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omments10.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11.xml" ContentType="application/vnd.openxmlformats-officedocument.spreadsheetml.comments+xml"/>
  <Override PartName="/xl/drawings/drawing15.xml" ContentType="application/vnd.openxmlformats-officedocument.drawing+xml"/>
  <Override PartName="/xl/comments12.xml" ContentType="application/vnd.openxmlformats-officedocument.spreadsheetml.comments+xml"/>
  <Override PartName="/xl/drawings/drawing16.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comments15.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comments16.xml" ContentType="application/vnd.openxmlformats-officedocument.spreadsheetml.comments+xml"/>
  <Override PartName="/xl/drawings/drawing21.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fileSharing readOnlyRecommended="1"/>
  <workbookPr codeName="ThisWorkbook"/>
  <mc:AlternateContent xmlns:mc="http://schemas.openxmlformats.org/markup-compatibility/2006">
    <mc:Choice Requires="x15">
      <x15ac:absPath xmlns:x15ac="http://schemas.microsoft.com/office/spreadsheetml/2010/11/ac" url="https://algosec365.sharepoint.com/sites/newportal/FinanceOnly/Finance Main/Monthly reports/Draft Monthly Report/monthly by AC/2021/12.2021/"/>
    </mc:Choice>
  </mc:AlternateContent>
  <xr:revisionPtr revIDLastSave="320" documentId="13_ncr:1_{96BD9656-BD4A-48FD-9B40-3BFA32D6F7FD}" xr6:coauthVersionLast="47" xr6:coauthVersionMax="47" xr10:uidLastSave="{D184DBC8-45DE-4768-915D-5513FD50A90C}"/>
  <bookViews>
    <workbookView xWindow="-120" yWindow="-120" windowWidth="29040" windowHeight="15840" tabRatio="983" firstSheet="5" activeTab="10" xr2:uid="{00000000-000D-0000-FFFF-FFFF00000000}"/>
  </bookViews>
  <sheets>
    <sheet name="דוחות" sheetId="7" r:id="rId1"/>
    <sheet name="מאזן בוחן" sheetId="2" r:id="rId2"/>
    <sheet name="פקודות נוספות" sheetId="6" r:id="rId3"/>
    <sheet name="מיסים שוטפים 2021" sheetId="83" r:id="rId4"/>
    <sheet name="העמסת הנה&quot;כ" sheetId="28" r:id="rId5"/>
    <sheet name="606-Prepaid Comm&amp;DR SUB" sheetId="78" r:id="rId6"/>
    <sheet name="ביאורים לדוחות הכספיים" sheetId="57" r:id="rId7"/>
    <sheet name="יתרות בינחברתיות" sheetId="62" r:id="rId8"/>
    <sheet name="Accrued expenses" sheetId="66" r:id="rId9"/>
    <sheet name="FA" sheetId="67" r:id="rId10"/>
    <sheet name="Consolidation" sheetId="25" r:id="rId11"/>
    <sheet name="Prepaid expenses" sheetId="89" r:id="rId12"/>
    <sheet name="Post-Closing Withdrawl Updated" sheetId="70" r:id="rId13"/>
    <sheet name="נתונים לשינוי" sheetId="30" r:id="rId14"/>
    <sheet name="תזרים Algosec LTD בש&quot;ח" sheetId="13" r:id="rId15"/>
    <sheet name="תזרים מאוחד ב-$" sheetId="36" r:id="rId16"/>
    <sheet name="מאזן בוחן EUROPE" sheetId="54" r:id="rId17"/>
    <sheet name="פ.נ. EUROPE" sheetId="55" r:id="rId18"/>
    <sheet name="NEW TP EU" sheetId="80" r:id="rId19"/>
    <sheet name="Tax UK" sheetId="103" r:id="rId20"/>
    <sheet name="העמסת הנה&quot;כ (UK)" sheetId="77" state="hidden" r:id="rId21"/>
    <sheet name="FS EU" sheetId="69" r:id="rId22"/>
    <sheet name="מאזן בוחן Australia" sheetId="60" r:id="rId23"/>
    <sheet name="פ.נ. Australia" sheetId="61" r:id="rId24"/>
    <sheet name="TP Australua" sheetId="79" r:id="rId25"/>
    <sheet name="FS AU" sheetId="68" r:id="rId26"/>
    <sheet name="Tax proforma" sheetId="92" r:id="rId27"/>
    <sheet name="New TB INC" sheetId="58" r:id="rId28"/>
    <sheet name="AJE 12 - INC" sheetId="32" r:id="rId29"/>
    <sheet name="Employee Stock Option Exercised" sheetId="91" r:id="rId30"/>
    <sheet name="העמסת הנה&quot;כ (INC)" sheetId="71" r:id="rId31"/>
    <sheet name="Tax - Inc" sheetId="46" r:id="rId32"/>
    <sheet name="מאזן בוחן צרפת" sheetId="86" r:id="rId33"/>
    <sheet name="פ.נ. צרפת" sheetId="87" r:id="rId34"/>
    <sheet name="TP France" sheetId="97" r:id="rId35"/>
    <sheet name="FS France" sheetId="88" r:id="rId36"/>
    <sheet name="מאזן בוחן הודו" sheetId="93" r:id="rId37"/>
    <sheet name="פ.נ. הודו" sheetId="94" r:id="rId38"/>
    <sheet name="FS India" sheetId="95" r:id="rId39"/>
    <sheet name="Tax" sheetId="99" r:id="rId40"/>
    <sheet name="India - Allocation" sheetId="101" r:id="rId41"/>
  </sheets>
  <externalReferences>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s>
  <definedNames>
    <definedName name="__1">#REF!</definedName>
    <definedName name="__2">#REF!</definedName>
    <definedName name="__IntlFixup" hidden="1">TRUE</definedName>
    <definedName name="_2017_Exp">'[1]Report data 2017'!$AG$18:$AG$635</definedName>
    <definedName name="_2B_9">#REF!</definedName>
    <definedName name="_ACK1">#REF!</definedName>
    <definedName name="_ACK2">#REF!</definedName>
    <definedName name="_Fill" localSheetId="5" hidden="1">#REF!</definedName>
    <definedName name="_Fill" localSheetId="25" hidden="1">#REF!</definedName>
    <definedName name="_Fill" localSheetId="21" hidden="1">#REF!</definedName>
    <definedName name="_Fill" localSheetId="35" hidden="1">#REF!</definedName>
    <definedName name="_Fill" localSheetId="38" hidden="1">#REF!</definedName>
    <definedName name="_Fill" localSheetId="27" hidden="1">#REF!</definedName>
    <definedName name="_Fill" localSheetId="18" hidden="1">#REF!</definedName>
    <definedName name="_Fill" localSheetId="12" hidden="1">#REF!</definedName>
    <definedName name="_Fill" localSheetId="34" hidden="1">#REF!</definedName>
    <definedName name="_Fill" localSheetId="30" hidden="1">#REF!</definedName>
    <definedName name="_Fill" localSheetId="20" hidden="1">#REF!</definedName>
    <definedName name="_Fill" localSheetId="3" hidden="1">#REF!</definedName>
    <definedName name="_Fill" hidden="1">#REF!</definedName>
    <definedName name="_xlnm._FilterDatabase" localSheetId="27" hidden="1">'New TB INC'!$D$1:$D$1389</definedName>
    <definedName name="_xlnm._FilterDatabase" localSheetId="1" hidden="1">'מאזן בוחן'!$J$1:$J$1019</definedName>
    <definedName name="_xlnm._FilterDatabase" localSheetId="22" hidden="1">'מאזן בוחן Australia'!$K$1:$K$603</definedName>
    <definedName name="_xlnm._FilterDatabase" localSheetId="16" hidden="1">'מאזן בוחן EUROPE'!$K$1:$K$859</definedName>
    <definedName name="_xlnm._FilterDatabase" localSheetId="36" hidden="1">'מאזן בוחן הודו'!$K$1:$K$365</definedName>
    <definedName name="_xlnm._FilterDatabase" localSheetId="32" hidden="1">'מאזן בוחן צרפת'!$K$1:$K$684</definedName>
    <definedName name="_xlnm._FilterDatabase" localSheetId="23" hidden="1">'פ.נ. Australia'!$A$113:$G$113</definedName>
    <definedName name="_xlnm._FilterDatabase" localSheetId="17" hidden="1">'פ.נ. EUROPE'!$A$163:$H$163</definedName>
    <definedName name="_xlnm._FilterDatabase" localSheetId="37" hidden="1">'פ.נ. הודו'!$A$69:$G$69</definedName>
    <definedName name="_xlnm._FilterDatabase" localSheetId="33" hidden="1">'פ.נ. צרפת'!$A$128:$G$128</definedName>
    <definedName name="_xlnm._FilterDatabase" localSheetId="2" hidden="1">'פקודות נוספות'!$H$273:$H$725</definedName>
    <definedName name="_xlnm._FilterDatabase" hidden="1">#REF!</definedName>
    <definedName name="_Grp12">#REF!</definedName>
    <definedName name="_Grp13">#REF!</definedName>
    <definedName name="_Grp14">#REF!</definedName>
    <definedName name="_Grp15">#REF!</definedName>
    <definedName name="_Grp2">#REF!</definedName>
    <definedName name="_Pg1">#REF!</definedName>
    <definedName name="_PG10">#REF!</definedName>
    <definedName name="_Sch10">'[2]Schedules PL'!#REF!</definedName>
    <definedName name="_Sch11">'[2]Schedules PL'!#REF!</definedName>
    <definedName name="_Sch12">'[2]Schedules PL'!#REF!</definedName>
    <definedName name="_Sch13">'[2]Schedules PL'!#REF!</definedName>
    <definedName name="_Sch14">'[2]Schedules PL'!#REF!</definedName>
    <definedName name="_Sch15">'[2]Schedules PL'!#REF!</definedName>
    <definedName name="_Sch2">'[2]Schedules PL'!#REF!</definedName>
    <definedName name="_Sch4">'[2]Schedules PL'!#REF!</definedName>
    <definedName name="_Sch5">'[2]Schedules PL'!#REF!</definedName>
    <definedName name="_Sch6">'[2]Schedules PL'!#REF!</definedName>
    <definedName name="_Sch7">'[2]Schedules PL'!#REF!</definedName>
    <definedName name="_Sch8">'[2]Schedules PL'!#REF!</definedName>
    <definedName name="_Sch9">'[2]Schedules BS'!#REF!</definedName>
    <definedName name="ADTL">[2]BS!$A$1</definedName>
    <definedName name="Annexure">#REF!</definedName>
    <definedName name="Annexure1">#REF!</definedName>
    <definedName name="area1">#REF!</definedName>
    <definedName name="area2">#REF!</definedName>
    <definedName name="area3">#REF!</definedName>
    <definedName name="AS2DocOpenMode" hidden="1">"AS2DocumentEdit"</definedName>
    <definedName name="BABL">[3]TB!#REF!</definedName>
    <definedName name="Banks">#REF!</definedName>
    <definedName name="Category_List">#REF!</definedName>
    <definedName name="COMP">#REF!</definedName>
    <definedName name="compu1">#REF!</definedName>
    <definedName name="computation">#REF!</definedName>
    <definedName name="Continuation">#REF!</definedName>
    <definedName name="da">'[4]FORM-16'!#REF!</definedName>
    <definedName name="data">#REF!</definedName>
    <definedName name="_xlnm.Database">#REF!</definedName>
    <definedName name="Date">[2]BS!$C$1</definedName>
    <definedName name="days">#REF!</definedName>
    <definedName name="days_jj">#REF!</definedName>
    <definedName name="db">'[4]FORM-16'!#REF!</definedName>
    <definedName name="DEP" localSheetId="39">#REF!</definedName>
    <definedName name="Dep">'[1]Report data 2017'!$A$18:$A$635</definedName>
    <definedName name="DRUCKBEREI03">#REF!</definedName>
    <definedName name="Elim">#REF!</definedName>
    <definedName name="endofdoh" localSheetId="22">'מאזן בוחן Australia'!#REF!</definedName>
    <definedName name="endofdoh" localSheetId="16">'מאזן בוחן EUROPE'!$A$516</definedName>
    <definedName name="endofdoh" localSheetId="36">'מאזן בוחן הודו'!#REF!</definedName>
    <definedName name="endofdoh" localSheetId="32">'מאזן בוחן צרפת'!#REF!</definedName>
    <definedName name="endofdoh">'מאזן בוחן'!$A$1018</definedName>
    <definedName name="Entity">'[1]Report data 2017'!$B$18:$B$635</definedName>
    <definedName name="Excel_BuiltIn_Print_Area_5">#REF!</definedName>
    <definedName name="Excel_BuiltIn_Print_Area_6">#REF!</definedName>
    <definedName name="far">#REF!</definedName>
    <definedName name="ga">'[4]FORM-16'!#REF!</definedName>
    <definedName name="gb">'[4]FORM-16'!#REF!</definedName>
    <definedName name="gffg">#REF!</definedName>
    <definedName name="ha">'[4]FORM-16'!#REF!</definedName>
    <definedName name="hb">'[4]FORM-16'!#REF!</definedName>
    <definedName name="HSBC">#REF!</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int_bas">#REF!</definedName>
    <definedName name="int_bas_jj">#REF!</definedName>
    <definedName name="int_der">#REF!</definedName>
    <definedName name="int_der_jj">#REF!</definedName>
    <definedName name="int234B">#REF!</definedName>
    <definedName name="int234C">#REF!</definedName>
    <definedName name="JA">#REF!</definedName>
    <definedName name="jdshfjdshfjdhfjdshfjdshf">'[2]Schedules PL'!#REF!</definedName>
    <definedName name="jfhdjfhds">'[2]Schedules PL'!#REF!</definedName>
    <definedName name="jkdjf">#REF!</definedName>
    <definedName name="ka">'[4]FORM-16'!#REF!</definedName>
    <definedName name="kb">'[4]FORM-16'!#REF!</definedName>
    <definedName name="main_comp">#REF!</definedName>
    <definedName name="MAT">#REF!</definedName>
    <definedName name="month">#REF!</definedName>
    <definedName name="month_jj">#REF!</definedName>
    <definedName name="N">#REF!</definedName>
    <definedName name="nir">'[2]Schedules PL'!#REF!</definedName>
    <definedName name="nirmala">'[2]Schedules PL'!#REF!</definedName>
    <definedName name="NOTE_2">#REF!</definedName>
    <definedName name="NOTE_3">#REF!</definedName>
    <definedName name="NOTE_4">#REF!</definedName>
    <definedName name="Opening">#REF!</definedName>
    <definedName name="Options2017">'פקודות נוספות'!#REF!</definedName>
    <definedName name="PAN">#REF!</definedName>
    <definedName name="Payroll_Statement">#REF!</definedName>
    <definedName name="_xlnm.Print_Area" localSheetId="28">'AJE 12 - INC'!$C$168:$F$459</definedName>
    <definedName name="_xlnm.Print_Area" localSheetId="39">Tax!$B$2:$E$24</definedName>
    <definedName name="_xlnm.Print_Area" localSheetId="1">'מאזן בוחן'!$A$1:$CI$1062</definedName>
    <definedName name="_xlnm.Print_Area" localSheetId="16">'מאזן בוחן EUROPE'!$A$1:$CG$824</definedName>
    <definedName name="_xlnm.Print_Area" localSheetId="36">'מאזן בוחן הודו'!$B$1:$AU$373</definedName>
    <definedName name="_xlnm.Print_Area" localSheetId="23">'פ.נ. Australia'!$A$1:$O$270</definedName>
    <definedName name="_xlnm.Print_Area" localSheetId="17">'פ.נ. EUROPE'!$A$161:$H$332</definedName>
    <definedName name="_xlnm.Print_Area" localSheetId="37">'פ.נ. הודו'!$A$67:$G$229</definedName>
    <definedName name="_xlnm.Print_Area" localSheetId="33">'פ.נ. צרפת'!$A$126:$G$280</definedName>
    <definedName name="_xlnm.Print_Area" localSheetId="2">'פקודות נוספות'!$A$1:$T$828</definedName>
    <definedName name="Profit___loss_account">#REF!</definedName>
    <definedName name="QUERY1.keep_password" hidden="1">FALSE</definedName>
    <definedName name="sa">'[4]FORM-16'!#REF!</definedName>
    <definedName name="sb">'[4]FORM-16'!#REF!</definedName>
    <definedName name="spot">#REF!</definedName>
    <definedName name="spot_FRF">#REF!</definedName>
    <definedName name="spot_GBP">#REF!</definedName>
    <definedName name="spot_jj">#REF!</definedName>
    <definedName name="Start_Date">#REF!</definedName>
    <definedName name="STX">[2]BS!$A$1</definedName>
    <definedName name="tallllent">'[2]Schedules PL'!#REF!</definedName>
    <definedName name="talllllllllllllllllllllllll">'[2]Schedules PL'!#REF!</definedName>
    <definedName name="wa">'[4]FORM-16'!#REF!</definedName>
    <definedName name="wb">'[4]FORM-16'!#REF!</definedName>
    <definedName name="wrn.BsheetPandL." hidden="1">{#N/A,#N/A,FALSE,"p&amp;l";#N/A,#N/A,FALSE,"bs"}</definedName>
    <definedName name="wrn.grouping." hidden="1">{#N/A,#N/A,FALSE,"gbs";#N/A,#N/A,FALSE,"coc";#N/A,#N/A,FALSE,"sao"}</definedName>
    <definedName name="wrn.schedules." hidden="1">{#N/A,#N/A,FALSE,"sch13-14";#N/A,#N/A,FALSE,"sch12";#N/A,#N/A,FALSE,"sch11";#N/A,#N/A,FALSE,"sch10";#N/A,#N/A,FALSE,"sch9";#N/A,#N/A,FALSE,"sch8-new";#N/A,#N/A,FALSE,"sch7";#N/A,#N/A,FALSE,"sch6";#N/A,#N/A,FALSE,"sch5";#N/A,#N/A,FALSE,"sch3";#N/A,#N/A,FALSE,"sch2";#N/A,#N/A,FALSE,"sch1"}</definedName>
    <definedName name="wrn.מאזן_בוחן_כללי." localSheetId="5" hidden="1">{#N/A,#N/A,FALSE,"מאזן בוחן";"כל_מאזן_בוחן",#N/A,FALSE,"מאזן בוחן"}</definedName>
    <definedName name="wrn.מאזן_בוחן_כללי." localSheetId="27" hidden="1">{#N/A,#N/A,FALSE,"מאזן בוחן";"כל_מאזן_בוחן",#N/A,FALSE,"מאזן בוחן"}</definedName>
    <definedName name="wrn.מאזן_בוחן_כללי." localSheetId="12" hidden="1">{#N/A,#N/A,FALSE,"מאזן בוחן";"כל_מאזן_בוחן",#N/A,FALSE,"מאזן בוחן"}</definedName>
    <definedName name="wrn.מאזן_בוחן_כללי." localSheetId="20" hidden="1">{#N/A,#N/A,FALSE,"מאזן בוחן";"כל_מאזן_בוחן",#N/A,FALSE,"מאזן בוחן"}</definedName>
    <definedName name="wrn.מאזן_בוחן_כללי." localSheetId="3" hidden="1">{#N/A,#N/A,FALSE,"מאזן בוחן";"כל_מאזן_בוחן",#N/A,FALSE,"מאזן בוחן"}</definedName>
    <definedName name="wrn.מאזן_בוחן_כללי." localSheetId="14" hidden="1">{#N/A,#N/A,FALSE,"מאזן בוחן";"כל_מאזן_בוחן",#N/A,FALSE,"מאזן בוחן"}</definedName>
    <definedName name="wrn.מאזן_בוחן_כללי." localSheetId="15" hidden="1">{#N/A,#N/A,FALSE,"מאזן בוחן";"כל_מאזן_בוחן",#N/A,FALSE,"מאזן בוחן"}</definedName>
    <definedName name="wrn.מאזן_בוחן_כללי." hidden="1">{#N/A,#N/A,FALSE,"מאזן בוחן";"כל_מאזן_בוחן",#N/A,FALSE,"מאזן בוחן"}</definedName>
    <definedName name="wrn.סעיפי_מאזן_בוחן."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27"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1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2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1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1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XLS">[5]PF!$A$4:$E$144</definedName>
    <definedName name="Z_6C6AF7F1_37F2_45B8_A395_4149314EE5A8_.wvu.Cols" localSheetId="10" hidden="1">Consolidation!$A:$A</definedName>
    <definedName name="Z_6C6AF7F1_37F2_45B8_A395_4149314EE5A8_.wvu.Cols" localSheetId="25" hidden="1">'FS AU'!$AM:$AN,'FS AU'!$AS:$AT,'FS AU'!$AY:$BA</definedName>
    <definedName name="Z_6C6AF7F1_37F2_45B8_A395_4149314EE5A8_.wvu.Cols" localSheetId="21" hidden="1">'FS EU'!$AA:$AB,'FS EU'!$AG:$AH,'FS EU'!$AM:$AO</definedName>
    <definedName name="Z_6C6AF7F1_37F2_45B8_A395_4149314EE5A8_.wvu.Cols" localSheetId="35" hidden="1">'FS France'!#REF!,'FS France'!#REF!,'FS France'!#REF!</definedName>
    <definedName name="Z_6C6AF7F1_37F2_45B8_A395_4149314EE5A8_.wvu.Cols" localSheetId="38" hidden="1">'FS India'!#REF!,'FS India'!#REF!,'FS India'!$O:$Q</definedName>
    <definedName name="Z_6C6AF7F1_37F2_45B8_A395_4149314EE5A8_.wvu.Cols" localSheetId="0" hidden="1">דוחות!$F:$G,דוחות!$L:$M,דוחות!$R:$T</definedName>
    <definedName name="Z_6C6AF7F1_37F2_45B8_A395_4149314EE5A8_.wvu.Cols" localSheetId="4" hidden="1">'העמסת הנה"כ'!#REF!</definedName>
    <definedName name="Z_6C6AF7F1_37F2_45B8_A395_4149314EE5A8_.wvu.Cols" localSheetId="30" hidden="1">'העמסת הנה"כ (INC)'!#REF!</definedName>
    <definedName name="Z_6C6AF7F1_37F2_45B8_A395_4149314EE5A8_.wvu.Cols" localSheetId="20" hidden="1">'העמסת הנה"כ (UK)'!#REF!</definedName>
    <definedName name="Z_6C6AF7F1_37F2_45B8_A395_4149314EE5A8_.wvu.Cols" localSheetId="1" hidden="1">'מאזן בוחן'!#REF!</definedName>
    <definedName name="Z_6C6AF7F1_37F2_45B8_A395_4149314EE5A8_.wvu.Cols" localSheetId="22" hidden="1">'מאזן בוחן Australia'!$O:$O</definedName>
    <definedName name="Z_6C6AF7F1_37F2_45B8_A395_4149314EE5A8_.wvu.Cols" localSheetId="16" hidden="1">'מאזן בוחן EUROPE'!$O:$O</definedName>
    <definedName name="Z_6C6AF7F1_37F2_45B8_A395_4149314EE5A8_.wvu.Cols" localSheetId="36" hidden="1">'מאזן בוחן הודו'!$O:$O</definedName>
    <definedName name="Z_6C6AF7F1_37F2_45B8_A395_4149314EE5A8_.wvu.Cols" localSheetId="32" hidden="1">'מאזן בוחן צרפת'!$O:$O</definedName>
    <definedName name="Z_6C6AF7F1_37F2_45B8_A395_4149314EE5A8_.wvu.FilterData" localSheetId="1" hidden="1">'מאזן בוחן'!$A$474:$CI$627</definedName>
    <definedName name="Z_6C6AF7F1_37F2_45B8_A395_4149314EE5A8_.wvu.FilterData" localSheetId="22" hidden="1">'מאזן בוחן Australia'!$A$113:$AX$180</definedName>
    <definedName name="Z_6C6AF7F1_37F2_45B8_A395_4149314EE5A8_.wvu.FilterData" localSheetId="16" hidden="1">'מאזן בוחן EUROPE'!$A$276:$CP$346</definedName>
    <definedName name="Z_6C6AF7F1_37F2_45B8_A395_4149314EE5A8_.wvu.FilterData" localSheetId="36" hidden="1">'מאזן בוחן הודו'!$A$143:$AU$177</definedName>
    <definedName name="Z_6C6AF7F1_37F2_45B8_A395_4149314EE5A8_.wvu.FilterData" localSheetId="32" hidden="1">'מאזן בוחן צרפת'!$A$143:$DX$199</definedName>
    <definedName name="Z_6C6AF7F1_37F2_45B8_A395_4149314EE5A8_.wvu.PrintArea" localSheetId="25" hidden="1">'FS AU'!#REF!</definedName>
    <definedName name="Z_6C6AF7F1_37F2_45B8_A395_4149314EE5A8_.wvu.PrintArea" localSheetId="21" hidden="1">'FS EU'!#REF!</definedName>
    <definedName name="Z_6C6AF7F1_37F2_45B8_A395_4149314EE5A8_.wvu.PrintArea" localSheetId="35" hidden="1">'FS France'!#REF!</definedName>
    <definedName name="Z_6C6AF7F1_37F2_45B8_A395_4149314EE5A8_.wvu.PrintArea" localSheetId="38" hidden="1">'FS India'!#REF!</definedName>
    <definedName name="Z_6C6AF7F1_37F2_45B8_A395_4149314EE5A8_.wvu.PrintArea" localSheetId="0" hidden="1">דוחות!$N$1:$Q$68</definedName>
    <definedName name="Z_6C6AF7F1_37F2_45B8_A395_4149314EE5A8_.wvu.PrintArea" localSheetId="4" hidden="1">'העמסת הנה"כ'!#REF!</definedName>
    <definedName name="Z_6C6AF7F1_37F2_45B8_A395_4149314EE5A8_.wvu.PrintArea" localSheetId="30" hidden="1">'העמסת הנה"כ (INC)'!#REF!</definedName>
    <definedName name="Z_6C6AF7F1_37F2_45B8_A395_4149314EE5A8_.wvu.PrintArea" localSheetId="20" hidden="1">'העמסת הנה"כ (UK)'!#REF!</definedName>
    <definedName name="Z_6C6AF7F1_37F2_45B8_A395_4149314EE5A8_.wvu.PrintArea" localSheetId="1" hidden="1">'מאזן בוחן'!$A$75:$O$124</definedName>
    <definedName name="Z_6C6AF7F1_37F2_45B8_A395_4149314EE5A8_.wvu.PrintArea" localSheetId="22" hidden="1">'מאזן בוחן Australia'!$A$31:$P$42</definedName>
    <definedName name="Z_6C6AF7F1_37F2_45B8_A395_4149314EE5A8_.wvu.PrintArea" localSheetId="16" hidden="1">'מאזן בוחן EUROPE'!$A$163:$P$170</definedName>
    <definedName name="Z_6C6AF7F1_37F2_45B8_A395_4149314EE5A8_.wvu.PrintArea" localSheetId="36" hidden="1">'מאזן בוחן הודו'!$A$31:$P$46</definedName>
    <definedName name="Z_6C6AF7F1_37F2_45B8_A395_4149314EE5A8_.wvu.PrintArea" localSheetId="32" hidden="1">'מאזן בוחן צרפת'!$A$42:$P$49</definedName>
    <definedName name="Z_6C6AF7F1_37F2_45B8_A395_4149314EE5A8_.wvu.PrintArea" localSheetId="3" hidden="1">'מיסים שוטפים 2021'!$A$1:$L$48</definedName>
    <definedName name="Z_6C6AF7F1_37F2_45B8_A395_4149314EE5A8_.wvu.PrintArea" localSheetId="23" hidden="1">'פ.נ. Australia'!$A$1:$F$2</definedName>
    <definedName name="Z_6C6AF7F1_37F2_45B8_A395_4149314EE5A8_.wvu.PrintArea" localSheetId="17" hidden="1">'פ.נ. EUROPE'!$A$1:$F$5</definedName>
    <definedName name="Z_6C6AF7F1_37F2_45B8_A395_4149314EE5A8_.wvu.PrintArea" localSheetId="37" hidden="1">'פ.נ. הודו'!$A$1:$F$3</definedName>
    <definedName name="Z_6C6AF7F1_37F2_45B8_A395_4149314EE5A8_.wvu.PrintArea" localSheetId="33" hidden="1">'פ.נ. צרפת'!$A$1:$F$4</definedName>
    <definedName name="Z_6C6AF7F1_37F2_45B8_A395_4149314EE5A8_.wvu.PrintArea" localSheetId="2" hidden="1">'פקודות נוספות'!$A$1:$F$164</definedName>
    <definedName name="Z_6C6AF7F1_37F2_45B8_A395_4149314EE5A8_.wvu.PrintArea" localSheetId="14" hidden="1">'תזרים Algosec LTD בש"ח'!$A$34:$F$80</definedName>
    <definedName name="Z_6C6AF7F1_37F2_45B8_A395_4149314EE5A8_.wvu.PrintArea" localSheetId="15" hidden="1">'תזרים מאוחד ב-$'!$B$28:$D$67</definedName>
    <definedName name="Z_6C6AF7F1_37F2_45B8_A395_4149314EE5A8_.wvu.PrintTitles" localSheetId="1" hidden="1">'מאזן בוחן'!$2:$7</definedName>
    <definedName name="Z_6C6AF7F1_37F2_45B8_A395_4149314EE5A8_.wvu.PrintTitles" localSheetId="22" hidden="1">'מאזן בוחן Australia'!$2:$7</definedName>
    <definedName name="Z_6C6AF7F1_37F2_45B8_A395_4149314EE5A8_.wvu.PrintTitles" localSheetId="16" hidden="1">'מאזן בוחן EUROPE'!$2:$7</definedName>
    <definedName name="Z_6C6AF7F1_37F2_45B8_A395_4149314EE5A8_.wvu.PrintTitles" localSheetId="36" hidden="1">'מאזן בוחן הודו'!$2:$7</definedName>
    <definedName name="Z_6C6AF7F1_37F2_45B8_A395_4149314EE5A8_.wvu.PrintTitles" localSheetId="32" hidden="1">'מאזן בוחן צרפת'!$2:$7</definedName>
    <definedName name="Z_6C6AF7F1_37F2_45B8_A395_4149314EE5A8_.wvu.PrintTitles" localSheetId="23" hidden="1">'פ.נ. Australia'!$1:$1</definedName>
    <definedName name="Z_6C6AF7F1_37F2_45B8_A395_4149314EE5A8_.wvu.PrintTitles" localSheetId="17" hidden="1">'פ.נ. EUROPE'!$1:$4</definedName>
    <definedName name="Z_6C6AF7F1_37F2_45B8_A395_4149314EE5A8_.wvu.PrintTitles" localSheetId="37" hidden="1">'פ.נ. הודו'!$1:$2</definedName>
    <definedName name="Z_6C6AF7F1_37F2_45B8_A395_4149314EE5A8_.wvu.PrintTitles" localSheetId="33" hidden="1">'פ.נ. צרפת'!$1:$3</definedName>
    <definedName name="Z_6C6AF7F1_37F2_45B8_A395_4149314EE5A8_.wvu.PrintTitles" localSheetId="2" hidden="1">'פקודות נוספות'!$1:$4</definedName>
    <definedName name="Z_6C6AF7F1_37F2_45B8_A395_4149314EE5A8_.wvu.Rows" localSheetId="3" hidden="1">'מיסים שוטפים 2021'!#REF!</definedName>
    <definedName name="Z_6C6AF7F1_37F2_45B8_A395_4149314EE5A8_.wvu.Rows" localSheetId="14" hidden="1">'תזרים Algosec LTD בש"ח'!$12:$12</definedName>
    <definedName name="Z_6C6AF7F1_37F2_45B8_A395_4149314EE5A8_.wvu.Rows" localSheetId="15" hidden="1">'תזרים מאוחד ב-$'!#REF!</definedName>
    <definedName name="אאא" localSheetId="5" hidden="1">{#N/A,#N/A,FALSE,"מאזן בוחן";"כל_מאזן_בוחן",#N/A,FALSE,"מאזן בוחן"}</definedName>
    <definedName name="אאא" localSheetId="27" hidden="1">{#N/A,#N/A,FALSE,"מאזן בוחן";"כל_מאזן_בוחן",#N/A,FALSE,"מאזן בוחן"}</definedName>
    <definedName name="אאא" localSheetId="12" hidden="1">{#N/A,#N/A,FALSE,"מאזן בוחן";"כל_מאזן_בוחן",#N/A,FALSE,"מאזן בוחן"}</definedName>
    <definedName name="אאא" localSheetId="20" hidden="1">{#N/A,#N/A,FALSE,"מאזן בוחן";"כל_מאזן_בוחן",#N/A,FALSE,"מאזן בוחן"}</definedName>
    <definedName name="אאא" localSheetId="3" hidden="1">{#N/A,#N/A,FALSE,"מאזן בוחן";"כל_מאזן_בוחן",#N/A,FALSE,"מאזן בוחן"}</definedName>
    <definedName name="אאא" localSheetId="14" hidden="1">{#N/A,#N/A,FALSE,"מאזן בוחן";"כל_מאזן_בוחן",#N/A,FALSE,"מאזן בוחן"}</definedName>
    <definedName name="אאא" localSheetId="15" hidden="1">{#N/A,#N/A,FALSE,"מאזן בוחן";"כל_מאזן_בוחן",#N/A,FALSE,"מאזן בוחן"}</definedName>
    <definedName name="אאא" hidden="1">{#N/A,#N/A,FALSE,"מאזן בוחן";"כל_מאזן_בוחן",#N/A,FALSE,"מאזן בוחן"}</definedName>
    <definedName name="אאא1" localSheetId="5" hidden="1">{#N/A,#N/A,FALSE,"מאזן בוחן";"כל_מאזן_בוחן",#N/A,FALSE,"מאזן בוחן"}</definedName>
    <definedName name="אאא1" localSheetId="27" hidden="1">{#N/A,#N/A,FALSE,"מאזן בוחן";"כל_מאזן_בוחן",#N/A,FALSE,"מאזן בוחן"}</definedName>
    <definedName name="אאא1" localSheetId="12" hidden="1">{#N/A,#N/A,FALSE,"מאזן בוחן";"כל_מאזן_בוחן",#N/A,FALSE,"מאזן בוחן"}</definedName>
    <definedName name="אאא1" localSheetId="20" hidden="1">{#N/A,#N/A,FALSE,"מאזן בוחן";"כל_מאזן_בוחן",#N/A,FALSE,"מאזן בוחן"}</definedName>
    <definedName name="אאא1" localSheetId="3" hidden="1">{#N/A,#N/A,FALSE,"מאזן בוחן";"כל_מאזן_בוחן",#N/A,FALSE,"מאזן בוחן"}</definedName>
    <definedName name="אאא1" localSheetId="14" hidden="1">{#N/A,#N/A,FALSE,"מאזן בוחן";"כל_מאזן_בוחן",#N/A,FALSE,"מאזן בוחן"}</definedName>
    <definedName name="אאא1" localSheetId="15" hidden="1">{#N/A,#N/A,FALSE,"מאזן בוחן";"כל_מאזן_בוחן",#N/A,FALSE,"מאזן בוחן"}</definedName>
    <definedName name="אאא1" hidden="1">{#N/A,#N/A,FALSE,"מאזן בוחן";"כל_מאזן_בוחן",#N/A,FALSE,"מאזן בוחן"}</definedName>
    <definedName name="בככ"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27"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1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2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1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1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27"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1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2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1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1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הוצאות" localSheetId="5">[6]דוחות!$Q$61</definedName>
    <definedName name="הוצאות" localSheetId="25">'FS AU'!#REF!</definedName>
    <definedName name="הוצאות" localSheetId="21">'FS EU'!#REF!</definedName>
    <definedName name="הוצאות" localSheetId="35">'FS France'!#REF!</definedName>
    <definedName name="הוצאות" localSheetId="38">'FS India'!#REF!</definedName>
    <definedName name="הוצאות" localSheetId="12">[7]דוחות!$P$61</definedName>
    <definedName name="הוצאות" localSheetId="20">[8]דוחות!$P$61</definedName>
    <definedName name="הוצאות" localSheetId="3">[9]דוחות!$P$62</definedName>
    <definedName name="הוצאות">דוחות!$P$63</definedName>
    <definedName name="מאזן_בוחן_כללי" localSheetId="5" hidden="1">{#N/A,#N/A,FALSE,"מאזן בוחן";"כל_מאזן_בוחן",#N/A,FALSE,"מאזן בוחן"}</definedName>
    <definedName name="מאזן_בוחן_כללי" localSheetId="27" hidden="1">{#N/A,#N/A,FALSE,"מאזן בוחן";"כל_מאזן_בוחן",#N/A,FALSE,"מאזן בוחן"}</definedName>
    <definedName name="מאזן_בוחן_כללי" localSheetId="12" hidden="1">{#N/A,#N/A,FALSE,"מאזן בוחן";"כל_מאזן_בוחן",#N/A,FALSE,"מאזן בוחן"}</definedName>
    <definedName name="מאזן_בוחן_כללי" localSheetId="20" hidden="1">{#N/A,#N/A,FALSE,"מאזן בוחן";"כל_מאזן_בוחן",#N/A,FALSE,"מאזן בוחן"}</definedName>
    <definedName name="מאזן_בוחן_כללי" localSheetId="3" hidden="1">{#N/A,#N/A,FALSE,"מאזן בוחן";"כל_מאזן_בוחן",#N/A,FALSE,"מאזן בוחן"}</definedName>
    <definedName name="מאזן_בוחן_כללי" localSheetId="14" hidden="1">{#N/A,#N/A,FALSE,"מאזן בוחן";"כל_מאזן_בוחן",#N/A,FALSE,"מאזן בוחן"}</definedName>
    <definedName name="מאזן_בוחן_כללי" localSheetId="15" hidden="1">{#N/A,#N/A,FALSE,"מאזן בוחן";"כל_מאזן_בוחן",#N/A,FALSE,"מאזן בוחן"}</definedName>
    <definedName name="מאזן_בוחן_כללי" hidden="1">{#N/A,#N/A,FALSE,"מאזן בוחן";"כל_מאזן_בוחן",#N/A,FALSE,"מאזן בוחן"}</definedName>
    <definedName name="מאזן_בוחן_כללי_1" localSheetId="5" hidden="1">{#N/A,#N/A,FALSE,"מאזן בוחן";"כל_מאזן_בוחן",#N/A,FALSE,"מאזן בוחן"}</definedName>
    <definedName name="מאזן_בוחן_כללי_1" localSheetId="27" hidden="1">{#N/A,#N/A,FALSE,"מאזן בוחן";"כל_מאזן_בוחן",#N/A,FALSE,"מאזן בוחן"}</definedName>
    <definedName name="מאזן_בוחן_כללי_1" localSheetId="12" hidden="1">{#N/A,#N/A,FALSE,"מאזן בוחן";"כל_מאזן_בוחן",#N/A,FALSE,"מאזן בוחן"}</definedName>
    <definedName name="מאזן_בוחן_כללי_1" localSheetId="20" hidden="1">{#N/A,#N/A,FALSE,"מאזן בוחן";"כל_מאזן_בוחן",#N/A,FALSE,"מאזן בוחן"}</definedName>
    <definedName name="מאזן_בוחן_כללי_1" localSheetId="3" hidden="1">{#N/A,#N/A,FALSE,"מאזן בוחן";"כל_מאזן_בוחן",#N/A,FALSE,"מאזן בוחן"}</definedName>
    <definedName name="מאזן_בוחן_כללי_1" localSheetId="14" hidden="1">{#N/A,#N/A,FALSE,"מאזן בוחן";"כל_מאזן_בוחן",#N/A,FALSE,"מאזן בוחן"}</definedName>
    <definedName name="מאזן_בוחן_כללי_1" localSheetId="15" hidden="1">{#N/A,#N/A,FALSE,"מאזן בוחן";"כל_מאזן_בוחן",#N/A,FALSE,"מאזן בוחן"}</definedName>
    <definedName name="מאזן_בוחן_כללי_1" hidden="1">{#N/A,#N/A,FALSE,"מאזן בוחן";"כל_מאזן_בוחן",#N/A,FALSE,"מאזן בוחן"}</definedName>
    <definedName name="מאזן_בוחן_כללי1" localSheetId="5" hidden="1">{#N/A,#N/A,FALSE,"מאזן בוחן";"כל_מאזן_בוחן",#N/A,FALSE,"מאזן בוחן"}</definedName>
    <definedName name="מאזן_בוחן_כללי1" localSheetId="27" hidden="1">{#N/A,#N/A,FALSE,"מאזן בוחן";"כל_מאזן_בוחן",#N/A,FALSE,"מאזן בוחן"}</definedName>
    <definedName name="מאזן_בוחן_כללי1" localSheetId="12" hidden="1">{#N/A,#N/A,FALSE,"מאזן בוחן";"כל_מאזן_בוחן",#N/A,FALSE,"מאזן בוחן"}</definedName>
    <definedName name="מאזן_בוחן_כללי1" localSheetId="20" hidden="1">{#N/A,#N/A,FALSE,"מאזן בוחן";"כל_מאזן_בוחן",#N/A,FALSE,"מאזן בוחן"}</definedName>
    <definedName name="מאזן_בוחן_כללי1" localSheetId="3" hidden="1">{#N/A,#N/A,FALSE,"מאזן בוחן";"כל_מאזן_בוחן",#N/A,FALSE,"מאזן בוחן"}</definedName>
    <definedName name="מאזן_בוחן_כללי1" localSheetId="14" hidden="1">{#N/A,#N/A,FALSE,"מאזן בוחן";"כל_מאזן_בוחן",#N/A,FALSE,"מאזן בוחן"}</definedName>
    <definedName name="מאזן_בוחן_כללי1" localSheetId="15" hidden="1">{#N/A,#N/A,FALSE,"מאזן בוחן";"כל_מאזן_בוחן",#N/A,FALSE,"מאזן בוחן"}</definedName>
    <definedName name="מאזן_בוחן_כללי1" hidden="1">{#N/A,#N/A,FALSE,"מאזן בוחן";"כל_מאזן_בוחן",#N/A,FALSE,"מאזן בוחן"}</definedName>
    <definedName name="סעיפי_מאזן_בוחן_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27"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1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2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1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1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calcId="191029"/>
  <customWorkbookViews>
    <customWorkbookView name="Administrator - תצוגה אישית" guid="{AE4A63B3-88A2-451A-9F53-7674162F018D}" mergeInterval="0" personalView="1" maximized="1" xWindow="1" yWindow="1" windowWidth="1024" windowHeight="507" activeSheetId="18"/>
    <customWorkbookView name="Zohar - תצוגה אישית" guid="{6C6AF7F1-37F2-45B8-A395-4149314EE5A8}" mergeInterval="0" personalView="1" maximized="1" xWindow="1" yWindow="1" windowWidth="1024" windowHeight="549" tabRatio="821"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9" i="6" l="1"/>
  <c r="F260" i="6" s="1"/>
  <c r="E259" i="6"/>
  <c r="E260" i="6" s="1"/>
  <c r="E258" i="6" l="1"/>
  <c r="D259" i="6"/>
  <c r="E113" i="67"/>
  <c r="D164" i="32"/>
  <c r="D163" i="32" s="1"/>
  <c r="F429" i="58" s="1"/>
  <c r="F1005" i="58"/>
  <c r="J1005" i="58" s="1"/>
  <c r="C158" i="57" s="1"/>
  <c r="C164" i="32"/>
  <c r="C163" i="32"/>
  <c r="E429" i="58"/>
  <c r="F430" i="58"/>
  <c r="J430" i="58" s="1"/>
  <c r="G509" i="2"/>
  <c r="H509" i="2"/>
  <c r="I509" i="2"/>
  <c r="F258" i="6"/>
  <c r="J429" i="58" l="1"/>
  <c r="D41" i="25" s="1"/>
  <c r="D260" i="6" l="1"/>
  <c r="D258" i="6"/>
  <c r="K507" i="2"/>
  <c r="K28" i="7" s="1"/>
  <c r="C41" i="25" s="1"/>
  <c r="F507" i="2"/>
  <c r="G186" i="57"/>
  <c r="E186" i="57"/>
  <c r="D186" i="57"/>
  <c r="D184" i="57"/>
  <c r="H178" i="57"/>
  <c r="E184" i="57"/>
  <c r="F184" i="57"/>
  <c r="F186" i="57" s="1"/>
  <c r="G184" i="57"/>
  <c r="G177" i="57"/>
  <c r="G179" i="57"/>
  <c r="F177" i="57"/>
  <c r="F180" i="57"/>
  <c r="F179" i="57"/>
  <c r="E177" i="57"/>
  <c r="E179" i="57"/>
  <c r="E178" i="57"/>
  <c r="D177" i="57"/>
  <c r="D179" i="57"/>
  <c r="H14" i="46"/>
  <c r="J1062" i="58"/>
  <c r="J507" i="2" l="1"/>
  <c r="J28" i="7" s="1"/>
  <c r="L507" i="2"/>
  <c r="E447" i="2"/>
  <c r="B254" i="6"/>
  <c r="B257" i="6" s="1"/>
  <c r="D256" i="6"/>
  <c r="D255" i="6"/>
  <c r="G157" i="57"/>
  <c r="N507" i="2" l="1"/>
  <c r="H76" i="25"/>
  <c r="H74" i="25"/>
  <c r="F55" i="6" l="1"/>
  <c r="G55" i="6"/>
  <c r="B170" i="57" l="1"/>
  <c r="B168" i="57"/>
  <c r="B171" i="57"/>
  <c r="B169" i="57"/>
  <c r="D157" i="55"/>
  <c r="D156" i="55"/>
  <c r="D155" i="55"/>
  <c r="D152" i="55"/>
  <c r="D149" i="55"/>
  <c r="M314" i="86" l="1"/>
  <c r="I219" i="87" s="1"/>
  <c r="F314" i="86"/>
  <c r="F317" i="86" s="1"/>
  <c r="E314" i="86"/>
  <c r="H219" i="87" s="1"/>
  <c r="I317" i="86"/>
  <c r="H317" i="86"/>
  <c r="G317" i="86"/>
  <c r="M110" i="86"/>
  <c r="F110" i="86"/>
  <c r="E110" i="86"/>
  <c r="B119" i="87"/>
  <c r="D121" i="87"/>
  <c r="J314" i="86" l="1"/>
  <c r="J317" i="86" s="1"/>
  <c r="E317" i="86"/>
  <c r="M317" i="86"/>
  <c r="J110" i="86"/>
  <c r="N29" i="36"/>
  <c r="H13" i="36" s="1"/>
  <c r="H14" i="36" s="1"/>
  <c r="G163" i="57"/>
  <c r="E163" i="57"/>
  <c r="H26" i="36" l="1"/>
  <c r="J341" i="86"/>
  <c r="J351" i="86" s="1"/>
  <c r="D65" i="88"/>
  <c r="I102" i="67"/>
  <c r="I103" i="67"/>
  <c r="I104" i="67"/>
  <c r="J104" i="67"/>
  <c r="J103" i="67"/>
  <c r="J102" i="67"/>
  <c r="D109" i="67"/>
  <c r="D107" i="67"/>
  <c r="E109" i="67"/>
  <c r="E103" i="67"/>
  <c r="E102" i="67"/>
  <c r="D103" i="67"/>
  <c r="D102" i="67"/>
  <c r="D101" i="67"/>
  <c r="C109" i="67"/>
  <c r="C101" i="67"/>
  <c r="D104" i="67"/>
  <c r="E104" i="67"/>
  <c r="B109" i="67"/>
  <c r="C102" i="67"/>
  <c r="C103" i="67"/>
  <c r="C104" i="67"/>
  <c r="B101" i="67"/>
  <c r="B103" i="67"/>
  <c r="B104" i="67"/>
  <c r="B102" i="67"/>
  <c r="G137" i="57"/>
  <c r="G146" i="57" s="1"/>
  <c r="G155" i="57" s="1"/>
  <c r="C107" i="67" l="1"/>
  <c r="C110" i="67" s="1"/>
  <c r="B107" i="67"/>
  <c r="B110" i="67" s="1"/>
  <c r="C137" i="57"/>
  <c r="C146" i="57" s="1"/>
  <c r="C155" i="57" s="1"/>
  <c r="D137" i="57"/>
  <c r="D146" i="57" s="1"/>
  <c r="D155" i="57" s="1"/>
  <c r="E137" i="57"/>
  <c r="E146" i="57" s="1"/>
  <c r="E155" i="57" s="1"/>
  <c r="F137" i="57"/>
  <c r="F146" i="57" s="1"/>
  <c r="F155" i="57" s="1"/>
  <c r="B137" i="57"/>
  <c r="B146" i="57" s="1"/>
  <c r="B155" i="57" s="1"/>
  <c r="D117" i="87" l="1"/>
  <c r="H118" i="87" l="1"/>
  <c r="D118" i="87"/>
  <c r="H115" i="87"/>
  <c r="M102" i="86"/>
  <c r="E102" i="86"/>
  <c r="D113" i="87"/>
  <c r="F69" i="6" l="1"/>
  <c r="G69" i="6"/>
  <c r="D104" i="87" l="1"/>
  <c r="B71" i="57" l="1"/>
  <c r="R14" i="78" l="1"/>
  <c r="C159" i="78" l="1"/>
  <c r="C158" i="78"/>
  <c r="C165" i="78"/>
  <c r="C163" i="78" l="1"/>
  <c r="C160" i="78" l="1"/>
  <c r="C156" i="78" l="1"/>
  <c r="C151" i="78" l="1"/>
  <c r="C145" i="78"/>
  <c r="C138" i="78"/>
  <c r="C130" i="78"/>
  <c r="C121" i="78"/>
  <c r="C111" i="78"/>
  <c r="C100" i="78"/>
  <c r="C88" i="78"/>
  <c r="C75" i="78" l="1"/>
  <c r="S14" i="78" l="1"/>
  <c r="E45" i="78"/>
  <c r="E44" i="78"/>
  <c r="C45" i="78" l="1"/>
  <c r="C44" i="78"/>
  <c r="C41" i="78" l="1"/>
  <c r="C42" i="78"/>
  <c r="D41" i="6" l="1"/>
  <c r="D40" i="6"/>
  <c r="F31" i="46"/>
  <c r="D20" i="46" l="1"/>
  <c r="D21" i="32"/>
  <c r="F51" i="46" l="1"/>
  <c r="O132" i="66" l="1"/>
  <c r="B64" i="57" s="1"/>
  <c r="F870" i="58"/>
  <c r="J870" i="58" s="1"/>
  <c r="AK870" i="58" s="1"/>
  <c r="E870" i="58"/>
  <c r="O127" i="66" l="1"/>
  <c r="D64" i="94"/>
  <c r="D63" i="94"/>
  <c r="F63" i="94" l="1"/>
  <c r="E68" i="2"/>
  <c r="F54" i="99"/>
  <c r="E54" i="99"/>
  <c r="H63" i="94" l="1"/>
  <c r="F64" i="94"/>
  <c r="H64" i="94" s="1"/>
  <c r="M322" i="86"/>
  <c r="I218" i="87" s="1"/>
  <c r="M321" i="86"/>
  <c r="M306" i="86"/>
  <c r="M305" i="86"/>
  <c r="M299" i="86"/>
  <c r="M295" i="86"/>
  <c r="M294" i="86"/>
  <c r="M293" i="86"/>
  <c r="M292" i="86"/>
  <c r="M291" i="86"/>
  <c r="M290" i="86"/>
  <c r="M289" i="86"/>
  <c r="M281" i="86"/>
  <c r="M277" i="86"/>
  <c r="M276" i="86"/>
  <c r="M275" i="86"/>
  <c r="M274" i="86"/>
  <c r="M273" i="86"/>
  <c r="M272" i="86"/>
  <c r="M264" i="86"/>
  <c r="M260" i="86"/>
  <c r="M258" i="86"/>
  <c r="M257" i="86"/>
  <c r="M256" i="86"/>
  <c r="M255" i="86"/>
  <c r="M254" i="86"/>
  <c r="M253" i="86"/>
  <c r="M237" i="86"/>
  <c r="M236" i="86"/>
  <c r="M235" i="86"/>
  <c r="M232" i="86"/>
  <c r="M231" i="86"/>
  <c r="M230" i="86"/>
  <c r="M216" i="86"/>
  <c r="M213" i="86"/>
  <c r="M210" i="86"/>
  <c r="M207" i="86"/>
  <c r="M206" i="86"/>
  <c r="M205" i="86"/>
  <c r="M204" i="86"/>
  <c r="M203" i="86"/>
  <c r="M196" i="86"/>
  <c r="M193" i="86"/>
  <c r="M191" i="86"/>
  <c r="M190" i="86"/>
  <c r="M187" i="86"/>
  <c r="M186" i="86"/>
  <c r="M184" i="86"/>
  <c r="M182" i="86"/>
  <c r="M171" i="86"/>
  <c r="M170" i="86"/>
  <c r="M166" i="86"/>
  <c r="M165" i="86"/>
  <c r="M159" i="86"/>
  <c r="M153" i="86"/>
  <c r="M152" i="86"/>
  <c r="M151" i="86"/>
  <c r="M150" i="86"/>
  <c r="M149" i="86"/>
  <c r="M148" i="86"/>
  <c r="M145" i="86"/>
  <c r="M141" i="86"/>
  <c r="M140" i="86"/>
  <c r="M139" i="86"/>
  <c r="M138" i="86"/>
  <c r="M137" i="86"/>
  <c r="M136" i="86"/>
  <c r="M135" i="86"/>
  <c r="M134" i="86"/>
  <c r="M133" i="86"/>
  <c r="M132" i="86"/>
  <c r="M131" i="86"/>
  <c r="M130" i="86"/>
  <c r="M129" i="86"/>
  <c r="M128" i="86"/>
  <c r="M127" i="86"/>
  <c r="M115" i="86"/>
  <c r="M114" i="86"/>
  <c r="M113" i="86"/>
  <c r="M112" i="86"/>
  <c r="M111" i="86"/>
  <c r="M104" i="86"/>
  <c r="M103" i="86"/>
  <c r="M101" i="86"/>
  <c r="M100" i="86"/>
  <c r="M99" i="86"/>
  <c r="M98" i="86"/>
  <c r="M97" i="86"/>
  <c r="M96" i="86"/>
  <c r="M83" i="86"/>
  <c r="M59" i="86"/>
  <c r="M58" i="86"/>
  <c r="M46" i="86"/>
  <c r="M39" i="86"/>
  <c r="M38" i="86"/>
  <c r="M37" i="86"/>
  <c r="M36" i="86"/>
  <c r="M35" i="86"/>
  <c r="M34" i="86"/>
  <c r="M33" i="86"/>
  <c r="E166" i="86"/>
  <c r="F89" i="61"/>
  <c r="M500" i="2" l="1"/>
  <c r="E500" i="2"/>
  <c r="B72" i="61" l="1"/>
  <c r="B69" i="61"/>
  <c r="U14" i="78"/>
  <c r="I14" i="78"/>
  <c r="T14" i="78"/>
  <c r="Q14" i="78"/>
  <c r="P14" i="78"/>
  <c r="O14" i="78"/>
  <c r="N14" i="78"/>
  <c r="M14" i="78"/>
  <c r="L14" i="78"/>
  <c r="K14" i="78"/>
  <c r="J14" i="78"/>
  <c r="D137" i="32"/>
  <c r="D119" i="32"/>
  <c r="D113" i="32"/>
  <c r="D110" i="32"/>
  <c r="D104" i="32"/>
  <c r="D101" i="32"/>
  <c r="D98" i="32"/>
  <c r="D95" i="32"/>
  <c r="D89" i="32"/>
  <c r="D86" i="32"/>
  <c r="D107" i="32"/>
  <c r="D92" i="32"/>
  <c r="C119" i="32"/>
  <c r="C118" i="32"/>
  <c r="E67" i="61"/>
  <c r="E68" i="61" s="1"/>
  <c r="E64" i="61"/>
  <c r="E65" i="61" s="1"/>
  <c r="F35" i="61"/>
  <c r="F38" i="61"/>
  <c r="F41" i="61"/>
  <c r="F44" i="61"/>
  <c r="F47" i="61"/>
  <c r="E49" i="61"/>
  <c r="E50" i="61" s="1"/>
  <c r="E52" i="61"/>
  <c r="E53" i="61" s="1"/>
  <c r="E55" i="61"/>
  <c r="E56" i="61" s="1"/>
  <c r="E61" i="61"/>
  <c r="E62" i="61" s="1"/>
  <c r="F59" i="61"/>
  <c r="E58" i="61"/>
  <c r="E59" i="61" s="1"/>
  <c r="B66" i="61"/>
  <c r="D68" i="61"/>
  <c r="D67" i="61"/>
  <c r="O156" i="66"/>
  <c r="E137" i="55"/>
  <c r="E138" i="55" s="1"/>
  <c r="V14" i="78" l="1"/>
  <c r="F68" i="61"/>
  <c r="E34" i="61"/>
  <c r="E35" i="61" s="1"/>
  <c r="E40" i="61"/>
  <c r="E41" i="61" s="1"/>
  <c r="E43" i="61"/>
  <c r="E44" i="61" s="1"/>
  <c r="E46" i="61"/>
  <c r="E47" i="61" s="1"/>
  <c r="F50" i="61"/>
  <c r="F53" i="61"/>
  <c r="F56" i="61"/>
  <c r="F62" i="61"/>
  <c r="F65" i="61"/>
  <c r="E37" i="61"/>
  <c r="E38" i="61" s="1"/>
  <c r="F99" i="55" l="1"/>
  <c r="E99" i="55" s="1"/>
  <c r="E100" i="55" s="1"/>
  <c r="F66" i="55"/>
  <c r="E66" i="55" s="1"/>
  <c r="F93" i="55"/>
  <c r="E93" i="55" s="1"/>
  <c r="E94" i="55" s="1"/>
  <c r="F90" i="55"/>
  <c r="E90" i="55" s="1"/>
  <c r="E91" i="55" s="1"/>
  <c r="F84" i="55"/>
  <c r="E84" i="55" s="1"/>
  <c r="E85" i="55" s="1"/>
  <c r="F81" i="55"/>
  <c r="E81" i="55" s="1"/>
  <c r="E82" i="55" s="1"/>
  <c r="F78" i="55"/>
  <c r="E78" i="55" s="1"/>
  <c r="E79" i="55" s="1"/>
  <c r="F75" i="55"/>
  <c r="E75" i="55" s="1"/>
  <c r="E76" i="55" s="1"/>
  <c r="F72" i="55"/>
  <c r="F69" i="55"/>
  <c r="E69" i="55" s="1"/>
  <c r="E70" i="55" s="1"/>
  <c r="F87" i="55"/>
  <c r="E87" i="55" s="1"/>
  <c r="E88" i="55" s="1"/>
  <c r="D100" i="55"/>
  <c r="D99" i="55"/>
  <c r="E14" i="78"/>
  <c r="D14" i="78"/>
  <c r="C14" i="78"/>
  <c r="B14" i="78"/>
  <c r="E51" i="78"/>
  <c r="D51" i="78"/>
  <c r="C51" i="78"/>
  <c r="B51" i="78"/>
  <c r="E50" i="78"/>
  <c r="D50" i="78"/>
  <c r="C50" i="78"/>
  <c r="B50" i="78"/>
  <c r="E67" i="55" l="1"/>
  <c r="F51" i="78"/>
  <c r="F50" i="78"/>
  <c r="E48" i="78" l="1"/>
  <c r="D48" i="78"/>
  <c r="C48" i="78"/>
  <c r="B48" i="78"/>
  <c r="D45" i="78"/>
  <c r="B45" i="78"/>
  <c r="E42" i="78"/>
  <c r="D42" i="78"/>
  <c r="B42" i="78"/>
  <c r="B39" i="78"/>
  <c r="E33" i="78"/>
  <c r="D33" i="78"/>
  <c r="C33" i="78"/>
  <c r="B33" i="78"/>
  <c r="E30" i="78"/>
  <c r="D30" i="78"/>
  <c r="C30" i="78"/>
  <c r="B30" i="78"/>
  <c r="E27" i="78"/>
  <c r="D27" i="78"/>
  <c r="C27" i="78"/>
  <c r="B27" i="78"/>
  <c r="E24" i="78"/>
  <c r="D24" i="78"/>
  <c r="C24" i="78"/>
  <c r="B24" i="78"/>
  <c r="E21" i="78"/>
  <c r="D21" i="78"/>
  <c r="C21" i="78"/>
  <c r="B21" i="78"/>
  <c r="E47" i="78"/>
  <c r="D47" i="78"/>
  <c r="C47" i="78"/>
  <c r="B47" i="78"/>
  <c r="D44" i="78"/>
  <c r="B44" i="78"/>
  <c r="E41" i="78"/>
  <c r="D41" i="78"/>
  <c r="B41" i="78"/>
  <c r="B38" i="78"/>
  <c r="E32" i="78"/>
  <c r="D32" i="78"/>
  <c r="C32" i="78"/>
  <c r="B32" i="78"/>
  <c r="E29" i="78"/>
  <c r="D29" i="78"/>
  <c r="C29" i="78"/>
  <c r="B29" i="78"/>
  <c r="E26" i="78"/>
  <c r="D26" i="78"/>
  <c r="C26" i="78"/>
  <c r="B26" i="78"/>
  <c r="E23" i="78"/>
  <c r="D23" i="78"/>
  <c r="C23" i="78"/>
  <c r="B23" i="78"/>
  <c r="D20" i="78"/>
  <c r="C20" i="78"/>
  <c r="E18" i="78"/>
  <c r="D18" i="78"/>
  <c r="C18" i="78"/>
  <c r="B18" i="78"/>
  <c r="D133" i="6" l="1"/>
  <c r="D132" i="6"/>
  <c r="E39" i="78" l="1"/>
  <c r="E38" i="78"/>
  <c r="D39" i="78" l="1"/>
  <c r="D38" i="78" l="1"/>
  <c r="C39" i="78"/>
  <c r="C38" i="78"/>
  <c r="E36" i="78" l="1"/>
  <c r="E58" i="78" s="1"/>
  <c r="E35" i="78"/>
  <c r="D35" i="78" l="1"/>
  <c r="D36" i="78"/>
  <c r="D58" i="78" s="1"/>
  <c r="C36" i="78" l="1"/>
  <c r="C58" i="78" s="1"/>
  <c r="C35" i="78"/>
  <c r="B36" i="78" l="1"/>
  <c r="B58" i="78" s="1"/>
  <c r="B35" i="78"/>
  <c r="E20" i="78" l="1"/>
  <c r="B20" i="78" l="1"/>
  <c r="B17" i="78" l="1"/>
  <c r="B57" i="78" s="1"/>
  <c r="C17" i="78" l="1"/>
  <c r="C57" i="78" s="1"/>
  <c r="D17" i="78" l="1"/>
  <c r="D57" i="78" s="1"/>
  <c r="E17" i="78" l="1"/>
  <c r="E57" i="78" s="1"/>
  <c r="F132" i="6" l="1"/>
  <c r="E132" i="6" s="1"/>
  <c r="E133" i="6" s="1"/>
  <c r="E918" i="58" l="1"/>
  <c r="F918" i="58"/>
  <c r="C60" i="32"/>
  <c r="J918" i="58" l="1"/>
  <c r="D77" i="32"/>
  <c r="AK918" i="58" l="1"/>
  <c r="F252" i="6"/>
  <c r="D253" i="6"/>
  <c r="D252" i="6"/>
  <c r="J251" i="6"/>
  <c r="D251" i="6"/>
  <c r="J250" i="6"/>
  <c r="D250" i="6"/>
  <c r="J249" i="6"/>
  <c r="D249" i="6"/>
  <c r="J248" i="6"/>
  <c r="D248" i="6"/>
  <c r="J247" i="6"/>
  <c r="D247" i="6"/>
  <c r="J246" i="6"/>
  <c r="D246" i="6"/>
  <c r="J245" i="6"/>
  <c r="D245" i="6"/>
  <c r="J244" i="6"/>
  <c r="D244" i="6"/>
  <c r="J243" i="6"/>
  <c r="D243" i="6"/>
  <c r="J242" i="6"/>
  <c r="D242" i="6"/>
  <c r="J241" i="6"/>
  <c r="D241" i="6"/>
  <c r="J240" i="6"/>
  <c r="D240" i="6"/>
  <c r="D179" i="6"/>
  <c r="O65" i="66"/>
  <c r="H240" i="6" l="1"/>
  <c r="H245" i="6"/>
  <c r="H247" i="6"/>
  <c r="H251" i="6"/>
  <c r="H179" i="6"/>
  <c r="O63" i="66"/>
  <c r="H242" i="6" l="1"/>
  <c r="F253" i="6"/>
  <c r="H249" i="6"/>
  <c r="H246" i="6"/>
  <c r="H244" i="6"/>
  <c r="H243" i="6"/>
  <c r="H241" i="6"/>
  <c r="H248" i="6"/>
  <c r="F188" i="6"/>
  <c r="E188" i="6"/>
  <c r="H186" i="6"/>
  <c r="H185" i="6" l="1"/>
  <c r="D186" i="6" l="1"/>
  <c r="D185" i="6"/>
  <c r="D184" i="6"/>
  <c r="D183" i="6"/>
  <c r="H184" i="6"/>
  <c r="D182" i="6"/>
  <c r="H187" i="6"/>
  <c r="D187" i="6"/>
  <c r="D181" i="6"/>
  <c r="H180" i="6"/>
  <c r="D180" i="6"/>
  <c r="H19" i="61"/>
  <c r="D19" i="61"/>
  <c r="O192" i="66"/>
  <c r="B68" i="57" s="1"/>
  <c r="D103" i="61"/>
  <c r="D102" i="61"/>
  <c r="O155" i="66"/>
  <c r="B66" i="57" s="1"/>
  <c r="D109" i="55"/>
  <c r="D107" i="55"/>
  <c r="M272" i="54"/>
  <c r="K272" i="54" s="1"/>
  <c r="F272" i="54"/>
  <c r="E272" i="54"/>
  <c r="E87" i="6"/>
  <c r="E104" i="61" l="1"/>
  <c r="H103" i="61"/>
  <c r="F104" i="61"/>
  <c r="H102" i="61"/>
  <c r="H107" i="55"/>
  <c r="H177" i="6"/>
  <c r="H176" i="6"/>
  <c r="H178" i="6"/>
  <c r="H183" i="6"/>
  <c r="H182" i="6"/>
  <c r="H181" i="6"/>
  <c r="H109" i="55"/>
  <c r="J272" i="54"/>
  <c r="N272" i="54" l="1"/>
  <c r="M780" i="2"/>
  <c r="F780" i="2"/>
  <c r="E780" i="2"/>
  <c r="J780" i="2" l="1"/>
  <c r="D238" i="6"/>
  <c r="D237" i="6"/>
  <c r="G13" i="99" l="1"/>
  <c r="G11" i="99" l="1"/>
  <c r="G12" i="99"/>
  <c r="G14" i="99" l="1"/>
  <c r="D150" i="6" l="1"/>
  <c r="D151" i="6"/>
  <c r="D101" i="87"/>
  <c r="D98" i="87"/>
  <c r="C12" i="83" l="1"/>
  <c r="E20" i="94" l="1"/>
  <c r="Q910" i="2"/>
  <c r="D178" i="6"/>
  <c r="D177" i="6"/>
  <c r="F55" i="87" l="1"/>
  <c r="F23" i="36"/>
  <c r="N15" i="36"/>
  <c r="N14" i="36"/>
  <c r="N13" i="36" l="1"/>
  <c r="N12" i="36"/>
  <c r="G44" i="83" l="1"/>
  <c r="G45" i="83" s="1"/>
  <c r="D42" i="83"/>
  <c r="D86" i="83" l="1"/>
  <c r="C11" i="83" l="1"/>
  <c r="G70" i="83" l="1"/>
  <c r="D82" i="83" l="1"/>
  <c r="C21" i="83" s="1"/>
  <c r="D41" i="83" l="1"/>
  <c r="D65" i="83" l="1"/>
  <c r="C23" i="83" s="1"/>
  <c r="D152" i="32" l="1"/>
  <c r="D149" i="32"/>
  <c r="D43" i="71" l="1"/>
  <c r="N56" i="71"/>
  <c r="C12" i="71"/>
  <c r="E674" i="58" l="1"/>
  <c r="E679" i="58"/>
  <c r="E678" i="58"/>
  <c r="E677" i="58"/>
  <c r="E676" i="58"/>
  <c r="E684" i="58"/>
  <c r="E683" i="58"/>
  <c r="E682" i="58"/>
  <c r="E681" i="58"/>
  <c r="E686" i="58"/>
  <c r="E691" i="58"/>
  <c r="E690" i="58"/>
  <c r="E689" i="58"/>
  <c r="E688" i="58"/>
  <c r="E41" i="67" l="1"/>
  <c r="D147" i="32" l="1"/>
  <c r="F46" i="87"/>
  <c r="E187" i="86"/>
  <c r="E186" i="86"/>
  <c r="C188" i="86"/>
  <c r="F93" i="61"/>
  <c r="C93" i="61"/>
  <c r="C165" i="60"/>
  <c r="E165" i="60"/>
  <c r="M164" i="60"/>
  <c r="M163" i="60"/>
  <c r="E164" i="60"/>
  <c r="E163" i="60"/>
  <c r="D120" i="87" l="1"/>
  <c r="I216" i="87"/>
  <c r="I217" i="87"/>
  <c r="D111" i="87"/>
  <c r="D107" i="87"/>
  <c r="D108" i="87"/>
  <c r="D103" i="87"/>
  <c r="D106" i="87"/>
  <c r="I210" i="87"/>
  <c r="I209" i="87"/>
  <c r="I213" i="87"/>
  <c r="I212" i="87"/>
  <c r="M188" i="86"/>
  <c r="I215" i="87"/>
  <c r="I211" i="87"/>
  <c r="I214" i="87"/>
  <c r="D109" i="87"/>
  <c r="D97" i="87"/>
  <c r="D100" i="87"/>
  <c r="E188" i="86"/>
  <c r="F22" i="6"/>
  <c r="E92" i="61"/>
  <c r="E93" i="61" s="1"/>
  <c r="F122" i="55"/>
  <c r="M165" i="60"/>
  <c r="K165" i="60" s="1"/>
  <c r="L165" i="60" l="1"/>
  <c r="AB165" i="60"/>
  <c r="H15" i="87" l="1"/>
  <c r="B109" i="57" l="1"/>
  <c r="B119" i="57" s="1"/>
  <c r="B102" i="57"/>
  <c r="D106" i="6" l="1"/>
  <c r="D192" i="6" l="1"/>
  <c r="I15" i="61" l="1"/>
  <c r="B8" i="57" l="1"/>
  <c r="B24" i="57"/>
  <c r="B25" i="57"/>
  <c r="B16" i="57" l="1"/>
  <c r="B9" i="28"/>
  <c r="B17" i="28" s="1"/>
  <c r="B8" i="28"/>
  <c r="B7" i="28"/>
  <c r="B6" i="28"/>
  <c r="E70" i="28"/>
  <c r="E68" i="28"/>
  <c r="E66" i="28"/>
  <c r="C93" i="28"/>
  <c r="C97" i="28"/>
  <c r="C95" i="28"/>
  <c r="D88" i="28"/>
  <c r="D86" i="28"/>
  <c r="D84" i="28"/>
  <c r="C4" i="97" l="1"/>
  <c r="B4" i="97"/>
  <c r="F42" i="87" l="1"/>
  <c r="F235" i="6"/>
  <c r="D235" i="6"/>
  <c r="E235" i="6"/>
  <c r="D234" i="6"/>
  <c r="C156" i="32"/>
  <c r="O126" i="66"/>
  <c r="O188" i="66" l="1"/>
  <c r="O187" i="66"/>
  <c r="O186" i="66"/>
  <c r="D5" i="61"/>
  <c r="O223" i="66" l="1"/>
  <c r="O158" i="66"/>
  <c r="O157" i="66"/>
  <c r="E129" i="55"/>
  <c r="D129" i="55"/>
  <c r="D128" i="55"/>
  <c r="E126" i="55" l="1"/>
  <c r="D10" i="55"/>
  <c r="D35" i="30" l="1"/>
  <c r="O161" i="66" l="1"/>
  <c r="O160" i="66" l="1"/>
  <c r="E12" i="55" l="1"/>
  <c r="F19" i="6" l="1"/>
  <c r="D15" i="6" l="1"/>
  <c r="S19" i="66"/>
  <c r="S18" i="66"/>
  <c r="S24" i="66"/>
  <c r="AQ634" i="2"/>
  <c r="F229" i="6"/>
  <c r="E229" i="6"/>
  <c r="E228" i="6" l="1"/>
  <c r="F228" i="6"/>
  <c r="F8" i="67"/>
  <c r="B8" i="67"/>
  <c r="F6" i="67"/>
  <c r="C6" i="67"/>
  <c r="B6" i="67"/>
  <c r="F232" i="6"/>
  <c r="E232" i="6"/>
  <c r="D232" i="6"/>
  <c r="D231" i="6"/>
  <c r="F217" i="6" l="1"/>
  <c r="E217" i="6"/>
  <c r="M654" i="2" l="1"/>
  <c r="E654" i="2"/>
  <c r="D213" i="6"/>
  <c r="M647" i="2"/>
  <c r="E647" i="2"/>
  <c r="D212" i="6"/>
  <c r="D211" i="6"/>
  <c r="M588" i="2"/>
  <c r="E588" i="2"/>
  <c r="D210" i="6"/>
  <c r="M877" i="2"/>
  <c r="E877" i="2"/>
  <c r="D209" i="6"/>
  <c r="M728" i="2"/>
  <c r="E728" i="2"/>
  <c r="D208" i="6"/>
  <c r="M735" i="2"/>
  <c r="E735" i="2"/>
  <c r="D207" i="6"/>
  <c r="M740" i="2"/>
  <c r="E740" i="2"/>
  <c r="M572" i="2"/>
  <c r="M571" i="2"/>
  <c r="M570" i="2"/>
  <c r="M569" i="2"/>
  <c r="M568" i="2"/>
  <c r="E569" i="2"/>
  <c r="D30" i="57"/>
  <c r="C30" i="57"/>
  <c r="B30" i="57"/>
  <c r="J30" i="57" s="1"/>
  <c r="P33" i="66" l="1"/>
  <c r="P38" i="66"/>
  <c r="C138" i="89"/>
  <c r="C137" i="89"/>
  <c r="C17" i="83" l="1"/>
  <c r="M580" i="2" l="1"/>
  <c r="K580" i="2" s="1"/>
  <c r="E580" i="2"/>
  <c r="D191" i="6"/>
  <c r="M578" i="2"/>
  <c r="K578" i="2" s="1"/>
  <c r="E578" i="2"/>
  <c r="AM580" i="2" l="1"/>
  <c r="F190" i="6"/>
  <c r="AM578" i="2"/>
  <c r="M814" i="2"/>
  <c r="F814" i="2"/>
  <c r="E814" i="2"/>
  <c r="M813" i="2"/>
  <c r="K813" i="2" s="1"/>
  <c r="F813" i="2"/>
  <c r="E813" i="2"/>
  <c r="K814" i="2" l="1"/>
  <c r="J813" i="2"/>
  <c r="J814" i="2"/>
  <c r="AM813" i="2"/>
  <c r="E848" i="2"/>
  <c r="F848" i="2"/>
  <c r="K848" i="2"/>
  <c r="Q848" i="2"/>
  <c r="T848" i="2"/>
  <c r="U848" i="2"/>
  <c r="V848" i="2"/>
  <c r="W848" i="2"/>
  <c r="Y848" i="2"/>
  <c r="AA848" i="2"/>
  <c r="AB848" i="2"/>
  <c r="AC848" i="2"/>
  <c r="AD848" i="2"/>
  <c r="AE848" i="2"/>
  <c r="AF848" i="2"/>
  <c r="AG848" i="2"/>
  <c r="M821" i="2"/>
  <c r="K821" i="2" s="1"/>
  <c r="N821" i="2" s="1"/>
  <c r="F821" i="2"/>
  <c r="E821" i="2"/>
  <c r="M820" i="2"/>
  <c r="K820" i="2" s="1"/>
  <c r="N820" i="2" s="1"/>
  <c r="F820" i="2"/>
  <c r="E820" i="2"/>
  <c r="M819" i="2"/>
  <c r="K819" i="2" s="1"/>
  <c r="N819" i="2" s="1"/>
  <c r="F819" i="2"/>
  <c r="E819" i="2"/>
  <c r="M818" i="2"/>
  <c r="K818" i="2" s="1"/>
  <c r="N818" i="2" s="1"/>
  <c r="F818" i="2"/>
  <c r="E818" i="2"/>
  <c r="M817" i="2"/>
  <c r="K817" i="2" s="1"/>
  <c r="N817" i="2" s="1"/>
  <c r="F817" i="2"/>
  <c r="E817" i="2"/>
  <c r="M812" i="2"/>
  <c r="H778" i="6" s="1"/>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E812" i="2"/>
  <c r="I778" i="6" s="1"/>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H777" i="6" l="1"/>
  <c r="I765" i="6"/>
  <c r="I774" i="6"/>
  <c r="I777" i="6"/>
  <c r="H774" i="6"/>
  <c r="I776" i="6"/>
  <c r="H776" i="6"/>
  <c r="H772" i="6"/>
  <c r="H769" i="6"/>
  <c r="H775" i="6"/>
  <c r="I769" i="6"/>
  <c r="I775" i="6"/>
  <c r="I768" i="6"/>
  <c r="H764" i="6"/>
  <c r="H765" i="6"/>
  <c r="I766" i="6"/>
  <c r="H771" i="6"/>
  <c r="I767" i="6"/>
  <c r="I771" i="6"/>
  <c r="H766" i="6"/>
  <c r="I772" i="6"/>
  <c r="H767" i="6"/>
  <c r="H770" i="6"/>
  <c r="I764" i="6"/>
  <c r="H768" i="6"/>
  <c r="I770" i="6"/>
  <c r="AM814" i="2"/>
  <c r="H763" i="6"/>
  <c r="H773" i="6"/>
  <c r="I763" i="6"/>
  <c r="I773" i="6"/>
  <c r="N814" i="2"/>
  <c r="N813" i="2"/>
  <c r="J818" i="2"/>
  <c r="AM848" i="2"/>
  <c r="J848" i="2"/>
  <c r="N848" i="2"/>
  <c r="J819" i="2"/>
  <c r="J817" i="2"/>
  <c r="J820" i="2"/>
  <c r="J821" i="2"/>
  <c r="B178" i="78" l="1"/>
  <c r="B177" i="78"/>
  <c r="M120" i="2" l="1"/>
  <c r="K120" i="2" s="1"/>
  <c r="F120" i="2"/>
  <c r="E120" i="2"/>
  <c r="M221" i="2"/>
  <c r="K221" i="2" s="1"/>
  <c r="F221" i="2"/>
  <c r="E221" i="2"/>
  <c r="M220" i="2"/>
  <c r="K220" i="2" s="1"/>
  <c r="F220" i="2"/>
  <c r="E220" i="2"/>
  <c r="M219" i="2"/>
  <c r="K219" i="2" s="1"/>
  <c r="F219" i="2"/>
  <c r="E219" i="2"/>
  <c r="M218" i="2"/>
  <c r="K218" i="2" s="1"/>
  <c r="F218" i="2"/>
  <c r="E218" i="2"/>
  <c r="M217" i="2"/>
  <c r="K217" i="2" s="1"/>
  <c r="F217" i="2"/>
  <c r="E217" i="2"/>
  <c r="M216" i="2"/>
  <c r="K216" i="2" s="1"/>
  <c r="F216" i="2"/>
  <c r="E216" i="2"/>
  <c r="M215" i="2"/>
  <c r="K215" i="2" s="1"/>
  <c r="F215" i="2"/>
  <c r="E215" i="2"/>
  <c r="M214" i="2"/>
  <c r="K214" i="2" s="1"/>
  <c r="F214" i="2"/>
  <c r="E214" i="2"/>
  <c r="M213" i="2"/>
  <c r="K213" i="2" s="1"/>
  <c r="F213" i="2"/>
  <c r="E213" i="2"/>
  <c r="M212" i="2"/>
  <c r="K212" i="2" s="1"/>
  <c r="F212" i="2"/>
  <c r="E212" i="2"/>
  <c r="M211" i="2"/>
  <c r="K211" i="2" s="1"/>
  <c r="F211" i="2"/>
  <c r="E211" i="2"/>
  <c r="M210" i="2"/>
  <c r="K210" i="2" s="1"/>
  <c r="F210" i="2"/>
  <c r="E210" i="2"/>
  <c r="M209" i="2"/>
  <c r="K209" i="2" s="1"/>
  <c r="F209" i="2"/>
  <c r="E209" i="2"/>
  <c r="M208" i="2"/>
  <c r="K208" i="2" s="1"/>
  <c r="F208" i="2"/>
  <c r="E208" i="2"/>
  <c r="M207" i="2"/>
  <c r="K207" i="2" s="1"/>
  <c r="F207" i="2"/>
  <c r="E207" i="2"/>
  <c r="M206" i="2"/>
  <c r="K206" i="2" s="1"/>
  <c r="F206" i="2"/>
  <c r="E206" i="2"/>
  <c r="M205" i="2"/>
  <c r="K205" i="2" s="1"/>
  <c r="F205" i="2"/>
  <c r="E205" i="2"/>
  <c r="M204" i="2"/>
  <c r="K204" i="2" s="1"/>
  <c r="F204" i="2"/>
  <c r="E204" i="2"/>
  <c r="M203" i="2"/>
  <c r="K203" i="2" s="1"/>
  <c r="F203" i="2"/>
  <c r="E203" i="2"/>
  <c r="M202" i="2"/>
  <c r="K202" i="2" s="1"/>
  <c r="F202" i="2"/>
  <c r="E202" i="2"/>
  <c r="M201" i="2"/>
  <c r="K201" i="2" s="1"/>
  <c r="F201" i="2"/>
  <c r="E201" i="2"/>
  <c r="M200" i="2"/>
  <c r="K200" i="2" s="1"/>
  <c r="F200" i="2"/>
  <c r="E200" i="2"/>
  <c r="AM779" i="2"/>
  <c r="M781" i="2"/>
  <c r="K781" i="2" s="1"/>
  <c r="F781" i="2"/>
  <c r="E781" i="2"/>
  <c r="M937" i="2"/>
  <c r="K937" i="2" s="1"/>
  <c r="F937" i="2"/>
  <c r="E937" i="2"/>
  <c r="E938" i="2"/>
  <c r="F938" i="2"/>
  <c r="M938" i="2"/>
  <c r="K938" i="2" s="1"/>
  <c r="Q938" i="2"/>
  <c r="T938" i="2"/>
  <c r="U938" i="2"/>
  <c r="V938" i="2"/>
  <c r="W938" i="2"/>
  <c r="Y938" i="2"/>
  <c r="AA938" i="2"/>
  <c r="AB938" i="2"/>
  <c r="AC938" i="2"/>
  <c r="AD938" i="2"/>
  <c r="AE938" i="2"/>
  <c r="AF938" i="2"/>
  <c r="AG938" i="2"/>
  <c r="D36" i="32"/>
  <c r="AM781" i="2" l="1"/>
  <c r="J207" i="2"/>
  <c r="J215" i="2"/>
  <c r="J211" i="2"/>
  <c r="J203" i="2"/>
  <c r="J219" i="2"/>
  <c r="J120" i="2"/>
  <c r="J202" i="2"/>
  <c r="J206" i="2"/>
  <c r="J210" i="2"/>
  <c r="J214" i="2"/>
  <c r="J218" i="2"/>
  <c r="J200" i="2"/>
  <c r="J204" i="2"/>
  <c r="J208" i="2"/>
  <c r="J212" i="2"/>
  <c r="J216" i="2"/>
  <c r="J220" i="2"/>
  <c r="J201" i="2"/>
  <c r="J205" i="2"/>
  <c r="J209" i="2"/>
  <c r="J213" i="2"/>
  <c r="J217" i="2"/>
  <c r="N217" i="2" s="1"/>
  <c r="J221" i="2"/>
  <c r="J781" i="2"/>
  <c r="J937" i="2"/>
  <c r="AM937" i="2"/>
  <c r="J938" i="2"/>
  <c r="AM938" i="2"/>
  <c r="D40" i="91"/>
  <c r="E40" i="91"/>
  <c r="D39" i="91"/>
  <c r="E39" i="91"/>
  <c r="D38" i="91"/>
  <c r="E38" i="91"/>
  <c r="D37" i="91"/>
  <c r="E37" i="91"/>
  <c r="E67" i="91"/>
  <c r="D67" i="91"/>
  <c r="C67" i="91"/>
  <c r="B67" i="91"/>
  <c r="N208" i="2" l="1"/>
  <c r="N120" i="2"/>
  <c r="N219" i="2"/>
  <c r="N209" i="2"/>
  <c r="N203" i="2"/>
  <c r="N213" i="2"/>
  <c r="N938" i="2"/>
  <c r="N205" i="2"/>
  <c r="N218" i="2"/>
  <c r="N211" i="2"/>
  <c r="N201" i="2"/>
  <c r="N214" i="2"/>
  <c r="N215" i="2"/>
  <c r="N200" i="2"/>
  <c r="N937" i="2"/>
  <c r="N220" i="2"/>
  <c r="N210" i="2"/>
  <c r="N207" i="2"/>
  <c r="N781" i="2"/>
  <c r="N204" i="2"/>
  <c r="N216" i="2"/>
  <c r="N206" i="2"/>
  <c r="N221" i="2"/>
  <c r="N212" i="2"/>
  <c r="N202" i="2"/>
  <c r="O116" i="66"/>
  <c r="O110" i="66"/>
  <c r="O117" i="66" l="1"/>
  <c r="O135" i="66" l="1"/>
  <c r="I43" i="67" l="1"/>
  <c r="I42" i="67"/>
  <c r="I41" i="67"/>
  <c r="F41" i="67"/>
  <c r="E43" i="67"/>
  <c r="E42" i="67"/>
  <c r="C16" i="89" l="1"/>
  <c r="C15" i="89"/>
  <c r="C14" i="89"/>
  <c r="F834" i="58" l="1"/>
  <c r="E834" i="58"/>
  <c r="E551" i="58"/>
  <c r="F526" i="58"/>
  <c r="E526" i="58"/>
  <c r="F525" i="58"/>
  <c r="E525" i="58"/>
  <c r="F415" i="58"/>
  <c r="E415" i="58"/>
  <c r="F414" i="58"/>
  <c r="E414" i="58"/>
  <c r="F361" i="58"/>
  <c r="E361" i="58"/>
  <c r="F360" i="58"/>
  <c r="E360" i="58"/>
  <c r="F359" i="58"/>
  <c r="E359" i="58"/>
  <c r="F358" i="58"/>
  <c r="E358" i="58"/>
  <c r="F357" i="58"/>
  <c r="E357" i="58"/>
  <c r="F356" i="58"/>
  <c r="E356" i="58"/>
  <c r="F355" i="58"/>
  <c r="E355" i="58"/>
  <c r="F354" i="58"/>
  <c r="E354" i="58"/>
  <c r="F353" i="58"/>
  <c r="E353" i="58"/>
  <c r="F352" i="58"/>
  <c r="E352" i="58"/>
  <c r="F351" i="58"/>
  <c r="E351" i="58"/>
  <c r="F350" i="58"/>
  <c r="J350" i="58" s="1"/>
  <c r="E350" i="58"/>
  <c r="F291" i="58"/>
  <c r="J291" i="58" s="1"/>
  <c r="E291" i="58"/>
  <c r="O163" i="66"/>
  <c r="M352" i="54"/>
  <c r="E352" i="54"/>
  <c r="J357" i="58" l="1"/>
  <c r="K352" i="54"/>
  <c r="J415" i="58"/>
  <c r="J834" i="58"/>
  <c r="J526" i="58"/>
  <c r="J525" i="58"/>
  <c r="J356" i="58"/>
  <c r="J414" i="58"/>
  <c r="J355" i="58"/>
  <c r="J358" i="58"/>
  <c r="J352" i="58"/>
  <c r="J359" i="58"/>
  <c r="J351" i="58"/>
  <c r="J353" i="58"/>
  <c r="J360" i="58"/>
  <c r="J354" i="58"/>
  <c r="J361" i="58"/>
  <c r="AN352" i="54" l="1"/>
  <c r="AK525" i="58"/>
  <c r="AK526" i="58"/>
  <c r="AK834" i="58"/>
  <c r="F51" i="87" l="1"/>
  <c r="O88" i="66" l="1"/>
  <c r="D95" i="87"/>
  <c r="D94" i="87"/>
  <c r="O98" i="66"/>
  <c r="O87" i="66"/>
  <c r="E92" i="87"/>
  <c r="D92" i="87"/>
  <c r="D91" i="87"/>
  <c r="E95" i="87" l="1"/>
  <c r="O93" i="66" l="1"/>
  <c r="E89" i="87" l="1"/>
  <c r="D89" i="87"/>
  <c r="D88" i="87"/>
  <c r="E20" i="2" l="1"/>
  <c r="E18" i="2"/>
  <c r="E17" i="2"/>
  <c r="E16" i="2"/>
  <c r="E15" i="2"/>
  <c r="M20" i="2"/>
  <c r="M19" i="2"/>
  <c r="M18" i="2"/>
  <c r="M17" i="2"/>
  <c r="M16" i="2"/>
  <c r="M15" i="2"/>
  <c r="E19" i="2"/>
  <c r="M40" i="2"/>
  <c r="K40" i="2" s="1"/>
  <c r="F40" i="2"/>
  <c r="E40" i="2"/>
  <c r="M39" i="2"/>
  <c r="K39" i="2" s="1"/>
  <c r="F39" i="2"/>
  <c r="E39" i="2"/>
  <c r="M38" i="2"/>
  <c r="K38" i="2" s="1"/>
  <c r="F38" i="2"/>
  <c r="E38" i="2"/>
  <c r="M37" i="2"/>
  <c r="K37" i="2" s="1"/>
  <c r="F37" i="2"/>
  <c r="E37" i="2"/>
  <c r="M36" i="2"/>
  <c r="K36" i="2" s="1"/>
  <c r="F36" i="2"/>
  <c r="E36" i="2"/>
  <c r="F21" i="58"/>
  <c r="E21" i="58"/>
  <c r="F20" i="58"/>
  <c r="E20" i="58"/>
  <c r="F19" i="58"/>
  <c r="E19" i="58"/>
  <c r="F18" i="58"/>
  <c r="E18" i="58"/>
  <c r="F143" i="55"/>
  <c r="E143" i="55"/>
  <c r="J39" i="2" l="1"/>
  <c r="J18" i="58"/>
  <c r="J36" i="2"/>
  <c r="J38" i="2"/>
  <c r="J40" i="2"/>
  <c r="J37" i="2"/>
  <c r="J19" i="58"/>
  <c r="J20" i="58"/>
  <c r="J21" i="58"/>
  <c r="N40" i="2" l="1"/>
  <c r="N36" i="2"/>
  <c r="N37" i="2"/>
  <c r="N38" i="2"/>
  <c r="N39" i="2"/>
  <c r="F61" i="55" l="1"/>
  <c r="E61" i="55"/>
  <c r="M263" i="54" l="1"/>
  <c r="E263" i="54"/>
  <c r="C23" i="103" l="1"/>
  <c r="C26" i="103" l="1"/>
  <c r="C25" i="103" l="1"/>
  <c r="C24" i="103" l="1"/>
  <c r="E132" i="55" l="1"/>
  <c r="F132" i="55"/>
  <c r="E318" i="54" l="1"/>
  <c r="E177" i="78" l="1"/>
  <c r="T283" i="54" l="1"/>
  <c r="S283" i="54" l="1"/>
  <c r="R283" i="54"/>
  <c r="Q283" i="54"/>
  <c r="F39" i="55" l="1"/>
  <c r="H95" i="67"/>
  <c r="G95" i="67"/>
  <c r="F95" i="67"/>
  <c r="D95" i="67"/>
  <c r="C95" i="67"/>
  <c r="B95" i="67"/>
  <c r="I94" i="67"/>
  <c r="E94" i="67"/>
  <c r="J94" i="67" s="1"/>
  <c r="I93" i="67"/>
  <c r="E93" i="67"/>
  <c r="I92" i="67"/>
  <c r="I95" i="67" s="1"/>
  <c r="E92" i="67"/>
  <c r="E39" i="55"/>
  <c r="J92" i="67" l="1"/>
  <c r="E95" i="67"/>
  <c r="J93" i="67"/>
  <c r="J95" i="67" l="1"/>
  <c r="E178" i="78" l="1"/>
  <c r="C29" i="89" l="1"/>
  <c r="M469" i="54" l="1"/>
  <c r="K469" i="54" s="1"/>
  <c r="F469" i="54"/>
  <c r="E469" i="54"/>
  <c r="M468" i="54"/>
  <c r="K468" i="54" s="1"/>
  <c r="F468" i="54"/>
  <c r="E468" i="54"/>
  <c r="M467" i="54"/>
  <c r="K467" i="54" s="1"/>
  <c r="F467" i="54"/>
  <c r="E467" i="54"/>
  <c r="M227" i="54"/>
  <c r="K227" i="54" s="1"/>
  <c r="F227" i="54"/>
  <c r="E227" i="54"/>
  <c r="M49" i="54"/>
  <c r="K49" i="54" s="1"/>
  <c r="F49" i="54"/>
  <c r="E49" i="54"/>
  <c r="M48" i="54"/>
  <c r="K48" i="54" s="1"/>
  <c r="F48" i="54"/>
  <c r="E48" i="54"/>
  <c r="M47" i="54"/>
  <c r="K47" i="54" s="1"/>
  <c r="F47" i="54"/>
  <c r="E47" i="54"/>
  <c r="M46" i="54"/>
  <c r="K46" i="54" s="1"/>
  <c r="F46" i="54"/>
  <c r="E46" i="54"/>
  <c r="M45" i="54"/>
  <c r="K45" i="54" s="1"/>
  <c r="F45" i="54"/>
  <c r="E45" i="54"/>
  <c r="M44" i="54"/>
  <c r="K44" i="54" s="1"/>
  <c r="F44" i="54"/>
  <c r="E44" i="54"/>
  <c r="M43" i="54"/>
  <c r="K43" i="54" s="1"/>
  <c r="F43" i="54"/>
  <c r="E43" i="54"/>
  <c r="M42" i="54"/>
  <c r="K42" i="54" s="1"/>
  <c r="F42" i="54"/>
  <c r="E42" i="54"/>
  <c r="M41" i="54"/>
  <c r="K41" i="54" s="1"/>
  <c r="F41" i="54"/>
  <c r="E41" i="54"/>
  <c r="M40" i="54"/>
  <c r="K40" i="54" s="1"/>
  <c r="F40" i="54"/>
  <c r="E40" i="54"/>
  <c r="M39" i="54"/>
  <c r="K39" i="54" s="1"/>
  <c r="F39" i="54"/>
  <c r="E39" i="54"/>
  <c r="M38" i="54"/>
  <c r="K38" i="54" s="1"/>
  <c r="F38" i="54"/>
  <c r="E38" i="54"/>
  <c r="M37" i="54"/>
  <c r="K37" i="54" s="1"/>
  <c r="F37" i="54"/>
  <c r="E37" i="54"/>
  <c r="H223" i="55" l="1"/>
  <c r="H192" i="55"/>
  <c r="J38" i="54"/>
  <c r="J47" i="54"/>
  <c r="J469" i="54"/>
  <c r="AN467" i="54"/>
  <c r="J467" i="54"/>
  <c r="AN468" i="54"/>
  <c r="AN469" i="54"/>
  <c r="J468" i="54"/>
  <c r="J40" i="54"/>
  <c r="J227" i="54"/>
  <c r="J42" i="54"/>
  <c r="J44" i="54"/>
  <c r="J46" i="54"/>
  <c r="J48" i="54"/>
  <c r="J49" i="54"/>
  <c r="J37" i="54"/>
  <c r="J39" i="54"/>
  <c r="J41" i="54"/>
  <c r="J43" i="54"/>
  <c r="J45" i="54"/>
  <c r="F86" i="87"/>
  <c r="N468" i="54" l="1"/>
  <c r="N48" i="54"/>
  <c r="N46" i="54"/>
  <c r="N467" i="54"/>
  <c r="N45" i="54"/>
  <c r="N44" i="54"/>
  <c r="N37" i="54"/>
  <c r="N43" i="54"/>
  <c r="N42" i="54"/>
  <c r="N469" i="54"/>
  <c r="N41" i="54"/>
  <c r="N227" i="54"/>
  <c r="N47" i="54"/>
  <c r="N49" i="54"/>
  <c r="N39" i="54"/>
  <c r="N40" i="54"/>
  <c r="N38" i="54"/>
  <c r="D85" i="87"/>
  <c r="D84" i="87"/>
  <c r="D86" i="87"/>
  <c r="F58" i="94" l="1"/>
  <c r="I47" i="94" l="1"/>
  <c r="F81" i="61"/>
  <c r="D61" i="94"/>
  <c r="D60" i="94"/>
  <c r="D59" i="94"/>
  <c r="D58" i="94"/>
  <c r="I321" i="93"/>
  <c r="H321" i="93"/>
  <c r="G321" i="93"/>
  <c r="M319" i="93"/>
  <c r="K319" i="93" s="1"/>
  <c r="F319" i="93"/>
  <c r="E319" i="93"/>
  <c r="L44" i="94"/>
  <c r="D28" i="101"/>
  <c r="I28" i="101" s="1"/>
  <c r="E28" i="101"/>
  <c r="J319" i="93" l="1"/>
  <c r="AH329" i="93"/>
  <c r="AH326" i="93"/>
  <c r="AH325" i="93"/>
  <c r="AH324" i="93"/>
  <c r="AH323" i="93"/>
  <c r="AH322" i="93"/>
  <c r="O206" i="66"/>
  <c r="N319" i="93" l="1"/>
  <c r="Q144" i="89"/>
  <c r="I330" i="93"/>
  <c r="H330" i="93"/>
  <c r="G330" i="93"/>
  <c r="AB330" i="93"/>
  <c r="AA330" i="93"/>
  <c r="Z330" i="93"/>
  <c r="Y330" i="93"/>
  <c r="X330" i="93"/>
  <c r="W330" i="93"/>
  <c r="M328" i="93"/>
  <c r="K328" i="93" s="1"/>
  <c r="F328" i="93"/>
  <c r="E328" i="93"/>
  <c r="M327" i="93"/>
  <c r="K327" i="93" s="1"/>
  <c r="F327" i="93"/>
  <c r="E327" i="93"/>
  <c r="W331" i="93"/>
  <c r="X331" i="93"/>
  <c r="Y331" i="93"/>
  <c r="Z331" i="93"/>
  <c r="AA331" i="93"/>
  <c r="AB331" i="93"/>
  <c r="W332" i="93"/>
  <c r="X332" i="93"/>
  <c r="Y332" i="93"/>
  <c r="Z332" i="93"/>
  <c r="AA332" i="93"/>
  <c r="AB332" i="93"/>
  <c r="M104" i="93"/>
  <c r="K104" i="93" s="1"/>
  <c r="F104" i="93"/>
  <c r="E104" i="93"/>
  <c r="M85" i="87"/>
  <c r="E330" i="93" l="1"/>
  <c r="M330" i="93"/>
  <c r="AH331" i="93"/>
  <c r="AH328" i="93"/>
  <c r="F330" i="93"/>
  <c r="K330" i="93"/>
  <c r="AH330" i="93" s="1"/>
  <c r="AH327" i="93"/>
  <c r="J327" i="93"/>
  <c r="J328" i="93"/>
  <c r="J104" i="93"/>
  <c r="M86" i="87"/>
  <c r="E152" i="86"/>
  <c r="E82" i="87"/>
  <c r="D82" i="87"/>
  <c r="D81" i="87"/>
  <c r="E46" i="86"/>
  <c r="AH197" i="86"/>
  <c r="AH195" i="86"/>
  <c r="N328" i="93" l="1"/>
  <c r="N327" i="93"/>
  <c r="N104" i="93"/>
  <c r="J330" i="93"/>
  <c r="M81" i="87"/>
  <c r="M82" i="87" s="1"/>
  <c r="E49" i="87"/>
  <c r="Q121" i="60" l="1"/>
  <c r="Q120" i="60" l="1"/>
  <c r="Q119" i="60"/>
  <c r="G62" i="67" l="1"/>
  <c r="F62" i="67"/>
  <c r="E62" i="67"/>
  <c r="C62" i="67"/>
  <c r="B62" i="67"/>
  <c r="G61" i="67"/>
  <c r="D61" i="67"/>
  <c r="D62" i="67" s="1"/>
  <c r="H61" i="67" l="1"/>
  <c r="H62" i="67" s="1"/>
  <c r="M79" i="60" l="1"/>
  <c r="K79" i="60" s="1"/>
  <c r="F79" i="60"/>
  <c r="E79" i="60"/>
  <c r="J79" i="60" l="1"/>
  <c r="AM838" i="2"/>
  <c r="AM837" i="2"/>
  <c r="AM816" i="2"/>
  <c r="AM764" i="2"/>
  <c r="AM763" i="2"/>
  <c r="AM758" i="2"/>
  <c r="AM757" i="2"/>
  <c r="N79" i="60" l="1"/>
  <c r="C5" i="80"/>
  <c r="B5" i="80"/>
  <c r="AN417" i="54" l="1"/>
  <c r="AN406" i="54"/>
  <c r="AK957" i="58"/>
  <c r="AK956" i="58"/>
  <c r="AK955" i="58"/>
  <c r="AK948" i="58"/>
  <c r="AK925" i="58"/>
  <c r="C178" i="78" l="1"/>
  <c r="C177" i="78"/>
  <c r="C183" i="78" l="1"/>
  <c r="C182" i="78"/>
  <c r="C188" i="78" l="1"/>
  <c r="B182" i="78" l="1"/>
  <c r="B183" i="78" l="1"/>
  <c r="B188" i="78" l="1"/>
  <c r="B189" i="78" l="1"/>
  <c r="E183" i="78" l="1"/>
  <c r="E182" i="78"/>
  <c r="E189" i="78" l="1"/>
  <c r="E188" i="78"/>
  <c r="E194" i="78" l="1"/>
  <c r="D178" i="78" l="1"/>
  <c r="D177" i="78"/>
  <c r="D182" i="78" l="1"/>
  <c r="D183" i="78" l="1"/>
  <c r="D188" i="78" l="1"/>
  <c r="D5" i="79" l="1"/>
  <c r="C5" i="79"/>
  <c r="C15" i="92" l="1"/>
  <c r="C10" i="92"/>
  <c r="C9" i="92"/>
  <c r="AB175" i="60"/>
  <c r="AB169" i="60"/>
  <c r="AB166" i="60"/>
  <c r="AB162" i="60"/>
  <c r="AB160" i="60"/>
  <c r="AB158" i="60"/>
  <c r="AB274" i="60"/>
  <c r="AB273" i="60"/>
  <c r="AB272" i="60"/>
  <c r="AB270" i="60"/>
  <c r="AB267" i="60"/>
  <c r="AB266" i="60"/>
  <c r="AB264" i="60"/>
  <c r="AB263" i="60"/>
  <c r="AB262" i="60"/>
  <c r="AB261" i="60"/>
  <c r="AB260" i="60"/>
  <c r="AB258" i="60"/>
  <c r="AB256" i="60"/>
  <c r="AB251" i="60"/>
  <c r="AB250" i="60"/>
  <c r="AB248" i="60"/>
  <c r="AB243" i="60"/>
  <c r="AB238" i="60"/>
  <c r="AB228" i="60"/>
  <c r="AB227" i="60"/>
  <c r="AB226" i="60"/>
  <c r="AB225" i="60"/>
  <c r="AB222" i="60"/>
  <c r="AB221" i="60"/>
  <c r="AB218" i="60"/>
  <c r="AB217" i="60"/>
  <c r="AB216" i="60"/>
  <c r="AB214" i="60"/>
  <c r="AB213" i="60"/>
  <c r="AB211" i="60"/>
  <c r="AB210" i="60"/>
  <c r="AB209" i="60"/>
  <c r="AB207" i="60"/>
  <c r="AB204" i="60"/>
  <c r="AB202" i="60"/>
  <c r="AB201" i="60"/>
  <c r="AB199" i="60"/>
  <c r="AB198" i="60"/>
  <c r="AB197" i="60"/>
  <c r="AB196" i="60"/>
  <c r="AB195" i="60"/>
  <c r="AB193" i="60"/>
  <c r="AB187" i="60"/>
  <c r="AB185" i="60"/>
  <c r="AH320" i="93" l="1"/>
  <c r="AH308" i="93"/>
  <c r="AH306" i="93"/>
  <c r="AH305" i="93"/>
  <c r="AH303" i="93"/>
  <c r="AH302" i="93"/>
  <c r="AH194" i="86" l="1"/>
  <c r="F178" i="78"/>
  <c r="F177" i="78"/>
  <c r="AH309" i="86" l="1"/>
  <c r="AH307" i="86"/>
  <c r="AH304" i="86"/>
  <c r="AH303" i="86"/>
  <c r="AH302" i="86"/>
  <c r="AH296" i="86"/>
  <c r="AH278" i="86"/>
  <c r="AH239" i="86"/>
  <c r="AH238" i="86"/>
  <c r="AH208" i="86"/>
  <c r="AH192" i="86"/>
  <c r="AH189" i="86"/>
  <c r="AH185" i="86"/>
  <c r="AH183" i="86"/>
  <c r="O41" i="66" l="1"/>
  <c r="O38" i="66"/>
  <c r="O51" i="66"/>
  <c r="C133" i="89" l="1"/>
  <c r="C54" i="89"/>
  <c r="C53" i="89"/>
  <c r="M223" i="2" l="1"/>
  <c r="K223" i="2" s="1"/>
  <c r="F223" i="2"/>
  <c r="E223" i="2"/>
  <c r="M222" i="2"/>
  <c r="K222" i="2" s="1"/>
  <c r="F222" i="2"/>
  <c r="E222" i="2"/>
  <c r="F61" i="2"/>
  <c r="J222" i="2" l="1"/>
  <c r="N222" i="2" s="1"/>
  <c r="J223" i="2"/>
  <c r="M936" i="2"/>
  <c r="K936" i="2" s="1"/>
  <c r="F936" i="2"/>
  <c r="E936" i="2"/>
  <c r="M119" i="2"/>
  <c r="K119" i="2" s="1"/>
  <c r="F119" i="2"/>
  <c r="E119" i="2"/>
  <c r="M235" i="2"/>
  <c r="K235" i="2" s="1"/>
  <c r="F235" i="2"/>
  <c r="E235" i="2"/>
  <c r="M234" i="2"/>
  <c r="K234" i="2" s="1"/>
  <c r="F234" i="2"/>
  <c r="E234" i="2"/>
  <c r="M233" i="2"/>
  <c r="K233" i="2" s="1"/>
  <c r="F233" i="2"/>
  <c r="E233" i="2"/>
  <c r="M232" i="2"/>
  <c r="K232" i="2" s="1"/>
  <c r="F232" i="2"/>
  <c r="E232" i="2"/>
  <c r="M231" i="2"/>
  <c r="K231" i="2" s="1"/>
  <c r="F231" i="2"/>
  <c r="E231" i="2"/>
  <c r="M230" i="2"/>
  <c r="K230" i="2" s="1"/>
  <c r="F230" i="2"/>
  <c r="E230" i="2"/>
  <c r="M229" i="2"/>
  <c r="K229" i="2" s="1"/>
  <c r="F229" i="2"/>
  <c r="E229" i="2"/>
  <c r="M228" i="2"/>
  <c r="K228" i="2" s="1"/>
  <c r="F228" i="2"/>
  <c r="E228" i="2"/>
  <c r="M227" i="2"/>
  <c r="K227" i="2" s="1"/>
  <c r="F227" i="2"/>
  <c r="E227" i="2"/>
  <c r="M226" i="2"/>
  <c r="K226" i="2" s="1"/>
  <c r="F226" i="2"/>
  <c r="E226" i="2"/>
  <c r="M225" i="2"/>
  <c r="K225" i="2" s="1"/>
  <c r="F225" i="2"/>
  <c r="E225" i="2"/>
  <c r="M224" i="2"/>
  <c r="K224" i="2" s="1"/>
  <c r="F224" i="2"/>
  <c r="E224" i="2"/>
  <c r="M237" i="2"/>
  <c r="K237" i="2" s="1"/>
  <c r="F237" i="2"/>
  <c r="E237" i="2"/>
  <c r="M238" i="2"/>
  <c r="K238" i="2" s="1"/>
  <c r="F238" i="2"/>
  <c r="E238" i="2"/>
  <c r="M236" i="2"/>
  <c r="K236" i="2" s="1"/>
  <c r="F236" i="2"/>
  <c r="E236" i="2"/>
  <c r="M44" i="2"/>
  <c r="K44" i="2" s="1"/>
  <c r="F44" i="2"/>
  <c r="E44" i="2"/>
  <c r="M43" i="2"/>
  <c r="K43" i="2" s="1"/>
  <c r="F43" i="2"/>
  <c r="E43" i="2"/>
  <c r="M42" i="2"/>
  <c r="K42" i="2" s="1"/>
  <c r="F42" i="2"/>
  <c r="E42" i="2"/>
  <c r="M41" i="2"/>
  <c r="K41" i="2" s="1"/>
  <c r="F41" i="2"/>
  <c r="E41" i="2"/>
  <c r="K16" i="2"/>
  <c r="F16" i="2"/>
  <c r="E36" i="91"/>
  <c r="E35" i="91"/>
  <c r="E34" i="91"/>
  <c r="E33" i="91"/>
  <c r="E32" i="91"/>
  <c r="E31" i="91"/>
  <c r="D36" i="91"/>
  <c r="D35" i="91"/>
  <c r="D34" i="91"/>
  <c r="D33" i="91"/>
  <c r="D32" i="91"/>
  <c r="D31" i="91"/>
  <c r="N110" i="66"/>
  <c r="E18" i="55"/>
  <c r="AM936" i="2" l="1"/>
  <c r="N223" i="2"/>
  <c r="J230" i="2"/>
  <c r="N230" i="2" s="1"/>
  <c r="J119" i="2"/>
  <c r="N119" i="2" s="1"/>
  <c r="J234" i="2"/>
  <c r="N234" i="2" s="1"/>
  <c r="J936" i="2"/>
  <c r="J229" i="2"/>
  <c r="N229" i="2" s="1"/>
  <c r="J226" i="2"/>
  <c r="N226" i="2" s="1"/>
  <c r="J225" i="2"/>
  <c r="N225" i="2" s="1"/>
  <c r="J233" i="2"/>
  <c r="N233" i="2" s="1"/>
  <c r="J224" i="2"/>
  <c r="N224" i="2" s="1"/>
  <c r="J228" i="2"/>
  <c r="J232" i="2"/>
  <c r="N232" i="2" s="1"/>
  <c r="J238" i="2"/>
  <c r="J235" i="2"/>
  <c r="N235" i="2" s="1"/>
  <c r="J227" i="2"/>
  <c r="N227" i="2" s="1"/>
  <c r="J231" i="2"/>
  <c r="N231" i="2" s="1"/>
  <c r="J237" i="2"/>
  <c r="J236" i="2"/>
  <c r="N236" i="2" s="1"/>
  <c r="J43" i="2"/>
  <c r="J42" i="2"/>
  <c r="J41" i="2"/>
  <c r="J44" i="2"/>
  <c r="J16" i="2"/>
  <c r="N41" i="2" l="1"/>
  <c r="N238" i="2"/>
  <c r="N936" i="2"/>
  <c r="N42" i="2"/>
  <c r="N43" i="2"/>
  <c r="N228" i="2"/>
  <c r="N237" i="2"/>
  <c r="L16" i="2"/>
  <c r="N44" i="2"/>
  <c r="N16" i="2"/>
  <c r="F707" i="58" l="1"/>
  <c r="E707" i="58"/>
  <c r="F954" i="58"/>
  <c r="E954" i="58"/>
  <c r="F953" i="58"/>
  <c r="E953" i="58"/>
  <c r="F952" i="58"/>
  <c r="E952" i="58"/>
  <c r="F951" i="58"/>
  <c r="J951" i="58" s="1"/>
  <c r="E951" i="58"/>
  <c r="F950" i="58"/>
  <c r="E950" i="58"/>
  <c r="F949" i="58"/>
  <c r="E949" i="58"/>
  <c r="F749" i="58"/>
  <c r="E749" i="58"/>
  <c r="F418" i="58"/>
  <c r="E418" i="58"/>
  <c r="F365" i="58"/>
  <c r="E365" i="58"/>
  <c r="E329" i="58"/>
  <c r="F329" i="58"/>
  <c r="E330" i="58"/>
  <c r="F330" i="58"/>
  <c r="F294" i="58"/>
  <c r="E294" i="58"/>
  <c r="F293" i="58"/>
  <c r="E293" i="58"/>
  <c r="F292" i="58"/>
  <c r="E292" i="58"/>
  <c r="F27" i="58"/>
  <c r="E27" i="58"/>
  <c r="F26" i="58"/>
  <c r="E26" i="58"/>
  <c r="F25" i="58"/>
  <c r="E25" i="58"/>
  <c r="F24" i="58"/>
  <c r="E24" i="58"/>
  <c r="F23" i="58"/>
  <c r="E23" i="58"/>
  <c r="F22" i="58"/>
  <c r="E22" i="58"/>
  <c r="AK951" i="58" l="1"/>
  <c r="J952" i="58"/>
  <c r="J707" i="58"/>
  <c r="J949" i="58"/>
  <c r="J953" i="58"/>
  <c r="J950" i="58"/>
  <c r="J954" i="58"/>
  <c r="J365" i="58"/>
  <c r="J749" i="58"/>
  <c r="J24" i="58"/>
  <c r="J418" i="58"/>
  <c r="J27" i="58"/>
  <c r="J330" i="58"/>
  <c r="J329" i="58"/>
  <c r="J293" i="58"/>
  <c r="J292" i="58"/>
  <c r="J294" i="58"/>
  <c r="J25" i="58"/>
  <c r="J22" i="58"/>
  <c r="J26" i="58"/>
  <c r="J23" i="58"/>
  <c r="E236" i="86"/>
  <c r="E97" i="86"/>
  <c r="E34" i="86"/>
  <c r="E33" i="86"/>
  <c r="AK954" i="58" l="1"/>
  <c r="AK950" i="58"/>
  <c r="AK953" i="58"/>
  <c r="AK949" i="58"/>
  <c r="AK952" i="58"/>
  <c r="AK749" i="58"/>
  <c r="H74" i="71"/>
  <c r="AK707" i="58"/>
  <c r="M160" i="66" l="1"/>
  <c r="O147" i="66" l="1"/>
  <c r="M457" i="54" l="1"/>
  <c r="F457" i="54"/>
  <c r="E457" i="54"/>
  <c r="M456" i="54"/>
  <c r="F456" i="54"/>
  <c r="E456" i="54"/>
  <c r="M453" i="54"/>
  <c r="K453" i="54" s="1"/>
  <c r="F453" i="54"/>
  <c r="E453" i="54"/>
  <c r="M471" i="54"/>
  <c r="K471" i="54" s="1"/>
  <c r="F471" i="54"/>
  <c r="E471" i="54"/>
  <c r="M228" i="54"/>
  <c r="K228" i="54" s="1"/>
  <c r="F228" i="54"/>
  <c r="E228" i="54"/>
  <c r="M58" i="54"/>
  <c r="K58" i="54" s="1"/>
  <c r="F58" i="54"/>
  <c r="E58" i="54"/>
  <c r="M57" i="54"/>
  <c r="K57" i="54" s="1"/>
  <c r="F57" i="54"/>
  <c r="E57" i="54"/>
  <c r="M56" i="54"/>
  <c r="K56" i="54" s="1"/>
  <c r="F56" i="54"/>
  <c r="E56" i="54"/>
  <c r="H224" i="55" s="1"/>
  <c r="M55" i="54"/>
  <c r="K55" i="54" s="1"/>
  <c r="F55" i="54"/>
  <c r="E55" i="54"/>
  <c r="M54" i="54"/>
  <c r="K54" i="54" s="1"/>
  <c r="F54" i="54"/>
  <c r="E54" i="54"/>
  <c r="M53" i="54"/>
  <c r="K53" i="54" s="1"/>
  <c r="F53" i="54"/>
  <c r="E53" i="54"/>
  <c r="M52" i="54"/>
  <c r="K52" i="54" s="1"/>
  <c r="F52" i="54"/>
  <c r="E52" i="54"/>
  <c r="M51" i="54"/>
  <c r="K51" i="54" s="1"/>
  <c r="F51" i="54"/>
  <c r="E51" i="54"/>
  <c r="M50" i="54"/>
  <c r="K50" i="54" s="1"/>
  <c r="F50" i="54"/>
  <c r="E50" i="54"/>
  <c r="H228" i="55" l="1"/>
  <c r="H229" i="55"/>
  <c r="AN453" i="54"/>
  <c r="AN471" i="54"/>
  <c r="K456" i="54"/>
  <c r="K457" i="54"/>
  <c r="J453" i="54"/>
  <c r="J456" i="54"/>
  <c r="J457" i="54"/>
  <c r="J471" i="54"/>
  <c r="J50" i="54"/>
  <c r="N50" i="54" s="1"/>
  <c r="J52" i="54"/>
  <c r="J228" i="54"/>
  <c r="N228" i="54" s="1"/>
  <c r="J54" i="54"/>
  <c r="N54" i="54" s="1"/>
  <c r="J56" i="54"/>
  <c r="J58" i="54"/>
  <c r="J51" i="54"/>
  <c r="J53" i="54"/>
  <c r="N53" i="54" s="1"/>
  <c r="J55" i="54"/>
  <c r="N55" i="54" s="1"/>
  <c r="J57" i="54"/>
  <c r="E6" i="94"/>
  <c r="F20" i="94"/>
  <c r="E28" i="94"/>
  <c r="E31" i="94"/>
  <c r="E34" i="94"/>
  <c r="L45" i="94"/>
  <c r="AN456" i="54" l="1"/>
  <c r="N57" i="54"/>
  <c r="N471" i="54"/>
  <c r="N51" i="54"/>
  <c r="AN457" i="54"/>
  <c r="N52" i="54"/>
  <c r="N58" i="54"/>
  <c r="N56" i="54"/>
  <c r="N453" i="54"/>
  <c r="N456" i="54"/>
  <c r="N457" i="54"/>
  <c r="D142" i="6"/>
  <c r="D55" i="94"/>
  <c r="D56" i="94"/>
  <c r="D54" i="94"/>
  <c r="D9" i="99"/>
  <c r="N203" i="66" l="1"/>
  <c r="C145" i="89"/>
  <c r="M224" i="93" l="1"/>
  <c r="K224" i="93" s="1"/>
  <c r="F224" i="93"/>
  <c r="E224" i="93"/>
  <c r="M41" i="93"/>
  <c r="K41" i="93" s="1"/>
  <c r="F41" i="93"/>
  <c r="E41" i="93"/>
  <c r="M40" i="93"/>
  <c r="K40" i="93" s="1"/>
  <c r="F40" i="93"/>
  <c r="E40" i="93"/>
  <c r="M93" i="93"/>
  <c r="K93" i="93" s="1"/>
  <c r="F93" i="93"/>
  <c r="E93" i="93"/>
  <c r="AH224" i="93" l="1"/>
  <c r="J224" i="93"/>
  <c r="J40" i="93"/>
  <c r="J41" i="93"/>
  <c r="J93" i="93"/>
  <c r="N224" i="93" l="1"/>
  <c r="N93" i="93"/>
  <c r="N41" i="93"/>
  <c r="N40" i="93"/>
  <c r="E117" i="60"/>
  <c r="E116" i="60"/>
  <c r="M22" i="60"/>
  <c r="K22" i="60" s="1"/>
  <c r="F22" i="60"/>
  <c r="E22" i="60"/>
  <c r="M21" i="60"/>
  <c r="K21" i="60" s="1"/>
  <c r="F21" i="60"/>
  <c r="E21" i="60"/>
  <c r="M43" i="93"/>
  <c r="M42" i="93"/>
  <c r="F43" i="93"/>
  <c r="M94" i="93"/>
  <c r="K94" i="93" s="1"/>
  <c r="N94" i="93" s="1"/>
  <c r="F94" i="93"/>
  <c r="E94" i="93"/>
  <c r="M95" i="93"/>
  <c r="K95" i="93" s="1"/>
  <c r="N95" i="93" s="1"/>
  <c r="F95" i="93"/>
  <c r="E95" i="93"/>
  <c r="J21" i="60" l="1"/>
  <c r="J22" i="60"/>
  <c r="N22" i="60" s="1"/>
  <c r="E43" i="93"/>
  <c r="J43" i="93" s="1"/>
  <c r="J94" i="93"/>
  <c r="J95" i="93"/>
  <c r="E42" i="93"/>
  <c r="F42" i="93"/>
  <c r="S75" i="80"/>
  <c r="R75" i="80"/>
  <c r="N75" i="80"/>
  <c r="J75" i="80"/>
  <c r="I75" i="80"/>
  <c r="G75" i="80"/>
  <c r="S74" i="80"/>
  <c r="R74" i="80"/>
  <c r="O74" i="80"/>
  <c r="N74" i="80"/>
  <c r="J74" i="80"/>
  <c r="I74" i="80"/>
  <c r="H74" i="80"/>
  <c r="G74" i="80"/>
  <c r="AF73" i="80"/>
  <c r="W73" i="80"/>
  <c r="S73" i="80"/>
  <c r="R73" i="80"/>
  <c r="N73" i="80"/>
  <c r="J73" i="80"/>
  <c r="I73" i="80"/>
  <c r="G73" i="80"/>
  <c r="AF72" i="80"/>
  <c r="W72" i="80"/>
  <c r="S72" i="80"/>
  <c r="R72" i="80"/>
  <c r="N72" i="80"/>
  <c r="J72" i="80"/>
  <c r="I72" i="80"/>
  <c r="G72" i="80"/>
  <c r="W71" i="80"/>
  <c r="S71" i="80"/>
  <c r="R71" i="80"/>
  <c r="N71" i="80"/>
  <c r="J71" i="80"/>
  <c r="I71" i="80"/>
  <c r="G71" i="80"/>
  <c r="W70" i="80"/>
  <c r="S70" i="80"/>
  <c r="R70" i="80"/>
  <c r="N70" i="80"/>
  <c r="J70" i="80"/>
  <c r="I70" i="80"/>
  <c r="G70" i="80"/>
  <c r="S69" i="80"/>
  <c r="R69" i="80"/>
  <c r="N69" i="80"/>
  <c r="J69" i="80"/>
  <c r="I69" i="80"/>
  <c r="G69" i="80"/>
  <c r="S68" i="80"/>
  <c r="R68" i="80"/>
  <c r="N68" i="80"/>
  <c r="J68" i="80"/>
  <c r="I68" i="80"/>
  <c r="G68" i="80"/>
  <c r="S67" i="80"/>
  <c r="R67" i="80"/>
  <c r="N67" i="80"/>
  <c r="J67" i="80"/>
  <c r="I67" i="80"/>
  <c r="G67" i="80"/>
  <c r="AI66" i="80"/>
  <c r="AH66" i="80"/>
  <c r="S66" i="80"/>
  <c r="R66" i="80"/>
  <c r="N66" i="80"/>
  <c r="J66" i="80"/>
  <c r="I66" i="80"/>
  <c r="G66" i="80"/>
  <c r="S65" i="80"/>
  <c r="R65" i="80"/>
  <c r="N65" i="80"/>
  <c r="J65" i="80"/>
  <c r="I65" i="80"/>
  <c r="G65" i="80"/>
  <c r="W64" i="80"/>
  <c r="S64" i="80"/>
  <c r="R64" i="80"/>
  <c r="N64" i="80"/>
  <c r="J64" i="80"/>
  <c r="I64" i="80"/>
  <c r="G64" i="80"/>
  <c r="AF63" i="80"/>
  <c r="W63" i="80"/>
  <c r="S63" i="80"/>
  <c r="R63" i="80"/>
  <c r="N63" i="80"/>
  <c r="J63" i="80"/>
  <c r="I63" i="80"/>
  <c r="G63" i="80"/>
  <c r="S62" i="80"/>
  <c r="R62" i="80"/>
  <c r="N62" i="80"/>
  <c r="J62" i="80"/>
  <c r="I62" i="80"/>
  <c r="G62" i="80"/>
  <c r="S61" i="80"/>
  <c r="R61" i="80"/>
  <c r="N61" i="80"/>
  <c r="J61" i="80"/>
  <c r="I61" i="80"/>
  <c r="G61" i="80"/>
  <c r="S60" i="80"/>
  <c r="R60" i="80"/>
  <c r="N60" i="80"/>
  <c r="J60" i="80"/>
  <c r="I60" i="80"/>
  <c r="G60" i="80"/>
  <c r="AI59" i="80"/>
  <c r="AH59" i="80"/>
  <c r="S59" i="80"/>
  <c r="R59" i="80"/>
  <c r="N59" i="80"/>
  <c r="J59" i="80"/>
  <c r="I59" i="80"/>
  <c r="G59" i="80"/>
  <c r="S58" i="80"/>
  <c r="R58" i="80"/>
  <c r="O58" i="80"/>
  <c r="N58" i="80"/>
  <c r="J58" i="80"/>
  <c r="I58" i="80"/>
  <c r="G58" i="80"/>
  <c r="S57" i="80"/>
  <c r="R57" i="80"/>
  <c r="N57" i="80"/>
  <c r="J57" i="80"/>
  <c r="I57" i="80"/>
  <c r="G57" i="80"/>
  <c r="S56" i="80"/>
  <c r="R56" i="80"/>
  <c r="N56" i="80"/>
  <c r="J56" i="80"/>
  <c r="I56" i="80"/>
  <c r="G56" i="80"/>
  <c r="S55" i="80"/>
  <c r="R55" i="80"/>
  <c r="N55" i="80"/>
  <c r="J55" i="80"/>
  <c r="I55" i="80"/>
  <c r="G55" i="80"/>
  <c r="AI54" i="80"/>
  <c r="AH54" i="80"/>
  <c r="AF54" i="80"/>
  <c r="S54" i="80"/>
  <c r="R54" i="80"/>
  <c r="N54" i="80"/>
  <c r="J54" i="80"/>
  <c r="I54" i="80"/>
  <c r="G54" i="80"/>
  <c r="S53" i="80"/>
  <c r="R53" i="80"/>
  <c r="N53" i="80"/>
  <c r="J53" i="80"/>
  <c r="I53" i="80"/>
  <c r="G53" i="80"/>
  <c r="S52" i="80"/>
  <c r="R52" i="80"/>
  <c r="N52" i="80"/>
  <c r="J52" i="80"/>
  <c r="I52" i="80"/>
  <c r="G52" i="80"/>
  <c r="S51" i="80"/>
  <c r="R51" i="80"/>
  <c r="N51" i="80"/>
  <c r="J51" i="80"/>
  <c r="I51" i="80"/>
  <c r="G51" i="80"/>
  <c r="S50" i="80"/>
  <c r="R50" i="80"/>
  <c r="O50" i="80"/>
  <c r="N50" i="80"/>
  <c r="J50" i="80"/>
  <c r="I50" i="80"/>
  <c r="G50" i="80"/>
  <c r="W49" i="80"/>
  <c r="S49" i="80"/>
  <c r="R49" i="80"/>
  <c r="N49" i="80"/>
  <c r="J49" i="80"/>
  <c r="I49" i="80"/>
  <c r="G49" i="80"/>
  <c r="AF48" i="80"/>
  <c r="S48" i="80"/>
  <c r="R48" i="80"/>
  <c r="N48" i="80"/>
  <c r="J48" i="80"/>
  <c r="I48" i="80"/>
  <c r="G48" i="80"/>
  <c r="S47" i="80"/>
  <c r="R47" i="80"/>
  <c r="N47" i="80"/>
  <c r="J47" i="80"/>
  <c r="I47" i="80"/>
  <c r="G47" i="80"/>
  <c r="S46" i="80"/>
  <c r="R46" i="80"/>
  <c r="N46" i="80"/>
  <c r="J46" i="80"/>
  <c r="I46" i="80"/>
  <c r="G46" i="80"/>
  <c r="S45" i="80"/>
  <c r="R45" i="80"/>
  <c r="N45" i="80"/>
  <c r="J45" i="80"/>
  <c r="I45" i="80"/>
  <c r="G45" i="80"/>
  <c r="AI44" i="80"/>
  <c r="AH44" i="80"/>
  <c r="S44" i="80"/>
  <c r="R44" i="80"/>
  <c r="N44" i="80"/>
  <c r="J44" i="80"/>
  <c r="I44" i="80"/>
  <c r="G44" i="80"/>
  <c r="S43" i="80"/>
  <c r="R43" i="80"/>
  <c r="N43" i="80"/>
  <c r="J43" i="80"/>
  <c r="I43" i="80"/>
  <c r="G43" i="80"/>
  <c r="AF42" i="80"/>
  <c r="W42" i="80"/>
  <c r="S42" i="80"/>
  <c r="R42" i="80"/>
  <c r="N42" i="80"/>
  <c r="J42" i="80"/>
  <c r="I42" i="80"/>
  <c r="G42" i="80"/>
  <c r="AF41" i="80"/>
  <c r="W41" i="80"/>
  <c r="S41" i="80"/>
  <c r="R41" i="80"/>
  <c r="N41" i="80"/>
  <c r="J41" i="80"/>
  <c r="I41" i="80"/>
  <c r="G41" i="80"/>
  <c r="S40" i="80"/>
  <c r="R40" i="80"/>
  <c r="N40" i="80"/>
  <c r="J40" i="80"/>
  <c r="I40" i="80"/>
  <c r="G40" i="80"/>
  <c r="S39" i="80"/>
  <c r="R39" i="80"/>
  <c r="N39" i="80"/>
  <c r="J39" i="80"/>
  <c r="I39" i="80"/>
  <c r="G39" i="80"/>
  <c r="S38" i="80"/>
  <c r="R38" i="80"/>
  <c r="N38" i="80"/>
  <c r="J38" i="80"/>
  <c r="I38" i="80"/>
  <c r="G38" i="80"/>
  <c r="AF37" i="80"/>
  <c r="S37" i="80"/>
  <c r="R37" i="80"/>
  <c r="N37" i="80"/>
  <c r="J37" i="80"/>
  <c r="I37" i="80"/>
  <c r="G37" i="80"/>
  <c r="S36" i="80"/>
  <c r="R36" i="80"/>
  <c r="N36" i="80"/>
  <c r="J36" i="80"/>
  <c r="I36" i="80"/>
  <c r="G36" i="80"/>
  <c r="S35" i="80"/>
  <c r="R35" i="80"/>
  <c r="N35" i="80"/>
  <c r="J35" i="80"/>
  <c r="I35" i="80"/>
  <c r="G35" i="80"/>
  <c r="S34" i="80"/>
  <c r="R34" i="80"/>
  <c r="N34" i="80"/>
  <c r="J34" i="80"/>
  <c r="I34" i="80"/>
  <c r="G34" i="80"/>
  <c r="AI33" i="80"/>
  <c r="AH33" i="80"/>
  <c r="S33" i="80"/>
  <c r="R33" i="80"/>
  <c r="N33" i="80"/>
  <c r="J33" i="80"/>
  <c r="I33" i="80"/>
  <c r="G33" i="80"/>
  <c r="S32" i="80"/>
  <c r="R32" i="80"/>
  <c r="N32" i="80"/>
  <c r="J32" i="80"/>
  <c r="I32" i="80"/>
  <c r="G32" i="80"/>
  <c r="S31" i="80"/>
  <c r="R31" i="80"/>
  <c r="N31" i="80"/>
  <c r="J31" i="80"/>
  <c r="I31" i="80"/>
  <c r="G31" i="80"/>
  <c r="S30" i="80"/>
  <c r="R30" i="80"/>
  <c r="N30" i="80"/>
  <c r="J30" i="80"/>
  <c r="I30" i="80"/>
  <c r="G30" i="80"/>
  <c r="S29" i="80"/>
  <c r="R29" i="80"/>
  <c r="N29" i="80"/>
  <c r="J29" i="80"/>
  <c r="I29" i="80"/>
  <c r="G29" i="80"/>
  <c r="S28" i="80"/>
  <c r="R28" i="80"/>
  <c r="O28" i="80"/>
  <c r="N28" i="80"/>
  <c r="J28" i="80"/>
  <c r="I28" i="80"/>
  <c r="G28" i="80"/>
  <c r="S27" i="80"/>
  <c r="R27" i="80"/>
  <c r="O27" i="80"/>
  <c r="N27" i="80"/>
  <c r="J27" i="80"/>
  <c r="I27" i="80"/>
  <c r="G27" i="80"/>
  <c r="S26" i="80"/>
  <c r="R26" i="80"/>
  <c r="O26" i="80"/>
  <c r="N26" i="80"/>
  <c r="J26" i="80"/>
  <c r="I26" i="80"/>
  <c r="G26" i="80"/>
  <c r="S25" i="80"/>
  <c r="R25" i="80"/>
  <c r="N25" i="80"/>
  <c r="J25" i="80"/>
  <c r="I25" i="80"/>
  <c r="G25" i="80"/>
  <c r="S24" i="80"/>
  <c r="R24" i="80"/>
  <c r="N24" i="80"/>
  <c r="J24" i="80"/>
  <c r="I24" i="80"/>
  <c r="G24" i="80"/>
  <c r="S23" i="80"/>
  <c r="R23" i="80"/>
  <c r="N23" i="80"/>
  <c r="J23" i="80"/>
  <c r="I23" i="80"/>
  <c r="G23" i="80"/>
  <c r="S22" i="80"/>
  <c r="R22" i="80"/>
  <c r="N22" i="80"/>
  <c r="J22" i="80"/>
  <c r="I22" i="80"/>
  <c r="G22" i="80"/>
  <c r="W21" i="80"/>
  <c r="S21" i="80"/>
  <c r="R21" i="80"/>
  <c r="N21" i="80"/>
  <c r="J21" i="80"/>
  <c r="I21" i="80"/>
  <c r="G21" i="80"/>
  <c r="S20" i="80"/>
  <c r="R20" i="80"/>
  <c r="N20" i="80"/>
  <c r="J20" i="80"/>
  <c r="I20" i="80"/>
  <c r="G20" i="80"/>
  <c r="S19" i="80"/>
  <c r="R19" i="80"/>
  <c r="N19" i="80"/>
  <c r="J19" i="80"/>
  <c r="I19" i="80"/>
  <c r="G19" i="80"/>
  <c r="S18" i="80"/>
  <c r="R18" i="80"/>
  <c r="N18" i="80"/>
  <c r="J18" i="80"/>
  <c r="I18" i="80"/>
  <c r="G18" i="80"/>
  <c r="S17" i="80"/>
  <c r="R17" i="80"/>
  <c r="N17" i="80"/>
  <c r="J17" i="80"/>
  <c r="I17" i="80"/>
  <c r="G17" i="80"/>
  <c r="S16" i="80"/>
  <c r="R16" i="80"/>
  <c r="N16" i="80"/>
  <c r="J16" i="80"/>
  <c r="I16" i="80"/>
  <c r="G16" i="80"/>
  <c r="AI15" i="80"/>
  <c r="AH15" i="80"/>
  <c r="S15" i="80"/>
  <c r="R15" i="80"/>
  <c r="N15" i="80"/>
  <c r="J15" i="80"/>
  <c r="I15" i="80"/>
  <c r="G15" i="80"/>
  <c r="S14" i="80"/>
  <c r="R14" i="80"/>
  <c r="N14" i="80"/>
  <c r="J14" i="80"/>
  <c r="I14" i="80"/>
  <c r="G14" i="80"/>
  <c r="S13" i="80"/>
  <c r="R13" i="80"/>
  <c r="O13" i="80"/>
  <c r="N13" i="80"/>
  <c r="J13" i="80"/>
  <c r="I13" i="80"/>
  <c r="G13" i="80"/>
  <c r="AF12" i="80"/>
  <c r="W12" i="80"/>
  <c r="S12" i="80"/>
  <c r="R12" i="80"/>
  <c r="N12" i="80"/>
  <c r="J12" i="80"/>
  <c r="I12" i="80"/>
  <c r="G12" i="80"/>
  <c r="S11" i="80"/>
  <c r="R11" i="80"/>
  <c r="N11" i="80"/>
  <c r="J11" i="80"/>
  <c r="I11" i="80"/>
  <c r="G11" i="80"/>
  <c r="AI10" i="80"/>
  <c r="AH10" i="80"/>
  <c r="S10" i="80"/>
  <c r="R10" i="80"/>
  <c r="N10" i="80"/>
  <c r="J10" i="80"/>
  <c r="I10" i="80"/>
  <c r="G10" i="80"/>
  <c r="S9" i="80"/>
  <c r="R9" i="80"/>
  <c r="N9" i="80"/>
  <c r="J9" i="80"/>
  <c r="I9" i="80"/>
  <c r="G9" i="80"/>
  <c r="W8" i="80"/>
  <c r="S8" i="80"/>
  <c r="R8" i="80"/>
  <c r="N8" i="80"/>
  <c r="J8" i="80"/>
  <c r="I8" i="80"/>
  <c r="G8" i="80"/>
  <c r="S7" i="80"/>
  <c r="R7" i="80"/>
  <c r="N7" i="80"/>
  <c r="J7" i="80"/>
  <c r="I7" i="80"/>
  <c r="G7" i="80"/>
  <c r="S6" i="80"/>
  <c r="R6" i="80"/>
  <c r="N6" i="80"/>
  <c r="J6" i="80"/>
  <c r="I6" i="80"/>
  <c r="G6" i="80"/>
  <c r="S5" i="80"/>
  <c r="R5" i="80"/>
  <c r="N5" i="80"/>
  <c r="J5" i="80"/>
  <c r="I5" i="80"/>
  <c r="G5" i="80"/>
  <c r="AF4" i="80"/>
  <c r="S4" i="80"/>
  <c r="R4" i="80"/>
  <c r="N4" i="80"/>
  <c r="J4" i="80"/>
  <c r="I4" i="80"/>
  <c r="H4" i="80"/>
  <c r="G4" i="80"/>
  <c r="AT3" i="80"/>
  <c r="AS3" i="80"/>
  <c r="AR3" i="80"/>
  <c r="AQ3" i="80"/>
  <c r="AP3" i="80"/>
  <c r="AO3" i="80"/>
  <c r="AN3" i="80"/>
  <c r="AM3" i="80"/>
  <c r="AL3" i="80"/>
  <c r="AK3" i="80"/>
  <c r="AJ3" i="80"/>
  <c r="AI3" i="80"/>
  <c r="AH3" i="80"/>
  <c r="AG3" i="80"/>
  <c r="AF3" i="80"/>
  <c r="AE3" i="80"/>
  <c r="AD3" i="80"/>
  <c r="AC3" i="80"/>
  <c r="AB3" i="80"/>
  <c r="AA3" i="80"/>
  <c r="Z3" i="80"/>
  <c r="Y3" i="80"/>
  <c r="X3" i="80"/>
  <c r="W3" i="80"/>
  <c r="V3" i="80"/>
  <c r="U3" i="80"/>
  <c r="T3" i="80"/>
  <c r="S3" i="80"/>
  <c r="R3" i="80"/>
  <c r="Q3" i="80"/>
  <c r="P3" i="80"/>
  <c r="O3" i="80"/>
  <c r="N3" i="80"/>
  <c r="M3" i="80"/>
  <c r="L3" i="80"/>
  <c r="K3" i="80"/>
  <c r="J3" i="80"/>
  <c r="I3" i="80"/>
  <c r="H3" i="80"/>
  <c r="G3" i="80"/>
  <c r="F3" i="80"/>
  <c r="AK2" i="80"/>
  <c r="AJ2" i="80"/>
  <c r="AC2" i="80"/>
  <c r="U2" i="80"/>
  <c r="S2" i="80"/>
  <c r="R2" i="80"/>
  <c r="Q2" i="80"/>
  <c r="P2" i="80"/>
  <c r="O2" i="80"/>
  <c r="N2" i="80"/>
  <c r="M2" i="80"/>
  <c r="L2" i="80"/>
  <c r="I2" i="80"/>
  <c r="G2" i="80"/>
  <c r="F2" i="80"/>
  <c r="BV1" i="80"/>
  <c r="BU1" i="80"/>
  <c r="BT1" i="80"/>
  <c r="BS1" i="80"/>
  <c r="BR1" i="80"/>
  <c r="BQ1" i="80"/>
  <c r="BP1" i="80"/>
  <c r="BO1" i="80"/>
  <c r="BN1" i="80"/>
  <c r="BM1" i="80"/>
  <c r="BL1" i="80"/>
  <c r="BK1" i="80"/>
  <c r="BJ1" i="80"/>
  <c r="BI1" i="80"/>
  <c r="BH1" i="80"/>
  <c r="BG1" i="80"/>
  <c r="BF1" i="80"/>
  <c r="BE1" i="80"/>
  <c r="BD1" i="80"/>
  <c r="BC1" i="80"/>
  <c r="BB1" i="80"/>
  <c r="BA1" i="80"/>
  <c r="AZ1" i="80"/>
  <c r="AY1" i="80"/>
  <c r="AX1" i="80"/>
  <c r="AW1" i="80"/>
  <c r="AV1" i="80"/>
  <c r="AU1" i="80"/>
  <c r="AT1" i="80"/>
  <c r="AS1" i="80"/>
  <c r="AR1" i="80"/>
  <c r="AQ1" i="80"/>
  <c r="AP1" i="80"/>
  <c r="AO1" i="80"/>
  <c r="AN1" i="80"/>
  <c r="AM1" i="80"/>
  <c r="AL1" i="80"/>
  <c r="AK1" i="80"/>
  <c r="AJ1" i="80"/>
  <c r="AI1" i="80"/>
  <c r="AH1" i="80"/>
  <c r="AG1" i="80"/>
  <c r="AF1" i="80"/>
  <c r="AE1" i="80"/>
  <c r="AD1" i="80"/>
  <c r="AC1" i="80"/>
  <c r="AB1" i="80"/>
  <c r="AA1" i="80"/>
  <c r="Z1" i="80"/>
  <c r="Y1" i="80"/>
  <c r="X1" i="80"/>
  <c r="W1" i="80"/>
  <c r="V1" i="80"/>
  <c r="U1" i="80"/>
  <c r="T1" i="80"/>
  <c r="S1" i="80"/>
  <c r="R1" i="80"/>
  <c r="Q1" i="80"/>
  <c r="P1" i="80"/>
  <c r="O1" i="80"/>
  <c r="N1" i="80"/>
  <c r="M1" i="80"/>
  <c r="L1" i="80"/>
  <c r="K1" i="80"/>
  <c r="J1" i="80"/>
  <c r="I1" i="80"/>
  <c r="H1" i="80"/>
  <c r="G1" i="80"/>
  <c r="F1" i="80"/>
  <c r="A12" i="80"/>
  <c r="A11" i="80"/>
  <c r="A10" i="80"/>
  <c r="B21" i="79"/>
  <c r="B20" i="79"/>
  <c r="B19" i="79"/>
  <c r="V47" i="79"/>
  <c r="U47" i="79"/>
  <c r="Q47" i="79"/>
  <c r="M47" i="79"/>
  <c r="L47" i="79"/>
  <c r="J47" i="79"/>
  <c r="V46" i="79"/>
  <c r="U46" i="79"/>
  <c r="Q46" i="79"/>
  <c r="M46" i="79"/>
  <c r="L46" i="79"/>
  <c r="J46" i="79"/>
  <c r="V45" i="79"/>
  <c r="U45" i="79"/>
  <c r="Q45" i="79"/>
  <c r="M45" i="79"/>
  <c r="L45" i="79"/>
  <c r="J45" i="79"/>
  <c r="V44" i="79"/>
  <c r="U44" i="79"/>
  <c r="Q44" i="79"/>
  <c r="M44" i="79"/>
  <c r="L44" i="79"/>
  <c r="K44" i="79"/>
  <c r="J44" i="79"/>
  <c r="AI43" i="79"/>
  <c r="Z43" i="79"/>
  <c r="V43" i="79"/>
  <c r="U43" i="79"/>
  <c r="Q43" i="79"/>
  <c r="M43" i="79"/>
  <c r="L43" i="79"/>
  <c r="J43" i="79"/>
  <c r="Z42" i="79"/>
  <c r="V42" i="79"/>
  <c r="U42" i="79"/>
  <c r="Q42" i="79"/>
  <c r="M42" i="79"/>
  <c r="L42" i="79"/>
  <c r="J42" i="79"/>
  <c r="V41" i="79"/>
  <c r="U41" i="79"/>
  <c r="Q41" i="79"/>
  <c r="M41" i="79"/>
  <c r="L41" i="79"/>
  <c r="J41" i="79"/>
  <c r="V40" i="79"/>
  <c r="U40" i="79"/>
  <c r="Q40" i="79"/>
  <c r="M40" i="79"/>
  <c r="L40" i="79"/>
  <c r="J40" i="79"/>
  <c r="V39" i="79"/>
  <c r="U39" i="79"/>
  <c r="Q39" i="79"/>
  <c r="M39" i="79"/>
  <c r="L39" i="79"/>
  <c r="J39" i="79"/>
  <c r="V38" i="79"/>
  <c r="U38" i="79"/>
  <c r="Q38" i="79"/>
  <c r="M38" i="79"/>
  <c r="L38" i="79"/>
  <c r="J38" i="79"/>
  <c r="V37" i="79"/>
  <c r="U37" i="79"/>
  <c r="Q37" i="79"/>
  <c r="M37" i="79"/>
  <c r="L37" i="79"/>
  <c r="J37" i="79"/>
  <c r="V36" i="79"/>
  <c r="U36" i="79"/>
  <c r="Q36" i="79"/>
  <c r="M36" i="79"/>
  <c r="L36" i="79"/>
  <c r="J36" i="79"/>
  <c r="V35" i="79"/>
  <c r="U35" i="79"/>
  <c r="Q35" i="79"/>
  <c r="M35" i="79"/>
  <c r="L35" i="79"/>
  <c r="J35" i="79"/>
  <c r="V34" i="79"/>
  <c r="U34" i="79"/>
  <c r="Q34" i="79"/>
  <c r="M34" i="79"/>
  <c r="L34" i="79"/>
  <c r="K34" i="79"/>
  <c r="J34" i="79"/>
  <c r="V33" i="79"/>
  <c r="U33" i="79"/>
  <c r="Q33" i="79"/>
  <c r="M33" i="79"/>
  <c r="L33" i="79"/>
  <c r="J33" i="79"/>
  <c r="V32" i="79"/>
  <c r="U32" i="79"/>
  <c r="Q32" i="79"/>
  <c r="M32" i="79"/>
  <c r="L32" i="79"/>
  <c r="J32" i="79"/>
  <c r="V31" i="79"/>
  <c r="U31" i="79"/>
  <c r="Q31" i="79"/>
  <c r="M31" i="79"/>
  <c r="L31" i="79"/>
  <c r="J31" i="79"/>
  <c r="V30" i="79"/>
  <c r="U30" i="79"/>
  <c r="Q30" i="79"/>
  <c r="M30" i="79"/>
  <c r="L30" i="79"/>
  <c r="J30" i="79"/>
  <c r="V29" i="79"/>
  <c r="U29" i="79"/>
  <c r="Q29" i="79"/>
  <c r="M29" i="79"/>
  <c r="L29" i="79"/>
  <c r="J29" i="79"/>
  <c r="V28" i="79"/>
  <c r="U28" i="79"/>
  <c r="R28" i="79"/>
  <c r="Q28" i="79"/>
  <c r="M28" i="79"/>
  <c r="L28" i="79"/>
  <c r="J28" i="79"/>
  <c r="V27" i="79"/>
  <c r="U27" i="79"/>
  <c r="Q27" i="79"/>
  <c r="M27" i="79"/>
  <c r="L27" i="79"/>
  <c r="J27" i="79"/>
  <c r="V26" i="79"/>
  <c r="U26" i="79"/>
  <c r="Q26" i="79"/>
  <c r="M26" i="79"/>
  <c r="L26" i="79"/>
  <c r="J26" i="79"/>
  <c r="V25" i="79"/>
  <c r="U25" i="79"/>
  <c r="Q25" i="79"/>
  <c r="M25" i="79"/>
  <c r="L25" i="79"/>
  <c r="J25" i="79"/>
  <c r="V24" i="79"/>
  <c r="U24" i="79"/>
  <c r="Q24" i="79"/>
  <c r="M24" i="79"/>
  <c r="L24" i="79"/>
  <c r="J24" i="79"/>
  <c r="V23" i="79"/>
  <c r="U23" i="79"/>
  <c r="Q23" i="79"/>
  <c r="M23" i="79"/>
  <c r="L23" i="79"/>
  <c r="J23" i="79"/>
  <c r="V22" i="79"/>
  <c r="U22" i="79"/>
  <c r="Q22" i="79"/>
  <c r="M22" i="79"/>
  <c r="L22" i="79"/>
  <c r="J22" i="79"/>
  <c r="V21" i="79"/>
  <c r="U21" i="79"/>
  <c r="Q21" i="79"/>
  <c r="M21" i="79"/>
  <c r="L21" i="79"/>
  <c r="K21" i="79"/>
  <c r="J21" i="79"/>
  <c r="V20" i="79"/>
  <c r="U20" i="79"/>
  <c r="Q20" i="79"/>
  <c r="M20" i="79"/>
  <c r="L20" i="79"/>
  <c r="J20" i="79"/>
  <c r="V19" i="79"/>
  <c r="U19" i="79"/>
  <c r="Q19" i="79"/>
  <c r="M19" i="79"/>
  <c r="L19" i="79"/>
  <c r="J19" i="79"/>
  <c r="V18" i="79"/>
  <c r="U18" i="79"/>
  <c r="Q18" i="79"/>
  <c r="M18" i="79"/>
  <c r="L18" i="79"/>
  <c r="J18" i="79"/>
  <c r="V17" i="79"/>
  <c r="U17" i="79"/>
  <c r="R17" i="79"/>
  <c r="Q17" i="79"/>
  <c r="M17" i="79"/>
  <c r="L17" i="79"/>
  <c r="J17" i="79"/>
  <c r="V16" i="79"/>
  <c r="U16" i="79"/>
  <c r="R16" i="79"/>
  <c r="Q16" i="79"/>
  <c r="M16" i="79"/>
  <c r="L16" i="79"/>
  <c r="J16" i="79"/>
  <c r="V15" i="79"/>
  <c r="U15" i="79"/>
  <c r="R15" i="79"/>
  <c r="Q15" i="79"/>
  <c r="M15" i="79"/>
  <c r="L15" i="79"/>
  <c r="K15" i="79"/>
  <c r="J15" i="79"/>
  <c r="V14" i="79"/>
  <c r="U14" i="79"/>
  <c r="Q14" i="79"/>
  <c r="M14" i="79"/>
  <c r="L14" i="79"/>
  <c r="J14" i="79"/>
  <c r="V13" i="79"/>
  <c r="U13" i="79"/>
  <c r="Q13" i="79"/>
  <c r="M13" i="79"/>
  <c r="L13" i="79"/>
  <c r="J13" i="79"/>
  <c r="V12" i="79"/>
  <c r="U12" i="79"/>
  <c r="Q12" i="79"/>
  <c r="M12" i="79"/>
  <c r="L12" i="79"/>
  <c r="J12" i="79"/>
  <c r="V11" i="79"/>
  <c r="U11" i="79"/>
  <c r="Q11" i="79"/>
  <c r="M11" i="79"/>
  <c r="L11" i="79"/>
  <c r="K11" i="79"/>
  <c r="J11" i="79"/>
  <c r="V10" i="79"/>
  <c r="U10" i="79"/>
  <c r="Q10" i="79"/>
  <c r="M10" i="79"/>
  <c r="L10" i="79"/>
  <c r="J10" i="79"/>
  <c r="V9" i="79"/>
  <c r="U9" i="79"/>
  <c r="Q9" i="79"/>
  <c r="M9" i="79"/>
  <c r="L9" i="79"/>
  <c r="J9" i="79"/>
  <c r="V8" i="79"/>
  <c r="U8" i="79"/>
  <c r="Q8" i="79"/>
  <c r="L8" i="79"/>
  <c r="K8" i="79"/>
  <c r="J8" i="79"/>
  <c r="V7" i="79"/>
  <c r="U7" i="79"/>
  <c r="Q7" i="79"/>
  <c r="M7" i="79"/>
  <c r="L7" i="79"/>
  <c r="J7" i="79"/>
  <c r="V6" i="79"/>
  <c r="U6" i="79"/>
  <c r="Q6" i="79"/>
  <c r="M6" i="79"/>
  <c r="L6" i="79"/>
  <c r="J6" i="79"/>
  <c r="V5" i="79"/>
  <c r="U5" i="79"/>
  <c r="Q5" i="79"/>
  <c r="M5" i="79"/>
  <c r="L5" i="79"/>
  <c r="J5" i="79"/>
  <c r="V4" i="79"/>
  <c r="U4" i="79"/>
  <c r="Q4" i="79"/>
  <c r="M4" i="79"/>
  <c r="L4" i="79"/>
  <c r="J4" i="79"/>
  <c r="AW3" i="79"/>
  <c r="AV3" i="79"/>
  <c r="AU3" i="79"/>
  <c r="AT3" i="79"/>
  <c r="AS3" i="79"/>
  <c r="AR3" i="79"/>
  <c r="AQ3" i="79"/>
  <c r="AP3" i="79"/>
  <c r="AO3" i="79"/>
  <c r="AN3" i="79"/>
  <c r="AM3" i="79"/>
  <c r="AL3" i="79"/>
  <c r="AK3" i="79"/>
  <c r="AJ3" i="79"/>
  <c r="AI3" i="79"/>
  <c r="AH3" i="79"/>
  <c r="AG3" i="79"/>
  <c r="AF3" i="79"/>
  <c r="AE3" i="79"/>
  <c r="AD3" i="79"/>
  <c r="AC3" i="79"/>
  <c r="AB3" i="79"/>
  <c r="AA3" i="79"/>
  <c r="Z3" i="79"/>
  <c r="Y3" i="79"/>
  <c r="X3" i="79"/>
  <c r="W3" i="79"/>
  <c r="V3" i="79"/>
  <c r="U3" i="79"/>
  <c r="T3" i="79"/>
  <c r="S3" i="79"/>
  <c r="R3" i="79"/>
  <c r="Q3" i="79"/>
  <c r="P3" i="79"/>
  <c r="O3" i="79"/>
  <c r="N3" i="79"/>
  <c r="M3" i="79"/>
  <c r="L3" i="79"/>
  <c r="K3" i="79"/>
  <c r="J3" i="79"/>
  <c r="I3" i="79"/>
  <c r="AN2" i="79"/>
  <c r="AM2" i="79"/>
  <c r="AF2" i="79"/>
  <c r="X2" i="79"/>
  <c r="V2" i="79"/>
  <c r="U2" i="79"/>
  <c r="T2" i="79"/>
  <c r="S2" i="79"/>
  <c r="R2" i="79"/>
  <c r="Q2" i="79"/>
  <c r="P2" i="79"/>
  <c r="O2" i="79"/>
  <c r="L2" i="79"/>
  <c r="I2" i="79"/>
  <c r="BY1" i="79"/>
  <c r="BX1" i="79"/>
  <c r="BW1" i="79"/>
  <c r="BV1" i="79"/>
  <c r="BU1" i="79"/>
  <c r="BT1" i="79"/>
  <c r="BS1" i="79"/>
  <c r="BR1" i="79"/>
  <c r="BQ1" i="79"/>
  <c r="BP1" i="79"/>
  <c r="BO1" i="79"/>
  <c r="BN1" i="79"/>
  <c r="BM1" i="79"/>
  <c r="BL1" i="79"/>
  <c r="BK1" i="79"/>
  <c r="BJ1" i="79"/>
  <c r="BI1" i="79"/>
  <c r="BH1" i="79"/>
  <c r="BG1" i="79"/>
  <c r="BF1" i="79"/>
  <c r="BE1" i="79"/>
  <c r="BD1" i="79"/>
  <c r="BC1" i="79"/>
  <c r="BB1" i="79"/>
  <c r="BA1" i="79"/>
  <c r="AZ1" i="79"/>
  <c r="AY1" i="79"/>
  <c r="AX1" i="79"/>
  <c r="AW1" i="79"/>
  <c r="AV1" i="79"/>
  <c r="AU1" i="79"/>
  <c r="AT1" i="79"/>
  <c r="AS1" i="79"/>
  <c r="AR1" i="79"/>
  <c r="AQ1" i="79"/>
  <c r="AP1" i="79"/>
  <c r="AO1" i="79"/>
  <c r="AN1" i="79"/>
  <c r="AM1" i="79"/>
  <c r="AL1" i="79"/>
  <c r="AK1" i="79"/>
  <c r="AJ1" i="79"/>
  <c r="AI1" i="79"/>
  <c r="AH1" i="79"/>
  <c r="AG1" i="79"/>
  <c r="AF1" i="79"/>
  <c r="AE1" i="79"/>
  <c r="AD1" i="79"/>
  <c r="AC1" i="79"/>
  <c r="AB1" i="79"/>
  <c r="AA1" i="79"/>
  <c r="Z1" i="79"/>
  <c r="Y1" i="79"/>
  <c r="X1" i="79"/>
  <c r="W1" i="79"/>
  <c r="V1" i="79"/>
  <c r="U1" i="79"/>
  <c r="T1" i="79"/>
  <c r="S1" i="79"/>
  <c r="R1" i="79"/>
  <c r="Q1" i="79"/>
  <c r="P1" i="79"/>
  <c r="O1" i="79"/>
  <c r="N1" i="79"/>
  <c r="M1" i="79"/>
  <c r="L1" i="79"/>
  <c r="K1" i="79"/>
  <c r="J1" i="79"/>
  <c r="I1" i="79"/>
  <c r="N21" i="60" l="1"/>
  <c r="C10" i="80"/>
  <c r="C11" i="80"/>
  <c r="B12" i="80"/>
  <c r="C12" i="80"/>
  <c r="D19" i="79"/>
  <c r="B10" i="80"/>
  <c r="D20" i="79"/>
  <c r="B11" i="80"/>
  <c r="D21" i="79"/>
  <c r="C20" i="79"/>
  <c r="C19" i="79"/>
  <c r="C21" i="79"/>
  <c r="J42" i="93"/>
  <c r="D12" i="80" l="1"/>
  <c r="D264" i="46" l="1"/>
  <c r="D257" i="46" l="1"/>
  <c r="D242" i="46"/>
  <c r="D239" i="46"/>
  <c r="L126" i="66" l="1"/>
  <c r="D220" i="46"/>
  <c r="D202" i="46" l="1"/>
  <c r="C144" i="46"/>
  <c r="N41" i="66" l="1"/>
  <c r="N38" i="66"/>
  <c r="N18" i="66"/>
  <c r="O18" i="66" s="1"/>
  <c r="N51" i="66"/>
  <c r="C132" i="89"/>
  <c r="AQ871" i="2" l="1"/>
  <c r="AP566" i="2"/>
  <c r="C131" i="89" l="1"/>
  <c r="C130" i="89"/>
  <c r="C129" i="89"/>
  <c r="C128" i="89"/>
  <c r="C127" i="89"/>
  <c r="C126" i="89"/>
  <c r="C125" i="89"/>
  <c r="C124" i="89"/>
  <c r="C123" i="89"/>
  <c r="C122" i="89"/>
  <c r="C121" i="89"/>
  <c r="C120" i="89"/>
  <c r="C119" i="89"/>
  <c r="C118" i="89"/>
  <c r="C117" i="89"/>
  <c r="C116" i="89"/>
  <c r="C115" i="89"/>
  <c r="C114" i="89"/>
  <c r="C113" i="89"/>
  <c r="C112" i="89"/>
  <c r="C111" i="89"/>
  <c r="C110" i="89"/>
  <c r="C109" i="89"/>
  <c r="C108" i="89"/>
  <c r="C107" i="89"/>
  <c r="C106" i="89"/>
  <c r="C105" i="89"/>
  <c r="C104" i="89"/>
  <c r="C103" i="89"/>
  <c r="C102" i="89"/>
  <c r="C101" i="89"/>
  <c r="C100" i="89"/>
  <c r="C99" i="89"/>
  <c r="C98" i="89"/>
  <c r="C97" i="89"/>
  <c r="C96" i="89"/>
  <c r="C95" i="89"/>
  <c r="C94" i="89"/>
  <c r="C93" i="89"/>
  <c r="C92" i="89"/>
  <c r="C91" i="89"/>
  <c r="C90" i="89"/>
  <c r="C89" i="89"/>
  <c r="C88" i="89"/>
  <c r="C87" i="89"/>
  <c r="C86" i="89"/>
  <c r="C85" i="89"/>
  <c r="C84" i="89"/>
  <c r="C82" i="89"/>
  <c r="C81" i="89"/>
  <c r="C80" i="89"/>
  <c r="C79" i="89"/>
  <c r="C78" i="89"/>
  <c r="C77" i="89"/>
  <c r="C76" i="89"/>
  <c r="C75" i="89"/>
  <c r="C74" i="89"/>
  <c r="C73" i="89"/>
  <c r="C72" i="89"/>
  <c r="C71" i="89"/>
  <c r="C70" i="89"/>
  <c r="C69" i="89"/>
  <c r="C68" i="89"/>
  <c r="C67" i="89"/>
  <c r="C66" i="89"/>
  <c r="C65" i="89"/>
  <c r="C64" i="89"/>
  <c r="C63" i="89"/>
  <c r="C62" i="89"/>
  <c r="C61" i="89"/>
  <c r="C60" i="89"/>
  <c r="C59" i="89"/>
  <c r="C58" i="89"/>
  <c r="C57" i="89"/>
  <c r="C56" i="89"/>
  <c r="C55" i="89"/>
  <c r="C52" i="89"/>
  <c r="C51" i="89"/>
  <c r="C50" i="89"/>
  <c r="C49" i="89"/>
  <c r="C48" i="89"/>
  <c r="C47" i="89"/>
  <c r="C46" i="89"/>
  <c r="C45" i="89"/>
  <c r="C44" i="89"/>
  <c r="C42" i="89"/>
  <c r="C41" i="89"/>
  <c r="C40" i="89"/>
  <c r="C39" i="89"/>
  <c r="C38" i="89"/>
  <c r="N53" i="66" l="1"/>
  <c r="M643" i="2" l="1"/>
  <c r="K643" i="2" s="1"/>
  <c r="F643" i="2"/>
  <c r="E643" i="2"/>
  <c r="M252" i="2"/>
  <c r="K252" i="2" s="1"/>
  <c r="F252" i="2"/>
  <c r="E252" i="2"/>
  <c r="M251" i="2"/>
  <c r="K251" i="2" s="1"/>
  <c r="F251" i="2"/>
  <c r="E251" i="2"/>
  <c r="M250" i="2"/>
  <c r="K250" i="2" s="1"/>
  <c r="F250" i="2"/>
  <c r="E250" i="2"/>
  <c r="M249" i="2"/>
  <c r="K249" i="2" s="1"/>
  <c r="F249" i="2"/>
  <c r="E249" i="2"/>
  <c r="M248" i="2"/>
  <c r="K248" i="2" s="1"/>
  <c r="F248" i="2"/>
  <c r="E248" i="2"/>
  <c r="M247" i="2"/>
  <c r="K247" i="2" s="1"/>
  <c r="F247" i="2"/>
  <c r="E247" i="2"/>
  <c r="M246" i="2"/>
  <c r="K246" i="2" s="1"/>
  <c r="F246" i="2"/>
  <c r="E246" i="2"/>
  <c r="M245" i="2"/>
  <c r="K245" i="2" s="1"/>
  <c r="F245" i="2"/>
  <c r="E245" i="2"/>
  <c r="M244" i="2"/>
  <c r="K244" i="2" s="1"/>
  <c r="F244" i="2"/>
  <c r="E244" i="2"/>
  <c r="M243" i="2"/>
  <c r="K243" i="2" s="1"/>
  <c r="F243" i="2"/>
  <c r="E243" i="2"/>
  <c r="M242" i="2"/>
  <c r="K242" i="2" s="1"/>
  <c r="F242" i="2"/>
  <c r="E242" i="2"/>
  <c r="M241" i="2"/>
  <c r="K241" i="2" s="1"/>
  <c r="F241" i="2"/>
  <c r="E241" i="2"/>
  <c r="M240" i="2"/>
  <c r="K240" i="2" s="1"/>
  <c r="F240" i="2"/>
  <c r="E240" i="2"/>
  <c r="M239" i="2"/>
  <c r="K239" i="2" s="1"/>
  <c r="F239" i="2"/>
  <c r="E239" i="2"/>
  <c r="C24" i="83"/>
  <c r="AM643" i="2" l="1"/>
  <c r="J239" i="2"/>
  <c r="N239" i="2" s="1"/>
  <c r="J252" i="2"/>
  <c r="N252" i="2" s="1"/>
  <c r="J643" i="2"/>
  <c r="J242" i="2"/>
  <c r="N242" i="2" s="1"/>
  <c r="J241" i="2"/>
  <c r="J248" i="2"/>
  <c r="N248" i="2" s="1"/>
  <c r="J244" i="2"/>
  <c r="J245" i="2"/>
  <c r="N245" i="2" s="1"/>
  <c r="J247" i="2"/>
  <c r="N247" i="2" s="1"/>
  <c r="J250" i="2"/>
  <c r="N250" i="2" s="1"/>
  <c r="J243" i="2"/>
  <c r="N243" i="2" s="1"/>
  <c r="J246" i="2"/>
  <c r="N246" i="2" s="1"/>
  <c r="J251" i="2"/>
  <c r="N251" i="2" s="1"/>
  <c r="J240" i="2"/>
  <c r="N240" i="2" s="1"/>
  <c r="J249" i="2"/>
  <c r="N249" i="2" s="1"/>
  <c r="N241" i="2" l="1"/>
  <c r="N643" i="2"/>
  <c r="N244" i="2"/>
  <c r="M442" i="54"/>
  <c r="K442" i="54" s="1"/>
  <c r="AN442" i="54" s="1"/>
  <c r="F442" i="54"/>
  <c r="E442" i="54"/>
  <c r="N442" i="54" l="1"/>
  <c r="J442" i="54"/>
  <c r="D153" i="55" l="1"/>
  <c r="M259" i="54" l="1"/>
  <c r="K259" i="54" s="1"/>
  <c r="F259" i="54"/>
  <c r="E259" i="54"/>
  <c r="M232" i="54"/>
  <c r="K232" i="54" s="1"/>
  <c r="F232" i="54"/>
  <c r="E232" i="54"/>
  <c r="M231" i="54"/>
  <c r="K231" i="54" s="1"/>
  <c r="F231" i="54"/>
  <c r="E231" i="54"/>
  <c r="M230" i="54"/>
  <c r="K230" i="54" s="1"/>
  <c r="F230" i="54"/>
  <c r="E230" i="54"/>
  <c r="M229" i="54"/>
  <c r="K229" i="54" s="1"/>
  <c r="F229" i="54"/>
  <c r="E229" i="54"/>
  <c r="M412" i="54"/>
  <c r="K412" i="54" s="1"/>
  <c r="F412" i="54"/>
  <c r="E412" i="54"/>
  <c r="M408" i="54"/>
  <c r="K408" i="54" s="1"/>
  <c r="F408" i="54"/>
  <c r="E408" i="54"/>
  <c r="AN412" i="54" l="1"/>
  <c r="AN408" i="54"/>
  <c r="J259" i="54"/>
  <c r="J230" i="54"/>
  <c r="N230" i="54" s="1"/>
  <c r="J231" i="54"/>
  <c r="N231" i="54" s="1"/>
  <c r="J412" i="54"/>
  <c r="J229" i="54"/>
  <c r="N229" i="54" s="1"/>
  <c r="J232" i="54"/>
  <c r="J408" i="54"/>
  <c r="M140" i="93"/>
  <c r="K140" i="93" s="1"/>
  <c r="F140" i="93"/>
  <c r="E140" i="93"/>
  <c r="M96" i="93"/>
  <c r="K96" i="93" s="1"/>
  <c r="F96" i="93"/>
  <c r="E96" i="93"/>
  <c r="N259" i="54" l="1"/>
  <c r="N412" i="54"/>
  <c r="N408" i="54"/>
  <c r="N232" i="54"/>
  <c r="J140" i="93"/>
  <c r="J96" i="93"/>
  <c r="A26" i="32"/>
  <c r="A29" i="32" s="1"/>
  <c r="A32" i="32" s="1"/>
  <c r="A35" i="32" s="1"/>
  <c r="A38" i="32" s="1"/>
  <c r="A41" i="32" s="1"/>
  <c r="A44" i="32" s="1"/>
  <c r="A51" i="32" s="1"/>
  <c r="A57" i="32" s="1"/>
  <c r="A79" i="32" s="1"/>
  <c r="A82" i="32" s="1"/>
  <c r="A85" i="32" s="1"/>
  <c r="A88" i="32" s="1"/>
  <c r="A91" i="32" s="1"/>
  <c r="A94" i="32" s="1"/>
  <c r="A97" i="32" s="1"/>
  <c r="A100" i="32" s="1"/>
  <c r="A103" i="32" s="1"/>
  <c r="A106" i="32" s="1"/>
  <c r="N96" i="93" l="1"/>
  <c r="N140" i="93"/>
  <c r="A112" i="32"/>
  <c r="A115" i="32" s="1"/>
  <c r="A109" i="32"/>
  <c r="A118" i="32" l="1"/>
  <c r="A121" i="32" s="1"/>
  <c r="A124" i="32" s="1"/>
  <c r="D127" i="32"/>
  <c r="E30" i="91" l="1"/>
  <c r="D30" i="91"/>
  <c r="E29" i="91"/>
  <c r="D29" i="91"/>
  <c r="E28" i="91"/>
  <c r="D28" i="91"/>
  <c r="E27" i="91"/>
  <c r="D27" i="91"/>
  <c r="E26" i="91"/>
  <c r="D26" i="91"/>
  <c r="F1009" i="58" l="1"/>
  <c r="E1009" i="58"/>
  <c r="F1008" i="58"/>
  <c r="E1008" i="58"/>
  <c r="F919" i="58"/>
  <c r="E919" i="58"/>
  <c r="F917" i="58"/>
  <c r="E917" i="58"/>
  <c r="F590" i="58"/>
  <c r="E590" i="58"/>
  <c r="F537" i="58"/>
  <c r="E537" i="58"/>
  <c r="F371" i="58"/>
  <c r="E371" i="58"/>
  <c r="F370" i="58"/>
  <c r="E370" i="58"/>
  <c r="F369" i="58"/>
  <c r="E369" i="58"/>
  <c r="F368" i="58"/>
  <c r="E368" i="58"/>
  <c r="F367" i="58"/>
  <c r="E367" i="58"/>
  <c r="F297" i="58"/>
  <c r="E297" i="58"/>
  <c r="F296" i="58"/>
  <c r="E296" i="58"/>
  <c r="F295" i="58"/>
  <c r="E295" i="58"/>
  <c r="F30" i="58"/>
  <c r="E30" i="58"/>
  <c r="F29" i="58"/>
  <c r="E29" i="58"/>
  <c r="F28" i="58"/>
  <c r="E28" i="58"/>
  <c r="J28" i="58" l="1"/>
  <c r="J370" i="58"/>
  <c r="J1008" i="58"/>
  <c r="J1009" i="58"/>
  <c r="J917" i="58"/>
  <c r="J919" i="58"/>
  <c r="J590" i="58"/>
  <c r="J369" i="58"/>
  <c r="J368" i="58"/>
  <c r="J537" i="58"/>
  <c r="J367" i="58"/>
  <c r="J371" i="58"/>
  <c r="J295" i="58"/>
  <c r="J296" i="58"/>
  <c r="J297" i="58"/>
  <c r="J29" i="58"/>
  <c r="J30" i="58"/>
  <c r="AK590" i="58" l="1"/>
  <c r="AK919" i="58"/>
  <c r="AK917" i="58"/>
  <c r="AK1009" i="58"/>
  <c r="AK1008" i="58"/>
  <c r="AK537" i="58"/>
  <c r="D166" i="46"/>
  <c r="M59" i="54" l="1"/>
  <c r="K59" i="54" s="1"/>
  <c r="F59" i="54"/>
  <c r="E59" i="54"/>
  <c r="H195" i="55" s="1"/>
  <c r="J59" i="54" l="1"/>
  <c r="N59" i="54" l="1"/>
  <c r="AK245" i="86"/>
  <c r="AL245" i="86"/>
  <c r="AK244" i="86" l="1"/>
  <c r="E306" i="86" l="1"/>
  <c r="E21" i="79" l="1"/>
  <c r="M441" i="54" l="1"/>
  <c r="K441" i="54" s="1"/>
  <c r="F441" i="54"/>
  <c r="E441" i="54"/>
  <c r="M440" i="54"/>
  <c r="K440" i="54" s="1"/>
  <c r="F440" i="54"/>
  <c r="E440" i="54"/>
  <c r="M60" i="54"/>
  <c r="K60" i="54" s="1"/>
  <c r="F60" i="54"/>
  <c r="E60" i="54"/>
  <c r="AN440" i="54" l="1"/>
  <c r="AN441" i="54"/>
  <c r="J60" i="54"/>
  <c r="N60" i="54" s="1"/>
  <c r="J440" i="54"/>
  <c r="J441" i="54"/>
  <c r="E173" i="60"/>
  <c r="M101" i="60"/>
  <c r="K101" i="60" s="1"/>
  <c r="F101" i="60"/>
  <c r="E101" i="60"/>
  <c r="M23" i="60"/>
  <c r="K23" i="60" s="1"/>
  <c r="F23" i="60"/>
  <c r="E23" i="60"/>
  <c r="N441" i="54" l="1"/>
  <c r="N440" i="54"/>
  <c r="J23" i="60"/>
  <c r="N23" i="60" s="1"/>
  <c r="J101" i="60"/>
  <c r="N101" i="60" l="1"/>
  <c r="M262" i="54" l="1"/>
  <c r="E246" i="54"/>
  <c r="E245" i="54"/>
  <c r="E244" i="54"/>
  <c r="E243" i="54"/>
  <c r="E249" i="54"/>
  <c r="H274" i="55" s="1"/>
  <c r="E248" i="54"/>
  <c r="E247" i="54"/>
  <c r="H272" i="55" s="1"/>
  <c r="E253" i="54"/>
  <c r="E252" i="54"/>
  <c r="E251" i="54"/>
  <c r="H275" i="55" s="1"/>
  <c r="E250" i="54"/>
  <c r="E257" i="54"/>
  <c r="E256" i="54"/>
  <c r="E255" i="54"/>
  <c r="E254" i="54"/>
  <c r="E261" i="54"/>
  <c r="E260" i="54"/>
  <c r="E258" i="54"/>
  <c r="E264" i="54"/>
  <c r="E262" i="54"/>
  <c r="H280" i="55" s="1"/>
  <c r="H279" i="55" l="1"/>
  <c r="H283" i="55"/>
  <c r="H277" i="55"/>
  <c r="H281" i="55"/>
  <c r="H282" i="55"/>
  <c r="H271" i="55"/>
  <c r="H273" i="55"/>
  <c r="H276" i="55"/>
  <c r="H270" i="55"/>
  <c r="H284" i="55"/>
  <c r="H268" i="55"/>
  <c r="H278" i="55"/>
  <c r="D53" i="83"/>
  <c r="D66" i="83" l="1"/>
  <c r="F96" i="55" l="1"/>
  <c r="C60" i="36" l="1"/>
  <c r="B17" i="57"/>
  <c r="AS551" i="2" l="1"/>
  <c r="AS550" i="2"/>
  <c r="F843" i="58"/>
  <c r="C162" i="78"/>
  <c r="C155" i="78"/>
  <c r="C150" i="78"/>
  <c r="C144" i="78"/>
  <c r="C137" i="78"/>
  <c r="C129" i="78"/>
  <c r="C120" i="78"/>
  <c r="C110" i="78"/>
  <c r="C99" i="78"/>
  <c r="C87" i="78"/>
  <c r="C74" i="78"/>
  <c r="AS552" i="2" l="1"/>
  <c r="D122" i="32" l="1"/>
  <c r="C122" i="32"/>
  <c r="C121" i="32"/>
  <c r="F71" i="61"/>
  <c r="D71" i="61"/>
  <c r="D70" i="61"/>
  <c r="D103" i="55" l="1"/>
  <c r="F102" i="55"/>
  <c r="D102" i="55"/>
  <c r="F135" i="6" l="1"/>
  <c r="F47" i="78" l="1"/>
  <c r="F48" i="78" l="1"/>
  <c r="F126" i="6" l="1"/>
  <c r="E126" i="6" s="1"/>
  <c r="E127" i="6" s="1"/>
  <c r="F123" i="6"/>
  <c r="E123" i="6" s="1"/>
  <c r="E124" i="6" s="1"/>
  <c r="F120" i="6"/>
  <c r="E120" i="6" s="1"/>
  <c r="E121" i="6" s="1"/>
  <c r="F117" i="6"/>
  <c r="E117" i="6" s="1"/>
  <c r="E118" i="6" s="1"/>
  <c r="F114" i="6"/>
  <c r="E114" i="6" s="1"/>
  <c r="E115" i="6" s="1"/>
  <c r="F111" i="6"/>
  <c r="E111" i="6" s="1"/>
  <c r="E112" i="6" s="1"/>
  <c r="F108" i="6"/>
  <c r="E108" i="6" s="1"/>
  <c r="E109" i="6" s="1"/>
  <c r="F105" i="6"/>
  <c r="E105" i="6" s="1"/>
  <c r="E106" i="6" s="1"/>
  <c r="F102" i="6"/>
  <c r="E102" i="6" s="1"/>
  <c r="E103" i="6" s="1"/>
  <c r="F99" i="6"/>
  <c r="E99" i="6" s="1"/>
  <c r="E100" i="6" s="1"/>
  <c r="D33" i="32" l="1"/>
  <c r="F87" i="61" l="1"/>
  <c r="E87" i="61"/>
  <c r="D206" i="6" l="1"/>
  <c r="L355" i="93" l="1"/>
  <c r="L361" i="93"/>
  <c r="L362" i="93"/>
  <c r="L360" i="93"/>
  <c r="L359" i="93"/>
  <c r="L358" i="93"/>
  <c r="L357" i="93"/>
  <c r="E148" i="6" l="1"/>
  <c r="E154" i="6"/>
  <c r="C88" i="28" l="1"/>
  <c r="C84" i="28"/>
  <c r="C86" i="28"/>
  <c r="D104" i="61"/>
  <c r="D101" i="61"/>
  <c r="L186" i="66"/>
  <c r="E99" i="61"/>
  <c r="D99" i="61"/>
  <c r="D98" i="61"/>
  <c r="L127" i="66" l="1"/>
  <c r="M126" i="66"/>
  <c r="E204" i="6" l="1"/>
  <c r="B36" i="57"/>
  <c r="E36" i="57"/>
  <c r="D38" i="57"/>
  <c r="D36" i="57"/>
  <c r="C36" i="57"/>
  <c r="E79" i="87" l="1"/>
  <c r="L187" i="66" l="1"/>
  <c r="L189" i="66"/>
  <c r="M189" i="66" s="1"/>
  <c r="L188" i="66"/>
  <c r="M188" i="66" s="1"/>
  <c r="D93" i="61" l="1"/>
  <c r="D92" i="61"/>
  <c r="L98" i="66" l="1"/>
  <c r="L93" i="66"/>
  <c r="M63" i="87" l="1"/>
  <c r="E32" i="87"/>
  <c r="L223" i="66" l="1"/>
  <c r="F921" i="58" l="1"/>
  <c r="E921" i="58"/>
  <c r="J921" i="58" l="1"/>
  <c r="AK921" i="58" l="1"/>
  <c r="E96" i="61"/>
  <c r="D96" i="61"/>
  <c r="D95" i="61"/>
  <c r="M41" i="66" l="1"/>
  <c r="M51" i="66"/>
  <c r="M151" i="2" l="1"/>
  <c r="E151" i="2"/>
  <c r="M671" i="2"/>
  <c r="K671" i="2" s="1"/>
  <c r="F671" i="2"/>
  <c r="E671" i="2"/>
  <c r="M644" i="2"/>
  <c r="K644" i="2" s="1"/>
  <c r="F644" i="2"/>
  <c r="E644" i="2"/>
  <c r="M259" i="2"/>
  <c r="K259" i="2" s="1"/>
  <c r="F259" i="2"/>
  <c r="E259" i="2"/>
  <c r="M258" i="2"/>
  <c r="K258" i="2" s="1"/>
  <c r="F258" i="2"/>
  <c r="E258" i="2"/>
  <c r="M257" i="2"/>
  <c r="K257" i="2" s="1"/>
  <c r="F257" i="2"/>
  <c r="E257" i="2"/>
  <c r="M256" i="2"/>
  <c r="K256" i="2" s="1"/>
  <c r="F256" i="2"/>
  <c r="E256" i="2"/>
  <c r="M255" i="2"/>
  <c r="K255" i="2" s="1"/>
  <c r="F255" i="2"/>
  <c r="E255" i="2"/>
  <c r="M254" i="2"/>
  <c r="K254" i="2" s="1"/>
  <c r="F254" i="2"/>
  <c r="E254" i="2"/>
  <c r="M253" i="2"/>
  <c r="K253" i="2" s="1"/>
  <c r="F253" i="2"/>
  <c r="E253" i="2"/>
  <c r="AM644" i="2" l="1"/>
  <c r="AM671" i="2"/>
  <c r="J256" i="2"/>
  <c r="J259" i="2"/>
  <c r="J671" i="2"/>
  <c r="J255" i="2"/>
  <c r="J257" i="2"/>
  <c r="J253" i="2"/>
  <c r="J644" i="2"/>
  <c r="J254" i="2"/>
  <c r="J258" i="2"/>
  <c r="D30" i="32"/>
  <c r="C30" i="32"/>
  <c r="C29" i="32"/>
  <c r="N644" i="2" l="1"/>
  <c r="N255" i="2"/>
  <c r="N253" i="2"/>
  <c r="N671" i="2"/>
  <c r="N254" i="2"/>
  <c r="N257" i="2"/>
  <c r="N258" i="2"/>
  <c r="N259" i="2"/>
  <c r="N256" i="2"/>
  <c r="E7" i="91" l="1"/>
  <c r="E8" i="91"/>
  <c r="E9" i="91"/>
  <c r="E10" i="91"/>
  <c r="E11" i="91"/>
  <c r="E12" i="91"/>
  <c r="E13" i="91"/>
  <c r="E14" i="91"/>
  <c r="E15" i="91"/>
  <c r="E16" i="91"/>
  <c r="E17" i="91"/>
  <c r="E18" i="91"/>
  <c r="E19" i="91"/>
  <c r="E20" i="91"/>
  <c r="E21" i="91"/>
  <c r="E22" i="91"/>
  <c r="E23" i="91"/>
  <c r="E24" i="91"/>
  <c r="E25" i="91"/>
  <c r="M46" i="2" l="1"/>
  <c r="K46" i="2" s="1"/>
  <c r="F46" i="2"/>
  <c r="E46" i="2"/>
  <c r="M45" i="2"/>
  <c r="K45" i="2" s="1"/>
  <c r="F45" i="2"/>
  <c r="E45" i="2"/>
  <c r="D25" i="91"/>
  <c r="J45" i="2" l="1"/>
  <c r="J46" i="2"/>
  <c r="N45" i="2" l="1"/>
  <c r="N46" i="2"/>
  <c r="F1010" i="58"/>
  <c r="E1010" i="58"/>
  <c r="F862" i="58"/>
  <c r="E862" i="58"/>
  <c r="F922" i="58"/>
  <c r="E922" i="58"/>
  <c r="F923" i="58"/>
  <c r="F920" i="58"/>
  <c r="F916" i="58"/>
  <c r="F924" i="58"/>
  <c r="F915" i="58"/>
  <c r="E923" i="58"/>
  <c r="E920" i="58"/>
  <c r="E916" i="58"/>
  <c r="E924" i="58"/>
  <c r="E915" i="58"/>
  <c r="F515" i="58"/>
  <c r="E515" i="58"/>
  <c r="F419" i="58"/>
  <c r="E419" i="58"/>
  <c r="F301" i="58"/>
  <c r="E301" i="58"/>
  <c r="F300" i="58"/>
  <c r="E300" i="58"/>
  <c r="F299" i="58"/>
  <c r="E299" i="58"/>
  <c r="F298" i="58"/>
  <c r="E298" i="58"/>
  <c r="F31" i="58"/>
  <c r="E31" i="58"/>
  <c r="F35" i="58"/>
  <c r="E35" i="58"/>
  <c r="F34" i="58"/>
  <c r="E34" i="58"/>
  <c r="F33" i="58"/>
  <c r="E33" i="58"/>
  <c r="F32" i="58"/>
  <c r="E32" i="58"/>
  <c r="F239" i="58"/>
  <c r="E239" i="58"/>
  <c r="F238" i="58"/>
  <c r="E238" i="58"/>
  <c r="F260" i="54"/>
  <c r="D150" i="55"/>
  <c r="D147" i="55"/>
  <c r="D146" i="55"/>
  <c r="D144" i="55"/>
  <c r="D143" i="55"/>
  <c r="E141" i="55"/>
  <c r="D141" i="55"/>
  <c r="F141" i="55"/>
  <c r="D140" i="55"/>
  <c r="H725" i="32" l="1"/>
  <c r="J1010" i="58"/>
  <c r="J862" i="58"/>
  <c r="J920" i="58"/>
  <c r="J923" i="58"/>
  <c r="J922" i="58"/>
  <c r="J915" i="58"/>
  <c r="J924" i="58"/>
  <c r="J916" i="58"/>
  <c r="J515" i="58"/>
  <c r="J299" i="58"/>
  <c r="J35" i="58"/>
  <c r="J419" i="58"/>
  <c r="J34" i="58"/>
  <c r="J298" i="58"/>
  <c r="J300" i="58"/>
  <c r="J301" i="58"/>
  <c r="J31" i="58"/>
  <c r="J32" i="58"/>
  <c r="J33" i="58"/>
  <c r="J239" i="58"/>
  <c r="J238" i="58"/>
  <c r="AK924" i="58" l="1"/>
  <c r="AK915" i="58"/>
  <c r="AK922" i="58"/>
  <c r="AK923" i="58"/>
  <c r="AK920" i="58"/>
  <c r="AK862" i="58"/>
  <c r="AK515" i="58"/>
  <c r="AK1010" i="58"/>
  <c r="AK916" i="58"/>
  <c r="C28" i="89"/>
  <c r="C27" i="89"/>
  <c r="M235" i="54"/>
  <c r="K235" i="54" s="1"/>
  <c r="F235" i="54"/>
  <c r="E235" i="54"/>
  <c r="M234" i="54"/>
  <c r="K234" i="54" s="1"/>
  <c r="F234" i="54"/>
  <c r="E234" i="54"/>
  <c r="M233" i="54"/>
  <c r="K233" i="54" s="1"/>
  <c r="F233" i="54"/>
  <c r="E233" i="54"/>
  <c r="M67" i="54"/>
  <c r="K67" i="54" s="1"/>
  <c r="F67" i="54"/>
  <c r="E67" i="54"/>
  <c r="M66" i="54"/>
  <c r="K66" i="54" s="1"/>
  <c r="F66" i="54"/>
  <c r="E66" i="54"/>
  <c r="M65" i="54"/>
  <c r="K65" i="54" s="1"/>
  <c r="F65" i="54"/>
  <c r="E65" i="54"/>
  <c r="M64" i="54"/>
  <c r="K64" i="54" s="1"/>
  <c r="F64" i="54"/>
  <c r="E64" i="54"/>
  <c r="H207" i="55" s="1"/>
  <c r="M63" i="54"/>
  <c r="K63" i="54" s="1"/>
  <c r="F63" i="54"/>
  <c r="E63" i="54"/>
  <c r="H202" i="55" s="1"/>
  <c r="M62" i="54"/>
  <c r="K62" i="54" s="1"/>
  <c r="F62" i="54"/>
  <c r="E62" i="54"/>
  <c r="M61" i="54"/>
  <c r="K61" i="54" s="1"/>
  <c r="F61" i="54"/>
  <c r="E61" i="54"/>
  <c r="H208" i="55" l="1"/>
  <c r="J235" i="54"/>
  <c r="J62" i="54"/>
  <c r="J233" i="54"/>
  <c r="J234" i="54"/>
  <c r="J67" i="54"/>
  <c r="J61" i="54"/>
  <c r="J63" i="54"/>
  <c r="J66" i="54"/>
  <c r="J64" i="54"/>
  <c r="J65" i="54"/>
  <c r="N62" i="54" l="1"/>
  <c r="N233" i="54"/>
  <c r="N64" i="54"/>
  <c r="N66" i="54"/>
  <c r="N235" i="54"/>
  <c r="N234" i="54"/>
  <c r="N65" i="54"/>
  <c r="N63" i="54"/>
  <c r="N67" i="54"/>
  <c r="N61" i="54"/>
  <c r="D17" i="94"/>
  <c r="M317" i="93"/>
  <c r="K317" i="93" s="1"/>
  <c r="E317" i="93"/>
  <c r="L211" i="66"/>
  <c r="M211" i="66" s="1"/>
  <c r="N211" i="66" s="1"/>
  <c r="O211" i="66" s="1"/>
  <c r="L209" i="66"/>
  <c r="M209" i="66" s="1"/>
  <c r="N209" i="66" s="1"/>
  <c r="O209" i="66" s="1"/>
  <c r="M304" i="93" l="1"/>
  <c r="M307" i="93" s="1"/>
  <c r="F304" i="93"/>
  <c r="F307" i="93" s="1"/>
  <c r="E304" i="93"/>
  <c r="E307" i="93" s="1"/>
  <c r="I307" i="93"/>
  <c r="H307" i="93"/>
  <c r="G307" i="93"/>
  <c r="AB309" i="93"/>
  <c r="AA309" i="93"/>
  <c r="Z309" i="93"/>
  <c r="Y309" i="93"/>
  <c r="X309" i="93"/>
  <c r="W309" i="93"/>
  <c r="M98" i="93"/>
  <c r="K98" i="93" s="1"/>
  <c r="F98" i="93"/>
  <c r="E98" i="93"/>
  <c r="M97" i="93"/>
  <c r="K97" i="93" s="1"/>
  <c r="F97" i="93"/>
  <c r="E97" i="93"/>
  <c r="AH309" i="93" l="1"/>
  <c r="J97" i="93"/>
  <c r="K304" i="93"/>
  <c r="J304" i="93"/>
  <c r="J98" i="93"/>
  <c r="AH304" i="93" l="1"/>
  <c r="N98" i="93"/>
  <c r="N97" i="93"/>
  <c r="J307" i="93"/>
  <c r="K307" i="93"/>
  <c r="AH307" i="93" s="1"/>
  <c r="N304" i="93"/>
  <c r="D7" i="87" l="1"/>
  <c r="C170" i="89"/>
  <c r="W171" i="89"/>
  <c r="V171" i="89"/>
  <c r="U171" i="89"/>
  <c r="T171" i="89"/>
  <c r="S171" i="89"/>
  <c r="R171" i="89"/>
  <c r="Q171" i="89"/>
  <c r="P171" i="89"/>
  <c r="E125" i="60" l="1"/>
  <c r="E124" i="60"/>
  <c r="E123" i="60"/>
  <c r="E122" i="60"/>
  <c r="D81" i="61" l="1"/>
  <c r="D80" i="61"/>
  <c r="M121" i="60" l="1"/>
  <c r="M129" i="60"/>
  <c r="M124" i="60"/>
  <c r="K124" i="60" s="1"/>
  <c r="F124" i="60"/>
  <c r="J124" i="60" l="1"/>
  <c r="N124" i="60" l="1"/>
  <c r="L124" i="60" l="1"/>
  <c r="M177" i="60" l="1"/>
  <c r="K177" i="60" s="1"/>
  <c r="F177" i="60"/>
  <c r="E177" i="60"/>
  <c r="K129" i="60"/>
  <c r="F129" i="60"/>
  <c r="E129" i="60"/>
  <c r="M26" i="60"/>
  <c r="K26" i="60" s="1"/>
  <c r="F26" i="60"/>
  <c r="E26" i="60"/>
  <c r="M25" i="60"/>
  <c r="K25" i="60" s="1"/>
  <c r="F25" i="60"/>
  <c r="E25" i="60"/>
  <c r="M24" i="60"/>
  <c r="K24" i="60" s="1"/>
  <c r="F24" i="60"/>
  <c r="J24" i="60" s="1"/>
  <c r="E24" i="60"/>
  <c r="F34" i="87"/>
  <c r="G71" i="6" l="1"/>
  <c r="G70" i="6" s="1"/>
  <c r="F71" i="6"/>
  <c r="F70" i="6" s="1"/>
  <c r="AB177" i="60"/>
  <c r="J177" i="60"/>
  <c r="J129" i="60"/>
  <c r="J25" i="60"/>
  <c r="N24" i="60"/>
  <c r="J26" i="60"/>
  <c r="N26" i="60" l="1"/>
  <c r="N129" i="60"/>
  <c r="N177" i="60"/>
  <c r="N25" i="60"/>
  <c r="E8" i="87" l="1"/>
  <c r="E237" i="86" l="1"/>
  <c r="E99" i="86"/>
  <c r="E98" i="86"/>
  <c r="E35" i="86" l="1"/>
  <c r="M171" i="60"/>
  <c r="K171" i="60" s="1"/>
  <c r="F171" i="60"/>
  <c r="E171" i="60"/>
  <c r="K162" i="66"/>
  <c r="L162" i="66" s="1"/>
  <c r="AB171" i="60" l="1"/>
  <c r="J171" i="60"/>
  <c r="L48" i="66"/>
  <c r="M48" i="66" s="1"/>
  <c r="L39" i="66"/>
  <c r="L29" i="66"/>
  <c r="N171" i="60" l="1"/>
  <c r="M273" i="2"/>
  <c r="K273" i="2" s="1"/>
  <c r="F273" i="2"/>
  <c r="E273" i="2"/>
  <c r="M272" i="2"/>
  <c r="K272" i="2" s="1"/>
  <c r="F272" i="2"/>
  <c r="E272" i="2"/>
  <c r="M271" i="2"/>
  <c r="K271" i="2" s="1"/>
  <c r="F271" i="2"/>
  <c r="E271" i="2"/>
  <c r="M270" i="2"/>
  <c r="K270" i="2" s="1"/>
  <c r="F270" i="2"/>
  <c r="E270" i="2"/>
  <c r="M269" i="2"/>
  <c r="K269" i="2" s="1"/>
  <c r="F269" i="2"/>
  <c r="E269" i="2"/>
  <c r="M268" i="2"/>
  <c r="K268" i="2" s="1"/>
  <c r="F268" i="2"/>
  <c r="E268" i="2"/>
  <c r="M267" i="2"/>
  <c r="K267" i="2" s="1"/>
  <c r="F267" i="2"/>
  <c r="E267" i="2"/>
  <c r="M266" i="2"/>
  <c r="K266" i="2" s="1"/>
  <c r="F266" i="2"/>
  <c r="E266" i="2"/>
  <c r="M265" i="2"/>
  <c r="K265" i="2" s="1"/>
  <c r="F265" i="2"/>
  <c r="E265" i="2"/>
  <c r="M264" i="2"/>
  <c r="K264" i="2" s="1"/>
  <c r="F264" i="2"/>
  <c r="E264" i="2"/>
  <c r="M263" i="2"/>
  <c r="K263" i="2" s="1"/>
  <c r="F263" i="2"/>
  <c r="E263" i="2"/>
  <c r="M262" i="2"/>
  <c r="K262" i="2" s="1"/>
  <c r="F262" i="2"/>
  <c r="E262" i="2"/>
  <c r="M261" i="2"/>
  <c r="K261" i="2" s="1"/>
  <c r="F261" i="2"/>
  <c r="E261" i="2"/>
  <c r="M260" i="2"/>
  <c r="K260" i="2" s="1"/>
  <c r="F260" i="2"/>
  <c r="E260" i="2"/>
  <c r="G74" i="99"/>
  <c r="D98" i="99" s="1"/>
  <c r="J62" i="99"/>
  <c r="D65" i="99"/>
  <c r="D64" i="99"/>
  <c r="D63" i="99"/>
  <c r="D103" i="99" s="1"/>
  <c r="J268" i="2" l="1"/>
  <c r="J271" i="2"/>
  <c r="N271" i="2" s="1"/>
  <c r="J267" i="2"/>
  <c r="J272" i="2"/>
  <c r="J263" i="2"/>
  <c r="N263" i="2" s="1"/>
  <c r="J273" i="2"/>
  <c r="J269" i="2"/>
  <c r="N269" i="2" s="1"/>
  <c r="J262" i="2"/>
  <c r="J266" i="2"/>
  <c r="J270" i="2"/>
  <c r="J261" i="2"/>
  <c r="N261" i="2" s="1"/>
  <c r="J265" i="2"/>
  <c r="N265" i="2" s="1"/>
  <c r="J260" i="2"/>
  <c r="J264" i="2"/>
  <c r="D74" i="99"/>
  <c r="N262" i="2" l="1"/>
  <c r="N260" i="2"/>
  <c r="N272" i="2"/>
  <c r="N264" i="2"/>
  <c r="N273" i="2"/>
  <c r="N267" i="2"/>
  <c r="N270" i="2"/>
  <c r="N266" i="2"/>
  <c r="N268" i="2"/>
  <c r="M47" i="2"/>
  <c r="K47" i="2" s="1"/>
  <c r="F47" i="2"/>
  <c r="E47" i="2"/>
  <c r="J47" i="2" l="1"/>
  <c r="N47" i="2" l="1"/>
  <c r="M478" i="54"/>
  <c r="F478" i="54"/>
  <c r="E478" i="54"/>
  <c r="M439" i="54"/>
  <c r="K439" i="54" s="1"/>
  <c r="F439" i="54"/>
  <c r="E439" i="54"/>
  <c r="M438" i="54"/>
  <c r="K438" i="54" s="1"/>
  <c r="F438" i="54"/>
  <c r="E438" i="54"/>
  <c r="D155" i="32"/>
  <c r="AN439" i="54" l="1"/>
  <c r="AN438" i="54"/>
  <c r="K478" i="54"/>
  <c r="J478" i="54"/>
  <c r="J438" i="54"/>
  <c r="J439" i="54"/>
  <c r="D24" i="91"/>
  <c r="D23" i="91"/>
  <c r="D22" i="91"/>
  <c r="D21" i="91"/>
  <c r="D20" i="91"/>
  <c r="A24" i="91"/>
  <c r="A23" i="91"/>
  <c r="A22" i="91"/>
  <c r="A21" i="91"/>
  <c r="A20" i="91"/>
  <c r="AN478" i="54" l="1"/>
  <c r="N439" i="54"/>
  <c r="N438" i="54"/>
  <c r="N478" i="54"/>
  <c r="K126" i="66"/>
  <c r="F1011" i="58" l="1"/>
  <c r="E1011" i="58"/>
  <c r="F1007" i="58"/>
  <c r="E1007" i="58"/>
  <c r="F985" i="58"/>
  <c r="E985" i="58"/>
  <c r="F984" i="58"/>
  <c r="E984" i="58"/>
  <c r="F872" i="58"/>
  <c r="E872" i="58"/>
  <c r="F946" i="58"/>
  <c r="E946" i="58"/>
  <c r="F767" i="58"/>
  <c r="E767" i="58"/>
  <c r="F534" i="58"/>
  <c r="E534" i="58"/>
  <c r="F513" i="58"/>
  <c r="E513" i="58"/>
  <c r="F41" i="58"/>
  <c r="E41" i="58"/>
  <c r="F40" i="58"/>
  <c r="E40" i="58"/>
  <c r="F39" i="58"/>
  <c r="E39" i="58"/>
  <c r="F38" i="58"/>
  <c r="E38" i="58"/>
  <c r="F37" i="58"/>
  <c r="E37" i="58"/>
  <c r="F36" i="58"/>
  <c r="E36" i="58"/>
  <c r="J37" i="58" l="1"/>
  <c r="J1007" i="58"/>
  <c r="J1011" i="58"/>
  <c r="J984" i="58"/>
  <c r="J985" i="58"/>
  <c r="J872" i="58"/>
  <c r="J946" i="58"/>
  <c r="AK946" i="58" s="1"/>
  <c r="J767" i="58"/>
  <c r="J534" i="58"/>
  <c r="J513" i="58"/>
  <c r="J38" i="58"/>
  <c r="J39" i="58"/>
  <c r="J36" i="58"/>
  <c r="J40" i="58"/>
  <c r="J41" i="58"/>
  <c r="AK872" i="58" l="1"/>
  <c r="AK1011" i="58"/>
  <c r="AK513" i="58"/>
  <c r="AK1007" i="58"/>
  <c r="AK767" i="58"/>
  <c r="AK985" i="58"/>
  <c r="AK984" i="58"/>
  <c r="AK534" i="58"/>
  <c r="D185" i="46"/>
  <c r="D169" i="46"/>
  <c r="D163" i="46"/>
  <c r="D165" i="46"/>
  <c r="D162" i="46"/>
  <c r="M455" i="54"/>
  <c r="F455" i="54"/>
  <c r="E455" i="54"/>
  <c r="M454" i="54"/>
  <c r="F454" i="54"/>
  <c r="E454" i="54"/>
  <c r="K454" i="54" l="1"/>
  <c r="K455" i="54"/>
  <c r="J454" i="54"/>
  <c r="J455" i="54"/>
  <c r="AN455" i="54" l="1"/>
  <c r="AN454" i="54"/>
  <c r="N455" i="54"/>
  <c r="N454" i="54"/>
  <c r="M126" i="93" l="1"/>
  <c r="E126" i="93"/>
  <c r="K40" i="66" l="1"/>
  <c r="L40" i="66" s="1"/>
  <c r="M40" i="66" s="1"/>
  <c r="K38" i="66"/>
  <c r="L38" i="66" s="1"/>
  <c r="M38" i="66" s="1"/>
  <c r="E337" i="2" l="1"/>
  <c r="F337" i="2"/>
  <c r="E338" i="2"/>
  <c r="F338" i="2"/>
  <c r="E339" i="2"/>
  <c r="F339" i="2"/>
  <c r="E340" i="2"/>
  <c r="F340" i="2"/>
  <c r="J160" i="66" l="1"/>
  <c r="K160" i="66" l="1"/>
  <c r="D11" i="80"/>
  <c r="I419" i="54"/>
  <c r="H419" i="54"/>
  <c r="G419" i="54"/>
  <c r="E277" i="86"/>
  <c r="E295" i="86"/>
  <c r="E258" i="86"/>
  <c r="E207" i="86"/>
  <c r="AE1027" i="58" l="1"/>
  <c r="AD1027" i="58"/>
  <c r="AE1026" i="58"/>
  <c r="AD1026" i="58"/>
  <c r="AE1025" i="58"/>
  <c r="AD1025" i="58"/>
  <c r="AE1024" i="58"/>
  <c r="AD1024" i="58"/>
  <c r="AE1023" i="58"/>
  <c r="AD1023" i="58"/>
  <c r="AE1022" i="58"/>
  <c r="AD1022" i="58"/>
  <c r="AE1021" i="58"/>
  <c r="AD1021" i="58"/>
  <c r="AE1020" i="58"/>
  <c r="AD1020" i="58"/>
  <c r="AE1019" i="58"/>
  <c r="AD1019" i="58"/>
  <c r="AE1018" i="58"/>
  <c r="AD1018" i="58"/>
  <c r="AE1017" i="58"/>
  <c r="AD1017" i="58"/>
  <c r="AE1016" i="58"/>
  <c r="AD1016" i="58"/>
  <c r="AE1015" i="58"/>
  <c r="AD1015" i="58"/>
  <c r="AE1014" i="58"/>
  <c r="AD1014" i="58"/>
  <c r="AE1013" i="58"/>
  <c r="AD1013" i="58"/>
  <c r="AE1012" i="58"/>
  <c r="AD1012" i="58"/>
  <c r="AE1006" i="58"/>
  <c r="AD1006" i="58"/>
  <c r="AE1004" i="58"/>
  <c r="AD1004" i="58"/>
  <c r="AE1003" i="58"/>
  <c r="AD1003" i="58"/>
  <c r="AE1002" i="58"/>
  <c r="AD1002" i="58"/>
  <c r="AE1001" i="58"/>
  <c r="AD1001" i="58"/>
  <c r="AE1000" i="58"/>
  <c r="AD1000" i="58"/>
  <c r="AE999" i="58"/>
  <c r="AD999" i="58"/>
  <c r="AE998" i="58"/>
  <c r="AD998" i="58"/>
  <c r="AE997" i="58"/>
  <c r="AD997" i="58"/>
  <c r="AE996" i="58"/>
  <c r="AD996" i="58"/>
  <c r="AE995" i="58"/>
  <c r="AD995" i="58"/>
  <c r="AE994" i="58"/>
  <c r="AD994" i="58"/>
  <c r="AE993" i="58"/>
  <c r="AD993" i="58"/>
  <c r="AE992" i="58"/>
  <c r="AD992" i="58"/>
  <c r="AE991" i="58"/>
  <c r="AD991" i="58"/>
  <c r="AE990" i="58"/>
  <c r="AD990" i="58"/>
  <c r="AE989" i="58"/>
  <c r="AD989" i="58"/>
  <c r="AE988" i="58"/>
  <c r="AD988" i="58"/>
  <c r="AE987" i="58"/>
  <c r="AD987" i="58"/>
  <c r="AE986" i="58"/>
  <c r="AD986" i="58"/>
  <c r="AE983" i="58"/>
  <c r="AD983" i="58"/>
  <c r="AE982" i="58"/>
  <c r="AD982" i="58"/>
  <c r="AE981" i="58"/>
  <c r="AD981" i="58"/>
  <c r="AE980" i="58"/>
  <c r="AD980" i="58"/>
  <c r="AE979" i="58"/>
  <c r="AD979" i="58"/>
  <c r="AE978" i="58"/>
  <c r="AD978" i="58"/>
  <c r="AE977" i="58"/>
  <c r="AD977" i="58"/>
  <c r="AE976" i="58"/>
  <c r="AD976" i="58"/>
  <c r="AE975" i="58"/>
  <c r="AD975" i="58"/>
  <c r="AE974" i="58"/>
  <c r="AD974" i="58"/>
  <c r="AE973" i="58"/>
  <c r="AD973" i="58"/>
  <c r="AE972" i="58"/>
  <c r="AD972" i="58"/>
  <c r="AE971" i="58"/>
  <c r="AD971" i="58"/>
  <c r="AE970" i="58"/>
  <c r="AD970" i="58"/>
  <c r="AE969" i="58"/>
  <c r="AD969" i="58"/>
  <c r="AE968" i="58"/>
  <c r="AD968" i="58"/>
  <c r="AE967" i="58"/>
  <c r="AD967" i="58"/>
  <c r="AE966" i="58"/>
  <c r="AD966" i="58"/>
  <c r="AE965" i="58"/>
  <c r="AD965" i="58"/>
  <c r="AE964" i="58"/>
  <c r="AD964" i="58"/>
  <c r="AE963" i="58"/>
  <c r="AD963" i="58"/>
  <c r="AE962" i="58"/>
  <c r="AD962" i="58"/>
  <c r="AE961" i="58"/>
  <c r="AD961" i="58"/>
  <c r="AE960" i="58"/>
  <c r="AD960" i="58"/>
  <c r="AE959" i="58"/>
  <c r="AD959" i="58"/>
  <c r="AE958" i="58"/>
  <c r="AD958" i="58"/>
  <c r="AE947" i="58"/>
  <c r="AD947" i="58"/>
  <c r="AE945" i="58"/>
  <c r="AD945" i="58"/>
  <c r="AE944" i="58"/>
  <c r="AD944" i="58"/>
  <c r="AE943" i="58"/>
  <c r="AD943" i="58"/>
  <c r="AE942" i="58"/>
  <c r="AD942" i="58"/>
  <c r="AE941" i="58"/>
  <c r="AD941" i="58"/>
  <c r="AE940" i="58"/>
  <c r="AD940" i="58"/>
  <c r="AE939" i="58"/>
  <c r="AD939" i="58"/>
  <c r="AE938" i="58"/>
  <c r="AD938" i="58"/>
  <c r="AE902" i="58"/>
  <c r="AD902" i="58"/>
  <c r="AE937" i="58"/>
  <c r="AD937" i="58"/>
  <c r="AE936" i="58"/>
  <c r="AD936" i="58"/>
  <c r="AE935" i="58"/>
  <c r="AD935" i="58"/>
  <c r="AE934" i="58"/>
  <c r="AD934" i="58"/>
  <c r="AE933" i="58"/>
  <c r="AD933" i="58"/>
  <c r="AE932" i="58"/>
  <c r="AD932" i="58"/>
  <c r="AE931" i="58"/>
  <c r="AD931" i="58"/>
  <c r="AE1028" i="58"/>
  <c r="AD1028" i="58"/>
  <c r="AK974" i="58" l="1"/>
  <c r="K51" i="71"/>
  <c r="D19" i="91" l="1"/>
  <c r="D18" i="91"/>
  <c r="J110" i="66"/>
  <c r="K110" i="66" s="1"/>
  <c r="L110" i="66" s="1"/>
  <c r="M110" i="66" s="1"/>
  <c r="C7" i="89" l="1"/>
  <c r="C8" i="89"/>
  <c r="C9" i="89"/>
  <c r="C10" i="89"/>
  <c r="C11" i="89"/>
  <c r="C12" i="89"/>
  <c r="C13" i="89"/>
  <c r="C17" i="89"/>
  <c r="C18" i="89"/>
  <c r="C155" i="32" l="1"/>
  <c r="J134" i="66"/>
  <c r="J207" i="66" l="1"/>
  <c r="K207" i="66" s="1"/>
  <c r="L207" i="66" s="1"/>
  <c r="M207" i="66" s="1"/>
  <c r="N207" i="66" s="1"/>
  <c r="O207" i="66" s="1"/>
  <c r="F995" i="58"/>
  <c r="E995" i="58"/>
  <c r="F994" i="58"/>
  <c r="E994" i="58"/>
  <c r="F850" i="58"/>
  <c r="E850" i="58"/>
  <c r="F362" i="58"/>
  <c r="E362" i="58"/>
  <c r="F48" i="58"/>
  <c r="E48" i="58"/>
  <c r="F47" i="58"/>
  <c r="E47" i="58"/>
  <c r="F46" i="58"/>
  <c r="E46" i="58"/>
  <c r="F45" i="58"/>
  <c r="E45" i="58"/>
  <c r="F44" i="58"/>
  <c r="E44" i="58"/>
  <c r="F43" i="58"/>
  <c r="E43" i="58"/>
  <c r="F42" i="58"/>
  <c r="E42" i="58"/>
  <c r="F244" i="58"/>
  <c r="E244" i="58"/>
  <c r="F10" i="58"/>
  <c r="E10" i="58"/>
  <c r="D52" i="94"/>
  <c r="D51" i="94"/>
  <c r="M125" i="93"/>
  <c r="E125" i="93"/>
  <c r="D24" i="99" s="1"/>
  <c r="D54" i="99"/>
  <c r="J54" i="99" s="1"/>
  <c r="J850" i="58" l="1"/>
  <c r="J994" i="58"/>
  <c r="J995" i="58"/>
  <c r="J362" i="58"/>
  <c r="J43" i="58"/>
  <c r="J42" i="58"/>
  <c r="J44" i="58"/>
  <c r="J10" i="58"/>
  <c r="J45" i="58"/>
  <c r="J47" i="58"/>
  <c r="J244" i="58"/>
  <c r="J46" i="58"/>
  <c r="J48" i="58"/>
  <c r="J218" i="66"/>
  <c r="AK995" i="58" l="1"/>
  <c r="AK994" i="58"/>
  <c r="AK850" i="58"/>
  <c r="D173" i="46"/>
  <c r="J203" i="66"/>
  <c r="K203" i="66" s="1"/>
  <c r="L203" i="66" s="1"/>
  <c r="M203" i="66" s="1"/>
  <c r="AT449" i="54"/>
  <c r="J206" i="66" l="1"/>
  <c r="K206" i="66" s="1"/>
  <c r="L206" i="66" s="1"/>
  <c r="M206" i="66" s="1"/>
  <c r="J221" i="66" l="1"/>
  <c r="K221" i="66" s="1"/>
  <c r="L221" i="66" s="1"/>
  <c r="M221" i="66" s="1"/>
  <c r="N221" i="66" s="1"/>
  <c r="M100" i="93" l="1"/>
  <c r="K100" i="93" s="1"/>
  <c r="F100" i="93"/>
  <c r="E100" i="93"/>
  <c r="M99" i="93"/>
  <c r="K99" i="93" s="1"/>
  <c r="F99" i="93"/>
  <c r="E99" i="93"/>
  <c r="M385" i="54"/>
  <c r="M384" i="54"/>
  <c r="M383" i="54"/>
  <c r="M479" i="54"/>
  <c r="F479" i="54"/>
  <c r="E479" i="54"/>
  <c r="H357" i="55" s="1"/>
  <c r="E446" i="54"/>
  <c r="E451" i="54"/>
  <c r="E452" i="54"/>
  <c r="E437" i="54"/>
  <c r="E429" i="54"/>
  <c r="H337" i="55" s="1"/>
  <c r="E450" i="54"/>
  <c r="H371" i="55" s="1"/>
  <c r="E449" i="54"/>
  <c r="E448" i="54"/>
  <c r="E447" i="54"/>
  <c r="E445" i="54"/>
  <c r="H361" i="55" s="1"/>
  <c r="E444" i="54"/>
  <c r="E443" i="54"/>
  <c r="E436" i="54"/>
  <c r="H344" i="55" s="1"/>
  <c r="E435" i="54"/>
  <c r="E434" i="54"/>
  <c r="E433" i="54"/>
  <c r="E432" i="54"/>
  <c r="E431" i="54"/>
  <c r="H339" i="55" s="1"/>
  <c r="E428" i="54"/>
  <c r="E427" i="54"/>
  <c r="E430" i="54"/>
  <c r="M407" i="54"/>
  <c r="F407" i="54"/>
  <c r="E407" i="54"/>
  <c r="M69" i="54"/>
  <c r="K69" i="54" s="1"/>
  <c r="F69" i="54"/>
  <c r="E69" i="54"/>
  <c r="M68" i="54"/>
  <c r="K68" i="54" s="1"/>
  <c r="F68" i="54"/>
  <c r="E68" i="54"/>
  <c r="E20" i="79"/>
  <c r="H340" i="55" l="1"/>
  <c r="H367" i="55"/>
  <c r="H372" i="55"/>
  <c r="H364" i="55"/>
  <c r="H365" i="55"/>
  <c r="H370" i="55"/>
  <c r="H360" i="55"/>
  <c r="H343" i="55"/>
  <c r="H366" i="55"/>
  <c r="H368" i="55"/>
  <c r="H369" i="55"/>
  <c r="H362" i="55"/>
  <c r="H335" i="55"/>
  <c r="H336" i="55"/>
  <c r="K407" i="54"/>
  <c r="K479" i="54"/>
  <c r="J479" i="54"/>
  <c r="J99" i="93"/>
  <c r="J100" i="93"/>
  <c r="J407" i="54"/>
  <c r="J68" i="54"/>
  <c r="N68" i="54" s="1"/>
  <c r="J69" i="54"/>
  <c r="J188" i="66"/>
  <c r="K188" i="66" s="1"/>
  <c r="AN407" i="54" l="1"/>
  <c r="AN479" i="54"/>
  <c r="N69" i="54"/>
  <c r="N407" i="54"/>
  <c r="N479" i="54"/>
  <c r="N100" i="93"/>
  <c r="N99" i="93"/>
  <c r="D45" i="87"/>
  <c r="E101" i="86" l="1"/>
  <c r="I308" i="86"/>
  <c r="H308" i="86"/>
  <c r="G308" i="86"/>
  <c r="AB308" i="86"/>
  <c r="AA308" i="86"/>
  <c r="Y308" i="86"/>
  <c r="X308" i="86"/>
  <c r="W308" i="86"/>
  <c r="E305" i="86"/>
  <c r="E308" i="86" s="1"/>
  <c r="E196" i="86"/>
  <c r="AB346" i="93"/>
  <c r="AB345" i="93"/>
  <c r="AB344" i="93"/>
  <c r="AB343" i="93"/>
  <c r="AB342" i="93"/>
  <c r="AB341" i="93"/>
  <c r="AB340" i="93"/>
  <c r="AB339" i="93"/>
  <c r="AB338" i="93"/>
  <c r="AB337" i="93"/>
  <c r="AB336" i="93"/>
  <c r="AB335" i="93"/>
  <c r="AB334" i="93"/>
  <c r="AB333" i="93"/>
  <c r="AB321" i="93"/>
  <c r="AB317" i="93"/>
  <c r="AB316" i="93"/>
  <c r="AB315" i="93"/>
  <c r="AB314" i="93"/>
  <c r="AB313" i="93"/>
  <c r="AB312" i="93"/>
  <c r="AB311" i="93"/>
  <c r="AB310" i="93"/>
  <c r="AB301" i="93"/>
  <c r="AB300" i="93"/>
  <c r="AB299" i="93"/>
  <c r="AB298" i="93"/>
  <c r="AB297" i="93"/>
  <c r="AB296" i="93"/>
  <c r="AB295" i="93"/>
  <c r="AB294" i="93"/>
  <c r="AB293" i="93"/>
  <c r="AB292" i="93"/>
  <c r="AB291" i="93"/>
  <c r="AB290" i="93"/>
  <c r="AB289" i="93"/>
  <c r="AB288" i="93"/>
  <c r="AB287" i="93"/>
  <c r="AB286" i="93"/>
  <c r="AB285" i="93"/>
  <c r="AB284" i="93"/>
  <c r="AB283" i="93"/>
  <c r="AB282" i="93"/>
  <c r="AB281" i="93"/>
  <c r="AB280" i="93"/>
  <c r="AB279" i="93"/>
  <c r="AB278" i="93"/>
  <c r="AB277" i="93"/>
  <c r="AB276" i="93"/>
  <c r="AB275" i="93"/>
  <c r="AB274" i="93"/>
  <c r="AB273" i="93"/>
  <c r="AB272" i="93"/>
  <c r="AB271" i="93"/>
  <c r="AB270" i="93"/>
  <c r="AB269" i="93"/>
  <c r="AB268" i="93"/>
  <c r="AB267" i="93"/>
  <c r="AB266" i="93"/>
  <c r="AB265" i="93"/>
  <c r="AB264" i="93"/>
  <c r="AB263" i="93"/>
  <c r="AB262" i="93"/>
  <c r="AB261" i="93"/>
  <c r="AB260" i="93"/>
  <c r="AB259" i="93"/>
  <c r="AB258" i="93"/>
  <c r="AB257" i="93"/>
  <c r="AB256" i="93"/>
  <c r="AB255" i="93"/>
  <c r="AB254" i="93"/>
  <c r="AB253" i="93"/>
  <c r="AB252" i="93"/>
  <c r="AB251" i="93"/>
  <c r="AB250" i="93"/>
  <c r="AB249" i="93"/>
  <c r="AB248" i="93"/>
  <c r="AB247" i="93"/>
  <c r="AB246" i="93"/>
  <c r="AB245" i="93"/>
  <c r="AB244" i="93"/>
  <c r="AB243" i="93"/>
  <c r="AB242" i="93"/>
  <c r="AB241" i="93"/>
  <c r="AB240" i="93"/>
  <c r="AB239" i="93"/>
  <c r="AB238" i="93"/>
  <c r="AB237" i="93"/>
  <c r="AB236" i="93"/>
  <c r="AB235" i="93"/>
  <c r="AB234" i="93"/>
  <c r="AB233" i="93"/>
  <c r="AB232" i="93"/>
  <c r="AB231" i="93"/>
  <c r="AB230" i="93"/>
  <c r="AB229" i="93"/>
  <c r="AB228" i="93"/>
  <c r="AB227" i="93"/>
  <c r="AB226" i="93"/>
  <c r="AB225" i="93"/>
  <c r="AB223" i="93"/>
  <c r="AB222" i="93"/>
  <c r="AB221" i="93"/>
  <c r="AB220" i="93"/>
  <c r="AB219" i="93"/>
  <c r="AB218" i="93"/>
  <c r="AB217" i="93"/>
  <c r="AB216" i="93"/>
  <c r="AB215" i="93"/>
  <c r="AB214" i="93"/>
  <c r="AB213" i="93"/>
  <c r="AB212" i="93"/>
  <c r="AB211" i="93"/>
  <c r="AB210" i="93"/>
  <c r="AB209" i="93"/>
  <c r="AB208" i="93"/>
  <c r="AB207" i="93"/>
  <c r="AB206" i="93"/>
  <c r="AB205" i="93"/>
  <c r="AB204" i="93"/>
  <c r="AB203" i="93"/>
  <c r="AB202" i="93"/>
  <c r="AB201" i="93"/>
  <c r="AB200" i="93"/>
  <c r="AB199" i="93"/>
  <c r="AB198" i="93"/>
  <c r="AB197" i="93"/>
  <c r="AB196" i="93"/>
  <c r="AB195" i="93"/>
  <c r="AB194" i="93"/>
  <c r="AB193" i="93"/>
  <c r="AB192" i="93"/>
  <c r="AB191" i="93"/>
  <c r="AB190" i="93"/>
  <c r="AB189" i="93"/>
  <c r="AB188" i="93"/>
  <c r="AB187" i="93"/>
  <c r="AB186" i="93"/>
  <c r="AB185" i="93"/>
  <c r="AB184" i="93"/>
  <c r="AB183" i="93"/>
  <c r="AB182" i="93"/>
  <c r="AB181" i="93"/>
  <c r="AB180" i="93"/>
  <c r="AB179" i="93"/>
  <c r="AB178" i="93"/>
  <c r="AB177" i="93"/>
  <c r="AB176" i="93"/>
  <c r="AB175" i="93"/>
  <c r="M308" i="86" l="1"/>
  <c r="AB325" i="86"/>
  <c r="AB324" i="86"/>
  <c r="AB323" i="86"/>
  <c r="AB322" i="86"/>
  <c r="AB321" i="86"/>
  <c r="AB320" i="86"/>
  <c r="AB319" i="86"/>
  <c r="AB318" i="86"/>
  <c r="AB311" i="86"/>
  <c r="AB310" i="86"/>
  <c r="AB301" i="86"/>
  <c r="AB300" i="86"/>
  <c r="AB299" i="86"/>
  <c r="AB298" i="86"/>
  <c r="AB297" i="86"/>
  <c r="AB295" i="86"/>
  <c r="AB294" i="86"/>
  <c r="AB290" i="86"/>
  <c r="AB293" i="86"/>
  <c r="AB292" i="86"/>
  <c r="AB291" i="86"/>
  <c r="AB289" i="86"/>
  <c r="AB288" i="86"/>
  <c r="AB287" i="86"/>
  <c r="AB286" i="86"/>
  <c r="AB285" i="86"/>
  <c r="AB284" i="86"/>
  <c r="AB283" i="86"/>
  <c r="AB282" i="86"/>
  <c r="AB281" i="86"/>
  <c r="AB280" i="86"/>
  <c r="AB279" i="86"/>
  <c r="AB277" i="86"/>
  <c r="AB276" i="86"/>
  <c r="AB273" i="86"/>
  <c r="AB275" i="86"/>
  <c r="AB274" i="86"/>
  <c r="AB272" i="86"/>
  <c r="AB271" i="86"/>
  <c r="AB270" i="86"/>
  <c r="AB269" i="86"/>
  <c r="AB268" i="86"/>
  <c r="AB267" i="86"/>
  <c r="AB266" i="86"/>
  <c r="AB265" i="86"/>
  <c r="AB264" i="86"/>
  <c r="AB263" i="86"/>
  <c r="AB262" i="86"/>
  <c r="AB261" i="86"/>
  <c r="AB260" i="86"/>
  <c r="AB259" i="86"/>
  <c r="AB258" i="86"/>
  <c r="AB257" i="86"/>
  <c r="AB254" i="86"/>
  <c r="AB256" i="86"/>
  <c r="AB255" i="86"/>
  <c r="AB253" i="86"/>
  <c r="AB252" i="86"/>
  <c r="AB251" i="86"/>
  <c r="AB250" i="86"/>
  <c r="AB249" i="86"/>
  <c r="AB248" i="86"/>
  <c r="AB247" i="86"/>
  <c r="AB246" i="86"/>
  <c r="AB245" i="86"/>
  <c r="AB244" i="86"/>
  <c r="AB243" i="86"/>
  <c r="AB242" i="86"/>
  <c r="AB241" i="86"/>
  <c r="AB240" i="86"/>
  <c r="AB237" i="86"/>
  <c r="AB235" i="86"/>
  <c r="AB234" i="86"/>
  <c r="AB233" i="86"/>
  <c r="AB232" i="86"/>
  <c r="AB231" i="86"/>
  <c r="AB230" i="86"/>
  <c r="AB229" i="86"/>
  <c r="AB228" i="86"/>
  <c r="AB227" i="86"/>
  <c r="AB226" i="86"/>
  <c r="AB225" i="86"/>
  <c r="AB224" i="86"/>
  <c r="AB223" i="86"/>
  <c r="AB222" i="86"/>
  <c r="AB221" i="86"/>
  <c r="AB220" i="86"/>
  <c r="AB219" i="86"/>
  <c r="AB218" i="86"/>
  <c r="AB217" i="86"/>
  <c r="AB216" i="86"/>
  <c r="AB215" i="86"/>
  <c r="AB214" i="86"/>
  <c r="AB213" i="86"/>
  <c r="AB212" i="86"/>
  <c r="AB211" i="86"/>
  <c r="AB210" i="86"/>
  <c r="AB209" i="86"/>
  <c r="AB206" i="86"/>
  <c r="AB205" i="86"/>
  <c r="AB204" i="86"/>
  <c r="AB203" i="86"/>
  <c r="AE927" i="58" l="1"/>
  <c r="AE926" i="58"/>
  <c r="AE914" i="58"/>
  <c r="AE913" i="58"/>
  <c r="AE912" i="58"/>
  <c r="AE911" i="58"/>
  <c r="AE910" i="58"/>
  <c r="AE909" i="58"/>
  <c r="AE908" i="58"/>
  <c r="AE907" i="58"/>
  <c r="AE906" i="58"/>
  <c r="AE905" i="58"/>
  <c r="AE904" i="58"/>
  <c r="AE903" i="58"/>
  <c r="AE901" i="58"/>
  <c r="AE900" i="58"/>
  <c r="AE899" i="58"/>
  <c r="AE898" i="58"/>
  <c r="AE897" i="58"/>
  <c r="AE896" i="58"/>
  <c r="AE895" i="58"/>
  <c r="AE894" i="58"/>
  <c r="AE893" i="58"/>
  <c r="AE892" i="58"/>
  <c r="AE891" i="58"/>
  <c r="AE890" i="58"/>
  <c r="AE889" i="58"/>
  <c r="AE888" i="58"/>
  <c r="AE887" i="58"/>
  <c r="AE886" i="58"/>
  <c r="AE885" i="58"/>
  <c r="AE884" i="58"/>
  <c r="AE883" i="58"/>
  <c r="AE882" i="58"/>
  <c r="AE881" i="58"/>
  <c r="AE880" i="58"/>
  <c r="AE879" i="58"/>
  <c r="AE878" i="58"/>
  <c r="AE877" i="58"/>
  <c r="AE876" i="58"/>
  <c r="AE875" i="58"/>
  <c r="AE874" i="58"/>
  <c r="AE873" i="58"/>
  <c r="AE871" i="58"/>
  <c r="AE869" i="58"/>
  <c r="AE868" i="58"/>
  <c r="AE867" i="58"/>
  <c r="AE866" i="58"/>
  <c r="AE865" i="58"/>
  <c r="AE864" i="58"/>
  <c r="AE863" i="58"/>
  <c r="AE861" i="58"/>
  <c r="AE860" i="58"/>
  <c r="AE859" i="58"/>
  <c r="AE858" i="58"/>
  <c r="AE857" i="58"/>
  <c r="AE856" i="58"/>
  <c r="AE855" i="58"/>
  <c r="AE854" i="58"/>
  <c r="AE853" i="58"/>
  <c r="AE852" i="58"/>
  <c r="AE851" i="58"/>
  <c r="AE849" i="58"/>
  <c r="AE847" i="58"/>
  <c r="AE846" i="58"/>
  <c r="AE845" i="58"/>
  <c r="AE844" i="58"/>
  <c r="AE843" i="58"/>
  <c r="AE842" i="58"/>
  <c r="AE841" i="58"/>
  <c r="AE840" i="58"/>
  <c r="AE839" i="58"/>
  <c r="AE838" i="58"/>
  <c r="AE837" i="58"/>
  <c r="AE836" i="58"/>
  <c r="AE835" i="58"/>
  <c r="AE833" i="58"/>
  <c r="AE832" i="58"/>
  <c r="AE831" i="58"/>
  <c r="AE830" i="58"/>
  <c r="AE829" i="58"/>
  <c r="AE828" i="58"/>
  <c r="AE827" i="58"/>
  <c r="AE826" i="58"/>
  <c r="AE825" i="58"/>
  <c r="AE824" i="58"/>
  <c r="AE823" i="58"/>
  <c r="AE822" i="58"/>
  <c r="AE821" i="58"/>
  <c r="AE820" i="58"/>
  <c r="AE819" i="58"/>
  <c r="AE818" i="58"/>
  <c r="AE817" i="58"/>
  <c r="AE816" i="58"/>
  <c r="AE815" i="58"/>
  <c r="AE814" i="58"/>
  <c r="AE813" i="58"/>
  <c r="AE812" i="58"/>
  <c r="AE811" i="58"/>
  <c r="AE810" i="58"/>
  <c r="AE809" i="58"/>
  <c r="AE808" i="58"/>
  <c r="AE807" i="58"/>
  <c r="AE806" i="58"/>
  <c r="AE805" i="58"/>
  <c r="AE804" i="58"/>
  <c r="AE803" i="58"/>
  <c r="AE802" i="58"/>
  <c r="AE801" i="58"/>
  <c r="AE800" i="58"/>
  <c r="AE799" i="58"/>
  <c r="AE798" i="58"/>
  <c r="AE797" i="58"/>
  <c r="AE796" i="58"/>
  <c r="AE795" i="58"/>
  <c r="AE794" i="58"/>
  <c r="AE793" i="58"/>
  <c r="AE792" i="58"/>
  <c r="AE791" i="58"/>
  <c r="AE790" i="58"/>
  <c r="AE789" i="58"/>
  <c r="AE788" i="58"/>
  <c r="AE787" i="58"/>
  <c r="AE786" i="58"/>
  <c r="AE785" i="58"/>
  <c r="AE784" i="58"/>
  <c r="AE783" i="58"/>
  <c r="AE782" i="58"/>
  <c r="AE781" i="58"/>
  <c r="AE780" i="58"/>
  <c r="AE779" i="58"/>
  <c r="AE778" i="58"/>
  <c r="AE777" i="58"/>
  <c r="AE776" i="58"/>
  <c r="AE775" i="58"/>
  <c r="AE774" i="58"/>
  <c r="AE773" i="58"/>
  <c r="AE772" i="58"/>
  <c r="AE771" i="58"/>
  <c r="AE770" i="58"/>
  <c r="AE769" i="58"/>
  <c r="AE768" i="58"/>
  <c r="AE766" i="58"/>
  <c r="AE765" i="58"/>
  <c r="AE764" i="58"/>
  <c r="AE763" i="58"/>
  <c r="AE762" i="58"/>
  <c r="AE761" i="58"/>
  <c r="AE760" i="58"/>
  <c r="AE759" i="58"/>
  <c r="AE758" i="58"/>
  <c r="AE757" i="58"/>
  <c r="AE756" i="58"/>
  <c r="AE755" i="58"/>
  <c r="AE754" i="58"/>
  <c r="AE753" i="58"/>
  <c r="AE752" i="58"/>
  <c r="AE751" i="58"/>
  <c r="AE750" i="58"/>
  <c r="AE748" i="58"/>
  <c r="AE747" i="58"/>
  <c r="AE746" i="58"/>
  <c r="AE745" i="58"/>
  <c r="AE744" i="58"/>
  <c r="AE743" i="58"/>
  <c r="AE742" i="58"/>
  <c r="AE741" i="58"/>
  <c r="AE740" i="58"/>
  <c r="AE739" i="58"/>
  <c r="AE738" i="58"/>
  <c r="AE737" i="58"/>
  <c r="AE736" i="58"/>
  <c r="AE735" i="58"/>
  <c r="AE734" i="58"/>
  <c r="AE733" i="58"/>
  <c r="AE732" i="58"/>
  <c r="AE731" i="58"/>
  <c r="AE730" i="58"/>
  <c r="AE729" i="58"/>
  <c r="AE728" i="58"/>
  <c r="AE727" i="58"/>
  <c r="AE726" i="58"/>
  <c r="AE725" i="58"/>
  <c r="AE724" i="58"/>
  <c r="AE723" i="58"/>
  <c r="AE722" i="58"/>
  <c r="AE721" i="58"/>
  <c r="AE720" i="58"/>
  <c r="AE719" i="58"/>
  <c r="AE718" i="58"/>
  <c r="AE717" i="58"/>
  <c r="AE716" i="58"/>
  <c r="AE715" i="58"/>
  <c r="AE714" i="58"/>
  <c r="AE713" i="58"/>
  <c r="AE712" i="58"/>
  <c r="AE711" i="58"/>
  <c r="AE710" i="58"/>
  <c r="AE709" i="58"/>
  <c r="AE708" i="58"/>
  <c r="AE706" i="58"/>
  <c r="AE705" i="58"/>
  <c r="AE704" i="58"/>
  <c r="AE703" i="58"/>
  <c r="AE702" i="58"/>
  <c r="AE701" i="58"/>
  <c r="AE700" i="58"/>
  <c r="AE699" i="58"/>
  <c r="AE698" i="58"/>
  <c r="AE697" i="58"/>
  <c r="AE696" i="58"/>
  <c r="AE695" i="58"/>
  <c r="AE694" i="58"/>
  <c r="AE693" i="58"/>
  <c r="AE692" i="58"/>
  <c r="AE691" i="58"/>
  <c r="AE690" i="58"/>
  <c r="AE689" i="58"/>
  <c r="AE688" i="58"/>
  <c r="AE687" i="58"/>
  <c r="AE686" i="58"/>
  <c r="AE685" i="58"/>
  <c r="AE684" i="58"/>
  <c r="AE683" i="58"/>
  <c r="AE682" i="58"/>
  <c r="AE681" i="58"/>
  <c r="AE680" i="58"/>
  <c r="AE679" i="58"/>
  <c r="AE678" i="58"/>
  <c r="AE677" i="58"/>
  <c r="AE676" i="58"/>
  <c r="AE675" i="58"/>
  <c r="AE674" i="58"/>
  <c r="AE673" i="58"/>
  <c r="AE672" i="58"/>
  <c r="AE671" i="58"/>
  <c r="AE670" i="58"/>
  <c r="AE669" i="58"/>
  <c r="AE668" i="58"/>
  <c r="AE667" i="58"/>
  <c r="AE666" i="58"/>
  <c r="AE665" i="58"/>
  <c r="AE664" i="58"/>
  <c r="AE663" i="58"/>
  <c r="AE662" i="58"/>
  <c r="AE661" i="58"/>
  <c r="AE660" i="58"/>
  <c r="AE659" i="58"/>
  <c r="AE658" i="58"/>
  <c r="AE657" i="58"/>
  <c r="AE656" i="58"/>
  <c r="AE655" i="58"/>
  <c r="AE654" i="58"/>
  <c r="AE653" i="58"/>
  <c r="AE652" i="58"/>
  <c r="AE651" i="58"/>
  <c r="AE650" i="58"/>
  <c r="AE649" i="58"/>
  <c r="AE648" i="58"/>
  <c r="AE647" i="58"/>
  <c r="AE646" i="58"/>
  <c r="AE645" i="58"/>
  <c r="AE644" i="58"/>
  <c r="AE643" i="58"/>
  <c r="AE642" i="58"/>
  <c r="AE641" i="58"/>
  <c r="AE640" i="58"/>
  <c r="AE639" i="58"/>
  <c r="AE638" i="58"/>
  <c r="AE637" i="58"/>
  <c r="AE636" i="58"/>
  <c r="AE635" i="58"/>
  <c r="AE634" i="58"/>
  <c r="AE633" i="58"/>
  <c r="AE632" i="58"/>
  <c r="AE631" i="58"/>
  <c r="AE630" i="58"/>
  <c r="AE629" i="58"/>
  <c r="AE628" i="58"/>
  <c r="AE627" i="58"/>
  <c r="AE626" i="58"/>
  <c r="AE625" i="58"/>
  <c r="AE624" i="58"/>
  <c r="AE623" i="58"/>
  <c r="AE622" i="58"/>
  <c r="AE621" i="58"/>
  <c r="AE620" i="58"/>
  <c r="AE619" i="58"/>
  <c r="AE618" i="58"/>
  <c r="AE617" i="58"/>
  <c r="AE616" i="58"/>
  <c r="AE615" i="58"/>
  <c r="AE614" i="58"/>
  <c r="AE613" i="58"/>
  <c r="AE612" i="58"/>
  <c r="AE611" i="58"/>
  <c r="AE610" i="58"/>
  <c r="AE609" i="58"/>
  <c r="AE608" i="58"/>
  <c r="AE607" i="58"/>
  <c r="AE606" i="58"/>
  <c r="AE605" i="58"/>
  <c r="AE604" i="58"/>
  <c r="AE603" i="58"/>
  <c r="AE602" i="58"/>
  <c r="AE601" i="58"/>
  <c r="AE600" i="58"/>
  <c r="AE599" i="58"/>
  <c r="AE598" i="58"/>
  <c r="AE597" i="58"/>
  <c r="AE596" i="58"/>
  <c r="AE595" i="58"/>
  <c r="AE594" i="58"/>
  <c r="AE593" i="58"/>
  <c r="AE592" i="58"/>
  <c r="AE591" i="58"/>
  <c r="AE589" i="58"/>
  <c r="AE588" i="58"/>
  <c r="AE587" i="58"/>
  <c r="AE586" i="58"/>
  <c r="AE585" i="58"/>
  <c r="AE584" i="58"/>
  <c r="AE583" i="58"/>
  <c r="AE582" i="58"/>
  <c r="AE581" i="58"/>
  <c r="AE580" i="58"/>
  <c r="AE579" i="58"/>
  <c r="AE578" i="58"/>
  <c r="AE577" i="58"/>
  <c r="AE576" i="58"/>
  <c r="AE575" i="58"/>
  <c r="AE574" i="58"/>
  <c r="AE573" i="58"/>
  <c r="AE572" i="58"/>
  <c r="AE571" i="58"/>
  <c r="AE570" i="58"/>
  <c r="AE569" i="58"/>
  <c r="AE568" i="58"/>
  <c r="AE567" i="58"/>
  <c r="AE566" i="58"/>
  <c r="AE564" i="58"/>
  <c r="AE563" i="58"/>
  <c r="AE562" i="58"/>
  <c r="AE561" i="58"/>
  <c r="AE560" i="58"/>
  <c r="AE559" i="58"/>
  <c r="AE558" i="58"/>
  <c r="AE565" i="58"/>
  <c r="AE557" i="58"/>
  <c r="AE556" i="58"/>
  <c r="AE555" i="58"/>
  <c r="AE554" i="58"/>
  <c r="AE553" i="58"/>
  <c r="AE552" i="58"/>
  <c r="AE551" i="58"/>
  <c r="AE550" i="58"/>
  <c r="AE549" i="58"/>
  <c r="AE548" i="58"/>
  <c r="AE547" i="58"/>
  <c r="AE546" i="58"/>
  <c r="AE545" i="58"/>
  <c r="AE544" i="58"/>
  <c r="AE543" i="58"/>
  <c r="AE542" i="58"/>
  <c r="AE541" i="58"/>
  <c r="AE540" i="58"/>
  <c r="AE539" i="58"/>
  <c r="AE538" i="58"/>
  <c r="AE536" i="58"/>
  <c r="AE535" i="58"/>
  <c r="AE533" i="58"/>
  <c r="AE532" i="58"/>
  <c r="AE531" i="58"/>
  <c r="AE530" i="58"/>
  <c r="AE529" i="58"/>
  <c r="AE528" i="58"/>
  <c r="AE527" i="58"/>
  <c r="AE524" i="58"/>
  <c r="AE523" i="58"/>
  <c r="AE522" i="58"/>
  <c r="AE521" i="58"/>
  <c r="AE520" i="58"/>
  <c r="AE519" i="58"/>
  <c r="AE518" i="58"/>
  <c r="AE517" i="58"/>
  <c r="AE516" i="58"/>
  <c r="AE512" i="58"/>
  <c r="AE511" i="58"/>
  <c r="AE510" i="58"/>
  <c r="AE509" i="58"/>
  <c r="AE508" i="58"/>
  <c r="AE507" i="58"/>
  <c r="AE506" i="58"/>
  <c r="AE505" i="58"/>
  <c r="AE504" i="58"/>
  <c r="AE503" i="58"/>
  <c r="AE502" i="58"/>
  <c r="AE501" i="58"/>
  <c r="AE500" i="58"/>
  <c r="AE499" i="58"/>
  <c r="AE498" i="58"/>
  <c r="AE497" i="58"/>
  <c r="AE496" i="58"/>
  <c r="AE495" i="58"/>
  <c r="AE494" i="58"/>
  <c r="AE493" i="58"/>
  <c r="AE492" i="58"/>
  <c r="AE491" i="58"/>
  <c r="AE490" i="58"/>
  <c r="AE489" i="58"/>
  <c r="AE488" i="58"/>
  <c r="AE482" i="58"/>
  <c r="AE481" i="58"/>
  <c r="AE480" i="58"/>
  <c r="AE479" i="58"/>
  <c r="AE478" i="58"/>
  <c r="AE477" i="58"/>
  <c r="AE476" i="58"/>
  <c r="AE475" i="58"/>
  <c r="AE474" i="58"/>
  <c r="AE473" i="58"/>
  <c r="AE472" i="58"/>
  <c r="AE471" i="58"/>
  <c r="AE470" i="58"/>
  <c r="AE469" i="58"/>
  <c r="AE468" i="58"/>
  <c r="AE467" i="58"/>
  <c r="AE466" i="58"/>
  <c r="AE465" i="58"/>
  <c r="AE464" i="58"/>
  <c r="AE463" i="58"/>
  <c r="AE462" i="58"/>
  <c r="AE461" i="58"/>
  <c r="AE460" i="58"/>
  <c r="AE459" i="58"/>
  <c r="AE458" i="58"/>
  <c r="AE457" i="58"/>
  <c r="AH502" i="54" l="1"/>
  <c r="AH501" i="54"/>
  <c r="AH500" i="54"/>
  <c r="AH499" i="54"/>
  <c r="AH498" i="54"/>
  <c r="AH497" i="54"/>
  <c r="AH496" i="54"/>
  <c r="AH495" i="54"/>
  <c r="AH494" i="54"/>
  <c r="AH493" i="54"/>
  <c r="AH492" i="54"/>
  <c r="AH491" i="54"/>
  <c r="AH490" i="54"/>
  <c r="AH489" i="54"/>
  <c r="AH488" i="54"/>
  <c r="AH487" i="54"/>
  <c r="AH486" i="54"/>
  <c r="AH485" i="54"/>
  <c r="AH484" i="54"/>
  <c r="AH483" i="54"/>
  <c r="AH482" i="54"/>
  <c r="AH481" i="54"/>
  <c r="AH480" i="54"/>
  <c r="AH477" i="54"/>
  <c r="AH476" i="54"/>
  <c r="AH475" i="54"/>
  <c r="AH474" i="54"/>
  <c r="AH473" i="54"/>
  <c r="AH472" i="54"/>
  <c r="AH466" i="54"/>
  <c r="AH465" i="54"/>
  <c r="AH464" i="54"/>
  <c r="AH463" i="54"/>
  <c r="AH462" i="54"/>
  <c r="AH461" i="54"/>
  <c r="AH460" i="54"/>
  <c r="AH459" i="54"/>
  <c r="AH458" i="54"/>
  <c r="AH446" i="54"/>
  <c r="AH451" i="54"/>
  <c r="AH452" i="54"/>
  <c r="AH437" i="54"/>
  <c r="AH429" i="54"/>
  <c r="AH450" i="54"/>
  <c r="AH449" i="54"/>
  <c r="AH448" i="54"/>
  <c r="AH447" i="54"/>
  <c r="AH445" i="54"/>
  <c r="AH444" i="54"/>
  <c r="AH443" i="54"/>
  <c r="AH436" i="54"/>
  <c r="AH435" i="54"/>
  <c r="AH434" i="54"/>
  <c r="AH433" i="54"/>
  <c r="AH432" i="54"/>
  <c r="AH431" i="54"/>
  <c r="AH430" i="54"/>
  <c r="AH428" i="54"/>
  <c r="AH427" i="54"/>
  <c r="AH426" i="54"/>
  <c r="AH425" i="54"/>
  <c r="AH424" i="54"/>
  <c r="AH423" i="54"/>
  <c r="AH422" i="54"/>
  <c r="AH421" i="54"/>
  <c r="AH420" i="54"/>
  <c r="AH419" i="54"/>
  <c r="AH418" i="54"/>
  <c r="AH409" i="54"/>
  <c r="AH416" i="54"/>
  <c r="AH415" i="54"/>
  <c r="AH414" i="54"/>
  <c r="AH413" i="54"/>
  <c r="AH411" i="54"/>
  <c r="AH410" i="54"/>
  <c r="AH405" i="54"/>
  <c r="AH404" i="54"/>
  <c r="AH403" i="54"/>
  <c r="AH401" i="54"/>
  <c r="AH400" i="54"/>
  <c r="AH398" i="54"/>
  <c r="AH397" i="54"/>
  <c r="AH396" i="54"/>
  <c r="AH395" i="54"/>
  <c r="AH394" i="54"/>
  <c r="AH393" i="54"/>
  <c r="AH392" i="54"/>
  <c r="AH391" i="54"/>
  <c r="AH390" i="54"/>
  <c r="AH388" i="54"/>
  <c r="AH387" i="54"/>
  <c r="AH386" i="54"/>
  <c r="AH385" i="54"/>
  <c r="AH384" i="54"/>
  <c r="AH383" i="54"/>
  <c r="AH382" i="54"/>
  <c r="AH381" i="54"/>
  <c r="AH380" i="54"/>
  <c r="AH379" i="54"/>
  <c r="AH378" i="54"/>
  <c r="AH377" i="54"/>
  <c r="AH376" i="54"/>
  <c r="AH375" i="54"/>
  <c r="AH374" i="54"/>
  <c r="AH373" i="54"/>
  <c r="AH372" i="54"/>
  <c r="AH371" i="54"/>
  <c r="AH370" i="54"/>
  <c r="AH369" i="54"/>
  <c r="AH368" i="54"/>
  <c r="AH367" i="54"/>
  <c r="AH366" i="54"/>
  <c r="AH365" i="54"/>
  <c r="AH364" i="54"/>
  <c r="AH363" i="54"/>
  <c r="AH362" i="54"/>
  <c r="AH361" i="54"/>
  <c r="AH360" i="54"/>
  <c r="AH359" i="54"/>
  <c r="AH358" i="54"/>
  <c r="AH357" i="54"/>
  <c r="AH356" i="54"/>
  <c r="AH355" i="54"/>
  <c r="AH354" i="54"/>
  <c r="AH353" i="54"/>
  <c r="AH351" i="54"/>
  <c r="AH350" i="54"/>
  <c r="AH349" i="54"/>
  <c r="AH344" i="54"/>
  <c r="AH343" i="54"/>
  <c r="AH342" i="54"/>
  <c r="AH341" i="54"/>
  <c r="AH340" i="54"/>
  <c r="AH339" i="54"/>
  <c r="AH338" i="54"/>
  <c r="AH337" i="54"/>
  <c r="AH336" i="54"/>
  <c r="AH335" i="54"/>
  <c r="AH334" i="54"/>
  <c r="AH333" i="54"/>
  <c r="AH332" i="54"/>
  <c r="AH331" i="54"/>
  <c r="AH330" i="54"/>
  <c r="AH329" i="54"/>
  <c r="AH328" i="54"/>
  <c r="AH327" i="54"/>
  <c r="AH326" i="54"/>
  <c r="AH325" i="54"/>
  <c r="AH324" i="54"/>
  <c r="AH323" i="54"/>
  <c r="AH322" i="54"/>
  <c r="AH321" i="54"/>
  <c r="AH320" i="54"/>
  <c r="AH319" i="54"/>
  <c r="AH318" i="54"/>
  <c r="AH317" i="54"/>
  <c r="AH316" i="54"/>
  <c r="AH315" i="54"/>
  <c r="AH314" i="54"/>
  <c r="AH389" i="54" l="1"/>
  <c r="AH399" i="54" l="1"/>
  <c r="AH402" i="54"/>
  <c r="AG998" i="2" l="1"/>
  <c r="AG997" i="2"/>
  <c r="AG991" i="2"/>
  <c r="AG990" i="2"/>
  <c r="AG989" i="2"/>
  <c r="AG988" i="2"/>
  <c r="AG986" i="2"/>
  <c r="AG983" i="2"/>
  <c r="AG982" i="2"/>
  <c r="AG981" i="2"/>
  <c r="AG980" i="2"/>
  <c r="AG979" i="2"/>
  <c r="AG978" i="2"/>
  <c r="AG976" i="2"/>
  <c r="AG950" i="2"/>
  <c r="AG949" i="2"/>
  <c r="AG948" i="2"/>
  <c r="AG934" i="2"/>
  <c r="AG927" i="2"/>
  <c r="AG926" i="2"/>
  <c r="AG925" i="2"/>
  <c r="AG924" i="2"/>
  <c r="AG923" i="2"/>
  <c r="AG922" i="2"/>
  <c r="AG921" i="2"/>
  <c r="AG920" i="2"/>
  <c r="AG918" i="2"/>
  <c r="AG911" i="2"/>
  <c r="AG909" i="2"/>
  <c r="AG885" i="2"/>
  <c r="AG884" i="2"/>
  <c r="AG883" i="2"/>
  <c r="AG875" i="2"/>
  <c r="AG874" i="2"/>
  <c r="AG873" i="2"/>
  <c r="AG872" i="2"/>
  <c r="AG870" i="2"/>
  <c r="AG869" i="2"/>
  <c r="AG868" i="2"/>
  <c r="AG867" i="2"/>
  <c r="AG860" i="2"/>
  <c r="AG859" i="2"/>
  <c r="AG858" i="2"/>
  <c r="AG857" i="2"/>
  <c r="AG854" i="2"/>
  <c r="AG853" i="2"/>
  <c r="AG851" i="2"/>
  <c r="AG815" i="2"/>
  <c r="AG803" i="2"/>
  <c r="AG796" i="2"/>
  <c r="AG783" i="2"/>
  <c r="AG782" i="2"/>
  <c r="AG756" i="2"/>
  <c r="AG754" i="2"/>
  <c r="AG750" i="2"/>
  <c r="AG747" i="2"/>
  <c r="AG745" i="2"/>
  <c r="AG744" i="2"/>
  <c r="AG731" i="2"/>
  <c r="AG726" i="2"/>
  <c r="AG722" i="2"/>
  <c r="AG716" i="2"/>
  <c r="AG715" i="2"/>
  <c r="AG714" i="2"/>
  <c r="AG713" i="2"/>
  <c r="AG710" i="2"/>
  <c r="AG709" i="2"/>
  <c r="AG707" i="2"/>
  <c r="AG705" i="2"/>
  <c r="AG691" i="2"/>
  <c r="AG685" i="2"/>
  <c r="AG684" i="2"/>
  <c r="AG661" i="2"/>
  <c r="AG660" i="2"/>
  <c r="AG658" i="2"/>
  <c r="AG645" i="2"/>
  <c r="AG639" i="2"/>
  <c r="AG634" i="2"/>
  <c r="AG633" i="2"/>
  <c r="AG631" i="2"/>
  <c r="AG628" i="2"/>
  <c r="AG627" i="2"/>
  <c r="AG626" i="2"/>
  <c r="AG625" i="2"/>
  <c r="AG624" i="2"/>
  <c r="AG623" i="2"/>
  <c r="AG622" i="2"/>
  <c r="AG621" i="2"/>
  <c r="AG620" i="2"/>
  <c r="AG619" i="2"/>
  <c r="AG617" i="2"/>
  <c r="AG596" i="2"/>
  <c r="AG594" i="2"/>
  <c r="AG586" i="2"/>
  <c r="AG583" i="2"/>
  <c r="AG582" i="2"/>
  <c r="AG555" i="2"/>
  <c r="AG552" i="2"/>
  <c r="AG549" i="2"/>
  <c r="AG545" i="2"/>
  <c r="AG539" i="2"/>
  <c r="AG535" i="2"/>
  <c r="AG532" i="2"/>
  <c r="AG672" i="2" l="1"/>
  <c r="AG847" i="2"/>
  <c r="AG673" i="2" l="1"/>
  <c r="AG641" i="2"/>
  <c r="AG538" i="2"/>
  <c r="AG642" i="2" l="1"/>
  <c r="AG581" i="2"/>
  <c r="AG579" i="2" l="1"/>
  <c r="AG915" i="2" l="1"/>
  <c r="AG907" i="2" l="1"/>
  <c r="AG577" i="2"/>
  <c r="AG908" i="2"/>
  <c r="AG561" i="2" l="1"/>
  <c r="AG557" i="2"/>
  <c r="AG559" i="2"/>
  <c r="AG558" i="2"/>
  <c r="AG560" i="2"/>
  <c r="AG889" i="2" l="1"/>
  <c r="AG562" i="2" l="1"/>
  <c r="AG729" i="2" l="1"/>
  <c r="AG969" i="2" l="1"/>
  <c r="AG939" i="2" l="1"/>
  <c r="AG1005" i="2" l="1"/>
  <c r="AG677" i="2" l="1"/>
  <c r="AG697" i="2"/>
  <c r="AG666" i="2"/>
  <c r="AG674" i="2" l="1"/>
  <c r="AG664" i="2"/>
  <c r="AG663" i="2"/>
  <c r="AG683" i="2"/>
  <c r="AG662" i="2"/>
  <c r="AG694" i="2"/>
  <c r="AG682" i="2"/>
  <c r="AG678" i="2"/>
  <c r="AG695" i="2"/>
  <c r="AG692" i="2"/>
  <c r="AG676" i="2"/>
  <c r="AG696" i="2"/>
  <c r="AG679" i="2"/>
  <c r="AG680" i="2"/>
  <c r="AG665" i="2"/>
  <c r="AG693" i="2"/>
  <c r="AG669" i="2" l="1"/>
  <c r="AG670" i="2"/>
  <c r="AG699" i="2"/>
  <c r="AG667" i="2"/>
  <c r="AG698" i="2"/>
  <c r="AG700" i="2"/>
  <c r="AG668" i="2"/>
  <c r="AG702" i="2"/>
  <c r="AG845" i="2" l="1"/>
  <c r="AG975" i="2"/>
  <c r="AG817" i="2"/>
  <c r="AG823" i="2"/>
  <c r="AG849" i="2"/>
  <c r="AG951" i="2"/>
  <c r="AG687" i="2"/>
  <c r="AG952" i="2"/>
  <c r="AG828" i="2"/>
  <c r="AG688" i="2"/>
  <c r="AG831" i="2"/>
  <c r="AG650" i="2"/>
  <c r="AG830" i="2"/>
  <c r="AG689" i="2"/>
  <c r="AG834" i="2"/>
  <c r="AG971" i="2"/>
  <c r="AG686" i="2"/>
  <c r="AG690" i="2"/>
  <c r="AG972" i="2"/>
  <c r="AG551" i="2"/>
  <c r="AG547" i="2"/>
  <c r="AG584" i="2" l="1"/>
  <c r="AG592" i="2"/>
  <c r="AG970" i="2"/>
  <c r="AG772" i="2"/>
  <c r="AG597" i="2"/>
  <c r="AG891" i="2"/>
  <c r="AG953" i="2"/>
  <c r="AG820" i="2"/>
  <c r="AG944" i="2"/>
  <c r="AG832" i="2"/>
  <c r="AG608" i="2"/>
  <c r="AG601" i="2"/>
  <c r="AG839" i="2"/>
  <c r="AG954" i="2"/>
  <c r="AG932" i="2"/>
  <c r="AG575" i="2"/>
  <c r="AG957" i="2"/>
  <c r="AG829" i="2"/>
  <c r="AG955" i="2"/>
  <c r="AG720" i="2"/>
  <c r="AG724" i="2"/>
  <c r="AG928" i="2"/>
  <c r="AG611" i="2"/>
  <c r="AG933" i="2"/>
  <c r="AG840" i="2"/>
  <c r="AG916" i="2"/>
  <c r="AG906" i="2"/>
  <c r="AG994" i="2"/>
  <c r="AG833" i="2"/>
  <c r="AG993" i="2"/>
  <c r="AG651" i="2"/>
  <c r="AG657" i="2"/>
  <c r="AG609" i="2"/>
  <c r="AG591" i="2"/>
  <c r="AG606" i="2"/>
  <c r="AG602" i="2"/>
  <c r="AG864" i="2"/>
  <c r="AG930" i="2"/>
  <c r="AG862" i="2"/>
  <c r="AG821" i="2"/>
  <c r="AG818" i="2"/>
  <c r="AG912" i="2"/>
  <c r="AG819" i="2"/>
  <c r="AG612" i="2"/>
  <c r="AG574" i="2"/>
  <c r="AG929" i="2"/>
  <c r="AG743" i="2"/>
  <c r="AG836" i="2"/>
  <c r="AG956" i="2"/>
  <c r="AG893" i="2"/>
  <c r="AG791" i="2"/>
  <c r="AG827" i="2"/>
  <c r="AG824" i="2"/>
  <c r="AG931" i="2"/>
  <c r="AG825" i="2"/>
  <c r="AG599" i="2"/>
  <c r="AG974" i="2"/>
  <c r="AG795" i="2"/>
  <c r="AG600" i="2"/>
  <c r="AG973" i="2"/>
  <c r="AG598" i="2"/>
  <c r="AG865" i="2"/>
  <c r="AG963" i="2"/>
  <c r="AG844" i="2"/>
  <c r="AG850" i="2"/>
  <c r="AG959" i="2"/>
  <c r="AG896" i="2"/>
  <c r="AG881" i="2"/>
  <c r="AG718" i="2"/>
  <c r="AG794" i="2"/>
  <c r="AG880" i="2"/>
  <c r="AG703" i="2"/>
  <c r="AG826" i="2"/>
  <c r="AG843" i="2"/>
  <c r="AG610" i="2"/>
  <c r="AG835" i="2"/>
  <c r="AG947" i="2"/>
  <c r="AG1002" i="2"/>
  <c r="AG899" i="2"/>
  <c r="AG614" i="2"/>
  <c r="AG793" i="2"/>
  <c r="AG958" i="2"/>
  <c r="AG681" i="2"/>
  <c r="AG531" i="2"/>
  <c r="AG533" i="2"/>
  <c r="AG554" i="2"/>
  <c r="AG550" i="2"/>
  <c r="AG759" i="2" l="1"/>
  <c r="AG809" i="2"/>
  <c r="AG636" i="2"/>
  <c r="AG784" i="2"/>
  <c r="AG786" i="2"/>
  <c r="AG935" i="2"/>
  <c r="AG768" i="2"/>
  <c r="AG773" i="2"/>
  <c r="AG761" i="2"/>
  <c r="AG734" i="2"/>
  <c r="AG967" i="2"/>
  <c r="AG946" i="2"/>
  <c r="AG788" i="2"/>
  <c r="AG572" i="2"/>
  <c r="AG770" i="2"/>
  <c r="AG797" i="2"/>
  <c r="AG792" i="2"/>
  <c r="AG968" i="2"/>
  <c r="AG576" i="2"/>
  <c r="AG879" i="2"/>
  <c r="AG808" i="2"/>
  <c r="AG1001" i="2"/>
  <c r="AG603" i="2"/>
  <c r="AG615" i="2"/>
  <c r="AG635" i="2"/>
  <c r="AG898" i="2"/>
  <c r="AG903" i="2"/>
  <c r="AG787" i="2"/>
  <c r="AG902" i="2"/>
  <c r="AG789" i="2"/>
  <c r="AG765" i="2"/>
  <c r="AG590" i="2"/>
  <c r="AG727" i="2"/>
  <c r="AG769" i="2"/>
  <c r="AG604" i="2"/>
  <c r="AG771" i="2"/>
  <c r="AG766" i="2"/>
  <c r="AG751" i="2"/>
  <c r="AG842" i="2"/>
  <c r="AG807" i="2"/>
  <c r="AG656" i="2"/>
  <c r="AG806" i="2"/>
  <c r="AG846" i="2"/>
  <c r="AG810" i="2"/>
  <c r="AG960" i="2"/>
  <c r="AG1003" i="2"/>
  <c r="AG804" i="2"/>
  <c r="AG777" i="2"/>
  <c r="AG618" i="2"/>
  <c r="AG613" i="2"/>
  <c r="AG605" i="2"/>
  <c r="AG587" i="2"/>
  <c r="AG888" i="2"/>
  <c r="AG785" i="2"/>
  <c r="AG607" i="2"/>
  <c r="AG942" i="2"/>
  <c r="AG999" i="2"/>
  <c r="AG887" i="2"/>
  <c r="AG800" i="2"/>
  <c r="AG812" i="2"/>
  <c r="AG940" i="2"/>
  <c r="AG753" i="2"/>
  <c r="AG719" i="2"/>
  <c r="AG886" i="2"/>
  <c r="AG742" i="2"/>
  <c r="AG910" i="2"/>
  <c r="AG790" i="2"/>
  <c r="AG852" i="2"/>
  <c r="AG866" i="2"/>
  <c r="AG774" i="2"/>
  <c r="AG737" i="2"/>
  <c r="AG778" i="2"/>
  <c r="AG776" i="2"/>
  <c r="AG653" i="2"/>
  <c r="AG723" i="2"/>
  <c r="AG802" i="2"/>
  <c r="AG861" i="2"/>
  <c r="AG640" i="2"/>
  <c r="AG649" i="2"/>
  <c r="AG739" i="2"/>
  <c r="AG717" i="2"/>
  <c r="AG900" i="2"/>
  <c r="AG945" i="2"/>
  <c r="AG905" i="2"/>
  <c r="AG760" i="2"/>
  <c r="AG863" i="2"/>
  <c r="AG704" i="2"/>
  <c r="AG646" i="2"/>
  <c r="AG725" i="2"/>
  <c r="AG941" i="2"/>
  <c r="AG904" i="2"/>
  <c r="AG964" i="2"/>
  <c r="AG841" i="2"/>
  <c r="AG897" i="2"/>
  <c r="AG732" i="2"/>
  <c r="AG966" i="2"/>
  <c r="AG767" i="2"/>
  <c r="AG892" i="2"/>
  <c r="AG801" i="2"/>
  <c r="AG895" i="2"/>
  <c r="AG811" i="2"/>
  <c r="AG736" i="2"/>
  <c r="AG961" i="2"/>
  <c r="AG876" i="2"/>
  <c r="AG943" i="2"/>
  <c r="AG589" i="2"/>
  <c r="AG1004" i="2"/>
  <c r="AG901" i="2"/>
  <c r="AG762" i="2"/>
  <c r="AG822" i="2"/>
  <c r="AG571" i="2"/>
  <c r="AG805" i="2"/>
  <c r="AG637" i="2"/>
  <c r="AG741" i="2"/>
  <c r="AG616" i="2"/>
  <c r="AG775" i="2"/>
  <c r="AG798" i="2"/>
  <c r="AG894" i="2"/>
  <c r="AG799" i="2"/>
  <c r="AG965" i="2"/>
  <c r="AG530" i="2"/>
  <c r="AG542" i="2"/>
  <c r="AG543" i="2"/>
  <c r="AG546" i="2"/>
  <c r="AG536" i="2"/>
  <c r="AG544" i="2"/>
  <c r="AG537" i="2"/>
  <c r="AG556" i="2"/>
  <c r="AG568" i="2"/>
  <c r="AG890" i="2"/>
  <c r="AG573" i="2"/>
  <c r="AG648" i="2" l="1"/>
  <c r="AG733" i="2"/>
  <c r="AG878" i="2"/>
  <c r="AG593" i="2"/>
  <c r="AG730" i="2"/>
  <c r="AG655" i="2"/>
  <c r="AG548" i="2"/>
  <c r="AG540" i="2"/>
  <c r="AG541" i="2"/>
  <c r="AG553" i="2" l="1"/>
  <c r="AG749" i="2"/>
  <c r="AG977" i="2"/>
  <c r="AG962" i="2"/>
  <c r="AG882" i="2"/>
  <c r="AG917" i="2"/>
  <c r="AG748" i="2"/>
  <c r="AG570" i="2"/>
  <c r="AG992" i="2"/>
  <c r="AG755" i="2" l="1"/>
  <c r="AG752" i="2"/>
  <c r="AG534" i="2"/>
  <c r="AG984" i="2" l="1"/>
  <c r="AG711" i="2"/>
  <c r="AG985" i="2"/>
  <c r="AG855" i="2" l="1"/>
  <c r="AG856" i="2"/>
  <c r="AG629" i="2"/>
  <c r="AG630" i="2"/>
  <c r="AG913" i="2" l="1"/>
  <c r="AG919" i="2" l="1"/>
  <c r="AG914" i="2"/>
  <c r="AG987" i="2" l="1"/>
  <c r="AG995" i="2" l="1"/>
  <c r="AG996" i="2" l="1"/>
  <c r="AG1000" i="2" l="1"/>
  <c r="AG706" i="2" l="1"/>
  <c r="AG708" i="2" l="1"/>
  <c r="AG638" i="2" l="1"/>
  <c r="AG659" i="2" l="1"/>
  <c r="AG721" i="2"/>
  <c r="AG712" i="2" l="1"/>
  <c r="AG746" i="2"/>
  <c r="AG871" i="2" l="1"/>
  <c r="AG585" i="2" l="1"/>
  <c r="AG595" i="2" l="1"/>
  <c r="AG632" i="2" l="1"/>
  <c r="D81" i="25" l="1"/>
  <c r="E81" i="25"/>
  <c r="F81" i="25"/>
  <c r="G81" i="25"/>
  <c r="H81" i="25"/>
  <c r="C81" i="25"/>
  <c r="C23" i="36" l="1"/>
  <c r="C26" i="36" s="1"/>
  <c r="N3" i="36" l="1"/>
  <c r="M485" i="2" l="1"/>
  <c r="M484" i="2"/>
  <c r="M483" i="2"/>
  <c r="M481" i="2"/>
  <c r="M480" i="2"/>
  <c r="M482" i="2"/>
  <c r="E146" i="6" l="1"/>
  <c r="E96" i="55" l="1"/>
  <c r="E97" i="55" s="1"/>
  <c r="K6" i="46" l="1"/>
  <c r="K16" i="46" l="1"/>
  <c r="M77" i="87"/>
  <c r="M76" i="87"/>
  <c r="M75" i="87"/>
  <c r="M52" i="87" l="1"/>
  <c r="M53" i="87" s="1"/>
  <c r="E84" i="61" l="1"/>
  <c r="D84" i="61"/>
  <c r="D83" i="61"/>
  <c r="D38" i="30"/>
  <c r="I222" i="66" l="1"/>
  <c r="J222" i="66" s="1"/>
  <c r="K222" i="66" s="1"/>
  <c r="L222" i="66" s="1"/>
  <c r="M222" i="66" s="1"/>
  <c r="N222" i="66" s="1"/>
  <c r="O222" i="66" s="1"/>
  <c r="I223" i="66"/>
  <c r="K37" i="94"/>
  <c r="K36" i="94"/>
  <c r="D37" i="30"/>
  <c r="D36" i="30"/>
  <c r="I126" i="66"/>
  <c r="J126" i="66" s="1"/>
  <c r="L36" i="94" l="1"/>
  <c r="L37" i="94" s="1"/>
  <c r="D130" i="32" l="1"/>
  <c r="I127" i="66" l="1"/>
  <c r="D6" i="32" l="1"/>
  <c r="D228" i="6" l="1"/>
  <c r="D229" i="6"/>
  <c r="D227" i="6"/>
  <c r="D226" i="6"/>
  <c r="D225" i="6"/>
  <c r="D224" i="6"/>
  <c r="D223" i="6"/>
  <c r="D222" i="6"/>
  <c r="D221" i="6"/>
  <c r="D220" i="6"/>
  <c r="D219" i="6"/>
  <c r="D217" i="6"/>
  <c r="D216" i="6"/>
  <c r="D214" i="6"/>
  <c r="E90" i="61" l="1"/>
  <c r="D90" i="61"/>
  <c r="D89" i="61"/>
  <c r="M61" i="87"/>
  <c r="D79" i="87"/>
  <c r="D78" i="87"/>
  <c r="N69" i="71"/>
  <c r="M62" i="87" l="1"/>
  <c r="M60" i="87" s="1"/>
  <c r="D34" i="30"/>
  <c r="D31" i="30"/>
  <c r="D33" i="30"/>
  <c r="G31" i="57" s="1"/>
  <c r="G33" i="57" s="1"/>
  <c r="D32" i="30"/>
  <c r="D49" i="94" l="1"/>
  <c r="D48" i="94"/>
  <c r="D31" i="57" l="1"/>
  <c r="D33" i="57" s="1"/>
  <c r="I160" i="66"/>
  <c r="D172" i="6" l="1"/>
  <c r="L32" i="94" l="1"/>
  <c r="L33" i="94" s="1"/>
  <c r="C10" i="83" l="1"/>
  <c r="D176" i="6" l="1"/>
  <c r="D22" i="6" l="1"/>
  <c r="D21" i="6"/>
  <c r="D154" i="6" l="1"/>
  <c r="D155" i="6"/>
  <c r="D156" i="6"/>
  <c r="D157" i="6"/>
  <c r="F9" i="2" l="1"/>
  <c r="F10" i="2" s="1"/>
  <c r="F14" i="2"/>
  <c r="F15" i="2"/>
  <c r="F17" i="2"/>
  <c r="F18" i="2"/>
  <c r="F19" i="2"/>
  <c r="F20" i="2"/>
  <c r="F26" i="2"/>
  <c r="F29" i="2"/>
  <c r="F35" i="2"/>
  <c r="F48" i="2"/>
  <c r="F49" i="2"/>
  <c r="F50" i="2"/>
  <c r="F51" i="2"/>
  <c r="F52" i="2"/>
  <c r="F53" i="2"/>
  <c r="F54" i="2"/>
  <c r="F55" i="2"/>
  <c r="F56" i="2"/>
  <c r="F57" i="2"/>
  <c r="F58" i="2"/>
  <c r="F59" i="2"/>
  <c r="F60" i="2"/>
  <c r="F62" i="2"/>
  <c r="F63" i="2"/>
  <c r="F64" i="2"/>
  <c r="F65" i="2"/>
  <c r="F66" i="2"/>
  <c r="F67" i="2"/>
  <c r="F68" i="2"/>
  <c r="F69" i="2"/>
  <c r="F72" i="2"/>
  <c r="F79" i="2"/>
  <c r="F80" i="2"/>
  <c r="F81" i="2"/>
  <c r="F82" i="2"/>
  <c r="F83" i="2"/>
  <c r="F84" i="2"/>
  <c r="F85" i="2"/>
  <c r="F86" i="2"/>
  <c r="F87" i="2"/>
  <c r="F88" i="2"/>
  <c r="F89" i="2"/>
  <c r="F90" i="2"/>
  <c r="F91" i="2"/>
  <c r="F92" i="2"/>
  <c r="F93" i="2"/>
  <c r="F94" i="2"/>
  <c r="F95" i="2"/>
  <c r="F98" i="2"/>
  <c r="F99" i="2"/>
  <c r="F100" i="2"/>
  <c r="F101" i="2"/>
  <c r="F102" i="2"/>
  <c r="F103" i="2"/>
  <c r="F104" i="2"/>
  <c r="F105" i="2"/>
  <c r="F106" i="2"/>
  <c r="F107" i="2"/>
  <c r="F108" i="2"/>
  <c r="F109" i="2"/>
  <c r="F110" i="2"/>
  <c r="F111" i="2"/>
  <c r="F112" i="2"/>
  <c r="F113" i="2"/>
  <c r="F114" i="2"/>
  <c r="F115" i="2"/>
  <c r="F116" i="2"/>
  <c r="F117" i="2"/>
  <c r="F118" i="2"/>
  <c r="F121" i="2"/>
  <c r="F126" i="2"/>
  <c r="F128" i="2"/>
  <c r="F129" i="2" s="1"/>
  <c r="F133" i="2"/>
  <c r="F137" i="2"/>
  <c r="F144" i="2"/>
  <c r="F145" i="2"/>
  <c r="F146" i="2"/>
  <c r="F148" i="2"/>
  <c r="F159" i="2"/>
  <c r="F160" i="2"/>
  <c r="F161" i="2"/>
  <c r="F162" i="2"/>
  <c r="F163" i="2"/>
  <c r="F164" i="2"/>
  <c r="F165" i="2"/>
  <c r="F166" i="2"/>
  <c r="F167" i="2"/>
  <c r="F171" i="2"/>
  <c r="F172" i="2"/>
  <c r="F173" i="2"/>
  <c r="F174" i="2"/>
  <c r="F175" i="2"/>
  <c r="F176" i="2"/>
  <c r="F177" i="2"/>
  <c r="F178" i="2"/>
  <c r="F179" i="2"/>
  <c r="F187" i="2"/>
  <c r="F195" i="2"/>
  <c r="F199"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9" i="2"/>
  <c r="F450" i="2"/>
  <c r="F451" i="2"/>
  <c r="F452" i="2"/>
  <c r="F453" i="2"/>
  <c r="F454" i="2"/>
  <c r="F460" i="2"/>
  <c r="F461" i="2"/>
  <c r="F462" i="2"/>
  <c r="F466" i="2"/>
  <c r="F468" i="2" s="1"/>
  <c r="F472" i="2"/>
  <c r="F476" i="2"/>
  <c r="F477" i="2"/>
  <c r="F478" i="2"/>
  <c r="F479" i="2"/>
  <c r="F480" i="2"/>
  <c r="F481" i="2"/>
  <c r="F482" i="2"/>
  <c r="F483" i="2"/>
  <c r="F484" i="2"/>
  <c r="F503" i="2"/>
  <c r="F499" i="2"/>
  <c r="F498" i="2"/>
  <c r="F10" i="6"/>
  <c r="F35" i="6"/>
  <c r="F82" i="6"/>
  <c r="F85" i="6"/>
  <c r="F129" i="6"/>
  <c r="E129" i="6" s="1"/>
  <c r="E130" i="6" s="1"/>
  <c r="E172" i="6"/>
  <c r="M282" i="2"/>
  <c r="K282" i="2" s="1"/>
  <c r="E282" i="2"/>
  <c r="M281" i="2"/>
  <c r="K281" i="2" s="1"/>
  <c r="E281" i="2"/>
  <c r="M280" i="2"/>
  <c r="K280" i="2" s="1"/>
  <c r="E280" i="2"/>
  <c r="M279" i="2"/>
  <c r="K279" i="2" s="1"/>
  <c r="E279" i="2"/>
  <c r="M278" i="2"/>
  <c r="K278" i="2" s="1"/>
  <c r="E278" i="2"/>
  <c r="M277" i="2"/>
  <c r="K277" i="2" s="1"/>
  <c r="E277" i="2"/>
  <c r="M276" i="2"/>
  <c r="K276" i="2" s="1"/>
  <c r="E276" i="2"/>
  <c r="M275" i="2"/>
  <c r="K275" i="2" s="1"/>
  <c r="E275" i="2"/>
  <c r="M274" i="2"/>
  <c r="K274" i="2" s="1"/>
  <c r="E274" i="2"/>
  <c r="F79" i="6" l="1"/>
  <c r="J276" i="2"/>
  <c r="J281" i="2"/>
  <c r="F22" i="2"/>
  <c r="F31" i="2" s="1"/>
  <c r="F464" i="2"/>
  <c r="F169" i="2"/>
  <c r="F180" i="2"/>
  <c r="J277" i="2"/>
  <c r="J280" i="2"/>
  <c r="J274" i="2"/>
  <c r="J275" i="2"/>
  <c r="J282" i="2"/>
  <c r="J279" i="2"/>
  <c r="J278" i="2"/>
  <c r="N276" i="2" l="1"/>
  <c r="N279" i="2"/>
  <c r="N275" i="2"/>
  <c r="N278" i="2"/>
  <c r="N282" i="2"/>
  <c r="N274" i="2"/>
  <c r="N280" i="2"/>
  <c r="N277" i="2"/>
  <c r="N281" i="2"/>
  <c r="F182" i="2"/>
  <c r="D24" i="32" l="1"/>
  <c r="C79" i="28" l="1"/>
  <c r="D79" i="28" s="1"/>
  <c r="C77" i="28"/>
  <c r="D77" i="28" s="1"/>
  <c r="C75" i="28"/>
  <c r="D75" i="28" s="1"/>
  <c r="M290" i="54" l="1"/>
  <c r="E290" i="54"/>
  <c r="I155" i="86" l="1"/>
  <c r="H155" i="86"/>
  <c r="G155" i="86"/>
  <c r="AF672" i="2" l="1"/>
  <c r="AF645" i="2"/>
  <c r="AF641" i="2"/>
  <c r="AF583" i="2"/>
  <c r="AF582" i="2"/>
  <c r="AF538" i="2" l="1"/>
  <c r="AF581" i="2" l="1"/>
  <c r="AF579" i="2"/>
  <c r="AF642" i="2"/>
  <c r="AF639" i="2" l="1"/>
  <c r="AF915" i="2" l="1"/>
  <c r="AF908" i="2" l="1"/>
  <c r="AF907" i="2"/>
  <c r="AF577" i="2"/>
  <c r="AF998" i="2" l="1"/>
  <c r="AF997" i="2"/>
  <c r="AF991" i="2"/>
  <c r="AF989" i="2"/>
  <c r="AF988" i="2"/>
  <c r="AF986" i="2"/>
  <c r="AF983" i="2"/>
  <c r="AF982" i="2"/>
  <c r="AF980" i="2"/>
  <c r="AF979" i="2"/>
  <c r="AF978" i="2"/>
  <c r="AF976" i="2"/>
  <c r="AF950" i="2"/>
  <c r="AF949" i="2"/>
  <c r="AF948" i="2"/>
  <c r="AF934" i="2"/>
  <c r="AF927" i="2"/>
  <c r="AF926" i="2"/>
  <c r="AF925" i="2"/>
  <c r="AF923" i="2"/>
  <c r="AF922" i="2"/>
  <c r="AF921" i="2"/>
  <c r="AF920" i="2"/>
  <c r="AF918" i="2"/>
  <c r="AF911" i="2"/>
  <c r="AF909" i="2"/>
  <c r="AF885" i="2"/>
  <c r="AF884" i="2"/>
  <c r="AF883" i="2"/>
  <c r="AF875" i="2"/>
  <c r="AF874" i="2"/>
  <c r="AF873" i="2"/>
  <c r="AF872" i="2"/>
  <c r="AF870" i="2"/>
  <c r="AF868" i="2"/>
  <c r="AF867" i="2"/>
  <c r="AF859" i="2"/>
  <c r="AF857" i="2"/>
  <c r="AF856" i="2"/>
  <c r="AF853" i="2"/>
  <c r="AF852" i="2"/>
  <c r="AF850" i="2"/>
  <c r="AF815" i="2"/>
  <c r="AF803" i="2"/>
  <c r="AF796" i="2"/>
  <c r="AF783" i="2"/>
  <c r="AF782" i="2"/>
  <c r="AF756" i="2"/>
  <c r="AF754" i="2"/>
  <c r="AF750" i="2"/>
  <c r="AF747" i="2"/>
  <c r="AF745" i="2"/>
  <c r="AF744" i="2"/>
  <c r="AF731" i="2"/>
  <c r="AF726" i="2"/>
  <c r="AF722" i="2"/>
  <c r="AF716" i="2"/>
  <c r="AF715" i="2"/>
  <c r="AF714" i="2"/>
  <c r="AF713" i="2"/>
  <c r="AF710" i="2"/>
  <c r="AF709" i="2"/>
  <c r="AF707" i="2"/>
  <c r="AF705" i="2"/>
  <c r="AF690" i="2"/>
  <c r="AF684" i="2"/>
  <c r="AF683" i="2"/>
  <c r="AF674" i="2"/>
  <c r="AF661" i="2"/>
  <c r="AF660" i="2"/>
  <c r="AF658" i="2"/>
  <c r="AF634" i="2"/>
  <c r="AF633" i="2"/>
  <c r="AF631" i="2"/>
  <c r="AF628" i="2"/>
  <c r="AF625" i="2"/>
  <c r="AF624" i="2"/>
  <c r="AF622" i="2"/>
  <c r="AF621" i="2"/>
  <c r="AF620" i="2"/>
  <c r="AF619" i="2"/>
  <c r="AF617" i="2"/>
  <c r="AF596" i="2"/>
  <c r="AF594" i="2"/>
  <c r="AF586" i="2"/>
  <c r="AF555" i="2"/>
  <c r="AF552" i="2"/>
  <c r="AF549" i="2"/>
  <c r="AF545" i="2"/>
  <c r="AF539" i="2"/>
  <c r="AF535" i="2"/>
  <c r="AF532" i="2"/>
  <c r="AF990" i="2" l="1"/>
  <c r="AF981" i="2"/>
  <c r="AF924" i="2"/>
  <c r="AF869" i="2"/>
  <c r="AF858" i="2"/>
  <c r="AF623" i="2"/>
  <c r="AF638" i="2" l="1"/>
  <c r="AF626" i="2"/>
  <c r="AF560" i="2"/>
  <c r="AF558" i="2"/>
  <c r="AF557" i="2"/>
  <c r="AF559" i="2"/>
  <c r="AF561" i="2"/>
  <c r="AF627" i="2" l="1"/>
  <c r="AF889" i="2"/>
  <c r="AF562" i="2" l="1"/>
  <c r="AF729" i="2" l="1"/>
  <c r="AF969" i="2" l="1"/>
  <c r="AF939" i="2" l="1"/>
  <c r="AF1005" i="2" l="1"/>
  <c r="AF680" i="2" l="1"/>
  <c r="AF682" i="2"/>
  <c r="AF676" i="2"/>
  <c r="AF666" i="2"/>
  <c r="AF697" i="2" l="1"/>
  <c r="AF696" i="2"/>
  <c r="AF681" i="2"/>
  <c r="AF678" i="2"/>
  <c r="AF692" i="2"/>
  <c r="AF695" i="2"/>
  <c r="AF662" i="2"/>
  <c r="AF679" i="2"/>
  <c r="AF664" i="2"/>
  <c r="AF663" i="2"/>
  <c r="AF673" i="2"/>
  <c r="AF693" i="2"/>
  <c r="AF665" i="2"/>
  <c r="AF691" i="2"/>
  <c r="AF694" i="2"/>
  <c r="AF677" i="2"/>
  <c r="AF702" i="2" l="1"/>
  <c r="AF698" i="2"/>
  <c r="AF668" i="2"/>
  <c r="AF699" i="2"/>
  <c r="AF667" i="2"/>
  <c r="AF670" i="2"/>
  <c r="AF700" i="2"/>
  <c r="AF669" i="2"/>
  <c r="AF975" i="2" l="1"/>
  <c r="AF972" i="2"/>
  <c r="AF971" i="2"/>
  <c r="AF952" i="2"/>
  <c r="AF951" i="2"/>
  <c r="AF847" i="2"/>
  <c r="AF845" i="2"/>
  <c r="AF834" i="2"/>
  <c r="AF831" i="2"/>
  <c r="AF830" i="2"/>
  <c r="AF828" i="2"/>
  <c r="AF823" i="2"/>
  <c r="AF817" i="2"/>
  <c r="AF689" i="2"/>
  <c r="AF688" i="2"/>
  <c r="AF687" i="2"/>
  <c r="AF686" i="2"/>
  <c r="AF685" i="2"/>
  <c r="AF650" i="2"/>
  <c r="AF551" i="2"/>
  <c r="AF547" i="2"/>
  <c r="AF703" i="2" l="1"/>
  <c r="AF554" i="2"/>
  <c r="AF836" i="2"/>
  <c r="AF606" i="2"/>
  <c r="AF611" i="2"/>
  <c r="AF598" i="2"/>
  <c r="AF839" i="2"/>
  <c r="AF958" i="2"/>
  <c r="AF880" i="2"/>
  <c r="AF600" i="2"/>
  <c r="AF743" i="2"/>
  <c r="AF591" i="2"/>
  <c r="AF533" i="2"/>
  <c r="AF592" i="2"/>
  <c r="AF601" i="2"/>
  <c r="AF793" i="2"/>
  <c r="AF794" i="2"/>
  <c r="AF795" i="2"/>
  <c r="AF929" i="2"/>
  <c r="AF609" i="2"/>
  <c r="AF928" i="2"/>
  <c r="AF550" i="2"/>
  <c r="AF608" i="2"/>
  <c r="AF614" i="2"/>
  <c r="AF718" i="2"/>
  <c r="AF974" i="2"/>
  <c r="AF574" i="2"/>
  <c r="AF657" i="2"/>
  <c r="AF724" i="2"/>
  <c r="AF864" i="2"/>
  <c r="AF832" i="2"/>
  <c r="AF881" i="2"/>
  <c r="AF599" i="2"/>
  <c r="AF612" i="2"/>
  <c r="AF651" i="2"/>
  <c r="AF720" i="2"/>
  <c r="AF954" i="2"/>
  <c r="AF944" i="2"/>
  <c r="AF899" i="2"/>
  <c r="AF896" i="2"/>
  <c r="AF825" i="2"/>
  <c r="AF819" i="2"/>
  <c r="AF993" i="2"/>
  <c r="AF955" i="2"/>
  <c r="AF826" i="2"/>
  <c r="AF820" i="2"/>
  <c r="AF1002" i="2"/>
  <c r="AF959" i="2"/>
  <c r="AF931" i="2"/>
  <c r="AF912" i="2"/>
  <c r="AF833" i="2"/>
  <c r="AF829" i="2"/>
  <c r="AF973" i="2"/>
  <c r="AF953" i="2"/>
  <c r="AF947" i="2"/>
  <c r="AF849" i="2"/>
  <c r="AF824" i="2"/>
  <c r="AF818" i="2"/>
  <c r="AF994" i="2"/>
  <c r="AF957" i="2"/>
  <c r="AF933" i="2"/>
  <c r="AF891" i="2"/>
  <c r="AF835" i="2"/>
  <c r="AF844" i="2"/>
  <c r="AF827" i="2"/>
  <c r="AF821" i="2"/>
  <c r="AF906" i="2"/>
  <c r="AF531" i="2"/>
  <c r="AF584" i="2"/>
  <c r="AF597" i="2"/>
  <c r="AF610" i="2"/>
  <c r="AF963" i="2"/>
  <c r="AF791" i="2"/>
  <c r="AF862" i="2"/>
  <c r="AF916" i="2"/>
  <c r="AF575" i="2"/>
  <c r="AF602" i="2"/>
  <c r="AF772" i="2"/>
  <c r="AF843" i="2"/>
  <c r="AF865" i="2"/>
  <c r="AF893" i="2"/>
  <c r="AF930" i="2"/>
  <c r="AF840" i="2"/>
  <c r="AF932" i="2"/>
  <c r="AF956" i="2"/>
  <c r="AF970" i="2"/>
  <c r="AF542" i="2" l="1"/>
  <c r="AF727" i="2"/>
  <c r="AF943" i="2"/>
  <c r="AF792" i="2"/>
  <c r="AF965" i="2"/>
  <c r="AF736" i="2"/>
  <c r="AF945" i="2"/>
  <c r="AF886" i="2"/>
  <c r="AF960" i="2"/>
  <c r="AF590" i="2"/>
  <c r="AF777" i="2"/>
  <c r="AF797" i="2"/>
  <c r="AF799" i="2"/>
  <c r="AF811" i="2"/>
  <c r="AF900" i="2"/>
  <c r="AF719" i="2"/>
  <c r="AF810" i="2"/>
  <c r="AF765" i="2"/>
  <c r="AF863" i="2"/>
  <c r="AF894" i="2"/>
  <c r="AF895" i="2"/>
  <c r="AF546" i="2"/>
  <c r="AF753" i="2"/>
  <c r="AF789" i="2"/>
  <c r="AF556" i="2"/>
  <c r="AF770" i="2"/>
  <c r="AF544" i="2"/>
  <c r="AF801" i="2"/>
  <c r="AF717" i="2"/>
  <c r="AF940" i="2"/>
  <c r="AF846" i="2"/>
  <c r="AF902" i="2"/>
  <c r="AF790" i="2"/>
  <c r="AF572" i="2"/>
  <c r="AF798" i="2"/>
  <c r="AF892" i="2"/>
  <c r="AF739" i="2"/>
  <c r="AF812" i="2"/>
  <c r="AF806" i="2"/>
  <c r="AF787" i="2"/>
  <c r="AF809" i="2"/>
  <c r="AF788" i="2"/>
  <c r="AF775" i="2"/>
  <c r="AF767" i="2"/>
  <c r="AF649" i="2"/>
  <c r="AF800" i="2"/>
  <c r="AF656" i="2"/>
  <c r="AF903" i="2"/>
  <c r="AF804" i="2"/>
  <c r="AF946" i="2"/>
  <c r="AF616" i="2"/>
  <c r="AF966" i="2"/>
  <c r="AF640" i="2"/>
  <c r="AF887" i="2"/>
  <c r="AF807" i="2"/>
  <c r="AF898" i="2"/>
  <c r="AF876" i="2"/>
  <c r="AF967" i="2"/>
  <c r="AF741" i="2"/>
  <c r="AF732" i="2"/>
  <c r="AF861" i="2"/>
  <c r="AF999" i="2"/>
  <c r="AF842" i="2"/>
  <c r="AF635" i="2"/>
  <c r="AF769" i="2"/>
  <c r="AF734" i="2"/>
  <c r="AF637" i="2"/>
  <c r="AF897" i="2"/>
  <c r="AF802" i="2"/>
  <c r="AF942" i="2"/>
  <c r="AF751" i="2"/>
  <c r="AF615" i="2"/>
  <c r="AF760" i="2"/>
  <c r="AF761" i="2"/>
  <c r="AF805" i="2"/>
  <c r="AF841" i="2"/>
  <c r="AF723" i="2"/>
  <c r="AF607" i="2"/>
  <c r="AF766" i="2"/>
  <c r="AF543" i="2"/>
  <c r="AF968" i="2"/>
  <c r="AF773" i="2"/>
  <c r="AF571" i="2"/>
  <c r="AF964" i="2"/>
  <c r="AF653" i="2"/>
  <c r="AF785" i="2"/>
  <c r="AF771" i="2"/>
  <c r="AF603" i="2"/>
  <c r="AF910" i="2"/>
  <c r="AF768" i="2"/>
  <c r="AF822" i="2"/>
  <c r="AF904" i="2"/>
  <c r="AF776" i="2"/>
  <c r="AF888" i="2"/>
  <c r="AF537" i="2"/>
  <c r="AF1001" i="2"/>
  <c r="AF759" i="2"/>
  <c r="AF935" i="2"/>
  <c r="AF762" i="2"/>
  <c r="AF941" i="2"/>
  <c r="AF778" i="2"/>
  <c r="AF587" i="2"/>
  <c r="AF808" i="2"/>
  <c r="AF1003" i="2"/>
  <c r="AF901" i="2"/>
  <c r="AF725" i="2"/>
  <c r="AF737" i="2"/>
  <c r="AF605" i="2"/>
  <c r="AF530" i="2"/>
  <c r="AF879" i="2"/>
  <c r="AF961" i="2"/>
  <c r="AF786" i="2"/>
  <c r="AF536" i="2"/>
  <c r="AF646" i="2"/>
  <c r="AF774" i="2"/>
  <c r="AF613" i="2"/>
  <c r="AF604" i="2"/>
  <c r="AF576" i="2"/>
  <c r="AF905" i="2"/>
  <c r="AF784" i="2"/>
  <c r="AF1004" i="2"/>
  <c r="AF742" i="2"/>
  <c r="AF636" i="2"/>
  <c r="AF589" i="2"/>
  <c r="AF704" i="2"/>
  <c r="AF866" i="2"/>
  <c r="AF618" i="2"/>
  <c r="AF851" i="2"/>
  <c r="AF568" i="2" l="1"/>
  <c r="AF890" i="2"/>
  <c r="AF573" i="2"/>
  <c r="AF541" i="2"/>
  <c r="AF540" i="2"/>
  <c r="AF548" i="2"/>
  <c r="AF878" i="2"/>
  <c r="AF733" i="2"/>
  <c r="AF648" i="2"/>
  <c r="AF655" i="2"/>
  <c r="AF730" i="2"/>
  <c r="AF721" i="2"/>
  <c r="AF593" i="2"/>
  <c r="AF553" i="2" l="1"/>
  <c r="AF962" i="2"/>
  <c r="AF748" i="2"/>
  <c r="AF992" i="2"/>
  <c r="AF917" i="2"/>
  <c r="AF882" i="2"/>
  <c r="AF570" i="2"/>
  <c r="AF585" i="2"/>
  <c r="AF977" i="2"/>
  <c r="AF749" i="2"/>
  <c r="AF534" i="2" l="1"/>
  <c r="AF659" i="2"/>
  <c r="AF746" i="2"/>
  <c r="AF595" i="2"/>
  <c r="AF755" i="2"/>
  <c r="AF752" i="2"/>
  <c r="AF985" i="2" l="1"/>
  <c r="AF984" i="2"/>
  <c r="AF711" i="2"/>
  <c r="AF855" i="2" l="1"/>
  <c r="AF854" i="2"/>
  <c r="AF630" i="2"/>
  <c r="AF629" i="2"/>
  <c r="AF632" i="2"/>
  <c r="AF871" i="2" l="1"/>
  <c r="AF913" i="2" l="1"/>
  <c r="AF919" i="2" l="1"/>
  <c r="AF914" i="2"/>
  <c r="AF987" i="2" l="1"/>
  <c r="AF995" i="2" l="1"/>
  <c r="AF996" i="2" l="1"/>
  <c r="AF1000" i="2" l="1"/>
  <c r="AF706" i="2" l="1"/>
  <c r="AF708" i="2" l="1"/>
  <c r="AF712" i="2" l="1"/>
  <c r="E485" i="2" l="1"/>
  <c r="E484" i="2"/>
  <c r="E483" i="2"/>
  <c r="E486" i="2"/>
  <c r="E482" i="2"/>
  <c r="J482" i="2" s="1"/>
  <c r="E478" i="2"/>
  <c r="E481" i="2"/>
  <c r="E480" i="2"/>
  <c r="E477" i="2"/>
  <c r="E476" i="2"/>
  <c r="E479" i="2" l="1"/>
  <c r="J479" i="2" s="1"/>
  <c r="C154" i="78" l="1"/>
  <c r="C149" i="78"/>
  <c r="C143" i="78"/>
  <c r="C136" i="78"/>
  <c r="C128" i="78"/>
  <c r="C119" i="78"/>
  <c r="C109" i="78"/>
  <c r="C86" i="78"/>
  <c r="C73" i="78"/>
  <c r="F45" i="78" l="1"/>
  <c r="F44" i="78"/>
  <c r="M847" i="2" l="1"/>
  <c r="F847" i="2"/>
  <c r="E847" i="2"/>
  <c r="M672" i="2"/>
  <c r="K672" i="2" s="1"/>
  <c r="F672" i="2"/>
  <c r="E672" i="2"/>
  <c r="AM672" i="2" l="1"/>
  <c r="K847" i="2"/>
  <c r="J847" i="2"/>
  <c r="J672" i="2"/>
  <c r="AM847" i="2" l="1"/>
  <c r="N672" i="2"/>
  <c r="N847" i="2"/>
  <c r="M451" i="54"/>
  <c r="I372" i="55" s="1"/>
  <c r="F451" i="54"/>
  <c r="M452" i="54"/>
  <c r="F452" i="54"/>
  <c r="I368" i="55" l="1"/>
  <c r="K452" i="54"/>
  <c r="K451" i="54"/>
  <c r="J452" i="54"/>
  <c r="J451" i="54"/>
  <c r="F126" i="93"/>
  <c r="J126" i="93" s="1"/>
  <c r="D27" i="94"/>
  <c r="AN451" i="54" l="1"/>
  <c r="AN452" i="54"/>
  <c r="H70" i="99"/>
  <c r="D94" i="99" s="1"/>
  <c r="N451" i="54"/>
  <c r="N452" i="54"/>
  <c r="F57" i="99"/>
  <c r="H57" i="99"/>
  <c r="G57" i="99"/>
  <c r="D57" i="99"/>
  <c r="J55" i="99"/>
  <c r="I55" i="99"/>
  <c r="J53" i="99"/>
  <c r="I53" i="99"/>
  <c r="J52" i="99"/>
  <c r="I52" i="99"/>
  <c r="K55" i="99" l="1"/>
  <c r="K53" i="99"/>
  <c r="K52" i="99"/>
  <c r="D28" i="94" l="1"/>
  <c r="AA291" i="93" l="1"/>
  <c r="AA276" i="93"/>
  <c r="AA254" i="93"/>
  <c r="AA344" i="93" l="1"/>
  <c r="AA281" i="93" l="1"/>
  <c r="AA314" i="93"/>
  <c r="AA333" i="93"/>
  <c r="AA248" i="93"/>
  <c r="AA257" i="93"/>
  <c r="AA265" i="93"/>
  <c r="AA290" i="93"/>
  <c r="AA299" i="93"/>
  <c r="AA334" i="93"/>
  <c r="AA342" i="93"/>
  <c r="AA262" i="93"/>
  <c r="AA246" i="93"/>
  <c r="AA313" i="93"/>
  <c r="AA266" i="93"/>
  <c r="AA283" i="93"/>
  <c r="AA292" i="93"/>
  <c r="AA335" i="93"/>
  <c r="AA250" i="93"/>
  <c r="AA259" i="93"/>
  <c r="AA267" i="93"/>
  <c r="AA284" i="93"/>
  <c r="AA293" i="93"/>
  <c r="AA301" i="93"/>
  <c r="AA260" i="93"/>
  <c r="AA268" i="93"/>
  <c r="AA277" i="93"/>
  <c r="AA285" i="93"/>
  <c r="AA310" i="93"/>
  <c r="AA317" i="93"/>
  <c r="AA280" i="93"/>
  <c r="AA249" i="93"/>
  <c r="AA269" i="93"/>
  <c r="AA278" i="93"/>
  <c r="AA286" i="93"/>
  <c r="AA295" i="93"/>
  <c r="AA311" i="93"/>
  <c r="AA338" i="93"/>
  <c r="AA296" i="93"/>
  <c r="AA312" i="93"/>
  <c r="AA255" i="93"/>
  <c r="AA297" i="93"/>
  <c r="AA340" i="93"/>
  <c r="AA247" i="93"/>
  <c r="AA264" i="93"/>
  <c r="AA341" i="93"/>
  <c r="AA261" i="93" l="1"/>
  <c r="AA315" i="93" l="1"/>
  <c r="AA316" i="93"/>
  <c r="AA321" i="93" l="1"/>
  <c r="AA252" i="93" l="1"/>
  <c r="AA294" i="93"/>
  <c r="AA288" i="93"/>
  <c r="AA251" i="93"/>
  <c r="AA282" i="93"/>
  <c r="AA279" i="93"/>
  <c r="AA343" i="93"/>
  <c r="AA253" i="93" l="1"/>
  <c r="AA270" i="93"/>
  <c r="AA275" i="93"/>
  <c r="AA272" i="93"/>
  <c r="AA289" i="93"/>
  <c r="AA287" i="93"/>
  <c r="AA256" i="93"/>
  <c r="AA273" i="93"/>
  <c r="AA346" i="93" l="1"/>
  <c r="AA337" i="93"/>
  <c r="AA274" i="93"/>
  <c r="AA271" i="93" l="1"/>
  <c r="AA298" i="93" l="1"/>
  <c r="AA300" i="93"/>
  <c r="AA263" i="93" l="1"/>
  <c r="AA258" i="93"/>
  <c r="AA336" i="93" l="1"/>
  <c r="AA339" i="93" l="1"/>
  <c r="AA345" i="93" l="1"/>
  <c r="A46" i="91" l="1"/>
  <c r="D68" i="91" l="1"/>
  <c r="E68" i="91"/>
  <c r="B68" i="91"/>
  <c r="C68" i="91"/>
  <c r="M102" i="93" l="1"/>
  <c r="K102" i="93" s="1"/>
  <c r="E102" i="93"/>
  <c r="E66" i="87" l="1"/>
  <c r="D17" i="91"/>
  <c r="D16" i="91"/>
  <c r="D15" i="91"/>
  <c r="D14" i="91"/>
  <c r="I116" i="66"/>
  <c r="J116" i="66" s="1"/>
  <c r="K116" i="66" s="1"/>
  <c r="L116" i="66" s="1"/>
  <c r="M116" i="66" s="1"/>
  <c r="I114" i="66"/>
  <c r="J114" i="66" s="1"/>
  <c r="K114" i="66" s="1"/>
  <c r="L114" i="66" s="1"/>
  <c r="M114" i="66" s="1"/>
  <c r="I115" i="66"/>
  <c r="J115" i="66" s="1"/>
  <c r="K115" i="66" s="1"/>
  <c r="L115" i="66" s="1"/>
  <c r="M115" i="66" s="1"/>
  <c r="I129" i="66" l="1"/>
  <c r="F848" i="58" l="1"/>
  <c r="E848" i="58"/>
  <c r="F930" i="58"/>
  <c r="E930" i="58"/>
  <c r="F929" i="58"/>
  <c r="E929" i="58"/>
  <c r="F928" i="58"/>
  <c r="E928" i="58"/>
  <c r="F514" i="58"/>
  <c r="E514" i="58"/>
  <c r="F421" i="58"/>
  <c r="E421" i="58"/>
  <c r="F420" i="58"/>
  <c r="E420" i="58"/>
  <c r="F417" i="58"/>
  <c r="E417" i="58"/>
  <c r="F372" i="58"/>
  <c r="E372" i="58"/>
  <c r="F366" i="58"/>
  <c r="E366" i="58"/>
  <c r="F61" i="58"/>
  <c r="E61" i="58"/>
  <c r="F60" i="58"/>
  <c r="E60" i="58"/>
  <c r="F59" i="58"/>
  <c r="E59" i="58"/>
  <c r="F58" i="58"/>
  <c r="E58" i="58"/>
  <c r="F57" i="58"/>
  <c r="E57" i="58"/>
  <c r="F56" i="58"/>
  <c r="E56" i="58"/>
  <c r="F55" i="58"/>
  <c r="E55" i="58"/>
  <c r="F54" i="58"/>
  <c r="E54" i="58"/>
  <c r="F53" i="58"/>
  <c r="E53" i="58"/>
  <c r="F52" i="58"/>
  <c r="E52" i="58"/>
  <c r="F51" i="58"/>
  <c r="E51" i="58"/>
  <c r="F50" i="58"/>
  <c r="E50" i="58"/>
  <c r="F49" i="58"/>
  <c r="E49" i="58"/>
  <c r="E82" i="54"/>
  <c r="F82" i="54"/>
  <c r="M82" i="54"/>
  <c r="K82" i="54" s="1"/>
  <c r="E83" i="54"/>
  <c r="F83" i="54"/>
  <c r="M83" i="54"/>
  <c r="K83" i="54" s="1"/>
  <c r="E84" i="54"/>
  <c r="F84" i="54"/>
  <c r="M84" i="54"/>
  <c r="K84" i="54" s="1"/>
  <c r="N84" i="54" s="1"/>
  <c r="E85" i="54"/>
  <c r="F85" i="54"/>
  <c r="M85" i="54"/>
  <c r="K85" i="54" s="1"/>
  <c r="N85" i="54" s="1"/>
  <c r="E86" i="54"/>
  <c r="F86" i="54"/>
  <c r="M86" i="54"/>
  <c r="K86" i="54" s="1"/>
  <c r="N86" i="54" s="1"/>
  <c r="E87" i="54"/>
  <c r="F87" i="54"/>
  <c r="M87" i="54"/>
  <c r="K87" i="54" s="1"/>
  <c r="N87" i="54" s="1"/>
  <c r="E88" i="54"/>
  <c r="F88" i="54"/>
  <c r="M88" i="54"/>
  <c r="K88" i="54" s="1"/>
  <c r="N88" i="54" s="1"/>
  <c r="E89" i="54"/>
  <c r="F89" i="54"/>
  <c r="M89" i="54"/>
  <c r="K89" i="54" s="1"/>
  <c r="N89" i="54" s="1"/>
  <c r="E90" i="54"/>
  <c r="F90" i="54"/>
  <c r="M90" i="54"/>
  <c r="K90" i="54" s="1"/>
  <c r="N90" i="54" s="1"/>
  <c r="E343" i="54"/>
  <c r="F343" i="54"/>
  <c r="M343" i="54"/>
  <c r="K343" i="54" s="1"/>
  <c r="AC343" i="54"/>
  <c r="AD343" i="54"/>
  <c r="AE343" i="54"/>
  <c r="AG343" i="54"/>
  <c r="J56" i="58" l="1"/>
  <c r="J50" i="58"/>
  <c r="J89" i="54"/>
  <c r="J85" i="54"/>
  <c r="J88" i="54"/>
  <c r="J90" i="54"/>
  <c r="J82" i="54"/>
  <c r="J83" i="54"/>
  <c r="N83" i="54" s="1"/>
  <c r="J87" i="54"/>
  <c r="J86" i="54"/>
  <c r="J84" i="54"/>
  <c r="J848" i="58"/>
  <c r="J372" i="58"/>
  <c r="J928" i="58"/>
  <c r="J929" i="58"/>
  <c r="J930" i="58"/>
  <c r="J514" i="58"/>
  <c r="J417" i="58"/>
  <c r="J420" i="58"/>
  <c r="J421" i="58"/>
  <c r="J49" i="58"/>
  <c r="J57" i="58"/>
  <c r="J366" i="58"/>
  <c r="J55" i="58"/>
  <c r="J58" i="58"/>
  <c r="J53" i="58"/>
  <c r="J52" i="58"/>
  <c r="J59" i="58"/>
  <c r="J60" i="58"/>
  <c r="J54" i="58"/>
  <c r="J61" i="58"/>
  <c r="J51" i="58"/>
  <c r="J343" i="54"/>
  <c r="AK930" i="58" l="1"/>
  <c r="AK929" i="58"/>
  <c r="AK928" i="58"/>
  <c r="AK848" i="58"/>
  <c r="AK514" i="58"/>
  <c r="N82" i="54"/>
  <c r="D180" i="46"/>
  <c r="D164" i="46"/>
  <c r="N343" i="54"/>
  <c r="C26" i="89"/>
  <c r="E28" i="60" l="1"/>
  <c r="E27" i="60"/>
  <c r="M397" i="54" l="1"/>
  <c r="M396" i="54"/>
  <c r="M395" i="54"/>
  <c r="M394" i="54"/>
  <c r="M393" i="54"/>
  <c r="M392" i="54"/>
  <c r="I379" i="55" s="1"/>
  <c r="M391" i="54"/>
  <c r="M389" i="54"/>
  <c r="I373" i="55" s="1"/>
  <c r="M390" i="54"/>
  <c r="M477" i="54"/>
  <c r="M476" i="54"/>
  <c r="M475" i="54"/>
  <c r="M474" i="54"/>
  <c r="M473" i="54"/>
  <c r="M472" i="54"/>
  <c r="M470" i="54"/>
  <c r="F470" i="54"/>
  <c r="E470" i="54"/>
  <c r="M446" i="54"/>
  <c r="M437" i="54"/>
  <c r="M429" i="54"/>
  <c r="M450" i="54"/>
  <c r="I371" i="55" s="1"/>
  <c r="M449" i="54"/>
  <c r="I370" i="55" s="1"/>
  <c r="M448" i="54"/>
  <c r="M447" i="54"/>
  <c r="M445" i="54"/>
  <c r="M444" i="54"/>
  <c r="M443" i="54"/>
  <c r="M436" i="54"/>
  <c r="M435" i="54"/>
  <c r="M433" i="54"/>
  <c r="M432" i="54"/>
  <c r="M431" i="54"/>
  <c r="M430" i="54"/>
  <c r="M428" i="54"/>
  <c r="M427" i="54"/>
  <c r="M434" i="54"/>
  <c r="M75" i="54"/>
  <c r="K75" i="54" s="1"/>
  <c r="F75" i="54"/>
  <c r="E75" i="54"/>
  <c r="M74" i="54"/>
  <c r="K74" i="54" s="1"/>
  <c r="F74" i="54"/>
  <c r="E74" i="54"/>
  <c r="M73" i="54"/>
  <c r="K73" i="54" s="1"/>
  <c r="F73" i="54"/>
  <c r="E73" i="54"/>
  <c r="M72" i="54"/>
  <c r="K72" i="54" s="1"/>
  <c r="F72" i="54"/>
  <c r="E72" i="54"/>
  <c r="M71" i="54"/>
  <c r="K71" i="54" s="1"/>
  <c r="F71" i="54"/>
  <c r="E71" i="54"/>
  <c r="H209" i="55" s="1"/>
  <c r="M70" i="54"/>
  <c r="K70" i="54" s="1"/>
  <c r="F70" i="54"/>
  <c r="E70" i="54"/>
  <c r="I364" i="55" l="1"/>
  <c r="I369" i="55"/>
  <c r="I365" i="55"/>
  <c r="I375" i="55"/>
  <c r="I377" i="55"/>
  <c r="I366" i="55"/>
  <c r="I367" i="55"/>
  <c r="I376" i="55"/>
  <c r="I378" i="55"/>
  <c r="I374" i="55"/>
  <c r="K470" i="54"/>
  <c r="AN470" i="54" s="1"/>
  <c r="J470" i="54"/>
  <c r="J72" i="54"/>
  <c r="J73" i="54"/>
  <c r="J70" i="54"/>
  <c r="J74" i="54"/>
  <c r="J71" i="54"/>
  <c r="J75" i="54"/>
  <c r="N73" i="54" l="1"/>
  <c r="N70" i="54"/>
  <c r="N470" i="54"/>
  <c r="N74" i="54"/>
  <c r="N72" i="54"/>
  <c r="N75" i="54"/>
  <c r="N71" i="54"/>
  <c r="D75" i="87"/>
  <c r="D74" i="87"/>
  <c r="D73" i="87"/>
  <c r="E72" i="87" l="1"/>
  <c r="M78" i="87"/>
  <c r="E104" i="86" l="1"/>
  <c r="M233" i="60"/>
  <c r="E233" i="60"/>
  <c r="M82" i="60" l="1"/>
  <c r="K82" i="60" s="1"/>
  <c r="F82" i="60"/>
  <c r="E82" i="60"/>
  <c r="M81" i="60"/>
  <c r="K81" i="60" s="1"/>
  <c r="F81" i="60"/>
  <c r="E81" i="60"/>
  <c r="M80" i="60"/>
  <c r="K80" i="60" s="1"/>
  <c r="F80" i="60"/>
  <c r="E80" i="60"/>
  <c r="M27" i="60"/>
  <c r="K27" i="60" s="1"/>
  <c r="F27" i="60"/>
  <c r="M28" i="60"/>
  <c r="K28" i="60" s="1"/>
  <c r="F28" i="60"/>
  <c r="J81" i="60" l="1"/>
  <c r="J28" i="60"/>
  <c r="J27" i="60"/>
  <c r="J82" i="60"/>
  <c r="J80" i="60"/>
  <c r="N27" i="60" l="1"/>
  <c r="N80" i="60"/>
  <c r="N82" i="60"/>
  <c r="N28" i="60"/>
  <c r="N81" i="60"/>
  <c r="E193" i="86" l="1"/>
  <c r="D11" i="6" l="1"/>
  <c r="P72" i="25" l="1"/>
  <c r="I39" i="66" l="1"/>
  <c r="I34" i="66"/>
  <c r="I33" i="66"/>
  <c r="I31" i="66"/>
  <c r="I30" i="66"/>
  <c r="I27" i="66"/>
  <c r="I22" i="66"/>
  <c r="I21" i="66"/>
  <c r="F149" i="2" l="1"/>
  <c r="F135" i="2"/>
  <c r="M293" i="2"/>
  <c r="E293" i="2"/>
  <c r="M292" i="2"/>
  <c r="E292" i="2"/>
  <c r="M291" i="2"/>
  <c r="E291" i="2"/>
  <c r="M290" i="2"/>
  <c r="E290" i="2"/>
  <c r="M289" i="2"/>
  <c r="E289" i="2"/>
  <c r="M288" i="2"/>
  <c r="E288" i="2"/>
  <c r="M287" i="2"/>
  <c r="E287" i="2"/>
  <c r="M286" i="2"/>
  <c r="E286" i="2"/>
  <c r="M285" i="2"/>
  <c r="E285" i="2"/>
  <c r="M284" i="2"/>
  <c r="E284" i="2"/>
  <c r="M283" i="2"/>
  <c r="E283" i="2"/>
  <c r="M538" i="2"/>
  <c r="M537" i="2"/>
  <c r="M536" i="2"/>
  <c r="E538" i="2"/>
  <c r="M673" i="2"/>
  <c r="F673" i="2"/>
  <c r="E673" i="2"/>
  <c r="M641" i="2"/>
  <c r="F641" i="2"/>
  <c r="E641" i="2"/>
  <c r="M121" i="2"/>
  <c r="E121" i="2"/>
  <c r="M294" i="2"/>
  <c r="E294" i="2"/>
  <c r="M48" i="2"/>
  <c r="E48" i="2"/>
  <c r="K641" i="2" l="1"/>
  <c r="K294" i="2"/>
  <c r="K288" i="2"/>
  <c r="K673" i="2"/>
  <c r="K283" i="2"/>
  <c r="K291" i="2"/>
  <c r="K286" i="2"/>
  <c r="K289" i="2"/>
  <c r="K121" i="2"/>
  <c r="K284" i="2"/>
  <c r="K292" i="2"/>
  <c r="K287" i="2"/>
  <c r="K538" i="2"/>
  <c r="K290" i="2"/>
  <c r="K48" i="2"/>
  <c r="K285" i="2"/>
  <c r="K293" i="2"/>
  <c r="J287" i="2"/>
  <c r="J283" i="2"/>
  <c r="J293" i="2"/>
  <c r="J285" i="2"/>
  <c r="J289" i="2"/>
  <c r="J291" i="2"/>
  <c r="J284" i="2"/>
  <c r="J288" i="2"/>
  <c r="J286" i="2"/>
  <c r="J290" i="2"/>
  <c r="J292" i="2"/>
  <c r="J673" i="2"/>
  <c r="J641" i="2"/>
  <c r="J294" i="2"/>
  <c r="J121" i="2"/>
  <c r="J48" i="2"/>
  <c r="H203" i="66"/>
  <c r="C146" i="89"/>
  <c r="C144" i="89"/>
  <c r="D54" i="83" l="1"/>
  <c r="L538" i="2"/>
  <c r="AM673" i="2"/>
  <c r="AM641" i="2"/>
  <c r="AM538" i="2"/>
  <c r="N294" i="2"/>
  <c r="N673" i="2"/>
  <c r="N289" i="2"/>
  <c r="N48" i="2"/>
  <c r="N286" i="2"/>
  <c r="N287" i="2"/>
  <c r="N292" i="2"/>
  <c r="N284" i="2"/>
  <c r="N641" i="2"/>
  <c r="N291" i="2"/>
  <c r="N285" i="2"/>
  <c r="N293" i="2"/>
  <c r="N290" i="2"/>
  <c r="N283" i="2"/>
  <c r="N121" i="2"/>
  <c r="N288" i="2"/>
  <c r="C147" i="89"/>
  <c r="M291" i="93"/>
  <c r="K291" i="93" s="1"/>
  <c r="F291" i="93"/>
  <c r="E291" i="93"/>
  <c r="M276" i="93"/>
  <c r="K276" i="93" s="1"/>
  <c r="F276" i="93"/>
  <c r="E276" i="93"/>
  <c r="M254" i="93"/>
  <c r="K254" i="93" s="1"/>
  <c r="F254" i="93"/>
  <c r="E254" i="93"/>
  <c r="AH291" i="93" l="1"/>
  <c r="AH276" i="93"/>
  <c r="AH254" i="93"/>
  <c r="J276" i="93"/>
  <c r="J291" i="93"/>
  <c r="J254" i="93"/>
  <c r="N291" i="93" l="1"/>
  <c r="N276" i="93"/>
  <c r="N254" i="93"/>
  <c r="K68" i="71"/>
  <c r="AT745" i="58" l="1"/>
  <c r="H135" i="66" l="1"/>
  <c r="H131" i="66"/>
  <c r="I131" i="66" s="1"/>
  <c r="H130" i="66"/>
  <c r="I130" i="66" s="1"/>
  <c r="H127" i="66"/>
  <c r="H125" i="66"/>
  <c r="H124" i="66"/>
  <c r="I124" i="66" s="1"/>
  <c r="J124" i="66" s="1"/>
  <c r="K124" i="66" s="1"/>
  <c r="L124" i="66" s="1"/>
  <c r="M124" i="66" s="1"/>
  <c r="N124" i="66" s="1"/>
  <c r="O124" i="66" s="1"/>
  <c r="H122" i="66"/>
  <c r="F1015" i="58" l="1"/>
  <c r="E1015" i="58"/>
  <c r="H720" i="32" s="1"/>
  <c r="F1014" i="58"/>
  <c r="E1014" i="58"/>
  <c r="F1013" i="58"/>
  <c r="E1013" i="58"/>
  <c r="F852" i="58"/>
  <c r="E852" i="58"/>
  <c r="F851" i="58"/>
  <c r="E851" i="58"/>
  <c r="F849" i="58"/>
  <c r="E849" i="58"/>
  <c r="F847" i="58"/>
  <c r="E847" i="58"/>
  <c r="F927" i="58"/>
  <c r="E927" i="58"/>
  <c r="F66" i="58"/>
  <c r="E66" i="58"/>
  <c r="F65" i="58"/>
  <c r="E65" i="58"/>
  <c r="F64" i="58"/>
  <c r="E64" i="58"/>
  <c r="F63" i="58"/>
  <c r="E63" i="58"/>
  <c r="F62" i="58"/>
  <c r="E62" i="58"/>
  <c r="J63" i="58" l="1"/>
  <c r="J62" i="58"/>
  <c r="J66" i="58"/>
  <c r="J1013" i="58"/>
  <c r="J847" i="58"/>
  <c r="J1014" i="58"/>
  <c r="J1015" i="58"/>
  <c r="J849" i="58"/>
  <c r="J851" i="58"/>
  <c r="J852" i="58"/>
  <c r="J927" i="58"/>
  <c r="J64" i="58"/>
  <c r="J65" i="58"/>
  <c r="AK1013" i="58" l="1"/>
  <c r="AK1015" i="58"/>
  <c r="AK927" i="58"/>
  <c r="AK1014" i="58"/>
  <c r="M117" i="54"/>
  <c r="K117" i="54" s="1"/>
  <c r="F117" i="54"/>
  <c r="E117" i="54"/>
  <c r="M78" i="54"/>
  <c r="K78" i="54" s="1"/>
  <c r="F78" i="54"/>
  <c r="E78" i="54"/>
  <c r="M77" i="54"/>
  <c r="K77" i="54" s="1"/>
  <c r="F77" i="54"/>
  <c r="E77" i="54"/>
  <c r="M76" i="54"/>
  <c r="K76" i="54" s="1"/>
  <c r="F76" i="54"/>
  <c r="E76" i="54"/>
  <c r="J117" i="54" l="1"/>
  <c r="N117" i="54" s="1"/>
  <c r="J77" i="54"/>
  <c r="J76" i="54"/>
  <c r="N76" i="54" s="1"/>
  <c r="J78" i="54"/>
  <c r="N78" i="54" l="1"/>
  <c r="N77" i="54"/>
  <c r="E6" i="61"/>
  <c r="F6" i="61" s="1"/>
  <c r="M108" i="60" l="1"/>
  <c r="K108" i="60" s="1"/>
  <c r="F108" i="60"/>
  <c r="E108" i="60"/>
  <c r="M103" i="60"/>
  <c r="K103" i="60" s="1"/>
  <c r="F103" i="60"/>
  <c r="E103" i="60"/>
  <c r="J108" i="60" l="1"/>
  <c r="N108" i="60" s="1"/>
  <c r="J103" i="60"/>
  <c r="N103" i="60" l="1"/>
  <c r="E100" i="86" l="1"/>
  <c r="E151" i="86"/>
  <c r="AC835" i="58" l="1"/>
  <c r="AE645" i="2" l="1"/>
  <c r="AM645" i="2" s="1"/>
  <c r="AE642" i="2"/>
  <c r="AE583" i="2"/>
  <c r="AM583" i="2" s="1"/>
  <c r="AE582" i="2"/>
  <c r="AM582" i="2" s="1"/>
  <c r="AE581" i="2"/>
  <c r="AE579" i="2"/>
  <c r="M975" i="2" l="1"/>
  <c r="M974" i="2"/>
  <c r="M973" i="2"/>
  <c r="M972" i="2"/>
  <c r="M971" i="2"/>
  <c r="M970" i="2"/>
  <c r="M969" i="2"/>
  <c r="M968" i="2"/>
  <c r="M967" i="2"/>
  <c r="M966" i="2"/>
  <c r="M965" i="2"/>
  <c r="M964" i="2"/>
  <c r="M963" i="2"/>
  <c r="M962" i="2"/>
  <c r="M961" i="2"/>
  <c r="M960" i="2"/>
  <c r="M959" i="2"/>
  <c r="M995" i="2"/>
  <c r="M994" i="2"/>
  <c r="K994" i="2" s="1"/>
  <c r="M993" i="2"/>
  <c r="K993" i="2" s="1"/>
  <c r="M992" i="2"/>
  <c r="K992" i="2" l="1"/>
  <c r="G60" i="66"/>
  <c r="H60" i="66" s="1"/>
  <c r="I60" i="66" s="1"/>
  <c r="J60" i="66" s="1"/>
  <c r="K60" i="66" s="1"/>
  <c r="L60" i="66" s="1"/>
  <c r="M60" i="66" s="1"/>
  <c r="N60" i="66" s="1"/>
  <c r="M447" i="2"/>
  <c r="K447" i="2" s="1"/>
  <c r="B158" i="57" l="1"/>
  <c r="G132" i="66"/>
  <c r="H132" i="66" s="1"/>
  <c r="I132" i="66" s="1"/>
  <c r="J132" i="66" l="1"/>
  <c r="K132" i="66" s="1"/>
  <c r="L132" i="66" s="1"/>
  <c r="M132" i="66" s="1"/>
  <c r="G123" i="66"/>
  <c r="H123" i="66" s="1"/>
  <c r="I123" i="66" s="1"/>
  <c r="G114" i="66"/>
  <c r="G110" i="66"/>
  <c r="D231" i="46" l="1"/>
  <c r="D232" i="46" s="1"/>
  <c r="N132" i="66"/>
  <c r="J123" i="66"/>
  <c r="O202" i="60"/>
  <c r="G192" i="66" l="1"/>
  <c r="D11" i="55"/>
  <c r="G194" i="66" l="1"/>
  <c r="H192" i="66"/>
  <c r="I192" i="66" s="1"/>
  <c r="J192" i="66" s="1"/>
  <c r="K192" i="66" s="1"/>
  <c r="L192" i="66" s="1"/>
  <c r="M192" i="66" s="1"/>
  <c r="N192" i="66" s="1"/>
  <c r="G145" i="66"/>
  <c r="G146" i="66"/>
  <c r="G155" i="66" l="1"/>
  <c r="H155" i="66" s="1"/>
  <c r="I155" i="66" s="1"/>
  <c r="J155" i="66" s="1"/>
  <c r="K155" i="66" s="1"/>
  <c r="L155" i="66" s="1"/>
  <c r="M155" i="66" s="1"/>
  <c r="N155" i="66" s="1"/>
  <c r="D138" i="55"/>
  <c r="D137" i="55"/>
  <c r="G206" i="66" l="1"/>
  <c r="G221" i="66"/>
  <c r="H221" i="66" s="1"/>
  <c r="Y344" i="93"/>
  <c r="Y197" i="93" l="1"/>
  <c r="Y206" i="93" l="1"/>
  <c r="Y281" i="93"/>
  <c r="Y314" i="93"/>
  <c r="Y333" i="93"/>
  <c r="Y182" i="93"/>
  <c r="Y207" i="93"/>
  <c r="Y215" i="93"/>
  <c r="Y248" i="93"/>
  <c r="Y257" i="93"/>
  <c r="Y265" i="93"/>
  <c r="Y290" i="93"/>
  <c r="Y299" i="93"/>
  <c r="Y334" i="93"/>
  <c r="Y342" i="93"/>
  <c r="Y179" i="93"/>
  <c r="Y237" i="93"/>
  <c r="Y245" i="93"/>
  <c r="Y262" i="93"/>
  <c r="Y246" i="93"/>
  <c r="Y313" i="93"/>
  <c r="Y208" i="93"/>
  <c r="Y266" i="93"/>
  <c r="Y283" i="93"/>
  <c r="Y292" i="93"/>
  <c r="Y335" i="93"/>
  <c r="Y201" i="93"/>
  <c r="Y209" i="93"/>
  <c r="Y242" i="93"/>
  <c r="Y250" i="93"/>
  <c r="Y259" i="93"/>
  <c r="Y267" i="93"/>
  <c r="Y284" i="93"/>
  <c r="Y293" i="93"/>
  <c r="Y301" i="93"/>
  <c r="Y193" i="93"/>
  <c r="Y210" i="93"/>
  <c r="Y260" i="93"/>
  <c r="Y268" i="93"/>
  <c r="Y277" i="93"/>
  <c r="Y285" i="93"/>
  <c r="Y310" i="93"/>
  <c r="Y317" i="93"/>
  <c r="Y180" i="93"/>
  <c r="Y205" i="93"/>
  <c r="Y221" i="93"/>
  <c r="Y280" i="93"/>
  <c r="Y191" i="93"/>
  <c r="Y241" i="93"/>
  <c r="Y249" i="93"/>
  <c r="Y177" i="93"/>
  <c r="Y178" i="93"/>
  <c r="Y194" i="93"/>
  <c r="Y203" i="93"/>
  <c r="Y244" i="93"/>
  <c r="Y269" i="93"/>
  <c r="Y278" i="93"/>
  <c r="Y286" i="93"/>
  <c r="Y295" i="93"/>
  <c r="Y311" i="93"/>
  <c r="Y338" i="93"/>
  <c r="Y212" i="93"/>
  <c r="Y296" i="93"/>
  <c r="Y312" i="93"/>
  <c r="Y213" i="93"/>
  <c r="Y255" i="93"/>
  <c r="Y297" i="93"/>
  <c r="Y340" i="93"/>
  <c r="Y181" i="93"/>
  <c r="Y189" i="93"/>
  <c r="Y222" i="93"/>
  <c r="Y239" i="93"/>
  <c r="Y247" i="93"/>
  <c r="Y264" i="93"/>
  <c r="Y341" i="93"/>
  <c r="Y261" i="93" l="1"/>
  <c r="Y225" i="93"/>
  <c r="Y315" i="93" l="1"/>
  <c r="Y217" i="93"/>
  <c r="Y316" i="93"/>
  <c r="Y200" i="93" l="1"/>
  <c r="Y337" i="93" l="1"/>
  <c r="Y235" i="93" l="1"/>
  <c r="Y234" i="93" l="1"/>
  <c r="Y321" i="93"/>
  <c r="Y214" i="93"/>
  <c r="Y211" i="93"/>
  <c r="Y252" i="93" l="1"/>
  <c r="Y294" i="93"/>
  <c r="Y288" i="93"/>
  <c r="Y188" i="93"/>
  <c r="Y251" i="93"/>
  <c r="Y282" i="93"/>
  <c r="Y279" i="93"/>
  <c r="Y229" i="93"/>
  <c r="Y343" i="93"/>
  <c r="Y198" i="93"/>
  <c r="Y186" i="93"/>
  <c r="Y233" i="93"/>
  <c r="Y231" i="93"/>
  <c r="Y227" i="93" l="1"/>
  <c r="Y195" i="93"/>
  <c r="Y187" i="93"/>
  <c r="Y232" i="93"/>
  <c r="Y253" i="93"/>
  <c r="Y199" i="93"/>
  <c r="Y216" i="93"/>
  <c r="Y270" i="93"/>
  <c r="Y275" i="93"/>
  <c r="Y272" i="93"/>
  <c r="Y190" i="93"/>
  <c r="Y226" i="93"/>
  <c r="Y289" i="93"/>
  <c r="Y346" i="93"/>
  <c r="Y236" i="93"/>
  <c r="Y223" i="93"/>
  <c r="Y218" i="93"/>
  <c r="Y287" i="93"/>
  <c r="Y256" i="93"/>
  <c r="Y228" i="93"/>
  <c r="Y273" i="93"/>
  <c r="Y271" i="93"/>
  <c r="Y230" i="93"/>
  <c r="Y219" i="93"/>
  <c r="Y196" i="93"/>
  <c r="Y183" i="93"/>
  <c r="Y185" i="93"/>
  <c r="Y220" i="93"/>
  <c r="Y184" i="93" l="1"/>
  <c r="Y274" i="93"/>
  <c r="Y202" i="93" l="1"/>
  <c r="Y192" i="93"/>
  <c r="Y298" i="93"/>
  <c r="Y258" i="93"/>
  <c r="Y238" i="93"/>
  <c r="Y240" i="93"/>
  <c r="Y204" i="93"/>
  <c r="Y263" i="93"/>
  <c r="Y300" i="93"/>
  <c r="Y243" i="93" l="1"/>
  <c r="Y345" i="93" l="1"/>
  <c r="Y175" i="93" l="1"/>
  <c r="Y176" i="93"/>
  <c r="Y336" i="93" l="1"/>
  <c r="Y339" i="93" l="1"/>
  <c r="G91" i="66" l="1"/>
  <c r="G102" i="66" l="1"/>
  <c r="H91" i="66"/>
  <c r="M39" i="93"/>
  <c r="K39" i="93" s="1"/>
  <c r="F39" i="93"/>
  <c r="E39" i="93"/>
  <c r="M38" i="93"/>
  <c r="K38" i="93" s="1"/>
  <c r="F38" i="93"/>
  <c r="E38" i="93"/>
  <c r="M103" i="93"/>
  <c r="K103" i="93" s="1"/>
  <c r="F103" i="93"/>
  <c r="E103" i="93"/>
  <c r="M101" i="93"/>
  <c r="K101" i="93" s="1"/>
  <c r="F101" i="93"/>
  <c r="E101" i="93"/>
  <c r="I91" i="66" l="1"/>
  <c r="J91" i="66" s="1"/>
  <c r="H102" i="66"/>
  <c r="J38" i="93"/>
  <c r="J39" i="93"/>
  <c r="J101" i="93"/>
  <c r="J103" i="93"/>
  <c r="N103" i="93" l="1"/>
  <c r="J102" i="66"/>
  <c r="K91" i="66"/>
  <c r="N39" i="93"/>
  <c r="N101" i="93"/>
  <c r="N38" i="93"/>
  <c r="I102" i="66"/>
  <c r="D76" i="87"/>
  <c r="D72" i="87"/>
  <c r="K102" i="66" l="1"/>
  <c r="L91" i="66"/>
  <c r="F983" i="58"/>
  <c r="E983" i="58"/>
  <c r="F986" i="58"/>
  <c r="E986" i="58"/>
  <c r="F835" i="58"/>
  <c r="E835" i="58"/>
  <c r="F838" i="58"/>
  <c r="E838" i="58"/>
  <c r="F305" i="58"/>
  <c r="E305" i="58"/>
  <c r="F304" i="58"/>
  <c r="E304" i="58"/>
  <c r="F303" i="58"/>
  <c r="E303" i="58"/>
  <c r="F302" i="58"/>
  <c r="E302" i="58"/>
  <c r="F73" i="58"/>
  <c r="E73" i="58"/>
  <c r="F72" i="58"/>
  <c r="E72" i="58"/>
  <c r="F71" i="58"/>
  <c r="E71" i="58"/>
  <c r="F70" i="58"/>
  <c r="E70" i="58"/>
  <c r="F69" i="58"/>
  <c r="E69" i="58"/>
  <c r="F68" i="58"/>
  <c r="E68" i="58"/>
  <c r="F67" i="58"/>
  <c r="E67" i="58"/>
  <c r="AB1028" i="58"/>
  <c r="AB1027" i="58"/>
  <c r="AB1026" i="58"/>
  <c r="AB1025" i="58"/>
  <c r="AB1024" i="58"/>
  <c r="AB1023" i="58"/>
  <c r="AB1022" i="58"/>
  <c r="AB1021" i="58"/>
  <c r="AB1020" i="58"/>
  <c r="AB1019" i="58"/>
  <c r="AB1018" i="58"/>
  <c r="AB1017" i="58"/>
  <c r="AB1016" i="58"/>
  <c r="AB1012" i="58"/>
  <c r="AB1006" i="58"/>
  <c r="AB1004" i="58"/>
  <c r="AB1003" i="58"/>
  <c r="AB1002" i="58"/>
  <c r="AB1001" i="58"/>
  <c r="AB1000" i="58"/>
  <c r="AB999" i="58"/>
  <c r="AB998" i="58"/>
  <c r="AB997" i="58"/>
  <c r="AB996" i="58"/>
  <c r="AB993" i="58"/>
  <c r="AB992" i="58"/>
  <c r="AB991" i="58"/>
  <c r="AB990" i="58"/>
  <c r="AB989" i="58"/>
  <c r="AB988" i="58"/>
  <c r="AB987" i="58"/>
  <c r="AB982" i="58"/>
  <c r="AB981" i="58"/>
  <c r="AB980" i="58"/>
  <c r="AB979" i="58"/>
  <c r="AB978" i="58"/>
  <c r="AB977" i="58"/>
  <c r="AB976" i="58"/>
  <c r="AB975" i="58"/>
  <c r="AB972" i="58"/>
  <c r="AB971" i="58"/>
  <c r="AB970" i="58"/>
  <c r="AB969" i="58"/>
  <c r="AB968" i="58"/>
  <c r="AB967" i="58"/>
  <c r="AB966" i="58"/>
  <c r="AB965" i="58"/>
  <c r="AB964" i="58"/>
  <c r="AB963" i="58"/>
  <c r="AB962" i="58"/>
  <c r="AB961" i="58"/>
  <c r="AB960" i="58"/>
  <c r="AB959" i="58"/>
  <c r="AB958" i="58"/>
  <c r="AB947" i="58"/>
  <c r="AB945" i="58"/>
  <c r="AB944" i="58"/>
  <c r="AB943" i="58"/>
  <c r="AB942" i="58"/>
  <c r="AB941" i="58"/>
  <c r="AB940" i="58"/>
  <c r="AB939" i="58"/>
  <c r="AB938" i="58"/>
  <c r="AB902" i="58"/>
  <c r="AB937" i="58"/>
  <c r="AB936" i="58"/>
  <c r="AB935" i="58"/>
  <c r="AB934" i="58"/>
  <c r="AB933" i="58"/>
  <c r="AB932" i="58"/>
  <c r="AB931" i="58"/>
  <c r="AB926" i="58"/>
  <c r="AB913" i="58"/>
  <c r="AB912" i="58"/>
  <c r="AB911" i="58"/>
  <c r="AB910" i="58"/>
  <c r="AB909" i="58"/>
  <c r="AB908" i="58"/>
  <c r="AB907" i="58"/>
  <c r="AB906" i="58"/>
  <c r="AB905" i="58"/>
  <c r="AB904" i="58"/>
  <c r="AB903" i="58"/>
  <c r="AB914" i="58"/>
  <c r="AB901" i="58"/>
  <c r="AB900" i="58"/>
  <c r="AB899" i="58"/>
  <c r="AB897" i="58"/>
  <c r="AB896" i="58"/>
  <c r="AB895" i="58"/>
  <c r="AB894" i="58"/>
  <c r="AB893" i="58"/>
  <c r="AB892" i="58"/>
  <c r="AB891" i="58"/>
  <c r="AB890" i="58"/>
  <c r="AB889" i="58"/>
  <c r="AB888" i="58"/>
  <c r="AB887" i="58"/>
  <c r="AB886" i="58"/>
  <c r="AB885" i="58"/>
  <c r="AB884" i="58"/>
  <c r="AB839" i="58"/>
  <c r="AB857" i="58"/>
  <c r="AB873" i="58"/>
  <c r="AB871" i="58"/>
  <c r="AB869" i="58"/>
  <c r="AB868" i="58"/>
  <c r="AB856" i="58"/>
  <c r="AB855" i="58"/>
  <c r="AB854" i="58"/>
  <c r="AB883" i="58"/>
  <c r="AB882" i="58"/>
  <c r="AB881" i="58"/>
  <c r="AB880" i="58"/>
  <c r="AB879" i="58"/>
  <c r="AB878" i="58"/>
  <c r="AB858" i="58"/>
  <c r="AB877" i="58"/>
  <c r="AB876" i="58"/>
  <c r="AB875" i="58"/>
  <c r="AB866" i="58"/>
  <c r="AB865" i="58"/>
  <c r="AB861" i="58"/>
  <c r="AB867" i="58"/>
  <c r="AB864" i="58"/>
  <c r="AB863" i="58"/>
  <c r="AB860" i="58"/>
  <c r="AB874" i="58"/>
  <c r="AB859" i="58"/>
  <c r="AB853" i="58"/>
  <c r="AB846" i="58"/>
  <c r="AB845" i="58"/>
  <c r="AB844" i="58"/>
  <c r="AB842" i="58"/>
  <c r="AB841" i="58"/>
  <c r="AB840" i="58"/>
  <c r="AB838" i="58"/>
  <c r="AB837" i="58"/>
  <c r="AB836" i="58"/>
  <c r="AB973" i="58"/>
  <c r="AB833" i="58"/>
  <c r="AB832" i="58"/>
  <c r="AB831" i="58"/>
  <c r="AB830" i="58"/>
  <c r="AB829" i="58"/>
  <c r="AB828" i="58"/>
  <c r="AB827" i="58"/>
  <c r="AB898" i="58"/>
  <c r="AB797" i="58"/>
  <c r="AB785" i="58"/>
  <c r="AB784" i="58"/>
  <c r="AB783" i="58"/>
  <c r="AB826" i="58"/>
  <c r="AB825" i="58"/>
  <c r="AB824" i="58"/>
  <c r="AB823" i="58"/>
  <c r="AB822" i="58"/>
  <c r="AB821" i="58"/>
  <c r="AB820" i="58"/>
  <c r="AB819" i="58"/>
  <c r="AB818" i="58"/>
  <c r="AB817" i="58"/>
  <c r="AB816" i="58"/>
  <c r="AB815" i="58"/>
  <c r="AB814" i="58"/>
  <c r="AB813" i="58"/>
  <c r="AB812" i="58"/>
  <c r="AB811" i="58"/>
  <c r="AB810" i="58"/>
  <c r="AB809" i="58"/>
  <c r="AB808" i="58"/>
  <c r="AB807" i="58"/>
  <c r="AB806" i="58"/>
  <c r="AB805" i="58"/>
  <c r="AB804" i="58"/>
  <c r="AB803" i="58"/>
  <c r="AB802" i="58"/>
  <c r="AB801" i="58"/>
  <c r="AB800" i="58"/>
  <c r="AB788" i="58"/>
  <c r="AB787" i="58"/>
  <c r="AB786" i="58"/>
  <c r="AB782" i="58"/>
  <c r="AB781" i="58"/>
  <c r="AB799" i="58"/>
  <c r="AB798" i="58"/>
  <c r="AB796" i="58"/>
  <c r="AB795" i="58"/>
  <c r="AB794" i="58"/>
  <c r="AB793" i="58"/>
  <c r="AB792" i="58"/>
  <c r="AB791" i="58"/>
  <c r="AB790" i="58"/>
  <c r="AB789" i="58"/>
  <c r="AB780" i="58"/>
  <c r="AB779" i="58"/>
  <c r="AB777" i="58"/>
  <c r="AB776" i="58"/>
  <c r="AB775" i="58"/>
  <c r="AB774" i="58"/>
  <c r="AB773" i="58"/>
  <c r="AB772" i="58"/>
  <c r="AB771" i="58"/>
  <c r="AB770" i="58"/>
  <c r="AB769" i="58"/>
  <c r="AB768" i="58"/>
  <c r="AB766" i="58"/>
  <c r="AB765" i="58"/>
  <c r="AB764" i="58"/>
  <c r="AB763" i="58"/>
  <c r="AB762" i="58"/>
  <c r="AB761" i="58"/>
  <c r="AB760" i="58"/>
  <c r="AB759" i="58"/>
  <c r="AB758" i="58"/>
  <c r="AB757" i="58"/>
  <c r="AB756" i="58"/>
  <c r="AB755" i="58"/>
  <c r="AB754" i="58"/>
  <c r="AB753" i="58"/>
  <c r="AB752" i="58"/>
  <c r="AB751" i="58"/>
  <c r="AB750" i="58"/>
  <c r="AB748" i="58"/>
  <c r="AB747" i="58"/>
  <c r="AB746" i="58"/>
  <c r="AB745" i="58"/>
  <c r="AB744" i="58"/>
  <c r="AB743" i="58"/>
  <c r="AB742" i="58"/>
  <c r="AB741" i="58"/>
  <c r="AB740" i="58"/>
  <c r="AB739" i="58"/>
  <c r="AB738" i="58"/>
  <c r="AB737" i="58"/>
  <c r="AB736" i="58"/>
  <c r="AB735" i="58"/>
  <c r="AB734" i="58"/>
  <c r="AB733" i="58"/>
  <c r="AB732" i="58"/>
  <c r="AB731" i="58"/>
  <c r="AB730" i="58"/>
  <c r="AB729" i="58"/>
  <c r="AB728" i="58"/>
  <c r="AB727" i="58"/>
  <c r="AB726" i="58"/>
  <c r="AB725" i="58"/>
  <c r="AB724" i="58"/>
  <c r="AB723" i="58"/>
  <c r="AB722" i="58"/>
  <c r="AB721" i="58"/>
  <c r="AB720" i="58"/>
  <c r="AB719" i="58"/>
  <c r="AB718" i="58"/>
  <c r="AB717" i="58"/>
  <c r="AB716" i="58"/>
  <c r="AB715" i="58"/>
  <c r="AB714" i="58"/>
  <c r="AB713" i="58"/>
  <c r="AB712" i="58"/>
  <c r="AB711" i="58"/>
  <c r="AB710" i="58"/>
  <c r="AB709" i="58"/>
  <c r="AB708" i="58"/>
  <c r="AB706" i="58"/>
  <c r="AB705" i="58"/>
  <c r="AB704" i="58"/>
  <c r="AB703" i="58"/>
  <c r="AB702" i="58"/>
  <c r="AB701" i="58"/>
  <c r="AB700" i="58"/>
  <c r="AB699" i="58"/>
  <c r="AB698" i="58"/>
  <c r="AB697" i="58"/>
  <c r="AB696" i="58"/>
  <c r="AB695" i="58"/>
  <c r="AB694" i="58"/>
  <c r="AB693" i="58"/>
  <c r="AB692" i="58"/>
  <c r="AB691" i="58"/>
  <c r="AB690" i="58"/>
  <c r="AB689" i="58"/>
  <c r="AB688" i="58"/>
  <c r="AB687" i="58"/>
  <c r="AB686" i="58"/>
  <c r="AB685" i="58"/>
  <c r="AB684" i="58"/>
  <c r="AB683" i="58"/>
  <c r="AB682" i="58"/>
  <c r="AB681" i="58"/>
  <c r="AB680" i="58"/>
  <c r="AB679" i="58"/>
  <c r="AB678" i="58"/>
  <c r="AB677" i="58"/>
  <c r="AB676" i="58"/>
  <c r="AB675" i="58"/>
  <c r="AB674" i="58"/>
  <c r="AB673" i="58"/>
  <c r="AB672" i="58"/>
  <c r="AB671" i="58"/>
  <c r="AB670" i="58"/>
  <c r="AB669" i="58"/>
  <c r="AB668" i="58"/>
  <c r="AB667" i="58"/>
  <c r="AB666" i="58"/>
  <c r="AB665" i="58"/>
  <c r="AB664" i="58"/>
  <c r="AB663" i="58"/>
  <c r="AB662" i="58"/>
  <c r="AB661" i="58"/>
  <c r="AB660" i="58"/>
  <c r="AB659" i="58"/>
  <c r="AB658" i="58"/>
  <c r="AB657" i="58"/>
  <c r="AB656" i="58"/>
  <c r="AB655" i="58"/>
  <c r="AB654" i="58"/>
  <c r="AB653" i="58"/>
  <c r="AB652" i="58"/>
  <c r="AB651" i="58"/>
  <c r="AB650" i="58"/>
  <c r="AB649" i="58"/>
  <c r="AB648" i="58"/>
  <c r="AB647" i="58"/>
  <c r="AB646" i="58"/>
  <c r="AB645" i="58"/>
  <c r="AB644" i="58"/>
  <c r="AB643" i="58"/>
  <c r="AB642" i="58"/>
  <c r="AB641" i="58"/>
  <c r="AB640" i="58"/>
  <c r="AB639" i="58"/>
  <c r="AB638" i="58"/>
  <c r="AB637" i="58"/>
  <c r="AB636" i="58"/>
  <c r="AB635" i="58"/>
  <c r="AB634" i="58"/>
  <c r="AB633" i="58"/>
  <c r="AB632" i="58"/>
  <c r="AB631" i="58"/>
  <c r="AB630" i="58"/>
  <c r="AB629" i="58"/>
  <c r="AB628" i="58"/>
  <c r="AB627" i="58"/>
  <c r="AB626" i="58"/>
  <c r="AB625" i="58"/>
  <c r="AB624" i="58"/>
  <c r="AB623" i="58"/>
  <c r="AB622" i="58"/>
  <c r="AB621" i="58"/>
  <c r="AB620" i="58"/>
  <c r="AB619" i="58"/>
  <c r="AB618" i="58"/>
  <c r="AB617" i="58"/>
  <c r="AB616" i="58"/>
  <c r="AB615" i="58"/>
  <c r="AB614" i="58"/>
  <c r="AB613" i="58"/>
  <c r="AB612" i="58"/>
  <c r="AB611" i="58"/>
  <c r="AB610" i="58"/>
  <c r="AB609" i="58"/>
  <c r="AB608" i="58"/>
  <c r="AB607" i="58"/>
  <c r="AB606" i="58"/>
  <c r="AB605" i="58"/>
  <c r="AB604" i="58"/>
  <c r="AB603" i="58"/>
  <c r="AB602" i="58"/>
  <c r="AB601" i="58"/>
  <c r="AB600" i="58"/>
  <c r="AB599" i="58"/>
  <c r="AB598" i="58"/>
  <c r="AB597" i="58"/>
  <c r="AB596" i="58"/>
  <c r="AB595" i="58"/>
  <c r="AB594" i="58"/>
  <c r="AB593" i="58"/>
  <c r="AB592" i="58"/>
  <c r="AB591" i="58"/>
  <c r="AB589" i="58"/>
  <c r="AB588" i="58"/>
  <c r="AB587" i="58"/>
  <c r="AB586" i="58"/>
  <c r="AB585" i="58"/>
  <c r="AB584" i="58"/>
  <c r="AB583" i="58"/>
  <c r="AB582" i="58"/>
  <c r="AB581" i="58"/>
  <c r="AB580" i="58"/>
  <c r="AB579" i="58"/>
  <c r="AB578" i="58"/>
  <c r="AB577" i="58"/>
  <c r="AB576" i="58"/>
  <c r="AB575" i="58"/>
  <c r="AB574" i="58"/>
  <c r="AB573" i="58"/>
  <c r="AB572" i="58"/>
  <c r="AB571" i="58"/>
  <c r="AB570" i="58"/>
  <c r="AB569" i="58"/>
  <c r="AB568" i="58"/>
  <c r="AB567" i="58"/>
  <c r="AB566" i="58"/>
  <c r="AB564" i="58"/>
  <c r="AB563" i="58"/>
  <c r="AB562" i="58"/>
  <c r="AB561" i="58"/>
  <c r="AB560" i="58"/>
  <c r="AB559" i="58"/>
  <c r="AB558" i="58"/>
  <c r="AB565" i="58"/>
  <c r="AB557" i="58"/>
  <c r="AB556" i="58"/>
  <c r="AB555" i="58"/>
  <c r="AB554" i="58"/>
  <c r="AB553" i="58"/>
  <c r="AB552" i="58"/>
  <c r="AB551" i="58"/>
  <c r="AB550" i="58"/>
  <c r="AB549" i="58"/>
  <c r="AB548" i="58"/>
  <c r="AB547" i="58"/>
  <c r="AB546" i="58"/>
  <c r="AB545" i="58"/>
  <c r="AB544" i="58"/>
  <c r="AB543" i="58"/>
  <c r="AB542" i="58"/>
  <c r="AB541" i="58"/>
  <c r="AB540" i="58"/>
  <c r="AB539" i="58"/>
  <c r="AB538" i="58"/>
  <c r="AB536" i="58"/>
  <c r="AB535" i="58"/>
  <c r="AB533" i="58"/>
  <c r="AB532" i="58"/>
  <c r="AB531" i="58"/>
  <c r="AB530" i="58"/>
  <c r="AB529" i="58"/>
  <c r="AB528" i="58"/>
  <c r="AB527" i="58"/>
  <c r="AB524" i="58"/>
  <c r="AB523" i="58"/>
  <c r="AB522" i="58"/>
  <c r="AB521" i="58"/>
  <c r="AB520" i="58"/>
  <c r="AB519" i="58"/>
  <c r="AB518" i="58"/>
  <c r="AB517" i="58"/>
  <c r="AB516" i="58"/>
  <c r="AB512" i="58"/>
  <c r="AB511" i="58"/>
  <c r="AB510" i="58"/>
  <c r="AB509" i="58"/>
  <c r="AB508" i="58"/>
  <c r="AB507" i="58"/>
  <c r="AB506" i="58"/>
  <c r="AB505" i="58"/>
  <c r="AB504" i="58"/>
  <c r="AB503" i="58"/>
  <c r="AB502" i="58"/>
  <c r="AB501" i="58"/>
  <c r="AB500" i="58"/>
  <c r="AB499" i="58"/>
  <c r="AB498" i="58"/>
  <c r="AB497" i="58"/>
  <c r="AB496" i="58"/>
  <c r="AB495" i="58"/>
  <c r="AB494" i="58"/>
  <c r="AB493" i="58"/>
  <c r="AB492" i="58"/>
  <c r="AB491" i="58"/>
  <c r="AB490" i="58"/>
  <c r="AB489" i="58"/>
  <c r="AB488" i="58"/>
  <c r="AB482" i="58"/>
  <c r="AB481" i="58"/>
  <c r="AB480" i="58"/>
  <c r="AB479" i="58"/>
  <c r="AB478" i="58"/>
  <c r="AB477" i="58"/>
  <c r="AB476" i="58"/>
  <c r="AB475" i="58"/>
  <c r="AB474" i="58"/>
  <c r="AB473" i="58"/>
  <c r="AB472" i="58"/>
  <c r="AB471" i="58"/>
  <c r="AB470" i="58"/>
  <c r="AB469" i="58"/>
  <c r="AB468" i="58"/>
  <c r="AB467" i="58"/>
  <c r="AB466" i="58"/>
  <c r="AB465" i="58"/>
  <c r="AB464" i="58"/>
  <c r="AB463" i="58"/>
  <c r="AB462" i="58"/>
  <c r="AB461" i="58"/>
  <c r="AB460" i="58"/>
  <c r="AB459" i="58"/>
  <c r="AB458" i="58"/>
  <c r="AB457" i="58"/>
  <c r="J69" i="58" l="1"/>
  <c r="L102" i="66"/>
  <c r="M91" i="66"/>
  <c r="J305" i="58"/>
  <c r="J71" i="58"/>
  <c r="J986" i="58"/>
  <c r="J983" i="58"/>
  <c r="J835" i="58"/>
  <c r="J838" i="58"/>
  <c r="J302" i="58"/>
  <c r="J303" i="58"/>
  <c r="J304" i="58"/>
  <c r="J70" i="58"/>
  <c r="J67" i="58"/>
  <c r="J68" i="58"/>
  <c r="J72" i="58"/>
  <c r="J73" i="58"/>
  <c r="E116" i="2"/>
  <c r="E115" i="2"/>
  <c r="E114" i="2"/>
  <c r="M102" i="66" l="1"/>
  <c r="N91" i="66"/>
  <c r="N102" i="66" s="1"/>
  <c r="D161" i="46"/>
  <c r="M581" i="2"/>
  <c r="F581" i="2"/>
  <c r="E581" i="2"/>
  <c r="M579" i="2"/>
  <c r="F579" i="2"/>
  <c r="E579" i="2"/>
  <c r="M642" i="2"/>
  <c r="F642" i="2"/>
  <c r="E642" i="2"/>
  <c r="M305" i="2"/>
  <c r="K305" i="2" s="1"/>
  <c r="E305" i="2"/>
  <c r="M304" i="2"/>
  <c r="E304" i="2"/>
  <c r="M303" i="2"/>
  <c r="E303" i="2"/>
  <c r="M302" i="2"/>
  <c r="E302" i="2"/>
  <c r="M301" i="2"/>
  <c r="K301" i="2" s="1"/>
  <c r="E301" i="2"/>
  <c r="M300" i="2"/>
  <c r="K300" i="2" s="1"/>
  <c r="E300" i="2"/>
  <c r="M299" i="2"/>
  <c r="E299" i="2"/>
  <c r="M298" i="2"/>
  <c r="E298" i="2"/>
  <c r="M297" i="2"/>
  <c r="E297" i="2"/>
  <c r="M296" i="2"/>
  <c r="E296" i="2"/>
  <c r="M295" i="2"/>
  <c r="K295" i="2" s="1"/>
  <c r="E295" i="2"/>
  <c r="M49" i="2"/>
  <c r="K49" i="2" s="1"/>
  <c r="E49" i="2"/>
  <c r="AD1005" i="2"/>
  <c r="AD1004" i="2"/>
  <c r="AD1003" i="2"/>
  <c r="AD1002" i="2"/>
  <c r="AD1001" i="2"/>
  <c r="AD1000" i="2"/>
  <c r="AD999" i="2"/>
  <c r="AD998" i="2"/>
  <c r="AD997" i="2"/>
  <c r="AD996" i="2"/>
  <c r="AD995" i="2"/>
  <c r="AD994" i="2"/>
  <c r="AD993" i="2"/>
  <c r="AD992" i="2"/>
  <c r="AD991" i="2"/>
  <c r="AD990" i="2"/>
  <c r="AD989" i="2"/>
  <c r="AD988" i="2"/>
  <c r="AD987" i="2"/>
  <c r="AD986" i="2"/>
  <c r="AD985" i="2"/>
  <c r="AD984" i="2"/>
  <c r="AD983" i="2"/>
  <c r="AD982" i="2"/>
  <c r="AD981" i="2"/>
  <c r="AD980" i="2"/>
  <c r="AD979" i="2"/>
  <c r="AD978" i="2"/>
  <c r="AD977" i="2"/>
  <c r="AD976" i="2"/>
  <c r="AD975" i="2"/>
  <c r="AD974" i="2"/>
  <c r="AD973" i="2"/>
  <c r="AD972" i="2"/>
  <c r="AD971" i="2"/>
  <c r="AD970" i="2"/>
  <c r="AD969" i="2"/>
  <c r="AD968" i="2"/>
  <c r="AD967" i="2"/>
  <c r="AD966" i="2"/>
  <c r="AD965" i="2"/>
  <c r="AD964" i="2"/>
  <c r="AD963" i="2"/>
  <c r="AD962" i="2"/>
  <c r="AD961" i="2"/>
  <c r="AD960" i="2"/>
  <c r="AD959" i="2"/>
  <c r="AD958" i="2"/>
  <c r="AD957" i="2"/>
  <c r="AD956" i="2"/>
  <c r="AD955" i="2"/>
  <c r="AD954" i="2"/>
  <c r="AD953" i="2"/>
  <c r="AD952" i="2"/>
  <c r="AD951" i="2"/>
  <c r="AD950" i="2"/>
  <c r="AD949" i="2"/>
  <c r="AD948" i="2"/>
  <c r="AD947" i="2"/>
  <c r="AD946" i="2"/>
  <c r="AD945" i="2"/>
  <c r="AD944" i="2"/>
  <c r="AD943" i="2"/>
  <c r="AD942" i="2"/>
  <c r="AD941" i="2"/>
  <c r="AD940" i="2"/>
  <c r="AD939" i="2"/>
  <c r="AD935" i="2"/>
  <c r="AD934" i="2"/>
  <c r="AD933" i="2"/>
  <c r="AD932" i="2"/>
  <c r="AD931" i="2"/>
  <c r="AD930" i="2"/>
  <c r="AD929" i="2"/>
  <c r="AD928" i="2"/>
  <c r="AD927" i="2"/>
  <c r="AD926" i="2"/>
  <c r="AD925" i="2"/>
  <c r="AD924" i="2"/>
  <c r="AD923" i="2"/>
  <c r="AD922" i="2"/>
  <c r="AD921" i="2"/>
  <c r="AD920" i="2"/>
  <c r="AD919" i="2"/>
  <c r="AD918" i="2"/>
  <c r="AD917" i="2"/>
  <c r="AD916" i="2"/>
  <c r="AD914" i="2"/>
  <c r="AD913" i="2"/>
  <c r="AD912" i="2"/>
  <c r="AD911" i="2"/>
  <c r="AD910" i="2"/>
  <c r="AD909" i="2"/>
  <c r="AD906" i="2"/>
  <c r="AD905" i="2"/>
  <c r="AD904" i="2"/>
  <c r="AD903" i="2"/>
  <c r="AD902" i="2"/>
  <c r="AD901" i="2"/>
  <c r="AD900" i="2"/>
  <c r="AD899" i="2"/>
  <c r="AD898" i="2"/>
  <c r="AD897" i="2"/>
  <c r="AD896" i="2"/>
  <c r="AD895" i="2"/>
  <c r="AD894" i="2"/>
  <c r="AD893" i="2"/>
  <c r="AD892" i="2"/>
  <c r="AD891" i="2"/>
  <c r="AD890" i="2"/>
  <c r="AD888" i="2"/>
  <c r="AD887" i="2"/>
  <c r="AD886" i="2"/>
  <c r="AD885" i="2"/>
  <c r="AD884" i="2"/>
  <c r="AD883" i="2"/>
  <c r="AD882" i="2"/>
  <c r="AD881" i="2"/>
  <c r="AD880" i="2"/>
  <c r="AD879" i="2"/>
  <c r="AD878" i="2"/>
  <c r="AD876" i="2"/>
  <c r="AD875" i="2"/>
  <c r="AD874" i="2"/>
  <c r="AD873" i="2"/>
  <c r="AD872" i="2"/>
  <c r="AD871" i="2"/>
  <c r="AD870" i="2"/>
  <c r="AD869" i="2"/>
  <c r="AD868" i="2"/>
  <c r="AD867" i="2"/>
  <c r="AD866" i="2"/>
  <c r="AD865" i="2"/>
  <c r="AD864" i="2"/>
  <c r="AD863" i="2"/>
  <c r="AD862" i="2"/>
  <c r="AD861" i="2"/>
  <c r="AD860" i="2"/>
  <c r="AD859" i="2"/>
  <c r="AD858" i="2"/>
  <c r="AD857" i="2"/>
  <c r="AD856" i="2"/>
  <c r="AD855" i="2"/>
  <c r="AD854" i="2"/>
  <c r="AD853" i="2"/>
  <c r="AD852" i="2"/>
  <c r="AD851" i="2"/>
  <c r="AD850" i="2"/>
  <c r="AD849" i="2"/>
  <c r="AD770" i="2"/>
  <c r="AD846" i="2"/>
  <c r="AD777" i="2"/>
  <c r="AD845" i="2"/>
  <c r="AD839" i="2"/>
  <c r="AD836" i="2"/>
  <c r="AD835" i="2"/>
  <c r="AD834" i="2"/>
  <c r="AD833" i="2"/>
  <c r="AD832" i="2"/>
  <c r="AD831" i="2"/>
  <c r="AD830" i="2"/>
  <c r="AD829" i="2"/>
  <c r="AD828" i="2"/>
  <c r="AD844" i="2"/>
  <c r="AD843" i="2"/>
  <c r="AD842" i="2"/>
  <c r="AD841" i="2"/>
  <c r="AD827" i="2"/>
  <c r="AD826" i="2"/>
  <c r="AD825" i="2"/>
  <c r="AD824" i="2"/>
  <c r="AD823" i="2"/>
  <c r="AD822" i="2"/>
  <c r="AD821" i="2"/>
  <c r="AD820" i="2"/>
  <c r="AD819" i="2"/>
  <c r="AD818" i="2"/>
  <c r="AD817" i="2"/>
  <c r="AD815" i="2"/>
  <c r="AD812" i="2"/>
  <c r="AD811" i="2"/>
  <c r="AD810" i="2"/>
  <c r="AD809" i="2"/>
  <c r="AD808" i="2"/>
  <c r="AD807" i="2"/>
  <c r="AD806" i="2"/>
  <c r="AD805" i="2"/>
  <c r="AD804" i="2"/>
  <c r="AD803" i="2"/>
  <c r="AD802" i="2"/>
  <c r="AD801" i="2"/>
  <c r="AD800" i="2"/>
  <c r="AD799" i="2"/>
  <c r="AD798" i="2"/>
  <c r="AD797" i="2"/>
  <c r="AD796" i="2"/>
  <c r="AD795" i="2"/>
  <c r="AD794" i="2"/>
  <c r="AD793" i="2"/>
  <c r="AD792" i="2"/>
  <c r="AD791" i="2"/>
  <c r="AD790" i="2"/>
  <c r="AD789" i="2"/>
  <c r="AD788" i="2"/>
  <c r="AD787" i="2"/>
  <c r="AD786" i="2"/>
  <c r="AD785" i="2"/>
  <c r="AD784" i="2"/>
  <c r="AD783" i="2"/>
  <c r="AD782" i="2"/>
  <c r="AD778" i="2"/>
  <c r="AD840" i="2"/>
  <c r="AD776" i="2"/>
  <c r="AD775" i="2"/>
  <c r="AD774" i="2"/>
  <c r="AD773" i="2"/>
  <c r="AD772" i="2"/>
  <c r="AD771" i="2"/>
  <c r="AD769" i="2"/>
  <c r="AD768" i="2"/>
  <c r="AD762" i="2"/>
  <c r="AD767" i="2"/>
  <c r="AD766" i="2"/>
  <c r="AD765" i="2"/>
  <c r="AD761" i="2"/>
  <c r="AD760" i="2"/>
  <c r="AD759" i="2"/>
  <c r="AD756" i="2"/>
  <c r="AD755" i="2"/>
  <c r="AD754" i="2"/>
  <c r="AD753" i="2"/>
  <c r="AD752" i="2"/>
  <c r="AD751" i="2"/>
  <c r="AD750" i="2"/>
  <c r="AD749" i="2"/>
  <c r="AD748" i="2"/>
  <c r="AD747" i="2"/>
  <c r="AD746" i="2"/>
  <c r="AD745" i="2"/>
  <c r="AD744" i="2"/>
  <c r="AD743" i="2"/>
  <c r="AD742" i="2"/>
  <c r="AD739" i="2"/>
  <c r="AD741" i="2"/>
  <c r="AD737" i="2"/>
  <c r="AD736" i="2"/>
  <c r="AD734" i="2"/>
  <c r="AD733" i="2"/>
  <c r="AD732" i="2"/>
  <c r="AD731" i="2"/>
  <c r="AD730" i="2"/>
  <c r="AD729" i="2"/>
  <c r="AD727" i="2"/>
  <c r="AD726" i="2"/>
  <c r="AD725" i="2"/>
  <c r="AD724" i="2"/>
  <c r="AD723" i="2"/>
  <c r="AD722" i="2"/>
  <c r="AD721" i="2"/>
  <c r="AD720" i="2"/>
  <c r="AD719" i="2"/>
  <c r="AD718" i="2"/>
  <c r="AD717" i="2"/>
  <c r="AD716" i="2"/>
  <c r="AD715" i="2"/>
  <c r="AD714" i="2"/>
  <c r="AD713" i="2"/>
  <c r="AD712" i="2"/>
  <c r="AD711" i="2"/>
  <c r="AD710" i="2"/>
  <c r="AD709" i="2"/>
  <c r="AD708" i="2"/>
  <c r="AD707" i="2"/>
  <c r="AD706" i="2"/>
  <c r="AD705" i="2"/>
  <c r="AD704" i="2"/>
  <c r="AD703" i="2"/>
  <c r="AD702" i="2"/>
  <c r="AD700" i="2"/>
  <c r="AD699" i="2"/>
  <c r="AD698" i="2"/>
  <c r="AD697" i="2"/>
  <c r="AD696" i="2"/>
  <c r="AD695" i="2"/>
  <c r="AD694" i="2"/>
  <c r="AD693" i="2"/>
  <c r="AD692" i="2"/>
  <c r="AD691" i="2"/>
  <c r="AD690" i="2"/>
  <c r="AD689" i="2"/>
  <c r="AD688" i="2"/>
  <c r="AD687" i="2"/>
  <c r="AD686" i="2"/>
  <c r="AD685" i="2"/>
  <c r="AD684" i="2"/>
  <c r="AD683" i="2"/>
  <c r="AD682" i="2"/>
  <c r="AD681" i="2"/>
  <c r="AD680" i="2"/>
  <c r="AD679" i="2"/>
  <c r="AD678" i="2"/>
  <c r="AD677" i="2"/>
  <c r="AD676" i="2"/>
  <c r="AD674" i="2"/>
  <c r="AD670" i="2"/>
  <c r="AD669" i="2"/>
  <c r="AD668" i="2"/>
  <c r="AD667" i="2"/>
  <c r="AD666" i="2"/>
  <c r="AD665" i="2"/>
  <c r="AD664" i="2"/>
  <c r="AD663" i="2"/>
  <c r="AD662" i="2"/>
  <c r="AD661" i="2"/>
  <c r="AD660" i="2"/>
  <c r="AD659" i="2"/>
  <c r="AD658" i="2"/>
  <c r="AD657" i="2"/>
  <c r="AD656" i="2"/>
  <c r="AD653" i="2"/>
  <c r="AD655" i="2"/>
  <c r="AD651" i="2"/>
  <c r="AD650" i="2"/>
  <c r="AD649" i="2"/>
  <c r="AD648" i="2"/>
  <c r="AD646" i="2"/>
  <c r="AD640" i="2"/>
  <c r="AD639" i="2"/>
  <c r="AD637" i="2"/>
  <c r="AD636" i="2"/>
  <c r="AD635" i="2"/>
  <c r="AD634" i="2"/>
  <c r="AD633" i="2"/>
  <c r="AD632" i="2"/>
  <c r="AD631" i="2"/>
  <c r="AD630" i="2"/>
  <c r="AD629" i="2"/>
  <c r="AD628" i="2"/>
  <c r="AD627" i="2"/>
  <c r="AD626" i="2"/>
  <c r="AD625" i="2"/>
  <c r="AD624" i="2"/>
  <c r="AD623" i="2"/>
  <c r="AD622" i="2"/>
  <c r="AD621" i="2"/>
  <c r="AD620" i="2"/>
  <c r="AD619" i="2"/>
  <c r="AD618" i="2"/>
  <c r="AD617" i="2"/>
  <c r="AD616" i="2"/>
  <c r="AD615" i="2"/>
  <c r="AD614" i="2"/>
  <c r="AD613" i="2"/>
  <c r="AD612" i="2"/>
  <c r="AD611" i="2"/>
  <c r="AD610" i="2"/>
  <c r="AD609" i="2"/>
  <c r="AD608" i="2"/>
  <c r="AD607" i="2"/>
  <c r="AD606" i="2"/>
  <c r="AD605" i="2"/>
  <c r="AD604" i="2"/>
  <c r="AD603" i="2"/>
  <c r="AD602" i="2"/>
  <c r="AD601" i="2"/>
  <c r="AD600" i="2"/>
  <c r="AD599" i="2"/>
  <c r="AD598" i="2"/>
  <c r="AD597" i="2"/>
  <c r="AD596" i="2"/>
  <c r="AD595" i="2"/>
  <c r="AD594" i="2"/>
  <c r="AD593" i="2"/>
  <c r="AD592" i="2"/>
  <c r="AD591" i="2"/>
  <c r="AD590" i="2"/>
  <c r="AD589" i="2"/>
  <c r="AD587" i="2"/>
  <c r="AD586" i="2"/>
  <c r="AD585" i="2"/>
  <c r="AD584" i="2"/>
  <c r="AD576" i="2"/>
  <c r="AD575" i="2"/>
  <c r="AD574" i="2"/>
  <c r="AD573" i="2"/>
  <c r="AD572" i="2"/>
  <c r="AD571" i="2"/>
  <c r="AD570" i="2"/>
  <c r="AD568" i="2"/>
  <c r="AD562" i="2"/>
  <c r="AD561" i="2"/>
  <c r="AD560" i="2"/>
  <c r="AD559" i="2"/>
  <c r="AD558" i="2"/>
  <c r="AD557" i="2"/>
  <c r="AD556" i="2"/>
  <c r="AD555" i="2"/>
  <c r="AD554" i="2"/>
  <c r="AD553" i="2"/>
  <c r="AD552" i="2"/>
  <c r="AD551" i="2"/>
  <c r="AD550" i="2"/>
  <c r="AD549" i="2"/>
  <c r="AD548" i="2"/>
  <c r="AD547" i="2"/>
  <c r="AD546" i="2"/>
  <c r="AD545" i="2"/>
  <c r="AD544" i="2"/>
  <c r="AD543" i="2"/>
  <c r="AD542" i="2"/>
  <c r="AD541" i="2"/>
  <c r="AD540" i="2"/>
  <c r="AD539" i="2"/>
  <c r="AD537" i="2"/>
  <c r="AD536" i="2"/>
  <c r="AD535" i="2"/>
  <c r="AD534" i="2"/>
  <c r="AD533" i="2"/>
  <c r="AD532" i="2"/>
  <c r="AD531" i="2"/>
  <c r="AD530" i="2"/>
  <c r="K297" i="2" l="1"/>
  <c r="K303" i="2"/>
  <c r="K298" i="2"/>
  <c r="K642" i="2"/>
  <c r="K296" i="2"/>
  <c r="K304" i="2"/>
  <c r="K299" i="2"/>
  <c r="K302" i="2"/>
  <c r="K581" i="2"/>
  <c r="J579" i="2"/>
  <c r="J581" i="2"/>
  <c r="J642" i="2"/>
  <c r="J299" i="2"/>
  <c r="J304" i="2"/>
  <c r="J303" i="2"/>
  <c r="J302" i="2"/>
  <c r="J295" i="2"/>
  <c r="J298" i="2"/>
  <c r="J305" i="2"/>
  <c r="N305" i="2" s="1"/>
  <c r="J301" i="2"/>
  <c r="N301" i="2" s="1"/>
  <c r="J297" i="2"/>
  <c r="J300" i="2"/>
  <c r="J296" i="2"/>
  <c r="J49" i="2"/>
  <c r="N295" i="2" l="1"/>
  <c r="N49" i="2"/>
  <c r="AM642" i="2"/>
  <c r="AM581" i="2"/>
  <c r="N300" i="2"/>
  <c r="N298" i="2"/>
  <c r="N642" i="2"/>
  <c r="N297" i="2"/>
  <c r="N299" i="2"/>
  <c r="N302" i="2"/>
  <c r="N581" i="2"/>
  <c r="N304" i="2"/>
  <c r="N296" i="2"/>
  <c r="N303" i="2"/>
  <c r="Y325" i="86" l="1"/>
  <c r="Y324" i="86"/>
  <c r="Y323" i="86"/>
  <c r="Y322" i="86"/>
  <c r="Y321" i="86"/>
  <c r="Y320" i="86"/>
  <c r="Y319" i="86"/>
  <c r="Y318" i="86"/>
  <c r="Y311" i="86"/>
  <c r="Y310" i="86"/>
  <c r="Y301" i="86"/>
  <c r="Y300" i="86"/>
  <c r="Y299" i="86"/>
  <c r="Y298" i="86"/>
  <c r="Y297" i="86"/>
  <c r="Y295" i="86"/>
  <c r="Y294" i="86"/>
  <c r="Y290" i="86"/>
  <c r="Y293" i="86"/>
  <c r="Y292" i="86"/>
  <c r="Y291" i="86"/>
  <c r="Y289" i="86"/>
  <c r="Y288" i="86"/>
  <c r="Y287" i="86"/>
  <c r="Y286" i="86"/>
  <c r="Y285" i="86"/>
  <c r="Y284" i="86"/>
  <c r="Y283" i="86"/>
  <c r="Y282" i="86"/>
  <c r="Y281" i="86"/>
  <c r="Y280" i="86"/>
  <c r="Y279" i="86"/>
  <c r="Y277" i="86"/>
  <c r="Y276" i="86"/>
  <c r="Y273" i="86"/>
  <c r="Y275" i="86"/>
  <c r="Y274" i="86"/>
  <c r="Y272" i="86"/>
  <c r="Y271" i="86"/>
  <c r="Y270" i="86"/>
  <c r="Y269" i="86"/>
  <c r="Y268" i="86"/>
  <c r="Y267" i="86"/>
  <c r="Y266" i="86"/>
  <c r="Y265" i="86"/>
  <c r="Y264" i="86"/>
  <c r="Y263" i="86"/>
  <c r="Y262" i="86"/>
  <c r="Y261" i="86"/>
  <c r="Y260" i="86"/>
  <c r="Y259" i="86"/>
  <c r="Y258" i="86"/>
  <c r="Y257" i="86"/>
  <c r="Y254" i="86"/>
  <c r="Y256" i="86"/>
  <c r="Y255" i="86"/>
  <c r="Y253" i="86"/>
  <c r="Y252" i="86"/>
  <c r="Y251" i="86"/>
  <c r="Y250" i="86"/>
  <c r="Y249" i="86"/>
  <c r="Y248" i="86"/>
  <c r="Y247" i="86"/>
  <c r="Y246" i="86"/>
  <c r="Y245" i="86"/>
  <c r="Y244" i="86"/>
  <c r="Y243" i="86"/>
  <c r="Y242" i="86"/>
  <c r="Y241" i="86"/>
  <c r="Y240" i="86"/>
  <c r="Y237" i="86"/>
  <c r="Y235" i="86"/>
  <c r="Y234" i="86"/>
  <c r="Y233" i="86"/>
  <c r="Y232" i="86"/>
  <c r="Y231" i="86"/>
  <c r="Y230" i="86"/>
  <c r="Y229" i="86"/>
  <c r="Y228" i="86"/>
  <c r="Y227" i="86"/>
  <c r="Y226" i="86"/>
  <c r="Y225" i="86"/>
  <c r="Y224" i="86"/>
  <c r="Y223" i="86"/>
  <c r="Y222" i="86"/>
  <c r="Y221" i="86"/>
  <c r="Y220" i="86"/>
  <c r="Y219" i="86"/>
  <c r="Y218" i="86"/>
  <c r="Y217" i="86"/>
  <c r="Y216" i="86"/>
  <c r="Y215" i="86"/>
  <c r="Y214" i="86"/>
  <c r="Y213" i="86"/>
  <c r="Y212" i="86"/>
  <c r="Y211" i="86"/>
  <c r="Y210" i="86"/>
  <c r="Y209" i="86"/>
  <c r="Y206" i="86"/>
  <c r="Y205" i="86"/>
  <c r="Y204" i="86"/>
  <c r="Y203" i="86"/>
  <c r="AE502" i="54" l="1"/>
  <c r="AE501" i="54"/>
  <c r="AE500" i="54"/>
  <c r="AE499" i="54"/>
  <c r="AE498" i="54"/>
  <c r="AE497" i="54"/>
  <c r="AE496" i="54"/>
  <c r="AE495" i="54"/>
  <c r="AE494" i="54"/>
  <c r="AE493" i="54"/>
  <c r="AE492" i="54"/>
  <c r="AE491" i="54"/>
  <c r="AE490" i="54"/>
  <c r="AE489" i="54"/>
  <c r="AE488" i="54"/>
  <c r="AE487" i="54"/>
  <c r="AE486" i="54"/>
  <c r="AE485" i="54"/>
  <c r="AE484" i="54"/>
  <c r="AE483" i="54"/>
  <c r="AE482" i="54"/>
  <c r="AE481" i="54"/>
  <c r="AE480" i="54"/>
  <c r="AE477" i="54"/>
  <c r="AE476" i="54"/>
  <c r="AE475" i="54"/>
  <c r="AE474" i="54"/>
  <c r="AE473" i="54"/>
  <c r="AE472" i="54"/>
  <c r="AE466" i="54"/>
  <c r="AE465" i="54"/>
  <c r="AE464" i="54"/>
  <c r="AE463" i="54"/>
  <c r="AE462" i="54"/>
  <c r="AE461" i="54"/>
  <c r="AE460" i="54"/>
  <c r="AE459" i="54"/>
  <c r="AE458" i="54"/>
  <c r="AE446" i="54"/>
  <c r="AE429" i="54"/>
  <c r="AE450" i="54"/>
  <c r="AE449" i="54"/>
  <c r="AE448" i="54"/>
  <c r="AE447" i="54"/>
  <c r="AE445" i="54"/>
  <c r="AE444" i="54"/>
  <c r="AE443" i="54"/>
  <c r="AE436" i="54"/>
  <c r="AE435" i="54"/>
  <c r="AE434" i="54"/>
  <c r="AE433" i="54"/>
  <c r="AE432" i="54"/>
  <c r="AE431" i="54"/>
  <c r="AE430" i="54"/>
  <c r="AE428" i="54"/>
  <c r="AE427" i="54"/>
  <c r="AE426" i="54"/>
  <c r="AE425" i="54"/>
  <c r="AE424" i="54"/>
  <c r="AE423" i="54"/>
  <c r="AE422" i="54"/>
  <c r="AE421" i="54"/>
  <c r="AE420" i="54"/>
  <c r="AE419" i="54"/>
  <c r="AE418" i="54"/>
  <c r="AE409" i="54"/>
  <c r="AE416" i="54"/>
  <c r="AE415" i="54"/>
  <c r="AE414" i="54"/>
  <c r="AE413" i="54"/>
  <c r="AE411" i="54"/>
  <c r="AE410" i="54"/>
  <c r="AE405" i="54"/>
  <c r="AE404" i="54"/>
  <c r="AE403" i="54"/>
  <c r="AE401" i="54"/>
  <c r="AE400" i="54"/>
  <c r="AE398" i="54"/>
  <c r="AE397" i="54"/>
  <c r="AE396" i="54"/>
  <c r="AE395" i="54"/>
  <c r="AE394" i="54"/>
  <c r="AE393" i="54"/>
  <c r="AE392" i="54"/>
  <c r="AE391" i="54"/>
  <c r="AE390" i="54"/>
  <c r="AE388" i="54"/>
  <c r="AE387" i="54"/>
  <c r="AE386" i="54"/>
  <c r="AE385" i="54"/>
  <c r="AE384" i="54"/>
  <c r="AE383" i="54"/>
  <c r="AE382" i="54"/>
  <c r="AE381" i="54"/>
  <c r="AE380" i="54"/>
  <c r="AE379" i="54"/>
  <c r="AE378" i="54"/>
  <c r="AE377" i="54"/>
  <c r="AE376" i="54"/>
  <c r="AE375" i="54"/>
  <c r="AE374" i="54"/>
  <c r="AE373" i="54"/>
  <c r="AE372" i="54"/>
  <c r="AE371" i="54"/>
  <c r="AE370" i="54"/>
  <c r="AE369" i="54"/>
  <c r="AE368" i="54"/>
  <c r="AE367" i="54"/>
  <c r="AE366" i="54"/>
  <c r="AE365" i="54"/>
  <c r="AE364" i="54"/>
  <c r="AE363" i="54"/>
  <c r="AE362" i="54"/>
  <c r="AE361" i="54"/>
  <c r="AE360" i="54"/>
  <c r="AE359" i="54"/>
  <c r="AE358" i="54"/>
  <c r="AE357" i="54"/>
  <c r="AE356" i="54"/>
  <c r="AE355" i="54"/>
  <c r="AE354" i="54"/>
  <c r="AE353" i="54"/>
  <c r="AE351" i="54"/>
  <c r="AE350" i="54"/>
  <c r="AE349" i="54"/>
  <c r="AE344" i="54"/>
  <c r="AE342" i="54"/>
  <c r="AE341" i="54"/>
  <c r="AE340" i="54"/>
  <c r="AE339" i="54"/>
  <c r="AE338" i="54"/>
  <c r="AE337" i="54"/>
  <c r="AE336" i="54"/>
  <c r="AE335" i="54"/>
  <c r="AE334" i="54"/>
  <c r="AE333" i="54"/>
  <c r="AE332" i="54"/>
  <c r="AE331" i="54"/>
  <c r="AE330" i="54"/>
  <c r="AE329" i="54"/>
  <c r="AE328" i="54"/>
  <c r="AE327" i="54"/>
  <c r="AE326" i="54"/>
  <c r="AE325" i="54"/>
  <c r="AE324" i="54"/>
  <c r="AE323" i="54"/>
  <c r="AE322" i="54"/>
  <c r="AE321" i="54"/>
  <c r="AE320" i="54"/>
  <c r="AE319" i="54"/>
  <c r="AE318" i="54"/>
  <c r="AE317" i="54"/>
  <c r="AE316" i="54"/>
  <c r="AE315" i="54"/>
  <c r="AE314" i="54"/>
  <c r="AE389" i="54" l="1"/>
  <c r="AE402" i="54" l="1"/>
  <c r="AE399" i="54"/>
  <c r="F437" i="54" l="1"/>
  <c r="M80" i="54"/>
  <c r="K80" i="54" s="1"/>
  <c r="F80" i="54"/>
  <c r="E80" i="54"/>
  <c r="M79" i="54"/>
  <c r="K79" i="54" s="1"/>
  <c r="F79" i="54"/>
  <c r="E79" i="54"/>
  <c r="E36" i="86"/>
  <c r="C3" i="30"/>
  <c r="F32" i="67"/>
  <c r="B32" i="67"/>
  <c r="D46" i="94"/>
  <c r="D45" i="94"/>
  <c r="E26" i="67"/>
  <c r="E25" i="67"/>
  <c r="E28" i="67"/>
  <c r="H32" i="67"/>
  <c r="G32" i="67"/>
  <c r="C32" i="67"/>
  <c r="I31" i="67"/>
  <c r="E31" i="67"/>
  <c r="I30" i="67"/>
  <c r="E30" i="67"/>
  <c r="I29" i="67"/>
  <c r="E29" i="67"/>
  <c r="I28" i="67"/>
  <c r="I27" i="67"/>
  <c r="E27" i="67"/>
  <c r="I26" i="67"/>
  <c r="I25" i="67"/>
  <c r="I24" i="67"/>
  <c r="E24" i="67"/>
  <c r="I23" i="67"/>
  <c r="K437" i="54" l="1"/>
  <c r="J437" i="54"/>
  <c r="J79" i="54"/>
  <c r="N79" i="54" s="1"/>
  <c r="J80" i="54"/>
  <c r="I32" i="67"/>
  <c r="D32" i="67"/>
  <c r="E23" i="67"/>
  <c r="J28" i="67"/>
  <c r="J26" i="67"/>
  <c r="J30" i="67"/>
  <c r="J24" i="67"/>
  <c r="J25" i="67"/>
  <c r="J27" i="67"/>
  <c r="J29" i="67"/>
  <c r="J31" i="67"/>
  <c r="J59" i="87"/>
  <c r="J65" i="87" s="1"/>
  <c r="J69" i="87" s="1"/>
  <c r="J73" i="87" s="1"/>
  <c r="J80" i="87" s="1"/>
  <c r="J84" i="87" s="1"/>
  <c r="J88" i="87" s="1"/>
  <c r="L63" i="87"/>
  <c r="L62" i="87"/>
  <c r="L61" i="87"/>
  <c r="L60" i="87"/>
  <c r="E61" i="87"/>
  <c r="N80" i="54" l="1"/>
  <c r="N437" i="54"/>
  <c r="J23" i="67"/>
  <c r="J32" i="67" s="1"/>
  <c r="E32" i="67"/>
  <c r="D19" i="6"/>
  <c r="D18" i="6"/>
  <c r="D16" i="6"/>
  <c r="D14" i="6"/>
  <c r="D69" i="87" l="1"/>
  <c r="D63" i="87"/>
  <c r="D62" i="87"/>
  <c r="D68" i="87"/>
  <c r="D67" i="87"/>
  <c r="D70" i="87"/>
  <c r="D66" i="87"/>
  <c r="D80" i="32" l="1"/>
  <c r="E843" i="58" l="1"/>
  <c r="D116" i="32"/>
  <c r="C116" i="32"/>
  <c r="C115" i="32"/>
  <c r="M247" i="60"/>
  <c r="E247" i="60"/>
  <c r="D65" i="61"/>
  <c r="D64" i="61"/>
  <c r="D127" i="6"/>
  <c r="D126" i="6"/>
  <c r="D97" i="55"/>
  <c r="D96" i="55"/>
  <c r="M461" i="54"/>
  <c r="E461" i="54"/>
  <c r="K461" i="54" l="1"/>
  <c r="J843" i="58"/>
  <c r="K247" i="60"/>
  <c r="AB247" i="60" l="1"/>
  <c r="M915" i="2"/>
  <c r="E915" i="2"/>
  <c r="K915" i="2" l="1"/>
  <c r="M638" i="2" l="1"/>
  <c r="E638" i="2"/>
  <c r="F859" i="2"/>
  <c r="F869" i="2"/>
  <c r="F924" i="2"/>
  <c r="F981" i="2"/>
  <c r="F990" i="2"/>
  <c r="E498" i="2"/>
  <c r="D37" i="94" l="1"/>
  <c r="D43" i="94"/>
  <c r="D42" i="94"/>
  <c r="E409" i="54"/>
  <c r="E416" i="54"/>
  <c r="E415" i="54"/>
  <c r="H332" i="55" s="1"/>
  <c r="E414" i="54"/>
  <c r="E413" i="54"/>
  <c r="E411" i="54"/>
  <c r="E397" i="54"/>
  <c r="E396" i="54"/>
  <c r="E395" i="54"/>
  <c r="E394" i="54"/>
  <c r="E393" i="54"/>
  <c r="E392" i="54"/>
  <c r="E391" i="54"/>
  <c r="H375" i="55" s="1"/>
  <c r="E390" i="54"/>
  <c r="H374" i="55" s="1"/>
  <c r="E389" i="54"/>
  <c r="H373" i="55" s="1"/>
  <c r="E385" i="54"/>
  <c r="E383" i="54"/>
  <c r="E384" i="54"/>
  <c r="H379" i="55" s="1"/>
  <c r="M130" i="54"/>
  <c r="M129" i="54"/>
  <c r="E130" i="54"/>
  <c r="M501" i="54"/>
  <c r="M482" i="54"/>
  <c r="M481" i="54"/>
  <c r="M494" i="54"/>
  <c r="M493" i="54"/>
  <c r="M491" i="54"/>
  <c r="I388" i="55" s="1"/>
  <c r="M492" i="54"/>
  <c r="E493" i="54"/>
  <c r="M459" i="54"/>
  <c r="M464" i="54"/>
  <c r="M463" i="54"/>
  <c r="M462" i="54"/>
  <c r="M500" i="54"/>
  <c r="I380" i="55" s="1"/>
  <c r="M502" i="54"/>
  <c r="E459" i="54"/>
  <c r="H338" i="55" s="1"/>
  <c r="E464" i="54"/>
  <c r="E463" i="54"/>
  <c r="H345" i="55" s="1"/>
  <c r="E462" i="54"/>
  <c r="E482" i="54"/>
  <c r="E481" i="54"/>
  <c r="E477" i="54"/>
  <c r="H363" i="55" s="1"/>
  <c r="E476" i="54"/>
  <c r="E475" i="54"/>
  <c r="H356" i="55" s="1"/>
  <c r="E474" i="54"/>
  <c r="H355" i="55" s="1"/>
  <c r="E473" i="54"/>
  <c r="E472" i="54"/>
  <c r="E494" i="54"/>
  <c r="E492" i="54"/>
  <c r="H389" i="55" s="1"/>
  <c r="E491" i="54"/>
  <c r="H388" i="55" s="1"/>
  <c r="E501" i="54"/>
  <c r="E500" i="54"/>
  <c r="H380" i="55" s="1"/>
  <c r="E502" i="54"/>
  <c r="F502" i="54"/>
  <c r="H378" i="55" l="1"/>
  <c r="I389" i="55"/>
  <c r="I390" i="55"/>
  <c r="H390" i="55"/>
  <c r="H381" i="55"/>
  <c r="H387" i="55"/>
  <c r="I381" i="55"/>
  <c r="I387" i="55"/>
  <c r="H329" i="55"/>
  <c r="H326" i="55"/>
  <c r="H331" i="55"/>
  <c r="H348" i="55"/>
  <c r="H353" i="55"/>
  <c r="H349" i="55"/>
  <c r="H354" i="55"/>
  <c r="H325" i="55"/>
  <c r="H330" i="55"/>
  <c r="H350" i="55"/>
  <c r="H333" i="55"/>
  <c r="H334" i="55"/>
  <c r="I383" i="55"/>
  <c r="I385" i="55"/>
  <c r="H382" i="55"/>
  <c r="H358" i="55"/>
  <c r="H359" i="55"/>
  <c r="I382" i="55"/>
  <c r="H327" i="55"/>
  <c r="H328" i="55"/>
  <c r="H351" i="55"/>
  <c r="H352" i="55"/>
  <c r="H384" i="55"/>
  <c r="H386" i="55"/>
  <c r="I384" i="55"/>
  <c r="I386" i="55"/>
  <c r="H376" i="55"/>
  <c r="H383" i="55"/>
  <c r="H385" i="55"/>
  <c r="H346" i="55"/>
  <c r="H347" i="55"/>
  <c r="H377" i="55"/>
  <c r="H341" i="55"/>
  <c r="H342" i="55"/>
  <c r="I362" i="55"/>
  <c r="I363" i="55"/>
  <c r="I360" i="55"/>
  <c r="I361" i="55"/>
  <c r="I359" i="55"/>
  <c r="I352" i="55"/>
  <c r="I356" i="55"/>
  <c r="I358" i="55"/>
  <c r="I355" i="55"/>
  <c r="I357" i="55"/>
  <c r="I354" i="55"/>
  <c r="I349" i="55"/>
  <c r="I351" i="55"/>
  <c r="I350" i="55"/>
  <c r="I353" i="55"/>
  <c r="E419" i="54"/>
  <c r="J502" i="54"/>
  <c r="D125" i="32" l="1"/>
  <c r="D41" i="32" l="1"/>
  <c r="C16" i="92" l="1"/>
  <c r="D87" i="61" l="1"/>
  <c r="F127" i="66"/>
  <c r="F129" i="66" l="1"/>
  <c r="C70" i="28" l="1"/>
  <c r="C68" i="28"/>
  <c r="C66" i="28"/>
  <c r="D66" i="28" l="1"/>
  <c r="D70" i="28"/>
  <c r="D68" i="28"/>
  <c r="C131" i="32"/>
  <c r="C24" i="32"/>
  <c r="C23" i="32"/>
  <c r="C7" i="32"/>
  <c r="F62" i="66" l="1"/>
  <c r="D59" i="61" l="1"/>
  <c r="D58" i="61"/>
  <c r="D91" i="55"/>
  <c r="D90" i="55"/>
  <c r="C113" i="32"/>
  <c r="C112" i="32"/>
  <c r="D124" i="6" l="1"/>
  <c r="D123" i="6"/>
  <c r="C153" i="78" l="1"/>
  <c r="C142" i="78" l="1"/>
  <c r="C135" i="78" l="1"/>
  <c r="C72" i="78" l="1"/>
  <c r="C118" i="78" l="1"/>
  <c r="I12" i="78" l="1"/>
  <c r="C127" i="78" l="1"/>
  <c r="C148" i="78" l="1"/>
  <c r="C147" i="78" l="1"/>
  <c r="C108" i="78" l="1"/>
  <c r="C85" i="78" l="1"/>
  <c r="F42" i="78" l="1"/>
  <c r="F41" i="78"/>
  <c r="B54" i="78" l="1"/>
  <c r="C54" i="78" l="1"/>
  <c r="D54" i="78" l="1"/>
  <c r="E54" i="78" l="1"/>
  <c r="F778" i="58" l="1"/>
  <c r="E778" i="58"/>
  <c r="J778" i="58" l="1"/>
  <c r="M889" i="2"/>
  <c r="E889" i="2"/>
  <c r="C38" i="57"/>
  <c r="D34" i="6"/>
  <c r="D33" i="6"/>
  <c r="F38" i="57" l="1"/>
  <c r="F63" i="66" s="1"/>
  <c r="F36" i="57"/>
  <c r="D116" i="55" l="1"/>
  <c r="D115" i="55"/>
  <c r="F160" i="66" l="1"/>
  <c r="E113" i="55"/>
  <c r="F186" i="66" l="1"/>
  <c r="J51" i="87" l="1"/>
  <c r="F223" i="66" l="1"/>
  <c r="K33" i="94"/>
  <c r="K32" i="94"/>
  <c r="D49" i="32" l="1"/>
  <c r="D13" i="91" l="1"/>
  <c r="D12" i="91"/>
  <c r="G39" i="66" l="1"/>
  <c r="G31" i="66"/>
  <c r="G30" i="66"/>
  <c r="G28" i="66"/>
  <c r="G27" i="66"/>
  <c r="G25" i="66"/>
  <c r="G21" i="66"/>
  <c r="G20" i="66"/>
  <c r="M149" i="2" l="1"/>
  <c r="M148" i="2"/>
  <c r="M147" i="2"/>
  <c r="M146" i="2"/>
  <c r="M145" i="2"/>
  <c r="M144" i="2"/>
  <c r="M167" i="2"/>
  <c r="M166" i="2"/>
  <c r="M165" i="2"/>
  <c r="M164" i="2"/>
  <c r="M163" i="2"/>
  <c r="M162" i="2"/>
  <c r="M161" i="2"/>
  <c r="M160" i="2"/>
  <c r="M159" i="2"/>
  <c r="M179" i="2"/>
  <c r="M178" i="2"/>
  <c r="M177" i="2"/>
  <c r="M176" i="2"/>
  <c r="M175" i="2"/>
  <c r="M174" i="2"/>
  <c r="M173" i="2"/>
  <c r="M172" i="2"/>
  <c r="M171" i="2"/>
  <c r="E179" i="2"/>
  <c r="E178" i="2"/>
  <c r="E177" i="2"/>
  <c r="E176" i="2"/>
  <c r="E175" i="2"/>
  <c r="E174" i="2"/>
  <c r="E173" i="2"/>
  <c r="E172" i="2"/>
  <c r="E171" i="2"/>
  <c r="E167" i="2"/>
  <c r="E166" i="2"/>
  <c r="E165" i="2"/>
  <c r="E164" i="2"/>
  <c r="E163" i="2"/>
  <c r="E162" i="2"/>
  <c r="E161" i="2"/>
  <c r="E160" i="2"/>
  <c r="E159" i="2"/>
  <c r="M309" i="2"/>
  <c r="K309" i="2" s="1"/>
  <c r="E309" i="2"/>
  <c r="M308" i="2"/>
  <c r="K308" i="2" s="1"/>
  <c r="E308" i="2"/>
  <c r="M307" i="2"/>
  <c r="K307" i="2" s="1"/>
  <c r="E307" i="2"/>
  <c r="M306" i="2"/>
  <c r="K306" i="2" s="1"/>
  <c r="E306" i="2"/>
  <c r="D126" i="55"/>
  <c r="D124" i="55"/>
  <c r="H327" i="6" l="1"/>
  <c r="H329" i="6"/>
  <c r="H324" i="6"/>
  <c r="H323" i="6"/>
  <c r="H325" i="6"/>
  <c r="H328" i="6"/>
  <c r="H330" i="6"/>
  <c r="H332" i="6"/>
  <c r="H326" i="6"/>
  <c r="J308" i="2"/>
  <c r="N308" i="2" s="1"/>
  <c r="J307" i="2"/>
  <c r="J309" i="2"/>
  <c r="J306" i="2"/>
  <c r="N306" i="2" s="1"/>
  <c r="N309" i="2" l="1"/>
  <c r="N307" i="2"/>
  <c r="D21" i="94"/>
  <c r="X176" i="93" l="1"/>
  <c r="X177" i="93"/>
  <c r="X178" i="93"/>
  <c r="X179" i="93"/>
  <c r="X180" i="93"/>
  <c r="X181" i="93"/>
  <c r="X182" i="93"/>
  <c r="X183" i="93"/>
  <c r="X184" i="93"/>
  <c r="X185" i="93"/>
  <c r="X186" i="93"/>
  <c r="X187" i="93"/>
  <c r="X188" i="93"/>
  <c r="X189" i="93"/>
  <c r="X190" i="93"/>
  <c r="X191" i="93"/>
  <c r="X192" i="93"/>
  <c r="X193" i="93"/>
  <c r="X194" i="93"/>
  <c r="X195" i="93"/>
  <c r="X196" i="93"/>
  <c r="X197" i="93"/>
  <c r="X198" i="93"/>
  <c r="X199" i="93"/>
  <c r="X200" i="93"/>
  <c r="X201" i="93"/>
  <c r="X202" i="93"/>
  <c r="X203" i="93"/>
  <c r="X204" i="93"/>
  <c r="X205" i="93"/>
  <c r="X206" i="93"/>
  <c r="X207" i="93"/>
  <c r="X208" i="93"/>
  <c r="X209" i="93"/>
  <c r="X210" i="93"/>
  <c r="X211" i="93"/>
  <c r="X212" i="93"/>
  <c r="X213" i="93"/>
  <c r="X214" i="93"/>
  <c r="X215" i="93"/>
  <c r="X216" i="93"/>
  <c r="X217" i="93"/>
  <c r="X218" i="93"/>
  <c r="X219" i="93"/>
  <c r="X220" i="93"/>
  <c r="X221" i="93"/>
  <c r="X222" i="93"/>
  <c r="X223" i="93"/>
  <c r="X225" i="93"/>
  <c r="X226" i="93"/>
  <c r="X227" i="93"/>
  <c r="X228" i="93"/>
  <c r="X229" i="93"/>
  <c r="X230" i="93"/>
  <c r="X231" i="93"/>
  <c r="X232" i="93"/>
  <c r="X233" i="93"/>
  <c r="X234" i="93"/>
  <c r="X235" i="93"/>
  <c r="X236" i="93"/>
  <c r="X237" i="93"/>
  <c r="X238" i="93"/>
  <c r="X239" i="93"/>
  <c r="X240" i="93"/>
  <c r="X241" i="93"/>
  <c r="X242" i="93"/>
  <c r="X243" i="93"/>
  <c r="X244" i="93"/>
  <c r="X245" i="93"/>
  <c r="X246" i="93"/>
  <c r="X247" i="93"/>
  <c r="X248" i="93"/>
  <c r="X249" i="93"/>
  <c r="X250" i="93"/>
  <c r="X251" i="93"/>
  <c r="X252" i="93"/>
  <c r="X253" i="93"/>
  <c r="X255" i="93"/>
  <c r="X256" i="93"/>
  <c r="X257" i="93"/>
  <c r="X258" i="93"/>
  <c r="X259" i="93"/>
  <c r="X260" i="93"/>
  <c r="X261" i="93"/>
  <c r="X262" i="93"/>
  <c r="X263" i="93"/>
  <c r="X264" i="93"/>
  <c r="X265" i="93"/>
  <c r="X266" i="93"/>
  <c r="X267" i="93"/>
  <c r="X268" i="93"/>
  <c r="X269" i="93"/>
  <c r="X270" i="93"/>
  <c r="X271" i="93"/>
  <c r="X272" i="93"/>
  <c r="X273" i="93"/>
  <c r="X274" i="93"/>
  <c r="X275" i="93"/>
  <c r="X277" i="93"/>
  <c r="X278" i="93"/>
  <c r="X279" i="93"/>
  <c r="X280" i="93"/>
  <c r="X281" i="93"/>
  <c r="X282" i="93"/>
  <c r="X283" i="93"/>
  <c r="X284" i="93"/>
  <c r="X285" i="93"/>
  <c r="X286" i="93"/>
  <c r="X287" i="93"/>
  <c r="X288" i="93"/>
  <c r="X289" i="93"/>
  <c r="X290" i="93"/>
  <c r="X292" i="93"/>
  <c r="X293" i="93"/>
  <c r="X294" i="93"/>
  <c r="X295" i="93"/>
  <c r="X296" i="93"/>
  <c r="X297" i="93"/>
  <c r="X298" i="93"/>
  <c r="X299" i="93"/>
  <c r="X300" i="93"/>
  <c r="X301" i="93"/>
  <c r="X310" i="93"/>
  <c r="X311" i="93"/>
  <c r="X312" i="93"/>
  <c r="X313" i="93"/>
  <c r="X314" i="93"/>
  <c r="X315" i="93"/>
  <c r="X316" i="93"/>
  <c r="X317" i="93"/>
  <c r="X321" i="93"/>
  <c r="X333" i="93"/>
  <c r="X334" i="93"/>
  <c r="X335" i="93"/>
  <c r="X336" i="93"/>
  <c r="X337" i="93"/>
  <c r="X338" i="93"/>
  <c r="X339" i="93"/>
  <c r="X340" i="93"/>
  <c r="X341" i="93"/>
  <c r="X342" i="93"/>
  <c r="X343" i="93"/>
  <c r="X175" i="93"/>
  <c r="F203" i="66" l="1"/>
  <c r="G203" i="66" s="1"/>
  <c r="M344" i="93"/>
  <c r="F344" i="93"/>
  <c r="E344" i="93"/>
  <c r="M290" i="93"/>
  <c r="K290" i="93" s="1"/>
  <c r="F290" i="93"/>
  <c r="E290" i="93"/>
  <c r="M107" i="93"/>
  <c r="K107" i="93" s="1"/>
  <c r="F107" i="93"/>
  <c r="E107" i="93"/>
  <c r="M106" i="93"/>
  <c r="K106" i="93" s="1"/>
  <c r="F106" i="93"/>
  <c r="E106" i="93"/>
  <c r="M105" i="93"/>
  <c r="K105" i="93" s="1"/>
  <c r="F105" i="93"/>
  <c r="E105" i="93"/>
  <c r="M908" i="2"/>
  <c r="F908" i="2"/>
  <c r="E908" i="2"/>
  <c r="M907" i="2"/>
  <c r="F907" i="2"/>
  <c r="E907" i="2"/>
  <c r="M577" i="2"/>
  <c r="F577" i="2"/>
  <c r="E577" i="2"/>
  <c r="M114" i="2"/>
  <c r="M312" i="2"/>
  <c r="E312" i="2"/>
  <c r="M311" i="2"/>
  <c r="K311" i="2" s="1"/>
  <c r="E311" i="2"/>
  <c r="M310" i="2"/>
  <c r="K310" i="2" s="1"/>
  <c r="E310" i="2"/>
  <c r="M51" i="2"/>
  <c r="E51" i="2"/>
  <c r="M50" i="2"/>
  <c r="E50" i="2"/>
  <c r="AC1005" i="2"/>
  <c r="AC1004" i="2"/>
  <c r="AC1003" i="2"/>
  <c r="AC1002" i="2"/>
  <c r="AC1001" i="2"/>
  <c r="AC1000" i="2"/>
  <c r="AC999" i="2"/>
  <c r="AC998" i="2"/>
  <c r="AC997" i="2"/>
  <c r="AC996" i="2"/>
  <c r="AC995" i="2"/>
  <c r="AC994" i="2"/>
  <c r="AC993" i="2"/>
  <c r="AC992" i="2"/>
  <c r="AC991" i="2"/>
  <c r="AC990" i="2"/>
  <c r="AC989" i="2"/>
  <c r="AC988" i="2"/>
  <c r="AC987" i="2"/>
  <c r="AC986" i="2"/>
  <c r="AC985" i="2"/>
  <c r="AC984" i="2"/>
  <c r="AC983" i="2"/>
  <c r="AC982" i="2"/>
  <c r="AC981" i="2"/>
  <c r="AC980" i="2"/>
  <c r="AC979" i="2"/>
  <c r="AC978" i="2"/>
  <c r="AC977" i="2"/>
  <c r="AC976" i="2"/>
  <c r="AC975" i="2"/>
  <c r="AC974" i="2"/>
  <c r="AC973" i="2"/>
  <c r="AC972" i="2"/>
  <c r="AC971" i="2"/>
  <c r="AC970" i="2"/>
  <c r="AC969" i="2"/>
  <c r="AC968" i="2"/>
  <c r="AC967" i="2"/>
  <c r="AC966" i="2"/>
  <c r="AC965" i="2"/>
  <c r="AC964" i="2"/>
  <c r="AC963" i="2"/>
  <c r="AC962" i="2"/>
  <c r="AC961" i="2"/>
  <c r="AC960" i="2"/>
  <c r="AC959" i="2"/>
  <c r="AC958" i="2"/>
  <c r="AC957" i="2"/>
  <c r="AC956" i="2"/>
  <c r="AC955" i="2"/>
  <c r="AC954" i="2"/>
  <c r="AC953" i="2"/>
  <c r="AC952" i="2"/>
  <c r="AC951" i="2"/>
  <c r="AC950" i="2"/>
  <c r="AC949" i="2"/>
  <c r="AC948" i="2"/>
  <c r="AC947" i="2"/>
  <c r="AC946" i="2"/>
  <c r="AC945" i="2"/>
  <c r="AC944" i="2"/>
  <c r="AC943" i="2"/>
  <c r="AC942" i="2"/>
  <c r="AC941" i="2"/>
  <c r="AC940" i="2"/>
  <c r="AC939" i="2"/>
  <c r="AC935" i="2"/>
  <c r="AC934" i="2"/>
  <c r="AC933" i="2"/>
  <c r="AC932" i="2"/>
  <c r="AC931" i="2"/>
  <c r="AC930" i="2"/>
  <c r="AC929" i="2"/>
  <c r="AC928" i="2"/>
  <c r="AC927" i="2"/>
  <c r="AC926" i="2"/>
  <c r="AC925" i="2"/>
  <c r="AC924" i="2"/>
  <c r="AC923" i="2"/>
  <c r="AC922" i="2"/>
  <c r="AC921" i="2"/>
  <c r="AC920" i="2"/>
  <c r="AC919" i="2"/>
  <c r="AC918" i="2"/>
  <c r="AC917" i="2"/>
  <c r="AC916" i="2"/>
  <c r="AC914" i="2"/>
  <c r="AC913" i="2"/>
  <c r="AC912" i="2"/>
  <c r="AC911" i="2"/>
  <c r="AC910" i="2"/>
  <c r="AC909" i="2"/>
  <c r="AC906" i="2"/>
  <c r="AC905" i="2"/>
  <c r="AC904" i="2"/>
  <c r="AC903" i="2"/>
  <c r="AC902" i="2"/>
  <c r="AC901" i="2"/>
  <c r="AC900" i="2"/>
  <c r="AC899" i="2"/>
  <c r="AC898" i="2"/>
  <c r="AC897" i="2"/>
  <c r="AC896" i="2"/>
  <c r="AC895" i="2"/>
  <c r="AC894" i="2"/>
  <c r="AC893" i="2"/>
  <c r="AC892" i="2"/>
  <c r="AC891" i="2"/>
  <c r="AC890" i="2"/>
  <c r="AC888" i="2"/>
  <c r="AC887" i="2"/>
  <c r="AC886" i="2"/>
  <c r="AC885" i="2"/>
  <c r="AC884" i="2"/>
  <c r="AC883" i="2"/>
  <c r="AC882" i="2"/>
  <c r="AC881" i="2"/>
  <c r="AC880" i="2"/>
  <c r="AC879" i="2"/>
  <c r="AC878" i="2"/>
  <c r="AC876" i="2"/>
  <c r="AC875" i="2"/>
  <c r="AC874" i="2"/>
  <c r="AC873" i="2"/>
  <c r="AC872" i="2"/>
  <c r="AC871" i="2"/>
  <c r="AC870" i="2"/>
  <c r="AC869" i="2"/>
  <c r="AC868" i="2"/>
  <c r="AC867" i="2"/>
  <c r="AC866" i="2"/>
  <c r="AC865" i="2"/>
  <c r="AC864" i="2"/>
  <c r="AC863" i="2"/>
  <c r="AC862" i="2"/>
  <c r="AC861" i="2"/>
  <c r="AC860" i="2"/>
  <c r="AC859" i="2"/>
  <c r="AC858" i="2"/>
  <c r="AC857" i="2"/>
  <c r="AC856" i="2"/>
  <c r="AC855" i="2"/>
  <c r="AC854" i="2"/>
  <c r="AC853" i="2"/>
  <c r="AC852" i="2"/>
  <c r="AC851" i="2"/>
  <c r="AC850" i="2"/>
  <c r="AC849" i="2"/>
  <c r="AC770" i="2"/>
  <c r="AC846" i="2"/>
  <c r="AC777" i="2"/>
  <c r="AC845" i="2"/>
  <c r="AC839" i="2"/>
  <c r="AC836" i="2"/>
  <c r="AC835" i="2"/>
  <c r="AC834" i="2"/>
  <c r="AC833" i="2"/>
  <c r="AC832" i="2"/>
  <c r="AC831" i="2"/>
  <c r="AC830" i="2"/>
  <c r="AC829" i="2"/>
  <c r="AC828" i="2"/>
  <c r="AC844" i="2"/>
  <c r="AC843" i="2"/>
  <c r="AC842" i="2"/>
  <c r="AC841" i="2"/>
  <c r="AC827" i="2"/>
  <c r="AC826" i="2"/>
  <c r="AC825" i="2"/>
  <c r="AC824" i="2"/>
  <c r="AC823" i="2"/>
  <c r="AC822" i="2"/>
  <c r="AC821" i="2"/>
  <c r="AC820" i="2"/>
  <c r="AC819" i="2"/>
  <c r="AC818" i="2"/>
  <c r="AC817" i="2"/>
  <c r="AC815" i="2"/>
  <c r="AC812" i="2"/>
  <c r="AC811" i="2"/>
  <c r="AC810" i="2"/>
  <c r="AC809" i="2"/>
  <c r="AC808" i="2"/>
  <c r="AC807" i="2"/>
  <c r="AC806" i="2"/>
  <c r="AC805" i="2"/>
  <c r="AC804" i="2"/>
  <c r="AC803" i="2"/>
  <c r="AC802" i="2"/>
  <c r="AC801" i="2"/>
  <c r="AC800" i="2"/>
  <c r="AC799" i="2"/>
  <c r="AC798" i="2"/>
  <c r="AC797" i="2"/>
  <c r="AC796" i="2"/>
  <c r="AC795" i="2"/>
  <c r="AC794" i="2"/>
  <c r="AC793" i="2"/>
  <c r="AC792" i="2"/>
  <c r="AC791" i="2"/>
  <c r="AC790" i="2"/>
  <c r="AC789" i="2"/>
  <c r="AC788" i="2"/>
  <c r="AC787" i="2"/>
  <c r="AC786" i="2"/>
  <c r="AC785" i="2"/>
  <c r="AC784" i="2"/>
  <c r="AC783" i="2"/>
  <c r="AC782" i="2"/>
  <c r="AC778" i="2"/>
  <c r="AC840" i="2"/>
  <c r="AC776" i="2"/>
  <c r="AC775" i="2"/>
  <c r="AC774" i="2"/>
  <c r="AC773" i="2"/>
  <c r="AC772" i="2"/>
  <c r="AC771" i="2"/>
  <c r="AC769" i="2"/>
  <c r="AC768" i="2"/>
  <c r="AC762" i="2"/>
  <c r="AC767" i="2"/>
  <c r="AC766" i="2"/>
  <c r="AC765" i="2"/>
  <c r="AC761" i="2"/>
  <c r="AC760" i="2"/>
  <c r="AC759" i="2"/>
  <c r="AC756" i="2"/>
  <c r="AC755" i="2"/>
  <c r="AC754" i="2"/>
  <c r="AC753" i="2"/>
  <c r="AC752" i="2"/>
  <c r="AC751" i="2"/>
  <c r="AC750" i="2"/>
  <c r="AC749" i="2"/>
  <c r="AC748" i="2"/>
  <c r="AC747" i="2"/>
  <c r="AC746" i="2"/>
  <c r="AC745" i="2"/>
  <c r="AC744" i="2"/>
  <c r="AC743" i="2"/>
  <c r="AC742" i="2"/>
  <c r="AC739" i="2"/>
  <c r="AC741" i="2"/>
  <c r="AC737" i="2"/>
  <c r="AC736" i="2"/>
  <c r="AC734" i="2"/>
  <c r="AC733" i="2"/>
  <c r="AC732" i="2"/>
  <c r="AC731" i="2"/>
  <c r="AC730" i="2"/>
  <c r="AC729" i="2"/>
  <c r="AC727" i="2"/>
  <c r="AC726" i="2"/>
  <c r="AC725" i="2"/>
  <c r="AC724" i="2"/>
  <c r="AC723" i="2"/>
  <c r="AC722" i="2"/>
  <c r="AC721" i="2"/>
  <c r="AC720" i="2"/>
  <c r="AC719" i="2"/>
  <c r="AC718" i="2"/>
  <c r="AC717" i="2"/>
  <c r="AC716" i="2"/>
  <c r="AC715" i="2"/>
  <c r="AC714" i="2"/>
  <c r="AC713" i="2"/>
  <c r="AC712" i="2"/>
  <c r="AC711" i="2"/>
  <c r="AC710" i="2"/>
  <c r="AC709" i="2"/>
  <c r="AC708" i="2"/>
  <c r="AC707" i="2"/>
  <c r="AC706" i="2"/>
  <c r="AC705" i="2"/>
  <c r="AC704" i="2"/>
  <c r="AC703" i="2"/>
  <c r="AC702" i="2"/>
  <c r="AC700" i="2"/>
  <c r="AC699" i="2"/>
  <c r="AC698" i="2"/>
  <c r="AC697" i="2"/>
  <c r="AC696" i="2"/>
  <c r="AC695" i="2"/>
  <c r="AC694" i="2"/>
  <c r="AC693" i="2"/>
  <c r="AC692" i="2"/>
  <c r="AC691" i="2"/>
  <c r="AC690" i="2"/>
  <c r="AC689" i="2"/>
  <c r="AC688" i="2"/>
  <c r="AC687" i="2"/>
  <c r="AC686" i="2"/>
  <c r="AC685" i="2"/>
  <c r="AC684" i="2"/>
  <c r="AC683" i="2"/>
  <c r="AC682" i="2"/>
  <c r="AC681" i="2"/>
  <c r="AC680" i="2"/>
  <c r="AC679" i="2"/>
  <c r="AC678" i="2"/>
  <c r="AC677" i="2"/>
  <c r="AC676" i="2"/>
  <c r="AC674" i="2"/>
  <c r="AC670" i="2"/>
  <c r="AC669" i="2"/>
  <c r="AC668" i="2"/>
  <c r="AC667" i="2"/>
  <c r="AC666" i="2"/>
  <c r="AC665" i="2"/>
  <c r="AC664" i="2"/>
  <c r="AC663" i="2"/>
  <c r="AC662" i="2"/>
  <c r="AC661" i="2"/>
  <c r="AC660" i="2"/>
  <c r="AC659" i="2"/>
  <c r="AC658" i="2"/>
  <c r="AC657" i="2"/>
  <c r="AC656" i="2"/>
  <c r="AC653" i="2"/>
  <c r="AC655" i="2"/>
  <c r="AC651" i="2"/>
  <c r="AC650" i="2"/>
  <c r="AC649" i="2"/>
  <c r="AC648" i="2"/>
  <c r="AC646" i="2"/>
  <c r="AC640" i="2"/>
  <c r="AC637" i="2"/>
  <c r="AC636" i="2"/>
  <c r="AC635" i="2"/>
  <c r="AC634" i="2"/>
  <c r="AC633" i="2"/>
  <c r="AC632" i="2"/>
  <c r="AC631" i="2"/>
  <c r="AC630" i="2"/>
  <c r="AC629" i="2"/>
  <c r="AC628" i="2"/>
  <c r="AC627" i="2"/>
  <c r="AC626" i="2"/>
  <c r="AC625" i="2"/>
  <c r="AC624" i="2"/>
  <c r="AC623" i="2"/>
  <c r="AC622" i="2"/>
  <c r="AC621" i="2"/>
  <c r="AC620" i="2"/>
  <c r="AC619" i="2"/>
  <c r="AC618" i="2"/>
  <c r="AC617" i="2"/>
  <c r="AC616" i="2"/>
  <c r="AC615" i="2"/>
  <c r="AC614" i="2"/>
  <c r="AC613" i="2"/>
  <c r="AC612" i="2"/>
  <c r="AC611" i="2"/>
  <c r="AC610" i="2"/>
  <c r="AC609" i="2"/>
  <c r="AC608" i="2"/>
  <c r="AC607" i="2"/>
  <c r="AC606" i="2"/>
  <c r="AC605" i="2"/>
  <c r="AC604" i="2"/>
  <c r="AC603" i="2"/>
  <c r="AC602" i="2"/>
  <c r="AC601" i="2"/>
  <c r="AC600" i="2"/>
  <c r="AC599" i="2"/>
  <c r="AC598" i="2"/>
  <c r="AC597" i="2"/>
  <c r="AC596" i="2"/>
  <c r="AC595" i="2"/>
  <c r="AC594" i="2"/>
  <c r="AC593" i="2"/>
  <c r="AC592" i="2"/>
  <c r="AC591" i="2"/>
  <c r="AC590" i="2"/>
  <c r="AC589" i="2"/>
  <c r="AC587" i="2"/>
  <c r="AC586" i="2"/>
  <c r="AC585" i="2"/>
  <c r="AC584" i="2"/>
  <c r="AC576" i="2"/>
  <c r="AC575" i="2"/>
  <c r="AC574" i="2"/>
  <c r="AC573" i="2"/>
  <c r="AC572" i="2"/>
  <c r="AC571" i="2"/>
  <c r="AC570" i="2"/>
  <c r="AC568"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7" i="2"/>
  <c r="AC536" i="2"/>
  <c r="AC535" i="2"/>
  <c r="AC534" i="2"/>
  <c r="AC533" i="2"/>
  <c r="AC532" i="2"/>
  <c r="AC531" i="2"/>
  <c r="AC530" i="2"/>
  <c r="J344" i="93" l="1"/>
  <c r="K51" i="2"/>
  <c r="K312" i="2"/>
  <c r="K114" i="2"/>
  <c r="K907" i="2"/>
  <c r="K577" i="2"/>
  <c r="K50" i="2"/>
  <c r="K908" i="2"/>
  <c r="J907" i="2"/>
  <c r="J106" i="93"/>
  <c r="J290" i="93"/>
  <c r="J105" i="93"/>
  <c r="J107" i="93"/>
  <c r="J908" i="2"/>
  <c r="J577" i="2"/>
  <c r="J311" i="2"/>
  <c r="J114" i="2"/>
  <c r="J310" i="2"/>
  <c r="J312" i="2"/>
  <c r="J50" i="2"/>
  <c r="J51" i="2"/>
  <c r="D7" i="99" l="1"/>
  <c r="N310" i="2"/>
  <c r="N50" i="2"/>
  <c r="N114" i="2"/>
  <c r="N311" i="2"/>
  <c r="N907" i="2"/>
  <c r="N312" i="2"/>
  <c r="N577" i="2"/>
  <c r="N51" i="2"/>
  <c r="N908" i="2"/>
  <c r="N105" i="93"/>
  <c r="N290" i="93"/>
  <c r="N106" i="93"/>
  <c r="N107" i="93"/>
  <c r="D23" i="87" l="1"/>
  <c r="F102" i="66" l="1"/>
  <c r="E206" i="86" l="1"/>
  <c r="E37" i="86"/>
  <c r="E39" i="86"/>
  <c r="E38" i="86"/>
  <c r="X325" i="86" l="1"/>
  <c r="X324" i="86"/>
  <c r="X323" i="86"/>
  <c r="X322" i="86"/>
  <c r="X321" i="86"/>
  <c r="X320" i="86"/>
  <c r="X319" i="86"/>
  <c r="X318" i="86"/>
  <c r="X311" i="86"/>
  <c r="X310" i="86"/>
  <c r="X301" i="86"/>
  <c r="X300" i="86"/>
  <c r="X299" i="86"/>
  <c r="X298" i="86"/>
  <c r="X297" i="86"/>
  <c r="X295" i="86"/>
  <c r="X294" i="86"/>
  <c r="X290" i="86"/>
  <c r="X293" i="86"/>
  <c r="X292" i="86"/>
  <c r="X291" i="86"/>
  <c r="X289" i="86"/>
  <c r="X288" i="86"/>
  <c r="X287" i="86"/>
  <c r="X286" i="86"/>
  <c r="X285" i="86"/>
  <c r="X284" i="86"/>
  <c r="X283" i="86"/>
  <c r="X282" i="86"/>
  <c r="X281" i="86"/>
  <c r="X280" i="86"/>
  <c r="X279" i="86"/>
  <c r="X277" i="86"/>
  <c r="X276" i="86"/>
  <c r="X273" i="86"/>
  <c r="X275" i="86"/>
  <c r="X274" i="86"/>
  <c r="X272" i="86"/>
  <c r="X271" i="86"/>
  <c r="X270" i="86"/>
  <c r="X269" i="86"/>
  <c r="X268" i="86"/>
  <c r="X267" i="86"/>
  <c r="X266" i="86"/>
  <c r="X265" i="86"/>
  <c r="X264" i="86"/>
  <c r="X263" i="86"/>
  <c r="X262" i="86"/>
  <c r="X261" i="86"/>
  <c r="X260" i="86"/>
  <c r="X259" i="86"/>
  <c r="X258" i="86"/>
  <c r="X257" i="86"/>
  <c r="X254" i="86"/>
  <c r="X256" i="86"/>
  <c r="X255" i="86"/>
  <c r="X253" i="86"/>
  <c r="X252" i="86"/>
  <c r="X251" i="86"/>
  <c r="X250" i="86"/>
  <c r="X249" i="86"/>
  <c r="X248" i="86"/>
  <c r="X247" i="86"/>
  <c r="X246" i="86"/>
  <c r="X245" i="86"/>
  <c r="X244" i="86"/>
  <c r="X243" i="86"/>
  <c r="X242" i="86"/>
  <c r="X241" i="86"/>
  <c r="X240" i="86"/>
  <c r="X237" i="86"/>
  <c r="X235" i="86"/>
  <c r="X234" i="86"/>
  <c r="X233" i="86"/>
  <c r="X232" i="86"/>
  <c r="X231" i="86"/>
  <c r="X230" i="86"/>
  <c r="X229" i="86"/>
  <c r="X228" i="86"/>
  <c r="X227" i="86"/>
  <c r="X226" i="86"/>
  <c r="X225" i="86"/>
  <c r="X224" i="86"/>
  <c r="X223" i="86"/>
  <c r="X222" i="86"/>
  <c r="X221" i="86"/>
  <c r="X220" i="86"/>
  <c r="X219" i="86"/>
  <c r="X218" i="86"/>
  <c r="X217" i="86"/>
  <c r="X216" i="86"/>
  <c r="X215" i="86"/>
  <c r="X214" i="86"/>
  <c r="X213" i="86"/>
  <c r="X212" i="86"/>
  <c r="X211" i="86"/>
  <c r="X210" i="86"/>
  <c r="X209" i="86"/>
  <c r="X206" i="86"/>
  <c r="X205" i="86"/>
  <c r="X204" i="86"/>
  <c r="X203" i="86"/>
  <c r="C161" i="32" l="1"/>
  <c r="C160" i="32"/>
  <c r="B125" i="57" l="1"/>
  <c r="D161" i="32"/>
  <c r="D27" i="32" l="1"/>
  <c r="K45" i="71" l="1"/>
  <c r="K66" i="71"/>
  <c r="K65" i="71"/>
  <c r="N45" i="71"/>
  <c r="AA1021" i="58" l="1"/>
  <c r="AA1020" i="58"/>
  <c r="AA1018" i="58"/>
  <c r="AA1003" i="58"/>
  <c r="AA1001" i="58"/>
  <c r="AA1000" i="58"/>
  <c r="AA998" i="58"/>
  <c r="AA996" i="58"/>
  <c r="AA987" i="58"/>
  <c r="AA966" i="58"/>
  <c r="AA926" i="58"/>
  <c r="AA881" i="58"/>
  <c r="AA880" i="58"/>
  <c r="D9" i="91"/>
  <c r="D11" i="91"/>
  <c r="D10" i="91"/>
  <c r="F133" i="66" l="1"/>
  <c r="G133" i="66" s="1"/>
  <c r="H133" i="66" s="1"/>
  <c r="I133" i="66" s="1"/>
  <c r="J133" i="66" l="1"/>
  <c r="K133" i="66" s="1"/>
  <c r="L133" i="66" s="1"/>
  <c r="M133" i="66" s="1"/>
  <c r="AA858" i="58"/>
  <c r="D238" i="46" l="1"/>
  <c r="D240" i="46" s="1"/>
  <c r="D244" i="46" s="1"/>
  <c r="N133" i="66"/>
  <c r="O133" i="66" s="1"/>
  <c r="AA993" i="58"/>
  <c r="AA990" i="58"/>
  <c r="AA958" i="58"/>
  <c r="AA906" i="58"/>
  <c r="AA903" i="58"/>
  <c r="AA857" i="58"/>
  <c r="AA879" i="58"/>
  <c r="AA878" i="58"/>
  <c r="AA877" i="58"/>
  <c r="AA989" i="58" l="1"/>
  <c r="AA1017" i="58"/>
  <c r="AA856" i="58"/>
  <c r="AA945" i="58"/>
  <c r="AA960" i="58"/>
  <c r="AA940" i="58"/>
  <c r="AA970" i="58"/>
  <c r="AA982" i="58"/>
  <c r="AA976" i="58"/>
  <c r="AA854" i="58"/>
  <c r="AA873" i="58"/>
  <c r="AA947" i="58"/>
  <c r="AA962" i="58"/>
  <c r="AA901" i="58"/>
  <c r="AA905" i="58"/>
  <c r="AA912" i="58"/>
  <c r="AA935" i="58"/>
  <c r="AA865" i="58"/>
  <c r="AA875" i="58"/>
  <c r="AA869" i="58"/>
  <c r="AA884" i="58"/>
  <c r="AA968" i="58"/>
  <c r="AA1022" i="58"/>
  <c r="AA907" i="58"/>
  <c r="AA931" i="58"/>
  <c r="AA868" i="58"/>
  <c r="AA871" i="58"/>
  <c r="AA886" i="58"/>
  <c r="AA893" i="58"/>
  <c r="AA883" i="58"/>
  <c r="AA887" i="58"/>
  <c r="AA889" i="58"/>
  <c r="AA891" i="58"/>
  <c r="AA909" i="58"/>
  <c r="AA937" i="58"/>
  <c r="AA978" i="58"/>
  <c r="AA943" i="58"/>
  <c r="AA1026" i="58"/>
  <c r="AA896" i="58"/>
  <c r="AA876" i="58"/>
  <c r="AA942" i="58"/>
  <c r="AA1016" i="58"/>
  <c r="AA866" i="58"/>
  <c r="AA885" i="58"/>
  <c r="AA910" i="58"/>
  <c r="AA902" i="58"/>
  <c r="AA939" i="58"/>
  <c r="AA965" i="58"/>
  <c r="AA979" i="58"/>
  <c r="AA894" i="58"/>
  <c r="AA897" i="58"/>
  <c r="AA932" i="58"/>
  <c r="AA941" i="58"/>
  <c r="AA944" i="58"/>
  <c r="AA959" i="58"/>
  <c r="AA895" i="58"/>
  <c r="AA899" i="58"/>
  <c r="AA963" i="58"/>
  <c r="AA980" i="58"/>
  <c r="AA1012" i="58"/>
  <c r="AA1023" i="58"/>
  <c r="AA892" i="58"/>
  <c r="AA882" i="58"/>
  <c r="AA855" i="58"/>
  <c r="AA1028" i="58"/>
  <c r="AA861" i="58"/>
  <c r="AA839" i="58"/>
  <c r="AA888" i="58"/>
  <c r="AA900" i="58"/>
  <c r="AA904" i="58"/>
  <c r="AA911" i="58"/>
  <c r="AA913" i="58"/>
  <c r="AA934" i="58"/>
  <c r="AA938" i="58"/>
  <c r="AA981" i="58"/>
  <c r="AA991" i="58"/>
  <c r="AA1004" i="58"/>
  <c r="AA890" i="58"/>
  <c r="AA914" i="58"/>
  <c r="AA908" i="58"/>
  <c r="AA967" i="58"/>
  <c r="AA975" i="58"/>
  <c r="AA988" i="58"/>
  <c r="AA1024" i="58"/>
  <c r="AA1027" i="58"/>
  <c r="AA1025" i="58" l="1"/>
  <c r="AA972" i="58"/>
  <c r="AA971" i="58"/>
  <c r="AA977" i="58"/>
  <c r="AA969" i="58"/>
  <c r="AA1006" i="58"/>
  <c r="AA964" i="58"/>
  <c r="AA961" i="58"/>
  <c r="AA936" i="58"/>
  <c r="AA933" i="58"/>
  <c r="AA992" i="58"/>
  <c r="AA1019" i="58"/>
  <c r="AA997" i="58" l="1"/>
  <c r="AA999" i="58" l="1"/>
  <c r="AA1002" i="58" l="1"/>
  <c r="F307" i="58" l="1"/>
  <c r="E307" i="58"/>
  <c r="F306" i="58"/>
  <c r="E306" i="58"/>
  <c r="F76" i="58"/>
  <c r="E76" i="58"/>
  <c r="F75" i="58"/>
  <c r="E75" i="58"/>
  <c r="F83" i="58"/>
  <c r="E83" i="58"/>
  <c r="F82" i="58"/>
  <c r="E82" i="58"/>
  <c r="F81" i="58"/>
  <c r="E81" i="58"/>
  <c r="F80" i="58"/>
  <c r="E80" i="58"/>
  <c r="F79" i="58"/>
  <c r="E79" i="58"/>
  <c r="F78" i="58"/>
  <c r="E78" i="58"/>
  <c r="F77" i="58"/>
  <c r="E77" i="58"/>
  <c r="F74" i="58"/>
  <c r="E74" i="58"/>
  <c r="AA726" i="58"/>
  <c r="AA727" i="58"/>
  <c r="AA728" i="58"/>
  <c r="AA729" i="58"/>
  <c r="AA730" i="58"/>
  <c r="AA731" i="58"/>
  <c r="AA732" i="58"/>
  <c r="AA733" i="58"/>
  <c r="AA734" i="58"/>
  <c r="AA735" i="58"/>
  <c r="AA736" i="58"/>
  <c r="AA737" i="58"/>
  <c r="AA738" i="58"/>
  <c r="AA739" i="58"/>
  <c r="AA740" i="58"/>
  <c r="AA741" i="58"/>
  <c r="AA742" i="58"/>
  <c r="AA743" i="58"/>
  <c r="AA744" i="58"/>
  <c r="AA745" i="58"/>
  <c r="AA746" i="58"/>
  <c r="AA747" i="58"/>
  <c r="AA748" i="58"/>
  <c r="AA750" i="58"/>
  <c r="AA751" i="58"/>
  <c r="AA752" i="58"/>
  <c r="AA753" i="58"/>
  <c r="AA754" i="58"/>
  <c r="AA755" i="58"/>
  <c r="AA756" i="58"/>
  <c r="AA757" i="58"/>
  <c r="AA758" i="58"/>
  <c r="AA759" i="58"/>
  <c r="AA760" i="58"/>
  <c r="AA761" i="58"/>
  <c r="AA762" i="58"/>
  <c r="AA763" i="58"/>
  <c r="AA764" i="58"/>
  <c r="AA765" i="58"/>
  <c r="AA766" i="58"/>
  <c r="AA768" i="58"/>
  <c r="AA769" i="58"/>
  <c r="AA770" i="58"/>
  <c r="AA771" i="58"/>
  <c r="AA772" i="58"/>
  <c r="AA773" i="58"/>
  <c r="AA774" i="58"/>
  <c r="AA775" i="58"/>
  <c r="AA776" i="58"/>
  <c r="AA777" i="58"/>
  <c r="AA779" i="58"/>
  <c r="AA780" i="58"/>
  <c r="AA789" i="58"/>
  <c r="AA790" i="58"/>
  <c r="AA791" i="58"/>
  <c r="AA792" i="58"/>
  <c r="AA793" i="58"/>
  <c r="AA794" i="58"/>
  <c r="AA795" i="58"/>
  <c r="AA796" i="58"/>
  <c r="AA798" i="58"/>
  <c r="AA799" i="58"/>
  <c r="AA781" i="58"/>
  <c r="AA782" i="58"/>
  <c r="AA786" i="58"/>
  <c r="AA787" i="58"/>
  <c r="AA788" i="58"/>
  <c r="AA800" i="58"/>
  <c r="AA801" i="58"/>
  <c r="AA802" i="58"/>
  <c r="AA803" i="58"/>
  <c r="AA804" i="58"/>
  <c r="AA805" i="58"/>
  <c r="AA806" i="58"/>
  <c r="AA807" i="58"/>
  <c r="AA808" i="58"/>
  <c r="AA809" i="58"/>
  <c r="AA810" i="58"/>
  <c r="AA811" i="58"/>
  <c r="AA812" i="58"/>
  <c r="AA813" i="58"/>
  <c r="AA814" i="58"/>
  <c r="AA815" i="58"/>
  <c r="AA816" i="58"/>
  <c r="AA817" i="58"/>
  <c r="AA818" i="58"/>
  <c r="AA819" i="58"/>
  <c r="AA820" i="58"/>
  <c r="AA821" i="58"/>
  <c r="AA822" i="58"/>
  <c r="AA823" i="58"/>
  <c r="AA824" i="58"/>
  <c r="AA825" i="58"/>
  <c r="AA826" i="58"/>
  <c r="AA783" i="58"/>
  <c r="AA784" i="58"/>
  <c r="AA785" i="58"/>
  <c r="AA797" i="58"/>
  <c r="AA898" i="58"/>
  <c r="AA827" i="58"/>
  <c r="AA828" i="58"/>
  <c r="AA829" i="58"/>
  <c r="AA830" i="58"/>
  <c r="AA831" i="58"/>
  <c r="AA832" i="58"/>
  <c r="AA833" i="58"/>
  <c r="AA973" i="58"/>
  <c r="AA836" i="58"/>
  <c r="AA837" i="58"/>
  <c r="AA838" i="58"/>
  <c r="AA840" i="58"/>
  <c r="AA841" i="58"/>
  <c r="AA842" i="58"/>
  <c r="AA845" i="58"/>
  <c r="AA846" i="58"/>
  <c r="AA853" i="58"/>
  <c r="AA859" i="58"/>
  <c r="AA874" i="58"/>
  <c r="AA860" i="58"/>
  <c r="AA863" i="58"/>
  <c r="AA864" i="58"/>
  <c r="AA725" i="58"/>
  <c r="AA489" i="58"/>
  <c r="AA490" i="58"/>
  <c r="AA491" i="58"/>
  <c r="AA492" i="58"/>
  <c r="AA493" i="58"/>
  <c r="AA494" i="58"/>
  <c r="AA495" i="58"/>
  <c r="AA496" i="58"/>
  <c r="AA497" i="58"/>
  <c r="AA498" i="58"/>
  <c r="AA499" i="58"/>
  <c r="AA500" i="58"/>
  <c r="AA501" i="58"/>
  <c r="AA502" i="58"/>
  <c r="AA503" i="58"/>
  <c r="AA504" i="58"/>
  <c r="AA505" i="58"/>
  <c r="AA506" i="58"/>
  <c r="AA507" i="58"/>
  <c r="AA508" i="58"/>
  <c r="AA509" i="58"/>
  <c r="AA510" i="58"/>
  <c r="AA511" i="58"/>
  <c r="AA512" i="58"/>
  <c r="AA516" i="58"/>
  <c r="AA517" i="58"/>
  <c r="AA518" i="58"/>
  <c r="AA519" i="58"/>
  <c r="AA520" i="58"/>
  <c r="AA521" i="58"/>
  <c r="AA522" i="58"/>
  <c r="AA523" i="58"/>
  <c r="AA524" i="58"/>
  <c r="AA527" i="58"/>
  <c r="AA528" i="58"/>
  <c r="AA529" i="58"/>
  <c r="AA530" i="58"/>
  <c r="AA531" i="58"/>
  <c r="AA532" i="58"/>
  <c r="AA533" i="58"/>
  <c r="AA535" i="58"/>
  <c r="AA536" i="58"/>
  <c r="AA538" i="58"/>
  <c r="AA539" i="58"/>
  <c r="AA540" i="58"/>
  <c r="AA541" i="58"/>
  <c r="AA542" i="58"/>
  <c r="AA543" i="58"/>
  <c r="AA544" i="58"/>
  <c r="AA545" i="58"/>
  <c r="AA546" i="58"/>
  <c r="AA547" i="58"/>
  <c r="AA548" i="58"/>
  <c r="AA549" i="58"/>
  <c r="AA550" i="58"/>
  <c r="AA551" i="58"/>
  <c r="AA552" i="58"/>
  <c r="AA553" i="58"/>
  <c r="AA554" i="58"/>
  <c r="AA555" i="58"/>
  <c r="AA556" i="58"/>
  <c r="AA557" i="58"/>
  <c r="AA565" i="58"/>
  <c r="AA558" i="58"/>
  <c r="AA559" i="58"/>
  <c r="AA560" i="58"/>
  <c r="AA561" i="58"/>
  <c r="AA562" i="58"/>
  <c r="AA563" i="58"/>
  <c r="AA564" i="58"/>
  <c r="AA566" i="58"/>
  <c r="AA567" i="58"/>
  <c r="AA568" i="58"/>
  <c r="AA569" i="58"/>
  <c r="AA570" i="58"/>
  <c r="AA571" i="58"/>
  <c r="AA572" i="58"/>
  <c r="AA573" i="58"/>
  <c r="AA574" i="58"/>
  <c r="AA575" i="58"/>
  <c r="AA576" i="58"/>
  <c r="AA577" i="58"/>
  <c r="AA578" i="58"/>
  <c r="AA579" i="58"/>
  <c r="AA580" i="58"/>
  <c r="AA581" i="58"/>
  <c r="AA582" i="58"/>
  <c r="AA583" i="58"/>
  <c r="AA584" i="58"/>
  <c r="AA585" i="58"/>
  <c r="AA586" i="58"/>
  <c r="AA587" i="58"/>
  <c r="AA588" i="58"/>
  <c r="AA589" i="58"/>
  <c r="AA591" i="58"/>
  <c r="AA592" i="58"/>
  <c r="AA593" i="58"/>
  <c r="AA594" i="58"/>
  <c r="AA595" i="58"/>
  <c r="AA596" i="58"/>
  <c r="AA597" i="58"/>
  <c r="AA598" i="58"/>
  <c r="AA599" i="58"/>
  <c r="AA600" i="58"/>
  <c r="AA601" i="58"/>
  <c r="AA602" i="58"/>
  <c r="AA603" i="58"/>
  <c r="AA604" i="58"/>
  <c r="AA605" i="58"/>
  <c r="AA606" i="58"/>
  <c r="AA607" i="58"/>
  <c r="AA608" i="58"/>
  <c r="AA609" i="58"/>
  <c r="AA610" i="58"/>
  <c r="AA611" i="58"/>
  <c r="AA612" i="58"/>
  <c r="AA613" i="58"/>
  <c r="AA614" i="58"/>
  <c r="AA615" i="58"/>
  <c r="AA616" i="58"/>
  <c r="AA617" i="58"/>
  <c r="AA618" i="58"/>
  <c r="AA619" i="58"/>
  <c r="AA620" i="58"/>
  <c r="AA621" i="58"/>
  <c r="AA622" i="58"/>
  <c r="AA623" i="58"/>
  <c r="AA624" i="58"/>
  <c r="AA625" i="58"/>
  <c r="AA626" i="58"/>
  <c r="AA627" i="58"/>
  <c r="AA628" i="58"/>
  <c r="AA629" i="58"/>
  <c r="AA630" i="58"/>
  <c r="AA631" i="58"/>
  <c r="AA632" i="58"/>
  <c r="AA633" i="58"/>
  <c r="AA634" i="58"/>
  <c r="AA635" i="58"/>
  <c r="AA636" i="58"/>
  <c r="AA637" i="58"/>
  <c r="AA638" i="58"/>
  <c r="AA639" i="58"/>
  <c r="AA640" i="58"/>
  <c r="AA641" i="58"/>
  <c r="AA642" i="58"/>
  <c r="AA643" i="58"/>
  <c r="AA644" i="58"/>
  <c r="AA645" i="58"/>
  <c r="AA646" i="58"/>
  <c r="AA647" i="58"/>
  <c r="AA648" i="58"/>
  <c r="AA649" i="58"/>
  <c r="AA650" i="58"/>
  <c r="AA651" i="58"/>
  <c r="AA652" i="58"/>
  <c r="AA653" i="58"/>
  <c r="AA654" i="58"/>
  <c r="AA655" i="58"/>
  <c r="AA656" i="58"/>
  <c r="AA657" i="58"/>
  <c r="AA658" i="58"/>
  <c r="AA659" i="58"/>
  <c r="AA660" i="58"/>
  <c r="AA661" i="58"/>
  <c r="AA662" i="58"/>
  <c r="AA663" i="58"/>
  <c r="AA664" i="58"/>
  <c r="AA665" i="58"/>
  <c r="AA666" i="58"/>
  <c r="AA667" i="58"/>
  <c r="AA668" i="58"/>
  <c r="AA669" i="58"/>
  <c r="AA670" i="58"/>
  <c r="AA671" i="58"/>
  <c r="AA672" i="58"/>
  <c r="AA673" i="58"/>
  <c r="AA674" i="58"/>
  <c r="AA675" i="58"/>
  <c r="AA676" i="58"/>
  <c r="AA677" i="58"/>
  <c r="AA678" i="58"/>
  <c r="AA679" i="58"/>
  <c r="AA680" i="58"/>
  <c r="AA681" i="58"/>
  <c r="AA682" i="58"/>
  <c r="AA683" i="58"/>
  <c r="AA684" i="58"/>
  <c r="AA685" i="58"/>
  <c r="AA686" i="58"/>
  <c r="AA687" i="58"/>
  <c r="AA688" i="58"/>
  <c r="AA689" i="58"/>
  <c r="AA690" i="58"/>
  <c r="AA691" i="58"/>
  <c r="AA692" i="58"/>
  <c r="AA693" i="58"/>
  <c r="AA694" i="58"/>
  <c r="AA695" i="58"/>
  <c r="AA696" i="58"/>
  <c r="AA697" i="58"/>
  <c r="AA698" i="58"/>
  <c r="AA699" i="58"/>
  <c r="AA700" i="58"/>
  <c r="AA701" i="58"/>
  <c r="AA702" i="58"/>
  <c r="AA703" i="58"/>
  <c r="AA704" i="58"/>
  <c r="AA705" i="58"/>
  <c r="AA706" i="58"/>
  <c r="AA708" i="58"/>
  <c r="AA709" i="58"/>
  <c r="AA710" i="58"/>
  <c r="AA711" i="58"/>
  <c r="AA712" i="58"/>
  <c r="AA713" i="58"/>
  <c r="AA714" i="58"/>
  <c r="AA715" i="58"/>
  <c r="AA716" i="58"/>
  <c r="AA717" i="58"/>
  <c r="AA718" i="58"/>
  <c r="AA719" i="58"/>
  <c r="AA720" i="58"/>
  <c r="AA721" i="58"/>
  <c r="AA722" i="58"/>
  <c r="AA488" i="58"/>
  <c r="AA458" i="58"/>
  <c r="AA459" i="58"/>
  <c r="AA460" i="58"/>
  <c r="AA461" i="58"/>
  <c r="AA462" i="58"/>
  <c r="AA463" i="58"/>
  <c r="AA464" i="58"/>
  <c r="AA465" i="58"/>
  <c r="AA466" i="58"/>
  <c r="AA467" i="58"/>
  <c r="AA468" i="58"/>
  <c r="AA469" i="58"/>
  <c r="AA470" i="58"/>
  <c r="AA471" i="58"/>
  <c r="AA472" i="58"/>
  <c r="AA473" i="58"/>
  <c r="AA474" i="58"/>
  <c r="AA475" i="58"/>
  <c r="AA476" i="58"/>
  <c r="AA477" i="58"/>
  <c r="AA478" i="58"/>
  <c r="AA479" i="58"/>
  <c r="AA480" i="58"/>
  <c r="AA481" i="58"/>
  <c r="AA482" i="58"/>
  <c r="AA457" i="58"/>
  <c r="J79" i="58" l="1"/>
  <c r="J83" i="58"/>
  <c r="J306" i="58"/>
  <c r="J307" i="58"/>
  <c r="J75" i="58"/>
  <c r="J76" i="58"/>
  <c r="J80" i="58"/>
  <c r="J81" i="58"/>
  <c r="J74" i="58"/>
  <c r="J77" i="58"/>
  <c r="J78" i="58"/>
  <c r="J82" i="58"/>
  <c r="F148" i="66" l="1"/>
  <c r="G148" i="66" s="1"/>
  <c r="H148" i="66" s="1"/>
  <c r="I148" i="66" s="1"/>
  <c r="J148" i="66" s="1"/>
  <c r="K148" i="66" s="1"/>
  <c r="L148" i="66" s="1"/>
  <c r="M148" i="66" s="1"/>
  <c r="AD350" i="54"/>
  <c r="AD351" i="54"/>
  <c r="AD353" i="54"/>
  <c r="AD354" i="54"/>
  <c r="AD355" i="54"/>
  <c r="AD356" i="54"/>
  <c r="AD357" i="54"/>
  <c r="AD358" i="54"/>
  <c r="AD359" i="54"/>
  <c r="AD360" i="54"/>
  <c r="AD361" i="54"/>
  <c r="AD362" i="54"/>
  <c r="AD363" i="54"/>
  <c r="AD364" i="54"/>
  <c r="AD365" i="54"/>
  <c r="AD366" i="54"/>
  <c r="AD367" i="54"/>
  <c r="AD368" i="54"/>
  <c r="AD369" i="54"/>
  <c r="AD370" i="54"/>
  <c r="AD371" i="54"/>
  <c r="AD372" i="54"/>
  <c r="AD373" i="54"/>
  <c r="AD374" i="54"/>
  <c r="AD375" i="54"/>
  <c r="AD376" i="54"/>
  <c r="AD377" i="54"/>
  <c r="AD378" i="54"/>
  <c r="AD379" i="54"/>
  <c r="AD380" i="54"/>
  <c r="AD381" i="54"/>
  <c r="AD382" i="54"/>
  <c r="AD383" i="54"/>
  <c r="AD384" i="54"/>
  <c r="AD385" i="54"/>
  <c r="AD386" i="54"/>
  <c r="AD387" i="54"/>
  <c r="AD388" i="54"/>
  <c r="AD389" i="54"/>
  <c r="AD390" i="54"/>
  <c r="AD391" i="54"/>
  <c r="AD392" i="54"/>
  <c r="AD393" i="54"/>
  <c r="AD394" i="54"/>
  <c r="AD395" i="54"/>
  <c r="AD396" i="54"/>
  <c r="AD397" i="54"/>
  <c r="AD398" i="54"/>
  <c r="AD399" i="54"/>
  <c r="AD400" i="54"/>
  <c r="AD401" i="54"/>
  <c r="AD402" i="54"/>
  <c r="AD403" i="54"/>
  <c r="AD404" i="54"/>
  <c r="AD405" i="54"/>
  <c r="AD410" i="54"/>
  <c r="AD411" i="54"/>
  <c r="AD413" i="54"/>
  <c r="AD414" i="54"/>
  <c r="AD415" i="54"/>
  <c r="AD416" i="54"/>
  <c r="AD409" i="54"/>
  <c r="AD418" i="54"/>
  <c r="AD419" i="54"/>
  <c r="AD420" i="54"/>
  <c r="AD421" i="54"/>
  <c r="AD422" i="54"/>
  <c r="AD423" i="54"/>
  <c r="AD424" i="54"/>
  <c r="AD425" i="54"/>
  <c r="AD426" i="54"/>
  <c r="AD427" i="54"/>
  <c r="AD428" i="54"/>
  <c r="AD430" i="54"/>
  <c r="AD431" i="54"/>
  <c r="AD432" i="54"/>
  <c r="AD433" i="54"/>
  <c r="AD434" i="54"/>
  <c r="AD435" i="54"/>
  <c r="AD436" i="54"/>
  <c r="AD443" i="54"/>
  <c r="AD444" i="54"/>
  <c r="AD445" i="54"/>
  <c r="AD447" i="54"/>
  <c r="AD448" i="54"/>
  <c r="AD449" i="54"/>
  <c r="AD450" i="54"/>
  <c r="AD429" i="54"/>
  <c r="AD446" i="54"/>
  <c r="AD458" i="54"/>
  <c r="AD459" i="54"/>
  <c r="AD460" i="54"/>
  <c r="AD462" i="54"/>
  <c r="AD463" i="54"/>
  <c r="AD464" i="54"/>
  <c r="AD465" i="54"/>
  <c r="AD466" i="54"/>
  <c r="AD472" i="54"/>
  <c r="AD473" i="54"/>
  <c r="AD474" i="54"/>
  <c r="AD475" i="54"/>
  <c r="AD476" i="54"/>
  <c r="AD477" i="54"/>
  <c r="AD480" i="54"/>
  <c r="AD481" i="54"/>
  <c r="AD482" i="54"/>
  <c r="AD483" i="54"/>
  <c r="AD484" i="54"/>
  <c r="AD485" i="54"/>
  <c r="AD486" i="54"/>
  <c r="AD487" i="54"/>
  <c r="AD488" i="54"/>
  <c r="AD489" i="54"/>
  <c r="AD490" i="54"/>
  <c r="AD491" i="54"/>
  <c r="AD492" i="54"/>
  <c r="AD494" i="54"/>
  <c r="AD495" i="54"/>
  <c r="AD496" i="54"/>
  <c r="AD497" i="54"/>
  <c r="AD498" i="54"/>
  <c r="AD499" i="54"/>
  <c r="AD500" i="54"/>
  <c r="AD501" i="54"/>
  <c r="AD502" i="54"/>
  <c r="AD349" i="54"/>
  <c r="AD315" i="54"/>
  <c r="AD316" i="54"/>
  <c r="AD317" i="54"/>
  <c r="AD318" i="54"/>
  <c r="AD319" i="54"/>
  <c r="AD320" i="54"/>
  <c r="AD321" i="54"/>
  <c r="AD322" i="54"/>
  <c r="AD323" i="54"/>
  <c r="AD324" i="54"/>
  <c r="AD325" i="54"/>
  <c r="AD326" i="54"/>
  <c r="AD327" i="54"/>
  <c r="AD328" i="54"/>
  <c r="AD329" i="54"/>
  <c r="AD330" i="54"/>
  <c r="AD331" i="54"/>
  <c r="AD332" i="54"/>
  <c r="AD333" i="54"/>
  <c r="AD334" i="54"/>
  <c r="AD335" i="54"/>
  <c r="AD336" i="54"/>
  <c r="AD337" i="54"/>
  <c r="AD338" i="54"/>
  <c r="AD339" i="54"/>
  <c r="AD340" i="54"/>
  <c r="AD341" i="54"/>
  <c r="AD342" i="54"/>
  <c r="AD344" i="54"/>
  <c r="AD314" i="54"/>
  <c r="P189" i="54" l="1"/>
  <c r="M81" i="54" l="1"/>
  <c r="F81" i="54"/>
  <c r="E81" i="54"/>
  <c r="H213" i="55" s="1"/>
  <c r="M95" i="54"/>
  <c r="F95" i="54"/>
  <c r="E95" i="54"/>
  <c r="M94" i="54"/>
  <c r="F94" i="54"/>
  <c r="E94" i="54"/>
  <c r="M93" i="54"/>
  <c r="F93" i="54"/>
  <c r="E93" i="54"/>
  <c r="M92" i="54"/>
  <c r="F92" i="54"/>
  <c r="E92" i="54"/>
  <c r="M91" i="54"/>
  <c r="F91" i="54"/>
  <c r="E91" i="54"/>
  <c r="H232" i="55" l="1"/>
  <c r="H233" i="55"/>
  <c r="K95" i="54"/>
  <c r="K93" i="54"/>
  <c r="K81" i="54"/>
  <c r="K91" i="54"/>
  <c r="K94" i="54"/>
  <c r="K92" i="54"/>
  <c r="J94" i="54"/>
  <c r="J92" i="54"/>
  <c r="J81" i="54"/>
  <c r="J95" i="54"/>
  <c r="J91" i="54"/>
  <c r="J93" i="54"/>
  <c r="N81" i="54" l="1"/>
  <c r="N91" i="54"/>
  <c r="N94" i="54"/>
  <c r="N93" i="54"/>
  <c r="N95" i="54"/>
  <c r="N92" i="54"/>
  <c r="M100" i="60" l="1"/>
  <c r="K100" i="60" s="1"/>
  <c r="F100" i="60"/>
  <c r="E100" i="60"/>
  <c r="C67" i="66"/>
  <c r="J100" i="60" l="1"/>
  <c r="D169" i="6"/>
  <c r="E78" i="61"/>
  <c r="N100" i="60" l="1"/>
  <c r="C194" i="66"/>
  <c r="D204" i="6" l="1"/>
  <c r="D203" i="6"/>
  <c r="M71" i="2"/>
  <c r="E71" i="2"/>
  <c r="K71" i="2" l="1"/>
  <c r="F52" i="66"/>
  <c r="G52" i="66" s="1"/>
  <c r="H52" i="66" s="1"/>
  <c r="I52" i="66" s="1"/>
  <c r="J52" i="66" s="1"/>
  <c r="K52" i="66" s="1"/>
  <c r="L52" i="66" s="1"/>
  <c r="M52" i="66" s="1"/>
  <c r="F24" i="66"/>
  <c r="G24" i="66" s="1"/>
  <c r="H24" i="66" s="1"/>
  <c r="I24" i="66" s="1"/>
  <c r="J24" i="66" s="1"/>
  <c r="K24" i="66" s="1"/>
  <c r="L24" i="66" s="1"/>
  <c r="M24" i="66" s="1"/>
  <c r="F22" i="66"/>
  <c r="F19" i="66"/>
  <c r="G19" i="66" s="1"/>
  <c r="H19" i="66" s="1"/>
  <c r="I19" i="66" s="1"/>
  <c r="J19" i="66" s="1"/>
  <c r="K19" i="66" s="1"/>
  <c r="F29" i="66"/>
  <c r="M313" i="2"/>
  <c r="E313" i="2"/>
  <c r="L71" i="2" l="1"/>
  <c r="K313" i="2"/>
  <c r="J313" i="2"/>
  <c r="N313" i="2" l="1"/>
  <c r="E130" i="66"/>
  <c r="M323" i="2"/>
  <c r="K323" i="2" s="1"/>
  <c r="E323" i="2"/>
  <c r="M322" i="2"/>
  <c r="E322" i="2"/>
  <c r="M321" i="2"/>
  <c r="E321" i="2"/>
  <c r="M320" i="2"/>
  <c r="K320" i="2" s="1"/>
  <c r="E320" i="2"/>
  <c r="M319" i="2"/>
  <c r="K319" i="2" s="1"/>
  <c r="E319" i="2"/>
  <c r="M318" i="2"/>
  <c r="K318" i="2" s="1"/>
  <c r="E318" i="2"/>
  <c r="M317" i="2"/>
  <c r="K317" i="2" s="1"/>
  <c r="E317" i="2"/>
  <c r="M316" i="2"/>
  <c r="E316" i="2"/>
  <c r="M315" i="2"/>
  <c r="E315" i="2"/>
  <c r="M314" i="2"/>
  <c r="K314" i="2" s="1"/>
  <c r="E314" i="2"/>
  <c r="M53" i="2"/>
  <c r="E53" i="2"/>
  <c r="M52" i="2"/>
  <c r="K52" i="2" s="1"/>
  <c r="E52" i="2"/>
  <c r="K315" i="2" l="1"/>
  <c r="K53" i="2"/>
  <c r="K316" i="2"/>
  <c r="K322" i="2"/>
  <c r="K321" i="2"/>
  <c r="J322" i="2"/>
  <c r="J317" i="2"/>
  <c r="N317" i="2" s="1"/>
  <c r="J52" i="2"/>
  <c r="J314" i="2"/>
  <c r="J318" i="2"/>
  <c r="J321" i="2"/>
  <c r="J316" i="2"/>
  <c r="J320" i="2"/>
  <c r="J323" i="2"/>
  <c r="J315" i="2"/>
  <c r="J319" i="2"/>
  <c r="J53" i="2"/>
  <c r="N314" i="2" l="1"/>
  <c r="N323" i="2"/>
  <c r="N53" i="2"/>
  <c r="N315" i="2"/>
  <c r="N321" i="2"/>
  <c r="N320" i="2"/>
  <c r="N316" i="2"/>
  <c r="N322" i="2"/>
  <c r="N318" i="2"/>
  <c r="N319" i="2"/>
  <c r="N52" i="2"/>
  <c r="M1005" i="2" l="1"/>
  <c r="M1004" i="2"/>
  <c r="M1003" i="2"/>
  <c r="M1002" i="2"/>
  <c r="M1001" i="2"/>
  <c r="M1000" i="2"/>
  <c r="M999" i="2"/>
  <c r="M984" i="2"/>
  <c r="M958" i="2"/>
  <c r="M957" i="2"/>
  <c r="M956" i="2"/>
  <c r="M947" i="2"/>
  <c r="M946" i="2"/>
  <c r="M945" i="2"/>
  <c r="M944" i="2"/>
  <c r="M943" i="2"/>
  <c r="M942" i="2"/>
  <c r="M941" i="2"/>
  <c r="M940" i="2"/>
  <c r="M939" i="2"/>
  <c r="M935" i="2"/>
  <c r="M934" i="2"/>
  <c r="M933" i="2"/>
  <c r="M932" i="2"/>
  <c r="M931" i="2"/>
  <c r="M930" i="2"/>
  <c r="M929" i="2"/>
  <c r="M928" i="2"/>
  <c r="M917" i="2"/>
  <c r="M916" i="2"/>
  <c r="M914" i="2"/>
  <c r="M913" i="2"/>
  <c r="M912" i="2"/>
  <c r="M910" i="2"/>
  <c r="M906" i="2"/>
  <c r="M905" i="2"/>
  <c r="M904" i="2"/>
  <c r="M903" i="2"/>
  <c r="M902" i="2"/>
  <c r="M901" i="2"/>
  <c r="M900" i="2"/>
  <c r="M899" i="2"/>
  <c r="M898" i="2"/>
  <c r="M897" i="2"/>
  <c r="M896" i="2"/>
  <c r="M895" i="2"/>
  <c r="M894" i="2"/>
  <c r="M893" i="2"/>
  <c r="M892" i="2"/>
  <c r="M891" i="2"/>
  <c r="M890" i="2"/>
  <c r="M888" i="2"/>
  <c r="M887" i="2"/>
  <c r="M886" i="2"/>
  <c r="M885" i="2"/>
  <c r="M884" i="2"/>
  <c r="M883" i="2"/>
  <c r="M882" i="2"/>
  <c r="M881" i="2"/>
  <c r="M880" i="2"/>
  <c r="M879" i="2"/>
  <c r="M878" i="2"/>
  <c r="M876" i="2"/>
  <c r="M865" i="2"/>
  <c r="M864" i="2"/>
  <c r="M863" i="2"/>
  <c r="M862" i="2"/>
  <c r="M861" i="2"/>
  <c r="M855" i="2"/>
  <c r="M770" i="2"/>
  <c r="M846" i="2"/>
  <c r="M777" i="2"/>
  <c r="M845" i="2"/>
  <c r="M839" i="2"/>
  <c r="M836" i="2"/>
  <c r="M835" i="2"/>
  <c r="M834" i="2"/>
  <c r="M833" i="2"/>
  <c r="M832" i="2"/>
  <c r="M831" i="2"/>
  <c r="M830" i="2"/>
  <c r="M829" i="2"/>
  <c r="M828" i="2"/>
  <c r="M844" i="2"/>
  <c r="M843" i="2"/>
  <c r="M842" i="2"/>
  <c r="M841" i="2"/>
  <c r="M827" i="2"/>
  <c r="M826" i="2"/>
  <c r="M825" i="2"/>
  <c r="M824" i="2"/>
  <c r="M823" i="2"/>
  <c r="M822" i="2"/>
  <c r="M784" i="2"/>
  <c r="M778" i="2"/>
  <c r="M840" i="2"/>
  <c r="M776" i="2"/>
  <c r="M775" i="2"/>
  <c r="M774" i="2"/>
  <c r="M773" i="2"/>
  <c r="M772" i="2"/>
  <c r="M771" i="2"/>
  <c r="M769" i="2"/>
  <c r="M768" i="2"/>
  <c r="M762" i="2"/>
  <c r="M767" i="2"/>
  <c r="M766" i="2"/>
  <c r="M765" i="2"/>
  <c r="M761" i="2"/>
  <c r="M760" i="2"/>
  <c r="M759" i="2"/>
  <c r="M753" i="2"/>
  <c r="M752" i="2"/>
  <c r="M751" i="2"/>
  <c r="M748" i="2"/>
  <c r="M743" i="2"/>
  <c r="M742" i="2"/>
  <c r="M739" i="2"/>
  <c r="M741" i="2"/>
  <c r="M737" i="2"/>
  <c r="M736" i="2"/>
  <c r="M734" i="2"/>
  <c r="M733" i="2"/>
  <c r="M732" i="2"/>
  <c r="M730" i="2"/>
  <c r="H760" i="6" s="1"/>
  <c r="M729" i="2"/>
  <c r="M727" i="2"/>
  <c r="H759" i="6" s="1"/>
  <c r="M726" i="2"/>
  <c r="M725" i="2"/>
  <c r="M724" i="2"/>
  <c r="M723" i="2"/>
  <c r="M722" i="2"/>
  <c r="M721" i="2"/>
  <c r="M720" i="2"/>
  <c r="M719" i="2"/>
  <c r="M718" i="2"/>
  <c r="M717" i="2"/>
  <c r="M711" i="2"/>
  <c r="M706" i="2"/>
  <c r="M704" i="2"/>
  <c r="M703" i="2"/>
  <c r="M702" i="2"/>
  <c r="M700" i="2"/>
  <c r="M699" i="2"/>
  <c r="M698" i="2"/>
  <c r="M697" i="2"/>
  <c r="M696" i="2"/>
  <c r="M695" i="2"/>
  <c r="M694" i="2"/>
  <c r="M693" i="2"/>
  <c r="M692" i="2"/>
  <c r="M690" i="2"/>
  <c r="M689" i="2"/>
  <c r="M688" i="2"/>
  <c r="M687" i="2"/>
  <c r="M686" i="2"/>
  <c r="M683" i="2"/>
  <c r="M682" i="2"/>
  <c r="M681" i="2"/>
  <c r="M680" i="2"/>
  <c r="M679" i="2"/>
  <c r="M678" i="2"/>
  <c r="M677" i="2"/>
  <c r="M676" i="2"/>
  <c r="M674" i="2"/>
  <c r="M670" i="2"/>
  <c r="M669" i="2"/>
  <c r="M668" i="2"/>
  <c r="M667" i="2"/>
  <c r="M666" i="2"/>
  <c r="M665" i="2"/>
  <c r="M664" i="2"/>
  <c r="M663" i="2"/>
  <c r="M662" i="2"/>
  <c r="M657" i="2"/>
  <c r="M656" i="2"/>
  <c r="M653" i="2"/>
  <c r="M655" i="2"/>
  <c r="M651" i="2"/>
  <c r="M650" i="2"/>
  <c r="M649" i="2"/>
  <c r="M648" i="2"/>
  <c r="M646" i="2"/>
  <c r="M640" i="2"/>
  <c r="M637" i="2"/>
  <c r="M636" i="2"/>
  <c r="M635" i="2"/>
  <c r="M629" i="2"/>
  <c r="H5" i="28" s="1"/>
  <c r="M616" i="2"/>
  <c r="M615" i="2"/>
  <c r="M614" i="2"/>
  <c r="M613" i="2"/>
  <c r="M612" i="2"/>
  <c r="M611" i="2"/>
  <c r="M610" i="2"/>
  <c r="M609" i="2"/>
  <c r="M608" i="2"/>
  <c r="M607" i="2"/>
  <c r="M606" i="2"/>
  <c r="M605" i="2"/>
  <c r="M604" i="2"/>
  <c r="M603" i="2"/>
  <c r="M602" i="2"/>
  <c r="M601" i="2"/>
  <c r="M600" i="2"/>
  <c r="M599" i="2"/>
  <c r="M598" i="2"/>
  <c r="M597" i="2"/>
  <c r="M593" i="2"/>
  <c r="M592" i="2"/>
  <c r="M591" i="2"/>
  <c r="M590" i="2"/>
  <c r="M589" i="2"/>
  <c r="M587" i="2"/>
  <c r="M586" i="2"/>
  <c r="M585" i="2"/>
  <c r="M584" i="2"/>
  <c r="M576" i="2"/>
  <c r="M575" i="2"/>
  <c r="M574" i="2"/>
  <c r="M573" i="2"/>
  <c r="M562" i="2"/>
  <c r="M561" i="2"/>
  <c r="M560" i="2"/>
  <c r="M559" i="2"/>
  <c r="M558" i="2"/>
  <c r="M557" i="2"/>
  <c r="M556" i="2"/>
  <c r="M554" i="2"/>
  <c r="M553" i="2"/>
  <c r="M551" i="2"/>
  <c r="M550" i="2"/>
  <c r="M548" i="2"/>
  <c r="M546" i="2"/>
  <c r="M544" i="2"/>
  <c r="M543" i="2"/>
  <c r="M542" i="2"/>
  <c r="M541" i="2"/>
  <c r="M540" i="2"/>
  <c r="M534" i="2"/>
  <c r="H322" i="6" s="1"/>
  <c r="M533" i="2"/>
  <c r="M531" i="2"/>
  <c r="M530" i="2"/>
  <c r="M521" i="2"/>
  <c r="M520" i="2"/>
  <c r="M519" i="2"/>
  <c r="M508" i="2"/>
  <c r="M504" i="2"/>
  <c r="M503" i="2"/>
  <c r="M502" i="2"/>
  <c r="M501" i="2"/>
  <c r="M499" i="2"/>
  <c r="M498" i="2"/>
  <c r="M497" i="2"/>
  <c r="M496" i="2"/>
  <c r="K496" i="2" s="1"/>
  <c r="M494" i="2"/>
  <c r="M492" i="2"/>
  <c r="M490" i="2"/>
  <c r="M488" i="2"/>
  <c r="M486" i="2"/>
  <c r="H334" i="6" s="1"/>
  <c r="M478" i="2"/>
  <c r="M477" i="2"/>
  <c r="M476" i="2"/>
  <c r="H335" i="6" s="1"/>
  <c r="M472" i="2"/>
  <c r="M471" i="2"/>
  <c r="M466" i="2"/>
  <c r="M462" i="2"/>
  <c r="M461" i="2"/>
  <c r="M460" i="2"/>
  <c r="M456" i="2"/>
  <c r="M454" i="2"/>
  <c r="K454" i="2" s="1"/>
  <c r="M453" i="2"/>
  <c r="K453" i="2" s="1"/>
  <c r="M452" i="2"/>
  <c r="K452" i="2" s="1"/>
  <c r="M451" i="2"/>
  <c r="M450" i="2"/>
  <c r="M449"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199" i="2"/>
  <c r="M187" i="2"/>
  <c r="M186" i="2"/>
  <c r="M138" i="2"/>
  <c r="M137" i="2"/>
  <c r="M136" i="2"/>
  <c r="M135" i="2"/>
  <c r="M128" i="2"/>
  <c r="M122" i="2"/>
  <c r="M118" i="2"/>
  <c r="M117" i="2"/>
  <c r="M116" i="2"/>
  <c r="M115"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3" i="2"/>
  <c r="M72" i="2"/>
  <c r="M69" i="2"/>
  <c r="M68" i="2"/>
  <c r="M67" i="2"/>
  <c r="M66" i="2"/>
  <c r="M65" i="2"/>
  <c r="M64" i="2"/>
  <c r="K64" i="2" s="1"/>
  <c r="M63" i="2"/>
  <c r="M62" i="2"/>
  <c r="M61" i="2"/>
  <c r="M60" i="2"/>
  <c r="M59" i="2"/>
  <c r="M58" i="2"/>
  <c r="M57" i="2"/>
  <c r="M56" i="2"/>
  <c r="M55" i="2"/>
  <c r="M54" i="2"/>
  <c r="M35" i="2"/>
  <c r="H278" i="6"/>
  <c r="H277" i="6"/>
  <c r="H276" i="6"/>
  <c r="H275" i="6"/>
  <c r="M9" i="2"/>
  <c r="H274" i="6" s="1"/>
  <c r="E1005" i="2"/>
  <c r="E1004" i="2"/>
  <c r="E1003" i="2"/>
  <c r="E1002" i="2"/>
  <c r="E1001" i="2"/>
  <c r="E1000" i="2"/>
  <c r="E999" i="2"/>
  <c r="E995" i="2"/>
  <c r="E994" i="2"/>
  <c r="E993" i="2"/>
  <c r="E992" i="2"/>
  <c r="E984"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47" i="2"/>
  <c r="E946" i="2"/>
  <c r="E945" i="2"/>
  <c r="E944" i="2"/>
  <c r="E943" i="2"/>
  <c r="E942" i="2"/>
  <c r="E941" i="2"/>
  <c r="E940" i="2"/>
  <c r="E939" i="2"/>
  <c r="E935" i="2"/>
  <c r="E933" i="2"/>
  <c r="E932" i="2"/>
  <c r="E931" i="2"/>
  <c r="E930" i="2"/>
  <c r="E929" i="2"/>
  <c r="E928" i="2"/>
  <c r="E917" i="2"/>
  <c r="E916" i="2"/>
  <c r="E914" i="2"/>
  <c r="E913" i="2"/>
  <c r="E912" i="2"/>
  <c r="E910" i="2"/>
  <c r="E906" i="2"/>
  <c r="E905" i="2"/>
  <c r="E904" i="2"/>
  <c r="E903" i="2"/>
  <c r="E902" i="2"/>
  <c r="E901" i="2"/>
  <c r="E900" i="2"/>
  <c r="E899" i="2"/>
  <c r="E898" i="2"/>
  <c r="E897" i="2"/>
  <c r="E896" i="2"/>
  <c r="E895" i="2"/>
  <c r="E894" i="2"/>
  <c r="E893" i="2"/>
  <c r="E892" i="2"/>
  <c r="E891" i="2"/>
  <c r="E890" i="2"/>
  <c r="E888" i="2"/>
  <c r="E887" i="2"/>
  <c r="E886" i="2"/>
  <c r="E882" i="2"/>
  <c r="E881" i="2"/>
  <c r="E880" i="2"/>
  <c r="E879" i="2"/>
  <c r="E878" i="2"/>
  <c r="E876" i="2"/>
  <c r="E865" i="2"/>
  <c r="E864" i="2"/>
  <c r="E863" i="2"/>
  <c r="E862" i="2"/>
  <c r="E861" i="2"/>
  <c r="E855" i="2"/>
  <c r="E850" i="2"/>
  <c r="E849" i="2"/>
  <c r="E770" i="2"/>
  <c r="E846" i="2"/>
  <c r="E777" i="2"/>
  <c r="E845" i="2"/>
  <c r="E839" i="2"/>
  <c r="E836" i="2"/>
  <c r="E835" i="2"/>
  <c r="E834" i="2"/>
  <c r="E833" i="2"/>
  <c r="E832" i="2"/>
  <c r="E831" i="2"/>
  <c r="E830" i="2"/>
  <c r="E829" i="2"/>
  <c r="E828" i="2"/>
  <c r="E844" i="2"/>
  <c r="E843" i="2"/>
  <c r="E842" i="2"/>
  <c r="E841" i="2"/>
  <c r="E827" i="2"/>
  <c r="E826" i="2"/>
  <c r="E825" i="2"/>
  <c r="E824" i="2"/>
  <c r="E823" i="2"/>
  <c r="E822" i="2"/>
  <c r="E784" i="2"/>
  <c r="E778" i="2"/>
  <c r="E840" i="2"/>
  <c r="E776" i="2"/>
  <c r="E775" i="2"/>
  <c r="E774" i="2"/>
  <c r="E773" i="2"/>
  <c r="E772" i="2"/>
  <c r="E771" i="2"/>
  <c r="E769" i="2"/>
  <c r="E768" i="2"/>
  <c r="E762" i="2"/>
  <c r="E767" i="2"/>
  <c r="E766" i="2"/>
  <c r="E765" i="2"/>
  <c r="E761" i="2"/>
  <c r="E760" i="2"/>
  <c r="E759" i="2"/>
  <c r="E753" i="2"/>
  <c r="E752" i="2"/>
  <c r="E751" i="2"/>
  <c r="E748" i="2"/>
  <c r="E743" i="2"/>
  <c r="E742" i="2"/>
  <c r="E739" i="2"/>
  <c r="E741" i="2"/>
  <c r="E737" i="2"/>
  <c r="E736" i="2"/>
  <c r="E734" i="2"/>
  <c r="E733" i="2"/>
  <c r="E732" i="2"/>
  <c r="E730" i="2"/>
  <c r="E729" i="2"/>
  <c r="I761" i="6" s="1"/>
  <c r="E727" i="2"/>
  <c r="E725" i="2"/>
  <c r="E724" i="2"/>
  <c r="E723" i="2"/>
  <c r="E721" i="2"/>
  <c r="E720" i="2"/>
  <c r="E719" i="2"/>
  <c r="E718" i="2"/>
  <c r="E717" i="2"/>
  <c r="E711" i="2"/>
  <c r="E706" i="2"/>
  <c r="E704" i="2"/>
  <c r="E703" i="2"/>
  <c r="E702" i="2"/>
  <c r="E700" i="2"/>
  <c r="E699" i="2"/>
  <c r="E698" i="2"/>
  <c r="E697" i="2"/>
  <c r="E696" i="2"/>
  <c r="E695" i="2"/>
  <c r="E694" i="2"/>
  <c r="E693" i="2"/>
  <c r="E692" i="2"/>
  <c r="E690" i="2"/>
  <c r="E689" i="2"/>
  <c r="E688" i="2"/>
  <c r="E687" i="2"/>
  <c r="E686" i="2"/>
  <c r="E683" i="2"/>
  <c r="E682" i="2"/>
  <c r="E681" i="2"/>
  <c r="E680" i="2"/>
  <c r="E679" i="2"/>
  <c r="E678" i="2"/>
  <c r="E677" i="2"/>
  <c r="E676" i="2"/>
  <c r="E674" i="2"/>
  <c r="E670" i="2"/>
  <c r="E669" i="2"/>
  <c r="E668" i="2"/>
  <c r="E667" i="2"/>
  <c r="E666" i="2"/>
  <c r="E665" i="2"/>
  <c r="E664" i="2"/>
  <c r="E663" i="2"/>
  <c r="E662" i="2"/>
  <c r="E657" i="2"/>
  <c r="E656" i="2"/>
  <c r="E653" i="2"/>
  <c r="E655" i="2"/>
  <c r="E651" i="2"/>
  <c r="E650" i="2"/>
  <c r="E649" i="2"/>
  <c r="E648" i="2"/>
  <c r="E646" i="2"/>
  <c r="E640" i="2"/>
  <c r="E637" i="2"/>
  <c r="E636" i="2"/>
  <c r="E635" i="2"/>
  <c r="E629" i="2"/>
  <c r="E616" i="2"/>
  <c r="E615" i="2"/>
  <c r="E614" i="2"/>
  <c r="E613" i="2"/>
  <c r="E612" i="2"/>
  <c r="E611" i="2"/>
  <c r="E610" i="2"/>
  <c r="E609" i="2"/>
  <c r="E608" i="2"/>
  <c r="E607" i="2"/>
  <c r="E606" i="2"/>
  <c r="E605" i="2"/>
  <c r="E604" i="2"/>
  <c r="E603" i="2"/>
  <c r="E602" i="2"/>
  <c r="E601" i="2"/>
  <c r="E600" i="2"/>
  <c r="E599" i="2"/>
  <c r="E598" i="2"/>
  <c r="E597" i="2"/>
  <c r="E593" i="2"/>
  <c r="E592" i="2"/>
  <c r="E591" i="2"/>
  <c r="E590" i="2"/>
  <c r="E589" i="2"/>
  <c r="E587" i="2"/>
  <c r="E585" i="2"/>
  <c r="E584" i="2"/>
  <c r="E576" i="2"/>
  <c r="E575" i="2"/>
  <c r="E574" i="2"/>
  <c r="E573" i="2"/>
  <c r="E572" i="2"/>
  <c r="E571" i="2"/>
  <c r="E570" i="2"/>
  <c r="E568" i="2"/>
  <c r="E562" i="2"/>
  <c r="E561" i="2"/>
  <c r="E560" i="2"/>
  <c r="E559" i="2"/>
  <c r="E558" i="2"/>
  <c r="E557" i="2"/>
  <c r="E556" i="2"/>
  <c r="E554" i="2"/>
  <c r="E553" i="2"/>
  <c r="E551" i="2"/>
  <c r="E550" i="2"/>
  <c r="E548" i="2"/>
  <c r="E547" i="2"/>
  <c r="E546" i="2"/>
  <c r="E544" i="2"/>
  <c r="E543" i="2"/>
  <c r="E542" i="2"/>
  <c r="E541" i="2"/>
  <c r="E540" i="2"/>
  <c r="E537" i="2"/>
  <c r="E536" i="2"/>
  <c r="E534" i="2"/>
  <c r="E533" i="2"/>
  <c r="E531" i="2"/>
  <c r="E530" i="2"/>
  <c r="E521" i="2"/>
  <c r="E520" i="2"/>
  <c r="E519" i="2"/>
  <c r="E508" i="2"/>
  <c r="E509" i="2" s="1"/>
  <c r="E504" i="2"/>
  <c r="E503" i="2"/>
  <c r="E502" i="2"/>
  <c r="E501" i="2"/>
  <c r="E499" i="2"/>
  <c r="E497" i="2"/>
  <c r="E496" i="2"/>
  <c r="E494" i="2"/>
  <c r="E492" i="2"/>
  <c r="E490" i="2"/>
  <c r="E488" i="2"/>
  <c r="E472" i="2"/>
  <c r="E471" i="2"/>
  <c r="E466" i="2"/>
  <c r="E462" i="2"/>
  <c r="E461" i="2"/>
  <c r="E460" i="2"/>
  <c r="E456" i="2"/>
  <c r="E454" i="2"/>
  <c r="E453" i="2"/>
  <c r="E452" i="2"/>
  <c r="E451" i="2"/>
  <c r="E450" i="2"/>
  <c r="E449"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36" i="2"/>
  <c r="E335" i="2"/>
  <c r="E334" i="2"/>
  <c r="E333" i="2"/>
  <c r="E332" i="2"/>
  <c r="E331" i="2"/>
  <c r="E330" i="2"/>
  <c r="E329" i="2"/>
  <c r="E328" i="2"/>
  <c r="E327" i="2"/>
  <c r="E326" i="2"/>
  <c r="E325" i="2"/>
  <c r="E324" i="2"/>
  <c r="E199" i="2"/>
  <c r="E187" i="2"/>
  <c r="E186" i="2"/>
  <c r="E149" i="2"/>
  <c r="E148" i="2"/>
  <c r="E147" i="2"/>
  <c r="E146" i="2"/>
  <c r="E145" i="2"/>
  <c r="E144" i="2"/>
  <c r="E138" i="2"/>
  <c r="E137" i="2"/>
  <c r="E136" i="2"/>
  <c r="E135" i="2"/>
  <c r="E128" i="2"/>
  <c r="E122" i="2"/>
  <c r="E118" i="2"/>
  <c r="E117"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3" i="2"/>
  <c r="E72" i="2"/>
  <c r="E69" i="2"/>
  <c r="E67" i="2"/>
  <c r="E66" i="2"/>
  <c r="E65" i="2"/>
  <c r="E64" i="2"/>
  <c r="E63" i="2"/>
  <c r="E62" i="2"/>
  <c r="E61" i="2"/>
  <c r="E60" i="2"/>
  <c r="E59" i="2"/>
  <c r="E58" i="2"/>
  <c r="E57" i="2"/>
  <c r="E56" i="2"/>
  <c r="E55" i="2"/>
  <c r="E54" i="2"/>
  <c r="E35" i="2"/>
  <c r="E9" i="2"/>
  <c r="F162" i="6" l="1"/>
  <c r="F163" i="6" s="1"/>
  <c r="E162" i="6"/>
  <c r="E163" i="6" s="1"/>
  <c r="E91" i="6"/>
  <c r="H761" i="6"/>
  <c r="I759" i="6"/>
  <c r="I758" i="6"/>
  <c r="I760" i="6"/>
  <c r="H758" i="6"/>
  <c r="H757" i="6"/>
  <c r="I762" i="6"/>
  <c r="I757" i="6"/>
  <c r="H762" i="6"/>
  <c r="H755" i="6"/>
  <c r="H756" i="6"/>
  <c r="I754" i="6"/>
  <c r="I755" i="6"/>
  <c r="I756" i="6"/>
  <c r="H754" i="6"/>
  <c r="I744" i="6"/>
  <c r="H751" i="6"/>
  <c r="H752" i="6"/>
  <c r="I751" i="6"/>
  <c r="I745" i="6"/>
  <c r="I746" i="6"/>
  <c r="I747" i="6"/>
  <c r="I749" i="6"/>
  <c r="H747" i="6"/>
  <c r="H749" i="6"/>
  <c r="H750" i="6"/>
  <c r="H753" i="6"/>
  <c r="H745" i="6"/>
  <c r="H746" i="6"/>
  <c r="I750" i="6"/>
  <c r="I752" i="6"/>
  <c r="H744" i="6"/>
  <c r="I753" i="6"/>
  <c r="H284" i="6"/>
  <c r="I748" i="6"/>
  <c r="H743" i="6"/>
  <c r="H336" i="6"/>
  <c r="I743" i="6"/>
  <c r="H748" i="6"/>
  <c r="H288" i="6"/>
  <c r="H287" i="6"/>
  <c r="H279" i="6"/>
  <c r="H280" i="6"/>
  <c r="H281" i="6"/>
  <c r="H283" i="6"/>
  <c r="H736" i="6"/>
  <c r="H742" i="6"/>
  <c r="H282" i="6"/>
  <c r="I742" i="6"/>
  <c r="H289" i="6"/>
  <c r="H285" i="6"/>
  <c r="H733" i="6"/>
  <c r="I732" i="6"/>
  <c r="H286" i="6"/>
  <c r="H290" i="6"/>
  <c r="H291" i="6"/>
  <c r="I734" i="6"/>
  <c r="H740" i="6"/>
  <c r="H741" i="6"/>
  <c r="H729" i="6"/>
  <c r="I740" i="6"/>
  <c r="I741" i="6"/>
  <c r="H732" i="6"/>
  <c r="I733" i="6"/>
  <c r="I735" i="6"/>
  <c r="H337" i="6"/>
  <c r="H333" i="6"/>
  <c r="I736" i="6"/>
  <c r="I729" i="6"/>
  <c r="H730" i="6"/>
  <c r="I730" i="6"/>
  <c r="I731" i="6"/>
  <c r="H735" i="6"/>
  <c r="H737" i="6"/>
  <c r="I737" i="6"/>
  <c r="H738" i="6"/>
  <c r="I738" i="6"/>
  <c r="H739" i="6"/>
  <c r="I739" i="6"/>
  <c r="H731" i="6"/>
  <c r="I728" i="6"/>
  <c r="H734" i="6"/>
  <c r="H728" i="6"/>
  <c r="I726" i="6"/>
  <c r="H726" i="6"/>
  <c r="H727" i="6"/>
  <c r="I723" i="6"/>
  <c r="I722" i="6"/>
  <c r="H723" i="6"/>
  <c r="I725" i="6"/>
  <c r="I727" i="6"/>
  <c r="H722" i="6"/>
  <c r="I724" i="6"/>
  <c r="H724" i="6"/>
  <c r="H725" i="6"/>
  <c r="I720" i="6"/>
  <c r="H720" i="6"/>
  <c r="I721" i="6"/>
  <c r="H721" i="6"/>
  <c r="H292" i="6"/>
  <c r="H331" i="6"/>
  <c r="H338" i="6"/>
  <c r="H304" i="6"/>
  <c r="H309" i="6"/>
  <c r="H311" i="6"/>
  <c r="H533" i="6"/>
  <c r="I717" i="6"/>
  <c r="H621" i="6"/>
  <c r="I718" i="6"/>
  <c r="I719" i="6"/>
  <c r="H511" i="6"/>
  <c r="H623" i="6"/>
  <c r="H716" i="6"/>
  <c r="H717" i="6"/>
  <c r="H295" i="6"/>
  <c r="H300" i="6"/>
  <c r="H718" i="6"/>
  <c r="I716" i="6"/>
  <c r="H719" i="6"/>
  <c r="H451" i="6"/>
  <c r="H384" i="6"/>
  <c r="H388" i="6"/>
  <c r="H437" i="6"/>
  <c r="H436" i="6"/>
  <c r="H715" i="6"/>
  <c r="H416" i="6"/>
  <c r="H374" i="6"/>
  <c r="H378" i="6"/>
  <c r="I715" i="6"/>
  <c r="H391" i="6"/>
  <c r="H559" i="6"/>
  <c r="H655" i="6"/>
  <c r="H396" i="6"/>
  <c r="H458" i="6"/>
  <c r="H441" i="6"/>
  <c r="H450" i="6"/>
  <c r="H343" i="6"/>
  <c r="H626" i="6"/>
  <c r="H406" i="6"/>
  <c r="H457" i="6"/>
  <c r="H468" i="6"/>
  <c r="I708" i="6"/>
  <c r="H708" i="6"/>
  <c r="H443" i="6"/>
  <c r="H538" i="6"/>
  <c r="H654" i="6"/>
  <c r="H659" i="6"/>
  <c r="H446" i="6"/>
  <c r="H430" i="6"/>
  <c r="H564" i="6"/>
  <c r="H713" i="6"/>
  <c r="H714" i="6"/>
  <c r="H470" i="6"/>
  <c r="I713" i="6"/>
  <c r="I714" i="6"/>
  <c r="H472" i="6"/>
  <c r="H595" i="6"/>
  <c r="H452" i="6"/>
  <c r="H456" i="6"/>
  <c r="H464" i="6"/>
  <c r="H442" i="6"/>
  <c r="H445" i="6"/>
  <c r="M755" i="2"/>
  <c r="H469" i="6"/>
  <c r="H556" i="6"/>
  <c r="H444" i="6"/>
  <c r="H512" i="6"/>
  <c r="H653" i="6"/>
  <c r="H638" i="6"/>
  <c r="H455" i="6"/>
  <c r="H463" i="6"/>
  <c r="H471" i="6"/>
  <c r="H438" i="6"/>
  <c r="H651" i="6"/>
  <c r="H447" i="6"/>
  <c r="H525" i="6"/>
  <c r="H355" i="6"/>
  <c r="H448" i="6"/>
  <c r="H561" i="6"/>
  <c r="H569" i="6"/>
  <c r="H449" i="6"/>
  <c r="H648" i="6"/>
  <c r="M749" i="2"/>
  <c r="M746" i="2"/>
  <c r="H534" i="6"/>
  <c r="H635" i="6"/>
  <c r="H646" i="6"/>
  <c r="H594" i="6"/>
  <c r="H657" i="6"/>
  <c r="H633" i="6"/>
  <c r="H641" i="6"/>
  <c r="H660" i="6"/>
  <c r="H422" i="6"/>
  <c r="H395" i="6"/>
  <c r="I711" i="6"/>
  <c r="H364" i="6"/>
  <c r="H565" i="6"/>
  <c r="H658" i="6"/>
  <c r="H340" i="6"/>
  <c r="H339" i="6"/>
  <c r="H363" i="6"/>
  <c r="H435" i="6"/>
  <c r="H434" i="6"/>
  <c r="H652" i="6"/>
  <c r="H433" i="6"/>
  <c r="H432" i="6"/>
  <c r="H342" i="6"/>
  <c r="H567" i="6"/>
  <c r="H630" i="6"/>
  <c r="H636" i="6"/>
  <c r="H645" i="6"/>
  <c r="H647" i="6"/>
  <c r="I709" i="6"/>
  <c r="H637" i="6"/>
  <c r="H644" i="6"/>
  <c r="I710" i="6"/>
  <c r="H380" i="6"/>
  <c r="H383" i="6"/>
  <c r="H390" i="6"/>
  <c r="H650" i="6"/>
  <c r="H293" i="6"/>
  <c r="H631" i="6"/>
  <c r="H593" i="6"/>
  <c r="H361" i="6"/>
  <c r="H632" i="6"/>
  <c r="H662" i="6"/>
  <c r="I712" i="6"/>
  <c r="H539" i="6"/>
  <c r="H629" i="6"/>
  <c r="H634" i="6"/>
  <c r="H642" i="6"/>
  <c r="H656" i="6"/>
  <c r="H649" i="6"/>
  <c r="H554" i="6"/>
  <c r="H480" i="6"/>
  <c r="H640" i="6"/>
  <c r="H481" i="6"/>
  <c r="H465" i="6"/>
  <c r="H628" i="6"/>
  <c r="H625" i="6"/>
  <c r="H663" i="6"/>
  <c r="H474" i="6"/>
  <c r="H627" i="6"/>
  <c r="H477" i="6"/>
  <c r="H624" i="6"/>
  <c r="H639" i="6"/>
  <c r="H661" i="6"/>
  <c r="H302" i="6"/>
  <c r="H622" i="6"/>
  <c r="H568" i="6"/>
  <c r="H341" i="6"/>
  <c r="B59" i="78"/>
  <c r="H352" i="6"/>
  <c r="H307" i="6"/>
  <c r="H299" i="6"/>
  <c r="H563" i="6"/>
  <c r="H381" i="6"/>
  <c r="H429" i="6"/>
  <c r="H553" i="6"/>
  <c r="H562" i="6"/>
  <c r="H558" i="6"/>
  <c r="H467" i="6"/>
  <c r="H484" i="6"/>
  <c r="H560" i="6"/>
  <c r="H312" i="6"/>
  <c r="H310" i="6"/>
  <c r="H296" i="6"/>
  <c r="H369" i="6"/>
  <c r="H389" i="6"/>
  <c r="H382" i="6"/>
  <c r="H347" i="6"/>
  <c r="H308" i="6"/>
  <c r="H348" i="6"/>
  <c r="H482" i="6"/>
  <c r="H353" i="6"/>
  <c r="H514" i="6"/>
  <c r="H540" i="6"/>
  <c r="H485" i="6"/>
  <c r="H350" i="6"/>
  <c r="H313" i="6"/>
  <c r="H473" i="6"/>
  <c r="H362" i="6"/>
  <c r="H394" i="6"/>
  <c r="H424" i="6"/>
  <c r="H459" i="6"/>
  <c r="H375" i="6"/>
  <c r="H479" i="6"/>
  <c r="H412" i="6"/>
  <c r="H402" i="6"/>
  <c r="H372" i="6"/>
  <c r="H297" i="6"/>
  <c r="H298" i="6"/>
  <c r="H301" i="6"/>
  <c r="I702" i="6"/>
  <c r="H462" i="6"/>
  <c r="H498" i="6"/>
  <c r="H487" i="6"/>
  <c r="H414" i="6"/>
  <c r="H431" i="6"/>
  <c r="H410" i="6"/>
  <c r="H427" i="6"/>
  <c r="H377" i="6"/>
  <c r="H398" i="6"/>
  <c r="H415" i="6"/>
  <c r="H407" i="6"/>
  <c r="H496" i="6"/>
  <c r="H504" i="6"/>
  <c r="H513" i="6"/>
  <c r="H566" i="6"/>
  <c r="H604" i="6"/>
  <c r="H570" i="6"/>
  <c r="H523" i="6"/>
  <c r="H541" i="6"/>
  <c r="H530" i="6"/>
  <c r="H643" i="6"/>
  <c r="H683" i="6"/>
  <c r="H687" i="6"/>
  <c r="H706" i="6"/>
  <c r="H575" i="6"/>
  <c r="H613" i="6"/>
  <c r="H589" i="6"/>
  <c r="H597" i="6"/>
  <c r="H610" i="6"/>
  <c r="H584" i="6"/>
  <c r="H587" i="6"/>
  <c r="H488" i="6"/>
  <c r="H524" i="6"/>
  <c r="H499" i="6"/>
  <c r="H535" i="6"/>
  <c r="H676" i="6"/>
  <c r="H688" i="6"/>
  <c r="H699" i="6"/>
  <c r="H707" i="6"/>
  <c r="H576" i="6"/>
  <c r="H614" i="6"/>
  <c r="H590" i="6"/>
  <c r="H601" i="6"/>
  <c r="H578" i="6"/>
  <c r="H616" i="6"/>
  <c r="H586" i="6"/>
  <c r="H677" i="6"/>
  <c r="I707" i="6"/>
  <c r="H316" i="6"/>
  <c r="H320" i="6"/>
  <c r="H359" i="6"/>
  <c r="H403" i="6"/>
  <c r="H420" i="6"/>
  <c r="I703" i="6"/>
  <c r="H294" i="6"/>
  <c r="H478" i="6"/>
  <c r="H461" i="6"/>
  <c r="H497" i="6"/>
  <c r="H386" i="6"/>
  <c r="H354" i="6"/>
  <c r="H358" i="6"/>
  <c r="H360" i="6"/>
  <c r="H366" i="6"/>
  <c r="H379" i="6"/>
  <c r="H368" i="6"/>
  <c r="H392" i="6"/>
  <c r="H404" i="6"/>
  <c r="H421" i="6"/>
  <c r="H408" i="6"/>
  <c r="H425" i="6"/>
  <c r="H349" i="6"/>
  <c r="H490" i="6"/>
  <c r="H505" i="6"/>
  <c r="H515" i="6"/>
  <c r="H516" i="6"/>
  <c r="H664" i="6"/>
  <c r="H670" i="6"/>
  <c r="H711" i="6"/>
  <c r="H689" i="6"/>
  <c r="H693" i="6"/>
  <c r="H700" i="6"/>
  <c r="H574" i="6"/>
  <c r="H612" i="6"/>
  <c r="H591" i="6"/>
  <c r="H602" i="6"/>
  <c r="H678" i="6"/>
  <c r="H492" i="6"/>
  <c r="H546" i="6"/>
  <c r="H549" i="6"/>
  <c r="H517" i="6"/>
  <c r="H542" i="6"/>
  <c r="H673" i="6"/>
  <c r="H671" i="6"/>
  <c r="H712" i="6"/>
  <c r="H690" i="6"/>
  <c r="H694" i="6"/>
  <c r="H701" i="6"/>
  <c r="H665" i="6"/>
  <c r="H577" i="6"/>
  <c r="H615" i="6"/>
  <c r="H603" i="6"/>
  <c r="H580" i="6"/>
  <c r="H618" i="6"/>
  <c r="H679" i="6"/>
  <c r="H344" i="6"/>
  <c r="H351" i="6"/>
  <c r="H491" i="6"/>
  <c r="H509" i="6"/>
  <c r="H506" i="6"/>
  <c r="H547" i="6"/>
  <c r="H550" i="6"/>
  <c r="H518" i="6"/>
  <c r="H555" i="6"/>
  <c r="H536" i="6"/>
  <c r="H526" i="6"/>
  <c r="H543" i="6"/>
  <c r="H672" i="6"/>
  <c r="H691" i="6"/>
  <c r="H695" i="6"/>
  <c r="H702" i="6"/>
  <c r="H666" i="6"/>
  <c r="H605" i="6"/>
  <c r="H598" i="6"/>
  <c r="H581" i="6"/>
  <c r="H619" i="6"/>
  <c r="H680" i="6"/>
  <c r="H345" i="6"/>
  <c r="H493" i="6"/>
  <c r="H529" i="6"/>
  <c r="H510" i="6"/>
  <c r="H507" i="6"/>
  <c r="H548" i="6"/>
  <c r="H521" i="6"/>
  <c r="H674" i="6"/>
  <c r="H684" i="6"/>
  <c r="H692" i="6"/>
  <c r="H696" i="6"/>
  <c r="H703" i="6"/>
  <c r="H667" i="6"/>
  <c r="H606" i="6"/>
  <c r="H599" i="6"/>
  <c r="H583" i="6"/>
  <c r="H681" i="6"/>
  <c r="H303" i="6"/>
  <c r="H306" i="6"/>
  <c r="H400" i="6"/>
  <c r="H417" i="6"/>
  <c r="H411" i="6"/>
  <c r="H428" i="6"/>
  <c r="H393" i="6"/>
  <c r="H401" i="6"/>
  <c r="H418" i="6"/>
  <c r="H317" i="6"/>
  <c r="H321" i="6"/>
  <c r="H486" i="6"/>
  <c r="H522" i="6"/>
  <c r="H387" i="6"/>
  <c r="H399" i="6"/>
  <c r="H397" i="6"/>
  <c r="H413" i="6"/>
  <c r="H376" i="6"/>
  <c r="H385" i="6"/>
  <c r="H419" i="6"/>
  <c r="H439" i="6"/>
  <c r="H475" i="6"/>
  <c r="H494" i="6"/>
  <c r="H500" i="6"/>
  <c r="H508" i="6"/>
  <c r="H551" i="6"/>
  <c r="H531" i="6"/>
  <c r="H527" i="6"/>
  <c r="H544" i="6"/>
  <c r="H697" i="6"/>
  <c r="H704" i="6"/>
  <c r="H668" i="6"/>
  <c r="H709" i="6"/>
  <c r="H572" i="6"/>
  <c r="H607" i="6"/>
  <c r="H600" i="6"/>
  <c r="H585" i="6"/>
  <c r="H503" i="6"/>
  <c r="H367" i="6"/>
  <c r="H373" i="6"/>
  <c r="H314" i="6"/>
  <c r="H318" i="6"/>
  <c r="H409" i="6"/>
  <c r="H426" i="6"/>
  <c r="H315" i="6"/>
  <c r="H319" i="6"/>
  <c r="H454" i="6"/>
  <c r="H356" i="6"/>
  <c r="H305" i="6"/>
  <c r="H453" i="6"/>
  <c r="H489" i="6"/>
  <c r="H460" i="6"/>
  <c r="H483" i="6"/>
  <c r="H519" i="6"/>
  <c r="H370" i="6"/>
  <c r="H357" i="6"/>
  <c r="H365" i="6"/>
  <c r="H371" i="6"/>
  <c r="H405" i="6"/>
  <c r="H423" i="6"/>
  <c r="H440" i="6"/>
  <c r="H476" i="6"/>
  <c r="H495" i="6"/>
  <c r="H501" i="6"/>
  <c r="H552" i="6"/>
  <c r="H571" i="6"/>
  <c r="H609" i="6"/>
  <c r="H532" i="6"/>
  <c r="H528" i="6"/>
  <c r="H545" i="6"/>
  <c r="H675" i="6"/>
  <c r="H686" i="6"/>
  <c r="H698" i="6"/>
  <c r="H705" i="6"/>
  <c r="H669" i="6"/>
  <c r="H710" i="6"/>
  <c r="H573" i="6"/>
  <c r="H611" i="6"/>
  <c r="H588" i="6"/>
  <c r="H596" i="6"/>
  <c r="H608" i="6"/>
  <c r="H592" i="6"/>
  <c r="H682" i="6"/>
  <c r="H582" i="6"/>
  <c r="H620" i="6"/>
  <c r="H579" i="6"/>
  <c r="H617" i="6"/>
  <c r="H466" i="6"/>
  <c r="H502" i="6"/>
  <c r="H537" i="6"/>
  <c r="H346" i="6"/>
  <c r="H520" i="6"/>
  <c r="H557" i="6"/>
  <c r="H685" i="6"/>
  <c r="I697" i="6"/>
  <c r="I701" i="6"/>
  <c r="I700" i="6"/>
  <c r="I699" i="6"/>
  <c r="I704" i="6"/>
  <c r="I698" i="6"/>
  <c r="I705" i="6"/>
  <c r="I706" i="6"/>
  <c r="I695" i="6"/>
  <c r="I696" i="6"/>
  <c r="I693" i="6"/>
  <c r="I694" i="6"/>
  <c r="I691" i="6"/>
  <c r="I686" i="6"/>
  <c r="I688" i="6"/>
  <c r="I690" i="6"/>
  <c r="I692" i="6"/>
  <c r="I687" i="6"/>
  <c r="I689" i="6"/>
  <c r="I671" i="6"/>
  <c r="I683" i="6"/>
  <c r="I685" i="6"/>
  <c r="I672" i="6"/>
  <c r="I679" i="6"/>
  <c r="I681" i="6"/>
  <c r="I659" i="6"/>
  <c r="I675" i="6"/>
  <c r="I666" i="6"/>
  <c r="I682" i="6"/>
  <c r="I660" i="6"/>
  <c r="I676" i="6"/>
  <c r="I661" i="6"/>
  <c r="I677" i="6"/>
  <c r="I668" i="6"/>
  <c r="I684" i="6"/>
  <c r="I662" i="6"/>
  <c r="I678" i="6"/>
  <c r="I657" i="6"/>
  <c r="I673" i="6"/>
  <c r="I664" i="6"/>
  <c r="I680" i="6"/>
  <c r="I658" i="6"/>
  <c r="I674" i="6"/>
  <c r="I667" i="6"/>
  <c r="I669" i="6"/>
  <c r="I656" i="6"/>
  <c r="I663" i="6"/>
  <c r="I665" i="6"/>
  <c r="I655" i="6"/>
  <c r="I670" i="6"/>
  <c r="I646" i="6"/>
  <c r="I647" i="6"/>
  <c r="I648" i="6"/>
  <c r="I649" i="6"/>
  <c r="I650" i="6"/>
  <c r="I645" i="6"/>
  <c r="I652" i="6"/>
  <c r="I653" i="6"/>
  <c r="I644" i="6"/>
  <c r="I654" i="6"/>
  <c r="I651" i="6"/>
  <c r="I643" i="6"/>
  <c r="I642" i="6"/>
  <c r="I639" i="6"/>
  <c r="I640" i="6"/>
  <c r="I641" i="6"/>
  <c r="F357" i="54"/>
  <c r="F356" i="54"/>
  <c r="F355" i="54"/>
  <c r="F354" i="54"/>
  <c r="F353" i="54"/>
  <c r="F351" i="54"/>
  <c r="F349" i="54"/>
  <c r="E105" i="55" l="1"/>
  <c r="D145" i="66"/>
  <c r="D146" i="66"/>
  <c r="D147" i="66"/>
  <c r="M189" i="60" l="1"/>
  <c r="K189" i="60" s="1"/>
  <c r="F189" i="60"/>
  <c r="E189" i="60"/>
  <c r="AB189" i="60" l="1"/>
  <c r="J189" i="60"/>
  <c r="N189" i="60" l="1"/>
  <c r="C157" i="32"/>
  <c r="C158" i="32"/>
  <c r="C125" i="66" l="1"/>
  <c r="D140" i="32" l="1"/>
  <c r="C152" i="32" l="1"/>
  <c r="C153" i="32"/>
  <c r="A149" i="32"/>
  <c r="A152" i="32" s="1"/>
  <c r="C150" i="32"/>
  <c r="C149" i="32"/>
  <c r="A155" i="32" l="1"/>
  <c r="A160" i="32" s="1"/>
  <c r="E110" i="66" l="1"/>
  <c r="F110" i="66" s="1"/>
  <c r="Z966" i="58" l="1"/>
  <c r="C147" i="32"/>
  <c r="C146" i="32"/>
  <c r="E124" i="66" l="1"/>
  <c r="E132" i="66" l="1"/>
  <c r="C59" i="32"/>
  <c r="C68" i="32"/>
  <c r="C75" i="32"/>
  <c r="C74" i="32"/>
  <c r="C76" i="32"/>
  <c r="C62" i="32"/>
  <c r="F6" i="87" l="1"/>
  <c r="M197" i="93" l="1"/>
  <c r="K197" i="93" s="1"/>
  <c r="E197" i="93"/>
  <c r="D26" i="94"/>
  <c r="E203" i="66" l="1"/>
  <c r="E723" i="58" l="1"/>
  <c r="I725" i="58"/>
  <c r="H725" i="58"/>
  <c r="G725" i="58"/>
  <c r="F874" i="58"/>
  <c r="E874" i="58"/>
  <c r="F867" i="58"/>
  <c r="E867" i="58"/>
  <c r="F522" i="58"/>
  <c r="E522" i="58"/>
  <c r="F493" i="58"/>
  <c r="E493" i="58"/>
  <c r="F311" i="58"/>
  <c r="E311" i="58"/>
  <c r="F310" i="58"/>
  <c r="E310" i="58"/>
  <c r="F309" i="58"/>
  <c r="E309" i="58"/>
  <c r="F308" i="58"/>
  <c r="E308" i="58"/>
  <c r="F89" i="58"/>
  <c r="E89" i="58"/>
  <c r="F88" i="58"/>
  <c r="E88" i="58"/>
  <c r="F87" i="58"/>
  <c r="E87" i="58"/>
  <c r="F86" i="58"/>
  <c r="E86" i="58"/>
  <c r="F85" i="58"/>
  <c r="E85" i="58"/>
  <c r="F84" i="58"/>
  <c r="E84" i="58"/>
  <c r="E21" i="55"/>
  <c r="F105" i="55"/>
  <c r="H13" i="71" l="1"/>
  <c r="J86" i="58"/>
  <c r="J85" i="58"/>
  <c r="J309" i="58"/>
  <c r="E725" i="58"/>
  <c r="J874" i="58"/>
  <c r="J867" i="58"/>
  <c r="J88" i="58"/>
  <c r="J522" i="58"/>
  <c r="J493" i="58"/>
  <c r="J308" i="58"/>
  <c r="J310" i="58"/>
  <c r="J311" i="58"/>
  <c r="J87" i="58"/>
  <c r="J84" i="58"/>
  <c r="J89" i="58"/>
  <c r="M150" i="54"/>
  <c r="M149" i="54"/>
  <c r="M264" i="54"/>
  <c r="I265" i="54"/>
  <c r="H265" i="54"/>
  <c r="G265" i="54"/>
  <c r="M98" i="54"/>
  <c r="F98" i="54"/>
  <c r="E98" i="54"/>
  <c r="M97" i="54"/>
  <c r="F97" i="54"/>
  <c r="E97" i="54"/>
  <c r="M96" i="54"/>
  <c r="F96" i="54"/>
  <c r="E96" i="54"/>
  <c r="K97" i="54" l="1"/>
  <c r="K98" i="54"/>
  <c r="J264" i="54"/>
  <c r="K264" i="54"/>
  <c r="K96" i="54"/>
  <c r="J98" i="54"/>
  <c r="J96" i="54"/>
  <c r="J97" i="54"/>
  <c r="K60" i="55" l="1"/>
  <c r="N264" i="54"/>
  <c r="N97" i="54"/>
  <c r="N96" i="54"/>
  <c r="N98" i="54"/>
  <c r="D64" i="87" l="1"/>
  <c r="D61" i="87"/>
  <c r="D58" i="87" l="1"/>
  <c r="D57" i="87"/>
  <c r="D56" i="87"/>
  <c r="E205" i="86"/>
  <c r="E80" i="66" l="1"/>
  <c r="F80" i="66" s="1"/>
  <c r="G80" i="66" s="1"/>
  <c r="H80" i="66" s="1"/>
  <c r="I80" i="66" s="1"/>
  <c r="J80" i="66" s="1"/>
  <c r="K80" i="66" s="1"/>
  <c r="L80" i="66" s="1"/>
  <c r="M80" i="66" s="1"/>
  <c r="N80" i="66" s="1"/>
  <c r="M32" i="86" l="1"/>
  <c r="E32" i="86"/>
  <c r="M84" i="60" l="1"/>
  <c r="K84" i="60" s="1"/>
  <c r="F84" i="60"/>
  <c r="E84" i="60"/>
  <c r="M83" i="60"/>
  <c r="K83" i="60" s="1"/>
  <c r="N83" i="60" s="1"/>
  <c r="F83" i="60"/>
  <c r="E83" i="60"/>
  <c r="W346" i="93"/>
  <c r="W345" i="93"/>
  <c r="W343" i="93"/>
  <c r="W342" i="93"/>
  <c r="W341" i="93"/>
  <c r="W340" i="93"/>
  <c r="W339" i="93"/>
  <c r="W338" i="93"/>
  <c r="W337" i="93"/>
  <c r="W336" i="93"/>
  <c r="W335" i="93"/>
  <c r="W334" i="93"/>
  <c r="W333" i="93"/>
  <c r="W321" i="93"/>
  <c r="W317" i="93"/>
  <c r="W316" i="93"/>
  <c r="W315" i="93"/>
  <c r="W314" i="93"/>
  <c r="W313" i="93"/>
  <c r="W312" i="93"/>
  <c r="W311" i="93"/>
  <c r="W310" i="93"/>
  <c r="W301" i="93"/>
  <c r="W300" i="93"/>
  <c r="W299" i="93"/>
  <c r="W298" i="93"/>
  <c r="W297" i="93"/>
  <c r="W296" i="93"/>
  <c r="W295" i="93"/>
  <c r="W294" i="93"/>
  <c r="W293" i="93"/>
  <c r="W292" i="93"/>
  <c r="W290" i="93"/>
  <c r="W289" i="93"/>
  <c r="W288" i="93"/>
  <c r="W287" i="93"/>
  <c r="W286" i="93"/>
  <c r="W285" i="93"/>
  <c r="W284" i="93"/>
  <c r="W283" i="93"/>
  <c r="W282" i="93"/>
  <c r="W281" i="93"/>
  <c r="W280" i="93"/>
  <c r="W279" i="93"/>
  <c r="W278" i="93"/>
  <c r="W277" i="93"/>
  <c r="W275" i="93"/>
  <c r="W274" i="93"/>
  <c r="W273" i="93"/>
  <c r="W272" i="93"/>
  <c r="W271" i="93"/>
  <c r="W270" i="93"/>
  <c r="W269" i="93"/>
  <c r="W268" i="93"/>
  <c r="W267" i="93"/>
  <c r="W266" i="93"/>
  <c r="W265" i="93"/>
  <c r="W264" i="93"/>
  <c r="W263" i="93"/>
  <c r="W262" i="93"/>
  <c r="W261" i="93"/>
  <c r="W260" i="93"/>
  <c r="W259" i="93"/>
  <c r="W258" i="93"/>
  <c r="W257" i="93"/>
  <c r="W256" i="93"/>
  <c r="W255" i="93"/>
  <c r="W253" i="93"/>
  <c r="W252" i="93"/>
  <c r="W251" i="93"/>
  <c r="W250" i="93"/>
  <c r="W249" i="93"/>
  <c r="W248" i="93"/>
  <c r="W247" i="93"/>
  <c r="W246" i="93"/>
  <c r="W245" i="93"/>
  <c r="W244" i="93"/>
  <c r="W243" i="93"/>
  <c r="W242" i="93"/>
  <c r="W241" i="93"/>
  <c r="W240" i="93"/>
  <c r="W239" i="93"/>
  <c r="W238" i="93"/>
  <c r="W237" i="93"/>
  <c r="W236" i="93"/>
  <c r="W235" i="93"/>
  <c r="W234" i="93"/>
  <c r="W233" i="93"/>
  <c r="W232" i="93"/>
  <c r="W231" i="93"/>
  <c r="W230" i="93"/>
  <c r="W229" i="93"/>
  <c r="W228" i="93"/>
  <c r="W227" i="93"/>
  <c r="W226" i="93"/>
  <c r="W225" i="93"/>
  <c r="W223" i="93"/>
  <c r="W222" i="93"/>
  <c r="W221" i="93"/>
  <c r="W220" i="93"/>
  <c r="W219" i="93"/>
  <c r="W218" i="93"/>
  <c r="W217" i="93"/>
  <c r="W216" i="93"/>
  <c r="W215" i="93"/>
  <c r="W214" i="93"/>
  <c r="W213" i="93"/>
  <c r="W212" i="93"/>
  <c r="W211" i="93"/>
  <c r="W210" i="93"/>
  <c r="W209" i="93"/>
  <c r="W208" i="93"/>
  <c r="W207" i="93"/>
  <c r="W206" i="93"/>
  <c r="W205" i="93"/>
  <c r="W204" i="93"/>
  <c r="W203" i="93"/>
  <c r="W202" i="93"/>
  <c r="W201" i="93"/>
  <c r="W200" i="93"/>
  <c r="W199" i="93"/>
  <c r="W198" i="93"/>
  <c r="W196" i="93"/>
  <c r="W195" i="93"/>
  <c r="W194" i="93"/>
  <c r="W193" i="93"/>
  <c r="W192" i="93"/>
  <c r="W191" i="93"/>
  <c r="W190" i="93"/>
  <c r="W189" i="93"/>
  <c r="W188" i="93"/>
  <c r="W184" i="93"/>
  <c r="W187" i="93"/>
  <c r="W186" i="93"/>
  <c r="W185" i="93"/>
  <c r="W183" i="93"/>
  <c r="W182" i="93"/>
  <c r="W181" i="93"/>
  <c r="W180" i="93"/>
  <c r="W179" i="93"/>
  <c r="W178" i="93"/>
  <c r="W177" i="93"/>
  <c r="W176" i="93"/>
  <c r="W175" i="93"/>
  <c r="J84" i="60" l="1"/>
  <c r="N84" i="60" s="1"/>
  <c r="J83" i="60"/>
  <c r="W325" i="86" l="1"/>
  <c r="W324" i="86"/>
  <c r="W323" i="86"/>
  <c r="W322" i="86"/>
  <c r="W321" i="86"/>
  <c r="W320" i="86"/>
  <c r="W319" i="86"/>
  <c r="W318" i="86"/>
  <c r="W311" i="86"/>
  <c r="W310" i="86"/>
  <c r="W301" i="86"/>
  <c r="W300" i="86"/>
  <c r="W299" i="86"/>
  <c r="W298" i="86"/>
  <c r="W297" i="86"/>
  <c r="W295" i="86"/>
  <c r="W294" i="86"/>
  <c r="W290" i="86"/>
  <c r="W293" i="86"/>
  <c r="W292" i="86"/>
  <c r="W291" i="86"/>
  <c r="W289" i="86"/>
  <c r="W288" i="86"/>
  <c r="W287" i="86"/>
  <c r="W286" i="86"/>
  <c r="W285" i="86"/>
  <c r="W284" i="86"/>
  <c r="W283" i="86"/>
  <c r="W282" i="86"/>
  <c r="W281" i="86"/>
  <c r="W280" i="86"/>
  <c r="W279" i="86"/>
  <c r="W277" i="86"/>
  <c r="W276" i="86"/>
  <c r="W273" i="86"/>
  <c r="W275" i="86"/>
  <c r="W274" i="86"/>
  <c r="W272" i="86"/>
  <c r="W271" i="86"/>
  <c r="W270" i="86"/>
  <c r="W269" i="86"/>
  <c r="W268" i="86"/>
  <c r="W267" i="86"/>
  <c r="W266" i="86"/>
  <c r="W265" i="86"/>
  <c r="W264" i="86"/>
  <c r="W263" i="86"/>
  <c r="W262" i="86"/>
  <c r="W261" i="86"/>
  <c r="W260" i="86"/>
  <c r="W259" i="86"/>
  <c r="W258" i="86"/>
  <c r="W257" i="86"/>
  <c r="W254" i="86"/>
  <c r="W256" i="86"/>
  <c r="W255" i="86"/>
  <c r="W253" i="86"/>
  <c r="W252" i="86"/>
  <c r="W251" i="86"/>
  <c r="W250" i="86"/>
  <c r="W249" i="86"/>
  <c r="W248" i="86"/>
  <c r="W247" i="86"/>
  <c r="W246" i="86"/>
  <c r="W245" i="86"/>
  <c r="W244" i="86"/>
  <c r="W243" i="86"/>
  <c r="W242" i="86"/>
  <c r="W241" i="86"/>
  <c r="W240" i="86"/>
  <c r="W237" i="86"/>
  <c r="W235" i="86"/>
  <c r="W234" i="86"/>
  <c r="W233" i="86"/>
  <c r="W232" i="86"/>
  <c r="W231" i="86"/>
  <c r="W230" i="86"/>
  <c r="W229" i="86"/>
  <c r="W228" i="86"/>
  <c r="W227" i="86"/>
  <c r="W226" i="86"/>
  <c r="W225" i="86"/>
  <c r="W224" i="86"/>
  <c r="W223" i="86"/>
  <c r="W222" i="86"/>
  <c r="W221" i="86"/>
  <c r="W220" i="86"/>
  <c r="W219" i="86"/>
  <c r="W218" i="86"/>
  <c r="W217" i="86"/>
  <c r="W216" i="86"/>
  <c r="W215" i="86"/>
  <c r="W214" i="86"/>
  <c r="W213" i="86"/>
  <c r="W212" i="86"/>
  <c r="W211" i="86"/>
  <c r="W210" i="86"/>
  <c r="W209" i="86"/>
  <c r="W206" i="86"/>
  <c r="W205" i="86"/>
  <c r="W204" i="86"/>
  <c r="W203" i="86"/>
  <c r="D8" i="91"/>
  <c r="Z1021" i="58" l="1"/>
  <c r="Z1020" i="58"/>
  <c r="Z1018" i="58"/>
  <c r="Z1003" i="58"/>
  <c r="Z1001" i="58"/>
  <c r="Z1000" i="58"/>
  <c r="Z998" i="58"/>
  <c r="Z996" i="58"/>
  <c r="Z987" i="58"/>
  <c r="Z926" i="58"/>
  <c r="Z881" i="58"/>
  <c r="Z880" i="58"/>
  <c r="Z858" i="58"/>
  <c r="Z846" i="58"/>
  <c r="Z795" i="58"/>
  <c r="Z774" i="58"/>
  <c r="Z773" i="58"/>
  <c r="Z772" i="58"/>
  <c r="Z771" i="58"/>
  <c r="Z769" i="58"/>
  <c r="Z750" i="58"/>
  <c r="Z747" i="58"/>
  <c r="Z746" i="58"/>
  <c r="Z745" i="58"/>
  <c r="Z743" i="58"/>
  <c r="Z731" i="58"/>
  <c r="Z730" i="58"/>
  <c r="Z729" i="58"/>
  <c r="Z728" i="58"/>
  <c r="Z726" i="58"/>
  <c r="Z722" i="58"/>
  <c r="Z721" i="58"/>
  <c r="Z720" i="58"/>
  <c r="Z718" i="58"/>
  <c r="Z693" i="58"/>
  <c r="Z692" i="58"/>
  <c r="Z687" i="58"/>
  <c r="Z685" i="58"/>
  <c r="Z675" i="58"/>
  <c r="Z673" i="58"/>
  <c r="Z672" i="58"/>
  <c r="Z670" i="58"/>
  <c r="Z667" i="58"/>
  <c r="Z664" i="58"/>
  <c r="Z663" i="58"/>
  <c r="Z660" i="58"/>
  <c r="Z658" i="58"/>
  <c r="Z656" i="58"/>
  <c r="Z645" i="58"/>
  <c r="Z637" i="58"/>
  <c r="Z626" i="58"/>
  <c r="Z625" i="58"/>
  <c r="Z624" i="58"/>
  <c r="Z609" i="58"/>
  <c r="Z607" i="58"/>
  <c r="Z584" i="58"/>
  <c r="Z583" i="58"/>
  <c r="Z582" i="58"/>
  <c r="Z579" i="58"/>
  <c r="Z577" i="58"/>
  <c r="Z573" i="58"/>
  <c r="Z564" i="58"/>
  <c r="Z563" i="58"/>
  <c r="Z552" i="58"/>
  <c r="Z543" i="58"/>
  <c r="Z518" i="58"/>
  <c r="Z516" i="58"/>
  <c r="Z507" i="58"/>
  <c r="Z477" i="58"/>
  <c r="Z474" i="58"/>
  <c r="Z471" i="58"/>
  <c r="Z467" i="58"/>
  <c r="Z463" i="58"/>
  <c r="Z459" i="58"/>
  <c r="AC503" i="54" l="1"/>
  <c r="AC499" i="54"/>
  <c r="AC498" i="54"/>
  <c r="AC497" i="54"/>
  <c r="AC495" i="54"/>
  <c r="AC490" i="54"/>
  <c r="AC489" i="54"/>
  <c r="AC487" i="54"/>
  <c r="AC486" i="54"/>
  <c r="AC485" i="54"/>
  <c r="AC483" i="54"/>
  <c r="AC480" i="54"/>
  <c r="AC466" i="54"/>
  <c r="AC465" i="54"/>
  <c r="AC460" i="54"/>
  <c r="AC458" i="54"/>
  <c r="AC426" i="54"/>
  <c r="AC425" i="54"/>
  <c r="AC424" i="54"/>
  <c r="AC423" i="54"/>
  <c r="AC422" i="54"/>
  <c r="AC421" i="54"/>
  <c r="AC420" i="54"/>
  <c r="AC418" i="54"/>
  <c r="AC410" i="54"/>
  <c r="AC405" i="54"/>
  <c r="AC404" i="54"/>
  <c r="AC403" i="54"/>
  <c r="AC401" i="54"/>
  <c r="AC400" i="54"/>
  <c r="AC398" i="54"/>
  <c r="AC388" i="54"/>
  <c r="AC386" i="54"/>
  <c r="AC382" i="54"/>
  <c r="AC381" i="54"/>
  <c r="AC380" i="54"/>
  <c r="AC379" i="54"/>
  <c r="AC378" i="54"/>
  <c r="AC377" i="54"/>
  <c r="AC376" i="54"/>
  <c r="AC375" i="54"/>
  <c r="AC374" i="54"/>
  <c r="AC373" i="54"/>
  <c r="AC372" i="54"/>
  <c r="AC371" i="54"/>
  <c r="AC369" i="54"/>
  <c r="AC367" i="54"/>
  <c r="AC365" i="54"/>
  <c r="AC358" i="54"/>
  <c r="AC344" i="54"/>
  <c r="AC341" i="54"/>
  <c r="AC334" i="54"/>
  <c r="AC330" i="54"/>
  <c r="AC327" i="54"/>
  <c r="AC323" i="54"/>
  <c r="AC319" i="54"/>
  <c r="AC316" i="54"/>
  <c r="AB998" i="2" l="1"/>
  <c r="AB997" i="2"/>
  <c r="AB991" i="2"/>
  <c r="AB990" i="2"/>
  <c r="AB989" i="2"/>
  <c r="AB988" i="2"/>
  <c r="AB986" i="2"/>
  <c r="AB983" i="2"/>
  <c r="AB982" i="2"/>
  <c r="AB981" i="2"/>
  <c r="AB980" i="2"/>
  <c r="AB979" i="2"/>
  <c r="AB978" i="2"/>
  <c r="AB976" i="2"/>
  <c r="AB950" i="2"/>
  <c r="AB949" i="2"/>
  <c r="AB948" i="2"/>
  <c r="AB934" i="2"/>
  <c r="AB927" i="2"/>
  <c r="AB926" i="2"/>
  <c r="AB925" i="2"/>
  <c r="AB924" i="2"/>
  <c r="AB923" i="2"/>
  <c r="AB922" i="2"/>
  <c r="AB921" i="2"/>
  <c r="AB920" i="2"/>
  <c r="AB918" i="2"/>
  <c r="AB911" i="2"/>
  <c r="AB909" i="2"/>
  <c r="AB885" i="2"/>
  <c r="AB884" i="2"/>
  <c r="AB883" i="2"/>
  <c r="AB875" i="2"/>
  <c r="AB874" i="2"/>
  <c r="AB873" i="2"/>
  <c r="AB872" i="2"/>
  <c r="AB870" i="2"/>
  <c r="AB869" i="2"/>
  <c r="AB868" i="2"/>
  <c r="AB867" i="2"/>
  <c r="AB860" i="2"/>
  <c r="AB859" i="2"/>
  <c r="AB858" i="2"/>
  <c r="AB857" i="2"/>
  <c r="AB854" i="2"/>
  <c r="AB853" i="2"/>
  <c r="AB851" i="2"/>
  <c r="AB815" i="2"/>
  <c r="AB803" i="2"/>
  <c r="AB796" i="2"/>
  <c r="AB783" i="2"/>
  <c r="AB782" i="2"/>
  <c r="AB756" i="2"/>
  <c r="AB754" i="2"/>
  <c r="AB750" i="2"/>
  <c r="AB747" i="2"/>
  <c r="AB745" i="2"/>
  <c r="AB744" i="2"/>
  <c r="AB731" i="2"/>
  <c r="AB726" i="2"/>
  <c r="AB722" i="2"/>
  <c r="AB716" i="2"/>
  <c r="AB715" i="2"/>
  <c r="AB714" i="2"/>
  <c r="AB713" i="2"/>
  <c r="AB710" i="2"/>
  <c r="AB709" i="2"/>
  <c r="AB707" i="2"/>
  <c r="AB705" i="2"/>
  <c r="AB691" i="2"/>
  <c r="AB685" i="2"/>
  <c r="AB684" i="2"/>
  <c r="AB661" i="2"/>
  <c r="AB660" i="2"/>
  <c r="AB658" i="2"/>
  <c r="AB634" i="2"/>
  <c r="AB633" i="2"/>
  <c r="AB631" i="2"/>
  <c r="AB628" i="2"/>
  <c r="AB627" i="2"/>
  <c r="AB626" i="2"/>
  <c r="AB625" i="2"/>
  <c r="AB624" i="2"/>
  <c r="AB623" i="2"/>
  <c r="AB622" i="2"/>
  <c r="AB621" i="2"/>
  <c r="AB620" i="2"/>
  <c r="AB619" i="2"/>
  <c r="AB617" i="2"/>
  <c r="AB596" i="2"/>
  <c r="AB594" i="2"/>
  <c r="AB586" i="2"/>
  <c r="AB562" i="2"/>
  <c r="AB561" i="2"/>
  <c r="AB560" i="2"/>
  <c r="AB559" i="2"/>
  <c r="AB558" i="2"/>
  <c r="AB557" i="2"/>
  <c r="AB555" i="2"/>
  <c r="AB552" i="2"/>
  <c r="AB549" i="2"/>
  <c r="AB545" i="2"/>
  <c r="AB539" i="2"/>
  <c r="AB535" i="2"/>
  <c r="AB532" i="2"/>
  <c r="E290" i="86" l="1"/>
  <c r="D59" i="87"/>
  <c r="D55" i="87"/>
  <c r="D100" i="66"/>
  <c r="D53" i="87" l="1"/>
  <c r="D52" i="87"/>
  <c r="D51" i="87"/>
  <c r="D49" i="87"/>
  <c r="E254" i="86"/>
  <c r="E273" i="86"/>
  <c r="H209" i="87" s="1"/>
  <c r="D48" i="87"/>
  <c r="E141" i="86" l="1"/>
  <c r="D101" i="66" l="1"/>
  <c r="D96" i="66" l="1"/>
  <c r="D102" i="66" s="1"/>
  <c r="K729" i="2" l="1"/>
  <c r="F729" i="2"/>
  <c r="E60" i="66" l="1"/>
  <c r="D67" i="66" l="1"/>
  <c r="N69" i="66"/>
  <c r="M69" i="66"/>
  <c r="K69" i="66"/>
  <c r="J69" i="66"/>
  <c r="H69" i="66"/>
  <c r="G69" i="66"/>
  <c r="F69" i="66"/>
  <c r="E69" i="66"/>
  <c r="D64" i="66"/>
  <c r="D59" i="66"/>
  <c r="E18" i="66" l="1"/>
  <c r="F18" i="66" s="1"/>
  <c r="G18" i="66" s="1"/>
  <c r="H18" i="66" s="1"/>
  <c r="I18" i="66" s="1"/>
  <c r="J18" i="66" s="1"/>
  <c r="K18" i="66" s="1"/>
  <c r="L18" i="66" s="1"/>
  <c r="E25" i="66"/>
  <c r="E28" i="66"/>
  <c r="D53" i="66"/>
  <c r="AA1004" i="2" l="1"/>
  <c r="C171" i="89" l="1"/>
  <c r="C172" i="89" s="1"/>
  <c r="I595" i="2" l="1"/>
  <c r="H595" i="2"/>
  <c r="G595" i="2"/>
  <c r="I523" i="2"/>
  <c r="H523" i="2"/>
  <c r="G523" i="2"/>
  <c r="I505" i="2"/>
  <c r="H505" i="2"/>
  <c r="G505" i="2"/>
  <c r="I188" i="2"/>
  <c r="H188" i="2"/>
  <c r="G188" i="2"/>
  <c r="I180" i="2"/>
  <c r="H180" i="2"/>
  <c r="G180" i="2"/>
  <c r="I169" i="2"/>
  <c r="H169" i="2"/>
  <c r="G169" i="2"/>
  <c r="I153" i="2"/>
  <c r="H153" i="2"/>
  <c r="G153" i="2"/>
  <c r="I75" i="2"/>
  <c r="H75" i="2"/>
  <c r="G75" i="2"/>
  <c r="I10" i="2"/>
  <c r="H10" i="2"/>
  <c r="G10" i="2"/>
  <c r="I22" i="2"/>
  <c r="H22" i="2"/>
  <c r="G22" i="2"/>
  <c r="I13" i="67"/>
  <c r="I12" i="67"/>
  <c r="H182" i="2" l="1"/>
  <c r="I182" i="2"/>
  <c r="G182" i="2"/>
  <c r="K334" i="2" l="1"/>
  <c r="K333" i="2"/>
  <c r="K332" i="2"/>
  <c r="K331" i="2"/>
  <c r="K330" i="2"/>
  <c r="K329" i="2"/>
  <c r="K328" i="2"/>
  <c r="K327" i="2"/>
  <c r="K326" i="2"/>
  <c r="K325" i="2"/>
  <c r="K324" i="2"/>
  <c r="K178" i="2"/>
  <c r="K177" i="2"/>
  <c r="D79" i="66" l="1"/>
  <c r="E79" i="66" s="1"/>
  <c r="F79" i="66" s="1"/>
  <c r="G79" i="66" s="1"/>
  <c r="H79" i="66" s="1"/>
  <c r="I79" i="66" s="1"/>
  <c r="J79" i="66" s="1"/>
  <c r="K79" i="66" s="1"/>
  <c r="L79" i="66" s="1"/>
  <c r="M79" i="66" s="1"/>
  <c r="N79" i="66" s="1"/>
  <c r="K82" i="2" l="1"/>
  <c r="I123" i="2"/>
  <c r="H123" i="2"/>
  <c r="G123" i="2"/>
  <c r="D69" i="66"/>
  <c r="C69" i="66"/>
  <c r="K118" i="2" l="1"/>
  <c r="M985" i="2" l="1"/>
  <c r="M630" i="2"/>
  <c r="I638" i="6"/>
  <c r="I637" i="6"/>
  <c r="I636" i="6"/>
  <c r="I635" i="6"/>
  <c r="I634" i="6"/>
  <c r="I633" i="6"/>
  <c r="I632" i="6"/>
  <c r="I631" i="6"/>
  <c r="I630" i="6"/>
  <c r="I629" i="6"/>
  <c r="I628" i="6"/>
  <c r="I627" i="6"/>
  <c r="I626" i="6"/>
  <c r="I625" i="6"/>
  <c r="I624" i="6" l="1"/>
  <c r="M659" i="2"/>
  <c r="M618" i="2"/>
  <c r="D7" i="91" l="1"/>
  <c r="E116" i="66"/>
  <c r="F116" i="66" s="1"/>
  <c r="D112" i="66"/>
  <c r="C117" i="66"/>
  <c r="G117" i="66"/>
  <c r="H117" i="66"/>
  <c r="I117" i="66"/>
  <c r="J117" i="66"/>
  <c r="K117" i="66"/>
  <c r="L117" i="66"/>
  <c r="M117" i="66"/>
  <c r="N117" i="66"/>
  <c r="D115" i="66"/>
  <c r="E115" i="66" s="1"/>
  <c r="D114" i="66"/>
  <c r="E114" i="66" s="1"/>
  <c r="F114" i="66" l="1"/>
  <c r="F117" i="66" s="1"/>
  <c r="E117" i="66"/>
  <c r="D117" i="66"/>
  <c r="D135" i="66" l="1"/>
  <c r="D133" i="66"/>
  <c r="D131" i="66"/>
  <c r="D122" i="66"/>
  <c r="B44" i="67"/>
  <c r="C6" i="89"/>
  <c r="E155" i="66"/>
  <c r="B155" i="66"/>
  <c r="E133" i="66" l="1"/>
  <c r="E135" i="66"/>
  <c r="D123" i="66"/>
  <c r="E123" i="66" l="1"/>
  <c r="C136" i="66"/>
  <c r="C102" i="66" l="1"/>
  <c r="E322" i="86"/>
  <c r="H218" i="87" s="1"/>
  <c r="E321" i="86"/>
  <c r="E294" i="86"/>
  <c r="E293" i="86"/>
  <c r="E292" i="86"/>
  <c r="E291" i="86"/>
  <c r="E289" i="86"/>
  <c r="E299" i="86"/>
  <c r="E281" i="86"/>
  <c r="E276" i="86"/>
  <c r="E275" i="86"/>
  <c r="E274" i="86"/>
  <c r="E272" i="86"/>
  <c r="E257" i="86"/>
  <c r="E256" i="86"/>
  <c r="E255" i="86"/>
  <c r="E253" i="86"/>
  <c r="E264" i="86"/>
  <c r="E235" i="86"/>
  <c r="H211" i="87" s="1"/>
  <c r="E232" i="86"/>
  <c r="H212" i="87" s="1"/>
  <c r="E231" i="86"/>
  <c r="H213" i="87" s="1"/>
  <c r="E230" i="86"/>
  <c r="E190" i="86"/>
  <c r="E191" i="86"/>
  <c r="E182" i="86"/>
  <c r="E171" i="86"/>
  <c r="H216" i="87" l="1"/>
  <c r="H215" i="87"/>
  <c r="H217" i="87"/>
  <c r="H205" i="87"/>
  <c r="H210" i="87"/>
  <c r="H207" i="87"/>
  <c r="H214" i="87"/>
  <c r="H204" i="87"/>
  <c r="H206" i="87"/>
  <c r="H208" i="87"/>
  <c r="H200" i="87"/>
  <c r="H202" i="87"/>
  <c r="H203" i="87"/>
  <c r="H199" i="87"/>
  <c r="H198" i="87"/>
  <c r="H201" i="87"/>
  <c r="H195" i="87"/>
  <c r="H197" i="87"/>
  <c r="H196" i="87"/>
  <c r="H192" i="87"/>
  <c r="H190" i="87"/>
  <c r="H189" i="87"/>
  <c r="E48" i="55"/>
  <c r="D161" i="66"/>
  <c r="E544" i="58" l="1"/>
  <c r="E546" i="58"/>
  <c r="E547" i="58"/>
  <c r="E548" i="58"/>
  <c r="E549" i="58"/>
  <c r="E550" i="58"/>
  <c r="E553" i="58"/>
  <c r="E554" i="58"/>
  <c r="E542" i="58"/>
  <c r="E541" i="58"/>
  <c r="E540" i="58"/>
  <c r="E539" i="58"/>
  <c r="E538" i="58"/>
  <c r="E536" i="58"/>
  <c r="E535" i="58"/>
  <c r="E533" i="58"/>
  <c r="E532" i="58"/>
  <c r="E531" i="58"/>
  <c r="E530" i="58"/>
  <c r="E529" i="58"/>
  <c r="E528" i="58"/>
  <c r="E527" i="58"/>
  <c r="E524" i="58"/>
  <c r="E523" i="58"/>
  <c r="E521" i="58"/>
  <c r="E520" i="58"/>
  <c r="E519" i="58"/>
  <c r="E517" i="58"/>
  <c r="E512" i="58"/>
  <c r="E511" i="58"/>
  <c r="E510" i="58"/>
  <c r="E509" i="58"/>
  <c r="E508" i="58"/>
  <c r="E506" i="58"/>
  <c r="E505" i="58"/>
  <c r="E504" i="58"/>
  <c r="E503" i="58"/>
  <c r="E502" i="58"/>
  <c r="E501" i="58"/>
  <c r="E500" i="58"/>
  <c r="E499" i="58"/>
  <c r="E498" i="58"/>
  <c r="E497" i="58"/>
  <c r="E496" i="58"/>
  <c r="E495" i="58"/>
  <c r="E494" i="58"/>
  <c r="E492" i="58"/>
  <c r="E491" i="58"/>
  <c r="E490" i="58"/>
  <c r="E489" i="58"/>
  <c r="E622" i="58"/>
  <c r="H8" i="71" s="1"/>
  <c r="E621" i="58"/>
  <c r="E620" i="58"/>
  <c r="E619" i="58"/>
  <c r="E618" i="58"/>
  <c r="E617" i="58"/>
  <c r="E616" i="58"/>
  <c r="E615" i="58"/>
  <c r="E614" i="58"/>
  <c r="E613" i="58"/>
  <c r="E612" i="58"/>
  <c r="E611" i="58"/>
  <c r="E610" i="58"/>
  <c r="E608" i="58"/>
  <c r="E580" i="58"/>
  <c r="E578" i="58"/>
  <c r="E488" i="58"/>
  <c r="E1029" i="58"/>
  <c r="E1028" i="58"/>
  <c r="E1027" i="58"/>
  <c r="E1026" i="58"/>
  <c r="E1025" i="58"/>
  <c r="H710" i="32" s="1"/>
  <c r="E1024" i="58"/>
  <c r="E1023" i="58"/>
  <c r="E1022" i="58"/>
  <c r="E1017" i="58"/>
  <c r="E1016" i="58"/>
  <c r="E1012" i="58"/>
  <c r="H724" i="32" s="1"/>
  <c r="E1006" i="58"/>
  <c r="E1004" i="58"/>
  <c r="E972" i="58"/>
  <c r="E971" i="58"/>
  <c r="E970" i="58"/>
  <c r="E969" i="58"/>
  <c r="E968" i="58"/>
  <c r="E967" i="58"/>
  <c r="E913" i="58"/>
  <c r="E912" i="58"/>
  <c r="E911" i="58"/>
  <c r="E910" i="58"/>
  <c r="E909" i="58"/>
  <c r="E908" i="58"/>
  <c r="E907" i="58"/>
  <c r="E906" i="58"/>
  <c r="E905" i="58"/>
  <c r="E904" i="58"/>
  <c r="E903" i="58"/>
  <c r="E914" i="58"/>
  <c r="E901" i="58"/>
  <c r="E900" i="58"/>
  <c r="E899" i="58"/>
  <c r="E897" i="58"/>
  <c r="E896" i="58"/>
  <c r="E895" i="58"/>
  <c r="E894" i="58"/>
  <c r="E893" i="58"/>
  <c r="E892" i="58"/>
  <c r="E891" i="58"/>
  <c r="E890" i="58"/>
  <c r="E889" i="58"/>
  <c r="E888" i="58"/>
  <c r="E887" i="58"/>
  <c r="E886" i="58"/>
  <c r="E885" i="58"/>
  <c r="E884" i="58"/>
  <c r="E839" i="58"/>
  <c r="E857" i="58"/>
  <c r="E873" i="58"/>
  <c r="E871" i="58"/>
  <c r="E869" i="58"/>
  <c r="E868" i="58"/>
  <c r="E856" i="58"/>
  <c r="E855" i="58"/>
  <c r="E854" i="58"/>
  <c r="E883" i="58"/>
  <c r="E882" i="58"/>
  <c r="E881" i="58"/>
  <c r="E880" i="58"/>
  <c r="E879" i="58"/>
  <c r="E878" i="58"/>
  <c r="E858" i="58"/>
  <c r="E877" i="58"/>
  <c r="E876" i="58"/>
  <c r="E875" i="58"/>
  <c r="E866" i="58"/>
  <c r="E865" i="58"/>
  <c r="E861" i="58"/>
  <c r="E864" i="58"/>
  <c r="E863" i="58"/>
  <c r="E860" i="58"/>
  <c r="E859" i="58"/>
  <c r="E853" i="58"/>
  <c r="E845" i="58"/>
  <c r="E842" i="58"/>
  <c r="E841" i="58"/>
  <c r="E840" i="58"/>
  <c r="E837" i="58"/>
  <c r="E836" i="58"/>
  <c r="E973" i="58"/>
  <c r="E833" i="58"/>
  <c r="E832" i="58"/>
  <c r="E831" i="58"/>
  <c r="E830" i="58"/>
  <c r="E829" i="58"/>
  <c r="E828" i="58"/>
  <c r="E811" i="58"/>
  <c r="E810" i="58"/>
  <c r="E827" i="58"/>
  <c r="E898" i="58"/>
  <c r="E802" i="58"/>
  <c r="E797" i="58"/>
  <c r="E785" i="58"/>
  <c r="E784" i="58"/>
  <c r="E783" i="58"/>
  <c r="E826" i="58"/>
  <c r="E825" i="58"/>
  <c r="E824" i="58"/>
  <c r="E823" i="58"/>
  <c r="E822" i="58"/>
  <c r="E821" i="58"/>
  <c r="E820" i="58"/>
  <c r="E819" i="58"/>
  <c r="E818" i="58"/>
  <c r="E817" i="58"/>
  <c r="E816" i="58"/>
  <c r="E815" i="58"/>
  <c r="E814" i="58"/>
  <c r="E813" i="58"/>
  <c r="E812" i="58"/>
  <c r="E803" i="58"/>
  <c r="E809" i="58"/>
  <c r="E808" i="58"/>
  <c r="E807" i="58"/>
  <c r="E806" i="58"/>
  <c r="E801" i="58"/>
  <c r="E805" i="58"/>
  <c r="E804" i="58"/>
  <c r="E800" i="58"/>
  <c r="E788" i="58"/>
  <c r="E787" i="58"/>
  <c r="E786" i="58"/>
  <c r="E782" i="58"/>
  <c r="E781" i="58"/>
  <c r="E799" i="58"/>
  <c r="E798" i="58"/>
  <c r="E796" i="58"/>
  <c r="E795" i="58"/>
  <c r="J795" i="58" s="1"/>
  <c r="E794" i="58"/>
  <c r="E793" i="58"/>
  <c r="E792" i="58"/>
  <c r="E791" i="58"/>
  <c r="E790" i="58"/>
  <c r="E789" i="58"/>
  <c r="E780" i="58"/>
  <c r="E779" i="58"/>
  <c r="E777" i="58"/>
  <c r="E776" i="58"/>
  <c r="E775" i="58"/>
  <c r="E744" i="58"/>
  <c r="E742" i="58"/>
  <c r="E741" i="58"/>
  <c r="E740" i="58"/>
  <c r="E739" i="58"/>
  <c r="E738" i="58"/>
  <c r="E737" i="58"/>
  <c r="E736" i="58"/>
  <c r="E735" i="58"/>
  <c r="E734" i="58"/>
  <c r="E733" i="58"/>
  <c r="E732" i="58"/>
  <c r="E717" i="58"/>
  <c r="E716" i="58"/>
  <c r="E715" i="58"/>
  <c r="E714" i="58"/>
  <c r="E713" i="58"/>
  <c r="E712" i="58"/>
  <c r="E711" i="58"/>
  <c r="E710" i="58"/>
  <c r="E709" i="58"/>
  <c r="E708" i="58"/>
  <c r="E706" i="58"/>
  <c r="E705" i="58"/>
  <c r="E704" i="58"/>
  <c r="E703" i="58"/>
  <c r="E702" i="58"/>
  <c r="E701" i="58"/>
  <c r="E700" i="58"/>
  <c r="E699" i="58"/>
  <c r="E698" i="58"/>
  <c r="E697" i="58"/>
  <c r="E696" i="58"/>
  <c r="E695" i="58"/>
  <c r="E694" i="58"/>
  <c r="E669" i="58"/>
  <c r="E661" i="58"/>
  <c r="E665" i="58"/>
  <c r="E657" i="58"/>
  <c r="F686" i="58"/>
  <c r="E667" i="58"/>
  <c r="F879" i="58"/>
  <c r="F878" i="58"/>
  <c r="F858" i="58"/>
  <c r="F877" i="58"/>
  <c r="F750" i="58"/>
  <c r="E750" i="58"/>
  <c r="F314" i="58"/>
  <c r="E314" i="58"/>
  <c r="F313" i="58"/>
  <c r="E313" i="58"/>
  <c r="F312" i="58"/>
  <c r="E312" i="58"/>
  <c r="F99" i="58"/>
  <c r="E99" i="58"/>
  <c r="F98" i="58"/>
  <c r="E98" i="58"/>
  <c r="F97" i="58"/>
  <c r="E97" i="58"/>
  <c r="F96" i="58"/>
  <c r="E96" i="58"/>
  <c r="F95" i="58"/>
  <c r="E95" i="58"/>
  <c r="F94" i="58"/>
  <c r="E94" i="58"/>
  <c r="F93" i="58"/>
  <c r="E93" i="58"/>
  <c r="F92" i="58"/>
  <c r="E92" i="58"/>
  <c r="F91" i="58"/>
  <c r="E91" i="58"/>
  <c r="F90" i="58"/>
  <c r="E90" i="58"/>
  <c r="D203" i="66"/>
  <c r="H709" i="32" l="1"/>
  <c r="H719" i="32"/>
  <c r="H723" i="32"/>
  <c r="H717" i="32"/>
  <c r="H721" i="32"/>
  <c r="H718" i="32"/>
  <c r="H722" i="32"/>
  <c r="H708" i="32"/>
  <c r="H712" i="32"/>
  <c r="H707" i="32"/>
  <c r="H711" i="32"/>
  <c r="H702" i="32"/>
  <c r="H714" i="32"/>
  <c r="H701" i="32"/>
  <c r="H715" i="32"/>
  <c r="H716" i="32"/>
  <c r="H703" i="32"/>
  <c r="H713" i="32"/>
  <c r="H705" i="32"/>
  <c r="H697" i="32"/>
  <c r="H704" i="32"/>
  <c r="H700" i="32"/>
  <c r="H706" i="32"/>
  <c r="H698" i="32"/>
  <c r="H699" i="32"/>
  <c r="H635" i="32"/>
  <c r="H607" i="32"/>
  <c r="J878" i="58"/>
  <c r="J94" i="58"/>
  <c r="J877" i="58"/>
  <c r="J95" i="58"/>
  <c r="J879" i="58"/>
  <c r="J686" i="58"/>
  <c r="J858" i="58"/>
  <c r="J97" i="58"/>
  <c r="J750" i="58"/>
  <c r="J312" i="58"/>
  <c r="J313" i="58"/>
  <c r="J314" i="58"/>
  <c r="J93" i="58"/>
  <c r="J96" i="58"/>
  <c r="J92" i="58"/>
  <c r="J90" i="58"/>
  <c r="J98" i="58"/>
  <c r="J91" i="58"/>
  <c r="J99" i="58"/>
  <c r="M217" i="93"/>
  <c r="F217" i="93"/>
  <c r="E217" i="93"/>
  <c r="M316" i="93"/>
  <c r="F316" i="93"/>
  <c r="E316" i="93"/>
  <c r="M315" i="93"/>
  <c r="F315" i="93"/>
  <c r="E315" i="93"/>
  <c r="M225" i="93"/>
  <c r="K225" i="93" s="1"/>
  <c r="F225" i="93"/>
  <c r="E225" i="93"/>
  <c r="M261" i="93"/>
  <c r="K261" i="93" s="1"/>
  <c r="F261" i="93"/>
  <c r="E261" i="93"/>
  <c r="M165" i="93"/>
  <c r="K165" i="93" s="1"/>
  <c r="F165" i="93"/>
  <c r="E165" i="93"/>
  <c r="M110" i="93"/>
  <c r="K110" i="93" s="1"/>
  <c r="F110" i="93"/>
  <c r="E110" i="93"/>
  <c r="M109" i="93"/>
  <c r="K109" i="93" s="1"/>
  <c r="F109" i="93"/>
  <c r="E109" i="93"/>
  <c r="M108" i="93"/>
  <c r="K108" i="93" s="1"/>
  <c r="F108" i="93"/>
  <c r="E108" i="93"/>
  <c r="E321" i="93" l="1"/>
  <c r="M321" i="93"/>
  <c r="D42" i="95"/>
  <c r="G51" i="25" s="1"/>
  <c r="K315" i="93"/>
  <c r="H72" i="71"/>
  <c r="J217" i="93"/>
  <c r="J315" i="93"/>
  <c r="J316" i="93"/>
  <c r="J225" i="93"/>
  <c r="J261" i="93"/>
  <c r="J108" i="93"/>
  <c r="J109" i="93"/>
  <c r="N109" i="93" s="1"/>
  <c r="J110" i="93"/>
  <c r="J165" i="93"/>
  <c r="N108" i="93" l="1"/>
  <c r="L165" i="93"/>
  <c r="N110" i="93"/>
  <c r="N225" i="93"/>
  <c r="N261" i="93"/>
  <c r="N315" i="93"/>
  <c r="N165" i="93"/>
  <c r="C42" i="95"/>
  <c r="J146" i="66" l="1"/>
  <c r="K146" i="66" s="1"/>
  <c r="L146" i="66" s="1"/>
  <c r="M146" i="66" s="1"/>
  <c r="N146" i="66" s="1"/>
  <c r="O146" i="66" s="1"/>
  <c r="H146" i="66"/>
  <c r="I146" i="66" s="1"/>
  <c r="J145" i="66"/>
  <c r="K145" i="66" s="1"/>
  <c r="L145" i="66" s="1"/>
  <c r="M145" i="66" s="1"/>
  <c r="N145" i="66" s="1"/>
  <c r="O145" i="66" s="1"/>
  <c r="H145" i="66"/>
  <c r="I145" i="66" s="1"/>
  <c r="E146" i="66"/>
  <c r="F146" i="66" s="1"/>
  <c r="E145" i="66"/>
  <c r="E147" i="66"/>
  <c r="B147" i="66"/>
  <c r="C149" i="66"/>
  <c r="D165" i="66"/>
  <c r="C165" i="66"/>
  <c r="C31" i="89"/>
  <c r="C30" i="89"/>
  <c r="E329" i="54"/>
  <c r="E328" i="54"/>
  <c r="E368" i="54"/>
  <c r="H324" i="55" s="1"/>
  <c r="E366" i="54"/>
  <c r="E364" i="54"/>
  <c r="E363" i="54"/>
  <c r="H323" i="55" s="1"/>
  <c r="E362" i="54"/>
  <c r="E361" i="54"/>
  <c r="E360" i="54"/>
  <c r="E359" i="54"/>
  <c r="E357" i="54"/>
  <c r="E356" i="54"/>
  <c r="E355" i="54"/>
  <c r="E354" i="54"/>
  <c r="E353" i="54"/>
  <c r="E351" i="54"/>
  <c r="E350" i="54"/>
  <c r="E349" i="54"/>
  <c r="E342" i="54"/>
  <c r="E340" i="54"/>
  <c r="E339" i="54"/>
  <c r="E338" i="54"/>
  <c r="H309" i="55" s="1"/>
  <c r="E337" i="54"/>
  <c r="E336" i="54"/>
  <c r="E335" i="54"/>
  <c r="E333" i="54"/>
  <c r="E332" i="54"/>
  <c r="E331" i="54"/>
  <c r="E326" i="54"/>
  <c r="E325" i="54"/>
  <c r="E324" i="54"/>
  <c r="H295" i="55" s="1"/>
  <c r="E322" i="54"/>
  <c r="E321" i="54"/>
  <c r="E320" i="54"/>
  <c r="E317" i="54"/>
  <c r="E315" i="54"/>
  <c r="E314" i="54"/>
  <c r="M106" i="54"/>
  <c r="K106" i="54" s="1"/>
  <c r="F106" i="54"/>
  <c r="E106" i="54"/>
  <c r="M105" i="54"/>
  <c r="K105" i="54" s="1"/>
  <c r="F105" i="54"/>
  <c r="E105" i="54"/>
  <c r="M104" i="54"/>
  <c r="K104" i="54" s="1"/>
  <c r="F104" i="54"/>
  <c r="E104" i="54"/>
  <c r="M103" i="54"/>
  <c r="K103" i="54" s="1"/>
  <c r="F103" i="54"/>
  <c r="E103" i="54"/>
  <c r="M102" i="54"/>
  <c r="F102" i="54"/>
  <c r="E102" i="54"/>
  <c r="M101" i="54"/>
  <c r="K101" i="54" s="1"/>
  <c r="F101" i="54"/>
  <c r="E101" i="54"/>
  <c r="H210" i="55" s="1"/>
  <c r="M100" i="54"/>
  <c r="K100" i="54" s="1"/>
  <c r="F100" i="54"/>
  <c r="E100" i="54"/>
  <c r="M99" i="54"/>
  <c r="F99" i="54"/>
  <c r="E99" i="54"/>
  <c r="M108" i="54"/>
  <c r="K108" i="54" s="1"/>
  <c r="F108" i="54"/>
  <c r="E108" i="54"/>
  <c r="M107" i="54"/>
  <c r="F107" i="54"/>
  <c r="E107" i="54"/>
  <c r="H299" i="55" l="1"/>
  <c r="H321" i="55"/>
  <c r="H322" i="55"/>
  <c r="H310" i="55"/>
  <c r="H296" i="55"/>
  <c r="H313" i="55"/>
  <c r="H314" i="55"/>
  <c r="H304" i="55"/>
  <c r="H234" i="55"/>
  <c r="H235" i="55"/>
  <c r="H222" i="55"/>
  <c r="H302" i="55"/>
  <c r="H305" i="55"/>
  <c r="H298" i="55"/>
  <c r="H307" i="55"/>
  <c r="H300" i="55"/>
  <c r="H318" i="55"/>
  <c r="H316" i="55"/>
  <c r="H306" i="55"/>
  <c r="H319" i="55"/>
  <c r="H320" i="55"/>
  <c r="H311" i="55"/>
  <c r="H315" i="55"/>
  <c r="H317" i="55"/>
  <c r="H297" i="55"/>
  <c r="H312" i="55"/>
  <c r="H303" i="55"/>
  <c r="H294" i="55"/>
  <c r="H301" i="55"/>
  <c r="H308" i="55"/>
  <c r="K107" i="54"/>
  <c r="K99" i="54"/>
  <c r="K102" i="54"/>
  <c r="F145" i="66"/>
  <c r="F147" i="66"/>
  <c r="G147" i="66" s="1"/>
  <c r="J99" i="54"/>
  <c r="J101" i="54"/>
  <c r="J105" i="54"/>
  <c r="N105" i="54" s="1"/>
  <c r="J103" i="54"/>
  <c r="N103" i="54" s="1"/>
  <c r="J106" i="54"/>
  <c r="J100" i="54"/>
  <c r="N100" i="54" s="1"/>
  <c r="J102" i="54"/>
  <c r="J104" i="54"/>
  <c r="N104" i="54" s="1"/>
  <c r="J107" i="54"/>
  <c r="J108" i="54"/>
  <c r="N108" i="54" s="1"/>
  <c r="N101" i="54" l="1"/>
  <c r="N106" i="54"/>
  <c r="N102" i="54"/>
  <c r="N99" i="54"/>
  <c r="N107" i="54"/>
  <c r="H147" i="66"/>
  <c r="I147" i="66" s="1"/>
  <c r="J147" i="66" s="1"/>
  <c r="E42" i="55"/>
  <c r="E45" i="55"/>
  <c r="E111" i="60"/>
  <c r="E110" i="60"/>
  <c r="E109" i="60"/>
  <c r="E107" i="60"/>
  <c r="E98" i="60"/>
  <c r="E97" i="60"/>
  <c r="E96" i="60"/>
  <c r="E99" i="60"/>
  <c r="E102" i="60"/>
  <c r="C25" i="92" s="1"/>
  <c r="M102" i="60"/>
  <c r="K147" i="66" l="1"/>
  <c r="L147" i="66" s="1"/>
  <c r="D192" i="66"/>
  <c r="E192" i="66" s="1"/>
  <c r="D185" i="66"/>
  <c r="M147" i="66" l="1"/>
  <c r="E23" i="61"/>
  <c r="D178" i="66"/>
  <c r="E178" i="66" s="1"/>
  <c r="F178" i="66" s="1"/>
  <c r="G178" i="66" s="1"/>
  <c r="H178" i="66" s="1"/>
  <c r="I178" i="66" s="1"/>
  <c r="J178" i="66" s="1"/>
  <c r="K178" i="66" s="1"/>
  <c r="L178" i="66" s="1"/>
  <c r="M178" i="66" s="1"/>
  <c r="D177" i="66"/>
  <c r="E177" i="66" s="1"/>
  <c r="F177" i="66" s="1"/>
  <c r="G177" i="66" s="1"/>
  <c r="H177" i="66" s="1"/>
  <c r="I177" i="66" s="1"/>
  <c r="J177" i="66" s="1"/>
  <c r="K177" i="66" s="1"/>
  <c r="L177" i="66" s="1"/>
  <c r="M177" i="66" s="1"/>
  <c r="N177" i="66" s="1"/>
  <c r="O177" i="66" s="1"/>
  <c r="B177" i="66"/>
  <c r="D176" i="66"/>
  <c r="F176" i="66" s="1"/>
  <c r="G176" i="66" s="1"/>
  <c r="I176" i="66" s="1"/>
  <c r="J176" i="66" s="1"/>
  <c r="L176" i="66" s="1"/>
  <c r="M176" i="66" s="1"/>
  <c r="O176" i="66" l="1"/>
  <c r="N176" i="66"/>
  <c r="K176" i="66"/>
  <c r="H176" i="66"/>
  <c r="E176" i="66"/>
  <c r="E277" i="60" l="1"/>
  <c r="E276" i="60"/>
  <c r="H211" i="61" s="1"/>
  <c r="E275" i="60"/>
  <c r="H210" i="61" s="1"/>
  <c r="E269" i="60"/>
  <c r="E268" i="60"/>
  <c r="H207" i="61" s="1"/>
  <c r="E255" i="60"/>
  <c r="E254" i="60"/>
  <c r="E253" i="60"/>
  <c r="E252" i="60"/>
  <c r="E249" i="60"/>
  <c r="E246" i="60"/>
  <c r="E245" i="60"/>
  <c r="E244" i="60"/>
  <c r="E243" i="60"/>
  <c r="E242" i="60"/>
  <c r="E241" i="60"/>
  <c r="E240" i="60"/>
  <c r="E239" i="60"/>
  <c r="E237" i="60"/>
  <c r="E236" i="60"/>
  <c r="E235" i="60"/>
  <c r="E234" i="60"/>
  <c r="E232" i="60"/>
  <c r="E231" i="60"/>
  <c r="E230" i="60"/>
  <c r="E229" i="60"/>
  <c r="E219" i="60"/>
  <c r="E223" i="60"/>
  <c r="H208" i="61" s="1"/>
  <c r="E206" i="60"/>
  <c r="E205" i="60"/>
  <c r="H209" i="61" s="1"/>
  <c r="E192" i="60"/>
  <c r="E191" i="60"/>
  <c r="E190" i="60"/>
  <c r="E188" i="60"/>
  <c r="E186" i="60"/>
  <c r="E184" i="60"/>
  <c r="E183" i="60"/>
  <c r="E178" i="60"/>
  <c r="E176" i="60"/>
  <c r="E168" i="60"/>
  <c r="E170" i="60"/>
  <c r="E172" i="60"/>
  <c r="E174" i="60"/>
  <c r="E167" i="60"/>
  <c r="E159" i="60"/>
  <c r="E156" i="60"/>
  <c r="W165" i="93"/>
  <c r="H201" i="61" l="1"/>
  <c r="H202" i="61"/>
  <c r="H205" i="61"/>
  <c r="H199" i="61"/>
  <c r="H204" i="61"/>
  <c r="H200" i="61"/>
  <c r="H206" i="61"/>
  <c r="H196" i="61"/>
  <c r="H203" i="61"/>
  <c r="H198" i="61"/>
  <c r="H195" i="61"/>
  <c r="H193" i="61"/>
  <c r="H194" i="61"/>
  <c r="H189" i="61"/>
  <c r="H191" i="61"/>
  <c r="H192" i="61"/>
  <c r="H188" i="61"/>
  <c r="H190" i="61"/>
  <c r="H176" i="61"/>
  <c r="H175" i="61"/>
  <c r="H177" i="61"/>
  <c r="H180" i="61"/>
  <c r="N224" i="66" l="1"/>
  <c r="M224" i="66"/>
  <c r="L224" i="66"/>
  <c r="K224" i="66"/>
  <c r="J224" i="66"/>
  <c r="I224" i="66"/>
  <c r="H224" i="66"/>
  <c r="G224" i="66"/>
  <c r="F224" i="66"/>
  <c r="E224" i="66"/>
  <c r="D224" i="66"/>
  <c r="C224" i="66"/>
  <c r="N212" i="66"/>
  <c r="M212" i="66"/>
  <c r="L212" i="66"/>
  <c r="K212" i="66"/>
  <c r="J212" i="66"/>
  <c r="I212" i="66"/>
  <c r="H212" i="66"/>
  <c r="G212" i="66"/>
  <c r="F212" i="66"/>
  <c r="E212" i="66"/>
  <c r="D212" i="66"/>
  <c r="K53" i="66"/>
  <c r="J53" i="66"/>
  <c r="I53" i="66"/>
  <c r="H53" i="66"/>
  <c r="G53" i="66"/>
  <c r="F53" i="66"/>
  <c r="G179" i="78" l="1"/>
  <c r="F179" i="78"/>
  <c r="E179" i="78"/>
  <c r="D179" i="78"/>
  <c r="C179" i="78" l="1"/>
  <c r="Q981" i="2" l="1"/>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5" i="2"/>
  <c r="Q934" i="2"/>
  <c r="Q933" i="2"/>
  <c r="Q932" i="2"/>
  <c r="Q931" i="2"/>
  <c r="Q930" i="2"/>
  <c r="Q929" i="2"/>
  <c r="Q928" i="2"/>
  <c r="Q927" i="2"/>
  <c r="Q926" i="2"/>
  <c r="Q925" i="2"/>
  <c r="Q924" i="2"/>
  <c r="Q923" i="2"/>
  <c r="Q922" i="2"/>
  <c r="Q921" i="2"/>
  <c r="Q920" i="2"/>
  <c r="Q919" i="2"/>
  <c r="Q918" i="2"/>
  <c r="Q917" i="2"/>
  <c r="Q916" i="2"/>
  <c r="Q914" i="2"/>
  <c r="Q913" i="2"/>
  <c r="Q912" i="2"/>
  <c r="Q911" i="2"/>
  <c r="Q909" i="2"/>
  <c r="Q906" i="2"/>
  <c r="Q905" i="2"/>
  <c r="Q904" i="2"/>
  <c r="Q903" i="2"/>
  <c r="Q902" i="2"/>
  <c r="Q901" i="2"/>
  <c r="Q900" i="2"/>
  <c r="Q899" i="2"/>
  <c r="Q898" i="2"/>
  <c r="Q897" i="2"/>
  <c r="Q896" i="2"/>
  <c r="Q895" i="2"/>
  <c r="Q894" i="2"/>
  <c r="Q893" i="2"/>
  <c r="Q892" i="2"/>
  <c r="Q891" i="2"/>
  <c r="Q890" i="2"/>
  <c r="Q888" i="2"/>
  <c r="Q887" i="2"/>
  <c r="Q886" i="2"/>
  <c r="Q885" i="2"/>
  <c r="Q884" i="2"/>
  <c r="Q883" i="2"/>
  <c r="Q882" i="2"/>
  <c r="Q881" i="2"/>
  <c r="Q880" i="2"/>
  <c r="Q879" i="2"/>
  <c r="Q878"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770" i="2"/>
  <c r="Q846" i="2"/>
  <c r="Q777" i="2"/>
  <c r="Q845" i="2"/>
  <c r="Q839" i="2"/>
  <c r="Q836" i="2"/>
  <c r="Q835" i="2"/>
  <c r="Q834" i="2"/>
  <c r="Q833" i="2"/>
  <c r="Q832" i="2"/>
  <c r="Q831" i="2"/>
  <c r="Q830" i="2"/>
  <c r="Q829" i="2"/>
  <c r="Q828" i="2"/>
  <c r="Q844" i="2"/>
  <c r="Q843" i="2"/>
  <c r="Q842" i="2"/>
  <c r="Q841" i="2"/>
  <c r="Q827" i="2"/>
  <c r="Q826" i="2"/>
  <c r="Q825" i="2"/>
  <c r="Q824" i="2"/>
  <c r="Q823" i="2"/>
  <c r="Q822" i="2"/>
  <c r="Q821" i="2"/>
  <c r="Q820" i="2"/>
  <c r="Q819" i="2"/>
  <c r="Q818" i="2"/>
  <c r="Q817" i="2"/>
  <c r="Q815"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78" i="2"/>
  <c r="Q840" i="2"/>
  <c r="Q776" i="2"/>
  <c r="Q775" i="2"/>
  <c r="Q774" i="2"/>
  <c r="Q773" i="2"/>
  <c r="Q772" i="2"/>
  <c r="Q771" i="2"/>
  <c r="Q769" i="2"/>
  <c r="Q768" i="2"/>
  <c r="Q762" i="2"/>
  <c r="Q767" i="2"/>
  <c r="Q766" i="2"/>
  <c r="Q765" i="2"/>
  <c r="Q761" i="2"/>
  <c r="Q760" i="2"/>
  <c r="Q759" i="2"/>
  <c r="Q756" i="2"/>
  <c r="Q755" i="2"/>
  <c r="Q754" i="2"/>
  <c r="Q753" i="2"/>
  <c r="Q752" i="2"/>
  <c r="Q751" i="2"/>
  <c r="Q750" i="2"/>
  <c r="Q749" i="2"/>
  <c r="Q748" i="2"/>
  <c r="Q747" i="2"/>
  <c r="Q746" i="2"/>
  <c r="Q745" i="2"/>
  <c r="Q744" i="2"/>
  <c r="Q743" i="2"/>
  <c r="Q742" i="2"/>
  <c r="Q739" i="2"/>
  <c r="Q741" i="2"/>
  <c r="Q737" i="2"/>
  <c r="Q736" i="2"/>
  <c r="Q734" i="2"/>
  <c r="Q733" i="2"/>
  <c r="Q732" i="2"/>
  <c r="Q730"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4" i="2"/>
  <c r="Q670" i="2"/>
  <c r="Q669" i="2"/>
  <c r="Q668" i="2"/>
  <c r="Q667" i="2"/>
  <c r="Q666" i="2"/>
  <c r="Q665" i="2"/>
  <c r="Q664" i="2"/>
  <c r="Q663" i="2"/>
  <c r="Q662" i="2"/>
  <c r="Q661" i="2"/>
  <c r="Q660" i="2"/>
  <c r="Q659" i="2"/>
  <c r="Q658" i="2"/>
  <c r="Q657" i="2"/>
  <c r="Q656" i="2"/>
  <c r="Q653" i="2"/>
  <c r="Q655" i="2"/>
  <c r="Q651" i="2"/>
  <c r="Q650" i="2"/>
  <c r="Q649" i="2"/>
  <c r="Q648" i="2"/>
  <c r="Q646" i="2"/>
  <c r="Q640"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7" i="2"/>
  <c r="Q586" i="2"/>
  <c r="Q585" i="2"/>
  <c r="Q584" i="2"/>
  <c r="Q576" i="2"/>
  <c r="Q575" i="2"/>
  <c r="Q574" i="2"/>
  <c r="Q573" i="2"/>
  <c r="Q572" i="2"/>
  <c r="Q571" i="2"/>
  <c r="Q570" i="2"/>
  <c r="Q568" i="2"/>
  <c r="F201" i="78" l="1"/>
  <c r="B179" i="78" l="1"/>
  <c r="B201" i="78" l="1"/>
  <c r="B200" i="78" l="1"/>
  <c r="F94" i="6" l="1"/>
  <c r="D195" i="6"/>
  <c r="D198" i="6"/>
  <c r="D201" i="6"/>
  <c r="D200" i="6"/>
  <c r="D199" i="6"/>
  <c r="D197" i="6"/>
  <c r="D196" i="6"/>
  <c r="D194" i="6"/>
  <c r="D193" i="6"/>
  <c r="D190" i="6"/>
  <c r="D46" i="87"/>
  <c r="F830" i="58"/>
  <c r="J830" i="58" s="1"/>
  <c r="F811" i="58"/>
  <c r="J811" i="58" s="1"/>
  <c r="C143" i="32"/>
  <c r="C142" i="32"/>
  <c r="C141" i="32"/>
  <c r="C144" i="32"/>
  <c r="C140" i="32"/>
  <c r="E982" i="58" l="1"/>
  <c r="E981" i="58"/>
  <c r="E980" i="58"/>
  <c r="H612" i="32" s="1"/>
  <c r="E979" i="58"/>
  <c r="H611" i="32" s="1"/>
  <c r="E978" i="58"/>
  <c r="H610" i="32" s="1"/>
  <c r="E977" i="58"/>
  <c r="E976" i="58"/>
  <c r="E975" i="58"/>
  <c r="E997" i="58"/>
  <c r="E993" i="58"/>
  <c r="E992" i="58"/>
  <c r="E991" i="58"/>
  <c r="H634" i="32" s="1"/>
  <c r="E990" i="58"/>
  <c r="E989" i="58"/>
  <c r="E988" i="58"/>
  <c r="H586" i="32" s="1"/>
  <c r="F315" i="58"/>
  <c r="E315" i="58"/>
  <c r="F446" i="58"/>
  <c r="E446" i="58"/>
  <c r="E448" i="58"/>
  <c r="E447" i="58"/>
  <c r="E445" i="58"/>
  <c r="E444" i="58"/>
  <c r="E443" i="58"/>
  <c r="E442" i="58"/>
  <c r="E441" i="58"/>
  <c r="E440" i="58"/>
  <c r="E439" i="58"/>
  <c r="E438" i="58"/>
  <c r="H633" i="32" l="1"/>
  <c r="H609" i="32"/>
  <c r="H608" i="32"/>
  <c r="J315" i="58"/>
  <c r="J446" i="58"/>
  <c r="D43" i="87"/>
  <c r="D42" i="87"/>
  <c r="K446" i="58" l="1"/>
  <c r="E472" i="58" l="1"/>
  <c r="F461" i="58"/>
  <c r="E461" i="58"/>
  <c r="E481" i="58"/>
  <c r="E479" i="58"/>
  <c r="E478" i="58"/>
  <c r="E480" i="58"/>
  <c r="E476" i="58"/>
  <c r="E475" i="58"/>
  <c r="E473" i="58"/>
  <c r="E469" i="58"/>
  <c r="E468" i="58"/>
  <c r="E482" i="58"/>
  <c r="E465" i="58"/>
  <c r="E464" i="58"/>
  <c r="E466" i="58"/>
  <c r="E462" i="58"/>
  <c r="E470" i="58"/>
  <c r="E460" i="58"/>
  <c r="E458" i="58"/>
  <c r="E457" i="58"/>
  <c r="F458" i="58"/>
  <c r="O110" i="2"/>
  <c r="O108" i="2"/>
  <c r="E484" i="58" l="1"/>
  <c r="J461" i="58"/>
  <c r="J458" i="58"/>
  <c r="F190" i="78"/>
  <c r="F196" i="78"/>
  <c r="F184" i="78" l="1"/>
  <c r="F200" i="78"/>
  <c r="B26" i="57"/>
  <c r="E91" i="60" l="1"/>
  <c r="E90" i="60"/>
  <c r="E89" i="60"/>
  <c r="F392" i="54"/>
  <c r="K392" i="54" l="1"/>
  <c r="J392" i="54"/>
  <c r="N392" i="54" l="1"/>
  <c r="D49" i="70"/>
  <c r="D51" i="70" l="1"/>
  <c r="C71" i="78" l="1"/>
  <c r="C84" i="78"/>
  <c r="C107" i="78"/>
  <c r="C117" i="78"/>
  <c r="C126" i="78"/>
  <c r="C134" i="78" l="1"/>
  <c r="C141" i="78" l="1"/>
  <c r="F20" i="87" l="1"/>
  <c r="D201" i="78" l="1"/>
  <c r="D200" i="78"/>
  <c r="C201" i="78" l="1"/>
  <c r="C98" i="32" l="1"/>
  <c r="C97" i="32"/>
  <c r="C95" i="32"/>
  <c r="C94" i="32"/>
  <c r="C92" i="32"/>
  <c r="C91" i="32"/>
  <c r="C89" i="32"/>
  <c r="C88" i="32"/>
  <c r="C107" i="32"/>
  <c r="C106" i="32"/>
  <c r="C104" i="32"/>
  <c r="C103" i="32"/>
  <c r="C101" i="32"/>
  <c r="C100" i="32"/>
  <c r="C110" i="32"/>
  <c r="C109" i="32"/>
  <c r="C86" i="32"/>
  <c r="C85" i="32"/>
  <c r="C83" i="32"/>
  <c r="C82" i="32"/>
  <c r="D53" i="61"/>
  <c r="D52" i="61"/>
  <c r="D88" i="55" l="1"/>
  <c r="D87" i="55"/>
  <c r="D130" i="6" l="1"/>
  <c r="D129" i="6"/>
  <c r="D175" i="6" l="1"/>
  <c r="D188" i="6"/>
  <c r="D174" i="6"/>
  <c r="D171" i="6"/>
  <c r="D18" i="32" l="1"/>
  <c r="Y1004" i="2" l="1"/>
  <c r="Y1005" i="2"/>
  <c r="K335" i="2" l="1"/>
  <c r="J335" i="2"/>
  <c r="N335" i="2" l="1"/>
  <c r="E201" i="78" l="1"/>
  <c r="E200" i="78" l="1"/>
  <c r="B21" i="28" l="1"/>
  <c r="B22" i="28"/>
  <c r="B19" i="28"/>
  <c r="I31" i="55" l="1"/>
  <c r="D8" i="6"/>
  <c r="D7" i="6"/>
  <c r="F939" i="2" l="1"/>
  <c r="F969" i="2"/>
  <c r="M81" i="93"/>
  <c r="K81" i="93"/>
  <c r="J81" i="93"/>
  <c r="I81" i="93"/>
  <c r="H81" i="93"/>
  <c r="G81" i="93"/>
  <c r="F81" i="93"/>
  <c r="E81" i="93"/>
  <c r="K939" i="2" l="1"/>
  <c r="K337" i="2"/>
  <c r="K340" i="2"/>
  <c r="K343" i="2"/>
  <c r="K336" i="2"/>
  <c r="K342" i="2"/>
  <c r="K338" i="2"/>
  <c r="K969" i="2"/>
  <c r="K339" i="2"/>
  <c r="K341" i="2"/>
  <c r="J338" i="2"/>
  <c r="J969" i="2"/>
  <c r="J340" i="2"/>
  <c r="J343" i="2"/>
  <c r="J337" i="2"/>
  <c r="J339" i="2"/>
  <c r="J341" i="2"/>
  <c r="N340" i="2" l="1"/>
  <c r="N341" i="2"/>
  <c r="N339" i="2"/>
  <c r="N338" i="2"/>
  <c r="N969" i="2"/>
  <c r="N337" i="2"/>
  <c r="N343" i="2"/>
  <c r="K54" i="2" l="1"/>
  <c r="K55" i="2"/>
  <c r="K58" i="2"/>
  <c r="K56" i="2"/>
  <c r="K59" i="2"/>
  <c r="K57" i="2"/>
  <c r="K60" i="2"/>
  <c r="J59" i="2"/>
  <c r="J55" i="2"/>
  <c r="N55" i="2" l="1"/>
  <c r="N59" i="2"/>
  <c r="F75" i="61"/>
  <c r="D55" i="32" l="1"/>
  <c r="F52" i="55"/>
  <c r="C138" i="32" l="1"/>
  <c r="C137" i="32"/>
  <c r="B114" i="66" l="1"/>
  <c r="E341" i="58" l="1"/>
  <c r="C135" i="32"/>
  <c r="I719" i="58" l="1"/>
  <c r="H719" i="58"/>
  <c r="G719" i="58"/>
  <c r="F734" i="58"/>
  <c r="F272" i="58"/>
  <c r="E272" i="58"/>
  <c r="F674" i="58"/>
  <c r="F973" i="58"/>
  <c r="F751" i="58"/>
  <c r="E751" i="58"/>
  <c r="F533" i="58"/>
  <c r="F423" i="58"/>
  <c r="E423" i="58"/>
  <c r="F422" i="58"/>
  <c r="E422" i="58"/>
  <c r="F416" i="58"/>
  <c r="E416" i="58"/>
  <c r="F413" i="58"/>
  <c r="E413" i="58"/>
  <c r="E412" i="58"/>
  <c r="F411" i="58"/>
  <c r="E411" i="58"/>
  <c r="F218" i="58"/>
  <c r="E218" i="58"/>
  <c r="F409" i="58"/>
  <c r="E409" i="58"/>
  <c r="F428" i="58"/>
  <c r="E428" i="58"/>
  <c r="F427" i="58"/>
  <c r="E427" i="58"/>
  <c r="F426" i="58"/>
  <c r="E426" i="58"/>
  <c r="F425" i="58"/>
  <c r="E425" i="58"/>
  <c r="F424" i="58"/>
  <c r="E424" i="58"/>
  <c r="F376" i="58"/>
  <c r="E376" i="58"/>
  <c r="F375" i="58"/>
  <c r="E375" i="58"/>
  <c r="F374" i="58"/>
  <c r="E374" i="58"/>
  <c r="F320" i="58"/>
  <c r="E320" i="58"/>
  <c r="F319" i="58"/>
  <c r="E319" i="58"/>
  <c r="F318" i="58"/>
  <c r="E318" i="58"/>
  <c r="F317" i="58"/>
  <c r="E317" i="58"/>
  <c r="F316" i="58"/>
  <c r="E316" i="58"/>
  <c r="F116" i="58"/>
  <c r="E116" i="58"/>
  <c r="F115" i="58"/>
  <c r="E115" i="58"/>
  <c r="F114" i="58"/>
  <c r="E114" i="58"/>
  <c r="F113" i="58"/>
  <c r="E113" i="58"/>
  <c r="F112" i="58"/>
  <c r="E112" i="58"/>
  <c r="F111" i="58"/>
  <c r="E111" i="58"/>
  <c r="F110" i="58"/>
  <c r="E110" i="58"/>
  <c r="F109" i="58"/>
  <c r="E109" i="58"/>
  <c r="F108" i="58"/>
  <c r="E108" i="58"/>
  <c r="F107" i="58"/>
  <c r="E107" i="58"/>
  <c r="F106" i="58"/>
  <c r="E106" i="58"/>
  <c r="F105" i="58"/>
  <c r="E105" i="58"/>
  <c r="F104" i="58"/>
  <c r="E104" i="58"/>
  <c r="F103" i="58"/>
  <c r="E103" i="58"/>
  <c r="F102" i="58"/>
  <c r="E102" i="58"/>
  <c r="F101" i="58"/>
  <c r="E101" i="58"/>
  <c r="F100" i="58"/>
  <c r="E100" i="58"/>
  <c r="J100" i="58" l="1"/>
  <c r="J734" i="58"/>
  <c r="J272" i="58"/>
  <c r="J674" i="58"/>
  <c r="J973" i="58"/>
  <c r="J105" i="58"/>
  <c r="J423" i="58"/>
  <c r="J316" i="58"/>
  <c r="J104" i="58"/>
  <c r="J112" i="58"/>
  <c r="J424" i="58"/>
  <c r="J426" i="58"/>
  <c r="J411" i="58"/>
  <c r="J376" i="58"/>
  <c r="J751" i="58"/>
  <c r="J111" i="58"/>
  <c r="J425" i="58"/>
  <c r="J533" i="58"/>
  <c r="J413" i="58"/>
  <c r="J409" i="58"/>
  <c r="J416" i="58"/>
  <c r="J218" i="58"/>
  <c r="J422" i="58"/>
  <c r="J427" i="58"/>
  <c r="J428" i="58"/>
  <c r="J374" i="58"/>
  <c r="J375" i="58"/>
  <c r="J317" i="58"/>
  <c r="J318" i="58"/>
  <c r="J319" i="58"/>
  <c r="J320" i="58"/>
  <c r="J113" i="58"/>
  <c r="J109" i="58"/>
  <c r="J107" i="58"/>
  <c r="J114" i="58"/>
  <c r="J101" i="58"/>
  <c r="J108" i="58"/>
  <c r="J115" i="58"/>
  <c r="J102" i="58"/>
  <c r="J116" i="58"/>
  <c r="J103" i="58"/>
  <c r="J106" i="58"/>
  <c r="J110" i="58"/>
  <c r="F63" i="46" l="1"/>
  <c r="C139" i="57"/>
  <c r="O118" i="66"/>
  <c r="K427" i="58"/>
  <c r="D253" i="46"/>
  <c r="I151" i="93"/>
  <c r="H151" i="93"/>
  <c r="G151" i="93"/>
  <c r="M337" i="93"/>
  <c r="E337" i="93"/>
  <c r="M200" i="93"/>
  <c r="K200" i="93" s="1"/>
  <c r="F200" i="93"/>
  <c r="E200" i="93"/>
  <c r="M115" i="93"/>
  <c r="K115" i="93" s="1"/>
  <c r="F115" i="93"/>
  <c r="E115" i="93"/>
  <c r="M150" i="93"/>
  <c r="E150" i="93"/>
  <c r="H76" i="94" s="1"/>
  <c r="E13" i="61"/>
  <c r="F13" i="61"/>
  <c r="H172" i="94" l="1"/>
  <c r="H174" i="94"/>
  <c r="I172" i="94"/>
  <c r="I174" i="94"/>
  <c r="D41" i="99"/>
  <c r="E151" i="93"/>
  <c r="M151" i="93"/>
  <c r="J200" i="93"/>
  <c r="J115" i="93"/>
  <c r="N115" i="93" l="1"/>
  <c r="N200" i="93"/>
  <c r="D39" i="87" l="1"/>
  <c r="D38" i="87"/>
  <c r="F283" i="54" l="1"/>
  <c r="D135" i="55"/>
  <c r="D134" i="55"/>
  <c r="D132" i="55" l="1"/>
  <c r="D131" i="55"/>
  <c r="D122" i="55" l="1"/>
  <c r="D121" i="55"/>
  <c r="C31" i="57"/>
  <c r="C33" i="57" s="1"/>
  <c r="E31" i="57"/>
  <c r="E33" i="57" s="1"/>
  <c r="I31" i="57"/>
  <c r="I33" i="57" s="1"/>
  <c r="F31" i="57" l="1"/>
  <c r="F33" i="57" s="1"/>
  <c r="J33" i="57" s="1"/>
  <c r="K396" i="54"/>
  <c r="F396" i="54"/>
  <c r="F161" i="66" l="1"/>
  <c r="J396" i="54"/>
  <c r="N396" i="54" s="1"/>
  <c r="E116" i="55" l="1"/>
  <c r="F431" i="54"/>
  <c r="J431" i="54" s="1"/>
  <c r="E176" i="54"/>
  <c r="H173" i="55" s="1"/>
  <c r="E175" i="54"/>
  <c r="E174" i="54"/>
  <c r="E173" i="54"/>
  <c r="E172" i="54"/>
  <c r="E171" i="54"/>
  <c r="E153" i="54"/>
  <c r="E152" i="54"/>
  <c r="E151" i="54"/>
  <c r="E150" i="54"/>
  <c r="E142" i="54"/>
  <c r="M116" i="54"/>
  <c r="F116" i="54"/>
  <c r="E116" i="54"/>
  <c r="M115" i="54"/>
  <c r="F115" i="54"/>
  <c r="E115" i="54"/>
  <c r="M114" i="54"/>
  <c r="F114" i="54"/>
  <c r="E114" i="54"/>
  <c r="M113" i="54"/>
  <c r="F113" i="54"/>
  <c r="E113" i="54"/>
  <c r="M112" i="54"/>
  <c r="F112" i="54"/>
  <c r="E112" i="54"/>
  <c r="M111" i="54"/>
  <c r="F111" i="54"/>
  <c r="E111" i="54"/>
  <c r="M110" i="54"/>
  <c r="F110" i="54"/>
  <c r="E110" i="54"/>
  <c r="H198" i="55" s="1"/>
  <c r="M109" i="54"/>
  <c r="F109" i="54"/>
  <c r="E109" i="54"/>
  <c r="M175" i="54"/>
  <c r="M174" i="54"/>
  <c r="M173" i="54"/>
  <c r="M172" i="54"/>
  <c r="F175" i="54"/>
  <c r="H172" i="55" l="1"/>
  <c r="H177" i="55"/>
  <c r="H220" i="55"/>
  <c r="H221" i="55"/>
  <c r="H199" i="55"/>
  <c r="H211" i="55"/>
  <c r="H212" i="55"/>
  <c r="H200" i="55"/>
  <c r="H201" i="55"/>
  <c r="K114" i="54"/>
  <c r="K175" i="54"/>
  <c r="K109" i="54"/>
  <c r="K116" i="54"/>
  <c r="K115" i="54"/>
  <c r="K110" i="54"/>
  <c r="K111" i="54"/>
  <c r="K112" i="54"/>
  <c r="K113" i="54"/>
  <c r="J109" i="54"/>
  <c r="J115" i="54"/>
  <c r="J111" i="54"/>
  <c r="J113" i="54"/>
  <c r="J116" i="54"/>
  <c r="J110" i="54"/>
  <c r="J112" i="54"/>
  <c r="J114" i="54"/>
  <c r="J175" i="54"/>
  <c r="L175" i="54" l="1"/>
  <c r="N114" i="54"/>
  <c r="N109" i="54"/>
  <c r="N175" i="54"/>
  <c r="N111" i="54"/>
  <c r="N115" i="54"/>
  <c r="N112" i="54"/>
  <c r="N110" i="54"/>
  <c r="N116" i="54"/>
  <c r="N113" i="54"/>
  <c r="E184" i="86" l="1"/>
  <c r="C200" i="78" l="1"/>
  <c r="Y998" i="2" l="1"/>
  <c r="Y997" i="2"/>
  <c r="Y995" i="2"/>
  <c r="Y991" i="2"/>
  <c r="Y989" i="2"/>
  <c r="Y988" i="2"/>
  <c r="Y986" i="2"/>
  <c r="Y803" i="2" l="1"/>
  <c r="Y796" i="2"/>
  <c r="Y783" i="2" l="1"/>
  <c r="Y815" i="2"/>
  <c r="Y934" i="2"/>
  <c r="Y631" i="2" l="1"/>
  <c r="Y983" i="2"/>
  <c r="Y633" i="2" l="1"/>
  <c r="Y982" i="2" l="1"/>
  <c r="Y634" i="2"/>
  <c r="Y586" i="2"/>
  <c r="Y831" i="2"/>
  <c r="Y750" i="2" l="1"/>
  <c r="Y596" i="2"/>
  <c r="Y922" i="2"/>
  <c r="Y620" i="2"/>
  <c r="Y705" i="2"/>
  <c r="Y923" i="2"/>
  <c r="Y715" i="2"/>
  <c r="Y858" i="2"/>
  <c r="Y726" i="2"/>
  <c r="Y927" i="2"/>
  <c r="Y969" i="2"/>
  <c r="Y860" i="2"/>
  <c r="Y950" i="2"/>
  <c r="Y628" i="2"/>
  <c r="Y754" i="2"/>
  <c r="Y980" i="2"/>
  <c r="Y756" i="2"/>
  <c r="Y874" i="2"/>
  <c r="Y622" i="2"/>
  <c r="Y624" i="2"/>
  <c r="Y976" i="2"/>
  <c r="Y868" i="2"/>
  <c r="Y979" i="2"/>
  <c r="Y851" i="2"/>
  <c r="Y782" i="2"/>
  <c r="Y660" i="2"/>
  <c r="Y594" i="2"/>
  <c r="Y885" i="2"/>
  <c r="Y867" i="2"/>
  <c r="Y745" i="2"/>
  <c r="Y661" i="2"/>
  <c r="Y872" i="2"/>
  <c r="Y684" i="2"/>
  <c r="Y875" i="2"/>
  <c r="Y853" i="2"/>
  <c r="Y617" i="2"/>
  <c r="Y920" i="2"/>
  <c r="Y925" i="2"/>
  <c r="Y619" i="2"/>
  <c r="Y709" i="2"/>
  <c r="Y883" i="2"/>
  <c r="Y710" i="2"/>
  <c r="Y857" i="2"/>
  <c r="Y685" i="2"/>
  <c r="Y621" i="2"/>
  <c r="Y948" i="2"/>
  <c r="Y949" i="2"/>
  <c r="Y926" i="2"/>
  <c r="Y625" i="2"/>
  <c r="Y716" i="2"/>
  <c r="Y921" i="2"/>
  <c r="Y909" i="2"/>
  <c r="Y714" i="2"/>
  <c r="Y911" i="2"/>
  <c r="Y873" i="2"/>
  <c r="Y691" i="2"/>
  <c r="Y713" i="2"/>
  <c r="Y870" i="2"/>
  <c r="Y978" i="2"/>
  <c r="Y918" i="2"/>
  <c r="Y744" i="2"/>
  <c r="Y658" i="2"/>
  <c r="Y884" i="2"/>
  <c r="Y707" i="2"/>
  <c r="Y854" i="2"/>
  <c r="Y722" i="2"/>
  <c r="Y747" i="2"/>
  <c r="Y793" i="2" l="1"/>
  <c r="Y795" i="2"/>
  <c r="Y794" i="2"/>
  <c r="Y802" i="2" l="1"/>
  <c r="Y810" i="2"/>
  <c r="Y811" i="2"/>
  <c r="Y999" i="2"/>
  <c r="Y1003" i="2"/>
  <c r="Y994" i="2"/>
  <c r="Y1001" i="2"/>
  <c r="Y992" i="2"/>
  <c r="Y1002" i="2"/>
  <c r="Y808" i="2"/>
  <c r="Y791" i="2"/>
  <c r="Y801" i="2"/>
  <c r="Y623" i="2" l="1"/>
  <c r="Y869" i="2"/>
  <c r="Y859" i="2"/>
  <c r="Y981" i="2"/>
  <c r="Y990" i="2"/>
  <c r="Y924" i="2"/>
  <c r="Y805" i="2"/>
  <c r="Y790" i="2"/>
  <c r="Y804" i="2"/>
  <c r="Y789" i="2"/>
  <c r="Y788" i="2"/>
  <c r="Y812" i="2"/>
  <c r="Y800" i="2"/>
  <c r="Y787" i="2"/>
  <c r="Y799" i="2"/>
  <c r="Y786" i="2"/>
  <c r="Y809" i="2"/>
  <c r="Y798" i="2"/>
  <c r="Y785" i="2"/>
  <c r="Y807" i="2"/>
  <c r="Y797" i="2"/>
  <c r="Y784" i="2"/>
  <c r="Y806" i="2"/>
  <c r="Y792" i="2"/>
  <c r="Y993" i="2"/>
  <c r="Y626" i="2" l="1"/>
  <c r="Y996" i="2"/>
  <c r="Y627" i="2" l="1"/>
  <c r="Y1000" i="2" l="1"/>
  <c r="Y984" i="2" l="1"/>
  <c r="Y985" i="2" l="1"/>
  <c r="Y629" i="2"/>
  <c r="Y630" i="2" l="1"/>
  <c r="Y914" i="2" l="1"/>
  <c r="Y933" i="2" l="1"/>
  <c r="Y935" i="2" l="1"/>
  <c r="Y674" i="2" l="1"/>
  <c r="Y910" i="2" l="1"/>
  <c r="Y840" i="2" l="1"/>
  <c r="Y592" i="2"/>
  <c r="Y670" i="2" l="1"/>
  <c r="Y640" i="2"/>
  <c r="Y843" i="2" l="1"/>
  <c r="Y682" i="2" l="1"/>
  <c r="Y615" i="2" l="1"/>
  <c r="Y700" i="2"/>
  <c r="Y681" i="2"/>
  <c r="Y683" i="2"/>
  <c r="Y575" i="2" l="1"/>
  <c r="Y828" i="2" l="1"/>
  <c r="Y829" i="2"/>
  <c r="Y830" i="2"/>
  <c r="Y704" i="2"/>
  <c r="Y912" i="2" l="1"/>
  <c r="Y891" i="2" l="1"/>
  <c r="Y724" i="2" l="1"/>
  <c r="Y725" i="2"/>
  <c r="Y972" i="2"/>
  <c r="Y901" i="2" l="1"/>
  <c r="Y649" i="2" l="1"/>
  <c r="Y887" i="2"/>
  <c r="Y879" i="2"/>
  <c r="Y734" i="2"/>
  <c r="Y719" i="2"/>
  <c r="Y656" i="2"/>
  <c r="Y637" i="2"/>
  <c r="Y590" i="2"/>
  <c r="Y772" i="2"/>
  <c r="Y839" i="2"/>
  <c r="Y842" i="2"/>
  <c r="Y817" i="2"/>
  <c r="Y951" i="2"/>
  <c r="Y597" i="2"/>
  <c r="Y723" i="2"/>
  <c r="Y903" i="2"/>
  <c r="Y669" i="2"/>
  <c r="Y776" i="2"/>
  <c r="Y775" i="2"/>
  <c r="Y945" i="2"/>
  <c r="Y849" i="2"/>
  <c r="Y968" i="2"/>
  <c r="Y902" i="2"/>
  <c r="Y651" i="2"/>
  <c r="Y966" i="2"/>
  <c r="Y667" i="2"/>
  <c r="Y900" i="2"/>
  <c r="Y568" i="2"/>
  <c r="Y576" i="2"/>
  <c r="Y587" i="2"/>
  <c r="Y589" i="2"/>
  <c r="Y604" i="2"/>
  <c r="Y605" i="2"/>
  <c r="Y606" i="2"/>
  <c r="Y607" i="2"/>
  <c r="Y608" i="2"/>
  <c r="Y609" i="2"/>
  <c r="Y612" i="2"/>
  <c r="Y613" i="2"/>
  <c r="Y616" i="2"/>
  <c r="Y635" i="2"/>
  <c r="Y646" i="2"/>
  <c r="Y653" i="2"/>
  <c r="Y668" i="2"/>
  <c r="Y676" i="2"/>
  <c r="Y692" i="2"/>
  <c r="Y696" i="2"/>
  <c r="Y698" i="2"/>
  <c r="Y702" i="2"/>
  <c r="Y717" i="2"/>
  <c r="Y727" i="2"/>
  <c r="Y732" i="2"/>
  <c r="Y736" i="2"/>
  <c r="Y739" i="2"/>
  <c r="Y748" i="2"/>
  <c r="Y751" i="2"/>
  <c r="Y761" i="2"/>
  <c r="Y765" i="2"/>
  <c r="Y766" i="2"/>
  <c r="Y762" i="2"/>
  <c r="Y769" i="2"/>
  <c r="Y771" i="2"/>
  <c r="Y773" i="2"/>
  <c r="Y774" i="2"/>
  <c r="Y778" i="2"/>
  <c r="Y841" i="2"/>
  <c r="Y844" i="2"/>
  <c r="Y832" i="2"/>
  <c r="Y836" i="2"/>
  <c r="Y777" i="2"/>
  <c r="Y846" i="2"/>
  <c r="Y770" i="2"/>
  <c r="Y861" i="2"/>
  <c r="Y862" i="2"/>
  <c r="Y863" i="2"/>
  <c r="Y865" i="2"/>
  <c r="Y876" i="2"/>
  <c r="Y878" i="2"/>
  <c r="Y886" i="2"/>
  <c r="Y890" i="2"/>
  <c r="Y892" i="2"/>
  <c r="Y894" i="2"/>
  <c r="Y895" i="2"/>
  <c r="Y896" i="2"/>
  <c r="Y897" i="2"/>
  <c r="Y898" i="2"/>
  <c r="Y904" i="2"/>
  <c r="Y905" i="2"/>
  <c r="Y928" i="2"/>
  <c r="Y929" i="2"/>
  <c r="Y942" i="2"/>
  <c r="Y946" i="2"/>
  <c r="Y956" i="2"/>
  <c r="Y959" i="2"/>
  <c r="Y960" i="2"/>
  <c r="Y961" i="2"/>
  <c r="Y962" i="2"/>
  <c r="Y963" i="2"/>
  <c r="Y964" i="2"/>
  <c r="Y967" i="2"/>
  <c r="Y970" i="2"/>
  <c r="Y971" i="2"/>
  <c r="Y850" i="2"/>
  <c r="Y650" i="2"/>
  <c r="Y958" i="2"/>
  <c r="Y687" i="2"/>
  <c r="Y690" i="2"/>
  <c r="Y689" i="2"/>
  <c r="Y688" i="2"/>
  <c r="Y686" i="2"/>
  <c r="Y574" i="2"/>
  <c r="Y823" i="2"/>
  <c r="Y881" i="2"/>
  <c r="Y591" i="2"/>
  <c r="Y916" i="2"/>
  <c r="Y743" i="2"/>
  <c r="Y973" i="2"/>
  <c r="Y975" i="2"/>
  <c r="Y584" i="2"/>
  <c r="Y742" i="2"/>
  <c r="Y824" i="2"/>
  <c r="Y657" i="2"/>
  <c r="Y706" i="2"/>
  <c r="Y737" i="2"/>
  <c r="Y947" i="2"/>
  <c r="Y974" i="2"/>
  <c r="Y655" i="2"/>
  <c r="Y821" i="2"/>
  <c r="Y826" i="2"/>
  <c r="Y864" i="2"/>
  <c r="Y965" i="2"/>
  <c r="Y610" i="2"/>
  <c r="Y906" i="2"/>
  <c r="Y952" i="2"/>
  <c r="Y899" i="2"/>
  <c r="Y718" i="2"/>
  <c r="Y818" i="2"/>
  <c r="Y720" i="2"/>
  <c r="Y954" i="2"/>
  <c r="Y835" i="2"/>
  <c r="Y955" i="2"/>
  <c r="Y833" i="2"/>
  <c r="Y953" i="2"/>
  <c r="Y819" i="2"/>
  <c r="Y845" i="2"/>
  <c r="Y820" i="2"/>
  <c r="Y573" i="2"/>
  <c r="Y893" i="2"/>
  <c r="Y572" i="2"/>
  <c r="Y571" i="2"/>
  <c r="Y827" i="2"/>
  <c r="Y957" i="2"/>
  <c r="Y733" i="2"/>
  <c r="Y611" i="2"/>
  <c r="Y730" i="2"/>
  <c r="Y834" i="2"/>
  <c r="Y825" i="2"/>
  <c r="Y943" i="2"/>
  <c r="Y944" i="2"/>
  <c r="Y648" i="2"/>
  <c r="Y678" i="2"/>
  <c r="Y664" i="2"/>
  <c r="Y666" i="2"/>
  <c r="Y697" i="2"/>
  <c r="Y679" i="2"/>
  <c r="Y677" i="2"/>
  <c r="Y694" i="2"/>
  <c r="Y695" i="2"/>
  <c r="Y680" i="2"/>
  <c r="Y693" i="2"/>
  <c r="Y665" i="2"/>
  <c r="Y930" i="2"/>
  <c r="Y940" i="2"/>
  <c r="Y941" i="2"/>
  <c r="Y932" i="2"/>
  <c r="Y931" i="2"/>
  <c r="Y636" i="2"/>
  <c r="Y600" i="2"/>
  <c r="Y601" i="2"/>
  <c r="Y598" i="2"/>
  <c r="Y662" i="2"/>
  <c r="Y599" i="2"/>
  <c r="Y602" i="2"/>
  <c r="Y663" i="2"/>
  <c r="Y759" i="2" l="1"/>
  <c r="Y760" i="2"/>
  <c r="Y703" i="2"/>
  <c r="Y749" i="2"/>
  <c r="Y977" i="2"/>
  <c r="Y866" i="2"/>
  <c r="Y753" i="2" l="1"/>
  <c r="Y880" i="2"/>
  <c r="Y614" i="2"/>
  <c r="Y767" i="2"/>
  <c r="Y570" i="2" l="1"/>
  <c r="Y699" i="2"/>
  <c r="Y917" i="2"/>
  <c r="Y822" i="2"/>
  <c r="Y882" i="2"/>
  <c r="Y603" i="2"/>
  <c r="Y593" i="2"/>
  <c r="Y741" i="2" l="1"/>
  <c r="Y659" i="2"/>
  <c r="Y708" i="2"/>
  <c r="Y618" i="2" l="1"/>
  <c r="Y913" i="2" l="1"/>
  <c r="Y768" i="2" l="1"/>
  <c r="Y852" i="2"/>
  <c r="Y752" i="2" l="1"/>
  <c r="Y755" i="2" l="1"/>
  <c r="Y711" i="2" l="1"/>
  <c r="Y855" i="2" l="1"/>
  <c r="Y712" i="2"/>
  <c r="Y856" i="2" l="1"/>
  <c r="Y721" i="2" l="1"/>
  <c r="Y746" i="2" l="1"/>
  <c r="Y871" i="2" l="1"/>
  <c r="Y585" i="2" l="1"/>
  <c r="Y632" i="2" l="1"/>
  <c r="Y595" i="2"/>
  <c r="Y888" i="2" l="1"/>
  <c r="Y919" i="2"/>
  <c r="Y987" i="2" l="1"/>
  <c r="F1005" i="2" l="1"/>
  <c r="K1005" i="2" l="1"/>
  <c r="J1005" i="2"/>
  <c r="C13" i="83" l="1"/>
  <c r="D47" i="83" s="1"/>
  <c r="N1005" i="2"/>
  <c r="K113" i="2" l="1"/>
  <c r="C135" i="89" l="1"/>
  <c r="D138" i="89" l="1"/>
  <c r="F704" i="2"/>
  <c r="F702" i="2"/>
  <c r="F700" i="2"/>
  <c r="F699" i="2"/>
  <c r="F698" i="2"/>
  <c r="K697" i="2"/>
  <c r="F697" i="2"/>
  <c r="F696" i="2"/>
  <c r="F695" i="2"/>
  <c r="F694" i="2"/>
  <c r="F693" i="2"/>
  <c r="F692" i="2"/>
  <c r="F683" i="2"/>
  <c r="K682" i="2"/>
  <c r="F682" i="2"/>
  <c r="F680" i="2"/>
  <c r="F679" i="2"/>
  <c r="F678" i="2"/>
  <c r="K677" i="2"/>
  <c r="F677" i="2"/>
  <c r="F676" i="2"/>
  <c r="F674" i="2"/>
  <c r="F670" i="2"/>
  <c r="F669" i="2"/>
  <c r="F668" i="2"/>
  <c r="F667" i="2"/>
  <c r="K666" i="2"/>
  <c r="F666" i="2"/>
  <c r="F665" i="2"/>
  <c r="F664" i="2"/>
  <c r="F663" i="2"/>
  <c r="F662" i="2"/>
  <c r="K399" i="2"/>
  <c r="N399" i="2" s="1"/>
  <c r="M708" i="2" l="1"/>
  <c r="M712" i="2" s="1"/>
  <c r="N697" i="2"/>
  <c r="J662" i="2"/>
  <c r="K357" i="2"/>
  <c r="K346" i="2"/>
  <c r="K354" i="2"/>
  <c r="K668" i="2"/>
  <c r="K679" i="2"/>
  <c r="K693" i="2"/>
  <c r="K696" i="2"/>
  <c r="K344" i="2"/>
  <c r="K662" i="2"/>
  <c r="K670" i="2"/>
  <c r="K699" i="2"/>
  <c r="K680" i="2"/>
  <c r="K352" i="2"/>
  <c r="K347" i="2"/>
  <c r="K355" i="2"/>
  <c r="K664" i="2"/>
  <c r="K663" i="2"/>
  <c r="K674" i="2"/>
  <c r="K694" i="2"/>
  <c r="K702" i="2"/>
  <c r="K398" i="2"/>
  <c r="K669" i="2"/>
  <c r="K358" i="2"/>
  <c r="K61" i="2"/>
  <c r="K345" i="2"/>
  <c r="K353" i="2"/>
  <c r="K665" i="2"/>
  <c r="K676" i="2"/>
  <c r="K683" i="2"/>
  <c r="K692" i="2"/>
  <c r="K700" i="2"/>
  <c r="K349" i="2"/>
  <c r="K350" i="2"/>
  <c r="K348" i="2"/>
  <c r="K356" i="2"/>
  <c r="K695" i="2"/>
  <c r="K351" i="2"/>
  <c r="K359" i="2"/>
  <c r="K667" i="2"/>
  <c r="K678" i="2"/>
  <c r="K698" i="2"/>
  <c r="J679" i="2"/>
  <c r="J677" i="2"/>
  <c r="J663" i="2"/>
  <c r="J664" i="2"/>
  <c r="J676" i="2"/>
  <c r="J348" i="2"/>
  <c r="J665" i="2"/>
  <c r="J696" i="2"/>
  <c r="J346" i="2"/>
  <c r="J350" i="2"/>
  <c r="J695" i="2"/>
  <c r="J356" i="2"/>
  <c r="J358" i="2"/>
  <c r="J354" i="2"/>
  <c r="J678" i="2"/>
  <c r="J692" i="2"/>
  <c r="J452" i="2"/>
  <c r="J680" i="2"/>
  <c r="J704" i="2"/>
  <c r="J694" i="2"/>
  <c r="J693" i="2"/>
  <c r="J697" i="2"/>
  <c r="J683" i="2"/>
  <c r="J666" i="2"/>
  <c r="J674" i="2"/>
  <c r="J345" i="2"/>
  <c r="J347" i="2"/>
  <c r="J351" i="2"/>
  <c r="J353" i="2"/>
  <c r="J355" i="2"/>
  <c r="J357" i="2"/>
  <c r="J359" i="2"/>
  <c r="J399" i="2"/>
  <c r="J398" i="2"/>
  <c r="N666" i="2" l="1"/>
  <c r="N677" i="2"/>
  <c r="N452" i="2"/>
  <c r="N662" i="2"/>
  <c r="N357" i="2"/>
  <c r="N345" i="2"/>
  <c r="N679" i="2"/>
  <c r="N693" i="2"/>
  <c r="N664" i="2"/>
  <c r="N346" i="2"/>
  <c r="N674" i="2"/>
  <c r="N398" i="2"/>
  <c r="N680" i="2"/>
  <c r="N355" i="2"/>
  <c r="N663" i="2"/>
  <c r="N354" i="2"/>
  <c r="N696" i="2"/>
  <c r="N665" i="2"/>
  <c r="N358" i="2"/>
  <c r="N348" i="2"/>
  <c r="N692" i="2"/>
  <c r="N347" i="2"/>
  <c r="N353" i="2"/>
  <c r="N694" i="2"/>
  <c r="N678" i="2"/>
  <c r="N351" i="2"/>
  <c r="N683" i="2"/>
  <c r="N359" i="2"/>
  <c r="N356" i="2"/>
  <c r="N350" i="2"/>
  <c r="N695" i="2"/>
  <c r="N676" i="2"/>
  <c r="C46" i="91"/>
  <c r="F765" i="58" l="1"/>
  <c r="E765" i="58"/>
  <c r="F611" i="58"/>
  <c r="J765" i="58" l="1"/>
  <c r="J611" i="58"/>
  <c r="F326" i="58"/>
  <c r="F325" i="58"/>
  <c r="F324" i="58"/>
  <c r="F323" i="58"/>
  <c r="F322" i="58"/>
  <c r="F321" i="58"/>
  <c r="E327" i="58"/>
  <c r="E326" i="58"/>
  <c r="E325" i="58"/>
  <c r="E324" i="58"/>
  <c r="E323" i="58"/>
  <c r="E322" i="58"/>
  <c r="E321" i="58"/>
  <c r="E243" i="58"/>
  <c r="E247" i="58"/>
  <c r="E246" i="58"/>
  <c r="E245" i="58"/>
  <c r="E242" i="58"/>
  <c r="E241" i="58"/>
  <c r="E237" i="58"/>
  <c r="E240" i="58"/>
  <c r="F133" i="58"/>
  <c r="E133" i="58"/>
  <c r="F132" i="58"/>
  <c r="E132" i="58"/>
  <c r="F131" i="58"/>
  <c r="E131" i="58"/>
  <c r="F130" i="58"/>
  <c r="E130" i="58"/>
  <c r="F129" i="58"/>
  <c r="E129" i="58"/>
  <c r="F128" i="58"/>
  <c r="E128" i="58"/>
  <c r="F127" i="58"/>
  <c r="E127" i="58"/>
  <c r="F126" i="58"/>
  <c r="E126" i="58"/>
  <c r="F125" i="58"/>
  <c r="E125" i="58"/>
  <c r="F124" i="58"/>
  <c r="E124" i="58"/>
  <c r="F123" i="58"/>
  <c r="E123" i="58"/>
  <c r="F122" i="58"/>
  <c r="E122" i="58"/>
  <c r="F121" i="58"/>
  <c r="E121" i="58"/>
  <c r="F120" i="58"/>
  <c r="E120" i="58"/>
  <c r="F119" i="58"/>
  <c r="E119" i="58"/>
  <c r="F118" i="58"/>
  <c r="E118" i="58"/>
  <c r="F117" i="58"/>
  <c r="E117" i="58"/>
  <c r="J324" i="58" l="1"/>
  <c r="J122" i="58"/>
  <c r="J118" i="58"/>
  <c r="J323" i="58"/>
  <c r="J322" i="58"/>
  <c r="J119" i="58"/>
  <c r="J123" i="58"/>
  <c r="J321" i="58"/>
  <c r="J325" i="58"/>
  <c r="J326" i="58"/>
  <c r="J131" i="58"/>
  <c r="J127" i="58"/>
  <c r="J130" i="58"/>
  <c r="J124" i="58"/>
  <c r="J120" i="58"/>
  <c r="J129" i="58"/>
  <c r="J128" i="58"/>
  <c r="J117" i="58"/>
  <c r="J121" i="58"/>
  <c r="J132" i="58"/>
  <c r="J125" i="58"/>
  <c r="J133" i="58"/>
  <c r="J126" i="58"/>
  <c r="O212" i="66" l="1"/>
  <c r="C149" i="89" l="1"/>
  <c r="C151" i="89"/>
  <c r="C150" i="89"/>
  <c r="C148" i="89"/>
  <c r="C152" i="89" l="1"/>
  <c r="M235" i="93"/>
  <c r="F235" i="93"/>
  <c r="E235" i="93"/>
  <c r="K235" i="93" l="1"/>
  <c r="J235" i="93"/>
  <c r="N235" i="93" l="1"/>
  <c r="J29" i="87"/>
  <c r="J33" i="87" s="1"/>
  <c r="J37" i="87" s="1"/>
  <c r="J40" i="87" s="1"/>
  <c r="D71" i="6" l="1"/>
  <c r="D70" i="6"/>
  <c r="D69" i="6"/>
  <c r="E216" i="86" l="1"/>
  <c r="D11" i="87"/>
  <c r="H187" i="87" l="1"/>
  <c r="E140" i="86"/>
  <c r="E139" i="86"/>
  <c r="E138" i="86"/>
  <c r="E137" i="86"/>
  <c r="E136" i="86"/>
  <c r="E135" i="86"/>
  <c r="E42" i="87" s="1"/>
  <c r="E134" i="86"/>
  <c r="E133" i="86"/>
  <c r="E132" i="86"/>
  <c r="E131" i="86"/>
  <c r="E130" i="86"/>
  <c r="E129" i="86"/>
  <c r="E128" i="86"/>
  <c r="E127" i="86"/>
  <c r="E149" i="86"/>
  <c r="E153" i="86"/>
  <c r="E148" i="86"/>
  <c r="E150" i="86"/>
  <c r="M66" i="87" l="1"/>
  <c r="M67" i="87" s="1"/>
  <c r="E155" i="86"/>
  <c r="E114" i="86"/>
  <c r="E239" i="54" l="1"/>
  <c r="H259" i="55" s="1"/>
  <c r="M255" i="54"/>
  <c r="F255" i="54"/>
  <c r="D119" i="55"/>
  <c r="D118" i="55"/>
  <c r="K255" i="54" l="1"/>
  <c r="J255" i="54"/>
  <c r="N255" i="54" l="1"/>
  <c r="M47" i="93"/>
  <c r="F54" i="94" s="1"/>
  <c r="E47" i="93"/>
  <c r="M113" i="93"/>
  <c r="K113" i="93" s="1"/>
  <c r="F113" i="93"/>
  <c r="E113" i="93"/>
  <c r="M112" i="93"/>
  <c r="K112" i="93" s="1"/>
  <c r="F112" i="93"/>
  <c r="E112" i="93"/>
  <c r="M111" i="93"/>
  <c r="K111" i="93" s="1"/>
  <c r="F111" i="93"/>
  <c r="E111" i="93"/>
  <c r="H72" i="94" l="1"/>
  <c r="E54" i="94"/>
  <c r="E56" i="94" s="1"/>
  <c r="J112" i="93"/>
  <c r="J111" i="93"/>
  <c r="J113" i="93"/>
  <c r="N111" i="93" l="1"/>
  <c r="N113" i="93"/>
  <c r="N112" i="93"/>
  <c r="F127" i="54"/>
  <c r="F429" i="54" l="1"/>
  <c r="J429" i="54" l="1"/>
  <c r="K7" i="94"/>
  <c r="K6" i="94"/>
  <c r="I5" i="94"/>
  <c r="D39" i="94"/>
  <c r="D40" i="94"/>
  <c r="I9" i="94" l="1"/>
  <c r="I16" i="94" s="1"/>
  <c r="I24" i="94" s="1"/>
  <c r="I31" i="94" s="1"/>
  <c r="I35" i="94" s="1"/>
  <c r="E127" i="54"/>
  <c r="M148" i="54"/>
  <c r="K148" i="54" s="1"/>
  <c r="F148" i="54"/>
  <c r="E148" i="54"/>
  <c r="E129" i="54"/>
  <c r="E126" i="54"/>
  <c r="H227" i="55" l="1"/>
  <c r="J148" i="54"/>
  <c r="N148" i="54" l="1"/>
  <c r="M277" i="60"/>
  <c r="F277" i="60"/>
  <c r="K277" i="60" l="1"/>
  <c r="AB277" i="60" s="1"/>
  <c r="J277" i="60"/>
  <c r="N277" i="60" l="1"/>
  <c r="K360" i="2" l="1"/>
  <c r="J499" i="2" l="1"/>
  <c r="D166" i="6"/>
  <c r="D165" i="6"/>
  <c r="K499" i="2" l="1"/>
  <c r="E13" i="67" l="1"/>
  <c r="J13" i="67" s="1"/>
  <c r="E12" i="67"/>
  <c r="J12" i="67" s="1"/>
  <c r="K368" i="2" l="1"/>
  <c r="K362" i="2"/>
  <c r="K361" i="2" l="1"/>
  <c r="K364" i="2"/>
  <c r="K367" i="2"/>
  <c r="K365" i="2"/>
  <c r="K363" i="2"/>
  <c r="K366" i="2"/>
  <c r="J362" i="2"/>
  <c r="N362" i="2" s="1"/>
  <c r="J361" i="2"/>
  <c r="J365" i="2"/>
  <c r="J368" i="2"/>
  <c r="N368" i="2" s="1"/>
  <c r="J364" i="2"/>
  <c r="N361" i="2" l="1"/>
  <c r="N364" i="2"/>
  <c r="K165" i="2"/>
  <c r="K166" i="2"/>
  <c r="K62" i="2"/>
  <c r="N365" i="2"/>
  <c r="K30" i="67" l="1"/>
  <c r="K29" i="67"/>
  <c r="E288" i="54"/>
  <c r="E287" i="54"/>
  <c r="E286" i="54"/>
  <c r="E285" i="54"/>
  <c r="E284" i="54"/>
  <c r="E281" i="54"/>
  <c r="H248" i="55" s="1"/>
  <c r="E280" i="54"/>
  <c r="H247" i="55" s="1"/>
  <c r="E283" i="54"/>
  <c r="E282" i="54"/>
  <c r="E279" i="54"/>
  <c r="E278" i="54"/>
  <c r="H251" i="55" l="1"/>
  <c r="H250" i="55"/>
  <c r="H245" i="55"/>
  <c r="H249" i="55"/>
  <c r="H244" i="55"/>
  <c r="H252" i="55"/>
  <c r="H253" i="55"/>
  <c r="H246" i="55"/>
  <c r="M234" i="93"/>
  <c r="F234" i="93"/>
  <c r="E234" i="93"/>
  <c r="K234" i="93" l="1"/>
  <c r="J234" i="93"/>
  <c r="D35" i="87"/>
  <c r="D34" i="87"/>
  <c r="E159" i="86"/>
  <c r="N234" i="93" l="1"/>
  <c r="C13" i="101"/>
  <c r="D36" i="95"/>
  <c r="C36" i="95"/>
  <c r="C3" i="95"/>
  <c r="D36" i="94"/>
  <c r="D34" i="94"/>
  <c r="D33" i="94"/>
  <c r="D31" i="94"/>
  <c r="D30" i="94"/>
  <c r="D24" i="94"/>
  <c r="D23" i="94"/>
  <c r="D22" i="94"/>
  <c r="D20" i="94"/>
  <c r="D18" i="94"/>
  <c r="D16" i="94"/>
  <c r="D15" i="94"/>
  <c r="D14" i="94"/>
  <c r="D12" i="94"/>
  <c r="D11" i="94"/>
  <c r="D10" i="94"/>
  <c r="D8" i="94"/>
  <c r="B7" i="94"/>
  <c r="B13" i="94" s="1"/>
  <c r="B19" i="94" s="1"/>
  <c r="B25" i="94" s="1"/>
  <c r="B29" i="94" s="1"/>
  <c r="B32" i="94" s="1"/>
  <c r="B35" i="94" s="1"/>
  <c r="D6" i="94"/>
  <c r="D5" i="94"/>
  <c r="I347" i="93"/>
  <c r="H347" i="93"/>
  <c r="G347" i="93"/>
  <c r="M346" i="93"/>
  <c r="F346" i="93"/>
  <c r="E346" i="93"/>
  <c r="M345" i="93"/>
  <c r="I170" i="94" s="1"/>
  <c r="E345" i="93"/>
  <c r="H170" i="94" s="1"/>
  <c r="M343" i="93"/>
  <c r="I167" i="94" s="1"/>
  <c r="F343" i="93"/>
  <c r="E343" i="93"/>
  <c r="H167" i="94" s="1"/>
  <c r="I339" i="93"/>
  <c r="H339" i="93"/>
  <c r="G339" i="93"/>
  <c r="M336" i="93"/>
  <c r="E336" i="93"/>
  <c r="H173" i="94" s="1"/>
  <c r="I300" i="93"/>
  <c r="H300" i="93"/>
  <c r="G300" i="93"/>
  <c r="M298" i="93"/>
  <c r="E298" i="93"/>
  <c r="M294" i="93"/>
  <c r="K294" i="93" s="1"/>
  <c r="F294" i="93"/>
  <c r="E294" i="93"/>
  <c r="M289" i="93"/>
  <c r="E289" i="93"/>
  <c r="M288" i="93"/>
  <c r="K288" i="93" s="1"/>
  <c r="F288" i="93"/>
  <c r="E288" i="93"/>
  <c r="M287" i="93"/>
  <c r="F287" i="93"/>
  <c r="E287" i="93"/>
  <c r="M282" i="93"/>
  <c r="K282" i="93" s="1"/>
  <c r="F282" i="93"/>
  <c r="E282" i="93"/>
  <c r="M279" i="93"/>
  <c r="K279" i="93" s="1"/>
  <c r="E279" i="93"/>
  <c r="M275" i="93"/>
  <c r="F275" i="93"/>
  <c r="E275" i="93"/>
  <c r="M274" i="93"/>
  <c r="E274" i="93"/>
  <c r="M273" i="93"/>
  <c r="E273" i="93"/>
  <c r="M272" i="93"/>
  <c r="E272" i="93"/>
  <c r="M271" i="93"/>
  <c r="F271" i="93"/>
  <c r="E271" i="93"/>
  <c r="M270" i="93"/>
  <c r="F270" i="93"/>
  <c r="E270" i="93"/>
  <c r="I263" i="93"/>
  <c r="I332" i="93" s="1"/>
  <c r="H263" i="93"/>
  <c r="H332" i="93" s="1"/>
  <c r="G263" i="93"/>
  <c r="G332" i="93" s="1"/>
  <c r="M258" i="93"/>
  <c r="E258" i="93"/>
  <c r="M256" i="93"/>
  <c r="E256" i="93"/>
  <c r="M253" i="93"/>
  <c r="F253" i="93"/>
  <c r="E253" i="93"/>
  <c r="M252" i="93"/>
  <c r="K252" i="93" s="1"/>
  <c r="E252" i="93"/>
  <c r="M251" i="93"/>
  <c r="K251" i="93" s="1"/>
  <c r="F251" i="93"/>
  <c r="E251" i="93"/>
  <c r="I240" i="93"/>
  <c r="H240" i="93"/>
  <c r="G240" i="93"/>
  <c r="M238" i="93"/>
  <c r="E238" i="93"/>
  <c r="M236" i="93"/>
  <c r="F236" i="93"/>
  <c r="E236" i="93"/>
  <c r="M233" i="93"/>
  <c r="F233" i="93"/>
  <c r="E233" i="93"/>
  <c r="M232" i="93"/>
  <c r="F232" i="93"/>
  <c r="E232" i="93"/>
  <c r="M231" i="93"/>
  <c r="F231" i="93"/>
  <c r="E231" i="93"/>
  <c r="M230" i="93"/>
  <c r="F230" i="93"/>
  <c r="E230" i="93"/>
  <c r="M229" i="93"/>
  <c r="F229" i="93"/>
  <c r="E229" i="93"/>
  <c r="M228" i="93"/>
  <c r="F228" i="93"/>
  <c r="E228" i="93"/>
  <c r="M227" i="93"/>
  <c r="F227" i="93"/>
  <c r="E227" i="93"/>
  <c r="M226" i="93"/>
  <c r="F226" i="93"/>
  <c r="E226" i="93"/>
  <c r="M223" i="93"/>
  <c r="F223" i="93"/>
  <c r="E223" i="93"/>
  <c r="I220" i="93"/>
  <c r="H220" i="93"/>
  <c r="G220" i="93"/>
  <c r="M219" i="93"/>
  <c r="F219" i="93"/>
  <c r="E219" i="93"/>
  <c r="M218" i="93"/>
  <c r="F218" i="93"/>
  <c r="E218" i="93"/>
  <c r="M216" i="93"/>
  <c r="F216" i="93"/>
  <c r="E216" i="93"/>
  <c r="M214" i="93"/>
  <c r="K214" i="93"/>
  <c r="J214" i="93"/>
  <c r="I214" i="93"/>
  <c r="H214" i="93"/>
  <c r="G214" i="93"/>
  <c r="F214" i="93"/>
  <c r="E214" i="93"/>
  <c r="M211" i="93"/>
  <c r="K211" i="93"/>
  <c r="J211" i="93"/>
  <c r="I211" i="93"/>
  <c r="H211" i="93"/>
  <c r="G211" i="93"/>
  <c r="F211" i="93"/>
  <c r="E211" i="93"/>
  <c r="I204" i="93"/>
  <c r="H204" i="93"/>
  <c r="G204" i="93"/>
  <c r="M202" i="93"/>
  <c r="E202" i="93"/>
  <c r="M199" i="93"/>
  <c r="F199" i="93"/>
  <c r="E199" i="93"/>
  <c r="M198" i="93"/>
  <c r="F198" i="93"/>
  <c r="E198" i="93"/>
  <c r="M196" i="93"/>
  <c r="E196" i="93"/>
  <c r="M195" i="93"/>
  <c r="F195" i="93"/>
  <c r="E195" i="93"/>
  <c r="M192" i="93"/>
  <c r="E192" i="93"/>
  <c r="M190" i="93"/>
  <c r="F190" i="93"/>
  <c r="E190" i="93"/>
  <c r="M188" i="93"/>
  <c r="K188" i="93" s="1"/>
  <c r="F188" i="93"/>
  <c r="E188" i="93"/>
  <c r="M184" i="93"/>
  <c r="E184" i="93"/>
  <c r="M187" i="93"/>
  <c r="E187" i="93"/>
  <c r="M186" i="93"/>
  <c r="F186" i="93"/>
  <c r="E186" i="93"/>
  <c r="M185" i="93"/>
  <c r="E185" i="93"/>
  <c r="M183" i="93"/>
  <c r="F183" i="93"/>
  <c r="E183" i="93"/>
  <c r="I176" i="93"/>
  <c r="H176" i="93"/>
  <c r="G176" i="93"/>
  <c r="R165" i="93"/>
  <c r="M175" i="93"/>
  <c r="K367" i="93" s="1"/>
  <c r="E175" i="93"/>
  <c r="J367" i="93" s="1"/>
  <c r="M367" i="93" s="1"/>
  <c r="I166" i="93"/>
  <c r="H166" i="93"/>
  <c r="G166" i="93"/>
  <c r="M164" i="93"/>
  <c r="M166" i="93" s="1"/>
  <c r="F164" i="93"/>
  <c r="F166" i="93" s="1"/>
  <c r="E164" i="93"/>
  <c r="I161" i="93"/>
  <c r="H161" i="93"/>
  <c r="G161" i="93"/>
  <c r="M159" i="93"/>
  <c r="K159" i="93" s="1"/>
  <c r="E159" i="93"/>
  <c r="H73" i="94" s="1"/>
  <c r="I157" i="93"/>
  <c r="H157" i="93"/>
  <c r="G157" i="93"/>
  <c r="M155" i="93"/>
  <c r="E155" i="93"/>
  <c r="M146" i="93"/>
  <c r="M148" i="93" s="1"/>
  <c r="F146" i="93"/>
  <c r="F148" i="93" s="1"/>
  <c r="E146" i="93"/>
  <c r="I143" i="93"/>
  <c r="I148" i="93" s="1"/>
  <c r="H143" i="93"/>
  <c r="H148" i="93" s="1"/>
  <c r="G143" i="93"/>
  <c r="G148" i="93" s="1"/>
  <c r="M141" i="93"/>
  <c r="E141" i="93"/>
  <c r="M139" i="93"/>
  <c r="F139" i="93"/>
  <c r="E139" i="93"/>
  <c r="M138" i="93"/>
  <c r="F138" i="93"/>
  <c r="E138" i="93"/>
  <c r="M136" i="93"/>
  <c r="K136" i="93"/>
  <c r="J136" i="93"/>
  <c r="I136" i="93"/>
  <c r="H136" i="93"/>
  <c r="G136" i="93"/>
  <c r="F136" i="93"/>
  <c r="E136" i="93"/>
  <c r="M132" i="93"/>
  <c r="K132" i="93"/>
  <c r="J132" i="93"/>
  <c r="I132" i="93"/>
  <c r="H132" i="93"/>
  <c r="G132" i="93"/>
  <c r="F132" i="93"/>
  <c r="E132" i="93"/>
  <c r="I128" i="93"/>
  <c r="H128" i="93"/>
  <c r="G128" i="93"/>
  <c r="M124" i="93"/>
  <c r="F124" i="93"/>
  <c r="E124" i="93"/>
  <c r="M123" i="93"/>
  <c r="E123" i="93"/>
  <c r="M122" i="93"/>
  <c r="K122" i="93" s="1"/>
  <c r="F122" i="93"/>
  <c r="E122" i="93"/>
  <c r="M121" i="93"/>
  <c r="F121" i="93"/>
  <c r="E121" i="93"/>
  <c r="M120" i="93"/>
  <c r="F120" i="93"/>
  <c r="E120" i="93"/>
  <c r="M119" i="93"/>
  <c r="F119" i="93"/>
  <c r="E119" i="93"/>
  <c r="I117" i="93"/>
  <c r="H117" i="93"/>
  <c r="G117" i="93"/>
  <c r="M114" i="93"/>
  <c r="K114" i="93" s="1"/>
  <c r="F114" i="93"/>
  <c r="E114" i="93"/>
  <c r="M92" i="93"/>
  <c r="F92" i="93"/>
  <c r="E92" i="93"/>
  <c r="M88" i="93"/>
  <c r="K88" i="93"/>
  <c r="J88" i="93"/>
  <c r="I88" i="93"/>
  <c r="H88" i="93"/>
  <c r="G88" i="93"/>
  <c r="F88" i="93"/>
  <c r="E88" i="93"/>
  <c r="I74" i="93"/>
  <c r="H74" i="93"/>
  <c r="G74" i="93"/>
  <c r="M72" i="93"/>
  <c r="M74" i="93" s="1"/>
  <c r="F72" i="93"/>
  <c r="F74" i="93" s="1"/>
  <c r="E72" i="93"/>
  <c r="H75" i="94" s="1"/>
  <c r="I70" i="93"/>
  <c r="H70" i="93"/>
  <c r="G70" i="93"/>
  <c r="M68" i="93"/>
  <c r="M70" i="93" s="1"/>
  <c r="F68" i="93"/>
  <c r="F70" i="93" s="1"/>
  <c r="E68" i="93"/>
  <c r="H74" i="94" s="1"/>
  <c r="M62" i="93"/>
  <c r="K62" i="93"/>
  <c r="J62" i="93"/>
  <c r="I62" i="93"/>
  <c r="H62" i="93"/>
  <c r="G62" i="93"/>
  <c r="F62" i="93"/>
  <c r="E62" i="93"/>
  <c r="I57" i="93"/>
  <c r="H57" i="93"/>
  <c r="G57" i="93"/>
  <c r="M55" i="93"/>
  <c r="M57" i="93" s="1"/>
  <c r="E55" i="93"/>
  <c r="H71" i="94" s="1"/>
  <c r="M52" i="93"/>
  <c r="K52" i="93"/>
  <c r="J52" i="93"/>
  <c r="I52" i="93"/>
  <c r="H52" i="93"/>
  <c r="G52" i="93"/>
  <c r="F52" i="93"/>
  <c r="E52" i="93"/>
  <c r="M49" i="93"/>
  <c r="I49" i="93"/>
  <c r="H49" i="93"/>
  <c r="G49" i="93"/>
  <c r="E49" i="93"/>
  <c r="I45" i="93"/>
  <c r="H45" i="93"/>
  <c r="G45" i="93"/>
  <c r="M37" i="93"/>
  <c r="F37" i="93"/>
  <c r="E37" i="93"/>
  <c r="M36" i="93"/>
  <c r="F36" i="93"/>
  <c r="E36" i="93"/>
  <c r="M35" i="93"/>
  <c r="K35" i="93" s="1"/>
  <c r="F35" i="93"/>
  <c r="E35" i="93"/>
  <c r="M31" i="93"/>
  <c r="K31" i="93"/>
  <c r="J31" i="93"/>
  <c r="I31" i="93"/>
  <c r="H31" i="93"/>
  <c r="G31" i="93"/>
  <c r="F31" i="93"/>
  <c r="E31" i="93"/>
  <c r="M23" i="93"/>
  <c r="K23" i="93"/>
  <c r="J23" i="93"/>
  <c r="I23" i="93"/>
  <c r="H23" i="93"/>
  <c r="G23" i="93"/>
  <c r="F23" i="93"/>
  <c r="E23" i="93"/>
  <c r="M20" i="93"/>
  <c r="K20" i="93"/>
  <c r="J20" i="93"/>
  <c r="I20" i="93"/>
  <c r="H20" i="93"/>
  <c r="G20" i="93"/>
  <c r="F20" i="93"/>
  <c r="E20" i="93"/>
  <c r="M17" i="93"/>
  <c r="K17" i="93"/>
  <c r="J17" i="93"/>
  <c r="I17" i="93"/>
  <c r="H17" i="93"/>
  <c r="G17" i="93"/>
  <c r="F17" i="93"/>
  <c r="E17" i="93"/>
  <c r="M13" i="93"/>
  <c r="K13" i="93"/>
  <c r="J13" i="93"/>
  <c r="I13" i="93"/>
  <c r="H13" i="93"/>
  <c r="G13" i="93"/>
  <c r="F13" i="93"/>
  <c r="E13" i="93"/>
  <c r="I10" i="93"/>
  <c r="H10" i="93"/>
  <c r="G10" i="93"/>
  <c r="M9" i="93"/>
  <c r="M10" i="93" s="1"/>
  <c r="F9" i="93"/>
  <c r="F10" i="93" s="1"/>
  <c r="E9" i="93"/>
  <c r="H70" i="94" s="1"/>
  <c r="B9" i="93"/>
  <c r="E3" i="93"/>
  <c r="O2" i="93"/>
  <c r="C3" i="88"/>
  <c r="B1" i="88"/>
  <c r="C5" i="97"/>
  <c r="C7" i="97" s="1"/>
  <c r="C13" i="97" s="1"/>
  <c r="B5" i="97"/>
  <c r="B7" i="97" s="1"/>
  <c r="B13" i="97" s="1"/>
  <c r="D4" i="97"/>
  <c r="D32" i="87"/>
  <c r="D31" i="87"/>
  <c r="D29" i="87"/>
  <c r="D28" i="87"/>
  <c r="D26" i="87"/>
  <c r="D25" i="87"/>
  <c r="D24" i="87"/>
  <c r="D22" i="87"/>
  <c r="B21" i="87"/>
  <c r="B27" i="87" s="1"/>
  <c r="B30" i="87" s="1"/>
  <c r="B33" i="87" s="1"/>
  <c r="B36" i="87" s="1"/>
  <c r="D20" i="87"/>
  <c r="D19" i="87"/>
  <c r="C18" i="87"/>
  <c r="D16" i="87"/>
  <c r="D15" i="87"/>
  <c r="D14" i="87"/>
  <c r="D12" i="87"/>
  <c r="D10" i="87"/>
  <c r="B9" i="87"/>
  <c r="B13" i="87" s="1"/>
  <c r="D8" i="87"/>
  <c r="D6" i="87"/>
  <c r="B2" i="87"/>
  <c r="I324" i="86"/>
  <c r="H324" i="86"/>
  <c r="G324" i="86"/>
  <c r="I207" i="87"/>
  <c r="I301" i="86"/>
  <c r="H301" i="86"/>
  <c r="G301" i="86"/>
  <c r="I283" i="86"/>
  <c r="H283" i="86"/>
  <c r="G283" i="86"/>
  <c r="I266" i="86"/>
  <c r="H266" i="86"/>
  <c r="G266" i="86"/>
  <c r="E260" i="86"/>
  <c r="H194" i="87" s="1"/>
  <c r="I240" i="86"/>
  <c r="H240" i="86"/>
  <c r="G240" i="86"/>
  <c r="I233" i="86"/>
  <c r="H233" i="86"/>
  <c r="G233" i="86"/>
  <c r="M228" i="86"/>
  <c r="K228" i="86"/>
  <c r="J228" i="86"/>
  <c r="I228" i="86"/>
  <c r="H228" i="86"/>
  <c r="G228" i="86"/>
  <c r="F228" i="86"/>
  <c r="E228" i="86"/>
  <c r="M225" i="86"/>
  <c r="K225" i="86"/>
  <c r="J225" i="86"/>
  <c r="I225" i="86"/>
  <c r="H225" i="86"/>
  <c r="G225" i="86"/>
  <c r="F225" i="86"/>
  <c r="E225" i="86"/>
  <c r="I218" i="86"/>
  <c r="H218" i="86"/>
  <c r="G218" i="86"/>
  <c r="E213" i="86"/>
  <c r="E210" i="86"/>
  <c r="E204" i="86"/>
  <c r="O92" i="66" s="1"/>
  <c r="E203" i="86"/>
  <c r="H176" i="87" s="1"/>
  <c r="I198" i="86"/>
  <c r="H198" i="86"/>
  <c r="G198" i="86"/>
  <c r="I172" i="86"/>
  <c r="H172" i="86"/>
  <c r="G172" i="86"/>
  <c r="M172" i="86"/>
  <c r="E170" i="86"/>
  <c r="I167" i="86"/>
  <c r="H167" i="86"/>
  <c r="G167" i="86"/>
  <c r="E165" i="86"/>
  <c r="H133" i="87" s="1"/>
  <c r="B165" i="86"/>
  <c r="M164" i="86"/>
  <c r="E164" i="86"/>
  <c r="B164" i="86"/>
  <c r="M161" i="86"/>
  <c r="I161" i="86"/>
  <c r="H161" i="86"/>
  <c r="G161" i="86"/>
  <c r="E161" i="86"/>
  <c r="I146" i="86"/>
  <c r="H146" i="86"/>
  <c r="G146" i="86"/>
  <c r="E145" i="86"/>
  <c r="I143" i="86"/>
  <c r="H143" i="86"/>
  <c r="G143" i="86"/>
  <c r="M125" i="86"/>
  <c r="K125" i="86"/>
  <c r="J125" i="86"/>
  <c r="I125" i="86"/>
  <c r="H125" i="86"/>
  <c r="G125" i="86"/>
  <c r="F125" i="86"/>
  <c r="E125" i="86"/>
  <c r="M121" i="86"/>
  <c r="K121" i="86"/>
  <c r="J121" i="86"/>
  <c r="I121" i="86"/>
  <c r="H121" i="86"/>
  <c r="G121" i="86"/>
  <c r="F121" i="86"/>
  <c r="E121" i="86"/>
  <c r="I117" i="86"/>
  <c r="H117" i="86"/>
  <c r="G117" i="86"/>
  <c r="E115" i="86"/>
  <c r="E111" i="86"/>
  <c r="D111" i="86"/>
  <c r="B111" i="86"/>
  <c r="E112" i="86"/>
  <c r="D112" i="86"/>
  <c r="B112" i="86"/>
  <c r="E113" i="86"/>
  <c r="D113" i="86"/>
  <c r="B113" i="86"/>
  <c r="I106" i="86"/>
  <c r="H106" i="86"/>
  <c r="G106" i="86"/>
  <c r="E103" i="86"/>
  <c r="E96" i="86"/>
  <c r="M92" i="86"/>
  <c r="K92" i="86"/>
  <c r="J92" i="86"/>
  <c r="I92" i="86"/>
  <c r="H92" i="86"/>
  <c r="G92" i="86"/>
  <c r="F92" i="86"/>
  <c r="E92" i="86"/>
  <c r="I85" i="86"/>
  <c r="H85" i="86"/>
  <c r="G85" i="86"/>
  <c r="E83" i="86"/>
  <c r="M77" i="86"/>
  <c r="K77" i="86"/>
  <c r="J77" i="86"/>
  <c r="I77" i="86"/>
  <c r="H77" i="86"/>
  <c r="G77" i="86"/>
  <c r="F77" i="86"/>
  <c r="E77" i="86"/>
  <c r="M73" i="86"/>
  <c r="M79" i="86" s="1"/>
  <c r="M80" i="86" s="1"/>
  <c r="K73" i="86"/>
  <c r="J73" i="86"/>
  <c r="J79" i="86" s="1"/>
  <c r="J80" i="86" s="1"/>
  <c r="I73" i="86"/>
  <c r="H73" i="86"/>
  <c r="H79" i="86" s="1"/>
  <c r="H80" i="86" s="1"/>
  <c r="G73" i="86"/>
  <c r="G79" i="86" s="1"/>
  <c r="G80" i="86" s="1"/>
  <c r="F73" i="86"/>
  <c r="F79" i="86" s="1"/>
  <c r="F80" i="86" s="1"/>
  <c r="E73" i="86"/>
  <c r="M65" i="86"/>
  <c r="K65" i="86"/>
  <c r="J65" i="86"/>
  <c r="I65" i="86"/>
  <c r="H65" i="86"/>
  <c r="G65" i="86"/>
  <c r="F65" i="86"/>
  <c r="E65" i="86"/>
  <c r="I60" i="86"/>
  <c r="H60" i="86"/>
  <c r="G60" i="86"/>
  <c r="E59" i="86"/>
  <c r="H130" i="87" s="1"/>
  <c r="E58" i="86"/>
  <c r="M55" i="86"/>
  <c r="K55" i="86"/>
  <c r="J55" i="86"/>
  <c r="I55" i="86"/>
  <c r="H55" i="86"/>
  <c r="G55" i="86"/>
  <c r="F55" i="86"/>
  <c r="E55" i="86"/>
  <c r="I52" i="86" a="1"/>
  <c r="I52" i="86" s="1"/>
  <c r="H52" i="86" a="1"/>
  <c r="H52" i="86" s="1"/>
  <c r="G52" i="86" a="1"/>
  <c r="G52" i="86" s="1"/>
  <c r="E52" i="86" a="1"/>
  <c r="E52" i="86" s="1"/>
  <c r="M52" i="86" a="1"/>
  <c r="M52" i="86" s="1"/>
  <c r="B166" i="86"/>
  <c r="M48" i="86"/>
  <c r="I48" i="86"/>
  <c r="H48" i="86"/>
  <c r="G48" i="86"/>
  <c r="E48" i="86"/>
  <c r="I42" i="86"/>
  <c r="H42" i="86"/>
  <c r="G42" i="86"/>
  <c r="H134" i="87"/>
  <c r="M27" i="86"/>
  <c r="K27" i="86"/>
  <c r="J27" i="86"/>
  <c r="I27" i="86"/>
  <c r="H27" i="86"/>
  <c r="G27" i="86"/>
  <c r="F27" i="86"/>
  <c r="E27" i="86"/>
  <c r="M24" i="86"/>
  <c r="K24" i="86"/>
  <c r="J24" i="86"/>
  <c r="I24" i="86"/>
  <c r="H24" i="86"/>
  <c r="G24" i="86"/>
  <c r="F24" i="86"/>
  <c r="E24" i="86"/>
  <c r="M21" i="86"/>
  <c r="K21" i="86"/>
  <c r="J21" i="86"/>
  <c r="I21" i="86"/>
  <c r="H21" i="86"/>
  <c r="G21" i="86"/>
  <c r="F21" i="86"/>
  <c r="E21" i="86"/>
  <c r="M17" i="86"/>
  <c r="K17" i="86"/>
  <c r="J17" i="86"/>
  <c r="I17" i="86"/>
  <c r="H17" i="86"/>
  <c r="G17" i="86"/>
  <c r="F17" i="86"/>
  <c r="E17" i="86"/>
  <c r="M14" i="86"/>
  <c r="K14" i="86"/>
  <c r="J14" i="86"/>
  <c r="I14" i="86"/>
  <c r="H14" i="86"/>
  <c r="G14" i="86"/>
  <c r="F14" i="86"/>
  <c r="E14" i="86"/>
  <c r="I10" i="86"/>
  <c r="H10" i="86"/>
  <c r="G10" i="86"/>
  <c r="M9" i="86"/>
  <c r="M10" i="86" s="1"/>
  <c r="E9" i="86"/>
  <c r="H129" i="87" s="1"/>
  <c r="B9" i="86"/>
  <c r="E2" i="86"/>
  <c r="K133" i="46"/>
  <c r="K132" i="46"/>
  <c r="K131" i="46"/>
  <c r="B125" i="46"/>
  <c r="C120" i="46"/>
  <c r="P118" i="46"/>
  <c r="P122" i="46" s="1"/>
  <c r="O118" i="46"/>
  <c r="O122" i="46" s="1"/>
  <c r="N118" i="46"/>
  <c r="N122" i="46" s="1"/>
  <c r="M118" i="46"/>
  <c r="C119" i="46" s="1"/>
  <c r="C126" i="46" s="1"/>
  <c r="L118" i="46"/>
  <c r="P115" i="46"/>
  <c r="O115" i="46"/>
  <c r="N115" i="46"/>
  <c r="M115" i="46"/>
  <c r="C127" i="46" s="1"/>
  <c r="C113" i="46"/>
  <c r="C112" i="46"/>
  <c r="C111" i="46"/>
  <c r="K102" i="46"/>
  <c r="K101" i="46"/>
  <c r="L100" i="46"/>
  <c r="K100" i="46"/>
  <c r="C94" i="46"/>
  <c r="B94" i="46"/>
  <c r="P91" i="46"/>
  <c r="O91" i="46"/>
  <c r="N91" i="46"/>
  <c r="M91" i="46"/>
  <c r="C89" i="46"/>
  <c r="C88" i="46"/>
  <c r="C95" i="46" s="1"/>
  <c r="C87" i="46"/>
  <c r="O84" i="46"/>
  <c r="N84" i="46"/>
  <c r="M84" i="46"/>
  <c r="L84" i="46"/>
  <c r="C96" i="46" s="1"/>
  <c r="C82" i="46"/>
  <c r="C81" i="46"/>
  <c r="C80" i="46"/>
  <c r="F66" i="46"/>
  <c r="N76" i="71"/>
  <c r="H46" i="71" s="1"/>
  <c r="K76" i="71"/>
  <c r="H48" i="71" s="1"/>
  <c r="N57" i="71"/>
  <c r="K57" i="71"/>
  <c r="H47" i="71" s="1"/>
  <c r="G57" i="71"/>
  <c r="B47" i="71"/>
  <c r="D45" i="71"/>
  <c r="B45" i="71"/>
  <c r="B43" i="71"/>
  <c r="B35" i="71"/>
  <c r="D47" i="71"/>
  <c r="I32" i="71"/>
  <c r="D49" i="71"/>
  <c r="B24" i="71"/>
  <c r="C13" i="71"/>
  <c r="D12" i="71" s="1"/>
  <c r="B13" i="71"/>
  <c r="B71" i="91"/>
  <c r="F412" i="58"/>
  <c r="J412" i="58" s="1"/>
  <c r="C150" i="57" s="1"/>
  <c r="C132" i="32"/>
  <c r="C130" i="32"/>
  <c r="C128" i="32"/>
  <c r="C127" i="32"/>
  <c r="C77" i="32"/>
  <c r="C73" i="32"/>
  <c r="C72" i="32"/>
  <c r="C71" i="32"/>
  <c r="C70" i="32"/>
  <c r="C69" i="32"/>
  <c r="C67" i="32"/>
  <c r="C66" i="32"/>
  <c r="C65" i="32"/>
  <c r="C64" i="32"/>
  <c r="C63" i="32"/>
  <c r="C61" i="32"/>
  <c r="C58" i="32"/>
  <c r="C57" i="32"/>
  <c r="C55" i="32"/>
  <c r="C54" i="32"/>
  <c r="C53" i="32"/>
  <c r="C52" i="32"/>
  <c r="C51" i="32"/>
  <c r="C49" i="32"/>
  <c r="C48" i="32"/>
  <c r="C47" i="32"/>
  <c r="C46" i="32"/>
  <c r="C45" i="32"/>
  <c r="C44" i="32"/>
  <c r="C42" i="32"/>
  <c r="C41" i="32"/>
  <c r="C39" i="32"/>
  <c r="C38" i="32"/>
  <c r="C36" i="32"/>
  <c r="C35" i="32"/>
  <c r="C33" i="32"/>
  <c r="C32" i="32"/>
  <c r="C27" i="32"/>
  <c r="C26" i="32"/>
  <c r="F578" i="58"/>
  <c r="C15" i="32"/>
  <c r="C14" i="32"/>
  <c r="C13" i="32"/>
  <c r="C12" i="32"/>
  <c r="C11" i="32"/>
  <c r="C10" i="32"/>
  <c r="A10" i="32"/>
  <c r="C8" i="32"/>
  <c r="C6" i="32"/>
  <c r="L1037" i="58"/>
  <c r="I1030" i="58"/>
  <c r="H1030" i="58"/>
  <c r="G1030" i="58"/>
  <c r="F1028" i="58"/>
  <c r="F1027" i="58"/>
  <c r="F1026" i="58"/>
  <c r="F1025" i="58"/>
  <c r="F1024" i="58"/>
  <c r="F1023" i="58"/>
  <c r="F1022" i="58"/>
  <c r="I1019" i="58"/>
  <c r="H1019" i="58"/>
  <c r="G1019" i="58"/>
  <c r="F1017" i="58"/>
  <c r="F1016" i="58"/>
  <c r="F1012" i="58"/>
  <c r="F1006" i="58"/>
  <c r="F1004" i="58"/>
  <c r="J1003" i="58"/>
  <c r="I999" i="58"/>
  <c r="H999" i="58"/>
  <c r="G999" i="58"/>
  <c r="F993" i="58"/>
  <c r="J993" i="58" s="1"/>
  <c r="F992" i="58"/>
  <c r="F991" i="58"/>
  <c r="F990" i="58"/>
  <c r="J990" i="58" s="1"/>
  <c r="F989" i="58"/>
  <c r="F988" i="58"/>
  <c r="F987" i="58"/>
  <c r="F982" i="58"/>
  <c r="F981" i="58"/>
  <c r="F980" i="58"/>
  <c r="F979" i="58"/>
  <c r="F978" i="58"/>
  <c r="F977" i="58"/>
  <c r="F976" i="58"/>
  <c r="F975" i="58"/>
  <c r="F972" i="58"/>
  <c r="F971" i="58"/>
  <c r="F970" i="58"/>
  <c r="F969" i="58"/>
  <c r="F968" i="58"/>
  <c r="F967" i="58"/>
  <c r="F965" i="58"/>
  <c r="E965" i="58"/>
  <c r="F964" i="58"/>
  <c r="E964" i="58"/>
  <c r="H585" i="32" s="1"/>
  <c r="F963" i="58"/>
  <c r="E963" i="58"/>
  <c r="F962" i="58"/>
  <c r="E962" i="58"/>
  <c r="F961" i="58"/>
  <c r="E961" i="58"/>
  <c r="F960" i="58"/>
  <c r="E960" i="58"/>
  <c r="F959" i="58"/>
  <c r="E959" i="58"/>
  <c r="F947" i="58"/>
  <c r="E947" i="58"/>
  <c r="F945" i="58"/>
  <c r="E945" i="58"/>
  <c r="F944" i="58"/>
  <c r="E944" i="58"/>
  <c r="F943" i="58"/>
  <c r="E943" i="58"/>
  <c r="F942" i="58"/>
  <c r="E942" i="58"/>
  <c r="F941" i="58"/>
  <c r="E941" i="58"/>
  <c r="F940" i="58"/>
  <c r="E940" i="58"/>
  <c r="F939" i="58"/>
  <c r="E939" i="58"/>
  <c r="F938" i="58"/>
  <c r="E938" i="58"/>
  <c r="F902" i="58"/>
  <c r="E902" i="58"/>
  <c r="F937" i="58"/>
  <c r="E937" i="58"/>
  <c r="F936" i="58"/>
  <c r="E936" i="58"/>
  <c r="F935" i="58"/>
  <c r="E935" i="58"/>
  <c r="F934" i="58"/>
  <c r="E934" i="58"/>
  <c r="F933" i="58"/>
  <c r="E933" i="58"/>
  <c r="F932" i="58"/>
  <c r="E932" i="58"/>
  <c r="F931" i="58"/>
  <c r="E931" i="58"/>
  <c r="F926" i="58"/>
  <c r="F913" i="58"/>
  <c r="F912" i="58"/>
  <c r="F911" i="58"/>
  <c r="F910" i="58"/>
  <c r="F909" i="58"/>
  <c r="F908" i="58"/>
  <c r="F907" i="58"/>
  <c r="F906" i="58"/>
  <c r="J906" i="58" s="1"/>
  <c r="F905" i="58"/>
  <c r="F904" i="58"/>
  <c r="F903" i="58"/>
  <c r="J903" i="58" s="1"/>
  <c r="F914" i="58"/>
  <c r="F901" i="58"/>
  <c r="F900" i="58"/>
  <c r="F899" i="58"/>
  <c r="F897" i="58"/>
  <c r="F896" i="58"/>
  <c r="F895" i="58"/>
  <c r="F894" i="58"/>
  <c r="F893" i="58"/>
  <c r="F892" i="58"/>
  <c r="F891" i="58"/>
  <c r="F890" i="58"/>
  <c r="F889" i="58"/>
  <c r="F888" i="58"/>
  <c r="F887" i="58"/>
  <c r="F886" i="58"/>
  <c r="F885" i="58"/>
  <c r="F884" i="58"/>
  <c r="F839" i="58"/>
  <c r="F857" i="58"/>
  <c r="J857" i="58" s="1"/>
  <c r="F873" i="58"/>
  <c r="F871" i="58"/>
  <c r="F869" i="58"/>
  <c r="F868" i="58"/>
  <c r="F856" i="58"/>
  <c r="F855" i="58"/>
  <c r="F854" i="58"/>
  <c r="F883" i="58"/>
  <c r="F882" i="58"/>
  <c r="J881" i="58"/>
  <c r="F876" i="58"/>
  <c r="F875" i="58"/>
  <c r="F866" i="58"/>
  <c r="F865" i="58"/>
  <c r="F861" i="58"/>
  <c r="F864" i="58"/>
  <c r="F863" i="58"/>
  <c r="F860" i="58"/>
  <c r="J860" i="58" s="1"/>
  <c r="F859" i="58"/>
  <c r="F853" i="58"/>
  <c r="F845" i="58"/>
  <c r="F841" i="58"/>
  <c r="F837" i="58"/>
  <c r="F836" i="58"/>
  <c r="F833" i="58"/>
  <c r="F832" i="58"/>
  <c r="F831" i="58"/>
  <c r="F829" i="58"/>
  <c r="F828" i="58"/>
  <c r="F810" i="58"/>
  <c r="F827" i="58"/>
  <c r="F898" i="58"/>
  <c r="J898" i="58" s="1"/>
  <c r="F802" i="58"/>
  <c r="F797" i="58"/>
  <c r="J797" i="58" s="1"/>
  <c r="F785" i="58"/>
  <c r="J785" i="58" s="1"/>
  <c r="F784" i="58"/>
  <c r="J784" i="58" s="1"/>
  <c r="F783" i="58"/>
  <c r="F826" i="58"/>
  <c r="F825" i="58"/>
  <c r="F824" i="58"/>
  <c r="F823" i="58"/>
  <c r="F822" i="58"/>
  <c r="F821" i="58"/>
  <c r="F820" i="58"/>
  <c r="F819" i="58"/>
  <c r="J819" i="58" s="1"/>
  <c r="F818" i="58"/>
  <c r="F817" i="58"/>
  <c r="F816" i="58"/>
  <c r="F815" i="58"/>
  <c r="F814" i="58"/>
  <c r="F813" i="58"/>
  <c r="F812" i="58"/>
  <c r="F803" i="58"/>
  <c r="F809" i="58"/>
  <c r="F808" i="58"/>
  <c r="F807" i="58"/>
  <c r="F806" i="58"/>
  <c r="J806" i="58" s="1"/>
  <c r="F801" i="58"/>
  <c r="F805" i="58"/>
  <c r="J805" i="58" s="1"/>
  <c r="F804" i="58"/>
  <c r="F800" i="58"/>
  <c r="F788" i="58"/>
  <c r="J788" i="58" s="1"/>
  <c r="F787" i="58"/>
  <c r="F786" i="58"/>
  <c r="F782" i="58"/>
  <c r="F781" i="58"/>
  <c r="J781" i="58" s="1"/>
  <c r="F799" i="58"/>
  <c r="F798" i="58"/>
  <c r="F796" i="58"/>
  <c r="J796" i="58" s="1"/>
  <c r="F794" i="58"/>
  <c r="J794" i="58" s="1"/>
  <c r="F793" i="58"/>
  <c r="F792" i="58"/>
  <c r="F791" i="58"/>
  <c r="F790" i="58"/>
  <c r="J790" i="58" s="1"/>
  <c r="F789" i="58"/>
  <c r="F779" i="58"/>
  <c r="F776" i="58"/>
  <c r="F775" i="58"/>
  <c r="I770" i="58"/>
  <c r="H770" i="58"/>
  <c r="G770" i="58"/>
  <c r="F768" i="58"/>
  <c r="E768" i="58"/>
  <c r="F766" i="58"/>
  <c r="E766" i="58"/>
  <c r="F764" i="58"/>
  <c r="E764" i="58"/>
  <c r="F763" i="58"/>
  <c r="E763" i="58"/>
  <c r="F762" i="58"/>
  <c r="E762" i="58"/>
  <c r="F761" i="58"/>
  <c r="E761" i="58"/>
  <c r="F760" i="58"/>
  <c r="E760" i="58"/>
  <c r="F759" i="58"/>
  <c r="E759" i="58"/>
  <c r="F758" i="58"/>
  <c r="E758" i="58"/>
  <c r="F757" i="58"/>
  <c r="E757" i="58"/>
  <c r="F756" i="58"/>
  <c r="E756" i="58"/>
  <c r="F755" i="58"/>
  <c r="E755" i="58"/>
  <c r="F754" i="58"/>
  <c r="E754" i="58"/>
  <c r="F753" i="58"/>
  <c r="E753" i="58"/>
  <c r="F752" i="58"/>
  <c r="E752" i="58"/>
  <c r="F748" i="58"/>
  <c r="E748" i="58"/>
  <c r="F744" i="58"/>
  <c r="F742" i="58"/>
  <c r="F741" i="58"/>
  <c r="F740" i="58"/>
  <c r="F739" i="58"/>
  <c r="F738" i="58"/>
  <c r="F737" i="58"/>
  <c r="F736" i="58"/>
  <c r="F735" i="58"/>
  <c r="F733" i="58"/>
  <c r="F732" i="58"/>
  <c r="F717" i="58"/>
  <c r="F716" i="58"/>
  <c r="F715" i="58"/>
  <c r="F714" i="58"/>
  <c r="F713" i="58"/>
  <c r="F712" i="58"/>
  <c r="F711" i="58"/>
  <c r="F710" i="58"/>
  <c r="F709" i="58"/>
  <c r="F708" i="58"/>
  <c r="F706" i="58"/>
  <c r="F705" i="58"/>
  <c r="F704" i="58"/>
  <c r="F703" i="58"/>
  <c r="M702" i="58"/>
  <c r="F702" i="58"/>
  <c r="F701" i="58"/>
  <c r="F700" i="58"/>
  <c r="F699" i="58"/>
  <c r="F698" i="58"/>
  <c r="F697" i="58"/>
  <c r="F696" i="58"/>
  <c r="F695" i="58"/>
  <c r="F694" i="58"/>
  <c r="F691" i="58"/>
  <c r="J691" i="58" s="1"/>
  <c r="F690" i="58"/>
  <c r="J690" i="58" s="1"/>
  <c r="F689" i="58"/>
  <c r="J689" i="58" s="1"/>
  <c r="F688" i="58"/>
  <c r="J688" i="58" s="1"/>
  <c r="F684" i="58"/>
  <c r="J684" i="58" s="1"/>
  <c r="F683" i="58"/>
  <c r="J683" i="58" s="1"/>
  <c r="F682" i="58"/>
  <c r="J682" i="58" s="1"/>
  <c r="F681" i="58"/>
  <c r="J681" i="58" s="1"/>
  <c r="F679" i="58"/>
  <c r="J679" i="58" s="1"/>
  <c r="F678" i="58"/>
  <c r="J678" i="58" s="1"/>
  <c r="F677" i="58"/>
  <c r="J677" i="58" s="1"/>
  <c r="F676" i="58"/>
  <c r="I671" i="58"/>
  <c r="H671" i="58"/>
  <c r="G671" i="58"/>
  <c r="F669" i="58"/>
  <c r="F668" i="58"/>
  <c r="J668" i="58" s="1"/>
  <c r="F666" i="58"/>
  <c r="J666" i="58" s="1"/>
  <c r="F665" i="58"/>
  <c r="I662" i="58"/>
  <c r="H662" i="58"/>
  <c r="G662" i="58"/>
  <c r="F661" i="58"/>
  <c r="I659" i="58"/>
  <c r="H659" i="58"/>
  <c r="G659" i="58"/>
  <c r="F657" i="58"/>
  <c r="F655" i="58"/>
  <c r="E655" i="58"/>
  <c r="H696" i="32" s="1"/>
  <c r="F654" i="58"/>
  <c r="E654" i="58"/>
  <c r="F653" i="58"/>
  <c r="E653" i="58"/>
  <c r="F652" i="58"/>
  <c r="E652" i="58"/>
  <c r="F651" i="58"/>
  <c r="E651" i="58"/>
  <c r="F650" i="58"/>
  <c r="E650" i="58"/>
  <c r="F649" i="58"/>
  <c r="E649" i="58"/>
  <c r="F648" i="58"/>
  <c r="E648" i="58"/>
  <c r="F647" i="58"/>
  <c r="E647" i="58"/>
  <c r="F646" i="58"/>
  <c r="E646" i="58"/>
  <c r="F644" i="58"/>
  <c r="E644" i="58"/>
  <c r="F643" i="58"/>
  <c r="E643" i="58"/>
  <c r="F642" i="58"/>
  <c r="E642" i="58"/>
  <c r="F641" i="58"/>
  <c r="E641" i="58"/>
  <c r="F640" i="58"/>
  <c r="E640" i="58"/>
  <c r="F639" i="58"/>
  <c r="E639" i="58"/>
  <c r="F638" i="58"/>
  <c r="E638" i="58"/>
  <c r="F636" i="58"/>
  <c r="E636" i="58"/>
  <c r="F635" i="58"/>
  <c r="E635" i="58"/>
  <c r="F634" i="58"/>
  <c r="E634" i="58"/>
  <c r="F633" i="58"/>
  <c r="E633" i="58"/>
  <c r="F632" i="58"/>
  <c r="E632" i="58"/>
  <c r="F631" i="58"/>
  <c r="E631" i="58"/>
  <c r="F630" i="58"/>
  <c r="E630" i="58"/>
  <c r="F629" i="58"/>
  <c r="E629" i="58"/>
  <c r="F628" i="58"/>
  <c r="E628" i="58"/>
  <c r="F627" i="58"/>
  <c r="E627" i="58"/>
  <c r="I623" i="58"/>
  <c r="H623" i="58"/>
  <c r="G623" i="58"/>
  <c r="F621" i="58"/>
  <c r="J621" i="58" s="1"/>
  <c r="F620" i="58"/>
  <c r="J620" i="58" s="1"/>
  <c r="F619" i="58"/>
  <c r="J619" i="58" s="1"/>
  <c r="F618" i="58"/>
  <c r="J618" i="58" s="1"/>
  <c r="F617" i="58"/>
  <c r="J617" i="58" s="1"/>
  <c r="F616" i="58"/>
  <c r="J616" i="58" s="1"/>
  <c r="F615" i="58"/>
  <c r="J615" i="58" s="1"/>
  <c r="F614" i="58"/>
  <c r="F613" i="58"/>
  <c r="F612" i="58"/>
  <c r="F610" i="58"/>
  <c r="F608" i="58"/>
  <c r="F606" i="58"/>
  <c r="E606" i="58"/>
  <c r="F605" i="58"/>
  <c r="E605" i="58"/>
  <c r="F604" i="58"/>
  <c r="E604" i="58"/>
  <c r="F603" i="58"/>
  <c r="E603" i="58"/>
  <c r="F602" i="58"/>
  <c r="E602" i="58"/>
  <c r="F601" i="58"/>
  <c r="E601" i="58"/>
  <c r="F600" i="58"/>
  <c r="E600" i="58"/>
  <c r="F599" i="58"/>
  <c r="E599" i="58"/>
  <c r="F598" i="58"/>
  <c r="E598" i="58"/>
  <c r="F597" i="58"/>
  <c r="E597" i="58"/>
  <c r="F596" i="58"/>
  <c r="E596" i="58"/>
  <c r="F595" i="58"/>
  <c r="E595" i="58"/>
  <c r="F594" i="58"/>
  <c r="E594" i="58"/>
  <c r="F593" i="58"/>
  <c r="E593" i="58"/>
  <c r="F592" i="58"/>
  <c r="E592" i="58"/>
  <c r="F591" i="58"/>
  <c r="E591" i="58"/>
  <c r="F589" i="58"/>
  <c r="E589" i="58"/>
  <c r="F588" i="58"/>
  <c r="E588" i="58"/>
  <c r="F587" i="58"/>
  <c r="E587" i="58"/>
  <c r="F586" i="58"/>
  <c r="E586" i="58"/>
  <c r="F585" i="58"/>
  <c r="E585" i="58"/>
  <c r="I581" i="58"/>
  <c r="H581" i="58"/>
  <c r="G581" i="58"/>
  <c r="F576" i="58"/>
  <c r="E576" i="58"/>
  <c r="F575" i="58"/>
  <c r="E575" i="58"/>
  <c r="F574" i="58"/>
  <c r="E574" i="58"/>
  <c r="F572" i="58"/>
  <c r="E572" i="58"/>
  <c r="F571" i="58"/>
  <c r="E571" i="58"/>
  <c r="F570" i="58"/>
  <c r="E570" i="58"/>
  <c r="F569" i="58"/>
  <c r="E569" i="58"/>
  <c r="F568" i="58"/>
  <c r="E568" i="58"/>
  <c r="F567" i="58"/>
  <c r="E567" i="58"/>
  <c r="F566" i="58"/>
  <c r="E566" i="58"/>
  <c r="E564" i="58"/>
  <c r="J564" i="58" s="1"/>
  <c r="E563" i="58"/>
  <c r="F562" i="58"/>
  <c r="E562" i="58"/>
  <c r="F561" i="58"/>
  <c r="E561" i="58"/>
  <c r="F560" i="58"/>
  <c r="E560" i="58"/>
  <c r="F559" i="58"/>
  <c r="E559" i="58"/>
  <c r="F558" i="58"/>
  <c r="E558" i="58"/>
  <c r="F565" i="58"/>
  <c r="E565" i="58"/>
  <c r="F557" i="58"/>
  <c r="E557" i="58"/>
  <c r="F556" i="58"/>
  <c r="E556" i="58"/>
  <c r="F555" i="58"/>
  <c r="E555" i="58"/>
  <c r="F554" i="58"/>
  <c r="F553" i="58"/>
  <c r="F551" i="58"/>
  <c r="J551" i="58" s="1"/>
  <c r="F550" i="58"/>
  <c r="F549" i="58"/>
  <c r="F548" i="58"/>
  <c r="F547" i="58"/>
  <c r="F546" i="58"/>
  <c r="F545" i="58"/>
  <c r="J545" i="58" s="1"/>
  <c r="F542" i="58"/>
  <c r="F541" i="58"/>
  <c r="J541" i="58" s="1"/>
  <c r="F540" i="58"/>
  <c r="F539" i="58"/>
  <c r="F538" i="58"/>
  <c r="F536" i="58"/>
  <c r="F535" i="58"/>
  <c r="J535" i="58" s="1"/>
  <c r="F532" i="58"/>
  <c r="F531" i="58"/>
  <c r="F530" i="58"/>
  <c r="F529" i="58"/>
  <c r="F528" i="58"/>
  <c r="J528" i="58" s="1"/>
  <c r="F527" i="58"/>
  <c r="F524" i="58"/>
  <c r="F523" i="58"/>
  <c r="F521" i="58"/>
  <c r="F520" i="58"/>
  <c r="F519" i="58"/>
  <c r="F518" i="58"/>
  <c r="F516" i="58"/>
  <c r="F512" i="58"/>
  <c r="J512" i="58" s="1"/>
  <c r="F511" i="58"/>
  <c r="F510" i="58"/>
  <c r="F509" i="58"/>
  <c r="F508" i="58"/>
  <c r="F506" i="58"/>
  <c r="F505" i="58"/>
  <c r="J505" i="58" s="1"/>
  <c r="F504" i="58"/>
  <c r="J504" i="58" s="1"/>
  <c r="F503" i="58"/>
  <c r="J503" i="58" s="1"/>
  <c r="F502" i="58"/>
  <c r="F501" i="58"/>
  <c r="F500" i="58"/>
  <c r="F499" i="58"/>
  <c r="F498" i="58"/>
  <c r="J498" i="58" s="1"/>
  <c r="F497" i="58"/>
  <c r="J497" i="58" s="1"/>
  <c r="F496" i="58"/>
  <c r="F495" i="58"/>
  <c r="F494" i="58"/>
  <c r="F492" i="58"/>
  <c r="F491" i="58"/>
  <c r="BU490" i="58"/>
  <c r="F490" i="58"/>
  <c r="F489" i="58"/>
  <c r="F488" i="58"/>
  <c r="I484" i="58"/>
  <c r="H484" i="58"/>
  <c r="G484" i="58"/>
  <c r="F481" i="58"/>
  <c r="F479" i="58"/>
  <c r="F478" i="58"/>
  <c r="F480" i="58"/>
  <c r="F475" i="58"/>
  <c r="F473" i="58"/>
  <c r="F472" i="58"/>
  <c r="J472" i="58" s="1"/>
  <c r="F469" i="58"/>
  <c r="F468" i="58"/>
  <c r="BU482" i="58"/>
  <c r="F482" i="58"/>
  <c r="F465" i="58"/>
  <c r="F464" i="58"/>
  <c r="F466" i="58"/>
  <c r="F462" i="58"/>
  <c r="F470" i="58"/>
  <c r="F460" i="58"/>
  <c r="F457" i="58"/>
  <c r="I450" i="58"/>
  <c r="H450" i="58"/>
  <c r="G450" i="58"/>
  <c r="F448" i="58"/>
  <c r="F447" i="58"/>
  <c r="F445" i="58"/>
  <c r="F443" i="58"/>
  <c r="F442" i="58"/>
  <c r="F441" i="58"/>
  <c r="F440" i="58"/>
  <c r="F439" i="58"/>
  <c r="I433" i="58"/>
  <c r="H433" i="58"/>
  <c r="G433" i="58"/>
  <c r="F432" i="58"/>
  <c r="E432" i="58"/>
  <c r="F431" i="58"/>
  <c r="E431" i="58"/>
  <c r="E406" i="58"/>
  <c r="F402" i="58"/>
  <c r="E402" i="58"/>
  <c r="F400" i="58"/>
  <c r="E400" i="58"/>
  <c r="F399" i="58"/>
  <c r="E399" i="58"/>
  <c r="F397" i="58"/>
  <c r="E397" i="58"/>
  <c r="F396" i="58"/>
  <c r="E396" i="58"/>
  <c r="F398" i="58"/>
  <c r="E398" i="58"/>
  <c r="F401" i="58"/>
  <c r="E401" i="58"/>
  <c r="F395" i="58"/>
  <c r="E395" i="58"/>
  <c r="E404" i="58"/>
  <c r="F394" i="58"/>
  <c r="E394" i="58"/>
  <c r="I392" i="58"/>
  <c r="H392" i="58"/>
  <c r="G392" i="58"/>
  <c r="F390" i="58"/>
  <c r="E390" i="58"/>
  <c r="F389" i="58"/>
  <c r="E389" i="58"/>
  <c r="F388" i="58"/>
  <c r="E388" i="58"/>
  <c r="F387" i="58"/>
  <c r="E387" i="58"/>
  <c r="F386" i="58"/>
  <c r="E386" i="58"/>
  <c r="F385" i="58"/>
  <c r="E385" i="58"/>
  <c r="F384" i="58"/>
  <c r="E384" i="58"/>
  <c r="F383" i="58"/>
  <c r="E383" i="58"/>
  <c r="F382" i="58"/>
  <c r="E382" i="58"/>
  <c r="F381" i="58"/>
  <c r="E381" i="58"/>
  <c r="F380" i="58"/>
  <c r="E380" i="58"/>
  <c r="F379" i="58"/>
  <c r="E379" i="58"/>
  <c r="F378" i="58"/>
  <c r="E378" i="58"/>
  <c r="F377" i="58"/>
  <c r="E377" i="58"/>
  <c r="F373" i="58"/>
  <c r="E373" i="58"/>
  <c r="F364" i="58"/>
  <c r="E364" i="58"/>
  <c r="F363" i="58"/>
  <c r="E363" i="58"/>
  <c r="E349" i="58"/>
  <c r="J346" i="58"/>
  <c r="I346" i="58"/>
  <c r="H346" i="58"/>
  <c r="G346" i="58"/>
  <c r="F346" i="58"/>
  <c r="E346" i="58"/>
  <c r="I343" i="58"/>
  <c r="H343" i="58"/>
  <c r="G343" i="58"/>
  <c r="F339" i="58"/>
  <c r="E339" i="58"/>
  <c r="F338" i="58"/>
  <c r="E338" i="58"/>
  <c r="F337" i="58"/>
  <c r="E337" i="58"/>
  <c r="F336" i="58"/>
  <c r="E336" i="58"/>
  <c r="F335" i="58"/>
  <c r="E335" i="58"/>
  <c r="F334" i="58"/>
  <c r="E334" i="58"/>
  <c r="F333" i="58"/>
  <c r="E333" i="58"/>
  <c r="E332" i="58"/>
  <c r="F331" i="58"/>
  <c r="E331" i="58"/>
  <c r="F328" i="58"/>
  <c r="E328" i="58"/>
  <c r="F327" i="58"/>
  <c r="F290" i="58"/>
  <c r="E290" i="58"/>
  <c r="I282" i="58"/>
  <c r="H282" i="58"/>
  <c r="G282" i="58"/>
  <c r="F280" i="58"/>
  <c r="E280" i="58"/>
  <c r="I277" i="58"/>
  <c r="H277" i="58"/>
  <c r="G277" i="58"/>
  <c r="F275" i="58"/>
  <c r="E275" i="58"/>
  <c r="F274" i="58"/>
  <c r="E274" i="58"/>
  <c r="F273" i="58"/>
  <c r="E273" i="58"/>
  <c r="F271" i="58"/>
  <c r="E271" i="58"/>
  <c r="E270" i="58"/>
  <c r="F269" i="58"/>
  <c r="E269" i="58"/>
  <c r="F268" i="58"/>
  <c r="E268" i="58"/>
  <c r="I263" i="58"/>
  <c r="H263" i="58"/>
  <c r="G263" i="58"/>
  <c r="F261" i="58"/>
  <c r="F263" i="58" s="1"/>
  <c r="E261" i="58"/>
  <c r="I259" i="58"/>
  <c r="H259" i="58"/>
  <c r="G259" i="58"/>
  <c r="F257" i="58"/>
  <c r="E257" i="58"/>
  <c r="F256" i="58"/>
  <c r="E256" i="58"/>
  <c r="F255" i="58"/>
  <c r="E255" i="58"/>
  <c r="F254" i="58"/>
  <c r="I249" i="58"/>
  <c r="H249" i="58"/>
  <c r="G249" i="58"/>
  <c r="F247" i="58"/>
  <c r="F246" i="58"/>
  <c r="F245" i="58"/>
  <c r="F243" i="58"/>
  <c r="J243" i="58" s="1"/>
  <c r="F241" i="58"/>
  <c r="H172" i="32"/>
  <c r="F240" i="58"/>
  <c r="I234" i="58"/>
  <c r="H234" i="58"/>
  <c r="G234" i="58"/>
  <c r="F234" i="58"/>
  <c r="E234" i="58"/>
  <c r="J233" i="58"/>
  <c r="J234" i="58" s="1"/>
  <c r="I229" i="58"/>
  <c r="H229" i="58"/>
  <c r="G229" i="58"/>
  <c r="F229" i="58"/>
  <c r="E229" i="58"/>
  <c r="J228" i="58"/>
  <c r="J229" i="58" s="1"/>
  <c r="I226" i="58"/>
  <c r="H226" i="58"/>
  <c r="G226" i="58"/>
  <c r="F226" i="58"/>
  <c r="E226" i="58"/>
  <c r="J223" i="58"/>
  <c r="J226" i="58" s="1"/>
  <c r="J222" i="58"/>
  <c r="I221" i="58"/>
  <c r="H221" i="58"/>
  <c r="G221" i="58"/>
  <c r="F221" i="58"/>
  <c r="E221" i="58"/>
  <c r="J219" i="58"/>
  <c r="J217" i="58"/>
  <c r="I213" i="58"/>
  <c r="H213" i="58"/>
  <c r="G213" i="58"/>
  <c r="F211" i="58"/>
  <c r="E211" i="58"/>
  <c r="F210" i="58"/>
  <c r="E210" i="58"/>
  <c r="E209" i="58"/>
  <c r="F208" i="58"/>
  <c r="F207" i="58"/>
  <c r="E207" i="58"/>
  <c r="F206" i="58"/>
  <c r="E206" i="58"/>
  <c r="F205" i="58"/>
  <c r="E205" i="58"/>
  <c r="F204" i="58"/>
  <c r="E204" i="58"/>
  <c r="F203" i="58"/>
  <c r="E203" i="58"/>
  <c r="F202" i="58"/>
  <c r="E202" i="58"/>
  <c r="F201" i="58"/>
  <c r="E201" i="58"/>
  <c r="F200" i="58"/>
  <c r="E200" i="58"/>
  <c r="F199" i="58"/>
  <c r="E199" i="58"/>
  <c r="F198" i="58"/>
  <c r="E198" i="58"/>
  <c r="F197" i="58"/>
  <c r="E197" i="58"/>
  <c r="F196" i="58"/>
  <c r="E196" i="58"/>
  <c r="F195" i="58"/>
  <c r="E195" i="58"/>
  <c r="F194" i="58"/>
  <c r="E194" i="58"/>
  <c r="F193" i="58"/>
  <c r="E193" i="58"/>
  <c r="F192" i="58"/>
  <c r="E192" i="58"/>
  <c r="F191" i="58"/>
  <c r="E191" i="58"/>
  <c r="F190" i="58"/>
  <c r="E190" i="58"/>
  <c r="F189" i="58"/>
  <c r="E189" i="58"/>
  <c r="F188" i="58"/>
  <c r="E188" i="58"/>
  <c r="F187" i="58"/>
  <c r="E187" i="58"/>
  <c r="F186" i="58"/>
  <c r="E186" i="58"/>
  <c r="F185" i="58"/>
  <c r="E185" i="58"/>
  <c r="F184" i="58"/>
  <c r="E184" i="58"/>
  <c r="F183" i="58"/>
  <c r="E183" i="58"/>
  <c r="F182" i="58"/>
  <c r="E182" i="58"/>
  <c r="F181" i="58"/>
  <c r="E181" i="58"/>
  <c r="F180" i="58"/>
  <c r="E180" i="58"/>
  <c r="F179" i="58"/>
  <c r="E179" i="58"/>
  <c r="F178" i="58"/>
  <c r="E178" i="58"/>
  <c r="F177" i="58"/>
  <c r="E177" i="58"/>
  <c r="F176" i="58"/>
  <c r="E176" i="58"/>
  <c r="F175" i="58"/>
  <c r="E175" i="58"/>
  <c r="F174" i="58"/>
  <c r="E174" i="58"/>
  <c r="F173" i="58"/>
  <c r="E173" i="58"/>
  <c r="F172" i="58"/>
  <c r="E172" i="58"/>
  <c r="F171" i="58"/>
  <c r="E171" i="58"/>
  <c r="F170" i="58"/>
  <c r="E170" i="58"/>
  <c r="F169" i="58"/>
  <c r="E169" i="58"/>
  <c r="F168" i="58"/>
  <c r="E168" i="58"/>
  <c r="F167" i="58"/>
  <c r="E167" i="58"/>
  <c r="F166" i="58"/>
  <c r="E166" i="58"/>
  <c r="F165" i="58"/>
  <c r="E165" i="58"/>
  <c r="F164" i="58"/>
  <c r="E164" i="58"/>
  <c r="F163" i="58"/>
  <c r="E163" i="58"/>
  <c r="F162" i="58"/>
  <c r="E162" i="58"/>
  <c r="F161" i="58"/>
  <c r="E161" i="58"/>
  <c r="F160" i="58"/>
  <c r="E160" i="58"/>
  <c r="F159" i="58"/>
  <c r="E159" i="58"/>
  <c r="F158" i="58"/>
  <c r="E158" i="58"/>
  <c r="F157" i="58"/>
  <c r="E157" i="58"/>
  <c r="F156" i="58"/>
  <c r="E156" i="58"/>
  <c r="F155" i="58"/>
  <c r="E155" i="58"/>
  <c r="F154" i="58"/>
  <c r="E154" i="58"/>
  <c r="F153" i="58"/>
  <c r="E153" i="58"/>
  <c r="F152" i="58"/>
  <c r="E152" i="58"/>
  <c r="F151" i="58"/>
  <c r="E151" i="58"/>
  <c r="F150" i="58"/>
  <c r="E150" i="58"/>
  <c r="F149" i="58"/>
  <c r="E149" i="58"/>
  <c r="F148" i="58"/>
  <c r="E148" i="58"/>
  <c r="F147" i="58"/>
  <c r="E147" i="58"/>
  <c r="F146" i="58"/>
  <c r="E146" i="58"/>
  <c r="F145" i="58"/>
  <c r="E145" i="58"/>
  <c r="F144" i="58"/>
  <c r="E144" i="58"/>
  <c r="F143" i="58"/>
  <c r="E143" i="58"/>
  <c r="F142" i="58"/>
  <c r="E142" i="58"/>
  <c r="F141" i="58"/>
  <c r="E141" i="58"/>
  <c r="F140" i="58"/>
  <c r="E140" i="58"/>
  <c r="F139" i="58"/>
  <c r="E139" i="58"/>
  <c r="F138" i="58"/>
  <c r="E138" i="58"/>
  <c r="F137" i="58"/>
  <c r="E137" i="58"/>
  <c r="F136" i="58"/>
  <c r="E136" i="58"/>
  <c r="F135" i="58"/>
  <c r="E135" i="58"/>
  <c r="F134" i="58"/>
  <c r="E134" i="58"/>
  <c r="F17" i="58"/>
  <c r="E17" i="58"/>
  <c r="I13" i="58"/>
  <c r="H13" i="58"/>
  <c r="G13" i="58"/>
  <c r="F11" i="58"/>
  <c r="E11" i="58"/>
  <c r="F9" i="58"/>
  <c r="E9" i="58"/>
  <c r="F8" i="58"/>
  <c r="E8" i="58"/>
  <c r="E3" i="58"/>
  <c r="D23" i="79"/>
  <c r="C23" i="79"/>
  <c r="E19" i="79"/>
  <c r="B13" i="79"/>
  <c r="C6" i="79"/>
  <c r="C13" i="79" s="1"/>
  <c r="D78" i="61"/>
  <c r="D77" i="61"/>
  <c r="D75" i="61"/>
  <c r="D74" i="61"/>
  <c r="D73" i="61"/>
  <c r="D62" i="61"/>
  <c r="D61" i="61"/>
  <c r="D50" i="61"/>
  <c r="D49" i="61"/>
  <c r="D35" i="61"/>
  <c r="D34" i="61"/>
  <c r="D38" i="61"/>
  <c r="D37" i="61"/>
  <c r="D41" i="61"/>
  <c r="D40" i="61"/>
  <c r="D32" i="61"/>
  <c r="D31" i="61"/>
  <c r="D44" i="61"/>
  <c r="D43" i="61"/>
  <c r="D47" i="61"/>
  <c r="D46" i="61"/>
  <c r="D56" i="61"/>
  <c r="D55" i="61"/>
  <c r="D26" i="61"/>
  <c r="D25" i="61"/>
  <c r="D29" i="61"/>
  <c r="D28" i="61"/>
  <c r="D23" i="61"/>
  <c r="D22" i="61"/>
  <c r="D20" i="61"/>
  <c r="D18" i="61"/>
  <c r="D16" i="61"/>
  <c r="D15" i="61"/>
  <c r="D13" i="61"/>
  <c r="H12" i="61"/>
  <c r="D12" i="61"/>
  <c r="D10" i="61"/>
  <c r="D9" i="61"/>
  <c r="D8" i="61"/>
  <c r="B7" i="61"/>
  <c r="B11" i="61" s="1"/>
  <c r="B14" i="61" s="1"/>
  <c r="B17" i="61" s="1"/>
  <c r="B21" i="61" s="1"/>
  <c r="D6" i="61"/>
  <c r="D4" i="61"/>
  <c r="C3" i="68"/>
  <c r="I278" i="60"/>
  <c r="H278" i="60"/>
  <c r="G278" i="60"/>
  <c r="M276" i="60"/>
  <c r="I211" i="61" s="1"/>
  <c r="F276" i="60"/>
  <c r="M275" i="60"/>
  <c r="I210" i="61" s="1"/>
  <c r="F275" i="60"/>
  <c r="I271" i="60"/>
  <c r="H271" i="60"/>
  <c r="G271" i="60"/>
  <c r="M269" i="60"/>
  <c r="F269" i="60"/>
  <c r="M268" i="60"/>
  <c r="I259" i="60"/>
  <c r="H259" i="60"/>
  <c r="G259" i="60"/>
  <c r="M257" i="60"/>
  <c r="F257" i="60"/>
  <c r="E257" i="60"/>
  <c r="H186" i="61" s="1"/>
  <c r="M255" i="60"/>
  <c r="F255" i="60"/>
  <c r="M254" i="60"/>
  <c r="F254" i="60"/>
  <c r="M253" i="60"/>
  <c r="F253" i="60"/>
  <c r="M252" i="60"/>
  <c r="F252" i="60"/>
  <c r="N251" i="60"/>
  <c r="N250" i="60"/>
  <c r="M249" i="60"/>
  <c r="M246" i="60"/>
  <c r="M245" i="60"/>
  <c r="F245" i="60"/>
  <c r="M244" i="60"/>
  <c r="N243" i="60"/>
  <c r="M243" i="60"/>
  <c r="M242" i="60"/>
  <c r="F242" i="60"/>
  <c r="M241" i="60"/>
  <c r="F241" i="60"/>
  <c r="M240" i="60"/>
  <c r="F240" i="60"/>
  <c r="M239" i="60"/>
  <c r="F239" i="60"/>
  <c r="M237" i="60"/>
  <c r="F237" i="60"/>
  <c r="M236" i="60"/>
  <c r="K236" i="60" s="1"/>
  <c r="AB236" i="60" s="1"/>
  <c r="F236" i="60"/>
  <c r="J236" i="60" s="1"/>
  <c r="M235" i="60"/>
  <c r="F235" i="60"/>
  <c r="M234" i="60"/>
  <c r="F234" i="60"/>
  <c r="M232" i="60"/>
  <c r="M231" i="60"/>
  <c r="F231" i="60"/>
  <c r="M230" i="60"/>
  <c r="F230" i="60"/>
  <c r="M229" i="60"/>
  <c r="F229" i="60"/>
  <c r="I224" i="60"/>
  <c r="H224" i="60"/>
  <c r="G224" i="60"/>
  <c r="M223" i="60"/>
  <c r="I208" i="61" s="1"/>
  <c r="F223" i="60"/>
  <c r="D223" i="60"/>
  <c r="D86" i="61" s="1"/>
  <c r="I220" i="60"/>
  <c r="H220" i="60"/>
  <c r="G220" i="60"/>
  <c r="M219" i="60"/>
  <c r="F219" i="60"/>
  <c r="M212" i="60"/>
  <c r="K212" i="60"/>
  <c r="AB212" i="60" s="1"/>
  <c r="J212" i="60"/>
  <c r="I212" i="60"/>
  <c r="H212" i="60"/>
  <c r="G212" i="60"/>
  <c r="F212" i="60"/>
  <c r="E212" i="60"/>
  <c r="I208" i="60"/>
  <c r="H208" i="60"/>
  <c r="G208" i="60"/>
  <c r="M206" i="60"/>
  <c r="F206" i="60"/>
  <c r="M205" i="60"/>
  <c r="I209" i="61" s="1"/>
  <c r="M203" i="60"/>
  <c r="K203" i="60"/>
  <c r="AB203" i="60" s="1"/>
  <c r="I203" i="60"/>
  <c r="H203" i="60"/>
  <c r="G203" i="60"/>
  <c r="F203" i="60"/>
  <c r="E203" i="60"/>
  <c r="J202" i="60"/>
  <c r="J203" i="60" s="1"/>
  <c r="M200" i="60"/>
  <c r="K200" i="60"/>
  <c r="AB200" i="60" s="1"/>
  <c r="J200" i="60"/>
  <c r="D56" i="68" s="1"/>
  <c r="I200" i="60"/>
  <c r="H200" i="60"/>
  <c r="G200" i="60"/>
  <c r="F200" i="60"/>
  <c r="E200" i="60"/>
  <c r="I194" i="60"/>
  <c r="H194" i="60"/>
  <c r="G194" i="60"/>
  <c r="M192" i="60"/>
  <c r="M191" i="60"/>
  <c r="F191" i="60"/>
  <c r="M190" i="60"/>
  <c r="K190" i="60" s="1"/>
  <c r="AB190" i="60" s="1"/>
  <c r="F190" i="60"/>
  <c r="J190" i="60" s="1"/>
  <c r="M188" i="60"/>
  <c r="F188" i="60"/>
  <c r="N187" i="60"/>
  <c r="M186" i="60"/>
  <c r="M184" i="60"/>
  <c r="K184" i="60" s="1"/>
  <c r="M183" i="60"/>
  <c r="F183" i="60"/>
  <c r="I179" i="60"/>
  <c r="H179" i="60"/>
  <c r="G179" i="60"/>
  <c r="M178" i="60"/>
  <c r="F178" i="60"/>
  <c r="M176" i="60"/>
  <c r="F176" i="60"/>
  <c r="M173" i="60"/>
  <c r="K173" i="60" s="1"/>
  <c r="F173" i="60"/>
  <c r="J173" i="60" s="1"/>
  <c r="M170" i="60"/>
  <c r="F170" i="60"/>
  <c r="M172" i="60"/>
  <c r="F172" i="60"/>
  <c r="M174" i="60"/>
  <c r="F174" i="60"/>
  <c r="M168" i="60"/>
  <c r="M167" i="60"/>
  <c r="F167" i="60"/>
  <c r="F164" i="60"/>
  <c r="H179" i="61"/>
  <c r="F163" i="60"/>
  <c r="M161" i="60"/>
  <c r="F161" i="60"/>
  <c r="E161" i="60"/>
  <c r="M159" i="60"/>
  <c r="F159" i="60"/>
  <c r="M157" i="60"/>
  <c r="K157" i="60" s="1"/>
  <c r="AB157" i="60" s="1"/>
  <c r="F157" i="60"/>
  <c r="J157" i="60" s="1"/>
  <c r="M156" i="60"/>
  <c r="F156" i="60"/>
  <c r="I148" i="60"/>
  <c r="H148" i="60"/>
  <c r="G148" i="60"/>
  <c r="M147" i="60"/>
  <c r="F147" i="60"/>
  <c r="E147" i="60"/>
  <c r="M146" i="60"/>
  <c r="F146" i="60"/>
  <c r="E146" i="60"/>
  <c r="M145" i="60"/>
  <c r="E145" i="60"/>
  <c r="M142" i="60"/>
  <c r="K142" i="60"/>
  <c r="I142" i="60"/>
  <c r="H142" i="60"/>
  <c r="G142" i="60"/>
  <c r="F142" i="60"/>
  <c r="E142" i="60"/>
  <c r="J141" i="60"/>
  <c r="J142" i="60" s="1"/>
  <c r="I139" i="60"/>
  <c r="H139" i="60"/>
  <c r="G139" i="60"/>
  <c r="M137" i="60"/>
  <c r="E137" i="60"/>
  <c r="I133" i="60"/>
  <c r="H133" i="60"/>
  <c r="G133" i="60"/>
  <c r="M128" i="60"/>
  <c r="F128" i="60"/>
  <c r="E128" i="60"/>
  <c r="M127" i="60"/>
  <c r="F127" i="60"/>
  <c r="E127" i="60"/>
  <c r="M126" i="60"/>
  <c r="F126" i="60"/>
  <c r="E126" i="60"/>
  <c r="M122" i="60"/>
  <c r="F122" i="60"/>
  <c r="K121" i="60"/>
  <c r="N121" i="60" s="1"/>
  <c r="F121" i="60"/>
  <c r="E121" i="60"/>
  <c r="M125" i="60"/>
  <c r="F125" i="60"/>
  <c r="M123" i="60"/>
  <c r="F123" i="60"/>
  <c r="M131" i="60"/>
  <c r="E131" i="60"/>
  <c r="M120" i="60"/>
  <c r="F120" i="60"/>
  <c r="E120" i="60"/>
  <c r="M119" i="60"/>
  <c r="F119" i="60"/>
  <c r="E119" i="60"/>
  <c r="M117" i="60"/>
  <c r="M116" i="60"/>
  <c r="I113" i="60"/>
  <c r="H113" i="60"/>
  <c r="G113" i="60"/>
  <c r="M111" i="60"/>
  <c r="F111" i="60"/>
  <c r="M110" i="60"/>
  <c r="F110" i="60"/>
  <c r="M109" i="60"/>
  <c r="F109" i="60"/>
  <c r="M107" i="60"/>
  <c r="I104" i="60"/>
  <c r="H104" i="60"/>
  <c r="G104" i="60"/>
  <c r="M99" i="60"/>
  <c r="M98" i="60"/>
  <c r="F98" i="60"/>
  <c r="J98" i="60" s="1"/>
  <c r="M97" i="60"/>
  <c r="F97" i="60"/>
  <c r="M96" i="60"/>
  <c r="K96" i="60" s="1"/>
  <c r="N96" i="60" s="1"/>
  <c r="F96" i="60"/>
  <c r="M95" i="60"/>
  <c r="F95" i="60"/>
  <c r="E95" i="60"/>
  <c r="M94" i="60"/>
  <c r="F94" i="60"/>
  <c r="E94" i="60"/>
  <c r="M93" i="60"/>
  <c r="F93" i="60"/>
  <c r="E93" i="60"/>
  <c r="M92" i="60"/>
  <c r="F92" i="60"/>
  <c r="E92" i="60"/>
  <c r="M91" i="60"/>
  <c r="K91" i="60" s="1"/>
  <c r="F91" i="60"/>
  <c r="M90" i="60"/>
  <c r="F90" i="60"/>
  <c r="M89" i="60"/>
  <c r="F89" i="60"/>
  <c r="I86" i="60"/>
  <c r="H86" i="60"/>
  <c r="G86" i="60"/>
  <c r="M78" i="60"/>
  <c r="K78" i="60" s="1"/>
  <c r="N78" i="60" s="1"/>
  <c r="F78" i="60"/>
  <c r="E78" i="60"/>
  <c r="M74" i="60"/>
  <c r="K74" i="60"/>
  <c r="J74" i="60"/>
  <c r="I74" i="60"/>
  <c r="H74" i="60"/>
  <c r="G74" i="60"/>
  <c r="F74" i="60"/>
  <c r="E74" i="60"/>
  <c r="I67" i="60"/>
  <c r="H67" i="60"/>
  <c r="G67" i="60"/>
  <c r="M65" i="60"/>
  <c r="E65" i="60"/>
  <c r="M64" i="60"/>
  <c r="D59" i="78" s="1"/>
  <c r="F31" i="61" s="1"/>
  <c r="E64" i="60"/>
  <c r="I59" i="60"/>
  <c r="H59" i="60"/>
  <c r="G59" i="60"/>
  <c r="M58" i="60"/>
  <c r="F58" i="60"/>
  <c r="E58" i="60"/>
  <c r="I55" i="60"/>
  <c r="H55" i="60"/>
  <c r="G55" i="60"/>
  <c r="M54" i="60"/>
  <c r="F54" i="60"/>
  <c r="E54" i="60"/>
  <c r="I46" i="60"/>
  <c r="H46" i="60"/>
  <c r="G46" i="60"/>
  <c r="M44" i="60"/>
  <c r="E44" i="60"/>
  <c r="I40" i="60"/>
  <c r="H40" i="60"/>
  <c r="G40" i="60"/>
  <c r="M38" i="60"/>
  <c r="E38" i="60"/>
  <c r="M37" i="60"/>
  <c r="K37" i="60" s="1"/>
  <c r="F37" i="60"/>
  <c r="E37" i="60"/>
  <c r="M36" i="60"/>
  <c r="E36" i="60"/>
  <c r="M35" i="60"/>
  <c r="E35" i="60"/>
  <c r="I31" i="60"/>
  <c r="H31" i="60"/>
  <c r="G31" i="60"/>
  <c r="M29" i="60"/>
  <c r="K29" i="60" s="1"/>
  <c r="F29" i="60"/>
  <c r="E29" i="60"/>
  <c r="M20" i="60"/>
  <c r="F20" i="60"/>
  <c r="E20" i="60"/>
  <c r="I13" i="60"/>
  <c r="I16" i="60" s="1"/>
  <c r="H13" i="60"/>
  <c r="H16" i="60" s="1"/>
  <c r="G13" i="60"/>
  <c r="G16" i="60" s="1"/>
  <c r="M11" i="60"/>
  <c r="F11" i="60"/>
  <c r="E11" i="60"/>
  <c r="M10" i="60"/>
  <c r="F10" i="60"/>
  <c r="E10" i="60"/>
  <c r="E3" i="60"/>
  <c r="AJ48" i="69"/>
  <c r="C3" i="69"/>
  <c r="B1" i="69"/>
  <c r="D10" i="80"/>
  <c r="C6" i="80"/>
  <c r="C8" i="80" s="1"/>
  <c r="B6" i="80"/>
  <c r="B8" i="80" s="1"/>
  <c r="B11" i="77"/>
  <c r="C10" i="77"/>
  <c r="C9" i="77"/>
  <c r="C8" i="77"/>
  <c r="D113" i="55"/>
  <c r="D112" i="55"/>
  <c r="H110" i="55"/>
  <c r="D110" i="55"/>
  <c r="H108" i="55"/>
  <c r="D108" i="55"/>
  <c r="H106" i="55"/>
  <c r="D106" i="55"/>
  <c r="H105" i="55"/>
  <c r="D105" i="55"/>
  <c r="D94" i="55"/>
  <c r="D93" i="55"/>
  <c r="D85" i="55"/>
  <c r="D84" i="55"/>
  <c r="D82" i="55"/>
  <c r="D81" i="55"/>
  <c r="D79" i="55"/>
  <c r="D78" i="55"/>
  <c r="D67" i="55"/>
  <c r="D66" i="55"/>
  <c r="D76" i="55"/>
  <c r="D75" i="55"/>
  <c r="D70" i="55"/>
  <c r="D69" i="55"/>
  <c r="D73" i="55"/>
  <c r="G72" i="55"/>
  <c r="E72" i="55" s="1"/>
  <c r="D72" i="55"/>
  <c r="D64" i="55"/>
  <c r="D63" i="55"/>
  <c r="H61" i="55"/>
  <c r="D61" i="55"/>
  <c r="H60" i="55"/>
  <c r="D60" i="55"/>
  <c r="D58" i="55"/>
  <c r="D57" i="55"/>
  <c r="D55" i="55"/>
  <c r="D54" i="55"/>
  <c r="D52" i="55"/>
  <c r="D51" i="55"/>
  <c r="D50" i="55"/>
  <c r="D48" i="55"/>
  <c r="D47" i="55"/>
  <c r="D45" i="55"/>
  <c r="D44" i="55"/>
  <c r="D42" i="55"/>
  <c r="D41" i="55"/>
  <c r="D39" i="55"/>
  <c r="D38" i="55"/>
  <c r="D36" i="55"/>
  <c r="D35" i="55"/>
  <c r="D33" i="55"/>
  <c r="D32" i="55"/>
  <c r="H31" i="55"/>
  <c r="D31" i="55"/>
  <c r="D29" i="55"/>
  <c r="D28" i="55"/>
  <c r="D27" i="55"/>
  <c r="D25" i="55"/>
  <c r="H24" i="55"/>
  <c r="D24" i="55"/>
  <c r="D23" i="55"/>
  <c r="D21" i="55"/>
  <c r="D20" i="55"/>
  <c r="D18" i="55"/>
  <c r="D17" i="55"/>
  <c r="D15" i="55"/>
  <c r="D14" i="55"/>
  <c r="B13" i="55"/>
  <c r="B16" i="55" s="1"/>
  <c r="B19" i="55" s="1"/>
  <c r="B22" i="55" s="1"/>
  <c r="B26" i="55" s="1"/>
  <c r="B30" i="55" s="1"/>
  <c r="B34" i="55" s="1"/>
  <c r="B37" i="55" s="1"/>
  <c r="B40" i="55" s="1"/>
  <c r="B43" i="55" s="1"/>
  <c r="D12" i="55"/>
  <c r="D8" i="55"/>
  <c r="D7" i="55"/>
  <c r="B2" i="55"/>
  <c r="B1" i="55"/>
  <c r="I504" i="54"/>
  <c r="H504" i="54"/>
  <c r="G504" i="54"/>
  <c r="K501" i="54"/>
  <c r="F501" i="54"/>
  <c r="J501" i="54" s="1"/>
  <c r="F500" i="54"/>
  <c r="I496" i="54"/>
  <c r="H496" i="54"/>
  <c r="G496" i="54"/>
  <c r="I484" i="54"/>
  <c r="H484" i="54"/>
  <c r="G484" i="54"/>
  <c r="F477" i="54"/>
  <c r="K476" i="54"/>
  <c r="F476" i="54"/>
  <c r="J476" i="54" s="1"/>
  <c r="F475" i="54"/>
  <c r="F474" i="54"/>
  <c r="F473" i="54"/>
  <c r="F472" i="54"/>
  <c r="F464" i="54"/>
  <c r="K446" i="54"/>
  <c r="F446" i="54"/>
  <c r="J446" i="54" s="1"/>
  <c r="F450" i="54"/>
  <c r="F449" i="54"/>
  <c r="F448" i="54"/>
  <c r="F447" i="54"/>
  <c r="F445" i="54"/>
  <c r="F443" i="54"/>
  <c r="F436" i="54"/>
  <c r="F435" i="54"/>
  <c r="F434" i="54"/>
  <c r="F433" i="54"/>
  <c r="J433" i="54" s="1"/>
  <c r="F432" i="54"/>
  <c r="F427" i="54"/>
  <c r="M423" i="54"/>
  <c r="K423" i="54"/>
  <c r="J423" i="54"/>
  <c r="I423" i="54"/>
  <c r="H423" i="54"/>
  <c r="G423" i="54"/>
  <c r="F423" i="54"/>
  <c r="E423" i="54"/>
  <c r="M409" i="54"/>
  <c r="F409" i="54"/>
  <c r="M416" i="54"/>
  <c r="F416" i="54"/>
  <c r="M415" i="54"/>
  <c r="F415" i="54"/>
  <c r="M414" i="54"/>
  <c r="F414" i="54"/>
  <c r="M413" i="54"/>
  <c r="F413" i="54"/>
  <c r="M411" i="54"/>
  <c r="F411" i="54"/>
  <c r="I399" i="54"/>
  <c r="H399" i="54"/>
  <c r="G399" i="54"/>
  <c r="K394" i="54"/>
  <c r="F394" i="54"/>
  <c r="J394" i="54" s="1"/>
  <c r="K393" i="54"/>
  <c r="F393" i="54"/>
  <c r="J393" i="54" s="1"/>
  <c r="F391" i="54"/>
  <c r="F390" i="54"/>
  <c r="F389" i="54"/>
  <c r="I387" i="54"/>
  <c r="H387" i="54"/>
  <c r="G387" i="54"/>
  <c r="F385" i="54"/>
  <c r="F384" i="54"/>
  <c r="M381" i="54"/>
  <c r="K381" i="54"/>
  <c r="J381" i="54"/>
  <c r="I381" i="54"/>
  <c r="H381" i="54"/>
  <c r="G381" i="54"/>
  <c r="F381" i="54"/>
  <c r="E381" i="54"/>
  <c r="M378" i="54"/>
  <c r="K378" i="54"/>
  <c r="J378" i="54"/>
  <c r="I378" i="54"/>
  <c r="H378" i="54"/>
  <c r="G378" i="54"/>
  <c r="F378" i="54"/>
  <c r="E378" i="54"/>
  <c r="I370" i="54"/>
  <c r="H370" i="54"/>
  <c r="G370" i="54"/>
  <c r="M368" i="54"/>
  <c r="M366" i="54"/>
  <c r="M364" i="54"/>
  <c r="K364" i="54" s="1"/>
  <c r="F364" i="54"/>
  <c r="J364" i="54" s="1"/>
  <c r="M363" i="54"/>
  <c r="F363" i="54"/>
  <c r="M362" i="54"/>
  <c r="K362" i="54" s="1"/>
  <c r="F362" i="54"/>
  <c r="J362" i="54" s="1"/>
  <c r="M361" i="54"/>
  <c r="K361" i="54" s="1"/>
  <c r="F361" i="54"/>
  <c r="J361" i="54" s="1"/>
  <c r="M360" i="54"/>
  <c r="K360" i="54" s="1"/>
  <c r="F360" i="54"/>
  <c r="J360" i="54" s="1"/>
  <c r="M359" i="54"/>
  <c r="K359" i="54" s="1"/>
  <c r="F359" i="54"/>
  <c r="J359" i="54" s="1"/>
  <c r="M357" i="54"/>
  <c r="M356" i="54"/>
  <c r="K356" i="54" s="1"/>
  <c r="J356" i="54"/>
  <c r="B356" i="54"/>
  <c r="M355" i="54"/>
  <c r="M354" i="54"/>
  <c r="M353" i="54"/>
  <c r="M351" i="54"/>
  <c r="B351" i="54"/>
  <c r="M350" i="54"/>
  <c r="B350" i="54"/>
  <c r="M349" i="54"/>
  <c r="B349" i="54"/>
  <c r="I345" i="54"/>
  <c r="H345" i="54"/>
  <c r="G345" i="54"/>
  <c r="M342" i="54"/>
  <c r="M340" i="54"/>
  <c r="F340" i="54"/>
  <c r="M339" i="54"/>
  <c r="F339" i="54"/>
  <c r="M338" i="54"/>
  <c r="F338" i="54"/>
  <c r="M337" i="54"/>
  <c r="F337" i="54"/>
  <c r="M336" i="54"/>
  <c r="F336" i="54"/>
  <c r="M335" i="54"/>
  <c r="F335" i="54"/>
  <c r="M333" i="54"/>
  <c r="M332" i="54"/>
  <c r="F332" i="54"/>
  <c r="M331" i="54"/>
  <c r="F331" i="54"/>
  <c r="M329" i="54"/>
  <c r="F329" i="54"/>
  <c r="M328" i="54"/>
  <c r="F328" i="54"/>
  <c r="M326" i="54"/>
  <c r="M325" i="54"/>
  <c r="F325" i="54"/>
  <c r="M324" i="54"/>
  <c r="F324" i="54"/>
  <c r="M322" i="54"/>
  <c r="F322" i="54"/>
  <c r="M321" i="54"/>
  <c r="F321" i="54"/>
  <c r="M320" i="54"/>
  <c r="F320" i="54"/>
  <c r="M318" i="54"/>
  <c r="K318" i="54" s="1"/>
  <c r="F318" i="54"/>
  <c r="J318" i="54" s="1"/>
  <c r="M317" i="54"/>
  <c r="F317" i="54"/>
  <c r="M315" i="54"/>
  <c r="F315" i="54"/>
  <c r="M314" i="54"/>
  <c r="F314" i="54"/>
  <c r="I307" i="54"/>
  <c r="H307" i="54"/>
  <c r="G307" i="54"/>
  <c r="M306" i="54"/>
  <c r="F306" i="54"/>
  <c r="E306" i="54"/>
  <c r="H291" i="55" s="1"/>
  <c r="M305" i="54"/>
  <c r="F305" i="54"/>
  <c r="E305" i="54"/>
  <c r="H292" i="55" s="1"/>
  <c r="M304" i="54"/>
  <c r="F304" i="54"/>
  <c r="E304" i="54"/>
  <c r="H293" i="55" s="1"/>
  <c r="M303" i="54"/>
  <c r="E303" i="54"/>
  <c r="M302" i="54"/>
  <c r="F302" i="54"/>
  <c r="E302" i="54"/>
  <c r="H285" i="55" s="1"/>
  <c r="K300" i="54"/>
  <c r="J300" i="54"/>
  <c r="I300" i="54"/>
  <c r="H300" i="54"/>
  <c r="G300" i="54"/>
  <c r="F300" i="54"/>
  <c r="E300" i="54"/>
  <c r="I297" i="54"/>
  <c r="H297" i="54"/>
  <c r="G297" i="54"/>
  <c r="M296" i="54"/>
  <c r="E296" i="54"/>
  <c r="I292" i="54"/>
  <c r="H292" i="54"/>
  <c r="G292" i="54"/>
  <c r="E292" i="54"/>
  <c r="M288" i="54"/>
  <c r="F288" i="54"/>
  <c r="J288" i="54" s="1"/>
  <c r="M287" i="54"/>
  <c r="F287" i="54"/>
  <c r="J287" i="54" s="1"/>
  <c r="M286" i="54"/>
  <c r="M285" i="54"/>
  <c r="F285" i="54"/>
  <c r="J285" i="54" s="1"/>
  <c r="M284" i="54"/>
  <c r="F284" i="54"/>
  <c r="J284" i="54" s="1"/>
  <c r="M281" i="54"/>
  <c r="F281" i="54"/>
  <c r="J281" i="54" s="1"/>
  <c r="M280" i="54"/>
  <c r="F280" i="54"/>
  <c r="J280" i="54" s="1"/>
  <c r="M283" i="54"/>
  <c r="J283" i="54"/>
  <c r="M282" i="54"/>
  <c r="F282" i="54"/>
  <c r="J282" i="54" s="1"/>
  <c r="M279" i="54"/>
  <c r="M278" i="54"/>
  <c r="F278" i="54"/>
  <c r="J278" i="54" s="1"/>
  <c r="I276" i="54"/>
  <c r="H276" i="54"/>
  <c r="G276" i="54"/>
  <c r="M274" i="54"/>
  <c r="E274" i="54"/>
  <c r="M271" i="54"/>
  <c r="F271" i="54"/>
  <c r="E271" i="54"/>
  <c r="M270" i="54"/>
  <c r="F270" i="54"/>
  <c r="E270" i="54"/>
  <c r="M269" i="54"/>
  <c r="F269" i="54"/>
  <c r="E269" i="54"/>
  <c r="H267" i="55" s="1"/>
  <c r="M268" i="54"/>
  <c r="E268" i="54"/>
  <c r="M261" i="54"/>
  <c r="F261" i="54"/>
  <c r="M260" i="54"/>
  <c r="M258" i="54"/>
  <c r="M257" i="54"/>
  <c r="M256" i="54"/>
  <c r="F256" i="54"/>
  <c r="M254" i="54"/>
  <c r="F254" i="54"/>
  <c r="J254" i="54" s="1"/>
  <c r="M253" i="54"/>
  <c r="F253" i="54"/>
  <c r="M252" i="54"/>
  <c r="F252" i="54"/>
  <c r="M251" i="54"/>
  <c r="F251" i="54"/>
  <c r="M250" i="54"/>
  <c r="F250" i="54"/>
  <c r="M249" i="54"/>
  <c r="F249" i="54"/>
  <c r="M248" i="54"/>
  <c r="F248" i="54"/>
  <c r="M247" i="54"/>
  <c r="F247" i="54"/>
  <c r="M246" i="54"/>
  <c r="F246" i="54"/>
  <c r="M245" i="54"/>
  <c r="F245" i="54"/>
  <c r="M244" i="54"/>
  <c r="F244" i="54"/>
  <c r="M243" i="54"/>
  <c r="F243" i="54"/>
  <c r="I241" i="54"/>
  <c r="H241" i="54"/>
  <c r="G241" i="54"/>
  <c r="M239" i="54"/>
  <c r="M237" i="54"/>
  <c r="F237" i="54"/>
  <c r="E237" i="54"/>
  <c r="M236" i="54"/>
  <c r="F236" i="54"/>
  <c r="E236" i="54"/>
  <c r="M226" i="54"/>
  <c r="F226" i="54"/>
  <c r="E226" i="54"/>
  <c r="M221" i="54"/>
  <c r="K221" i="54"/>
  <c r="J221" i="54"/>
  <c r="I221" i="54"/>
  <c r="H221" i="54"/>
  <c r="G221" i="54"/>
  <c r="F221" i="54"/>
  <c r="E221" i="54"/>
  <c r="I214" i="54"/>
  <c r="H214" i="54"/>
  <c r="G214" i="54"/>
  <c r="M213" i="54"/>
  <c r="E213" i="54"/>
  <c r="H242" i="55" s="1"/>
  <c r="M212" i="54"/>
  <c r="E59" i="78" s="1"/>
  <c r="E212" i="54"/>
  <c r="M211" i="54"/>
  <c r="E211" i="54"/>
  <c r="I205" i="54"/>
  <c r="H205" i="54"/>
  <c r="G205" i="54"/>
  <c r="M203" i="54"/>
  <c r="F203" i="54"/>
  <c r="E203" i="54"/>
  <c r="I201" i="54"/>
  <c r="H201" i="54"/>
  <c r="G201" i="54"/>
  <c r="M199" i="54"/>
  <c r="F199" i="54"/>
  <c r="E199" i="54"/>
  <c r="I193" i="54"/>
  <c r="H193" i="54"/>
  <c r="G193" i="54"/>
  <c r="M190" i="54"/>
  <c r="K190" i="54" s="1"/>
  <c r="N190" i="54" s="1"/>
  <c r="F190" i="54"/>
  <c r="J190" i="54" s="1"/>
  <c r="M189" i="54"/>
  <c r="F189" i="54"/>
  <c r="E189" i="54"/>
  <c r="I187" i="54"/>
  <c r="H187" i="54"/>
  <c r="G187" i="54"/>
  <c r="M186" i="54"/>
  <c r="I170" i="55" s="1"/>
  <c r="E186" i="54"/>
  <c r="H170" i="55" s="1"/>
  <c r="M185" i="54"/>
  <c r="E185" i="54"/>
  <c r="H171" i="55" s="1"/>
  <c r="M184" i="54"/>
  <c r="I169" i="55" s="1"/>
  <c r="E184" i="54"/>
  <c r="H169" i="55" s="1"/>
  <c r="M183" i="54"/>
  <c r="I168" i="55" s="1"/>
  <c r="F183" i="54"/>
  <c r="E183" i="54"/>
  <c r="H168" i="55" s="1"/>
  <c r="M181" i="54"/>
  <c r="K181" i="54"/>
  <c r="J181" i="54"/>
  <c r="I181" i="54"/>
  <c r="H181" i="54"/>
  <c r="G181" i="54"/>
  <c r="F181" i="54"/>
  <c r="E181" i="54"/>
  <c r="I178" i="54"/>
  <c r="H178" i="54"/>
  <c r="G178" i="54"/>
  <c r="M176" i="54"/>
  <c r="F176" i="54"/>
  <c r="K174" i="54"/>
  <c r="N174" i="54" s="1"/>
  <c r="F174" i="54"/>
  <c r="K173" i="54"/>
  <c r="F173" i="54"/>
  <c r="K172" i="54"/>
  <c r="F172" i="54"/>
  <c r="M171" i="54"/>
  <c r="M169" i="54"/>
  <c r="K169" i="54"/>
  <c r="J169" i="54"/>
  <c r="I169" i="54"/>
  <c r="H169" i="54"/>
  <c r="G169" i="54"/>
  <c r="F169" i="54"/>
  <c r="E169" i="54"/>
  <c r="I163" i="54"/>
  <c r="H163" i="54"/>
  <c r="G163" i="54"/>
  <c r="M161" i="54"/>
  <c r="K161" i="54" s="1"/>
  <c r="N161" i="54" s="1"/>
  <c r="F161" i="54"/>
  <c r="J161" i="54" s="1"/>
  <c r="M160" i="54"/>
  <c r="E160" i="54"/>
  <c r="K395" i="54"/>
  <c r="F395" i="54"/>
  <c r="J395" i="54" s="1"/>
  <c r="M158" i="54"/>
  <c r="F158" i="54"/>
  <c r="E158" i="54"/>
  <c r="M157" i="54"/>
  <c r="F157" i="54"/>
  <c r="E157" i="54"/>
  <c r="M156" i="54"/>
  <c r="F156" i="54"/>
  <c r="E156" i="54"/>
  <c r="M155" i="54"/>
  <c r="F155" i="54"/>
  <c r="E155" i="54"/>
  <c r="M154" i="54"/>
  <c r="F154" i="54"/>
  <c r="E154" i="54"/>
  <c r="M153" i="54"/>
  <c r="F153" i="54"/>
  <c r="M152" i="54"/>
  <c r="F152" i="54"/>
  <c r="M151" i="54"/>
  <c r="F151" i="54"/>
  <c r="K150" i="54"/>
  <c r="F150" i="54"/>
  <c r="F149" i="54"/>
  <c r="E149" i="54"/>
  <c r="M147" i="54"/>
  <c r="F147" i="54"/>
  <c r="E147" i="54"/>
  <c r="M146" i="54"/>
  <c r="F146" i="54"/>
  <c r="E146" i="54"/>
  <c r="M145" i="54"/>
  <c r="F145" i="54"/>
  <c r="E145" i="54"/>
  <c r="M144" i="54"/>
  <c r="F144" i="54"/>
  <c r="E144" i="54"/>
  <c r="M143" i="54"/>
  <c r="K143" i="54" s="1"/>
  <c r="N143" i="54" s="1"/>
  <c r="F143" i="54"/>
  <c r="E143" i="54"/>
  <c r="M142" i="54"/>
  <c r="K142" i="54" s="1"/>
  <c r="F142" i="54"/>
  <c r="J142" i="54" s="1"/>
  <c r="M141" i="54"/>
  <c r="F141" i="54"/>
  <c r="E141" i="54"/>
  <c r="M140" i="54"/>
  <c r="K140" i="54" s="1"/>
  <c r="F140" i="54"/>
  <c r="E140" i="54"/>
  <c r="M139" i="54"/>
  <c r="F139" i="54"/>
  <c r="E139" i="54"/>
  <c r="M138" i="54"/>
  <c r="K138" i="54" s="1"/>
  <c r="N138" i="54" s="1"/>
  <c r="F138" i="54"/>
  <c r="E138" i="54"/>
  <c r="M137" i="54"/>
  <c r="F137" i="54"/>
  <c r="E137" i="54"/>
  <c r="H185" i="55" s="1"/>
  <c r="M136" i="54"/>
  <c r="F136" i="54"/>
  <c r="E136" i="54"/>
  <c r="M135" i="54"/>
  <c r="F135" i="54"/>
  <c r="E135" i="54"/>
  <c r="M134" i="54"/>
  <c r="F134" i="54"/>
  <c r="E134" i="54"/>
  <c r="M133" i="54"/>
  <c r="F133" i="54"/>
  <c r="E133" i="54"/>
  <c r="M132" i="54"/>
  <c r="F132" i="54"/>
  <c r="E132" i="54"/>
  <c r="M131" i="54"/>
  <c r="F131" i="54"/>
  <c r="E131" i="54"/>
  <c r="K130" i="54"/>
  <c r="N130" i="54" s="1"/>
  <c r="F130" i="54"/>
  <c r="J130" i="54" s="1"/>
  <c r="K129" i="54"/>
  <c r="F129" i="54"/>
  <c r="J129" i="54" s="1"/>
  <c r="M128" i="54"/>
  <c r="F128" i="54"/>
  <c r="E128" i="54"/>
  <c r="H182" i="55" s="1"/>
  <c r="M127" i="54"/>
  <c r="J127" i="54"/>
  <c r="M126" i="54"/>
  <c r="F126" i="54"/>
  <c r="J126" i="54" s="1"/>
  <c r="M125" i="54"/>
  <c r="K125" i="54" s="1"/>
  <c r="F125" i="54"/>
  <c r="E125" i="54"/>
  <c r="M124" i="54"/>
  <c r="F124" i="54"/>
  <c r="E124" i="54"/>
  <c r="M123" i="54"/>
  <c r="F123" i="54"/>
  <c r="E123" i="54"/>
  <c r="M122" i="54"/>
  <c r="F122" i="54"/>
  <c r="E122" i="54"/>
  <c r="M121" i="54"/>
  <c r="F121" i="54"/>
  <c r="E121" i="54"/>
  <c r="H178" i="55" s="1"/>
  <c r="M120" i="54"/>
  <c r="F120" i="54"/>
  <c r="E120" i="54"/>
  <c r="H174" i="55" s="1"/>
  <c r="M119" i="54"/>
  <c r="F119" i="54"/>
  <c r="E119" i="54"/>
  <c r="M118" i="54"/>
  <c r="F118" i="54"/>
  <c r="E118" i="54"/>
  <c r="M36" i="54"/>
  <c r="F36" i="54"/>
  <c r="E36" i="54"/>
  <c r="H186" i="55" s="1"/>
  <c r="M30" i="54"/>
  <c r="K30" i="54"/>
  <c r="J30" i="54"/>
  <c r="I30" i="54"/>
  <c r="H30" i="54"/>
  <c r="G30" i="54"/>
  <c r="F30" i="54"/>
  <c r="E30" i="54"/>
  <c r="M27" i="54"/>
  <c r="K27" i="54"/>
  <c r="J27" i="54"/>
  <c r="I27" i="54"/>
  <c r="H27" i="54"/>
  <c r="G27" i="54"/>
  <c r="F27" i="54"/>
  <c r="E27" i="54"/>
  <c r="M24" i="54"/>
  <c r="K24" i="54"/>
  <c r="J24" i="54"/>
  <c r="I24" i="54"/>
  <c r="H24" i="54"/>
  <c r="G24" i="54"/>
  <c r="F24" i="54"/>
  <c r="E24" i="54"/>
  <c r="I20" i="54"/>
  <c r="H20" i="54"/>
  <c r="G20" i="54"/>
  <c r="M18" i="54"/>
  <c r="I164" i="55" s="1"/>
  <c r="F18" i="54"/>
  <c r="E18" i="54"/>
  <c r="H164" i="55" s="1"/>
  <c r="M17" i="54"/>
  <c r="I167" i="55" s="1"/>
  <c r="F17" i="54"/>
  <c r="E17" i="54"/>
  <c r="H167" i="55" s="1"/>
  <c r="M16" i="54"/>
  <c r="I165" i="55" s="1"/>
  <c r="F16" i="54"/>
  <c r="E16" i="54"/>
  <c r="H165" i="55" s="1"/>
  <c r="M14" i="54"/>
  <c r="K14" i="54"/>
  <c r="J14" i="54"/>
  <c r="I14" i="54"/>
  <c r="H14" i="54"/>
  <c r="G14" i="54"/>
  <c r="F14" i="54"/>
  <c r="E14" i="54"/>
  <c r="I10" i="54"/>
  <c r="H10" i="54"/>
  <c r="G10" i="54"/>
  <c r="M9" i="54"/>
  <c r="I166" i="55" s="1"/>
  <c r="F9" i="54"/>
  <c r="E9" i="54"/>
  <c r="H166" i="55" s="1"/>
  <c r="E3" i="54"/>
  <c r="M1" i="54"/>
  <c r="D68" i="13"/>
  <c r="D67" i="13"/>
  <c r="D36" i="13"/>
  <c r="H27" i="13"/>
  <c r="E27" i="13"/>
  <c r="C27" i="13"/>
  <c r="B27" i="13"/>
  <c r="L24" i="13"/>
  <c r="K23" i="13"/>
  <c r="L23" i="13" s="1"/>
  <c r="L20" i="13"/>
  <c r="G16" i="13"/>
  <c r="J15" i="13"/>
  <c r="J14" i="13" s="1"/>
  <c r="J27" i="13" s="1"/>
  <c r="G12" i="13"/>
  <c r="D47" i="13" s="1"/>
  <c r="D10" i="13"/>
  <c r="I8" i="13"/>
  <c r="K5" i="13"/>
  <c r="I5" i="36" s="1"/>
  <c r="D5" i="13"/>
  <c r="C5" i="36" s="1"/>
  <c r="D196" i="78"/>
  <c r="C133" i="78"/>
  <c r="C132" i="78"/>
  <c r="C125" i="78"/>
  <c r="C124" i="78"/>
  <c r="C123" i="78"/>
  <c r="C116" i="78"/>
  <c r="C102" i="78"/>
  <c r="C91" i="78"/>
  <c r="C90" i="78"/>
  <c r="C79" i="78"/>
  <c r="C78" i="78"/>
  <c r="C77" i="78"/>
  <c r="C70" i="78"/>
  <c r="C69" i="78"/>
  <c r="C68" i="78"/>
  <c r="C67" i="78"/>
  <c r="C66" i="78"/>
  <c r="C65" i="78"/>
  <c r="C64" i="78"/>
  <c r="C63" i="78"/>
  <c r="C62" i="78"/>
  <c r="A11" i="78"/>
  <c r="C62" i="36"/>
  <c r="I21" i="36"/>
  <c r="C18" i="30"/>
  <c r="B11" i="30"/>
  <c r="B9" i="30"/>
  <c r="B8" i="30"/>
  <c r="B7" i="30"/>
  <c r="N2" i="2" s="1"/>
  <c r="B6" i="30"/>
  <c r="C69" i="70"/>
  <c r="D10" i="70" s="1"/>
  <c r="C65" i="70"/>
  <c r="D9" i="70" s="1"/>
  <c r="D53" i="70"/>
  <c r="D23" i="70"/>
  <c r="E23" i="70" s="1"/>
  <c r="C22" i="70"/>
  <c r="E22" i="70" s="1"/>
  <c r="E21" i="70"/>
  <c r="C14" i="70"/>
  <c r="C25" i="70" s="1"/>
  <c r="E25" i="70" s="1"/>
  <c r="D12" i="70"/>
  <c r="E12" i="70" s="1"/>
  <c r="E11" i="70"/>
  <c r="C10" i="70"/>
  <c r="C9" i="70"/>
  <c r="C20" i="70" s="1"/>
  <c r="C161" i="89"/>
  <c r="C162" i="89" s="1"/>
  <c r="B37" i="89"/>
  <c r="J83" i="25"/>
  <c r="J82" i="25"/>
  <c r="W77" i="25"/>
  <c r="W76" i="25"/>
  <c r="AI76" i="25" s="1"/>
  <c r="AJ76" i="25" s="1"/>
  <c r="W75" i="25"/>
  <c r="W74" i="25"/>
  <c r="AI74" i="25" s="1"/>
  <c r="AJ74" i="25" s="1"/>
  <c r="W73" i="25"/>
  <c r="AH71" i="25"/>
  <c r="W71" i="25"/>
  <c r="L71" i="25"/>
  <c r="W70" i="25"/>
  <c r="AI70" i="25" s="1"/>
  <c r="AJ70" i="25" s="1"/>
  <c r="W69" i="25"/>
  <c r="AI69" i="25" s="1"/>
  <c r="AJ69" i="25" s="1"/>
  <c r="W68" i="25"/>
  <c r="AI68" i="25" s="1"/>
  <c r="AJ68" i="25" s="1"/>
  <c r="H68" i="25"/>
  <c r="W67" i="25"/>
  <c r="AH66" i="25"/>
  <c r="AH73" i="25" s="1"/>
  <c r="AH75" i="25" s="1"/>
  <c r="AH77" i="25" s="1"/>
  <c r="AH52" i="25" s="1"/>
  <c r="AH53" i="25" s="1"/>
  <c r="W66" i="25"/>
  <c r="AI66" i="25" s="1"/>
  <c r="AJ66" i="25" s="1"/>
  <c r="L66" i="25"/>
  <c r="W65" i="25"/>
  <c r="AI65" i="25" s="1"/>
  <c r="AJ65" i="25" s="1"/>
  <c r="W64" i="25"/>
  <c r="AI64" i="25" s="1"/>
  <c r="AJ64" i="25" s="1"/>
  <c r="F60" i="25"/>
  <c r="E60" i="25"/>
  <c r="D60" i="25"/>
  <c r="C60" i="25"/>
  <c r="W52" i="25"/>
  <c r="W51" i="25"/>
  <c r="W50" i="25"/>
  <c r="AI50" i="25" s="1"/>
  <c r="AJ50" i="25" s="1"/>
  <c r="W49" i="25"/>
  <c r="AI49" i="25" s="1"/>
  <c r="C49" i="25"/>
  <c r="W48" i="25"/>
  <c r="C48" i="25"/>
  <c r="AH44" i="25"/>
  <c r="M44" i="25"/>
  <c r="L44" i="25"/>
  <c r="G44" i="25"/>
  <c r="W43" i="25"/>
  <c r="W42" i="25"/>
  <c r="W41" i="25"/>
  <c r="W40" i="25"/>
  <c r="AH37" i="25"/>
  <c r="M37" i="25"/>
  <c r="M55" i="25" s="1"/>
  <c r="L37" i="25"/>
  <c r="W36" i="25"/>
  <c r="AI36" i="25" s="1"/>
  <c r="AJ36" i="25" s="1"/>
  <c r="W35" i="25"/>
  <c r="AI35" i="25" s="1"/>
  <c r="AJ35" i="25" s="1"/>
  <c r="W34" i="25"/>
  <c r="W33" i="25"/>
  <c r="AI33" i="25" s="1"/>
  <c r="AJ33" i="25" s="1"/>
  <c r="W32" i="25"/>
  <c r="W25" i="25"/>
  <c r="H25" i="25"/>
  <c r="AH22" i="25"/>
  <c r="L22" i="25"/>
  <c r="G22" i="25"/>
  <c r="W21" i="25"/>
  <c r="W20" i="25"/>
  <c r="K20" i="25"/>
  <c r="W19" i="25"/>
  <c r="AI19" i="25" s="1"/>
  <c r="W18" i="25"/>
  <c r="AH15" i="25"/>
  <c r="AH28" i="25" s="1"/>
  <c r="M15" i="25"/>
  <c r="M28" i="25" s="1"/>
  <c r="L15" i="25"/>
  <c r="W14" i="25"/>
  <c r="AI14" i="25" s="1"/>
  <c r="W13" i="25"/>
  <c r="AI13" i="25" s="1"/>
  <c r="AJ13" i="25" s="1"/>
  <c r="W12" i="25"/>
  <c r="AI12" i="25" s="1"/>
  <c r="H12" i="25"/>
  <c r="G12" i="25"/>
  <c r="W11" i="25"/>
  <c r="AI11" i="25" s="1"/>
  <c r="AJ11" i="25" s="1"/>
  <c r="G11" i="25"/>
  <c r="C67" i="36"/>
  <c r="W10" i="25"/>
  <c r="AG61" i="25"/>
  <c r="AF61" i="25"/>
  <c r="C5" i="25"/>
  <c r="D5" i="25" s="1"/>
  <c r="H84" i="67"/>
  <c r="G84" i="67"/>
  <c r="F84" i="67"/>
  <c r="D84" i="67"/>
  <c r="C84" i="67"/>
  <c r="B84" i="67"/>
  <c r="I83" i="67"/>
  <c r="E83" i="67"/>
  <c r="I82" i="67"/>
  <c r="E82" i="67"/>
  <c r="I81" i="67"/>
  <c r="E81" i="67"/>
  <c r="H73" i="67"/>
  <c r="F73" i="67"/>
  <c r="D73" i="67"/>
  <c r="C73" i="67"/>
  <c r="B73" i="67"/>
  <c r="I72" i="67"/>
  <c r="E72" i="67"/>
  <c r="J72" i="67" s="1"/>
  <c r="I71" i="67"/>
  <c r="E71" i="67"/>
  <c r="E70" i="67"/>
  <c r="F53" i="67"/>
  <c r="E53" i="67"/>
  <c r="C53" i="67"/>
  <c r="B53" i="67"/>
  <c r="G52" i="67"/>
  <c r="G53" i="67" s="1"/>
  <c r="D52" i="67"/>
  <c r="D53" i="67" s="1"/>
  <c r="H44" i="67"/>
  <c r="G44" i="67"/>
  <c r="F44" i="67"/>
  <c r="D44" i="67"/>
  <c r="C147" i="46" s="1"/>
  <c r="C44" i="67"/>
  <c r="J41" i="67"/>
  <c r="H15" i="67"/>
  <c r="G15" i="67"/>
  <c r="D15" i="67"/>
  <c r="I14" i="67"/>
  <c r="E14" i="67"/>
  <c r="I11" i="67"/>
  <c r="I10" i="67"/>
  <c r="E10" i="67"/>
  <c r="I9" i="67"/>
  <c r="E9" i="67"/>
  <c r="I8" i="67"/>
  <c r="E8" i="67"/>
  <c r="I7" i="67"/>
  <c r="E7" i="67"/>
  <c r="I6" i="67"/>
  <c r="E6" i="67"/>
  <c r="J179" i="66"/>
  <c r="D179" i="66"/>
  <c r="C179" i="66"/>
  <c r="K179" i="66"/>
  <c r="B178" i="66"/>
  <c r="M179" i="66"/>
  <c r="B171" i="66"/>
  <c r="A169" i="66"/>
  <c r="K165" i="66"/>
  <c r="J165" i="66"/>
  <c r="I165" i="66"/>
  <c r="H165" i="66"/>
  <c r="G165" i="66"/>
  <c r="E165" i="66"/>
  <c r="B154" i="66"/>
  <c r="O149" i="66"/>
  <c r="B148" i="66"/>
  <c r="D149" i="66"/>
  <c r="A140" i="66"/>
  <c r="H136" i="66"/>
  <c r="E136" i="66"/>
  <c r="B120" i="66"/>
  <c r="A120" i="66"/>
  <c r="B107" i="66"/>
  <c r="A107" i="66"/>
  <c r="A105" i="66"/>
  <c r="E102" i="66"/>
  <c r="I83" i="66"/>
  <c r="H83" i="66"/>
  <c r="G83" i="66"/>
  <c r="F83" i="66"/>
  <c r="E83" i="66"/>
  <c r="D83" i="66"/>
  <c r="B57" i="66"/>
  <c r="A57" i="66"/>
  <c r="B15" i="66"/>
  <c r="A71" i="62"/>
  <c r="A59" i="62"/>
  <c r="A57" i="62"/>
  <c r="A56" i="62"/>
  <c r="F49" i="62"/>
  <c r="F43" i="62"/>
  <c r="F42" i="62"/>
  <c r="F41" i="62"/>
  <c r="C22" i="62"/>
  <c r="E22" i="62" s="1"/>
  <c r="F45" i="62" s="1"/>
  <c r="B10" i="28"/>
  <c r="I111" i="83"/>
  <c r="K111" i="83" s="1"/>
  <c r="J111" i="83" s="1"/>
  <c r="I107" i="83"/>
  <c r="J107" i="83" s="1"/>
  <c r="D73" i="83"/>
  <c r="O189" i="54"/>
  <c r="D163" i="6"/>
  <c r="D162" i="6"/>
  <c r="D160" i="6"/>
  <c r="D159" i="6"/>
  <c r="D158" i="6"/>
  <c r="D152" i="6"/>
  <c r="D149" i="6"/>
  <c r="D148" i="6"/>
  <c r="D146" i="6"/>
  <c r="D145" i="6"/>
  <c r="D143" i="6"/>
  <c r="D139" i="6"/>
  <c r="D136" i="6"/>
  <c r="D135" i="6"/>
  <c r="D121" i="6"/>
  <c r="D120" i="6"/>
  <c r="D118" i="6"/>
  <c r="D117" i="6"/>
  <c r="D115" i="6"/>
  <c r="D114" i="6"/>
  <c r="D112" i="6"/>
  <c r="D111" i="6"/>
  <c r="D109" i="6"/>
  <c r="D108" i="6"/>
  <c r="D105" i="6"/>
  <c r="D103" i="6"/>
  <c r="D102" i="6"/>
  <c r="D100" i="6"/>
  <c r="D99" i="6"/>
  <c r="D97" i="6"/>
  <c r="D96" i="6"/>
  <c r="D93" i="6"/>
  <c r="D91" i="6"/>
  <c r="D90" i="6"/>
  <c r="D88" i="6"/>
  <c r="D87" i="6"/>
  <c r="K703" i="2"/>
  <c r="D85" i="6"/>
  <c r="D84" i="6"/>
  <c r="D82" i="6"/>
  <c r="D81" i="6"/>
  <c r="D67" i="6"/>
  <c r="D66" i="6"/>
  <c r="D65" i="6"/>
  <c r="D63" i="6"/>
  <c r="D62" i="6"/>
  <c r="D60" i="6"/>
  <c r="D59" i="6"/>
  <c r="D57" i="6"/>
  <c r="D56" i="6"/>
  <c r="D55" i="6"/>
  <c r="D53" i="6"/>
  <c r="D52" i="6"/>
  <c r="D51" i="6"/>
  <c r="D49" i="6"/>
  <c r="D48" i="6"/>
  <c r="D47" i="6"/>
  <c r="D45" i="6"/>
  <c r="D44" i="6"/>
  <c r="D43" i="6"/>
  <c r="D38" i="6"/>
  <c r="D37" i="6"/>
  <c r="D35" i="6"/>
  <c r="D32" i="6"/>
  <c r="D30" i="6"/>
  <c r="D29" i="6"/>
  <c r="D28" i="6"/>
  <c r="D27" i="6"/>
  <c r="D25" i="6"/>
  <c r="D24" i="6"/>
  <c r="D12" i="6"/>
  <c r="D10" i="6"/>
  <c r="B13" i="6"/>
  <c r="B17" i="6" s="1"/>
  <c r="B20" i="6" s="1"/>
  <c r="B2" i="6"/>
  <c r="T1008" i="2"/>
  <c r="T1007" i="2"/>
  <c r="I1007" i="2"/>
  <c r="H1007" i="2"/>
  <c r="G1007" i="2"/>
  <c r="T1006" i="2"/>
  <c r="U1006" i="2" s="1"/>
  <c r="T1005" i="2"/>
  <c r="V1003" i="2"/>
  <c r="U1003" i="2"/>
  <c r="T1003" i="2"/>
  <c r="V1002" i="2"/>
  <c r="U1002" i="2"/>
  <c r="T1002" i="2"/>
  <c r="V1001" i="2"/>
  <c r="U1001" i="2"/>
  <c r="T1001" i="2"/>
  <c r="V1000" i="2"/>
  <c r="U1000" i="2"/>
  <c r="T1000" i="2"/>
  <c r="V999" i="2"/>
  <c r="U999" i="2"/>
  <c r="T999" i="2"/>
  <c r="V998" i="2"/>
  <c r="U998" i="2"/>
  <c r="T998" i="2"/>
  <c r="V997" i="2"/>
  <c r="U997" i="2"/>
  <c r="T997" i="2"/>
  <c r="V996" i="2"/>
  <c r="U996" i="2"/>
  <c r="T996" i="2"/>
  <c r="M996" i="2"/>
  <c r="I996" i="2"/>
  <c r="H996" i="2"/>
  <c r="G996" i="2"/>
  <c r="E996" i="2"/>
  <c r="V995" i="2"/>
  <c r="U995" i="2"/>
  <c r="T995" i="2"/>
  <c r="V994" i="2"/>
  <c r="U994" i="2"/>
  <c r="T994" i="2"/>
  <c r="F994" i="2"/>
  <c r="J994" i="2" s="1"/>
  <c r="V993" i="2"/>
  <c r="U993" i="2"/>
  <c r="T993" i="2"/>
  <c r="V992" i="2"/>
  <c r="U992" i="2"/>
  <c r="T992" i="2"/>
  <c r="V991" i="2"/>
  <c r="U991" i="2"/>
  <c r="T991" i="2"/>
  <c r="J991" i="2"/>
  <c r="V990" i="2"/>
  <c r="U990" i="2"/>
  <c r="T990" i="2"/>
  <c r="M990" i="2"/>
  <c r="K990" i="2"/>
  <c r="J990" i="2"/>
  <c r="I990" i="2"/>
  <c r="H990" i="2"/>
  <c r="G990" i="2"/>
  <c r="E990" i="2"/>
  <c r="V989" i="2"/>
  <c r="U989" i="2"/>
  <c r="T989" i="2"/>
  <c r="V988" i="2"/>
  <c r="U988" i="2"/>
  <c r="T988" i="2"/>
  <c r="V987" i="2"/>
  <c r="U987" i="2"/>
  <c r="T987" i="2"/>
  <c r="V986" i="2"/>
  <c r="U986" i="2"/>
  <c r="T986" i="2"/>
  <c r="N986" i="2"/>
  <c r="V985" i="2"/>
  <c r="U985" i="2"/>
  <c r="T985" i="2"/>
  <c r="I985" i="2"/>
  <c r="H985" i="2"/>
  <c r="G985" i="2"/>
  <c r="V984" i="2"/>
  <c r="U984" i="2"/>
  <c r="T984" i="2"/>
  <c r="V983" i="2"/>
  <c r="U983" i="2"/>
  <c r="T983" i="2"/>
  <c r="N983" i="2"/>
  <c r="V982" i="2"/>
  <c r="U982" i="2"/>
  <c r="T982" i="2"/>
  <c r="N982" i="2"/>
  <c r="V981" i="2"/>
  <c r="U981" i="2"/>
  <c r="T981" i="2"/>
  <c r="M981" i="2"/>
  <c r="K981" i="2"/>
  <c r="J981" i="2"/>
  <c r="P50" i="7" s="1"/>
  <c r="O50" i="7" s="1"/>
  <c r="I981" i="2"/>
  <c r="H981" i="2"/>
  <c r="G981" i="2"/>
  <c r="E981" i="2"/>
  <c r="V980" i="2"/>
  <c r="U980" i="2"/>
  <c r="T980" i="2"/>
  <c r="V979" i="2"/>
  <c r="U979" i="2"/>
  <c r="T979" i="2"/>
  <c r="V978" i="2"/>
  <c r="U978" i="2"/>
  <c r="T978" i="2"/>
  <c r="N978" i="2"/>
  <c r="V977" i="2"/>
  <c r="U977" i="2"/>
  <c r="T977" i="2"/>
  <c r="I977" i="2"/>
  <c r="H977" i="2"/>
  <c r="G977" i="2"/>
  <c r="V976" i="2"/>
  <c r="U976" i="2"/>
  <c r="T976" i="2"/>
  <c r="V975" i="2"/>
  <c r="U975" i="2"/>
  <c r="T975" i="2"/>
  <c r="K975" i="2"/>
  <c r="F975" i="2"/>
  <c r="J975" i="2" s="1"/>
  <c r="V974" i="2"/>
  <c r="U974" i="2"/>
  <c r="T974" i="2"/>
  <c r="V973" i="2"/>
  <c r="U973" i="2"/>
  <c r="T973" i="2"/>
  <c r="V972" i="2"/>
  <c r="U972" i="2"/>
  <c r="T972" i="2"/>
  <c r="K972" i="2"/>
  <c r="V971" i="2"/>
  <c r="U971" i="2"/>
  <c r="T971" i="2"/>
  <c r="K971" i="2"/>
  <c r="V970" i="2"/>
  <c r="U970" i="2"/>
  <c r="T970" i="2"/>
  <c r="V969" i="2"/>
  <c r="U969" i="2"/>
  <c r="T969" i="2"/>
  <c r="V968" i="2"/>
  <c r="U968" i="2"/>
  <c r="T968" i="2"/>
  <c r="V967" i="2"/>
  <c r="U967" i="2"/>
  <c r="T967" i="2"/>
  <c r="V966" i="2"/>
  <c r="U966" i="2"/>
  <c r="T966" i="2"/>
  <c r="V965" i="2"/>
  <c r="U965" i="2"/>
  <c r="T965" i="2"/>
  <c r="V964" i="2"/>
  <c r="U964" i="2"/>
  <c r="T964" i="2"/>
  <c r="F964" i="2"/>
  <c r="V963" i="2"/>
  <c r="U963" i="2"/>
  <c r="T963" i="2"/>
  <c r="F963" i="2"/>
  <c r="V962" i="2"/>
  <c r="U962" i="2"/>
  <c r="T962" i="2"/>
  <c r="V961" i="2"/>
  <c r="U961" i="2"/>
  <c r="T961" i="2"/>
  <c r="F961" i="2"/>
  <c r="V960" i="2"/>
  <c r="U960" i="2"/>
  <c r="T960" i="2"/>
  <c r="V959" i="2"/>
  <c r="U959" i="2"/>
  <c r="T959" i="2"/>
  <c r="V958" i="2"/>
  <c r="U958" i="2"/>
  <c r="T958" i="2"/>
  <c r="V957" i="2"/>
  <c r="U957" i="2"/>
  <c r="T957" i="2"/>
  <c r="F957" i="2"/>
  <c r="V956" i="2"/>
  <c r="U956" i="2"/>
  <c r="T956" i="2"/>
  <c r="V955" i="2"/>
  <c r="U955" i="2"/>
  <c r="T955" i="2"/>
  <c r="V954" i="2"/>
  <c r="U954" i="2"/>
  <c r="T954" i="2"/>
  <c r="F954" i="2"/>
  <c r="J954" i="2" s="1"/>
  <c r="V953" i="2"/>
  <c r="U953" i="2"/>
  <c r="T953" i="2"/>
  <c r="V952" i="2"/>
  <c r="U952" i="2"/>
  <c r="T952" i="2"/>
  <c r="K952" i="2"/>
  <c r="V951" i="2"/>
  <c r="U951" i="2"/>
  <c r="T951" i="2"/>
  <c r="K951" i="2"/>
  <c r="V950" i="2"/>
  <c r="U950" i="2"/>
  <c r="T950" i="2"/>
  <c r="V949" i="2"/>
  <c r="U949" i="2"/>
  <c r="T949" i="2"/>
  <c r="V948" i="2"/>
  <c r="U948" i="2"/>
  <c r="T948" i="2"/>
  <c r="V947" i="2"/>
  <c r="U947" i="2"/>
  <c r="T947" i="2"/>
  <c r="V946" i="2"/>
  <c r="U946" i="2"/>
  <c r="T946" i="2"/>
  <c r="V945" i="2"/>
  <c r="U945" i="2"/>
  <c r="T945" i="2"/>
  <c r="V944" i="2"/>
  <c r="U944" i="2"/>
  <c r="T944" i="2"/>
  <c r="F944" i="2"/>
  <c r="J944" i="2" s="1"/>
  <c r="V943" i="2"/>
  <c r="U943" i="2"/>
  <c r="T943" i="2"/>
  <c r="V942" i="2"/>
  <c r="U942" i="2"/>
  <c r="T942" i="2"/>
  <c r="V941" i="2"/>
  <c r="U941" i="2"/>
  <c r="T941" i="2"/>
  <c r="F941" i="2"/>
  <c r="V940" i="2"/>
  <c r="U940" i="2"/>
  <c r="T940" i="2"/>
  <c r="F940" i="2"/>
  <c r="V935" i="2"/>
  <c r="U935" i="2"/>
  <c r="T935" i="2"/>
  <c r="F935" i="2"/>
  <c r="V934" i="2"/>
  <c r="U934" i="2"/>
  <c r="T934" i="2"/>
  <c r="V933" i="2"/>
  <c r="U933" i="2"/>
  <c r="T933" i="2"/>
  <c r="F933" i="2"/>
  <c r="V932" i="2"/>
  <c r="U932" i="2"/>
  <c r="T932" i="2"/>
  <c r="V931" i="2"/>
  <c r="U931" i="2"/>
  <c r="T931" i="2"/>
  <c r="V930" i="2"/>
  <c r="U930" i="2"/>
  <c r="T930" i="2"/>
  <c r="V929" i="2"/>
  <c r="U929" i="2"/>
  <c r="T929" i="2"/>
  <c r="V928" i="2"/>
  <c r="U928" i="2"/>
  <c r="T928" i="2"/>
  <c r="F928" i="2"/>
  <c r="V927" i="2"/>
  <c r="U927" i="2"/>
  <c r="T927" i="2"/>
  <c r="N927" i="2"/>
  <c r="V926" i="2"/>
  <c r="U926" i="2"/>
  <c r="T926" i="2"/>
  <c r="N926" i="2"/>
  <c r="V925" i="2"/>
  <c r="U925" i="2"/>
  <c r="T925" i="2"/>
  <c r="N925" i="2"/>
  <c r="V924" i="2"/>
  <c r="U924" i="2"/>
  <c r="T924" i="2"/>
  <c r="K924" i="2"/>
  <c r="I924" i="2"/>
  <c r="H924" i="2"/>
  <c r="G924" i="2"/>
  <c r="E924" i="2"/>
  <c r="V923" i="2"/>
  <c r="U923" i="2"/>
  <c r="T923" i="2"/>
  <c r="N923" i="2"/>
  <c r="V922" i="2"/>
  <c r="U922" i="2"/>
  <c r="T922" i="2"/>
  <c r="N922" i="2"/>
  <c r="J922" i="2"/>
  <c r="J924" i="2" s="1"/>
  <c r="V921" i="2"/>
  <c r="U921" i="2"/>
  <c r="T921" i="2"/>
  <c r="N921" i="2"/>
  <c r="V920" i="2"/>
  <c r="U920" i="2"/>
  <c r="T920" i="2"/>
  <c r="N920" i="2"/>
  <c r="V919" i="2"/>
  <c r="U919" i="2"/>
  <c r="T919" i="2"/>
  <c r="I919" i="2"/>
  <c r="H919" i="2"/>
  <c r="G919" i="2"/>
  <c r="V918" i="2"/>
  <c r="U918" i="2"/>
  <c r="T918" i="2"/>
  <c r="N918" i="2"/>
  <c r="V917" i="2"/>
  <c r="U917" i="2"/>
  <c r="T917" i="2"/>
  <c r="V916" i="2"/>
  <c r="U916" i="2"/>
  <c r="T916" i="2"/>
  <c r="V914" i="2"/>
  <c r="U914" i="2"/>
  <c r="T914" i="2"/>
  <c r="V913" i="2"/>
  <c r="U913" i="2"/>
  <c r="T913" i="2"/>
  <c r="V912" i="2"/>
  <c r="U912" i="2"/>
  <c r="T912" i="2"/>
  <c r="V911" i="2"/>
  <c r="U911" i="2"/>
  <c r="T911" i="2"/>
  <c r="V910" i="2"/>
  <c r="U910" i="2"/>
  <c r="T910" i="2"/>
  <c r="V909" i="2"/>
  <c r="U909" i="2"/>
  <c r="T909" i="2"/>
  <c r="V906" i="2"/>
  <c r="U906" i="2"/>
  <c r="T906" i="2"/>
  <c r="F906" i="2"/>
  <c r="V905" i="2"/>
  <c r="U905" i="2"/>
  <c r="T905" i="2"/>
  <c r="V904" i="2"/>
  <c r="U904" i="2"/>
  <c r="T904" i="2"/>
  <c r="F904" i="2"/>
  <c r="V903" i="2"/>
  <c r="U903" i="2"/>
  <c r="T903" i="2"/>
  <c r="V902" i="2"/>
  <c r="U902" i="2"/>
  <c r="T902" i="2"/>
  <c r="V901" i="2"/>
  <c r="U901" i="2"/>
  <c r="T901" i="2"/>
  <c r="V900" i="2"/>
  <c r="U900" i="2"/>
  <c r="T900" i="2"/>
  <c r="V899" i="2"/>
  <c r="U899" i="2"/>
  <c r="T899" i="2"/>
  <c r="F899" i="2"/>
  <c r="J899" i="2" s="1"/>
  <c r="V898" i="2"/>
  <c r="U898" i="2"/>
  <c r="T898" i="2"/>
  <c r="F898" i="2"/>
  <c r="V897" i="2"/>
  <c r="U897" i="2"/>
  <c r="T897" i="2"/>
  <c r="V896" i="2"/>
  <c r="U896" i="2"/>
  <c r="T896" i="2"/>
  <c r="F896" i="2"/>
  <c r="J896" i="2" s="1"/>
  <c r="V895" i="2"/>
  <c r="U895" i="2"/>
  <c r="T895" i="2"/>
  <c r="V894" i="2"/>
  <c r="U894" i="2"/>
  <c r="T894" i="2"/>
  <c r="F894" i="2"/>
  <c r="V893" i="2"/>
  <c r="U893" i="2"/>
  <c r="T893" i="2"/>
  <c r="F893" i="2"/>
  <c r="V892" i="2"/>
  <c r="U892" i="2"/>
  <c r="T892" i="2"/>
  <c r="V891" i="2"/>
  <c r="U891" i="2"/>
  <c r="T891" i="2"/>
  <c r="V890" i="2"/>
  <c r="U890" i="2"/>
  <c r="T890" i="2"/>
  <c r="V888" i="2"/>
  <c r="U888" i="2"/>
  <c r="T888" i="2"/>
  <c r="V887" i="2"/>
  <c r="U887" i="2"/>
  <c r="T887" i="2"/>
  <c r="V886" i="2"/>
  <c r="U886" i="2"/>
  <c r="T886" i="2"/>
  <c r="V885" i="2"/>
  <c r="U885" i="2"/>
  <c r="T885" i="2"/>
  <c r="V884" i="2"/>
  <c r="U884" i="2"/>
  <c r="T884" i="2"/>
  <c r="V883" i="2"/>
  <c r="U883" i="2"/>
  <c r="T883" i="2"/>
  <c r="V882" i="2"/>
  <c r="U882" i="2"/>
  <c r="T882" i="2"/>
  <c r="F882" i="2"/>
  <c r="V881" i="2"/>
  <c r="U881" i="2"/>
  <c r="T881" i="2"/>
  <c r="V880" i="2"/>
  <c r="U880" i="2"/>
  <c r="T880" i="2"/>
  <c r="V879" i="2"/>
  <c r="U879" i="2"/>
  <c r="T879" i="2"/>
  <c r="V878" i="2"/>
  <c r="U878" i="2"/>
  <c r="T878" i="2"/>
  <c r="V876" i="2"/>
  <c r="U876" i="2"/>
  <c r="T876" i="2"/>
  <c r="V875" i="2"/>
  <c r="U875" i="2"/>
  <c r="T875" i="2"/>
  <c r="N875" i="2"/>
  <c r="V874" i="2"/>
  <c r="U874" i="2"/>
  <c r="T874" i="2"/>
  <c r="N874" i="2"/>
  <c r="V873" i="2"/>
  <c r="U873" i="2"/>
  <c r="T873" i="2"/>
  <c r="N873" i="2"/>
  <c r="V872" i="2"/>
  <c r="U872" i="2"/>
  <c r="T872" i="2"/>
  <c r="N872" i="2"/>
  <c r="V871" i="2"/>
  <c r="U871" i="2"/>
  <c r="T871" i="2"/>
  <c r="V870" i="2"/>
  <c r="U870" i="2"/>
  <c r="T870" i="2"/>
  <c r="N870" i="2"/>
  <c r="V869" i="2"/>
  <c r="U869" i="2"/>
  <c r="T869" i="2"/>
  <c r="M869" i="2"/>
  <c r="K869" i="2"/>
  <c r="J869" i="2"/>
  <c r="I869" i="2"/>
  <c r="H869" i="2"/>
  <c r="G869" i="2"/>
  <c r="E869" i="2"/>
  <c r="V868" i="2"/>
  <c r="U868" i="2"/>
  <c r="T868" i="2"/>
  <c r="N868" i="2"/>
  <c r="V867" i="2"/>
  <c r="U867" i="2"/>
  <c r="T867" i="2"/>
  <c r="N867" i="2"/>
  <c r="V866" i="2"/>
  <c r="U866" i="2"/>
  <c r="T866" i="2"/>
  <c r="I866" i="2"/>
  <c r="H866" i="2"/>
  <c r="G866" i="2"/>
  <c r="V865" i="2"/>
  <c r="U865" i="2"/>
  <c r="T865" i="2"/>
  <c r="V864" i="2"/>
  <c r="U864" i="2"/>
  <c r="T864" i="2"/>
  <c r="V863" i="2"/>
  <c r="U863" i="2"/>
  <c r="T863" i="2"/>
  <c r="F863" i="2"/>
  <c r="V862" i="2"/>
  <c r="U862" i="2"/>
  <c r="T862" i="2"/>
  <c r="F862" i="2"/>
  <c r="V861" i="2"/>
  <c r="U861" i="2"/>
  <c r="T861" i="2"/>
  <c r="V860" i="2"/>
  <c r="U860" i="2"/>
  <c r="T860" i="2"/>
  <c r="N860" i="2"/>
  <c r="V859" i="2"/>
  <c r="U859" i="2"/>
  <c r="T859" i="2"/>
  <c r="K859" i="2"/>
  <c r="I859" i="2"/>
  <c r="H859" i="2"/>
  <c r="G859" i="2"/>
  <c r="E859" i="2"/>
  <c r="V858" i="2"/>
  <c r="U858" i="2"/>
  <c r="T858" i="2"/>
  <c r="N858" i="2"/>
  <c r="J858" i="2"/>
  <c r="J859" i="2" s="1"/>
  <c r="P37" i="7" s="1"/>
  <c r="O37" i="7" s="1"/>
  <c r="V857" i="2"/>
  <c r="U857" i="2"/>
  <c r="T857" i="2"/>
  <c r="N857" i="2"/>
  <c r="V856" i="2"/>
  <c r="U856" i="2"/>
  <c r="T856" i="2"/>
  <c r="I856" i="2"/>
  <c r="H856" i="2"/>
  <c r="G856" i="2"/>
  <c r="V855" i="2"/>
  <c r="U855" i="2"/>
  <c r="T855" i="2"/>
  <c r="V854" i="2"/>
  <c r="U854" i="2"/>
  <c r="T854" i="2"/>
  <c r="N854" i="2"/>
  <c r="V853" i="2"/>
  <c r="U853" i="2"/>
  <c r="T853" i="2"/>
  <c r="N853" i="2"/>
  <c r="V852" i="2"/>
  <c r="U852" i="2"/>
  <c r="T852" i="2"/>
  <c r="I852" i="2"/>
  <c r="H852" i="2"/>
  <c r="G852" i="2"/>
  <c r="V851" i="2"/>
  <c r="U851" i="2"/>
  <c r="T851" i="2"/>
  <c r="N851" i="2"/>
  <c r="V850" i="2"/>
  <c r="U850" i="2"/>
  <c r="T850" i="2"/>
  <c r="V849" i="2"/>
  <c r="U849" i="2"/>
  <c r="T849" i="2"/>
  <c r="K849" i="2"/>
  <c r="V770" i="2"/>
  <c r="U770" i="2"/>
  <c r="T770" i="2"/>
  <c r="V846" i="2"/>
  <c r="U846" i="2"/>
  <c r="T846" i="2"/>
  <c r="V777" i="2"/>
  <c r="U777" i="2"/>
  <c r="T777" i="2"/>
  <c r="V845" i="2"/>
  <c r="U845" i="2"/>
  <c r="T845" i="2"/>
  <c r="K845" i="2"/>
  <c r="V839" i="2"/>
  <c r="U839" i="2"/>
  <c r="T839" i="2"/>
  <c r="F839" i="2"/>
  <c r="V836" i="2"/>
  <c r="U836" i="2"/>
  <c r="T836" i="2"/>
  <c r="V835" i="2"/>
  <c r="U835" i="2"/>
  <c r="T835" i="2"/>
  <c r="F835" i="2"/>
  <c r="V834" i="2"/>
  <c r="U834" i="2"/>
  <c r="T834" i="2"/>
  <c r="K834" i="2"/>
  <c r="V833" i="2"/>
  <c r="U833" i="2"/>
  <c r="T833" i="2"/>
  <c r="V832" i="2"/>
  <c r="U832" i="2"/>
  <c r="T832" i="2"/>
  <c r="V831" i="2"/>
  <c r="U831" i="2"/>
  <c r="T831" i="2"/>
  <c r="K831" i="2"/>
  <c r="V830" i="2"/>
  <c r="U830" i="2"/>
  <c r="T830" i="2"/>
  <c r="K830" i="2"/>
  <c r="F830" i="2"/>
  <c r="V829" i="2"/>
  <c r="U829" i="2"/>
  <c r="T829" i="2"/>
  <c r="V828" i="2"/>
  <c r="U828" i="2"/>
  <c r="T828" i="2"/>
  <c r="K828" i="2"/>
  <c r="V844" i="2"/>
  <c r="U844" i="2"/>
  <c r="T844" i="2"/>
  <c r="F844" i="2"/>
  <c r="V843" i="2"/>
  <c r="U843" i="2"/>
  <c r="T843" i="2"/>
  <c r="V842" i="2"/>
  <c r="U842" i="2"/>
  <c r="T842" i="2"/>
  <c r="F842" i="2"/>
  <c r="V841" i="2"/>
  <c r="U841" i="2"/>
  <c r="T841" i="2"/>
  <c r="F841" i="2"/>
  <c r="V827" i="2"/>
  <c r="U827" i="2"/>
  <c r="T827" i="2"/>
  <c r="F827" i="2"/>
  <c r="J827" i="2" s="1"/>
  <c r="V826" i="2"/>
  <c r="U826" i="2"/>
  <c r="T826" i="2"/>
  <c r="V825" i="2"/>
  <c r="U825" i="2"/>
  <c r="T825" i="2"/>
  <c r="F825" i="2"/>
  <c r="J825" i="2" s="1"/>
  <c r="V824" i="2"/>
  <c r="U824" i="2"/>
  <c r="T824" i="2"/>
  <c r="V823" i="2"/>
  <c r="U823" i="2"/>
  <c r="T823" i="2"/>
  <c r="K823" i="2"/>
  <c r="V822" i="2"/>
  <c r="U822" i="2"/>
  <c r="T822" i="2"/>
  <c r="F822" i="2"/>
  <c r="V821" i="2"/>
  <c r="U821" i="2"/>
  <c r="T821" i="2"/>
  <c r="V820" i="2"/>
  <c r="U820" i="2"/>
  <c r="T820" i="2"/>
  <c r="V819" i="2"/>
  <c r="U819" i="2"/>
  <c r="T819" i="2"/>
  <c r="V818" i="2"/>
  <c r="U818" i="2"/>
  <c r="T818" i="2"/>
  <c r="V817" i="2"/>
  <c r="U817" i="2"/>
  <c r="T817" i="2"/>
  <c r="V815" i="2"/>
  <c r="U815" i="2"/>
  <c r="T815" i="2"/>
  <c r="V812" i="2"/>
  <c r="U812" i="2"/>
  <c r="T812" i="2"/>
  <c r="V811" i="2"/>
  <c r="U811" i="2"/>
  <c r="T811" i="2"/>
  <c r="V810" i="2"/>
  <c r="U810" i="2"/>
  <c r="T810" i="2"/>
  <c r="V809" i="2"/>
  <c r="U809" i="2"/>
  <c r="T809" i="2"/>
  <c r="V808" i="2"/>
  <c r="U808" i="2"/>
  <c r="T808" i="2"/>
  <c r="F808" i="2"/>
  <c r="V807" i="2"/>
  <c r="U807" i="2"/>
  <c r="T807" i="2"/>
  <c r="F807" i="2"/>
  <c r="V806" i="2"/>
  <c r="U806" i="2"/>
  <c r="T806" i="2"/>
  <c r="V805" i="2"/>
  <c r="U805" i="2"/>
  <c r="T805" i="2"/>
  <c r="F805" i="2"/>
  <c r="V804" i="2"/>
  <c r="U804" i="2"/>
  <c r="T804" i="2"/>
  <c r="V803" i="2"/>
  <c r="U803" i="2"/>
  <c r="T803" i="2"/>
  <c r="N803" i="2"/>
  <c r="F803" i="2"/>
  <c r="J803" i="2" s="1"/>
  <c r="V802" i="2"/>
  <c r="U802" i="2"/>
  <c r="T802" i="2"/>
  <c r="V801" i="2"/>
  <c r="U801" i="2"/>
  <c r="T801" i="2"/>
  <c r="V800" i="2"/>
  <c r="U800" i="2"/>
  <c r="T800" i="2"/>
  <c r="V799" i="2"/>
  <c r="U799" i="2"/>
  <c r="T799" i="2"/>
  <c r="V798" i="2"/>
  <c r="U798" i="2"/>
  <c r="T798" i="2"/>
  <c r="F798" i="2"/>
  <c r="V797" i="2"/>
  <c r="U797" i="2"/>
  <c r="T797" i="2"/>
  <c r="F797" i="2"/>
  <c r="V796" i="2"/>
  <c r="U796" i="2"/>
  <c r="T796" i="2"/>
  <c r="N796" i="2"/>
  <c r="V795" i="2"/>
  <c r="U795" i="2"/>
  <c r="T795" i="2"/>
  <c r="F795" i="2"/>
  <c r="V794" i="2"/>
  <c r="U794" i="2"/>
  <c r="T794" i="2"/>
  <c r="F794" i="2"/>
  <c r="V793" i="2"/>
  <c r="U793" i="2"/>
  <c r="T793" i="2"/>
  <c r="F793" i="2"/>
  <c r="V792" i="2"/>
  <c r="U792" i="2"/>
  <c r="T792" i="2"/>
  <c r="F792" i="2"/>
  <c r="V791" i="2"/>
  <c r="U791" i="2"/>
  <c r="T791" i="2"/>
  <c r="V790" i="2"/>
  <c r="U790" i="2"/>
  <c r="T790" i="2"/>
  <c r="F790" i="2"/>
  <c r="V789" i="2"/>
  <c r="U789" i="2"/>
  <c r="T789" i="2"/>
  <c r="V788" i="2"/>
  <c r="U788" i="2"/>
  <c r="T788" i="2"/>
  <c r="V787" i="2"/>
  <c r="U787" i="2"/>
  <c r="T787" i="2"/>
  <c r="V786" i="2"/>
  <c r="U786" i="2"/>
  <c r="T786" i="2"/>
  <c r="V785" i="2"/>
  <c r="U785" i="2"/>
  <c r="T785" i="2"/>
  <c r="F785" i="2"/>
  <c r="V784" i="2"/>
  <c r="U784" i="2"/>
  <c r="T784" i="2"/>
  <c r="F784" i="2"/>
  <c r="V783" i="2"/>
  <c r="U783" i="2"/>
  <c r="T783" i="2"/>
  <c r="V782" i="2"/>
  <c r="U782" i="2"/>
  <c r="T782" i="2"/>
  <c r="V778" i="2"/>
  <c r="U778" i="2"/>
  <c r="T778" i="2"/>
  <c r="F778" i="2"/>
  <c r="V840" i="2"/>
  <c r="U840" i="2"/>
  <c r="T840" i="2"/>
  <c r="F840" i="2"/>
  <c r="V776" i="2"/>
  <c r="U776" i="2"/>
  <c r="T776" i="2"/>
  <c r="V775" i="2"/>
  <c r="U775" i="2"/>
  <c r="T775" i="2"/>
  <c r="V774" i="2"/>
  <c r="U774" i="2"/>
  <c r="T774" i="2"/>
  <c r="V773" i="2"/>
  <c r="U773" i="2"/>
  <c r="T773" i="2"/>
  <c r="F773" i="2"/>
  <c r="V772" i="2"/>
  <c r="U772" i="2"/>
  <c r="T772" i="2"/>
  <c r="F772" i="2"/>
  <c r="V771" i="2"/>
  <c r="U771" i="2"/>
  <c r="T771" i="2"/>
  <c r="V769" i="2"/>
  <c r="U769" i="2"/>
  <c r="T769" i="2"/>
  <c r="F769" i="2"/>
  <c r="V768" i="2"/>
  <c r="U768" i="2"/>
  <c r="T768" i="2"/>
  <c r="F768" i="2"/>
  <c r="V762" i="2"/>
  <c r="U762" i="2"/>
  <c r="T762" i="2"/>
  <c r="V767" i="2"/>
  <c r="U767" i="2"/>
  <c r="T767" i="2"/>
  <c r="F767" i="2"/>
  <c r="V766" i="2"/>
  <c r="U766" i="2"/>
  <c r="T766" i="2"/>
  <c r="V765" i="2"/>
  <c r="U765" i="2"/>
  <c r="T765" i="2"/>
  <c r="F765" i="2"/>
  <c r="V761" i="2"/>
  <c r="U761" i="2"/>
  <c r="T761" i="2"/>
  <c r="F761" i="2"/>
  <c r="V760" i="2"/>
  <c r="U760" i="2"/>
  <c r="T760" i="2"/>
  <c r="V759" i="2"/>
  <c r="U759" i="2"/>
  <c r="T759" i="2"/>
  <c r="F759" i="2"/>
  <c r="V756" i="2"/>
  <c r="U756" i="2"/>
  <c r="T756" i="2"/>
  <c r="N756" i="2"/>
  <c r="V755" i="2"/>
  <c r="U755" i="2"/>
  <c r="T755" i="2"/>
  <c r="I755" i="2"/>
  <c r="H755" i="2"/>
  <c r="G755" i="2"/>
  <c r="V754" i="2"/>
  <c r="U754" i="2"/>
  <c r="T754" i="2"/>
  <c r="N754" i="2"/>
  <c r="V753" i="2"/>
  <c r="U753" i="2"/>
  <c r="T753" i="2"/>
  <c r="V752" i="2"/>
  <c r="U752" i="2"/>
  <c r="T752" i="2"/>
  <c r="V751" i="2"/>
  <c r="U751" i="2"/>
  <c r="T751" i="2"/>
  <c r="V750" i="2"/>
  <c r="U750" i="2"/>
  <c r="T750" i="2"/>
  <c r="N750" i="2"/>
  <c r="V749" i="2"/>
  <c r="U749" i="2"/>
  <c r="T749" i="2"/>
  <c r="I749" i="2"/>
  <c r="H749" i="2"/>
  <c r="G749" i="2"/>
  <c r="V748" i="2"/>
  <c r="U748" i="2"/>
  <c r="T748" i="2"/>
  <c r="F748" i="2"/>
  <c r="F749" i="2" s="1"/>
  <c r="V747" i="2"/>
  <c r="U747" i="2"/>
  <c r="T747" i="2"/>
  <c r="N747" i="2"/>
  <c r="V746" i="2"/>
  <c r="U746" i="2"/>
  <c r="T746" i="2"/>
  <c r="I746" i="2"/>
  <c r="H746" i="2"/>
  <c r="G746" i="2"/>
  <c r="V745" i="2"/>
  <c r="U745" i="2"/>
  <c r="T745" i="2"/>
  <c r="V744" i="2"/>
  <c r="U744" i="2"/>
  <c r="T744" i="2"/>
  <c r="V743" i="2"/>
  <c r="U743" i="2"/>
  <c r="T743" i="2"/>
  <c r="V742" i="2"/>
  <c r="U742" i="2"/>
  <c r="T742" i="2"/>
  <c r="V739" i="2"/>
  <c r="U739" i="2"/>
  <c r="T739" i="2"/>
  <c r="V741" i="2"/>
  <c r="U741" i="2"/>
  <c r="T741" i="2"/>
  <c r="F741" i="2"/>
  <c r="V737" i="2"/>
  <c r="U737" i="2"/>
  <c r="T737" i="2"/>
  <c r="V736" i="2"/>
  <c r="U736" i="2"/>
  <c r="T736" i="2"/>
  <c r="F736" i="2"/>
  <c r="V734" i="2"/>
  <c r="U734" i="2"/>
  <c r="T734" i="2"/>
  <c r="V733" i="2"/>
  <c r="U733" i="2"/>
  <c r="T733" i="2"/>
  <c r="V732" i="2"/>
  <c r="U732" i="2"/>
  <c r="T732" i="2"/>
  <c r="F732" i="2"/>
  <c r="V730" i="2"/>
  <c r="U730" i="2"/>
  <c r="T730" i="2"/>
  <c r="V727" i="2"/>
  <c r="U727" i="2"/>
  <c r="T727" i="2"/>
  <c r="F727" i="2"/>
  <c r="V726" i="2"/>
  <c r="U726" i="2"/>
  <c r="T726" i="2"/>
  <c r="V725" i="2"/>
  <c r="U725" i="2"/>
  <c r="T725" i="2"/>
  <c r="F725" i="2"/>
  <c r="V724" i="2"/>
  <c r="U724" i="2"/>
  <c r="T724" i="2"/>
  <c r="F724" i="2"/>
  <c r="V723" i="2"/>
  <c r="U723" i="2"/>
  <c r="T723" i="2"/>
  <c r="F723" i="2"/>
  <c r="V722" i="2"/>
  <c r="U722" i="2"/>
  <c r="T722" i="2"/>
  <c r="V721" i="2"/>
  <c r="U721" i="2"/>
  <c r="T721" i="2"/>
  <c r="V720" i="2"/>
  <c r="U720" i="2"/>
  <c r="T720" i="2"/>
  <c r="F720" i="2"/>
  <c r="V719" i="2"/>
  <c r="U719" i="2"/>
  <c r="T719" i="2"/>
  <c r="F719" i="2"/>
  <c r="V718" i="2"/>
  <c r="U718" i="2"/>
  <c r="T718" i="2"/>
  <c r="V717" i="2"/>
  <c r="U717" i="2"/>
  <c r="T717" i="2"/>
  <c r="F717" i="2"/>
  <c r="V716" i="2"/>
  <c r="U716" i="2"/>
  <c r="T716" i="2"/>
  <c r="N716" i="2"/>
  <c r="V715" i="2"/>
  <c r="U715" i="2"/>
  <c r="T715" i="2"/>
  <c r="N715" i="2"/>
  <c r="V714" i="2"/>
  <c r="U714" i="2"/>
  <c r="T714" i="2"/>
  <c r="N714" i="2"/>
  <c r="V713" i="2"/>
  <c r="U713" i="2"/>
  <c r="T713" i="2"/>
  <c r="N713" i="2"/>
  <c r="V712" i="2"/>
  <c r="U712" i="2"/>
  <c r="T712" i="2"/>
  <c r="V711" i="2"/>
  <c r="U711" i="2"/>
  <c r="T711" i="2"/>
  <c r="V710" i="2"/>
  <c r="U710" i="2"/>
  <c r="T710" i="2"/>
  <c r="N710" i="2"/>
  <c r="V709" i="2"/>
  <c r="U709" i="2"/>
  <c r="T709" i="2"/>
  <c r="N709" i="2"/>
  <c r="V708" i="2"/>
  <c r="U708" i="2"/>
  <c r="T708" i="2"/>
  <c r="I708" i="2"/>
  <c r="H708" i="2"/>
  <c r="G708" i="2"/>
  <c r="V707" i="2"/>
  <c r="U707" i="2"/>
  <c r="T707" i="2"/>
  <c r="N707" i="2"/>
  <c r="V706" i="2"/>
  <c r="U706" i="2"/>
  <c r="T706" i="2"/>
  <c r="V705" i="2"/>
  <c r="U705" i="2"/>
  <c r="T705" i="2"/>
  <c r="V704" i="2"/>
  <c r="U704" i="2"/>
  <c r="T704" i="2"/>
  <c r="V703" i="2"/>
  <c r="U703" i="2"/>
  <c r="T703" i="2"/>
  <c r="V702" i="2"/>
  <c r="U702" i="2"/>
  <c r="T702" i="2"/>
  <c r="V700" i="2"/>
  <c r="U700" i="2"/>
  <c r="T700" i="2"/>
  <c r="V699" i="2"/>
  <c r="U699" i="2"/>
  <c r="T699" i="2"/>
  <c r="V698" i="2"/>
  <c r="U698" i="2"/>
  <c r="T698" i="2"/>
  <c r="V697" i="2"/>
  <c r="U697" i="2"/>
  <c r="T697" i="2"/>
  <c r="V696" i="2"/>
  <c r="U696" i="2"/>
  <c r="T696" i="2"/>
  <c r="V695" i="2"/>
  <c r="U695" i="2"/>
  <c r="T695" i="2"/>
  <c r="V694" i="2"/>
  <c r="U694" i="2"/>
  <c r="T694" i="2"/>
  <c r="V693" i="2"/>
  <c r="U693" i="2"/>
  <c r="T693" i="2"/>
  <c r="V692" i="2"/>
  <c r="U692" i="2"/>
  <c r="T692" i="2"/>
  <c r="V691" i="2"/>
  <c r="U691" i="2"/>
  <c r="T691" i="2"/>
  <c r="V690" i="2"/>
  <c r="U690" i="2"/>
  <c r="T690" i="2"/>
  <c r="K690" i="2"/>
  <c r="F690" i="2"/>
  <c r="J690" i="2" s="1"/>
  <c r="V689" i="2"/>
  <c r="U689" i="2"/>
  <c r="T689" i="2"/>
  <c r="K689" i="2"/>
  <c r="F689" i="2"/>
  <c r="J689" i="2" s="1"/>
  <c r="V688" i="2"/>
  <c r="U688" i="2"/>
  <c r="T688" i="2"/>
  <c r="K688" i="2"/>
  <c r="F688" i="2"/>
  <c r="J688" i="2" s="1"/>
  <c r="V687" i="2"/>
  <c r="U687" i="2"/>
  <c r="T687" i="2"/>
  <c r="K687" i="2"/>
  <c r="F687" i="2"/>
  <c r="J687" i="2" s="1"/>
  <c r="V686" i="2"/>
  <c r="U686" i="2"/>
  <c r="T686" i="2"/>
  <c r="K686" i="2"/>
  <c r="F686" i="2"/>
  <c r="J686" i="2" s="1"/>
  <c r="V685" i="2"/>
  <c r="U685" i="2"/>
  <c r="T685" i="2"/>
  <c r="V684" i="2"/>
  <c r="U684" i="2"/>
  <c r="T684" i="2"/>
  <c r="V683" i="2"/>
  <c r="U683" i="2"/>
  <c r="T683" i="2"/>
  <c r="V682" i="2"/>
  <c r="U682" i="2"/>
  <c r="T682" i="2"/>
  <c r="V681" i="2"/>
  <c r="U681" i="2"/>
  <c r="T681" i="2"/>
  <c r="K681" i="2"/>
  <c r="F681" i="2"/>
  <c r="V680" i="2"/>
  <c r="U680" i="2"/>
  <c r="T680" i="2"/>
  <c r="V679" i="2"/>
  <c r="U679" i="2"/>
  <c r="T679" i="2"/>
  <c r="V678" i="2"/>
  <c r="U678" i="2"/>
  <c r="T678" i="2"/>
  <c r="V677" i="2"/>
  <c r="U677" i="2"/>
  <c r="T677" i="2"/>
  <c r="V676" i="2"/>
  <c r="U676" i="2"/>
  <c r="T676" i="2"/>
  <c r="V674" i="2"/>
  <c r="U674" i="2"/>
  <c r="T674" i="2"/>
  <c r="V670" i="2"/>
  <c r="U670" i="2"/>
  <c r="T670" i="2"/>
  <c r="V669" i="2"/>
  <c r="U669" i="2"/>
  <c r="T669" i="2"/>
  <c r="V668" i="2"/>
  <c r="U668" i="2"/>
  <c r="T668" i="2"/>
  <c r="V667" i="2"/>
  <c r="U667" i="2"/>
  <c r="T667" i="2"/>
  <c r="V666" i="2"/>
  <c r="U666" i="2"/>
  <c r="T666" i="2"/>
  <c r="V665" i="2"/>
  <c r="U665" i="2"/>
  <c r="T665" i="2"/>
  <c r="V664" i="2"/>
  <c r="U664" i="2"/>
  <c r="T664" i="2"/>
  <c r="V663" i="2"/>
  <c r="U663" i="2"/>
  <c r="T663" i="2"/>
  <c r="V662" i="2"/>
  <c r="U662" i="2"/>
  <c r="T662" i="2"/>
  <c r="V661" i="2"/>
  <c r="U661" i="2"/>
  <c r="T661" i="2"/>
  <c r="N661" i="2"/>
  <c r="V660" i="2"/>
  <c r="U660" i="2"/>
  <c r="T660" i="2"/>
  <c r="N660" i="2"/>
  <c r="V659" i="2"/>
  <c r="U659" i="2"/>
  <c r="T659" i="2"/>
  <c r="I659" i="2"/>
  <c r="H659" i="2"/>
  <c r="G659" i="2"/>
  <c r="V658" i="2"/>
  <c r="U658" i="2"/>
  <c r="T658" i="2"/>
  <c r="V657" i="2"/>
  <c r="U657" i="2"/>
  <c r="T657" i="2"/>
  <c r="V656" i="2"/>
  <c r="U656" i="2"/>
  <c r="T656" i="2"/>
  <c r="F656" i="2"/>
  <c r="V653" i="2"/>
  <c r="U653" i="2"/>
  <c r="T653" i="2"/>
  <c r="F653" i="2"/>
  <c r="V655" i="2"/>
  <c r="U655" i="2"/>
  <c r="T655" i="2"/>
  <c r="V651" i="2"/>
  <c r="U651" i="2"/>
  <c r="T651" i="2"/>
  <c r="F651" i="2"/>
  <c r="V650" i="2"/>
  <c r="U650" i="2"/>
  <c r="T650" i="2"/>
  <c r="K650" i="2"/>
  <c r="F650" i="2"/>
  <c r="J650" i="2" s="1"/>
  <c r="V649" i="2"/>
  <c r="U649" i="2"/>
  <c r="T649" i="2"/>
  <c r="F649" i="2"/>
  <c r="V648" i="2"/>
  <c r="U648" i="2"/>
  <c r="T648" i="2"/>
  <c r="V646" i="2"/>
  <c r="U646" i="2"/>
  <c r="T646" i="2"/>
  <c r="F646" i="2"/>
  <c r="V640" i="2"/>
  <c r="U640" i="2"/>
  <c r="T640" i="2"/>
  <c r="F640" i="2"/>
  <c r="V637" i="2"/>
  <c r="U637" i="2"/>
  <c r="T637" i="2"/>
  <c r="F637" i="2"/>
  <c r="V636" i="2"/>
  <c r="U636" i="2"/>
  <c r="T636" i="2"/>
  <c r="V635" i="2"/>
  <c r="U635" i="2"/>
  <c r="T635" i="2"/>
  <c r="F635" i="2"/>
  <c r="V634" i="2"/>
  <c r="U634" i="2"/>
  <c r="N634" i="2"/>
  <c r="V633" i="2"/>
  <c r="U633" i="2"/>
  <c r="T633" i="2"/>
  <c r="N633" i="2"/>
  <c r="V632" i="2"/>
  <c r="U632" i="2"/>
  <c r="T632" i="2"/>
  <c r="V631" i="2"/>
  <c r="U631" i="2"/>
  <c r="T631" i="2"/>
  <c r="N631" i="2"/>
  <c r="V630" i="2"/>
  <c r="U630" i="2"/>
  <c r="T630" i="2"/>
  <c r="I630" i="2"/>
  <c r="H630" i="2"/>
  <c r="G630" i="2"/>
  <c r="V629" i="2"/>
  <c r="U629" i="2"/>
  <c r="T629" i="2"/>
  <c r="V628" i="2"/>
  <c r="U628" i="2"/>
  <c r="T628" i="2"/>
  <c r="V627" i="2"/>
  <c r="U627" i="2"/>
  <c r="T627" i="2"/>
  <c r="I627" i="2"/>
  <c r="H627" i="2"/>
  <c r="G627" i="2"/>
  <c r="F627" i="2"/>
  <c r="E627" i="2"/>
  <c r="V626" i="2"/>
  <c r="U626" i="2"/>
  <c r="T626" i="2"/>
  <c r="V625" i="2"/>
  <c r="U625" i="2"/>
  <c r="T625" i="2"/>
  <c r="V624" i="2"/>
  <c r="U624" i="2"/>
  <c r="T624" i="2"/>
  <c r="V623" i="2"/>
  <c r="U623" i="2"/>
  <c r="T623" i="2"/>
  <c r="K623" i="2"/>
  <c r="I623" i="2"/>
  <c r="H623" i="2"/>
  <c r="G623" i="2"/>
  <c r="F623" i="2"/>
  <c r="E623" i="2"/>
  <c r="V622" i="2"/>
  <c r="U622" i="2"/>
  <c r="T622" i="2"/>
  <c r="J622" i="2"/>
  <c r="J623" i="2" s="1"/>
  <c r="P17" i="7" s="1"/>
  <c r="O17" i="7" s="1"/>
  <c r="V621" i="2"/>
  <c r="U621" i="2"/>
  <c r="T621" i="2"/>
  <c r="V620" i="2"/>
  <c r="U620" i="2"/>
  <c r="T620" i="2"/>
  <c r="V619" i="2"/>
  <c r="U619" i="2"/>
  <c r="T619" i="2"/>
  <c r="V618" i="2"/>
  <c r="U618" i="2"/>
  <c r="T618" i="2"/>
  <c r="I618" i="2"/>
  <c r="H618" i="2"/>
  <c r="G618" i="2"/>
  <c r="V617" i="2"/>
  <c r="U617" i="2"/>
  <c r="T617" i="2"/>
  <c r="V616" i="2"/>
  <c r="U616" i="2"/>
  <c r="T616" i="2"/>
  <c r="F616" i="2"/>
  <c r="V615" i="2"/>
  <c r="U615" i="2"/>
  <c r="T615" i="2"/>
  <c r="F615" i="2"/>
  <c r="V614" i="2"/>
  <c r="U614" i="2"/>
  <c r="T614" i="2"/>
  <c r="F614" i="2"/>
  <c r="V613" i="2"/>
  <c r="U613" i="2"/>
  <c r="T613" i="2"/>
  <c r="F613" i="2"/>
  <c r="V612" i="2"/>
  <c r="U612" i="2"/>
  <c r="T612" i="2"/>
  <c r="F612" i="2"/>
  <c r="V611" i="2"/>
  <c r="U611" i="2"/>
  <c r="T611" i="2"/>
  <c r="F611" i="2"/>
  <c r="V610" i="2"/>
  <c r="U610" i="2"/>
  <c r="T610" i="2"/>
  <c r="F610" i="2"/>
  <c r="V609" i="2"/>
  <c r="U609" i="2"/>
  <c r="T609" i="2"/>
  <c r="F609" i="2"/>
  <c r="V608" i="2"/>
  <c r="U608" i="2"/>
  <c r="T608" i="2"/>
  <c r="F608" i="2"/>
  <c r="V607" i="2"/>
  <c r="U607" i="2"/>
  <c r="T607" i="2"/>
  <c r="F607" i="2"/>
  <c r="V606" i="2"/>
  <c r="U606" i="2"/>
  <c r="T606" i="2"/>
  <c r="F606" i="2"/>
  <c r="V605" i="2"/>
  <c r="U605" i="2"/>
  <c r="T605" i="2"/>
  <c r="F605" i="2"/>
  <c r="V604" i="2"/>
  <c r="U604" i="2"/>
  <c r="T604" i="2"/>
  <c r="F604" i="2"/>
  <c r="V603" i="2"/>
  <c r="U603" i="2"/>
  <c r="T603" i="2"/>
  <c r="F603" i="2"/>
  <c r="V602" i="2"/>
  <c r="U602" i="2"/>
  <c r="T602" i="2"/>
  <c r="F602" i="2"/>
  <c r="V601" i="2"/>
  <c r="U601" i="2"/>
  <c r="T601" i="2"/>
  <c r="F601" i="2"/>
  <c r="V600" i="2"/>
  <c r="U600" i="2"/>
  <c r="T600" i="2"/>
  <c r="F600" i="2"/>
  <c r="V599" i="2"/>
  <c r="U599" i="2"/>
  <c r="T599" i="2"/>
  <c r="F599" i="2"/>
  <c r="V598" i="2"/>
  <c r="U598" i="2"/>
  <c r="T598" i="2"/>
  <c r="F598" i="2"/>
  <c r="V597" i="2"/>
  <c r="U597" i="2"/>
  <c r="T597" i="2"/>
  <c r="F597" i="2"/>
  <c r="V596" i="2"/>
  <c r="U596" i="2"/>
  <c r="T596" i="2"/>
  <c r="V595" i="2"/>
  <c r="U595" i="2"/>
  <c r="T595" i="2"/>
  <c r="V594" i="2"/>
  <c r="U594" i="2"/>
  <c r="T594" i="2"/>
  <c r="V593" i="2"/>
  <c r="U593" i="2"/>
  <c r="T593" i="2"/>
  <c r="F593" i="2"/>
  <c r="V592" i="2"/>
  <c r="U592" i="2"/>
  <c r="T592" i="2"/>
  <c r="F592" i="2"/>
  <c r="V591" i="2"/>
  <c r="U591" i="2"/>
  <c r="T591" i="2"/>
  <c r="V590" i="2"/>
  <c r="U590" i="2"/>
  <c r="T590" i="2"/>
  <c r="V589" i="2"/>
  <c r="U589" i="2"/>
  <c r="T589" i="2"/>
  <c r="V587" i="2"/>
  <c r="U587" i="2"/>
  <c r="T587" i="2"/>
  <c r="F587" i="2"/>
  <c r="V586" i="2"/>
  <c r="U586" i="2"/>
  <c r="V585" i="2"/>
  <c r="U585" i="2"/>
  <c r="T585" i="2"/>
  <c r="V584" i="2"/>
  <c r="U584" i="2"/>
  <c r="T584" i="2"/>
  <c r="V576" i="2"/>
  <c r="U576" i="2"/>
  <c r="T576" i="2"/>
  <c r="F576" i="2"/>
  <c r="V575" i="2"/>
  <c r="U575" i="2"/>
  <c r="T575" i="2"/>
  <c r="F575" i="2"/>
  <c r="V574" i="2"/>
  <c r="U574" i="2"/>
  <c r="T574" i="2"/>
  <c r="F574" i="2"/>
  <c r="V573" i="2"/>
  <c r="U573" i="2"/>
  <c r="T573" i="2"/>
  <c r="F573" i="2"/>
  <c r="V572" i="2"/>
  <c r="U572" i="2"/>
  <c r="T572" i="2"/>
  <c r="F572" i="2"/>
  <c r="V571" i="2"/>
  <c r="U571" i="2"/>
  <c r="T571" i="2"/>
  <c r="V570" i="2"/>
  <c r="U570" i="2"/>
  <c r="T570" i="2"/>
  <c r="V568" i="2"/>
  <c r="U568" i="2"/>
  <c r="T568" i="2"/>
  <c r="M595" i="2"/>
  <c r="M632" i="2" s="1"/>
  <c r="F568" i="2"/>
  <c r="S567" i="2"/>
  <c r="R567" i="2"/>
  <c r="Q567" i="2"/>
  <c r="N567" i="2"/>
  <c r="N566" i="2"/>
  <c r="N565" i="2"/>
  <c r="I564" i="2"/>
  <c r="H564" i="2"/>
  <c r="G564" i="2"/>
  <c r="N563" i="2"/>
  <c r="F561" i="2"/>
  <c r="F560" i="2"/>
  <c r="F559" i="2"/>
  <c r="F558" i="2"/>
  <c r="F557" i="2"/>
  <c r="W556" i="2"/>
  <c r="V556" i="2"/>
  <c r="U556" i="2"/>
  <c r="F556" i="2"/>
  <c r="W555" i="2"/>
  <c r="W554" i="2"/>
  <c r="V554" i="2"/>
  <c r="U554" i="2"/>
  <c r="F554" i="2"/>
  <c r="W553" i="2"/>
  <c r="V553" i="2"/>
  <c r="U553" i="2"/>
  <c r="F553" i="2"/>
  <c r="W552" i="2"/>
  <c r="V552" i="2"/>
  <c r="W551" i="2"/>
  <c r="V551" i="2"/>
  <c r="U551" i="2"/>
  <c r="K551" i="2"/>
  <c r="F551" i="2"/>
  <c r="J551" i="2" s="1"/>
  <c r="W550" i="2"/>
  <c r="V550" i="2"/>
  <c r="U550" i="2"/>
  <c r="F550" i="2"/>
  <c r="W549" i="2"/>
  <c r="V549" i="2"/>
  <c r="W548" i="2"/>
  <c r="V548" i="2"/>
  <c r="F548" i="2"/>
  <c r="W547" i="2"/>
  <c r="V547" i="2"/>
  <c r="U547" i="2"/>
  <c r="K547" i="2"/>
  <c r="F547" i="2"/>
  <c r="J547" i="2" s="1"/>
  <c r="W546" i="2"/>
  <c r="V546" i="2"/>
  <c r="U546" i="2"/>
  <c r="F546" i="2"/>
  <c r="W545" i="2"/>
  <c r="V545" i="2"/>
  <c r="W544" i="2"/>
  <c r="V544" i="2"/>
  <c r="U544" i="2"/>
  <c r="F544" i="2"/>
  <c r="W543" i="2"/>
  <c r="V543" i="2"/>
  <c r="U543" i="2"/>
  <c r="F543" i="2"/>
  <c r="W542" i="2"/>
  <c r="V542" i="2"/>
  <c r="U542" i="2"/>
  <c r="K542" i="2"/>
  <c r="F542" i="2"/>
  <c r="J542" i="2" s="1"/>
  <c r="W541" i="2"/>
  <c r="V541" i="2"/>
  <c r="U541" i="2"/>
  <c r="F541" i="2"/>
  <c r="W540" i="2"/>
  <c r="V540" i="2"/>
  <c r="U540" i="2"/>
  <c r="F540" i="2"/>
  <c r="W539" i="2"/>
  <c r="V539" i="2"/>
  <c r="W537" i="2"/>
  <c r="V537" i="2"/>
  <c r="U537" i="2"/>
  <c r="F537" i="2"/>
  <c r="W536" i="2"/>
  <c r="V536" i="2"/>
  <c r="U536" i="2"/>
  <c r="F536" i="2"/>
  <c r="W535" i="2"/>
  <c r="V535" i="2"/>
  <c r="U535" i="2"/>
  <c r="W534" i="2"/>
  <c r="V534" i="2"/>
  <c r="U534" i="2"/>
  <c r="W533" i="2"/>
  <c r="V533" i="2"/>
  <c r="U533" i="2"/>
  <c r="F533" i="2"/>
  <c r="W532" i="2"/>
  <c r="V532" i="2"/>
  <c r="W531" i="2"/>
  <c r="V531" i="2"/>
  <c r="U531" i="2"/>
  <c r="F531" i="2"/>
  <c r="W530" i="2"/>
  <c r="V530" i="2"/>
  <c r="U530" i="2"/>
  <c r="F530" i="2"/>
  <c r="N524" i="2"/>
  <c r="N522" i="2"/>
  <c r="F521" i="2"/>
  <c r="F519" i="2"/>
  <c r="J518" i="2"/>
  <c r="K517" i="2"/>
  <c r="J517" i="2"/>
  <c r="I517" i="2"/>
  <c r="H517" i="2"/>
  <c r="G517" i="2"/>
  <c r="F517" i="2"/>
  <c r="E517" i="2"/>
  <c r="K514" i="2"/>
  <c r="J514" i="2"/>
  <c r="I514" i="2"/>
  <c r="H514" i="2"/>
  <c r="G514" i="2"/>
  <c r="F514" i="2"/>
  <c r="E514" i="2"/>
  <c r="K503" i="2"/>
  <c r="J503" i="2"/>
  <c r="J498" i="2"/>
  <c r="J484" i="2"/>
  <c r="J483" i="2"/>
  <c r="K479" i="2"/>
  <c r="N479" i="2" s="1"/>
  <c r="J478" i="2"/>
  <c r="J481" i="2"/>
  <c r="J480" i="2"/>
  <c r="J477" i="2"/>
  <c r="J476" i="2"/>
  <c r="I474" i="2"/>
  <c r="H474" i="2"/>
  <c r="G474" i="2"/>
  <c r="I468" i="2"/>
  <c r="H468" i="2"/>
  <c r="G468" i="2"/>
  <c r="I464" i="2"/>
  <c r="H464" i="2"/>
  <c r="G464" i="2"/>
  <c r="I458" i="2"/>
  <c r="H458" i="2"/>
  <c r="G458" i="2"/>
  <c r="K440" i="2"/>
  <c r="J447" i="2"/>
  <c r="K432" i="2"/>
  <c r="K429" i="2"/>
  <c r="K427" i="2"/>
  <c r="N427" i="2" s="1"/>
  <c r="K426" i="2"/>
  <c r="N426" i="2" s="1"/>
  <c r="K423" i="2"/>
  <c r="K421" i="2"/>
  <c r="K419" i="2"/>
  <c r="N419" i="2" s="1"/>
  <c r="K418" i="2"/>
  <c r="K416" i="2"/>
  <c r="N416" i="2" s="1"/>
  <c r="K415" i="2"/>
  <c r="K414" i="2"/>
  <c r="K413" i="2"/>
  <c r="N413" i="2" s="1"/>
  <c r="K411" i="2"/>
  <c r="K406" i="2"/>
  <c r="N406" i="2" s="1"/>
  <c r="K391" i="2"/>
  <c r="K390" i="2"/>
  <c r="K382" i="2"/>
  <c r="K381" i="2"/>
  <c r="K371" i="2"/>
  <c r="M195" i="2"/>
  <c r="K195" i="2"/>
  <c r="J195" i="2"/>
  <c r="J9" i="7" s="1"/>
  <c r="I195" i="2"/>
  <c r="H195" i="2"/>
  <c r="G195" i="2"/>
  <c r="E195" i="2"/>
  <c r="I141" i="2"/>
  <c r="H141" i="2"/>
  <c r="G141" i="2"/>
  <c r="I281" i="6"/>
  <c r="D496" i="2"/>
  <c r="D141" i="6" s="1"/>
  <c r="K137" i="2"/>
  <c r="J137" i="2"/>
  <c r="I280" i="6"/>
  <c r="N134" i="2"/>
  <c r="M133" i="2"/>
  <c r="K133" i="2"/>
  <c r="N133" i="2" s="1"/>
  <c r="J133" i="2"/>
  <c r="I133" i="2"/>
  <c r="H133" i="2"/>
  <c r="G133" i="2"/>
  <c r="E133" i="2"/>
  <c r="N132" i="2"/>
  <c r="N131" i="2"/>
  <c r="N130" i="2"/>
  <c r="I129" i="2"/>
  <c r="H129" i="2"/>
  <c r="G129" i="2"/>
  <c r="N127" i="2"/>
  <c r="M126" i="2"/>
  <c r="K126" i="2"/>
  <c r="D22" i="7" s="1"/>
  <c r="J126" i="2"/>
  <c r="C22" i="7" s="1"/>
  <c r="B22" i="7" s="1"/>
  <c r="I126" i="2"/>
  <c r="H126" i="2"/>
  <c r="G126" i="2"/>
  <c r="E126" i="2"/>
  <c r="N125" i="2"/>
  <c r="N124" i="2"/>
  <c r="K81" i="2"/>
  <c r="N81" i="2" s="1"/>
  <c r="K72" i="2"/>
  <c r="N72" i="2" s="1"/>
  <c r="J57" i="2"/>
  <c r="M29" i="2"/>
  <c r="K29" i="2"/>
  <c r="D13" i="7" s="1"/>
  <c r="J29" i="2"/>
  <c r="C13" i="7" s="1"/>
  <c r="B13" i="7" s="1"/>
  <c r="I29" i="2"/>
  <c r="H29" i="2"/>
  <c r="G29" i="2"/>
  <c r="E29" i="2"/>
  <c r="M26" i="2"/>
  <c r="K26" i="2"/>
  <c r="J26" i="2"/>
  <c r="I26" i="2"/>
  <c r="H26" i="2"/>
  <c r="G26" i="2"/>
  <c r="E26" i="2"/>
  <c r="M14" i="2"/>
  <c r="K14" i="2"/>
  <c r="D11" i="7" s="1"/>
  <c r="J14" i="2"/>
  <c r="C11" i="7" s="1"/>
  <c r="B11" i="7" s="1"/>
  <c r="I14" i="2"/>
  <c r="H14" i="2"/>
  <c r="G14" i="2"/>
  <c r="E14" i="2"/>
  <c r="E3" i="2"/>
  <c r="M1" i="2"/>
  <c r="O61" i="7"/>
  <c r="S60" i="7"/>
  <c r="O59" i="7"/>
  <c r="S58" i="7"/>
  <c r="O57" i="7"/>
  <c r="S56" i="7"/>
  <c r="Q54" i="7"/>
  <c r="S53" i="7" s="1"/>
  <c r="T53" i="7" s="1"/>
  <c r="O49" i="7"/>
  <c r="S48" i="7"/>
  <c r="T48" i="7" s="1"/>
  <c r="O47" i="7"/>
  <c r="S46" i="7"/>
  <c r="S45" i="7"/>
  <c r="B42" i="7"/>
  <c r="O41" i="7"/>
  <c r="B41" i="7"/>
  <c r="S40" i="7"/>
  <c r="T40" i="7" s="1"/>
  <c r="I39" i="7"/>
  <c r="B36" i="7"/>
  <c r="I35" i="7"/>
  <c r="I34" i="7"/>
  <c r="B34" i="7"/>
  <c r="O33" i="7"/>
  <c r="I33" i="7"/>
  <c r="S32" i="7"/>
  <c r="I32" i="7"/>
  <c r="B32" i="7"/>
  <c r="S31" i="7"/>
  <c r="I31" i="7"/>
  <c r="M30" i="7"/>
  <c r="M36" i="7" s="1"/>
  <c r="L30" i="7"/>
  <c r="L36" i="7" s="1"/>
  <c r="B30" i="7"/>
  <c r="B29" i="7"/>
  <c r="Q26" i="7"/>
  <c r="S26" i="7" s="1"/>
  <c r="T26" i="7" s="1"/>
  <c r="P26" i="7"/>
  <c r="I25" i="7"/>
  <c r="S24" i="7"/>
  <c r="O24" i="7"/>
  <c r="B24" i="7"/>
  <c r="I23" i="7"/>
  <c r="S21" i="7"/>
  <c r="T21" i="7" s="1"/>
  <c r="O21" i="7"/>
  <c r="I19" i="7"/>
  <c r="S18" i="7"/>
  <c r="T18" i="7" s="1"/>
  <c r="O18" i="7"/>
  <c r="B18" i="7"/>
  <c r="B17" i="7"/>
  <c r="B16" i="7"/>
  <c r="B15" i="7"/>
  <c r="S14" i="7"/>
  <c r="O14" i="7"/>
  <c r="S13" i="7"/>
  <c r="O13" i="7"/>
  <c r="B12" i="7"/>
  <c r="Q11" i="7"/>
  <c r="P11" i="7"/>
  <c r="R10" i="7"/>
  <c r="K10" i="7"/>
  <c r="K11" i="7" s="1"/>
  <c r="J10" i="7"/>
  <c r="R9" i="7"/>
  <c r="R8" i="7"/>
  <c r="F5" i="7"/>
  <c r="G5" i="7" s="1"/>
  <c r="C5" i="7"/>
  <c r="E55" i="6" l="1"/>
  <c r="F238" i="6"/>
  <c r="F237" i="6" s="1"/>
  <c r="E238" i="6"/>
  <c r="E237" i="6" s="1"/>
  <c r="H185" i="87"/>
  <c r="H186" i="87"/>
  <c r="E73" i="55"/>
  <c r="D37" i="87"/>
  <c r="D116" i="87"/>
  <c r="D112" i="87"/>
  <c r="D115" i="87"/>
  <c r="H184" i="55"/>
  <c r="H191" i="87"/>
  <c r="H193" i="87"/>
  <c r="F102" i="86"/>
  <c r="J102" i="86" s="1"/>
  <c r="K102" i="86"/>
  <c r="D40" i="87"/>
  <c r="H692" i="32"/>
  <c r="G15" i="99"/>
  <c r="D8" i="99" s="1"/>
  <c r="O221" i="66"/>
  <c r="F56" i="94"/>
  <c r="H56" i="94" s="1"/>
  <c r="O60" i="66"/>
  <c r="B63" i="57" s="1"/>
  <c r="E253" i="6"/>
  <c r="E252" i="6" s="1"/>
  <c r="F87" i="6"/>
  <c r="F88" i="6" s="1"/>
  <c r="K780" i="2" s="1"/>
  <c r="H179" i="55"/>
  <c r="H689" i="32"/>
  <c r="H693" i="32"/>
  <c r="H691" i="32"/>
  <c r="H695" i="32"/>
  <c r="H690" i="32"/>
  <c r="H694" i="32"/>
  <c r="H174" i="87"/>
  <c r="H183" i="87"/>
  <c r="I207" i="61"/>
  <c r="I174" i="55"/>
  <c r="H225" i="55"/>
  <c r="H226" i="55"/>
  <c r="H266" i="55"/>
  <c r="H269" i="55"/>
  <c r="H190" i="55"/>
  <c r="H191" i="55"/>
  <c r="H196" i="55"/>
  <c r="H197" i="55"/>
  <c r="H205" i="55"/>
  <c r="H206" i="55"/>
  <c r="H256" i="55"/>
  <c r="H193" i="55"/>
  <c r="H194" i="55"/>
  <c r="H230" i="55"/>
  <c r="H231" i="55"/>
  <c r="H241" i="55"/>
  <c r="H243" i="55"/>
  <c r="H183" i="55"/>
  <c r="H218" i="55"/>
  <c r="H219" i="55"/>
  <c r="H175" i="55"/>
  <c r="H176" i="55"/>
  <c r="H216" i="55"/>
  <c r="H217" i="55"/>
  <c r="H214" i="55"/>
  <c r="H215" i="55"/>
  <c r="H261" i="55"/>
  <c r="H180" i="55"/>
  <c r="H181" i="55"/>
  <c r="H188" i="55"/>
  <c r="H189" i="55"/>
  <c r="H187" i="55"/>
  <c r="H203" i="55"/>
  <c r="H204" i="55"/>
  <c r="H260" i="55"/>
  <c r="H288" i="55"/>
  <c r="H238" i="55"/>
  <c r="H286" i="55"/>
  <c r="H287" i="55"/>
  <c r="H289" i="55"/>
  <c r="H290" i="55"/>
  <c r="F151" i="6"/>
  <c r="F150" i="6"/>
  <c r="H188" i="6"/>
  <c r="O68" i="66"/>
  <c r="E21" i="6"/>
  <c r="E22" i="6" s="1"/>
  <c r="F538" i="2" s="1"/>
  <c r="J538" i="2" s="1"/>
  <c r="D97" i="28"/>
  <c r="F70" i="28" s="1"/>
  <c r="D95" i="28"/>
  <c r="F68" i="28" s="1"/>
  <c r="D93" i="28"/>
  <c r="F66" i="28" s="1"/>
  <c r="F152" i="86"/>
  <c r="J152" i="86" s="1"/>
  <c r="K188" i="86"/>
  <c r="E30" i="71"/>
  <c r="E31" i="71"/>
  <c r="E67" i="6"/>
  <c r="L480" i="2"/>
  <c r="I205" i="87"/>
  <c r="E12" i="87"/>
  <c r="F654" i="2"/>
  <c r="J654" i="2" s="1"/>
  <c r="F206" i="6"/>
  <c r="F213" i="6"/>
  <c r="K654" i="2" s="1"/>
  <c r="F210" i="6"/>
  <c r="K877" i="2" s="1"/>
  <c r="F212" i="6"/>
  <c r="K647" i="2" s="1"/>
  <c r="AM647" i="2" s="1"/>
  <c r="F211" i="6"/>
  <c r="K588" i="2" s="1"/>
  <c r="F207" i="6"/>
  <c r="K740" i="2" s="1"/>
  <c r="F209" i="6"/>
  <c r="K728" i="2" s="1"/>
  <c r="F208" i="6"/>
  <c r="K735" i="2" s="1"/>
  <c r="E18" i="6"/>
  <c r="E19" i="6" s="1"/>
  <c r="O62" i="66"/>
  <c r="F14" i="6"/>
  <c r="F91" i="6"/>
  <c r="F90" i="6" s="1"/>
  <c r="E60" i="94"/>
  <c r="E61" i="94"/>
  <c r="E59" i="94"/>
  <c r="E58" i="94"/>
  <c r="F877" i="2"/>
  <c r="J877" i="2" s="1"/>
  <c r="F647" i="2"/>
  <c r="J647" i="2" s="1"/>
  <c r="F588" i="2"/>
  <c r="J588" i="2" s="1"/>
  <c r="F735" i="2"/>
  <c r="J735" i="2" s="1"/>
  <c r="F728" i="2"/>
  <c r="J728" i="2" s="1"/>
  <c r="F740" i="2"/>
  <c r="J740" i="2" s="1"/>
  <c r="E194" i="6"/>
  <c r="E195" i="6"/>
  <c r="F730" i="2" s="1"/>
  <c r="J730" i="2" s="1"/>
  <c r="E192" i="6"/>
  <c r="F580" i="2" s="1"/>
  <c r="J580" i="2" s="1"/>
  <c r="E197" i="6"/>
  <c r="F655" i="2" s="1"/>
  <c r="J655" i="2" s="1"/>
  <c r="E193" i="6"/>
  <c r="E196" i="6"/>
  <c r="E201" i="6"/>
  <c r="E198" i="6"/>
  <c r="F648" i="2" s="1"/>
  <c r="J648" i="2" s="1"/>
  <c r="E200" i="6"/>
  <c r="E191" i="6"/>
  <c r="E199" i="6"/>
  <c r="H686" i="32"/>
  <c r="H680" i="32"/>
  <c r="H683" i="32"/>
  <c r="H681" i="32"/>
  <c r="H684" i="32"/>
  <c r="H685" i="32"/>
  <c r="H687" i="32"/>
  <c r="H688" i="32"/>
  <c r="H682" i="32"/>
  <c r="I206" i="87"/>
  <c r="I208" i="87"/>
  <c r="H263" i="55"/>
  <c r="H265" i="55"/>
  <c r="H262" i="55"/>
  <c r="H264" i="55"/>
  <c r="H257" i="55"/>
  <c r="H258" i="55"/>
  <c r="H237" i="55"/>
  <c r="H239" i="55"/>
  <c r="H236" i="55"/>
  <c r="H254" i="55"/>
  <c r="H255" i="55"/>
  <c r="M54" i="55"/>
  <c r="H240" i="55"/>
  <c r="I204" i="87"/>
  <c r="AB184" i="60"/>
  <c r="AB173" i="60"/>
  <c r="H188" i="87"/>
  <c r="H182" i="87"/>
  <c r="H169" i="94"/>
  <c r="D18" i="101"/>
  <c r="E17" i="101"/>
  <c r="E20" i="101"/>
  <c r="D20" i="101"/>
  <c r="E16" i="101"/>
  <c r="E18" i="101"/>
  <c r="D17" i="101"/>
  <c r="E19" i="101"/>
  <c r="D19" i="101"/>
  <c r="D16" i="101"/>
  <c r="H86" i="94"/>
  <c r="I166" i="94"/>
  <c r="H181" i="61"/>
  <c r="H153" i="94"/>
  <c r="I202" i="87"/>
  <c r="I203" i="87"/>
  <c r="H677" i="32"/>
  <c r="H675" i="32"/>
  <c r="H676" i="32"/>
  <c r="H645" i="32"/>
  <c r="H644" i="32"/>
  <c r="H674" i="32"/>
  <c r="H678" i="32"/>
  <c r="F182" i="86"/>
  <c r="J182" i="86" s="1"/>
  <c r="F34" i="86"/>
  <c r="J34" i="86" s="1"/>
  <c r="F236" i="86"/>
  <c r="J236" i="86" s="1"/>
  <c r="F33" i="86"/>
  <c r="J33" i="86" s="1"/>
  <c r="F97" i="86"/>
  <c r="J97" i="86" s="1"/>
  <c r="K236" i="86"/>
  <c r="K33" i="86"/>
  <c r="K97" i="86"/>
  <c r="K34" i="86"/>
  <c r="L15" i="13"/>
  <c r="F5" i="94"/>
  <c r="F6" i="94" s="1"/>
  <c r="F33" i="94"/>
  <c r="F34" i="94" s="1"/>
  <c r="K316" i="93"/>
  <c r="F30" i="94"/>
  <c r="H30" i="94" s="1"/>
  <c r="F31" i="94"/>
  <c r="F28" i="94"/>
  <c r="F26" i="94" s="1"/>
  <c r="L28" i="25"/>
  <c r="D71" i="13"/>
  <c r="I171" i="94"/>
  <c r="I173" i="94"/>
  <c r="H673" i="32"/>
  <c r="H679" i="32"/>
  <c r="H638" i="32"/>
  <c r="H643" i="32"/>
  <c r="I175" i="55"/>
  <c r="I173" i="55"/>
  <c r="H166" i="94"/>
  <c r="H171" i="94"/>
  <c r="H89" i="94"/>
  <c r="I146" i="94"/>
  <c r="I163" i="94"/>
  <c r="I169" i="94"/>
  <c r="H87" i="94"/>
  <c r="H161" i="94"/>
  <c r="H168" i="94"/>
  <c r="I161" i="94"/>
  <c r="I168" i="94"/>
  <c r="H107" i="94"/>
  <c r="D157" i="46"/>
  <c r="D178" i="46"/>
  <c r="D186" i="46"/>
  <c r="D177" i="46"/>
  <c r="D158" i="46"/>
  <c r="C83" i="46"/>
  <c r="C101" i="46" s="1"/>
  <c r="C114" i="46"/>
  <c r="K134" i="46"/>
  <c r="H138" i="94"/>
  <c r="C13" i="70"/>
  <c r="C15" i="70" s="1"/>
  <c r="C38" i="70" s="1"/>
  <c r="C40" i="70" s="1"/>
  <c r="C90" i="46"/>
  <c r="C91" i="46"/>
  <c r="C97" i="46"/>
  <c r="C102" i="46" s="1"/>
  <c r="C103" i="46" s="1"/>
  <c r="C115" i="46"/>
  <c r="E10" i="70"/>
  <c r="C24" i="71"/>
  <c r="D23" i="71" s="1"/>
  <c r="K103" i="46"/>
  <c r="E47" i="6"/>
  <c r="M18" i="66"/>
  <c r="E48" i="6"/>
  <c r="E84" i="67"/>
  <c r="I84" i="67"/>
  <c r="B49" i="71"/>
  <c r="J11" i="7"/>
  <c r="J82" i="67"/>
  <c r="C125" i="46"/>
  <c r="E20" i="70"/>
  <c r="E24" i="70" s="1"/>
  <c r="E26" i="70" s="1"/>
  <c r="C24" i="70"/>
  <c r="C26" i="70" s="1"/>
  <c r="C128" i="46"/>
  <c r="C133" i="46" s="1"/>
  <c r="C84" i="46"/>
  <c r="J71" i="67"/>
  <c r="E9" i="70"/>
  <c r="M122" i="46"/>
  <c r="C122" i="46" s="1"/>
  <c r="F281" i="86"/>
  <c r="J281" i="86" s="1"/>
  <c r="F306" i="86"/>
  <c r="J306" i="86" s="1"/>
  <c r="F256" i="86"/>
  <c r="J256" i="86" s="1"/>
  <c r="F164" i="86"/>
  <c r="J164" i="86" s="1"/>
  <c r="E29" i="71"/>
  <c r="C132" i="46"/>
  <c r="F131" i="86"/>
  <c r="J131" i="86" s="1"/>
  <c r="F145" i="86"/>
  <c r="F146" i="86" s="1"/>
  <c r="F274" i="86"/>
  <c r="J274" i="86" s="1"/>
  <c r="E14" i="70"/>
  <c r="B50" i="71"/>
  <c r="C43" i="71" s="1"/>
  <c r="F139" i="86"/>
  <c r="J139" i="86" s="1"/>
  <c r="D29" i="101"/>
  <c r="D26" i="101"/>
  <c r="I26" i="101" s="1"/>
  <c r="D27" i="101"/>
  <c r="I27" i="101" s="1"/>
  <c r="D25" i="101"/>
  <c r="D24" i="101"/>
  <c r="C11" i="77"/>
  <c r="C118" i="46"/>
  <c r="C121" i="46" s="1"/>
  <c r="F127" i="86"/>
  <c r="J127" i="86" s="1"/>
  <c r="F231" i="86"/>
  <c r="J231" i="86" s="1"/>
  <c r="H90" i="94"/>
  <c r="H94" i="94"/>
  <c r="H93" i="94"/>
  <c r="H88" i="94"/>
  <c r="H667" i="32"/>
  <c r="H662" i="32"/>
  <c r="H666" i="32"/>
  <c r="H669" i="32"/>
  <c r="H664" i="32"/>
  <c r="H640" i="32"/>
  <c r="H639" i="32"/>
  <c r="H665" i="32"/>
  <c r="H668" i="32"/>
  <c r="H637" i="32"/>
  <c r="H636" i="32"/>
  <c r="H663" i="32"/>
  <c r="H197" i="61"/>
  <c r="H184" i="61"/>
  <c r="H660" i="32"/>
  <c r="H671" i="32"/>
  <c r="H631" i="32"/>
  <c r="H641" i="32"/>
  <c r="H661" i="32"/>
  <c r="H672" i="32"/>
  <c r="H632" i="32"/>
  <c r="H642" i="32"/>
  <c r="H659" i="32"/>
  <c r="H670" i="32"/>
  <c r="E59" i="6"/>
  <c r="E60" i="6" s="1"/>
  <c r="F485" i="2" s="1"/>
  <c r="AS553" i="2"/>
  <c r="G135" i="6"/>
  <c r="E135" i="6" s="1"/>
  <c r="E136" i="6" s="1"/>
  <c r="L69" i="66"/>
  <c r="F204" i="6"/>
  <c r="F203" i="6" s="1"/>
  <c r="K719" i="2" s="1"/>
  <c r="I205" i="61"/>
  <c r="I200" i="61"/>
  <c r="I201" i="61"/>
  <c r="I204" i="61"/>
  <c r="H185" i="61"/>
  <c r="H187" i="61"/>
  <c r="I202" i="61"/>
  <c r="H626" i="32"/>
  <c r="H630" i="32"/>
  <c r="I199" i="61"/>
  <c r="I203" i="61"/>
  <c r="I206" i="61"/>
  <c r="H180" i="87"/>
  <c r="H181" i="87"/>
  <c r="H162" i="94"/>
  <c r="H163" i="94"/>
  <c r="H164" i="94"/>
  <c r="H165" i="94"/>
  <c r="I164" i="94"/>
  <c r="I165" i="94"/>
  <c r="I200" i="87"/>
  <c r="H647" i="32"/>
  <c r="H646" i="32"/>
  <c r="H548" i="32"/>
  <c r="H628" i="32"/>
  <c r="H103" i="94"/>
  <c r="H615" i="32"/>
  <c r="H649" i="32"/>
  <c r="H622" i="32"/>
  <c r="H656" i="32"/>
  <c r="H554" i="32"/>
  <c r="H627" i="32"/>
  <c r="H616" i="32"/>
  <c r="H650" i="32"/>
  <c r="H623" i="32"/>
  <c r="H657" i="32"/>
  <c r="H550" i="32"/>
  <c r="H625" i="32"/>
  <c r="H617" i="32"/>
  <c r="H651" i="32"/>
  <c r="H620" i="32"/>
  <c r="H654" i="32"/>
  <c r="H624" i="32"/>
  <c r="H658" i="32"/>
  <c r="H619" i="32"/>
  <c r="H653" i="32"/>
  <c r="H547" i="32"/>
  <c r="H629" i="32"/>
  <c r="H614" i="32"/>
  <c r="H648" i="32"/>
  <c r="H618" i="32"/>
  <c r="H652" i="32"/>
  <c r="H621" i="32"/>
  <c r="H655" i="32"/>
  <c r="I160" i="94"/>
  <c r="I162" i="94"/>
  <c r="I151" i="94"/>
  <c r="F237" i="86"/>
  <c r="J237" i="86" s="1"/>
  <c r="F99" i="86"/>
  <c r="J99" i="86" s="1"/>
  <c r="F98" i="86"/>
  <c r="J98" i="86" s="1"/>
  <c r="K99" i="86"/>
  <c r="F35" i="86"/>
  <c r="J35" i="86" s="1"/>
  <c r="K35" i="86"/>
  <c r="F295" i="86"/>
  <c r="J295" i="86" s="1"/>
  <c r="F207" i="86"/>
  <c r="J207" i="86" s="1"/>
  <c r="F258" i="86"/>
  <c r="J258" i="86" s="1"/>
  <c r="F277" i="86"/>
  <c r="J277" i="86" s="1"/>
  <c r="K277" i="86"/>
  <c r="K207" i="86"/>
  <c r="K258" i="86"/>
  <c r="K295" i="86"/>
  <c r="H174" i="61"/>
  <c r="H183" i="61"/>
  <c r="I199" i="87"/>
  <c r="I198" i="87"/>
  <c r="L19" i="66"/>
  <c r="I197" i="87"/>
  <c r="I194" i="87"/>
  <c r="I201" i="87"/>
  <c r="H125" i="94"/>
  <c r="H587" i="32"/>
  <c r="H613" i="32"/>
  <c r="H145" i="94"/>
  <c r="H110" i="94"/>
  <c r="I196" i="61"/>
  <c r="H104" i="94"/>
  <c r="I152" i="94"/>
  <c r="H137" i="94"/>
  <c r="H144" i="94"/>
  <c r="H143" i="94"/>
  <c r="H85" i="94"/>
  <c r="H82" i="94"/>
  <c r="H83" i="94"/>
  <c r="H152" i="94"/>
  <c r="H120" i="94"/>
  <c r="H124" i="94"/>
  <c r="H84" i="94"/>
  <c r="H81" i="94"/>
  <c r="H98" i="94"/>
  <c r="H119" i="94"/>
  <c r="J365" i="86"/>
  <c r="I195" i="87"/>
  <c r="K43" i="93"/>
  <c r="I179" i="55"/>
  <c r="M419" i="54"/>
  <c r="F419" i="54"/>
  <c r="I193" i="87"/>
  <c r="I196" i="87"/>
  <c r="H131" i="94"/>
  <c r="H100" i="94"/>
  <c r="H102" i="94"/>
  <c r="H122" i="94"/>
  <c r="H156" i="94"/>
  <c r="H142" i="94"/>
  <c r="H136" i="94"/>
  <c r="H114" i="94"/>
  <c r="H129" i="94"/>
  <c r="I158" i="94"/>
  <c r="H435" i="58"/>
  <c r="H158" i="94"/>
  <c r="H111" i="94"/>
  <c r="H601" i="32"/>
  <c r="H604" i="32"/>
  <c r="H602" i="32"/>
  <c r="H605" i="32"/>
  <c r="H603" i="32"/>
  <c r="H606" i="32"/>
  <c r="H600" i="32"/>
  <c r="H130" i="94"/>
  <c r="H96" i="94"/>
  <c r="H97" i="94"/>
  <c r="H154" i="94"/>
  <c r="H155" i="94"/>
  <c r="H117" i="94"/>
  <c r="H118" i="94"/>
  <c r="H112" i="94"/>
  <c r="H113" i="94"/>
  <c r="H126" i="94"/>
  <c r="H91" i="94"/>
  <c r="H95" i="94"/>
  <c r="H105" i="94"/>
  <c r="H146" i="94"/>
  <c r="H147" i="94"/>
  <c r="H132" i="94"/>
  <c r="H133" i="94"/>
  <c r="H77" i="94"/>
  <c r="H78" i="94"/>
  <c r="H92" i="94"/>
  <c r="H116" i="94"/>
  <c r="H148" i="94"/>
  <c r="H149" i="94"/>
  <c r="H115" i="94"/>
  <c r="H121" i="94"/>
  <c r="H123" i="94"/>
  <c r="H99" i="94"/>
  <c r="H101" i="94"/>
  <c r="H106" i="94"/>
  <c r="H108" i="94"/>
  <c r="H109" i="94"/>
  <c r="H134" i="94"/>
  <c r="H135" i="94"/>
  <c r="H157" i="94"/>
  <c r="H79" i="94"/>
  <c r="H80" i="94"/>
  <c r="H139" i="94"/>
  <c r="H140" i="94"/>
  <c r="H141" i="94"/>
  <c r="H150" i="94"/>
  <c r="H151" i="94"/>
  <c r="H127" i="94"/>
  <c r="H128" i="94"/>
  <c r="H159" i="94"/>
  <c r="H160" i="94"/>
  <c r="I159" i="94"/>
  <c r="G310" i="86"/>
  <c r="I310" i="86"/>
  <c r="F101" i="86"/>
  <c r="J101" i="86" s="1"/>
  <c r="F196" i="86"/>
  <c r="J196" i="86" s="1"/>
  <c r="F305" i="86"/>
  <c r="K196" i="86"/>
  <c r="K101" i="86"/>
  <c r="H310" i="86"/>
  <c r="K79" i="86"/>
  <c r="K80" i="86" s="1"/>
  <c r="H178" i="87"/>
  <c r="H184" i="87"/>
  <c r="I176" i="55"/>
  <c r="I197" i="61"/>
  <c r="I192" i="87"/>
  <c r="F32" i="61"/>
  <c r="H178" i="61"/>
  <c r="H182" i="61"/>
  <c r="I149" i="94"/>
  <c r="I148" i="94"/>
  <c r="G13" i="13"/>
  <c r="D46" i="13" s="1"/>
  <c r="C9" i="83"/>
  <c r="F160" i="6"/>
  <c r="H160" i="6" s="1"/>
  <c r="F159" i="6"/>
  <c r="H159" i="6" s="1"/>
  <c r="F157" i="6"/>
  <c r="H157" i="6" s="1"/>
  <c r="F145" i="6"/>
  <c r="F146" i="6" s="1"/>
  <c r="F155" i="6"/>
  <c r="H155" i="6" s="1"/>
  <c r="F156" i="6"/>
  <c r="H156" i="6" s="1"/>
  <c r="F154" i="6"/>
  <c r="H154" i="6" s="1"/>
  <c r="E84" i="6"/>
  <c r="E85" i="6" s="1"/>
  <c r="F158" i="6"/>
  <c r="H158" i="6" s="1"/>
  <c r="F171" i="6"/>
  <c r="F172" i="6" s="1"/>
  <c r="E32" i="6"/>
  <c r="E33" i="6"/>
  <c r="G96" i="6"/>
  <c r="E34" i="6"/>
  <c r="F60" i="6"/>
  <c r="E82" i="6"/>
  <c r="E74" i="6"/>
  <c r="E75" i="6"/>
  <c r="E10" i="6"/>
  <c r="E35" i="6"/>
  <c r="E93" i="6"/>
  <c r="E77" i="6"/>
  <c r="E78" i="6"/>
  <c r="E69" i="6"/>
  <c r="E76" i="6"/>
  <c r="E73" i="6"/>
  <c r="E79" i="6"/>
  <c r="E71" i="6"/>
  <c r="I108" i="83"/>
  <c r="J108" i="83" s="1"/>
  <c r="K148" i="86"/>
  <c r="M155" i="86"/>
  <c r="G435" i="58"/>
  <c r="C59" i="78"/>
  <c r="I435" i="58"/>
  <c r="H588" i="32"/>
  <c r="H592" i="32"/>
  <c r="H595" i="32"/>
  <c r="H27" i="94"/>
  <c r="K217" i="93"/>
  <c r="H589" i="32"/>
  <c r="H596" i="32"/>
  <c r="H590" i="32"/>
  <c r="H597" i="32"/>
  <c r="H591" i="32"/>
  <c r="H594" i="32"/>
  <c r="H598" i="32"/>
  <c r="H599" i="32"/>
  <c r="I348" i="55"/>
  <c r="B38" i="94"/>
  <c r="B41" i="94" s="1"/>
  <c r="B44" i="94" s="1"/>
  <c r="B47" i="94" s="1"/>
  <c r="B50" i="94" s="1"/>
  <c r="B72" i="91"/>
  <c r="I138" i="94"/>
  <c r="H578" i="32"/>
  <c r="H593" i="32"/>
  <c r="I189" i="55"/>
  <c r="I188" i="55"/>
  <c r="I185" i="55"/>
  <c r="I220" i="55"/>
  <c r="K433" i="54"/>
  <c r="F193" i="86"/>
  <c r="J193" i="86" s="1"/>
  <c r="K193" i="86"/>
  <c r="I191" i="87"/>
  <c r="H173" i="87"/>
  <c r="H175" i="87"/>
  <c r="I182" i="61"/>
  <c r="I183" i="61"/>
  <c r="I192" i="61"/>
  <c r="I198" i="61"/>
  <c r="I195" i="61"/>
  <c r="I194" i="61"/>
  <c r="I193" i="61"/>
  <c r="I218" i="55"/>
  <c r="M56" i="25"/>
  <c r="L73" i="25"/>
  <c r="L75" i="25" s="1"/>
  <c r="L77" i="25" s="1"/>
  <c r="L52" i="25" s="1"/>
  <c r="L53" i="25" s="1"/>
  <c r="L55" i="25" s="1"/>
  <c r="L56" i="25" s="1"/>
  <c r="I226" i="55"/>
  <c r="I224" i="55"/>
  <c r="I194" i="55"/>
  <c r="I154" i="94"/>
  <c r="I155" i="94"/>
  <c r="I156" i="94"/>
  <c r="I157" i="94"/>
  <c r="I153" i="94"/>
  <c r="H571" i="32"/>
  <c r="I214" i="55"/>
  <c r="I210" i="55"/>
  <c r="I182" i="55"/>
  <c r="I253" i="55"/>
  <c r="I189" i="61"/>
  <c r="I189" i="87"/>
  <c r="F100" i="86"/>
  <c r="J100" i="86" s="1"/>
  <c r="F151" i="86"/>
  <c r="J151" i="86" s="1"/>
  <c r="K151" i="86"/>
  <c r="K100" i="86"/>
  <c r="F36" i="86"/>
  <c r="J36" i="86" s="1"/>
  <c r="K36" i="86"/>
  <c r="H570" i="32"/>
  <c r="H551" i="32"/>
  <c r="H549" i="32"/>
  <c r="H574" i="32"/>
  <c r="H581" i="32"/>
  <c r="I227" i="55"/>
  <c r="I1002" i="58"/>
  <c r="H555" i="32"/>
  <c r="H576" i="32"/>
  <c r="H582" i="32"/>
  <c r="H552" i="32"/>
  <c r="H553" i="32"/>
  <c r="H583" i="32"/>
  <c r="H584" i="32"/>
  <c r="H573" i="32"/>
  <c r="H577" i="32"/>
  <c r="H580" i="32"/>
  <c r="I235" i="55"/>
  <c r="E25" i="101"/>
  <c r="E26" i="101"/>
  <c r="E27" i="101"/>
  <c r="I25" i="101"/>
  <c r="E29" i="101"/>
  <c r="E24" i="101"/>
  <c r="I190" i="87"/>
  <c r="I136" i="94"/>
  <c r="I139" i="94"/>
  <c r="I142" i="94"/>
  <c r="I140" i="94"/>
  <c r="H563" i="32"/>
  <c r="H579" i="32"/>
  <c r="H556" i="32"/>
  <c r="H572" i="32"/>
  <c r="H559" i="32"/>
  <c r="H575" i="32"/>
  <c r="I186" i="61"/>
  <c r="I188" i="61"/>
  <c r="I185" i="61"/>
  <c r="I190" i="61"/>
  <c r="I282" i="55"/>
  <c r="I234" i="55"/>
  <c r="I229" i="55"/>
  <c r="I231" i="55"/>
  <c r="I232" i="55"/>
  <c r="I223" i="55"/>
  <c r="I230" i="55"/>
  <c r="I221" i="55"/>
  <c r="I200" i="55"/>
  <c r="H177" i="87"/>
  <c r="H179" i="87"/>
  <c r="I178" i="87"/>
  <c r="I183" i="55"/>
  <c r="N57" i="2"/>
  <c r="J83" i="67"/>
  <c r="E73" i="67"/>
  <c r="I187" i="61"/>
  <c r="I191" i="61"/>
  <c r="I184" i="61"/>
  <c r="H568" i="32"/>
  <c r="H569" i="32"/>
  <c r="J7" i="67"/>
  <c r="B23" i="6"/>
  <c r="B26" i="6" s="1"/>
  <c r="B31" i="6" s="1"/>
  <c r="B36" i="6" s="1"/>
  <c r="B42" i="6" s="1"/>
  <c r="B46" i="6" s="1"/>
  <c r="B50" i="6" s="1"/>
  <c r="B54" i="6" s="1"/>
  <c r="B58" i="6" s="1"/>
  <c r="B61" i="6" s="1"/>
  <c r="B64" i="6" s="1"/>
  <c r="B68" i="6" s="1"/>
  <c r="B72" i="6" s="1"/>
  <c r="B80" i="6" s="1"/>
  <c r="B83" i="6" s="1"/>
  <c r="B86" i="6" s="1"/>
  <c r="B89" i="6" s="1"/>
  <c r="B92" i="6" s="1"/>
  <c r="B95" i="6" s="1"/>
  <c r="B98" i="6" s="1"/>
  <c r="B101" i="6" s="1"/>
  <c r="B104" i="6" s="1"/>
  <c r="B107" i="6" s="1"/>
  <c r="B110" i="6" s="1"/>
  <c r="B113" i="6" s="1"/>
  <c r="B116" i="6" s="1"/>
  <c r="B119" i="6" s="1"/>
  <c r="I188" i="87"/>
  <c r="I266" i="55"/>
  <c r="I254" i="55"/>
  <c r="I280" i="55"/>
  <c r="E148" i="93"/>
  <c r="E57" i="93"/>
  <c r="M157" i="93"/>
  <c r="E10" i="93"/>
  <c r="E25" i="93" s="1"/>
  <c r="E166" i="93"/>
  <c r="I141" i="94"/>
  <c r="I150" i="94"/>
  <c r="I191" i="55"/>
  <c r="I184" i="55"/>
  <c r="I212" i="55"/>
  <c r="I216" i="55"/>
  <c r="I171" i="55"/>
  <c r="I172" i="55"/>
  <c r="I186" i="55"/>
  <c r="I187" i="55"/>
  <c r="I345" i="55"/>
  <c r="I346" i="55"/>
  <c r="I347" i="55"/>
  <c r="I180" i="55"/>
  <c r="I181" i="55"/>
  <c r="I192" i="55"/>
  <c r="I193" i="55"/>
  <c r="I255" i="55"/>
  <c r="I190" i="55"/>
  <c r="I196" i="55"/>
  <c r="I205" i="55"/>
  <c r="I261" i="55"/>
  <c r="I198" i="55"/>
  <c r="I199" i="55"/>
  <c r="I177" i="55"/>
  <c r="I178" i="55"/>
  <c r="I306" i="55"/>
  <c r="H560" i="32"/>
  <c r="H557" i="32"/>
  <c r="H561" i="32"/>
  <c r="H558" i="32"/>
  <c r="H562" i="32"/>
  <c r="H565" i="32"/>
  <c r="I307" i="55"/>
  <c r="I259" i="55"/>
  <c r="H545" i="32"/>
  <c r="H566" i="32"/>
  <c r="H546" i="32"/>
  <c r="H567" i="32"/>
  <c r="H543" i="32"/>
  <c r="H564" i="32"/>
  <c r="I137" i="94"/>
  <c r="I147" i="94"/>
  <c r="I176" i="87"/>
  <c r="I185" i="87"/>
  <c r="I174" i="87"/>
  <c r="I338" i="55"/>
  <c r="I256" i="55"/>
  <c r="I339" i="55"/>
  <c r="I324" i="55"/>
  <c r="I325" i="55"/>
  <c r="I318" i="55"/>
  <c r="I257" i="55"/>
  <c r="L282" i="54"/>
  <c r="I258" i="55"/>
  <c r="I181" i="61"/>
  <c r="I299" i="55"/>
  <c r="I287" i="55"/>
  <c r="I283" i="55"/>
  <c r="I286" i="55"/>
  <c r="I315" i="55"/>
  <c r="I332" i="55"/>
  <c r="L28" i="94"/>
  <c r="L26" i="94"/>
  <c r="L29" i="94"/>
  <c r="H20" i="94"/>
  <c r="B66" i="28"/>
  <c r="B68" i="28"/>
  <c r="I263" i="55"/>
  <c r="I302" i="55"/>
  <c r="I303" i="55"/>
  <c r="I273" i="55"/>
  <c r="I269" i="55"/>
  <c r="I268" i="55"/>
  <c r="I265" i="55"/>
  <c r="I300" i="55"/>
  <c r="I327" i="55"/>
  <c r="I328" i="55"/>
  <c r="I260" i="55"/>
  <c r="I279" i="55"/>
  <c r="I292" i="55"/>
  <c r="I304" i="55"/>
  <c r="I305" i="55"/>
  <c r="I291" i="55"/>
  <c r="I311" i="55"/>
  <c r="I310" i="55"/>
  <c r="I333" i="55"/>
  <c r="I206" i="55"/>
  <c r="I208" i="55"/>
  <c r="I211" i="55"/>
  <c r="I275" i="55"/>
  <c r="I277" i="55"/>
  <c r="I262" i="55"/>
  <c r="I246" i="55"/>
  <c r="I252" i="55"/>
  <c r="I290" i="55"/>
  <c r="I308" i="55"/>
  <c r="I309" i="55"/>
  <c r="I320" i="55"/>
  <c r="I322" i="55"/>
  <c r="I321" i="55"/>
  <c r="I323" i="55"/>
  <c r="I326" i="55"/>
  <c r="I331" i="55"/>
  <c r="I241" i="55"/>
  <c r="I247" i="55"/>
  <c r="I284" i="55"/>
  <c r="I296" i="55"/>
  <c r="I297" i="55"/>
  <c r="I314" i="55"/>
  <c r="I317" i="55"/>
  <c r="I316" i="55"/>
  <c r="I313" i="55"/>
  <c r="I319" i="55"/>
  <c r="I236" i="55"/>
  <c r="I244" i="55"/>
  <c r="I250" i="55"/>
  <c r="I285" i="55"/>
  <c r="I202" i="55"/>
  <c r="I209" i="55"/>
  <c r="I219" i="55"/>
  <c r="I225" i="55"/>
  <c r="I281" i="55"/>
  <c r="I264" i="55"/>
  <c r="I237" i="55"/>
  <c r="I242" i="55"/>
  <c r="I298" i="55"/>
  <c r="I329" i="55"/>
  <c r="I330" i="55"/>
  <c r="I271" i="55"/>
  <c r="I245" i="55"/>
  <c r="I251" i="55"/>
  <c r="I213" i="55"/>
  <c r="I217" i="55"/>
  <c r="I203" i="55"/>
  <c r="I267" i="55"/>
  <c r="I239" i="55"/>
  <c r="I243" i="55"/>
  <c r="I249" i="55"/>
  <c r="I294" i="55"/>
  <c r="I295" i="55"/>
  <c r="I340" i="55"/>
  <c r="I341" i="55"/>
  <c r="I343" i="55"/>
  <c r="I342" i="55"/>
  <c r="I344" i="55"/>
  <c r="I222" i="55"/>
  <c r="I228" i="55"/>
  <c r="I272" i="55"/>
  <c r="I274" i="55"/>
  <c r="I276" i="55"/>
  <c r="I278" i="55"/>
  <c r="I270" i="55"/>
  <c r="I240" i="55"/>
  <c r="I238" i="55"/>
  <c r="I288" i="55"/>
  <c r="I289" i="55"/>
  <c r="I312" i="55"/>
  <c r="I334" i="55"/>
  <c r="I335" i="55"/>
  <c r="I336" i="55"/>
  <c r="I337" i="55"/>
  <c r="I301" i="55"/>
  <c r="I293" i="55"/>
  <c r="I233" i="55"/>
  <c r="G1002" i="58"/>
  <c r="I195" i="55"/>
  <c r="I197" i="55"/>
  <c r="I207" i="55"/>
  <c r="K157" i="54"/>
  <c r="I215" i="55"/>
  <c r="K152" i="54"/>
  <c r="I204" i="55"/>
  <c r="I248" i="55"/>
  <c r="I201" i="55"/>
  <c r="K153" i="86"/>
  <c r="I134" i="94"/>
  <c r="I144" i="94"/>
  <c r="I135" i="94"/>
  <c r="I145" i="94"/>
  <c r="I133" i="94"/>
  <c r="I143" i="94"/>
  <c r="H542" i="32"/>
  <c r="F37" i="86"/>
  <c r="J37" i="86" s="1"/>
  <c r="F39" i="86"/>
  <c r="J39" i="86" s="1"/>
  <c r="F38" i="86"/>
  <c r="J38" i="86" s="1"/>
  <c r="K38" i="86"/>
  <c r="K39" i="86"/>
  <c r="K37" i="86"/>
  <c r="I177" i="87"/>
  <c r="I181" i="87"/>
  <c r="I175" i="87"/>
  <c r="I179" i="87"/>
  <c r="I180" i="87"/>
  <c r="I182" i="87"/>
  <c r="I186" i="87"/>
  <c r="I183" i="87"/>
  <c r="I187" i="87"/>
  <c r="H1002" i="58"/>
  <c r="H537" i="32"/>
  <c r="H544" i="32"/>
  <c r="H538" i="32"/>
  <c r="H540" i="32"/>
  <c r="H535" i="32"/>
  <c r="H539" i="32"/>
  <c r="H541" i="32"/>
  <c r="H536" i="32"/>
  <c r="I176" i="61"/>
  <c r="I175" i="61"/>
  <c r="H528" i="32"/>
  <c r="H529" i="32"/>
  <c r="H533" i="32"/>
  <c r="H530" i="32"/>
  <c r="H534" i="32"/>
  <c r="H531" i="32"/>
  <c r="H526" i="32"/>
  <c r="H532" i="32"/>
  <c r="H527" i="32"/>
  <c r="H213" i="32"/>
  <c r="H197" i="32"/>
  <c r="E265" i="54"/>
  <c r="M265" i="54"/>
  <c r="F32" i="86"/>
  <c r="J32" i="86" s="1"/>
  <c r="K32" i="86"/>
  <c r="I173" i="87"/>
  <c r="I184" i="87"/>
  <c r="I177" i="61"/>
  <c r="I180" i="61"/>
  <c r="I178" i="61"/>
  <c r="I179" i="61"/>
  <c r="F68" i="25"/>
  <c r="F141" i="86"/>
  <c r="J141" i="86" s="1"/>
  <c r="F171" i="86"/>
  <c r="J171" i="86" s="1"/>
  <c r="K171" i="86"/>
  <c r="B41" i="87"/>
  <c r="B44" i="87" s="1"/>
  <c r="B47" i="87" s="1"/>
  <c r="B50" i="87" s="1"/>
  <c r="B54" i="87" s="1"/>
  <c r="B60" i="87" s="1"/>
  <c r="B65" i="87" s="1"/>
  <c r="B71" i="87" s="1"/>
  <c r="B77" i="87" s="1"/>
  <c r="B80" i="87" s="1"/>
  <c r="B83" i="87" s="1"/>
  <c r="B87" i="87" s="1"/>
  <c r="B90" i="87" s="1"/>
  <c r="B93" i="87" s="1"/>
  <c r="B96" i="87" s="1"/>
  <c r="AH55" i="25"/>
  <c r="AH56" i="25" s="1"/>
  <c r="AI52" i="25"/>
  <c r="AJ52" i="25" s="1"/>
  <c r="AI71" i="25"/>
  <c r="AJ71" i="25" s="1"/>
  <c r="AI77" i="25"/>
  <c r="AJ77" i="25" s="1"/>
  <c r="AI73" i="25"/>
  <c r="AJ73" i="25" s="1"/>
  <c r="AI75" i="25"/>
  <c r="AJ75" i="25" s="1"/>
  <c r="G155" i="2"/>
  <c r="G511" i="2"/>
  <c r="G525" i="2" s="1"/>
  <c r="H511" i="2"/>
  <c r="H525" i="2" s="1"/>
  <c r="H155" i="2"/>
  <c r="I511" i="2"/>
  <c r="I525" i="2" s="1"/>
  <c r="I155" i="2"/>
  <c r="J14" i="67"/>
  <c r="M123" i="2"/>
  <c r="N859" i="2"/>
  <c r="N924" i="2"/>
  <c r="N869" i="2"/>
  <c r="N623" i="2"/>
  <c r="H202" i="32"/>
  <c r="I24" i="101"/>
  <c r="I174" i="61"/>
  <c r="H265" i="60"/>
  <c r="G61" i="60"/>
  <c r="I132" i="94"/>
  <c r="E23" i="79"/>
  <c r="I44" i="67"/>
  <c r="J42" i="67"/>
  <c r="F111" i="86"/>
  <c r="J111" i="86" s="1"/>
  <c r="H29" i="86"/>
  <c r="F275" i="86"/>
  <c r="J275" i="86" s="1"/>
  <c r="H170" i="32"/>
  <c r="H195" i="32"/>
  <c r="H191" i="32"/>
  <c r="H216" i="32"/>
  <c r="H190" i="32"/>
  <c r="H196" i="32"/>
  <c r="H11" i="71"/>
  <c r="H9" i="71"/>
  <c r="H10" i="71"/>
  <c r="H171" i="32"/>
  <c r="H169" i="32"/>
  <c r="H209" i="32"/>
  <c r="H115" i="61"/>
  <c r="K20" i="60"/>
  <c r="E59" i="60"/>
  <c r="K109" i="60"/>
  <c r="K119" i="60"/>
  <c r="K123" i="60"/>
  <c r="K156" i="60"/>
  <c r="K164" i="60"/>
  <c r="K242" i="60"/>
  <c r="I117" i="61"/>
  <c r="K122" i="60"/>
  <c r="K183" i="60"/>
  <c r="K188" i="60"/>
  <c r="K254" i="60"/>
  <c r="K11" i="60"/>
  <c r="H116" i="61"/>
  <c r="E55" i="60"/>
  <c r="K94" i="60"/>
  <c r="H119" i="61"/>
  <c r="K128" i="60"/>
  <c r="K147" i="60"/>
  <c r="K161" i="60"/>
  <c r="K206" i="60"/>
  <c r="AB206" i="60" s="1"/>
  <c r="K231" i="60"/>
  <c r="K234" i="60"/>
  <c r="K240" i="60"/>
  <c r="K97" i="60"/>
  <c r="K110" i="60"/>
  <c r="K170" i="60"/>
  <c r="K36" i="60"/>
  <c r="E140" i="57" s="1"/>
  <c r="I122" i="61"/>
  <c r="K92" i="60"/>
  <c r="K126" i="60"/>
  <c r="K145" i="60"/>
  <c r="K167" i="60"/>
  <c r="K237" i="60"/>
  <c r="K253" i="60"/>
  <c r="K255" i="60"/>
  <c r="H118" i="61"/>
  <c r="K98" i="60"/>
  <c r="E220" i="60"/>
  <c r="K235" i="60"/>
  <c r="K275" i="60"/>
  <c r="K111" i="60"/>
  <c r="E139" i="60"/>
  <c r="K159" i="60"/>
  <c r="I114" i="61"/>
  <c r="K90" i="60"/>
  <c r="K146" i="60"/>
  <c r="K174" i="60"/>
  <c r="K191" i="60"/>
  <c r="K9" i="54"/>
  <c r="K127" i="54"/>
  <c r="K133" i="54"/>
  <c r="K141" i="54"/>
  <c r="K236" i="54"/>
  <c r="K281" i="54"/>
  <c r="K314" i="54"/>
  <c r="K332" i="54"/>
  <c r="K337" i="54"/>
  <c r="K136" i="54"/>
  <c r="K154" i="54"/>
  <c r="K246" i="54"/>
  <c r="K306" i="54"/>
  <c r="K131" i="54"/>
  <c r="K153" i="54"/>
  <c r="K155" i="54"/>
  <c r="K282" i="54"/>
  <c r="K317" i="54"/>
  <c r="K331" i="54"/>
  <c r="K339" i="54"/>
  <c r="K128" i="54"/>
  <c r="K134" i="54"/>
  <c r="K244" i="54"/>
  <c r="K250" i="54"/>
  <c r="K254" i="54"/>
  <c r="K304" i="54"/>
  <c r="K329" i="54"/>
  <c r="K36" i="54"/>
  <c r="K137" i="54"/>
  <c r="K283" i="54"/>
  <c r="K285" i="54"/>
  <c r="K315" i="54"/>
  <c r="K320" i="54"/>
  <c r="K322" i="54"/>
  <c r="K176" i="54"/>
  <c r="K248" i="54"/>
  <c r="K251" i="54"/>
  <c r="K256" i="54"/>
  <c r="K271" i="54"/>
  <c r="K338" i="54"/>
  <c r="K18" i="54"/>
  <c r="K126" i="54"/>
  <c r="N126" i="54" s="1"/>
  <c r="K135" i="54"/>
  <c r="K151" i="54"/>
  <c r="K226" i="54"/>
  <c r="K280" i="54"/>
  <c r="K302" i="54"/>
  <c r="K335" i="54"/>
  <c r="K252" i="54"/>
  <c r="K261" i="54"/>
  <c r="K269" i="54"/>
  <c r="K325" i="54"/>
  <c r="K328" i="54"/>
  <c r="I278" i="6"/>
  <c r="K409" i="2"/>
  <c r="I519" i="6"/>
  <c r="I521" i="6"/>
  <c r="I296" i="6"/>
  <c r="J702" i="2"/>
  <c r="I275" i="6"/>
  <c r="I279" i="6"/>
  <c r="I302" i="6"/>
  <c r="E10" i="2"/>
  <c r="I276" i="6"/>
  <c r="I301" i="6"/>
  <c r="I427" i="6"/>
  <c r="J699" i="2"/>
  <c r="F184" i="86"/>
  <c r="J184" i="86" s="1"/>
  <c r="K184" i="86"/>
  <c r="BU483" i="58"/>
  <c r="O101" i="2"/>
  <c r="M1007" i="2"/>
  <c r="O95" i="2"/>
  <c r="D6" i="77"/>
  <c r="D9" i="77"/>
  <c r="D10" i="77"/>
  <c r="D8" i="77"/>
  <c r="D7" i="77"/>
  <c r="L19" i="94"/>
  <c r="L20" i="94"/>
  <c r="L18" i="94"/>
  <c r="B93" i="28"/>
  <c r="H285" i="32"/>
  <c r="B95" i="28"/>
  <c r="I130" i="61"/>
  <c r="H168" i="61"/>
  <c r="H129" i="61"/>
  <c r="B24" i="61"/>
  <c r="B27" i="61" s="1"/>
  <c r="H135" i="61"/>
  <c r="H125" i="61"/>
  <c r="H130" i="61"/>
  <c r="H153" i="61"/>
  <c r="H126" i="61"/>
  <c r="H131" i="61"/>
  <c r="H132" i="61"/>
  <c r="I126" i="61"/>
  <c r="H127" i="61"/>
  <c r="K107" i="83"/>
  <c r="H272" i="32"/>
  <c r="E205" i="54"/>
  <c r="E10" i="54"/>
  <c r="E201" i="54"/>
  <c r="I148" i="61"/>
  <c r="J667" i="2"/>
  <c r="J58" i="2"/>
  <c r="J333" i="2"/>
  <c r="J668" i="2"/>
  <c r="N137" i="2"/>
  <c r="I287" i="6"/>
  <c r="I423" i="6"/>
  <c r="I282" i="6"/>
  <c r="I284" i="6"/>
  <c r="I505" i="6"/>
  <c r="I283" i="6"/>
  <c r="I408" i="6"/>
  <c r="H294" i="54"/>
  <c r="H309" i="54" s="1"/>
  <c r="I294" i="54"/>
  <c r="I309" i="54" s="1"/>
  <c r="G294" i="54"/>
  <c r="G309" i="54" s="1"/>
  <c r="I119" i="55"/>
  <c r="I523" i="6"/>
  <c r="I415" i="6"/>
  <c r="I403" i="6"/>
  <c r="I33" i="71"/>
  <c r="C35" i="71"/>
  <c r="D34" i="71" s="1"/>
  <c r="D21" i="71"/>
  <c r="D20" i="71"/>
  <c r="G25" i="71" s="1"/>
  <c r="D22" i="71"/>
  <c r="C49" i="71"/>
  <c r="B51" i="71"/>
  <c r="C47" i="71"/>
  <c r="D9" i="71"/>
  <c r="D50" i="71"/>
  <c r="D10" i="71"/>
  <c r="C45" i="71"/>
  <c r="D11" i="71"/>
  <c r="E32" i="71"/>
  <c r="H159" i="61"/>
  <c r="J669" i="2"/>
  <c r="I372" i="6"/>
  <c r="I537" i="6"/>
  <c r="J342" i="2"/>
  <c r="N342" i="2" s="1"/>
  <c r="I426" i="6"/>
  <c r="I502" i="6"/>
  <c r="Q37" i="7"/>
  <c r="S36" i="7" s="1"/>
  <c r="T36" i="7" s="1"/>
  <c r="E188" i="2"/>
  <c r="I504" i="6"/>
  <c r="I580" i="6"/>
  <c r="J113" i="2"/>
  <c r="I321" i="6"/>
  <c r="J344" i="2"/>
  <c r="N344" i="2" s="1"/>
  <c r="I586" i="6"/>
  <c r="J166" i="2"/>
  <c r="I363" i="6"/>
  <c r="I434" i="6"/>
  <c r="J334" i="2"/>
  <c r="I538" i="6"/>
  <c r="I306" i="6"/>
  <c r="J54" i="2"/>
  <c r="N54" i="2" s="1"/>
  <c r="I436" i="6"/>
  <c r="J363" i="2"/>
  <c r="I450" i="6"/>
  <c r="I353" i="6"/>
  <c r="I444" i="6"/>
  <c r="I443" i="6"/>
  <c r="I528" i="6"/>
  <c r="I352" i="6"/>
  <c r="I286" i="6"/>
  <c r="I531" i="6"/>
  <c r="I532" i="6"/>
  <c r="I534" i="6"/>
  <c r="I439" i="6"/>
  <c r="I616" i="6"/>
  <c r="H712" i="2"/>
  <c r="J939" i="2"/>
  <c r="P54" i="7"/>
  <c r="O54" i="7" s="1"/>
  <c r="I388" i="6"/>
  <c r="I420" i="6"/>
  <c r="I548" i="6"/>
  <c r="J360" i="2"/>
  <c r="I524" i="6"/>
  <c r="I342" i="6"/>
  <c r="I598" i="6"/>
  <c r="I601" i="6"/>
  <c r="I503" i="6"/>
  <c r="J60" i="2"/>
  <c r="I549" i="6"/>
  <c r="I520" i="6"/>
  <c r="I481" i="6"/>
  <c r="I529" i="6"/>
  <c r="I407" i="6"/>
  <c r="I472" i="6"/>
  <c r="I605" i="6"/>
  <c r="I320" i="6"/>
  <c r="I347" i="6"/>
  <c r="I385" i="6"/>
  <c r="J670" i="2"/>
  <c r="I462" i="6"/>
  <c r="I510" i="6"/>
  <c r="I312" i="6"/>
  <c r="I509" i="6"/>
  <c r="I506" i="6"/>
  <c r="I333" i="6"/>
  <c r="I327" i="6"/>
  <c r="I539" i="6"/>
  <c r="I495" i="6"/>
  <c r="J681" i="2"/>
  <c r="I608" i="6"/>
  <c r="I617" i="6"/>
  <c r="I614" i="6"/>
  <c r="I592" i="6"/>
  <c r="J82" i="2"/>
  <c r="N82" i="2" s="1"/>
  <c r="J336" i="2"/>
  <c r="I404" i="6"/>
  <c r="I535" i="6"/>
  <c r="I536" i="6"/>
  <c r="I456" i="6"/>
  <c r="I430" i="6"/>
  <c r="I482" i="6"/>
  <c r="I530" i="6"/>
  <c r="I522" i="6"/>
  <c r="I533" i="6"/>
  <c r="I493" i="6"/>
  <c r="J682" i="2"/>
  <c r="K59" i="71"/>
  <c r="J58" i="71" s="1"/>
  <c r="I464" i="6"/>
  <c r="E719" i="58"/>
  <c r="F719" i="58"/>
  <c r="J1006" i="58"/>
  <c r="C159" i="57" s="1"/>
  <c r="J989" i="58"/>
  <c r="J1017" i="58"/>
  <c r="H185" i="32"/>
  <c r="H220" i="32"/>
  <c r="H208" i="32"/>
  <c r="H265" i="58"/>
  <c r="H229" i="32"/>
  <c r="H226" i="32"/>
  <c r="H230" i="32"/>
  <c r="H186" i="32"/>
  <c r="H192" i="32"/>
  <c r="H193" i="32"/>
  <c r="H283" i="32"/>
  <c r="H253" i="32"/>
  <c r="I122" i="94"/>
  <c r="E79" i="86"/>
  <c r="E80" i="86" s="1"/>
  <c r="J83" i="66"/>
  <c r="H488" i="54"/>
  <c r="G488" i="54"/>
  <c r="I488" i="54"/>
  <c r="G207" i="54"/>
  <c r="H157" i="61"/>
  <c r="H163" i="61"/>
  <c r="G48" i="60"/>
  <c r="G265" i="60"/>
  <c r="H48" i="60"/>
  <c r="H215" i="60"/>
  <c r="H135" i="60"/>
  <c r="H150" i="60" s="1"/>
  <c r="G215" i="60"/>
  <c r="I215" i="60"/>
  <c r="I265" i="60"/>
  <c r="H61" i="60"/>
  <c r="I135" i="60"/>
  <c r="I150" i="60" s="1"/>
  <c r="I61" i="60"/>
  <c r="C56" i="68"/>
  <c r="O3" i="86"/>
  <c r="B12" i="30"/>
  <c r="H151" i="61"/>
  <c r="H155" i="61"/>
  <c r="I171" i="61"/>
  <c r="I160" i="61"/>
  <c r="I136" i="61"/>
  <c r="I146" i="61"/>
  <c r="I346" i="6"/>
  <c r="I542" i="6"/>
  <c r="I322" i="6"/>
  <c r="I335" i="6"/>
  <c r="J325" i="2"/>
  <c r="N325" i="2" s="1"/>
  <c r="I432" i="6"/>
  <c r="I340" i="6"/>
  <c r="I610" i="6"/>
  <c r="I585" i="6"/>
  <c r="I590" i="6"/>
  <c r="I466" i="6"/>
  <c r="I354" i="6"/>
  <c r="J324" i="2"/>
  <c r="N324" i="2" s="1"/>
  <c r="I360" i="6"/>
  <c r="I366" i="6"/>
  <c r="I433" i="6"/>
  <c r="I339" i="6"/>
  <c r="I565" i="6"/>
  <c r="I550" i="6"/>
  <c r="I348" i="6"/>
  <c r="I364" i="6"/>
  <c r="I391" i="6"/>
  <c r="J118" i="2"/>
  <c r="I477" i="6"/>
  <c r="I540" i="6"/>
  <c r="I560" i="6"/>
  <c r="I603" i="6"/>
  <c r="I305" i="6"/>
  <c r="I457" i="6"/>
  <c r="J56" i="2"/>
  <c r="I295" i="6"/>
  <c r="I310" i="6"/>
  <c r="J62" i="2"/>
  <c r="I448" i="6"/>
  <c r="I417" i="6"/>
  <c r="I489" i="6"/>
  <c r="I485" i="6"/>
  <c r="I490" i="6"/>
  <c r="I583" i="6"/>
  <c r="I307" i="6"/>
  <c r="I313" i="6"/>
  <c r="I373" i="6"/>
  <c r="I374" i="6"/>
  <c r="I355" i="6"/>
  <c r="I399" i="6"/>
  <c r="I397" i="6"/>
  <c r="I421" i="6"/>
  <c r="J332" i="2"/>
  <c r="N332" i="2" s="1"/>
  <c r="I475" i="6"/>
  <c r="J698" i="2"/>
  <c r="J700" i="2"/>
  <c r="I576" i="6"/>
  <c r="I612" i="6"/>
  <c r="I621" i="6"/>
  <c r="I308" i="6"/>
  <c r="I304" i="6"/>
  <c r="I441" i="6"/>
  <c r="I442" i="6"/>
  <c r="I461" i="6"/>
  <c r="I458" i="6"/>
  <c r="I331" i="6"/>
  <c r="I314" i="6"/>
  <c r="I318" i="6"/>
  <c r="J165" i="2"/>
  <c r="I356" i="6"/>
  <c r="I383" i="6"/>
  <c r="I393" i="6"/>
  <c r="I389" i="6"/>
  <c r="J366" i="2"/>
  <c r="I410" i="6"/>
  <c r="I341" i="6"/>
  <c r="I344" i="6"/>
  <c r="I469" i="6"/>
  <c r="I566" i="6"/>
  <c r="I551" i="6"/>
  <c r="I554" i="6"/>
  <c r="I555" i="6"/>
  <c r="I558" i="6"/>
  <c r="I559" i="6"/>
  <c r="I588" i="6"/>
  <c r="I591" i="6"/>
  <c r="I316" i="6"/>
  <c r="I349" i="6"/>
  <c r="I437" i="6"/>
  <c r="I323" i="6"/>
  <c r="I325" i="6"/>
  <c r="I303" i="6"/>
  <c r="I293" i="6"/>
  <c r="I309" i="6"/>
  <c r="I438" i="6"/>
  <c r="I446" i="6"/>
  <c r="I451" i="6"/>
  <c r="I449" i="6"/>
  <c r="J177" i="2"/>
  <c r="I326" i="6"/>
  <c r="J328" i="2"/>
  <c r="N328" i="2" s="1"/>
  <c r="J349" i="2"/>
  <c r="N349" i="2" s="1"/>
  <c r="I380" i="6"/>
  <c r="I375" i="6"/>
  <c r="I376" i="6"/>
  <c r="I365" i="6"/>
  <c r="I369" i="6"/>
  <c r="I361" i="6"/>
  <c r="J326" i="2"/>
  <c r="I381" i="6"/>
  <c r="I395" i="6"/>
  <c r="J331" i="2"/>
  <c r="N331" i="2" s="1"/>
  <c r="I424" i="6"/>
  <c r="I425" i="6"/>
  <c r="I431" i="6"/>
  <c r="I345" i="6"/>
  <c r="I491" i="6"/>
  <c r="I544" i="6"/>
  <c r="I562" i="6"/>
  <c r="I568" i="6"/>
  <c r="I572" i="6"/>
  <c r="I494" i="6"/>
  <c r="I525" i="6"/>
  <c r="I604" i="6"/>
  <c r="I607" i="6"/>
  <c r="I623" i="6"/>
  <c r="I620" i="6"/>
  <c r="I615" i="6"/>
  <c r="I595" i="6"/>
  <c r="I392" i="6"/>
  <c r="I384" i="6"/>
  <c r="I401" i="6"/>
  <c r="I402" i="6"/>
  <c r="I471" i="6"/>
  <c r="I492" i="6"/>
  <c r="I579" i="6"/>
  <c r="I600" i="6"/>
  <c r="I587" i="6"/>
  <c r="I460" i="6"/>
  <c r="I459" i="6"/>
  <c r="I440" i="6"/>
  <c r="I465" i="6"/>
  <c r="I454" i="6"/>
  <c r="I455" i="6"/>
  <c r="I330" i="6"/>
  <c r="J178" i="2"/>
  <c r="I317" i="6"/>
  <c r="I324" i="6"/>
  <c r="I328" i="6"/>
  <c r="I336" i="6"/>
  <c r="I386" i="6"/>
  <c r="I387" i="6"/>
  <c r="I357" i="6"/>
  <c r="I367" i="6"/>
  <c r="I368" i="6"/>
  <c r="J367" i="2"/>
  <c r="J352" i="2"/>
  <c r="J329" i="2"/>
  <c r="N329" i="2" s="1"/>
  <c r="J330" i="2"/>
  <c r="I435" i="6"/>
  <c r="I289" i="6"/>
  <c r="I470" i="6"/>
  <c r="I474" i="6"/>
  <c r="I486" i="6"/>
  <c r="I541" i="6"/>
  <c r="I547" i="6"/>
  <c r="I561" i="6"/>
  <c r="I567" i="6"/>
  <c r="I571" i="6"/>
  <c r="I575" i="6"/>
  <c r="I497" i="6"/>
  <c r="I578" i="6"/>
  <c r="I582" i="6"/>
  <c r="I606" i="6"/>
  <c r="I609" i="6"/>
  <c r="I613" i="6"/>
  <c r="I622" i="6"/>
  <c r="I584" i="6"/>
  <c r="I596" i="6"/>
  <c r="I445" i="6"/>
  <c r="I370" i="6"/>
  <c r="I371" i="6"/>
  <c r="I416" i="6"/>
  <c r="I467" i="6"/>
  <c r="I473" i="6"/>
  <c r="I476" i="6"/>
  <c r="I479" i="6"/>
  <c r="I543" i="6"/>
  <c r="I564" i="6"/>
  <c r="I552" i="6"/>
  <c r="I553" i="6"/>
  <c r="I556" i="6"/>
  <c r="I557" i="6"/>
  <c r="I574" i="6"/>
  <c r="I496" i="6"/>
  <c r="I513" i="6"/>
  <c r="I514" i="6"/>
  <c r="I577" i="6"/>
  <c r="I599" i="6"/>
  <c r="I602" i="6"/>
  <c r="I611" i="6"/>
  <c r="I618" i="6"/>
  <c r="I619" i="6"/>
  <c r="J729" i="2"/>
  <c r="I589" i="6"/>
  <c r="I350" i="6"/>
  <c r="I351" i="6"/>
  <c r="I398" i="6"/>
  <c r="I422" i="6"/>
  <c r="I337" i="6"/>
  <c r="I488" i="6"/>
  <c r="I478" i="6"/>
  <c r="I545" i="6"/>
  <c r="I546" i="6"/>
  <c r="I563" i="6"/>
  <c r="I569" i="6"/>
  <c r="I570" i="6"/>
  <c r="I573" i="6"/>
  <c r="I500" i="6"/>
  <c r="I501" i="6"/>
  <c r="I526" i="6"/>
  <c r="I527" i="6"/>
  <c r="I581" i="6"/>
  <c r="I499" i="6"/>
  <c r="I480" i="6"/>
  <c r="J61" i="2"/>
  <c r="I338" i="6"/>
  <c r="I452" i="6"/>
  <c r="I453" i="6"/>
  <c r="I291" i="6"/>
  <c r="I498" i="6"/>
  <c r="I593" i="6"/>
  <c r="K401" i="2"/>
  <c r="I379" i="6"/>
  <c r="K425" i="2"/>
  <c r="I378" i="6"/>
  <c r="K445" i="2"/>
  <c r="K18" i="2"/>
  <c r="I277" i="6"/>
  <c r="K128" i="2"/>
  <c r="I285" i="6"/>
  <c r="K554" i="2"/>
  <c r="I483" i="6"/>
  <c r="K407" i="2"/>
  <c r="J327" i="2"/>
  <c r="K482" i="2"/>
  <c r="I343" i="6"/>
  <c r="E856" i="2"/>
  <c r="K424" i="2"/>
  <c r="I396" i="6"/>
  <c r="K393" i="2"/>
  <c r="I358" i="6"/>
  <c r="I390" i="6"/>
  <c r="G6" i="28"/>
  <c r="I597" i="6"/>
  <c r="H449" i="32"/>
  <c r="H987" i="2"/>
  <c r="J627" i="2"/>
  <c r="P19" i="7" s="1"/>
  <c r="O19" i="7" s="1"/>
  <c r="H248" i="32"/>
  <c r="H338" i="32"/>
  <c r="N551" i="2"/>
  <c r="N542" i="2"/>
  <c r="N547" i="2"/>
  <c r="N650" i="2"/>
  <c r="N688" i="2"/>
  <c r="N952" i="2"/>
  <c r="N690" i="2"/>
  <c r="N828" i="2"/>
  <c r="N831" i="2"/>
  <c r="N971" i="2"/>
  <c r="N687" i="2"/>
  <c r="N823" i="2"/>
  <c r="N975" i="2"/>
  <c r="N689" i="2"/>
  <c r="N830" i="2"/>
  <c r="N951" i="2"/>
  <c r="N686" i="2"/>
  <c r="N972" i="2"/>
  <c r="N834" i="2"/>
  <c r="G23" i="71"/>
  <c r="G34" i="71"/>
  <c r="G21" i="71"/>
  <c r="H45" i="71"/>
  <c r="G19" i="71" s="1"/>
  <c r="H441" i="32"/>
  <c r="H480" i="32"/>
  <c r="H249" i="32"/>
  <c r="H375" i="32"/>
  <c r="J813" i="58"/>
  <c r="H495" i="32"/>
  <c r="H427" i="32"/>
  <c r="G727" i="58"/>
  <c r="H288" i="32"/>
  <c r="H315" i="32"/>
  <c r="I265" i="58"/>
  <c r="H322" i="32"/>
  <c r="H330" i="32"/>
  <c r="H251" i="32"/>
  <c r="H286" i="32"/>
  <c r="G251" i="58"/>
  <c r="H214" i="32"/>
  <c r="H199" i="32"/>
  <c r="H727" i="58"/>
  <c r="I727" i="58"/>
  <c r="H251" i="58"/>
  <c r="H178" i="32"/>
  <c r="H255" i="32"/>
  <c r="H343" i="32"/>
  <c r="I251" i="58"/>
  <c r="J221" i="58"/>
  <c r="G265" i="58"/>
  <c r="H175" i="32"/>
  <c r="H263" i="32"/>
  <c r="H222" i="32"/>
  <c r="H234" i="32"/>
  <c r="H311" i="32"/>
  <c r="H461" i="32"/>
  <c r="H180" i="32"/>
  <c r="H204" i="32"/>
  <c r="H413" i="32"/>
  <c r="H376" i="32"/>
  <c r="H424" i="32"/>
  <c r="H443" i="32"/>
  <c r="H499" i="32"/>
  <c r="H212" i="32"/>
  <c r="J135" i="58"/>
  <c r="J139" i="58"/>
  <c r="J143" i="58"/>
  <c r="J147" i="58"/>
  <c r="J151" i="58"/>
  <c r="J155" i="58"/>
  <c r="J159" i="58"/>
  <c r="H225" i="32"/>
  <c r="H525" i="32"/>
  <c r="J136" i="58"/>
  <c r="J144" i="58"/>
  <c r="J148" i="58"/>
  <c r="J152" i="58"/>
  <c r="J156" i="58"/>
  <c r="J160" i="58"/>
  <c r="J164" i="58"/>
  <c r="H368" i="32"/>
  <c r="J140" i="58"/>
  <c r="H201" i="32"/>
  <c r="H217" i="32"/>
  <c r="H206" i="32"/>
  <c r="H211" i="32"/>
  <c r="H246" i="32"/>
  <c r="H502" i="32"/>
  <c r="H215" i="32"/>
  <c r="H188" i="32"/>
  <c r="H189" i="32"/>
  <c r="H313" i="32"/>
  <c r="H278" i="32"/>
  <c r="H174" i="32"/>
  <c r="H176" i="32"/>
  <c r="H235" i="32"/>
  <c r="H181" i="32"/>
  <c r="H305" i="32"/>
  <c r="H354" i="32"/>
  <c r="H421" i="32"/>
  <c r="J713" i="58"/>
  <c r="H486" i="32"/>
  <c r="H505" i="32"/>
  <c r="H374" i="32"/>
  <c r="H459" i="32"/>
  <c r="H482" i="32"/>
  <c r="H509" i="32"/>
  <c r="H516" i="32"/>
  <c r="H184" i="32"/>
  <c r="H205" i="32"/>
  <c r="H218" i="32"/>
  <c r="H194" i="32"/>
  <c r="H210" i="32"/>
  <c r="H224" i="32"/>
  <c r="J138" i="58"/>
  <c r="J146" i="58"/>
  <c r="J150" i="58"/>
  <c r="J158" i="58"/>
  <c r="H232" i="32"/>
  <c r="H182" i="32"/>
  <c r="H303" i="32"/>
  <c r="H307" i="32"/>
  <c r="H318" i="32"/>
  <c r="H324" i="32"/>
  <c r="H334" i="32"/>
  <c r="H362" i="32"/>
  <c r="J134" i="58"/>
  <c r="J142" i="58"/>
  <c r="J154" i="58"/>
  <c r="H203" i="32"/>
  <c r="H221" i="32"/>
  <c r="H219" i="32"/>
  <c r="H223" i="32"/>
  <c r="H280" i="32"/>
  <c r="H282" i="32"/>
  <c r="H291" i="32"/>
  <c r="H299" i="32"/>
  <c r="H300" i="32"/>
  <c r="H275" i="32"/>
  <c r="H345" i="32"/>
  <c r="H419" i="32"/>
  <c r="H436" i="32"/>
  <c r="H446" i="32"/>
  <c r="H227" i="32"/>
  <c r="H233" i="32"/>
  <c r="H260" i="32"/>
  <c r="H238" i="32"/>
  <c r="H242" i="32"/>
  <c r="H339" i="32"/>
  <c r="H371" i="32"/>
  <c r="H451" i="32"/>
  <c r="H467" i="32"/>
  <c r="H187" i="32"/>
  <c r="H207" i="32"/>
  <c r="H200" i="32"/>
  <c r="H198" i="32"/>
  <c r="H293" i="32"/>
  <c r="H296" i="32"/>
  <c r="H347" i="32"/>
  <c r="H179" i="32"/>
  <c r="H301" i="32"/>
  <c r="H274" i="32"/>
  <c r="H335" i="32"/>
  <c r="H344" i="32"/>
  <c r="H381" i="32"/>
  <c r="H428" i="32"/>
  <c r="H457" i="32"/>
  <c r="H468" i="32"/>
  <c r="H472" i="32"/>
  <c r="H501" i="32"/>
  <c r="H503" i="32"/>
  <c r="J475" i="58"/>
  <c r="H358" i="32"/>
  <c r="J524" i="58"/>
  <c r="H388" i="32"/>
  <c r="J856" i="58"/>
  <c r="J466" i="58"/>
  <c r="J473" i="58"/>
  <c r="J530" i="58"/>
  <c r="J532" i="58"/>
  <c r="J548" i="58"/>
  <c r="J556" i="58"/>
  <c r="J593" i="58"/>
  <c r="J600" i="58"/>
  <c r="J612" i="58"/>
  <c r="H352" i="32"/>
  <c r="H385" i="32"/>
  <c r="I106" i="94"/>
  <c r="H52" i="67"/>
  <c r="H53" i="67" s="1"/>
  <c r="J81" i="67"/>
  <c r="J84" i="67" s="1"/>
  <c r="J6" i="67"/>
  <c r="I110" i="94"/>
  <c r="I130" i="94"/>
  <c r="I84" i="94"/>
  <c r="I108" i="94"/>
  <c r="I91" i="94"/>
  <c r="I125" i="94"/>
  <c r="I131" i="94"/>
  <c r="I128" i="94"/>
  <c r="I115" i="94"/>
  <c r="M29" i="86"/>
  <c r="I29" i="86"/>
  <c r="I157" i="86"/>
  <c r="I174" i="86" s="1"/>
  <c r="I79" i="86"/>
  <c r="I80" i="86" s="1"/>
  <c r="B14" i="97"/>
  <c r="F59" i="86"/>
  <c r="J59" i="86" s="1"/>
  <c r="K130" i="86"/>
  <c r="K134" i="86"/>
  <c r="K138" i="86"/>
  <c r="F148" i="86"/>
  <c r="F187" i="86"/>
  <c r="J187" i="86" s="1"/>
  <c r="K289" i="86"/>
  <c r="F216" i="86"/>
  <c r="J216" i="86" s="1"/>
  <c r="K216" i="86"/>
  <c r="F255" i="86"/>
  <c r="J255" i="86" s="1"/>
  <c r="F114" i="86"/>
  <c r="J114" i="86" s="1"/>
  <c r="K139" i="86"/>
  <c r="N139" i="86" s="1"/>
  <c r="F149" i="86"/>
  <c r="J149" i="86" s="1"/>
  <c r="K164" i="86"/>
  <c r="K182" i="86"/>
  <c r="F235" i="86"/>
  <c r="K256" i="86"/>
  <c r="K274" i="86"/>
  <c r="K281" i="86"/>
  <c r="D18" i="87"/>
  <c r="F9" i="86"/>
  <c r="F10" i="86" s="1"/>
  <c r="F29" i="86" s="1"/>
  <c r="F128" i="86"/>
  <c r="F132" i="86"/>
  <c r="J132" i="86" s="1"/>
  <c r="F136" i="86"/>
  <c r="J136" i="86" s="1"/>
  <c r="F170" i="86"/>
  <c r="F210" i="86"/>
  <c r="F321" i="86"/>
  <c r="J321" i="86" s="1"/>
  <c r="F96" i="86"/>
  <c r="J96" i="86" s="1"/>
  <c r="F112" i="86"/>
  <c r="J112" i="86" s="1"/>
  <c r="F115" i="86"/>
  <c r="J115" i="86" s="1"/>
  <c r="K136" i="86"/>
  <c r="F186" i="86"/>
  <c r="F190" i="86"/>
  <c r="J190" i="86" s="1"/>
  <c r="K210" i="86"/>
  <c r="K213" i="86"/>
  <c r="F253" i="86"/>
  <c r="J253" i="86" s="1"/>
  <c r="F272" i="86"/>
  <c r="F129" i="86"/>
  <c r="J129" i="86" s="1"/>
  <c r="F133" i="86"/>
  <c r="J133" i="86" s="1"/>
  <c r="F137" i="86"/>
  <c r="J137" i="86" s="1"/>
  <c r="K186" i="86"/>
  <c r="K190" i="86"/>
  <c r="F203" i="86"/>
  <c r="J203" i="86" s="1"/>
  <c r="F264" i="86"/>
  <c r="J264" i="86" s="1"/>
  <c r="F299" i="86"/>
  <c r="J299" i="86" s="1"/>
  <c r="K129" i="86"/>
  <c r="K133" i="86"/>
  <c r="F150" i="86"/>
  <c r="J150" i="86" s="1"/>
  <c r="K165" i="86"/>
  <c r="F232" i="86"/>
  <c r="J232" i="86" s="1"/>
  <c r="K264" i="86"/>
  <c r="K299" i="86"/>
  <c r="K159" i="86"/>
  <c r="F103" i="86"/>
  <c r="J103" i="86" s="1"/>
  <c r="F113" i="86"/>
  <c r="J113" i="86" s="1"/>
  <c r="F130" i="86"/>
  <c r="J130" i="86" s="1"/>
  <c r="F134" i="86"/>
  <c r="J134" i="86" s="1"/>
  <c r="F138" i="86"/>
  <c r="J138" i="86" s="1"/>
  <c r="F191" i="86"/>
  <c r="J191" i="86" s="1"/>
  <c r="F289" i="86"/>
  <c r="J289" i="86" s="1"/>
  <c r="D13" i="97"/>
  <c r="H67" i="86"/>
  <c r="G243" i="86"/>
  <c r="I243" i="86"/>
  <c r="H243" i="86"/>
  <c r="G29" i="86"/>
  <c r="I156" i="87"/>
  <c r="I139" i="87"/>
  <c r="I161" i="87"/>
  <c r="H150" i="87"/>
  <c r="H157" i="86"/>
  <c r="H174" i="86" s="1"/>
  <c r="G157" i="86"/>
  <c r="G174" i="86" s="1"/>
  <c r="I148" i="87"/>
  <c r="H156" i="87"/>
  <c r="H148" i="87"/>
  <c r="I140" i="87"/>
  <c r="I165" i="87"/>
  <c r="I67" i="86"/>
  <c r="G67" i="86"/>
  <c r="I164" i="87"/>
  <c r="I158" i="87"/>
  <c r="H145" i="87"/>
  <c r="H137" i="87"/>
  <c r="I143" i="87"/>
  <c r="I146" i="87"/>
  <c r="H164" i="87"/>
  <c r="I167" i="87"/>
  <c r="H158" i="87"/>
  <c r="H171" i="87"/>
  <c r="H143" i="87"/>
  <c r="I137" i="87"/>
  <c r="K321" i="86"/>
  <c r="I150" i="87"/>
  <c r="H140" i="87"/>
  <c r="I138" i="87"/>
  <c r="H153" i="87"/>
  <c r="H165" i="87"/>
  <c r="K9" i="86"/>
  <c r="N501" i="54"/>
  <c r="N318" i="54"/>
  <c r="N360" i="54"/>
  <c r="N362" i="54"/>
  <c r="N364" i="54"/>
  <c r="N393" i="54"/>
  <c r="N476" i="54"/>
  <c r="N359" i="54"/>
  <c r="N395" i="54"/>
  <c r="N361" i="54"/>
  <c r="N394" i="54"/>
  <c r="H402" i="54"/>
  <c r="C19" i="89"/>
  <c r="C32" i="89"/>
  <c r="I92" i="94"/>
  <c r="I118" i="94"/>
  <c r="I89" i="94"/>
  <c r="I100" i="94"/>
  <c r="I111" i="94"/>
  <c r="I112" i="94"/>
  <c r="I107" i="94"/>
  <c r="H170" i="61"/>
  <c r="H173" i="61"/>
  <c r="H147" i="61"/>
  <c r="H160" i="61"/>
  <c r="J93" i="60"/>
  <c r="H145" i="61"/>
  <c r="G402" i="54"/>
  <c r="G32" i="54"/>
  <c r="H207" i="54"/>
  <c r="H195" i="54"/>
  <c r="G195" i="54"/>
  <c r="I207" i="54"/>
  <c r="H32" i="54"/>
  <c r="I402" i="54"/>
  <c r="I32" i="54"/>
  <c r="N129" i="54"/>
  <c r="I195" i="54"/>
  <c r="D138" i="6"/>
  <c r="D168" i="6"/>
  <c r="K385" i="54"/>
  <c r="K428" i="54"/>
  <c r="K447" i="54"/>
  <c r="K475" i="54"/>
  <c r="D18" i="77"/>
  <c r="K350" i="54"/>
  <c r="K436" i="54"/>
  <c r="K477" i="54"/>
  <c r="K409" i="54"/>
  <c r="K432" i="54"/>
  <c r="K449" i="54"/>
  <c r="K473" i="54"/>
  <c r="E496" i="54"/>
  <c r="K349" i="54"/>
  <c r="K474" i="54"/>
  <c r="K363" i="54"/>
  <c r="K413" i="54"/>
  <c r="K427" i="54"/>
  <c r="K435" i="54"/>
  <c r="K355" i="54"/>
  <c r="K416" i="54"/>
  <c r="K448" i="54"/>
  <c r="K472" i="54"/>
  <c r="K351" i="54"/>
  <c r="K444" i="54"/>
  <c r="K459" i="54"/>
  <c r="C18" i="77"/>
  <c r="K434" i="54"/>
  <c r="K450" i="54"/>
  <c r="K158" i="54"/>
  <c r="B46" i="55"/>
  <c r="B49" i="55"/>
  <c r="B53" i="55" s="1"/>
  <c r="B56" i="55" s="1"/>
  <c r="B59" i="55" s="1"/>
  <c r="B62" i="55" s="1"/>
  <c r="B65" i="55" s="1"/>
  <c r="B68" i="55" s="1"/>
  <c r="K253" i="54"/>
  <c r="K257" i="54"/>
  <c r="J247" i="54"/>
  <c r="N173" i="60"/>
  <c r="N190" i="60"/>
  <c r="N236" i="60"/>
  <c r="G135" i="60"/>
  <c r="G150" i="60" s="1"/>
  <c r="I48" i="60"/>
  <c r="I141" i="61"/>
  <c r="E148" i="60"/>
  <c r="I135" i="61"/>
  <c r="E13" i="60"/>
  <c r="E16" i="60" s="1"/>
  <c r="H138" i="61"/>
  <c r="H143" i="61"/>
  <c r="E194" i="60"/>
  <c r="H121" i="61"/>
  <c r="J163" i="60"/>
  <c r="E278" i="60"/>
  <c r="H141" i="61"/>
  <c r="J219" i="60"/>
  <c r="J255" i="60"/>
  <c r="K127" i="60"/>
  <c r="E5" i="79"/>
  <c r="I179" i="66"/>
  <c r="L179" i="66"/>
  <c r="K83" i="66"/>
  <c r="E179" i="66"/>
  <c r="F179" i="66"/>
  <c r="L83" i="66"/>
  <c r="G179" i="66"/>
  <c r="J149" i="66"/>
  <c r="H179" i="66"/>
  <c r="O3" i="60"/>
  <c r="N3" i="54"/>
  <c r="B10" i="30"/>
  <c r="F5" i="25"/>
  <c r="G5" i="25"/>
  <c r="E5" i="25"/>
  <c r="N3" i="2"/>
  <c r="H5" i="25"/>
  <c r="J5" i="25"/>
  <c r="N5" i="25"/>
  <c r="Q5" i="25" s="1"/>
  <c r="C61" i="25"/>
  <c r="D61" i="25" s="1"/>
  <c r="E61" i="25" s="1"/>
  <c r="F61" i="25" s="1"/>
  <c r="G61" i="25" s="1"/>
  <c r="B15" i="30"/>
  <c r="B13" i="30"/>
  <c r="O2" i="60" s="1"/>
  <c r="E80" i="61" s="1"/>
  <c r="B14" i="30"/>
  <c r="G76" i="93"/>
  <c r="D6" i="79"/>
  <c r="D5" i="80"/>
  <c r="C9" i="79"/>
  <c r="C25" i="79" s="1"/>
  <c r="C16" i="80"/>
  <c r="K260" i="86"/>
  <c r="I101" i="94"/>
  <c r="K226" i="93"/>
  <c r="I129" i="94"/>
  <c r="I104" i="94"/>
  <c r="K228" i="93"/>
  <c r="I127" i="94"/>
  <c r="K223" i="93"/>
  <c r="F133" i="57" s="1"/>
  <c r="I126" i="94"/>
  <c r="I76" i="94"/>
  <c r="I109" i="94"/>
  <c r="I102" i="94"/>
  <c r="H265" i="32"/>
  <c r="H237" i="32"/>
  <c r="H240" i="32"/>
  <c r="H391" i="32"/>
  <c r="H409" i="32"/>
  <c r="H494" i="32"/>
  <c r="H506" i="32"/>
  <c r="H326" i="32"/>
  <c r="H363" i="32"/>
  <c r="H370" i="32"/>
  <c r="H425" i="32"/>
  <c r="H432" i="32"/>
  <c r="H435" i="32"/>
  <c r="H323" i="32"/>
  <c r="H395" i="32"/>
  <c r="H470" i="32"/>
  <c r="H479" i="32"/>
  <c r="H484" i="32"/>
  <c r="J945" i="58"/>
  <c r="J960" i="58"/>
  <c r="H367" i="32"/>
  <c r="H401" i="32"/>
  <c r="H512" i="32"/>
  <c r="H268" i="32"/>
  <c r="H329" i="32"/>
  <c r="H346" i="32"/>
  <c r="H351" i="32"/>
  <c r="H353" i="32"/>
  <c r="H378" i="32"/>
  <c r="H382" i="32"/>
  <c r="H392" i="32"/>
  <c r="H398" i="32"/>
  <c r="H410" i="32"/>
  <c r="H442" i="32"/>
  <c r="J755" i="58"/>
  <c r="H447" i="32"/>
  <c r="H450" i="32"/>
  <c r="H452" i="32"/>
  <c r="H465" i="32"/>
  <c r="H477" i="32"/>
  <c r="H497" i="32"/>
  <c r="H500" i="32"/>
  <c r="H487" i="32"/>
  <c r="H462" i="32"/>
  <c r="H522" i="32"/>
  <c r="H458" i="32"/>
  <c r="H469" i="32"/>
  <c r="H473" i="32"/>
  <c r="H483" i="32"/>
  <c r="H355" i="32"/>
  <c r="H384" i="32"/>
  <c r="H387" i="32"/>
  <c r="H400" i="32"/>
  <c r="H420" i="32"/>
  <c r="H474" i="32"/>
  <c r="H508" i="32"/>
  <c r="H524" i="32"/>
  <c r="J940" i="58"/>
  <c r="J970" i="58"/>
  <c r="J982" i="58"/>
  <c r="J971" i="58"/>
  <c r="J976" i="58"/>
  <c r="H357" i="32"/>
  <c r="D45" i="62"/>
  <c r="Q50" i="7"/>
  <c r="S49" i="7" s="1"/>
  <c r="T49" i="7" s="1"/>
  <c r="I712" i="2"/>
  <c r="Q17" i="7"/>
  <c r="S17" i="7" s="1"/>
  <c r="T17" i="7" s="1"/>
  <c r="G712" i="2"/>
  <c r="J151" i="54"/>
  <c r="K279" i="54"/>
  <c r="J385" i="54"/>
  <c r="J415" i="54"/>
  <c r="J172" i="54"/>
  <c r="J363" i="54"/>
  <c r="J384" i="54"/>
  <c r="J150" i="54"/>
  <c r="J154" i="54"/>
  <c r="K147" i="54"/>
  <c r="K237" i="54"/>
  <c r="K500" i="54"/>
  <c r="K287" i="54"/>
  <c r="K122" i="54"/>
  <c r="K270" i="54"/>
  <c r="M55" i="60"/>
  <c r="H134" i="61"/>
  <c r="J89" i="60"/>
  <c r="I143" i="61"/>
  <c r="H144" i="61"/>
  <c r="H139" i="61"/>
  <c r="I162" i="61"/>
  <c r="I165" i="61"/>
  <c r="H167" i="61"/>
  <c r="H146" i="61"/>
  <c r="H172" i="61"/>
  <c r="K54" i="60"/>
  <c r="J90" i="60"/>
  <c r="H140" i="61"/>
  <c r="H152" i="61"/>
  <c r="H161" i="61"/>
  <c r="I163" i="61"/>
  <c r="H169" i="61"/>
  <c r="I170" i="61"/>
  <c r="H148" i="61"/>
  <c r="H136" i="61"/>
  <c r="H156" i="61"/>
  <c r="I155" i="61"/>
  <c r="K252" i="60"/>
  <c r="I149" i="61"/>
  <c r="I156" i="61"/>
  <c r="H162" i="61"/>
  <c r="H158" i="61"/>
  <c r="H165" i="61"/>
  <c r="J241" i="60"/>
  <c r="K257" i="60"/>
  <c r="E46" i="60"/>
  <c r="K176" i="60"/>
  <c r="K245" i="60"/>
  <c r="H13" i="61"/>
  <c r="E67" i="60"/>
  <c r="M46" i="60"/>
  <c r="M220" i="60"/>
  <c r="H154" i="61"/>
  <c r="J234" i="60"/>
  <c r="J94" i="60"/>
  <c r="K249" i="60"/>
  <c r="K269" i="60"/>
  <c r="AB269" i="60" s="1"/>
  <c r="E104" i="60"/>
  <c r="J97" i="60"/>
  <c r="J110" i="60"/>
  <c r="E224" i="60"/>
  <c r="J237" i="60"/>
  <c r="M40" i="60"/>
  <c r="M67" i="60"/>
  <c r="K10" i="60"/>
  <c r="E40" i="60"/>
  <c r="K95" i="60"/>
  <c r="H164" i="61"/>
  <c r="M271" i="60"/>
  <c r="J120" i="60"/>
  <c r="J167" i="60"/>
  <c r="M224" i="60"/>
  <c r="J242" i="60"/>
  <c r="J254" i="60"/>
  <c r="J91" i="60"/>
  <c r="N91" i="60" s="1"/>
  <c r="K93" i="60"/>
  <c r="E113" i="60"/>
  <c r="J119" i="60"/>
  <c r="K172" i="60"/>
  <c r="K186" i="60"/>
  <c r="J231" i="60"/>
  <c r="J239" i="60"/>
  <c r="K241" i="60"/>
  <c r="M278" i="60"/>
  <c r="I116" i="61"/>
  <c r="I120" i="61"/>
  <c r="I124" i="61"/>
  <c r="I128" i="61"/>
  <c r="I132" i="61"/>
  <c r="I140" i="61"/>
  <c r="I144" i="61"/>
  <c r="I153" i="61"/>
  <c r="I158" i="61"/>
  <c r="I168" i="61"/>
  <c r="I172" i="61"/>
  <c r="M59" i="60"/>
  <c r="M133" i="60"/>
  <c r="K239" i="60"/>
  <c r="H117" i="61"/>
  <c r="H133" i="61"/>
  <c r="H137" i="61"/>
  <c r="H150" i="61"/>
  <c r="J11" i="60"/>
  <c r="E31" i="60"/>
  <c r="J29" i="60"/>
  <c r="E86" i="60"/>
  <c r="K86" i="60"/>
  <c r="K89" i="60"/>
  <c r="J96" i="60"/>
  <c r="J128" i="60"/>
  <c r="J147" i="60"/>
  <c r="J159" i="60"/>
  <c r="K163" i="60"/>
  <c r="J178" i="60"/>
  <c r="J183" i="60"/>
  <c r="E208" i="60"/>
  <c r="E215" i="60" s="1"/>
  <c r="K219" i="60"/>
  <c r="M259" i="60"/>
  <c r="J245" i="60"/>
  <c r="J252" i="60"/>
  <c r="J257" i="60"/>
  <c r="J276" i="60"/>
  <c r="I121" i="61"/>
  <c r="I125" i="61"/>
  <c r="I129" i="61"/>
  <c r="I133" i="61"/>
  <c r="I137" i="61"/>
  <c r="I145" i="61"/>
  <c r="I150" i="61"/>
  <c r="I154" i="61"/>
  <c r="I159" i="61"/>
  <c r="I164" i="61"/>
  <c r="I169" i="61"/>
  <c r="I173" i="61"/>
  <c r="E271" i="60"/>
  <c r="H114" i="61"/>
  <c r="H122" i="61"/>
  <c r="H142" i="61"/>
  <c r="H166" i="61"/>
  <c r="J92" i="60"/>
  <c r="K120" i="60"/>
  <c r="J122" i="60"/>
  <c r="J127" i="60"/>
  <c r="E133" i="60"/>
  <c r="J145" i="60"/>
  <c r="J174" i="60"/>
  <c r="M194" i="60"/>
  <c r="J240" i="60"/>
  <c r="I118" i="61"/>
  <c r="I134" i="61"/>
  <c r="I138" i="61"/>
  <c r="I142" i="61"/>
  <c r="I147" i="61"/>
  <c r="I151" i="61"/>
  <c r="I166" i="61"/>
  <c r="E179" i="60"/>
  <c r="E259" i="60"/>
  <c r="H123" i="61"/>
  <c r="H171" i="61"/>
  <c r="J10" i="60"/>
  <c r="J95" i="60"/>
  <c r="J125" i="60"/>
  <c r="J176" i="60"/>
  <c r="M208" i="60"/>
  <c r="M215" i="60" s="1"/>
  <c r="I115" i="61"/>
  <c r="I119" i="61"/>
  <c r="I123" i="61"/>
  <c r="I127" i="61"/>
  <c r="I131" i="61"/>
  <c r="I139" i="61"/>
  <c r="I152" i="61"/>
  <c r="I157" i="61"/>
  <c r="I161" i="61"/>
  <c r="I167" i="61"/>
  <c r="M86" i="60"/>
  <c r="H120" i="61"/>
  <c r="H124" i="61"/>
  <c r="H128" i="61"/>
  <c r="H149" i="61"/>
  <c r="M113" i="60"/>
  <c r="J123" i="60"/>
  <c r="J161" i="60"/>
  <c r="J164" i="60"/>
  <c r="J170" i="60"/>
  <c r="J253" i="60"/>
  <c r="J20" i="60"/>
  <c r="J109" i="60"/>
  <c r="J111" i="60"/>
  <c r="J121" i="60"/>
  <c r="J126" i="60"/>
  <c r="J146" i="60"/>
  <c r="J188" i="60"/>
  <c r="J191" i="60"/>
  <c r="J206" i="60"/>
  <c r="J223" i="60"/>
  <c r="J235" i="60"/>
  <c r="M13" i="60"/>
  <c r="M16" i="60" s="1"/>
  <c r="M139" i="60"/>
  <c r="K168" i="60"/>
  <c r="M104" i="60"/>
  <c r="K116" i="60"/>
  <c r="M179" i="60"/>
  <c r="K229" i="60"/>
  <c r="M31" i="60"/>
  <c r="M148" i="60"/>
  <c r="J37" i="60"/>
  <c r="J78" i="60"/>
  <c r="J172" i="60"/>
  <c r="J230" i="60"/>
  <c r="J269" i="60"/>
  <c r="K124" i="54"/>
  <c r="M201" i="54"/>
  <c r="J349" i="54"/>
  <c r="K145" i="54"/>
  <c r="J173" i="54"/>
  <c r="E193" i="54"/>
  <c r="K247" i="54"/>
  <c r="J448" i="54"/>
  <c r="K199" i="54"/>
  <c r="K340" i="54"/>
  <c r="E484" i="54"/>
  <c r="E178" i="54"/>
  <c r="M297" i="54"/>
  <c r="M300" i="54" s="1"/>
  <c r="K321" i="54"/>
  <c r="K336" i="54"/>
  <c r="E387" i="54"/>
  <c r="E399" i="54"/>
  <c r="J414" i="54"/>
  <c r="J443" i="54"/>
  <c r="J474" i="54"/>
  <c r="J251" i="54"/>
  <c r="K120" i="54"/>
  <c r="J244" i="54"/>
  <c r="J391" i="54"/>
  <c r="K414" i="54"/>
  <c r="K443" i="54"/>
  <c r="M504" i="54"/>
  <c r="K17" i="54"/>
  <c r="K118" i="54"/>
  <c r="N118" i="54" s="1"/>
  <c r="M178" i="54"/>
  <c r="E187" i="54"/>
  <c r="K249" i="54"/>
  <c r="J449" i="54"/>
  <c r="K156" i="54"/>
  <c r="M205" i="54"/>
  <c r="K305" i="54"/>
  <c r="K324" i="54"/>
  <c r="J331" i="54"/>
  <c r="J413" i="54"/>
  <c r="K464" i="54"/>
  <c r="K132" i="54"/>
  <c r="K243" i="54"/>
  <c r="J260" i="54"/>
  <c r="M387" i="54"/>
  <c r="E163" i="54"/>
  <c r="M292" i="54"/>
  <c r="E20" i="54"/>
  <c r="M187" i="54"/>
  <c r="E214" i="54"/>
  <c r="J416" i="54"/>
  <c r="J427" i="54"/>
  <c r="J434" i="54"/>
  <c r="J473" i="54"/>
  <c r="J477" i="54"/>
  <c r="E504" i="54"/>
  <c r="K119" i="54"/>
  <c r="K121" i="54"/>
  <c r="K123" i="54"/>
  <c r="J157" i="54"/>
  <c r="K183" i="54"/>
  <c r="J243" i="54"/>
  <c r="K245" i="54"/>
  <c r="J252" i="54"/>
  <c r="J261" i="54"/>
  <c r="M276" i="54"/>
  <c r="K284" i="54"/>
  <c r="J305" i="54"/>
  <c r="J317" i="54"/>
  <c r="J321" i="54"/>
  <c r="J325" i="54"/>
  <c r="J328" i="54"/>
  <c r="J337" i="54"/>
  <c r="J340" i="54"/>
  <c r="K390" i="54"/>
  <c r="J432" i="54"/>
  <c r="J472" i="54"/>
  <c r="M163" i="54"/>
  <c r="M370" i="54"/>
  <c r="J9" i="54"/>
  <c r="K139" i="54"/>
  <c r="M193" i="54"/>
  <c r="J236" i="54"/>
  <c r="J248" i="54"/>
  <c r="J256" i="54"/>
  <c r="J269" i="54"/>
  <c r="K303" i="54"/>
  <c r="J324" i="54"/>
  <c r="J332" i="54"/>
  <c r="J336" i="54"/>
  <c r="J355" i="54"/>
  <c r="J389" i="54"/>
  <c r="K415" i="54"/>
  <c r="J464" i="54"/>
  <c r="M20" i="54"/>
  <c r="K144" i="54"/>
  <c r="K146" i="54"/>
  <c r="K149" i="54"/>
  <c r="J322" i="54"/>
  <c r="J329" i="54"/>
  <c r="K384" i="54"/>
  <c r="J435" i="54"/>
  <c r="J257" i="54"/>
  <c r="K278" i="54"/>
  <c r="E307" i="54"/>
  <c r="E345" i="54"/>
  <c r="E370" i="54"/>
  <c r="M10" i="54"/>
  <c r="J18" i="54"/>
  <c r="J128" i="54"/>
  <c r="J141" i="54"/>
  <c r="J143" i="54"/>
  <c r="J145" i="54"/>
  <c r="J147" i="54"/>
  <c r="J156" i="54"/>
  <c r="J249" i="54"/>
  <c r="J271" i="54"/>
  <c r="J306" i="54"/>
  <c r="E241" i="54"/>
  <c r="M241" i="54"/>
  <c r="J304" i="54"/>
  <c r="K326" i="54"/>
  <c r="K333" i="54"/>
  <c r="K353" i="54"/>
  <c r="M496" i="54"/>
  <c r="J118" i="54"/>
  <c r="J120" i="54"/>
  <c r="J122" i="54"/>
  <c r="J124" i="54"/>
  <c r="J131" i="54"/>
  <c r="J133" i="54"/>
  <c r="J135" i="54"/>
  <c r="J137" i="54"/>
  <c r="J139" i="54"/>
  <c r="J152" i="54"/>
  <c r="J155" i="54"/>
  <c r="J174" i="54"/>
  <c r="K189" i="54"/>
  <c r="J199" i="54"/>
  <c r="M214" i="54"/>
  <c r="J237" i="54"/>
  <c r="J245" i="54"/>
  <c r="K366" i="54"/>
  <c r="M484" i="54"/>
  <c r="J17" i="54"/>
  <c r="N142" i="54"/>
  <c r="J144" i="54"/>
  <c r="J146" i="54"/>
  <c r="J149" i="54"/>
  <c r="J250" i="54"/>
  <c r="E276" i="54"/>
  <c r="J270" i="54"/>
  <c r="M307" i="54"/>
  <c r="M345" i="54"/>
  <c r="K16" i="54"/>
  <c r="J36" i="54"/>
  <c r="J119" i="54"/>
  <c r="J121" i="54"/>
  <c r="J123" i="54"/>
  <c r="J125" i="54"/>
  <c r="J132" i="54"/>
  <c r="J134" i="54"/>
  <c r="J136" i="54"/>
  <c r="J138" i="54"/>
  <c r="J140" i="54"/>
  <c r="J153" i="54"/>
  <c r="J158" i="54"/>
  <c r="J176" i="54"/>
  <c r="J246" i="54"/>
  <c r="J253" i="54"/>
  <c r="E297" i="54"/>
  <c r="K389" i="54"/>
  <c r="M399" i="54"/>
  <c r="J183" i="54"/>
  <c r="J338" i="54"/>
  <c r="K411" i="54"/>
  <c r="J409" i="54"/>
  <c r="J445" i="54"/>
  <c r="J450" i="54"/>
  <c r="J475" i="54"/>
  <c r="J314" i="54"/>
  <c r="J320" i="54"/>
  <c r="J353" i="54"/>
  <c r="J390" i="54"/>
  <c r="J436" i="54"/>
  <c r="J335" i="54"/>
  <c r="J339" i="54"/>
  <c r="J447" i="54"/>
  <c r="J500" i="54"/>
  <c r="AG12" i="69"/>
  <c r="AG23" i="69" s="1"/>
  <c r="AC31" i="69"/>
  <c r="J9" i="67"/>
  <c r="J10" i="67"/>
  <c r="J8" i="67"/>
  <c r="I15" i="67"/>
  <c r="I29" i="101"/>
  <c r="G632" i="2"/>
  <c r="G871" i="2"/>
  <c r="I987" i="2"/>
  <c r="H871" i="2"/>
  <c r="H31" i="2"/>
  <c r="N981" i="2"/>
  <c r="I31" i="2"/>
  <c r="G31" i="2"/>
  <c r="H632" i="2"/>
  <c r="I632" i="2"/>
  <c r="I871" i="2"/>
  <c r="G987" i="2"/>
  <c r="N126" i="2"/>
  <c r="J428" i="2"/>
  <c r="I88" i="94"/>
  <c r="I119" i="94"/>
  <c r="I116" i="94"/>
  <c r="I83" i="94"/>
  <c r="I80" i="94"/>
  <c r="I95" i="94"/>
  <c r="I77" i="94"/>
  <c r="I121" i="94"/>
  <c r="I124" i="94"/>
  <c r="I81" i="94"/>
  <c r="I79" i="94"/>
  <c r="I97" i="94"/>
  <c r="I82" i="94"/>
  <c r="J216" i="93"/>
  <c r="K784" i="2"/>
  <c r="N447" i="2"/>
  <c r="K378" i="2"/>
  <c r="J408" i="2"/>
  <c r="J81" i="2"/>
  <c r="K105" i="2"/>
  <c r="J379" i="2"/>
  <c r="K441" i="2"/>
  <c r="E749" i="2"/>
  <c r="K603" i="2"/>
  <c r="K637" i="2"/>
  <c r="J593" i="2"/>
  <c r="J83" i="2"/>
  <c r="J161" i="2"/>
  <c r="J385" i="2"/>
  <c r="J767" i="2"/>
  <c r="K80" i="2"/>
  <c r="J104" i="2"/>
  <c r="J146" i="2"/>
  <c r="K388" i="2"/>
  <c r="K560" i="2"/>
  <c r="K568" i="2"/>
  <c r="J92" i="2"/>
  <c r="J369" i="2"/>
  <c r="K808" i="2"/>
  <c r="K836" i="2"/>
  <c r="J904" i="2"/>
  <c r="K65" i="2"/>
  <c r="K417" i="2"/>
  <c r="K606" i="2"/>
  <c r="J99" i="2"/>
  <c r="J402" i="2"/>
  <c r="J521" i="2"/>
  <c r="J736" i="2"/>
  <c r="J935" i="2"/>
  <c r="J603" i="2"/>
  <c r="K611" i="2"/>
  <c r="K905" i="2"/>
  <c r="J964" i="2"/>
  <c r="J175" i="2"/>
  <c r="K20" i="2"/>
  <c r="J88" i="2"/>
  <c r="K97" i="2"/>
  <c r="M188" i="2"/>
  <c r="K372" i="2"/>
  <c r="J424" i="2"/>
  <c r="J433" i="2"/>
  <c r="J443" i="2"/>
  <c r="K450" i="2"/>
  <c r="K598" i="2"/>
  <c r="J795" i="2"/>
  <c r="J863" i="2"/>
  <c r="J533" i="2"/>
  <c r="J793" i="2"/>
  <c r="J613" i="2"/>
  <c r="J640" i="2"/>
  <c r="J894" i="2"/>
  <c r="J941" i="2"/>
  <c r="J933" i="2"/>
  <c r="K163" i="2"/>
  <c r="J371" i="2"/>
  <c r="N371" i="2" s="1"/>
  <c r="J454" i="2"/>
  <c r="K576" i="2"/>
  <c r="K587" i="2"/>
  <c r="K771" i="2"/>
  <c r="K839" i="2"/>
  <c r="J108" i="2"/>
  <c r="E129" i="2"/>
  <c r="K753" i="2"/>
  <c r="K886" i="2"/>
  <c r="K958" i="2"/>
  <c r="E985" i="2"/>
  <c r="M129" i="2"/>
  <c r="K384" i="2"/>
  <c r="K394" i="2"/>
  <c r="K460" i="2"/>
  <c r="K477" i="2"/>
  <c r="K604" i="2"/>
  <c r="J387" i="2"/>
  <c r="J412" i="2"/>
  <c r="M523" i="2"/>
  <c r="J540" i="2"/>
  <c r="E618" i="2"/>
  <c r="J732" i="2"/>
  <c r="J773" i="2"/>
  <c r="J778" i="2"/>
  <c r="J785" i="2"/>
  <c r="J792" i="2"/>
  <c r="J91" i="2"/>
  <c r="J35" i="2"/>
  <c r="J84" i="2"/>
  <c r="K91" i="2"/>
  <c r="J100" i="2"/>
  <c r="J105" i="2"/>
  <c r="K107" i="2"/>
  <c r="J163" i="2"/>
  <c r="J172" i="2"/>
  <c r="J375" i="2"/>
  <c r="K392" i="2"/>
  <c r="K405" i="2"/>
  <c r="J420" i="2"/>
  <c r="K442" i="2"/>
  <c r="K546" i="2"/>
  <c r="J587" i="2"/>
  <c r="J765" i="2"/>
  <c r="K778" i="2"/>
  <c r="K785" i="2"/>
  <c r="J842" i="2"/>
  <c r="J830" i="2"/>
  <c r="K880" i="2"/>
  <c r="K895" i="2"/>
  <c r="J957" i="2"/>
  <c r="J961" i="2"/>
  <c r="J98" i="2"/>
  <c r="K161" i="2"/>
  <c r="K199" i="2"/>
  <c r="J395" i="2"/>
  <c r="J418" i="2"/>
  <c r="J437" i="2"/>
  <c r="J466" i="2"/>
  <c r="J637" i="2"/>
  <c r="J794" i="2"/>
  <c r="J797" i="2"/>
  <c r="K894" i="2"/>
  <c r="K945" i="2"/>
  <c r="K85" i="2"/>
  <c r="K376" i="2"/>
  <c r="J391" i="2"/>
  <c r="J404" i="2"/>
  <c r="J434" i="2"/>
  <c r="K438" i="2"/>
  <c r="K446" i="2"/>
  <c r="K573" i="2"/>
  <c r="K600" i="2"/>
  <c r="K613" i="2"/>
  <c r="J649" i="2"/>
  <c r="K653" i="2"/>
  <c r="K734" i="2"/>
  <c r="K743" i="2"/>
  <c r="J807" i="2"/>
  <c r="K863" i="2"/>
  <c r="J963" i="2"/>
  <c r="K68" i="2"/>
  <c r="K591" i="2"/>
  <c r="K769" i="2"/>
  <c r="K800" i="2"/>
  <c r="J19" i="2"/>
  <c r="K66" i="2"/>
  <c r="J80" i="2"/>
  <c r="K83" i="2"/>
  <c r="J90" i="2"/>
  <c r="J97" i="2"/>
  <c r="K99" i="2"/>
  <c r="K136" i="2"/>
  <c r="M153" i="2"/>
  <c r="J173" i="2"/>
  <c r="K370" i="2"/>
  <c r="J377" i="2"/>
  <c r="K386" i="2"/>
  <c r="J393" i="2"/>
  <c r="K403" i="2"/>
  <c r="J410" i="2"/>
  <c r="J426" i="2"/>
  <c r="K481" i="2"/>
  <c r="K483" i="2"/>
  <c r="K533" i="2"/>
  <c r="K592" i="2"/>
  <c r="J600" i="2"/>
  <c r="K601" i="2"/>
  <c r="J610" i="2"/>
  <c r="K635" i="2"/>
  <c r="K649" i="2"/>
  <c r="K739" i="2"/>
  <c r="K765" i="2"/>
  <c r="J768" i="2"/>
  <c r="K774" i="2"/>
  <c r="J840" i="2"/>
  <c r="K793" i="2"/>
  <c r="K794" i="2"/>
  <c r="K795" i="2"/>
  <c r="J808" i="2"/>
  <c r="K810" i="2"/>
  <c r="J839" i="2"/>
  <c r="K929" i="2"/>
  <c r="K941" i="2"/>
  <c r="K964" i="2"/>
  <c r="M10" i="2"/>
  <c r="J67" i="2"/>
  <c r="J86" i="2"/>
  <c r="J93" i="2"/>
  <c r="J102" i="2"/>
  <c r="K111" i="2"/>
  <c r="J167" i="2"/>
  <c r="J373" i="2"/>
  <c r="J389" i="2"/>
  <c r="J406" i="2"/>
  <c r="J422" i="2"/>
  <c r="K430" i="2"/>
  <c r="J435" i="2"/>
  <c r="J439" i="2"/>
  <c r="M509" i="2"/>
  <c r="J541" i="2"/>
  <c r="J548" i="2"/>
  <c r="J550" i="2"/>
  <c r="J553" i="2"/>
  <c r="J554" i="2"/>
  <c r="K571" i="2"/>
  <c r="J605" i="2"/>
  <c r="J608" i="2"/>
  <c r="K609" i="2"/>
  <c r="K736" i="2"/>
  <c r="J741" i="2"/>
  <c r="K762" i="2"/>
  <c r="K773" i="2"/>
  <c r="K842" i="2"/>
  <c r="J844" i="2"/>
  <c r="J882" i="2"/>
  <c r="J898" i="2"/>
  <c r="K928" i="2"/>
  <c r="K935" i="2"/>
  <c r="K968" i="2"/>
  <c r="K999" i="2"/>
  <c r="B177" i="57" s="1"/>
  <c r="K93" i="2"/>
  <c r="K109" i="2"/>
  <c r="K151" i="2"/>
  <c r="L151" i="2" s="1"/>
  <c r="K167" i="2"/>
  <c r="K380" i="2"/>
  <c r="K396" i="2"/>
  <c r="K498" i="2"/>
  <c r="K548" i="2"/>
  <c r="K550" i="2"/>
  <c r="K553" i="2"/>
  <c r="K608" i="2"/>
  <c r="K614" i="2"/>
  <c r="K646" i="2"/>
  <c r="K718" i="2"/>
  <c r="K974" i="2"/>
  <c r="K861" i="2"/>
  <c r="K892" i="2"/>
  <c r="K900" i="2"/>
  <c r="J87" i="2"/>
  <c r="J103" i="2"/>
  <c r="J159" i="2"/>
  <c r="J383" i="2"/>
  <c r="J444" i="2"/>
  <c r="J519" i="2"/>
  <c r="J724" i="2"/>
  <c r="J798" i="2"/>
  <c r="J805" i="2"/>
  <c r="J79" i="2"/>
  <c r="J96" i="2"/>
  <c r="J115" i="2"/>
  <c r="J400" i="2"/>
  <c r="J416" i="2"/>
  <c r="J431" i="2"/>
  <c r="J63" i="2"/>
  <c r="J69" i="2"/>
  <c r="J85" i="2"/>
  <c r="K87" i="2"/>
  <c r="J94" i="2"/>
  <c r="K103" i="2"/>
  <c r="J110" i="2"/>
  <c r="K145" i="2"/>
  <c r="K159" i="2"/>
  <c r="J179" i="2"/>
  <c r="K374" i="2"/>
  <c r="J381" i="2"/>
  <c r="J397" i="2"/>
  <c r="J414" i="2"/>
  <c r="J436" i="2"/>
  <c r="J450" i="2"/>
  <c r="J460" i="2"/>
  <c r="K462" i="2"/>
  <c r="E468" i="2"/>
  <c r="K519" i="2"/>
  <c r="J531" i="2"/>
  <c r="K543" i="2"/>
  <c r="K558" i="2"/>
  <c r="J573" i="2"/>
  <c r="K574" i="2"/>
  <c r="K657" i="2"/>
  <c r="K724" i="2"/>
  <c r="K759" i="2"/>
  <c r="K766" i="2"/>
  <c r="J769" i="2"/>
  <c r="J784" i="2"/>
  <c r="K798" i="2"/>
  <c r="J835" i="2"/>
  <c r="K965" i="2"/>
  <c r="J64" i="2"/>
  <c r="K864" i="2"/>
  <c r="G7" i="28"/>
  <c r="K732" i="2"/>
  <c r="K767" i="2"/>
  <c r="K832" i="2"/>
  <c r="K17" i="2"/>
  <c r="K19" i="2"/>
  <c r="L19" i="2" s="1"/>
  <c r="M141" i="2"/>
  <c r="J160" i="2"/>
  <c r="J162" i="2"/>
  <c r="J164" i="2"/>
  <c r="J461" i="2"/>
  <c r="J536" i="2"/>
  <c r="J537" i="2"/>
  <c r="J572" i="2"/>
  <c r="J599" i="2"/>
  <c r="J607" i="2"/>
  <c r="J612" i="2"/>
  <c r="G5" i="28"/>
  <c r="E630" i="2"/>
  <c r="J651" i="2"/>
  <c r="E708" i="2"/>
  <c r="H7" i="28"/>
  <c r="J720" i="2"/>
  <c r="J723" i="2"/>
  <c r="K775" i="2"/>
  <c r="J790" i="2"/>
  <c r="K881" i="2"/>
  <c r="K1001" i="2"/>
  <c r="E464" i="2"/>
  <c r="J107" i="2"/>
  <c r="J109" i="2"/>
  <c r="J111" i="2"/>
  <c r="K160" i="2"/>
  <c r="K162" i="2"/>
  <c r="K164" i="2"/>
  <c r="J174" i="2"/>
  <c r="J176" i="2"/>
  <c r="J370" i="2"/>
  <c r="J372" i="2"/>
  <c r="J374" i="2"/>
  <c r="J376" i="2"/>
  <c r="J378" i="2"/>
  <c r="J380" i="2"/>
  <c r="J382" i="2"/>
  <c r="N382" i="2" s="1"/>
  <c r="J384" i="2"/>
  <c r="J386" i="2"/>
  <c r="J388" i="2"/>
  <c r="J390" i="2"/>
  <c r="J392" i="2"/>
  <c r="J394" i="2"/>
  <c r="J396" i="2"/>
  <c r="J401" i="2"/>
  <c r="J403" i="2"/>
  <c r="J405" i="2"/>
  <c r="J407" i="2"/>
  <c r="J409" i="2"/>
  <c r="J411" i="2"/>
  <c r="J413" i="2"/>
  <c r="J415" i="2"/>
  <c r="J417" i="2"/>
  <c r="J419" i="2"/>
  <c r="J421" i="2"/>
  <c r="J423" i="2"/>
  <c r="J425" i="2"/>
  <c r="J427" i="2"/>
  <c r="J429" i="2"/>
  <c r="N429" i="2" s="1"/>
  <c r="J430" i="2"/>
  <c r="J432" i="2"/>
  <c r="N432" i="2" s="1"/>
  <c r="J438" i="2"/>
  <c r="J440" i="2"/>
  <c r="J441" i="2"/>
  <c r="J442" i="2"/>
  <c r="J445" i="2"/>
  <c r="J446" i="2"/>
  <c r="K461" i="2"/>
  <c r="M474" i="2"/>
  <c r="K536" i="2"/>
  <c r="K537" i="2"/>
  <c r="J558" i="2"/>
  <c r="J560" i="2"/>
  <c r="K572" i="2"/>
  <c r="J598" i="2"/>
  <c r="K599" i="2"/>
  <c r="J606" i="2"/>
  <c r="K607" i="2"/>
  <c r="J611" i="2"/>
  <c r="K612" i="2"/>
  <c r="J635" i="2"/>
  <c r="K651" i="2"/>
  <c r="J719" i="2"/>
  <c r="K720" i="2"/>
  <c r="K723" i="2"/>
  <c r="K788" i="2"/>
  <c r="K790" i="2"/>
  <c r="K811" i="2"/>
  <c r="J822" i="2"/>
  <c r="J841" i="2"/>
  <c r="J906" i="2"/>
  <c r="E919" i="2"/>
  <c r="J940" i="2"/>
  <c r="E977" i="2"/>
  <c r="F999" i="2"/>
  <c r="F974" i="2"/>
  <c r="J974" i="2" s="1"/>
  <c r="F971" i="2"/>
  <c r="J971" i="2" s="1"/>
  <c r="F968" i="2"/>
  <c r="J968" i="2" s="1"/>
  <c r="F962" i="2"/>
  <c r="J962" i="2" s="1"/>
  <c r="F958" i="2"/>
  <c r="J958" i="2" s="1"/>
  <c r="K954" i="2"/>
  <c r="F951" i="2"/>
  <c r="J951" i="2" s="1"/>
  <c r="K944" i="2"/>
  <c r="F905" i="2"/>
  <c r="J905" i="2" s="1"/>
  <c r="K899" i="2"/>
  <c r="K896" i="2"/>
  <c r="F892" i="2"/>
  <c r="J892" i="2" s="1"/>
  <c r="F880" i="2"/>
  <c r="J880" i="2" s="1"/>
  <c r="F861" i="2"/>
  <c r="F836" i="2"/>
  <c r="J836" i="2" s="1"/>
  <c r="F828" i="2"/>
  <c r="J828" i="2" s="1"/>
  <c r="K825" i="2"/>
  <c r="F810" i="2"/>
  <c r="J810" i="2" s="1"/>
  <c r="F800" i="2"/>
  <c r="J800" i="2" s="1"/>
  <c r="F787" i="2"/>
  <c r="J787" i="2" s="1"/>
  <c r="F771" i="2"/>
  <c r="J771" i="2" s="1"/>
  <c r="F760" i="2"/>
  <c r="J760" i="2" s="1"/>
  <c r="F737" i="2"/>
  <c r="J737" i="2" s="1"/>
  <c r="Q62" i="7"/>
  <c r="S61" i="7" s="1"/>
  <c r="F972" i="2"/>
  <c r="J972" i="2" s="1"/>
  <c r="F965" i="2"/>
  <c r="J965" i="2" s="1"/>
  <c r="K955" i="2"/>
  <c r="F952" i="2"/>
  <c r="J952" i="2" s="1"/>
  <c r="F945" i="2"/>
  <c r="J945" i="2" s="1"/>
  <c r="F942" i="2"/>
  <c r="J942" i="2" s="1"/>
  <c r="F929" i="2"/>
  <c r="J929" i="2" s="1"/>
  <c r="F917" i="2"/>
  <c r="J917" i="2" s="1"/>
  <c r="F910" i="2"/>
  <c r="J910" i="2" s="1"/>
  <c r="F900" i="2"/>
  <c r="J900" i="2" s="1"/>
  <c r="F895" i="2"/>
  <c r="J895" i="2" s="1"/>
  <c r="F886" i="2"/>
  <c r="J886" i="2" s="1"/>
  <c r="F864" i="2"/>
  <c r="J864" i="2" s="1"/>
  <c r="F849" i="2"/>
  <c r="J849" i="2" s="1"/>
  <c r="F845" i="2"/>
  <c r="J845" i="2" s="1"/>
  <c r="F831" i="2"/>
  <c r="J831" i="2" s="1"/>
  <c r="F843" i="2"/>
  <c r="J843" i="2" s="1"/>
  <c r="K826" i="2"/>
  <c r="F823" i="2"/>
  <c r="J823" i="2" s="1"/>
  <c r="F811" i="2"/>
  <c r="J811" i="2" s="1"/>
  <c r="F801" i="2"/>
  <c r="J801" i="2" s="1"/>
  <c r="F796" i="2"/>
  <c r="J796" i="2" s="1"/>
  <c r="F788" i="2"/>
  <c r="J788" i="2" s="1"/>
  <c r="F774" i="2"/>
  <c r="J774" i="2" s="1"/>
  <c r="F766" i="2"/>
  <c r="J766" i="2" s="1"/>
  <c r="F751" i="2"/>
  <c r="J751" i="2" s="1"/>
  <c r="P62" i="7"/>
  <c r="K1002" i="2"/>
  <c r="F1001" i="2"/>
  <c r="J1001" i="2" s="1"/>
  <c r="F993" i="2"/>
  <c r="J993" i="2" s="1"/>
  <c r="K967" i="2"/>
  <c r="F966" i="2"/>
  <c r="J966" i="2" s="1"/>
  <c r="K959" i="2"/>
  <c r="F955" i="2"/>
  <c r="J955" i="2" s="1"/>
  <c r="F946" i="2"/>
  <c r="J946" i="2" s="1"/>
  <c r="F943" i="2"/>
  <c r="J943" i="2" s="1"/>
  <c r="K931" i="2"/>
  <c r="F930" i="2"/>
  <c r="J930" i="2" s="1"/>
  <c r="K912" i="2"/>
  <c r="K902" i="2"/>
  <c r="F901" i="2"/>
  <c r="J901" i="2" s="1"/>
  <c r="F887" i="2"/>
  <c r="J887" i="2" s="1"/>
  <c r="K876" i="2"/>
  <c r="F865" i="2"/>
  <c r="J865" i="2" s="1"/>
  <c r="H52" i="28" s="1"/>
  <c r="K846" i="2"/>
  <c r="F777" i="2"/>
  <c r="J777" i="2" s="1"/>
  <c r="K833" i="2"/>
  <c r="F832" i="2"/>
  <c r="J832" i="2" s="1"/>
  <c r="K829" i="2"/>
  <c r="F826" i="2"/>
  <c r="J826" i="2" s="1"/>
  <c r="K809" i="2"/>
  <c r="F806" i="2"/>
  <c r="J806" i="2" s="1"/>
  <c r="K799" i="2"/>
  <c r="F791" i="2"/>
  <c r="J791" i="2" s="1"/>
  <c r="K786" i="2"/>
  <c r="K776" i="2"/>
  <c r="F775" i="2"/>
  <c r="J775" i="2" s="1"/>
  <c r="F1002" i="2"/>
  <c r="J1002" i="2" s="1"/>
  <c r="K973" i="2"/>
  <c r="F967" i="2"/>
  <c r="J967" i="2" s="1"/>
  <c r="F959" i="2"/>
  <c r="J959" i="2" s="1"/>
  <c r="K953" i="2"/>
  <c r="K947" i="2"/>
  <c r="F931" i="2"/>
  <c r="J931" i="2" s="1"/>
  <c r="F912" i="2"/>
  <c r="J912" i="2" s="1"/>
  <c r="F902" i="2"/>
  <c r="J902" i="2" s="1"/>
  <c r="F876" i="2"/>
  <c r="K850" i="2"/>
  <c r="F846" i="2"/>
  <c r="J846" i="2" s="1"/>
  <c r="F833" i="2"/>
  <c r="J833" i="2" s="1"/>
  <c r="F829" i="2"/>
  <c r="J829" i="2" s="1"/>
  <c r="K824" i="2"/>
  <c r="F809" i="2"/>
  <c r="J809" i="2" s="1"/>
  <c r="F799" i="2"/>
  <c r="J799" i="2" s="1"/>
  <c r="F786" i="2"/>
  <c r="J786" i="2" s="1"/>
  <c r="F776" i="2"/>
  <c r="J776" i="2" s="1"/>
  <c r="F762" i="2"/>
  <c r="J762" i="2" s="1"/>
  <c r="F753" i="2"/>
  <c r="J753" i="2" s="1"/>
  <c r="F739" i="2"/>
  <c r="J739" i="2" s="1"/>
  <c r="F1003" i="2"/>
  <c r="J1003" i="2" s="1"/>
  <c r="F973" i="2"/>
  <c r="J973" i="2" s="1"/>
  <c r="F970" i="2"/>
  <c r="J970" i="2" s="1"/>
  <c r="K961" i="2"/>
  <c r="F960" i="2"/>
  <c r="J960" i="2" s="1"/>
  <c r="K957" i="2"/>
  <c r="F956" i="2"/>
  <c r="J956" i="2" s="1"/>
  <c r="F953" i="2"/>
  <c r="J953" i="2" s="1"/>
  <c r="F947" i="2"/>
  <c r="J947" i="2" s="1"/>
  <c r="K933" i="2"/>
  <c r="F932" i="2"/>
  <c r="J932" i="2" s="1"/>
  <c r="K904" i="2"/>
  <c r="F903" i="2"/>
  <c r="J903" i="2" s="1"/>
  <c r="K898" i="2"/>
  <c r="F897" i="2"/>
  <c r="J897" i="2" s="1"/>
  <c r="K891" i="2"/>
  <c r="F890" i="2"/>
  <c r="J890" i="2" s="1"/>
  <c r="K879" i="2"/>
  <c r="F850" i="2"/>
  <c r="J850" i="2" s="1"/>
  <c r="F770" i="2"/>
  <c r="J770" i="2" s="1"/>
  <c r="K835" i="2"/>
  <c r="F834" i="2"/>
  <c r="J834" i="2" s="1"/>
  <c r="K844" i="2"/>
  <c r="K827" i="2"/>
  <c r="F824" i="2"/>
  <c r="J824" i="2" s="1"/>
  <c r="F812" i="2"/>
  <c r="J812" i="2" s="1"/>
  <c r="K807" i="2"/>
  <c r="F804" i="2"/>
  <c r="J804" i="2" s="1"/>
  <c r="F802" i="2"/>
  <c r="J802" i="2" s="1"/>
  <c r="K797" i="2"/>
  <c r="K792" i="2"/>
  <c r="F789" i="2"/>
  <c r="J789" i="2" s="1"/>
  <c r="K822" i="2"/>
  <c r="K841" i="2"/>
  <c r="K887" i="2"/>
  <c r="K906" i="2"/>
  <c r="K940" i="2"/>
  <c r="K9" i="2"/>
  <c r="J15" i="2"/>
  <c r="J18" i="2"/>
  <c r="J20" i="2"/>
  <c r="M22" i="2"/>
  <c r="K35" i="2"/>
  <c r="K63" i="2"/>
  <c r="K67" i="2"/>
  <c r="K69" i="2"/>
  <c r="M75" i="2"/>
  <c r="K144" i="2"/>
  <c r="K146" i="2"/>
  <c r="K147" i="2"/>
  <c r="M169" i="2"/>
  <c r="J187" i="2"/>
  <c r="J449" i="2"/>
  <c r="J451" i="2"/>
  <c r="J453" i="2"/>
  <c r="M464" i="2"/>
  <c r="K472" i="2"/>
  <c r="K521" i="2"/>
  <c r="K530" i="2"/>
  <c r="K531" i="2"/>
  <c r="K540" i="2"/>
  <c r="K541" i="2"/>
  <c r="K584" i="2"/>
  <c r="J592" i="2"/>
  <c r="K597" i="2"/>
  <c r="J604" i="2"/>
  <c r="K605" i="2"/>
  <c r="J609" i="2"/>
  <c r="K610" i="2"/>
  <c r="K640" i="2"/>
  <c r="E659" i="2"/>
  <c r="E746" i="2"/>
  <c r="J761" i="2"/>
  <c r="K768" i="2"/>
  <c r="K805" i="2"/>
  <c r="J862" i="2"/>
  <c r="K963" i="2"/>
  <c r="H6" i="28"/>
  <c r="M458" i="2"/>
  <c r="K15" i="2"/>
  <c r="E141" i="2"/>
  <c r="M180" i="2"/>
  <c r="K187" i="2"/>
  <c r="K449" i="2"/>
  <c r="K451" i="2"/>
  <c r="M468" i="2"/>
  <c r="K476" i="2"/>
  <c r="K480" i="2"/>
  <c r="K478" i="2"/>
  <c r="K761" i="2"/>
  <c r="K791" i="2"/>
  <c r="M852" i="2"/>
  <c r="E866" i="2"/>
  <c r="K862" i="2"/>
  <c r="K943" i="2"/>
  <c r="E1007" i="2"/>
  <c r="J544" i="2"/>
  <c r="J556" i="2"/>
  <c r="J557" i="2"/>
  <c r="J559" i="2"/>
  <c r="J561" i="2"/>
  <c r="J575" i="2"/>
  <c r="J602" i="2"/>
  <c r="J615" i="2"/>
  <c r="J616" i="2"/>
  <c r="J656" i="2"/>
  <c r="K717" i="2"/>
  <c r="J725" i="2"/>
  <c r="J727" i="2"/>
  <c r="K737" i="2"/>
  <c r="E755" i="2"/>
  <c r="K760" i="2"/>
  <c r="J772" i="2"/>
  <c r="K787" i="2"/>
  <c r="K801" i="2"/>
  <c r="K777" i="2"/>
  <c r="M866" i="2"/>
  <c r="J893" i="2"/>
  <c r="K910" i="2"/>
  <c r="K916" i="2"/>
  <c r="K966" i="2"/>
  <c r="E474" i="2"/>
  <c r="M505" i="2"/>
  <c r="J65" i="2"/>
  <c r="J66" i="2"/>
  <c r="J68" i="2"/>
  <c r="J72" i="2"/>
  <c r="K79" i="2"/>
  <c r="K84" i="2"/>
  <c r="K86" i="2"/>
  <c r="K88" i="2"/>
  <c r="K90" i="2"/>
  <c r="K92" i="2"/>
  <c r="K94" i="2"/>
  <c r="K96" i="2"/>
  <c r="K98" i="2"/>
  <c r="K100" i="2"/>
  <c r="K102" i="2"/>
  <c r="K104" i="2"/>
  <c r="K108" i="2"/>
  <c r="K110" i="2"/>
  <c r="K115" i="2"/>
  <c r="J145" i="2"/>
  <c r="J148" i="2"/>
  <c r="K369" i="2"/>
  <c r="K373" i="2"/>
  <c r="K375" i="2"/>
  <c r="K377" i="2"/>
  <c r="K379" i="2"/>
  <c r="K383" i="2"/>
  <c r="K385" i="2"/>
  <c r="K387" i="2"/>
  <c r="K389" i="2"/>
  <c r="K395" i="2"/>
  <c r="K397" i="2"/>
  <c r="K400" i="2"/>
  <c r="K402" i="2"/>
  <c r="N402" i="2" s="1"/>
  <c r="K404" i="2"/>
  <c r="K408" i="2"/>
  <c r="K410" i="2"/>
  <c r="K412" i="2"/>
  <c r="K420" i="2"/>
  <c r="K422" i="2"/>
  <c r="K428" i="2"/>
  <c r="K431" i="2"/>
  <c r="K433" i="2"/>
  <c r="K434" i="2"/>
  <c r="K435" i="2"/>
  <c r="K436" i="2"/>
  <c r="K437" i="2"/>
  <c r="K439" i="2"/>
  <c r="K443" i="2"/>
  <c r="K444" i="2"/>
  <c r="E458" i="2"/>
  <c r="K484" i="2"/>
  <c r="J543" i="2"/>
  <c r="K544" i="2"/>
  <c r="J546" i="2"/>
  <c r="K556" i="2"/>
  <c r="K557" i="2"/>
  <c r="K559" i="2"/>
  <c r="K561" i="2"/>
  <c r="J574" i="2"/>
  <c r="K575" i="2"/>
  <c r="J576" i="2"/>
  <c r="K590" i="2"/>
  <c r="J601" i="2"/>
  <c r="K602" i="2"/>
  <c r="J614" i="2"/>
  <c r="K615" i="2"/>
  <c r="K616" i="2"/>
  <c r="J646" i="2"/>
  <c r="J653" i="2"/>
  <c r="K656" i="2"/>
  <c r="K725" i="2"/>
  <c r="K727" i="2"/>
  <c r="K751" i="2"/>
  <c r="K772" i="2"/>
  <c r="K806" i="2"/>
  <c r="K843" i="2"/>
  <c r="K865" i="2"/>
  <c r="K893" i="2"/>
  <c r="K901" i="2"/>
  <c r="K930" i="2"/>
  <c r="K942" i="2"/>
  <c r="K946" i="2"/>
  <c r="E852" i="2"/>
  <c r="G8" i="28"/>
  <c r="M977" i="2"/>
  <c r="M987" i="2" s="1"/>
  <c r="K1004" i="2"/>
  <c r="K840" i="2"/>
  <c r="K789" i="2"/>
  <c r="K802" i="2"/>
  <c r="K804" i="2"/>
  <c r="K812" i="2"/>
  <c r="K770" i="2"/>
  <c r="H8" i="28"/>
  <c r="M856" i="2"/>
  <c r="K890" i="2"/>
  <c r="K897" i="2"/>
  <c r="K903" i="2"/>
  <c r="K932" i="2"/>
  <c r="K956" i="2"/>
  <c r="K960" i="2"/>
  <c r="K970" i="2"/>
  <c r="K1003" i="2"/>
  <c r="B181" i="57" s="1"/>
  <c r="H181" i="57" s="1"/>
  <c r="K229" i="93"/>
  <c r="AB54" i="69"/>
  <c r="AB60" i="69" s="1"/>
  <c r="AB63" i="69" s="1"/>
  <c r="AB67" i="69" s="1"/>
  <c r="AB44" i="69" s="1"/>
  <c r="AB45" i="69" s="1"/>
  <c r="D190" i="78"/>
  <c r="F278" i="60"/>
  <c r="J136" i="66"/>
  <c r="G153" i="93"/>
  <c r="G168" i="93" s="1"/>
  <c r="M25" i="93"/>
  <c r="J121" i="93"/>
  <c r="I76" i="93"/>
  <c r="J37" i="93"/>
  <c r="J228" i="93"/>
  <c r="J72" i="93"/>
  <c r="K92" i="93"/>
  <c r="G25" i="93"/>
  <c r="I153" i="93"/>
  <c r="I168" i="93" s="1"/>
  <c r="J186" i="93"/>
  <c r="I86" i="94"/>
  <c r="F25" i="93"/>
  <c r="H25" i="93"/>
  <c r="I64" i="93"/>
  <c r="I25" i="93"/>
  <c r="H64" i="93"/>
  <c r="J120" i="93"/>
  <c r="I243" i="93"/>
  <c r="J227" i="93"/>
  <c r="E143" i="93"/>
  <c r="G64" i="93"/>
  <c r="H76" i="93"/>
  <c r="H153" i="93"/>
  <c r="H168" i="93" s="1"/>
  <c r="K183" i="93"/>
  <c r="M76" i="93"/>
  <c r="K138" i="93"/>
  <c r="K185" i="93"/>
  <c r="K190" i="93"/>
  <c r="K289" i="93"/>
  <c r="J122" i="93"/>
  <c r="J139" i="93"/>
  <c r="K196" i="93"/>
  <c r="K232" i="93"/>
  <c r="K256" i="93"/>
  <c r="G243" i="93"/>
  <c r="K36" i="93"/>
  <c r="K195" i="93"/>
  <c r="K199" i="93"/>
  <c r="H243" i="93"/>
  <c r="K271" i="93"/>
  <c r="E157" i="93"/>
  <c r="J190" i="93"/>
  <c r="J124" i="93"/>
  <c r="J288" i="93"/>
  <c r="J199" i="93"/>
  <c r="K219" i="93"/>
  <c r="J231" i="93"/>
  <c r="J253" i="93"/>
  <c r="J271" i="93"/>
  <c r="K272" i="93"/>
  <c r="J164" i="93"/>
  <c r="M143" i="93"/>
  <c r="J198" i="93"/>
  <c r="K230" i="93"/>
  <c r="J270" i="93"/>
  <c r="J282" i="93"/>
  <c r="I71" i="94"/>
  <c r="K343" i="93"/>
  <c r="K37" i="93"/>
  <c r="K121" i="93"/>
  <c r="J188" i="93"/>
  <c r="K198" i="93"/>
  <c r="K216" i="93"/>
  <c r="K273" i="93"/>
  <c r="K287" i="93"/>
  <c r="E70" i="93"/>
  <c r="E176" i="93"/>
  <c r="K275" i="93"/>
  <c r="K161" i="93"/>
  <c r="C35" i="62"/>
  <c r="E74" i="93"/>
  <c r="M128" i="93"/>
  <c r="M204" i="93"/>
  <c r="J219" i="93"/>
  <c r="M220" i="93"/>
  <c r="K227" i="93"/>
  <c r="E347" i="93"/>
  <c r="J114" i="93"/>
  <c r="J146" i="93"/>
  <c r="M161" i="93"/>
  <c r="E263" i="93"/>
  <c r="I72" i="94"/>
  <c r="I96" i="94"/>
  <c r="I105" i="94"/>
  <c r="I113" i="94"/>
  <c r="I117" i="94"/>
  <c r="J9" i="93"/>
  <c r="E117" i="93"/>
  <c r="M117" i="93"/>
  <c r="J218" i="93"/>
  <c r="J226" i="93"/>
  <c r="J236" i="93"/>
  <c r="K120" i="93"/>
  <c r="K186" i="93"/>
  <c r="K218" i="93"/>
  <c r="K236" i="93"/>
  <c r="J251" i="93"/>
  <c r="K270" i="93"/>
  <c r="J294" i="93"/>
  <c r="M339" i="93"/>
  <c r="I73" i="94"/>
  <c r="I85" i="94"/>
  <c r="I93" i="94"/>
  <c r="I114" i="94"/>
  <c r="F45" i="93"/>
  <c r="E220" i="93"/>
  <c r="J346" i="93"/>
  <c r="E204" i="93"/>
  <c r="M240" i="93"/>
  <c r="J233" i="93"/>
  <c r="M347" i="93"/>
  <c r="I70" i="94"/>
  <c r="I74" i="94"/>
  <c r="I78" i="94"/>
  <c r="I90" i="94"/>
  <c r="I94" i="94"/>
  <c r="I98" i="94"/>
  <c r="I123" i="94"/>
  <c r="J36" i="93"/>
  <c r="J195" i="93"/>
  <c r="J230" i="93"/>
  <c r="K233" i="93"/>
  <c r="K253" i="93"/>
  <c r="J275" i="93"/>
  <c r="J287" i="93"/>
  <c r="K346" i="93"/>
  <c r="E240" i="93"/>
  <c r="J232" i="93"/>
  <c r="I75" i="94"/>
  <c r="I87" i="94"/>
  <c r="I99" i="94"/>
  <c r="I120" i="94"/>
  <c r="F76" i="93"/>
  <c r="M45" i="93"/>
  <c r="M64" i="93" s="1"/>
  <c r="M176" i="93"/>
  <c r="M263" i="93"/>
  <c r="M300" i="93"/>
  <c r="J35" i="93"/>
  <c r="E45" i="93"/>
  <c r="J68" i="93"/>
  <c r="J119" i="93"/>
  <c r="K146" i="93"/>
  <c r="F149" i="57" s="1"/>
  <c r="E161" i="93"/>
  <c r="E300" i="93"/>
  <c r="K68" i="93"/>
  <c r="E101" i="67" s="1"/>
  <c r="K119" i="93"/>
  <c r="J183" i="93"/>
  <c r="K187" i="93"/>
  <c r="F220" i="93"/>
  <c r="J343" i="93"/>
  <c r="E128" i="93"/>
  <c r="K9" i="93"/>
  <c r="K55" i="93"/>
  <c r="F141" i="57" s="1"/>
  <c r="K139" i="93"/>
  <c r="K164" i="93"/>
  <c r="K231" i="93"/>
  <c r="E339" i="93"/>
  <c r="I103" i="94"/>
  <c r="J92" i="93"/>
  <c r="J138" i="93"/>
  <c r="J229" i="93"/>
  <c r="J223" i="93"/>
  <c r="F193" i="54"/>
  <c r="H264" i="32"/>
  <c r="H259" i="32"/>
  <c r="H342" i="32"/>
  <c r="H423" i="32"/>
  <c r="H433" i="32"/>
  <c r="H444" i="32"/>
  <c r="H453" i="32"/>
  <c r="H456" i="32"/>
  <c r="H471" i="32"/>
  <c r="H475" i="32"/>
  <c r="H493" i="32"/>
  <c r="H498" i="32"/>
  <c r="H476" i="32"/>
  <c r="H491" i="32"/>
  <c r="H492" i="32"/>
  <c r="H490" i="32"/>
  <c r="H463" i="32"/>
  <c r="H507" i="32"/>
  <c r="H523" i="32"/>
  <c r="H245" i="32"/>
  <c r="H310" i="32"/>
  <c r="H314" i="32"/>
  <c r="H520" i="32"/>
  <c r="H292" i="32"/>
  <c r="H298" i="32"/>
  <c r="H336" i="32"/>
  <c r="H340" i="32"/>
  <c r="H405" i="32"/>
  <c r="H408" i="32"/>
  <c r="H478" i="32"/>
  <c r="H460" i="32"/>
  <c r="H261" i="32"/>
  <c r="H256" i="32"/>
  <c r="H243" i="32"/>
  <c r="H320" i="32"/>
  <c r="H304" i="32"/>
  <c r="H308" i="32"/>
  <c r="H312" i="32"/>
  <c r="H306" i="32"/>
  <c r="H319" i="32"/>
  <c r="H325" i="32"/>
  <c r="H359" i="32"/>
  <c r="H364" i="32"/>
  <c r="H369" i="32"/>
  <c r="H380" i="32"/>
  <c r="H373" i="32"/>
  <c r="H389" i="32"/>
  <c r="H390" i="32"/>
  <c r="H397" i="32"/>
  <c r="H415" i="32"/>
  <c r="H422" i="32"/>
  <c r="H426" i="32"/>
  <c r="H430" i="32"/>
  <c r="H464" i="32"/>
  <c r="H515" i="32"/>
  <c r="H521" i="32"/>
  <c r="H270" i="32"/>
  <c r="H250" i="32"/>
  <c r="H252" i="32"/>
  <c r="H269" i="32"/>
  <c r="H297" i="32"/>
  <c r="H279" i="32"/>
  <c r="H287" i="32"/>
  <c r="H289" i="32"/>
  <c r="H284" i="32"/>
  <c r="H294" i="32"/>
  <c r="H327" i="32"/>
  <c r="H332" i="32"/>
  <c r="H350" i="32"/>
  <c r="H361" i="32"/>
  <c r="H366" i="32"/>
  <c r="H394" i="32"/>
  <c r="H412" i="32"/>
  <c r="H438" i="32"/>
  <c r="H488" i="32"/>
  <c r="H504" i="32"/>
  <c r="H510" i="32"/>
  <c r="H360" i="32"/>
  <c r="H379" i="32"/>
  <c r="H404" i="32"/>
  <c r="H417" i="32"/>
  <c r="H431" i="32"/>
  <c r="H434" i="32"/>
  <c r="H445" i="32"/>
  <c r="H511" i="32"/>
  <c r="H518" i="32"/>
  <c r="H271" i="32"/>
  <c r="H267" i="32"/>
  <c r="H247" i="32"/>
  <c r="H254" i="32"/>
  <c r="H281" i="32"/>
  <c r="H290" i="32"/>
  <c r="H295" i="32"/>
  <c r="H244" i="32"/>
  <c r="H333" i="32"/>
  <c r="H372" i="32"/>
  <c r="H414" i="32"/>
  <c r="H439" i="32"/>
  <c r="H437" i="32"/>
  <c r="H448" i="32"/>
  <c r="H496" i="32"/>
  <c r="H481" i="32"/>
  <c r="H485" i="32"/>
  <c r="H489" i="32"/>
  <c r="H514" i="32"/>
  <c r="H258" i="32"/>
  <c r="H273" i="32"/>
  <c r="H266" i="32"/>
  <c r="H262" i="32"/>
  <c r="H236" i="32"/>
  <c r="H241" i="32"/>
  <c r="H302" i="32"/>
  <c r="H309" i="32"/>
  <c r="H317" i="32"/>
  <c r="H276" i="32"/>
  <c r="H328" i="32"/>
  <c r="H383" i="32"/>
  <c r="H393" i="32"/>
  <c r="H399" i="32"/>
  <c r="H411" i="32"/>
  <c r="H440" i="32"/>
  <c r="H513" i="32"/>
  <c r="H519" i="32"/>
  <c r="J822" i="58"/>
  <c r="J569" i="58"/>
  <c r="J629" i="58"/>
  <c r="J639" i="58"/>
  <c r="J648" i="58"/>
  <c r="J655" i="58"/>
  <c r="J696" i="58"/>
  <c r="J706" i="58"/>
  <c r="J741" i="58"/>
  <c r="J854" i="58"/>
  <c r="J873" i="58"/>
  <c r="J947" i="58"/>
  <c r="J962" i="58"/>
  <c r="J821" i="58"/>
  <c r="J826" i="58"/>
  <c r="H337" i="32"/>
  <c r="J742" i="58"/>
  <c r="J744" i="58"/>
  <c r="J754" i="58"/>
  <c r="J803" i="58"/>
  <c r="J783" i="58"/>
  <c r="H341" i="32"/>
  <c r="J757" i="58"/>
  <c r="J801" i="58"/>
  <c r="H418" i="32"/>
  <c r="J432" i="58"/>
  <c r="C15" i="62" s="1"/>
  <c r="J901" i="58"/>
  <c r="J905" i="58"/>
  <c r="J912" i="58"/>
  <c r="J935" i="58"/>
  <c r="H466" i="32"/>
  <c r="J809" i="58"/>
  <c r="J812" i="58"/>
  <c r="J865" i="58"/>
  <c r="J875" i="58"/>
  <c r="H349" i="32"/>
  <c r="H356" i="32"/>
  <c r="H406" i="32"/>
  <c r="H416" i="32"/>
  <c r="J869" i="58"/>
  <c r="J884" i="58"/>
  <c r="E10" i="86"/>
  <c r="E29" i="86" s="1"/>
  <c r="M85" i="86"/>
  <c r="M266" i="86"/>
  <c r="E196" i="78"/>
  <c r="AC54" i="69"/>
  <c r="AC60" i="69" s="1"/>
  <c r="AC63" i="69" s="1"/>
  <c r="AC67" i="69" s="1"/>
  <c r="AC44" i="69" s="1"/>
  <c r="AC45" i="69" s="1"/>
  <c r="AF54" i="69"/>
  <c r="AF60" i="69" s="1"/>
  <c r="AF63" i="69" s="1"/>
  <c r="AF67" i="69" s="1"/>
  <c r="AF44" i="69" s="1"/>
  <c r="AF45" i="69" s="1"/>
  <c r="AG54" i="69"/>
  <c r="AG60" i="69" s="1"/>
  <c r="AG63" i="69" s="1"/>
  <c r="AG67" i="69" s="1"/>
  <c r="AG44" i="69" s="1"/>
  <c r="AG45" i="69" s="1"/>
  <c r="I136" i="66"/>
  <c r="Z77" i="25"/>
  <c r="C184" i="78"/>
  <c r="J968" i="58"/>
  <c r="E324" i="86"/>
  <c r="E60" i="86"/>
  <c r="K128" i="86"/>
  <c r="K150" i="86"/>
  <c r="K149" i="86"/>
  <c r="E172" i="86"/>
  <c r="E198" i="86"/>
  <c r="M324" i="86"/>
  <c r="E146" i="86"/>
  <c r="M60" i="86"/>
  <c r="E106" i="86"/>
  <c r="M106" i="86"/>
  <c r="M143" i="86"/>
  <c r="H141" i="87"/>
  <c r="H149" i="87"/>
  <c r="H157" i="87"/>
  <c r="H161" i="87"/>
  <c r="H169" i="87"/>
  <c r="M117" i="86"/>
  <c r="E117" i="86"/>
  <c r="M146" i="86"/>
  <c r="I129" i="87"/>
  <c r="I133" i="87"/>
  <c r="I141" i="87"/>
  <c r="I145" i="87"/>
  <c r="I149" i="87"/>
  <c r="I153" i="87"/>
  <c r="I157" i="87"/>
  <c r="I169" i="87"/>
  <c r="M167" i="86"/>
  <c r="M233" i="86"/>
  <c r="M283" i="86"/>
  <c r="H138" i="87"/>
  <c r="H142" i="87"/>
  <c r="H146" i="87"/>
  <c r="H154" i="87"/>
  <c r="H162" i="87"/>
  <c r="H166" i="87"/>
  <c r="H170" i="87"/>
  <c r="E42" i="86"/>
  <c r="K96" i="86"/>
  <c r="K191" i="86"/>
  <c r="I130" i="87"/>
  <c r="I134" i="87"/>
  <c r="I142" i="87"/>
  <c r="I154" i="87"/>
  <c r="I162" i="87"/>
  <c r="I166" i="87"/>
  <c r="I170" i="87"/>
  <c r="H131" i="87"/>
  <c r="H135" i="87"/>
  <c r="H139" i="87"/>
  <c r="H147" i="87"/>
  <c r="H151" i="87"/>
  <c r="H155" i="87"/>
  <c r="H159" i="87"/>
  <c r="H163" i="87"/>
  <c r="H167" i="87"/>
  <c r="K170" i="86"/>
  <c r="K231" i="86"/>
  <c r="I131" i="87"/>
  <c r="I135" i="87"/>
  <c r="I147" i="87"/>
  <c r="I151" i="87"/>
  <c r="I155" i="87"/>
  <c r="I159" i="87"/>
  <c r="I163" i="87"/>
  <c r="I171" i="87"/>
  <c r="H132" i="87"/>
  <c r="H136" i="87"/>
  <c r="H144" i="87"/>
  <c r="H152" i="87"/>
  <c r="H160" i="87"/>
  <c r="H168" i="87"/>
  <c r="H172" i="87"/>
  <c r="K127" i="86"/>
  <c r="K187" i="86"/>
  <c r="M218" i="86"/>
  <c r="K253" i="86"/>
  <c r="I132" i="87"/>
  <c r="I136" i="87"/>
  <c r="I144" i="87"/>
  <c r="I152" i="87"/>
  <c r="I160" i="87"/>
  <c r="I168" i="87"/>
  <c r="I172" i="87"/>
  <c r="M240" i="86"/>
  <c r="E283" i="86"/>
  <c r="M42" i="86"/>
  <c r="E240" i="86"/>
  <c r="E143" i="86"/>
  <c r="E167" i="86"/>
  <c r="M198" i="86"/>
  <c r="M301" i="86"/>
  <c r="E85" i="86"/>
  <c r="K272" i="86"/>
  <c r="E301" i="86"/>
  <c r="E218" i="86"/>
  <c r="E266" i="86"/>
  <c r="E233" i="86"/>
  <c r="F520" i="2"/>
  <c r="J520" i="2" s="1"/>
  <c r="K520" i="2"/>
  <c r="J269" i="58"/>
  <c r="K269" i="58" s="1"/>
  <c r="J273" i="58"/>
  <c r="J1022" i="58"/>
  <c r="C177" i="57" s="1"/>
  <c r="J205" i="58"/>
  <c r="J389" i="58"/>
  <c r="J547" i="58"/>
  <c r="J555" i="58"/>
  <c r="J241" i="58"/>
  <c r="J907" i="58"/>
  <c r="J931" i="58"/>
  <c r="J488" i="58"/>
  <c r="J491" i="58"/>
  <c r="J494" i="58"/>
  <c r="J710" i="58"/>
  <c r="J717" i="58"/>
  <c r="J753" i="58"/>
  <c r="J766" i="58"/>
  <c r="J395" i="58"/>
  <c r="J397" i="58"/>
  <c r="J402" i="58"/>
  <c r="F69" i="46"/>
  <c r="J554" i="58"/>
  <c r="J574" i="58"/>
  <c r="J594" i="58"/>
  <c r="J601" i="58"/>
  <c r="J613" i="58"/>
  <c r="J758" i="58"/>
  <c r="J761" i="58"/>
  <c r="J868" i="58"/>
  <c r="J871" i="58"/>
  <c r="J886" i="58"/>
  <c r="J893" i="58"/>
  <c r="H517" i="32"/>
  <c r="J992" i="58"/>
  <c r="J441" i="58"/>
  <c r="J776" i="58"/>
  <c r="J799" i="58"/>
  <c r="J808" i="58"/>
  <c r="J816" i="58"/>
  <c r="J820" i="58"/>
  <c r="J825" i="58"/>
  <c r="J810" i="58"/>
  <c r="J863" i="58"/>
  <c r="J290" i="58"/>
  <c r="J464" i="58"/>
  <c r="J468" i="58"/>
  <c r="J481" i="58"/>
  <c r="J492" i="58"/>
  <c r="J506" i="58"/>
  <c r="J527" i="58"/>
  <c r="J568" i="58"/>
  <c r="J628" i="58"/>
  <c r="J636" i="58"/>
  <c r="J638" i="58"/>
  <c r="J647" i="58"/>
  <c r="J652" i="58"/>
  <c r="E999" i="58"/>
  <c r="J883" i="58"/>
  <c r="J887" i="58"/>
  <c r="J889" i="58"/>
  <c r="J891" i="58"/>
  <c r="J11" i="58"/>
  <c r="J246" i="58"/>
  <c r="J762" i="58"/>
  <c r="J764" i="58"/>
  <c r="J775" i="58"/>
  <c r="J793" i="58"/>
  <c r="J798" i="58"/>
  <c r="J787" i="58"/>
  <c r="J807" i="58"/>
  <c r="J815" i="58"/>
  <c r="J824" i="58"/>
  <c r="J827" i="58"/>
  <c r="J828" i="58"/>
  <c r="J833" i="58"/>
  <c r="J836" i="58"/>
  <c r="J837" i="58"/>
  <c r="J909" i="58"/>
  <c r="J937" i="58"/>
  <c r="J972" i="58"/>
  <c r="J978" i="58"/>
  <c r="J332" i="58"/>
  <c r="J334" i="58"/>
  <c r="J339" i="58"/>
  <c r="J396" i="58"/>
  <c r="J445" i="58"/>
  <c r="J630" i="58"/>
  <c r="J640" i="58"/>
  <c r="J649" i="58"/>
  <c r="J699" i="58"/>
  <c r="J756" i="58"/>
  <c r="K501" i="2"/>
  <c r="J716" i="58"/>
  <c r="E213" i="58"/>
  <c r="H183" i="32"/>
  <c r="E249" i="58"/>
  <c r="H173" i="32"/>
  <c r="E263" i="58"/>
  <c r="H231" i="32"/>
  <c r="J271" i="58"/>
  <c r="J275" i="58"/>
  <c r="E450" i="58"/>
  <c r="J161" i="58"/>
  <c r="J165" i="58"/>
  <c r="J169" i="58"/>
  <c r="J173" i="58"/>
  <c r="J177" i="58"/>
  <c r="J181" i="58"/>
  <c r="J185" i="58"/>
  <c r="J189" i="58"/>
  <c r="J193" i="58"/>
  <c r="E277" i="58"/>
  <c r="H177" i="32"/>
  <c r="J390" i="58"/>
  <c r="J489" i="58"/>
  <c r="J495" i="58"/>
  <c r="J499" i="58"/>
  <c r="H402" i="32"/>
  <c r="E659" i="58"/>
  <c r="J261" i="58"/>
  <c r="E392" i="58"/>
  <c r="H277" i="32"/>
  <c r="H321" i="32"/>
  <c r="H396" i="32"/>
  <c r="J563" i="58"/>
  <c r="J240" i="58"/>
  <c r="J245" i="58"/>
  <c r="J331" i="58"/>
  <c r="J388" i="58"/>
  <c r="E433" i="58"/>
  <c r="H239" i="32"/>
  <c r="J431" i="58"/>
  <c r="K431" i="58" s="1"/>
  <c r="J447" i="58"/>
  <c r="J470" i="58"/>
  <c r="E581" i="58"/>
  <c r="H348" i="32"/>
  <c r="J546" i="58"/>
  <c r="E13" i="58"/>
  <c r="E282" i="58"/>
  <c r="H316" i="32"/>
  <c r="H12" i="71"/>
  <c r="H386" i="32"/>
  <c r="E662" i="58"/>
  <c r="J557" i="58"/>
  <c r="J565" i="58"/>
  <c r="J714" i="58"/>
  <c r="J274" i="58"/>
  <c r="E343" i="58"/>
  <c r="H257" i="32"/>
  <c r="J364" i="58"/>
  <c r="J379" i="58"/>
  <c r="J394" i="58"/>
  <c r="J398" i="58"/>
  <c r="J439" i="58"/>
  <c r="J448" i="58"/>
  <c r="J490" i="58"/>
  <c r="J496" i="58"/>
  <c r="J500" i="58"/>
  <c r="J508" i="58"/>
  <c r="J519" i="58"/>
  <c r="J540" i="58"/>
  <c r="E259" i="58"/>
  <c r="H228" i="32"/>
  <c r="H331" i="32"/>
  <c r="H365" i="32"/>
  <c r="J529" i="58"/>
  <c r="H377" i="32"/>
  <c r="J667" i="58"/>
  <c r="E671" i="58"/>
  <c r="J567" i="58"/>
  <c r="J572" i="58"/>
  <c r="E623" i="58"/>
  <c r="J588" i="58"/>
  <c r="J597" i="58"/>
  <c r="J599" i="58"/>
  <c r="J627" i="58"/>
  <c r="J635" i="58"/>
  <c r="J646" i="58"/>
  <c r="J695" i="58"/>
  <c r="J702" i="58"/>
  <c r="J705" i="58"/>
  <c r="J740" i="58"/>
  <c r="J752" i="58"/>
  <c r="J760" i="58"/>
  <c r="J763" i="58"/>
  <c r="J768" i="58"/>
  <c r="J943" i="58"/>
  <c r="J961" i="58"/>
  <c r="J1026" i="58"/>
  <c r="H429" i="32"/>
  <c r="J896" i="58"/>
  <c r="H454" i="32"/>
  <c r="J876" i="58"/>
  <c r="J942" i="58"/>
  <c r="J977" i="58"/>
  <c r="J1016" i="58"/>
  <c r="H403" i="32"/>
  <c r="H455" i="32"/>
  <c r="J553" i="58"/>
  <c r="J562" i="58"/>
  <c r="J566" i="58"/>
  <c r="J587" i="58"/>
  <c r="J596" i="58"/>
  <c r="J604" i="58"/>
  <c r="J634" i="58"/>
  <c r="J644" i="58"/>
  <c r="J694" i="58"/>
  <c r="F132" i="57" s="1"/>
  <c r="J701" i="58"/>
  <c r="J704" i="58"/>
  <c r="J715" i="58"/>
  <c r="E770" i="58"/>
  <c r="J738" i="58"/>
  <c r="J739" i="58"/>
  <c r="J748" i="58"/>
  <c r="J759" i="58"/>
  <c r="E1019" i="58"/>
  <c r="J829" i="58"/>
  <c r="J866" i="58"/>
  <c r="J885" i="58"/>
  <c r="J910" i="58"/>
  <c r="J902" i="58"/>
  <c r="J939" i="58"/>
  <c r="J965" i="58"/>
  <c r="J979" i="58"/>
  <c r="J1025" i="58"/>
  <c r="C182" i="57" s="1"/>
  <c r="H182" i="57" s="1"/>
  <c r="J539" i="58"/>
  <c r="J561" i="58"/>
  <c r="J586" i="58"/>
  <c r="J595" i="58"/>
  <c r="J602" i="58"/>
  <c r="J603" i="58"/>
  <c r="J614" i="58"/>
  <c r="J700" i="58"/>
  <c r="J703" i="58"/>
  <c r="J712" i="58"/>
  <c r="J814" i="58"/>
  <c r="J831" i="58"/>
  <c r="J859" i="58"/>
  <c r="J894" i="58"/>
  <c r="J897" i="58"/>
  <c r="J932" i="58"/>
  <c r="J941" i="58"/>
  <c r="J944" i="58"/>
  <c r="J959" i="58"/>
  <c r="E1030" i="58"/>
  <c r="H407" i="32"/>
  <c r="J841" i="58"/>
  <c r="J845" i="58"/>
  <c r="J864" i="58"/>
  <c r="J895" i="58"/>
  <c r="J899" i="58"/>
  <c r="J933" i="58"/>
  <c r="J963" i="58"/>
  <c r="J969" i="58"/>
  <c r="J980" i="58"/>
  <c r="J1012" i="58"/>
  <c r="J1023" i="58"/>
  <c r="C179" i="57" s="1"/>
  <c r="J163" i="58"/>
  <c r="J167" i="58"/>
  <c r="J171" i="58"/>
  <c r="J175" i="58"/>
  <c r="J179" i="58"/>
  <c r="J183" i="58"/>
  <c r="J187" i="58"/>
  <c r="J191" i="58"/>
  <c r="J195" i="58"/>
  <c r="J199" i="58"/>
  <c r="J203" i="58"/>
  <c r="J211" i="58"/>
  <c r="J256" i="58"/>
  <c r="J336" i="58"/>
  <c r="J377" i="58"/>
  <c r="J381" i="58"/>
  <c r="J442" i="58"/>
  <c r="J460" i="58"/>
  <c r="J478" i="58"/>
  <c r="J502" i="58"/>
  <c r="J511" i="58"/>
  <c r="J523" i="58"/>
  <c r="J531" i="58"/>
  <c r="J538" i="58"/>
  <c r="J560" i="58"/>
  <c r="J591" i="58"/>
  <c r="J592" i="58"/>
  <c r="J606" i="58"/>
  <c r="J608" i="58"/>
  <c r="J610" i="58"/>
  <c r="J633" i="58"/>
  <c r="J643" i="58"/>
  <c r="J657" i="58"/>
  <c r="J737" i="58"/>
  <c r="J789" i="58"/>
  <c r="J792" i="58"/>
  <c r="J786" i="58"/>
  <c r="J880" i="58"/>
  <c r="J892" i="58"/>
  <c r="J578" i="58"/>
  <c r="J168" i="58"/>
  <c r="J172" i="58"/>
  <c r="J176" i="58"/>
  <c r="J180" i="58"/>
  <c r="J184" i="58"/>
  <c r="J188" i="58"/>
  <c r="J192" i="58"/>
  <c r="J196" i="58"/>
  <c r="J200" i="58"/>
  <c r="J204" i="58"/>
  <c r="J257" i="58"/>
  <c r="J337" i="58"/>
  <c r="J338" i="58"/>
  <c r="J363" i="58"/>
  <c r="J378" i="58"/>
  <c r="J382" i="58"/>
  <c r="J386" i="58"/>
  <c r="J387" i="58"/>
  <c r="J440" i="58"/>
  <c r="J462" i="58"/>
  <c r="J882" i="58"/>
  <c r="J855" i="58"/>
  <c r="J9" i="58"/>
  <c r="J137" i="58"/>
  <c r="J141" i="58"/>
  <c r="J145" i="58"/>
  <c r="J149" i="58"/>
  <c r="J153" i="58"/>
  <c r="J157" i="58"/>
  <c r="J206" i="58"/>
  <c r="J207" i="58"/>
  <c r="J247" i="58"/>
  <c r="J268" i="58"/>
  <c r="K272" i="58"/>
  <c r="J328" i="58"/>
  <c r="J401" i="58"/>
  <c r="J399" i="58"/>
  <c r="J443" i="58"/>
  <c r="J482" i="58"/>
  <c r="J510" i="58"/>
  <c r="J521" i="58"/>
  <c r="J536" i="58"/>
  <c r="J542" i="58"/>
  <c r="J550" i="58"/>
  <c r="J559" i="58"/>
  <c r="J571" i="58"/>
  <c r="J576" i="58"/>
  <c r="J632" i="58"/>
  <c r="J642" i="58"/>
  <c r="J651" i="58"/>
  <c r="J653" i="58"/>
  <c r="J654" i="58"/>
  <c r="J669" i="58"/>
  <c r="J698" i="58"/>
  <c r="J709" i="58"/>
  <c r="J733" i="58"/>
  <c r="J736" i="58"/>
  <c r="J791" i="58"/>
  <c r="J782" i="58"/>
  <c r="J804" i="58"/>
  <c r="J818" i="58"/>
  <c r="J832" i="58"/>
  <c r="J1028" i="58"/>
  <c r="J197" i="58"/>
  <c r="J201" i="58"/>
  <c r="J384" i="58"/>
  <c r="J385" i="58"/>
  <c r="J779" i="58"/>
  <c r="J802" i="58"/>
  <c r="J853" i="58"/>
  <c r="J861" i="58"/>
  <c r="J839" i="58"/>
  <c r="J888" i="58"/>
  <c r="J900" i="58"/>
  <c r="J904" i="58"/>
  <c r="J911" i="58"/>
  <c r="J913" i="58"/>
  <c r="J934" i="58"/>
  <c r="J938" i="58"/>
  <c r="J964" i="58"/>
  <c r="J981" i="58"/>
  <c r="J991" i="58"/>
  <c r="J1004" i="58"/>
  <c r="C157" i="57" s="1"/>
  <c r="J162" i="58"/>
  <c r="J166" i="58"/>
  <c r="J170" i="58"/>
  <c r="J174" i="58"/>
  <c r="J178" i="58"/>
  <c r="J182" i="58"/>
  <c r="J186" i="58"/>
  <c r="J190" i="58"/>
  <c r="J194" i="58"/>
  <c r="J198" i="58"/>
  <c r="J202" i="58"/>
  <c r="J210" i="58"/>
  <c r="J333" i="58"/>
  <c r="J335" i="58"/>
  <c r="J373" i="58"/>
  <c r="J380" i="58"/>
  <c r="J383" i="58"/>
  <c r="J400" i="58"/>
  <c r="J465" i="58"/>
  <c r="J469" i="58"/>
  <c r="J480" i="58"/>
  <c r="J479" i="58"/>
  <c r="J501" i="58"/>
  <c r="J509" i="58"/>
  <c r="J520" i="58"/>
  <c r="J549" i="58"/>
  <c r="J558" i="58"/>
  <c r="J570" i="58"/>
  <c r="J575" i="58"/>
  <c r="J589" i="58"/>
  <c r="J598" i="58"/>
  <c r="J605" i="58"/>
  <c r="J631" i="58"/>
  <c r="J641" i="58"/>
  <c r="J650" i="58"/>
  <c r="J697" i="58"/>
  <c r="J708" i="58"/>
  <c r="J711" i="58"/>
  <c r="J735" i="58"/>
  <c r="J800" i="58"/>
  <c r="J817" i="58"/>
  <c r="J823" i="58"/>
  <c r="J890" i="58"/>
  <c r="J914" i="58"/>
  <c r="J908" i="58"/>
  <c r="J936" i="58"/>
  <c r="J967" i="58"/>
  <c r="J975" i="58"/>
  <c r="J988" i="58"/>
  <c r="J1024" i="58"/>
  <c r="J1027" i="58"/>
  <c r="G136" i="66"/>
  <c r="AA66" i="25"/>
  <c r="AA67" i="25" s="1"/>
  <c r="F13" i="58"/>
  <c r="N48" i="69"/>
  <c r="Q48" i="69"/>
  <c r="AA48" i="69"/>
  <c r="C21" i="62"/>
  <c r="C31" i="62"/>
  <c r="L12" i="13"/>
  <c r="L16" i="13"/>
  <c r="J41" i="25"/>
  <c r="N41" i="25" s="1"/>
  <c r="E184" i="78"/>
  <c r="N29" i="60"/>
  <c r="G195" i="78"/>
  <c r="F282" i="58"/>
  <c r="J280" i="58"/>
  <c r="AY1088" i="58"/>
  <c r="J9" i="2"/>
  <c r="AI32" i="25"/>
  <c r="AJ32" i="25" s="1"/>
  <c r="AI43" i="25"/>
  <c r="AJ43" i="25" s="1"/>
  <c r="AI20" i="25"/>
  <c r="AJ20" i="25" s="1"/>
  <c r="AI21" i="25"/>
  <c r="AJ21" i="25" s="1"/>
  <c r="AI25" i="25"/>
  <c r="AJ25" i="25" s="1"/>
  <c r="AB22" i="25"/>
  <c r="AG37" i="25"/>
  <c r="AI40" i="25"/>
  <c r="AJ40" i="25" s="1"/>
  <c r="AG67" i="25"/>
  <c r="AA75" i="25"/>
  <c r="AA77" i="25" s="1"/>
  <c r="AF37" i="25"/>
  <c r="F20" i="54"/>
  <c r="F136" i="66"/>
  <c r="AF44" i="25"/>
  <c r="B16" i="80"/>
  <c r="F224" i="60"/>
  <c r="J128" i="2"/>
  <c r="F618" i="2"/>
  <c r="J144" i="2"/>
  <c r="AB37" i="25"/>
  <c r="AB44" i="25"/>
  <c r="F90" i="25"/>
  <c r="F91" i="25" s="1"/>
  <c r="F92" i="25" s="1"/>
  <c r="F26" i="78"/>
  <c r="F29" i="78"/>
  <c r="F32" i="78"/>
  <c r="B77" i="28"/>
  <c r="W37" i="25"/>
  <c r="AI37" i="25" s="1"/>
  <c r="AJ37" i="25" s="1"/>
  <c r="AA37" i="25"/>
  <c r="F10" i="54"/>
  <c r="J16" i="54"/>
  <c r="J315" i="54"/>
  <c r="B86" i="28"/>
  <c r="C15" i="67"/>
  <c r="I13" i="13" s="1"/>
  <c r="D63" i="13" s="1"/>
  <c r="E11" i="67"/>
  <c r="E15" i="67" s="1"/>
  <c r="AB15" i="25"/>
  <c r="AI48" i="25"/>
  <c r="AJ48" i="25" s="1"/>
  <c r="AA53" i="25"/>
  <c r="AI51" i="25"/>
  <c r="AJ51" i="25" s="1"/>
  <c r="G188" i="78"/>
  <c r="G189" i="78"/>
  <c r="B190" i="78"/>
  <c r="B75" i="28"/>
  <c r="C190" i="78"/>
  <c r="F201" i="54"/>
  <c r="F13" i="60"/>
  <c r="F16" i="60" s="1"/>
  <c r="F59" i="60"/>
  <c r="J58" i="60"/>
  <c r="F220" i="60"/>
  <c r="AB31" i="69"/>
  <c r="W15" i="25"/>
  <c r="AI15" i="25" s="1"/>
  <c r="AJ15" i="25" s="1"/>
  <c r="AA15" i="25"/>
  <c r="W22" i="25"/>
  <c r="AI22" i="25" s="1"/>
  <c r="AJ22" i="25" s="1"/>
  <c r="AA22" i="25"/>
  <c r="AG44" i="25"/>
  <c r="AC56" i="25"/>
  <c r="AA71" i="25"/>
  <c r="F55" i="60"/>
  <c r="J54" i="60"/>
  <c r="J8" i="58"/>
  <c r="J17" i="58"/>
  <c r="F504" i="54"/>
  <c r="Z48" i="69"/>
  <c r="AF31" i="69"/>
  <c r="M48" i="69"/>
  <c r="AF12" i="69"/>
  <c r="AF23" i="69" s="1"/>
  <c r="AG31" i="69"/>
  <c r="F671" i="58"/>
  <c r="F770" i="58"/>
  <c r="J732" i="58"/>
  <c r="F1019" i="58"/>
  <c r="J17" i="2"/>
  <c r="J199" i="2"/>
  <c r="J462" i="2"/>
  <c r="J472" i="2"/>
  <c r="C8" i="62"/>
  <c r="N503" i="2"/>
  <c r="J530" i="2"/>
  <c r="J597" i="2"/>
  <c r="J928" i="2"/>
  <c r="E53" i="66"/>
  <c r="J717" i="2"/>
  <c r="J748" i="2"/>
  <c r="J759" i="2"/>
  <c r="J568" i="2"/>
  <c r="D136" i="66"/>
  <c r="K136" i="66"/>
  <c r="AI10" i="25"/>
  <c r="AJ10" i="25" s="1"/>
  <c r="AI18" i="25"/>
  <c r="AJ18" i="25" s="1"/>
  <c r="AB53" i="25"/>
  <c r="F14" i="78"/>
  <c r="F23" i="78"/>
  <c r="F30" i="78"/>
  <c r="E190" i="78"/>
  <c r="B196" i="78"/>
  <c r="F205" i="54"/>
  <c r="J203" i="54"/>
  <c r="L136" i="66"/>
  <c r="W53" i="25"/>
  <c r="D90" i="25"/>
  <c r="D91" i="25" s="1"/>
  <c r="D92" i="25" s="1"/>
  <c r="F15" i="78"/>
  <c r="F24" i="78"/>
  <c r="F33" i="78"/>
  <c r="G194" i="78"/>
  <c r="L8" i="13"/>
  <c r="B184" i="78"/>
  <c r="G183" i="78"/>
  <c r="C196" i="78"/>
  <c r="W44" i="25"/>
  <c r="AI44" i="25" s="1"/>
  <c r="AJ44" i="25" s="1"/>
  <c r="AA44" i="25"/>
  <c r="W78" i="25"/>
  <c r="J81" i="25"/>
  <c r="F21" i="36"/>
  <c r="F26" i="36" s="1"/>
  <c r="F27" i="78"/>
  <c r="E90" i="25"/>
  <c r="E91" i="25" s="1"/>
  <c r="E92" i="25" s="1"/>
  <c r="G182" i="78"/>
  <c r="D184" i="78"/>
  <c r="D75" i="13"/>
  <c r="J189" i="54"/>
  <c r="J226" i="54"/>
  <c r="N356" i="54"/>
  <c r="J302" i="54"/>
  <c r="J411" i="54"/>
  <c r="N446" i="54"/>
  <c r="AB12" i="69"/>
  <c r="AB23" i="69" s="1"/>
  <c r="F31" i="60"/>
  <c r="J156" i="60"/>
  <c r="N157" i="60"/>
  <c r="J229" i="60"/>
  <c r="P48" i="69"/>
  <c r="F86" i="60"/>
  <c r="F148" i="60"/>
  <c r="AC12" i="69"/>
  <c r="AC23" i="69" s="1"/>
  <c r="J275" i="60"/>
  <c r="F259" i="58"/>
  <c r="F265" i="58" s="1"/>
  <c r="J255" i="58"/>
  <c r="J327" i="58"/>
  <c r="J457" i="58"/>
  <c r="J585" i="58"/>
  <c r="F662" i="58"/>
  <c r="J661" i="58"/>
  <c r="J676" i="58"/>
  <c r="F659" i="58"/>
  <c r="J665" i="58"/>
  <c r="F1030" i="58"/>
  <c r="Q41" i="25" l="1"/>
  <c r="I19" i="36"/>
  <c r="J21" i="36"/>
  <c r="C180" i="57"/>
  <c r="C184" i="57" s="1"/>
  <c r="H177" i="57"/>
  <c r="C162" i="57"/>
  <c r="H162" i="57" s="1"/>
  <c r="B180" i="57"/>
  <c r="F131" i="57"/>
  <c r="F134" i="57" s="1"/>
  <c r="F135" i="57" s="1"/>
  <c r="L335" i="54"/>
  <c r="E107" i="67"/>
  <c r="E110" i="67" s="1"/>
  <c r="N102" i="86"/>
  <c r="O224" i="66"/>
  <c r="B67" i="57"/>
  <c r="L543" i="2"/>
  <c r="B198" i="78" a="1"/>
  <c r="B198" i="78" s="1"/>
  <c r="L483" i="2" a="1"/>
  <c r="L483" i="2" s="1"/>
  <c r="B81" i="57"/>
  <c r="B80" i="57"/>
  <c r="B83" i="57"/>
  <c r="B79" i="57"/>
  <c r="I247" i="6"/>
  <c r="K247" i="6" s="1"/>
  <c r="I250" i="6"/>
  <c r="K250" i="6" s="1"/>
  <c r="I246" i="6"/>
  <c r="K246" i="6" s="1"/>
  <c r="I251" i="6"/>
  <c r="K251" i="6" s="1"/>
  <c r="I241" i="6"/>
  <c r="K241" i="6" s="1"/>
  <c r="I244" i="6"/>
  <c r="K244" i="6" s="1"/>
  <c r="I242" i="6"/>
  <c r="K242" i="6" s="1"/>
  <c r="I249" i="6"/>
  <c r="K249" i="6" s="1"/>
  <c r="I248" i="6"/>
  <c r="K248" i="6" s="1"/>
  <c r="I245" i="6"/>
  <c r="K245" i="6" s="1"/>
  <c r="I240" i="6"/>
  <c r="K240" i="6" s="1"/>
  <c r="I243" i="6"/>
  <c r="K243" i="6" s="1"/>
  <c r="AM780" i="2"/>
  <c r="N780" i="2"/>
  <c r="N7" i="36"/>
  <c r="C36" i="36" s="1"/>
  <c r="N22" i="36"/>
  <c r="K402" i="58"/>
  <c r="K466" i="58"/>
  <c r="L159" i="86"/>
  <c r="L36" i="60"/>
  <c r="N16" i="36"/>
  <c r="N17" i="36" s="1"/>
  <c r="N4" i="36" s="1"/>
  <c r="N25" i="36"/>
  <c r="K13" i="67"/>
  <c r="D43" i="83"/>
  <c r="L148" i="2"/>
  <c r="N538" i="2"/>
  <c r="L326" i="54"/>
  <c r="N6" i="36"/>
  <c r="F879" i="2"/>
  <c r="J879" i="2" s="1"/>
  <c r="F734" i="2"/>
  <c r="J734" i="2" s="1"/>
  <c r="B99" i="87"/>
  <c r="B102" i="87" s="1"/>
  <c r="B105" i="87" s="1"/>
  <c r="B110" i="87" s="1"/>
  <c r="B114" i="87" s="1"/>
  <c r="L188" i="86"/>
  <c r="L449" i="2"/>
  <c r="AM740" i="2"/>
  <c r="AM735" i="2"/>
  <c r="AM728" i="2"/>
  <c r="AM877" i="2"/>
  <c r="AM588" i="2"/>
  <c r="N580" i="2"/>
  <c r="AM654" i="2"/>
  <c r="L20" i="2"/>
  <c r="L18" i="2"/>
  <c r="L136" i="2"/>
  <c r="L541" i="2"/>
  <c r="L548" i="2"/>
  <c r="L466" i="2"/>
  <c r="L481" i="2"/>
  <c r="H45" i="28"/>
  <c r="N647" i="2"/>
  <c r="N740" i="2"/>
  <c r="N735" i="2"/>
  <c r="N877" i="2"/>
  <c r="N728" i="2"/>
  <c r="N588" i="2"/>
  <c r="E81" i="61"/>
  <c r="F184" i="60"/>
  <c r="J184" i="60" s="1"/>
  <c r="K569" i="2"/>
  <c r="F214" i="6"/>
  <c r="N654" i="2"/>
  <c r="L556" i="2"/>
  <c r="F569" i="2"/>
  <c r="J569" i="2" s="1"/>
  <c r="E214" i="6"/>
  <c r="F578" i="2"/>
  <c r="J578" i="2" s="1"/>
  <c r="E190" i="6"/>
  <c r="K445" i="58"/>
  <c r="K439" i="58"/>
  <c r="K1025" i="58"/>
  <c r="K398" i="58"/>
  <c r="D252" i="46"/>
  <c r="D251" i="46"/>
  <c r="B88" i="28"/>
  <c r="K741" i="2"/>
  <c r="K480" i="58"/>
  <c r="C198" i="78"/>
  <c r="K399" i="58"/>
  <c r="L141" i="86"/>
  <c r="N125" i="54"/>
  <c r="L16" i="54"/>
  <c r="E97" i="67"/>
  <c r="E98" i="67" s="1"/>
  <c r="N140" i="54"/>
  <c r="AH236" i="86"/>
  <c r="L113" i="86"/>
  <c r="L150" i="86"/>
  <c r="AH207" i="86"/>
  <c r="AB252" i="60"/>
  <c r="AB237" i="60"/>
  <c r="AB183" i="60"/>
  <c r="AB188" i="60"/>
  <c r="AB219" i="60"/>
  <c r="AB257" i="60"/>
  <c r="AB191" i="60"/>
  <c r="AB275" i="60"/>
  <c r="AB167" i="60"/>
  <c r="L167" i="60" s="1"/>
  <c r="AB176" i="60"/>
  <c r="AB235" i="60"/>
  <c r="AB240" i="60"/>
  <c r="L172" i="60"/>
  <c r="AB229" i="60"/>
  <c r="AB241" i="60"/>
  <c r="AB234" i="60"/>
  <c r="AB242" i="60"/>
  <c r="AB253" i="60"/>
  <c r="L125" i="60" a="1"/>
  <c r="L125" i="60" s="1"/>
  <c r="L178" i="60" a="1"/>
  <c r="L178" i="60" s="1"/>
  <c r="AB239" i="60"/>
  <c r="D64" i="67"/>
  <c r="D65" i="67" s="1"/>
  <c r="AB231" i="60"/>
  <c r="AB164" i="60"/>
  <c r="AB163" i="60"/>
  <c r="AB156" i="60"/>
  <c r="AB186" i="60"/>
  <c r="AB249" i="60"/>
  <c r="AB245" i="60"/>
  <c r="AB159" i="60"/>
  <c r="AB255" i="60"/>
  <c r="AB161" i="60"/>
  <c r="AB254" i="60"/>
  <c r="L306" i="54"/>
  <c r="L337" i="54"/>
  <c r="AH184" i="86"/>
  <c r="AH193" i="86"/>
  <c r="L193" i="86" s="1"/>
  <c r="L187" i="86"/>
  <c r="L149" i="86"/>
  <c r="AH196" i="86"/>
  <c r="AH182" i="86"/>
  <c r="L182" i="86" s="1"/>
  <c r="H58" i="94"/>
  <c r="L48" i="94"/>
  <c r="H61" i="94"/>
  <c r="L51" i="94"/>
  <c r="F252" i="93"/>
  <c r="J252" i="93" s="1"/>
  <c r="H59" i="94"/>
  <c r="L49" i="94"/>
  <c r="H60" i="94"/>
  <c r="L50" i="94"/>
  <c r="F196" i="93"/>
  <c r="J196" i="93" s="1"/>
  <c r="K321" i="93"/>
  <c r="M332" i="93"/>
  <c r="E332" i="93"/>
  <c r="N43" i="93"/>
  <c r="N316" i="93"/>
  <c r="AB168" i="60"/>
  <c r="L168" i="60"/>
  <c r="AB170" i="60"/>
  <c r="L170" i="60"/>
  <c r="L146" i="93"/>
  <c r="O213" i="66"/>
  <c r="K478" i="58"/>
  <c r="K482" i="58"/>
  <c r="L540" i="2"/>
  <c r="I45" i="28"/>
  <c r="L321" i="54"/>
  <c r="L340" i="54"/>
  <c r="L339" i="54"/>
  <c r="AB172" i="60"/>
  <c r="L174" i="60"/>
  <c r="AB174" i="60"/>
  <c r="L191" i="86"/>
  <c r="AH191" i="86"/>
  <c r="AH187" i="86"/>
  <c r="L190" i="86"/>
  <c r="AH190" i="86"/>
  <c r="B84" i="28"/>
  <c r="P35" i="7"/>
  <c r="Q35" i="7"/>
  <c r="S34" i="7" s="1"/>
  <c r="T34" i="7" s="1"/>
  <c r="N395" i="2"/>
  <c r="N33" i="86"/>
  <c r="J145" i="86"/>
  <c r="N97" i="86"/>
  <c r="H54" i="94"/>
  <c r="N236" i="86"/>
  <c r="C85" i="46"/>
  <c r="N34" i="86"/>
  <c r="B53" i="94"/>
  <c r="B57" i="94" s="1"/>
  <c r="B62" i="94" s="1"/>
  <c r="H51" i="94"/>
  <c r="K42" i="93"/>
  <c r="D184" i="46"/>
  <c r="D168" i="46"/>
  <c r="D174" i="46"/>
  <c r="D263" i="46"/>
  <c r="D265" i="46" s="1"/>
  <c r="F43" i="46" s="1"/>
  <c r="D199" i="46"/>
  <c r="D175" i="46"/>
  <c r="D212" i="46"/>
  <c r="D214" i="46"/>
  <c r="D167" i="46"/>
  <c r="D172" i="46"/>
  <c r="D213" i="46"/>
  <c r="D170" i="46"/>
  <c r="C140" i="46"/>
  <c r="D187" i="46"/>
  <c r="D211" i="46"/>
  <c r="D171" i="46"/>
  <c r="D210" i="46"/>
  <c r="D176" i="46"/>
  <c r="D159" i="46"/>
  <c r="D183" i="46"/>
  <c r="D200" i="46"/>
  <c r="F45" i="46"/>
  <c r="D160" i="46"/>
  <c r="D179" i="46"/>
  <c r="D188" i="46"/>
  <c r="D181" i="46"/>
  <c r="D182" i="46"/>
  <c r="F56" i="46"/>
  <c r="C116" i="46"/>
  <c r="H26" i="94"/>
  <c r="C134" i="46"/>
  <c r="C92" i="46"/>
  <c r="E13" i="70"/>
  <c r="D13" i="71"/>
  <c r="F534" i="2"/>
  <c r="J534" i="2" s="1"/>
  <c r="F7" i="55"/>
  <c r="K274" i="54" s="1"/>
  <c r="C123" i="46"/>
  <c r="E15" i="70"/>
  <c r="E38" i="70" s="1"/>
  <c r="E40" i="70" s="1"/>
  <c r="C50" i="71"/>
  <c r="K1004" i="58"/>
  <c r="E16" i="6"/>
  <c r="F16" i="6" s="1"/>
  <c r="F15" i="6" s="1"/>
  <c r="F456" i="2"/>
  <c r="F458" i="2" s="1"/>
  <c r="F317" i="93"/>
  <c r="F321" i="93" s="1"/>
  <c r="L21" i="94"/>
  <c r="L22" i="94" s="1"/>
  <c r="K124" i="93"/>
  <c r="K344" i="93"/>
  <c r="E8" i="6"/>
  <c r="F492" i="2" s="1"/>
  <c r="F8" i="6"/>
  <c r="K492" i="2" s="1"/>
  <c r="J72" i="99"/>
  <c r="K72" i="99" s="1"/>
  <c r="F240" i="86"/>
  <c r="L53" i="66"/>
  <c r="M19" i="66"/>
  <c r="B79" i="28"/>
  <c r="S23" i="66"/>
  <c r="N35" i="86"/>
  <c r="N258" i="86"/>
  <c r="N295" i="86"/>
  <c r="N277" i="86"/>
  <c r="L151" i="86"/>
  <c r="N207" i="86"/>
  <c r="N99" i="86"/>
  <c r="D198" i="78"/>
  <c r="L126" i="60"/>
  <c r="H52" i="94"/>
  <c r="K126" i="93"/>
  <c r="J419" i="54"/>
  <c r="K419" i="54"/>
  <c r="N101" i="86"/>
  <c r="F308" i="86"/>
  <c r="J305" i="86"/>
  <c r="N196" i="86"/>
  <c r="E310" i="86"/>
  <c r="M310" i="86"/>
  <c r="N138" i="86"/>
  <c r="C67" i="62"/>
  <c r="K447" i="58"/>
  <c r="L159" i="93"/>
  <c r="B18" i="57"/>
  <c r="N326" i="2"/>
  <c r="L1004" i="2"/>
  <c r="N845" i="2"/>
  <c r="N421" i="2"/>
  <c r="N56" i="2"/>
  <c r="N415" i="2"/>
  <c r="C163" i="89"/>
  <c r="N433" i="54"/>
  <c r="N127" i="54"/>
  <c r="N150" i="54"/>
  <c r="N217" i="93"/>
  <c r="D12" i="99"/>
  <c r="E66" i="99" s="1"/>
  <c r="D81" i="99" s="1"/>
  <c r="E11" i="6"/>
  <c r="F71" i="2"/>
  <c r="E81" i="6"/>
  <c r="F136" i="2"/>
  <c r="F501" i="2"/>
  <c r="K995" i="2"/>
  <c r="K122" i="2"/>
  <c r="F151" i="2"/>
  <c r="E70" i="6"/>
  <c r="E94" i="6"/>
  <c r="F486" i="2" s="1"/>
  <c r="F488" i="2"/>
  <c r="F186" i="2"/>
  <c r="F188" i="2" s="1"/>
  <c r="F138" i="2"/>
  <c r="I69" i="66"/>
  <c r="K579" i="2"/>
  <c r="F73" i="2"/>
  <c r="K73" i="2"/>
  <c r="L37" i="60"/>
  <c r="C59" i="62"/>
  <c r="H22" i="94"/>
  <c r="L27" i="94"/>
  <c r="L25" i="94" s="1"/>
  <c r="E435" i="58"/>
  <c r="N122" i="54"/>
  <c r="N193" i="86"/>
  <c r="N37" i="60"/>
  <c r="H87" i="86"/>
  <c r="H327" i="86" s="1"/>
  <c r="H1" i="86" s="1"/>
  <c r="D135" i="32"/>
  <c r="N100" i="86"/>
  <c r="N36" i="86"/>
  <c r="N151" i="86"/>
  <c r="L170" i="86"/>
  <c r="L176" i="54"/>
  <c r="H31" i="94"/>
  <c r="J171" i="2"/>
  <c r="G69" i="60"/>
  <c r="G281" i="60" s="1"/>
  <c r="G1" i="60" s="1"/>
  <c r="N389" i="54"/>
  <c r="N136" i="86"/>
  <c r="N134" i="86"/>
  <c r="K141" i="93"/>
  <c r="H45" i="94"/>
  <c r="E64" i="93"/>
  <c r="K6" i="67"/>
  <c r="N61" i="2"/>
  <c r="N366" i="2"/>
  <c r="N681" i="2"/>
  <c r="N60" i="2"/>
  <c r="N702" i="2"/>
  <c r="C14" i="83"/>
  <c r="K24" i="67"/>
  <c r="K27" i="67"/>
  <c r="N178" i="2"/>
  <c r="N336" i="2"/>
  <c r="N391" i="2"/>
  <c r="C90" i="57"/>
  <c r="H51" i="28"/>
  <c r="K25" i="67"/>
  <c r="K31" i="67"/>
  <c r="N327" i="2"/>
  <c r="N499" i="2"/>
  <c r="N669" i="2"/>
  <c r="K26" i="67"/>
  <c r="K28" i="67"/>
  <c r="N62" i="2"/>
  <c r="N682" i="2"/>
  <c r="N668" i="2"/>
  <c r="N698" i="2"/>
  <c r="N118" i="2"/>
  <c r="N939" i="2"/>
  <c r="N58" i="2"/>
  <c r="N330" i="2"/>
  <c r="N352" i="2"/>
  <c r="N177" i="2"/>
  <c r="N360" i="2"/>
  <c r="N334" i="2"/>
  <c r="N667" i="2"/>
  <c r="N699" i="2"/>
  <c r="N390" i="2"/>
  <c r="N700" i="2"/>
  <c r="N670" i="2"/>
  <c r="N333" i="2"/>
  <c r="H41" i="28"/>
  <c r="H49" i="28"/>
  <c r="K23" i="67"/>
  <c r="N729" i="2"/>
  <c r="N367" i="2"/>
  <c r="N363" i="2"/>
  <c r="P448" i="58"/>
  <c r="J282" i="58"/>
  <c r="D18" i="25" s="1"/>
  <c r="P441" i="58"/>
  <c r="P443" i="58"/>
  <c r="D12" i="25"/>
  <c r="J12" i="25" s="1"/>
  <c r="N12" i="25" s="1"/>
  <c r="Q12" i="25" s="1"/>
  <c r="P440" i="58"/>
  <c r="D21" i="25"/>
  <c r="N912" i="2"/>
  <c r="F852" i="2"/>
  <c r="J861" i="2"/>
  <c r="F866" i="2"/>
  <c r="J876" i="2"/>
  <c r="F977" i="2"/>
  <c r="J999" i="2"/>
  <c r="B122" i="6"/>
  <c r="B125" i="6" s="1"/>
  <c r="B128" i="6" s="1"/>
  <c r="P232" i="93"/>
  <c r="X346" i="93"/>
  <c r="P227" i="93"/>
  <c r="P228" i="93" s="1"/>
  <c r="J193" i="54"/>
  <c r="K193" i="54"/>
  <c r="C11" i="103"/>
  <c r="C21" i="103"/>
  <c r="C16" i="77"/>
  <c r="C18" i="103"/>
  <c r="K10" i="54"/>
  <c r="J10" i="54"/>
  <c r="N173" i="54"/>
  <c r="C43" i="69"/>
  <c r="J520" i="54"/>
  <c r="N281" i="54"/>
  <c r="C19" i="103"/>
  <c r="C17" i="103"/>
  <c r="K201" i="54"/>
  <c r="C40" i="69"/>
  <c r="N285" i="54"/>
  <c r="N280" i="54"/>
  <c r="L283" i="54"/>
  <c r="C20" i="103"/>
  <c r="D43" i="69"/>
  <c r="N282" i="54"/>
  <c r="C16" i="103"/>
  <c r="J201" i="54"/>
  <c r="M34" i="55"/>
  <c r="C41" i="69"/>
  <c r="N172" i="54"/>
  <c r="J55" i="60"/>
  <c r="D55" i="67" s="1"/>
  <c r="D42" i="68"/>
  <c r="K55" i="60"/>
  <c r="L147" i="60"/>
  <c r="J59" i="60"/>
  <c r="G55" i="67" s="1"/>
  <c r="G56" i="67" s="1"/>
  <c r="C12" i="92"/>
  <c r="J224" i="60"/>
  <c r="N98" i="60"/>
  <c r="K31" i="60"/>
  <c r="F11" i="25" s="1"/>
  <c r="F172" i="86"/>
  <c r="C16" i="62"/>
  <c r="L116" i="60"/>
  <c r="K274" i="93"/>
  <c r="F889" i="2"/>
  <c r="J889" i="2" s="1"/>
  <c r="H24" i="94"/>
  <c r="F289" i="93"/>
  <c r="J289" i="93" s="1"/>
  <c r="H21" i="94"/>
  <c r="F197" i="93"/>
  <c r="J197" i="93" s="1"/>
  <c r="F273" i="93"/>
  <c r="J273" i="93" s="1"/>
  <c r="H23" i="94"/>
  <c r="N157" i="54"/>
  <c r="N152" i="54"/>
  <c r="C17" i="62"/>
  <c r="G17" i="62" s="1"/>
  <c r="K273" i="58"/>
  <c r="K888" i="2"/>
  <c r="F198" i="78"/>
  <c r="F438" i="58"/>
  <c r="F444" i="58"/>
  <c r="J444" i="58" s="1"/>
  <c r="N38" i="86"/>
  <c r="N39" i="86"/>
  <c r="N37" i="86"/>
  <c r="L59" i="86"/>
  <c r="P439" i="58"/>
  <c r="E1002" i="58"/>
  <c r="N254" i="54"/>
  <c r="N149" i="54"/>
  <c r="K296" i="60"/>
  <c r="D32" i="101"/>
  <c r="E153" i="2"/>
  <c r="E523" i="2"/>
  <c r="I411" i="6"/>
  <c r="I516" i="6"/>
  <c r="I405" i="6"/>
  <c r="I311" i="6"/>
  <c r="I428" i="6"/>
  <c r="I300" i="6"/>
  <c r="I290" i="6"/>
  <c r="I299" i="6"/>
  <c r="I511" i="6"/>
  <c r="I298" i="6"/>
  <c r="I297" i="6"/>
  <c r="E505" i="2"/>
  <c r="E511" i="2" s="1"/>
  <c r="I400" i="6"/>
  <c r="E169" i="2"/>
  <c r="I362" i="6"/>
  <c r="E180" i="2"/>
  <c r="I594" i="6"/>
  <c r="E22" i="2"/>
  <c r="E31" i="2" s="1"/>
  <c r="I334" i="6"/>
  <c r="I409" i="6"/>
  <c r="I419" i="6"/>
  <c r="I292" i="6"/>
  <c r="I394" i="6"/>
  <c r="E564" i="2"/>
  <c r="I414" i="6"/>
  <c r="I332" i="6"/>
  <c r="I484" i="6"/>
  <c r="I315" i="6"/>
  <c r="I418" i="6"/>
  <c r="I468" i="6"/>
  <c r="I507" i="6"/>
  <c r="E75" i="2"/>
  <c r="I413" i="6"/>
  <c r="I294" i="6"/>
  <c r="I487" i="6"/>
  <c r="I447" i="6"/>
  <c r="I377" i="6"/>
  <c r="E123" i="2"/>
  <c r="I515" i="6"/>
  <c r="I412" i="6"/>
  <c r="I406" i="6"/>
  <c r="I382" i="6"/>
  <c r="N166" i="2"/>
  <c r="I274" i="6"/>
  <c r="K12" i="67"/>
  <c r="N165" i="2"/>
  <c r="I319" i="6"/>
  <c r="I512" i="6"/>
  <c r="I517" i="6"/>
  <c r="N113" i="2"/>
  <c r="I463" i="6"/>
  <c r="I429" i="6"/>
  <c r="I359" i="6"/>
  <c r="I329" i="6"/>
  <c r="E595" i="2"/>
  <c r="E632" i="2" s="1"/>
  <c r="I288" i="6"/>
  <c r="I508" i="6"/>
  <c r="I518" i="6"/>
  <c r="N283" i="54"/>
  <c r="N170" i="60"/>
  <c r="N161" i="60"/>
  <c r="N11" i="60"/>
  <c r="N282" i="93"/>
  <c r="J10" i="93"/>
  <c r="J25" i="93" s="1"/>
  <c r="I75" i="67"/>
  <c r="N114" i="93"/>
  <c r="N294" i="93"/>
  <c r="N288" i="93"/>
  <c r="N122" i="93"/>
  <c r="N251" i="93"/>
  <c r="E75" i="67"/>
  <c r="E76" i="67" s="1"/>
  <c r="N188" i="93"/>
  <c r="C42" i="68"/>
  <c r="N275" i="60"/>
  <c r="G1037" i="58"/>
  <c r="I1037" i="58"/>
  <c r="F272" i="93"/>
  <c r="J272" i="93" s="1"/>
  <c r="H28" i="94"/>
  <c r="C23" i="62"/>
  <c r="D47" i="62" s="1"/>
  <c r="K10" i="86"/>
  <c r="K29" i="86" s="1"/>
  <c r="C7" i="88" s="1"/>
  <c r="H10" i="25" s="1"/>
  <c r="K184" i="93"/>
  <c r="L183" i="54"/>
  <c r="K241" i="58"/>
  <c r="N141" i="54"/>
  <c r="N253" i="60"/>
  <c r="K13" i="60"/>
  <c r="K16" i="60" s="1"/>
  <c r="C7" i="68" s="1"/>
  <c r="N32" i="86"/>
  <c r="K271" i="58"/>
  <c r="E61" i="60"/>
  <c r="C57" i="62"/>
  <c r="C56" i="62"/>
  <c r="J170" i="86"/>
  <c r="D42" i="88"/>
  <c r="L171" i="86"/>
  <c r="C42" i="88"/>
  <c r="H51" i="25" s="1"/>
  <c r="N171" i="86"/>
  <c r="N20" i="60"/>
  <c r="N92" i="60"/>
  <c r="N234" i="60"/>
  <c r="N206" i="60"/>
  <c r="N164" i="60"/>
  <c r="N255" i="60"/>
  <c r="N414" i="2"/>
  <c r="H38" i="28"/>
  <c r="K10" i="2"/>
  <c r="D9" i="7" s="1"/>
  <c r="H53" i="28"/>
  <c r="G25" i="28"/>
  <c r="N411" i="2"/>
  <c r="N418" i="2"/>
  <c r="K10" i="67"/>
  <c r="K9" i="67"/>
  <c r="H35" i="28"/>
  <c r="H40" i="28"/>
  <c r="N381" i="2"/>
  <c r="D25" i="7"/>
  <c r="J129" i="2"/>
  <c r="J10" i="2"/>
  <c r="C9" i="7" s="1"/>
  <c r="D25" i="13"/>
  <c r="L25" i="13" s="1"/>
  <c r="N423" i="2"/>
  <c r="K7" i="67"/>
  <c r="O106" i="2"/>
  <c r="N440" i="2"/>
  <c r="K8" i="67"/>
  <c r="H39" i="28"/>
  <c r="H47" i="28"/>
  <c r="H46" i="28"/>
  <c r="K11" i="67"/>
  <c r="K14" i="67"/>
  <c r="H42" i="28"/>
  <c r="K129" i="2"/>
  <c r="H37" i="28"/>
  <c r="H50" i="28"/>
  <c r="G26" i="28"/>
  <c r="H44" i="28"/>
  <c r="H34" i="28"/>
  <c r="H36" i="28"/>
  <c r="G190" i="2"/>
  <c r="G1010" i="2" s="1"/>
  <c r="G1" i="2" s="1"/>
  <c r="I190" i="2"/>
  <c r="I1010" i="2" s="1"/>
  <c r="I1" i="2" s="1"/>
  <c r="H190" i="2"/>
  <c r="H1010" i="2" s="1"/>
  <c r="H1011" i="2" s="1"/>
  <c r="F523" i="2"/>
  <c r="L173" i="54"/>
  <c r="N284" i="54"/>
  <c r="K627" i="2"/>
  <c r="AC47" i="69"/>
  <c r="AE48" i="69" s="1"/>
  <c r="N374" i="2"/>
  <c r="H80" i="71"/>
  <c r="N96" i="86"/>
  <c r="N240" i="60"/>
  <c r="H1037" i="58"/>
  <c r="N159" i="60"/>
  <c r="N236" i="54"/>
  <c r="N328" i="54"/>
  <c r="N252" i="54"/>
  <c r="N155" i="54"/>
  <c r="N36" i="54"/>
  <c r="N331" i="54"/>
  <c r="N256" i="54"/>
  <c r="E207" i="54"/>
  <c r="N325" i="54"/>
  <c r="L498" i="2"/>
  <c r="N251" i="54"/>
  <c r="E48" i="25"/>
  <c r="N122" i="60"/>
  <c r="N94" i="60"/>
  <c r="N188" i="60"/>
  <c r="N119" i="60"/>
  <c r="N231" i="60"/>
  <c r="N242" i="60"/>
  <c r="N191" i="60"/>
  <c r="N167" i="60"/>
  <c r="N110" i="60"/>
  <c r="J295" i="60"/>
  <c r="J302" i="60" s="1"/>
  <c r="K293" i="60"/>
  <c r="K148" i="60"/>
  <c r="F51" i="25" s="1"/>
  <c r="C43" i="68"/>
  <c r="N250" i="54"/>
  <c r="N147" i="60"/>
  <c r="N271" i="54"/>
  <c r="N269" i="54"/>
  <c r="N136" i="54"/>
  <c r="L184" i="86"/>
  <c r="H69" i="60"/>
  <c r="H281" i="60" s="1"/>
  <c r="I69" i="60"/>
  <c r="I281" i="60" s="1"/>
  <c r="I1" i="60" s="1"/>
  <c r="N237" i="60"/>
  <c r="N235" i="60"/>
  <c r="N254" i="60"/>
  <c r="N90" i="60"/>
  <c r="G352" i="93"/>
  <c r="H352" i="93"/>
  <c r="N126" i="60"/>
  <c r="N109" i="60"/>
  <c r="N183" i="60"/>
  <c r="N174" i="60"/>
  <c r="N97" i="60"/>
  <c r="N133" i="54"/>
  <c r="N332" i="54"/>
  <c r="N154" i="54"/>
  <c r="N320" i="54"/>
  <c r="N314" i="54"/>
  <c r="E51" i="25"/>
  <c r="N134" i="54"/>
  <c r="N244" i="54"/>
  <c r="N306" i="54"/>
  <c r="N131" i="54"/>
  <c r="F274" i="93"/>
  <c r="J274" i="93" s="1"/>
  <c r="H33" i="94"/>
  <c r="K148" i="2"/>
  <c r="K730" i="2"/>
  <c r="K742" i="2"/>
  <c r="K878" i="2"/>
  <c r="K636" i="2"/>
  <c r="K589" i="2"/>
  <c r="K648" i="2"/>
  <c r="K733" i="2"/>
  <c r="K655" i="2"/>
  <c r="K889" i="2"/>
  <c r="N315" i="54"/>
  <c r="N248" i="54"/>
  <c r="N246" i="54"/>
  <c r="N135" i="54"/>
  <c r="N317" i="54"/>
  <c r="N322" i="54"/>
  <c r="N153" i="54"/>
  <c r="N18" i="54"/>
  <c r="N176" i="54"/>
  <c r="E32" i="54"/>
  <c r="N261" i="54"/>
  <c r="P447" i="58"/>
  <c r="D51" i="25"/>
  <c r="N151" i="54"/>
  <c r="N409" i="2"/>
  <c r="N128" i="54"/>
  <c r="N137" i="54"/>
  <c r="N329" i="54"/>
  <c r="N184" i="86"/>
  <c r="K466" i="2"/>
  <c r="K101" i="2"/>
  <c r="K95" i="2"/>
  <c r="F992" i="2"/>
  <c r="J95" i="2"/>
  <c r="J101" i="2"/>
  <c r="B4" i="57"/>
  <c r="N278" i="54"/>
  <c r="D11" i="77"/>
  <c r="F878" i="2"/>
  <c r="J878" i="2" s="1"/>
  <c r="H18" i="94"/>
  <c r="F159" i="93"/>
  <c r="H14" i="94"/>
  <c r="F187" i="93"/>
  <c r="J187" i="93" s="1"/>
  <c r="F256" i="93"/>
  <c r="J256" i="93" s="1"/>
  <c r="H16" i="94"/>
  <c r="F279" i="93"/>
  <c r="J279" i="93" s="1"/>
  <c r="H15" i="94"/>
  <c r="B97" i="28"/>
  <c r="B30" i="61"/>
  <c r="B33" i="61" s="1"/>
  <c r="B36" i="61" s="1"/>
  <c r="B39" i="61" s="1"/>
  <c r="B42" i="61" s="1"/>
  <c r="B45" i="61" s="1"/>
  <c r="B48" i="61" s="1"/>
  <c r="B51" i="61" s="1"/>
  <c r="B54" i="61" s="1"/>
  <c r="B71" i="55"/>
  <c r="B74" i="55" s="1"/>
  <c r="K108" i="83"/>
  <c r="C35" i="88"/>
  <c r="G48" i="25"/>
  <c r="L499" i="2"/>
  <c r="L165" i="86"/>
  <c r="F589" i="2"/>
  <c r="J589" i="2" s="1"/>
  <c r="F636" i="2"/>
  <c r="F733" i="2"/>
  <c r="J733" i="2" s="1"/>
  <c r="F742" i="2"/>
  <c r="J742" i="2" s="1"/>
  <c r="F718" i="2"/>
  <c r="D32" i="71"/>
  <c r="D31" i="71"/>
  <c r="D33" i="71"/>
  <c r="D24" i="71"/>
  <c r="E49" i="71"/>
  <c r="D51" i="71"/>
  <c r="E45" i="71"/>
  <c r="E47" i="71"/>
  <c r="E43" i="71"/>
  <c r="J220" i="60"/>
  <c r="F570" i="2"/>
  <c r="N377" i="2"/>
  <c r="N146" i="60"/>
  <c r="I24" i="36"/>
  <c r="F584" i="2"/>
  <c r="J584" i="2" s="1"/>
  <c r="F916" i="2"/>
  <c r="J916" i="2" s="1"/>
  <c r="F881" i="2"/>
  <c r="J881" i="2" s="1"/>
  <c r="F657" i="2"/>
  <c r="J657" i="2" s="1"/>
  <c r="F591" i="2"/>
  <c r="J591" i="2" s="1"/>
  <c r="F743" i="2"/>
  <c r="J743" i="2" s="1"/>
  <c r="D34" i="25"/>
  <c r="J34" i="25" s="1"/>
  <c r="N34" i="25" s="1"/>
  <c r="I16" i="36" s="1"/>
  <c r="J719" i="58"/>
  <c r="H284" i="58"/>
  <c r="H452" i="58" s="1"/>
  <c r="E32" i="101"/>
  <c r="K343" i="86"/>
  <c r="N239" i="60"/>
  <c r="F149" i="66"/>
  <c r="E149" i="66"/>
  <c r="M149" i="66"/>
  <c r="I87" i="86"/>
  <c r="I327" i="86" s="1"/>
  <c r="C14" i="97"/>
  <c r="D10" i="88"/>
  <c r="J9" i="86"/>
  <c r="J272" i="86"/>
  <c r="E294" i="54"/>
  <c r="E309" i="54" s="1"/>
  <c r="M294" i="54"/>
  <c r="M309" i="54" s="1"/>
  <c r="N257" i="54"/>
  <c r="N554" i="2"/>
  <c r="N425" i="2"/>
  <c r="M488" i="54"/>
  <c r="E488" i="54"/>
  <c r="N445" i="2"/>
  <c r="N393" i="2"/>
  <c r="N407" i="2"/>
  <c r="K342" i="86"/>
  <c r="K366" i="86" s="1"/>
  <c r="N424" i="2"/>
  <c r="K432" i="58"/>
  <c r="F891" i="2"/>
  <c r="J891" i="2" s="1"/>
  <c r="N891" i="2" s="1"/>
  <c r="K173" i="2"/>
  <c r="K176" i="2"/>
  <c r="K179" i="2"/>
  <c r="K172" i="2"/>
  <c r="K704" i="2"/>
  <c r="K174" i="2"/>
  <c r="N401" i="2"/>
  <c r="N482" i="2"/>
  <c r="N443" i="2"/>
  <c r="N369" i="2"/>
  <c r="N394" i="2"/>
  <c r="H24" i="28"/>
  <c r="I43" i="28"/>
  <c r="N824" i="2"/>
  <c r="N947" i="2"/>
  <c r="I44" i="28"/>
  <c r="N829" i="2"/>
  <c r="N993" i="2"/>
  <c r="I42" i="28"/>
  <c r="H25" i="28"/>
  <c r="N953" i="2"/>
  <c r="N826" i="2"/>
  <c r="N944" i="2"/>
  <c r="I37" i="28"/>
  <c r="I34" i="28"/>
  <c r="I47" i="28"/>
  <c r="I52" i="28"/>
  <c r="J52" i="28" s="1"/>
  <c r="H26" i="28"/>
  <c r="N994" i="2"/>
  <c r="N825" i="2"/>
  <c r="N896" i="2"/>
  <c r="I40" i="28"/>
  <c r="N954" i="2"/>
  <c r="I49" i="28"/>
  <c r="I53" i="28"/>
  <c r="I38" i="28"/>
  <c r="N827" i="2"/>
  <c r="N850" i="2"/>
  <c r="N794" i="2"/>
  <c r="N899" i="2"/>
  <c r="N973" i="2"/>
  <c r="N955" i="2"/>
  <c r="I36" i="28"/>
  <c r="I51" i="28"/>
  <c r="I48" i="28"/>
  <c r="I50" i="28"/>
  <c r="I41" i="28"/>
  <c r="I46" i="28"/>
  <c r="I35" i="28"/>
  <c r="I39" i="28"/>
  <c r="G26" i="71"/>
  <c r="H50" i="71"/>
  <c r="G30" i="71"/>
  <c r="G29" i="71"/>
  <c r="G31" i="71"/>
  <c r="M136" i="66"/>
  <c r="D234" i="46" s="1"/>
  <c r="D221" i="46" s="1"/>
  <c r="D222" i="46" s="1"/>
  <c r="F44" i="46" s="1"/>
  <c r="C28" i="62"/>
  <c r="K275" i="58"/>
  <c r="H57" i="71"/>
  <c r="H63" i="71"/>
  <c r="H62" i="71"/>
  <c r="H58" i="71"/>
  <c r="H66" i="71"/>
  <c r="AY1082" i="58"/>
  <c r="H64" i="71"/>
  <c r="H75" i="71"/>
  <c r="AY1081" i="58"/>
  <c r="H60" i="71"/>
  <c r="H61" i="71"/>
  <c r="H77" i="71"/>
  <c r="J1050" i="58"/>
  <c r="J1061" i="58" s="1"/>
  <c r="H69" i="71"/>
  <c r="N219" i="60"/>
  <c r="AY1083" i="58"/>
  <c r="H65" i="71"/>
  <c r="H67" i="71"/>
  <c r="H71" i="71"/>
  <c r="H56" i="71"/>
  <c r="AY1079" i="58"/>
  <c r="H70" i="71"/>
  <c r="H78" i="71"/>
  <c r="AY1080" i="58"/>
  <c r="H76" i="71"/>
  <c r="H59" i="71"/>
  <c r="H68" i="71"/>
  <c r="I284" i="58"/>
  <c r="I452" i="58" s="1"/>
  <c r="G284" i="58"/>
  <c r="G452" i="58" s="1"/>
  <c r="E251" i="58"/>
  <c r="J186" i="86"/>
  <c r="J210" i="86"/>
  <c r="L164" i="86"/>
  <c r="N93" i="60"/>
  <c r="I352" i="93"/>
  <c r="N228" i="93"/>
  <c r="N241" i="60"/>
  <c r="N475" i="54"/>
  <c r="N385" i="54"/>
  <c r="N264" i="86"/>
  <c r="C173" i="89"/>
  <c r="N289" i="86"/>
  <c r="N274" i="86"/>
  <c r="N130" i="86"/>
  <c r="N299" i="86"/>
  <c r="N164" i="86"/>
  <c r="N133" i="86"/>
  <c r="N129" i="86"/>
  <c r="N256" i="86"/>
  <c r="N321" i="86"/>
  <c r="J148" i="86"/>
  <c r="F117" i="86"/>
  <c r="N281" i="86"/>
  <c r="J128" i="86"/>
  <c r="J235" i="86"/>
  <c r="K161" i="86"/>
  <c r="N216" i="86"/>
  <c r="N190" i="86"/>
  <c r="G87" i="86"/>
  <c r="G327" i="86" s="1"/>
  <c r="N149" i="86"/>
  <c r="E67" i="86"/>
  <c r="E87" i="86" s="1"/>
  <c r="C39" i="88"/>
  <c r="N123" i="60"/>
  <c r="N89" i="60"/>
  <c r="D16" i="77"/>
  <c r="G216" i="54"/>
  <c r="G507" i="54" s="1"/>
  <c r="G1" i="54" s="1"/>
  <c r="I216" i="54"/>
  <c r="I507" i="54" s="1"/>
  <c r="I1" i="54" s="1"/>
  <c r="J135" i="2"/>
  <c r="N435" i="54"/>
  <c r="N416" i="54"/>
  <c r="N448" i="54"/>
  <c r="N413" i="54"/>
  <c r="N474" i="54"/>
  <c r="N472" i="54"/>
  <c r="N409" i="54"/>
  <c r="N355" i="54"/>
  <c r="N473" i="54"/>
  <c r="N321" i="54"/>
  <c r="K301" i="60"/>
  <c r="N127" i="60"/>
  <c r="N432" i="54"/>
  <c r="N287" i="54"/>
  <c r="N270" i="54"/>
  <c r="N449" i="54"/>
  <c r="C33" i="89"/>
  <c r="N243" i="54"/>
  <c r="K20" i="54"/>
  <c r="N434" i="54"/>
  <c r="N253" i="54"/>
  <c r="N9" i="54"/>
  <c r="N124" i="54"/>
  <c r="N447" i="54"/>
  <c r="E402" i="54"/>
  <c r="N147" i="54"/>
  <c r="N340" i="54"/>
  <c r="N338" i="54"/>
  <c r="N304" i="54"/>
  <c r="N158" i="54"/>
  <c r="N339" i="54"/>
  <c r="N324" i="54"/>
  <c r="N199" i="54"/>
  <c r="E86" i="67"/>
  <c r="E87" i="67" s="1"/>
  <c r="H216" i="54"/>
  <c r="H507" i="54" s="1"/>
  <c r="N450" i="54"/>
  <c r="D15" i="77"/>
  <c r="K307" i="54"/>
  <c r="M207" i="54"/>
  <c r="N363" i="54"/>
  <c r="N427" i="54"/>
  <c r="E49" i="25"/>
  <c r="N349" i="54"/>
  <c r="N436" i="54"/>
  <c r="N247" i="54"/>
  <c r="N477" i="54"/>
  <c r="N156" i="54"/>
  <c r="N336" i="54"/>
  <c r="M402" i="54"/>
  <c r="N144" i="54"/>
  <c r="N10" i="60"/>
  <c r="C14" i="79"/>
  <c r="M48" i="60"/>
  <c r="N128" i="60"/>
  <c r="K220" i="60"/>
  <c r="AB220" i="60" s="1"/>
  <c r="N337" i="54"/>
  <c r="N176" i="60"/>
  <c r="N163" i="60"/>
  <c r="N464" i="54"/>
  <c r="N95" i="60"/>
  <c r="J148" i="60"/>
  <c r="J31" i="60"/>
  <c r="D8" i="68" s="1"/>
  <c r="D43" i="68"/>
  <c r="N145" i="60"/>
  <c r="E48" i="60"/>
  <c r="M265" i="60"/>
  <c r="M285" i="60" s="1"/>
  <c r="N111" i="60"/>
  <c r="F36" i="25"/>
  <c r="E265" i="60"/>
  <c r="E285" i="60" s="1"/>
  <c r="N252" i="60"/>
  <c r="M61" i="60"/>
  <c r="N257" i="60"/>
  <c r="N384" i="54"/>
  <c r="L284" i="54"/>
  <c r="N335" i="54"/>
  <c r="N172" i="60"/>
  <c r="N179" i="66"/>
  <c r="K149" i="66"/>
  <c r="G149" i="66"/>
  <c r="L149" i="66"/>
  <c r="M83" i="66"/>
  <c r="N17" i="54"/>
  <c r="N237" i="54"/>
  <c r="N353" i="54"/>
  <c r="N245" i="54"/>
  <c r="N123" i="54"/>
  <c r="L17" i="54"/>
  <c r="J504" i="54"/>
  <c r="D62" i="69" s="1"/>
  <c r="N245" i="60"/>
  <c r="N2" i="54"/>
  <c r="N120" i="60"/>
  <c r="N249" i="54"/>
  <c r="J521" i="54"/>
  <c r="J527" i="54" s="1"/>
  <c r="J20" i="54"/>
  <c r="J61" i="25"/>
  <c r="N61" i="25" s="1"/>
  <c r="Q61" i="25" s="1"/>
  <c r="H61" i="25"/>
  <c r="N121" i="54"/>
  <c r="O2" i="86"/>
  <c r="K314" i="86" s="1"/>
  <c r="N145" i="54"/>
  <c r="N128" i="2"/>
  <c r="N443" i="54"/>
  <c r="N120" i="54"/>
  <c r="N415" i="54"/>
  <c r="N226" i="93"/>
  <c r="D13" i="79"/>
  <c r="E13" i="79" s="1"/>
  <c r="D9" i="79"/>
  <c r="H48" i="25"/>
  <c r="N127" i="86"/>
  <c r="K172" i="86"/>
  <c r="N231" i="86"/>
  <c r="K198" i="86"/>
  <c r="J117" i="86"/>
  <c r="N216" i="93"/>
  <c r="N146" i="54"/>
  <c r="J13" i="60"/>
  <c r="J16" i="60" s="1"/>
  <c r="D7" i="68" s="1"/>
  <c r="N269" i="60"/>
  <c r="D39" i="95"/>
  <c r="N480" i="2"/>
  <c r="N613" i="2"/>
  <c r="N476" i="2"/>
  <c r="N478" i="2"/>
  <c r="D42" i="69"/>
  <c r="N119" i="54"/>
  <c r="N305" i="54"/>
  <c r="N500" i="54"/>
  <c r="B5" i="57"/>
  <c r="K520" i="54"/>
  <c r="C42" i="69"/>
  <c r="E712" i="2"/>
  <c r="M195" i="54"/>
  <c r="J86" i="60"/>
  <c r="D27" i="68" s="1"/>
  <c r="N904" i="2"/>
  <c r="N646" i="2"/>
  <c r="N139" i="54"/>
  <c r="N183" i="54"/>
  <c r="N132" i="54"/>
  <c r="L503" i="2"/>
  <c r="D19" i="46"/>
  <c r="N414" i="54"/>
  <c r="C15" i="77"/>
  <c r="N390" i="54"/>
  <c r="M135" i="60"/>
  <c r="M150" i="60" s="1"/>
  <c r="E135" i="60"/>
  <c r="E150" i="60" s="1"/>
  <c r="E195" i="54"/>
  <c r="M32" i="54"/>
  <c r="P442" i="58"/>
  <c r="D43" i="62"/>
  <c r="N428" i="2"/>
  <c r="D16" i="80"/>
  <c r="N54" i="60"/>
  <c r="N444" i="2"/>
  <c r="H8" i="46"/>
  <c r="AA55" i="25"/>
  <c r="J11" i="67"/>
  <c r="J15" i="67" s="1"/>
  <c r="AG47" i="69"/>
  <c r="AI48" i="69" s="1"/>
  <c r="C20" i="89"/>
  <c r="N161" i="2"/>
  <c r="N378" i="2"/>
  <c r="N905" i="2"/>
  <c r="N63" i="2"/>
  <c r="N605" i="2"/>
  <c r="N933" i="2"/>
  <c r="N840" i="2"/>
  <c r="N966" i="2"/>
  <c r="N897" i="2"/>
  <c r="N836" i="2"/>
  <c r="N232" i="93"/>
  <c r="J1052" i="58"/>
  <c r="J1063" i="58" s="1"/>
  <c r="P445" i="58"/>
  <c r="AB28" i="25"/>
  <c r="D21" i="46"/>
  <c r="K10" i="46"/>
  <c r="N376" i="2"/>
  <c r="N910" i="2"/>
  <c r="J468" i="2"/>
  <c r="J15" i="7" s="1"/>
  <c r="H4" i="83" s="1"/>
  <c r="N784" i="2"/>
  <c r="N79" i="2"/>
  <c r="N380" i="2"/>
  <c r="N965" i="2"/>
  <c r="N99" i="2"/>
  <c r="N785" i="2"/>
  <c r="N417" i="2"/>
  <c r="N890" i="2"/>
  <c r="N802" i="2"/>
  <c r="N822" i="2"/>
  <c r="N960" i="2"/>
  <c r="N793" i="2"/>
  <c r="N92" i="2"/>
  <c r="N612" i="2"/>
  <c r="N736" i="2"/>
  <c r="P40" i="7"/>
  <c r="N610" i="2"/>
  <c r="N450" i="2"/>
  <c r="N656" i="2"/>
  <c r="N435" i="2"/>
  <c r="N963" i="2"/>
  <c r="N454" i="2"/>
  <c r="N651" i="2"/>
  <c r="N66" i="2"/>
  <c r="N396" i="2"/>
  <c r="N900" i="2"/>
  <c r="K464" i="2"/>
  <c r="K14" i="7" s="1"/>
  <c r="N446" i="2"/>
  <c r="N91" i="2"/>
  <c r="N80" i="2"/>
  <c r="N105" i="2"/>
  <c r="N375" i="2"/>
  <c r="N104" i="2"/>
  <c r="N88" i="2"/>
  <c r="N592" i="2"/>
  <c r="N35" i="2"/>
  <c r="N941" i="2"/>
  <c r="N770" i="2"/>
  <c r="N640" i="2"/>
  <c r="N64" i="2"/>
  <c r="N792" i="2"/>
  <c r="N811" i="2"/>
  <c r="N719" i="2"/>
  <c r="N935" i="2"/>
  <c r="N163" i="2"/>
  <c r="N430" i="2"/>
  <c r="N603" i="2"/>
  <c r="N808" i="2"/>
  <c r="N441" i="2"/>
  <c r="N18" i="2"/>
  <c r="N608" i="2"/>
  <c r="N964" i="2"/>
  <c r="N19" i="2"/>
  <c r="N397" i="2"/>
  <c r="N774" i="2"/>
  <c r="N929" i="2"/>
  <c r="N103" i="2"/>
  <c r="N720" i="2"/>
  <c r="N606" i="2"/>
  <c r="N389" i="2"/>
  <c r="N100" i="2"/>
  <c r="N737" i="2"/>
  <c r="N587" i="2"/>
  <c r="N145" i="2"/>
  <c r="N541" i="2"/>
  <c r="N732" i="2"/>
  <c r="N481" i="2"/>
  <c r="N543" i="2"/>
  <c r="N433" i="2"/>
  <c r="N442" i="2"/>
  <c r="N536" i="2"/>
  <c r="P53" i="7"/>
  <c r="N160" i="2"/>
  <c r="N199" i="2"/>
  <c r="N1003" i="2"/>
  <c r="N431" i="2"/>
  <c r="N404" i="2"/>
  <c r="N791" i="2"/>
  <c r="N788" i="2"/>
  <c r="N572" i="2"/>
  <c r="N109" i="2"/>
  <c r="N898" i="2"/>
  <c r="N412" i="2"/>
  <c r="N787" i="2"/>
  <c r="N410" i="2"/>
  <c r="N387" i="2"/>
  <c r="N98" i="2"/>
  <c r="N65" i="2"/>
  <c r="N797" i="2"/>
  <c r="N957" i="2"/>
  <c r="N846" i="2"/>
  <c r="N598" i="2"/>
  <c r="N461" i="2"/>
  <c r="N460" i="2"/>
  <c r="N968" i="2"/>
  <c r="N842" i="2"/>
  <c r="N895" i="2"/>
  <c r="N392" i="2"/>
  <c r="N637" i="2"/>
  <c r="N17" i="2"/>
  <c r="N931" i="2"/>
  <c r="N408" i="2"/>
  <c r="N385" i="2"/>
  <c r="N540" i="2"/>
  <c r="N809" i="2"/>
  <c r="N795" i="2"/>
  <c r="N372" i="2"/>
  <c r="N498" i="2"/>
  <c r="N422" i="2"/>
  <c r="N832" i="2"/>
  <c r="N886" i="2"/>
  <c r="N400" i="2"/>
  <c r="N945" i="2"/>
  <c r="N773" i="2"/>
  <c r="N894" i="2"/>
  <c r="N844" i="2"/>
  <c r="N600" i="2"/>
  <c r="N1002" i="2"/>
  <c r="N961" i="2"/>
  <c r="N614" i="2"/>
  <c r="N609" i="2"/>
  <c r="N863" i="2"/>
  <c r="N462" i="2"/>
  <c r="N649" i="2"/>
  <c r="N437" i="2"/>
  <c r="N806" i="2"/>
  <c r="N653" i="2"/>
  <c r="N601" i="2"/>
  <c r="N379" i="2"/>
  <c r="N943" i="2"/>
  <c r="K22" i="2"/>
  <c r="N604" i="2"/>
  <c r="N146" i="2"/>
  <c r="N940" i="2"/>
  <c r="N835" i="2"/>
  <c r="N800" i="2"/>
  <c r="N388" i="2"/>
  <c r="N790" i="2"/>
  <c r="N798" i="2"/>
  <c r="N724" i="2"/>
  <c r="N839" i="2"/>
  <c r="N83" i="2"/>
  <c r="N477" i="2"/>
  <c r="G9" i="28"/>
  <c r="N901" i="2"/>
  <c r="N90" i="2"/>
  <c r="N68" i="2"/>
  <c r="N805" i="2"/>
  <c r="N521" i="2"/>
  <c r="N739" i="2"/>
  <c r="N974" i="2"/>
  <c r="N438" i="2"/>
  <c r="N405" i="2"/>
  <c r="N386" i="2"/>
  <c r="N370" i="2"/>
  <c r="N85" i="2"/>
  <c r="N771" i="2"/>
  <c r="N765" i="2"/>
  <c r="N804" i="2"/>
  <c r="N576" i="2"/>
  <c r="N420" i="2"/>
  <c r="N102" i="2"/>
  <c r="N86" i="2"/>
  <c r="N801" i="2"/>
  <c r="M31" i="2"/>
  <c r="N558" i="2"/>
  <c r="N531" i="2"/>
  <c r="N383" i="2"/>
  <c r="N611" i="2"/>
  <c r="N560" i="2"/>
  <c r="N384" i="2"/>
  <c r="J74" i="93"/>
  <c r="N544" i="2"/>
  <c r="N229" i="93"/>
  <c r="M83" i="93"/>
  <c r="N559" i="2"/>
  <c r="N453" i="2"/>
  <c r="N723" i="2"/>
  <c r="N553" i="2"/>
  <c r="N906" i="2"/>
  <c r="N550" i="2"/>
  <c r="N902" i="2"/>
  <c r="N751" i="2"/>
  <c r="N20" i="2"/>
  <c r="N799" i="2"/>
  <c r="N1001" i="2"/>
  <c r="Q53" i="7"/>
  <c r="S52" i="7" s="1"/>
  <c r="T52" i="7" s="1"/>
  <c r="N810" i="2"/>
  <c r="N439" i="2"/>
  <c r="N725" i="2"/>
  <c r="N403" i="2"/>
  <c r="N111" i="2"/>
  <c r="N187" i="2"/>
  <c r="N533" i="2"/>
  <c r="N789" i="2"/>
  <c r="N761" i="2"/>
  <c r="N775" i="2"/>
  <c r="Q40" i="7"/>
  <c r="S39" i="7" s="1"/>
  <c r="T39" i="7" s="1"/>
  <c r="N812" i="2"/>
  <c r="N546" i="2"/>
  <c r="N786" i="2"/>
  <c r="N892" i="2"/>
  <c r="N607" i="2"/>
  <c r="N159" i="2"/>
  <c r="N959" i="2"/>
  <c r="N767" i="2"/>
  <c r="N887" i="2"/>
  <c r="N164" i="2"/>
  <c r="N87" i="2"/>
  <c r="N970" i="2"/>
  <c r="N766" i="2"/>
  <c r="N561" i="2"/>
  <c r="N615" i="2"/>
  <c r="N833" i="2"/>
  <c r="N967" i="2"/>
  <c r="N537" i="2"/>
  <c r="N110" i="2"/>
  <c r="N519" i="2"/>
  <c r="N167" i="2"/>
  <c r="N635" i="2"/>
  <c r="N107" i="2"/>
  <c r="N574" i="2"/>
  <c r="C37" i="7"/>
  <c r="N575" i="2"/>
  <c r="N776" i="2"/>
  <c r="N956" i="2"/>
  <c r="N930" i="2"/>
  <c r="N602" i="2"/>
  <c r="N762" i="2"/>
  <c r="H9" i="28"/>
  <c r="N777" i="2"/>
  <c r="N903" i="2"/>
  <c r="N556" i="2"/>
  <c r="N616" i="2"/>
  <c r="N449" i="2"/>
  <c r="P39" i="7"/>
  <c r="N841" i="2"/>
  <c r="N599" i="2"/>
  <c r="J169" i="2"/>
  <c r="E17" i="67" s="1"/>
  <c r="N69" i="2"/>
  <c r="N548" i="2"/>
  <c r="N373" i="2"/>
  <c r="N67" i="2"/>
  <c r="N807" i="2"/>
  <c r="N573" i="2"/>
  <c r="N434" i="2"/>
  <c r="N880" i="2"/>
  <c r="N84" i="2"/>
  <c r="N958" i="2"/>
  <c r="N727" i="2"/>
  <c r="N15" i="2"/>
  <c r="N760" i="2"/>
  <c r="N893" i="2"/>
  <c r="N946" i="2"/>
  <c r="H43" i="28"/>
  <c r="N436" i="2"/>
  <c r="N864" i="2"/>
  <c r="N162" i="2"/>
  <c r="N768" i="2"/>
  <c r="N451" i="2"/>
  <c r="N483" i="2"/>
  <c r="N753" i="2"/>
  <c r="N772" i="2"/>
  <c r="N778" i="2"/>
  <c r="N115" i="2"/>
  <c r="U1005" i="2"/>
  <c r="N862" i="2"/>
  <c r="K169" i="2"/>
  <c r="E34" i="67" s="1"/>
  <c r="N769" i="2"/>
  <c r="Q39" i="7"/>
  <c r="S38" i="7" s="1"/>
  <c r="T38" i="7" s="1"/>
  <c r="K866" i="2"/>
  <c r="N865" i="2"/>
  <c r="Q51" i="7"/>
  <c r="S50" i="7" s="1"/>
  <c r="T50" i="7" s="1"/>
  <c r="K618" i="2"/>
  <c r="N843" i="2"/>
  <c r="K13" i="7"/>
  <c r="C32" i="25" s="1"/>
  <c r="N942" i="2"/>
  <c r="N484" i="2"/>
  <c r="K852" i="2"/>
  <c r="M511" i="2"/>
  <c r="M525" i="2" s="1"/>
  <c r="M19" i="7"/>
  <c r="M155" i="2"/>
  <c r="N932" i="2"/>
  <c r="N557" i="2"/>
  <c r="N108" i="2"/>
  <c r="M182" i="2"/>
  <c r="M871" i="2"/>
  <c r="E871" i="2"/>
  <c r="E987" i="2"/>
  <c r="N270" i="93"/>
  <c r="N190" i="93"/>
  <c r="N120" i="93"/>
  <c r="N186" i="93"/>
  <c r="N227" i="93"/>
  <c r="N121" i="93"/>
  <c r="AF47" i="69"/>
  <c r="AH48" i="69" s="1"/>
  <c r="N287" i="93"/>
  <c r="N219" i="93"/>
  <c r="N37" i="93"/>
  <c r="N36" i="93"/>
  <c r="J166" i="93"/>
  <c r="C39" i="95"/>
  <c r="G196" i="78"/>
  <c r="AB55" i="25"/>
  <c r="N231" i="93"/>
  <c r="N346" i="93"/>
  <c r="N271" i="93"/>
  <c r="N343" i="93"/>
  <c r="N230" i="93"/>
  <c r="N198" i="93"/>
  <c r="N139" i="93"/>
  <c r="N195" i="93"/>
  <c r="E153" i="93"/>
  <c r="E168" i="93" s="1"/>
  <c r="N199" i="93"/>
  <c r="M153" i="93"/>
  <c r="M168" i="93" s="1"/>
  <c r="J220" i="93"/>
  <c r="N236" i="93"/>
  <c r="C7" i="95"/>
  <c r="J63" i="99" s="1"/>
  <c r="C6" i="62"/>
  <c r="E243" i="93"/>
  <c r="J45" i="93"/>
  <c r="M243" i="93"/>
  <c r="N275" i="93"/>
  <c r="N183" i="93"/>
  <c r="E76" i="93"/>
  <c r="N218" i="93"/>
  <c r="K220" i="93"/>
  <c r="N35" i="93"/>
  <c r="N233" i="93"/>
  <c r="N138" i="93"/>
  <c r="N253" i="93"/>
  <c r="N92" i="93"/>
  <c r="N223" i="93"/>
  <c r="J148" i="93"/>
  <c r="N68" i="93"/>
  <c r="K70" i="93"/>
  <c r="K117" i="93"/>
  <c r="D27" i="95" s="1"/>
  <c r="K57" i="93"/>
  <c r="N146" i="93"/>
  <c r="K148" i="93"/>
  <c r="N9" i="93"/>
  <c r="K10" i="93"/>
  <c r="K25" i="93" s="1"/>
  <c r="D7" i="95"/>
  <c r="N164" i="93"/>
  <c r="K166" i="93"/>
  <c r="N119" i="93"/>
  <c r="J70" i="93"/>
  <c r="F32" i="54"/>
  <c r="F207" i="54"/>
  <c r="J523" i="2"/>
  <c r="E265" i="58"/>
  <c r="M67" i="86"/>
  <c r="M87" i="86" s="1"/>
  <c r="M157" i="86"/>
  <c r="M174" i="86" s="1"/>
  <c r="M243" i="86"/>
  <c r="M334" i="86" s="1"/>
  <c r="N150" i="86"/>
  <c r="N191" i="86"/>
  <c r="W28" i="25"/>
  <c r="AI28" i="25" s="1"/>
  <c r="AJ28" i="25" s="1"/>
  <c r="J259" i="58"/>
  <c r="N520" i="2"/>
  <c r="K523" i="2"/>
  <c r="N187" i="86"/>
  <c r="E157" i="86"/>
  <c r="E174" i="86" s="1"/>
  <c r="N182" i="86"/>
  <c r="N253" i="86"/>
  <c r="J342" i="86"/>
  <c r="J366" i="86" s="1"/>
  <c r="E243" i="86"/>
  <c r="E334" i="86" s="1"/>
  <c r="J659" i="58"/>
  <c r="L501" i="2"/>
  <c r="K274" i="58"/>
  <c r="J1019" i="58"/>
  <c r="J13" i="58"/>
  <c r="D10" i="25" s="1"/>
  <c r="J770" i="58"/>
  <c r="N144" i="2"/>
  <c r="E727" i="58"/>
  <c r="C13" i="62"/>
  <c r="D14" i="25"/>
  <c r="J263" i="58"/>
  <c r="I46" i="67"/>
  <c r="I47" i="67" s="1"/>
  <c r="J1030" i="58"/>
  <c r="J1048" i="58" s="1"/>
  <c r="D54" i="70"/>
  <c r="D36" i="25"/>
  <c r="C14" i="62"/>
  <c r="D42" i="62" s="1"/>
  <c r="L172" i="54"/>
  <c r="N9" i="2"/>
  <c r="D50" i="25"/>
  <c r="J50" i="25" s="1"/>
  <c r="N50" i="25" s="1"/>
  <c r="Q50" i="25" s="1"/>
  <c r="I22" i="36"/>
  <c r="J1044" i="58"/>
  <c r="C71" i="62"/>
  <c r="F61" i="60"/>
  <c r="AA28" i="25"/>
  <c r="C27" i="68"/>
  <c r="F32" i="25"/>
  <c r="B70" i="28"/>
  <c r="N189" i="54"/>
  <c r="N568" i="2"/>
  <c r="AB47" i="69"/>
  <c r="AD48" i="69" s="1"/>
  <c r="G190" i="78"/>
  <c r="G184" i="78"/>
  <c r="N16" i="54"/>
  <c r="J671" i="58"/>
  <c r="C90" i="25"/>
  <c r="C91" i="25" s="1"/>
  <c r="C92" i="25" s="1"/>
  <c r="G24" i="28"/>
  <c r="J852" i="2"/>
  <c r="N759" i="2"/>
  <c r="J977" i="2"/>
  <c r="N928" i="2"/>
  <c r="P51" i="7"/>
  <c r="N472" i="2"/>
  <c r="J464" i="2"/>
  <c r="J14" i="7" s="1"/>
  <c r="H55" i="71"/>
  <c r="J662" i="58"/>
  <c r="N156" i="60"/>
  <c r="E44" i="67"/>
  <c r="J43" i="67"/>
  <c r="J44" i="67" s="1"/>
  <c r="N530" i="2"/>
  <c r="J13" i="7"/>
  <c r="J296" i="60"/>
  <c r="J278" i="60"/>
  <c r="D62" i="68" s="1"/>
  <c r="N229" i="60"/>
  <c r="N411" i="54"/>
  <c r="D40" i="69"/>
  <c r="N302" i="54"/>
  <c r="N226" i="54"/>
  <c r="W55" i="25"/>
  <c r="AI53" i="25"/>
  <c r="AJ53" i="25" s="1"/>
  <c r="H33" i="28"/>
  <c r="J749" i="2"/>
  <c r="P42" i="7" s="1"/>
  <c r="J205" i="54"/>
  <c r="I86" i="67"/>
  <c r="N717" i="2"/>
  <c r="J618" i="2"/>
  <c r="P16" i="7" s="1"/>
  <c r="N597" i="2"/>
  <c r="J22" i="2"/>
  <c r="H180" i="57" l="1"/>
  <c r="E19" i="36"/>
  <c r="C47" i="36" s="1"/>
  <c r="C186" i="57"/>
  <c r="B157" i="57"/>
  <c r="E22" i="36"/>
  <c r="J22" i="36" s="1"/>
  <c r="E24" i="36"/>
  <c r="J24" i="36" s="1"/>
  <c r="E16" i="36"/>
  <c r="J16" i="36" s="1"/>
  <c r="N314" i="86"/>
  <c r="K317" i="86"/>
  <c r="H120" i="87"/>
  <c r="K103" i="86"/>
  <c r="K112" i="86"/>
  <c r="K305" i="86"/>
  <c r="K204" i="86"/>
  <c r="B131" i="6"/>
  <c r="B134" i="6" s="1"/>
  <c r="B137" i="6" s="1"/>
  <c r="B140" i="6" s="1"/>
  <c r="B144" i="6" s="1"/>
  <c r="B147" i="6" s="1"/>
  <c r="B153" i="6" s="1"/>
  <c r="B161" i="6" s="1"/>
  <c r="B164" i="6" s="1"/>
  <c r="B167" i="6" s="1"/>
  <c r="B170" i="6" s="1"/>
  <c r="B189" i="6" s="1"/>
  <c r="B202" i="6" s="1"/>
  <c r="B205" i="6" s="1"/>
  <c r="B215" i="6" s="1"/>
  <c r="B218" i="6" s="1"/>
  <c r="B230" i="6" s="1"/>
  <c r="B233" i="6" s="1"/>
  <c r="B236" i="6" s="1"/>
  <c r="E52" i="87"/>
  <c r="O91" i="66"/>
  <c r="B65" i="57" s="1"/>
  <c r="E57" i="87"/>
  <c r="O100" i="66"/>
  <c r="E59" i="87"/>
  <c r="E58" i="87"/>
  <c r="E56" i="87"/>
  <c r="E45" i="87"/>
  <c r="M49" i="87"/>
  <c r="M50" i="87"/>
  <c r="M48" i="87"/>
  <c r="N184" i="60"/>
  <c r="N196" i="93"/>
  <c r="N252" i="93"/>
  <c r="N734" i="2"/>
  <c r="N879" i="2"/>
  <c r="E121" i="55"/>
  <c r="F128" i="55"/>
  <c r="F125" i="55"/>
  <c r="H125" i="55" s="1"/>
  <c r="F11" i="55"/>
  <c r="H11" i="55" s="1"/>
  <c r="F10" i="55"/>
  <c r="H10" i="55" s="1"/>
  <c r="H174" i="6"/>
  <c r="F571" i="2"/>
  <c r="J571" i="2" s="1"/>
  <c r="H175" i="6"/>
  <c r="F590" i="2"/>
  <c r="J590" i="2" s="1"/>
  <c r="J45" i="28"/>
  <c r="AM569" i="2"/>
  <c r="N578" i="2"/>
  <c r="AM579" i="2"/>
  <c r="N741" i="2"/>
  <c r="H56" i="28"/>
  <c r="F12" i="87"/>
  <c r="F11" i="87" s="1"/>
  <c r="K350" i="86"/>
  <c r="K367" i="86"/>
  <c r="K374" i="86" s="1"/>
  <c r="N569" i="2"/>
  <c r="F82" i="87"/>
  <c r="K152" i="86" s="1"/>
  <c r="O96" i="66"/>
  <c r="E53" i="87"/>
  <c r="F91" i="87"/>
  <c r="F94" i="87"/>
  <c r="F89" i="87"/>
  <c r="E85" i="87"/>
  <c r="E84" i="87"/>
  <c r="E86" i="87"/>
  <c r="M91" i="87" s="1"/>
  <c r="D254" i="46"/>
  <c r="D255" i="46" s="1"/>
  <c r="D256" i="46" s="1"/>
  <c r="D258" i="46" s="1"/>
  <c r="F42" i="46" s="1"/>
  <c r="E149" i="55"/>
  <c r="O164" i="66"/>
  <c r="O165" i="66" s="1"/>
  <c r="E146" i="55"/>
  <c r="F350" i="54" s="1"/>
  <c r="J350" i="54" s="1"/>
  <c r="E54" i="55"/>
  <c r="E55" i="55" s="1"/>
  <c r="J146" i="86"/>
  <c r="L186" i="86"/>
  <c r="L148" i="86"/>
  <c r="N124" i="93"/>
  <c r="N42" i="93"/>
  <c r="F17" i="55"/>
  <c r="F18" i="55" s="1"/>
  <c r="AH186" i="86"/>
  <c r="K45" i="93"/>
  <c r="H55" i="94"/>
  <c r="D201" i="46"/>
  <c r="D203" i="46" s="1"/>
  <c r="F41" i="46" s="1"/>
  <c r="D215" i="46"/>
  <c r="F33" i="46" s="1"/>
  <c r="D189" i="46"/>
  <c r="D190" i="46" s="1"/>
  <c r="D191" i="46" s="1"/>
  <c r="F35" i="46" s="1"/>
  <c r="E46" i="67"/>
  <c r="E47" i="67" s="1"/>
  <c r="C145" i="46"/>
  <c r="C146" i="46" s="1"/>
  <c r="C148" i="46" s="1"/>
  <c r="C141" i="46" s="1"/>
  <c r="C142" i="46" s="1"/>
  <c r="F46" i="46" s="1"/>
  <c r="S25" i="66"/>
  <c r="M53" i="66"/>
  <c r="N344" i="93"/>
  <c r="L123" i="60"/>
  <c r="G70" i="61"/>
  <c r="E70" i="61" s="1"/>
  <c r="F98" i="61"/>
  <c r="F95" i="61"/>
  <c r="F64" i="87"/>
  <c r="H64" i="87" s="1"/>
  <c r="F7" i="87"/>
  <c r="E34" i="87"/>
  <c r="E35" i="87" s="1"/>
  <c r="J317" i="93"/>
  <c r="F41" i="55"/>
  <c r="F42" i="55" s="1"/>
  <c r="G102" i="55"/>
  <c r="E102" i="55" s="1"/>
  <c r="F124" i="55"/>
  <c r="F112" i="55"/>
  <c r="F113" i="55" s="1"/>
  <c r="F150" i="55"/>
  <c r="N126" i="93"/>
  <c r="F368" i="54"/>
  <c r="J368" i="54" s="1"/>
  <c r="B17" i="80"/>
  <c r="F48" i="87"/>
  <c r="F49" i="87" s="1"/>
  <c r="D104" i="99"/>
  <c r="I63" i="99"/>
  <c r="K63" i="99" s="1"/>
  <c r="I1033" i="58"/>
  <c r="I1" i="58" s="1"/>
  <c r="F138" i="55"/>
  <c r="N289" i="93"/>
  <c r="J308" i="86"/>
  <c r="F90" i="61"/>
  <c r="H90" i="61" s="1"/>
  <c r="F83" i="61"/>
  <c r="E31" i="61"/>
  <c r="E32" i="61" s="1"/>
  <c r="F31" i="87"/>
  <c r="F32" i="87" s="1"/>
  <c r="J180" i="2"/>
  <c r="I17" i="67" s="1"/>
  <c r="I18" i="67" s="1"/>
  <c r="K75" i="2"/>
  <c r="D19" i="7" s="1"/>
  <c r="C11" i="25" s="1"/>
  <c r="K16" i="7"/>
  <c r="K143" i="93"/>
  <c r="F148" i="57" s="1"/>
  <c r="F63" i="87"/>
  <c r="H63" i="87" s="1"/>
  <c r="F62" i="87"/>
  <c r="F79" i="87"/>
  <c r="H38" i="55"/>
  <c r="K391" i="54"/>
  <c r="J151" i="2"/>
  <c r="F75" i="2"/>
  <c r="F141" i="2"/>
  <c r="N579" i="2"/>
  <c r="I54" i="99"/>
  <c r="I57" i="99" s="1"/>
  <c r="E57" i="99"/>
  <c r="J73" i="2"/>
  <c r="J492" i="2"/>
  <c r="F68" i="87"/>
  <c r="H68" i="87" s="1"/>
  <c r="F67" i="87"/>
  <c r="F69" i="87"/>
  <c r="H69" i="87" s="1"/>
  <c r="F70" i="87"/>
  <c r="H70" i="87" s="1"/>
  <c r="F66" i="87"/>
  <c r="F75" i="87"/>
  <c r="F74" i="87"/>
  <c r="H74" i="87" s="1"/>
  <c r="F73" i="87"/>
  <c r="H73" i="87" s="1"/>
  <c r="F76" i="87"/>
  <c r="K257" i="86"/>
  <c r="K276" i="86"/>
  <c r="F72" i="87"/>
  <c r="H72" i="87" s="1"/>
  <c r="F4" i="61"/>
  <c r="F5" i="61" s="1"/>
  <c r="H5" i="61" s="1"/>
  <c r="G1033" i="58"/>
  <c r="G1" i="58" s="1"/>
  <c r="F61" i="87"/>
  <c r="E69" i="60"/>
  <c r="E281" i="60" s="1"/>
  <c r="E1" i="60" s="1"/>
  <c r="E83" i="93"/>
  <c r="J32" i="54"/>
  <c r="D7" i="69" s="1"/>
  <c r="K72" i="93"/>
  <c r="H46" i="94"/>
  <c r="J51" i="28"/>
  <c r="J41" i="28"/>
  <c r="J49" i="28"/>
  <c r="L135" i="2"/>
  <c r="N743" i="2"/>
  <c r="N999" i="2"/>
  <c r="N591" i="2"/>
  <c r="N876" i="2"/>
  <c r="N916" i="2"/>
  <c r="N657" i="2"/>
  <c r="N881" i="2"/>
  <c r="H48" i="28"/>
  <c r="J48" i="28" s="1"/>
  <c r="N584" i="2"/>
  <c r="E35" i="67"/>
  <c r="C47" i="91"/>
  <c r="N273" i="93"/>
  <c r="N861" i="2"/>
  <c r="J866" i="2"/>
  <c r="N866" i="2" s="1"/>
  <c r="J636" i="2"/>
  <c r="J718" i="2"/>
  <c r="J992" i="2"/>
  <c r="C8" i="68"/>
  <c r="E8" i="68" s="1"/>
  <c r="C20" i="77"/>
  <c r="C21" i="77" s="1"/>
  <c r="M520" i="54"/>
  <c r="J207" i="54"/>
  <c r="K32" i="54"/>
  <c r="E10" i="25" s="1"/>
  <c r="N274" i="93"/>
  <c r="N197" i="93"/>
  <c r="N272" i="93"/>
  <c r="E42" i="68"/>
  <c r="N55" i="60"/>
  <c r="J61" i="60"/>
  <c r="D49" i="62"/>
  <c r="B60" i="61"/>
  <c r="B57" i="61"/>
  <c r="B63" i="61" s="1"/>
  <c r="N889" i="2"/>
  <c r="F77" i="61"/>
  <c r="F78" i="61" s="1"/>
  <c r="E28" i="61"/>
  <c r="F28" i="87"/>
  <c r="F29" i="87" s="1"/>
  <c r="K36" i="7"/>
  <c r="C51" i="25" s="1"/>
  <c r="F115" i="55"/>
  <c r="D49" i="25"/>
  <c r="J49" i="25" s="1"/>
  <c r="N49" i="25" s="1"/>
  <c r="Q49" i="25" s="1"/>
  <c r="I23" i="36"/>
  <c r="P444" i="58"/>
  <c r="F450" i="58"/>
  <c r="J438" i="58"/>
  <c r="H1033" i="58"/>
  <c r="H1034" i="58" s="1"/>
  <c r="F44" i="55"/>
  <c r="F45" i="55" s="1"/>
  <c r="J71" i="2"/>
  <c r="Q19" i="7"/>
  <c r="S19" i="7" s="1"/>
  <c r="T19" i="7" s="1"/>
  <c r="E525" i="2"/>
  <c r="E182" i="2"/>
  <c r="E155" i="2"/>
  <c r="N129" i="2"/>
  <c r="J75" i="67"/>
  <c r="N279" i="93"/>
  <c r="N256" i="93"/>
  <c r="N187" i="93"/>
  <c r="F10" i="25"/>
  <c r="D39" i="88"/>
  <c r="N9" i="86"/>
  <c r="J172" i="86"/>
  <c r="N170" i="86"/>
  <c r="D27" i="13"/>
  <c r="J38" i="28"/>
  <c r="J39" i="28"/>
  <c r="F47" i="55"/>
  <c r="J42" i="28"/>
  <c r="K31" i="2"/>
  <c r="J36" i="28"/>
  <c r="J36" i="7"/>
  <c r="J40" i="28"/>
  <c r="J37" i="28"/>
  <c r="J35" i="28"/>
  <c r="J53" i="28"/>
  <c r="I26" i="28"/>
  <c r="B9" i="7"/>
  <c r="J46" i="28"/>
  <c r="N10" i="2"/>
  <c r="I25" i="28"/>
  <c r="J44" i="28"/>
  <c r="J34" i="28"/>
  <c r="J47" i="28"/>
  <c r="J50" i="28"/>
  <c r="N176" i="2"/>
  <c r="N173" i="2"/>
  <c r="K468" i="2"/>
  <c r="K15" i="7" s="1"/>
  <c r="O99" i="2"/>
  <c r="N174" i="2"/>
  <c r="O93" i="2"/>
  <c r="D37" i="7"/>
  <c r="C20" i="25" s="1"/>
  <c r="J20" i="25" s="1"/>
  <c r="N20" i="25" s="1"/>
  <c r="Q20" i="25" s="1"/>
  <c r="N172" i="2"/>
  <c r="N179" i="2"/>
  <c r="N627" i="2"/>
  <c r="J570" i="2"/>
  <c r="E43" i="68"/>
  <c r="E216" i="54"/>
  <c r="G66" i="28"/>
  <c r="F22" i="61"/>
  <c r="F23" i="61" s="1"/>
  <c r="N742" i="2"/>
  <c r="N648" i="2"/>
  <c r="N655" i="2"/>
  <c r="N730" i="2"/>
  <c r="N148" i="2"/>
  <c r="N589" i="2"/>
  <c r="H34" i="94"/>
  <c r="F141" i="93"/>
  <c r="N733" i="2"/>
  <c r="N878" i="2"/>
  <c r="K962" i="2"/>
  <c r="K570" i="2"/>
  <c r="F888" i="2"/>
  <c r="J888" i="2" s="1"/>
  <c r="N466" i="2"/>
  <c r="H42" i="87"/>
  <c r="N272" i="86"/>
  <c r="N101" i="2"/>
  <c r="B6" i="57"/>
  <c r="B9" i="57" s="1"/>
  <c r="K882" i="2"/>
  <c r="K917" i="2"/>
  <c r="K593" i="2"/>
  <c r="H17" i="77"/>
  <c r="E73" i="61"/>
  <c r="E74" i="61"/>
  <c r="G70" i="28"/>
  <c r="F161" i="93"/>
  <c r="J159" i="93"/>
  <c r="E18" i="87"/>
  <c r="M41" i="87" s="1"/>
  <c r="E19" i="87"/>
  <c r="M42" i="87" s="1"/>
  <c r="E20" i="87"/>
  <c r="K456" i="2"/>
  <c r="F752" i="2"/>
  <c r="F755" i="2" s="1"/>
  <c r="G68" i="28"/>
  <c r="K48" i="25"/>
  <c r="B77" i="55"/>
  <c r="B80" i="55" s="1"/>
  <c r="B83" i="55" s="1"/>
  <c r="B86" i="55" s="1"/>
  <c r="H43" i="25"/>
  <c r="C36" i="88"/>
  <c r="J501" i="2"/>
  <c r="J136" i="2"/>
  <c r="E50" i="55"/>
  <c r="H50" i="55" s="1"/>
  <c r="E51" i="55"/>
  <c r="H51" i="55" s="1"/>
  <c r="E52" i="55"/>
  <c r="K534" i="2"/>
  <c r="D35" i="71"/>
  <c r="E50" i="71"/>
  <c r="B23" i="28"/>
  <c r="B24" i="28" s="1"/>
  <c r="Q34" i="25"/>
  <c r="N136" i="66"/>
  <c r="C8" i="83"/>
  <c r="D63" i="83"/>
  <c r="G27" i="71"/>
  <c r="H51" i="71"/>
  <c r="F703" i="2"/>
  <c r="K175" i="2"/>
  <c r="F341" i="58"/>
  <c r="F209" i="58"/>
  <c r="N149" i="66"/>
  <c r="O179" i="66"/>
  <c r="I1" i="86"/>
  <c r="I328" i="86"/>
  <c r="N210" i="86"/>
  <c r="J10" i="86"/>
  <c r="J29" i="86" s="1"/>
  <c r="D7" i="88" s="1"/>
  <c r="H328" i="86"/>
  <c r="N704" i="2"/>
  <c r="K748" i="2"/>
  <c r="K171" i="2"/>
  <c r="C17" i="80"/>
  <c r="H27" i="55"/>
  <c r="K368" i="54"/>
  <c r="N186" i="86"/>
  <c r="H27" i="28"/>
  <c r="J43" i="28"/>
  <c r="Q16" i="7"/>
  <c r="S16" i="7" s="1"/>
  <c r="T16" i="7" s="1"/>
  <c r="G32" i="71"/>
  <c r="H79" i="71"/>
  <c r="H83" i="71" s="1"/>
  <c r="AY1084" i="58"/>
  <c r="J1051" i="58"/>
  <c r="J1058" i="58" s="1"/>
  <c r="E284" i="58"/>
  <c r="E452" i="58" s="1"/>
  <c r="J76" i="93"/>
  <c r="F31" i="62"/>
  <c r="J240" i="86"/>
  <c r="N128" i="86"/>
  <c r="N148" i="86"/>
  <c r="F166" i="86"/>
  <c r="K337" i="86"/>
  <c r="K361" i="86" s="1"/>
  <c r="L13" i="87"/>
  <c r="G328" i="86"/>
  <c r="G1" i="86"/>
  <c r="C52" i="88"/>
  <c r="H64" i="25" s="1"/>
  <c r="M69" i="60"/>
  <c r="D20" i="77"/>
  <c r="H19" i="77" s="1"/>
  <c r="K481" i="54" s="1"/>
  <c r="J149" i="2"/>
  <c r="E511" i="54"/>
  <c r="F428" i="54"/>
  <c r="J428" i="54" s="1"/>
  <c r="F444" i="54"/>
  <c r="J444" i="54" s="1"/>
  <c r="F165" i="66"/>
  <c r="H508" i="54"/>
  <c r="H1" i="54"/>
  <c r="M216" i="54"/>
  <c r="D14" i="79"/>
  <c r="H282" i="60"/>
  <c r="H1" i="60"/>
  <c r="H149" i="66"/>
  <c r="I149" i="66"/>
  <c r="O83" i="66"/>
  <c r="L145" i="86" s="1"/>
  <c r="N83" i="66"/>
  <c r="F23" i="62"/>
  <c r="D25" i="79"/>
  <c r="E9" i="79"/>
  <c r="AA56" i="25"/>
  <c r="H1" i="2"/>
  <c r="E27" i="68"/>
  <c r="D10" i="7"/>
  <c r="D14" i="7" s="1"/>
  <c r="C10" i="25" s="1"/>
  <c r="I14" i="7"/>
  <c r="O53" i="7"/>
  <c r="O40" i="7"/>
  <c r="Q38" i="7"/>
  <c r="S37" i="7" s="1"/>
  <c r="T37" i="7" s="1"/>
  <c r="O39" i="7"/>
  <c r="Q43" i="7"/>
  <c r="S42" i="7" s="1"/>
  <c r="T42" i="7" s="1"/>
  <c r="O51" i="7"/>
  <c r="E1016" i="2"/>
  <c r="M190" i="2"/>
  <c r="D41" i="62"/>
  <c r="E352" i="93"/>
  <c r="N523" i="2"/>
  <c r="M352" i="93"/>
  <c r="M350" i="93" s="1"/>
  <c r="M351" i="93" s="1"/>
  <c r="G10" i="25"/>
  <c r="G32" i="25"/>
  <c r="J265" i="58"/>
  <c r="D76" i="25"/>
  <c r="D74" i="25"/>
  <c r="E1037" i="58"/>
  <c r="H55" i="67"/>
  <c r="H56" i="67" s="1"/>
  <c r="D56" i="67"/>
  <c r="I87" i="67"/>
  <c r="J86" i="67"/>
  <c r="J87" i="67" s="1"/>
  <c r="AI55" i="25"/>
  <c r="AJ55" i="25" s="1"/>
  <c r="W56" i="25"/>
  <c r="J31" i="2"/>
  <c r="D77" i="13" s="1"/>
  <c r="C10" i="7"/>
  <c r="P43" i="7"/>
  <c r="N852" i="2"/>
  <c r="E18" i="67"/>
  <c r="P52" i="7"/>
  <c r="I24" i="28"/>
  <c r="G27" i="28"/>
  <c r="K17" i="13"/>
  <c r="I13" i="7"/>
  <c r="E7" i="68"/>
  <c r="O35" i="7"/>
  <c r="F171" i="54"/>
  <c r="J19" i="36" l="1"/>
  <c r="C45" i="36"/>
  <c r="B163" i="57"/>
  <c r="B78" i="57"/>
  <c r="K341" i="86"/>
  <c r="C65" i="88"/>
  <c r="E103" i="55"/>
  <c r="F186" i="54"/>
  <c r="H121" i="87"/>
  <c r="K110" i="86"/>
  <c r="N110" i="86" s="1"/>
  <c r="D10" i="95"/>
  <c r="G13" i="25" s="1"/>
  <c r="F139" i="57"/>
  <c r="F143" i="57" s="1"/>
  <c r="E23" i="36"/>
  <c r="AH305" i="86"/>
  <c r="N112" i="86"/>
  <c r="N103" i="86"/>
  <c r="H97" i="87"/>
  <c r="K203" i="86"/>
  <c r="H100" i="87"/>
  <c r="N305" i="86"/>
  <c r="H104" i="87"/>
  <c r="H103" i="87"/>
  <c r="E46" i="87"/>
  <c r="F188" i="86" s="1"/>
  <c r="H45" i="87"/>
  <c r="F46" i="86"/>
  <c r="F48" i="86" s="1"/>
  <c r="E55" i="87"/>
  <c r="H55" i="87" s="1"/>
  <c r="H56" i="87"/>
  <c r="H58" i="87"/>
  <c r="F273" i="86"/>
  <c r="J273" i="86" s="1"/>
  <c r="H57" i="87"/>
  <c r="F254" i="86"/>
  <c r="J254" i="86" s="1"/>
  <c r="M47" i="87"/>
  <c r="H22" i="87"/>
  <c r="N590" i="2"/>
  <c r="N571" i="2"/>
  <c r="N21" i="36"/>
  <c r="F126" i="55"/>
  <c r="H126" i="55" s="1"/>
  <c r="N350" i="54"/>
  <c r="N24" i="36"/>
  <c r="F12" i="55"/>
  <c r="H12" i="55" s="1"/>
  <c r="F129" i="55"/>
  <c r="H129" i="55" s="1"/>
  <c r="H128" i="55"/>
  <c r="E122" i="55"/>
  <c r="H121" i="55"/>
  <c r="E327" i="86"/>
  <c r="E1" i="86" s="1"/>
  <c r="E358" i="86"/>
  <c r="F81" i="87"/>
  <c r="H81" i="87" s="1"/>
  <c r="M327" i="86"/>
  <c r="M328" i="86" s="1"/>
  <c r="M358" i="86"/>
  <c r="L15" i="87"/>
  <c r="N152" i="86"/>
  <c r="K155" i="86"/>
  <c r="H82" i="87"/>
  <c r="M90" i="87"/>
  <c r="F293" i="86"/>
  <c r="J293" i="86" s="1"/>
  <c r="F88" i="87"/>
  <c r="H89" i="87"/>
  <c r="K98" i="86"/>
  <c r="F95" i="87"/>
  <c r="H95" i="87" s="1"/>
  <c r="H94" i="87"/>
  <c r="F92" i="87"/>
  <c r="H92" i="87" s="1"/>
  <c r="H91" i="87"/>
  <c r="E51" i="87"/>
  <c r="H51" i="87" s="1"/>
  <c r="F290" i="86"/>
  <c r="J290" i="86" s="1"/>
  <c r="H52" i="87"/>
  <c r="F205" i="86"/>
  <c r="J205" i="86" s="1"/>
  <c r="O97" i="66"/>
  <c r="O102" i="66" s="1"/>
  <c r="M89" i="87"/>
  <c r="F206" i="86"/>
  <c r="J206" i="86" s="1"/>
  <c r="E150" i="55"/>
  <c r="F352" i="54"/>
  <c r="J352" i="54" s="1"/>
  <c r="M43" i="87"/>
  <c r="D20" i="69"/>
  <c r="M41" i="55"/>
  <c r="M42" i="55" s="1"/>
  <c r="J321" i="93"/>
  <c r="O84" i="66"/>
  <c r="D20" i="68"/>
  <c r="F55" i="55"/>
  <c r="K184" i="54"/>
  <c r="I56" i="28"/>
  <c r="J46" i="67"/>
  <c r="J47" i="67" s="1"/>
  <c r="F497" i="2"/>
  <c r="B76" i="61"/>
  <c r="B79" i="61" s="1"/>
  <c r="B82" i="61" s="1"/>
  <c r="B85" i="61" s="1"/>
  <c r="B88" i="61" s="1"/>
  <c r="B91" i="61" s="1"/>
  <c r="B94" i="61" s="1"/>
  <c r="B97" i="61" s="1"/>
  <c r="B100" i="61" s="1"/>
  <c r="M56" i="87"/>
  <c r="M57" i="87" s="1"/>
  <c r="F96" i="61"/>
  <c r="H96" i="61" s="1"/>
  <c r="H95" i="61"/>
  <c r="H93" i="61"/>
  <c r="H92" i="61"/>
  <c r="H104" i="61"/>
  <c r="H101" i="61"/>
  <c r="F99" i="61"/>
  <c r="H99" i="61" s="1"/>
  <c r="H98" i="61"/>
  <c r="E71" i="61"/>
  <c r="F247" i="60"/>
  <c r="J247" i="60" s="1"/>
  <c r="H7" i="87"/>
  <c r="F8" i="87"/>
  <c r="K237" i="86"/>
  <c r="N317" i="93"/>
  <c r="H124" i="55"/>
  <c r="F25" i="61"/>
  <c r="K438" i="58"/>
  <c r="J516" i="54"/>
  <c r="H79" i="87"/>
  <c r="F78" i="87"/>
  <c r="H78" i="87" s="1"/>
  <c r="D37" i="99"/>
  <c r="J66" i="99"/>
  <c r="H89" i="61"/>
  <c r="E65" i="6"/>
  <c r="F84" i="61"/>
  <c r="H84" i="61" s="1"/>
  <c r="H83" i="61"/>
  <c r="J17" i="67"/>
  <c r="J18" i="67" s="1"/>
  <c r="B73" i="91"/>
  <c r="B74" i="91" s="1"/>
  <c r="J182" i="2"/>
  <c r="C35" i="7" s="1"/>
  <c r="K13" i="13" s="1"/>
  <c r="L13" i="13" s="1"/>
  <c r="C136" i="89"/>
  <c r="N151" i="2"/>
  <c r="N492" i="2"/>
  <c r="D25" i="25"/>
  <c r="AY1089" i="58"/>
  <c r="J1049" i="58"/>
  <c r="H10" i="46" s="1"/>
  <c r="K9" i="46" s="1"/>
  <c r="N391" i="54"/>
  <c r="H39" i="55"/>
  <c r="K203" i="54"/>
  <c r="K54" i="99"/>
  <c r="K57" i="99" s="1"/>
  <c r="D36" i="99" s="1"/>
  <c r="D13" i="99"/>
  <c r="J57" i="99"/>
  <c r="N73" i="2"/>
  <c r="J16" i="7"/>
  <c r="I16" i="7" s="1"/>
  <c r="H44" i="25"/>
  <c r="H75" i="87"/>
  <c r="K255" i="86"/>
  <c r="H66" i="87"/>
  <c r="K141" i="86"/>
  <c r="H67" i="87"/>
  <c r="K205" i="86"/>
  <c r="H76" i="87"/>
  <c r="K206" i="86"/>
  <c r="H52" i="55"/>
  <c r="F303" i="54"/>
  <c r="J303" i="54" s="1"/>
  <c r="E350" i="93"/>
  <c r="E351" i="93" s="1"/>
  <c r="P38" i="7"/>
  <c r="O38" i="7" s="1"/>
  <c r="N72" i="93"/>
  <c r="K74" i="93"/>
  <c r="H55" i="28"/>
  <c r="G14" i="28" s="1"/>
  <c r="N718" i="2"/>
  <c r="N636" i="2"/>
  <c r="C7" i="69"/>
  <c r="H1" i="58"/>
  <c r="H86" i="61"/>
  <c r="K223" i="60"/>
  <c r="J703" i="2"/>
  <c r="B89" i="55"/>
  <c r="G19" i="77"/>
  <c r="I6" i="77" s="1"/>
  <c r="G20" i="77"/>
  <c r="I7" i="77" s="1"/>
  <c r="G15" i="77"/>
  <c r="I8" i="77" s="1"/>
  <c r="E507" i="54"/>
  <c r="E1" i="54" s="1"/>
  <c r="F1004" i="2"/>
  <c r="J1004" i="2" s="1"/>
  <c r="N444" i="54"/>
  <c r="N428" i="54"/>
  <c r="B69" i="57"/>
  <c r="B72" i="57" s="1"/>
  <c r="H25" i="87"/>
  <c r="F257" i="86"/>
  <c r="J257" i="86" s="1"/>
  <c r="H24" i="87"/>
  <c r="F204" i="86"/>
  <c r="J204" i="86" s="1"/>
  <c r="H26" i="87"/>
  <c r="F276" i="86"/>
  <c r="E29" i="61"/>
  <c r="F165" i="60" s="1"/>
  <c r="J165" i="60" s="1"/>
  <c r="H28" i="61"/>
  <c r="F36" i="60"/>
  <c r="J36" i="60" s="1"/>
  <c r="H23" i="87"/>
  <c r="F292" i="86"/>
  <c r="J292" i="86" s="1"/>
  <c r="H61" i="87"/>
  <c r="H62" i="87"/>
  <c r="I36" i="7"/>
  <c r="F116" i="55"/>
  <c r="H116" i="55" s="1"/>
  <c r="H115" i="55"/>
  <c r="H54" i="55"/>
  <c r="F184" i="54"/>
  <c r="J184" i="54" s="1"/>
  <c r="H44" i="55"/>
  <c r="K430" i="54"/>
  <c r="J450" i="58"/>
  <c r="D48" i="25"/>
  <c r="J48" i="25" s="1"/>
  <c r="N48" i="25" s="1"/>
  <c r="Q48" i="25" s="1"/>
  <c r="P438" i="58"/>
  <c r="N71" i="2"/>
  <c r="J75" i="2"/>
  <c r="C19" i="7" s="1"/>
  <c r="E190" i="2"/>
  <c r="E1010" i="2" s="1"/>
  <c r="E1011" i="2" s="1"/>
  <c r="J1012" i="2" s="1"/>
  <c r="H46" i="87"/>
  <c r="N468" i="2"/>
  <c r="I15" i="7"/>
  <c r="K290" i="86"/>
  <c r="H18" i="55"/>
  <c r="H17" i="55"/>
  <c r="F48" i="55"/>
  <c r="H48" i="55" s="1"/>
  <c r="H47" i="55"/>
  <c r="H59" i="87"/>
  <c r="H48" i="87"/>
  <c r="K273" i="86"/>
  <c r="H49" i="87"/>
  <c r="K254" i="86"/>
  <c r="H53" i="87"/>
  <c r="I11" i="36"/>
  <c r="B37" i="7"/>
  <c r="N136" i="2"/>
  <c r="N888" i="2"/>
  <c r="C25" i="7"/>
  <c r="B25" i="7" s="1"/>
  <c r="N175" i="2"/>
  <c r="N171" i="2"/>
  <c r="F366" i="54"/>
  <c r="J366" i="54" s="1"/>
  <c r="N917" i="2"/>
  <c r="N882" i="2"/>
  <c r="N570" i="2"/>
  <c r="J141" i="93"/>
  <c r="F143" i="93"/>
  <c r="H77" i="61"/>
  <c r="K429" i="54"/>
  <c r="H113" i="55"/>
  <c r="K178" i="60"/>
  <c r="H80" i="61"/>
  <c r="K230" i="60"/>
  <c r="AB230" i="60" s="1"/>
  <c r="K445" i="54"/>
  <c r="K115" i="86"/>
  <c r="N962" i="2"/>
  <c r="K977" i="2"/>
  <c r="K293" i="86"/>
  <c r="K275" i="86"/>
  <c r="N992" i="2"/>
  <c r="E29" i="87"/>
  <c r="H28" i="87"/>
  <c r="F294" i="86"/>
  <c r="K292" i="86"/>
  <c r="K294" i="86"/>
  <c r="K752" i="2"/>
  <c r="N593" i="2"/>
  <c r="O136" i="66"/>
  <c r="F47" i="46"/>
  <c r="H34" i="87"/>
  <c r="F153" i="86"/>
  <c r="F155" i="86" s="1"/>
  <c r="J161" i="93"/>
  <c r="G35" i="62"/>
  <c r="N159" i="93"/>
  <c r="J752" i="2"/>
  <c r="J456" i="2"/>
  <c r="H20" i="87"/>
  <c r="F165" i="86"/>
  <c r="J165" i="86" s="1"/>
  <c r="E75" i="61"/>
  <c r="F249" i="60"/>
  <c r="J249" i="60" s="1"/>
  <c r="H74" i="61"/>
  <c r="H19" i="87"/>
  <c r="F260" i="86"/>
  <c r="F186" i="60"/>
  <c r="J186" i="60" s="1"/>
  <c r="H73" i="61"/>
  <c r="H18" i="87"/>
  <c r="F213" i="86"/>
  <c r="F459" i="54"/>
  <c r="J459" i="54" s="1"/>
  <c r="N501" i="2"/>
  <c r="K18" i="7"/>
  <c r="B149" i="57" s="1"/>
  <c r="K458" i="2"/>
  <c r="N534" i="2"/>
  <c r="C19" i="28"/>
  <c r="C17" i="28"/>
  <c r="E13" i="28" s="1"/>
  <c r="C21" i="28"/>
  <c r="E17" i="28" s="1"/>
  <c r="C22" i="28"/>
  <c r="E18" i="28" s="1"/>
  <c r="H81" i="71"/>
  <c r="J341" i="58"/>
  <c r="F343" i="58"/>
  <c r="F213" i="58"/>
  <c r="J209" i="58"/>
  <c r="C20" i="95"/>
  <c r="F117" i="60"/>
  <c r="F205" i="60"/>
  <c r="F383" i="54"/>
  <c r="K111" i="86"/>
  <c r="K113" i="86"/>
  <c r="H38" i="87"/>
  <c r="K114" i="86"/>
  <c r="C65" i="62"/>
  <c r="N748" i="2"/>
  <c r="K180" i="2"/>
  <c r="I33" i="28"/>
  <c r="I55" i="28" s="1"/>
  <c r="K749" i="2"/>
  <c r="N368" i="54"/>
  <c r="K516" i="54"/>
  <c r="H28" i="28"/>
  <c r="F16" i="28"/>
  <c r="F14" i="28"/>
  <c r="O16" i="7"/>
  <c r="H25" i="71"/>
  <c r="G36" i="71"/>
  <c r="G37" i="71" s="1"/>
  <c r="G33" i="71"/>
  <c r="H23" i="71"/>
  <c r="I9" i="71" s="1"/>
  <c r="H21" i="71"/>
  <c r="H30" i="71"/>
  <c r="I11" i="71" s="1"/>
  <c r="H36" i="71"/>
  <c r="H19" i="71"/>
  <c r="H31" i="71"/>
  <c r="I10" i="71" s="1"/>
  <c r="H7" i="46"/>
  <c r="H13" i="46" s="1"/>
  <c r="H29" i="71"/>
  <c r="I12" i="71" s="1"/>
  <c r="E1033" i="58"/>
  <c r="E1034" i="58" s="1"/>
  <c r="K238" i="93"/>
  <c r="F47" i="62"/>
  <c r="H20" i="77"/>
  <c r="K482" i="54" s="1"/>
  <c r="K322" i="86"/>
  <c r="F52" i="86" a="1"/>
  <c r="F52" i="86" s="1"/>
  <c r="J166" i="86"/>
  <c r="F322" i="86"/>
  <c r="K166" i="86"/>
  <c r="F83" i="86"/>
  <c r="F58" i="86"/>
  <c r="H37" i="87"/>
  <c r="K232" i="86"/>
  <c r="H15" i="77"/>
  <c r="D21" i="77"/>
  <c r="H41" i="55"/>
  <c r="K383" i="54"/>
  <c r="L149" i="2"/>
  <c r="C38" i="7"/>
  <c r="J6" i="77"/>
  <c r="F279" i="54"/>
  <c r="J279" i="54" s="1"/>
  <c r="J351" i="54"/>
  <c r="E282" i="60"/>
  <c r="H194" i="66"/>
  <c r="H20" i="55"/>
  <c r="H22" i="61"/>
  <c r="K205" i="60"/>
  <c r="K235" i="86"/>
  <c r="H6" i="87"/>
  <c r="E25" i="79"/>
  <c r="J10" i="25"/>
  <c r="N10" i="25" s="1"/>
  <c r="O43" i="7"/>
  <c r="M1" i="93"/>
  <c r="E21" i="101"/>
  <c r="F178" i="54"/>
  <c r="J171" i="54"/>
  <c r="G17" i="13"/>
  <c r="D50" i="13" s="1"/>
  <c r="F482" i="54"/>
  <c r="J482" i="54" s="1"/>
  <c r="B10" i="7"/>
  <c r="C14" i="7"/>
  <c r="J51" i="25"/>
  <c r="N51" i="25" s="1"/>
  <c r="Q51" i="25" s="1"/>
  <c r="E16" i="28"/>
  <c r="E14" i="28"/>
  <c r="G28" i="28"/>
  <c r="K171" i="54"/>
  <c r="K502" i="54"/>
  <c r="H29" i="55"/>
  <c r="J23" i="36" l="1"/>
  <c r="C35" i="36"/>
  <c r="D140" i="57"/>
  <c r="K351" i="86"/>
  <c r="K365" i="86"/>
  <c r="K76" i="93"/>
  <c r="I101" i="67"/>
  <c r="I107" i="67" s="1"/>
  <c r="I109" i="67"/>
  <c r="J109" i="67"/>
  <c r="E11" i="36"/>
  <c r="J11" i="36" s="1"/>
  <c r="N203" i="86"/>
  <c r="H101" i="87"/>
  <c r="K131" i="86"/>
  <c r="H98" i="87"/>
  <c r="K132" i="86"/>
  <c r="J46" i="86"/>
  <c r="F42" i="86"/>
  <c r="J188" i="86"/>
  <c r="F198" i="86"/>
  <c r="M1" i="86"/>
  <c r="K167" i="86"/>
  <c r="C30" i="88" s="1"/>
  <c r="H36" i="25" s="1"/>
  <c r="N165" i="60"/>
  <c r="N23" i="36"/>
  <c r="N26" i="36" s="1"/>
  <c r="N5" i="36" s="1"/>
  <c r="C34" i="36" s="1"/>
  <c r="N352" i="54"/>
  <c r="L184" i="54"/>
  <c r="H122" i="55"/>
  <c r="F326" i="54"/>
  <c r="J326" i="54" s="1"/>
  <c r="K46" i="86"/>
  <c r="E328" i="86"/>
  <c r="C29" i="88"/>
  <c r="H35" i="25" s="1"/>
  <c r="L155" i="86"/>
  <c r="N98" i="86"/>
  <c r="H88" i="87"/>
  <c r="K306" i="86"/>
  <c r="K209" i="58"/>
  <c r="I97" i="67"/>
  <c r="I98" i="67" s="1"/>
  <c r="AB178" i="60"/>
  <c r="AB223" i="60"/>
  <c r="AB205" i="60"/>
  <c r="N247" i="60"/>
  <c r="M49" i="55"/>
  <c r="M50" i="55" s="1"/>
  <c r="M51" i="55" s="1"/>
  <c r="L303" i="54"/>
  <c r="M44" i="55"/>
  <c r="M43" i="55"/>
  <c r="L141" i="93"/>
  <c r="O225" i="66"/>
  <c r="K291" i="86"/>
  <c r="K125" i="60"/>
  <c r="M516" i="54"/>
  <c r="N237" i="86"/>
  <c r="N178" i="60"/>
  <c r="K179" i="60"/>
  <c r="F66" i="99"/>
  <c r="D100" i="99" s="1"/>
  <c r="K298" i="93"/>
  <c r="N141" i="86"/>
  <c r="N255" i="86"/>
  <c r="N111" i="86"/>
  <c r="N206" i="86"/>
  <c r="N205" i="86"/>
  <c r="K8" i="46"/>
  <c r="D18" i="46"/>
  <c r="N203" i="54"/>
  <c r="K205" i="54"/>
  <c r="K207" i="54" s="1"/>
  <c r="C20" i="69" s="1"/>
  <c r="E25" i="25" s="1"/>
  <c r="F500" i="2"/>
  <c r="E66" i="6"/>
  <c r="F502" i="2"/>
  <c r="K218" i="86"/>
  <c r="E1" i="93"/>
  <c r="K137" i="86"/>
  <c r="K135" i="86"/>
  <c r="K258" i="93"/>
  <c r="K192" i="93"/>
  <c r="K202" i="93"/>
  <c r="H57" i="28"/>
  <c r="G16" i="28"/>
  <c r="N703" i="2"/>
  <c r="N1004" i="2"/>
  <c r="N180" i="2"/>
  <c r="I34" i="67"/>
  <c r="J343" i="58"/>
  <c r="D32" i="25" s="1"/>
  <c r="K224" i="60"/>
  <c r="AB224" i="60" s="1"/>
  <c r="N223" i="60"/>
  <c r="H87" i="61"/>
  <c r="K58" i="60"/>
  <c r="D38" i="99"/>
  <c r="D40" i="99" s="1"/>
  <c r="G22" i="77"/>
  <c r="G23" i="77" s="1"/>
  <c r="I9" i="77"/>
  <c r="E508" i="54"/>
  <c r="I8" i="71"/>
  <c r="F544" i="58"/>
  <c r="J544" i="58" s="1"/>
  <c r="F580" i="58"/>
  <c r="J580" i="58" s="1"/>
  <c r="N257" i="86"/>
  <c r="N204" i="86"/>
  <c r="N351" i="54"/>
  <c r="B27" i="57"/>
  <c r="N459" i="54"/>
  <c r="N184" i="54"/>
  <c r="N366" i="54"/>
  <c r="N36" i="60"/>
  <c r="H29" i="61"/>
  <c r="J276" i="86"/>
  <c r="F283" i="86"/>
  <c r="H55" i="55"/>
  <c r="F333" i="54"/>
  <c r="J333" i="54" s="1"/>
  <c r="J307" i="54"/>
  <c r="N303" i="54"/>
  <c r="D41" i="69"/>
  <c r="F307" i="54"/>
  <c r="K7" i="13"/>
  <c r="G7" i="13" s="1"/>
  <c r="B19" i="7"/>
  <c r="E1" i="2"/>
  <c r="K431" i="54"/>
  <c r="N115" i="86"/>
  <c r="N113" i="86"/>
  <c r="N114" i="86"/>
  <c r="N165" i="86"/>
  <c r="N290" i="86"/>
  <c r="N273" i="86"/>
  <c r="N254" i="86"/>
  <c r="K266" i="86"/>
  <c r="N292" i="86"/>
  <c r="J755" i="2"/>
  <c r="P34" i="7" s="1"/>
  <c r="F15" i="28"/>
  <c r="D62" i="83"/>
  <c r="J293" i="60"/>
  <c r="J301" i="60"/>
  <c r="N293" i="86"/>
  <c r="H39" i="87"/>
  <c r="N230" i="60"/>
  <c r="N445" i="54"/>
  <c r="N456" i="2"/>
  <c r="K755" i="2"/>
  <c r="J143" i="93"/>
  <c r="J68" i="99" s="1"/>
  <c r="N141" i="93"/>
  <c r="H112" i="55"/>
  <c r="F430" i="54"/>
  <c r="J430" i="54" s="1"/>
  <c r="N429" i="54"/>
  <c r="N977" i="2"/>
  <c r="Q52" i="7"/>
  <c r="H81" i="61"/>
  <c r="H78" i="61"/>
  <c r="N275" i="86"/>
  <c r="K283" i="86"/>
  <c r="P53" i="66"/>
  <c r="P54" i="66" s="1"/>
  <c r="K140" i="86"/>
  <c r="H43" i="87"/>
  <c r="J294" i="86"/>
  <c r="H29" i="87"/>
  <c r="F140" i="86"/>
  <c r="F167" i="86"/>
  <c r="O53" i="66"/>
  <c r="N752" i="2"/>
  <c r="J213" i="86"/>
  <c r="F218" i="86"/>
  <c r="N249" i="60"/>
  <c r="H75" i="61"/>
  <c r="F116" i="60"/>
  <c r="J116" i="60" s="1"/>
  <c r="N186" i="60"/>
  <c r="J260" i="86"/>
  <c r="F266" i="86"/>
  <c r="J458" i="2"/>
  <c r="J18" i="7"/>
  <c r="I18" i="7" s="1"/>
  <c r="J153" i="86"/>
  <c r="H35" i="87"/>
  <c r="F159" i="86"/>
  <c r="C30" i="103"/>
  <c r="K260" i="54"/>
  <c r="G17" i="28"/>
  <c r="I6" i="28" s="1"/>
  <c r="E28" i="6" s="1"/>
  <c r="G13" i="28"/>
  <c r="I7" i="28" s="1"/>
  <c r="E29" i="6" s="1"/>
  <c r="G18" i="28"/>
  <c r="G15" i="28"/>
  <c r="H16" i="28"/>
  <c r="H14" i="28"/>
  <c r="H18" i="28"/>
  <c r="H13" i="28"/>
  <c r="H17" i="28"/>
  <c r="H15" i="28"/>
  <c r="F17" i="28"/>
  <c r="F18" i="28"/>
  <c r="C23" i="28"/>
  <c r="F13" i="28"/>
  <c r="E15" i="28"/>
  <c r="J213" i="58"/>
  <c r="D11" i="25" s="1"/>
  <c r="F387" i="54"/>
  <c r="J383" i="54"/>
  <c r="J205" i="60"/>
  <c r="F208" i="60"/>
  <c r="F215" i="60" s="1"/>
  <c r="J117" i="60"/>
  <c r="K117" i="86"/>
  <c r="G150" i="57" s="1"/>
  <c r="N749" i="2"/>
  <c r="K182" i="2"/>
  <c r="D35" i="7" s="1"/>
  <c r="C25" i="25" s="1"/>
  <c r="Q42" i="7"/>
  <c r="O42" i="7" s="1"/>
  <c r="J33" i="28"/>
  <c r="I58" i="28"/>
  <c r="I57" i="28"/>
  <c r="F3" i="94"/>
  <c r="J52" i="86" a="1"/>
  <c r="J52" i="86" s="1"/>
  <c r="J167" i="86"/>
  <c r="J1060" i="58"/>
  <c r="H26" i="71"/>
  <c r="H27" i="71" s="1"/>
  <c r="H37" i="71"/>
  <c r="H32" i="71"/>
  <c r="E1" i="58"/>
  <c r="H22" i="77"/>
  <c r="H23" i="77" s="1"/>
  <c r="J7" i="77"/>
  <c r="N482" i="54"/>
  <c r="K500" i="2"/>
  <c r="K83" i="86"/>
  <c r="N166" i="86"/>
  <c r="K52" i="86" a="1"/>
  <c r="K52" i="86" s="1"/>
  <c r="K58" i="86"/>
  <c r="K324" i="86"/>
  <c r="C62" i="88" s="1"/>
  <c r="K344" i="86"/>
  <c r="F324" i="86"/>
  <c r="J322" i="86"/>
  <c r="F4" i="87"/>
  <c r="F60" i="86"/>
  <c r="F67" i="86" s="1"/>
  <c r="J58" i="86"/>
  <c r="F85" i="86"/>
  <c r="J83" i="86"/>
  <c r="N232" i="86"/>
  <c r="H40" i="87"/>
  <c r="K145" i="86"/>
  <c r="J8" i="77"/>
  <c r="K387" i="54"/>
  <c r="H42" i="55"/>
  <c r="H45" i="55"/>
  <c r="F481" i="54"/>
  <c r="J481" i="54" s="1"/>
  <c r="I194" i="66"/>
  <c r="K240" i="86"/>
  <c r="N235" i="86"/>
  <c r="H8" i="87"/>
  <c r="K59" i="86"/>
  <c r="G141" i="57" s="1"/>
  <c r="G143" i="57" s="1"/>
  <c r="K117" i="60"/>
  <c r="E149" i="57" s="1"/>
  <c r="H23" i="61"/>
  <c r="K208" i="60"/>
  <c r="AB208" i="60" s="1"/>
  <c r="N279" i="54"/>
  <c r="F192" i="60"/>
  <c r="D27" i="79"/>
  <c r="K240" i="93"/>
  <c r="N171" i="54"/>
  <c r="C20" i="62"/>
  <c r="K178" i="54"/>
  <c r="H28" i="55"/>
  <c r="I6" i="36"/>
  <c r="Q10" i="25"/>
  <c r="K502" i="2"/>
  <c r="J178" i="54"/>
  <c r="D20" i="62"/>
  <c r="K6" i="13"/>
  <c r="B14" i="7"/>
  <c r="L17" i="13"/>
  <c r="E13" i="36" l="1"/>
  <c r="I110" i="67"/>
  <c r="D20" i="95"/>
  <c r="G25" i="25" s="1"/>
  <c r="J101" i="67"/>
  <c r="J107" i="67" s="1"/>
  <c r="J110" i="67" s="1"/>
  <c r="N132" i="86"/>
  <c r="N131" i="86"/>
  <c r="K48" i="86"/>
  <c r="J48" i="86"/>
  <c r="AH188" i="86"/>
  <c r="N188" i="86"/>
  <c r="J198" i="86"/>
  <c r="J42" i="86"/>
  <c r="C11" i="88"/>
  <c r="H14" i="25" s="1"/>
  <c r="K42" i="86"/>
  <c r="N326" i="54"/>
  <c r="N46" i="86"/>
  <c r="K352" i="86"/>
  <c r="K368" i="86"/>
  <c r="K376" i="86" s="1"/>
  <c r="N306" i="86"/>
  <c r="K308" i="86"/>
  <c r="AH306" i="86"/>
  <c r="J97" i="67"/>
  <c r="J98" i="67" s="1"/>
  <c r="G64" i="67"/>
  <c r="G65" i="67" s="1"/>
  <c r="N125" i="60"/>
  <c r="M45" i="55"/>
  <c r="M53" i="55" s="1"/>
  <c r="M55" i="55" s="1"/>
  <c r="L456" i="2"/>
  <c r="L19" i="7" s="1"/>
  <c r="L117" i="60"/>
  <c r="O180" i="66"/>
  <c r="K301" i="86"/>
  <c r="K300" i="93"/>
  <c r="C52" i="68"/>
  <c r="K288" i="60"/>
  <c r="M288" i="60" s="1"/>
  <c r="N10" i="61"/>
  <c r="N12" i="61" s="1"/>
  <c r="F64" i="25"/>
  <c r="K66" i="99"/>
  <c r="E68" i="99"/>
  <c r="D86" i="99" s="1"/>
  <c r="N137" i="86"/>
  <c r="J155" i="86"/>
  <c r="I5" i="28"/>
  <c r="K338" i="86"/>
  <c r="K362" i="86" s="1"/>
  <c r="C53" i="88"/>
  <c r="L500" i="2"/>
  <c r="L166" i="86"/>
  <c r="K263" i="93"/>
  <c r="K204" i="93"/>
  <c r="I35" i="67"/>
  <c r="J34" i="67"/>
  <c r="J35" i="67" s="1"/>
  <c r="K59" i="60"/>
  <c r="K61" i="60" s="1"/>
  <c r="L61" i="60" s="1"/>
  <c r="N58" i="60"/>
  <c r="I10" i="77"/>
  <c r="F517" i="58"/>
  <c r="J517" i="58" s="1"/>
  <c r="J387" i="54"/>
  <c r="N430" i="54"/>
  <c r="N333" i="54"/>
  <c r="N116" i="60"/>
  <c r="J208" i="60"/>
  <c r="D58" i="68" s="1"/>
  <c r="N276" i="86"/>
  <c r="J283" i="86"/>
  <c r="N431" i="54"/>
  <c r="L7" i="13"/>
  <c r="D49" i="13"/>
  <c r="K143" i="86"/>
  <c r="G148" i="57" s="1"/>
  <c r="N322" i="86"/>
  <c r="C10" i="88"/>
  <c r="J6" i="28"/>
  <c r="F28" i="6" s="1"/>
  <c r="Q34" i="7"/>
  <c r="S33" i="7" s="1"/>
  <c r="T33" i="7" s="1"/>
  <c r="N755" i="2"/>
  <c r="S51" i="7"/>
  <c r="T51" i="7" s="1"/>
  <c r="O52" i="7"/>
  <c r="N294" i="86"/>
  <c r="J140" i="86"/>
  <c r="N153" i="86"/>
  <c r="J159" i="86"/>
  <c r="F161" i="86"/>
  <c r="J343" i="86"/>
  <c r="N260" i="86"/>
  <c r="J266" i="86"/>
  <c r="N213" i="86"/>
  <c r="J218" i="86"/>
  <c r="E19" i="28"/>
  <c r="E20" i="28" s="1"/>
  <c r="F711" i="2"/>
  <c r="J711" i="2" s="1"/>
  <c r="N260" i="54"/>
  <c r="G19" i="28"/>
  <c r="G20" i="28" s="1"/>
  <c r="J5" i="28"/>
  <c r="F27" i="6" s="1"/>
  <c r="F19" i="28"/>
  <c r="F20" i="28" s="1"/>
  <c r="N205" i="60"/>
  <c r="N383" i="54"/>
  <c r="J7" i="28"/>
  <c r="F29" i="6" s="1"/>
  <c r="S41" i="7"/>
  <c r="T41" i="7" s="1"/>
  <c r="H19" i="28"/>
  <c r="H20" i="28" s="1"/>
  <c r="B35" i="7"/>
  <c r="J60" i="86"/>
  <c r="D11" i="88"/>
  <c r="D30" i="88"/>
  <c r="K243" i="93"/>
  <c r="D58" i="95" s="1"/>
  <c r="J9" i="77"/>
  <c r="J10" i="77" s="1"/>
  <c r="J500" i="2"/>
  <c r="F87" i="86"/>
  <c r="N58" i="86"/>
  <c r="N83" i="86"/>
  <c r="C16" i="88"/>
  <c r="H19" i="25" s="1"/>
  <c r="H22" i="25" s="1"/>
  <c r="K85" i="86"/>
  <c r="J344" i="86"/>
  <c r="J368" i="86" s="1"/>
  <c r="J376" i="86" s="1"/>
  <c r="J324" i="86"/>
  <c r="D62" i="88" s="1"/>
  <c r="D16" i="88"/>
  <c r="J85" i="86"/>
  <c r="K146" i="86"/>
  <c r="G149" i="57" s="1"/>
  <c r="N145" i="86"/>
  <c r="K397" i="54"/>
  <c r="K357" i="54"/>
  <c r="F397" i="54"/>
  <c r="J397" i="54" s="1"/>
  <c r="J194" i="66"/>
  <c r="J357" i="54"/>
  <c r="C58" i="68"/>
  <c r="K215" i="60"/>
  <c r="AB215" i="60" s="1"/>
  <c r="F70" i="25"/>
  <c r="N117" i="60"/>
  <c r="N59" i="86"/>
  <c r="K60" i="86"/>
  <c r="F44" i="60"/>
  <c r="J192" i="60"/>
  <c r="F194" i="60"/>
  <c r="L502" i="2"/>
  <c r="N34" i="55"/>
  <c r="N502" i="54"/>
  <c r="K521" i="54"/>
  <c r="K527" i="54" s="1"/>
  <c r="K504" i="54"/>
  <c r="F6" i="13"/>
  <c r="F27" i="13" s="1"/>
  <c r="N481" i="54"/>
  <c r="J502" i="2"/>
  <c r="C11" i="69"/>
  <c r="D11" i="69"/>
  <c r="L171" i="54"/>
  <c r="C7" i="62"/>
  <c r="C69" i="36"/>
  <c r="D6" i="36"/>
  <c r="D26" i="36" s="1"/>
  <c r="G152" i="57" l="1"/>
  <c r="J6" i="36"/>
  <c r="D8" i="88"/>
  <c r="D12" i="88" s="1"/>
  <c r="D23" i="88" s="1"/>
  <c r="C8" i="88"/>
  <c r="H11" i="25" s="1"/>
  <c r="J67" i="86"/>
  <c r="J87" i="86" s="1"/>
  <c r="K13" i="87"/>
  <c r="K15" i="87" s="1"/>
  <c r="J337" i="86"/>
  <c r="J361" i="86" s="1"/>
  <c r="D52" i="88"/>
  <c r="J350" i="86"/>
  <c r="J367" i="86"/>
  <c r="J374" i="86" s="1"/>
  <c r="K310" i="86"/>
  <c r="H64" i="67"/>
  <c r="H65" i="67" s="1"/>
  <c r="E15" i="55"/>
  <c r="F15" i="55"/>
  <c r="K332" i="93"/>
  <c r="AH332" i="93" s="1"/>
  <c r="L140" i="86"/>
  <c r="O103" i="66"/>
  <c r="E27" i="6"/>
  <c r="E30" i="6" s="1"/>
  <c r="O5" i="36"/>
  <c r="D57" i="95"/>
  <c r="G69" i="25" s="1"/>
  <c r="K68" i="99"/>
  <c r="N8" i="36"/>
  <c r="H10" i="61"/>
  <c r="F102" i="93"/>
  <c r="F30" i="6"/>
  <c r="H65" i="25"/>
  <c r="H66" i="25" s="1"/>
  <c r="C54" i="88"/>
  <c r="D56" i="95"/>
  <c r="K358" i="93" s="1"/>
  <c r="K984" i="2"/>
  <c r="F984" i="2"/>
  <c r="F985" i="2" s="1"/>
  <c r="D53" i="95"/>
  <c r="K357" i="93" s="1"/>
  <c r="C20" i="68"/>
  <c r="F25" i="25"/>
  <c r="J25" i="25" s="1"/>
  <c r="N25" i="25" s="1"/>
  <c r="F581" i="58"/>
  <c r="J215" i="60"/>
  <c r="J291" i="60" s="1"/>
  <c r="K360" i="93"/>
  <c r="O34" i="7"/>
  <c r="N140" i="86"/>
  <c r="K629" i="2"/>
  <c r="D53" i="88"/>
  <c r="J338" i="86"/>
  <c r="J362" i="86" s="1"/>
  <c r="N159" i="86"/>
  <c r="J161" i="86"/>
  <c r="D35" i="88"/>
  <c r="D36" i="88" s="1"/>
  <c r="D29" i="88"/>
  <c r="J581" i="58"/>
  <c r="I8" i="28"/>
  <c r="K399" i="54"/>
  <c r="J8" i="28"/>
  <c r="J352" i="86"/>
  <c r="C28" i="88"/>
  <c r="H21" i="55"/>
  <c r="K291" i="60"/>
  <c r="F399" i="54"/>
  <c r="F402" i="54" s="1"/>
  <c r="K194" i="66"/>
  <c r="N357" i="54"/>
  <c r="K67" i="86"/>
  <c r="K87" i="86" s="1"/>
  <c r="E58" i="68"/>
  <c r="J290" i="60"/>
  <c r="J194" i="60"/>
  <c r="K44" i="60"/>
  <c r="J44" i="60"/>
  <c r="F46" i="60"/>
  <c r="P30" i="7"/>
  <c r="D7" i="62"/>
  <c r="F44" i="62" s="1"/>
  <c r="D44" i="62"/>
  <c r="L6" i="13"/>
  <c r="C62" i="69"/>
  <c r="E74" i="25"/>
  <c r="J399" i="54"/>
  <c r="N397" i="54"/>
  <c r="D54" i="88" l="1"/>
  <c r="C57" i="88"/>
  <c r="H69" i="25" s="1"/>
  <c r="K340" i="86"/>
  <c r="K364" i="86" s="1"/>
  <c r="H15" i="55"/>
  <c r="F629" i="2"/>
  <c r="F630" i="2" s="1"/>
  <c r="K359" i="93"/>
  <c r="J102" i="93"/>
  <c r="F117" i="93"/>
  <c r="G68" i="25"/>
  <c r="K985" i="2"/>
  <c r="K855" i="2"/>
  <c r="K711" i="2"/>
  <c r="F855" i="2"/>
  <c r="J855" i="2" s="1"/>
  <c r="J984" i="2"/>
  <c r="G65" i="25"/>
  <c r="I13" i="36"/>
  <c r="G13" i="36" s="1"/>
  <c r="C54" i="36" s="1"/>
  <c r="Q25" i="25"/>
  <c r="P25" i="25" s="1"/>
  <c r="J1043" i="58"/>
  <c r="K402" i="54"/>
  <c r="K630" i="2"/>
  <c r="Q22" i="7"/>
  <c r="S22" i="7" s="1"/>
  <c r="T22" i="7" s="1"/>
  <c r="I9" i="28"/>
  <c r="C58" i="69"/>
  <c r="J9" i="28"/>
  <c r="G70" i="25"/>
  <c r="H33" i="25"/>
  <c r="H13" i="25"/>
  <c r="H15" i="25" s="1"/>
  <c r="H28" i="25" s="1"/>
  <c r="C12" i="88"/>
  <c r="C23" i="88" s="1"/>
  <c r="E27" i="62"/>
  <c r="J46" i="60"/>
  <c r="C27" i="62"/>
  <c r="K46" i="60"/>
  <c r="N44" i="60"/>
  <c r="K504" i="2"/>
  <c r="J289" i="60"/>
  <c r="D53" i="68"/>
  <c r="D58" i="69"/>
  <c r="J402" i="54"/>
  <c r="N502" i="2"/>
  <c r="N9" i="36" l="1"/>
  <c r="O4" i="36"/>
  <c r="L44" i="60"/>
  <c r="J629" i="2"/>
  <c r="J985" i="2"/>
  <c r="P55" i="7" s="1"/>
  <c r="F504" i="2"/>
  <c r="N102" i="93"/>
  <c r="J117" i="93"/>
  <c r="Q55" i="7"/>
  <c r="S54" i="7" s="1"/>
  <c r="T54" i="7" s="1"/>
  <c r="G71" i="25"/>
  <c r="Q44" i="7"/>
  <c r="N711" i="2"/>
  <c r="Q30" i="7"/>
  <c r="K856" i="2"/>
  <c r="F856" i="2"/>
  <c r="N984" i="2"/>
  <c r="E70" i="25"/>
  <c r="K517" i="54"/>
  <c r="L194" i="66"/>
  <c r="M194" i="66"/>
  <c r="C30" i="68"/>
  <c r="D30" i="68"/>
  <c r="C9" i="62"/>
  <c r="L504" i="2"/>
  <c r="J856" i="2"/>
  <c r="P44" i="7"/>
  <c r="N855" i="2"/>
  <c r="J517" i="54"/>
  <c r="J13" i="36" l="1"/>
  <c r="N629" i="2"/>
  <c r="P22" i="7"/>
  <c r="O22" i="7" s="1"/>
  <c r="J630" i="2"/>
  <c r="N630" i="2" s="1"/>
  <c r="C56" i="36"/>
  <c r="C27" i="95"/>
  <c r="J67" i="99"/>
  <c r="N985" i="2"/>
  <c r="O55" i="7"/>
  <c r="S43" i="7"/>
  <c r="T43" i="7" s="1"/>
  <c r="G26" i="36"/>
  <c r="E9" i="62"/>
  <c r="F46" i="62" s="1"/>
  <c r="D46" i="62"/>
  <c r="N194" i="66"/>
  <c r="J504" i="2"/>
  <c r="E30" i="68"/>
  <c r="O44" i="7"/>
  <c r="M517" i="54"/>
  <c r="N856" i="2"/>
  <c r="E67" i="99" l="1"/>
  <c r="D85" i="99" s="1"/>
  <c r="O194" i="66"/>
  <c r="N504" i="2"/>
  <c r="K67" i="99" l="1"/>
  <c r="G35" i="25"/>
  <c r="K135" i="2" l="1"/>
  <c r="K149" i="2"/>
  <c r="N149" i="2" l="1"/>
  <c r="D38" i="7"/>
  <c r="K153" i="2"/>
  <c r="N135" i="2"/>
  <c r="B38" i="7" l="1"/>
  <c r="D33" i="7"/>
  <c r="C18" i="25" l="1"/>
  <c r="J18" i="25" l="1"/>
  <c r="N18" i="25" l="1"/>
  <c r="I9" i="36" l="1"/>
  <c r="Q18" i="25"/>
  <c r="E9" i="36" l="1"/>
  <c r="C40" i="36" s="1"/>
  <c r="J9" i="36" l="1"/>
  <c r="K354" i="54"/>
  <c r="I135" i="55" l="1"/>
  <c r="K370" i="54"/>
  <c r="I134" i="55"/>
  <c r="C53" i="69" l="1"/>
  <c r="K515" i="54"/>
  <c r="E65" i="25"/>
  <c r="J354" i="54"/>
  <c r="F370" i="54"/>
  <c r="J370" i="54" l="1"/>
  <c r="N354" i="54"/>
  <c r="D53" i="69" l="1"/>
  <c r="J515" i="54"/>
  <c r="M515" i="54" l="1"/>
  <c r="I118" i="55" l="1"/>
  <c r="Y555" i="2" l="1"/>
  <c r="Z555" i="2"/>
  <c r="Y539" i="2" l="1"/>
  <c r="Z539" i="2"/>
  <c r="Y545" i="2"/>
  <c r="Z545" i="2"/>
  <c r="Y552" i="2"/>
  <c r="Z552" i="2"/>
  <c r="Y532" i="2"/>
  <c r="Z532" i="2"/>
  <c r="Y549" i="2"/>
  <c r="Z549" i="2"/>
  <c r="T165" i="93" l="1"/>
  <c r="U165" i="93"/>
  <c r="Z548" i="2" l="1"/>
  <c r="Y548" i="2"/>
  <c r="Y535" i="2" l="1"/>
  <c r="Z535" i="2"/>
  <c r="Y542" i="2" l="1"/>
  <c r="Z542" i="2"/>
  <c r="Z543" i="2"/>
  <c r="Y543" i="2"/>
  <c r="Z544" i="2" l="1"/>
  <c r="Y544" i="2"/>
  <c r="Y530" i="2" l="1"/>
  <c r="Z530" i="2"/>
  <c r="Y556" i="2"/>
  <c r="Z556" i="2"/>
  <c r="Z541" i="2"/>
  <c r="Y550" i="2"/>
  <c r="Z550" i="2"/>
  <c r="Y551" i="2"/>
  <c r="Z551" i="2"/>
  <c r="Y546" i="2"/>
  <c r="Z546" i="2"/>
  <c r="Y533" i="2"/>
  <c r="Z533" i="2"/>
  <c r="Y537" i="2"/>
  <c r="Z537" i="2"/>
  <c r="Y547" i="2"/>
  <c r="Z547" i="2"/>
  <c r="Y536" i="2"/>
  <c r="Z536" i="2"/>
  <c r="Y531" i="2"/>
  <c r="Z531" i="2"/>
  <c r="Y541" i="2"/>
  <c r="Y534" i="2" l="1"/>
  <c r="Z534" i="2"/>
  <c r="Z553" i="2" l="1"/>
  <c r="Z540" i="2"/>
  <c r="Z554" i="2"/>
  <c r="Y554" i="2"/>
  <c r="Y553" i="2"/>
  <c r="Y540" i="2"/>
  <c r="I83" i="93" l="1"/>
  <c r="I350" i="93" s="1"/>
  <c r="G83" i="93"/>
  <c r="G350" i="93" s="1"/>
  <c r="G1" i="93" s="1"/>
  <c r="H83" i="93"/>
  <c r="H350" i="93" s="1"/>
  <c r="H351" i="93" l="1"/>
  <c r="H1" i="93"/>
  <c r="I351" i="93"/>
  <c r="I1" i="93"/>
  <c r="G351" i="93"/>
  <c r="K246" i="60" l="1"/>
  <c r="AB246" i="60" l="1"/>
  <c r="F246" i="60"/>
  <c r="J246" i="60" s="1"/>
  <c r="N246" i="60" l="1"/>
  <c r="F913" i="2" l="1"/>
  <c r="K913" i="2"/>
  <c r="J913" i="2" l="1"/>
  <c r="N913" i="2" l="1"/>
  <c r="K244" i="60"/>
  <c r="F840" i="58"/>
  <c r="J840" i="58" s="1"/>
  <c r="AB244" i="60" l="1"/>
  <c r="F244" i="60"/>
  <c r="J244" i="60" l="1"/>
  <c r="N244" i="60" l="1"/>
  <c r="F463" i="54" l="1"/>
  <c r="J463" i="54" s="1"/>
  <c r="K463" i="54"/>
  <c r="C10" i="103" l="1"/>
  <c r="N463" i="54"/>
  <c r="F99" i="60" l="1"/>
  <c r="K99" i="60"/>
  <c r="J99" i="60" l="1"/>
  <c r="N99" i="60" l="1"/>
  <c r="F18" i="78" l="1"/>
  <c r="F17" i="78" l="1"/>
  <c r="C83" i="78" l="1"/>
  <c r="F20" i="78" l="1"/>
  <c r="F21" i="78"/>
  <c r="F842" i="58" l="1"/>
  <c r="J842" i="58" l="1"/>
  <c r="K462" i="54" l="1"/>
  <c r="F462" i="54" l="1"/>
  <c r="J462" i="54" s="1"/>
  <c r="F461" i="54"/>
  <c r="J461" i="54" s="1"/>
  <c r="K484" i="54"/>
  <c r="C12" i="103" l="1"/>
  <c r="N461" i="54"/>
  <c r="F484" i="54"/>
  <c r="F488" i="54" s="1"/>
  <c r="C9" i="103"/>
  <c r="J484" i="54"/>
  <c r="K488" i="54"/>
  <c r="C57" i="69"/>
  <c r="N462" i="54"/>
  <c r="K914" i="2"/>
  <c r="F38" i="78"/>
  <c r="G20" i="103" l="1"/>
  <c r="F914" i="2"/>
  <c r="F915" i="2"/>
  <c r="J915" i="2" s="1"/>
  <c r="K518" i="54"/>
  <c r="K919" i="2"/>
  <c r="E69" i="25"/>
  <c r="E71" i="25" s="1"/>
  <c r="D57" i="69"/>
  <c r="J488" i="54"/>
  <c r="J518" i="54" s="1"/>
  <c r="F39" i="78"/>
  <c r="N915" i="2" l="1"/>
  <c r="F919" i="2"/>
  <c r="F987" i="2" s="1"/>
  <c r="J914" i="2"/>
  <c r="K987" i="2"/>
  <c r="Q48" i="7"/>
  <c r="S47" i="7" s="1"/>
  <c r="M518" i="54"/>
  <c r="J919" i="2" l="1"/>
  <c r="J987" i="2" s="1"/>
  <c r="N987" i="2" s="1"/>
  <c r="N914" i="2"/>
  <c r="Q56" i="7"/>
  <c r="C69" i="25" s="1"/>
  <c r="T47" i="7"/>
  <c r="T55" i="7" s="1"/>
  <c r="S55" i="7"/>
  <c r="P48" i="7" l="1"/>
  <c r="P56" i="7" s="1"/>
  <c r="O56" i="7" s="1"/>
  <c r="N919" i="2"/>
  <c r="O48" i="7" l="1"/>
  <c r="J106" i="2"/>
  <c r="O105" i="2" l="1"/>
  <c r="O107" i="2" s="1"/>
  <c r="K112" i="2"/>
  <c r="J112" i="2"/>
  <c r="K106" i="2"/>
  <c r="N106" i="2" l="1"/>
  <c r="O113" i="2"/>
  <c r="K89" i="2"/>
  <c r="N112" i="2"/>
  <c r="J117" i="2"/>
  <c r="K996" i="2"/>
  <c r="J89" i="2" l="1"/>
  <c r="Q64" i="7"/>
  <c r="N89" i="2" l="1"/>
  <c r="O86" i="2"/>
  <c r="K116" i="2"/>
  <c r="K117" i="2"/>
  <c r="J116" i="2"/>
  <c r="S63" i="7"/>
  <c r="C76" i="25"/>
  <c r="N117" i="2" l="1"/>
  <c r="N116" i="2"/>
  <c r="C140" i="78" l="1"/>
  <c r="K35" i="60" l="1"/>
  <c r="E141" i="57" s="1"/>
  <c r="E143" i="57" s="1"/>
  <c r="K64" i="60"/>
  <c r="C15" i="68" l="1"/>
  <c r="L22" i="78" s="1"/>
  <c r="L64" i="60"/>
  <c r="F13" i="25"/>
  <c r="D55" i="78"/>
  <c r="L35" i="60"/>
  <c r="H31" i="61"/>
  <c r="F64" i="60"/>
  <c r="F242" i="58"/>
  <c r="F270" i="58"/>
  <c r="J64" i="60" l="1"/>
  <c r="H32" i="61"/>
  <c r="F35" i="60"/>
  <c r="J270" i="58"/>
  <c r="F277" i="58"/>
  <c r="J242" i="58"/>
  <c r="F35" i="78"/>
  <c r="F36" i="78"/>
  <c r="F54" i="78" l="1"/>
  <c r="J35" i="60"/>
  <c r="D15" i="68"/>
  <c r="E15" i="68" s="1"/>
  <c r="N64" i="60"/>
  <c r="K242" i="58"/>
  <c r="C55" i="78"/>
  <c r="K270" i="58"/>
  <c r="D19" i="25"/>
  <c r="D22" i="25" s="1"/>
  <c r="J277" i="58"/>
  <c r="L20" i="78"/>
  <c r="V15" i="78" l="1"/>
  <c r="N35" i="60"/>
  <c r="K138" i="2"/>
  <c r="L138" i="2" l="1"/>
  <c r="K141" i="2"/>
  <c r="B141" i="57" s="1"/>
  <c r="K186" i="2"/>
  <c r="K188" i="2" l="1"/>
  <c r="L23" i="78"/>
  <c r="L186" i="2"/>
  <c r="B55" i="78"/>
  <c r="D23" i="7"/>
  <c r="J186" i="2" l="1"/>
  <c r="J138" i="2"/>
  <c r="D39" i="7"/>
  <c r="C19" i="25" s="1"/>
  <c r="J141" i="2" l="1"/>
  <c r="N138" i="2"/>
  <c r="J188" i="2"/>
  <c r="N186" i="2"/>
  <c r="C22" i="25"/>
  <c r="C23" i="7" l="1"/>
  <c r="N141" i="2"/>
  <c r="C39" i="7"/>
  <c r="N188" i="2"/>
  <c r="B23" i="7" l="1"/>
  <c r="B39" i="7"/>
  <c r="K10" i="13"/>
  <c r="G10" i="13" s="1"/>
  <c r="L10" i="13" s="1"/>
  <c r="C106" i="78" l="1"/>
  <c r="C168" i="78" s="1"/>
  <c r="C169" i="78" s="1"/>
  <c r="X555" i="2" l="1"/>
  <c r="X552" i="2" l="1"/>
  <c r="X549" i="2"/>
  <c r="X545" i="2"/>
  <c r="X539" i="2"/>
  <c r="X532" i="2"/>
  <c r="AA532" i="2" s="1"/>
  <c r="S165" i="93" l="1"/>
  <c r="W986" i="2" l="1"/>
  <c r="W988" i="2"/>
  <c r="W989" i="2"/>
  <c r="W991" i="2"/>
  <c r="W995" i="2"/>
  <c r="W997" i="2"/>
  <c r="W998" i="2"/>
  <c r="W796" i="2" l="1"/>
  <c r="W803" i="2"/>
  <c r="W783" i="2" l="1"/>
  <c r="W815" i="2"/>
  <c r="W934" i="2"/>
  <c r="X548" i="2" l="1"/>
  <c r="W983" i="2" l="1"/>
  <c r="W631" i="2"/>
  <c r="W633" i="2" l="1"/>
  <c r="W982" i="2" l="1"/>
  <c r="W634" i="2"/>
  <c r="W586" i="2"/>
  <c r="W624" i="2" l="1"/>
  <c r="W747" i="2"/>
  <c r="W713" i="2"/>
  <c r="W949" i="2"/>
  <c r="W925" i="2"/>
  <c r="W867" i="2"/>
  <c r="W622" i="2"/>
  <c r="W750" i="2"/>
  <c r="W726" i="2"/>
  <c r="W722" i="2"/>
  <c r="W691" i="2"/>
  <c r="W948" i="2"/>
  <c r="W920" i="2"/>
  <c r="W885" i="2"/>
  <c r="W874" i="2"/>
  <c r="W870" i="2"/>
  <c r="W858" i="2"/>
  <c r="W854" i="2"/>
  <c r="W831" i="2"/>
  <c r="W621" i="2"/>
  <c r="W617" i="2"/>
  <c r="W594" i="2"/>
  <c r="W756" i="2"/>
  <c r="W745" i="2"/>
  <c r="W715" i="2"/>
  <c r="W707" i="2"/>
  <c r="W685" i="2"/>
  <c r="W660" i="2"/>
  <c r="W980" i="2"/>
  <c r="W927" i="2"/>
  <c r="W923" i="2"/>
  <c r="W884" i="2"/>
  <c r="W873" i="2"/>
  <c r="W857" i="2"/>
  <c r="W853" i="2"/>
  <c r="W782" i="2"/>
  <c r="W754" i="2"/>
  <c r="W709" i="2"/>
  <c r="W705" i="2"/>
  <c r="W658" i="2"/>
  <c r="W911" i="2"/>
  <c r="W875" i="2"/>
  <c r="W851" i="2"/>
  <c r="W628" i="2"/>
  <c r="W625" i="2"/>
  <c r="W620" i="2"/>
  <c r="W744" i="2"/>
  <c r="W714" i="2"/>
  <c r="W710" i="2"/>
  <c r="W684" i="2"/>
  <c r="W979" i="2"/>
  <c r="W950" i="2"/>
  <c r="W926" i="2"/>
  <c r="W922" i="2"/>
  <c r="W918" i="2"/>
  <c r="W909" i="2"/>
  <c r="W883" i="2"/>
  <c r="W872" i="2"/>
  <c r="W868" i="2"/>
  <c r="W860" i="2"/>
  <c r="W619" i="2"/>
  <c r="W596" i="2"/>
  <c r="W978" i="2"/>
  <c r="W921" i="2"/>
  <c r="W716" i="2"/>
  <c r="W661" i="2"/>
  <c r="W976" i="2"/>
  <c r="W969" i="2"/>
  <c r="X535" i="2" l="1"/>
  <c r="AA535" i="2" s="1"/>
  <c r="W793" i="2" l="1"/>
  <c r="W795" i="2"/>
  <c r="W794" i="2"/>
  <c r="W802" i="2" l="1"/>
  <c r="W810" i="2"/>
  <c r="W811" i="2"/>
  <c r="W999" i="2"/>
  <c r="W1003" i="2"/>
  <c r="W994" i="2"/>
  <c r="W1001" i="2"/>
  <c r="W992" i="2"/>
  <c r="W1002" i="2"/>
  <c r="W808" i="2"/>
  <c r="W791" i="2"/>
  <c r="W801" i="2"/>
  <c r="W623" i="2"/>
  <c r="W924" i="2"/>
  <c r="W990" i="2"/>
  <c r="W981" i="2"/>
  <c r="W859" i="2"/>
  <c r="W869" i="2"/>
  <c r="W805" i="2" l="1"/>
  <c r="W790" i="2"/>
  <c r="W804" i="2"/>
  <c r="W789" i="2"/>
  <c r="W788" i="2"/>
  <c r="W812" i="2"/>
  <c r="W800" i="2"/>
  <c r="W787" i="2"/>
  <c r="W799" i="2"/>
  <c r="W786" i="2"/>
  <c r="W809" i="2"/>
  <c r="W798" i="2"/>
  <c r="W785" i="2"/>
  <c r="W807" i="2"/>
  <c r="W797" i="2"/>
  <c r="W784" i="2"/>
  <c r="W806" i="2"/>
  <c r="W792" i="2"/>
  <c r="W993" i="2"/>
  <c r="W626" i="2" l="1"/>
  <c r="W996" i="2" l="1"/>
  <c r="W627" i="2"/>
  <c r="W1000" i="2" l="1"/>
  <c r="W984" i="2" l="1"/>
  <c r="W985" i="2" l="1"/>
  <c r="W629" i="2"/>
  <c r="W630" i="2" l="1"/>
  <c r="W914" i="2" l="1"/>
  <c r="W933" i="2" l="1"/>
  <c r="W935" i="2" l="1"/>
  <c r="W674" i="2" l="1"/>
  <c r="W910" i="2" l="1"/>
  <c r="W840" i="2" l="1"/>
  <c r="W592" i="2"/>
  <c r="W670" i="2" l="1"/>
  <c r="W640" i="2"/>
  <c r="W843" i="2" l="1"/>
  <c r="W682" i="2" l="1"/>
  <c r="W615" i="2" l="1"/>
  <c r="W700" i="2"/>
  <c r="W681" i="2"/>
  <c r="W683" i="2"/>
  <c r="W575" i="2" l="1"/>
  <c r="W828" i="2" l="1"/>
  <c r="W829" i="2"/>
  <c r="W830" i="2"/>
  <c r="W704" i="2"/>
  <c r="W912" i="2" l="1"/>
  <c r="W891" i="2" l="1"/>
  <c r="W724" i="2" l="1"/>
  <c r="W725" i="2"/>
  <c r="W972" i="2"/>
  <c r="X542" i="2"/>
  <c r="X543" i="2"/>
  <c r="X544" i="2" l="1"/>
  <c r="W901" i="2"/>
  <c r="X541" i="2" l="1"/>
  <c r="W649" i="2"/>
  <c r="W887" i="2"/>
  <c r="W879" i="2"/>
  <c r="W734" i="2"/>
  <c r="W719" i="2"/>
  <c r="W656" i="2"/>
  <c r="W637" i="2"/>
  <c r="W590" i="2"/>
  <c r="W772" i="2"/>
  <c r="W839" i="2"/>
  <c r="W842" i="2"/>
  <c r="W817" i="2"/>
  <c r="W951" i="2"/>
  <c r="W597" i="2"/>
  <c r="W723" i="2"/>
  <c r="W903" i="2"/>
  <c r="W669" i="2"/>
  <c r="W776" i="2"/>
  <c r="W775" i="2"/>
  <c r="W945" i="2"/>
  <c r="W849" i="2"/>
  <c r="W968" i="2"/>
  <c r="W902" i="2"/>
  <c r="W651" i="2"/>
  <c r="X547" i="2"/>
  <c r="W966" i="2"/>
  <c r="X551" i="2"/>
  <c r="W667" i="2"/>
  <c r="W900" i="2"/>
  <c r="X530" i="2"/>
  <c r="AA530" i="2" s="1"/>
  <c r="X531" i="2"/>
  <c r="AA531" i="2" s="1"/>
  <c r="X536" i="2"/>
  <c r="X537" i="2"/>
  <c r="X546" i="2"/>
  <c r="X550" i="2"/>
  <c r="X556" i="2"/>
  <c r="W568" i="2"/>
  <c r="W576" i="2"/>
  <c r="W587" i="2"/>
  <c r="W589" i="2"/>
  <c r="W604" i="2"/>
  <c r="W605" i="2"/>
  <c r="W606" i="2"/>
  <c r="W607" i="2"/>
  <c r="W608" i="2"/>
  <c r="W609" i="2"/>
  <c r="W612" i="2"/>
  <c r="W613" i="2"/>
  <c r="W616" i="2"/>
  <c r="W635" i="2"/>
  <c r="W646" i="2"/>
  <c r="W653" i="2"/>
  <c r="W668" i="2"/>
  <c r="W676" i="2"/>
  <c r="W692" i="2"/>
  <c r="W696" i="2"/>
  <c r="W698" i="2"/>
  <c r="W702" i="2"/>
  <c r="W717" i="2"/>
  <c r="W727" i="2"/>
  <c r="W732" i="2"/>
  <c r="W736" i="2"/>
  <c r="W739" i="2"/>
  <c r="W748" i="2"/>
  <c r="W751" i="2"/>
  <c r="W761" i="2"/>
  <c r="W765" i="2"/>
  <c r="W766" i="2"/>
  <c r="W762" i="2"/>
  <c r="W769" i="2"/>
  <c r="W771" i="2"/>
  <c r="W773" i="2"/>
  <c r="W774" i="2"/>
  <c r="W778" i="2"/>
  <c r="W841" i="2"/>
  <c r="W844" i="2"/>
  <c r="W832" i="2"/>
  <c r="W836" i="2"/>
  <c r="W777" i="2"/>
  <c r="W846" i="2"/>
  <c r="W770" i="2"/>
  <c r="W861" i="2"/>
  <c r="W862" i="2"/>
  <c r="W863" i="2"/>
  <c r="W865" i="2"/>
  <c r="W876" i="2"/>
  <c r="W878" i="2"/>
  <c r="W886" i="2"/>
  <c r="W890" i="2"/>
  <c r="W892" i="2"/>
  <c r="W894" i="2"/>
  <c r="W895" i="2"/>
  <c r="W896" i="2"/>
  <c r="W897" i="2"/>
  <c r="W898" i="2"/>
  <c r="W904" i="2"/>
  <c r="W905" i="2"/>
  <c r="W928" i="2"/>
  <c r="W929" i="2"/>
  <c r="W942" i="2"/>
  <c r="W946" i="2"/>
  <c r="W956" i="2"/>
  <c r="W959" i="2"/>
  <c r="W960" i="2"/>
  <c r="W961" i="2"/>
  <c r="W962" i="2"/>
  <c r="W963" i="2"/>
  <c r="W964" i="2"/>
  <c r="W967" i="2"/>
  <c r="W970" i="2"/>
  <c r="W971" i="2"/>
  <c r="W850" i="2"/>
  <c r="W650" i="2"/>
  <c r="W958" i="2"/>
  <c r="W687" i="2"/>
  <c r="W690" i="2"/>
  <c r="W689" i="2"/>
  <c r="W688" i="2"/>
  <c r="W686" i="2"/>
  <c r="W574" i="2"/>
  <c r="W823" i="2"/>
  <c r="W881" i="2"/>
  <c r="W591" i="2"/>
  <c r="W916" i="2"/>
  <c r="W743" i="2"/>
  <c r="W973" i="2"/>
  <c r="W975" i="2"/>
  <c r="W584" i="2"/>
  <c r="W742" i="2"/>
  <c r="W824" i="2"/>
  <c r="W657" i="2"/>
  <c r="W706" i="2"/>
  <c r="W737" i="2"/>
  <c r="W947" i="2"/>
  <c r="W974" i="2"/>
  <c r="W655" i="2"/>
  <c r="W821" i="2"/>
  <c r="W826" i="2"/>
  <c r="W864" i="2"/>
  <c r="W965" i="2"/>
  <c r="W610" i="2"/>
  <c r="W906" i="2"/>
  <c r="W952" i="2"/>
  <c r="W899" i="2"/>
  <c r="W718" i="2"/>
  <c r="W818" i="2"/>
  <c r="W720" i="2"/>
  <c r="W954" i="2"/>
  <c r="W835" i="2"/>
  <c r="W955" i="2"/>
  <c r="W833" i="2"/>
  <c r="W953" i="2"/>
  <c r="W819" i="2"/>
  <c r="W845" i="2"/>
  <c r="W820" i="2"/>
  <c r="W573" i="2"/>
  <c r="W893" i="2"/>
  <c r="W572" i="2"/>
  <c r="W571" i="2"/>
  <c r="W827" i="2"/>
  <c r="W957" i="2"/>
  <c r="W733" i="2"/>
  <c r="W611" i="2"/>
  <c r="W730" i="2"/>
  <c r="W834" i="2"/>
  <c r="W825" i="2"/>
  <c r="W943" i="2"/>
  <c r="W944" i="2"/>
  <c r="W648" i="2"/>
  <c r="W678" i="2"/>
  <c r="W664" i="2"/>
  <c r="W666" i="2"/>
  <c r="W697" i="2"/>
  <c r="W679" i="2"/>
  <c r="W677" i="2"/>
  <c r="W694" i="2"/>
  <c r="W695" i="2"/>
  <c r="W680" i="2"/>
  <c r="W693" i="2"/>
  <c r="W665" i="2"/>
  <c r="W930" i="2"/>
  <c r="W940" i="2"/>
  <c r="W941" i="2"/>
  <c r="X533" i="2"/>
  <c r="AA533" i="2" s="1"/>
  <c r="W932" i="2"/>
  <c r="W931" i="2"/>
  <c r="W636" i="2"/>
  <c r="W600" i="2"/>
  <c r="W601" i="2"/>
  <c r="W598" i="2"/>
  <c r="W662" i="2"/>
  <c r="W599" i="2"/>
  <c r="W602" i="2"/>
  <c r="W663" i="2"/>
  <c r="F342" i="54" l="1"/>
  <c r="W759" i="2"/>
  <c r="X534" i="2"/>
  <c r="AA534" i="2" s="1"/>
  <c r="W760" i="2"/>
  <c r="W703" i="2"/>
  <c r="W749" i="2"/>
  <c r="W977" i="2"/>
  <c r="W866" i="2"/>
  <c r="F286" i="54" l="1"/>
  <c r="F345" i="54"/>
  <c r="J342" i="54"/>
  <c r="K342" i="54"/>
  <c r="K286" i="54"/>
  <c r="X553" i="2"/>
  <c r="X554" i="2"/>
  <c r="X540" i="2"/>
  <c r="W753" i="2"/>
  <c r="W880" i="2"/>
  <c r="W614" i="2"/>
  <c r="W767" i="2"/>
  <c r="L286" i="54" l="1"/>
  <c r="B77" i="57"/>
  <c r="F57" i="55"/>
  <c r="E57" i="55" s="1"/>
  <c r="E58" i="55" s="1"/>
  <c r="J345" i="54"/>
  <c r="M27" i="55" s="1"/>
  <c r="M29" i="55" s="1"/>
  <c r="M35" i="55" s="1"/>
  <c r="N342" i="54"/>
  <c r="K345" i="54"/>
  <c r="J286" i="54"/>
  <c r="W570" i="2"/>
  <c r="W699" i="2"/>
  <c r="W917" i="2"/>
  <c r="W822" i="2"/>
  <c r="W882" i="2"/>
  <c r="W603" i="2"/>
  <c r="W593" i="2"/>
  <c r="D52" i="69" l="1"/>
  <c r="D54" i="69" s="1"/>
  <c r="D60" i="69" s="1"/>
  <c r="D63" i="69" s="1"/>
  <c r="C5" i="103" s="1"/>
  <c r="J514" i="54"/>
  <c r="N286" i="54"/>
  <c r="K514" i="54"/>
  <c r="N27" i="55"/>
  <c r="N29" i="55" s="1"/>
  <c r="N35" i="55" s="1"/>
  <c r="E64" i="25"/>
  <c r="C52" i="69"/>
  <c r="C54" i="69" s="1"/>
  <c r="C60" i="69" s="1"/>
  <c r="C63" i="69" s="1"/>
  <c r="W741" i="2"/>
  <c r="W659" i="2"/>
  <c r="W708" i="2"/>
  <c r="G17" i="103" l="1"/>
  <c r="G23" i="103" s="1"/>
  <c r="M514" i="54"/>
  <c r="E66" i="25"/>
  <c r="E73" i="25" s="1"/>
  <c r="E75" i="25" l="1"/>
  <c r="W618" i="2"/>
  <c r="W913" i="2" l="1"/>
  <c r="W768" i="2" l="1"/>
  <c r="W852" i="2"/>
  <c r="W752" i="2" l="1"/>
  <c r="W755" i="2" l="1"/>
  <c r="W711" i="2" l="1"/>
  <c r="W855" i="2" l="1"/>
  <c r="W712" i="2"/>
  <c r="W856" i="2" l="1"/>
  <c r="W721" i="2" l="1"/>
  <c r="W746" i="2" l="1"/>
  <c r="W871" i="2" l="1"/>
  <c r="W585" i="2" l="1"/>
  <c r="W632" i="2" l="1"/>
  <c r="W595" i="2"/>
  <c r="W888" i="2" l="1"/>
  <c r="W919" i="2" l="1"/>
  <c r="W987" i="2" l="1"/>
  <c r="A127" i="32" l="1"/>
  <c r="A130" i="32" s="1"/>
  <c r="A134" i="32" s="1"/>
  <c r="A137" i="32" s="1"/>
  <c r="A140" i="32" s="1"/>
  <c r="V165" i="93" l="1"/>
  <c r="AB729" i="2" l="1"/>
  <c r="Z686" i="58" l="1"/>
  <c r="Z830" i="58" l="1"/>
  <c r="Z811" i="58"/>
  <c r="Z461" i="58" l="1"/>
  <c r="Z458" i="58"/>
  <c r="AC392" i="54" l="1"/>
  <c r="AB969" i="2" l="1"/>
  <c r="AB939" i="2" l="1"/>
  <c r="Z734" i="58" l="1"/>
  <c r="Z674" i="58"/>
  <c r="Z973" i="58"/>
  <c r="Z751" i="58"/>
  <c r="Z533" i="58"/>
  <c r="AC396" i="54" l="1"/>
  <c r="AB1005" i="2" l="1"/>
  <c r="AB697" i="2" l="1"/>
  <c r="AB677" i="2"/>
  <c r="AB666" i="2"/>
  <c r="AB682" i="2" l="1"/>
  <c r="AB679" i="2"/>
  <c r="AB693" i="2"/>
  <c r="AB696" i="2"/>
  <c r="AB662" i="2"/>
  <c r="AB680" i="2"/>
  <c r="AB664" i="2"/>
  <c r="AB663" i="2"/>
  <c r="AB674" i="2"/>
  <c r="AB694" i="2"/>
  <c r="AB665" i="2"/>
  <c r="AB676" i="2"/>
  <c r="AB683" i="2"/>
  <c r="AB692" i="2"/>
  <c r="AB695" i="2"/>
  <c r="AB678" i="2"/>
  <c r="AB702" i="2" l="1"/>
  <c r="AB698" i="2"/>
  <c r="AB668" i="2"/>
  <c r="AB699" i="2"/>
  <c r="AB667" i="2"/>
  <c r="AB670" i="2"/>
  <c r="AB700" i="2"/>
  <c r="AB669" i="2"/>
  <c r="Z765" i="58" l="1"/>
  <c r="Z611" i="58"/>
  <c r="Z993" i="58" l="1"/>
  <c r="Z990" i="58"/>
  <c r="Z958" i="58"/>
  <c r="Z906" i="58"/>
  <c r="Z903" i="58"/>
  <c r="Z857" i="58"/>
  <c r="Z879" i="58"/>
  <c r="Z878" i="58"/>
  <c r="Z877" i="58"/>
  <c r="Z860" i="58"/>
  <c r="Z838" i="58"/>
  <c r="Z898" i="58"/>
  <c r="Z797" i="58"/>
  <c r="Z785" i="58"/>
  <c r="Z784" i="58"/>
  <c r="Z819" i="58"/>
  <c r="Z806" i="58"/>
  <c r="Z805" i="58"/>
  <c r="Z788" i="58"/>
  <c r="Z781" i="58"/>
  <c r="Z796" i="58"/>
  <c r="Z794" i="58"/>
  <c r="Z790" i="58"/>
  <c r="Z691" i="58"/>
  <c r="Z690" i="58"/>
  <c r="Z689" i="58"/>
  <c r="Z688" i="58"/>
  <c r="Z684" i="58"/>
  <c r="Z683" i="58"/>
  <c r="Z682" i="58"/>
  <c r="Z681" i="58"/>
  <c r="Z680" i="58"/>
  <c r="Z679" i="58"/>
  <c r="Z678" i="58"/>
  <c r="Z677" i="58"/>
  <c r="Z668" i="58"/>
  <c r="Z666" i="58"/>
  <c r="Z621" i="58"/>
  <c r="Z620" i="58"/>
  <c r="Z619" i="58"/>
  <c r="Z618" i="58"/>
  <c r="Z617" i="58"/>
  <c r="Z616" i="58"/>
  <c r="Z615" i="58"/>
  <c r="Z551" i="58"/>
  <c r="Z545" i="58"/>
  <c r="Z541" i="58"/>
  <c r="Z535" i="58"/>
  <c r="Z528" i="58"/>
  <c r="Z512" i="58"/>
  <c r="Z505" i="58"/>
  <c r="Z504" i="58"/>
  <c r="Z503" i="58"/>
  <c r="Z498" i="58"/>
  <c r="Z497" i="58"/>
  <c r="Z472" i="58"/>
  <c r="AC501" i="54"/>
  <c r="AC492" i="54"/>
  <c r="AC476" i="54"/>
  <c r="AC446" i="54"/>
  <c r="AC433" i="54"/>
  <c r="AC395" i="54"/>
  <c r="AC394" i="54"/>
  <c r="AC393" i="54"/>
  <c r="AC364" i="54"/>
  <c r="AC362" i="54"/>
  <c r="AC361" i="54"/>
  <c r="AC360" i="54"/>
  <c r="AC359" i="54"/>
  <c r="AC356" i="54"/>
  <c r="AC318" i="54"/>
  <c r="AB975" i="2"/>
  <c r="AB972" i="2"/>
  <c r="AB971" i="2"/>
  <c r="AB952" i="2"/>
  <c r="AB951" i="2"/>
  <c r="AB849" i="2"/>
  <c r="AB845" i="2"/>
  <c r="AB834" i="2"/>
  <c r="AB831" i="2"/>
  <c r="AB830" i="2"/>
  <c r="AB828" i="2"/>
  <c r="AB823" i="2"/>
  <c r="AB817" i="2"/>
  <c r="AB690" i="2"/>
  <c r="AB689" i="2"/>
  <c r="AB688" i="2"/>
  <c r="AB687" i="2"/>
  <c r="AB686" i="2"/>
  <c r="AB650" i="2"/>
  <c r="AB551" i="2"/>
  <c r="AB547" i="2"/>
  <c r="AB681" i="2" l="1"/>
  <c r="AB703" i="2"/>
  <c r="AC314" i="54"/>
  <c r="AC332" i="54"/>
  <c r="AC317" i="54"/>
  <c r="AC329" i="54"/>
  <c r="AC315" i="54"/>
  <c r="AC320" i="54"/>
  <c r="AC322" i="54"/>
  <c r="AC338" i="54"/>
  <c r="AC325" i="54"/>
  <c r="AC328" i="54"/>
  <c r="Z989" i="58"/>
  <c r="Z1017" i="58"/>
  <c r="AB554" i="2"/>
  <c r="Z813" i="58"/>
  <c r="Z777" i="58"/>
  <c r="Z713" i="58"/>
  <c r="Z524" i="58"/>
  <c r="Z856" i="58"/>
  <c r="Z473" i="58"/>
  <c r="Z530" i="58"/>
  <c r="Z532" i="58"/>
  <c r="Z548" i="58"/>
  <c r="Z556" i="58"/>
  <c r="Z593" i="58"/>
  <c r="Z600" i="58"/>
  <c r="Z612" i="58"/>
  <c r="AC494" i="54"/>
  <c r="AC385" i="54"/>
  <c r="AC428" i="54"/>
  <c r="AC447" i="54"/>
  <c r="AC475" i="54"/>
  <c r="AC350" i="54"/>
  <c r="AC436" i="54"/>
  <c r="AC477" i="54"/>
  <c r="AC409" i="54"/>
  <c r="AC432" i="54"/>
  <c r="AC449" i="54"/>
  <c r="AC473" i="54"/>
  <c r="AC349" i="54"/>
  <c r="AC474" i="54"/>
  <c r="AC363" i="54"/>
  <c r="AC413" i="54"/>
  <c r="AC427" i="54"/>
  <c r="AC435" i="54"/>
  <c r="AC355" i="54"/>
  <c r="AC416" i="54"/>
  <c r="AC448" i="54"/>
  <c r="AC472" i="54"/>
  <c r="AC351" i="54"/>
  <c r="AC444" i="54"/>
  <c r="AC459" i="54"/>
  <c r="AC434" i="54"/>
  <c r="AC450" i="54"/>
  <c r="Z945" i="58"/>
  <c r="Z960" i="58"/>
  <c r="Z755" i="58"/>
  <c r="Z940" i="58"/>
  <c r="Z970" i="58"/>
  <c r="Z982" i="58"/>
  <c r="Z976" i="58"/>
  <c r="AC500" i="54"/>
  <c r="AC391" i="54"/>
  <c r="AC336" i="54"/>
  <c r="AC414" i="54"/>
  <c r="AC443" i="54"/>
  <c r="AC324" i="54"/>
  <c r="AC464" i="54"/>
  <c r="AC390" i="54"/>
  <c r="AC415" i="54"/>
  <c r="AC384" i="54"/>
  <c r="AC333" i="54"/>
  <c r="AC353" i="54"/>
  <c r="AC366" i="54"/>
  <c r="AC389" i="54"/>
  <c r="AC411" i="54"/>
  <c r="AB836" i="2"/>
  <c r="AB606" i="2"/>
  <c r="AB611" i="2"/>
  <c r="AB598" i="2"/>
  <c r="AB839" i="2"/>
  <c r="AB958" i="2"/>
  <c r="AB880" i="2"/>
  <c r="AB600" i="2"/>
  <c r="AB743" i="2"/>
  <c r="AB591" i="2"/>
  <c r="AB533" i="2"/>
  <c r="AB592" i="2"/>
  <c r="AB601" i="2"/>
  <c r="AB793" i="2"/>
  <c r="AB794" i="2"/>
  <c r="AB795" i="2"/>
  <c r="AB929" i="2"/>
  <c r="AB609" i="2"/>
  <c r="AB928" i="2"/>
  <c r="AB550" i="2"/>
  <c r="AB608" i="2"/>
  <c r="AB614" i="2"/>
  <c r="AB718" i="2"/>
  <c r="AB974" i="2"/>
  <c r="AB574" i="2"/>
  <c r="AB657" i="2"/>
  <c r="AB724" i="2"/>
  <c r="AB864" i="2"/>
  <c r="AB832" i="2"/>
  <c r="AB881" i="2"/>
  <c r="AB599" i="2"/>
  <c r="AB612" i="2"/>
  <c r="AB651" i="2"/>
  <c r="AB720" i="2"/>
  <c r="AB954" i="2"/>
  <c r="AB944" i="2"/>
  <c r="AB899" i="2"/>
  <c r="AB896" i="2"/>
  <c r="AB825" i="2"/>
  <c r="AB819" i="2"/>
  <c r="AB993" i="2"/>
  <c r="AB955" i="2"/>
  <c r="AB826" i="2"/>
  <c r="AB820" i="2"/>
  <c r="AB1002" i="2"/>
  <c r="AB959" i="2"/>
  <c r="AB931" i="2"/>
  <c r="AB912" i="2"/>
  <c r="AB833" i="2"/>
  <c r="AB829" i="2"/>
  <c r="AB973" i="2"/>
  <c r="AB953" i="2"/>
  <c r="AB947" i="2"/>
  <c r="AB850" i="2"/>
  <c r="AB824" i="2"/>
  <c r="AB818" i="2"/>
  <c r="AB994" i="2"/>
  <c r="AB957" i="2"/>
  <c r="AB933" i="2"/>
  <c r="AB891" i="2"/>
  <c r="AB835" i="2"/>
  <c r="AB844" i="2"/>
  <c r="AB827" i="2"/>
  <c r="AB821" i="2"/>
  <c r="AB906" i="2"/>
  <c r="AB531" i="2"/>
  <c r="AB584" i="2"/>
  <c r="AB597" i="2"/>
  <c r="AB610" i="2"/>
  <c r="AB963" i="2"/>
  <c r="AB791" i="2"/>
  <c r="AB862" i="2"/>
  <c r="AB916" i="2"/>
  <c r="AB575" i="2"/>
  <c r="AB602" i="2"/>
  <c r="AB772" i="2"/>
  <c r="AB843" i="2"/>
  <c r="AB865" i="2"/>
  <c r="AB893" i="2"/>
  <c r="AB930" i="2"/>
  <c r="AB840" i="2"/>
  <c r="AB932" i="2"/>
  <c r="AB956" i="2"/>
  <c r="AB970" i="2"/>
  <c r="Z822" i="58"/>
  <c r="Z569" i="58"/>
  <c r="Z629" i="58"/>
  <c r="Z639" i="58"/>
  <c r="Z648" i="58"/>
  <c r="Z655" i="58"/>
  <c r="Z696" i="58"/>
  <c r="Z706" i="58"/>
  <c r="Z741" i="58"/>
  <c r="Z854" i="58"/>
  <c r="Z873" i="58"/>
  <c r="Z947" i="58"/>
  <c r="Z962" i="58"/>
  <c r="Z821" i="58"/>
  <c r="Z826" i="58"/>
  <c r="Z742" i="58"/>
  <c r="Z744" i="58"/>
  <c r="Z754" i="58"/>
  <c r="Z803" i="58"/>
  <c r="Z783" i="58"/>
  <c r="Z757" i="58"/>
  <c r="Z801" i="58"/>
  <c r="Z901" i="58"/>
  <c r="Z905" i="58"/>
  <c r="Z912" i="58"/>
  <c r="Z935" i="58"/>
  <c r="Z809" i="58"/>
  <c r="Z812" i="58"/>
  <c r="Z865" i="58"/>
  <c r="Z875" i="58"/>
  <c r="Z869" i="58"/>
  <c r="Z884" i="58"/>
  <c r="Z968" i="58"/>
  <c r="Z1022" i="58"/>
  <c r="Z547" i="58"/>
  <c r="Z555" i="58"/>
  <c r="Z907" i="58"/>
  <c r="Z931" i="58"/>
  <c r="Z488" i="58"/>
  <c r="Z491" i="58"/>
  <c r="Z494" i="58"/>
  <c r="Z710" i="58"/>
  <c r="Z717" i="58"/>
  <c r="Z554" i="58"/>
  <c r="Z574" i="58"/>
  <c r="Z594" i="58"/>
  <c r="Z601" i="58"/>
  <c r="Z758" i="58"/>
  <c r="Z761" i="58"/>
  <c r="Z868" i="58"/>
  <c r="Z871" i="58"/>
  <c r="Z886" i="58"/>
  <c r="Z893" i="58"/>
  <c r="Z776" i="58"/>
  <c r="Z780" i="58"/>
  <c r="Z799" i="58"/>
  <c r="Z808" i="58"/>
  <c r="Z816" i="58"/>
  <c r="Z820" i="58"/>
  <c r="Z825" i="58"/>
  <c r="Z810" i="58"/>
  <c r="Z863" i="58"/>
  <c r="Z464" i="58"/>
  <c r="Z468" i="58"/>
  <c r="Z476" i="58"/>
  <c r="Z481" i="58"/>
  <c r="Z492" i="58"/>
  <c r="Z506" i="58"/>
  <c r="Z527" i="58"/>
  <c r="Z628" i="58"/>
  <c r="Z636" i="58"/>
  <c r="Z638" i="58"/>
  <c r="Z647" i="58"/>
  <c r="Z652" i="58"/>
  <c r="Z883" i="58"/>
  <c r="Z887" i="58"/>
  <c r="Z889" i="58"/>
  <c r="Z891" i="58"/>
  <c r="Z762" i="58"/>
  <c r="Z764" i="58"/>
  <c r="Z775" i="58"/>
  <c r="Z793" i="58"/>
  <c r="Z798" i="58"/>
  <c r="Z787" i="58"/>
  <c r="Z807" i="58"/>
  <c r="Z815" i="58"/>
  <c r="Z824" i="58"/>
  <c r="Z827" i="58"/>
  <c r="Z828" i="58"/>
  <c r="Z833" i="58"/>
  <c r="Z836" i="58"/>
  <c r="Z837" i="58"/>
  <c r="Z909" i="58"/>
  <c r="Z937" i="58"/>
  <c r="Z978" i="58"/>
  <c r="Z630" i="58"/>
  <c r="Z640" i="58"/>
  <c r="Z649" i="58"/>
  <c r="Z699" i="58"/>
  <c r="Z756" i="58"/>
  <c r="Z716" i="58"/>
  <c r="Z489" i="58"/>
  <c r="Z495" i="58"/>
  <c r="Z499" i="58"/>
  <c r="Z470" i="58"/>
  <c r="Z546" i="58"/>
  <c r="Z557" i="58"/>
  <c r="Z565" i="58"/>
  <c r="Z714" i="58"/>
  <c r="Z490" i="58"/>
  <c r="Z496" i="58"/>
  <c r="Z500" i="58"/>
  <c r="Z508" i="58"/>
  <c r="Z519" i="58"/>
  <c r="Z540" i="58"/>
  <c r="Z529" i="58"/>
  <c r="Z567" i="58"/>
  <c r="Z572" i="58"/>
  <c r="Z588" i="58"/>
  <c r="Z597" i="58"/>
  <c r="Z599" i="58"/>
  <c r="Z627" i="58"/>
  <c r="Z635" i="58"/>
  <c r="Z646" i="58"/>
  <c r="Z702" i="58"/>
  <c r="Z740" i="58"/>
  <c r="Z752" i="58"/>
  <c r="Z760" i="58"/>
  <c r="Z763" i="58"/>
  <c r="Z768" i="58"/>
  <c r="Z943" i="58"/>
  <c r="Z1026" i="58"/>
  <c r="Z896" i="58"/>
  <c r="Z876" i="58"/>
  <c r="Z942" i="58"/>
  <c r="Z1016" i="58"/>
  <c r="Z553" i="58"/>
  <c r="Z562" i="58"/>
  <c r="Z566" i="58"/>
  <c r="Z587" i="58"/>
  <c r="Z596" i="58"/>
  <c r="Z604" i="58"/>
  <c r="Z634" i="58"/>
  <c r="Z644" i="58"/>
  <c r="Z694" i="58"/>
  <c r="Z715" i="58"/>
  <c r="Z738" i="58"/>
  <c r="Z739" i="58"/>
  <c r="Z748" i="58"/>
  <c r="Z759" i="58"/>
  <c r="Z829" i="58"/>
  <c r="Z866" i="58"/>
  <c r="Z885" i="58"/>
  <c r="Z910" i="58"/>
  <c r="Z902" i="58"/>
  <c r="Z939" i="58"/>
  <c r="Z965" i="58"/>
  <c r="Z979" i="58"/>
  <c r="Z561" i="58"/>
  <c r="Z586" i="58"/>
  <c r="Z595" i="58"/>
  <c r="Z602" i="58"/>
  <c r="Z603" i="58"/>
  <c r="Z614" i="58"/>
  <c r="Z700" i="58"/>
  <c r="Z703" i="58"/>
  <c r="Z712" i="58"/>
  <c r="Z814" i="58"/>
  <c r="Z831" i="58"/>
  <c r="Z859" i="58"/>
  <c r="Z894" i="58"/>
  <c r="Z897" i="58"/>
  <c r="Z932" i="58"/>
  <c r="Z941" i="58"/>
  <c r="Z944" i="58"/>
  <c r="Z959" i="58"/>
  <c r="Z841" i="58"/>
  <c r="Z845" i="58"/>
  <c r="Z864" i="58"/>
  <c r="Z895" i="58"/>
  <c r="Z899" i="58"/>
  <c r="Z963" i="58"/>
  <c r="Z980" i="58"/>
  <c r="Z1012" i="58"/>
  <c r="Z1023" i="58"/>
  <c r="Z460" i="58"/>
  <c r="Z502" i="58"/>
  <c r="Z511" i="58"/>
  <c r="Z523" i="58"/>
  <c r="Z531" i="58"/>
  <c r="Z538" i="58"/>
  <c r="Z560" i="58"/>
  <c r="Z591" i="58"/>
  <c r="Z592" i="58"/>
  <c r="Z606" i="58"/>
  <c r="Z608" i="58"/>
  <c r="Z610" i="58"/>
  <c r="Z633" i="58"/>
  <c r="Z643" i="58"/>
  <c r="Z657" i="58"/>
  <c r="Z737" i="58"/>
  <c r="Z789" i="58"/>
  <c r="Z792" i="58"/>
  <c r="Z786" i="58"/>
  <c r="Z892" i="58"/>
  <c r="Z578" i="58"/>
  <c r="Z462" i="58"/>
  <c r="Z882" i="58"/>
  <c r="Z855" i="58"/>
  <c r="Z521" i="58"/>
  <c r="Z536" i="58"/>
  <c r="Z542" i="58"/>
  <c r="Z550" i="58"/>
  <c r="Z559" i="58"/>
  <c r="Z571" i="58"/>
  <c r="Z576" i="58"/>
  <c r="Z632" i="58"/>
  <c r="Z642" i="58"/>
  <c r="Z651" i="58"/>
  <c r="Z653" i="58"/>
  <c r="Z654" i="58"/>
  <c r="Z669" i="58"/>
  <c r="Z698" i="58"/>
  <c r="Z733" i="58"/>
  <c r="Z736" i="58"/>
  <c r="Z791" i="58"/>
  <c r="Z782" i="58"/>
  <c r="Z804" i="58"/>
  <c r="Z818" i="58"/>
  <c r="Z832" i="58"/>
  <c r="Z1028" i="58"/>
  <c r="Z779" i="58"/>
  <c r="Z802" i="58"/>
  <c r="Z853" i="58"/>
  <c r="Z861" i="58"/>
  <c r="Z839" i="58"/>
  <c r="Z888" i="58"/>
  <c r="Z900" i="58"/>
  <c r="Z904" i="58"/>
  <c r="Z911" i="58"/>
  <c r="Z913" i="58"/>
  <c r="Z934" i="58"/>
  <c r="Z938" i="58"/>
  <c r="Z981" i="58"/>
  <c r="Z991" i="58"/>
  <c r="Z1004" i="58"/>
  <c r="Z465" i="58"/>
  <c r="Z469" i="58"/>
  <c r="Z479" i="58"/>
  <c r="Z501" i="58"/>
  <c r="Z509" i="58"/>
  <c r="Z520" i="58"/>
  <c r="Z549" i="58"/>
  <c r="Z558" i="58"/>
  <c r="Z570" i="58"/>
  <c r="Z575" i="58"/>
  <c r="Z589" i="58"/>
  <c r="Z598" i="58"/>
  <c r="Z605" i="58"/>
  <c r="Z631" i="58"/>
  <c r="Z641" i="58"/>
  <c r="Z650" i="58"/>
  <c r="Z697" i="58"/>
  <c r="Z708" i="58"/>
  <c r="Z711" i="58"/>
  <c r="Z735" i="58"/>
  <c r="Z800" i="58"/>
  <c r="Z817" i="58"/>
  <c r="Z823" i="58"/>
  <c r="Z890" i="58"/>
  <c r="Z914" i="58"/>
  <c r="Z908" i="58"/>
  <c r="Z967" i="58"/>
  <c r="Z975" i="58"/>
  <c r="Z988" i="58"/>
  <c r="Z1024" i="58"/>
  <c r="Z1027" i="58"/>
  <c r="Z732" i="58"/>
  <c r="Z457" i="58"/>
  <c r="Z585" i="58"/>
  <c r="Z661" i="58"/>
  <c r="Z676" i="58"/>
  <c r="Z665" i="58"/>
  <c r="AC340" i="54" l="1"/>
  <c r="AC339" i="54"/>
  <c r="AB542" i="2"/>
  <c r="AB727" i="2"/>
  <c r="AB943" i="2"/>
  <c r="AB792" i="2"/>
  <c r="AB965" i="2"/>
  <c r="AB736" i="2"/>
  <c r="AB945" i="2"/>
  <c r="AB886" i="2"/>
  <c r="AB960" i="2"/>
  <c r="AB590" i="2"/>
  <c r="AB777" i="2"/>
  <c r="AB797" i="2"/>
  <c r="AB799" i="2"/>
  <c r="AB811" i="2"/>
  <c r="AB900" i="2"/>
  <c r="AB719" i="2"/>
  <c r="AB810" i="2"/>
  <c r="AB765" i="2"/>
  <c r="AB863" i="2"/>
  <c r="AB573" i="2"/>
  <c r="AB894" i="2"/>
  <c r="AB895" i="2"/>
  <c r="AB546" i="2"/>
  <c r="AB753" i="2"/>
  <c r="AB568" i="2"/>
  <c r="AB789" i="2"/>
  <c r="AB556" i="2"/>
  <c r="AB770" i="2"/>
  <c r="AB544" i="2"/>
  <c r="AB801" i="2"/>
  <c r="AB717" i="2"/>
  <c r="AB940" i="2"/>
  <c r="AB846" i="2"/>
  <c r="AB902" i="2"/>
  <c r="AB790" i="2"/>
  <c r="AB572" i="2"/>
  <c r="AB798" i="2"/>
  <c r="AB892" i="2"/>
  <c r="AB739" i="2"/>
  <c r="AB812" i="2"/>
  <c r="AB806" i="2"/>
  <c r="AB787" i="2"/>
  <c r="AB809" i="2"/>
  <c r="AB788" i="2"/>
  <c r="AB775" i="2"/>
  <c r="AB767" i="2"/>
  <c r="AB649" i="2"/>
  <c r="AB800" i="2"/>
  <c r="AB656" i="2"/>
  <c r="AB903" i="2"/>
  <c r="AB804" i="2"/>
  <c r="AB946" i="2"/>
  <c r="AB616" i="2"/>
  <c r="AB966" i="2"/>
  <c r="AB640" i="2"/>
  <c r="AB887" i="2"/>
  <c r="AB807" i="2"/>
  <c r="AB898" i="2"/>
  <c r="AB876" i="2"/>
  <c r="AB967" i="2"/>
  <c r="AB741" i="2"/>
  <c r="AB732" i="2"/>
  <c r="AB861" i="2"/>
  <c r="AB999" i="2"/>
  <c r="AB842" i="2"/>
  <c r="AB635" i="2"/>
  <c r="AB769" i="2"/>
  <c r="AB734" i="2"/>
  <c r="AB637" i="2"/>
  <c r="AB897" i="2"/>
  <c r="AB802" i="2"/>
  <c r="AB942" i="2"/>
  <c r="AB751" i="2"/>
  <c r="AB615" i="2"/>
  <c r="AB760" i="2"/>
  <c r="AB761" i="2"/>
  <c r="AB805" i="2"/>
  <c r="AB841" i="2"/>
  <c r="AB723" i="2"/>
  <c r="AB607" i="2"/>
  <c r="AB766" i="2"/>
  <c r="AB543" i="2"/>
  <c r="AB968" i="2"/>
  <c r="AB773" i="2"/>
  <c r="AB571" i="2"/>
  <c r="AB964" i="2"/>
  <c r="AB653" i="2"/>
  <c r="AB785" i="2"/>
  <c r="AB771" i="2"/>
  <c r="AB603" i="2"/>
  <c r="AB910" i="2"/>
  <c r="AB768" i="2"/>
  <c r="AB822" i="2"/>
  <c r="AB904" i="2"/>
  <c r="AB776" i="2"/>
  <c r="AB888" i="2"/>
  <c r="AB537" i="2"/>
  <c r="AB1001" i="2"/>
  <c r="AB759" i="2"/>
  <c r="AB935" i="2"/>
  <c r="AB762" i="2"/>
  <c r="AB941" i="2"/>
  <c r="AB778" i="2"/>
  <c r="AB587" i="2"/>
  <c r="AB808" i="2"/>
  <c r="AB1003" i="2"/>
  <c r="AB890" i="2"/>
  <c r="AB901" i="2"/>
  <c r="AB725" i="2"/>
  <c r="AB737" i="2"/>
  <c r="AB605" i="2"/>
  <c r="AB530" i="2"/>
  <c r="AB879" i="2"/>
  <c r="AB961" i="2"/>
  <c r="AB786" i="2"/>
  <c r="AB536" i="2"/>
  <c r="AB646" i="2"/>
  <c r="AB774" i="2"/>
  <c r="AB613" i="2"/>
  <c r="AB604" i="2"/>
  <c r="AB576" i="2"/>
  <c r="AB905" i="2"/>
  <c r="AB784" i="2"/>
  <c r="AB1004" i="2"/>
  <c r="AB553" i="2"/>
  <c r="Z475" i="58"/>
  <c r="Z695" i="58"/>
  <c r="AC326" i="54"/>
  <c r="AC337" i="54"/>
  <c r="AC331" i="54"/>
  <c r="Z480" i="58"/>
  <c r="Z478" i="58"/>
  <c r="Z482" i="58"/>
  <c r="Z466" i="58"/>
  <c r="Z1025" i="58"/>
  <c r="Z972" i="58"/>
  <c r="Z766" i="58"/>
  <c r="Z539" i="58"/>
  <c r="Z753" i="58"/>
  <c r="Z704" i="58"/>
  <c r="Z568" i="58"/>
  <c r="Z971" i="58"/>
  <c r="Z977" i="58"/>
  <c r="Z969" i="58"/>
  <c r="Z705" i="58"/>
  <c r="Z1006" i="58"/>
  <c r="Z964" i="58"/>
  <c r="Z961" i="58"/>
  <c r="Z936" i="58"/>
  <c r="Z510" i="58"/>
  <c r="Z701" i="58"/>
  <c r="Z933" i="58"/>
  <c r="Z992" i="58"/>
  <c r="Z709" i="58"/>
  <c r="Z613" i="58"/>
  <c r="AC335" i="54"/>
  <c r="AC321" i="54"/>
  <c r="AB742" i="2"/>
  <c r="AB636" i="2"/>
  <c r="AB589" i="2"/>
  <c r="AB704" i="2"/>
  <c r="AC419" i="54"/>
  <c r="AB866" i="2"/>
  <c r="AB618" i="2"/>
  <c r="AB852" i="2"/>
  <c r="Z659" i="58"/>
  <c r="Z1019" i="58"/>
  <c r="Z770" i="58"/>
  <c r="Z671" i="58"/>
  <c r="Z662" i="58"/>
  <c r="AV732" i="2" l="1"/>
  <c r="AB541" i="2"/>
  <c r="AB540" i="2"/>
  <c r="AB548" i="2"/>
  <c r="AB878" i="2"/>
  <c r="AB733" i="2"/>
  <c r="Z719" i="58"/>
  <c r="AB648" i="2"/>
  <c r="AB655" i="2"/>
  <c r="AB730" i="2"/>
  <c r="AB721" i="2"/>
  <c r="AB593" i="2"/>
  <c r="AC430" i="54"/>
  <c r="AC368" i="54"/>
  <c r="AC481" i="54"/>
  <c r="AB962" i="2" l="1"/>
  <c r="AB748" i="2"/>
  <c r="AB992" i="2"/>
  <c r="AB534" i="2"/>
  <c r="AB917" i="2"/>
  <c r="AB882" i="2"/>
  <c r="AB570" i="2"/>
  <c r="AB585" i="2"/>
  <c r="AC429" i="54"/>
  <c r="AB977" i="2"/>
  <c r="AC491" i="54"/>
  <c r="AB749" i="2"/>
  <c r="Z997" i="58"/>
  <c r="Z580" i="58"/>
  <c r="Z544" i="58"/>
  <c r="AC482" i="54"/>
  <c r="AC383" i="54"/>
  <c r="AC502" i="54"/>
  <c r="AC445" i="54" l="1"/>
  <c r="AB659" i="2"/>
  <c r="AB746" i="2"/>
  <c r="AB595" i="2"/>
  <c r="AB755" i="2"/>
  <c r="AB752" i="2"/>
  <c r="AC496" i="54"/>
  <c r="AC387" i="54"/>
  <c r="Z622" i="58"/>
  <c r="AX428" i="54" l="1"/>
  <c r="Z517" i="58"/>
  <c r="AC397" i="54"/>
  <c r="AC357" i="54"/>
  <c r="Z623" i="58"/>
  <c r="AB985" i="2" l="1"/>
  <c r="AB984" i="2"/>
  <c r="AB711" i="2"/>
  <c r="Z581" i="58" l="1"/>
  <c r="AC402" i="54"/>
  <c r="AC399" i="54"/>
  <c r="AB856" i="2"/>
  <c r="AB855" i="2"/>
  <c r="AB630" i="2"/>
  <c r="AB629" i="2"/>
  <c r="AB632" i="2"/>
  <c r="AB1000" i="2" l="1"/>
  <c r="AB871" i="2"/>
  <c r="Z725" i="58" l="1"/>
  <c r="Z727" i="58" l="1"/>
  <c r="AB706" i="2" l="1"/>
  <c r="AB708" i="2" l="1"/>
  <c r="AB712" i="2" l="1"/>
  <c r="AC354" i="54" l="1"/>
  <c r="AC370" i="54" l="1"/>
  <c r="AB913" i="2" l="1"/>
  <c r="Z840" i="58" l="1"/>
  <c r="AC463" i="54" l="1"/>
  <c r="Z842" i="58" l="1"/>
  <c r="Z999" i="58" l="1"/>
  <c r="Z1002" i="58" l="1"/>
  <c r="AC462" i="54" l="1"/>
  <c r="AC484" i="54" l="1"/>
  <c r="AC488" i="54" l="1"/>
  <c r="AB919" i="2"/>
  <c r="AB914" i="2"/>
  <c r="AB987" i="2" l="1"/>
  <c r="AB995" i="2" l="1"/>
  <c r="AB996" i="2" l="1"/>
  <c r="AC342" i="54" l="1"/>
  <c r="C17" i="92" l="1"/>
  <c r="AA1005" i="2"/>
  <c r="AA555" i="2" l="1"/>
  <c r="AA552" i="2" l="1"/>
  <c r="AA549" i="2"/>
  <c r="AA545" i="2"/>
  <c r="AA539" i="2"/>
  <c r="AA986" i="2" l="1"/>
  <c r="AA988" i="2"/>
  <c r="AA989" i="2"/>
  <c r="AA991" i="2"/>
  <c r="AA997" i="2"/>
  <c r="AA998" i="2"/>
  <c r="AA796" i="2" l="1"/>
  <c r="AA803" i="2"/>
  <c r="AA783" i="2" l="1"/>
  <c r="AA815" i="2"/>
  <c r="AA941" i="2"/>
  <c r="AA548" i="2" l="1"/>
  <c r="AA983" i="2" l="1"/>
  <c r="AA631" i="2"/>
  <c r="AA633" i="2" l="1"/>
  <c r="AA982" i="2" l="1"/>
  <c r="AA634" i="2"/>
  <c r="AA586" i="2"/>
  <c r="AA624" i="2" l="1"/>
  <c r="AA747" i="2"/>
  <c r="AA713" i="2"/>
  <c r="AA954" i="2"/>
  <c r="AA930" i="2"/>
  <c r="AA867" i="2"/>
  <c r="AA622" i="2"/>
  <c r="AA750" i="2"/>
  <c r="AA726" i="2"/>
  <c r="AA722" i="2"/>
  <c r="AA691" i="2"/>
  <c r="AA953" i="2"/>
  <c r="AA925" i="2"/>
  <c r="AA891" i="2"/>
  <c r="AA874" i="2"/>
  <c r="AA870" i="2"/>
  <c r="AA858" i="2"/>
  <c r="AA854" i="2"/>
  <c r="AA831" i="2"/>
  <c r="AA621" i="2"/>
  <c r="AA617" i="2"/>
  <c r="AA594" i="2"/>
  <c r="AA756" i="2"/>
  <c r="AA745" i="2"/>
  <c r="AA715" i="2"/>
  <c r="AA707" i="2"/>
  <c r="AA685" i="2"/>
  <c r="AA660" i="2"/>
  <c r="AA980" i="2"/>
  <c r="AA932" i="2"/>
  <c r="AA928" i="2"/>
  <c r="AA890" i="2"/>
  <c r="AA873" i="2"/>
  <c r="AA857" i="2"/>
  <c r="AA853" i="2"/>
  <c r="AA782" i="2"/>
  <c r="AA754" i="2"/>
  <c r="AA709" i="2"/>
  <c r="AA705" i="2"/>
  <c r="AA658" i="2"/>
  <c r="AA917" i="2"/>
  <c r="AA875" i="2"/>
  <c r="AA851" i="2"/>
  <c r="AA628" i="2"/>
  <c r="AA625" i="2"/>
  <c r="AA620" i="2"/>
  <c r="AA744" i="2"/>
  <c r="AA714" i="2"/>
  <c r="AA710" i="2"/>
  <c r="AA684" i="2"/>
  <c r="AA979" i="2"/>
  <c r="AA955" i="2"/>
  <c r="AA931" i="2"/>
  <c r="AA927" i="2"/>
  <c r="AA923" i="2"/>
  <c r="AA909" i="2"/>
  <c r="AA888" i="2"/>
  <c r="AA872" i="2"/>
  <c r="AA868" i="2"/>
  <c r="AA860" i="2"/>
  <c r="AA619" i="2"/>
  <c r="AA596" i="2"/>
  <c r="AA978" i="2"/>
  <c r="AA926" i="2"/>
  <c r="AA716" i="2"/>
  <c r="AA661" i="2"/>
  <c r="AA976" i="2"/>
  <c r="AA969" i="2"/>
  <c r="AA793" i="2" l="1"/>
  <c r="AA795" i="2"/>
  <c r="AA794" i="2"/>
  <c r="AA802" i="2" l="1"/>
  <c r="AA810" i="2"/>
  <c r="AA811" i="2"/>
  <c r="AA999" i="2"/>
  <c r="AA1003" i="2"/>
  <c r="AA994" i="2"/>
  <c r="AA1001" i="2"/>
  <c r="AA992" i="2"/>
  <c r="AA1002" i="2"/>
  <c r="AA808" i="2"/>
  <c r="AA791" i="2"/>
  <c r="AA801" i="2"/>
  <c r="AA623" i="2"/>
  <c r="AA929" i="2"/>
  <c r="AA990" i="2"/>
  <c r="AA981" i="2"/>
  <c r="AA859" i="2"/>
  <c r="AA869" i="2"/>
  <c r="AA805" i="2" l="1"/>
  <c r="AA790" i="2"/>
  <c r="AA804" i="2"/>
  <c r="AA789" i="2"/>
  <c r="AA788" i="2"/>
  <c r="AA812" i="2"/>
  <c r="AA800" i="2"/>
  <c r="AA787" i="2"/>
  <c r="AA799" i="2"/>
  <c r="AA786" i="2"/>
  <c r="AA809" i="2"/>
  <c r="AA798" i="2"/>
  <c r="AA785" i="2"/>
  <c r="AA807" i="2"/>
  <c r="AA797" i="2"/>
  <c r="AA784" i="2"/>
  <c r="AA806" i="2"/>
  <c r="AA792" i="2"/>
  <c r="AA993" i="2"/>
  <c r="AA626" i="2" l="1"/>
  <c r="AA627" i="2" l="1"/>
  <c r="AA1000" i="2" l="1"/>
  <c r="AA984" i="2" l="1"/>
  <c r="AA985" i="2" l="1"/>
  <c r="AA920" i="2" l="1"/>
  <c r="AA940" i="2" l="1"/>
  <c r="AA942" i="2" l="1"/>
  <c r="AA674" i="2" l="1"/>
  <c r="AA911" i="2" l="1"/>
  <c r="AA840" i="2" l="1"/>
  <c r="AA592" i="2"/>
  <c r="AA670" i="2" l="1"/>
  <c r="AA640" i="2"/>
  <c r="AA843" i="2" l="1"/>
  <c r="AA682" i="2" l="1"/>
  <c r="AA615" i="2" l="1"/>
  <c r="AA700" i="2"/>
  <c r="AA681" i="2"/>
  <c r="AA683" i="2"/>
  <c r="AA575" i="2" l="1"/>
  <c r="AA828" i="2" l="1"/>
  <c r="AA829" i="2"/>
  <c r="AA830" i="2"/>
  <c r="AA704" i="2"/>
  <c r="AA918" i="2" l="1"/>
  <c r="AA724" i="2" l="1"/>
  <c r="AA725" i="2"/>
  <c r="AA972" i="2"/>
  <c r="AA542" i="2"/>
  <c r="AA543" i="2"/>
  <c r="AA544" i="2" l="1"/>
  <c r="AA901" i="2"/>
  <c r="AA541" i="2" l="1"/>
  <c r="AA893" i="2"/>
  <c r="AA879" i="2"/>
  <c r="AA734" i="2"/>
  <c r="AA719" i="2"/>
  <c r="AA656" i="2"/>
  <c r="AA637" i="2"/>
  <c r="AA590" i="2"/>
  <c r="AA772" i="2"/>
  <c r="AA839" i="2"/>
  <c r="AA842" i="2"/>
  <c r="AA817" i="2"/>
  <c r="AA956" i="2"/>
  <c r="AA597" i="2"/>
  <c r="AA723" i="2"/>
  <c r="AA903" i="2"/>
  <c r="AA669" i="2"/>
  <c r="AA776" i="2"/>
  <c r="AA775" i="2"/>
  <c r="AA950" i="2"/>
  <c r="AA849" i="2"/>
  <c r="AA968" i="2"/>
  <c r="AA902" i="2"/>
  <c r="AA651" i="2"/>
  <c r="AA547" i="2"/>
  <c r="AA966" i="2"/>
  <c r="AA551" i="2"/>
  <c r="AA667" i="2"/>
  <c r="AA900" i="2"/>
  <c r="AA536" i="2"/>
  <c r="AA537" i="2"/>
  <c r="AA546" i="2"/>
  <c r="AA550" i="2"/>
  <c r="AA556" i="2"/>
  <c r="AA568" i="2"/>
  <c r="AA576" i="2"/>
  <c r="AA587" i="2"/>
  <c r="AA589" i="2"/>
  <c r="AA604" i="2"/>
  <c r="AA605" i="2"/>
  <c r="AA606" i="2"/>
  <c r="AA607" i="2"/>
  <c r="AA608" i="2"/>
  <c r="AA609" i="2"/>
  <c r="AA612" i="2"/>
  <c r="AA613" i="2"/>
  <c r="AA616" i="2"/>
  <c r="AA635" i="2"/>
  <c r="AA646" i="2"/>
  <c r="AA653" i="2"/>
  <c r="AA668" i="2"/>
  <c r="AA676" i="2"/>
  <c r="AA692" i="2"/>
  <c r="AA696" i="2"/>
  <c r="AA698" i="2"/>
  <c r="AA702" i="2"/>
  <c r="AA717" i="2"/>
  <c r="AA727" i="2"/>
  <c r="AA732" i="2"/>
  <c r="AA736" i="2"/>
  <c r="AA739" i="2"/>
  <c r="AA748" i="2"/>
  <c r="AA751" i="2"/>
  <c r="AA761" i="2"/>
  <c r="AA765" i="2"/>
  <c r="AA766" i="2"/>
  <c r="AA762" i="2"/>
  <c r="AA769" i="2"/>
  <c r="AA771" i="2"/>
  <c r="AA773" i="2"/>
  <c r="AA774" i="2"/>
  <c r="AA778" i="2"/>
  <c r="AA841" i="2"/>
  <c r="AA844" i="2"/>
  <c r="AA832" i="2"/>
  <c r="AA836" i="2"/>
  <c r="AA777" i="2"/>
  <c r="AA846" i="2"/>
  <c r="AA770" i="2"/>
  <c r="AA861" i="2"/>
  <c r="AA862" i="2"/>
  <c r="AA863" i="2"/>
  <c r="AA865" i="2"/>
  <c r="AA876" i="2"/>
  <c r="AA878" i="2"/>
  <c r="AA892" i="2"/>
  <c r="AA895" i="2"/>
  <c r="AA896" i="2"/>
  <c r="AA897" i="2"/>
  <c r="AA898" i="2"/>
  <c r="AA904" i="2"/>
  <c r="AA905" i="2"/>
  <c r="AA910" i="2"/>
  <c r="AA913" i="2"/>
  <c r="AA933" i="2"/>
  <c r="AA934" i="2"/>
  <c r="AA946" i="2"/>
  <c r="AA951" i="2"/>
  <c r="AA959" i="2"/>
  <c r="AA961" i="2"/>
  <c r="AA962" i="2"/>
  <c r="AA963" i="2"/>
  <c r="AA964" i="2"/>
  <c r="AA967" i="2"/>
  <c r="AA970" i="2"/>
  <c r="AA971" i="2"/>
  <c r="AA850" i="2"/>
  <c r="AA914" i="2"/>
  <c r="AA916" i="2"/>
  <c r="AA650" i="2"/>
  <c r="AA885" i="2"/>
  <c r="AA884" i="2"/>
  <c r="AA687" i="2"/>
  <c r="AA690" i="2"/>
  <c r="AA689" i="2"/>
  <c r="AA688" i="2"/>
  <c r="AA686" i="2"/>
  <c r="AA574" i="2"/>
  <c r="AA823" i="2"/>
  <c r="AA886" i="2"/>
  <c r="AA591" i="2"/>
  <c r="AA921" i="2"/>
  <c r="AA743" i="2"/>
  <c r="AA973" i="2"/>
  <c r="AA975" i="2"/>
  <c r="AA584" i="2"/>
  <c r="AA742" i="2"/>
  <c r="AA824" i="2"/>
  <c r="AA657" i="2"/>
  <c r="AA706" i="2"/>
  <c r="AA737" i="2"/>
  <c r="AA952" i="2"/>
  <c r="AA974" i="2"/>
  <c r="AA655" i="2"/>
  <c r="AA821" i="2"/>
  <c r="AA826" i="2"/>
  <c r="AA864" i="2"/>
  <c r="AA912" i="2"/>
  <c r="AA965" i="2"/>
  <c r="AA610" i="2"/>
  <c r="AA906" i="2"/>
  <c r="AA957" i="2"/>
  <c r="AA899" i="2"/>
  <c r="AA718" i="2"/>
  <c r="AA818" i="2"/>
  <c r="AA720" i="2"/>
  <c r="AA835" i="2"/>
  <c r="AA833" i="2"/>
  <c r="AA958" i="2"/>
  <c r="AA819" i="2"/>
  <c r="AA845" i="2"/>
  <c r="AA820" i="2"/>
  <c r="AA573" i="2"/>
  <c r="AA572" i="2"/>
  <c r="AA571" i="2"/>
  <c r="AA827" i="2"/>
  <c r="AA960" i="2"/>
  <c r="AA733" i="2"/>
  <c r="AA611" i="2"/>
  <c r="AA730" i="2"/>
  <c r="AA834" i="2"/>
  <c r="AA825" i="2"/>
  <c r="AA947" i="2"/>
  <c r="AA949" i="2"/>
  <c r="AA948" i="2"/>
  <c r="AA648" i="2"/>
  <c r="AA678" i="2"/>
  <c r="AA664" i="2"/>
  <c r="AA666" i="2"/>
  <c r="AA697" i="2"/>
  <c r="AA679" i="2"/>
  <c r="AA677" i="2"/>
  <c r="AA694" i="2"/>
  <c r="AA695" i="2"/>
  <c r="AA680" i="2"/>
  <c r="AA693" i="2"/>
  <c r="AA665" i="2"/>
  <c r="AA935" i="2"/>
  <c r="AA943" i="2"/>
  <c r="AA944" i="2"/>
  <c r="AA945" i="2"/>
  <c r="AA939" i="2"/>
  <c r="AA881" i="2"/>
  <c r="AA636" i="2"/>
  <c r="AA600" i="2"/>
  <c r="AA882" i="2"/>
  <c r="AA883" i="2"/>
  <c r="AA601" i="2"/>
  <c r="AA598" i="2"/>
  <c r="AA662" i="2"/>
  <c r="AA599" i="2"/>
  <c r="AA602" i="2"/>
  <c r="AA663" i="2"/>
  <c r="AA759" i="2" l="1"/>
  <c r="AA760" i="2"/>
  <c r="AA703" i="2"/>
  <c r="AA749" i="2"/>
  <c r="AA977" i="2"/>
  <c r="AA866" i="2"/>
  <c r="AA553" i="2" l="1"/>
  <c r="AA554" i="2"/>
  <c r="AA540" i="2"/>
  <c r="AA753" i="2"/>
  <c r="AA880" i="2"/>
  <c r="AA614" i="2"/>
  <c r="AA767" i="2"/>
  <c r="AA570" i="2" l="1"/>
  <c r="AA699" i="2"/>
  <c r="AA922" i="2"/>
  <c r="AA822" i="2"/>
  <c r="AA887" i="2"/>
  <c r="AA603" i="2"/>
  <c r="AA593" i="2"/>
  <c r="AA741" i="2" l="1"/>
  <c r="AA708" i="2"/>
  <c r="AA618" i="2" l="1"/>
  <c r="AA919" i="2" l="1"/>
  <c r="AA768" i="2" l="1"/>
  <c r="AA852" i="2"/>
  <c r="AA752" i="2" l="1"/>
  <c r="AA755" i="2" l="1"/>
  <c r="AA711" i="2" l="1"/>
  <c r="AA721" i="2" l="1"/>
  <c r="AA746" i="2" l="1"/>
  <c r="AA585" i="2" l="1"/>
  <c r="AA595" i="2" l="1"/>
  <c r="AA894" i="2" l="1"/>
  <c r="AA924" i="2"/>
  <c r="AA987" i="2" l="1"/>
  <c r="AA649" i="2" l="1"/>
  <c r="AA659" i="2" l="1"/>
  <c r="AA712" i="2" l="1"/>
  <c r="AA630" i="2" l="1"/>
  <c r="AA629" i="2"/>
  <c r="AA855" i="2" l="1"/>
  <c r="AA856" i="2"/>
  <c r="AA632" i="2"/>
  <c r="AA871" i="2" l="1"/>
  <c r="AA995" i="2" l="1"/>
  <c r="AA996" i="2" l="1"/>
  <c r="F185" i="93" l="1"/>
  <c r="J185" i="93" s="1"/>
  <c r="N185" i="93" l="1"/>
  <c r="F184" i="93" l="1"/>
  <c r="J184" i="93" l="1"/>
  <c r="N184" i="93" l="1"/>
  <c r="D193" i="66" l="1"/>
  <c r="E193" i="66" s="1"/>
  <c r="E194" i="66" l="1"/>
  <c r="F193" i="66"/>
  <c r="D194" i="66"/>
  <c r="F194" i="66" l="1"/>
  <c r="F232" i="60"/>
  <c r="F107" i="60"/>
  <c r="J232" i="60" l="1"/>
  <c r="J107" i="60"/>
  <c r="F113" i="60"/>
  <c r="H4" i="61"/>
  <c r="K107" i="60"/>
  <c r="L107" i="60" l="1"/>
  <c r="O195" i="66"/>
  <c r="K113" i="60"/>
  <c r="E148" i="57" s="1"/>
  <c r="N107" i="60"/>
  <c r="H6" i="61"/>
  <c r="K232" i="60"/>
  <c r="C11" i="92"/>
  <c r="C13" i="92" s="1"/>
  <c r="J113" i="60"/>
  <c r="AB232" i="60" l="1"/>
  <c r="N232" i="60"/>
  <c r="O111" i="2" l="1"/>
  <c r="O112" i="2" s="1"/>
  <c r="O88" i="2"/>
  <c r="F777" i="58" l="1"/>
  <c r="J777" i="58" l="1"/>
  <c r="F349" i="58" l="1"/>
  <c r="J349" i="58" s="1"/>
  <c r="F780" i="58"/>
  <c r="K349" i="58" l="1"/>
  <c r="O137" i="66"/>
  <c r="J392" i="58"/>
  <c r="C149" i="57" s="1"/>
  <c r="C152" i="57" s="1"/>
  <c r="F392" i="58"/>
  <c r="J780" i="58"/>
  <c r="D33" i="25" l="1"/>
  <c r="F237" i="58" l="1"/>
  <c r="J237" i="58" s="1"/>
  <c r="C140" i="57" s="1"/>
  <c r="F476" i="58"/>
  <c r="F484" i="58" s="1"/>
  <c r="H140" i="57" l="1"/>
  <c r="K237" i="58"/>
  <c r="J249" i="58"/>
  <c r="D13" i="25" s="1"/>
  <c r="F249" i="58"/>
  <c r="F251" i="58" s="1"/>
  <c r="F284" i="58" s="1"/>
  <c r="J476" i="58"/>
  <c r="B82" i="57" s="1"/>
  <c r="C141" i="57" l="1"/>
  <c r="C143" i="57" s="1"/>
  <c r="K476" i="58"/>
  <c r="J484" i="58"/>
  <c r="J251" i="58"/>
  <c r="J284" i="58" s="1"/>
  <c r="D15" i="25" l="1"/>
  <c r="D28" i="25" s="1"/>
  <c r="D5" i="46"/>
  <c r="D6" i="46" s="1"/>
  <c r="H5" i="46"/>
  <c r="H12" i="46" s="1"/>
  <c r="H18" i="46" s="1"/>
  <c r="K5" i="46"/>
  <c r="D64" i="25"/>
  <c r="J1042" i="58"/>
  <c r="B85" i="57"/>
  <c r="K13" i="46" l="1"/>
  <c r="C84" i="57"/>
  <c r="C77" i="57"/>
  <c r="C83" i="57"/>
  <c r="C80" i="57"/>
  <c r="C81" i="57"/>
  <c r="C78" i="57"/>
  <c r="C79" i="57"/>
  <c r="C82" i="57"/>
  <c r="K212" i="54" l="1"/>
  <c r="L212" i="54" l="1"/>
  <c r="C15" i="69"/>
  <c r="L21" i="78" s="1"/>
  <c r="L24" i="78" s="1"/>
  <c r="L25" i="78" s="1"/>
  <c r="J186" i="54" l="1"/>
  <c r="F212" i="54"/>
  <c r="H64" i="55"/>
  <c r="J212" i="54" l="1"/>
  <c r="D15" i="69" l="1"/>
  <c r="N212" i="54"/>
  <c r="J488" i="2" l="1"/>
  <c r="K488" i="2"/>
  <c r="K485" i="2"/>
  <c r="L485" i="2" l="1"/>
  <c r="K486" i="2"/>
  <c r="K123" i="2"/>
  <c r="B139" i="57" s="1"/>
  <c r="H139" i="57" s="1"/>
  <c r="J486" i="2"/>
  <c r="K26" i="7"/>
  <c r="J26" i="7"/>
  <c r="J485" i="2"/>
  <c r="N488" i="2"/>
  <c r="B143" i="57" l="1"/>
  <c r="L488" i="2"/>
  <c r="K21" i="7"/>
  <c r="C35" i="25" s="1"/>
  <c r="D21" i="7"/>
  <c r="K155" i="2"/>
  <c r="N486" i="2"/>
  <c r="C43" i="25"/>
  <c r="I26" i="7"/>
  <c r="J21" i="7"/>
  <c r="K190" i="2" l="1"/>
  <c r="N485" i="2"/>
  <c r="K19" i="13" l="1"/>
  <c r="G19" i="13" l="1"/>
  <c r="D54" i="13" s="1"/>
  <c r="L19" i="13" l="1"/>
  <c r="I13" i="71" l="1"/>
  <c r="F997" i="58" l="1"/>
  <c r="J997" i="58" s="1"/>
  <c r="F723" i="58"/>
  <c r="I14" i="71"/>
  <c r="J999" i="58" l="1"/>
  <c r="F999" i="58"/>
  <c r="F1002" i="58" s="1"/>
  <c r="J723" i="58"/>
  <c r="F725" i="58"/>
  <c r="F727" i="58" s="1"/>
  <c r="J1002" i="58" l="1"/>
  <c r="J725" i="58"/>
  <c r="D69" i="25" l="1"/>
  <c r="J1047" i="58"/>
  <c r="J727" i="58"/>
  <c r="J1046" i="58" l="1"/>
  <c r="D70" i="25"/>
  <c r="H14" i="71" l="1"/>
  <c r="F622" i="58" l="1"/>
  <c r="F623" i="58" l="1"/>
  <c r="F1037" i="58" s="1"/>
  <c r="J622" i="58"/>
  <c r="J623" i="58" l="1"/>
  <c r="D65" i="25" l="1"/>
  <c r="D68" i="25"/>
  <c r="J1037" i="58"/>
  <c r="J1045" i="58"/>
  <c r="H6" i="46" s="1"/>
  <c r="H11" i="46" s="1"/>
  <c r="H22" i="46" s="1"/>
  <c r="K19" i="46" l="1"/>
  <c r="J1054" i="58"/>
  <c r="D71" i="25"/>
  <c r="D66" i="25"/>
  <c r="D73" i="25" l="1"/>
  <c r="D75" i="25" s="1"/>
  <c r="J1055" i="58"/>
  <c r="J1057" i="58"/>
  <c r="J1065" i="58" s="1"/>
  <c r="K7" i="46"/>
  <c r="K12" i="46" l="1"/>
  <c r="K20" i="46" s="1"/>
  <c r="D7" i="46"/>
  <c r="D8" i="46" s="1"/>
  <c r="G17" i="32" s="1"/>
  <c r="K1065" i="58"/>
  <c r="D77" i="25"/>
  <c r="D17" i="46"/>
  <c r="D22" i="46" s="1"/>
  <c r="D23" i="46" s="1"/>
  <c r="F29" i="46"/>
  <c r="K15" i="46" l="1"/>
  <c r="F50" i="46" s="1"/>
  <c r="F53" i="46" s="1"/>
  <c r="F55" i="46" s="1"/>
  <c r="D84" i="25"/>
  <c r="D85" i="25" s="1"/>
  <c r="K21" i="46"/>
  <c r="K23" i="46" s="1"/>
  <c r="H19" i="46"/>
  <c r="H20" i="46" s="1"/>
  <c r="D52" i="25"/>
  <c r="K17" i="46" l="1"/>
  <c r="C15" i="83"/>
  <c r="D86" i="25"/>
  <c r="D87" i="25" s="1"/>
  <c r="D53" i="25"/>
  <c r="D78" i="25"/>
  <c r="G44" i="46"/>
  <c r="G45" i="46" s="1"/>
  <c r="F57" i="46" l="1"/>
  <c r="F59" i="46" l="1"/>
  <c r="F68" i="46" s="1"/>
  <c r="F70" i="46" l="1"/>
  <c r="H125" i="32" s="1"/>
  <c r="H124" i="32" s="1"/>
  <c r="I100" i="83"/>
  <c r="I112" i="83" l="1"/>
  <c r="I101" i="83"/>
  <c r="I102" i="83" s="1"/>
  <c r="J100" i="83"/>
  <c r="J101" i="83" l="1"/>
  <c r="J102" i="83" s="1"/>
  <c r="K100" i="83"/>
  <c r="K101" i="83" s="1"/>
  <c r="I113" i="83"/>
  <c r="I114" i="83" s="1"/>
  <c r="J112" i="83"/>
  <c r="K112" i="83" l="1"/>
  <c r="K113" i="83" s="1"/>
  <c r="J113" i="83"/>
  <c r="J114" i="83" s="1"/>
  <c r="K102" i="83"/>
  <c r="K114" i="83" l="1"/>
  <c r="H2" i="83" l="1"/>
  <c r="H3" i="83" s="1"/>
  <c r="C6" i="83" s="1"/>
  <c r="J2" i="83" l="1"/>
  <c r="C22" i="83" l="1"/>
  <c r="D26" i="83" s="1"/>
  <c r="H63" i="55" l="1"/>
  <c r="K186" i="54"/>
  <c r="D141" i="57" l="1"/>
  <c r="D143" i="57" s="1"/>
  <c r="N186" i="54"/>
  <c r="L186" i="54"/>
  <c r="E55" i="78"/>
  <c r="H141" i="57" l="1"/>
  <c r="H143" i="57" s="1"/>
  <c r="F345" i="93"/>
  <c r="J345" i="93" s="1"/>
  <c r="K345" i="93"/>
  <c r="K362" i="93" l="1"/>
  <c r="J362" i="93"/>
  <c r="M362" i="93" s="1"/>
  <c r="J347" i="93"/>
  <c r="C62" i="95" s="1"/>
  <c r="J361" i="93" s="1"/>
  <c r="K347" i="93"/>
  <c r="D62" i="95" s="1"/>
  <c r="K361" i="93" s="1"/>
  <c r="N345" i="93"/>
  <c r="F347" i="93"/>
  <c r="X345" i="93"/>
  <c r="M361" i="93" l="1"/>
  <c r="K368" i="93"/>
  <c r="K369" i="93" s="1"/>
  <c r="K370" i="93" s="1"/>
  <c r="F40" i="94" s="1"/>
  <c r="F39" i="94" s="1"/>
  <c r="G74" i="25"/>
  <c r="K175" i="93" l="1"/>
  <c r="H37" i="94" l="1"/>
  <c r="F47" i="93"/>
  <c r="J47" i="93" s="1"/>
  <c r="K47" i="93"/>
  <c r="K176" i="93"/>
  <c r="C53" i="62"/>
  <c r="H36" i="94"/>
  <c r="F496" i="2" l="1"/>
  <c r="F49" i="93"/>
  <c r="K155" i="93"/>
  <c r="F63" i="62"/>
  <c r="D52" i="95"/>
  <c r="J49" i="93"/>
  <c r="J65" i="99" s="1"/>
  <c r="C11" i="95"/>
  <c r="G34" i="62"/>
  <c r="K706" i="2"/>
  <c r="K497" i="2"/>
  <c r="N47" i="93"/>
  <c r="C34" i="62"/>
  <c r="K49" i="93"/>
  <c r="K64" i="93" s="1"/>
  <c r="K83" i="93" s="1"/>
  <c r="D11" i="95"/>
  <c r="E65" i="99" l="1"/>
  <c r="D89" i="99" s="1"/>
  <c r="K157" i="93"/>
  <c r="L155" i="93"/>
  <c r="L496" i="2"/>
  <c r="L47" i="93"/>
  <c r="D26" i="7"/>
  <c r="C10" i="62"/>
  <c r="G10" i="62" s="1"/>
  <c r="F48" i="62" s="1"/>
  <c r="F50" i="62" s="1"/>
  <c r="G64" i="25"/>
  <c r="D54" i="95"/>
  <c r="D60" i="95" s="1"/>
  <c r="D63" i="95" s="1"/>
  <c r="K355" i="93"/>
  <c r="K363" i="93" s="1"/>
  <c r="K364" i="93" s="1"/>
  <c r="D12" i="95"/>
  <c r="D23" i="95" s="1"/>
  <c r="G14" i="25"/>
  <c r="G15" i="25" s="1"/>
  <c r="G28" i="25" s="1"/>
  <c r="K708" i="2"/>
  <c r="Q27" i="7"/>
  <c r="C73" i="62"/>
  <c r="L706" i="2"/>
  <c r="L175" i="93"/>
  <c r="L497" i="2"/>
  <c r="F706" i="2"/>
  <c r="J497" i="2"/>
  <c r="K65" i="99" l="1"/>
  <c r="J496" i="2"/>
  <c r="F62" i="62"/>
  <c r="D30" i="95"/>
  <c r="G66" i="25"/>
  <c r="G73" i="25" s="1"/>
  <c r="G75" i="25" s="1"/>
  <c r="C14" i="25"/>
  <c r="D27" i="7"/>
  <c r="J706" i="2"/>
  <c r="F708" i="2"/>
  <c r="Q29" i="7"/>
  <c r="S27" i="7" s="1"/>
  <c r="D48" i="62"/>
  <c r="D50" i="62" s="1"/>
  <c r="N496" i="2" l="1"/>
  <c r="G36" i="25"/>
  <c r="D31" i="7"/>
  <c r="D40" i="7" s="1"/>
  <c r="C13" i="25"/>
  <c r="T27" i="7"/>
  <c r="C26" i="7"/>
  <c r="N497" i="2"/>
  <c r="J708" i="2"/>
  <c r="P27" i="7"/>
  <c r="N706" i="2"/>
  <c r="B26" i="7" l="1"/>
  <c r="K14" i="13"/>
  <c r="C15" i="25"/>
  <c r="C28" i="25" s="1"/>
  <c r="P29" i="7"/>
  <c r="N708" i="2"/>
  <c r="G14" i="13" l="1"/>
  <c r="L14" i="13" s="1"/>
  <c r="F123" i="93" l="1"/>
  <c r="J123" i="93" l="1"/>
  <c r="K123" i="93" l="1"/>
  <c r="N123" i="93" l="1"/>
  <c r="AF437" i="54" l="1"/>
  <c r="F233" i="60" l="1"/>
  <c r="F259" i="60" s="1"/>
  <c r="F265" i="60" s="1"/>
  <c r="K233" i="60"/>
  <c r="AB233" i="60" l="1"/>
  <c r="K259" i="60"/>
  <c r="AB259" i="60" s="1"/>
  <c r="J233" i="60"/>
  <c r="K265" i="60" l="1"/>
  <c r="AB265" i="60" s="1"/>
  <c r="C57" i="68"/>
  <c r="J259" i="60"/>
  <c r="J265" i="60" s="1"/>
  <c r="N233" i="60"/>
  <c r="K292" i="60" l="1"/>
  <c r="F69" i="25"/>
  <c r="F71" i="25" s="1"/>
  <c r="D57" i="68"/>
  <c r="E57" i="68" s="1"/>
  <c r="J292" i="60"/>
  <c r="J69" i="25" l="1"/>
  <c r="N69" i="25" s="1"/>
  <c r="Q69" i="25" l="1"/>
  <c r="P69" i="25" s="1"/>
  <c r="AD847" i="58" l="1"/>
  <c r="AK847" i="58" s="1"/>
  <c r="AD849" i="58"/>
  <c r="AK849" i="58" s="1"/>
  <c r="AD851" i="58"/>
  <c r="AK851" i="58" s="1"/>
  <c r="AD852" i="58"/>
  <c r="AK852" i="58" s="1"/>
  <c r="AD835" i="58" l="1"/>
  <c r="AK835" i="58" s="1"/>
  <c r="AD844" i="58" l="1"/>
  <c r="AD724" i="58"/>
  <c r="AG437" i="54" l="1"/>
  <c r="AN437" i="54" s="1"/>
  <c r="AG461" i="54" l="1"/>
  <c r="AD843" i="58" l="1"/>
  <c r="AG493" i="54" l="1"/>
  <c r="AD778" i="58" l="1"/>
  <c r="AA197" i="93" l="1"/>
  <c r="AD867" i="58" l="1"/>
  <c r="AD874" i="58"/>
  <c r="AD493" i="58"/>
  <c r="AD522" i="58"/>
  <c r="AA206" i="93" l="1"/>
  <c r="AA182" i="93"/>
  <c r="AA207" i="93"/>
  <c r="AA215" i="93"/>
  <c r="AA179" i="93"/>
  <c r="AA237" i="93"/>
  <c r="AA245" i="93"/>
  <c r="AA208" i="93"/>
  <c r="AA201" i="93"/>
  <c r="AA209" i="93"/>
  <c r="AA242" i="93"/>
  <c r="AA193" i="93"/>
  <c r="AA210" i="93"/>
  <c r="AA180" i="93"/>
  <c r="AA205" i="93"/>
  <c r="AA221" i="93"/>
  <c r="AA191" i="93"/>
  <c r="AA241" i="93"/>
  <c r="AA177" i="93"/>
  <c r="AA178" i="93"/>
  <c r="AA194" i="93"/>
  <c r="AA203" i="93"/>
  <c r="AA244" i="93"/>
  <c r="AA212" i="93"/>
  <c r="AA213" i="93"/>
  <c r="AA181" i="93"/>
  <c r="AA189" i="93"/>
  <c r="AA222" i="93"/>
  <c r="AA239" i="93"/>
  <c r="AA223" i="86" l="1"/>
  <c r="AA284" i="86"/>
  <c r="AA277" i="86"/>
  <c r="AA263" i="86"/>
  <c r="AA217" i="86"/>
  <c r="AA249" i="86"/>
  <c r="AA325" i="86"/>
  <c r="AA215" i="86"/>
  <c r="AA242" i="86"/>
  <c r="AA250" i="86"/>
  <c r="AA258" i="86"/>
  <c r="AA300" i="86"/>
  <c r="AA318" i="86"/>
  <c r="AA252" i="86"/>
  <c r="AA285" i="86"/>
  <c r="AA234" i="86"/>
  <c r="AA261" i="86"/>
  <c r="AA286" i="86"/>
  <c r="AA224" i="86"/>
  <c r="AA251" i="86"/>
  <c r="AA259" i="86"/>
  <c r="AA267" i="86"/>
  <c r="AA319" i="86"/>
  <c r="AA226" i="86"/>
  <c r="AA245" i="86"/>
  <c r="AA211" i="86"/>
  <c r="AA219" i="86"/>
  <c r="AA227" i="86"/>
  <c r="AA246" i="86"/>
  <c r="AA262" i="86"/>
  <c r="AA270" i="86"/>
  <c r="AA279" i="86"/>
  <c r="AA287" i="86"/>
  <c r="AA295" i="86"/>
  <c r="AA209" i="86"/>
  <c r="AA212" i="86"/>
  <c r="AA220" i="86"/>
  <c r="AA237" i="86"/>
  <c r="AA247" i="86"/>
  <c r="AA271" i="86"/>
  <c r="AA280" i="86"/>
  <c r="AA288" i="86"/>
  <c r="AA297" i="86"/>
  <c r="AA323" i="86"/>
  <c r="AA268" i="86"/>
  <c r="AA320" i="86"/>
  <c r="AA269" i="86"/>
  <c r="AA221" i="86"/>
  <c r="AA229" i="86"/>
  <c r="AA248" i="86"/>
  <c r="AA298" i="86"/>
  <c r="AA244" i="86"/>
  <c r="AA214" i="86"/>
  <c r="AA222" i="86"/>
  <c r="AA241" i="86"/>
  <c r="AA265" i="86"/>
  <c r="AA282" i="86"/>
  <c r="AD926" i="58"/>
  <c r="AD729" i="58" l="1"/>
  <c r="AD769" i="58"/>
  <c r="AD846" i="58"/>
  <c r="AD730" i="58"/>
  <c r="AD771" i="58"/>
  <c r="AD582" i="58"/>
  <c r="AD731" i="58"/>
  <c r="AD772" i="58"/>
  <c r="AD728" i="58"/>
  <c r="AD743" i="58"/>
  <c r="AD773" i="58"/>
  <c r="AD745" i="58"/>
  <c r="AD774" i="58"/>
  <c r="AD722" i="58"/>
  <c r="AD746" i="58"/>
  <c r="AD663" i="58"/>
  <c r="AD726" i="58"/>
  <c r="AD747" i="58"/>
  <c r="AD645" i="58"/>
  <c r="AD672" i="58"/>
  <c r="AD720" i="58"/>
  <c r="AD552" i="58"/>
  <c r="AD584" i="58"/>
  <c r="AD656" i="58"/>
  <c r="AD673" i="58"/>
  <c r="AD721" i="58"/>
  <c r="AD583" i="58"/>
  <c r="AD658" i="58"/>
  <c r="AD474" i="58"/>
  <c r="AD477" i="58"/>
  <c r="AD573" i="58"/>
  <c r="AD624" i="58"/>
  <c r="AD687" i="58"/>
  <c r="AD543" i="58"/>
  <c r="AD607" i="58"/>
  <c r="AD660" i="58"/>
  <c r="AD507" i="58"/>
  <c r="AD577" i="58"/>
  <c r="AD625" i="58"/>
  <c r="AD664" i="58"/>
  <c r="AD692" i="58"/>
  <c r="AD467" i="58"/>
  <c r="AD471" i="58"/>
  <c r="AD675" i="58"/>
  <c r="AD516" i="58"/>
  <c r="AD579" i="58"/>
  <c r="AD626" i="58"/>
  <c r="AD693" i="58"/>
  <c r="AD609" i="58"/>
  <c r="AD685" i="58"/>
  <c r="AD459" i="58"/>
  <c r="AD463" i="58"/>
  <c r="AD518" i="58"/>
  <c r="AD637" i="58"/>
  <c r="AD670" i="58"/>
  <c r="AD718" i="58"/>
  <c r="AG344" i="54" l="1"/>
  <c r="AG341" i="54"/>
  <c r="AG334" i="54"/>
  <c r="AG330" i="54"/>
  <c r="AG327" i="54"/>
  <c r="AG323" i="54"/>
  <c r="AG319" i="54"/>
  <c r="AG316" i="54"/>
  <c r="AG365" i="54" l="1"/>
  <c r="AG376" i="54"/>
  <c r="AG388" i="54"/>
  <c r="AG418" i="54"/>
  <c r="AG458" i="54"/>
  <c r="AG487" i="54"/>
  <c r="AG367" i="54"/>
  <c r="AG377" i="54"/>
  <c r="AG398" i="54"/>
  <c r="AG420" i="54"/>
  <c r="AG460" i="54"/>
  <c r="AG489" i="54"/>
  <c r="AG369" i="54"/>
  <c r="AG400" i="54"/>
  <c r="AG421" i="54"/>
  <c r="AG465" i="54"/>
  <c r="AG490" i="54"/>
  <c r="AG371" i="54"/>
  <c r="AG379" i="54"/>
  <c r="AG401" i="54"/>
  <c r="AG422" i="54"/>
  <c r="AG466" i="54"/>
  <c r="AG495" i="54"/>
  <c r="AG372" i="54"/>
  <c r="AG380" i="54"/>
  <c r="AG403" i="54"/>
  <c r="AG480" i="54"/>
  <c r="AG497" i="54"/>
  <c r="AG373" i="54"/>
  <c r="AG404" i="54"/>
  <c r="AG424" i="54"/>
  <c r="AG483" i="54"/>
  <c r="AG498" i="54"/>
  <c r="AG374" i="54"/>
  <c r="AG382" i="54"/>
  <c r="AG405" i="54"/>
  <c r="AG425" i="54"/>
  <c r="AG485" i="54"/>
  <c r="AG499" i="54"/>
  <c r="AG358" i="54"/>
  <c r="AG375" i="54"/>
  <c r="AG386" i="54"/>
  <c r="AG410" i="54"/>
  <c r="AG426" i="54"/>
  <c r="AG486" i="54"/>
  <c r="AD750" i="58" l="1"/>
  <c r="AD858" i="58"/>
  <c r="AA225" i="93"/>
  <c r="AA217" i="93" l="1"/>
  <c r="AA200" i="93" l="1"/>
  <c r="AA235" i="93" l="1"/>
  <c r="AA234" i="93" l="1"/>
  <c r="AA214" i="93"/>
  <c r="AA211" i="93"/>
  <c r="AA311" i="86"/>
  <c r="AA228" i="86"/>
  <c r="AA225" i="86"/>
  <c r="AD881" i="58"/>
  <c r="AD564" i="58"/>
  <c r="AG423" i="54"/>
  <c r="AG381" i="54"/>
  <c r="AG378" i="54"/>
  <c r="AA188" i="93" l="1"/>
  <c r="AA255" i="86"/>
  <c r="AA281" i="86"/>
  <c r="AA230" i="86"/>
  <c r="AA229" i="93"/>
  <c r="AA198" i="93"/>
  <c r="AA186" i="93"/>
  <c r="AA233" i="93"/>
  <c r="AA231" i="93"/>
  <c r="AA231" i="86"/>
  <c r="AD563" i="58"/>
  <c r="AD880" i="58"/>
  <c r="AA216" i="86" l="1"/>
  <c r="AD795" i="58"/>
  <c r="AD667" i="58"/>
  <c r="AA227" i="93"/>
  <c r="AA195" i="93"/>
  <c r="AA187" i="93"/>
  <c r="AA232" i="93"/>
  <c r="AA199" i="93"/>
  <c r="AA216" i="93"/>
  <c r="AA190" i="93"/>
  <c r="AA226" i="93"/>
  <c r="AA236" i="93"/>
  <c r="AA223" i="93"/>
  <c r="AA218" i="93"/>
  <c r="AA228" i="93"/>
  <c r="AA230" i="93"/>
  <c r="AA219" i="93"/>
  <c r="AA196" i="93"/>
  <c r="AA183" i="93"/>
  <c r="AA260" i="86"/>
  <c r="AA206" i="86"/>
  <c r="AA213" i="86"/>
  <c r="AA257" i="86"/>
  <c r="AA204" i="86"/>
  <c r="AA276" i="86"/>
  <c r="AA299" i="86"/>
  <c r="AA264" i="86"/>
  <c r="AA210" i="86"/>
  <c r="AA289" i="86"/>
  <c r="AA321" i="86"/>
  <c r="AA274" i="86"/>
  <c r="AA272" i="86"/>
  <c r="AA203" i="86"/>
  <c r="AA256" i="86"/>
  <c r="AA205" i="86"/>
  <c r="AA253" i="86"/>
  <c r="AA185" i="93"/>
  <c r="AA218" i="86"/>
  <c r="AA220" i="93"/>
  <c r="AA291" i="86" l="1"/>
  <c r="AA184" i="93"/>
  <c r="AA192" i="93" l="1"/>
  <c r="AA238" i="93"/>
  <c r="AA292" i="86"/>
  <c r="AA235" i="86"/>
  <c r="AA232" i="86"/>
  <c r="AA275" i="86"/>
  <c r="AA254" i="86"/>
  <c r="AA294" i="86"/>
  <c r="AA293" i="86"/>
  <c r="AA273" i="86"/>
  <c r="AA322" i="86"/>
  <c r="AA290" i="86"/>
  <c r="AA266" i="86"/>
  <c r="AA283" i="86"/>
  <c r="AA301" i="86"/>
  <c r="AA324" i="86"/>
  <c r="AA233" i="86"/>
  <c r="AA240" i="86"/>
  <c r="AA240" i="93"/>
  <c r="AA202" i="93" l="1"/>
  <c r="AA204" i="93"/>
  <c r="AG431" i="54"/>
  <c r="AA310" i="86"/>
  <c r="AA243" i="93"/>
  <c r="AA243" i="86"/>
  <c r="AD686" i="58" l="1"/>
  <c r="AD811" i="58" l="1"/>
  <c r="AD830" i="58"/>
  <c r="AD458" i="58" l="1"/>
  <c r="AD461" i="58"/>
  <c r="AG392" i="54" l="1"/>
  <c r="AD751" i="58" l="1"/>
  <c r="AD674" i="58"/>
  <c r="AD533" i="58"/>
  <c r="AD734" i="58"/>
  <c r="AG396" i="54" l="1"/>
  <c r="AD765" i="58" l="1"/>
  <c r="AD611" i="58"/>
  <c r="AD906" i="58" l="1"/>
  <c r="AD903" i="58"/>
  <c r="AG318" i="54"/>
  <c r="AD788" i="58" l="1"/>
  <c r="AD838" i="58"/>
  <c r="AD805" i="58"/>
  <c r="AD806" i="58"/>
  <c r="AD860" i="58"/>
  <c r="AD819" i="58"/>
  <c r="AD877" i="58"/>
  <c r="AD790" i="58"/>
  <c r="AD784" i="58"/>
  <c r="AD878" i="58"/>
  <c r="AD794" i="58"/>
  <c r="AD785" i="58"/>
  <c r="AD879" i="58"/>
  <c r="AD796" i="58"/>
  <c r="AD797" i="58"/>
  <c r="AD781" i="58"/>
  <c r="AD898" i="58"/>
  <c r="AD857" i="58"/>
  <c r="AG393" i="54"/>
  <c r="AG476" i="54"/>
  <c r="AG394" i="54"/>
  <c r="AG492" i="54"/>
  <c r="AG356" i="54"/>
  <c r="AG395" i="54"/>
  <c r="AG501" i="54"/>
  <c r="AG359" i="54"/>
  <c r="AG360" i="54"/>
  <c r="AG433" i="54"/>
  <c r="AG361" i="54"/>
  <c r="AG446" i="54"/>
  <c r="AG362" i="54"/>
  <c r="AG364" i="54"/>
  <c r="AD472" i="58"/>
  <c r="AD618" i="58"/>
  <c r="AD679" i="58"/>
  <c r="AD690" i="58"/>
  <c r="AD498" i="58"/>
  <c r="AD541" i="58"/>
  <c r="AD620" i="58"/>
  <c r="AD681" i="58"/>
  <c r="AD503" i="58"/>
  <c r="AD545" i="58"/>
  <c r="AD621" i="58"/>
  <c r="AD682" i="58"/>
  <c r="AD535" i="58"/>
  <c r="AD504" i="58"/>
  <c r="AD551" i="58"/>
  <c r="AD666" i="58"/>
  <c r="AD683" i="58"/>
  <c r="AD691" i="58"/>
  <c r="AD505" i="58"/>
  <c r="AD615" i="58"/>
  <c r="AD668" i="58"/>
  <c r="AD684" i="58"/>
  <c r="AD680" i="58"/>
  <c r="AD512" i="58"/>
  <c r="AD616" i="58"/>
  <c r="AD677" i="58"/>
  <c r="AD688" i="58"/>
  <c r="AD497" i="58"/>
  <c r="AD619" i="58"/>
  <c r="AD528" i="58"/>
  <c r="AD617" i="58"/>
  <c r="AD678" i="58"/>
  <c r="AD689" i="58"/>
  <c r="AG314" i="54"/>
  <c r="AG317" i="54"/>
  <c r="AG329" i="54"/>
  <c r="AG315" i="54"/>
  <c r="AG328" i="54"/>
  <c r="AG336" i="54"/>
  <c r="AG324" i="54"/>
  <c r="AG333" i="54"/>
  <c r="AD901" i="58"/>
  <c r="AD905" i="58"/>
  <c r="AD912" i="58"/>
  <c r="AD907" i="58"/>
  <c r="AD909" i="58"/>
  <c r="AD896" i="58"/>
  <c r="AD910" i="58"/>
  <c r="AD897" i="58"/>
  <c r="AD899" i="58"/>
  <c r="AD900" i="58"/>
  <c r="AD904" i="58"/>
  <c r="AD911" i="58"/>
  <c r="AD913" i="58"/>
  <c r="AD914" i="58"/>
  <c r="AD908" i="58"/>
  <c r="AU314" i="54" l="1"/>
  <c r="AD890" i="58"/>
  <c r="AD853" i="58"/>
  <c r="AD791" i="58"/>
  <c r="AD789" i="58"/>
  <c r="AD864" i="58"/>
  <c r="AD894" i="58"/>
  <c r="AD738" i="58"/>
  <c r="AD752" i="58"/>
  <c r="AD824" i="58"/>
  <c r="AD762" i="58"/>
  <c r="AD816" i="58"/>
  <c r="AD886" i="58"/>
  <c r="AD869" i="58"/>
  <c r="AD826" i="58"/>
  <c r="AD732" i="58"/>
  <c r="AD823" i="58"/>
  <c r="AD802" i="58"/>
  <c r="AD736" i="58"/>
  <c r="AD855" i="58"/>
  <c r="AD737" i="58"/>
  <c r="AD845" i="58"/>
  <c r="AD859" i="58"/>
  <c r="AD740" i="58"/>
  <c r="AD815" i="58"/>
  <c r="AD808" i="58"/>
  <c r="AD871" i="58"/>
  <c r="AD875" i="58"/>
  <c r="AD801" i="58"/>
  <c r="AD821" i="58"/>
  <c r="AD813" i="58"/>
  <c r="AD817" i="58"/>
  <c r="AD733" i="58"/>
  <c r="AD882" i="58"/>
  <c r="AD841" i="58"/>
  <c r="AD831" i="58"/>
  <c r="AD885" i="58"/>
  <c r="AD807" i="58"/>
  <c r="AD799" i="58"/>
  <c r="AD868" i="58"/>
  <c r="AD865" i="58"/>
  <c r="AD757" i="58"/>
  <c r="AD800" i="58"/>
  <c r="AD814" i="58"/>
  <c r="AD866" i="58"/>
  <c r="AD756" i="58"/>
  <c r="AD837" i="58"/>
  <c r="AD787" i="58"/>
  <c r="AD891" i="58"/>
  <c r="AD812" i="58"/>
  <c r="AD783" i="58"/>
  <c r="AD856" i="58"/>
  <c r="AD832" i="58"/>
  <c r="AD829" i="58"/>
  <c r="AD836" i="58"/>
  <c r="AD798" i="58"/>
  <c r="AD889" i="58"/>
  <c r="AD863" i="58"/>
  <c r="AD776" i="58"/>
  <c r="AD761" i="58"/>
  <c r="AD809" i="58"/>
  <c r="AD803" i="58"/>
  <c r="AD873" i="58"/>
  <c r="AD755" i="58"/>
  <c r="AD735" i="58"/>
  <c r="AD888" i="58"/>
  <c r="AD818" i="58"/>
  <c r="AD892" i="58"/>
  <c r="AD759" i="58"/>
  <c r="AD768" i="58"/>
  <c r="AD833" i="58"/>
  <c r="AD793" i="58"/>
  <c r="AD887" i="58"/>
  <c r="AD810" i="58"/>
  <c r="AD758" i="58"/>
  <c r="AD754" i="58"/>
  <c r="AD854" i="58"/>
  <c r="AD839" i="58"/>
  <c r="AD804" i="58"/>
  <c r="AD786" i="58"/>
  <c r="AD748" i="58"/>
  <c r="AD763" i="58"/>
  <c r="AD828" i="58"/>
  <c r="AD775" i="58"/>
  <c r="AD883" i="58"/>
  <c r="AD825" i="58"/>
  <c r="AD744" i="58"/>
  <c r="AD741" i="58"/>
  <c r="AD822" i="58"/>
  <c r="AD861" i="58"/>
  <c r="AD782" i="58"/>
  <c r="AD792" i="58"/>
  <c r="AD895" i="58"/>
  <c r="AD739" i="58"/>
  <c r="AD876" i="58"/>
  <c r="AD760" i="58"/>
  <c r="AD827" i="58"/>
  <c r="AD764" i="58"/>
  <c r="AD820" i="58"/>
  <c r="AD893" i="58"/>
  <c r="AD884" i="58"/>
  <c r="AD742" i="58"/>
  <c r="AG390" i="54"/>
  <c r="AG444" i="54"/>
  <c r="AG413" i="54"/>
  <c r="AG477" i="54"/>
  <c r="AG411" i="54"/>
  <c r="AG464" i="54"/>
  <c r="AG351" i="54"/>
  <c r="AG363" i="54"/>
  <c r="AG436" i="54"/>
  <c r="AG389" i="54"/>
  <c r="AG472" i="54"/>
  <c r="AG474" i="54"/>
  <c r="AG350" i="54"/>
  <c r="AG366" i="54"/>
  <c r="AG443" i="54"/>
  <c r="AG448" i="54"/>
  <c r="AG349" i="54"/>
  <c r="AG475" i="54"/>
  <c r="AG353" i="54"/>
  <c r="AG414" i="54"/>
  <c r="AG500" i="54"/>
  <c r="AG416" i="54"/>
  <c r="AG473" i="54"/>
  <c r="AG447" i="54"/>
  <c r="AG450" i="54"/>
  <c r="AG355" i="54"/>
  <c r="AG449" i="54"/>
  <c r="AG428" i="54"/>
  <c r="AG384" i="54"/>
  <c r="AG391" i="54"/>
  <c r="AG434" i="54"/>
  <c r="AG435" i="54"/>
  <c r="AG385" i="54"/>
  <c r="AG415" i="54"/>
  <c r="AG459" i="54"/>
  <c r="AG427" i="54"/>
  <c r="AG409" i="54"/>
  <c r="AG494" i="54"/>
  <c r="AD592" i="58"/>
  <c r="AD603" i="58"/>
  <c r="AD496" i="58"/>
  <c r="AD457" i="58"/>
  <c r="AD708" i="58"/>
  <c r="AD575" i="58"/>
  <c r="AD469" i="58"/>
  <c r="AD651" i="58"/>
  <c r="AD536" i="58"/>
  <c r="AD606" i="58"/>
  <c r="AD502" i="58"/>
  <c r="AD614" i="58"/>
  <c r="AD587" i="58"/>
  <c r="AD597" i="58"/>
  <c r="AD500" i="58"/>
  <c r="AD499" i="58"/>
  <c r="AD630" i="58"/>
  <c r="AD492" i="58"/>
  <c r="AD594" i="58"/>
  <c r="AD706" i="58"/>
  <c r="AD612" i="58"/>
  <c r="AD570" i="58"/>
  <c r="AD521" i="58"/>
  <c r="AD588" i="58"/>
  <c r="AD652" i="58"/>
  <c r="AD524" i="58"/>
  <c r="AD650" i="58"/>
  <c r="AD558" i="58"/>
  <c r="AD632" i="58"/>
  <c r="AD591" i="58"/>
  <c r="AD602" i="58"/>
  <c r="AD715" i="58"/>
  <c r="AD562" i="58"/>
  <c r="AD572" i="58"/>
  <c r="AD490" i="58"/>
  <c r="AD489" i="58"/>
  <c r="AD647" i="58"/>
  <c r="AD554" i="58"/>
  <c r="AD655" i="58"/>
  <c r="AD593" i="58"/>
  <c r="AD460" i="58"/>
  <c r="AD566" i="58"/>
  <c r="AD574" i="58"/>
  <c r="AD641" i="58"/>
  <c r="AD549" i="58"/>
  <c r="AD576" i="58"/>
  <c r="AD657" i="58"/>
  <c r="AD560" i="58"/>
  <c r="AD595" i="58"/>
  <c r="AD694" i="58"/>
  <c r="AD553" i="58"/>
  <c r="AD702" i="58"/>
  <c r="AD567" i="58"/>
  <c r="AD714" i="58"/>
  <c r="AD716" i="58"/>
  <c r="AD638" i="58"/>
  <c r="AD468" i="58"/>
  <c r="AD717" i="58"/>
  <c r="AD648" i="58"/>
  <c r="AD556" i="58"/>
  <c r="AD631" i="58"/>
  <c r="AD520" i="58"/>
  <c r="AD698" i="58"/>
  <c r="AD571" i="58"/>
  <c r="AD462" i="58"/>
  <c r="AD643" i="58"/>
  <c r="AD538" i="58"/>
  <c r="AD586" i="58"/>
  <c r="AD644" i="58"/>
  <c r="AD646" i="58"/>
  <c r="AD529" i="58"/>
  <c r="AD565" i="58"/>
  <c r="AD636" i="58"/>
  <c r="AD464" i="58"/>
  <c r="AD710" i="58"/>
  <c r="AD555" i="58"/>
  <c r="AD639" i="58"/>
  <c r="AD548" i="58"/>
  <c r="AD713" i="58"/>
  <c r="AD605" i="58"/>
  <c r="AD509" i="58"/>
  <c r="AD669" i="58"/>
  <c r="AD559" i="58"/>
  <c r="AD578" i="58"/>
  <c r="AD633" i="58"/>
  <c r="AD531" i="58"/>
  <c r="AD712" i="58"/>
  <c r="AD561" i="58"/>
  <c r="AD634" i="58"/>
  <c r="AD635" i="58"/>
  <c r="AD540" i="58"/>
  <c r="AD557" i="58"/>
  <c r="AD699" i="58"/>
  <c r="AD628" i="58"/>
  <c r="AD494" i="58"/>
  <c r="AD547" i="58"/>
  <c r="AD629" i="58"/>
  <c r="AD532" i="58"/>
  <c r="AD465" i="58"/>
  <c r="AD495" i="58"/>
  <c r="AD481" i="58"/>
  <c r="AD696" i="58"/>
  <c r="AD665" i="58"/>
  <c r="AD598" i="58"/>
  <c r="AD501" i="58"/>
  <c r="AD654" i="58"/>
  <c r="AD550" i="58"/>
  <c r="AD610" i="58"/>
  <c r="AD523" i="58"/>
  <c r="AD703" i="58"/>
  <c r="AD604" i="58"/>
  <c r="AD627" i="58"/>
  <c r="AD519" i="58"/>
  <c r="AD546" i="58"/>
  <c r="AD649" i="58"/>
  <c r="AD527" i="58"/>
  <c r="AD491" i="58"/>
  <c r="AD569" i="58"/>
  <c r="AD530" i="58"/>
  <c r="AD697" i="58"/>
  <c r="AD642" i="58"/>
  <c r="AD600" i="58"/>
  <c r="AD676" i="58"/>
  <c r="AD661" i="58"/>
  <c r="AD585" i="58"/>
  <c r="AD711" i="58"/>
  <c r="AD589" i="58"/>
  <c r="AD479" i="58"/>
  <c r="AD653" i="58"/>
  <c r="AD542" i="58"/>
  <c r="AD608" i="58"/>
  <c r="AD511" i="58"/>
  <c r="AD700" i="58"/>
  <c r="AD596" i="58"/>
  <c r="AD599" i="58"/>
  <c r="AD508" i="58"/>
  <c r="AD470" i="58"/>
  <c r="AD640" i="58"/>
  <c r="AD506" i="58"/>
  <c r="AD601" i="58"/>
  <c r="AD473" i="58"/>
  <c r="AG335" i="54"/>
  <c r="AS473" i="58" l="1"/>
  <c r="AG322" i="54"/>
  <c r="AG338" i="54"/>
  <c r="AD779" i="58"/>
  <c r="AG320" i="54"/>
  <c r="AG325" i="54"/>
  <c r="AG432" i="54"/>
  <c r="AD770" i="58"/>
  <c r="AD753" i="58"/>
  <c r="AD766" i="58"/>
  <c r="AG419" i="54"/>
  <c r="AD705" i="58"/>
  <c r="AD701" i="58"/>
  <c r="AD671" i="58"/>
  <c r="AD510" i="58"/>
  <c r="AD568" i="58"/>
  <c r="AD466" i="58"/>
  <c r="AD704" i="58"/>
  <c r="AD482" i="58"/>
  <c r="AD695" i="58"/>
  <c r="AD662" i="58"/>
  <c r="AD659" i="58"/>
  <c r="AD613" i="58"/>
  <c r="AD478" i="58"/>
  <c r="AD709" i="58"/>
  <c r="AD539" i="58"/>
  <c r="AD480" i="58"/>
  <c r="AG332" i="54" l="1"/>
  <c r="AG340" i="54"/>
  <c r="AD488" i="58"/>
  <c r="AG339" i="54"/>
  <c r="AG326" i="54"/>
  <c r="AG337" i="54"/>
  <c r="AG321" i="54"/>
  <c r="AG368" i="54"/>
  <c r="AG481" i="54"/>
  <c r="AD719" i="58"/>
  <c r="AG430" i="54"/>
  <c r="AG331" i="54" l="1"/>
  <c r="AG491" i="54"/>
  <c r="AG502" i="54"/>
  <c r="AG429" i="54"/>
  <c r="AG482" i="54"/>
  <c r="AG383" i="54"/>
  <c r="AD580" i="58"/>
  <c r="AD544" i="58"/>
  <c r="AG496" i="54" l="1"/>
  <c r="AG387" i="54"/>
  <c r="AG445" i="54"/>
  <c r="AD475" i="58" l="1"/>
  <c r="AG397" i="54"/>
  <c r="AG357" i="54"/>
  <c r="AD517" i="58"/>
  <c r="AS475" i="58" l="1"/>
  <c r="AG399" i="54"/>
  <c r="AG402" i="54"/>
  <c r="AD581" i="58"/>
  <c r="AG354" i="54" l="1"/>
  <c r="AG370" i="54" l="1"/>
  <c r="AD840" i="58" l="1"/>
  <c r="AG463" i="54" l="1"/>
  <c r="AD842" i="58" l="1"/>
  <c r="AG462" i="54" l="1"/>
  <c r="AG484" i="54" l="1"/>
  <c r="AG488" i="54" l="1"/>
  <c r="AG342" i="54" l="1"/>
  <c r="AD777" i="58" l="1"/>
  <c r="AD780" i="58" l="1"/>
  <c r="AD476" i="58" l="1"/>
  <c r="AD723" i="58" l="1"/>
  <c r="AD725" i="58" l="1"/>
  <c r="AD727" i="58" l="1"/>
  <c r="AD622" i="58" l="1"/>
  <c r="AD623" i="58" l="1"/>
  <c r="AA175" i="93" l="1"/>
  <c r="AA176" i="93" l="1"/>
  <c r="B92" i="55"/>
  <c r="B95" i="55" s="1"/>
  <c r="B98" i="55" s="1"/>
  <c r="B101" i="55" s="1"/>
  <c r="B104" i="55" l="1"/>
  <c r="B111" i="55" s="1"/>
  <c r="B114" i="55" s="1"/>
  <c r="B117" i="55" s="1"/>
  <c r="B120" i="55" s="1"/>
  <c r="B123" i="55" s="1"/>
  <c r="B127" i="55" l="1"/>
  <c r="B130" i="55" s="1"/>
  <c r="B133" i="55" s="1"/>
  <c r="B136" i="55" s="1"/>
  <c r="B139" i="55" s="1"/>
  <c r="B142" i="55" s="1"/>
  <c r="B145" i="55" s="1"/>
  <c r="B148" i="55" s="1"/>
  <c r="B151" i="55" s="1"/>
  <c r="B154" i="55" s="1"/>
  <c r="K137" i="60"/>
  <c r="K296" i="54"/>
  <c r="L137" i="60" l="1"/>
  <c r="L296" i="54"/>
  <c r="K139" i="60"/>
  <c r="K131" i="60"/>
  <c r="E25" i="61"/>
  <c r="D38" i="32"/>
  <c r="F406" i="58"/>
  <c r="J406" i="58" s="1"/>
  <c r="K290" i="54"/>
  <c r="K297" i="54"/>
  <c r="K406" i="58" l="1"/>
  <c r="L131" i="60"/>
  <c r="C29" i="68"/>
  <c r="F35" i="25"/>
  <c r="K133" i="60"/>
  <c r="E26" i="61"/>
  <c r="H25" i="61"/>
  <c r="F131" i="60"/>
  <c r="C35" i="68"/>
  <c r="C36" i="68" s="1"/>
  <c r="F43" i="25"/>
  <c r="F44" i="25" s="1"/>
  <c r="D43" i="25"/>
  <c r="D44" i="25" s="1"/>
  <c r="F404" i="58"/>
  <c r="D5" i="32"/>
  <c r="C35" i="69"/>
  <c r="C36" i="69" s="1"/>
  <c r="E43" i="25"/>
  <c r="F56" i="6"/>
  <c r="G56" i="6"/>
  <c r="F290" i="54"/>
  <c r="H57" i="55"/>
  <c r="E56" i="6" l="1"/>
  <c r="K494" i="2"/>
  <c r="F494" i="2"/>
  <c r="J131" i="60"/>
  <c r="F133" i="60"/>
  <c r="H26" i="61"/>
  <c r="F137" i="60"/>
  <c r="K65" i="60"/>
  <c r="F16" i="61"/>
  <c r="E49" i="6" s="1"/>
  <c r="E16" i="61"/>
  <c r="F65" i="60"/>
  <c r="H15" i="61"/>
  <c r="F433" i="58"/>
  <c r="F435" i="58" s="1"/>
  <c r="F452" i="58" s="1"/>
  <c r="F1033" i="58" s="1"/>
  <c r="J404" i="58"/>
  <c r="J290" i="54"/>
  <c r="F292" i="54"/>
  <c r="F213" i="54"/>
  <c r="G57" i="6"/>
  <c r="H33" i="55"/>
  <c r="K213" i="54"/>
  <c r="F57" i="6"/>
  <c r="E57" i="6" s="1"/>
  <c r="E44" i="25"/>
  <c r="J43" i="25"/>
  <c r="N43" i="25" s="1"/>
  <c r="H58" i="55"/>
  <c r="F296" i="54"/>
  <c r="K404" i="58" l="1"/>
  <c r="F490" i="2"/>
  <c r="D35" i="25"/>
  <c r="J137" i="60"/>
  <c r="F139" i="60"/>
  <c r="D29" i="68"/>
  <c r="J133" i="60"/>
  <c r="N131" i="60"/>
  <c r="J65" i="60"/>
  <c r="F67" i="60"/>
  <c r="F38" i="60"/>
  <c r="H16" i="61"/>
  <c r="K38" i="60"/>
  <c r="C16" i="68"/>
  <c r="K67" i="60"/>
  <c r="F19" i="25"/>
  <c r="F22" i="25" s="1"/>
  <c r="J433" i="58"/>
  <c r="J435" i="58" s="1"/>
  <c r="J452" i="58" s="1"/>
  <c r="J1033" i="58" s="1"/>
  <c r="J1" i="58" s="1"/>
  <c r="F1034" i="58"/>
  <c r="F1" i="58"/>
  <c r="C16" i="69"/>
  <c r="E19" i="25"/>
  <c r="F297" i="54"/>
  <c r="J296" i="54"/>
  <c r="F185" i="54"/>
  <c r="H32" i="55"/>
  <c r="I18" i="36"/>
  <c r="Q43" i="25"/>
  <c r="J213" i="54"/>
  <c r="K185" i="54"/>
  <c r="N290" i="54"/>
  <c r="J292" i="54"/>
  <c r="D37" i="25" l="1"/>
  <c r="D55" i="25" s="1"/>
  <c r="D56" i="25" s="1"/>
  <c r="N65" i="60"/>
  <c r="N213" i="54"/>
  <c r="E29" i="68"/>
  <c r="J139" i="60"/>
  <c r="D35" i="68" s="1"/>
  <c r="D36" i="68" s="1"/>
  <c r="N137" i="60"/>
  <c r="D16" i="68"/>
  <c r="E16" i="68" s="1"/>
  <c r="J67" i="60"/>
  <c r="F14" i="25"/>
  <c r="F15" i="25" s="1"/>
  <c r="F28" i="25" s="1"/>
  <c r="K40" i="60"/>
  <c r="J38" i="60"/>
  <c r="F40" i="60"/>
  <c r="F48" i="60" s="1"/>
  <c r="F69" i="60" s="1"/>
  <c r="K27" i="7"/>
  <c r="E14" i="25"/>
  <c r="K187" i="54"/>
  <c r="E13" i="25" s="1"/>
  <c r="J19" i="25"/>
  <c r="J185" i="54"/>
  <c r="F187" i="54"/>
  <c r="E18" i="36"/>
  <c r="J18" i="36" s="1"/>
  <c r="D29" i="69"/>
  <c r="J490" i="2"/>
  <c r="K490" i="2"/>
  <c r="D16" i="69"/>
  <c r="J297" i="54"/>
  <c r="D35" i="69" s="1"/>
  <c r="D36" i="69" s="1"/>
  <c r="N296" i="54"/>
  <c r="J40" i="60" l="1"/>
  <c r="D10" i="68" s="1"/>
  <c r="J187" i="54"/>
  <c r="J494" i="2"/>
  <c r="C10" i="68"/>
  <c r="C12" i="68" s="1"/>
  <c r="C23" i="68" s="1"/>
  <c r="K48" i="60"/>
  <c r="K69" i="60" s="1"/>
  <c r="N38" i="60"/>
  <c r="J14" i="25"/>
  <c r="K14" i="25" s="1"/>
  <c r="N14" i="25" s="1"/>
  <c r="Q14" i="25" s="1"/>
  <c r="K20" i="7"/>
  <c r="K505" i="2"/>
  <c r="C42" i="25"/>
  <c r="C10" i="69"/>
  <c r="N185" i="54"/>
  <c r="F505" i="2"/>
  <c r="D10" i="69" l="1"/>
  <c r="J48" i="60"/>
  <c r="J69" i="60" s="1"/>
  <c r="J27" i="7"/>
  <c r="I27" i="7" s="1"/>
  <c r="N494" i="2"/>
  <c r="D12" i="68"/>
  <c r="D23" i="68" s="1"/>
  <c r="E10" i="68"/>
  <c r="J42" i="25"/>
  <c r="J20" i="7"/>
  <c r="J505" i="2"/>
  <c r="C36" i="25"/>
  <c r="J36" i="25" s="1"/>
  <c r="K36" i="25" s="1"/>
  <c r="O21" i="25" s="1"/>
  <c r="K15" i="25"/>
  <c r="N490" i="2"/>
  <c r="J13" i="25"/>
  <c r="K21" i="13" l="1"/>
  <c r="G21" i="13" s="1"/>
  <c r="D55" i="13" s="1"/>
  <c r="K42" i="25"/>
  <c r="N42" i="25" s="1"/>
  <c r="N13" i="25"/>
  <c r="N36" i="25"/>
  <c r="K37" i="25"/>
  <c r="L21" i="13" l="1"/>
  <c r="Q42" i="25"/>
  <c r="Q13" i="25"/>
  <c r="I8" i="36"/>
  <c r="K19" i="25"/>
  <c r="K44" i="25"/>
  <c r="E8" i="36" l="1"/>
  <c r="J8" i="36" s="1"/>
  <c r="K22" i="25"/>
  <c r="K28" i="25" s="1"/>
  <c r="N19" i="25"/>
  <c r="G15" i="78" s="1"/>
  <c r="I10" i="36" l="1"/>
  <c r="Q19" i="25"/>
  <c r="C39" i="36"/>
  <c r="E10" i="36" l="1"/>
  <c r="J10" i="36" s="1"/>
  <c r="C41" i="36" l="1"/>
  <c r="F995" i="2" l="1"/>
  <c r="J995" i="2" s="1"/>
  <c r="N995" i="2" l="1"/>
  <c r="J996" i="2"/>
  <c r="F996" i="2"/>
  <c r="P64" i="7" l="1"/>
  <c r="F122" i="2" l="1"/>
  <c r="F123" i="2" s="1"/>
  <c r="J122" i="2" l="1"/>
  <c r="N122" i="2" l="1"/>
  <c r="J123" i="2"/>
  <c r="N123" i="2" l="1"/>
  <c r="C21" i="7"/>
  <c r="C27" i="7" l="1"/>
  <c r="B21" i="7"/>
  <c r="K9" i="13" l="1"/>
  <c r="C31" i="7"/>
  <c r="B27" i="7"/>
  <c r="B31" i="7" l="1"/>
  <c r="G9" i="13"/>
  <c r="L9" i="13" s="1"/>
  <c r="D52" i="13" l="1"/>
  <c r="D42" i="99"/>
  <c r="E49" i="94" s="1"/>
  <c r="E48" i="94" s="1"/>
  <c r="F48" i="94" s="1"/>
  <c r="F49" i="94" s="1"/>
  <c r="K150" i="93" l="1"/>
  <c r="K337" i="93"/>
  <c r="F159" i="57" s="1"/>
  <c r="H49" i="94"/>
  <c r="F337" i="93"/>
  <c r="F150" i="93"/>
  <c r="K151" i="93" l="1"/>
  <c r="J337" i="93"/>
  <c r="H48" i="94"/>
  <c r="F55" i="93"/>
  <c r="J150" i="93"/>
  <c r="F151" i="93"/>
  <c r="L150" i="93" l="1"/>
  <c r="J71" i="99"/>
  <c r="E71" i="99" s="1"/>
  <c r="K71" i="99" s="1"/>
  <c r="N337" i="93"/>
  <c r="J55" i="93"/>
  <c r="F57" i="93"/>
  <c r="F64" i="93" s="1"/>
  <c r="F83" i="93" s="1"/>
  <c r="J151" i="93"/>
  <c r="N150" i="93"/>
  <c r="J57" i="93" l="1"/>
  <c r="J64" i="99" s="1"/>
  <c r="N55" i="93"/>
  <c r="C153" i="89"/>
  <c r="L55" i="93"/>
  <c r="E64" i="99" l="1"/>
  <c r="K64" i="99" s="1"/>
  <c r="J64" i="93"/>
  <c r="J83" i="93" s="1"/>
  <c r="C10" i="95"/>
  <c r="C12" i="95" s="1"/>
  <c r="C23" i="95" s="1"/>
  <c r="D88" i="99" l="1"/>
  <c r="F638" i="2" l="1"/>
  <c r="K638" i="2"/>
  <c r="F721" i="2" l="1"/>
  <c r="F152" i="6"/>
  <c r="K721" i="2" s="1"/>
  <c r="K659" i="2"/>
  <c r="J638" i="2"/>
  <c r="F659" i="2"/>
  <c r="F712" i="2" s="1"/>
  <c r="J659" i="2" l="1"/>
  <c r="J712" i="2" s="1"/>
  <c r="Q25" i="7"/>
  <c r="K712" i="2"/>
  <c r="N638" i="2"/>
  <c r="K746" i="2"/>
  <c r="J721" i="2"/>
  <c r="F746" i="2"/>
  <c r="F871" i="2" s="1"/>
  <c r="P25" i="7" l="1"/>
  <c r="P31" i="7" s="1"/>
  <c r="N659" i="2"/>
  <c r="J746" i="2"/>
  <c r="N746" i="2" s="1"/>
  <c r="N721" i="2"/>
  <c r="N712" i="2"/>
  <c r="Q36" i="7"/>
  <c r="K871" i="2"/>
  <c r="S25" i="7"/>
  <c r="Q31" i="7"/>
  <c r="C65" i="25" s="1"/>
  <c r="P36" i="7" l="1"/>
  <c r="O36" i="7" s="1"/>
  <c r="J871" i="2"/>
  <c r="N871" i="2" s="1"/>
  <c r="T25" i="7"/>
  <c r="T29" i="7" s="1"/>
  <c r="S29" i="7"/>
  <c r="O25" i="7"/>
  <c r="S35" i="7"/>
  <c r="Q45" i="7"/>
  <c r="C70" i="25" s="1"/>
  <c r="P45" i="7" l="1"/>
  <c r="O45" i="7" s="1"/>
  <c r="T35" i="7"/>
  <c r="T44" i="7" s="1"/>
  <c r="S44" i="7"/>
  <c r="F585" i="2" l="1"/>
  <c r="F149" i="6"/>
  <c r="K585" i="2" s="1"/>
  <c r="K595" i="2" l="1"/>
  <c r="J585" i="2"/>
  <c r="F595" i="2"/>
  <c r="F632" i="2" s="1"/>
  <c r="D64" i="83" l="1"/>
  <c r="J595" i="2"/>
  <c r="P15" i="7" s="1"/>
  <c r="F508" i="2"/>
  <c r="F509" i="2" s="1"/>
  <c r="F148" i="6"/>
  <c r="Q15" i="7"/>
  <c r="K632" i="2"/>
  <c r="N585" i="2"/>
  <c r="J632" i="2" l="1"/>
  <c r="K508" i="2"/>
  <c r="J508" i="2"/>
  <c r="S15" i="7"/>
  <c r="Q23" i="7"/>
  <c r="O15" i="7"/>
  <c r="P23" i="7"/>
  <c r="J509" i="2" l="1"/>
  <c r="J29" i="7"/>
  <c r="K509" i="2"/>
  <c r="K29" i="7"/>
  <c r="L508" i="2"/>
  <c r="N632" i="2"/>
  <c r="N508" i="2"/>
  <c r="T15" i="7"/>
  <c r="T23" i="7" s="1"/>
  <c r="S23" i="7"/>
  <c r="D60" i="83"/>
  <c r="D68" i="83" s="1"/>
  <c r="O23" i="7"/>
  <c r="C68" i="25"/>
  <c r="C71" i="25" l="1"/>
  <c r="J68" i="25"/>
  <c r="D70" i="83"/>
  <c r="D72" i="83" s="1"/>
  <c r="D74" i="83" s="1"/>
  <c r="D76" i="83" s="1"/>
  <c r="C16" i="83" s="1"/>
  <c r="K22" i="13" l="1"/>
  <c r="J4" i="83"/>
  <c r="I29" i="7"/>
  <c r="J30" i="7"/>
  <c r="C40" i="25"/>
  <c r="K30" i="7"/>
  <c r="N68" i="25"/>
  <c r="J3" i="83" l="1"/>
  <c r="C5" i="83" s="1"/>
  <c r="D18" i="83" s="1"/>
  <c r="Q68" i="25"/>
  <c r="P68" i="25" s="1"/>
  <c r="J40" i="25"/>
  <c r="C44" i="25"/>
  <c r="G22" i="13"/>
  <c r="L22" i="13" s="1"/>
  <c r="I30" i="7"/>
  <c r="D51" i="13" l="1"/>
  <c r="N40" i="25"/>
  <c r="Q40" i="25" s="1"/>
  <c r="J44" i="25"/>
  <c r="I20" i="36" l="1"/>
  <c r="Q44" i="25"/>
  <c r="N44" i="25"/>
  <c r="E20" i="36" l="1"/>
  <c r="J20" i="36" s="1"/>
  <c r="P44" i="25"/>
  <c r="C48" i="36" l="1"/>
  <c r="F135" i="86" l="1"/>
  <c r="F143" i="86" s="1"/>
  <c r="F291" i="86"/>
  <c r="F301" i="86" s="1"/>
  <c r="H31" i="87"/>
  <c r="E4" i="87"/>
  <c r="F310" i="86" l="1"/>
  <c r="J291" i="86"/>
  <c r="J135" i="86"/>
  <c r="H32" i="87"/>
  <c r="L135" i="86" l="1"/>
  <c r="P206" i="86"/>
  <c r="J143" i="86"/>
  <c r="N135" i="86"/>
  <c r="J301" i="86"/>
  <c r="N291" i="86"/>
  <c r="J310" i="86" l="1"/>
  <c r="D28" i="88"/>
  <c r="D57" i="88" l="1"/>
  <c r="J340" i="86"/>
  <c r="J364" i="86" l="1"/>
  <c r="K562" i="2"/>
  <c r="K192" i="60"/>
  <c r="C27" i="79"/>
  <c r="H9" i="61"/>
  <c r="AB192" i="60" l="1"/>
  <c r="C58" i="62"/>
  <c r="F64" i="62" s="1"/>
  <c r="C69" i="62"/>
  <c r="K65" i="25" s="1"/>
  <c r="H8" i="61"/>
  <c r="K276" i="60"/>
  <c r="K1000" i="2"/>
  <c r="B179" i="57" s="1"/>
  <c r="K194" i="60"/>
  <c r="AB194" i="60" s="1"/>
  <c r="K290" i="60"/>
  <c r="M290" i="60" s="1"/>
  <c r="N192" i="60"/>
  <c r="K564" i="2"/>
  <c r="H179" i="57" l="1"/>
  <c r="B184" i="57"/>
  <c r="AB276" i="60"/>
  <c r="F65" i="62"/>
  <c r="F66" i="62" s="1"/>
  <c r="K64" i="25"/>
  <c r="K66" i="25" s="1"/>
  <c r="K71" i="25" s="1"/>
  <c r="K73" i="25" s="1"/>
  <c r="K75" i="25" s="1"/>
  <c r="K77" i="25" s="1"/>
  <c r="K52" i="25" s="1"/>
  <c r="K53" i="25" s="1"/>
  <c r="K55" i="25" s="1"/>
  <c r="K56" i="25" s="1"/>
  <c r="N276" i="60"/>
  <c r="F562" i="2"/>
  <c r="K278" i="60"/>
  <c r="AB278" i="60" s="1"/>
  <c r="K295" i="60"/>
  <c r="K302" i="60" s="1"/>
  <c r="K1007" i="2"/>
  <c r="Q60" i="7" s="1"/>
  <c r="C53" i="68"/>
  <c r="K289" i="60"/>
  <c r="F65" i="25"/>
  <c r="Q12" i="7"/>
  <c r="B186" i="57" l="1"/>
  <c r="F74" i="25"/>
  <c r="C62" i="68"/>
  <c r="E62" i="68" s="1"/>
  <c r="F564" i="2"/>
  <c r="J562" i="2"/>
  <c r="K1016" i="2"/>
  <c r="F66" i="25"/>
  <c r="F73" i="25" s="1"/>
  <c r="J65" i="25"/>
  <c r="N65" i="25" s="1"/>
  <c r="Q65" i="25" s="1"/>
  <c r="P65" i="25" s="1"/>
  <c r="B67" i="25"/>
  <c r="K78" i="25"/>
  <c r="E53" i="68"/>
  <c r="C54" i="68"/>
  <c r="C60" i="68" s="1"/>
  <c r="M289" i="60"/>
  <c r="M291" i="60" s="1"/>
  <c r="M292" i="60" s="1"/>
  <c r="Q58" i="7"/>
  <c r="S12" i="7"/>
  <c r="C64" i="25"/>
  <c r="U1007" i="2"/>
  <c r="F75" i="25" l="1"/>
  <c r="C63" i="68"/>
  <c r="J564" i="2"/>
  <c r="N562" i="2"/>
  <c r="Q63" i="7"/>
  <c r="Q65" i="7" s="1"/>
  <c r="K37" i="7" s="1"/>
  <c r="K38" i="7" s="1"/>
  <c r="T12" i="7"/>
  <c r="T57" i="7" s="1"/>
  <c r="T62" i="7" s="1"/>
  <c r="S57" i="7"/>
  <c r="S59" i="7"/>
  <c r="C74" i="25"/>
  <c r="J74" i="25" s="1"/>
  <c r="N74" i="25" s="1"/>
  <c r="Q74" i="25" s="1"/>
  <c r="P74" i="25" s="1"/>
  <c r="C66" i="25"/>
  <c r="C73" i="25" s="1"/>
  <c r="J64" i="25"/>
  <c r="P12" i="7" l="1"/>
  <c r="P58" i="7" s="1"/>
  <c r="S62" i="7"/>
  <c r="S64" i="7" s="1"/>
  <c r="T63" i="7"/>
  <c r="T64" i="7" s="1"/>
  <c r="N64" i="25"/>
  <c r="J66" i="25"/>
  <c r="C75" i="25"/>
  <c r="C77" i="25" s="1"/>
  <c r="O12" i="7" l="1"/>
  <c r="D2" i="83"/>
  <c r="B86" i="57"/>
  <c r="Q64" i="25"/>
  <c r="P64" i="25" s="1"/>
  <c r="N66" i="25"/>
  <c r="C84" i="25"/>
  <c r="C85" i="25" s="1"/>
  <c r="C52" i="25"/>
  <c r="C78" i="25" s="1"/>
  <c r="O58" i="7" l="1"/>
  <c r="Q66" i="25"/>
  <c r="P66" i="25" s="1"/>
  <c r="C53" i="25"/>
  <c r="C86" i="25"/>
  <c r="C87" i="25" s="1"/>
  <c r="Q67" i="25" l="1"/>
  <c r="P67" i="25" s="1"/>
  <c r="AC986" i="58" l="1"/>
  <c r="AK986" i="58" s="1"/>
  <c r="AC983" i="58"/>
  <c r="AK983" i="58" s="1"/>
  <c r="AC844" i="58"/>
  <c r="AK844" i="58" s="1"/>
  <c r="AC724" i="58"/>
  <c r="AK724" i="58" s="1"/>
  <c r="AE639" i="2" l="1"/>
  <c r="AM639" i="2" s="1"/>
  <c r="AF461" i="54" l="1"/>
  <c r="AN461" i="54" s="1"/>
  <c r="AC843" i="58" l="1"/>
  <c r="AK843" i="58" s="1"/>
  <c r="AE915" i="2" l="1"/>
  <c r="AM915" i="2" s="1"/>
  <c r="AF493" i="54" l="1"/>
  <c r="AC778" i="58" l="1"/>
  <c r="AK778" i="58" s="1"/>
  <c r="AE908" i="2" l="1"/>
  <c r="AM908" i="2" s="1"/>
  <c r="AE907" i="2"/>
  <c r="AM907" i="2" s="1"/>
  <c r="AE577" i="2"/>
  <c r="AM577" i="2" s="1"/>
  <c r="Z344" i="93" l="1"/>
  <c r="AH344" i="93" s="1"/>
  <c r="AC966" i="58" l="1"/>
  <c r="AK966" i="58" s="1"/>
  <c r="Z197" i="93" l="1"/>
  <c r="AH197" i="93" s="1"/>
  <c r="AC867" i="58" l="1"/>
  <c r="AK867" i="58" s="1"/>
  <c r="AC874" i="58"/>
  <c r="AK874" i="58" s="1"/>
  <c r="AC493" i="58"/>
  <c r="AK493" i="58" s="1"/>
  <c r="AC522" i="58"/>
  <c r="AK522" i="58" s="1"/>
  <c r="Z206" i="93" l="1"/>
  <c r="AH206" i="93" s="1"/>
  <c r="Z281" i="93"/>
  <c r="AH281" i="93" s="1"/>
  <c r="Z314" i="93"/>
  <c r="AH314" i="93" s="1"/>
  <c r="Z333" i="93"/>
  <c r="AH333" i="93" s="1"/>
  <c r="Z182" i="93"/>
  <c r="AH182" i="93" s="1"/>
  <c r="Z207" i="93"/>
  <c r="AH207" i="93" s="1"/>
  <c r="Z215" i="93"/>
  <c r="AH215" i="93" s="1"/>
  <c r="Z248" i="93"/>
  <c r="AH248" i="93" s="1"/>
  <c r="Z257" i="93"/>
  <c r="AH257" i="93" s="1"/>
  <c r="Z265" i="93"/>
  <c r="AH265" i="93" s="1"/>
  <c r="Z290" i="93"/>
  <c r="AH290" i="93" s="1"/>
  <c r="Z299" i="93"/>
  <c r="AH299" i="93" s="1"/>
  <c r="Z334" i="93"/>
  <c r="AH334" i="93" s="1"/>
  <c r="Z342" i="93"/>
  <c r="AH342" i="93" s="1"/>
  <c r="Z179" i="93"/>
  <c r="AH179" i="93" s="1"/>
  <c r="Z237" i="93"/>
  <c r="AH237" i="93" s="1"/>
  <c r="Z245" i="93"/>
  <c r="AH245" i="93" s="1"/>
  <c r="Z262" i="93"/>
  <c r="AH262" i="93" s="1"/>
  <c r="Z246" i="93"/>
  <c r="AH246" i="93" s="1"/>
  <c r="Z313" i="93"/>
  <c r="AH313" i="93" s="1"/>
  <c r="Z208" i="93"/>
  <c r="AH208" i="93" s="1"/>
  <c r="Z266" i="93"/>
  <c r="AH266" i="93" s="1"/>
  <c r="Z283" i="93"/>
  <c r="AH283" i="93" s="1"/>
  <c r="Z292" i="93"/>
  <c r="AH292" i="93" s="1"/>
  <c r="Z335" i="93"/>
  <c r="AH335" i="93" s="1"/>
  <c r="Z201" i="93"/>
  <c r="AH201" i="93" s="1"/>
  <c r="Z209" i="93"/>
  <c r="AH209" i="93" s="1"/>
  <c r="Z242" i="93"/>
  <c r="AH242" i="93" s="1"/>
  <c r="Z250" i="93"/>
  <c r="AH250" i="93" s="1"/>
  <c r="Z259" i="93"/>
  <c r="AH259" i="93" s="1"/>
  <c r="Z267" i="93"/>
  <c r="AH267" i="93" s="1"/>
  <c r="Z284" i="93"/>
  <c r="AH284" i="93" s="1"/>
  <c r="Z293" i="93"/>
  <c r="AH293" i="93" s="1"/>
  <c r="Z301" i="93"/>
  <c r="AH301" i="93" s="1"/>
  <c r="Z193" i="93"/>
  <c r="AH193" i="93" s="1"/>
  <c r="Z210" i="93"/>
  <c r="AH210" i="93" s="1"/>
  <c r="Z260" i="93"/>
  <c r="AH260" i="93" s="1"/>
  <c r="Z268" i="93"/>
  <c r="AH268" i="93" s="1"/>
  <c r="Z277" i="93"/>
  <c r="AH277" i="93" s="1"/>
  <c r="Z285" i="93"/>
  <c r="AH285" i="93" s="1"/>
  <c r="Z310" i="93"/>
  <c r="AH310" i="93" s="1"/>
  <c r="Z317" i="93"/>
  <c r="AH317" i="93" s="1"/>
  <c r="Z180" i="93"/>
  <c r="AH180" i="93" s="1"/>
  <c r="Z205" i="93"/>
  <c r="AH205" i="93" s="1"/>
  <c r="Z221" i="93"/>
  <c r="AH221" i="93" s="1"/>
  <c r="Z280" i="93"/>
  <c r="AH280" i="93" s="1"/>
  <c r="Z191" i="93"/>
  <c r="AH191" i="93" s="1"/>
  <c r="Z241" i="93"/>
  <c r="AH241" i="93" s="1"/>
  <c r="Z249" i="93"/>
  <c r="AH249" i="93" s="1"/>
  <c r="Z177" i="93"/>
  <c r="AH177" i="93" s="1"/>
  <c r="Z178" i="93"/>
  <c r="AH178" i="93" s="1"/>
  <c r="Z194" i="93"/>
  <c r="AH194" i="93" s="1"/>
  <c r="Z203" i="93"/>
  <c r="AH203" i="93" s="1"/>
  <c r="Z244" i="93"/>
  <c r="AH244" i="93" s="1"/>
  <c r="Z269" i="93"/>
  <c r="AH269" i="93" s="1"/>
  <c r="Z278" i="93"/>
  <c r="AH278" i="93" s="1"/>
  <c r="Z286" i="93"/>
  <c r="AH286" i="93" s="1"/>
  <c r="Z295" i="93"/>
  <c r="AH295" i="93" s="1"/>
  <c r="Z311" i="93"/>
  <c r="AH311" i="93" s="1"/>
  <c r="Z338" i="93"/>
  <c r="AH338" i="93" s="1"/>
  <c r="Z212" i="93"/>
  <c r="AH212" i="93" s="1"/>
  <c r="Z296" i="93"/>
  <c r="AH296" i="93" s="1"/>
  <c r="Z312" i="93"/>
  <c r="AH312" i="93" s="1"/>
  <c r="Z213" i="93"/>
  <c r="AH213" i="93" s="1"/>
  <c r="Z255" i="93"/>
  <c r="AH255" i="93" s="1"/>
  <c r="Z297" i="93"/>
  <c r="AH297" i="93" s="1"/>
  <c r="Z340" i="93"/>
  <c r="AH340" i="93" s="1"/>
  <c r="Z181" i="93"/>
  <c r="AH181" i="93" s="1"/>
  <c r="Z189" i="93"/>
  <c r="AH189" i="93" s="1"/>
  <c r="Z222" i="93"/>
  <c r="AH222" i="93" s="1"/>
  <c r="Z239" i="93"/>
  <c r="AH239" i="93" s="1"/>
  <c r="Z247" i="93"/>
  <c r="AH247" i="93" s="1"/>
  <c r="Z264" i="93"/>
  <c r="AH264" i="93" s="1"/>
  <c r="Z341" i="93"/>
  <c r="AH341" i="93" s="1"/>
  <c r="Z223" i="86" l="1"/>
  <c r="AH223" i="86" s="1"/>
  <c r="Z284" i="86"/>
  <c r="AH284" i="86" s="1"/>
  <c r="Z277" i="86"/>
  <c r="AH277" i="86" s="1"/>
  <c r="Z263" i="86"/>
  <c r="AH263" i="86" s="1"/>
  <c r="Z217" i="86"/>
  <c r="AH217" i="86" s="1"/>
  <c r="Z249" i="86"/>
  <c r="Z325" i="86"/>
  <c r="Z215" i="86"/>
  <c r="AH215" i="86" s="1"/>
  <c r="Z242" i="86"/>
  <c r="Z250" i="86"/>
  <c r="Z258" i="86"/>
  <c r="AH258" i="86" s="1"/>
  <c r="Z300" i="86"/>
  <c r="AH300" i="86" s="1"/>
  <c r="Z318" i="86"/>
  <c r="AH318" i="86" s="1"/>
  <c r="Z252" i="86"/>
  <c r="Z285" i="86"/>
  <c r="AH285" i="86" s="1"/>
  <c r="Z234" i="86"/>
  <c r="AH234" i="86" s="1"/>
  <c r="Z261" i="86"/>
  <c r="AH261" i="86" s="1"/>
  <c r="Z286" i="86"/>
  <c r="AH286" i="86" s="1"/>
  <c r="Z224" i="86"/>
  <c r="AH224" i="86" s="1"/>
  <c r="Z251" i="86"/>
  <c r="Z259" i="86"/>
  <c r="AH259" i="86" s="1"/>
  <c r="Z267" i="86"/>
  <c r="AH267" i="86" s="1"/>
  <c r="Z319" i="86"/>
  <c r="AH319" i="86" s="1"/>
  <c r="Z226" i="86"/>
  <c r="AH226" i="86" s="1"/>
  <c r="Z245" i="86"/>
  <c r="Z211" i="86"/>
  <c r="AH211" i="86" s="1"/>
  <c r="Z219" i="86"/>
  <c r="AH219" i="86" s="1"/>
  <c r="Z227" i="86"/>
  <c r="AH227" i="86" s="1"/>
  <c r="Z246" i="86"/>
  <c r="Z262" i="86"/>
  <c r="AH262" i="86" s="1"/>
  <c r="Z270" i="86"/>
  <c r="AH270" i="86" s="1"/>
  <c r="Z279" i="86"/>
  <c r="AH279" i="86" s="1"/>
  <c r="Z287" i="86"/>
  <c r="AH287" i="86" s="1"/>
  <c r="Z295" i="86"/>
  <c r="AH295" i="86" s="1"/>
  <c r="Z209" i="86"/>
  <c r="AH209" i="86" s="1"/>
  <c r="Z212" i="86"/>
  <c r="AH212" i="86" s="1"/>
  <c r="Z220" i="86"/>
  <c r="AH220" i="86" s="1"/>
  <c r="Z237" i="86"/>
  <c r="AH237" i="86" s="1"/>
  <c r="Z247" i="86"/>
  <c r="Z271" i="86"/>
  <c r="AH271" i="86" s="1"/>
  <c r="Z280" i="86"/>
  <c r="AH280" i="86" s="1"/>
  <c r="Z288" i="86"/>
  <c r="AH288" i="86" s="1"/>
  <c r="Z297" i="86"/>
  <c r="AH297" i="86" s="1"/>
  <c r="Z323" i="86"/>
  <c r="Z268" i="86"/>
  <c r="AH268" i="86" s="1"/>
  <c r="Z320" i="86"/>
  <c r="AH320" i="86" s="1"/>
  <c r="Z269" i="86"/>
  <c r="AH269" i="86" s="1"/>
  <c r="Z221" i="86"/>
  <c r="AH221" i="86" s="1"/>
  <c r="Z229" i="86"/>
  <c r="AH229" i="86" s="1"/>
  <c r="Z248" i="86"/>
  <c r="Z298" i="86"/>
  <c r="AH298" i="86" s="1"/>
  <c r="Z244" i="86"/>
  <c r="Z214" i="86"/>
  <c r="AH214" i="86" s="1"/>
  <c r="Z222" i="86"/>
  <c r="AH222" i="86" s="1"/>
  <c r="Z241" i="86"/>
  <c r="Z265" i="86"/>
  <c r="AH265" i="86" s="1"/>
  <c r="Z282" i="86"/>
  <c r="AH282" i="86" s="1"/>
  <c r="AC1021" i="58"/>
  <c r="AK1021" i="58" s="1"/>
  <c r="AC1020" i="58"/>
  <c r="AK1020" i="58" s="1"/>
  <c r="AC1018" i="58"/>
  <c r="AK1018" i="58" s="1"/>
  <c r="AC1001" i="58"/>
  <c r="AK1001" i="58" s="1"/>
  <c r="AC1000" i="58"/>
  <c r="AK1000" i="58" s="1"/>
  <c r="AC998" i="58"/>
  <c r="AK998" i="58" s="1"/>
  <c r="AC996" i="58"/>
  <c r="AK996" i="58" s="1"/>
  <c r="AC987" i="58"/>
  <c r="AK987" i="58" s="1"/>
  <c r="AC926" i="58"/>
  <c r="AK926" i="58" s="1"/>
  <c r="AD323" i="86" l="1"/>
  <c r="AH323" i="86" s="1"/>
  <c r="AD246" i="86"/>
  <c r="AH246" i="86" s="1"/>
  <c r="AD252" i="86"/>
  <c r="AH252" i="86" s="1"/>
  <c r="AD248" i="86"/>
  <c r="AH248" i="86" s="1"/>
  <c r="AD251" i="86"/>
  <c r="AH251" i="86" s="1"/>
  <c r="AD249" i="86"/>
  <c r="AH249" i="86" s="1"/>
  <c r="AD241" i="86"/>
  <c r="AH241" i="86" s="1"/>
  <c r="AD245" i="86"/>
  <c r="AH245" i="86" s="1"/>
  <c r="AD250" i="86"/>
  <c r="AH250" i="86" s="1"/>
  <c r="AD247" i="86"/>
  <c r="AH247" i="86" s="1"/>
  <c r="AD242" i="86"/>
  <c r="AH242" i="86" s="1"/>
  <c r="AD244" i="86"/>
  <c r="AH244" i="86" s="1"/>
  <c r="AC729" i="58"/>
  <c r="AK729" i="58" s="1"/>
  <c r="AC769" i="58"/>
  <c r="AK769" i="58" s="1"/>
  <c r="AC846" i="58"/>
  <c r="AK846" i="58" s="1"/>
  <c r="AC730" i="58"/>
  <c r="AK730" i="58" s="1"/>
  <c r="AC771" i="58"/>
  <c r="AK771" i="58" s="1"/>
  <c r="AC582" i="58"/>
  <c r="AK582" i="58" s="1"/>
  <c r="AC731" i="58"/>
  <c r="AK731" i="58" s="1"/>
  <c r="AC772" i="58"/>
  <c r="AK772" i="58" s="1"/>
  <c r="AC728" i="58"/>
  <c r="AK728" i="58" s="1"/>
  <c r="AC743" i="58"/>
  <c r="AK743" i="58" s="1"/>
  <c r="AC773" i="58"/>
  <c r="AK773" i="58" s="1"/>
  <c r="AC745" i="58"/>
  <c r="AK745" i="58" s="1"/>
  <c r="AC774" i="58"/>
  <c r="AK774" i="58" s="1"/>
  <c r="AC722" i="58"/>
  <c r="AK722" i="58" s="1"/>
  <c r="AC746" i="58"/>
  <c r="AK746" i="58" s="1"/>
  <c r="AC663" i="58"/>
  <c r="AK663" i="58" s="1"/>
  <c r="AC726" i="58"/>
  <c r="AK726" i="58" s="1"/>
  <c r="AC747" i="58"/>
  <c r="AK747" i="58" s="1"/>
  <c r="AC645" i="58"/>
  <c r="AK645" i="58" s="1"/>
  <c r="AC672" i="58"/>
  <c r="AK672" i="58" s="1"/>
  <c r="AC720" i="58"/>
  <c r="AK720" i="58" s="1"/>
  <c r="AC552" i="58"/>
  <c r="AK552" i="58" s="1"/>
  <c r="AC584" i="58"/>
  <c r="AK584" i="58" s="1"/>
  <c r="AC656" i="58"/>
  <c r="AK656" i="58" s="1"/>
  <c r="AC673" i="58"/>
  <c r="AK673" i="58" s="1"/>
  <c r="AC721" i="58"/>
  <c r="AK721" i="58" s="1"/>
  <c r="AC583" i="58"/>
  <c r="AK583" i="58" s="1"/>
  <c r="AC658" i="58"/>
  <c r="AK658" i="58" s="1"/>
  <c r="AC474" i="58"/>
  <c r="AK474" i="58" s="1"/>
  <c r="AC477" i="58"/>
  <c r="AK477" i="58" s="1"/>
  <c r="AC573" i="58"/>
  <c r="AK573" i="58" s="1"/>
  <c r="AC624" i="58"/>
  <c r="AK624" i="58" s="1"/>
  <c r="AC687" i="58"/>
  <c r="AK687" i="58" s="1"/>
  <c r="AC543" i="58"/>
  <c r="AK543" i="58" s="1"/>
  <c r="AC607" i="58"/>
  <c r="AK607" i="58" s="1"/>
  <c r="AC660" i="58"/>
  <c r="AK660" i="58" s="1"/>
  <c r="AC507" i="58"/>
  <c r="AK507" i="58" s="1"/>
  <c r="AC577" i="58"/>
  <c r="AK577" i="58" s="1"/>
  <c r="AC625" i="58"/>
  <c r="AK625" i="58" s="1"/>
  <c r="AC664" i="58"/>
  <c r="AK664" i="58" s="1"/>
  <c r="AC692" i="58"/>
  <c r="AK692" i="58" s="1"/>
  <c r="AC467" i="58"/>
  <c r="AK467" i="58" s="1"/>
  <c r="AC471" i="58"/>
  <c r="AK471" i="58" s="1"/>
  <c r="AC675" i="58"/>
  <c r="AK675" i="58" s="1"/>
  <c r="AC516" i="58"/>
  <c r="AK516" i="58" s="1"/>
  <c r="AC579" i="58"/>
  <c r="AK579" i="58" s="1"/>
  <c r="AC626" i="58"/>
  <c r="AK626" i="58" s="1"/>
  <c r="AC693" i="58"/>
  <c r="AK693" i="58" s="1"/>
  <c r="AC609" i="58"/>
  <c r="AK609" i="58" s="1"/>
  <c r="AC685" i="58"/>
  <c r="AK685" i="58" s="1"/>
  <c r="AC459" i="58"/>
  <c r="AK459" i="58" s="1"/>
  <c r="AC463" i="58"/>
  <c r="AK463" i="58" s="1"/>
  <c r="AC518" i="58"/>
  <c r="AK518" i="58" s="1"/>
  <c r="AC637" i="58"/>
  <c r="AK637" i="58" s="1"/>
  <c r="AC670" i="58"/>
  <c r="AK670" i="58" s="1"/>
  <c r="AC718" i="58"/>
  <c r="AK718" i="58" s="1"/>
  <c r="AP477" i="58" l="1"/>
  <c r="AP474" i="58"/>
  <c r="AP463" i="58"/>
  <c r="AP459" i="58"/>
  <c r="AP471" i="58"/>
  <c r="AP467" i="58"/>
  <c r="AF344" i="54" l="1"/>
  <c r="AN344" i="54" s="1"/>
  <c r="AF341" i="54"/>
  <c r="AN341" i="54" s="1"/>
  <c r="AF334" i="54"/>
  <c r="AN334" i="54" s="1"/>
  <c r="AF330" i="54"/>
  <c r="AN330" i="54" s="1"/>
  <c r="AF327" i="54"/>
  <c r="AN327" i="54" s="1"/>
  <c r="AF323" i="54"/>
  <c r="AN323" i="54" s="1"/>
  <c r="AF319" i="54"/>
  <c r="AN319" i="54" s="1"/>
  <c r="AF316" i="54"/>
  <c r="AN316" i="54" s="1"/>
  <c r="AF365" i="54" l="1"/>
  <c r="AN365" i="54" s="1"/>
  <c r="AF376" i="54"/>
  <c r="AN376" i="54" s="1"/>
  <c r="AF388" i="54"/>
  <c r="AN388" i="54" s="1"/>
  <c r="AF418" i="54"/>
  <c r="AN418" i="54" s="1"/>
  <c r="AF458" i="54"/>
  <c r="AN458" i="54" s="1"/>
  <c r="AF487" i="54"/>
  <c r="AN487" i="54" s="1"/>
  <c r="AF367" i="54"/>
  <c r="AN367" i="54" s="1"/>
  <c r="AF377" i="54"/>
  <c r="AN377" i="54" s="1"/>
  <c r="AF398" i="54"/>
  <c r="AN398" i="54" s="1"/>
  <c r="AF420" i="54"/>
  <c r="AN420" i="54" s="1"/>
  <c r="AF460" i="54"/>
  <c r="AN460" i="54" s="1"/>
  <c r="AF489" i="54"/>
  <c r="AN489" i="54" s="1"/>
  <c r="AF369" i="54"/>
  <c r="AN369" i="54" s="1"/>
  <c r="AF400" i="54"/>
  <c r="AN400" i="54" s="1"/>
  <c r="AF421" i="54"/>
  <c r="AN421" i="54" s="1"/>
  <c r="AF465" i="54"/>
  <c r="AN465" i="54" s="1"/>
  <c r="AF490" i="54"/>
  <c r="AN490" i="54" s="1"/>
  <c r="AF371" i="54"/>
  <c r="AN371" i="54" s="1"/>
  <c r="AF379" i="54"/>
  <c r="AN379" i="54" s="1"/>
  <c r="AF401" i="54"/>
  <c r="AN401" i="54" s="1"/>
  <c r="AF422" i="54"/>
  <c r="AN422" i="54" s="1"/>
  <c r="AF466" i="54"/>
  <c r="AN466" i="54" s="1"/>
  <c r="AF495" i="54"/>
  <c r="AN495" i="54" s="1"/>
  <c r="AF372" i="54"/>
  <c r="AN372" i="54" s="1"/>
  <c r="AF380" i="54"/>
  <c r="AN380" i="54" s="1"/>
  <c r="AF403" i="54"/>
  <c r="AN403" i="54" s="1"/>
  <c r="AF480" i="54"/>
  <c r="AN480" i="54" s="1"/>
  <c r="AF497" i="54"/>
  <c r="AN497" i="54" s="1"/>
  <c r="AF373" i="54"/>
  <c r="AN373" i="54" s="1"/>
  <c r="AF404" i="54"/>
  <c r="AN404" i="54" s="1"/>
  <c r="AF424" i="54"/>
  <c r="AN424" i="54" s="1"/>
  <c r="AF483" i="54"/>
  <c r="AN483" i="54" s="1"/>
  <c r="AF498" i="54"/>
  <c r="AN498" i="54" s="1"/>
  <c r="AF374" i="54"/>
  <c r="AN374" i="54" s="1"/>
  <c r="AF382" i="54"/>
  <c r="AN382" i="54" s="1"/>
  <c r="AF405" i="54"/>
  <c r="AN405" i="54" s="1"/>
  <c r="AF425" i="54"/>
  <c r="AN425" i="54" s="1"/>
  <c r="AF485" i="54"/>
  <c r="AN485" i="54" s="1"/>
  <c r="AF499" i="54"/>
  <c r="AN499" i="54" s="1"/>
  <c r="AF358" i="54"/>
  <c r="AN358" i="54" s="1"/>
  <c r="AF375" i="54"/>
  <c r="AN375" i="54" s="1"/>
  <c r="AF386" i="54"/>
  <c r="AN386" i="54" s="1"/>
  <c r="AF410" i="54"/>
  <c r="AN410" i="54" s="1"/>
  <c r="AF426" i="54"/>
  <c r="AN426" i="54" s="1"/>
  <c r="AF486" i="54"/>
  <c r="AN486" i="54" s="1"/>
  <c r="AE998" i="2" l="1"/>
  <c r="AM998" i="2" s="1"/>
  <c r="AE997" i="2"/>
  <c r="AM997" i="2" s="1"/>
  <c r="AE991" i="2"/>
  <c r="AM991" i="2" s="1"/>
  <c r="AE989" i="2"/>
  <c r="AM989" i="2" s="1"/>
  <c r="AE988" i="2"/>
  <c r="AM988" i="2" s="1"/>
  <c r="AE986" i="2"/>
  <c r="AM986" i="2" s="1"/>
  <c r="AE983" i="2"/>
  <c r="AM983" i="2" s="1"/>
  <c r="AE982" i="2"/>
  <c r="AM982" i="2" s="1"/>
  <c r="AE980" i="2"/>
  <c r="AM980" i="2" s="1"/>
  <c r="AE979" i="2"/>
  <c r="AM979" i="2" s="1"/>
  <c r="AE978" i="2"/>
  <c r="AM978" i="2" s="1"/>
  <c r="AE976" i="2"/>
  <c r="AM976" i="2" s="1"/>
  <c r="AE950" i="2"/>
  <c r="AM950" i="2" s="1"/>
  <c r="AE949" i="2"/>
  <c r="AM949" i="2" s="1"/>
  <c r="AE948" i="2"/>
  <c r="AM948" i="2" s="1"/>
  <c r="AE934" i="2"/>
  <c r="AM934" i="2" s="1"/>
  <c r="AE927" i="2"/>
  <c r="AM927" i="2" s="1"/>
  <c r="AE926" i="2"/>
  <c r="AM926" i="2" s="1"/>
  <c r="AE925" i="2"/>
  <c r="AM925" i="2" s="1"/>
  <c r="AE923" i="2"/>
  <c r="AM923" i="2" s="1"/>
  <c r="AE922" i="2"/>
  <c r="AM922" i="2" s="1"/>
  <c r="AE921" i="2"/>
  <c r="AM921" i="2" s="1"/>
  <c r="AE920" i="2"/>
  <c r="AM920" i="2" s="1"/>
  <c r="AE918" i="2"/>
  <c r="AM918" i="2" s="1"/>
  <c r="AE911" i="2"/>
  <c r="AM911" i="2" s="1"/>
  <c r="AE909" i="2"/>
  <c r="AM909" i="2" s="1"/>
  <c r="AE885" i="2"/>
  <c r="AM885" i="2" s="1"/>
  <c r="AE884" i="2"/>
  <c r="AM884" i="2" s="1"/>
  <c r="AE883" i="2"/>
  <c r="AM883" i="2" s="1"/>
  <c r="AE875" i="2"/>
  <c r="AM875" i="2" s="1"/>
  <c r="AE874" i="2"/>
  <c r="AM874" i="2" s="1"/>
  <c r="AE873" i="2"/>
  <c r="AM873" i="2" s="1"/>
  <c r="AE872" i="2"/>
  <c r="AM872" i="2" s="1"/>
  <c r="AE870" i="2"/>
  <c r="AM870" i="2" s="1"/>
  <c r="AE868" i="2"/>
  <c r="AM868" i="2" s="1"/>
  <c r="AE867" i="2"/>
  <c r="AM867" i="2" s="1"/>
  <c r="AE860" i="2"/>
  <c r="AM860" i="2" s="1"/>
  <c r="AE858" i="2"/>
  <c r="AM858" i="2" s="1"/>
  <c r="AE857" i="2"/>
  <c r="AM857" i="2" s="1"/>
  <c r="AE854" i="2"/>
  <c r="AM854" i="2" s="1"/>
  <c r="AE853" i="2"/>
  <c r="AM853" i="2" s="1"/>
  <c r="AE851" i="2"/>
  <c r="AM851" i="2" s="1"/>
  <c r="AE815" i="2"/>
  <c r="AM815" i="2" s="1"/>
  <c r="AE803" i="2"/>
  <c r="AM803" i="2" s="1"/>
  <c r="AE796" i="2"/>
  <c r="AM796" i="2" s="1"/>
  <c r="AE783" i="2"/>
  <c r="AM783" i="2" s="1"/>
  <c r="AE782" i="2"/>
  <c r="AM782" i="2" s="1"/>
  <c r="AE756" i="2"/>
  <c r="AM756" i="2" s="1"/>
  <c r="AE754" i="2"/>
  <c r="AM754" i="2" s="1"/>
  <c r="AE750" i="2"/>
  <c r="AM750" i="2" s="1"/>
  <c r="AE747" i="2"/>
  <c r="AM747" i="2" s="1"/>
  <c r="AE745" i="2"/>
  <c r="AM745" i="2" s="1"/>
  <c r="AE744" i="2"/>
  <c r="AM744" i="2" s="1"/>
  <c r="AE731" i="2"/>
  <c r="AM731" i="2" s="1"/>
  <c r="AE726" i="2"/>
  <c r="AM726" i="2" s="1"/>
  <c r="AE722" i="2"/>
  <c r="AM722" i="2" s="1"/>
  <c r="AE716" i="2"/>
  <c r="AM716" i="2" s="1"/>
  <c r="AE715" i="2"/>
  <c r="AM715" i="2" s="1"/>
  <c r="AE714" i="2"/>
  <c r="AM714" i="2" s="1"/>
  <c r="AE713" i="2"/>
  <c r="AM713" i="2" s="1"/>
  <c r="AE710" i="2"/>
  <c r="AM710" i="2" s="1"/>
  <c r="AE709" i="2"/>
  <c r="AM709" i="2" s="1"/>
  <c r="AE707" i="2"/>
  <c r="AM707" i="2" s="1"/>
  <c r="AE705" i="2"/>
  <c r="AM705" i="2" s="1"/>
  <c r="AE691" i="2"/>
  <c r="AM691" i="2" s="1"/>
  <c r="AE685" i="2"/>
  <c r="AM685" i="2" s="1"/>
  <c r="AE684" i="2"/>
  <c r="AM684" i="2" s="1"/>
  <c r="AE661" i="2"/>
  <c r="AM661" i="2" s="1"/>
  <c r="AE660" i="2"/>
  <c r="AM660" i="2" s="1"/>
  <c r="AE658" i="2"/>
  <c r="AM658" i="2" s="1"/>
  <c r="AE634" i="2"/>
  <c r="AM634" i="2" s="1"/>
  <c r="AE633" i="2"/>
  <c r="AM633" i="2" s="1"/>
  <c r="AE631" i="2"/>
  <c r="AM631" i="2" s="1"/>
  <c r="AE628" i="2"/>
  <c r="AM628" i="2" s="1"/>
  <c r="AE625" i="2"/>
  <c r="AM625" i="2" s="1"/>
  <c r="AE624" i="2"/>
  <c r="AM624" i="2" s="1"/>
  <c r="AE622" i="2"/>
  <c r="AM622" i="2" s="1"/>
  <c r="AE621" i="2"/>
  <c r="AM621" i="2" s="1"/>
  <c r="AE620" i="2"/>
  <c r="AM620" i="2" s="1"/>
  <c r="AE619" i="2"/>
  <c r="AM619" i="2" s="1"/>
  <c r="AE617" i="2"/>
  <c r="AM617" i="2" s="1"/>
  <c r="AE596" i="2"/>
  <c r="AM596" i="2" s="1"/>
  <c r="AE594" i="2"/>
  <c r="AM594" i="2" s="1"/>
  <c r="AE586" i="2"/>
  <c r="AM586" i="2" s="1"/>
  <c r="AE555" i="2"/>
  <c r="AM555" i="2" s="1"/>
  <c r="AE552" i="2"/>
  <c r="AM552" i="2" s="1"/>
  <c r="AE549" i="2"/>
  <c r="AM549" i="2" s="1"/>
  <c r="AE545" i="2"/>
  <c r="AM545" i="2" s="1"/>
  <c r="AE539" i="2"/>
  <c r="AM539" i="2" s="1"/>
  <c r="AE535" i="2"/>
  <c r="AM535" i="2" s="1"/>
  <c r="AE532" i="2"/>
  <c r="AM532" i="2" s="1"/>
  <c r="AC750" i="58" l="1"/>
  <c r="AK750" i="58" s="1"/>
  <c r="AC858" i="58"/>
  <c r="AK858" i="58" s="1"/>
  <c r="Z261" i="93"/>
  <c r="AH261" i="93" s="1"/>
  <c r="Z225" i="93"/>
  <c r="AH225" i="93" s="1"/>
  <c r="Z315" i="93" l="1"/>
  <c r="AH315" i="93" s="1"/>
  <c r="Z217" i="93"/>
  <c r="AH217" i="93" s="1"/>
  <c r="Z316" i="93"/>
  <c r="AH316" i="93" s="1"/>
  <c r="Z200" i="93" l="1"/>
  <c r="AH200" i="93" s="1"/>
  <c r="Z235" i="93" l="1"/>
  <c r="AH235" i="93" s="1"/>
  <c r="Z234" i="93" l="1"/>
  <c r="AH234" i="93" s="1"/>
  <c r="Z321" i="93"/>
  <c r="AH321" i="93" s="1"/>
  <c r="Z214" i="93"/>
  <c r="AH214" i="93" s="1"/>
  <c r="Z211" i="93"/>
  <c r="AH211" i="93" s="1"/>
  <c r="Z228" i="86"/>
  <c r="AH228" i="86" s="1"/>
  <c r="Z225" i="86"/>
  <c r="AH225" i="86" s="1"/>
  <c r="AC1003" i="58"/>
  <c r="AK1003" i="58" s="1"/>
  <c r="AC881" i="58"/>
  <c r="AK881" i="58" s="1"/>
  <c r="AC564" i="58"/>
  <c r="AK564" i="58" s="1"/>
  <c r="AF423" i="54"/>
  <c r="AN423" i="54" s="1"/>
  <c r="AF381" i="54"/>
  <c r="AN381" i="54" s="1"/>
  <c r="AF378" i="54"/>
  <c r="AN378" i="54" s="1"/>
  <c r="AE990" i="2"/>
  <c r="AM990" i="2" s="1"/>
  <c r="AE981" i="2"/>
  <c r="AM981" i="2" s="1"/>
  <c r="AE924" i="2"/>
  <c r="AM924" i="2" s="1"/>
  <c r="AE869" i="2"/>
  <c r="AM869" i="2" s="1"/>
  <c r="AE859" i="2"/>
  <c r="AM859" i="2" s="1"/>
  <c r="AE623" i="2"/>
  <c r="AM623" i="2" s="1"/>
  <c r="Z308" i="86" l="1"/>
  <c r="AH308" i="86" s="1"/>
  <c r="Z311" i="86"/>
  <c r="AH311" i="86" s="1"/>
  <c r="AE638" i="2"/>
  <c r="AM638" i="2" s="1"/>
  <c r="Z252" i="93"/>
  <c r="AH252" i="93" s="1"/>
  <c r="Z294" i="93"/>
  <c r="AH294" i="93" s="1"/>
  <c r="Z288" i="93"/>
  <c r="AH288" i="93" s="1"/>
  <c r="Z188" i="93"/>
  <c r="AH188" i="93" s="1"/>
  <c r="Z251" i="93"/>
  <c r="AH251" i="93" s="1"/>
  <c r="Z282" i="93"/>
  <c r="AH282" i="93" s="1"/>
  <c r="Z279" i="93"/>
  <c r="AH279" i="93" s="1"/>
  <c r="Z255" i="86"/>
  <c r="AH255" i="86" s="1"/>
  <c r="Z281" i="86"/>
  <c r="AH281" i="86" s="1"/>
  <c r="Z230" i="86"/>
  <c r="AE626" i="2"/>
  <c r="AM626" i="2" s="1"/>
  <c r="AE560" i="2"/>
  <c r="AM560" i="2" s="1"/>
  <c r="AE558" i="2"/>
  <c r="AM558" i="2" s="1"/>
  <c r="AE557" i="2"/>
  <c r="AM557" i="2" s="1"/>
  <c r="AE559" i="2"/>
  <c r="AM559" i="2" s="1"/>
  <c r="AE561" i="2"/>
  <c r="AM561" i="2" s="1"/>
  <c r="Z229" i="93"/>
  <c r="AH229" i="93" s="1"/>
  <c r="Z343" i="93"/>
  <c r="AH343" i="93" s="1"/>
  <c r="Z198" i="93"/>
  <c r="AH198" i="93" s="1"/>
  <c r="Z186" i="93"/>
  <c r="AH186" i="93" s="1"/>
  <c r="Z233" i="93"/>
  <c r="AH233" i="93" s="1"/>
  <c r="Z231" i="93"/>
  <c r="AH231" i="93" s="1"/>
  <c r="Z231" i="86"/>
  <c r="AH231" i="86" s="1"/>
  <c r="AC563" i="58"/>
  <c r="AK563" i="58" s="1"/>
  <c r="AC880" i="58"/>
  <c r="AK880" i="58" s="1"/>
  <c r="Z216" i="86" l="1"/>
  <c r="AH216" i="86" s="1"/>
  <c r="AC795" i="58"/>
  <c r="AK795" i="58" s="1"/>
  <c r="AC667" i="58"/>
  <c r="AK667" i="58" s="1"/>
  <c r="Z227" i="93"/>
  <c r="AH227" i="93" s="1"/>
  <c r="Z195" i="93"/>
  <c r="AH195" i="93" s="1"/>
  <c r="Z187" i="93"/>
  <c r="AH187" i="93" s="1"/>
  <c r="Z232" i="93"/>
  <c r="AH232" i="93" s="1"/>
  <c r="Z253" i="93"/>
  <c r="AH253" i="93" s="1"/>
  <c r="Z199" i="93"/>
  <c r="AH199" i="93" s="1"/>
  <c r="Z216" i="93"/>
  <c r="AH216" i="93" s="1"/>
  <c r="Z270" i="93"/>
  <c r="AH270" i="93" s="1"/>
  <c r="Z275" i="93"/>
  <c r="AH275" i="93" s="1"/>
  <c r="Z272" i="93"/>
  <c r="AH272" i="93" s="1"/>
  <c r="Z190" i="93"/>
  <c r="AH190" i="93" s="1"/>
  <c r="Z226" i="93"/>
  <c r="AH226" i="93" s="1"/>
  <c r="Z289" i="93"/>
  <c r="AH289" i="93" s="1"/>
  <c r="Z236" i="93"/>
  <c r="AH236" i="93" s="1"/>
  <c r="Z223" i="93"/>
  <c r="AH223" i="93" s="1"/>
  <c r="Z218" i="93"/>
  <c r="AH218" i="93" s="1"/>
  <c r="Z287" i="93"/>
  <c r="AH287" i="93" s="1"/>
  <c r="Z256" i="93"/>
  <c r="AH256" i="93" s="1"/>
  <c r="Z228" i="93"/>
  <c r="AH228" i="93" s="1"/>
  <c r="Z273" i="93"/>
  <c r="AH273" i="93" s="1"/>
  <c r="Z230" i="93"/>
  <c r="AH230" i="93" s="1"/>
  <c r="Z219" i="93"/>
  <c r="AH219" i="93" s="1"/>
  <c r="Z196" i="93"/>
  <c r="AH196" i="93" s="1"/>
  <c r="Z183" i="93"/>
  <c r="AH183" i="93" s="1"/>
  <c r="Z260" i="86"/>
  <c r="AH260" i="86" s="1"/>
  <c r="Z206" i="86"/>
  <c r="AH206" i="86" s="1"/>
  <c r="Z213" i="86"/>
  <c r="AH213" i="86" s="1"/>
  <c r="Z257" i="86"/>
  <c r="AH257" i="86" s="1"/>
  <c r="Z204" i="86"/>
  <c r="AH204" i="86" s="1"/>
  <c r="Z276" i="86"/>
  <c r="AH276" i="86" s="1"/>
  <c r="Z299" i="86"/>
  <c r="AH299" i="86" s="1"/>
  <c r="Z264" i="86"/>
  <c r="AH264" i="86" s="1"/>
  <c r="Z210" i="86"/>
  <c r="AH210" i="86" s="1"/>
  <c r="Z289" i="86"/>
  <c r="AH289" i="86" s="1"/>
  <c r="Z321" i="86"/>
  <c r="AH321" i="86" s="1"/>
  <c r="Z291" i="86"/>
  <c r="AH291" i="86" s="1"/>
  <c r="Z274" i="86"/>
  <c r="AH274" i="86" s="1"/>
  <c r="Z272" i="86"/>
  <c r="AH272" i="86" s="1"/>
  <c r="Z203" i="86"/>
  <c r="AH203" i="86" s="1"/>
  <c r="Z256" i="86"/>
  <c r="AH256" i="86" s="1"/>
  <c r="Z205" i="86"/>
  <c r="AH205" i="86" s="1"/>
  <c r="Z253" i="86"/>
  <c r="AH253" i="86" s="1"/>
  <c r="Z185" i="93"/>
  <c r="AH185" i="93" s="1"/>
  <c r="AE627" i="2"/>
  <c r="AM627" i="2" s="1"/>
  <c r="AE889" i="2"/>
  <c r="AM889" i="2" s="1"/>
  <c r="Z218" i="86"/>
  <c r="AH218" i="86" s="1"/>
  <c r="Z220" i="93"/>
  <c r="AH220" i="93" s="1"/>
  <c r="L294" i="86" l="1"/>
  <c r="Z271" i="93"/>
  <c r="AH271" i="93" s="1"/>
  <c r="Z346" i="93"/>
  <c r="AH346" i="93" s="1"/>
  <c r="Z337" i="93"/>
  <c r="AH337" i="93" s="1"/>
  <c r="Z184" i="93"/>
  <c r="AH184" i="93" s="1"/>
  <c r="Z274" i="93"/>
  <c r="AH274" i="93" s="1"/>
  <c r="AP274" i="93" l="1"/>
  <c r="L274" i="93" s="1"/>
  <c r="AE562" i="2"/>
  <c r="AM562" i="2" s="1"/>
  <c r="Z192" i="93" l="1"/>
  <c r="AH192" i="93" s="1"/>
  <c r="Z298" i="93"/>
  <c r="AH298" i="93" s="1"/>
  <c r="Z238" i="93"/>
  <c r="AH238" i="93" s="1"/>
  <c r="Z292" i="86"/>
  <c r="AH292" i="86" s="1"/>
  <c r="Z235" i="86"/>
  <c r="AH235" i="86" s="1"/>
  <c r="Z232" i="86"/>
  <c r="AH232" i="86" s="1"/>
  <c r="Z275" i="86"/>
  <c r="AH275" i="86" s="1"/>
  <c r="Z254" i="86"/>
  <c r="AH254" i="86" s="1"/>
  <c r="Z294" i="86"/>
  <c r="AH294" i="86" s="1"/>
  <c r="Z293" i="86"/>
  <c r="AH293" i="86" s="1"/>
  <c r="Z273" i="86"/>
  <c r="AH273" i="86" s="1"/>
  <c r="Z322" i="86"/>
  <c r="Z290" i="86"/>
  <c r="AH290" i="86" s="1"/>
  <c r="Z266" i="86"/>
  <c r="AH266" i="86" s="1"/>
  <c r="Z283" i="86"/>
  <c r="AH283" i="86" s="1"/>
  <c r="Z301" i="86"/>
  <c r="AH301" i="86" s="1"/>
  <c r="Z324" i="86"/>
  <c r="Z233" i="86"/>
  <c r="Z240" i="86"/>
  <c r="Z240" i="93"/>
  <c r="AH240" i="93" s="1"/>
  <c r="Z300" i="93"/>
  <c r="AH300" i="93" s="1"/>
  <c r="AD322" i="86" l="1"/>
  <c r="AH322" i="86" s="1"/>
  <c r="AD324" i="86"/>
  <c r="AH324" i="86" s="1"/>
  <c r="AD240" i="86"/>
  <c r="AH240" i="86" s="1"/>
  <c r="AN294" i="86"/>
  <c r="Z263" i="93"/>
  <c r="AH263" i="93" s="1"/>
  <c r="Z258" i="93"/>
  <c r="AH258" i="93" s="1"/>
  <c r="Z202" i="93"/>
  <c r="AH202" i="93" s="1"/>
  <c r="Z204" i="93"/>
  <c r="AH204" i="93" s="1"/>
  <c r="AF431" i="54"/>
  <c r="AN431" i="54" s="1"/>
  <c r="Z310" i="86"/>
  <c r="AH310" i="86" s="1"/>
  <c r="Z243" i="93"/>
  <c r="AH243" i="93" s="1"/>
  <c r="Z243" i="86"/>
  <c r="AE729" i="2" l="1"/>
  <c r="AM729" i="2" s="1"/>
  <c r="AC686" i="58" l="1"/>
  <c r="AK686" i="58" s="1"/>
  <c r="AC811" i="58" l="1"/>
  <c r="AK811" i="58" s="1"/>
  <c r="AC830" i="58"/>
  <c r="AK830" i="58" s="1"/>
  <c r="AC458" i="58" l="1"/>
  <c r="AK458" i="58" s="1"/>
  <c r="AC461" i="58"/>
  <c r="AK461" i="58" s="1"/>
  <c r="AP458" i="58" l="1"/>
  <c r="AP461" i="58"/>
  <c r="AF392" i="54"/>
  <c r="AN392" i="54" s="1"/>
  <c r="AE969" i="2"/>
  <c r="AM969" i="2" s="1"/>
  <c r="AE939" i="2" l="1"/>
  <c r="AM939" i="2" s="1"/>
  <c r="AC751" i="58" l="1"/>
  <c r="AK751" i="58" s="1"/>
  <c r="AC674" i="58"/>
  <c r="AK674" i="58" s="1"/>
  <c r="AC533" i="58"/>
  <c r="AK533" i="58" s="1"/>
  <c r="AC973" i="58"/>
  <c r="AK973" i="58" s="1"/>
  <c r="AC734" i="58"/>
  <c r="AK734" i="58" s="1"/>
  <c r="AF396" i="54" l="1"/>
  <c r="AN396" i="54" s="1"/>
  <c r="AE1005" i="2"/>
  <c r="AM1005" i="2" s="1"/>
  <c r="AE697" i="2" l="1"/>
  <c r="AM697" i="2" s="1"/>
  <c r="AE677" i="2"/>
  <c r="AM677" i="2" s="1"/>
  <c r="AE666" i="2"/>
  <c r="AM666" i="2" s="1"/>
  <c r="AE682" i="2" l="1"/>
  <c r="AM682" i="2" s="1"/>
  <c r="AE679" i="2"/>
  <c r="AM679" i="2" s="1"/>
  <c r="AE693" i="2"/>
  <c r="AM693" i="2" s="1"/>
  <c r="AE696" i="2"/>
  <c r="AM696" i="2" s="1"/>
  <c r="AE662" i="2"/>
  <c r="AM662" i="2" s="1"/>
  <c r="AE680" i="2"/>
  <c r="AM680" i="2" s="1"/>
  <c r="AE664" i="2"/>
  <c r="AM664" i="2" s="1"/>
  <c r="AE663" i="2"/>
  <c r="AM663" i="2" s="1"/>
  <c r="AE674" i="2"/>
  <c r="AM674" i="2" s="1"/>
  <c r="AE694" i="2"/>
  <c r="AM694" i="2" s="1"/>
  <c r="AE665" i="2"/>
  <c r="AM665" i="2" s="1"/>
  <c r="AE676" i="2"/>
  <c r="AM676" i="2" s="1"/>
  <c r="AE683" i="2"/>
  <c r="AM683" i="2" s="1"/>
  <c r="AE692" i="2"/>
  <c r="AM692" i="2" s="1"/>
  <c r="AE695" i="2"/>
  <c r="AM695" i="2" s="1"/>
  <c r="AE678" i="2"/>
  <c r="AM678" i="2" s="1"/>
  <c r="AE702" i="2" l="1"/>
  <c r="AM702" i="2" s="1"/>
  <c r="AE698" i="2"/>
  <c r="AM698" i="2" s="1"/>
  <c r="AE668" i="2"/>
  <c r="AM668" i="2" s="1"/>
  <c r="AE699" i="2"/>
  <c r="AM699" i="2" s="1"/>
  <c r="AE667" i="2"/>
  <c r="AM667" i="2" s="1"/>
  <c r="AE670" i="2"/>
  <c r="AM670" i="2" s="1"/>
  <c r="AE700" i="2"/>
  <c r="AM700" i="2" s="1"/>
  <c r="AE669" i="2"/>
  <c r="AM669" i="2" s="1"/>
  <c r="AC765" i="58" l="1"/>
  <c r="AK765" i="58" s="1"/>
  <c r="AC611" i="58"/>
  <c r="AK611" i="58" s="1"/>
  <c r="AC993" i="58" l="1"/>
  <c r="AK993" i="58" s="1"/>
  <c r="AC990" i="58"/>
  <c r="AK990" i="58" s="1"/>
  <c r="AC958" i="58"/>
  <c r="AK958" i="58" s="1"/>
  <c r="AC906" i="58"/>
  <c r="AK906" i="58" s="1"/>
  <c r="AC903" i="58"/>
  <c r="AK903" i="58" s="1"/>
  <c r="AF318" i="54"/>
  <c r="AN318" i="54" s="1"/>
  <c r="AE975" i="2"/>
  <c r="AM975" i="2" s="1"/>
  <c r="AE972" i="2"/>
  <c r="AM972" i="2" s="1"/>
  <c r="AE971" i="2"/>
  <c r="AM971" i="2" s="1"/>
  <c r="AE952" i="2"/>
  <c r="AM952" i="2" s="1"/>
  <c r="AE951" i="2"/>
  <c r="AM951" i="2" s="1"/>
  <c r="AE849" i="2"/>
  <c r="AM849" i="2" s="1"/>
  <c r="AE845" i="2"/>
  <c r="AM845" i="2" s="1"/>
  <c r="AE834" i="2"/>
  <c r="AM834" i="2" s="1"/>
  <c r="AE831" i="2"/>
  <c r="AM831" i="2" s="1"/>
  <c r="AE830" i="2"/>
  <c r="AM830" i="2" s="1"/>
  <c r="AE828" i="2"/>
  <c r="AM828" i="2" s="1"/>
  <c r="AE823" i="2"/>
  <c r="AM823" i="2" s="1"/>
  <c r="AE817" i="2"/>
  <c r="AM817" i="2" s="1"/>
  <c r="AE690" i="2"/>
  <c r="AM690" i="2" s="1"/>
  <c r="AE689" i="2"/>
  <c r="AM689" i="2" s="1"/>
  <c r="AE688" i="2"/>
  <c r="AM688" i="2" s="1"/>
  <c r="AE687" i="2"/>
  <c r="AM687" i="2" s="1"/>
  <c r="AE686" i="2"/>
  <c r="AM686" i="2" s="1"/>
  <c r="AE650" i="2"/>
  <c r="AM650" i="2" s="1"/>
  <c r="AE551" i="2"/>
  <c r="AM551" i="2" s="1"/>
  <c r="AE547" i="2"/>
  <c r="AM547" i="2" s="1"/>
  <c r="AC788" i="58" l="1"/>
  <c r="AK788" i="58" s="1"/>
  <c r="AC838" i="58"/>
  <c r="AK838" i="58" s="1"/>
  <c r="AC805" i="58"/>
  <c r="AK805" i="58" s="1"/>
  <c r="AC806" i="58"/>
  <c r="AK806" i="58" s="1"/>
  <c r="AC860" i="58"/>
  <c r="AK860" i="58" s="1"/>
  <c r="AC819" i="58"/>
  <c r="AK819" i="58" s="1"/>
  <c r="AC877" i="58"/>
  <c r="AK877" i="58" s="1"/>
  <c r="AC790" i="58"/>
  <c r="AK790" i="58" s="1"/>
  <c r="AC784" i="58"/>
  <c r="AK784" i="58" s="1"/>
  <c r="AC878" i="58"/>
  <c r="AK878" i="58" s="1"/>
  <c r="AC794" i="58"/>
  <c r="AK794" i="58" s="1"/>
  <c r="AC785" i="58"/>
  <c r="AK785" i="58" s="1"/>
  <c r="AC879" i="58"/>
  <c r="AK879" i="58" s="1"/>
  <c r="AC796" i="58"/>
  <c r="AK796" i="58" s="1"/>
  <c r="AC797" i="58"/>
  <c r="AK797" i="58" s="1"/>
  <c r="AC781" i="58"/>
  <c r="AK781" i="58" s="1"/>
  <c r="AC898" i="58"/>
  <c r="AK898" i="58" s="1"/>
  <c r="AC857" i="58"/>
  <c r="AK857" i="58" s="1"/>
  <c r="AF393" i="54"/>
  <c r="AN393" i="54" s="1"/>
  <c r="AF476" i="54"/>
  <c r="AN476" i="54" s="1"/>
  <c r="AF394" i="54"/>
  <c r="AN394" i="54" s="1"/>
  <c r="AF492" i="54"/>
  <c r="AF356" i="54"/>
  <c r="AN356" i="54" s="1"/>
  <c r="AF395" i="54"/>
  <c r="AN395" i="54" s="1"/>
  <c r="AF501" i="54"/>
  <c r="AN501" i="54" s="1"/>
  <c r="AF359" i="54"/>
  <c r="AN359" i="54" s="1"/>
  <c r="AF360" i="54"/>
  <c r="AN360" i="54" s="1"/>
  <c r="AF433" i="54"/>
  <c r="AN433" i="54" s="1"/>
  <c r="AF361" i="54"/>
  <c r="AN361" i="54" s="1"/>
  <c r="AF446" i="54"/>
  <c r="AN446" i="54" s="1"/>
  <c r="AF362" i="54"/>
  <c r="AN362" i="54" s="1"/>
  <c r="AF364" i="54"/>
  <c r="AN364" i="54" s="1"/>
  <c r="AC472" i="58"/>
  <c r="AK472" i="58" s="1"/>
  <c r="AC618" i="58"/>
  <c r="AK618" i="58" s="1"/>
  <c r="AC679" i="58"/>
  <c r="AK679" i="58" s="1"/>
  <c r="AC690" i="58"/>
  <c r="AK690" i="58" s="1"/>
  <c r="AC498" i="58"/>
  <c r="AK498" i="58" s="1"/>
  <c r="AC541" i="58"/>
  <c r="AK541" i="58" s="1"/>
  <c r="AC620" i="58"/>
  <c r="AK620" i="58" s="1"/>
  <c r="AC681" i="58"/>
  <c r="AK681" i="58" s="1"/>
  <c r="AC503" i="58"/>
  <c r="AK503" i="58" s="1"/>
  <c r="AC545" i="58"/>
  <c r="AK545" i="58" s="1"/>
  <c r="AC621" i="58"/>
  <c r="AK621" i="58" s="1"/>
  <c r="AC682" i="58"/>
  <c r="AK682" i="58" s="1"/>
  <c r="AC535" i="58"/>
  <c r="AK535" i="58" s="1"/>
  <c r="AC504" i="58"/>
  <c r="AK504" i="58" s="1"/>
  <c r="AC551" i="58"/>
  <c r="AK551" i="58" s="1"/>
  <c r="AC666" i="58"/>
  <c r="AK666" i="58" s="1"/>
  <c r="AC683" i="58"/>
  <c r="AK683" i="58" s="1"/>
  <c r="AC691" i="58"/>
  <c r="AK691" i="58" s="1"/>
  <c r="AC505" i="58"/>
  <c r="AK505" i="58" s="1"/>
  <c r="AC615" i="58"/>
  <c r="AK615" i="58" s="1"/>
  <c r="AC668" i="58"/>
  <c r="AK668" i="58" s="1"/>
  <c r="AC684" i="58"/>
  <c r="AK684" i="58" s="1"/>
  <c r="AC680" i="58"/>
  <c r="AK680" i="58" s="1"/>
  <c r="AC512" i="58"/>
  <c r="AK512" i="58" s="1"/>
  <c r="AC616" i="58"/>
  <c r="AK616" i="58" s="1"/>
  <c r="AC677" i="58"/>
  <c r="AK677" i="58" s="1"/>
  <c r="AC688" i="58"/>
  <c r="AK688" i="58" s="1"/>
  <c r="AC497" i="58"/>
  <c r="AK497" i="58" s="1"/>
  <c r="AC619" i="58"/>
  <c r="AK619" i="58" s="1"/>
  <c r="AC528" i="58"/>
  <c r="AK528" i="58" s="1"/>
  <c r="AC617" i="58"/>
  <c r="AK617" i="58" s="1"/>
  <c r="AC678" i="58"/>
  <c r="AK678" i="58" s="1"/>
  <c r="AC689" i="58"/>
  <c r="AK689" i="58" s="1"/>
  <c r="AE681" i="2"/>
  <c r="AM681" i="2" s="1"/>
  <c r="AE703" i="2"/>
  <c r="AM703" i="2" s="1"/>
  <c r="AF314" i="54"/>
  <c r="AN314" i="54" s="1"/>
  <c r="AF343" i="54"/>
  <c r="AN343" i="54" s="1"/>
  <c r="AF317" i="54"/>
  <c r="AN317" i="54" s="1"/>
  <c r="AF329" i="54"/>
  <c r="AN329" i="54" s="1"/>
  <c r="AF315" i="54"/>
  <c r="AN315" i="54" s="1"/>
  <c r="AF328" i="54"/>
  <c r="AN328" i="54" s="1"/>
  <c r="AC989" i="58"/>
  <c r="AK989" i="58" s="1"/>
  <c r="AC1017" i="58"/>
  <c r="AK1017" i="58" s="1"/>
  <c r="AE554" i="2"/>
  <c r="AM554" i="2" s="1"/>
  <c r="AC945" i="58"/>
  <c r="AK945" i="58" s="1"/>
  <c r="AC960" i="58"/>
  <c r="AK960" i="58" s="1"/>
  <c r="AC940" i="58"/>
  <c r="AK940" i="58" s="1"/>
  <c r="AC970" i="58"/>
  <c r="AK970" i="58" s="1"/>
  <c r="AC982" i="58"/>
  <c r="AK982" i="58" s="1"/>
  <c r="AC976" i="58"/>
  <c r="AK976" i="58" s="1"/>
  <c r="AF336" i="54"/>
  <c r="AN336" i="54" s="1"/>
  <c r="AF324" i="54"/>
  <c r="AN324" i="54" s="1"/>
  <c r="AF333" i="54"/>
  <c r="AN333" i="54" s="1"/>
  <c r="AE836" i="2"/>
  <c r="AM836" i="2" s="1"/>
  <c r="AE606" i="2"/>
  <c r="AM606" i="2" s="1"/>
  <c r="AE611" i="2"/>
  <c r="AM611" i="2" s="1"/>
  <c r="AE598" i="2"/>
  <c r="AM598" i="2" s="1"/>
  <c r="AE839" i="2"/>
  <c r="AM839" i="2" s="1"/>
  <c r="AE958" i="2"/>
  <c r="AM958" i="2" s="1"/>
  <c r="AE880" i="2"/>
  <c r="AM880" i="2" s="1"/>
  <c r="AE600" i="2"/>
  <c r="AM600" i="2" s="1"/>
  <c r="AE743" i="2"/>
  <c r="AM743" i="2" s="1"/>
  <c r="AE591" i="2"/>
  <c r="AM591" i="2" s="1"/>
  <c r="AE533" i="2"/>
  <c r="AM533" i="2" s="1"/>
  <c r="AE592" i="2"/>
  <c r="AM592" i="2" s="1"/>
  <c r="AE601" i="2"/>
  <c r="AM601" i="2" s="1"/>
  <c r="AE793" i="2"/>
  <c r="AM793" i="2" s="1"/>
  <c r="AE794" i="2"/>
  <c r="AM794" i="2" s="1"/>
  <c r="AE795" i="2"/>
  <c r="AM795" i="2" s="1"/>
  <c r="AE929" i="2"/>
  <c r="AM929" i="2" s="1"/>
  <c r="AE609" i="2"/>
  <c r="AM609" i="2" s="1"/>
  <c r="AE928" i="2"/>
  <c r="AM928" i="2" s="1"/>
  <c r="AE550" i="2"/>
  <c r="AM550" i="2" s="1"/>
  <c r="AE608" i="2"/>
  <c r="AM608" i="2" s="1"/>
  <c r="AE614" i="2"/>
  <c r="AM614" i="2" s="1"/>
  <c r="AE718" i="2"/>
  <c r="AM718" i="2" s="1"/>
  <c r="AE974" i="2"/>
  <c r="AM974" i="2" s="1"/>
  <c r="AE574" i="2"/>
  <c r="AM574" i="2" s="1"/>
  <c r="AE657" i="2"/>
  <c r="AM657" i="2" s="1"/>
  <c r="AE724" i="2"/>
  <c r="AM724" i="2" s="1"/>
  <c r="AE864" i="2"/>
  <c r="AM864" i="2" s="1"/>
  <c r="AE832" i="2"/>
  <c r="AM832" i="2" s="1"/>
  <c r="AE881" i="2"/>
  <c r="AM881" i="2" s="1"/>
  <c r="AE599" i="2"/>
  <c r="AM599" i="2" s="1"/>
  <c r="AE612" i="2"/>
  <c r="AM612" i="2" s="1"/>
  <c r="AE651" i="2"/>
  <c r="AM651" i="2" s="1"/>
  <c r="AE720" i="2"/>
  <c r="AM720" i="2" s="1"/>
  <c r="AE954" i="2"/>
  <c r="AM954" i="2" s="1"/>
  <c r="AE944" i="2"/>
  <c r="AM944" i="2" s="1"/>
  <c r="AE899" i="2"/>
  <c r="AM899" i="2" s="1"/>
  <c r="AE896" i="2"/>
  <c r="AM896" i="2" s="1"/>
  <c r="AE825" i="2"/>
  <c r="AM825" i="2" s="1"/>
  <c r="AE819" i="2"/>
  <c r="AM819" i="2" s="1"/>
  <c r="AE993" i="2"/>
  <c r="AM993" i="2" s="1"/>
  <c r="AE955" i="2"/>
  <c r="AM955" i="2" s="1"/>
  <c r="AE826" i="2"/>
  <c r="AM826" i="2" s="1"/>
  <c r="AE820" i="2"/>
  <c r="AM820" i="2" s="1"/>
  <c r="AE1002" i="2"/>
  <c r="AM1002" i="2" s="1"/>
  <c r="AE959" i="2"/>
  <c r="AM959" i="2" s="1"/>
  <c r="AE931" i="2"/>
  <c r="AM931" i="2" s="1"/>
  <c r="AE912" i="2"/>
  <c r="AM912" i="2" s="1"/>
  <c r="AE833" i="2"/>
  <c r="AM833" i="2" s="1"/>
  <c r="AE829" i="2"/>
  <c r="AM829" i="2" s="1"/>
  <c r="AE973" i="2"/>
  <c r="AM973" i="2" s="1"/>
  <c r="AE953" i="2"/>
  <c r="AM953" i="2" s="1"/>
  <c r="AE947" i="2"/>
  <c r="AM947" i="2" s="1"/>
  <c r="AE850" i="2"/>
  <c r="AM850" i="2" s="1"/>
  <c r="AE824" i="2"/>
  <c r="AM824" i="2" s="1"/>
  <c r="AE818" i="2"/>
  <c r="AM818" i="2" s="1"/>
  <c r="AE994" i="2"/>
  <c r="AM994" i="2" s="1"/>
  <c r="AE957" i="2"/>
  <c r="AM957" i="2" s="1"/>
  <c r="AE933" i="2"/>
  <c r="AM933" i="2" s="1"/>
  <c r="AE891" i="2"/>
  <c r="AM891" i="2" s="1"/>
  <c r="AE835" i="2"/>
  <c r="AM835" i="2" s="1"/>
  <c r="AE844" i="2"/>
  <c r="AM844" i="2" s="1"/>
  <c r="AE827" i="2"/>
  <c r="AM827" i="2" s="1"/>
  <c r="AE821" i="2"/>
  <c r="AM821" i="2" s="1"/>
  <c r="AE906" i="2"/>
  <c r="AM906" i="2" s="1"/>
  <c r="AE531" i="2"/>
  <c r="AM531" i="2" s="1"/>
  <c r="AE584" i="2"/>
  <c r="AM584" i="2" s="1"/>
  <c r="AE597" i="2"/>
  <c r="AM597" i="2" s="1"/>
  <c r="AE610" i="2"/>
  <c r="AM610" i="2" s="1"/>
  <c r="AE963" i="2"/>
  <c r="AM963" i="2" s="1"/>
  <c r="AE791" i="2"/>
  <c r="AM791" i="2" s="1"/>
  <c r="AE862" i="2"/>
  <c r="AM862" i="2" s="1"/>
  <c r="AE916" i="2"/>
  <c r="AM916" i="2" s="1"/>
  <c r="AE575" i="2"/>
  <c r="AM575" i="2" s="1"/>
  <c r="AE602" i="2"/>
  <c r="AM602" i="2" s="1"/>
  <c r="AE772" i="2"/>
  <c r="AM772" i="2" s="1"/>
  <c r="AE843" i="2"/>
  <c r="AM843" i="2" s="1"/>
  <c r="AE865" i="2"/>
  <c r="AM865" i="2" s="1"/>
  <c r="AE893" i="2"/>
  <c r="AM893" i="2" s="1"/>
  <c r="AE930" i="2"/>
  <c r="AM930" i="2" s="1"/>
  <c r="AE840" i="2"/>
  <c r="AM840" i="2" s="1"/>
  <c r="AE932" i="2"/>
  <c r="AM932" i="2" s="1"/>
  <c r="AE956" i="2"/>
  <c r="AM956" i="2" s="1"/>
  <c r="AE970" i="2"/>
  <c r="AM970" i="2" s="1"/>
  <c r="AC947" i="58"/>
  <c r="AK947" i="58" s="1"/>
  <c r="AC962" i="58"/>
  <c r="AK962" i="58" s="1"/>
  <c r="AC901" i="58"/>
  <c r="AK901" i="58" s="1"/>
  <c r="AC905" i="58"/>
  <c r="AK905" i="58" s="1"/>
  <c r="AC912" i="58"/>
  <c r="AK912" i="58" s="1"/>
  <c r="AC935" i="58"/>
  <c r="AK935" i="58" s="1"/>
  <c r="AC968" i="58"/>
  <c r="AK968" i="58" s="1"/>
  <c r="AC1022" i="58"/>
  <c r="AK1022" i="58" s="1"/>
  <c r="AC907" i="58"/>
  <c r="AK907" i="58" s="1"/>
  <c r="AC931" i="58"/>
  <c r="AK931" i="58" s="1"/>
  <c r="AC909" i="58"/>
  <c r="AK909" i="58" s="1"/>
  <c r="AC937" i="58"/>
  <c r="AK937" i="58" s="1"/>
  <c r="AC978" i="58"/>
  <c r="AK978" i="58" s="1"/>
  <c r="AC943" i="58"/>
  <c r="AK943" i="58" s="1"/>
  <c r="AC1026" i="58"/>
  <c r="AK1026" i="58" s="1"/>
  <c r="AC896" i="58"/>
  <c r="AK896" i="58" s="1"/>
  <c r="AC942" i="58"/>
  <c r="AK942" i="58" s="1"/>
  <c r="AC1016" i="58"/>
  <c r="AK1016" i="58" s="1"/>
  <c r="AC910" i="58"/>
  <c r="AK910" i="58" s="1"/>
  <c r="AC902" i="58"/>
  <c r="AK902" i="58" s="1"/>
  <c r="AC939" i="58"/>
  <c r="AK939" i="58" s="1"/>
  <c r="AC965" i="58"/>
  <c r="AK965" i="58" s="1"/>
  <c r="AC979" i="58"/>
  <c r="AK979" i="58" s="1"/>
  <c r="AC897" i="58"/>
  <c r="AK897" i="58" s="1"/>
  <c r="AC932" i="58"/>
  <c r="AK932" i="58" s="1"/>
  <c r="AC941" i="58"/>
  <c r="AK941" i="58" s="1"/>
  <c r="AC944" i="58"/>
  <c r="AK944" i="58" s="1"/>
  <c r="AC959" i="58"/>
  <c r="AK959" i="58" s="1"/>
  <c r="AC899" i="58"/>
  <c r="AK899" i="58" s="1"/>
  <c r="AC963" i="58"/>
  <c r="AK963" i="58" s="1"/>
  <c r="AC980" i="58"/>
  <c r="AK980" i="58" s="1"/>
  <c r="AC1012" i="58"/>
  <c r="AK1012" i="58" s="1"/>
  <c r="AC1023" i="58"/>
  <c r="AK1023" i="58" s="1"/>
  <c r="AC1028" i="58"/>
  <c r="AK1028" i="58" s="1"/>
  <c r="AC900" i="58"/>
  <c r="AK900" i="58" s="1"/>
  <c r="AC904" i="58"/>
  <c r="AK904" i="58" s="1"/>
  <c r="AC911" i="58"/>
  <c r="AK911" i="58" s="1"/>
  <c r="AC913" i="58"/>
  <c r="AK913" i="58" s="1"/>
  <c r="AC934" i="58"/>
  <c r="AK934" i="58" s="1"/>
  <c r="AC938" i="58"/>
  <c r="AK938" i="58" s="1"/>
  <c r="AC981" i="58"/>
  <c r="AK981" i="58" s="1"/>
  <c r="AC991" i="58"/>
  <c r="AK991" i="58" s="1"/>
  <c r="AC1004" i="58"/>
  <c r="AK1004" i="58" s="1"/>
  <c r="AC914" i="58"/>
  <c r="AK914" i="58" s="1"/>
  <c r="AC908" i="58"/>
  <c r="AK908" i="58" s="1"/>
  <c r="AC967" i="58"/>
  <c r="AK967" i="58" s="1"/>
  <c r="AC975" i="58"/>
  <c r="AK975" i="58" s="1"/>
  <c r="AC988" i="58"/>
  <c r="AK988" i="58" s="1"/>
  <c r="AC1024" i="58"/>
  <c r="AK1024" i="58" s="1"/>
  <c r="AC1027" i="58"/>
  <c r="AK1027" i="58" s="1"/>
  <c r="L1002" i="2" l="1"/>
  <c r="AP472" i="58"/>
  <c r="L333" i="54"/>
  <c r="AF325" i="54"/>
  <c r="AN325" i="54" s="1"/>
  <c r="AF332" i="54"/>
  <c r="AN332" i="54" s="1"/>
  <c r="L332" i="54" s="1"/>
  <c r="AF338" i="54"/>
  <c r="AN338" i="54" s="1"/>
  <c r="AF322" i="54"/>
  <c r="AN322" i="54" s="1"/>
  <c r="AF320" i="54"/>
  <c r="AN320" i="54" s="1"/>
  <c r="AC890" i="58"/>
  <c r="AK890" i="58" s="1"/>
  <c r="AC853" i="58"/>
  <c r="AK853" i="58" s="1"/>
  <c r="AC791" i="58"/>
  <c r="AK791" i="58" s="1"/>
  <c r="AC789" i="58"/>
  <c r="AK789" i="58" s="1"/>
  <c r="AC864" i="58"/>
  <c r="AK864" i="58" s="1"/>
  <c r="AC894" i="58"/>
  <c r="AK894" i="58" s="1"/>
  <c r="AC738" i="58"/>
  <c r="AK738" i="58" s="1"/>
  <c r="AC752" i="58"/>
  <c r="AK752" i="58" s="1"/>
  <c r="AC824" i="58"/>
  <c r="AK824" i="58" s="1"/>
  <c r="AC762" i="58"/>
  <c r="AK762" i="58" s="1"/>
  <c r="AC816" i="58"/>
  <c r="AK816" i="58" s="1"/>
  <c r="AC886" i="58"/>
  <c r="AK886" i="58" s="1"/>
  <c r="AC869" i="58"/>
  <c r="AK869" i="58" s="1"/>
  <c r="AC826" i="58"/>
  <c r="AK826" i="58" s="1"/>
  <c r="AC732" i="58"/>
  <c r="AK732" i="58" s="1"/>
  <c r="AC823" i="58"/>
  <c r="AK823" i="58" s="1"/>
  <c r="AC802" i="58"/>
  <c r="AK802" i="58" s="1"/>
  <c r="AC736" i="58"/>
  <c r="AK736" i="58" s="1"/>
  <c r="AC855" i="58"/>
  <c r="AK855" i="58" s="1"/>
  <c r="AC737" i="58"/>
  <c r="AK737" i="58" s="1"/>
  <c r="AC845" i="58"/>
  <c r="AK845" i="58" s="1"/>
  <c r="AC859" i="58"/>
  <c r="AK859" i="58" s="1"/>
  <c r="AC740" i="58"/>
  <c r="AK740" i="58" s="1"/>
  <c r="AC815" i="58"/>
  <c r="AK815" i="58" s="1"/>
  <c r="AC808" i="58"/>
  <c r="AK808" i="58" s="1"/>
  <c r="AC871" i="58"/>
  <c r="AK871" i="58" s="1"/>
  <c r="AC875" i="58"/>
  <c r="AK875" i="58" s="1"/>
  <c r="AC801" i="58"/>
  <c r="AK801" i="58" s="1"/>
  <c r="AC821" i="58"/>
  <c r="AK821" i="58" s="1"/>
  <c r="AC813" i="58"/>
  <c r="AK813" i="58" s="1"/>
  <c r="AC817" i="58"/>
  <c r="AK817" i="58" s="1"/>
  <c r="AC779" i="58"/>
  <c r="AK779" i="58" s="1"/>
  <c r="AC733" i="58"/>
  <c r="AK733" i="58" s="1"/>
  <c r="AC882" i="58"/>
  <c r="AK882" i="58" s="1"/>
  <c r="AC841" i="58"/>
  <c r="AK841" i="58" s="1"/>
  <c r="AC831" i="58"/>
  <c r="AK831" i="58" s="1"/>
  <c r="AC885" i="58"/>
  <c r="AK885" i="58" s="1"/>
  <c r="AC807" i="58"/>
  <c r="AK807" i="58" s="1"/>
  <c r="AC799" i="58"/>
  <c r="AK799" i="58" s="1"/>
  <c r="AC868" i="58"/>
  <c r="AK868" i="58" s="1"/>
  <c r="AC865" i="58"/>
  <c r="AK865" i="58" s="1"/>
  <c r="AC757" i="58"/>
  <c r="AK757" i="58" s="1"/>
  <c r="AC800" i="58"/>
  <c r="AK800" i="58" s="1"/>
  <c r="AC814" i="58"/>
  <c r="AK814" i="58" s="1"/>
  <c r="AC866" i="58"/>
  <c r="AK866" i="58" s="1"/>
  <c r="AC756" i="58"/>
  <c r="AK756" i="58" s="1"/>
  <c r="AC837" i="58"/>
  <c r="AK837" i="58" s="1"/>
  <c r="AC787" i="58"/>
  <c r="AK787" i="58" s="1"/>
  <c r="AC891" i="58"/>
  <c r="AK891" i="58" s="1"/>
  <c r="AC812" i="58"/>
  <c r="AK812" i="58" s="1"/>
  <c r="AC783" i="58"/>
  <c r="AK783" i="58" s="1"/>
  <c r="AC856" i="58"/>
  <c r="AK856" i="58" s="1"/>
  <c r="AC832" i="58"/>
  <c r="AK832" i="58" s="1"/>
  <c r="AC829" i="58"/>
  <c r="AK829" i="58" s="1"/>
  <c r="AC836" i="58"/>
  <c r="AK836" i="58" s="1"/>
  <c r="AC798" i="58"/>
  <c r="AK798" i="58" s="1"/>
  <c r="AC889" i="58"/>
  <c r="AK889" i="58" s="1"/>
  <c r="AC863" i="58"/>
  <c r="AK863" i="58" s="1"/>
  <c r="AC776" i="58"/>
  <c r="AK776" i="58" s="1"/>
  <c r="AC761" i="58"/>
  <c r="AK761" i="58" s="1"/>
  <c r="AC809" i="58"/>
  <c r="AK809" i="58" s="1"/>
  <c r="AC803" i="58"/>
  <c r="AK803" i="58" s="1"/>
  <c r="AC873" i="58"/>
  <c r="AK873" i="58" s="1"/>
  <c r="AC755" i="58"/>
  <c r="AK755" i="58" s="1"/>
  <c r="AC735" i="58"/>
  <c r="AK735" i="58" s="1"/>
  <c r="AC888" i="58"/>
  <c r="AK888" i="58" s="1"/>
  <c r="AC818" i="58"/>
  <c r="AK818" i="58" s="1"/>
  <c r="AC892" i="58"/>
  <c r="AK892" i="58" s="1"/>
  <c r="AC759" i="58"/>
  <c r="AK759" i="58" s="1"/>
  <c r="AC768" i="58"/>
  <c r="AK768" i="58" s="1"/>
  <c r="AC833" i="58"/>
  <c r="AK833" i="58" s="1"/>
  <c r="AC793" i="58"/>
  <c r="AK793" i="58" s="1"/>
  <c r="AC887" i="58"/>
  <c r="AK887" i="58" s="1"/>
  <c r="AC810" i="58"/>
  <c r="AK810" i="58" s="1"/>
  <c r="AC758" i="58"/>
  <c r="AK758" i="58" s="1"/>
  <c r="AC754" i="58"/>
  <c r="AK754" i="58" s="1"/>
  <c r="AC854" i="58"/>
  <c r="AK854" i="58" s="1"/>
  <c r="AC839" i="58"/>
  <c r="AK839" i="58" s="1"/>
  <c r="AC804" i="58"/>
  <c r="AK804" i="58" s="1"/>
  <c r="AC786" i="58"/>
  <c r="AK786" i="58" s="1"/>
  <c r="AC748" i="58"/>
  <c r="AK748" i="58" s="1"/>
  <c r="AC763" i="58"/>
  <c r="AK763" i="58" s="1"/>
  <c r="AC828" i="58"/>
  <c r="AK828" i="58" s="1"/>
  <c r="AC775" i="58"/>
  <c r="AK775" i="58" s="1"/>
  <c r="AC883" i="58"/>
  <c r="AK883" i="58" s="1"/>
  <c r="AC825" i="58"/>
  <c r="AK825" i="58" s="1"/>
  <c r="AC744" i="58"/>
  <c r="AK744" i="58" s="1"/>
  <c r="AC741" i="58"/>
  <c r="AK741" i="58" s="1"/>
  <c r="AC822" i="58"/>
  <c r="AK822" i="58" s="1"/>
  <c r="AC861" i="58"/>
  <c r="AK861" i="58" s="1"/>
  <c r="AC782" i="58"/>
  <c r="AK782" i="58" s="1"/>
  <c r="AC792" i="58"/>
  <c r="AK792" i="58" s="1"/>
  <c r="AC895" i="58"/>
  <c r="AK895" i="58" s="1"/>
  <c r="AC739" i="58"/>
  <c r="AK739" i="58" s="1"/>
  <c r="AC876" i="58"/>
  <c r="AK876" i="58" s="1"/>
  <c r="AC760" i="58"/>
  <c r="AK760" i="58" s="1"/>
  <c r="AC827" i="58"/>
  <c r="AK827" i="58" s="1"/>
  <c r="AC764" i="58"/>
  <c r="AK764" i="58" s="1"/>
  <c r="AC820" i="58"/>
  <c r="AK820" i="58" s="1"/>
  <c r="AC893" i="58"/>
  <c r="AK893" i="58" s="1"/>
  <c r="AC884" i="58"/>
  <c r="AK884" i="58" s="1"/>
  <c r="AC742" i="58"/>
  <c r="AK742" i="58" s="1"/>
  <c r="AF390" i="54"/>
  <c r="AN390" i="54" s="1"/>
  <c r="AF444" i="54"/>
  <c r="AN444" i="54" s="1"/>
  <c r="AF413" i="54"/>
  <c r="AN413" i="54" s="1"/>
  <c r="AF477" i="54"/>
  <c r="AN477" i="54" s="1"/>
  <c r="AF411" i="54"/>
  <c r="AN411" i="54" s="1"/>
  <c r="AF464" i="54"/>
  <c r="AN464" i="54" s="1"/>
  <c r="AF351" i="54"/>
  <c r="AN351" i="54" s="1"/>
  <c r="AF363" i="54"/>
  <c r="AN363" i="54" s="1"/>
  <c r="AF436" i="54"/>
  <c r="AN436" i="54" s="1"/>
  <c r="AF389" i="54"/>
  <c r="AN389" i="54" s="1"/>
  <c r="AF472" i="54"/>
  <c r="AN472" i="54" s="1"/>
  <c r="AF474" i="54"/>
  <c r="AN474" i="54" s="1"/>
  <c r="AF350" i="54"/>
  <c r="AN350" i="54" s="1"/>
  <c r="AF366" i="54"/>
  <c r="AN366" i="54" s="1"/>
  <c r="AF443" i="54"/>
  <c r="AN443" i="54" s="1"/>
  <c r="AF448" i="54"/>
  <c r="AN448" i="54" s="1"/>
  <c r="AF349" i="54"/>
  <c r="AN349" i="54" s="1"/>
  <c r="AF475" i="54"/>
  <c r="AN475" i="54" s="1"/>
  <c r="AF353" i="54"/>
  <c r="AN353" i="54" s="1"/>
  <c r="AF414" i="54"/>
  <c r="AN414" i="54" s="1"/>
  <c r="AF500" i="54"/>
  <c r="AN500" i="54" s="1"/>
  <c r="AF416" i="54"/>
  <c r="AN416" i="54" s="1"/>
  <c r="AF473" i="54"/>
  <c r="AN473" i="54" s="1"/>
  <c r="AF447" i="54"/>
  <c r="AN447" i="54" s="1"/>
  <c r="AF450" i="54"/>
  <c r="AN450" i="54" s="1"/>
  <c r="AF355" i="54"/>
  <c r="AN355" i="54" s="1"/>
  <c r="AF449" i="54"/>
  <c r="AN449" i="54" s="1"/>
  <c r="AF428" i="54"/>
  <c r="AN428" i="54" s="1"/>
  <c r="AF384" i="54"/>
  <c r="AN384" i="54" s="1"/>
  <c r="AF391" i="54"/>
  <c r="AN391" i="54" s="1"/>
  <c r="AF434" i="54"/>
  <c r="AN434" i="54" s="1"/>
  <c r="AF435" i="54"/>
  <c r="AN435" i="54" s="1"/>
  <c r="AF432" i="54"/>
  <c r="AN432" i="54" s="1"/>
  <c r="AF385" i="54"/>
  <c r="AN385" i="54" s="1"/>
  <c r="AF415" i="54"/>
  <c r="AN415" i="54" s="1"/>
  <c r="AF459" i="54"/>
  <c r="AN459" i="54" s="1"/>
  <c r="AF427" i="54"/>
  <c r="AN427" i="54" s="1"/>
  <c r="AF409" i="54"/>
  <c r="AN409" i="54" s="1"/>
  <c r="AF494" i="54"/>
  <c r="AC592" i="58"/>
  <c r="AK592" i="58" s="1"/>
  <c r="AC603" i="58"/>
  <c r="AK603" i="58" s="1"/>
  <c r="AC496" i="58"/>
  <c r="AK496" i="58" s="1"/>
  <c r="AC457" i="58"/>
  <c r="AK457" i="58" s="1"/>
  <c r="AC708" i="58"/>
  <c r="AK708" i="58" s="1"/>
  <c r="AC575" i="58"/>
  <c r="AK575" i="58" s="1"/>
  <c r="AC469" i="58"/>
  <c r="AK469" i="58" s="1"/>
  <c r="AC651" i="58"/>
  <c r="AK651" i="58" s="1"/>
  <c r="AC536" i="58"/>
  <c r="AK536" i="58" s="1"/>
  <c r="AC606" i="58"/>
  <c r="AK606" i="58" s="1"/>
  <c r="AC502" i="58"/>
  <c r="AK502" i="58" s="1"/>
  <c r="AC614" i="58"/>
  <c r="AK614" i="58" s="1"/>
  <c r="AC587" i="58"/>
  <c r="AK587" i="58" s="1"/>
  <c r="AC597" i="58"/>
  <c r="AK597" i="58" s="1"/>
  <c r="AC500" i="58"/>
  <c r="AK500" i="58" s="1"/>
  <c r="AC499" i="58"/>
  <c r="AK499" i="58" s="1"/>
  <c r="AC630" i="58"/>
  <c r="AK630" i="58" s="1"/>
  <c r="AC492" i="58"/>
  <c r="AK492" i="58" s="1"/>
  <c r="AC594" i="58"/>
  <c r="AK594" i="58" s="1"/>
  <c r="AC706" i="58"/>
  <c r="AK706" i="58" s="1"/>
  <c r="AC612" i="58"/>
  <c r="AK612" i="58" s="1"/>
  <c r="AC570" i="58"/>
  <c r="AK570" i="58" s="1"/>
  <c r="AC521" i="58"/>
  <c r="AK521" i="58" s="1"/>
  <c r="AC588" i="58"/>
  <c r="AK588" i="58" s="1"/>
  <c r="AC652" i="58"/>
  <c r="AK652" i="58" s="1"/>
  <c r="AC524" i="58"/>
  <c r="AK524" i="58" s="1"/>
  <c r="AC650" i="58"/>
  <c r="AK650" i="58" s="1"/>
  <c r="AC558" i="58"/>
  <c r="AK558" i="58" s="1"/>
  <c r="AC632" i="58"/>
  <c r="AK632" i="58" s="1"/>
  <c r="AC591" i="58"/>
  <c r="AK591" i="58" s="1"/>
  <c r="AC602" i="58"/>
  <c r="AK602" i="58" s="1"/>
  <c r="AC715" i="58"/>
  <c r="AK715" i="58" s="1"/>
  <c r="AC562" i="58"/>
  <c r="AK562" i="58" s="1"/>
  <c r="AC572" i="58"/>
  <c r="AK572" i="58" s="1"/>
  <c r="AC490" i="58"/>
  <c r="AK490" i="58" s="1"/>
  <c r="AC489" i="58"/>
  <c r="AK489" i="58" s="1"/>
  <c r="AC647" i="58"/>
  <c r="AK647" i="58" s="1"/>
  <c r="AC554" i="58"/>
  <c r="AK554" i="58" s="1"/>
  <c r="AC655" i="58"/>
  <c r="AK655" i="58" s="1"/>
  <c r="AC593" i="58"/>
  <c r="AK593" i="58" s="1"/>
  <c r="AC460" i="58"/>
  <c r="AK460" i="58" s="1"/>
  <c r="AC566" i="58"/>
  <c r="AK566" i="58" s="1"/>
  <c r="AC574" i="58"/>
  <c r="AK574" i="58" s="1"/>
  <c r="AC641" i="58"/>
  <c r="AK641" i="58" s="1"/>
  <c r="AC549" i="58"/>
  <c r="AK549" i="58" s="1"/>
  <c r="AC576" i="58"/>
  <c r="AK576" i="58" s="1"/>
  <c r="AC657" i="58"/>
  <c r="AK657" i="58" s="1"/>
  <c r="AC560" i="58"/>
  <c r="AK560" i="58" s="1"/>
  <c r="AC595" i="58"/>
  <c r="AK595" i="58" s="1"/>
  <c r="AC694" i="58"/>
  <c r="AK694" i="58" s="1"/>
  <c r="AC553" i="58"/>
  <c r="AK553" i="58" s="1"/>
  <c r="AC702" i="58"/>
  <c r="AK702" i="58" s="1"/>
  <c r="AC567" i="58"/>
  <c r="AK567" i="58" s="1"/>
  <c r="AC714" i="58"/>
  <c r="AK714" i="58" s="1"/>
  <c r="AC716" i="58"/>
  <c r="AK716" i="58" s="1"/>
  <c r="AC638" i="58"/>
  <c r="AK638" i="58" s="1"/>
  <c r="AC468" i="58"/>
  <c r="AK468" i="58" s="1"/>
  <c r="AC717" i="58"/>
  <c r="AK717" i="58" s="1"/>
  <c r="AC648" i="58"/>
  <c r="AK648" i="58" s="1"/>
  <c r="AC556" i="58"/>
  <c r="AK556" i="58" s="1"/>
  <c r="AC631" i="58"/>
  <c r="AK631" i="58" s="1"/>
  <c r="AC520" i="58"/>
  <c r="AK520" i="58" s="1"/>
  <c r="AC698" i="58"/>
  <c r="AK698" i="58" s="1"/>
  <c r="AC571" i="58"/>
  <c r="AK571" i="58" s="1"/>
  <c r="AC462" i="58"/>
  <c r="AK462" i="58" s="1"/>
  <c r="K462" i="58" s="1"/>
  <c r="AC643" i="58"/>
  <c r="AK643" i="58" s="1"/>
  <c r="AC538" i="58"/>
  <c r="AK538" i="58" s="1"/>
  <c r="AC586" i="58"/>
  <c r="AK586" i="58" s="1"/>
  <c r="AC644" i="58"/>
  <c r="AK644" i="58" s="1"/>
  <c r="AC646" i="58"/>
  <c r="AK646" i="58" s="1"/>
  <c r="AC529" i="58"/>
  <c r="AK529" i="58" s="1"/>
  <c r="AC565" i="58"/>
  <c r="AK565" i="58" s="1"/>
  <c r="AC636" i="58"/>
  <c r="AK636" i="58" s="1"/>
  <c r="AC464" i="58"/>
  <c r="AK464" i="58" s="1"/>
  <c r="AC710" i="58"/>
  <c r="AK710" i="58" s="1"/>
  <c r="AC555" i="58"/>
  <c r="AK555" i="58" s="1"/>
  <c r="AC639" i="58"/>
  <c r="AK639" i="58" s="1"/>
  <c r="AC548" i="58"/>
  <c r="AK548" i="58" s="1"/>
  <c r="AC713" i="58"/>
  <c r="AK713" i="58" s="1"/>
  <c r="AC605" i="58"/>
  <c r="AK605" i="58" s="1"/>
  <c r="AC509" i="58"/>
  <c r="AK509" i="58" s="1"/>
  <c r="AC669" i="58"/>
  <c r="AK669" i="58" s="1"/>
  <c r="AC559" i="58"/>
  <c r="AK559" i="58" s="1"/>
  <c r="AC578" i="58"/>
  <c r="AK578" i="58" s="1"/>
  <c r="AC633" i="58"/>
  <c r="AK633" i="58" s="1"/>
  <c r="AC531" i="58"/>
  <c r="AK531" i="58" s="1"/>
  <c r="AC712" i="58"/>
  <c r="AK712" i="58" s="1"/>
  <c r="AC561" i="58"/>
  <c r="AK561" i="58" s="1"/>
  <c r="AC634" i="58"/>
  <c r="AK634" i="58" s="1"/>
  <c r="AC635" i="58"/>
  <c r="AK635" i="58" s="1"/>
  <c r="AC540" i="58"/>
  <c r="AK540" i="58" s="1"/>
  <c r="AC557" i="58"/>
  <c r="AK557" i="58" s="1"/>
  <c r="AC699" i="58"/>
  <c r="AK699" i="58" s="1"/>
  <c r="AC628" i="58"/>
  <c r="AK628" i="58" s="1"/>
  <c r="AC494" i="58"/>
  <c r="AK494" i="58" s="1"/>
  <c r="AC547" i="58"/>
  <c r="AK547" i="58" s="1"/>
  <c r="AC629" i="58"/>
  <c r="AK629" i="58" s="1"/>
  <c r="AC532" i="58"/>
  <c r="AK532" i="58" s="1"/>
  <c r="AC465" i="58"/>
  <c r="AK465" i="58" s="1"/>
  <c r="AC495" i="58"/>
  <c r="AK495" i="58" s="1"/>
  <c r="AC481" i="58"/>
  <c r="AK481" i="58" s="1"/>
  <c r="AC696" i="58"/>
  <c r="AK696" i="58" s="1"/>
  <c r="AC665" i="58"/>
  <c r="AK665" i="58" s="1"/>
  <c r="AC598" i="58"/>
  <c r="AK598" i="58" s="1"/>
  <c r="AC501" i="58"/>
  <c r="AK501" i="58" s="1"/>
  <c r="AC654" i="58"/>
  <c r="AK654" i="58" s="1"/>
  <c r="AC550" i="58"/>
  <c r="AK550" i="58" s="1"/>
  <c r="AC610" i="58"/>
  <c r="AK610" i="58" s="1"/>
  <c r="AC523" i="58"/>
  <c r="AK523" i="58" s="1"/>
  <c r="AC703" i="58"/>
  <c r="AK703" i="58" s="1"/>
  <c r="AC604" i="58"/>
  <c r="AK604" i="58" s="1"/>
  <c r="AC627" i="58"/>
  <c r="AK627" i="58" s="1"/>
  <c r="AC519" i="58"/>
  <c r="AK519" i="58" s="1"/>
  <c r="AC546" i="58"/>
  <c r="AK546" i="58" s="1"/>
  <c r="AC649" i="58"/>
  <c r="AK649" i="58" s="1"/>
  <c r="AC527" i="58"/>
  <c r="AK527" i="58" s="1"/>
  <c r="AC491" i="58"/>
  <c r="AK491" i="58" s="1"/>
  <c r="AC569" i="58"/>
  <c r="AK569" i="58" s="1"/>
  <c r="AC530" i="58"/>
  <c r="AK530" i="58" s="1"/>
  <c r="AC697" i="58"/>
  <c r="AK697" i="58" s="1"/>
  <c r="AC642" i="58"/>
  <c r="AK642" i="58" s="1"/>
  <c r="AC600" i="58"/>
  <c r="AK600" i="58" s="1"/>
  <c r="AC676" i="58"/>
  <c r="AK676" i="58" s="1"/>
  <c r="AC661" i="58"/>
  <c r="AK661" i="58" s="1"/>
  <c r="AC585" i="58"/>
  <c r="AK585" i="58" s="1"/>
  <c r="AC711" i="58"/>
  <c r="AK711" i="58" s="1"/>
  <c r="AC589" i="58"/>
  <c r="AK589" i="58" s="1"/>
  <c r="AC479" i="58"/>
  <c r="AK479" i="58" s="1"/>
  <c r="AC653" i="58"/>
  <c r="AK653" i="58" s="1"/>
  <c r="AC542" i="58"/>
  <c r="AK542" i="58" s="1"/>
  <c r="AC608" i="58"/>
  <c r="AK608" i="58" s="1"/>
  <c r="AC511" i="58"/>
  <c r="AK511" i="58" s="1"/>
  <c r="AC700" i="58"/>
  <c r="AK700" i="58" s="1"/>
  <c r="AC596" i="58"/>
  <c r="AK596" i="58" s="1"/>
  <c r="AC599" i="58"/>
  <c r="AK599" i="58" s="1"/>
  <c r="AC508" i="58"/>
  <c r="AK508" i="58" s="1"/>
  <c r="AC470" i="58"/>
  <c r="AK470" i="58" s="1"/>
  <c r="AC640" i="58"/>
  <c r="AK640" i="58" s="1"/>
  <c r="AC506" i="58"/>
  <c r="AK506" i="58" s="1"/>
  <c r="AC601" i="58"/>
  <c r="AK601" i="58" s="1"/>
  <c r="AC473" i="58"/>
  <c r="AK473" i="58" s="1"/>
  <c r="AE542" i="2"/>
  <c r="AM542" i="2" s="1"/>
  <c r="AE727" i="2"/>
  <c r="AM727" i="2" s="1"/>
  <c r="AE943" i="2"/>
  <c r="AM943" i="2" s="1"/>
  <c r="AE792" i="2"/>
  <c r="AM792" i="2" s="1"/>
  <c r="AE965" i="2"/>
  <c r="AM965" i="2" s="1"/>
  <c r="AE736" i="2"/>
  <c r="AM736" i="2" s="1"/>
  <c r="AE945" i="2"/>
  <c r="AM945" i="2" s="1"/>
  <c r="AE886" i="2"/>
  <c r="AM886" i="2" s="1"/>
  <c r="AE960" i="2"/>
  <c r="AM960" i="2" s="1"/>
  <c r="AE590" i="2"/>
  <c r="AM590" i="2" s="1"/>
  <c r="AE777" i="2"/>
  <c r="AM777" i="2" s="1"/>
  <c r="AE797" i="2"/>
  <c r="AM797" i="2" s="1"/>
  <c r="AE799" i="2"/>
  <c r="AM799" i="2" s="1"/>
  <c r="AE811" i="2"/>
  <c r="AM811" i="2" s="1"/>
  <c r="AE900" i="2"/>
  <c r="AM900" i="2" s="1"/>
  <c r="AE719" i="2"/>
  <c r="AM719" i="2" s="1"/>
  <c r="AE810" i="2"/>
  <c r="AM810" i="2" s="1"/>
  <c r="AE765" i="2"/>
  <c r="AM765" i="2" s="1"/>
  <c r="AE863" i="2"/>
  <c r="AM863" i="2" s="1"/>
  <c r="AE573" i="2"/>
  <c r="AM573" i="2" s="1"/>
  <c r="AE894" i="2"/>
  <c r="AM894" i="2" s="1"/>
  <c r="AE895" i="2"/>
  <c r="AM895" i="2" s="1"/>
  <c r="AE546" i="2"/>
  <c r="AM546" i="2" s="1"/>
  <c r="AE753" i="2"/>
  <c r="AM753" i="2" s="1"/>
  <c r="AE568" i="2"/>
  <c r="AM568" i="2" s="1"/>
  <c r="AE789" i="2"/>
  <c r="AM789" i="2" s="1"/>
  <c r="AE556" i="2"/>
  <c r="AM556" i="2" s="1"/>
  <c r="AE770" i="2"/>
  <c r="AM770" i="2" s="1"/>
  <c r="AE544" i="2"/>
  <c r="AM544" i="2" s="1"/>
  <c r="AE801" i="2"/>
  <c r="AM801" i="2" s="1"/>
  <c r="AE717" i="2"/>
  <c r="AM717" i="2" s="1"/>
  <c r="AE940" i="2"/>
  <c r="AM940" i="2" s="1"/>
  <c r="AE846" i="2"/>
  <c r="AM846" i="2" s="1"/>
  <c r="AE902" i="2"/>
  <c r="AM902" i="2" s="1"/>
  <c r="AE790" i="2"/>
  <c r="AM790" i="2" s="1"/>
  <c r="AE572" i="2"/>
  <c r="AM572" i="2" s="1"/>
  <c r="AE798" i="2"/>
  <c r="AM798" i="2" s="1"/>
  <c r="AE892" i="2"/>
  <c r="AM892" i="2" s="1"/>
  <c r="AE739" i="2"/>
  <c r="AM739" i="2" s="1"/>
  <c r="AE812" i="2"/>
  <c r="AM812" i="2" s="1"/>
  <c r="AE806" i="2"/>
  <c r="AM806" i="2" s="1"/>
  <c r="AE787" i="2"/>
  <c r="AM787" i="2" s="1"/>
  <c r="AE809" i="2"/>
  <c r="AM809" i="2" s="1"/>
  <c r="AE788" i="2"/>
  <c r="AM788" i="2" s="1"/>
  <c r="AE775" i="2"/>
  <c r="AM775" i="2" s="1"/>
  <c r="AE767" i="2"/>
  <c r="AM767" i="2" s="1"/>
  <c r="AE649" i="2"/>
  <c r="AM649" i="2" s="1"/>
  <c r="AE800" i="2"/>
  <c r="AM800" i="2" s="1"/>
  <c r="AE656" i="2"/>
  <c r="AM656" i="2" s="1"/>
  <c r="AE903" i="2"/>
  <c r="AM903" i="2" s="1"/>
  <c r="AE804" i="2"/>
  <c r="AM804" i="2" s="1"/>
  <c r="AE946" i="2"/>
  <c r="AM946" i="2" s="1"/>
  <c r="AE616" i="2"/>
  <c r="AM616" i="2" s="1"/>
  <c r="AE966" i="2"/>
  <c r="AM966" i="2" s="1"/>
  <c r="AE640" i="2"/>
  <c r="AM640" i="2" s="1"/>
  <c r="AE887" i="2"/>
  <c r="AM887" i="2" s="1"/>
  <c r="AE807" i="2"/>
  <c r="AM807" i="2" s="1"/>
  <c r="AE898" i="2"/>
  <c r="AM898" i="2" s="1"/>
  <c r="AE876" i="2"/>
  <c r="AM876" i="2" s="1"/>
  <c r="AE967" i="2"/>
  <c r="AM967" i="2" s="1"/>
  <c r="AE741" i="2"/>
  <c r="AM741" i="2" s="1"/>
  <c r="AE732" i="2"/>
  <c r="AM732" i="2" s="1"/>
  <c r="AE861" i="2"/>
  <c r="AM861" i="2" s="1"/>
  <c r="AE999" i="2"/>
  <c r="AM999" i="2" s="1"/>
  <c r="AE842" i="2"/>
  <c r="AM842" i="2" s="1"/>
  <c r="AE635" i="2"/>
  <c r="AM635" i="2" s="1"/>
  <c r="AE769" i="2"/>
  <c r="AM769" i="2" s="1"/>
  <c r="AE734" i="2"/>
  <c r="AM734" i="2" s="1"/>
  <c r="AE637" i="2"/>
  <c r="AM637" i="2" s="1"/>
  <c r="AE897" i="2"/>
  <c r="AM897" i="2" s="1"/>
  <c r="AE802" i="2"/>
  <c r="AM802" i="2" s="1"/>
  <c r="AE942" i="2"/>
  <c r="AM942" i="2" s="1"/>
  <c r="AE751" i="2"/>
  <c r="AM751" i="2" s="1"/>
  <c r="AE615" i="2"/>
  <c r="AM615" i="2" s="1"/>
  <c r="AE760" i="2"/>
  <c r="AM760" i="2" s="1"/>
  <c r="AE761" i="2"/>
  <c r="AM761" i="2" s="1"/>
  <c r="AE805" i="2"/>
  <c r="AM805" i="2" s="1"/>
  <c r="AE841" i="2"/>
  <c r="AM841" i="2" s="1"/>
  <c r="AE723" i="2"/>
  <c r="AM723" i="2" s="1"/>
  <c r="AE607" i="2"/>
  <c r="AM607" i="2" s="1"/>
  <c r="AE766" i="2"/>
  <c r="AM766" i="2" s="1"/>
  <c r="AE543" i="2"/>
  <c r="AM543" i="2" s="1"/>
  <c r="AE968" i="2"/>
  <c r="AM968" i="2" s="1"/>
  <c r="AE773" i="2"/>
  <c r="AM773" i="2" s="1"/>
  <c r="AE571" i="2"/>
  <c r="AM571" i="2" s="1"/>
  <c r="AE964" i="2"/>
  <c r="AM964" i="2" s="1"/>
  <c r="AE653" i="2"/>
  <c r="AM653" i="2" s="1"/>
  <c r="AE785" i="2"/>
  <c r="AM785" i="2" s="1"/>
  <c r="AE771" i="2"/>
  <c r="AM771" i="2" s="1"/>
  <c r="AE603" i="2"/>
  <c r="AM603" i="2" s="1"/>
  <c r="AE910" i="2"/>
  <c r="AM910" i="2" s="1"/>
  <c r="AE768" i="2"/>
  <c r="AM768" i="2" s="1"/>
  <c r="AE822" i="2"/>
  <c r="AM822" i="2" s="1"/>
  <c r="AE904" i="2"/>
  <c r="AM904" i="2" s="1"/>
  <c r="AE776" i="2"/>
  <c r="AM776" i="2" s="1"/>
  <c r="AE888" i="2"/>
  <c r="AM888" i="2" s="1"/>
  <c r="AE537" i="2"/>
  <c r="AM537" i="2" s="1"/>
  <c r="AE1001" i="2"/>
  <c r="AM1001" i="2" s="1"/>
  <c r="AE759" i="2"/>
  <c r="AM759" i="2" s="1"/>
  <c r="AE935" i="2"/>
  <c r="AM935" i="2" s="1"/>
  <c r="AE762" i="2"/>
  <c r="AM762" i="2" s="1"/>
  <c r="AE941" i="2"/>
  <c r="AM941" i="2" s="1"/>
  <c r="AE778" i="2"/>
  <c r="AM778" i="2" s="1"/>
  <c r="AE587" i="2"/>
  <c r="AM587" i="2" s="1"/>
  <c r="AE808" i="2"/>
  <c r="AM808" i="2" s="1"/>
  <c r="AE1003" i="2"/>
  <c r="AM1003" i="2" s="1"/>
  <c r="AE890" i="2"/>
  <c r="AM890" i="2" s="1"/>
  <c r="AE901" i="2"/>
  <c r="AM901" i="2" s="1"/>
  <c r="AE725" i="2"/>
  <c r="AM725" i="2" s="1"/>
  <c r="AE737" i="2"/>
  <c r="AM737" i="2" s="1"/>
  <c r="AE605" i="2"/>
  <c r="AM605" i="2" s="1"/>
  <c r="AE530" i="2"/>
  <c r="AM530" i="2" s="1"/>
  <c r="AE879" i="2"/>
  <c r="AM879" i="2" s="1"/>
  <c r="AE961" i="2"/>
  <c r="AM961" i="2" s="1"/>
  <c r="AE786" i="2"/>
  <c r="AM786" i="2" s="1"/>
  <c r="AE536" i="2"/>
  <c r="AM536" i="2" s="1"/>
  <c r="AE646" i="2"/>
  <c r="AM646" i="2" s="1"/>
  <c r="AE774" i="2"/>
  <c r="AM774" i="2" s="1"/>
  <c r="AE613" i="2"/>
  <c r="AM613" i="2" s="1"/>
  <c r="AE604" i="2"/>
  <c r="AM604" i="2" s="1"/>
  <c r="AE576" i="2"/>
  <c r="AM576" i="2" s="1"/>
  <c r="AE905" i="2"/>
  <c r="AM905" i="2" s="1"/>
  <c r="AE784" i="2"/>
  <c r="AM784" i="2" s="1"/>
  <c r="AE1004" i="2"/>
  <c r="AM1004" i="2" s="1"/>
  <c r="AE553" i="2"/>
  <c r="AC1025" i="58"/>
  <c r="AK1025" i="58" s="1"/>
  <c r="AC972" i="58"/>
  <c r="AK972" i="58" s="1"/>
  <c r="AC971" i="58"/>
  <c r="AK971" i="58" s="1"/>
  <c r="AC977" i="58"/>
  <c r="AK977" i="58" s="1"/>
  <c r="AC969" i="58"/>
  <c r="AK969" i="58" s="1"/>
  <c r="AC1006" i="58"/>
  <c r="AK1006" i="58" s="1"/>
  <c r="AC964" i="58"/>
  <c r="AK964" i="58" s="1"/>
  <c r="AC961" i="58"/>
  <c r="AK961" i="58" s="1"/>
  <c r="AC936" i="58"/>
  <c r="AK936" i="58" s="1"/>
  <c r="AC933" i="58"/>
  <c r="AK933" i="58" s="1"/>
  <c r="AC992" i="58"/>
  <c r="AK992" i="58" s="1"/>
  <c r="AF335" i="54"/>
  <c r="AN335" i="54" s="1"/>
  <c r="AE742" i="2"/>
  <c r="AM742" i="2" s="1"/>
  <c r="AE636" i="2"/>
  <c r="AM636" i="2" s="1"/>
  <c r="AE589" i="2"/>
  <c r="AM589" i="2" s="1"/>
  <c r="AE704" i="2"/>
  <c r="AM704" i="2" s="1"/>
  <c r="AE866" i="2"/>
  <c r="AM866" i="2" s="1"/>
  <c r="AE618" i="2"/>
  <c r="AM618" i="2" s="1"/>
  <c r="AE852" i="2"/>
  <c r="AM852" i="2" s="1"/>
  <c r="AC1019" i="58"/>
  <c r="AK1019" i="58" s="1"/>
  <c r="AM553" i="2" l="1"/>
  <c r="L553" i="2" s="1"/>
  <c r="AO815" i="58"/>
  <c r="AS888" i="2"/>
  <c r="L888" i="2" s="1"/>
  <c r="L232" i="60"/>
  <c r="AQ567" i="2"/>
  <c r="K777" i="58"/>
  <c r="AQ729" i="2"/>
  <c r="AP462" i="58"/>
  <c r="AR878" i="2"/>
  <c r="AP473" i="58"/>
  <c r="AP582" i="58"/>
  <c r="AP481" i="58"/>
  <c r="AP527" i="58"/>
  <c r="AP489" i="58"/>
  <c r="AP465" i="58"/>
  <c r="AP464" i="58"/>
  <c r="AP470" i="58"/>
  <c r="AP519" i="58"/>
  <c r="AP468" i="58"/>
  <c r="AP460" i="58"/>
  <c r="AP479" i="58"/>
  <c r="AP469" i="58"/>
  <c r="AR326" i="54"/>
  <c r="AF337" i="54"/>
  <c r="AN337" i="54" s="1"/>
  <c r="AF326" i="54"/>
  <c r="AN326" i="54" s="1"/>
  <c r="AU568" i="2"/>
  <c r="AF339" i="54"/>
  <c r="AN339" i="54" s="1"/>
  <c r="AC488" i="58"/>
  <c r="AK488" i="58" s="1"/>
  <c r="AF340" i="54"/>
  <c r="AN340" i="54" s="1"/>
  <c r="AF331" i="54"/>
  <c r="AN331" i="54" s="1"/>
  <c r="L331" i="54" s="1"/>
  <c r="AF321" i="54"/>
  <c r="AN321" i="54" s="1"/>
  <c r="AU573" i="2"/>
  <c r="AC770" i="58"/>
  <c r="AK770" i="58" s="1"/>
  <c r="AC753" i="58"/>
  <c r="AK753" i="58" s="1"/>
  <c r="AC766" i="58"/>
  <c r="AK766" i="58" s="1"/>
  <c r="AF419" i="54"/>
  <c r="AN419" i="54" s="1"/>
  <c r="AC705" i="58"/>
  <c r="AK705" i="58" s="1"/>
  <c r="AC701" i="58"/>
  <c r="AK701" i="58" s="1"/>
  <c r="AC671" i="58"/>
  <c r="AK671" i="58" s="1"/>
  <c r="AC510" i="58"/>
  <c r="AK510" i="58" s="1"/>
  <c r="AC568" i="58"/>
  <c r="AK568" i="58" s="1"/>
  <c r="AC466" i="58"/>
  <c r="AK466" i="58" s="1"/>
  <c r="AC704" i="58"/>
  <c r="AK704" i="58" s="1"/>
  <c r="AC482" i="58"/>
  <c r="AK482" i="58" s="1"/>
  <c r="AC695" i="58"/>
  <c r="AK695" i="58" s="1"/>
  <c r="AC662" i="58"/>
  <c r="AK662" i="58" s="1"/>
  <c r="AC659" i="58"/>
  <c r="AK659" i="58" s="1"/>
  <c r="AC613" i="58"/>
  <c r="AK613" i="58" s="1"/>
  <c r="AC478" i="58"/>
  <c r="AK478" i="58" s="1"/>
  <c r="AC709" i="58"/>
  <c r="AK709" i="58" s="1"/>
  <c r="AC539" i="58"/>
  <c r="AK539" i="58" s="1"/>
  <c r="AC480" i="58"/>
  <c r="AK480" i="58" s="1"/>
  <c r="AE541" i="2"/>
  <c r="AM541" i="2" s="1"/>
  <c r="AE540" i="2"/>
  <c r="AM540" i="2" s="1"/>
  <c r="AE548" i="2"/>
  <c r="AM548" i="2" s="1"/>
  <c r="AE878" i="2"/>
  <c r="AM878" i="2" s="1"/>
  <c r="AE733" i="2"/>
  <c r="AM733" i="2" s="1"/>
  <c r="AE648" i="2"/>
  <c r="AM648" i="2" s="1"/>
  <c r="AE655" i="2"/>
  <c r="AM655" i="2" s="1"/>
  <c r="AE730" i="2"/>
  <c r="AM730" i="2" s="1"/>
  <c r="AE721" i="2"/>
  <c r="AM721" i="2" s="1"/>
  <c r="AE593" i="2"/>
  <c r="AM593" i="2" s="1"/>
  <c r="AP478" i="58" l="1"/>
  <c r="AP480" i="58"/>
  <c r="AP482" i="58"/>
  <c r="AP466" i="58"/>
  <c r="AP488" i="58"/>
  <c r="AF368" i="54"/>
  <c r="AN368" i="54" s="1"/>
  <c r="AF481" i="54"/>
  <c r="AN481" i="54" s="1"/>
  <c r="AC719" i="58"/>
  <c r="AK719" i="58" s="1"/>
  <c r="AF430" i="54"/>
  <c r="AN430" i="54" s="1"/>
  <c r="AE962" i="2"/>
  <c r="AM962" i="2" s="1"/>
  <c r="AE748" i="2"/>
  <c r="AM748" i="2" s="1"/>
  <c r="AE992" i="2"/>
  <c r="AM992" i="2" s="1"/>
  <c r="AE534" i="2"/>
  <c r="AM534" i="2" s="1"/>
  <c r="L534" i="2" s="1"/>
  <c r="AE917" i="2"/>
  <c r="AM917" i="2" s="1"/>
  <c r="AE882" i="2"/>
  <c r="AM882" i="2" s="1"/>
  <c r="AE570" i="2"/>
  <c r="AM570" i="2" s="1"/>
  <c r="AE585" i="2"/>
  <c r="AM585" i="2" s="1"/>
  <c r="AE977" i="2"/>
  <c r="AM977" i="2" s="1"/>
  <c r="AE749" i="2"/>
  <c r="AM749" i="2" s="1"/>
  <c r="AC997" i="58"/>
  <c r="AK997" i="58" s="1"/>
  <c r="L992" i="2" l="1"/>
  <c r="AC475" i="58"/>
  <c r="AK475" i="58" s="1"/>
  <c r="K475" i="58" s="1"/>
  <c r="AF491" i="54"/>
  <c r="AF502" i="54"/>
  <c r="AN502" i="54" s="1"/>
  <c r="AF429" i="54"/>
  <c r="AN429" i="54" s="1"/>
  <c r="AF482" i="54"/>
  <c r="AN482" i="54" s="1"/>
  <c r="AF383" i="54"/>
  <c r="AN383" i="54" s="1"/>
  <c r="AC580" i="58"/>
  <c r="AK580" i="58" s="1"/>
  <c r="AC544" i="58"/>
  <c r="AK544" i="58" s="1"/>
  <c r="AE659" i="2"/>
  <c r="AM659" i="2" s="1"/>
  <c r="AE746" i="2"/>
  <c r="AM746" i="2" s="1"/>
  <c r="AE595" i="2"/>
  <c r="AM595" i="2" s="1"/>
  <c r="AE755" i="2"/>
  <c r="AM755" i="2" s="1"/>
  <c r="AE752" i="2"/>
  <c r="AM752" i="2" s="1"/>
  <c r="AF496" i="54" l="1"/>
  <c r="AF387" i="54"/>
  <c r="AN387" i="54" s="1"/>
  <c r="AF445" i="54"/>
  <c r="AN445" i="54" s="1"/>
  <c r="AP475" i="58" l="1"/>
  <c r="AF397" i="54"/>
  <c r="AN397" i="54" s="1"/>
  <c r="AF357" i="54"/>
  <c r="AN357" i="54" s="1"/>
  <c r="AC517" i="58"/>
  <c r="AK517" i="58" s="1"/>
  <c r="AE985" i="2"/>
  <c r="AM985" i="2" s="1"/>
  <c r="AE984" i="2"/>
  <c r="AM984" i="2" s="1"/>
  <c r="AE711" i="2"/>
  <c r="AM711" i="2" s="1"/>
  <c r="AE856" i="2" l="1"/>
  <c r="AM856" i="2" s="1"/>
  <c r="AE855" i="2"/>
  <c r="AM855" i="2" s="1"/>
  <c r="AE630" i="2"/>
  <c r="AM630" i="2" s="1"/>
  <c r="AE629" i="2"/>
  <c r="AM629" i="2" s="1"/>
  <c r="AE632" i="2"/>
  <c r="AM632" i="2" s="1"/>
  <c r="AF399" i="54" l="1"/>
  <c r="AN399" i="54" s="1"/>
  <c r="AF402" i="54"/>
  <c r="AN402" i="54" s="1"/>
  <c r="AC581" i="58"/>
  <c r="AK581" i="58" s="1"/>
  <c r="AE871" i="2"/>
  <c r="AM871" i="2" s="1"/>
  <c r="AF354" i="54" l="1"/>
  <c r="AN354" i="54" s="1"/>
  <c r="AF370" i="54" l="1"/>
  <c r="AN370" i="54" s="1"/>
  <c r="AE913" i="2" l="1"/>
  <c r="AM913" i="2" s="1"/>
  <c r="AC840" i="58" l="1"/>
  <c r="AK840" i="58" s="1"/>
  <c r="AF463" i="54" l="1"/>
  <c r="AN463" i="54" s="1"/>
  <c r="AC842" i="58" l="1"/>
  <c r="AK842" i="58" s="1"/>
  <c r="AF462" i="54" l="1"/>
  <c r="AN462" i="54" s="1"/>
  <c r="AF484" i="54" l="1"/>
  <c r="AN484" i="54" s="1"/>
  <c r="AE919" i="2"/>
  <c r="AM919" i="2" s="1"/>
  <c r="AE914" i="2"/>
  <c r="AM914" i="2" s="1"/>
  <c r="AF488" i="54" l="1"/>
  <c r="AN488" i="54" s="1"/>
  <c r="AE987" i="2"/>
  <c r="AM987" i="2" s="1"/>
  <c r="AE995" i="2" l="1"/>
  <c r="AM995" i="2" s="1"/>
  <c r="AE996" i="2" l="1"/>
  <c r="AM996" i="2" s="1"/>
  <c r="AF342" i="54" l="1"/>
  <c r="AN342" i="54" s="1"/>
  <c r="AC777" i="58" l="1"/>
  <c r="AK777" i="58" s="1"/>
  <c r="AR777" i="58" l="1"/>
  <c r="AC780" i="58"/>
  <c r="AK780" i="58" s="1"/>
  <c r="AC999" i="58"/>
  <c r="AK999" i="58" s="1"/>
  <c r="AC1002" i="58" l="1"/>
  <c r="AK1002" i="58" s="1"/>
  <c r="AC476" i="58" l="1"/>
  <c r="AK476" i="58" s="1"/>
  <c r="AP476" i="58" l="1"/>
  <c r="AC723" i="58"/>
  <c r="AK723" i="58" s="1"/>
  <c r="AC725" i="58" l="1"/>
  <c r="AK725" i="58" s="1"/>
  <c r="AC727" i="58" l="1"/>
  <c r="AK727" i="58" s="1"/>
  <c r="AC622" i="58" l="1"/>
  <c r="AK622" i="58" s="1"/>
  <c r="AC623" i="58" l="1"/>
  <c r="AK623" i="58" s="1"/>
  <c r="AE1000" i="2" l="1"/>
  <c r="AM1000" i="2" s="1"/>
  <c r="Z336" i="93" l="1"/>
  <c r="Z339" i="93" l="1"/>
  <c r="Z345" i="93" l="1"/>
  <c r="AH345" i="93" s="1"/>
  <c r="Z175" i="93" l="1"/>
  <c r="AH175" i="93" s="1"/>
  <c r="Z176" i="93" l="1"/>
  <c r="AH176" i="93" s="1"/>
  <c r="AE706" i="2" l="1"/>
  <c r="AM706" i="2" s="1"/>
  <c r="AE708" i="2" l="1"/>
  <c r="AM708" i="2" s="1"/>
  <c r="AE712" i="2" l="1"/>
  <c r="AM712" i="2" s="1"/>
  <c r="I70" i="67" l="1"/>
  <c r="J70" i="67" s="1"/>
  <c r="J73" i="67" s="1"/>
  <c r="J76" i="67" s="1"/>
  <c r="G73" i="67"/>
  <c r="I73" i="67" l="1"/>
  <c r="I76" i="67" s="1"/>
  <c r="E147" i="55" l="1"/>
  <c r="F268" i="54" s="1"/>
  <c r="J268" i="54" s="1"/>
  <c r="F211" i="54"/>
  <c r="J211" i="54" s="1"/>
  <c r="O166" i="66" l="1"/>
  <c r="L268" i="54"/>
  <c r="F492" i="54"/>
  <c r="J492" i="54" s="1"/>
  <c r="F239" i="54"/>
  <c r="L211" i="54"/>
  <c r="D18" i="69"/>
  <c r="J214" i="54"/>
  <c r="F214" i="54"/>
  <c r="K211" i="54"/>
  <c r="F147" i="55"/>
  <c r="K268" i="54" s="1"/>
  <c r="N268" i="54" l="1"/>
  <c r="K276" i="54"/>
  <c r="D148" i="57" s="1"/>
  <c r="F241" i="54"/>
  <c r="J239" i="54"/>
  <c r="K492" i="54"/>
  <c r="K239" i="54"/>
  <c r="N211" i="54"/>
  <c r="E21" i="25"/>
  <c r="K214" i="54"/>
  <c r="C18" i="69"/>
  <c r="D149" i="57" l="1"/>
  <c r="H149" i="57" s="1"/>
  <c r="D159" i="57"/>
  <c r="H159" i="57" s="1"/>
  <c r="AN492" i="54"/>
  <c r="L239" i="54"/>
  <c r="J241" i="54"/>
  <c r="D27" i="69" s="1"/>
  <c r="O150" i="66"/>
  <c r="N492" i="54"/>
  <c r="N239" i="54"/>
  <c r="K241" i="54"/>
  <c r="J21" i="25"/>
  <c r="E22" i="25"/>
  <c r="E32" i="25" l="1"/>
  <c r="C27" i="69"/>
  <c r="J22" i="25"/>
  <c r="N21" i="25"/>
  <c r="Q21" i="25" s="1"/>
  <c r="Q22" i="25" l="1"/>
  <c r="N22" i="25"/>
  <c r="I12" i="36"/>
  <c r="E12" i="36" l="1"/>
  <c r="C42" i="36" s="1"/>
  <c r="P22" i="25"/>
  <c r="J12" i="36" l="1"/>
  <c r="L260" i="54"/>
  <c r="F494" i="54" l="1"/>
  <c r="K160" i="54"/>
  <c r="L160" i="54" l="1"/>
  <c r="K163" i="54"/>
  <c r="K494" i="54"/>
  <c r="J494" i="54"/>
  <c r="D158" i="57" l="1"/>
  <c r="H158" i="57" s="1"/>
  <c r="E11" i="25"/>
  <c r="C8" i="69"/>
  <c r="C12" i="69" s="1"/>
  <c r="C23" i="69" s="1"/>
  <c r="K195" i="54"/>
  <c r="K216" i="54" s="1"/>
  <c r="K258" i="54"/>
  <c r="K288" i="54"/>
  <c r="AN494" i="54"/>
  <c r="N494" i="54"/>
  <c r="L287" i="54" l="1"/>
  <c r="E198" i="78"/>
  <c r="N288" i="54"/>
  <c r="K292" i="54"/>
  <c r="E35" i="25"/>
  <c r="J35" i="25" s="1"/>
  <c r="N35" i="25" s="1"/>
  <c r="J11" i="25"/>
  <c r="E15" i="25"/>
  <c r="E28" i="25" s="1"/>
  <c r="F258" i="54"/>
  <c r="C29" i="69" l="1"/>
  <c r="L292" i="54"/>
  <c r="N11" i="25"/>
  <c r="J15" i="25"/>
  <c r="J28" i="25" s="1"/>
  <c r="P35" i="25"/>
  <c r="I17" i="36"/>
  <c r="Q35" i="25"/>
  <c r="J258" i="54"/>
  <c r="E17" i="36" l="1"/>
  <c r="J17" i="36" s="1"/>
  <c r="N15" i="25"/>
  <c r="N28" i="25" s="1"/>
  <c r="Q11" i="25"/>
  <c r="Q15" i="25" s="1"/>
  <c r="Q28" i="25" s="1"/>
  <c r="I7" i="36"/>
  <c r="L258" i="54"/>
  <c r="N258" i="54"/>
  <c r="C46" i="36" l="1"/>
  <c r="E7" i="36"/>
  <c r="J7" i="36" s="1"/>
  <c r="P85" i="25"/>
  <c r="P28" i="25"/>
  <c r="P15" i="25"/>
  <c r="C38" i="36" l="1"/>
  <c r="H14" i="55"/>
  <c r="H8" i="55" l="1"/>
  <c r="E7" i="55"/>
  <c r="F160" i="54"/>
  <c r="J160" i="54" l="1"/>
  <c r="F163" i="54"/>
  <c r="F195" i="54" s="1"/>
  <c r="F216" i="54" s="1"/>
  <c r="H7" i="55"/>
  <c r="F274" i="54"/>
  <c r="F276" i="54" l="1"/>
  <c r="J274" i="54"/>
  <c r="N160" i="54"/>
  <c r="J163" i="54"/>
  <c r="J195" i="54" l="1"/>
  <c r="J216" i="54" s="1"/>
  <c r="D8" i="69"/>
  <c r="D12" i="69" s="1"/>
  <c r="D23" i="69" s="1"/>
  <c r="J276" i="54"/>
  <c r="N274" i="54"/>
  <c r="F298" i="93" l="1"/>
  <c r="F300" i="93" s="1"/>
  <c r="F238" i="93"/>
  <c r="H8" i="94"/>
  <c r="L11" i="94"/>
  <c r="H10" i="94"/>
  <c r="L12" i="94" l="1"/>
  <c r="H12" i="94"/>
  <c r="L10" i="94"/>
  <c r="F202" i="93"/>
  <c r="J202" i="93" s="1"/>
  <c r="L13" i="94"/>
  <c r="F192" i="93"/>
  <c r="H11" i="94"/>
  <c r="L14" i="94"/>
  <c r="E3" i="94"/>
  <c r="J238" i="93"/>
  <c r="F240" i="93"/>
  <c r="F243" i="93" s="1"/>
  <c r="H9" i="94"/>
  <c r="J298" i="93"/>
  <c r="D21" i="101"/>
  <c r="F258" i="93"/>
  <c r="N202" i="93" l="1"/>
  <c r="N238" i="93"/>
  <c r="J240" i="93"/>
  <c r="J192" i="93"/>
  <c r="F204" i="93"/>
  <c r="F263" i="93"/>
  <c r="F332" i="93" s="1"/>
  <c r="J258" i="93"/>
  <c r="N298" i="93"/>
  <c r="J300" i="93"/>
  <c r="C57" i="95" s="1"/>
  <c r="J359" i="93" s="1"/>
  <c r="M359" i="93" s="1"/>
  <c r="J243" i="93" l="1"/>
  <c r="C58" i="95" s="1"/>
  <c r="J360" i="93" s="1"/>
  <c r="M360" i="93" s="1"/>
  <c r="N240" i="93"/>
  <c r="J204" i="93"/>
  <c r="C53" i="95" s="1"/>
  <c r="J357" i="93" s="1"/>
  <c r="M357" i="93" s="1"/>
  <c r="N192" i="93"/>
  <c r="N258" i="93"/>
  <c r="J263" i="93"/>
  <c r="C56" i="95" l="1"/>
  <c r="J358" i="93" s="1"/>
  <c r="J332" i="93"/>
  <c r="M358" i="93" l="1"/>
  <c r="M368" i="93" s="1"/>
  <c r="M369" i="93" s="1"/>
  <c r="M370" i="93" s="1"/>
  <c r="J368" i="93"/>
  <c r="J369" i="93" s="1"/>
  <c r="J370" i="93" s="1"/>
  <c r="E40" i="94" s="1"/>
  <c r="E39" i="94" l="1"/>
  <c r="H40" i="94"/>
  <c r="F175" i="93"/>
  <c r="H39" i="94" l="1"/>
  <c r="F155" i="93"/>
  <c r="F176" i="93"/>
  <c r="J175" i="93"/>
  <c r="F157" i="93" l="1"/>
  <c r="J155" i="93"/>
  <c r="J176" i="93"/>
  <c r="C52" i="95" s="1"/>
  <c r="N175" i="93"/>
  <c r="J355" i="93" l="1"/>
  <c r="C54" i="95"/>
  <c r="C60" i="95" s="1"/>
  <c r="C63" i="95" s="1"/>
  <c r="J157" i="93"/>
  <c r="N155" i="93"/>
  <c r="D5" i="99" l="1"/>
  <c r="D10" i="99" s="1"/>
  <c r="D14" i="99" s="1"/>
  <c r="D16" i="99" s="1"/>
  <c r="D18" i="99" s="1"/>
  <c r="D20" i="99" s="1"/>
  <c r="D21" i="99" s="1"/>
  <c r="D22" i="99" s="1"/>
  <c r="C30" i="95"/>
  <c r="J69" i="99"/>
  <c r="J363" i="93"/>
  <c r="J364" i="93" s="1"/>
  <c r="M355" i="93"/>
  <c r="M363" i="93" s="1"/>
  <c r="M364" i="93" s="1"/>
  <c r="E69" i="99" l="1"/>
  <c r="D87" i="99" s="1"/>
  <c r="D23" i="99"/>
  <c r="D25" i="99" s="1"/>
  <c r="E42" i="94" s="1"/>
  <c r="E43" i="94" l="1"/>
  <c r="F42" i="94"/>
  <c r="F43" i="94" s="1"/>
  <c r="K69" i="99"/>
  <c r="F125" i="93"/>
  <c r="F128" i="93" s="1"/>
  <c r="F153" i="93" s="1"/>
  <c r="F168" i="93" s="1"/>
  <c r="F336" i="93"/>
  <c r="J125" i="93" l="1"/>
  <c r="J70" i="99" s="1"/>
  <c r="F339" i="93"/>
  <c r="F352" i="93" s="1"/>
  <c r="F350" i="93" s="1"/>
  <c r="J336" i="93"/>
  <c r="H42" i="94"/>
  <c r="K336" i="93"/>
  <c r="F157" i="57" s="1"/>
  <c r="F163" i="57" l="1"/>
  <c r="J339" i="93"/>
  <c r="J352" i="93" s="1"/>
  <c r="J128" i="93"/>
  <c r="C28" i="95" s="1"/>
  <c r="C31" i="95" s="1"/>
  <c r="F1" i="93"/>
  <c r="F351" i="93"/>
  <c r="K339" i="93"/>
  <c r="AH336" i="93"/>
  <c r="N336" i="93"/>
  <c r="K125" i="93"/>
  <c r="H43" i="94"/>
  <c r="C65" i="95"/>
  <c r="C67" i="95" s="1"/>
  <c r="C44" i="95" s="1"/>
  <c r="E70" i="99"/>
  <c r="K70" i="99" s="1"/>
  <c r="J153" i="93" l="1"/>
  <c r="J168" i="93" s="1"/>
  <c r="J350" i="93" s="1"/>
  <c r="J351" i="93" s="1"/>
  <c r="J73" i="99"/>
  <c r="C45" i="95"/>
  <c r="C47" i="95" s="1"/>
  <c r="C48" i="95" s="1"/>
  <c r="N125" i="93"/>
  <c r="K128" i="93"/>
  <c r="F150" i="57" s="1"/>
  <c r="F152" i="57" s="1"/>
  <c r="AH339" i="93"/>
  <c r="K352" i="93"/>
  <c r="D65" i="95"/>
  <c r="J1" i="93" l="1"/>
  <c r="D28" i="95"/>
  <c r="K153" i="93"/>
  <c r="K168" i="93" s="1"/>
  <c r="K350" i="93" s="1"/>
  <c r="D67" i="95"/>
  <c r="D44" i="95" s="1"/>
  <c r="G76" i="25"/>
  <c r="J74" i="99"/>
  <c r="E73" i="99"/>
  <c r="D78" i="99" s="1"/>
  <c r="D91" i="99" s="1"/>
  <c r="D96" i="99" s="1"/>
  <c r="D102" i="99" s="1"/>
  <c r="D105" i="99" s="1"/>
  <c r="K73" i="99" l="1"/>
  <c r="K1" i="93"/>
  <c r="K351" i="93"/>
  <c r="G52" i="25"/>
  <c r="D45" i="95"/>
  <c r="D31" i="95"/>
  <c r="G33" i="25"/>
  <c r="G77" i="25"/>
  <c r="D47" i="95" l="1"/>
  <c r="D48" i="95" s="1"/>
  <c r="G53" i="25"/>
  <c r="G86" i="25"/>
  <c r="G37" i="25"/>
  <c r="G84" i="25"/>
  <c r="G85" i="25" s="1"/>
  <c r="G78" i="25"/>
  <c r="G87" i="25" l="1"/>
  <c r="G55" i="25"/>
  <c r="G56" i="25" s="1"/>
  <c r="O64" i="66" l="1"/>
  <c r="O69" i="66" s="1"/>
  <c r="L157" i="66" l="1"/>
  <c r="M157" i="66" l="1"/>
  <c r="M165" i="66" s="1"/>
  <c r="N157" i="66"/>
  <c r="N165" i="66" s="1"/>
  <c r="L160" i="66" l="1"/>
  <c r="L165" i="66" s="1"/>
  <c r="F168" i="60"/>
  <c r="F179" i="60" s="1"/>
  <c r="J168" i="60" l="1"/>
  <c r="N168" i="60" l="1"/>
  <c r="J179" i="60"/>
  <c r="M10" i="61" l="1"/>
  <c r="M12" i="61" s="1"/>
  <c r="D52" i="68"/>
  <c r="J288" i="60"/>
  <c r="E52" i="68" l="1"/>
  <c r="D54" i="68"/>
  <c r="D60" i="68" s="1"/>
  <c r="D63" i="68" s="1"/>
  <c r="C6" i="92" l="1"/>
  <c r="C19" i="92" s="1"/>
  <c r="C23" i="92" s="1"/>
  <c r="C26" i="92" s="1"/>
  <c r="C27" i="92" s="1"/>
  <c r="E20" i="61" s="1"/>
  <c r="E18" i="61" s="1"/>
  <c r="F102" i="60" l="1"/>
  <c r="F20" i="61" l="1"/>
  <c r="F104" i="60"/>
  <c r="F135" i="60" s="1"/>
  <c r="F150" i="60" s="1"/>
  <c r="J102" i="60"/>
  <c r="J104" i="60" s="1"/>
  <c r="E2" i="61"/>
  <c r="F268" i="60"/>
  <c r="F2" i="61" l="1"/>
  <c r="K268" i="60"/>
  <c r="H18" i="61"/>
  <c r="D28" i="68"/>
  <c r="J135" i="60"/>
  <c r="J150" i="60" s="1"/>
  <c r="F271" i="60"/>
  <c r="F285" i="60" s="1"/>
  <c r="F281" i="60" s="1"/>
  <c r="J268" i="60"/>
  <c r="J271" i="60" s="1"/>
  <c r="J294" i="60" s="1"/>
  <c r="D31" i="68" l="1"/>
  <c r="F282" i="60"/>
  <c r="F1" i="60"/>
  <c r="K271" i="60"/>
  <c r="N268" i="60"/>
  <c r="AB268" i="60"/>
  <c r="D65" i="68"/>
  <c r="J285" i="60"/>
  <c r="K102" i="60"/>
  <c r="H20" i="61"/>
  <c r="K294" i="60" l="1"/>
  <c r="F76" i="25"/>
  <c r="C65" i="68"/>
  <c r="C67" i="68" s="1"/>
  <c r="C44" i="68" s="1"/>
  <c r="C45" i="68" s="1"/>
  <c r="K285" i="60"/>
  <c r="AB271" i="60"/>
  <c r="N102" i="60"/>
  <c r="K104" i="60"/>
  <c r="E150" i="57" s="1"/>
  <c r="J299" i="60"/>
  <c r="J281" i="60"/>
  <c r="J1" i="60" s="1"/>
  <c r="J300" i="60"/>
  <c r="J297" i="60"/>
  <c r="D67" i="68"/>
  <c r="D44" i="68" s="1"/>
  <c r="E152" i="57" l="1"/>
  <c r="E65" i="68"/>
  <c r="I299" i="60"/>
  <c r="J304" i="60"/>
  <c r="K299" i="60"/>
  <c r="F77" i="25"/>
  <c r="F33" i="25"/>
  <c r="K135" i="60"/>
  <c r="K150" i="60" s="1"/>
  <c r="K281" i="60" s="1"/>
  <c r="K1" i="60" s="1"/>
  <c r="C28" i="68"/>
  <c r="E44" i="68"/>
  <c r="D45" i="68"/>
  <c r="D47" i="68" s="1"/>
  <c r="D48" i="68" s="1"/>
  <c r="K300" i="60"/>
  <c r="K297" i="60"/>
  <c r="F37" i="25" l="1"/>
  <c r="F52" i="25"/>
  <c r="F78" i="25" s="1"/>
  <c r="F84" i="25"/>
  <c r="F85" i="25" s="1"/>
  <c r="K304" i="60"/>
  <c r="L299" i="60"/>
  <c r="M13" i="61"/>
  <c r="I304" i="60"/>
  <c r="C31" i="68"/>
  <c r="C47" i="68" s="1"/>
  <c r="C48" i="68" s="1"/>
  <c r="E28" i="68"/>
  <c r="N13" i="61" l="1"/>
  <c r="N14" i="61" s="1"/>
  <c r="M304" i="60"/>
  <c r="F86" i="25"/>
  <c r="F87" i="25" s="1"/>
  <c r="F53" i="25"/>
  <c r="F55" i="25" s="1"/>
  <c r="F56" i="25" s="1"/>
  <c r="M16" i="61"/>
  <c r="M14" i="61"/>
  <c r="F1000" i="2" l="1"/>
  <c r="J1000" i="2" s="1"/>
  <c r="F471" i="2"/>
  <c r="J471" i="2" s="1"/>
  <c r="F5" i="6"/>
  <c r="K471" i="2"/>
  <c r="K474" i="2" l="1"/>
  <c r="K17" i="7" s="1"/>
  <c r="L471" i="2"/>
  <c r="O70" i="66"/>
  <c r="J474" i="2"/>
  <c r="N1000" i="2"/>
  <c r="J1007" i="2"/>
  <c r="P60" i="7" s="1"/>
  <c r="F474" i="2"/>
  <c r="F511" i="2" s="1"/>
  <c r="F1007" i="2"/>
  <c r="N471" i="2"/>
  <c r="K22" i="7" l="1"/>
  <c r="C33" i="25" s="1"/>
  <c r="B148" i="57"/>
  <c r="K511" i="2"/>
  <c r="K525" i="2" s="1"/>
  <c r="J17" i="7"/>
  <c r="J511" i="2"/>
  <c r="P63" i="7"/>
  <c r="J1016" i="2"/>
  <c r="F525" i="2"/>
  <c r="N474" i="2"/>
  <c r="K24" i="7" l="1"/>
  <c r="K40" i="7" s="1"/>
  <c r="K41" i="7" s="1"/>
  <c r="B152" i="57"/>
  <c r="H148" i="57"/>
  <c r="K1010" i="2"/>
  <c r="K1" i="2" s="1"/>
  <c r="N511" i="2"/>
  <c r="P65" i="7"/>
  <c r="J37" i="7" s="1"/>
  <c r="D3" i="83"/>
  <c r="J525" i="2"/>
  <c r="N525" i="2" s="1"/>
  <c r="C37" i="25"/>
  <c r="C55" i="25" s="1"/>
  <c r="C56" i="25" s="1"/>
  <c r="I17" i="7"/>
  <c r="J22" i="7"/>
  <c r="D28" i="83" l="1"/>
  <c r="D34" i="83" s="1"/>
  <c r="D36" i="83" s="1"/>
  <c r="K1013" i="2"/>
  <c r="I22" i="7"/>
  <c r="J24" i="7"/>
  <c r="K18" i="13"/>
  <c r="I37" i="7"/>
  <c r="J38" i="7"/>
  <c r="D37" i="83" l="1"/>
  <c r="D44" i="83"/>
  <c r="G18" i="13"/>
  <c r="I24" i="7"/>
  <c r="J40" i="7"/>
  <c r="K26" i="13"/>
  <c r="I38" i="7"/>
  <c r="D52" i="83" l="1"/>
  <c r="D55" i="83" s="1"/>
  <c r="D56" i="83" s="1"/>
  <c r="D45" i="83"/>
  <c r="D53" i="13"/>
  <c r="D56" i="13" s="1"/>
  <c r="G26" i="13"/>
  <c r="L18" i="13"/>
  <c r="I40" i="7"/>
  <c r="G28" i="13" l="1"/>
  <c r="D41" i="13"/>
  <c r="D58" i="13" s="1"/>
  <c r="G27" i="13"/>
  <c r="L26" i="13"/>
  <c r="L146" i="60" l="1"/>
  <c r="L523" i="2" l="1"/>
  <c r="F230" i="86" l="1"/>
  <c r="F233" i="86" s="1"/>
  <c r="F243" i="86" s="1"/>
  <c r="F334" i="86" s="1"/>
  <c r="F104" i="86"/>
  <c r="F106" i="86" s="1"/>
  <c r="F157" i="86" s="1"/>
  <c r="F174" i="86" s="1"/>
  <c r="K104" i="86"/>
  <c r="K230" i="86"/>
  <c r="AH230" i="86" l="1"/>
  <c r="K233" i="86"/>
  <c r="F358" i="86"/>
  <c r="F327" i="86"/>
  <c r="K106" i="86"/>
  <c r="J230" i="86"/>
  <c r="J104" i="86"/>
  <c r="J106" i="86" l="1"/>
  <c r="D27" i="88" s="1"/>
  <c r="D31" i="88" s="1"/>
  <c r="J233" i="86"/>
  <c r="D58" i="88" s="1"/>
  <c r="D60" i="88" s="1"/>
  <c r="D63" i="88" s="1"/>
  <c r="N104" i="86"/>
  <c r="K157" i="86"/>
  <c r="K174" i="86" s="1"/>
  <c r="C27" i="88"/>
  <c r="J243" i="86"/>
  <c r="J334" i="86" s="1"/>
  <c r="N230" i="86"/>
  <c r="C58" i="88"/>
  <c r="K243" i="86"/>
  <c r="K334" i="86" s="1"/>
  <c r="AH233" i="86"/>
  <c r="F1" i="86"/>
  <c r="F328" i="86"/>
  <c r="D67" i="88" l="1"/>
  <c r="D44" i="88" s="1"/>
  <c r="D45" i="88" s="1"/>
  <c r="D47" i="88" s="1"/>
  <c r="D48" i="88" s="1"/>
  <c r="J157" i="86"/>
  <c r="J174" i="86" s="1"/>
  <c r="AD243" i="86"/>
  <c r="AH243" i="86" s="1"/>
  <c r="K339" i="86"/>
  <c r="J339" i="86"/>
  <c r="C60" i="88"/>
  <c r="H70" i="25"/>
  <c r="H32" i="25"/>
  <c r="C31" i="88"/>
  <c r="C63" i="88" l="1"/>
  <c r="C67" i="88" s="1"/>
  <c r="C44" i="88" s="1"/>
  <c r="P312" i="86"/>
  <c r="J363" i="86"/>
  <c r="J370" i="86" s="1"/>
  <c r="J346" i="86"/>
  <c r="J347" i="86" s="1"/>
  <c r="K346" i="86"/>
  <c r="K347" i="86" s="1"/>
  <c r="K363" i="86"/>
  <c r="K370" i="86" s="1"/>
  <c r="J349" i="86"/>
  <c r="J354" i="86" s="1"/>
  <c r="J358" i="86"/>
  <c r="J373" i="86" s="1"/>
  <c r="J378" i="86" s="1"/>
  <c r="J327" i="86"/>
  <c r="J32" i="25"/>
  <c r="H37" i="25"/>
  <c r="J70" i="25"/>
  <c r="H71" i="25"/>
  <c r="H73" i="25" s="1"/>
  <c r="K349" i="86"/>
  <c r="K354" i="86" s="1"/>
  <c r="K358" i="86"/>
  <c r="K373" i="86" s="1"/>
  <c r="K378" i="86" s="1"/>
  <c r="K327" i="86"/>
  <c r="H52" i="25" l="1"/>
  <c r="C45" i="88"/>
  <c r="C47" i="88" s="1"/>
  <c r="C48" i="88" s="1"/>
  <c r="L354" i="86"/>
  <c r="L16" i="87"/>
  <c r="L17" i="87" s="1"/>
  <c r="H378" i="86"/>
  <c r="K16" i="87"/>
  <c r="K17" i="87" s="1"/>
  <c r="H354" i="86"/>
  <c r="J1" i="86"/>
  <c r="J328" i="86"/>
  <c r="K371" i="86"/>
  <c r="J71" i="25"/>
  <c r="N70" i="25"/>
  <c r="L378" i="86"/>
  <c r="H53" i="25"/>
  <c r="H55" i="25" s="1"/>
  <c r="H56" i="25" s="1"/>
  <c r="H86" i="25"/>
  <c r="H75" i="25"/>
  <c r="H77" i="25" s="1"/>
  <c r="J73" i="25"/>
  <c r="K1" i="86"/>
  <c r="K328" i="86"/>
  <c r="N32" i="25"/>
  <c r="Q32" i="25" s="1"/>
  <c r="J371" i="86"/>
  <c r="Q70" i="25" l="1"/>
  <c r="N71" i="25"/>
  <c r="N73" i="25"/>
  <c r="Q73" i="25" s="1"/>
  <c r="J75" i="25"/>
  <c r="I14" i="36"/>
  <c r="E14" i="36" s="1"/>
  <c r="J14" i="36" s="1"/>
  <c r="H78" i="25"/>
  <c r="H84" i="25"/>
  <c r="H85" i="25" s="1"/>
  <c r="H87" i="25" s="1"/>
  <c r="N75" i="25" l="1"/>
  <c r="Q75" i="25"/>
  <c r="P73" i="25"/>
  <c r="Q71" i="25"/>
  <c r="P71" i="25" s="1"/>
  <c r="P70" i="25"/>
  <c r="P75" i="25" l="1"/>
  <c r="C43" i="36"/>
  <c r="K263" i="54" l="1"/>
  <c r="L263" i="54" l="1"/>
  <c r="K493" i="54"/>
  <c r="F5" i="55"/>
  <c r="AN493" i="54" l="1"/>
  <c r="F493" i="54"/>
  <c r="J493" i="54" s="1"/>
  <c r="H35" i="55"/>
  <c r="N493" i="54" l="1"/>
  <c r="F263" i="54"/>
  <c r="J263" i="54" s="1"/>
  <c r="H36" i="55"/>
  <c r="N263" i="54" l="1"/>
  <c r="F491" i="54"/>
  <c r="E5" i="55"/>
  <c r="F496" i="54" l="1"/>
  <c r="J491" i="54"/>
  <c r="J496" i="54" s="1"/>
  <c r="F262" i="54"/>
  <c r="K262" i="54"/>
  <c r="K265" i="54" l="1"/>
  <c r="D150" i="57" s="1"/>
  <c r="H25" i="55"/>
  <c r="J511" i="54"/>
  <c r="J525" i="54" s="1"/>
  <c r="D65" i="69"/>
  <c r="D67" i="69" s="1"/>
  <c r="D44" i="69" s="1"/>
  <c r="J519" i="54"/>
  <c r="F265" i="54"/>
  <c r="F294" i="54" s="1"/>
  <c r="F309" i="54" s="1"/>
  <c r="F507" i="54" s="1"/>
  <c r="J262" i="54"/>
  <c r="D45" i="69" l="1"/>
  <c r="D152" i="57"/>
  <c r="H150" i="57"/>
  <c r="H152" i="57" s="1"/>
  <c r="J265" i="54"/>
  <c r="J294" i="54" s="1"/>
  <c r="J309" i="54" s="1"/>
  <c r="J507" i="54" s="1"/>
  <c r="J1" i="54" s="1"/>
  <c r="F1" i="54"/>
  <c r="F508" i="54"/>
  <c r="J526" i="54"/>
  <c r="J529" i="54" s="1"/>
  <c r="J523" i="54"/>
  <c r="K491" i="54"/>
  <c r="D157" i="57" s="1"/>
  <c r="H157" i="57" s="1"/>
  <c r="H23" i="55"/>
  <c r="N262" i="54"/>
  <c r="C28" i="69"/>
  <c r="C31" i="69" s="1"/>
  <c r="E33" i="25"/>
  <c r="K294" i="54"/>
  <c r="K309" i="54" s="1"/>
  <c r="D28" i="69" l="1"/>
  <c r="D31" i="69" s="1"/>
  <c r="D47" i="69" s="1"/>
  <c r="D48" i="69" s="1"/>
  <c r="D163" i="57"/>
  <c r="H163" i="57" s="1"/>
  <c r="H160" i="57"/>
  <c r="AN491" i="54"/>
  <c r="K496" i="54"/>
  <c r="N491" i="54"/>
  <c r="G19" i="103"/>
  <c r="G21" i="103" s="1"/>
  <c r="M30" i="55"/>
  <c r="M31" i="55" s="1"/>
  <c r="H529" i="54"/>
  <c r="E37" i="25"/>
  <c r="J33" i="25"/>
  <c r="H21" i="103" l="1"/>
  <c r="C28" i="103"/>
  <c r="C32" i="103" s="1"/>
  <c r="C34" i="103" s="1"/>
  <c r="C36" i="103" s="1"/>
  <c r="AN496" i="54"/>
  <c r="C65" i="69"/>
  <c r="C67" i="69" s="1"/>
  <c r="C44" i="69" s="1"/>
  <c r="C45" i="69" s="1"/>
  <c r="C47" i="69" s="1"/>
  <c r="C48" i="69" s="1"/>
  <c r="E76" i="25"/>
  <c r="K519" i="54"/>
  <c r="K511" i="54"/>
  <c r="N33" i="25"/>
  <c r="J37" i="25"/>
  <c r="H184" i="57" l="1"/>
  <c r="H185" i="57" s="1"/>
  <c r="Q33" i="25"/>
  <c r="I15" i="36"/>
  <c r="N37" i="25"/>
  <c r="K525" i="54"/>
  <c r="K507" i="54"/>
  <c r="K1" i="54" s="1"/>
  <c r="K523" i="54"/>
  <c r="K526" i="54"/>
  <c r="E77" i="25"/>
  <c r="J76" i="25"/>
  <c r="K529" i="54" l="1"/>
  <c r="N30" i="55" s="1"/>
  <c r="N31" i="55" s="1"/>
  <c r="E52" i="25"/>
  <c r="E84" i="25"/>
  <c r="E85" i="25" s="1"/>
  <c r="E15" i="36"/>
  <c r="J15" i="36" s="1"/>
  <c r="N76" i="25"/>
  <c r="J77" i="25"/>
  <c r="Q37" i="25"/>
  <c r="P86" i="25"/>
  <c r="P83" i="25" s="1"/>
  <c r="M529" i="54" l="1"/>
  <c r="Q76" i="25"/>
  <c r="N77" i="25"/>
  <c r="C44" i="36"/>
  <c r="P37" i="25"/>
  <c r="E78" i="25"/>
  <c r="E86" i="25"/>
  <c r="E87" i="25" s="1"/>
  <c r="E53" i="25"/>
  <c r="E55" i="25" s="1"/>
  <c r="E56" i="25" s="1"/>
  <c r="J52" i="25"/>
  <c r="J53" i="25" l="1"/>
  <c r="J55" i="25" s="1"/>
  <c r="J56" i="25" s="1"/>
  <c r="N52" i="25"/>
  <c r="J84" i="25"/>
  <c r="J85" i="25" s="1"/>
  <c r="P76" i="25"/>
  <c r="Q77" i="25"/>
  <c r="J78" i="25"/>
  <c r="N78" i="25" l="1"/>
  <c r="I25" i="36"/>
  <c r="Q52" i="25"/>
  <c r="Q53" i="25" s="1"/>
  <c r="Q55" i="25" s="1"/>
  <c r="Q56" i="25" s="1"/>
  <c r="P77" i="25"/>
  <c r="J86" i="25"/>
  <c r="J87" i="25" s="1"/>
  <c r="N53" i="25"/>
  <c r="Q78" i="25" l="1"/>
  <c r="P78" i="25" s="1"/>
  <c r="I26" i="36"/>
  <c r="E25" i="36"/>
  <c r="N55" i="25"/>
  <c r="P53" i="25"/>
  <c r="J25" i="36" l="1"/>
  <c r="J26" i="36" s="1"/>
  <c r="C31" i="36"/>
  <c r="E26" i="36"/>
  <c r="N56" i="25"/>
  <c r="P55" i="25"/>
  <c r="C50" i="36" l="1"/>
  <c r="C65" i="36" s="1"/>
  <c r="C70" i="36" s="1"/>
  <c r="B31" i="36"/>
  <c r="E5" i="6" l="1"/>
  <c r="F147" i="2"/>
  <c r="J147" i="2" s="1"/>
  <c r="N147" i="2" l="1"/>
  <c r="J153" i="2"/>
  <c r="F153" i="2"/>
  <c r="F155" i="2" s="1"/>
  <c r="F190" i="2" s="1"/>
  <c r="F1010" i="2" s="1"/>
  <c r="C33" i="7" l="1"/>
  <c r="N153" i="2"/>
  <c r="J155" i="2"/>
  <c r="F1011" i="2"/>
  <c r="F1" i="2"/>
  <c r="J190" i="2" l="1"/>
  <c r="J1010" i="2" s="1"/>
  <c r="J1" i="2" s="1"/>
  <c r="N155" i="2"/>
  <c r="K11" i="13"/>
  <c r="B33" i="7"/>
  <c r="C40" i="7"/>
  <c r="K27" i="13" l="1"/>
  <c r="I11" i="13"/>
  <c r="J41" i="7"/>
  <c r="B40" i="7"/>
  <c r="D62" i="13" l="1"/>
  <c r="D64" i="13" s="1"/>
  <c r="D74" i="13" s="1"/>
  <c r="D76" i="13" s="1"/>
  <c r="D78" i="13" s="1"/>
  <c r="I27" i="13"/>
  <c r="L11" i="13"/>
  <c r="L27" i="13" s="1"/>
  <c r="L262" i="5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C88" authorId="0" shapeId="0" xr:uid="{7360953C-591A-4F58-AFB2-2861779C3882}">
      <text>
        <r>
          <rPr>
            <b/>
            <sz val="9"/>
            <color indexed="81"/>
            <rFont val="Tahoma"/>
            <family val="2"/>
          </rPr>
          <t>Barak Smolyar:</t>
        </r>
        <r>
          <rPr>
            <sz val="9"/>
            <color indexed="81"/>
            <rFont val="Tahoma"/>
            <family val="2"/>
          </rPr>
          <t xml:space="preserve">
 סעיף 841 חתך 45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Barak Smolyar</author>
    <author>Andrey Cherevko</author>
  </authors>
  <commentList>
    <comment ref="C20" authorId="0" shapeId="0" xr:uid="{DB1FB076-DC27-415C-8025-302701A69211}">
      <text>
        <r>
          <rPr>
            <b/>
            <sz val="9"/>
            <color indexed="81"/>
            <rFont val="Tahoma"/>
            <family val="2"/>
          </rPr>
          <t>Barak Smolyar:</t>
        </r>
        <r>
          <rPr>
            <sz val="9"/>
            <color indexed="81"/>
            <rFont val="Tahoma"/>
            <family val="2"/>
          </rPr>
          <t xml:space="preserve">
VNT</t>
        </r>
      </text>
    </comment>
    <comment ref="A24" authorId="1" shapeId="0" xr:uid="{5850B15E-DC78-47BB-8F56-BE6AB2EAC0C2}">
      <text>
        <r>
          <rPr>
            <b/>
            <sz val="9"/>
            <color indexed="81"/>
            <rFont val="Tahoma"/>
            <family val="2"/>
          </rPr>
          <t xml:space="preserve">שומת ניכויים של 2016-2019 בוצעה ונסגרה במהלך 2021  - החברה תכניס את השלכות השומה הזו בדוח מס הנוכחי של שנת 2020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C198" authorId="0" shapeId="0" xr:uid="{8536F97A-CF65-4883-90D6-5C1B8175C2B8}">
      <text>
        <r>
          <rPr>
            <b/>
            <sz val="9"/>
            <color indexed="81"/>
            <rFont val="Tahoma"/>
            <family val="2"/>
          </rPr>
          <t>Barak Smolyar:</t>
        </r>
        <r>
          <rPr>
            <sz val="9"/>
            <color indexed="81"/>
            <rFont val="Tahoma"/>
            <family val="2"/>
          </rPr>
          <t xml:space="preserve">
קשור לתאריכים - לא מהותי</t>
        </r>
      </text>
    </comment>
    <comment ref="E198" authorId="0" shapeId="0" xr:uid="{68CBEE23-C429-4392-877B-29FAA25549AA}">
      <text>
        <r>
          <rPr>
            <b/>
            <sz val="9"/>
            <color indexed="81"/>
            <rFont val="Tahoma"/>
            <family val="2"/>
          </rPr>
          <t>Barak Smolyar:</t>
        </r>
        <r>
          <rPr>
            <sz val="9"/>
            <color indexed="81"/>
            <rFont val="Tahoma"/>
            <family val="2"/>
          </rPr>
          <t xml:space="preserve">
בנטרול השפעה של כרטיס AR due UK218000427 משום שהוא נרשם בכרטיס 53599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C32" authorId="0" shapeId="0" xr:uid="{312AFF43-F4F5-444C-B5E4-0DBFD14BDD69}">
      <text>
        <r>
          <rPr>
            <b/>
            <sz val="9"/>
            <color indexed="81"/>
            <rFont val="Tahoma"/>
            <family val="2"/>
          </rPr>
          <t>Barak Smolyar:</t>
        </r>
        <r>
          <rPr>
            <sz val="9"/>
            <color indexed="81"/>
            <rFont val="Tahoma"/>
            <family val="2"/>
          </rPr>
          <t xml:space="preserve">
מבוסס על תשלום עמלות ינואר, 2022</t>
        </r>
      </text>
    </comment>
    <comment ref="E32" authorId="0" shapeId="0" xr:uid="{C5822898-52BE-429F-9C98-9FCC8BEB7ACD}">
      <text>
        <r>
          <rPr>
            <b/>
            <sz val="9"/>
            <color indexed="81"/>
            <rFont val="Tahoma"/>
            <family val="2"/>
          </rPr>
          <t>Barak Smolyar:</t>
        </r>
        <r>
          <rPr>
            <sz val="9"/>
            <color indexed="81"/>
            <rFont val="Tahoma"/>
            <family val="2"/>
          </rPr>
          <t xml:space="preserve">
בהתאם לעמלות ששולמו בינואר, 2022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F22" authorId="0" shapeId="0" xr:uid="{C440FF60-0A79-4380-B757-F376CF739B32}">
      <text>
        <r>
          <rPr>
            <b/>
            <sz val="9"/>
            <color indexed="81"/>
            <rFont val="Tahoma"/>
            <family val="2"/>
          </rPr>
          <t>Barak Smolyar:</t>
        </r>
        <r>
          <rPr>
            <sz val="9"/>
            <color indexed="81"/>
            <rFont val="Tahoma"/>
            <family val="2"/>
          </rPr>
          <t xml:space="preserve">
כרגע קיים ספק בחובה</t>
        </r>
      </text>
    </comment>
    <comment ref="D68" authorId="0" shapeId="0" xr:uid="{BAA32D3F-31E2-41CA-B195-5C1A8B1B2502}">
      <text>
        <r>
          <rPr>
            <b/>
            <sz val="9"/>
            <color indexed="81"/>
            <rFont val="Tahoma"/>
            <family val="2"/>
          </rPr>
          <t>Barak Smolyar:</t>
        </r>
        <r>
          <rPr>
            <sz val="9"/>
            <color indexed="81"/>
            <rFont val="Tahoma"/>
            <family val="2"/>
          </rPr>
          <t xml:space="preserve">
Jiang Sook</t>
        </r>
      </text>
    </comment>
    <comment ref="O80" authorId="0" shapeId="0" xr:uid="{8775E773-6DD7-4A6E-A858-31C9BFDF6006}">
      <text>
        <r>
          <rPr>
            <b/>
            <sz val="9"/>
            <color indexed="81"/>
            <rFont val="Tahoma"/>
            <family val="2"/>
          </rPr>
          <t>Barak Smolyar:</t>
        </r>
        <r>
          <rPr>
            <sz val="9"/>
            <color indexed="81"/>
            <rFont val="Tahoma"/>
            <family val="2"/>
          </rPr>
          <t xml:space="preserve">
Assessment according actual 2020</t>
        </r>
      </text>
    </comment>
    <comment ref="D123" authorId="0" shapeId="0" xr:uid="{1C4ED743-2E85-433F-B382-9D14A4D4A6DC}">
      <text>
        <r>
          <rPr>
            <b/>
            <sz val="9"/>
            <color indexed="81"/>
            <rFont val="Tahoma"/>
            <family val="2"/>
          </rPr>
          <t>Barak Smolyar:</t>
        </r>
        <r>
          <rPr>
            <sz val="9"/>
            <color indexed="81"/>
            <rFont val="Tahoma"/>
            <family val="2"/>
          </rPr>
          <t xml:space="preserve">
Lowes</t>
        </r>
      </text>
    </comment>
    <comment ref="D124" authorId="0" shapeId="0" xr:uid="{27D76DDC-0BDC-4B5B-9E00-B645188B5B96}">
      <text>
        <r>
          <rPr>
            <b/>
            <sz val="9"/>
            <color indexed="81"/>
            <rFont val="Tahoma"/>
            <family val="2"/>
          </rPr>
          <t>Barak Smolyar:</t>
        </r>
        <r>
          <rPr>
            <sz val="9"/>
            <color indexed="81"/>
            <rFont val="Tahoma"/>
            <family val="2"/>
          </rPr>
          <t xml:space="preserve">
Telestra, BCG</t>
        </r>
      </text>
    </comment>
    <comment ref="E124" authorId="0" shapeId="0" xr:uid="{645AE4A5-4CDD-4936-82F8-FB532F205577}">
      <text>
        <r>
          <rPr>
            <b/>
            <sz val="9"/>
            <color indexed="81"/>
            <rFont val="Tahoma"/>
            <family val="2"/>
          </rPr>
          <t>Barak Smolyar:</t>
        </r>
        <r>
          <rPr>
            <sz val="9"/>
            <color indexed="81"/>
            <rFont val="Tahoma"/>
            <family val="2"/>
          </rPr>
          <t xml:space="preserve">
Telstra, BCG</t>
        </r>
      </text>
    </comment>
    <comment ref="G124" authorId="0" shapeId="0" xr:uid="{95C6C9C6-FA98-4579-91B7-8839CFAACF8E}">
      <text>
        <r>
          <rPr>
            <b/>
            <sz val="9"/>
            <color indexed="81"/>
            <rFont val="Tahoma"/>
            <family val="2"/>
          </rPr>
          <t>Barak Smolyar:</t>
        </r>
        <r>
          <rPr>
            <sz val="9"/>
            <color indexed="81"/>
            <rFont val="Tahoma"/>
            <family val="2"/>
          </rPr>
          <t xml:space="preserve">
BCG</t>
        </r>
      </text>
    </comment>
    <comment ref="C125" authorId="0" shapeId="0" xr:uid="{DA7A72E4-99F1-4B59-BB66-5E1DD5EADF17}">
      <text>
        <r>
          <rPr>
            <b/>
            <sz val="9"/>
            <color indexed="81"/>
            <rFont val="Tahoma"/>
            <family val="2"/>
          </rPr>
          <t>Barak Smolyar:</t>
        </r>
        <r>
          <rPr>
            <sz val="9"/>
            <color indexed="81"/>
            <rFont val="Tahoma"/>
            <family val="2"/>
          </rPr>
          <t xml:space="preserve">
כולל את EY</t>
        </r>
      </text>
    </comment>
    <comment ref="D125" authorId="0" shapeId="0" xr:uid="{DC672CE3-CC89-41E7-97AB-B3C31E6B1FB7}">
      <text>
        <r>
          <rPr>
            <b/>
            <sz val="9"/>
            <color indexed="81"/>
            <rFont val="Tahoma"/>
            <family val="2"/>
          </rPr>
          <t>Barak Smolyar:</t>
        </r>
        <r>
          <rPr>
            <sz val="9"/>
            <color indexed="81"/>
            <rFont val="Tahoma"/>
            <family val="2"/>
          </rPr>
          <t xml:space="preserve">
EY</t>
        </r>
      </text>
    </comment>
    <comment ref="E125" authorId="0" shapeId="0" xr:uid="{26067559-4201-411C-B3E7-3B737BA5E04F}">
      <text>
        <r>
          <rPr>
            <b/>
            <sz val="9"/>
            <color indexed="81"/>
            <rFont val="Tahoma"/>
            <family val="2"/>
          </rPr>
          <t>Barak Smolyar:</t>
        </r>
        <r>
          <rPr>
            <sz val="9"/>
            <color indexed="81"/>
            <rFont val="Tahoma"/>
            <family val="2"/>
          </rPr>
          <t xml:space="preserve">
Arizona</t>
        </r>
      </text>
    </comment>
    <comment ref="F126" authorId="0" shapeId="0" xr:uid="{5B108CCB-328A-4811-B6F9-2940C1F4244A}">
      <text>
        <r>
          <rPr>
            <b/>
            <sz val="9"/>
            <color indexed="81"/>
            <rFont val="Tahoma"/>
            <family val="2"/>
          </rPr>
          <t>Barak Smolyar:</t>
        </r>
        <r>
          <rPr>
            <sz val="9"/>
            <color indexed="81"/>
            <rFont val="Tahoma"/>
            <family val="2"/>
          </rPr>
          <t xml:space="preserve">
Blackbaud</t>
        </r>
      </text>
    </comment>
    <comment ref="K126" authorId="0" shapeId="0" xr:uid="{162108E7-8FFB-4516-9499-6AF2F9F772A0}">
      <text>
        <r>
          <rPr>
            <b/>
            <sz val="9"/>
            <color indexed="81"/>
            <rFont val="Tahoma"/>
            <family val="2"/>
          </rPr>
          <t>Barak Smolyar:</t>
        </r>
        <r>
          <rPr>
            <sz val="9"/>
            <color indexed="81"/>
            <rFont val="Tahoma"/>
            <family val="2"/>
          </rPr>
          <t xml:space="preserve">
ATO&amp; Flipkart</t>
        </r>
      </text>
    </comment>
    <comment ref="L126" authorId="0" shapeId="0" xr:uid="{F24862B9-4200-4395-B47C-DB4212C3D0F6}">
      <text>
        <r>
          <rPr>
            <b/>
            <sz val="9"/>
            <color indexed="81"/>
            <rFont val="Tahoma"/>
            <family val="2"/>
          </rPr>
          <t>Barak Smolyar:</t>
        </r>
        <r>
          <rPr>
            <sz val="9"/>
            <color indexed="81"/>
            <rFont val="Tahoma"/>
            <family val="2"/>
          </rPr>
          <t xml:space="preserve">
Flipkart - Kyle and Chris
</t>
        </r>
      </text>
    </comment>
    <comment ref="B133" authorId="0" shapeId="0" xr:uid="{2181863B-3C7E-4747-9E8C-38FDD40C0A22}">
      <text>
        <r>
          <rPr>
            <b/>
            <sz val="9"/>
            <color indexed="81"/>
            <rFont val="Tahoma"/>
            <family val="2"/>
          </rPr>
          <t>Barak Smolyar:</t>
        </r>
        <r>
          <rPr>
            <sz val="9"/>
            <color indexed="81"/>
            <rFont val="Tahoma"/>
            <family val="2"/>
          </rPr>
          <t xml:space="preserve">
According Cali's laws employees are entiteled for a vacation payment - Hani will send us breakdown each quarter.</t>
        </r>
      </text>
    </comment>
    <comment ref="I134" authorId="0" shapeId="0" xr:uid="{FD58D561-F2AD-4280-B8D6-27B246CD1C5B}">
      <text>
        <r>
          <rPr>
            <b/>
            <sz val="9"/>
            <color indexed="81"/>
            <rFont val="Tahoma"/>
            <family val="2"/>
          </rPr>
          <t>Barak Smolyar:</t>
        </r>
        <r>
          <rPr>
            <sz val="9"/>
            <color indexed="81"/>
            <rFont val="Tahoma"/>
            <family val="2"/>
          </rPr>
          <t xml:space="preserve">
Payable in August
</t>
        </r>
      </text>
    </comment>
    <comment ref="D157" authorId="0" shapeId="0" xr:uid="{953290C8-DCEA-43BA-A655-02D4B19AC7B8}">
      <text>
        <r>
          <rPr>
            <b/>
            <sz val="9"/>
            <color indexed="81"/>
            <rFont val="Tahoma"/>
            <family val="2"/>
          </rPr>
          <t>Barak Smolyar:</t>
        </r>
        <r>
          <rPr>
            <sz val="9"/>
            <color indexed="81"/>
            <rFont val="Tahoma"/>
            <family val="2"/>
          </rPr>
          <t xml:space="preserve">
M.Brove Q4.2020 - Paid on February</t>
        </r>
      </text>
    </comment>
    <comment ref="J160" authorId="0" shapeId="0" xr:uid="{7DB86D74-9DFB-424B-98FA-D08B88D7A9EB}">
      <text>
        <r>
          <rPr>
            <b/>
            <sz val="9"/>
            <color indexed="81"/>
            <rFont val="Tahoma"/>
            <family val="2"/>
          </rPr>
          <t>Barak Smolyar:</t>
        </r>
        <r>
          <rPr>
            <sz val="9"/>
            <color indexed="81"/>
            <rFont val="Tahoma"/>
            <family val="2"/>
          </rPr>
          <t xml:space="preserve">
Alexander</t>
        </r>
      </text>
    </comment>
    <comment ref="M160" authorId="0" shapeId="0" xr:uid="{704F88CE-F4AD-48E1-BA64-62ECCE5BB89D}">
      <text>
        <r>
          <rPr>
            <b/>
            <sz val="9"/>
            <color indexed="81"/>
            <rFont val="Tahoma"/>
            <family val="2"/>
          </rPr>
          <t>Barak Smolyar:</t>
        </r>
        <r>
          <rPr>
            <sz val="9"/>
            <color indexed="81"/>
            <rFont val="Tahoma"/>
            <family val="2"/>
          </rPr>
          <t xml:space="preserve">
Jan Bart - טרם הגיש חשבונית על החלק של Swift - יעביר בחודש הבא.</t>
        </r>
      </text>
    </comment>
    <comment ref="G186" authorId="0" shapeId="0" xr:uid="{F03B4275-5128-4742-B773-292AADBF343B}">
      <text>
        <r>
          <rPr>
            <b/>
            <sz val="9"/>
            <color indexed="81"/>
            <rFont val="Tahoma"/>
            <family val="2"/>
          </rPr>
          <t>Barak Smolyar:</t>
        </r>
        <r>
          <rPr>
            <sz val="9"/>
            <color indexed="81"/>
            <rFont val="Tahoma"/>
            <family val="2"/>
          </rPr>
          <t xml:space="preserve">
תשלום ללי און-טן בוצע באיחור במאי
</t>
        </r>
      </text>
    </comment>
    <comment ref="D193" authorId="0" shapeId="0" xr:uid="{253A7C23-067C-48BA-96EB-8F101E2BDB23}">
      <text>
        <r>
          <rPr>
            <b/>
            <sz val="9"/>
            <color indexed="81"/>
            <rFont val="Tahoma"/>
            <family val="2"/>
          </rPr>
          <t>Barak Smolyar:</t>
        </r>
        <r>
          <rPr>
            <sz val="9"/>
            <color indexed="81"/>
            <rFont val="Tahoma"/>
            <family val="2"/>
          </rPr>
          <t xml:space="preserve">
Telstra</t>
        </r>
      </text>
    </comment>
    <comment ref="E193" authorId="0" shapeId="0" xr:uid="{A6034F09-9E02-4432-A979-812E499B226B}">
      <text>
        <r>
          <rPr>
            <b/>
            <sz val="9"/>
            <color indexed="81"/>
            <rFont val="Tahoma"/>
            <family val="2"/>
          </rPr>
          <t>Barak Smolyar:</t>
        </r>
        <r>
          <rPr>
            <sz val="9"/>
            <color indexed="81"/>
            <rFont val="Tahoma"/>
            <family val="2"/>
          </rPr>
          <t xml:space="preserve">
Telstra</t>
        </r>
      </text>
    </comment>
    <comment ref="F193" authorId="0" shapeId="0" xr:uid="{17ACF8ED-702A-4503-90DC-F24AE3212FA7}">
      <text>
        <r>
          <rPr>
            <b/>
            <sz val="9"/>
            <color indexed="81"/>
            <rFont val="Tahoma"/>
            <family val="2"/>
          </rPr>
          <t>Barak Smolyar:</t>
        </r>
        <r>
          <rPr>
            <sz val="9"/>
            <color indexed="81"/>
            <rFont val="Tahoma"/>
            <family val="2"/>
          </rPr>
          <t xml:space="preserve">
עסקת טלסטרה למעט מיכאל קרביץ</t>
        </r>
      </text>
    </comment>
    <comment ref="N222" authorId="0" shapeId="0" xr:uid="{779DB568-1933-4F61-BC68-005246DAC874}">
      <text>
        <r>
          <rPr>
            <b/>
            <sz val="9"/>
            <color indexed="81"/>
            <rFont val="Tahoma"/>
            <family val="2"/>
          </rPr>
          <t>Barak Smolyar:</t>
        </r>
        <r>
          <rPr>
            <sz val="9"/>
            <color indexed="81"/>
            <rFont val="Tahoma"/>
            <family val="2"/>
          </rPr>
          <t xml:space="preserve">
Vishvanath left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Andrey Cherevko</author>
  </authors>
  <commentList>
    <comment ref="E49" authorId="0" shapeId="0" xr:uid="{05C6A137-B17F-4C13-B57B-B3A59ABB1FD3}">
      <text>
        <r>
          <rPr>
            <b/>
            <sz val="9"/>
            <color indexed="81"/>
            <rFont val="Tahoma"/>
            <family val="2"/>
          </rPr>
          <t>Andrey Cherevko:</t>
        </r>
        <r>
          <rPr>
            <sz val="9"/>
            <color indexed="81"/>
            <rFont val="Tahoma"/>
            <family val="2"/>
          </rPr>
          <t xml:space="preserve">
כולל החלק שבדוח מס האנגלי מופיע בעודפים  - פער הצגתי בין התקינות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65" authorId="0" shapeId="0" xr:uid="{29B72D55-48A8-44ED-8E6E-00329695717A}">
      <text>
        <r>
          <rPr>
            <sz val="9"/>
            <color indexed="81"/>
            <rFont val="Tahoma"/>
            <family val="2"/>
          </rPr>
          <t>As per SPA Exhibit 5.9, the Net Unrestricted Cash Amount excludes "amounts required to be deposited in respect of lease agreements".
In addition, this is also shown in the example table.</t>
        </r>
      </text>
    </comment>
    <comment ref="C65" authorId="0" shapeId="0" xr:uid="{D0323794-DBD3-46D9-AA71-52E8272AAF5F}">
      <text>
        <r>
          <rPr>
            <sz val="9"/>
            <color indexed="81"/>
            <rFont val="Tahoma"/>
            <family val="2"/>
          </rPr>
          <t>Using FX rate of Dec 31, 2017</t>
        </r>
      </text>
    </comment>
    <comment ref="B69" authorId="0" shapeId="0" xr:uid="{C848A827-50F6-41B7-A8BE-A12958F264D3}">
      <text>
        <r>
          <rPr>
            <sz val="9"/>
            <color indexed="81"/>
            <rFont val="Tahoma"/>
            <family val="2"/>
          </rPr>
          <t>As per SPA Exhibit 5.9, the Net Unrestricted Cash Amount excludes "amounts required to be deposited in respect of lease agreements".
In addition, this is also shown in the example table.</t>
        </r>
      </text>
    </comment>
    <comment ref="B73" authorId="0" shapeId="0" xr:uid="{638123D5-C27B-46F8-A730-342F52C6A878}">
      <text>
        <r>
          <rPr>
            <sz val="9"/>
            <color indexed="81"/>
            <rFont val="Tahoma"/>
            <family val="2"/>
          </rPr>
          <t>As per SPA Exhibit 5.9, the Account Receivable excludes "receivables from shareholders, directors, employees or directors of the Company or its Subsidiaries".
In addition, this is also shown in the example 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Andrey Cherevko</author>
  </authors>
  <commentList>
    <comment ref="V342" authorId="0" shapeId="0" xr:uid="{395E5AB0-ECCA-4AC2-ADFB-80F0722DF026}">
      <text>
        <r>
          <rPr>
            <b/>
            <sz val="8"/>
            <color indexed="81"/>
            <rFont val="Tahoma"/>
            <family val="2"/>
          </rPr>
          <t>Andrey Cherevko:</t>
        </r>
        <r>
          <rPr>
            <sz val="8"/>
            <color indexed="81"/>
            <rFont val="Tahoma"/>
            <family val="2"/>
          </rPr>
          <t xml:space="preserve">
יש כאן פקודה נוספת של PS LT COMM  - צריך למיין ל-402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Andrey Cherevko</author>
  </authors>
  <commentList>
    <comment ref="L174" authorId="0" shapeId="0" xr:uid="{27A16022-2293-4017-B6D4-C4C4A50F5840}">
      <text>
        <r>
          <rPr>
            <b/>
            <sz val="9"/>
            <color indexed="81"/>
            <rFont val="Tahoma"/>
            <family val="2"/>
          </rPr>
          <t>Andrey Cherevko:</t>
        </r>
        <r>
          <rPr>
            <sz val="9"/>
            <color indexed="81"/>
            <rFont val="Tahoma"/>
            <family val="2"/>
          </rPr>
          <t xml:space="preserve">
פריסה חדשה של SUBSCR - לפי קובץ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I15" authorId="0" shapeId="0" xr:uid="{23C38D18-0000-42D3-B2C3-0645A237443B}">
      <text>
        <r>
          <rPr>
            <b/>
            <sz val="9"/>
            <color indexed="81"/>
            <rFont val="Tahoma"/>
            <family val="2"/>
          </rPr>
          <t>Barak Smolyar:</t>
        </r>
        <r>
          <rPr>
            <sz val="9"/>
            <color indexed="81"/>
            <rFont val="Tahoma"/>
            <family val="2"/>
          </rPr>
          <t xml:space="preserve">
מעודכן אחת לרבעון</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K237" authorId="0" shapeId="0" xr:uid="{1734F9A7-9A66-46E3-8D77-C3636E75051F}">
      <text>
        <r>
          <rPr>
            <b/>
            <sz val="9"/>
            <color indexed="81"/>
            <rFont val="Tahoma"/>
            <family val="2"/>
          </rPr>
          <t>Barak Smolyar:</t>
        </r>
        <r>
          <rPr>
            <sz val="9"/>
            <color indexed="81"/>
            <rFont val="Tahoma"/>
            <family val="2"/>
          </rPr>
          <t>כולל סכום בגין חשבונית שתופק ב- 2022 על התמיכה של חשבונית US215000644 - BWI GmbH</t>
        </r>
      </text>
    </comment>
    <comment ref="K402" authorId="0" shapeId="0" xr:uid="{4E2CB4EF-A49C-4FF5-96D8-15B394E015C6}">
      <text>
        <r>
          <rPr>
            <b/>
            <sz val="9"/>
            <color indexed="81"/>
            <rFont val="Tahoma"/>
            <family val="2"/>
          </rPr>
          <t>Barak Smolyar:</t>
        </r>
        <r>
          <rPr>
            <sz val="9"/>
            <color indexed="81"/>
            <rFont val="Tahoma"/>
            <family val="2"/>
          </rPr>
          <t xml:space="preserve">
 סכום בגין חשבונית שתופק ב- 2022 על התמיכה של חשבונית US215000644 - BWI GmbH</t>
        </r>
      </text>
    </comment>
    <comment ref="AR777" authorId="0" shapeId="0" xr:uid="{B2E71F3F-D32C-4529-8B73-72E043E11D45}">
      <text>
        <r>
          <rPr>
            <b/>
            <sz val="9"/>
            <color indexed="81"/>
            <rFont val="Tahoma"/>
            <family val="2"/>
          </rPr>
          <t>Barak Smolyar:</t>
        </r>
        <r>
          <rPr>
            <sz val="9"/>
            <color indexed="81"/>
            <rFont val="Tahoma"/>
            <family val="2"/>
          </rPr>
          <t xml:space="preserve">
כולל Telstra ששולם במלואו</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Zohar Barak</author>
  </authors>
  <commentList>
    <comment ref="D124" authorId="0" shapeId="0" xr:uid="{00000000-0006-0000-1B00-000001000000}">
      <text>
        <r>
          <rPr>
            <b/>
            <sz val="9"/>
            <color indexed="81"/>
            <rFont val="Tahoma"/>
            <family val="2"/>
          </rPr>
          <t>Zohar Barak:</t>
        </r>
        <r>
          <rPr>
            <sz val="9"/>
            <color indexed="81"/>
            <rFont val="Tahoma"/>
            <family val="2"/>
          </rPr>
          <t xml:space="preserve">
לעדכן ע"י הקלדה (שלא ליצור הפניה מעגלית)</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A60" authorId="0" shapeId="0" xr:uid="{CF483074-5471-4DCA-8C08-FE0CB18BB1EF}">
      <text>
        <r>
          <rPr>
            <b/>
            <sz val="9"/>
            <color indexed="81"/>
            <rFont val="Tahoma"/>
            <family val="2"/>
          </rPr>
          <t>Barak Smolyar:</t>
        </r>
        <r>
          <rPr>
            <sz val="9"/>
            <color indexed="81"/>
            <rFont val="Tahoma"/>
            <family val="2"/>
          </rPr>
          <t xml:space="preserve">
אופציות שהומרו למניות על ידי עובדים שעזבו</t>
        </r>
      </text>
    </comment>
    <comment ref="A62" authorId="0" shapeId="0" xr:uid="{7F993F64-DE22-49BC-97BA-3534368C43CD}">
      <text>
        <r>
          <rPr>
            <b/>
            <sz val="9"/>
            <color indexed="81"/>
            <rFont val="Tahoma"/>
            <family val="2"/>
          </rPr>
          <t>Barak Smolyar:</t>
        </r>
        <r>
          <rPr>
            <sz val="9"/>
            <color indexed="81"/>
            <rFont val="Tahoma"/>
            <family val="2"/>
          </rPr>
          <t xml:space="preserve">
מניות שנתנו בעבר לעובדי החברה כאשר עוד לא היו אופציות.</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Andrey Cherevko</author>
  </authors>
  <commentList>
    <comment ref="H45" authorId="0" shapeId="0" xr:uid="{8CBB70CF-44E3-4A47-9C55-610888366D24}">
      <text>
        <r>
          <rPr>
            <b/>
            <sz val="9"/>
            <color indexed="81"/>
            <rFont val="Tahoma"/>
            <family val="2"/>
          </rPr>
          <t>Andrey Cherevko:</t>
        </r>
        <r>
          <rPr>
            <sz val="9"/>
            <color indexed="81"/>
            <rFont val="Tahoma"/>
            <family val="2"/>
          </rPr>
          <t xml:space="preserve">
TS DEP ONLY
</t>
        </r>
      </text>
    </comment>
    <comment ref="H49" authorId="0" shapeId="0" xr:uid="{F9CB467D-74F6-427A-903F-FF07A1DBC532}">
      <text>
        <r>
          <rPr>
            <b/>
            <sz val="9"/>
            <color indexed="81"/>
            <rFont val="Tahoma"/>
            <family val="2"/>
          </rPr>
          <t>Andrey Cherevko:</t>
        </r>
        <r>
          <rPr>
            <sz val="9"/>
            <color indexed="81"/>
            <rFont val="Tahoma"/>
            <family val="2"/>
          </rPr>
          <t xml:space="preserve">
SINDY, STUART LEE, ELIAS - SALES DEP ONLY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C113" authorId="0" shapeId="0" xr:uid="{DBEED05A-2C4B-4CCE-83B2-F9E4CA2EC29D}">
      <text>
        <r>
          <rPr>
            <b/>
            <sz val="9"/>
            <color indexed="81"/>
            <rFont val="Tahoma"/>
            <family val="2"/>
          </rPr>
          <t>Barak Smolyar:</t>
        </r>
        <r>
          <rPr>
            <sz val="9"/>
            <color indexed="81"/>
            <rFont val="Tahoma"/>
            <family val="2"/>
          </rPr>
          <t xml:space="preserve">
ספק חדש</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J361" authorId="0" shapeId="0" xr:uid="{263BB197-9BB1-4213-8C42-320BDA9BF326}">
      <text>
        <r>
          <rPr>
            <b/>
            <sz val="9"/>
            <color indexed="81"/>
            <rFont val="Tahoma"/>
            <family val="2"/>
          </rPr>
          <t>Barak Smolyar:</t>
        </r>
        <r>
          <rPr>
            <sz val="9"/>
            <color indexed="81"/>
            <rFont val="Tahoma"/>
            <family val="2"/>
          </rPr>
          <t xml:space="preserve">
כולל התאמה ידנית לפקודה שעברה בביקורת ומשפיעה על ה- TP</t>
        </r>
      </text>
    </comment>
    <comment ref="K361" authorId="0" shapeId="0" xr:uid="{04366F08-A350-43E4-9870-392AC70C40C0}">
      <text>
        <r>
          <rPr>
            <b/>
            <sz val="9"/>
            <color indexed="81"/>
            <rFont val="Tahoma"/>
            <family val="2"/>
          </rPr>
          <t>Barak Smolyar:</t>
        </r>
        <r>
          <rPr>
            <sz val="9"/>
            <color indexed="81"/>
            <rFont val="Tahoma"/>
            <family val="2"/>
          </rPr>
          <t xml:space="preserve">
כולל התאמה ידנית לפקודה שעברה בביקורת ומשפיעה על ה- TP</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Barak Smolyar</author>
  </authors>
  <commentList>
    <comment ref="D5" authorId="0" shapeId="0" xr:uid="{338E95CF-E46D-4E61-B277-2C9A005F318D}">
      <text>
        <r>
          <rPr>
            <b/>
            <sz val="9"/>
            <color indexed="81"/>
            <rFont val="Tahoma"/>
            <family val="2"/>
          </rPr>
          <t>Barak Smolyar:</t>
        </r>
        <r>
          <rPr>
            <sz val="9"/>
            <color indexed="81"/>
            <rFont val="Tahoma"/>
            <family val="2"/>
          </rPr>
          <t xml:space="preserve">
כולל התאמה ידנית של הפקודות הרלוונטיות שעברו בביקורת</t>
        </r>
      </text>
    </comment>
    <comment ref="E54" authorId="0" shapeId="0" xr:uid="{66B9E306-E77A-4D79-BFA1-F2672E3083C8}">
      <text>
        <r>
          <rPr>
            <b/>
            <sz val="9"/>
            <color indexed="81"/>
            <rFont val="Tahoma"/>
            <family val="2"/>
          </rPr>
          <t>Barak Smolyar:</t>
        </r>
        <r>
          <rPr>
            <sz val="9"/>
            <color indexed="81"/>
            <rFont val="Tahoma"/>
            <family val="2"/>
          </rPr>
          <t xml:space="preserve">
Fixed assets purchased After 31st of March, 2021 _ Computer maintenance.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<sst xmlns="http://schemas.openxmlformats.org/spreadsheetml/2006/main" count="17108" uniqueCount="5061">
  <si>
    <t>גידול בהתחייבויות לז"א</t>
  </si>
  <si>
    <t>רווח והפסד - חברה</t>
  </si>
  <si>
    <t>מאזן - חברה - פאסיב</t>
  </si>
  <si>
    <t>נומינלי</t>
  </si>
  <si>
    <t>$</t>
  </si>
  <si>
    <t>רכוש שוטף</t>
  </si>
  <si>
    <t>התחייבויות שוטפות</t>
  </si>
  <si>
    <t>מזומנים ושווי מזומנים</t>
  </si>
  <si>
    <t>אשראי מתאגידים בנקאיים</t>
  </si>
  <si>
    <t>הכנסות</t>
  </si>
  <si>
    <t>מזומנים בש"ח</t>
  </si>
  <si>
    <t>משיכות יתר</t>
  </si>
  <si>
    <t>מזומנים במט"ח</t>
  </si>
  <si>
    <t>הלוואות לז"ק- לא צמודות</t>
  </si>
  <si>
    <t>פקדונות בש"ח</t>
  </si>
  <si>
    <t xml:space="preserve">הוצאות שכר </t>
  </si>
  <si>
    <t>פקדונות במט"ח</t>
  </si>
  <si>
    <t>נסיעות לחו"ל</t>
  </si>
  <si>
    <t>זכאים ויתרות זכות</t>
  </si>
  <si>
    <t>פחת</t>
  </si>
  <si>
    <t>פטנטים</t>
  </si>
  <si>
    <t>אחזקת רכב</t>
  </si>
  <si>
    <t xml:space="preserve">העמסת הוצאות </t>
  </si>
  <si>
    <t>חייבים ויתרות חובה</t>
  </si>
  <si>
    <t>מוסדות</t>
  </si>
  <si>
    <t>הוצאות מראש</t>
  </si>
  <si>
    <t>הוצאות הנהלה וכלליות</t>
  </si>
  <si>
    <t>סה"כ התחייבויות שוטפות</t>
  </si>
  <si>
    <t>שרותים מקצועיים</t>
  </si>
  <si>
    <t>הוצאות שכר</t>
  </si>
  <si>
    <t xml:space="preserve"> ארוח מתנות וכיבודים</t>
  </si>
  <si>
    <t>סה"כ רכוש שוטף</t>
  </si>
  <si>
    <t>הון מניות</t>
  </si>
  <si>
    <t>פקדון לזמן ארוך</t>
  </si>
  <si>
    <t>הוצאות שונות</t>
  </si>
  <si>
    <t>שכר דירה ואחזקת משרד</t>
  </si>
  <si>
    <t>רכוש קבוע</t>
  </si>
  <si>
    <t>בניכוי הוצאות הנכ"ל שהועמסו</t>
  </si>
  <si>
    <t>רכוש אחר</t>
  </si>
  <si>
    <t>סך הכל אקטיב</t>
  </si>
  <si>
    <t>סך הכל פאסיב</t>
  </si>
  <si>
    <t>תערוכות ופרסום</t>
  </si>
  <si>
    <t xml:space="preserve"> הנכ"ל שהועמסו</t>
  </si>
  <si>
    <t>הוצאות (הכנסות) מימון ,נטו</t>
  </si>
  <si>
    <t>הפרשי תרגום (הוצאות/(הכנסות)</t>
  </si>
  <si>
    <t>סה"כ</t>
  </si>
  <si>
    <t>יתרה  לפי</t>
  </si>
  <si>
    <t>פקודות</t>
  </si>
  <si>
    <t>יתרה לאחר</t>
  </si>
  <si>
    <t xml:space="preserve">פקודות נוספות לדו"חות הכספיים </t>
  </si>
  <si>
    <t>סעיף</t>
  </si>
  <si>
    <t>מאזן</t>
  </si>
  <si>
    <t>נוספות</t>
  </si>
  <si>
    <t>דולרי</t>
  </si>
  <si>
    <t>בוחן</t>
  </si>
  <si>
    <t>'ח</t>
  </si>
  <si>
    <t>('ז)</t>
  </si>
  <si>
    <t>מספר</t>
  </si>
  <si>
    <t>Cash &amp; Cash Equivalents</t>
  </si>
  <si>
    <t>כרטיס</t>
  </si>
  <si>
    <t>סכום בש"ח</t>
  </si>
  <si>
    <t>סה"כ מזומנים בש"ח</t>
  </si>
  <si>
    <t>סה"כ פקדונות בש"ח</t>
  </si>
  <si>
    <t>סה"כ מזומנים במט"ח</t>
  </si>
  <si>
    <t>סה"כ פקדונות במט"ח</t>
  </si>
  <si>
    <t>Accounts receivable and debit balances</t>
  </si>
  <si>
    <t>Government Institutions</t>
  </si>
  <si>
    <t>Total</t>
  </si>
  <si>
    <t>Fixed assets</t>
  </si>
  <si>
    <t>Cost</t>
  </si>
  <si>
    <t>סה"כ עלות</t>
  </si>
  <si>
    <t>פחת נצבר</t>
  </si>
  <si>
    <t>סך הכל פחת נצבר</t>
  </si>
  <si>
    <t>סך הכל רכוש קבוע</t>
  </si>
  <si>
    <t>סך הכל רכוש אחר</t>
  </si>
  <si>
    <t>סך הכל נכסים</t>
  </si>
  <si>
    <t>סך הכל משיכות יתר</t>
  </si>
  <si>
    <t>סה"כ מוסדות</t>
  </si>
  <si>
    <t>Employees</t>
  </si>
  <si>
    <t>סה"כ זכאים ויתרות זכות</t>
  </si>
  <si>
    <t>הלואה לזמן ארןך</t>
  </si>
  <si>
    <t>Share holders' equity</t>
  </si>
  <si>
    <t>Total passive</t>
  </si>
  <si>
    <t>P&amp;L</t>
  </si>
  <si>
    <t>Income</t>
  </si>
  <si>
    <t>R&amp;D Expenses</t>
  </si>
  <si>
    <t>Salaries expenses</t>
  </si>
  <si>
    <t>Depreciation</t>
  </si>
  <si>
    <t>Materials / R&amp;D supplies</t>
  </si>
  <si>
    <t>העמסת הנכ"ל למחלקת  מו"פ</t>
  </si>
  <si>
    <t>סך הכל הוצאות מחקר ופתוח</t>
  </si>
  <si>
    <t>General &amp; administrative expenses</t>
  </si>
  <si>
    <t>Professional Expenses</t>
  </si>
  <si>
    <t>Over head expenses</t>
  </si>
  <si>
    <t>העמסת הוצאות הנכ"ל למחלקות אחרות</t>
  </si>
  <si>
    <t>כיבודים</t>
  </si>
  <si>
    <t xml:space="preserve"> הוצאות משרדיות ואחרות</t>
  </si>
  <si>
    <t>Marketing expenses</t>
  </si>
  <si>
    <t>משפטיות</t>
  </si>
  <si>
    <t>Financial Expenses</t>
  </si>
  <si>
    <t>סה"כ הוצ' מימון</t>
  </si>
  <si>
    <t>ספ' ביקורת</t>
  </si>
  <si>
    <t>הוצ' מימון ראליות</t>
  </si>
  <si>
    <t>מימון ריאלי</t>
  </si>
  <si>
    <t>ש"ח</t>
  </si>
  <si>
    <t>התחייבויות לז"א</t>
  </si>
  <si>
    <t>Nis</t>
  </si>
  <si>
    <t>דו"ח על תזרימי מזומנים - חברה</t>
  </si>
  <si>
    <t>י. פתיחה</t>
  </si>
  <si>
    <t>י. סגירה</t>
  </si>
  <si>
    <t xml:space="preserve"> שנוי</t>
  </si>
  <si>
    <t>פעילות</t>
  </si>
  <si>
    <t xml:space="preserve">במזומנים </t>
  </si>
  <si>
    <t>שוטפת</t>
  </si>
  <si>
    <t>מימון</t>
  </si>
  <si>
    <t>השקעה</t>
  </si>
  <si>
    <t>רכוש קבוע , נטו</t>
  </si>
  <si>
    <t>עתודה לפצויים</t>
  </si>
  <si>
    <t>יתרת הפסד</t>
  </si>
  <si>
    <t>נספח א:התאמות הדרושות</t>
  </si>
  <si>
    <t>פחת והפחתות</t>
  </si>
  <si>
    <t>שנוי בעתודה לפצויים</t>
  </si>
  <si>
    <t>גדול בחיבים ויתרות חובה</t>
  </si>
  <si>
    <t>הפסד מפעילות שוטפת</t>
  </si>
  <si>
    <t>פעילות השקעה</t>
  </si>
  <si>
    <t>השקעה ברכוש אחר - רכישת פטנטים</t>
  </si>
  <si>
    <t>רכישת רכוש קבוע</t>
  </si>
  <si>
    <t>פעילות מימון</t>
  </si>
  <si>
    <t>קיטון באשראי מתאגידים בנקאיים</t>
  </si>
  <si>
    <t xml:space="preserve">הנפקת מניות </t>
  </si>
  <si>
    <t>הוצאות הנפקת מניות</t>
  </si>
  <si>
    <t>שנוי במזומנים</t>
  </si>
  <si>
    <t>מזומנים לתחילת שנה</t>
  </si>
  <si>
    <t>מזומנים לסוף שנה לפי דוח תזרים</t>
  </si>
  <si>
    <t>מזומנים לסוף שנה לפי מאזן</t>
  </si>
  <si>
    <t>הפרש</t>
  </si>
  <si>
    <t>תאריך הדו"ח</t>
  </si>
  <si>
    <t>מספרי השוואה</t>
  </si>
  <si>
    <t xml:space="preserve">לתקופה שהסתיימה </t>
  </si>
  <si>
    <t>Total current liabilities</t>
  </si>
  <si>
    <t>Accrued severance pay, net</t>
  </si>
  <si>
    <t>Fixed assets ,net</t>
  </si>
  <si>
    <t>Share holder's equity/deficiency</t>
  </si>
  <si>
    <t>Share capital</t>
  </si>
  <si>
    <t>Total Shareholder's (deficiency) Equity</t>
  </si>
  <si>
    <t>Revenues</t>
  </si>
  <si>
    <t>LTD</t>
  </si>
  <si>
    <t>₪</t>
  </si>
  <si>
    <t>ארוח חו"ל</t>
  </si>
  <si>
    <t>לקוחות</t>
  </si>
  <si>
    <t>סה"כ לקוחות</t>
  </si>
  <si>
    <t>הוצאות לשלם</t>
  </si>
  <si>
    <t>אבטחת מידע PCI</t>
  </si>
  <si>
    <t>מסים נדחים זמן קצר</t>
  </si>
  <si>
    <t>סלולרי</t>
  </si>
  <si>
    <t>משרדיות</t>
  </si>
  <si>
    <t>אחזקת מחשבים</t>
  </si>
  <si>
    <t>עמלות בנק</t>
  </si>
  <si>
    <t>הפרשי שער</t>
  </si>
  <si>
    <t>סה"כ ספקים</t>
  </si>
  <si>
    <t>others</t>
  </si>
  <si>
    <t>אחרות</t>
  </si>
  <si>
    <t>הוצאות מו"פ</t>
  </si>
  <si>
    <t>חשמל</t>
  </si>
  <si>
    <t>ארנונה ומים</t>
  </si>
  <si>
    <t>סה"כ קופות קטנות</t>
  </si>
  <si>
    <t>הוצאות פחת</t>
  </si>
  <si>
    <t>הכנסות מראש</t>
  </si>
  <si>
    <t>תמלוגים למפיצים</t>
  </si>
  <si>
    <t xml:space="preserve"> </t>
  </si>
  <si>
    <t>שיפורים במושכר</t>
  </si>
  <si>
    <t>שליחויות</t>
  </si>
  <si>
    <t>אגרות ודמי חבר</t>
  </si>
  <si>
    <t>שכר עבודה פיתוח</t>
  </si>
  <si>
    <t>שכר עבודה שיווק</t>
  </si>
  <si>
    <t>ארוחות לעובדים</t>
  </si>
  <si>
    <t>מתנות לעובדים</t>
  </si>
  <si>
    <t>ח'(ז')</t>
  </si>
  <si>
    <t>מיון</t>
  </si>
  <si>
    <t>סה"כ הוצאות הנהלה וכלליות</t>
  </si>
  <si>
    <t>מחזור הכנסות</t>
  </si>
  <si>
    <t>מיסים על ההכנסה</t>
  </si>
  <si>
    <t>תחזוקת כללית</t>
  </si>
  <si>
    <t>הון עצמי</t>
  </si>
  <si>
    <t>ספקים ונותני שרותים</t>
  </si>
  <si>
    <t>רווח לשנה</t>
  </si>
  <si>
    <t>העמסת הוצאות הנה"כ למחלקות אחרות</t>
  </si>
  <si>
    <t>העמסת הוצאות הנכ"ל על השיווק</t>
  </si>
  <si>
    <t>הפסד הון ממכירת רכוש קבוע</t>
  </si>
  <si>
    <t>הפסד ממימוש רכוש קבוע</t>
  </si>
  <si>
    <t>ציוד תערוכות</t>
  </si>
  <si>
    <t>ניכוי בשל פחת</t>
  </si>
  <si>
    <t>R&amp;D</t>
  </si>
  <si>
    <t>G&amp;A</t>
  </si>
  <si>
    <t xml:space="preserve"> Other liabilities</t>
  </si>
  <si>
    <t>רווח(הפסד) לפני מיסים לפי דו"ח</t>
  </si>
  <si>
    <t>הוצאות עלות המכר</t>
  </si>
  <si>
    <t>רווח(הפסד) השנה</t>
  </si>
  <si>
    <t>שכר ונלוות</t>
  </si>
  <si>
    <t>העמסת הנכ"ל  ושכר למחלקת  עלות המכר</t>
  </si>
  <si>
    <t>תמלוגים ועמלות מכירה</t>
  </si>
  <si>
    <t>הכרה בהכנסות שנדחו ש.ק.</t>
  </si>
  <si>
    <t>דחיית הכנסות השנה</t>
  </si>
  <si>
    <t>סה"כ הכנסות לדוח כספי</t>
  </si>
  <si>
    <t>ממוצע חודשי</t>
  </si>
  <si>
    <t>דוח שנתי משוער</t>
  </si>
  <si>
    <t>רווח לפני הכנסות מימון,נטו</t>
  </si>
  <si>
    <t>רווח לפני מסים על ההכנסה</t>
  </si>
  <si>
    <t>מחושב לפי ממוצע חודשי X 12</t>
  </si>
  <si>
    <t>תגמולי מילואים</t>
  </si>
  <si>
    <t>לא נעשה על 2008</t>
  </si>
  <si>
    <t>הכנסות בספרים עד 12/08</t>
  </si>
  <si>
    <t>הוצאות  מו"פ</t>
  </si>
  <si>
    <t>אירועי חברה</t>
  </si>
  <si>
    <t>הכנסות מראש זמן ארוך</t>
  </si>
  <si>
    <t>סקירת כרטיסים</t>
  </si>
  <si>
    <t>דצמבר 2007</t>
  </si>
  <si>
    <t>ספקים ונותני שירותים</t>
  </si>
  <si>
    <t>התחיבויות לזמן ארוך- הכנסות מראש ז.א</t>
  </si>
  <si>
    <t>שכר</t>
  </si>
  <si>
    <t>פיצויים</t>
  </si>
  <si>
    <t>הכנסות מראש (קיטון מהלקוחות)</t>
  </si>
  <si>
    <t>שינוי במיסים נדחים</t>
  </si>
  <si>
    <t>ספקים</t>
  </si>
  <si>
    <t>הכנסות נדחות-ז"ק</t>
  </si>
  <si>
    <t>הכנסות נדחות-ז"א</t>
  </si>
  <si>
    <t>הוצאות עודפות</t>
  </si>
  <si>
    <t>פקדונות לזמן קצר</t>
  </si>
  <si>
    <t>עובדים</t>
  </si>
  <si>
    <t>הפסד הון מועבר לשנים הבאות</t>
  </si>
  <si>
    <t>הכנסה חייבת בשיעור מס חברות</t>
  </si>
  <si>
    <t>מס לתשלום לפני קיזוז בגין זיכויים</t>
  </si>
  <si>
    <t>שיווק הוצ' טכ תב</t>
  </si>
  <si>
    <t>TOTAL</t>
  </si>
  <si>
    <t>חשבונית בינחברתית</t>
  </si>
  <si>
    <t>Consolidated financial statements</t>
  </si>
  <si>
    <t>BALANCE SHEETS</t>
  </si>
  <si>
    <t xml:space="preserve">   Current assets</t>
  </si>
  <si>
    <t>Cash and Cash Equivalents</t>
  </si>
  <si>
    <t xml:space="preserve">   Total assets</t>
  </si>
  <si>
    <t xml:space="preserve">   Current liabilities</t>
  </si>
  <si>
    <t>Trade payables</t>
  </si>
  <si>
    <t>Long  term liabilities</t>
  </si>
  <si>
    <t>Total liabilities</t>
  </si>
  <si>
    <t>STATEMENTS OF OPERATIONS</t>
  </si>
  <si>
    <t>Research and development</t>
  </si>
  <si>
    <t>General and administrative</t>
  </si>
  <si>
    <t xml:space="preserve">Sales and marketing </t>
  </si>
  <si>
    <t>Profit (loss) before taxes:</t>
  </si>
  <si>
    <t>Net profit (loss) for the period</t>
  </si>
  <si>
    <t>Algosec Inc</t>
  </si>
  <si>
    <t>COGS</t>
  </si>
  <si>
    <t>Consolidated Balance Sheet</t>
  </si>
  <si>
    <t>Journal Entries</t>
  </si>
  <si>
    <t>S&amp;M</t>
  </si>
  <si>
    <t>finance</t>
  </si>
  <si>
    <t>Tax</t>
  </si>
  <si>
    <t xml:space="preserve">Trade  receivable </t>
  </si>
  <si>
    <t xml:space="preserve">Defered Tax </t>
  </si>
  <si>
    <t>Other accounts receivable</t>
  </si>
  <si>
    <t>Other accounts payable</t>
  </si>
  <si>
    <t>Deferred revenues</t>
  </si>
  <si>
    <t xml:space="preserve">Retained earnings </t>
  </si>
  <si>
    <t>Gross profit</t>
  </si>
  <si>
    <t>Cash</t>
  </si>
  <si>
    <t>Deferred revenues Long</t>
  </si>
  <si>
    <t xml:space="preserve">Accrued severance </t>
  </si>
  <si>
    <t>capital</t>
  </si>
  <si>
    <t>Net profit for the year</t>
  </si>
  <si>
    <t>Additional Paid in Capital</t>
  </si>
  <si>
    <t>יתרת רווח לתחילת השנה</t>
  </si>
  <si>
    <t>רווח לפי דו"ח רווח והפסד</t>
  </si>
  <si>
    <t>קיטון בזכאים ויתרות זכות</t>
  </si>
  <si>
    <t>גידול בלקוחות</t>
  </si>
  <si>
    <t>גידול בספקים</t>
  </si>
  <si>
    <t>גידול בהתחייבויות לז"ק</t>
  </si>
  <si>
    <t>תשלום מבוסס מניות</t>
  </si>
  <si>
    <t xml:space="preserve">קרן הון </t>
  </si>
  <si>
    <t>החזר הוצאות גיל קרמר</t>
  </si>
  <si>
    <t>Algosec System Ltd</t>
  </si>
  <si>
    <t>הוצאות מראש והכנסות לקבל</t>
  </si>
  <si>
    <t>סה"כ התחייבויות ז.א</t>
  </si>
  <si>
    <t>שרותי פיתוח מטריקס</t>
  </si>
  <si>
    <t>קרן הון</t>
  </si>
  <si>
    <t>AJE</t>
  </si>
  <si>
    <t>#</t>
  </si>
  <si>
    <t>INC</t>
  </si>
  <si>
    <t>Capital fund</t>
  </si>
  <si>
    <t>טור עזר</t>
  </si>
  <si>
    <t>דו"ח על תזרימי מזומנים - מאוחד</t>
  </si>
  <si>
    <t>Accrued expenses and other liabilities</t>
  </si>
  <si>
    <t>יעוץ פיתוח תוכנה</t>
  </si>
  <si>
    <t>שכר עבודה ניהול מוצר</t>
  </si>
  <si>
    <t>Interest &amp; Penalties</t>
  </si>
  <si>
    <t>USD</t>
  </si>
  <si>
    <t>ניכוי מס מלקוחות ללא אישורים</t>
  </si>
  <si>
    <t>אלגוסק INC</t>
  </si>
  <si>
    <t>עלות מכר</t>
  </si>
  <si>
    <t>I/C</t>
  </si>
  <si>
    <t>Check</t>
  </si>
  <si>
    <t>פקדון לזמן קצר</t>
  </si>
  <si>
    <t>פקדונות לזמן ארוך</t>
  </si>
  <si>
    <t>Taxes on income (Tax benefit)</t>
  </si>
  <si>
    <t>Severance pay fund</t>
  </si>
  <si>
    <t>יתרת פתיחה 2013</t>
  </si>
  <si>
    <t>שכר עבודה עובדי סינגפור</t>
  </si>
  <si>
    <t>שרותי שכר סינגפור SCS</t>
  </si>
  <si>
    <t>10 ביס.קו.איל בע"מ</t>
  </si>
  <si>
    <t>אגם שיווק נט</t>
  </si>
  <si>
    <t>גל סמואל</t>
  </si>
  <si>
    <t>הרשת שלי פתרונות מחשוב בע"מ</t>
  </si>
  <si>
    <t>החזר מע"מ יורואט</t>
  </si>
  <si>
    <t>הוצ' מס' שנים קודמות</t>
  </si>
  <si>
    <t>שיק ביטחון שכ"ד קומה 4 -חובה</t>
  </si>
  <si>
    <t>שיק ביטחון שכ"ד קומה 4 -זכות</t>
  </si>
  <si>
    <t>שרותי נאמנות -מיטב בנפיטס</t>
  </si>
  <si>
    <t>מטריקס איי.טי.גלובל סרוויס בע"מ</t>
  </si>
  <si>
    <t>בעלי עניין</t>
  </si>
  <si>
    <t>עתודה לפיצויים</t>
  </si>
  <si>
    <t>כלליות</t>
  </si>
  <si>
    <t>This Section is copied from PY</t>
  </si>
  <si>
    <t>Increase Per Year</t>
  </si>
  <si>
    <t>Prior DR in Current P&amp;L</t>
  </si>
  <si>
    <t>Amount already recognized for tax</t>
  </si>
  <si>
    <t>Net Income per Books, not for Tax</t>
  </si>
  <si>
    <t xml:space="preserve">M-1 </t>
  </si>
  <si>
    <t>Income per tax not on books</t>
  </si>
  <si>
    <t>Income per books not on return</t>
  </si>
  <si>
    <t>Deferred Revenue Net</t>
  </si>
  <si>
    <t>99 ·  Tax exp</t>
  </si>
  <si>
    <t>Profit before Tax (according to Transfer Pricing)</t>
  </si>
  <si>
    <t>Related Parties</t>
  </si>
  <si>
    <t>רווח לפני מס</t>
  </si>
  <si>
    <t>רכוש אחר-מסים נדחים ז"א</t>
  </si>
  <si>
    <t>נספח ג' - הוצאות מו"פ לפי סעיף 20א' - השנה</t>
  </si>
  <si>
    <t>הוצאות מו"פ ברוטו</t>
  </si>
  <si>
    <t>בניכוי תשלום מבוסס מניות</t>
  </si>
  <si>
    <t>סך של 2/3 מהוצאות מו"פ לפריסה</t>
  </si>
  <si>
    <t>נספח ד' - הוצאות מו"פ לפי סעיף 20א' בגין שנים קודמות</t>
  </si>
  <si>
    <t>סה"כ הכנסה חייבת</t>
  </si>
  <si>
    <t>100.בנקים ומזומנים</t>
  </si>
  <si>
    <t>בנק לאומי ארה"ב חשבון 0768660918</t>
  </si>
  <si>
    <t>מע"מ תשומות</t>
  </si>
  <si>
    <t>מע"מ חו"ז</t>
  </si>
  <si>
    <t>פקדון שכ"ד -חשמל</t>
  </si>
  <si>
    <t>מיסים נדחים זמן ארוך</t>
  </si>
  <si>
    <t>מיסים נדחים זמן קצר</t>
  </si>
  <si>
    <t>מחשבים ותוכנות</t>
  </si>
  <si>
    <t>ארו-רפק בע"מ</t>
  </si>
  <si>
    <t>פסטל ציוד משרדי בע"מ</t>
  </si>
  <si>
    <t>535.הכנסות מראש</t>
  </si>
  <si>
    <t>הכנסות מראש SUBSCRIPTION -מטח-כל המטבעות</t>
  </si>
  <si>
    <t>ביטוח לאומי</t>
  </si>
  <si>
    <t>מס הכנסה</t>
  </si>
  <si>
    <t>עתודה לחופשה</t>
  </si>
  <si>
    <t>עתודה לפיצויי פיטורין</t>
  </si>
  <si>
    <t>אלגוסק UK</t>
  </si>
  <si>
    <t>משלוחי יבוא / יצוא</t>
  </si>
  <si>
    <t>רכיבים-ארו רפק ARROW</t>
  </si>
  <si>
    <t>שכר עבודה שירותים מקצועיים</t>
  </si>
  <si>
    <t>השמת עובדים ועובדים זמניים-שיווק</t>
  </si>
  <si>
    <t>הוצ' salesforce סייל פורס</t>
  </si>
  <si>
    <t>הוצ` שיווק US כללי</t>
  </si>
  <si>
    <t>נסיעות לחו"ל ולארץ משווקים אירופה EMEA</t>
  </si>
  <si>
    <t>הוצאות רילוקיישן</t>
  </si>
  <si>
    <t>החזר הוצ' עובדים סינגפור</t>
  </si>
  <si>
    <t>הוצאות פיתוח</t>
  </si>
  <si>
    <t>נסיעות לחו"ל יועצים ואורחים (גיל,  וכו)LATAM</t>
  </si>
  <si>
    <t>נסיעות לחו"ל יועצים ואורחים APAC</t>
  </si>
  <si>
    <t>טלפון, תקשורת ואינטרנט</t>
  </si>
  <si>
    <t>יעוץ הנה"כ</t>
  </si>
  <si>
    <t>ביקורת ויעוץ רו"ח</t>
  </si>
  <si>
    <t>969.שכר עבודה ישראל למיון למחלקות</t>
  </si>
  <si>
    <t>שכר עבודה ישראל</t>
  </si>
  <si>
    <t>שכר- ביטוח לאומי מעביד</t>
  </si>
  <si>
    <t>שכר-גמל מעביד</t>
  </si>
  <si>
    <t>שכר-גמל פיצויים</t>
  </si>
  <si>
    <t>שכר- גמל אובדן כושר עבודה</t>
  </si>
  <si>
    <t>שכר- קהל מעביד</t>
  </si>
  <si>
    <t>שכר- שווי רכב חובה</t>
  </si>
  <si>
    <t>שכר- שווי קהל חובה</t>
  </si>
  <si>
    <t>שכר- שווי קיצבה ואובדן כושר חובה</t>
  </si>
  <si>
    <t>שכר- שווי טלפון נייד חובה</t>
  </si>
  <si>
    <t>שכר- שווי ארוחות חובה</t>
  </si>
  <si>
    <t>שכר- שווי מתנות חובה</t>
  </si>
  <si>
    <t>שכר- שווי רכב זכות</t>
  </si>
  <si>
    <t>שכר- שווי קהל זכות</t>
  </si>
  <si>
    <t>שכר- שווי קיצבה ואובדן כושר זכות</t>
  </si>
  <si>
    <t>שכר- שווי טלפון נייד זכות</t>
  </si>
  <si>
    <t>שכר- שווי ארוחות זכות</t>
  </si>
  <si>
    <t>שכר- שווי מתנות זכות</t>
  </si>
  <si>
    <t>שכר-לא ל-126</t>
  </si>
  <si>
    <t>מיון שכר למחלקות</t>
  </si>
  <si>
    <t>אירוח חו"ל</t>
  </si>
  <si>
    <t>שכר דירה</t>
  </si>
  <si>
    <t>נסיעות כללי, מוניות, (עובדים ללא רכב) וחניה</t>
  </si>
  <si>
    <t>השתלמויות וספרות מקצועית הנה"כ</t>
  </si>
  <si>
    <t>רשיונות תוכנה הנה"כ</t>
  </si>
  <si>
    <t>ביטוח דירקטורים</t>
  </si>
  <si>
    <t>ביטוח עסק</t>
  </si>
  <si>
    <t>GBP</t>
  </si>
  <si>
    <t>סה"כ מזומנים בליש"ט</t>
  </si>
  <si>
    <t>סה"כ פקדונות בליש"ט</t>
  </si>
  <si>
    <t>NIS/USD</t>
  </si>
  <si>
    <t>USD/GBP</t>
  </si>
  <si>
    <t>Algosec Europe</t>
  </si>
  <si>
    <t>UK</t>
  </si>
  <si>
    <t>מתאפס-תואם ל-126</t>
  </si>
  <si>
    <t>הוצאות שכר עלות המכר</t>
  </si>
  <si>
    <t>הוצאות אחרות עלות המכר</t>
  </si>
  <si>
    <t>Rent</t>
  </si>
  <si>
    <t xml:space="preserve">Key allocation of G&amp;A costs </t>
  </si>
  <si>
    <t>Technical support</t>
  </si>
  <si>
    <t>Professional services</t>
  </si>
  <si>
    <t>Product Management</t>
  </si>
  <si>
    <t>Sales &amp; Marketing</t>
  </si>
  <si>
    <t>Business Development</t>
  </si>
  <si>
    <t>Consolidated P&amp;L</t>
  </si>
  <si>
    <t xml:space="preserve">עובדים </t>
  </si>
  <si>
    <t>מוסדות שכר</t>
  </si>
  <si>
    <t xml:space="preserve">הפרשה לחופשה </t>
  </si>
  <si>
    <t>הוצאות לשלם עובדים</t>
  </si>
  <si>
    <t>פחת לפי מס הכנסה</t>
  </si>
  <si>
    <t>פחת לפי ספרים</t>
  </si>
  <si>
    <t>הפסדים מועברים משנים קודמות</t>
  </si>
  <si>
    <t>מיון לצורך הצגה בדוחות בין ז"ק לז"א</t>
  </si>
  <si>
    <t>Total operating profit</t>
  </si>
  <si>
    <t>כותרת ראשית;</t>
  </si>
  <si>
    <t>כותרת משנה;</t>
  </si>
  <si>
    <t>סעיף;</t>
  </si>
  <si>
    <t>חשבון</t>
  </si>
  <si>
    <t>תאור חשבון</t>
  </si>
  <si>
    <t>Netpoleon Solutions Pte Ltd</t>
  </si>
  <si>
    <t>ניכוי במקור מכלל 2015</t>
  </si>
  <si>
    <t>ניכוי מס מלקוחות 2015</t>
  </si>
  <si>
    <t>מקדמות מס הכנסה 2015</t>
  </si>
  <si>
    <t>עודפות 2015</t>
  </si>
  <si>
    <t>טקניון מקבוצת גלובל ישראל בע"מ</t>
  </si>
  <si>
    <t>תים נטקום בע"מ</t>
  </si>
  <si>
    <t>Salesforce.com</t>
  </si>
  <si>
    <t>Conga</t>
  </si>
  <si>
    <t>Gil Kremer</t>
  </si>
  <si>
    <t>לאומי קארד 1795 ש"ח    אבישי</t>
  </si>
  <si>
    <t>לאומי קארד 1795 $  אבישי</t>
  </si>
  <si>
    <t>לאומי קארד 2613 ש"ח  מח' שיווק</t>
  </si>
  <si>
    <t>Algosec INC- CREDIT CARD CHARGES</t>
  </si>
  <si>
    <t>מיון הכנסות שונות</t>
  </si>
  <si>
    <t>הכנסות בין חברתיות ארה"ב INC TRANSFER PRICING</t>
  </si>
  <si>
    <t>הכנסות בין חברתיות אנגליה UK TRANSFER PRICING</t>
  </si>
  <si>
    <t>יועצים ניהול מוצר (אורון אופיר)</t>
  </si>
  <si>
    <t xml:space="preserve"> הוצאות רכב</t>
  </si>
  <si>
    <t>סה"כ נכסים</t>
  </si>
  <si>
    <t>סה"כ הון עצמי</t>
  </si>
  <si>
    <t>סך הכל הוצאות עלות המכר</t>
  </si>
  <si>
    <t>סה"כ הכנסות</t>
  </si>
  <si>
    <t>סה"כ הוצאות שיווק</t>
  </si>
  <si>
    <t>בדיקה</t>
  </si>
  <si>
    <t>סה"כ רווח והפסד</t>
  </si>
  <si>
    <t>שכר עבודה תמיכה ישראל</t>
  </si>
  <si>
    <t>80102-9</t>
  </si>
  <si>
    <t>Ingecom</t>
  </si>
  <si>
    <t>Deferred Revenue Appliance Maintenance</t>
  </si>
  <si>
    <t>סה"כ הוצאות מס</t>
  </si>
  <si>
    <t>סה"כ מזומנים וש"מ</t>
  </si>
  <si>
    <t>סכום בדולר</t>
  </si>
  <si>
    <t xml:space="preserve">Key allocation of Rent costs </t>
  </si>
  <si>
    <t># of employees</t>
  </si>
  <si>
    <t>בש"ח</t>
  </si>
  <si>
    <t>Rent to allocate</t>
  </si>
  <si>
    <t>G&amp;A to allocate :</t>
  </si>
  <si>
    <t xml:space="preserve">פקודה להעמסת הוצאות הנה"כ </t>
  </si>
  <si>
    <t>חברה אם</t>
  </si>
  <si>
    <t>Rent Deposit</t>
  </si>
  <si>
    <t>Furniture and Equipment</t>
  </si>
  <si>
    <t>Accumulated Depreciation</t>
  </si>
  <si>
    <t xml:space="preserve">ספקים </t>
  </si>
  <si>
    <t>Context Public Relations Ltd</t>
  </si>
  <si>
    <t>Romona Turner</t>
  </si>
  <si>
    <t>Liability sales tax due NJ</t>
  </si>
  <si>
    <t>Liability sales tax due TX</t>
  </si>
  <si>
    <t>Liability sales tax due WA</t>
  </si>
  <si>
    <t>Depreciation Expense</t>
  </si>
  <si>
    <t>Legal Fees</t>
  </si>
  <si>
    <t>Professional Fees</t>
  </si>
  <si>
    <t>Utilities</t>
  </si>
  <si>
    <t>Administration Fees</t>
  </si>
  <si>
    <t>Computer &amp; SW Expenses &lt;$1000</t>
  </si>
  <si>
    <t>Dues, Subscriptions &amp; Registration</t>
  </si>
  <si>
    <t>Gifts</t>
  </si>
  <si>
    <t>Telephone &amp; Communication Exp</t>
  </si>
  <si>
    <t>Meals &amp; Entertainment</t>
  </si>
  <si>
    <t>Insurance Expense</t>
  </si>
  <si>
    <t>Blog Expenses</t>
  </si>
  <si>
    <t>Taxation</t>
  </si>
  <si>
    <t>Bank Charges</t>
  </si>
  <si>
    <t>Credit Card Charges</t>
  </si>
  <si>
    <t>ראה כרטסות בתיקיית רווח והפסד</t>
  </si>
  <si>
    <t>ראה תיקיית רכוש קבוע ברשת</t>
  </si>
  <si>
    <t>מיון הכנסות מראש מז"ק לז"א</t>
  </si>
  <si>
    <t>Deferred Revenue LT</t>
  </si>
  <si>
    <t>Deferred Revenue (AR reduction)</t>
  </si>
  <si>
    <t>Difference</t>
  </si>
  <si>
    <t>Change in %</t>
  </si>
  <si>
    <t>Explanations</t>
  </si>
  <si>
    <t>הכנסות בדוח הכספי</t>
  </si>
  <si>
    <t>Deferred Revenue per BS 12-31-15</t>
  </si>
  <si>
    <t>Increase in Deferred Revenue per Books - To be recogized in 2016 Return</t>
  </si>
  <si>
    <t>less: future d/r recognized already from 2013</t>
  </si>
  <si>
    <t xml:space="preserve">OPTIONS-FASB 123 </t>
  </si>
  <si>
    <t>Profit before tax</t>
  </si>
  <si>
    <t>הורד:</t>
  </si>
  <si>
    <t>הוסף:</t>
  </si>
  <si>
    <t xml:space="preserve">הוצאות מו"פ שהועברו לאישור המדען </t>
  </si>
  <si>
    <t>Retained Earnings</t>
  </si>
  <si>
    <t>יעודה לפיצויים</t>
  </si>
  <si>
    <t>גריעות</t>
  </si>
  <si>
    <t>Financial exp (Income)</t>
  </si>
  <si>
    <t>Check:</t>
  </si>
  <si>
    <t>Profit before tax in the books</t>
  </si>
  <si>
    <t>הוצ`לשלם עובדים זכאים</t>
  </si>
  <si>
    <t>Accrued FSA / FSA Deposit</t>
  </si>
  <si>
    <t>Accrued DCA</t>
  </si>
  <si>
    <t>Glen Peachtree Rent Deposit</t>
  </si>
  <si>
    <t>Mission Critical Systems</t>
  </si>
  <si>
    <t>SHI International Corp.</t>
  </si>
  <si>
    <t>Accrued Exp Employee Related</t>
  </si>
  <si>
    <t>Jay (John) McClung</t>
  </si>
  <si>
    <t>Cynthia Garr</t>
  </si>
  <si>
    <t>Elias Moulopoulos</t>
  </si>
  <si>
    <t>Tax Advances Paid</t>
  </si>
  <si>
    <t>Customer Tax Withheld</t>
  </si>
  <si>
    <t>Provision for Taxation</t>
  </si>
  <si>
    <t>IRS Receivables/Payables</t>
  </si>
  <si>
    <t>Employees and Payroll Institutions</t>
  </si>
  <si>
    <t>סה"כ מאזן</t>
  </si>
  <si>
    <t>Consulting Income /Rebate</t>
  </si>
  <si>
    <t>Emp.Contribu. WC+Adjs Marketing</t>
  </si>
  <si>
    <t>HRA - Marketing</t>
  </si>
  <si>
    <t>Emp.Contribu. WC+Adjs Sales</t>
  </si>
  <si>
    <t>Dental Benefit - CAD Sales</t>
  </si>
  <si>
    <t>Employer Taxes - CAD Sales</t>
  </si>
  <si>
    <t>CAD Worker's Compensation</t>
  </si>
  <si>
    <t>HRA - Sales US</t>
  </si>
  <si>
    <t>Emp.Contribu. WC+Adjs Bus. Dev.</t>
  </si>
  <si>
    <t>HRA - Bus.Development</t>
  </si>
  <si>
    <t>Cleaning/Maintenance</t>
  </si>
  <si>
    <t>Office Refreshments</t>
  </si>
  <si>
    <t>401K Admin The Retirement Advantage, Inc</t>
  </si>
  <si>
    <t>סה"כ עלות המכר</t>
  </si>
  <si>
    <t>חו"ז מס הכנסה</t>
  </si>
  <si>
    <t>Prepaid Expenses</t>
  </si>
  <si>
    <t>iValue InfoSolutions Pvt. Ltd</t>
  </si>
  <si>
    <t>ניכוי מס מלקוחות 2016</t>
  </si>
  <si>
    <t>מקדמות מס הכנסה 2016</t>
  </si>
  <si>
    <t>עודפות 2016</t>
  </si>
  <si>
    <t>הכנסות בין חברתיות-תיקון/ביטול שנים קודמות</t>
  </si>
  <si>
    <t>בונוס שירותים מקצועיים</t>
  </si>
  <si>
    <t>611.שכר ונלוות ניהול מוצר</t>
  </si>
  <si>
    <t>702.הוצאות ישירות שיווק</t>
  </si>
  <si>
    <t>השמה EMEA</t>
  </si>
  <si>
    <t>עמלות,בונוסים /MBO גיל קרמר</t>
  </si>
  <si>
    <t>עמלות עובדי סינגפור</t>
  </si>
  <si>
    <t>בונוסים ועמלות CRISIIANO DEDUCK ברזיל</t>
  </si>
  <si>
    <t>712.הוצאות ישירות מכירות</t>
  </si>
  <si>
    <t>בנק לאומי  522600/83 עו"ש שקל</t>
  </si>
  <si>
    <t>בנק לאומי דולר  522600/83 $</t>
  </si>
  <si>
    <t>בנק לאומי יורו 522600/83</t>
  </si>
  <si>
    <t>קופה קטנה משרד</t>
  </si>
  <si>
    <t>110.הוצאות מראש</t>
  </si>
  <si>
    <t>112.מיסים נדחים זמן קצר</t>
  </si>
  <si>
    <t>113.צדדים קשורים</t>
  </si>
  <si>
    <t>130.לקוחות ILS</t>
  </si>
  <si>
    <t>131.לקוחות  $</t>
  </si>
  <si>
    <t>Compugraf Com?rcio de Tecnol?gia</t>
  </si>
  <si>
    <t>132.לקוחות  יורו</t>
  </si>
  <si>
    <t xml:space="preserve">Algosec Inc </t>
  </si>
  <si>
    <t>Cogs</t>
  </si>
  <si>
    <t>Marketing</t>
  </si>
  <si>
    <t>Sales</t>
  </si>
  <si>
    <t>Sales expenses</t>
  </si>
  <si>
    <t>Payroll - Marketing:</t>
  </si>
  <si>
    <t>סה"כ מו"פ</t>
  </si>
  <si>
    <t>Other expenses</t>
  </si>
  <si>
    <t>exclude options</t>
  </si>
  <si>
    <t>TP expense</t>
  </si>
  <si>
    <t>Net income (loss )</t>
  </si>
  <si>
    <t>Net income (loss ) per books</t>
  </si>
  <si>
    <t>Taxes</t>
  </si>
  <si>
    <t>סה"כ הוצאות שיווק ומכירות</t>
  </si>
  <si>
    <t>Deferred Revenue per BS 12-31-16</t>
  </si>
  <si>
    <t>New Info to be completed this year</t>
  </si>
  <si>
    <t>less: 2016 d/r recognized in 2015</t>
  </si>
  <si>
    <t>M-1</t>
  </si>
  <si>
    <t>TP expense per books</t>
  </si>
  <si>
    <t>TP expense per tax</t>
  </si>
  <si>
    <t>Tax Return calculation :</t>
  </si>
  <si>
    <t>TP calculation :</t>
  </si>
  <si>
    <t>Penalties</t>
  </si>
  <si>
    <t>Add:</t>
  </si>
  <si>
    <t>Less:</t>
  </si>
  <si>
    <t>TP- tax adjustment</t>
  </si>
  <si>
    <t>Taxable income</t>
  </si>
  <si>
    <t>ראה ברשת קובץ מיסים נדחים</t>
  </si>
  <si>
    <t>הפרשה למס 2016</t>
  </si>
  <si>
    <t>שע"ח ממוצע</t>
  </si>
  <si>
    <t>שע"ח סוף שנה</t>
  </si>
  <si>
    <t>NIS/GBP</t>
  </si>
  <si>
    <t>שע"ח ממוצע לשנה</t>
  </si>
  <si>
    <t>New4</t>
  </si>
  <si>
    <t xml:space="preserve">Intercompany </t>
  </si>
  <si>
    <t>Total P&amp;L</t>
  </si>
  <si>
    <t>Marketing and Sales</t>
  </si>
  <si>
    <t>Total Sales and Marketing</t>
  </si>
  <si>
    <t>רווח לפני מס ומימון לצורך עדכון פקודת מחירי ההעברה</t>
  </si>
  <si>
    <t>Euro/GBP</t>
  </si>
  <si>
    <t xml:space="preserve">Exchange rates gains </t>
  </si>
  <si>
    <t>Bank charges</t>
  </si>
  <si>
    <t>Options</t>
  </si>
  <si>
    <t>Total P&amp;L not including options, tax and exchange rates</t>
  </si>
  <si>
    <t>הוצאות אופציות</t>
  </si>
  <si>
    <t>Options exp:</t>
  </si>
  <si>
    <t>Cogs FAS123</t>
  </si>
  <si>
    <t>R&amp;D FAS123</t>
  </si>
  <si>
    <t>Profit before Tax and exchange rate</t>
  </si>
  <si>
    <t>Intercompany invoice adjustment</t>
  </si>
  <si>
    <t>Exchange rate gains</t>
  </si>
  <si>
    <t>Taxes &amp; Exchange rate</t>
  </si>
  <si>
    <t>DR adjustment</t>
  </si>
  <si>
    <t>Total sales (book)</t>
  </si>
  <si>
    <t>Additional TP expense</t>
  </si>
  <si>
    <t>Total Income before state adjustments</t>
  </si>
  <si>
    <t>Additional tax due</t>
  </si>
  <si>
    <t>מע"מ עסקאות</t>
  </si>
  <si>
    <t>R&amp;D (customer focus)</t>
  </si>
  <si>
    <t>Exchange Rate</t>
  </si>
  <si>
    <t>Adjustments to reconcile net income to net cash provided by operating</t>
  </si>
  <si>
    <t>activities:</t>
  </si>
  <si>
    <t>Stock-based compensation</t>
  </si>
  <si>
    <t>Deferred taxes, net</t>
  </si>
  <si>
    <t>Decrease (increase) in trade receivables</t>
  </si>
  <si>
    <t xml:space="preserve">Increase in other accounts receivable </t>
  </si>
  <si>
    <t>Increase (decrease) in accrued expenses and other liabilities</t>
  </si>
  <si>
    <t>Increase in deferred revenues</t>
  </si>
  <si>
    <t>Net cash provided by operating activities</t>
  </si>
  <si>
    <t>Purchase of property and equipment</t>
  </si>
  <si>
    <t xml:space="preserve"> Net cash used in investing activities</t>
  </si>
  <si>
    <t>Cash flows from financing activities:</t>
  </si>
  <si>
    <t>Increase in cash and cash equivalents</t>
  </si>
  <si>
    <t>Cash and cash equivalents at the beginning of the year</t>
  </si>
  <si>
    <t>Cash and cash equivalents at the end of the year</t>
  </si>
  <si>
    <t>Increase (decrease) in trade payables</t>
  </si>
  <si>
    <t>בניכוי פחת</t>
  </si>
  <si>
    <t>זכאים</t>
  </si>
  <si>
    <t>מיון לקוחות בזכות לזכאים</t>
  </si>
  <si>
    <t>Employee Stock Option Exercised</t>
  </si>
  <si>
    <t>Leasehold improvements</t>
  </si>
  <si>
    <t>Consolidated</t>
  </si>
  <si>
    <t>Share based payments</t>
  </si>
  <si>
    <t>רווח לפני מס ומימון לפי מחירי ההעברה</t>
  </si>
  <si>
    <t>;Section Heading</t>
  </si>
  <si>
    <t>;Sub-heading</t>
  </si>
  <si>
    <t>;Item</t>
  </si>
  <si>
    <t>Account No.</t>
  </si>
  <si>
    <t>Account Description</t>
  </si>
  <si>
    <t>Balance (USD)</t>
  </si>
  <si>
    <t>100.Cash &amp; Cash Equivalents</t>
  </si>
  <si>
    <t>131.Accounts Receivable USD</t>
  </si>
  <si>
    <t>Dimension Data (Pty) Ltd.</t>
  </si>
  <si>
    <t>Infoprive Services Limited</t>
  </si>
  <si>
    <t>ITWAY Turkey</t>
  </si>
  <si>
    <t>Numeric technologies limited</t>
  </si>
  <si>
    <t>Arrow ECS Australia Pty Ltd.</t>
  </si>
  <si>
    <t>Secure Source Distribution</t>
  </si>
  <si>
    <t>Exclusive Networks Malaysia Sdn</t>
  </si>
  <si>
    <t>PT Westcon Solutions</t>
  </si>
  <si>
    <t>Ethnos IT Solutions Ltd</t>
  </si>
  <si>
    <t>132.Accounts Receivable EUR</t>
  </si>
  <si>
    <t>AVANTEC AG</t>
  </si>
  <si>
    <t>BT Netherlands N.V.</t>
  </si>
  <si>
    <t>Dartalis</t>
  </si>
  <si>
    <t>Dimension Data Belgium nv/sa</t>
  </si>
  <si>
    <t>Orange Business Services Network</t>
  </si>
  <si>
    <t>Orange Cyberdefense S.A.S.</t>
  </si>
  <si>
    <t>133.Accounts Receivable GBP</t>
  </si>
  <si>
    <t>Axial Systems</t>
  </si>
  <si>
    <t>110.Prepaid exp.</t>
  </si>
  <si>
    <t>יתרות בינחברתיות</t>
  </si>
  <si>
    <t>113.Related Parties</t>
  </si>
  <si>
    <t>Algosec Israel</t>
  </si>
  <si>
    <t>Algosec INC</t>
  </si>
  <si>
    <t>Algosec Australia</t>
  </si>
  <si>
    <t>151.Office Lease Deposits</t>
  </si>
  <si>
    <t>סה"כ מזומנים</t>
  </si>
  <si>
    <t>201.Short Term Deferred Revenues</t>
  </si>
  <si>
    <t>Deferred Revenues Local Currency</t>
  </si>
  <si>
    <t>Deferred Revenue Foreign exchange</t>
  </si>
  <si>
    <t>Deferred Revenues Subscription Local Currency</t>
  </si>
  <si>
    <t>Prepaid Income PS Local Currency</t>
  </si>
  <si>
    <t>Deferred Revenues PS</t>
  </si>
  <si>
    <t>Deferred Revenues Subscription</t>
  </si>
  <si>
    <t>Sorting from Income</t>
  </si>
  <si>
    <t>220.Accrued Expenses</t>
  </si>
  <si>
    <t>Accrued expenses</t>
  </si>
  <si>
    <t>240.Employees Liabilities</t>
  </si>
  <si>
    <t>Accrued expenses Employees</t>
  </si>
  <si>
    <t>250.Liability to institutions</t>
  </si>
  <si>
    <t>Input VAT</t>
  </si>
  <si>
    <t>HMRC VAT</t>
  </si>
  <si>
    <t>Withholding Tax from Customers NO WHT</t>
  </si>
  <si>
    <t>סה"כ התחייבויות והון</t>
  </si>
  <si>
    <t>302.Capital fund</t>
  </si>
  <si>
    <t>Capital fund and share-based payment</t>
  </si>
  <si>
    <t>303.Retained earnings</t>
  </si>
  <si>
    <t>400.Prouct Income</t>
  </si>
  <si>
    <t>Product Software Revenues Local Currency</t>
  </si>
  <si>
    <t>Revenues Hardware Local Currency</t>
  </si>
  <si>
    <t>Product Software Revenues Foreign Currency</t>
  </si>
  <si>
    <t>Product Hardware Revenues Foreign Currency</t>
  </si>
  <si>
    <t>80103-1</t>
  </si>
  <si>
    <t>Sort income</t>
  </si>
  <si>
    <t>401.Maintenance Income</t>
  </si>
  <si>
    <t>Maintenance Revenues Local Currency</t>
  </si>
  <si>
    <t>Maintenance Revenues Foreign Currency</t>
  </si>
  <si>
    <t>Subscription Revenues Foreign Currency</t>
  </si>
  <si>
    <t>Maintenance Revenues Subscription Local Currency</t>
  </si>
  <si>
    <t>Maintenance Revenues Appliance Foreign Currency</t>
  </si>
  <si>
    <t>Maintenance Revenues Euro and Dollar-for Bal2014</t>
  </si>
  <si>
    <t>402.Other Income</t>
  </si>
  <si>
    <t>Training Revenues Foreign Currency</t>
  </si>
  <si>
    <t>PS Revenues Foreign Currency</t>
  </si>
  <si>
    <t>PS Revenues Local Currency</t>
  </si>
  <si>
    <t>530.Payroll Project Mangement</t>
  </si>
  <si>
    <t>580.Hardware</t>
  </si>
  <si>
    <t>Import / export shipments</t>
  </si>
  <si>
    <t>590.Transfer Pricing</t>
  </si>
  <si>
    <t>Transfer Pricing per IC Agreeme-Cost of sales</t>
  </si>
  <si>
    <t>702.Direct Expenses Marketing</t>
  </si>
  <si>
    <t>Marketing Communications</t>
  </si>
  <si>
    <t>Exhibitions and Events</t>
  </si>
  <si>
    <t>Event &amp; Field Marketing</t>
  </si>
  <si>
    <t>ישירות</t>
  </si>
  <si>
    <t>711.Payroll Sales</t>
  </si>
  <si>
    <t>Gross Salary - Sales</t>
  </si>
  <si>
    <t>MBO - Sales</t>
  </si>
  <si>
    <t>Commission - Sales from provision only</t>
  </si>
  <si>
    <t>Commission Sales</t>
  </si>
  <si>
    <t>Gross Salary - Ausralia</t>
  </si>
  <si>
    <t>Commission Australia</t>
  </si>
  <si>
    <t>Recruiting Sales</t>
  </si>
  <si>
    <t>Consulting - Mikkel Børve</t>
  </si>
  <si>
    <t>MBO - Mikkel Børve</t>
  </si>
  <si>
    <t>Commission - Mikkel Børve</t>
  </si>
  <si>
    <t>714.Payroll SE</t>
  </si>
  <si>
    <t>Gross Salary - SE</t>
  </si>
  <si>
    <t>MBO - SE</t>
  </si>
  <si>
    <t>Commissions SE</t>
  </si>
  <si>
    <t>Consulting - Secure Vibes, Jan Bart</t>
  </si>
  <si>
    <t>Commission - Secure Vibes, Jan Bart</t>
  </si>
  <si>
    <t>712.Direct Expenses sales</t>
  </si>
  <si>
    <t>Employees exp. UK</t>
  </si>
  <si>
    <t>Exp. return Mikkel Børve</t>
  </si>
  <si>
    <t>Sales Commision to Vendors</t>
  </si>
  <si>
    <t>Others Exp. Sales</t>
  </si>
  <si>
    <t>Exp. return Secure Vibes-Jan Bart</t>
  </si>
  <si>
    <t>841.Corporate G&amp;A Expenses</t>
  </si>
  <si>
    <t>G &amp; A Consultants, Accounting Services</t>
  </si>
  <si>
    <t>803.G&amp;A Expenses allocated</t>
  </si>
  <si>
    <t>Offices Exp.</t>
  </si>
  <si>
    <t>Postages and Delivery</t>
  </si>
  <si>
    <t>901.Financial Expenses</t>
  </si>
  <si>
    <t>910.Tax Expenses</t>
  </si>
  <si>
    <t>Tax on Income</t>
  </si>
  <si>
    <t xml:space="preserve">Algosec Australia </t>
  </si>
  <si>
    <t>ניכוי מס במקור מלקוחות ללא אישורים</t>
  </si>
  <si>
    <t>אלגוסק ישראל</t>
  </si>
  <si>
    <t>תשלום מבוסס מניות שיווק</t>
  </si>
  <si>
    <t>קרן הון תשלום מבוסס מניות</t>
  </si>
  <si>
    <t>USD/Aus $</t>
  </si>
  <si>
    <t>NIS/Aus $</t>
  </si>
  <si>
    <t>Algosec Ltd Israel</t>
  </si>
  <si>
    <t>1130007</t>
  </si>
  <si>
    <t>Bank - ATP Algosec Freedom Business bank account</t>
  </si>
  <si>
    <t>241.Payroll Institutions</t>
  </si>
  <si>
    <t>PAYG - Salary Tax</t>
  </si>
  <si>
    <t>Superannuation (Soc.for Emplyees A/P)</t>
  </si>
  <si>
    <t>520.Payroll PS</t>
  </si>
  <si>
    <t>Gross Salary - Professional  Services</t>
  </si>
  <si>
    <t>521.Direct Expenses PS</t>
  </si>
  <si>
    <t>Employees Exp. PS</t>
  </si>
  <si>
    <t>Workers Insurance</t>
  </si>
  <si>
    <t>Payroll Tax</t>
  </si>
  <si>
    <t>Australia Emp.Exp.-Sales</t>
  </si>
  <si>
    <t>Harry Lewins Exp. Retrun</t>
  </si>
  <si>
    <t>LeeOnn Tan Exp. Retrun</t>
  </si>
  <si>
    <t>AUD</t>
  </si>
  <si>
    <t>Bank Leumi USA Current Acc</t>
  </si>
  <si>
    <t>Bank of America</t>
  </si>
  <si>
    <t>111.Employees</t>
  </si>
  <si>
    <t>Loan to Employees</t>
  </si>
  <si>
    <t>112.Short Term Deferred Taxes</t>
  </si>
  <si>
    <t>Deferred Taxes ST</t>
  </si>
  <si>
    <t>Algosec  LTD Intercompany Account</t>
  </si>
  <si>
    <t>140.Computers</t>
  </si>
  <si>
    <t>142.Office furniture and equipment</t>
  </si>
  <si>
    <t>143.Leasehold improvements</t>
  </si>
  <si>
    <t>149.Accumulated depreciation</t>
  </si>
  <si>
    <t>Computer &amp; Software</t>
  </si>
  <si>
    <t>162.Long Term Deferred Taxes</t>
  </si>
  <si>
    <t>Deferred Taxes LT</t>
  </si>
  <si>
    <t>Long term assets</t>
  </si>
  <si>
    <t>סך רכוש לזמן ארוך</t>
  </si>
  <si>
    <t>Concur</t>
  </si>
  <si>
    <t>Leslie McIntosh</t>
  </si>
  <si>
    <t>William J Lavelle</t>
  </si>
  <si>
    <t>Erik Barnett</t>
  </si>
  <si>
    <t>Bruno Weinberger</t>
  </si>
  <si>
    <t>Matthew Brewer</t>
  </si>
  <si>
    <t>401K contributions payable</t>
  </si>
  <si>
    <t>Child support withholding</t>
  </si>
  <si>
    <t>252.Sales Tax Credit</t>
  </si>
  <si>
    <t>Liability GST/HST  Canada</t>
  </si>
  <si>
    <t>GST/HST security deposit</t>
  </si>
  <si>
    <t>300.Capital Stock</t>
  </si>
  <si>
    <t>Common Stock</t>
  </si>
  <si>
    <t>Series A Preferred Stock</t>
  </si>
  <si>
    <t>301.Additional paid-in capital</t>
  </si>
  <si>
    <t>Legal cost related to equity</t>
  </si>
  <si>
    <t>APIC - FAS123</t>
  </si>
  <si>
    <t>510.Payroll TS</t>
  </si>
  <si>
    <t>511.Direct Expenses TS</t>
  </si>
  <si>
    <t>540.Payroll Training</t>
  </si>
  <si>
    <t>541.Direct Expenses Training</t>
  </si>
  <si>
    <t>Gross Salary - Support</t>
  </si>
  <si>
    <t>Other Bonus - Support</t>
  </si>
  <si>
    <t>MBO - Support</t>
  </si>
  <si>
    <t>ER Contrib.Tax Support</t>
  </si>
  <si>
    <t>Paid Vacation Support</t>
  </si>
  <si>
    <t>HRA - Support</t>
  </si>
  <si>
    <t>Health Support</t>
  </si>
  <si>
    <t>Dental &amp; Vision Support</t>
  </si>
  <si>
    <t>Emp.Contribu. WC+Adjs Support</t>
  </si>
  <si>
    <t>Recruiting Support</t>
  </si>
  <si>
    <t>Technical Support Flight</t>
  </si>
  <si>
    <t>Technical Support Hotel Abroad</t>
  </si>
  <si>
    <t>Technical Support Perdiem Abroad</t>
  </si>
  <si>
    <t>Technical Support transportation Abroad</t>
  </si>
  <si>
    <t>Other Bonus - Professional  Services</t>
  </si>
  <si>
    <t>MBO - Professional  Services</t>
  </si>
  <si>
    <t>Paid Vacation PS</t>
  </si>
  <si>
    <t>HRA - PS</t>
  </si>
  <si>
    <t>Health PS</t>
  </si>
  <si>
    <t>Dental &amp; Vision PS</t>
  </si>
  <si>
    <t>ER Contrib Tax PS</t>
  </si>
  <si>
    <t>Recruiting-PS</t>
  </si>
  <si>
    <t>Professional Services Flight</t>
  </si>
  <si>
    <t>Professional Services Hotels Abroad</t>
  </si>
  <si>
    <t>Professional Services Perdium Abroad</t>
  </si>
  <si>
    <t>Professional Services Transportation Abroad</t>
  </si>
  <si>
    <t>MBO - Project Management</t>
  </si>
  <si>
    <t>Gross Salary - Training</t>
  </si>
  <si>
    <t>EE Training/Continuing Education</t>
  </si>
  <si>
    <t>ER Contrib Tax Training</t>
  </si>
  <si>
    <t>Health Training</t>
  </si>
  <si>
    <t>Dental &amp; Vision Training</t>
  </si>
  <si>
    <t>Training Flights</t>
  </si>
  <si>
    <t>Training Hotels Abroad</t>
  </si>
  <si>
    <t>Training Perdium Abroad</t>
  </si>
  <si>
    <t>Training  Transportation Abroad</t>
  </si>
  <si>
    <t>Training Other exp. Abroad</t>
  </si>
  <si>
    <t>Training Exp. &amp; Evants</t>
  </si>
  <si>
    <t>601.Payroll R&amp;D</t>
  </si>
  <si>
    <t>Gross Salary - Customer Focus</t>
  </si>
  <si>
    <t>MBO - Customer Focus</t>
  </si>
  <si>
    <t>Other Bonus - Customer Focus</t>
  </si>
  <si>
    <t>Emp.Contribu. WC+Adjs Customer Focus</t>
  </si>
  <si>
    <t>HRA -Customer Focus</t>
  </si>
  <si>
    <t>Health Customer Focus</t>
  </si>
  <si>
    <t>Dental &amp; Vision Customer Focus</t>
  </si>
  <si>
    <t>Gross Salary - Customer Focus CAD</t>
  </si>
  <si>
    <t>MBO - Customer Focus CAD</t>
  </si>
  <si>
    <t>Dental Benefits - CAD Customer Focus</t>
  </si>
  <si>
    <t>Other Bonus - Customer Focus CAD</t>
  </si>
  <si>
    <t>Employer Taxes - CAD Customer Focus</t>
  </si>
  <si>
    <t>ER Contrib Tax Customer Focus</t>
  </si>
  <si>
    <t>Recruiting Customer Focus</t>
  </si>
  <si>
    <t>602.Direct Expenses R&amp;D</t>
  </si>
  <si>
    <t>R&amp;D Flights</t>
  </si>
  <si>
    <t>R&amp;D Hotels</t>
  </si>
  <si>
    <t>R&amp;D Perdium Abroad</t>
  </si>
  <si>
    <t>R&amp;D Transportation Abroad</t>
  </si>
  <si>
    <t>Other Marketing:</t>
  </si>
  <si>
    <t>701.Payroll Marketing</t>
  </si>
  <si>
    <t>Gross Salary - Marketing</t>
  </si>
  <si>
    <t>MBO Marketing</t>
  </si>
  <si>
    <t>ER Contrib.Tax Markerting</t>
  </si>
  <si>
    <t>Dental &amp; Vision Marketing</t>
  </si>
  <si>
    <t>Health Marketing</t>
  </si>
  <si>
    <t>Small Buiness Canadian Tax Refund</t>
  </si>
  <si>
    <t>Gross Salary -Sales CAD</t>
  </si>
  <si>
    <t>Commission -Sales CAD</t>
  </si>
  <si>
    <t>MBO - CAD Sales</t>
  </si>
  <si>
    <t>FSA - Sales US</t>
  </si>
  <si>
    <t>Health Sales US</t>
  </si>
  <si>
    <t>Dental &amp; Vision Sales</t>
  </si>
  <si>
    <t>DCA - Sales US</t>
  </si>
  <si>
    <t>Gross Salary -Sales Manager</t>
  </si>
  <si>
    <t>ER Contrib Tax SM</t>
  </si>
  <si>
    <t>Commission -Sales Manager</t>
  </si>
  <si>
    <t>HRA - SM</t>
  </si>
  <si>
    <t>Health SM</t>
  </si>
  <si>
    <t>Dental &amp; Vision SM</t>
  </si>
  <si>
    <t>Consulting - Arizona Secured Networks, James Mil</t>
  </si>
  <si>
    <t>Commission - Arizona Secured Networks, James Mil</t>
  </si>
  <si>
    <t>ER Contrib.Tax Sales US</t>
  </si>
  <si>
    <t>Emp.Contribu. WC SM</t>
  </si>
  <si>
    <t>Other Bonus SE</t>
  </si>
  <si>
    <t>7140004-1</t>
  </si>
  <si>
    <t>Paid Vacation SE</t>
  </si>
  <si>
    <t>ER Contrib Tax SE</t>
  </si>
  <si>
    <t>Gross Salary - SE CAD</t>
  </si>
  <si>
    <t>Commission - SE CAD</t>
  </si>
  <si>
    <t>Dental Benefits - CAD SE</t>
  </si>
  <si>
    <t>MBO - SE CAD</t>
  </si>
  <si>
    <t>Employer Taxes - CAD SE</t>
  </si>
  <si>
    <t>Health SE</t>
  </si>
  <si>
    <t>Dental &amp; Vision SE</t>
  </si>
  <si>
    <t>Emp.Contribu. WC+Adjs SE</t>
  </si>
  <si>
    <t>Health Benefits CAD SE</t>
  </si>
  <si>
    <t>Recruiting SE</t>
  </si>
  <si>
    <t>612.Direct Expenses PM</t>
  </si>
  <si>
    <t>Marketing Flights</t>
  </si>
  <si>
    <t>Marketing Hotels Abroad</t>
  </si>
  <si>
    <t>Marketing Perdium Abroad</t>
  </si>
  <si>
    <t>Marketing Transportation Abroad</t>
  </si>
  <si>
    <t>Marketing Operations &amp; Programs</t>
  </si>
  <si>
    <t>Sales Development Enablement</t>
  </si>
  <si>
    <t>Marketing Research &amp; Analysis</t>
  </si>
  <si>
    <t>Marketing Consulting</t>
  </si>
  <si>
    <t>Marketing Software Licenses</t>
  </si>
  <si>
    <t>Other Sales:</t>
  </si>
  <si>
    <t>Sales Flights</t>
  </si>
  <si>
    <t>Sales Hotels</t>
  </si>
  <si>
    <t>Sales Meals &amp; Perdium Abroad</t>
  </si>
  <si>
    <t>Sales Transportation and Mileage</t>
  </si>
  <si>
    <t>Sales Other exp. Abroad</t>
  </si>
  <si>
    <t>Business Entertainment</t>
  </si>
  <si>
    <t>Business Development Exp.</t>
  </si>
  <si>
    <t>Expenses - Arizona Secured Networks, James Mille</t>
  </si>
  <si>
    <t>Sales SE Flights</t>
  </si>
  <si>
    <t>Sales SE Hotels Avroad</t>
  </si>
  <si>
    <t>Sales SE Perdium Abroad</t>
  </si>
  <si>
    <t>Sales SE Transportation Abroad</t>
  </si>
  <si>
    <t>Sales SE Other exp. Abroad</t>
  </si>
  <si>
    <t>715.Dierect Exp. SE</t>
  </si>
  <si>
    <t>717.Business Development Salary</t>
  </si>
  <si>
    <t>Gross Salary - Bus.Dev.</t>
  </si>
  <si>
    <t>ER Contrib Tax Bus.Dev.</t>
  </si>
  <si>
    <t>MBO - Business Dev.</t>
  </si>
  <si>
    <t>Health Bus.Dev.</t>
  </si>
  <si>
    <t>Dental &amp; Vision Bus.Dev.</t>
  </si>
  <si>
    <t>718.Business Development Direct Exp.</t>
  </si>
  <si>
    <t>Bus.Dev. Flights</t>
  </si>
  <si>
    <t>Bus.Dev. Hotels</t>
  </si>
  <si>
    <t>Bus.Dev. Perdium Abroad</t>
  </si>
  <si>
    <t>Bus.Dev. Transportation and Mileage</t>
  </si>
  <si>
    <t>Payroll - Sales:</t>
  </si>
  <si>
    <t>801.Payroll G&amp;A Finance</t>
  </si>
  <si>
    <t>Gross Salary - G&amp;A</t>
  </si>
  <si>
    <t>Health G&amp;A</t>
  </si>
  <si>
    <t>Dental &amp; Vision G&amp;A</t>
  </si>
  <si>
    <t>ER Contrib. Tax G&amp;A</t>
  </si>
  <si>
    <t>Recruiting G&amp;A</t>
  </si>
  <si>
    <t>Audit and consulting CPA</t>
  </si>
  <si>
    <t>802.Direct Expenses G&amp;A</t>
  </si>
  <si>
    <t>G&amp;A Flights</t>
  </si>
  <si>
    <t>G&amp;A Hotels Abroad</t>
  </si>
  <si>
    <t>G&amp;A Perdium Abroad</t>
  </si>
  <si>
    <t>G&amp;A Transportation Abroad</t>
  </si>
  <si>
    <t>Meals for Employees</t>
  </si>
  <si>
    <t>822.HR Direct Expenses</t>
  </si>
  <si>
    <t>Salary survey</t>
  </si>
  <si>
    <t>Severance pay exspenses</t>
  </si>
  <si>
    <t>Software licenses G&amp;A</t>
  </si>
  <si>
    <t>DE Franchise Tax</t>
  </si>
  <si>
    <t>Taxation - OH</t>
  </si>
  <si>
    <t>פקדון שכ"ד -ללא שינוי מש"ק (ניו ג'רזי)</t>
  </si>
  <si>
    <t>פקדון שכ"ד -(אטלנטה)</t>
  </si>
  <si>
    <t>2017 Tax Return</t>
  </si>
  <si>
    <t>Amount of 2015 DR in 2016 P&amp;L</t>
  </si>
  <si>
    <t>Amount of 2016 DR in current 2017 P&amp;L</t>
  </si>
  <si>
    <t>Deferred Revenue per BS 12-31-17</t>
  </si>
  <si>
    <t>Increase in Deferred Revenue per Books - To be recogized in 2017 Return</t>
  </si>
  <si>
    <t>future years d/r to recognize from 2016</t>
  </si>
  <si>
    <t>`</t>
  </si>
  <si>
    <t>הוצאות מראש להדרכות חברה - Sales kickoff</t>
  </si>
  <si>
    <t>1130001</t>
  </si>
  <si>
    <t>1130004</t>
  </si>
  <si>
    <t>1130005</t>
  </si>
  <si>
    <t>אלגוסק אוסטרליה</t>
  </si>
  <si>
    <t>Licencias Online Mexico (LOL)</t>
  </si>
  <si>
    <t>Exclusive Networks Sales India P</t>
  </si>
  <si>
    <t>140.מחשבים</t>
  </si>
  <si>
    <t>141.ציוד אלקטרוני</t>
  </si>
  <si>
    <t>ציוד אלקטרוני ותשתיות</t>
  </si>
  <si>
    <t>142.ריהוט וציוד משרדי</t>
  </si>
  <si>
    <t>ריהוט משרדי</t>
  </si>
  <si>
    <t>143.שיפורים במושכר</t>
  </si>
  <si>
    <t>149.פחת נצבר</t>
  </si>
  <si>
    <t>מחשבים פחת נצבר</t>
  </si>
  <si>
    <t>רהוט פחת נצבר</t>
  </si>
  <si>
    <t>ציוד אלקטרוני פחת נצבר</t>
  </si>
  <si>
    <t>שיפור במושכר פחת נצבר</t>
  </si>
  <si>
    <t>ציוד תערוכות פחת נצבר</t>
  </si>
  <si>
    <t>151.פקדון שכ"ד</t>
  </si>
  <si>
    <t>פקדון שכ"ד</t>
  </si>
  <si>
    <t>פקדונות וחייבים לזמן ארוך</t>
  </si>
  <si>
    <t>161.חייבים אחרים זמן ארוך</t>
  </si>
  <si>
    <t>הלואה $6000 למקס שירשוב מיום 21.10.15</t>
  </si>
  <si>
    <t>162.מיסים נדחים זמן ארוך</t>
  </si>
  <si>
    <t>201.הכנסות מראש זמן קצר</t>
  </si>
  <si>
    <t>הכנסות מראש שקל</t>
  </si>
  <si>
    <t>הכנסות מראש דולר ומטח מ-2014</t>
  </si>
  <si>
    <t>הכנסות מראש PS בנק שעות -מטח-כל המטבעות</t>
  </si>
  <si>
    <t>הכנסות מראש חומרה- APPLIANCE</t>
  </si>
  <si>
    <t>מיון מהכנסות</t>
  </si>
  <si>
    <t>210.ספקים ILS</t>
  </si>
  <si>
    <t>בזק החברה הישראלית</t>
  </si>
  <si>
    <t>נטוויז`ן-ברק 013</t>
  </si>
  <si>
    <t>צוות הוריקן</t>
  </si>
  <si>
    <t>אזורי פארק בע"מ</t>
  </si>
  <si>
    <t>ווב מארק אונליין סטרטג'יס (ש.י) בע"מ</t>
  </si>
  <si>
    <t>טרה-סקיי בע"מ</t>
  </si>
  <si>
    <t>211.ספקים קבלני משנה</t>
  </si>
  <si>
    <t>212.ספקים $ USD</t>
  </si>
  <si>
    <t>213.ספקים EURO</t>
  </si>
  <si>
    <t>214.ספקים GBP</t>
  </si>
  <si>
    <t>216.ספקים AUD</t>
  </si>
  <si>
    <t>220.הוצאות לשלם</t>
  </si>
  <si>
    <t>230.כרטיסי אשראי</t>
  </si>
  <si>
    <t>ישראכרט חדש יובל שקל</t>
  </si>
  <si>
    <t>240.עובדים זכאים</t>
  </si>
  <si>
    <t>עובדים -חו"ז</t>
  </si>
  <si>
    <t>241.מוסדות שכר</t>
  </si>
  <si>
    <t>242.עתודות</t>
  </si>
  <si>
    <t>250.מוסדות זכאים</t>
  </si>
  <si>
    <t>מע"מ רכוש קבוע</t>
  </si>
  <si>
    <t>ניכוי מס מלקוחות 2017</t>
  </si>
  <si>
    <t>מקדמות מס הכנסה 2017</t>
  </si>
  <si>
    <t>עודפות 2017</t>
  </si>
  <si>
    <t>260.עתודה לפיצויים</t>
  </si>
  <si>
    <t>303.עודפים</t>
  </si>
  <si>
    <t>יתרת רווח / הפסד שנים קודמות</t>
  </si>
  <si>
    <t>400.הכנסות ממוצרים</t>
  </si>
  <si>
    <t>הכנסות ממוצרים תוכנה בישראל</t>
  </si>
  <si>
    <t>הכנסות ממוצרים תוכנה מט"ח</t>
  </si>
  <si>
    <t>הכנסות ממוצרים חומרה מט"ח</t>
  </si>
  <si>
    <t>מיון הכנסות</t>
  </si>
  <si>
    <t>401.הכנסות מתחזוקה</t>
  </si>
  <si>
    <t>הכנסות תחזוקה תוכנה ישראל</t>
  </si>
  <si>
    <t>הכנסות תחזוקה תוכנה מט"ח</t>
  </si>
  <si>
    <t>הכנסות SUBSCRIPTION מט"ח</t>
  </si>
  <si>
    <t>הכנסות תחזוקה חומרה מט"ח</t>
  </si>
  <si>
    <t>402.הכנסות אחרות</t>
  </si>
  <si>
    <t>הכנסות TRAINING מט"ח</t>
  </si>
  <si>
    <t>הכנסות PS מט"ח</t>
  </si>
  <si>
    <t>409.הכנסות בינחברתיות</t>
  </si>
  <si>
    <t>TS.510 שכר ונלוות</t>
  </si>
  <si>
    <t>בונוס תמיכה ישראל</t>
  </si>
  <si>
    <t>בונוס MBO תמיכה ישראל</t>
  </si>
  <si>
    <t>שירותי חוץ ויעוץ הודו- תמיכה</t>
  </si>
  <si>
    <t>PS.520 שכר ונלוות</t>
  </si>
  <si>
    <t>בונוס MBO שירותים מקצועיים</t>
  </si>
  <si>
    <t>השמה - PS</t>
  </si>
  <si>
    <t>Training.540 שכר ונלוות</t>
  </si>
  <si>
    <t>שכר Training</t>
  </si>
  <si>
    <t>בונוס Training MBO</t>
  </si>
  <si>
    <t>TS.511 הוצאות ישירות</t>
  </si>
  <si>
    <t>כרטיסי טיסה Technical Support</t>
  </si>
  <si>
    <t>מלון Technical Support</t>
  </si>
  <si>
    <t>אשל Technical Support</t>
  </si>
  <si>
    <t>תחבורה בחו"ל Technical Support</t>
  </si>
  <si>
    <t>שונות בחו"ל Technical Support</t>
  </si>
  <si>
    <t>PS.521 הוצאות ישירות</t>
  </si>
  <si>
    <t>כרטיסי טיסה Professional Services</t>
  </si>
  <si>
    <t>מלון Professional Services</t>
  </si>
  <si>
    <t>אשל Professional Services</t>
  </si>
  <si>
    <t>תחבורה בחו"ל Professional Services</t>
  </si>
  <si>
    <t>שונות בחו"ל Professional Services</t>
  </si>
  <si>
    <t>Training.541 הוצאות ישירות</t>
  </si>
  <si>
    <t>כרטיסי טיסה Training</t>
  </si>
  <si>
    <t>מלון Training</t>
  </si>
  <si>
    <t>אשל Training</t>
  </si>
  <si>
    <t>תחבורה בחו"ל Training</t>
  </si>
  <si>
    <t>שונות בחו"ל Training</t>
  </si>
  <si>
    <t>פרסום,הדפסות וכו' Training</t>
  </si>
  <si>
    <t>יועצים Training</t>
  </si>
  <si>
    <t>580.חומרה</t>
  </si>
  <si>
    <t>581.תמלוגים</t>
  </si>
  <si>
    <t>590.מחירי העברה</t>
  </si>
  <si>
    <t>עלות המכר</t>
  </si>
  <si>
    <t>601.שכר ונלוות מו"פ</t>
  </si>
  <si>
    <t>בונוסים  עובדי ישראל פיתוח</t>
  </si>
  <si>
    <t>בונוס MBO  עובדי ישראל פיתוח</t>
  </si>
  <si>
    <t>השמת עובדים -מו"פ</t>
  </si>
  <si>
    <t>שירותי פיתוח בבלרוס (אמבר) AMBAR</t>
  </si>
  <si>
    <t>602.הוצאות ישירות מו"פ</t>
  </si>
  <si>
    <t>כרטיסי טיסה מו"פ</t>
  </si>
  <si>
    <t>מלון מו"פ</t>
  </si>
  <si>
    <t>אשל מו"פ</t>
  </si>
  <si>
    <t>תחבורה בחו"ל מו"פ</t>
  </si>
  <si>
    <t>שונות בחו"ל מו"פ</t>
  </si>
  <si>
    <t>רשיונות תוכנה פיתוח</t>
  </si>
  <si>
    <t>הוצאות עובדי בלרוס (אמבר), טיסות וכו</t>
  </si>
  <si>
    <t>קורסים השתלמויות לעובדים</t>
  </si>
  <si>
    <t>בונוס ניהול מוצר</t>
  </si>
  <si>
    <t>בונוס MBO ניהול מוצר</t>
  </si>
  <si>
    <t>612.הוצאות ישירות ניהול מוצר</t>
  </si>
  <si>
    <t>כרטיסי טיסה  ניהול מוצר</t>
  </si>
  <si>
    <t>מלון  ניהול מוצר</t>
  </si>
  <si>
    <t>אשל  ניהול מוצר</t>
  </si>
  <si>
    <t>תחבורה בחו"ל ניהול מוצר</t>
  </si>
  <si>
    <t>שונות בחו"ל ניהול מוצר</t>
  </si>
  <si>
    <t>701.שכר ונלוות שיווק</t>
  </si>
  <si>
    <t>בונוס  שיווק</t>
  </si>
  <si>
    <t>בונוס  MBO שיווק</t>
  </si>
  <si>
    <t>הוצאות ישירות שיווק</t>
  </si>
  <si>
    <t>כרטיסי טיסה  שיווק</t>
  </si>
  <si>
    <t>מלון  שיווק</t>
  </si>
  <si>
    <t>אשל  שיווק</t>
  </si>
  <si>
    <t>תחבורה בחו"ל שיווק</t>
  </si>
  <si>
    <t>שונות בחו"ל שיווק</t>
  </si>
  <si>
    <t>תקשורת שיווק</t>
  </si>
  <si>
    <t>פרסום,יחסי ציבור ועיצוב</t>
  </si>
  <si>
    <t>רשיונות תוכנה שיווק</t>
  </si>
  <si>
    <t>Marketing &amp;Sales expenses</t>
  </si>
  <si>
    <t>הוצאות שכר שיווק</t>
  </si>
  <si>
    <t>הוצאות שכר מכירות</t>
  </si>
  <si>
    <t>711.שכר ונלוות מכירות</t>
  </si>
  <si>
    <t>שכר עבודה מכירות</t>
  </si>
  <si>
    <t>בונוס  MBO מכירות</t>
  </si>
  <si>
    <t>שכר מכירות- עמלות למאזן בלבד</t>
  </si>
  <si>
    <t>עמלות  מכירה מח. מכירות</t>
  </si>
  <si>
    <t>בונוסים עובדי סינגפור ו-MBO</t>
  </si>
  <si>
    <t>יעוץ גיל קרמר</t>
  </si>
  <si>
    <t>בונוס MBO גיל קרמר</t>
  </si>
  <si>
    <t>יעוץ CRISIIANO DEDUCK ברזיל</t>
  </si>
  <si>
    <t>בונוס CRISIIANO DEDUC KMBO ברזיל</t>
  </si>
  <si>
    <t>הוצאות ישירות מכירות</t>
  </si>
  <si>
    <t>כרטיסי טיסה  מכירות</t>
  </si>
  <si>
    <t>מלון  מכירות</t>
  </si>
  <si>
    <t>אשל  מכירות</t>
  </si>
  <si>
    <t>תחבורה בחו"ל מכירות</t>
  </si>
  <si>
    <t>שונות בחו"ל מכירות</t>
  </si>
  <si>
    <t>החזר הוצ' עובדים הודו</t>
  </si>
  <si>
    <t>יעוץ APAC</t>
  </si>
  <si>
    <t>החזר הוצאות  CRISIIANO DEDUCK ברזיל</t>
  </si>
  <si>
    <t>714.שכר ונלוות מכירות SE</t>
  </si>
  <si>
    <t>שכר SE</t>
  </si>
  <si>
    <t>בונוס SE MBO</t>
  </si>
  <si>
    <t>בונוס SE</t>
  </si>
  <si>
    <t>עמלות מכירה SE</t>
  </si>
  <si>
    <t>715.הוצאות ישירות מכירות SE</t>
  </si>
  <si>
    <t>כרטיסי טיסה  מכירות SE</t>
  </si>
  <si>
    <t>מלון  מכירות SE</t>
  </si>
  <si>
    <t>אשל  מכירות SE</t>
  </si>
  <si>
    <t>תחבורה בחו"ל מכירות SE</t>
  </si>
  <si>
    <t>שונות בחו"ל מכירות SE</t>
  </si>
  <si>
    <t>801.שכר ונלוות הנהלה וכלליות Finance</t>
  </si>
  <si>
    <t>שכר עבודה FINANCE &amp; LEGAL</t>
  </si>
  <si>
    <t>בונוס FINANCE &amp; LEGAL</t>
  </si>
  <si>
    <t>בונוס FINANCE &amp; LEGAL MBO</t>
  </si>
  <si>
    <t>השמת עובדים ועובדים זמניים-הנה"כ</t>
  </si>
  <si>
    <t>הוצ' הפרשה בגין עתודות שכר הנה"ח</t>
  </si>
  <si>
    <t>811.שכר ונלוות IT +  IS</t>
  </si>
  <si>
    <t>שכר עבודה IT &amp; IS</t>
  </si>
  <si>
    <t>בונוס IT &amp; IS</t>
  </si>
  <si>
    <t>821.שכר ונלוות HR</t>
  </si>
  <si>
    <t>שכר עבודה HR</t>
  </si>
  <si>
    <t>בונוס HR</t>
  </si>
  <si>
    <t>בונוס HR MBO</t>
  </si>
  <si>
    <t>שכר עבודה Administration</t>
  </si>
  <si>
    <t>שכר עבודה הנה"כ Corporate &amp; G&amp;A</t>
  </si>
  <si>
    <t>בונוס עובדי הנה"כ Corporate &amp; G&amp;A</t>
  </si>
  <si>
    <t>803.העמסות הנהלה וכלליות</t>
  </si>
  <si>
    <t>802.הוצאות ישירות Finance &amp; Legal</t>
  </si>
  <si>
    <t>841.הנהלה וכלליות Corporate</t>
  </si>
  <si>
    <t>אחזקת משרד</t>
  </si>
  <si>
    <t>מצרכים למשרד ולישיבות</t>
  </si>
  <si>
    <t>פעילויות צוות /חברה</t>
  </si>
  <si>
    <t>812.הוצאות ישירות IT +  IS</t>
  </si>
  <si>
    <t>כרטיסי טיסה IT +  IS</t>
  </si>
  <si>
    <t>מלון IT +  IS</t>
  </si>
  <si>
    <t>אשל IT +  IS</t>
  </si>
  <si>
    <t>תחבורה בחו"ל IT +  IS</t>
  </si>
  <si>
    <t>שונות בחו"ל IT +  IS</t>
  </si>
  <si>
    <t>822.הוצאות ישירות HR</t>
  </si>
  <si>
    <t>כרטיסי טיסה HR</t>
  </si>
  <si>
    <t>מלון HR</t>
  </si>
  <si>
    <t>אשל HR</t>
  </si>
  <si>
    <t>תחבורה בחו"ל HR</t>
  </si>
  <si>
    <t>שונות בחו"ל HR</t>
  </si>
  <si>
    <t>הוצ.פרסום ושונות  מחלקת HR</t>
  </si>
  <si>
    <t>832.הוצאות ישירות Admin</t>
  </si>
  <si>
    <t>תחבורה בחו"ל Admin</t>
  </si>
  <si>
    <t>שונות בחו"ל Admin</t>
  </si>
  <si>
    <t>כרטיסי טיסה  Corporate</t>
  </si>
  <si>
    <t>מלון Corporate</t>
  </si>
  <si>
    <t>אשל Corporate</t>
  </si>
  <si>
    <t>תחבורה בחו"ל Corporate</t>
  </si>
  <si>
    <t>שונות בחו"ל  Corporate</t>
  </si>
  <si>
    <t>ביטוח CGL &amp;PI ודירקטורים</t>
  </si>
  <si>
    <t>שכר בונוסים</t>
  </si>
  <si>
    <t>שכר בונוס MBO</t>
  </si>
  <si>
    <t>שכר עמלות מכירה</t>
  </si>
  <si>
    <t>שכר- שווי פיצויים חובה</t>
  </si>
  <si>
    <t>שכר- שווי פיצויים זכות</t>
  </si>
  <si>
    <t>901.הוצאות מימון</t>
  </si>
  <si>
    <t>ריבית והפרשי הצמדה ממוסדות</t>
  </si>
  <si>
    <t>910.הוצאות מיסים</t>
  </si>
  <si>
    <t xml:space="preserve">DR long term Classification  </t>
  </si>
  <si>
    <t>Related Parties Reconsilation :</t>
  </si>
  <si>
    <t>BS</t>
  </si>
  <si>
    <t>Intercompany LTD Account</t>
  </si>
  <si>
    <t>1130003</t>
  </si>
  <si>
    <t>Intercompany Europe</t>
  </si>
  <si>
    <t>EUR</t>
  </si>
  <si>
    <t>Australia</t>
  </si>
  <si>
    <t>אלגוסק אנגליה</t>
  </si>
  <si>
    <t>בונוס Training</t>
  </si>
  <si>
    <t>יעוץ מכירות SE</t>
  </si>
  <si>
    <t>בונוס מכירות</t>
  </si>
  <si>
    <t>52*.Professional Services</t>
  </si>
  <si>
    <t>MBO - Training</t>
  </si>
  <si>
    <t>Other Bonus - SM</t>
  </si>
  <si>
    <t>MBO - G&amp;A</t>
  </si>
  <si>
    <t>Other Bonus - G&amp;A</t>
  </si>
  <si>
    <t>Other Bonus - Sales</t>
  </si>
  <si>
    <t>ראה גיליון יתרות בינחברתיות + פקודת מחירי העברה</t>
  </si>
  <si>
    <t>5100013-1</t>
  </si>
  <si>
    <t>תשלום מבוסס מניות עלות המכר</t>
  </si>
  <si>
    <t>תשלום מבוסס מניות פיתוח</t>
  </si>
  <si>
    <t>תשלום מבוסס מניות ניהול מוצר</t>
  </si>
  <si>
    <t>תשלום מבוסס מניות - מכירות</t>
  </si>
  <si>
    <t>תשלום מבוסס מניות הנה"כ</t>
  </si>
  <si>
    <t>תשלום מבוסס מניות מכירות</t>
  </si>
  <si>
    <t>FAS123 Support</t>
  </si>
  <si>
    <t>FAS123 G&amp;A</t>
  </si>
  <si>
    <t>FAS123 Marketing</t>
  </si>
  <si>
    <t>FAS123 Sales US</t>
  </si>
  <si>
    <t>Check (TP expense = 9.78% of D/R adjustment):</t>
  </si>
  <si>
    <t>3020002 - Employee Stock Option Exercised</t>
  </si>
  <si>
    <t># of options</t>
  </si>
  <si>
    <t>הפרשה לפיצויים ולחופשה ניהול מוצר</t>
  </si>
  <si>
    <t>הוצאות שיווק ומכירות</t>
  </si>
  <si>
    <t>הפרשה לפיצויים ולחופשה מכירות</t>
  </si>
  <si>
    <t>תאור החשבון</t>
  </si>
  <si>
    <t>יתרה בשקלים</t>
  </si>
  <si>
    <t>יתרה בדולרים</t>
  </si>
  <si>
    <t>**1.נכסים</t>
  </si>
  <si>
    <t>*10.רכוש שוטף</t>
  </si>
  <si>
    <t>*11.חייבים ויתרות חובה</t>
  </si>
  <si>
    <t>*13.לקוחות</t>
  </si>
  <si>
    <t>EGUARDIAN LANKA PVT LTD</t>
  </si>
  <si>
    <t>*14.רכוש קבוע</t>
  </si>
  <si>
    <t>*15.פקדונות לזמן ארוך</t>
  </si>
  <si>
    <t>*16.נכסים לזמן ארוך</t>
  </si>
  <si>
    <t>**2.התחייבויות</t>
  </si>
  <si>
    <t>*20.התחייבויות זמן קצר</t>
  </si>
  <si>
    <t>*21.ספקים</t>
  </si>
  <si>
    <t>פאוזה שירותי קפה בע"מ</t>
  </si>
  <si>
    <t>*22.הוצאות לשלם</t>
  </si>
  <si>
    <t>*24.עובדים ומוסדות שכר</t>
  </si>
  <si>
    <t>*25.מוסדות</t>
  </si>
  <si>
    <t>מקדמות מס הכנסה 2018</t>
  </si>
  <si>
    <t>ניכוי מס מלקוחות 2018</t>
  </si>
  <si>
    <t>**3.הון עצמי</t>
  </si>
  <si>
    <t>*30.הון עצמי</t>
  </si>
  <si>
    <t>**4.הכנסות</t>
  </si>
  <si>
    <t>*40.הכנסות</t>
  </si>
  <si>
    <t>הכנסות מחשבונית עצמית</t>
  </si>
  <si>
    <t>קיזוז הכנסות מחשבונית עצמית</t>
  </si>
  <si>
    <t>**5.עלות המכירות</t>
  </si>
  <si>
    <t>Technical Support.51*</t>
  </si>
  <si>
    <t>Professional Services.52*</t>
  </si>
  <si>
    <t>Training.54*</t>
  </si>
  <si>
    <t>**6.הוצאות מו"פ</t>
  </si>
  <si>
    <t>*60.הוצאות מו"פ</t>
  </si>
  <si>
    <t>רשיונות תוכנה PM</t>
  </si>
  <si>
    <t>**7.הוצאות שיווק ומכירות</t>
  </si>
  <si>
    <t>*70.הוצאות שיווק</t>
  </si>
  <si>
    <t>Equipment</t>
  </si>
  <si>
    <t>*71.הוצאות מכירות</t>
  </si>
  <si>
    <t>הדרכות חברה שנתי Sales kickoff מקסיקו</t>
  </si>
  <si>
    <t>**8.הוצאות הנהלה וכלליות</t>
  </si>
  <si>
    <t>*80.הוצאות הנהלה וכלליות</t>
  </si>
  <si>
    <t>יעוץ ויועצים IT</t>
  </si>
  <si>
    <t>.82*</t>
  </si>
  <si>
    <t>סקר שכר</t>
  </si>
  <si>
    <t>בונוס Administration</t>
  </si>
  <si>
    <t>.84*</t>
  </si>
  <si>
    <t>בונוס MBO  הנה"כ Corporate &amp; G&amp;A</t>
  </si>
  <si>
    <t>**9.הוצאות מימון ומיסים</t>
  </si>
  <si>
    <t>*90.הוצאות מימון</t>
  </si>
  <si>
    <t>יתרה בלירה שטרלינג</t>
  </si>
  <si>
    <t>אלגוסק ארה"ב</t>
  </si>
  <si>
    <t>לקוחות שונים דולר</t>
  </si>
  <si>
    <t>133.לקוחות  ליש"ט</t>
  </si>
  <si>
    <t>הכנסות מראש חייבות מעמ ל"ש  ומטח</t>
  </si>
  <si>
    <t>הכנסות מראש יורו ודולר</t>
  </si>
  <si>
    <t>הכנסות מראש ל"ש ומטח חייבות מעמ Subsription</t>
  </si>
  <si>
    <t>הכנסות מראש PS חייבות בנק שעות ל"ש</t>
  </si>
  <si>
    <t>הכנסות מראש PS בנק שעות יורו ודולר</t>
  </si>
  <si>
    <t>הכנסות מראש מטח Subsription</t>
  </si>
  <si>
    <t>הוצ`לשלם</t>
  </si>
  <si>
    <t>AOK Bayern Krankenkasse</t>
  </si>
  <si>
    <t>URSSAF DU BAS RHIN</t>
  </si>
  <si>
    <t>HUMANIS - Retraite</t>
  </si>
  <si>
    <t>Formation continue</t>
  </si>
  <si>
    <t>Taxe apprentissage</t>
  </si>
  <si>
    <t>302.קרנות הון</t>
  </si>
  <si>
    <t>הכנסות פטורות מט"ח (יורו ודולר)</t>
  </si>
  <si>
    <t>הכנסות תחזוקה חייבות מעמ ל"ש+מטח(מועבר מהכ.מראש)</t>
  </si>
  <si>
    <t>הכנסות תחזוקה יורו ודולר(מועבר מהכנסות מראש)</t>
  </si>
  <si>
    <t>הכנסות תחזוקה Subscription מטח</t>
  </si>
  <si>
    <t>הכנסות תחזוקה Subscription חייבות</t>
  </si>
  <si>
    <t>הכנסות תחזוקה Appliance Maintenance</t>
  </si>
  <si>
    <t>הכנסות פטורות  PS (בנק שעות) מטח</t>
  </si>
  <si>
    <t>France MBO - Project Management</t>
  </si>
  <si>
    <t>Project Mangement.531 הוצאות ישירות</t>
  </si>
  <si>
    <t>יעוץ  Mikkel Børve</t>
  </si>
  <si>
    <t>החזר הוצאות Mikkel Børve</t>
  </si>
  <si>
    <t>החזר הוצאות Secure Vibes-Jan Bart</t>
  </si>
  <si>
    <t>שכר אנגליה עמלות מכירה SE</t>
  </si>
  <si>
    <t>יעוץ Secure Vibes-Jan Bart</t>
  </si>
  <si>
    <t>עמלות,בונוס  Secure Vibes-Jan Bart</t>
  </si>
  <si>
    <t>בונוס Secure Vibes-Jan Bart MBO</t>
  </si>
  <si>
    <t>השמה SE</t>
  </si>
  <si>
    <t>Corporate G&amp;A Expenses.841</t>
  </si>
  <si>
    <t>יעוץ הנה"כ , שירותי הנה"ח</t>
  </si>
  <si>
    <t>הוצאות בנק</t>
  </si>
  <si>
    <t>בנק AUD</t>
  </si>
  <si>
    <t>בנק אוסטרליה דולר</t>
  </si>
  <si>
    <t>הכנסות מראש חייבות מעמ ד"א ומטח</t>
  </si>
  <si>
    <t>הכנסות מראש מט"ח</t>
  </si>
  <si>
    <t>הכנסות מראש PS חייבות בנק שעות ד"א</t>
  </si>
  <si>
    <t>הכנסות תחזוקה חייבות מעמ ד"א+מטח(מועבר מהכ.מראש)</t>
  </si>
  <si>
    <t>136.A/R AUD</t>
  </si>
  <si>
    <t>Bank Deposit Leumi USA</t>
  </si>
  <si>
    <t>Prepaid exp..110</t>
  </si>
  <si>
    <t>Related Parties.113</t>
  </si>
  <si>
    <t>Accounts Receivable USD.131</t>
  </si>
  <si>
    <t>Payroll Institutions.241</t>
  </si>
  <si>
    <t>Payroll TS.510</t>
  </si>
  <si>
    <t>Direct Expenses TS.511</t>
  </si>
  <si>
    <t>Technical Support Other exp. Abroad</t>
  </si>
  <si>
    <t>Direct Expenses PS.521</t>
  </si>
  <si>
    <t>Professional Services Other exp. Abroad</t>
  </si>
  <si>
    <t>Payroll Training.540</t>
  </si>
  <si>
    <t>Emp.Contribu. WC+Adjs Training</t>
  </si>
  <si>
    <t>Direct Expenses Training.541</t>
  </si>
  <si>
    <t>Consultants Training</t>
  </si>
  <si>
    <t>Payroll R&amp;D.601</t>
  </si>
  <si>
    <t>Direct Expenses R&amp;D.602</t>
  </si>
  <si>
    <t>Direct Expenses PM.612</t>
  </si>
  <si>
    <t>PM Transportation Abroad</t>
  </si>
  <si>
    <t>PM Other exp. Abroad</t>
  </si>
  <si>
    <t>Payroll Marketing.701</t>
  </si>
  <si>
    <t>Other Bonus- Marketing</t>
  </si>
  <si>
    <t>Payroll Sales.711</t>
  </si>
  <si>
    <t>Paid Vacation Sales US</t>
  </si>
  <si>
    <t>Severance Sales</t>
  </si>
  <si>
    <t>Other Bonus - CAD Sales</t>
  </si>
  <si>
    <t>MBO -Sales Manager</t>
  </si>
  <si>
    <t>Commission - Business Dev.</t>
  </si>
  <si>
    <t>MBO - Arizona Secured Networks, James Mil</t>
  </si>
  <si>
    <t>Payroll SE.714</t>
  </si>
  <si>
    <t>Business Development Salary.717</t>
  </si>
  <si>
    <t>Payroll G&amp;A Finance.801</t>
  </si>
  <si>
    <t>Emp.Contribu. WC+Adjs G&amp;A</t>
  </si>
  <si>
    <t>G&amp;A Expenses allocated.803</t>
  </si>
  <si>
    <t>Life/STD insurance</t>
  </si>
  <si>
    <t>Financial Expenses.901</t>
  </si>
  <si>
    <t>Bank fees</t>
  </si>
  <si>
    <t>G&amp;A Loading - Brosh Building</t>
  </si>
  <si>
    <t>Department</t>
  </si>
  <si>
    <t>Support</t>
  </si>
  <si>
    <t>EMEA</t>
  </si>
  <si>
    <t>APAC</t>
  </si>
  <si>
    <t>.</t>
  </si>
  <si>
    <t>הכנסות בין חברתיות אנגליה APAC TRANSFER PRICING</t>
  </si>
  <si>
    <t>Expenses of doubtful debts</t>
  </si>
  <si>
    <t>בדיקת עודפים:</t>
  </si>
  <si>
    <t>רווח\הפסד הרבעון</t>
  </si>
  <si>
    <t>י.ס. ע"פ חישוב</t>
  </si>
  <si>
    <t>י.ס. בפועל</t>
  </si>
  <si>
    <t>הוצאות מיסים נדחים</t>
  </si>
  <si>
    <t>חופשה</t>
  </si>
  <si>
    <t>Cancellation balances &amp; Rounding</t>
  </si>
  <si>
    <t>Cash status</t>
  </si>
  <si>
    <t>Cash in the bank</t>
  </si>
  <si>
    <t>Trade receivables Gross</t>
  </si>
  <si>
    <t>Short-term liabilities excluding deferred revenues</t>
  </si>
  <si>
    <t>"Non-GAAP Net Working Capital"</t>
  </si>
  <si>
    <t xml:space="preserve">Trade receivables </t>
  </si>
  <si>
    <t>"GAAP - Working capital"</t>
  </si>
  <si>
    <t>Trail Balance Net Working Capital Threshold</t>
  </si>
  <si>
    <t>Net Unrestricted Cash Threshold</t>
  </si>
  <si>
    <t>Escrow for indemnification</t>
  </si>
  <si>
    <t>Post-Closing Withdrawl</t>
  </si>
  <si>
    <t>התחייבות לבעלי מניות</t>
  </si>
  <si>
    <t>AUSTRALIA</t>
  </si>
  <si>
    <t>EURO</t>
  </si>
  <si>
    <t>Provision for Doubtful Debts</t>
  </si>
  <si>
    <t>Accrued exp- Post Closing Withdrawl ST</t>
  </si>
  <si>
    <t>Workers Comp Ins</t>
  </si>
  <si>
    <t>Long Term Other Liabilities.262</t>
  </si>
  <si>
    <t>Accrued exp- Post Closing Withdrawl LT</t>
  </si>
  <si>
    <t>Professional Services Consulting</t>
  </si>
  <si>
    <t>Other Bonus - Training</t>
  </si>
  <si>
    <t>HRA- Training</t>
  </si>
  <si>
    <t>FAS123 Customer Focus</t>
  </si>
  <si>
    <t>R&amp;D Consulting</t>
  </si>
  <si>
    <t>PM Perdium Abroad</t>
  </si>
  <si>
    <t>Recruiting Marketing</t>
  </si>
  <si>
    <t>Share-Based Payment FAS123 - Marketing</t>
  </si>
  <si>
    <t>7140009-1</t>
  </si>
  <si>
    <t>Other Bonus SE- CAD</t>
  </si>
  <si>
    <t>Other Bonus - Bus Dev</t>
  </si>
  <si>
    <t>FAS 123 G&amp;A</t>
  </si>
  <si>
    <t>HRA - G&amp;A</t>
  </si>
  <si>
    <t>HR events</t>
  </si>
  <si>
    <t>Deferred Taxes</t>
  </si>
  <si>
    <t>Share-Based Payment FAS123 - TS</t>
  </si>
  <si>
    <t>Share-Based Payment FAS123 - Sales</t>
  </si>
  <si>
    <t xml:space="preserve">canadian payroll and taxes </t>
  </si>
  <si>
    <t>135.לקוחות אחרים</t>
  </si>
  <si>
    <t>הפרשה לחובות מסופקים</t>
  </si>
  <si>
    <t>הכנסות פטורות מוצרים לצורך מאזן בלבד</t>
  </si>
  <si>
    <t>מחשבים למעבדה</t>
  </si>
  <si>
    <t>בר אוריין</t>
  </si>
  <si>
    <t>2500037-1</t>
  </si>
  <si>
    <t>הפרשה למס 2015</t>
  </si>
  <si>
    <t>החזר מס הכנסה בגין שנת 2016</t>
  </si>
  <si>
    <t>החזר מס הכנסה בגין שנת 2015</t>
  </si>
  <si>
    <t>יעודה לפיצויי פיטורין</t>
  </si>
  <si>
    <t>הוצאות הפרשה לפיצויים ולחופשה עלות מכר</t>
  </si>
  <si>
    <t>עוץ- Technical Support</t>
  </si>
  <si>
    <t>TS.512 העמסות</t>
  </si>
  <si>
    <t>העמסת הנה"כ לעלות המכר</t>
  </si>
  <si>
    <t>הוצ' הפרשה בגין פיצויים וחופשה שכר מופ</t>
  </si>
  <si>
    <t>603.העמסת הוצאות על מו"פ</t>
  </si>
  <si>
    <t>העמסת הנכ"כ למחלקת  מו"פ</t>
  </si>
  <si>
    <t>הוצ' הפרשה לפיצויים ולחופשה שיווק</t>
  </si>
  <si>
    <t>703.העמסת הוצאות על שיווק</t>
  </si>
  <si>
    <t>הוצ' (הכנסות) מס שנים קודמות</t>
  </si>
  <si>
    <t>usd</t>
  </si>
  <si>
    <t xml:space="preserve">Income </t>
  </si>
  <si>
    <t>IC</t>
  </si>
  <si>
    <t>ILS</t>
  </si>
  <si>
    <t xml:space="preserve">main currency check </t>
  </si>
  <si>
    <t xml:space="preserve">usd check </t>
  </si>
  <si>
    <t>VNT</t>
  </si>
  <si>
    <t>הפרשה לכ.אשראי</t>
  </si>
  <si>
    <t>חדש250</t>
  </si>
  <si>
    <t>מע"מ ספקים בחובה לצורך מאזן בלבד</t>
  </si>
  <si>
    <t xml:space="preserve">רכוש קבוע </t>
  </si>
  <si>
    <t>מחשבים פיתוח</t>
  </si>
  <si>
    <t>ציוד אלקטרוני</t>
  </si>
  <si>
    <t xml:space="preserve">ציוד תערוכה </t>
  </si>
  <si>
    <t>י.פ.</t>
  </si>
  <si>
    <t>רכישות השנה</t>
  </si>
  <si>
    <t>י.ס.</t>
  </si>
  <si>
    <t>עלות</t>
  </si>
  <si>
    <t>פחנ"צ</t>
  </si>
  <si>
    <t>תנועה השנה</t>
  </si>
  <si>
    <t>עלות מופחתת</t>
  </si>
  <si>
    <t>סה"כ בטופס פחת</t>
  </si>
  <si>
    <t xml:space="preserve">סה"כ בספרים </t>
  </si>
  <si>
    <t>ריהוט</t>
  </si>
  <si>
    <t xml:space="preserve">רווח לפני מס </t>
  </si>
  <si>
    <t>https://www.ato.gov.au/Rates/</t>
  </si>
  <si>
    <t>Post-Closing Withdrawl'!A1</t>
  </si>
  <si>
    <t>Balance (AUD)</t>
  </si>
  <si>
    <t xml:space="preserve">מיון לקוחות בזכות </t>
  </si>
  <si>
    <t>ראה השוואה לעודפים י.פ.</t>
  </si>
  <si>
    <t>יונייטד סיטס בע"מ</t>
  </si>
  <si>
    <t>וואן שילוב מערכות</t>
  </si>
  <si>
    <t xml:space="preserve">ביטול יתרות </t>
  </si>
  <si>
    <t xml:space="preserve">הכנסות מראש - מיון לקוחות בזכות </t>
  </si>
  <si>
    <t>R&amp;D Other exp. Abroad</t>
  </si>
  <si>
    <t>PM Flights</t>
  </si>
  <si>
    <t>PM Hotels Abroad</t>
  </si>
  <si>
    <t>Paid Vacation Marketing</t>
  </si>
  <si>
    <t>Office Exp. Sales</t>
  </si>
  <si>
    <t>FA!A1</t>
  </si>
  <si>
    <t>הוצ' מראש ARROW</t>
  </si>
  <si>
    <t>מחשבים למעבדה פחת נצבר</t>
  </si>
  <si>
    <t>ספקים שונים</t>
  </si>
  <si>
    <t>הוצאות לשלם-ספקים בחובה</t>
  </si>
  <si>
    <t>Financial statements</t>
  </si>
  <si>
    <t>Total current assets</t>
  </si>
  <si>
    <t>פקדון לזמן ארוך/קצר</t>
  </si>
  <si>
    <t>Previous year Tax on Income</t>
  </si>
  <si>
    <t xml:space="preserve"> Net cash used in financing activities</t>
  </si>
  <si>
    <t>זכאים אחרים</t>
  </si>
  <si>
    <t>בונוסים מטריקס</t>
  </si>
  <si>
    <t>Year 2017</t>
  </si>
  <si>
    <t>Year 2018</t>
  </si>
  <si>
    <t>Liability for Treasury shares and founders ST</t>
  </si>
  <si>
    <t xml:space="preserve">הכנסות מראש (קיטון מהלקוחות) לקוחות בזכות </t>
  </si>
  <si>
    <t>201.Long Term Deferred Revenues</t>
  </si>
  <si>
    <t>הכנסות מראש מט"ח זמן ארוך</t>
  </si>
  <si>
    <t>Q2</t>
  </si>
  <si>
    <t>Q1</t>
  </si>
  <si>
    <t>Other Bonus - Ausralia</t>
  </si>
  <si>
    <t>בונוס אחר - עובדי אנגליה PM</t>
  </si>
  <si>
    <t>Recruiting Training</t>
  </si>
  <si>
    <t>Paid Vacation SM</t>
  </si>
  <si>
    <t>Severance - SM</t>
  </si>
  <si>
    <t>Sales Consulting</t>
  </si>
  <si>
    <t>הכנסות מראש ד"א ומטח חייבות מעמ Subsription</t>
  </si>
  <si>
    <t>בנק-ATP Algosec Freedom Business bank acc</t>
  </si>
  <si>
    <t>חו"ז סוציאליות עובדים Superannuation</t>
  </si>
  <si>
    <t>הכנסות תחזוקה מט"ח(מועבר מהכנסות מראש)</t>
  </si>
  <si>
    <t>שכר אוסטרליה מכירות</t>
  </si>
  <si>
    <t>שכר אוסטרליה , עמלות (ברוטו)</t>
  </si>
  <si>
    <t>מס לפי מדינות Payroll Tax</t>
  </si>
  <si>
    <t>החזר הוצאות מייק לנדוור</t>
  </si>
  <si>
    <t>כרטיסי טיסה Project Management</t>
  </si>
  <si>
    <t>אשל Project Management</t>
  </si>
  <si>
    <t>תחבורה בחו"ל Project Management</t>
  </si>
  <si>
    <t>שונות בחו"ל Project Management</t>
  </si>
  <si>
    <t>updated by Zohar - quarterly</t>
  </si>
  <si>
    <t xml:space="preserve">חשבוניות TP בלבד </t>
  </si>
  <si>
    <t>מס הכנסה +מ.ה.עובדים PAYG</t>
  </si>
  <si>
    <t>recorded</t>
  </si>
  <si>
    <t>ניכוי במקור מלקוחות-רו"ה (אין אישורים)</t>
  </si>
  <si>
    <t>CI proposed adjustments:</t>
  </si>
  <si>
    <t>1. Amounts required to be deposited in respect of lease agreements</t>
  </si>
  <si>
    <t>Obligation of deposit re new offices as per rent agreement (VDR item "6.3.2.9 שכירות הסכם ברוש- חתום 6.9.2017"), the total deposit amounts to NIS 919,357</t>
  </si>
  <si>
    <t>Deposit in 2017 balance Sheet account #1510001</t>
  </si>
  <si>
    <t>2. Amounts required to be deposited in respect of lease agreements</t>
  </si>
  <si>
    <t>$29k deposits recorded in Other Receivables (US and UK)</t>
  </si>
  <si>
    <t>3. Deferred revenues error</t>
  </si>
  <si>
    <t>Error confirmed by company</t>
  </si>
  <si>
    <t>4. Receivables from shareholders, directors, employees</t>
  </si>
  <si>
    <t>"Loan to Employees", on-balance sheet, included in Other Receivables</t>
  </si>
  <si>
    <t>4. Investment bonus</t>
  </si>
  <si>
    <t xml:space="preserve">Bonus of $3,000 per employee </t>
  </si>
  <si>
    <t>מלון Project Management</t>
  </si>
  <si>
    <t>2018 Tax Return</t>
  </si>
  <si>
    <t>Amount of 2016 DR in 2017 P&amp;L</t>
  </si>
  <si>
    <t>Increase in Deferred Revenue per Books - To be recogized in 2018 Return</t>
  </si>
  <si>
    <t>Amount of 2017 DR in current 2018 P&amp;L</t>
  </si>
  <si>
    <t>Deferred Revenue per BS 12-31-18</t>
  </si>
  <si>
    <t>Increase in Deferred Revenue per Books - To be recogized in 2019 Return</t>
  </si>
  <si>
    <t>future years d/r to recognize from 2017</t>
  </si>
  <si>
    <t>204.Other Liabilities</t>
  </si>
  <si>
    <t>Customer Focus Relocation</t>
  </si>
  <si>
    <t>Sales software subscription</t>
  </si>
  <si>
    <t>capital gain/loss</t>
  </si>
  <si>
    <t xml:space="preserve">מכירת מחשב לעובד </t>
  </si>
  <si>
    <t>tax to pay 2018</t>
  </si>
  <si>
    <t>wht 2017</t>
  </si>
  <si>
    <t>accrual for 2018</t>
  </si>
  <si>
    <t>wht 2018 only</t>
  </si>
  <si>
    <t>Professional &amp; Other Expenses</t>
  </si>
  <si>
    <t>הפרשה למס אנגליה לצורך מאזן בלבד</t>
  </si>
  <si>
    <t>ניכוי מס במקור מלקוחות עד 2017</t>
  </si>
  <si>
    <t>ניכוי מס במקור מלקוחות 2018</t>
  </si>
  <si>
    <t>7140008-1</t>
  </si>
  <si>
    <t>Paid Vacation- CAD SE</t>
  </si>
  <si>
    <t>Paid Vacation G&amp;A</t>
  </si>
  <si>
    <t>Team / Company activities</t>
  </si>
  <si>
    <t>INFOCZ</t>
  </si>
  <si>
    <t>סאונד טראק ישראל בע"מ</t>
  </si>
  <si>
    <t>PIXEL PUBLISHING</t>
  </si>
  <si>
    <t>ראה גיליון התאמת יתרות בינחברתיות</t>
  </si>
  <si>
    <t>Other receivables</t>
  </si>
  <si>
    <t>TAX PAYMENT 2017</t>
  </si>
  <si>
    <t>Adjustments:</t>
  </si>
  <si>
    <t>Final</t>
  </si>
  <si>
    <t xml:space="preserve">doubtful debts exp </t>
  </si>
  <si>
    <t>מיון הכנסות מוצר (רוה"ס)</t>
  </si>
  <si>
    <t>פקדון שכ"ד אנגליה</t>
  </si>
  <si>
    <t>Q3</t>
  </si>
  <si>
    <t>LT</t>
  </si>
  <si>
    <t>ST</t>
  </si>
  <si>
    <t>החזר הוצאות Joachim Malmquist</t>
  </si>
  <si>
    <t>R&amp;D expenses</t>
  </si>
  <si>
    <t>הכנסות מראש חומרה- APPLIANCE פטורות</t>
  </si>
  <si>
    <t>הכנסות תחזוקה חומרה חייבות</t>
  </si>
  <si>
    <t>State taxes (like regular exp for FED tax)</t>
  </si>
  <si>
    <t>הכנסות תחזוקה Appliance Maintenance פטורות</t>
  </si>
  <si>
    <t>Verizon</t>
  </si>
  <si>
    <t>Kall8</t>
  </si>
  <si>
    <t>7140009-2</t>
  </si>
  <si>
    <t>Severance SE - CAD</t>
  </si>
  <si>
    <t>טרנדימון בע"מ</t>
  </si>
  <si>
    <t>הכנסות חייבות PS</t>
  </si>
  <si>
    <t>הפרשה למס אנגליה 2018</t>
  </si>
  <si>
    <t>Sorted income</t>
  </si>
  <si>
    <t>G&amp;A Loading - ATLANTA</t>
  </si>
  <si>
    <t>G&amp;A Loading - NJ</t>
  </si>
  <si>
    <t>LOCATION / employee</t>
  </si>
  <si>
    <t>Allocation to R&amp;D</t>
  </si>
  <si>
    <t>Allocation to S&amp;M</t>
  </si>
  <si>
    <t>Allocation to other Departments</t>
  </si>
  <si>
    <t xml:space="preserve">Allocation entry </t>
  </si>
  <si>
    <t>Total:</t>
  </si>
  <si>
    <t>Rent atlanta</t>
  </si>
  <si>
    <t>Rent HO</t>
  </si>
  <si>
    <t>Allocation of G&amp;A to other departments</t>
  </si>
  <si>
    <t>Allocation of G&amp;A to PM</t>
  </si>
  <si>
    <t>Allocation of G&amp;A to S&amp;M</t>
  </si>
  <si>
    <t>Utilities atlanta</t>
  </si>
  <si>
    <t>Utilities nj</t>
  </si>
  <si>
    <t>Deferred Revenue Appliance Maint.Local Currency</t>
  </si>
  <si>
    <t>Treasury shres at cost</t>
  </si>
  <si>
    <t>Liability to Founders Post-Closing Withdrawal</t>
  </si>
  <si>
    <t>Relocation Employees</t>
  </si>
  <si>
    <t xml:space="preserve">Reclassified in Q3 </t>
  </si>
  <si>
    <t xml:space="preserve">משפטיות בעסקה </t>
  </si>
  <si>
    <t>פז באום-עיצוב גרפי</t>
  </si>
  <si>
    <t>רשיונות Training</t>
  </si>
  <si>
    <t>יעוץ Marcelo Tomaspolsky</t>
  </si>
  <si>
    <t>הדרכות TS</t>
  </si>
  <si>
    <t>הכנסות חייבות  PS (בנק שעות)</t>
  </si>
  <si>
    <t>Maintenance Revenues Appliance Local Currency</t>
  </si>
  <si>
    <t>Training Revenues Local Currency</t>
  </si>
  <si>
    <t>Sales Flights West</t>
  </si>
  <si>
    <t>Sales Hotels West</t>
  </si>
  <si>
    <t>Sales Meals &amp; Perdium Abroad West</t>
  </si>
  <si>
    <t>Sales Transportation and Mileage West</t>
  </si>
  <si>
    <t>Business Entertainment West</t>
  </si>
  <si>
    <t>SE Flights West</t>
  </si>
  <si>
    <t>SE Hotels Avroad West</t>
  </si>
  <si>
    <t>שכר עבודה Delivery</t>
  </si>
  <si>
    <t>הכנסות מראש חומרה- APPLIANCE חייבות</t>
  </si>
  <si>
    <t>Barmer</t>
  </si>
  <si>
    <t>חובות אבודים</t>
  </si>
  <si>
    <t>ימית אף .אס</t>
  </si>
  <si>
    <t>קלריזן</t>
  </si>
  <si>
    <t>אזטק טכנולוגיות (1984)</t>
  </si>
  <si>
    <t>הכנסות TRAINING שקלים</t>
  </si>
  <si>
    <t>שירותי חוץ ויעוץ הודו- Delivery</t>
  </si>
  <si>
    <t>יעוץ Anderson Matias Mello</t>
  </si>
  <si>
    <t>החזר הוצאות Marcelo Tomaspolsky</t>
  </si>
  <si>
    <t>החזר הוצאות Anderson Matias Mello</t>
  </si>
  <si>
    <t>9100005-1</t>
  </si>
  <si>
    <t>7020034-1</t>
  </si>
  <si>
    <t>כנסים ותערוכות-הפרשה כ.א</t>
  </si>
  <si>
    <t>8030015-1</t>
  </si>
  <si>
    <t>הוצאות הפרשה כ.א- אחזקת מחשבים</t>
  </si>
  <si>
    <t>Paid Vacation Sales US West</t>
  </si>
  <si>
    <t>7190004-1</t>
  </si>
  <si>
    <t>Paid Vacation SE West</t>
  </si>
  <si>
    <t>Paid Vacation Bus.Dev.</t>
  </si>
  <si>
    <t>Bad Debt Expense</t>
  </si>
  <si>
    <t>טכ-תב דוקיומנטיישן</t>
  </si>
  <si>
    <t>עודפות 2018</t>
  </si>
  <si>
    <t>הכנסות מראש SUBSCRIPTION חייבות-חדש</t>
  </si>
  <si>
    <t>הכנסות מראש מטח Subsription פטורות חדש</t>
  </si>
  <si>
    <t>הכנסות TRAINING ל"ש</t>
  </si>
  <si>
    <t>403.הכנסות Subscription</t>
  </si>
  <si>
    <t>הכנסות מוצר SUBSCRIPTION פטורות</t>
  </si>
  <si>
    <t>הכנסות מוצר  SUBSCIPTION חייבות</t>
  </si>
  <si>
    <t>הכנסות תמיכה SUBSCRIPTION פטורות</t>
  </si>
  <si>
    <t>הכנסות תמיכה SUBSCIPTION חייבות</t>
  </si>
  <si>
    <t>ניכוי מס במקור מלקוחות 2019</t>
  </si>
  <si>
    <t>החזר הוצאות Harry Lewins</t>
  </si>
  <si>
    <t>American Express - Gold Card</t>
  </si>
  <si>
    <t>FlexFacts</t>
  </si>
  <si>
    <t>403.Subscription Income</t>
  </si>
  <si>
    <t>Subscription-Maint Revenues Local Currency</t>
  </si>
  <si>
    <t>Workers comp Support</t>
  </si>
  <si>
    <t>5200001-1</t>
  </si>
  <si>
    <t>Gross Salary - Delivery CAD</t>
  </si>
  <si>
    <t>Workers Comp Delivery</t>
  </si>
  <si>
    <t>5200006-1</t>
  </si>
  <si>
    <t>Workers Comp Delivery CAD</t>
  </si>
  <si>
    <t>5200012-1</t>
  </si>
  <si>
    <t>Employer Taxes - CAD Delivery</t>
  </si>
  <si>
    <t>Gross Salary - Sales West</t>
  </si>
  <si>
    <t>Commission Sales West</t>
  </si>
  <si>
    <t>ER Contrib.Tax Sales West</t>
  </si>
  <si>
    <t>Workers Comp Sales West</t>
  </si>
  <si>
    <t>Health Sales US West</t>
  </si>
  <si>
    <t>Dental &amp; Vision Sales West</t>
  </si>
  <si>
    <t>7140016-1</t>
  </si>
  <si>
    <t>Workers Comp SE East CAD</t>
  </si>
  <si>
    <t>Gross Salary - SE West</t>
  </si>
  <si>
    <t>Commissions SE West</t>
  </si>
  <si>
    <t>ER Contrib Tax SE West</t>
  </si>
  <si>
    <t>Health SE West</t>
  </si>
  <si>
    <t>Dental &amp; Vision SE West</t>
  </si>
  <si>
    <t>Workers Comp SE West</t>
  </si>
  <si>
    <t>7170001-1</t>
  </si>
  <si>
    <t>Gross Salary - Bus.Dev. CAD</t>
  </si>
  <si>
    <t>7170002-1</t>
  </si>
  <si>
    <t>Employer Taxes - CAD BD</t>
  </si>
  <si>
    <t>7170003-2</t>
  </si>
  <si>
    <t>Commission- Business Dev. CAD</t>
  </si>
  <si>
    <t>IT Operating Expenses</t>
  </si>
  <si>
    <t>811.Payroll IT +  IS</t>
  </si>
  <si>
    <t>Gross Salary - IT &amp; IS</t>
  </si>
  <si>
    <t>ER Contrib. Tax IT</t>
  </si>
  <si>
    <t>Health IT</t>
  </si>
  <si>
    <t>Dental &amp; Vision IT</t>
  </si>
  <si>
    <t>Workers Comp IT</t>
  </si>
  <si>
    <t>821.Payroll HR</t>
  </si>
  <si>
    <t>Gross Salary - HR</t>
  </si>
  <si>
    <t>ER Contrib. Tax HR</t>
  </si>
  <si>
    <t>Health HR</t>
  </si>
  <si>
    <t>Dental &amp; Vision HR</t>
  </si>
  <si>
    <t>Workers Comp HR</t>
  </si>
  <si>
    <t>Deferred Revenues Subscription Local Currency new</t>
  </si>
  <si>
    <t>תוכנה - VNT</t>
  </si>
  <si>
    <t>מבצר טכנולוגיות ומיגון בעמ</t>
  </si>
  <si>
    <t>ניוווי טכנולוגיה בע"מ</t>
  </si>
  <si>
    <t>ניכוי מס מלקוחות 2019</t>
  </si>
  <si>
    <t>רשיונות תוכנה Technical Support</t>
  </si>
  <si>
    <t>עמלות,בונוסים /Anderson Matias Mello MBO</t>
  </si>
  <si>
    <t>851.שכר ונלוות Sales Operation</t>
  </si>
  <si>
    <t>שכר עבודה Sales Operation</t>
  </si>
  <si>
    <t xml:space="preserve">תחזוקת כללית - הפרשות </t>
  </si>
  <si>
    <t>רשיונות תוכנה HR</t>
  </si>
  <si>
    <t>Fasken</t>
  </si>
  <si>
    <t>7170006-1</t>
  </si>
  <si>
    <t>Health Bus.Dev. CAD</t>
  </si>
  <si>
    <t>IT Flights</t>
  </si>
  <si>
    <t>IT Hotels</t>
  </si>
  <si>
    <t>IT Transportation</t>
  </si>
  <si>
    <t>IT Perdiem</t>
  </si>
  <si>
    <t>בונוס Delivery MBO</t>
  </si>
  <si>
    <t>Net Income per old TP- 2.5% of sales</t>
  </si>
  <si>
    <t>בונוס Delivery</t>
  </si>
  <si>
    <t>החזר הוצאות LeeOnn Tan</t>
  </si>
  <si>
    <t>TechLab Security Sdn Bhd</t>
  </si>
  <si>
    <t>הכנסות TRAINING -פטורות ממע"מ</t>
  </si>
  <si>
    <t>השמה עובדים ועובדים זמניים-שיווק</t>
  </si>
  <si>
    <t>Withholding Tax from Customers 2019</t>
  </si>
  <si>
    <t>5200009-1</t>
  </si>
  <si>
    <t>Health Benefits CAD Delivery</t>
  </si>
  <si>
    <t>Severance- Delivery</t>
  </si>
  <si>
    <t>Purchases - Hardware</t>
  </si>
  <si>
    <t>MBO - Sales West</t>
  </si>
  <si>
    <t>Severance Sales West</t>
  </si>
  <si>
    <t>MBO - SE West</t>
  </si>
  <si>
    <t>7170003-1</t>
  </si>
  <si>
    <t>MBO - Business Dev. CAD</t>
  </si>
  <si>
    <t>Other Bonus - IT &amp; IS</t>
  </si>
  <si>
    <t>Other Bonus - HR</t>
  </si>
  <si>
    <t>MBO - HR</t>
  </si>
  <si>
    <t>מקדמות מס הכנסה 2019</t>
  </si>
  <si>
    <t>עמלות,בונוסים /Marcelo Tomaspolsky MBO</t>
  </si>
  <si>
    <t>בונוס Sales Operation</t>
  </si>
  <si>
    <t>בונוס Sales Operation MBO</t>
  </si>
  <si>
    <t>one time bonus</t>
  </si>
  <si>
    <t>ONE TIME BONUS</t>
  </si>
  <si>
    <t>הוצאות עובדים Delivery</t>
  </si>
  <si>
    <t>Withholding Tax - sepcial UK</t>
  </si>
  <si>
    <t xml:space="preserve">special entry - Yossi's request </t>
  </si>
  <si>
    <t>CURRENT ASSETS</t>
  </si>
  <si>
    <t>הכנסות TRAINING ד"א</t>
  </si>
  <si>
    <t>403.הכנסות Subscription תחזוקה</t>
  </si>
  <si>
    <t>404.הכנסות Subscription מוצרים</t>
  </si>
  <si>
    <t>training</t>
  </si>
  <si>
    <t>SoftwareONE AB</t>
  </si>
  <si>
    <t>Liquid PC, LLC</t>
  </si>
  <si>
    <t>Zoom</t>
  </si>
  <si>
    <t>הכנסות Subscription מוצרים.404</t>
  </si>
  <si>
    <t>Subscription-Product  Revenues Local Currency</t>
  </si>
  <si>
    <t>Sales Customer Events West</t>
  </si>
  <si>
    <t>Recruiting SE West</t>
  </si>
  <si>
    <t>atlanta</t>
  </si>
  <si>
    <t>support</t>
  </si>
  <si>
    <t>delivery</t>
  </si>
  <si>
    <t>nj</t>
  </si>
  <si>
    <t>Allocation to COGS training</t>
  </si>
  <si>
    <t>Allocation to COGS delivery</t>
  </si>
  <si>
    <t>Allocation to COGS support</t>
  </si>
  <si>
    <t>HO</t>
  </si>
  <si>
    <t>3- DELIVERY</t>
  </si>
  <si>
    <t>2-SUPPORT</t>
  </si>
  <si>
    <t>אורנג פרטנר</t>
  </si>
  <si>
    <t>מבטח סיימון- ח"ז סוציאליות</t>
  </si>
  <si>
    <t>יעוץ ויועצים פיתוח</t>
  </si>
  <si>
    <t>רשיונות ושירותי ענן - פיתוח</t>
  </si>
  <si>
    <t xml:space="preserve">נסגר בסוף 2018 בטענה של צפי להמשך הפסדים </t>
  </si>
  <si>
    <t>סגירת מיסים 2015</t>
  </si>
  <si>
    <t>סגירת מיסים 2016</t>
  </si>
  <si>
    <t>סגירת מיסים 2017</t>
  </si>
  <si>
    <t>סגירת מיסים 2018</t>
  </si>
  <si>
    <t>IT TEAM - FOR R&amp;D LAB</t>
  </si>
  <si>
    <t>YAIR &amp; GERSHON FOR SALES</t>
  </si>
  <si>
    <t>SALES OPERATION - 50% FOR COGS</t>
  </si>
  <si>
    <t>לא מהותי לפצל</t>
  </si>
  <si>
    <t>Allocation of G&amp;A to COGS TRAINING</t>
  </si>
  <si>
    <t>Allocation of G&amp;A to COGS SUPPORT</t>
  </si>
  <si>
    <t>Allocation of G&amp;A to COGS PS</t>
  </si>
  <si>
    <t>Allocation of G&amp;A to PS</t>
  </si>
  <si>
    <t>Special retained earnings</t>
  </si>
  <si>
    <t>Asc 606</t>
  </si>
  <si>
    <t>Retained Earnings Special</t>
  </si>
  <si>
    <t>303.Retaine earnings</t>
  </si>
  <si>
    <t>פחנ"צ VNT</t>
  </si>
  <si>
    <t>Prepaid Comm</t>
  </si>
  <si>
    <t>עמלות - תקן 606</t>
  </si>
  <si>
    <t>Prepaid Comm - 606</t>
  </si>
  <si>
    <t>Comm 606</t>
  </si>
  <si>
    <t>Prepaid Comm 606</t>
  </si>
  <si>
    <t>Comm Sales US 606</t>
  </si>
  <si>
    <t>עמלות - תקן 606 - 2019</t>
  </si>
  <si>
    <t>Comm 606 - 2019</t>
  </si>
  <si>
    <t>Comm Sales  606 - 2019</t>
  </si>
  <si>
    <t>Short Term Deferred Revenues.201</t>
  </si>
  <si>
    <t>Other Income.402</t>
  </si>
  <si>
    <t>Direct Expenses Marketing.702</t>
  </si>
  <si>
    <t>Direct Expenses sales.712</t>
  </si>
  <si>
    <t>Business Development Direct Exp..718</t>
  </si>
  <si>
    <t>Payroll HR.821</t>
  </si>
  <si>
    <t>Net Income per NEW TP- 2.5% of sales after DR adjustment</t>
  </si>
  <si>
    <t>Q4</t>
  </si>
  <si>
    <t>G&amp;A Loading -rent &amp; office exp</t>
  </si>
  <si>
    <t>Allocation to SALES</t>
  </si>
  <si>
    <t>Allocation to SE</t>
  </si>
  <si>
    <t>SE</t>
  </si>
  <si>
    <t>Allocation to COGS</t>
  </si>
  <si>
    <t>SALES</t>
  </si>
  <si>
    <t>PS.520 העמסות</t>
  </si>
  <si>
    <t>715.Direct Expenses sales</t>
  </si>
  <si>
    <t>העמסות הנה"ב על ממח' מכירות  SE</t>
  </si>
  <si>
    <t xml:space="preserve">העמסות הנה"ב על ממח' מכירות </t>
  </si>
  <si>
    <t>*59.מחירי העברה</t>
  </si>
  <si>
    <t>הוצאות מראש-עמלות שכר</t>
  </si>
  <si>
    <t>Special  - retained earnings</t>
  </si>
  <si>
    <t>Payroll Sales-COMM-606</t>
  </si>
  <si>
    <t>Payroll Sales-COMM-606-2019</t>
  </si>
  <si>
    <t>history</t>
  </si>
  <si>
    <t>Crystal Rock</t>
  </si>
  <si>
    <t>Answering Service Care</t>
  </si>
  <si>
    <t>6011014-1</t>
  </si>
  <si>
    <t>Health/life/STD Customer Focus CAD</t>
  </si>
  <si>
    <t>7111011-1</t>
  </si>
  <si>
    <t>Health/life/STD - CAD Sales East</t>
  </si>
  <si>
    <t>QBR Exp.</t>
  </si>
  <si>
    <t xml:space="preserve">בסוף השנה לבצע הפחתה לרמה של 2.5% כי זה TP ואי אפשר לדרוש מלא  - בהתאם לנעשה ב-2018 על פי יוסי כהן </t>
  </si>
  <si>
    <t>קינג אקספרס בע"מ</t>
  </si>
  <si>
    <t>Retained earnings -Special</t>
  </si>
  <si>
    <t>החזר הוצאות עובדים אוסטרליה - מח מכירות</t>
  </si>
  <si>
    <t>mivtah saimon</t>
  </si>
  <si>
    <t>Income Tax-DGFIP FRANCE</t>
  </si>
  <si>
    <t>Worldwide Express</t>
  </si>
  <si>
    <t>Manulife</t>
  </si>
  <si>
    <t>Spiff Gift Cards</t>
  </si>
  <si>
    <t>Recruiting Sales West</t>
  </si>
  <si>
    <t>FAS123 -Q1-19 Inc</t>
  </si>
  <si>
    <t>FAS123 -Q1-19 LTD</t>
  </si>
  <si>
    <t>FAS123 -Q2-19 Inc</t>
  </si>
  <si>
    <t>FAS123 -Q2-19 LTD</t>
  </si>
  <si>
    <t>FAS123 -Q2-19 Australia</t>
  </si>
  <si>
    <t>FAS123 -Q3-19 Inc</t>
  </si>
  <si>
    <t>FAS123 -Q3-19 LTD</t>
  </si>
  <si>
    <t>FAS123 -Q3-19 Australia</t>
  </si>
  <si>
    <t>FAS123 -Q4-19 Inc</t>
  </si>
  <si>
    <t>FAS123 -Q4-19 LTD</t>
  </si>
  <si>
    <t>FAS123 -Q4-19 Australia</t>
  </si>
  <si>
    <t>53500-1</t>
  </si>
  <si>
    <t>הכנסות מראש לצורך מאזן בלבד</t>
  </si>
  <si>
    <t>פדקס אקספרס ישראל אינטרנשיונל</t>
  </si>
  <si>
    <t>מלון Admin</t>
  </si>
  <si>
    <t>אשל Admin</t>
  </si>
  <si>
    <t>Total P&amp;L not including options,  tax and exchange rates</t>
  </si>
  <si>
    <t>options</t>
  </si>
  <si>
    <t>להוציא מחישוב טיפול בעמלות המיוחד של התקן  606</t>
  </si>
  <si>
    <t>Retained earnings - special - ASC 606</t>
  </si>
  <si>
    <t>606-Prepaid Comm</t>
  </si>
  <si>
    <t>Prepaid Comm 606- Short term</t>
  </si>
  <si>
    <t>Prepaid Comm 606- Long term</t>
  </si>
  <si>
    <t>Open balance</t>
  </si>
  <si>
    <t xml:space="preserve">Capitalization up to Dec 31, 2018 - Short Term </t>
  </si>
  <si>
    <t xml:space="preserve">Capitalization up to Dec 31, 2018 - Long Term </t>
  </si>
  <si>
    <t>Amortization Q1-2019 (for Capitalization up to Dec 31, 2018)</t>
  </si>
  <si>
    <t>606-Deferred Revenues Subscription</t>
  </si>
  <si>
    <t>Deferred Revenues ST</t>
  </si>
  <si>
    <t>Deferred Revenues LT</t>
  </si>
  <si>
    <t xml:space="preserve">Prepaid Comm 606 - Long term </t>
  </si>
  <si>
    <t>Reclass to LT -  Prepaid Comm</t>
  </si>
  <si>
    <t>Amortization Q2-2019 (for Capitalization up to Dec 31, 2018)</t>
  </si>
  <si>
    <t>Amortization Q2-2019 (for Capitalization Q1 2019)</t>
  </si>
  <si>
    <t xml:space="preserve">Capitalization Q1 2019 commissions </t>
  </si>
  <si>
    <t xml:space="preserve">Capitalization Q2 2019 commissions </t>
  </si>
  <si>
    <t>CipherTechs, Inc</t>
  </si>
  <si>
    <t>FTI Consulting, Inc.</t>
  </si>
  <si>
    <t>Equinix</t>
  </si>
  <si>
    <t>OneSpan</t>
  </si>
  <si>
    <t>Liability sales tax due MI</t>
  </si>
  <si>
    <t>Sales - Software new (not in US)</t>
  </si>
  <si>
    <t>Severance - Training</t>
  </si>
  <si>
    <t>Paid Vacation - Training</t>
  </si>
  <si>
    <t>Paid Vacation Customer Focus</t>
  </si>
  <si>
    <t>Severance - Customer Focus</t>
  </si>
  <si>
    <t>Severance - Marketing</t>
  </si>
  <si>
    <t>Severance- Bus Dev</t>
  </si>
  <si>
    <t>Bus.Dev. Relocation</t>
  </si>
  <si>
    <t>Severance - HR</t>
  </si>
  <si>
    <t>Paid Vacation - HR</t>
  </si>
  <si>
    <t xml:space="preserve">Prepaid comm 606 - LT - for FS only </t>
  </si>
  <si>
    <t>MONT LLC</t>
  </si>
  <si>
    <t>סילייטס טכנולוגיות בע"מ</t>
  </si>
  <si>
    <t>החזר מקדמות בגין שנת 2017</t>
  </si>
  <si>
    <t xml:space="preserve">Reclass to LT </t>
  </si>
  <si>
    <t xml:space="preserve">COMM 606 - LT </t>
  </si>
  <si>
    <t>מסים נדחים זמן ארוך וחייבית אחרים</t>
  </si>
  <si>
    <t>Long term deposits</t>
  </si>
  <si>
    <t>LT Receivables</t>
  </si>
  <si>
    <t>AMORTIZATION of old comm - 606</t>
  </si>
  <si>
    <t>Prepaid Expenses TP IC</t>
  </si>
  <si>
    <t>Prepaid COGS TP IC long term</t>
  </si>
  <si>
    <t>Prepaid 606 LT</t>
  </si>
  <si>
    <t>Prepaid TP LT</t>
  </si>
  <si>
    <t xml:space="preserve">Prepaid TP - Long term </t>
  </si>
  <si>
    <t>הכנסות מראש TP</t>
  </si>
  <si>
    <t>התחיבויות לזמן ארוך- הכנסות מראש ז.א TP</t>
  </si>
  <si>
    <t>מיון הכנסות מראש מז"ק לז"א TP</t>
  </si>
  <si>
    <t>Deferred revenuesTP</t>
  </si>
  <si>
    <t>LT TP PREPAID</t>
  </si>
  <si>
    <t>חברת האם</t>
  </si>
  <si>
    <t>חברות בנות</t>
  </si>
  <si>
    <t>implementation</t>
  </si>
  <si>
    <t>tp invoice</t>
  </si>
  <si>
    <t>מרכז רווח</t>
  </si>
  <si>
    <t>QUICK RATIO</t>
  </si>
  <si>
    <t>CURRENT LIAB(LEUMI)</t>
  </si>
  <si>
    <t>מסים נדחים ויתרות חובה</t>
  </si>
  <si>
    <t>עודפים נסתרים</t>
  </si>
  <si>
    <t>חייבים ויתרות חובה 606</t>
  </si>
  <si>
    <t>הכנסות נדחות 606</t>
  </si>
  <si>
    <t>חברת אם ובנות</t>
  </si>
  <si>
    <t>PREPAID COMM long term 606</t>
  </si>
  <si>
    <t>Orange Business Services</t>
  </si>
  <si>
    <t>Orange Cyberdefense Belgium SA -OLD ACCOUNT</t>
  </si>
  <si>
    <t>שכר אירופה מכירות</t>
  </si>
  <si>
    <t>שכר אירופה-מכירות עמלות (ברוטו)</t>
  </si>
  <si>
    <t>בזק בינלאומי</t>
  </si>
  <si>
    <t>אולקלאוד פלטפורמות בע"מ-USD</t>
  </si>
  <si>
    <t>שירותי חוץ ויעוץ הודו-Customer Focus</t>
  </si>
  <si>
    <t>אול קלאוד AWS</t>
  </si>
  <si>
    <t>הוצאות שיווק ופרסום EMEA</t>
  </si>
  <si>
    <t>ECG - Enterprise Consulting Group</t>
  </si>
  <si>
    <t>Advertising &amp; Promotion</t>
  </si>
  <si>
    <t>מיון מהכנסות מראש</t>
  </si>
  <si>
    <t>החזר הוצ.טיסה -מיון מחשבוניות ללקוחות PS</t>
  </si>
  <si>
    <t xml:space="preserve">מיון הכנסות מהחזר נסיעות לחו"ל לקיזוז מהוצ' נסיעה בcogs - פקודה ידנית - פעם ברבעון /בהתאם לצורך - ראה קובץ TRAVEL בתיקיה של דוחות חודשיים </t>
  </si>
  <si>
    <t>reclass of ALG-TRVEL - revenues to COGS</t>
  </si>
  <si>
    <t>REFUND OF TRAVEL EXP PS</t>
  </si>
  <si>
    <t>REFUND OF TRAVEL EXP TRAINING</t>
  </si>
  <si>
    <t xml:space="preserve">reclass of ALG-TRVEL to COGS </t>
  </si>
  <si>
    <t>זיו האפט ייעוץ וניהול בע"מ</t>
  </si>
  <si>
    <t>הדרכות PS</t>
  </si>
  <si>
    <t>הוצ' הדרכה TRAINING</t>
  </si>
  <si>
    <t>הדרכות PM</t>
  </si>
  <si>
    <t>300.הון מניות</t>
  </si>
  <si>
    <t>הון המניות</t>
  </si>
  <si>
    <t xml:space="preserve">הון מניות  -שייך ל-UK </t>
  </si>
  <si>
    <t>COLLECTION</t>
  </si>
  <si>
    <t>TP TO CHARGE</t>
  </si>
  <si>
    <t>need to be invoiced</t>
  </si>
  <si>
    <t>Advantus360</t>
  </si>
  <si>
    <t>5100001-1</t>
  </si>
  <si>
    <t>Gross Salaries-Support CAD</t>
  </si>
  <si>
    <t>5100006-1</t>
  </si>
  <si>
    <t>ER Contrib.Tax Support CAD</t>
  </si>
  <si>
    <t>FSA - Support</t>
  </si>
  <si>
    <t>DCA - Support</t>
  </si>
  <si>
    <t>Recruiting- SM</t>
  </si>
  <si>
    <t>Sales  kickoff - GLOBAL</t>
  </si>
  <si>
    <t>Sales Other exp. Abroad West</t>
  </si>
  <si>
    <t>Events/Meals Employees East</t>
  </si>
  <si>
    <t>תשלום ע"ח מס אנגליה</t>
  </si>
  <si>
    <t>הוצאות עובדים גרמניה וצרפת מכירות</t>
  </si>
  <si>
    <t xml:space="preserve">payment for 2018 </t>
  </si>
  <si>
    <t>בנק לאומי דולר אוסטרלי</t>
  </si>
  <si>
    <t>א. ביסקוטי בע"מ</t>
  </si>
  <si>
    <t>קודף בע"מ</t>
  </si>
  <si>
    <t>אבי אליאב כתיבה טכנית</t>
  </si>
  <si>
    <t>שכר-מס מעסיקים עובדים זרים</t>
  </si>
  <si>
    <t>שכר-ביטוח בריאות עובדים זרים- לא ל-126</t>
  </si>
  <si>
    <t>שכר-ביטוח בריאות עובדים זרים -השתתפות עובד</t>
  </si>
  <si>
    <t xml:space="preserve">לקוחות בזכות - מקדמות מלקוחות - יתרות זכות </t>
  </si>
  <si>
    <t>Banks of UK</t>
  </si>
  <si>
    <t xml:space="preserve">DEFERRED TAX - SHARE BASED COMP </t>
  </si>
  <si>
    <t>share capital</t>
  </si>
  <si>
    <t>1130002-1</t>
  </si>
  <si>
    <t xml:space="preserve">אלגוסק UK -השקעה </t>
  </si>
  <si>
    <t>Special retained earnings - share based comp to ret earnings</t>
  </si>
  <si>
    <t xml:space="preserve">לטובת תקינה אנגלית - לא תקף !!!! קיים רק לאיחוד כי תקינה אמריקאית  מחייבת </t>
  </si>
  <si>
    <t>מימוש קרן הון תממ בגין אלא שעזבו את החברה ואופציות לא יממומשו</t>
  </si>
  <si>
    <t>9010002-1</t>
  </si>
  <si>
    <t>Exchange Rate previous year</t>
  </si>
  <si>
    <t>יוסי צריך לנטרל את זה מהדוח שלו בשנת 2019!!! חשוב</t>
  </si>
  <si>
    <t xml:space="preserve">deferred tax </t>
  </si>
  <si>
    <t>reclass - UK GAAP - Share based paymt</t>
  </si>
  <si>
    <t>הכנסות מראש חברה בת</t>
  </si>
  <si>
    <t>Amortization Q3-2019 (for Capitalization up to Dec 31, 2018)</t>
  </si>
  <si>
    <t>Amortization Q3-2019 (for Capitalization Q1 2019)</t>
  </si>
  <si>
    <t>Amortization Q3-2019 (for Capitalization Q2 2019)</t>
  </si>
  <si>
    <t xml:space="preserve">Capitalization Q3 2019 commissions </t>
  </si>
  <si>
    <t xml:space="preserve">History </t>
  </si>
  <si>
    <t>תשלום ע"ח מס אנגליה 2018</t>
  </si>
  <si>
    <t>AOK Bayern Krankenkasse לקזז 5784 יורו שמגיע</t>
  </si>
  <si>
    <t>Prepaid Expenses TP ST</t>
  </si>
  <si>
    <t>הפרשה למס אוסטרליה 2019</t>
  </si>
  <si>
    <t>Accenture SAS</t>
  </si>
  <si>
    <t>NTT Australia Pty Ltd</t>
  </si>
  <si>
    <t>Arrow ECS ANZ</t>
  </si>
  <si>
    <t>Peter Fiori</t>
  </si>
  <si>
    <t>2500043-1</t>
  </si>
  <si>
    <t>החזר מס 2018</t>
  </si>
  <si>
    <t>הפרשה למס אוסטרליה 2017</t>
  </si>
  <si>
    <t>Courtyard by Marriott</t>
  </si>
  <si>
    <t>114.חייבים אחרים</t>
  </si>
  <si>
    <t>מרקומיט בע"מ</t>
  </si>
  <si>
    <t>רשיונות תוכנה Delivery</t>
  </si>
  <si>
    <t xml:space="preserve">to fill based on the final </t>
  </si>
  <si>
    <t>134.לקוחות AUD</t>
  </si>
  <si>
    <t>ברקליס ל"ש חדש</t>
  </si>
  <si>
    <t>ברקליס יורו חדש</t>
  </si>
  <si>
    <t>ברקליס דולר חדש</t>
  </si>
  <si>
    <t>ברקליס דולר אוסטרלי חדש</t>
  </si>
  <si>
    <t>Dimension Data SA (Switzerland)</t>
  </si>
  <si>
    <t>BELASTIN סוציאליות הולנד</t>
  </si>
  <si>
    <t>Special  - retained earnings-shares based</t>
  </si>
  <si>
    <t>HoneyTek Systems</t>
  </si>
  <si>
    <t>Flights- SM</t>
  </si>
  <si>
    <t>Finance Flights</t>
  </si>
  <si>
    <t>Finance Hotels</t>
  </si>
  <si>
    <t>Finance Perdiem</t>
  </si>
  <si>
    <t>Finance Transportation</t>
  </si>
  <si>
    <t>Direct Expenses IT +  IS.812</t>
  </si>
  <si>
    <t>סלקום</t>
  </si>
  <si>
    <t>הדרכות Delivery-PS</t>
  </si>
  <si>
    <t>מטריקס דבאופס בע"מ</t>
  </si>
  <si>
    <t>הכנסות תמיכה Subscription חייבות</t>
  </si>
  <si>
    <t>115.הכנסות לקבל</t>
  </si>
  <si>
    <t>הכנסות לקבל</t>
  </si>
  <si>
    <t>AXA Life Insurance Co., Ltd.</t>
  </si>
  <si>
    <t>Capgemini Belgium NV/SA</t>
  </si>
  <si>
    <t>NorthwesTel</t>
  </si>
  <si>
    <t>Other Bonus - Sales West</t>
  </si>
  <si>
    <t>Recruiting Business Development</t>
  </si>
  <si>
    <t>Recruiting Sales Corp</t>
  </si>
  <si>
    <t>HRA IT</t>
  </si>
  <si>
    <t>מתוקה מזון ואירוח בע"מ</t>
  </si>
  <si>
    <t>טמל</t>
  </si>
  <si>
    <t>היי בוב בע"מ</t>
  </si>
  <si>
    <t>Aha! Labs Inc</t>
  </si>
  <si>
    <t>יעוץ Alexandre Alves</t>
  </si>
  <si>
    <t>החזר הוצאות Alexandre Alves</t>
  </si>
  <si>
    <t>הדרכות HR</t>
  </si>
  <si>
    <t>NETWORKS 2000 INC.</t>
  </si>
  <si>
    <t>Fuller Canada</t>
  </si>
  <si>
    <t>Postman</t>
  </si>
  <si>
    <t>אשבל טכנולוגית בעמ</t>
  </si>
  <si>
    <t>Amortization Q4-2019 (for Capitalization Q1 2019)</t>
  </si>
  <si>
    <t>Amortization Q4-2019 (for Capitalization Q2 2019)</t>
  </si>
  <si>
    <t>Amortization Q4-2019 (for Capitalization Q3 2019)</t>
  </si>
  <si>
    <t>Amortization Q4-2019 (for Capitalization up to Dec 31, 2018)</t>
  </si>
  <si>
    <t>cloudshare</t>
  </si>
  <si>
    <t xml:space="preserve">Capitalization Q4 2019 commissions </t>
  </si>
  <si>
    <t>TP charge need to be</t>
  </si>
  <si>
    <t>הוצאות עובדים אירופה-DELIVERY</t>
  </si>
  <si>
    <t>הוצאות  עובדים אנגליה מכ'/SE</t>
  </si>
  <si>
    <t>CORP</t>
  </si>
  <si>
    <t xml:space="preserve">Algosec Europe Ltd </t>
  </si>
  <si>
    <t>סה"כ הפסד להעברה</t>
  </si>
  <si>
    <t>זיכוי מס מועבר לשנים הבאות</t>
  </si>
  <si>
    <t xml:space="preserve">סה"כ מקדמות מס ששולמו </t>
  </si>
  <si>
    <t>בפועל מה שקרה</t>
  </si>
  <si>
    <t>הקדמת הוצאות</t>
  </si>
  <si>
    <t>הכרה בדוח</t>
  </si>
  <si>
    <t>הכרה בכל שנה</t>
  </si>
  <si>
    <t>הכרה מצטברת</t>
  </si>
  <si>
    <t>מה היה צריך להיות</t>
  </si>
  <si>
    <t>בעקבות התיקון</t>
  </si>
  <si>
    <t>כך רואים שב-2018 אנחנו במצטבר עומדים ברמת הכרה התואמת את אישור המדען ל- 2017</t>
  </si>
  <si>
    <t xml:space="preserve">הוצאות שכר מעבר לתקרה - בהתאם לחישוב של הגשת 20א בגין 2019 </t>
  </si>
  <si>
    <t>World Wide Technology, Inc. (WWT)</t>
  </si>
  <si>
    <t>Workers Comp Payable</t>
  </si>
  <si>
    <t>Health/life/STD - CAD Support</t>
  </si>
  <si>
    <t>SM Hotels</t>
  </si>
  <si>
    <t>SM Meals &amp; Perdium Abroad</t>
  </si>
  <si>
    <t>SM Transportation and Mileage</t>
  </si>
  <si>
    <t>SM Business Meals</t>
  </si>
  <si>
    <t>SM Events/Meals With Employee</t>
  </si>
  <si>
    <t>7140006-1</t>
  </si>
  <si>
    <t>Gross Salary - SE AMERICAS CAD</t>
  </si>
  <si>
    <t>7140007-1</t>
  </si>
  <si>
    <t>Commission - SE AMERICAS CAD</t>
  </si>
  <si>
    <t>7140010-1</t>
  </si>
  <si>
    <t>Employer Taxes - SE AMERICAS CAD</t>
  </si>
  <si>
    <t>7140017-1</t>
  </si>
  <si>
    <t>Health/life/STD SE AMERICAS CAD</t>
  </si>
  <si>
    <t>7170008-1</t>
  </si>
  <si>
    <t>Other Bonus - Bus Dev CAD</t>
  </si>
  <si>
    <t>Bus.Dev. event/meals ith employees</t>
  </si>
  <si>
    <t>MBO 2020</t>
  </si>
  <si>
    <t>ניכוי מס במקור מלקוחות 2020</t>
  </si>
  <si>
    <t>אמנון גור סוכנות לביטוח בע"מ</t>
  </si>
  <si>
    <t>מגלקום בע"מ</t>
  </si>
  <si>
    <t>גיפט בוטיק בע"מ</t>
  </si>
  <si>
    <t>אפרת אלמדעי בע"מ</t>
  </si>
  <si>
    <t>צחובוי</t>
  </si>
  <si>
    <t>פיתה בר -חבה איתן</t>
  </si>
  <si>
    <t>Loopio Inc</t>
  </si>
  <si>
    <t>ניכוי מס מלקוחות 2020</t>
  </si>
  <si>
    <t>שירותי חוץ ויעוץ הודו-ניהול מוצר</t>
  </si>
  <si>
    <t>809.אחרות הנהלה וכלליות</t>
  </si>
  <si>
    <t>תרומה (לפי סעיף 46)</t>
  </si>
  <si>
    <t>Withholding Tax-sepcial UK-2019</t>
  </si>
  <si>
    <t>Withholding Tax - sepcial UK 2019</t>
  </si>
  <si>
    <t>הרשת שלי פתרונות מחשוב ב</t>
  </si>
  <si>
    <t>הכנסות מוצר Subscription חייבות</t>
  </si>
  <si>
    <t>BT Global Services Belgium bvba</t>
  </si>
  <si>
    <t xml:space="preserve">תיקון של ITWAY - חשבונית 2019 - הכרה שונה </t>
  </si>
  <si>
    <t>01/2020</t>
  </si>
  <si>
    <t>High Point Networks, LLC</t>
  </si>
  <si>
    <t>Norman Laughlin</t>
  </si>
  <si>
    <t>5100002-1</t>
  </si>
  <si>
    <t>Other Bonus - Support CAD</t>
  </si>
  <si>
    <t>Hardware.580</t>
  </si>
  <si>
    <t>Other Bonus-Arizona Secured Networks, James Mil</t>
  </si>
  <si>
    <t>Gross Salary -Sales Corporate</t>
  </si>
  <si>
    <t>ER Contrib Tax Sales Corp</t>
  </si>
  <si>
    <t>MBO -Sales Corp</t>
  </si>
  <si>
    <t>Commission -Sales Corp</t>
  </si>
  <si>
    <t>Workers Comp Sale Corp</t>
  </si>
  <si>
    <t>Other Bonus SE West</t>
  </si>
  <si>
    <t>Severance - SE West</t>
  </si>
  <si>
    <t>January 2020</t>
  </si>
  <si>
    <t>בונוס Alexandre Alves MBO</t>
  </si>
  <si>
    <t>02/2020</t>
  </si>
  <si>
    <t>03/2020</t>
  </si>
  <si>
    <t>הכנסות חייבות חומרה</t>
  </si>
  <si>
    <t>ITSDI - I.T. Security Distribution Inc.</t>
  </si>
  <si>
    <t>METRONOM GmbH</t>
  </si>
  <si>
    <t>יתרה</t>
  </si>
  <si>
    <t>מטבע</t>
  </si>
  <si>
    <t>Resource Communications, Inc.</t>
  </si>
  <si>
    <t>Exela Technologies</t>
  </si>
  <si>
    <t>HRA- HR</t>
  </si>
  <si>
    <t>Q4 2019</t>
  </si>
  <si>
    <t>February 2020</t>
  </si>
  <si>
    <t>G&amp;A Loading - HO+CANADA</t>
  </si>
  <si>
    <t>סמייל 012</t>
  </si>
  <si>
    <t>מיתר ליקוורניק גבע שם טל</t>
  </si>
  <si>
    <t>טוליפ מערכות מידע בע"מ \ יעל תוכנה ומערכות בע"מ</t>
  </si>
  <si>
    <t>טומדס בע"מ</t>
  </si>
  <si>
    <t>AMBITIOUS WORKS LLC</t>
  </si>
  <si>
    <t>עודפות 2019</t>
  </si>
  <si>
    <t>החזר מקדמות בגין שנת 2018</t>
  </si>
  <si>
    <t>שונות אירוח בחו"ל שיווק</t>
  </si>
  <si>
    <t>Marketing Demand Generation</t>
  </si>
  <si>
    <t>Taralex</t>
  </si>
  <si>
    <t>הוצאות שיווק ופרסום AUS</t>
  </si>
  <si>
    <t>Amortization Q1-2020 (for Capitalization up to Dec 31, 2018)</t>
  </si>
  <si>
    <t>Amortization Q1-2020 (for Capitalization Q1 2019)</t>
  </si>
  <si>
    <t>Amortization Q1-2020 (for Capitalization Q2 2019)</t>
  </si>
  <si>
    <t>Amortization Q1-2020 (for Capitalization Q3 2019)</t>
  </si>
  <si>
    <t>Amortization Q1-2020 (for Capitalization Q4 2019)</t>
  </si>
  <si>
    <t>עמלות - תקן 606 - 2020</t>
  </si>
  <si>
    <t>Comm 606 - 2020</t>
  </si>
  <si>
    <t>Payroll Sales-COMM-606-2020</t>
  </si>
  <si>
    <t>Payroll Sales.712</t>
  </si>
  <si>
    <t>Comm Sales US 606 2020</t>
  </si>
  <si>
    <t>Q1 2020</t>
  </si>
  <si>
    <t xml:space="preserve">Capitalization Q1 2020 commissions </t>
  </si>
  <si>
    <t>פחת VNT</t>
  </si>
  <si>
    <t xml:space="preserve">הוצ' מראש זמן ארוך </t>
  </si>
  <si>
    <t>Income receivable CISCO</t>
  </si>
  <si>
    <t>חייבים זמן ארוך</t>
  </si>
  <si>
    <t>En Pointe Technologies (Insight)</t>
  </si>
  <si>
    <t>Amazon Web Services, Inc.</t>
  </si>
  <si>
    <t>Health Sales Corp</t>
  </si>
  <si>
    <t>Dental &amp; Vision Sales Corp</t>
  </si>
  <si>
    <t>HRA - SE West</t>
  </si>
  <si>
    <t>Payroll Sales.713</t>
  </si>
  <si>
    <t>Gartner גרטנר ישראל אדוויזירי</t>
  </si>
  <si>
    <t>פורסטר ריסרץ' ישראל בע"מ</t>
  </si>
  <si>
    <t>ענן פורס - אייל קמה</t>
  </si>
  <si>
    <t>March 2020</t>
  </si>
  <si>
    <t xml:space="preserve">סגירה של יתרות ישנות בלקוחות - מייל עם הסברים שמור בתיקיית אפריל - אינק </t>
  </si>
  <si>
    <t xml:space="preserve">מקדמה על גיוס VP  MARKETING  </t>
  </si>
  <si>
    <t>income receivable</t>
  </si>
  <si>
    <t>Super Payable 2020</t>
  </si>
  <si>
    <t>HIRERIGHT</t>
  </si>
  <si>
    <t>TDC NetDesign (USD)</t>
  </si>
  <si>
    <t>AccessIT Group, Inc</t>
  </si>
  <si>
    <t>Chevron Federal Credit Union</t>
  </si>
  <si>
    <t>CBTS Technology Solutions, LLC</t>
  </si>
  <si>
    <t>Houtech Consulting Inc..</t>
  </si>
  <si>
    <t>Deferred Revenues Subscription Local Curr.CISCO</t>
  </si>
  <si>
    <t>April 2020</t>
  </si>
  <si>
    <t>מתודה מחשבים בע"מ</t>
  </si>
  <si>
    <t>און טרגט קומיוניקיישנס בע"מ</t>
  </si>
  <si>
    <t>לינקד אין</t>
  </si>
  <si>
    <t>דמי ניהול</t>
  </si>
  <si>
    <t>04/2020</t>
  </si>
  <si>
    <t>PS Sort income - Manual records</t>
  </si>
  <si>
    <t>05/2020</t>
  </si>
  <si>
    <t>06/2020</t>
  </si>
  <si>
    <t>Q2 2020</t>
  </si>
  <si>
    <t>Amortization Q2-2020 (for Capitalization Q4 2019)</t>
  </si>
  <si>
    <t>Amortization Q2-2020 (for Capitalization Q1 2020)</t>
  </si>
  <si>
    <t>Amortization Q2-2020 (for Capitalization up to Dec 31, 2018)</t>
  </si>
  <si>
    <t>Amortization Q2-2020 (for Capitalization Q1 2019)</t>
  </si>
  <si>
    <t>Amortization Q2-2020 (for Capitalization Q2 2019)</t>
  </si>
  <si>
    <t>Amortization Q2-2020 (for Capitalization Q3 2019)</t>
  </si>
  <si>
    <t xml:space="preserve">Capitalization Q2 2020 commissions </t>
  </si>
  <si>
    <t>SOGETI Luxembourg SA</t>
  </si>
  <si>
    <t>AXA Assurance Maroc</t>
  </si>
  <si>
    <t>הכנסות פטורות מט"ח - חומרה</t>
  </si>
  <si>
    <t>Blue Cross Blue Shield Association</t>
  </si>
  <si>
    <t>Hurricane Labs</t>
  </si>
  <si>
    <t>MRK Technologies Ltd.</t>
  </si>
  <si>
    <t>New Tech Solutions</t>
  </si>
  <si>
    <t>RBC Royal Bank of Canada</t>
  </si>
  <si>
    <t>SoftwareONE Inc.</t>
  </si>
  <si>
    <t>June 2020</t>
  </si>
  <si>
    <t>Provision for Tax 2020 - based on tax fillings for extention in July 2020</t>
  </si>
  <si>
    <t>founders interest</t>
  </si>
  <si>
    <t>הפרשה למס אוסטרליה 2020</t>
  </si>
  <si>
    <t>80153-1</t>
  </si>
  <si>
    <t>מיון הכנסות PS-מאזן בלבד</t>
  </si>
  <si>
    <t>מיסים על הכנסה</t>
  </si>
  <si>
    <t>הפרשה למס אנגליה 2020</t>
  </si>
  <si>
    <t>Deferred Revenue-Trial balance only</t>
  </si>
  <si>
    <t>NIS/EUR</t>
  </si>
  <si>
    <t>USD/EUR</t>
  </si>
  <si>
    <t xml:space="preserve">Algosec France SAS </t>
  </si>
  <si>
    <t>07/2020</t>
  </si>
  <si>
    <t>יתרה ביורו</t>
  </si>
  <si>
    <t>סה"כ מזומנים ביורו</t>
  </si>
  <si>
    <t>סה"כ פקדונות ביורו</t>
  </si>
  <si>
    <t>NLE-Accounting</t>
  </si>
  <si>
    <t>אלגוסק אירופה</t>
  </si>
  <si>
    <t>AXA - Health insuranse-Provident</t>
  </si>
  <si>
    <t>ADESATT</t>
  </si>
  <si>
    <t>הוצאות עובדים צרפת DELIVERY</t>
  </si>
  <si>
    <t>802.הוצאות ישירות הנהלה וכלליות</t>
  </si>
  <si>
    <t>RVP</t>
  </si>
  <si>
    <t>שכר צרפת RVP</t>
  </si>
  <si>
    <t>שכר צרפת-RVP עמלות (ברוטו)</t>
  </si>
  <si>
    <t>הוצאות  עובדים צרפת SE</t>
  </si>
  <si>
    <t>שכר צרפת עמלות מכירה SE</t>
  </si>
  <si>
    <t>JPM EUR</t>
  </si>
  <si>
    <t xml:space="preserve">ברוטו + סוציאליות </t>
  </si>
  <si>
    <t xml:space="preserve">Financial Income (exp) </t>
  </si>
  <si>
    <t>Algosec France</t>
  </si>
  <si>
    <t>France</t>
  </si>
  <si>
    <t>Euro</t>
  </si>
  <si>
    <t>Altisource US Data, Inc.</t>
  </si>
  <si>
    <t>Bell Canada</t>
  </si>
  <si>
    <t>Cisco Systems Inc.</t>
  </si>
  <si>
    <t>ePlus Technology, inc.</t>
  </si>
  <si>
    <t>First Hawaiian Bank</t>
  </si>
  <si>
    <t>FirstBank Data Corporation</t>
  </si>
  <si>
    <t>Sirius Computer Solutions</t>
  </si>
  <si>
    <t>Gotham Technology Group</t>
  </si>
  <si>
    <t>The Source</t>
  </si>
  <si>
    <t>FiveSky, LLC</t>
  </si>
  <si>
    <t>Axia SuperNet Ltd.</t>
  </si>
  <si>
    <t>DeFY Security, LLC</t>
  </si>
  <si>
    <t>Components Arrow</t>
  </si>
  <si>
    <t>TB check</t>
  </si>
  <si>
    <t>May 2020</t>
  </si>
  <si>
    <t>מע"מ לא לקיזוז</t>
  </si>
  <si>
    <t>הוצאות עובדים צרפת RVP</t>
  </si>
  <si>
    <t>Prepaid expenses'!A1</t>
  </si>
  <si>
    <t>Non-resident person who does not have a permanent establishment in Canada and must maintain security deposit.</t>
  </si>
  <si>
    <t>Calculation for the TP adjustment :</t>
  </si>
  <si>
    <t>Check AUD</t>
  </si>
  <si>
    <t>Check USD</t>
  </si>
  <si>
    <t>Group</t>
  </si>
  <si>
    <t>Projects for which we haven't issued an invoice.</t>
  </si>
  <si>
    <t>Algosec France SAAS</t>
  </si>
  <si>
    <t>Audit 2020 - A. Legoux</t>
  </si>
  <si>
    <t>Bookkeeping - NLE</t>
  </si>
  <si>
    <t>Salary - NLE</t>
  </si>
  <si>
    <t xml:space="preserve">Allocation of G&amp;A to other departments. </t>
  </si>
  <si>
    <t>T.B.</t>
  </si>
  <si>
    <t>Allocation according employees - Updated once in a year</t>
  </si>
  <si>
    <t>Rent New-Jersey</t>
  </si>
  <si>
    <t>New-Jersey rent</t>
  </si>
  <si>
    <t>NJ Feb</t>
  </si>
  <si>
    <t>NJ Jan</t>
  </si>
  <si>
    <t>NJ Mar</t>
  </si>
  <si>
    <t>NJ Apr</t>
  </si>
  <si>
    <t>NJ May</t>
  </si>
  <si>
    <t>NJ June</t>
  </si>
  <si>
    <t>NJ July</t>
  </si>
  <si>
    <t>NJ Aug</t>
  </si>
  <si>
    <t>NJ Sep</t>
  </si>
  <si>
    <t>NJ Oct</t>
  </si>
  <si>
    <t>NJ Nov</t>
  </si>
  <si>
    <t>NJ Dec</t>
  </si>
  <si>
    <t>Atlanta rent</t>
  </si>
  <si>
    <t>ATL Jan</t>
  </si>
  <si>
    <t>ATL Feb</t>
  </si>
  <si>
    <t>ATL Mar</t>
  </si>
  <si>
    <t>ATL Apr</t>
  </si>
  <si>
    <t>ATL May</t>
  </si>
  <si>
    <t>ATL June</t>
  </si>
  <si>
    <t>ATL July</t>
  </si>
  <si>
    <t>ATL Aug</t>
  </si>
  <si>
    <t>ATL Sep</t>
  </si>
  <si>
    <t>ATL Oct</t>
  </si>
  <si>
    <t>ATL Nov</t>
  </si>
  <si>
    <t>ATL Dec</t>
  </si>
  <si>
    <t>GL accounts</t>
  </si>
  <si>
    <t>Account name</t>
  </si>
  <si>
    <t>New-Jersey Utilities</t>
  </si>
  <si>
    <t>Atlanta utilities</t>
  </si>
  <si>
    <t>Total G&amp;A check</t>
  </si>
  <si>
    <t>Payment which is done behalf of retired employee and they pay us back (Up to 1 year since they leave)- this is the law in US.</t>
  </si>
  <si>
    <t>Employees salary deduction which we wire to Flexfacts - they use for social payments.</t>
  </si>
  <si>
    <t>Assets.1**</t>
  </si>
  <si>
    <t>Current Assets.10*</t>
  </si>
  <si>
    <t>Cash &amp; Cash Equivalents.100</t>
  </si>
  <si>
    <t>Other Accounts receivable.11*</t>
  </si>
  <si>
    <t>Prepaid-Comm-606</t>
  </si>
  <si>
    <t>Employees.111</t>
  </si>
  <si>
    <t>Short Term Deferred Taxes.112</t>
  </si>
  <si>
    <t>Accounts Receivable.13*</t>
  </si>
  <si>
    <t>Fixed Assets.14*</t>
  </si>
  <si>
    <t>Computers.140</t>
  </si>
  <si>
    <t>Fixed Assets Computer Equipment</t>
  </si>
  <si>
    <t>Office furniture and equipment.142</t>
  </si>
  <si>
    <t>Leasehold improvements.143</t>
  </si>
  <si>
    <t>Accumulated depreciation.149</t>
  </si>
  <si>
    <t>Long term deposits.15*</t>
  </si>
  <si>
    <t>Office Lease Deposits.151</t>
  </si>
  <si>
    <t>Long Term Assets.16*</t>
  </si>
  <si>
    <t>Long Term Other  Receivables.161</t>
  </si>
  <si>
    <t>Long Term Deferred Taxes.162</t>
  </si>
  <si>
    <t>Liabilities.2**</t>
  </si>
  <si>
    <t>Short Term Liabilities.20*</t>
  </si>
  <si>
    <t>Deferred Revenue Appliance Main.Foreign Currency</t>
  </si>
  <si>
    <t>Accounts Payable.21*</t>
  </si>
  <si>
    <t>A/P USD.212</t>
  </si>
  <si>
    <t>Accrued Expenses.22*</t>
  </si>
  <si>
    <t>Accrued Expenses.220</t>
  </si>
  <si>
    <t>Payroll related liabilities.24*</t>
  </si>
  <si>
    <t>Employees Liabilities.240</t>
  </si>
  <si>
    <t>Instititions.25*</t>
  </si>
  <si>
    <t>Liability to institutions.250</t>
  </si>
  <si>
    <t>Sales Tax Credit.252</t>
  </si>
  <si>
    <t>Equity Capital.3**</t>
  </si>
  <si>
    <t>Equity Capital.30*</t>
  </si>
  <si>
    <t>Capital Stock.300</t>
  </si>
  <si>
    <t>Additional paid-in capital.301</t>
  </si>
  <si>
    <t>Capital fund.302</t>
  </si>
  <si>
    <t>Retained earnings.303</t>
  </si>
  <si>
    <t>Income.4**</t>
  </si>
  <si>
    <t>Income.40*</t>
  </si>
  <si>
    <t>Prouct Income.400</t>
  </si>
  <si>
    <t>Maintenance Income.401</t>
  </si>
  <si>
    <t>COGS.5**</t>
  </si>
  <si>
    <t>Payroll PS.520</t>
  </si>
  <si>
    <t>Gross Salary - Delivery</t>
  </si>
  <si>
    <t>MBO - Delivery</t>
  </si>
  <si>
    <t>Paid Vacation Delivery</t>
  </si>
  <si>
    <t>HRA - Delivery</t>
  </si>
  <si>
    <t>Health Delivery</t>
  </si>
  <si>
    <t>Health/life/STD CAD Delivery</t>
  </si>
  <si>
    <t>Dental &amp; Vision Delivery</t>
  </si>
  <si>
    <t>ER Contrib Tax Delivery</t>
  </si>
  <si>
    <t>Recruiting-Delivery</t>
  </si>
  <si>
    <t>PS Delivery Other exp. Abroad</t>
  </si>
  <si>
    <t>Workers comp Training</t>
  </si>
  <si>
    <t>Customers training by third party</t>
  </si>
  <si>
    <t>R&amp;D Expenses.6**</t>
  </si>
  <si>
    <t>R&amp;D Expenses.60*</t>
  </si>
  <si>
    <t>Workers Comp Customer Focus</t>
  </si>
  <si>
    <t>S&amp;M expenses.7**</t>
  </si>
  <si>
    <t>Marketing expenses.70*</t>
  </si>
  <si>
    <t>Workers Comp Marketing</t>
  </si>
  <si>
    <t>Advertising,Public Relations and Design</t>
  </si>
  <si>
    <t>Sales expenses.71*</t>
  </si>
  <si>
    <t>Gross Salary - Sales East</t>
  </si>
  <si>
    <t>MBO - Sales East</t>
  </si>
  <si>
    <t>Commission Sales East</t>
  </si>
  <si>
    <t>Workers Comp Sales East</t>
  </si>
  <si>
    <t>Health Sales US East</t>
  </si>
  <si>
    <t>Dental &amp; Vision Sales East</t>
  </si>
  <si>
    <t>Workers Comp Sales Manager</t>
  </si>
  <si>
    <t>Gross Salary - SE East</t>
  </si>
  <si>
    <t>MBO - SE East</t>
  </si>
  <si>
    <t>Commissions SE East</t>
  </si>
  <si>
    <t>ER Contrib. Tax SE East</t>
  </si>
  <si>
    <t>Gross Salary - SE CAD East</t>
  </si>
  <si>
    <t>Health SE East</t>
  </si>
  <si>
    <t>Dental &amp; Vision SE East</t>
  </si>
  <si>
    <t>Workers Comp SE East</t>
  </si>
  <si>
    <t>Health/life/STD SE East CAD</t>
  </si>
  <si>
    <t>Workers Comp Bus Dev</t>
  </si>
  <si>
    <t>Health/Life/STD Bus.Dev. CAD</t>
  </si>
  <si>
    <t>G&amp;A Expenses.8**</t>
  </si>
  <si>
    <t>G&amp;A Expenses.80*</t>
  </si>
  <si>
    <t>Gross Salary - Finance</t>
  </si>
  <si>
    <t>Workers Comp Finance</t>
  </si>
  <si>
    <t>Health Finance</t>
  </si>
  <si>
    <t>Dental &amp; Vision Finance</t>
  </si>
  <si>
    <t>ER Contrib. Tax Finance</t>
  </si>
  <si>
    <t>Other G&amp;A.809</t>
  </si>
  <si>
    <t>Workers Comp Ins Admin</t>
  </si>
  <si>
    <t>IT +  IS Expenses.81*</t>
  </si>
  <si>
    <t>Payroll IT +  IS.811</t>
  </si>
  <si>
    <t>Financial and tax tax expenses.9**</t>
  </si>
  <si>
    <t>Financial Expenses.90*</t>
  </si>
  <si>
    <t>תוספות</t>
  </si>
  <si>
    <t>Quarter JE</t>
  </si>
  <si>
    <t>סה"כ חייבים</t>
  </si>
  <si>
    <t>Directorship Services - P. Fiori</t>
  </si>
  <si>
    <t>שע"ח סוף תקופה</t>
  </si>
  <si>
    <t>TP CHARGE based on collection</t>
  </si>
  <si>
    <t>להעביר</t>
  </si>
  <si>
    <t>Reclass of TP charge to Prepaid TP</t>
  </si>
  <si>
    <t>ברבעון - להעביר ולהפוך</t>
  </si>
  <si>
    <t>אלגוסק צרפת</t>
  </si>
  <si>
    <t>אלגוסק הודו</t>
  </si>
  <si>
    <t>1130010-1</t>
  </si>
  <si>
    <t>אלגוסק צרפת-השקעה</t>
  </si>
  <si>
    <t>Elite Value Added Distribution FZCO</t>
  </si>
  <si>
    <t>Twenty Three Aps</t>
  </si>
  <si>
    <t>As at July 31, 2020</t>
  </si>
  <si>
    <t>GBP/AUD</t>
  </si>
  <si>
    <t>Due previous years</t>
  </si>
  <si>
    <t>Europe</t>
  </si>
  <si>
    <t>In AU - Social payments aren't deductible unless they paid.</t>
  </si>
  <si>
    <t>Operating Profit/(Loss)</t>
  </si>
  <si>
    <t xml:space="preserve">Algosec Australia PL - Tax Froforma </t>
  </si>
  <si>
    <t>Employees meals exp</t>
  </si>
  <si>
    <t>Entertainment</t>
  </si>
  <si>
    <t>Accrued expenses Employees 2020</t>
  </si>
  <si>
    <t>Tax Loss Carried forward FY2019</t>
  </si>
  <si>
    <t>Taxable Income/(Tax Loss)</t>
  </si>
  <si>
    <t>Tax rate</t>
  </si>
  <si>
    <t>מיון החזרי הוצאות בגין טיסות לעלות המכר - ראה קובץ TRAVEL בתיקיה של דוחות חודשיים  + הכרה בהכנסה בגין התחייבות NAB.</t>
  </si>
  <si>
    <t>Tax provision</t>
  </si>
  <si>
    <t xml:space="preserve">ברבעון - להעביר </t>
  </si>
  <si>
    <t>ברבעון - להעביר</t>
  </si>
  <si>
    <t>Intercompany invoice</t>
  </si>
  <si>
    <t xml:space="preserve">חישוב לעדכון חשבונית בינחברתית </t>
  </si>
  <si>
    <t>Tax payable</t>
  </si>
  <si>
    <t>Tax proforma</t>
  </si>
  <si>
    <t>חייבים אחרים</t>
  </si>
  <si>
    <t>סה"כ מוסדת</t>
  </si>
  <si>
    <t>סה"כ יתרות בינחברתיות</t>
  </si>
  <si>
    <t>NIS</t>
  </si>
  <si>
    <t>Rates</t>
  </si>
  <si>
    <t>PTLS SERVIÇOS DE TECNOLOGIA E ASSES</t>
  </si>
  <si>
    <t>עיריית פתח תקוה</t>
  </si>
  <si>
    <t>מגדל חברה לבטוח</t>
  </si>
  <si>
    <t>Check ILS</t>
  </si>
  <si>
    <t>שוטף</t>
  </si>
  <si>
    <t>מיון הוצאות מראש לזמן ארוך</t>
  </si>
  <si>
    <t>Israel</t>
  </si>
  <si>
    <t>אוברליין בע"מ</t>
  </si>
  <si>
    <t>FA!A3</t>
  </si>
  <si>
    <t>PS - Professional services</t>
  </si>
  <si>
    <t>Maintenance (Due appliance)</t>
  </si>
  <si>
    <t>Maintenance (Due perpetual)</t>
  </si>
  <si>
    <t>Subscription</t>
  </si>
  <si>
    <t>Training</t>
  </si>
  <si>
    <t>Perpetual</t>
  </si>
  <si>
    <t>Appliance</t>
  </si>
  <si>
    <t xml:space="preserve">העמסת הוצאות הנה"כ </t>
  </si>
  <si>
    <t>Accrued expenses'!A1</t>
  </si>
  <si>
    <t>ממינים ספקים מעל 10 אש"ח.</t>
  </si>
  <si>
    <t>חשבונית בינחברתית - אלגוסק מערכות ישראל-אלגוסק Inc</t>
  </si>
  <si>
    <t>IC charge Australia</t>
  </si>
  <si>
    <t>IC income AUS LT/ST</t>
  </si>
  <si>
    <t>IC charge Europe</t>
  </si>
  <si>
    <t>IC income EUR LT/ST</t>
  </si>
  <si>
    <t>ברבעון להעביר</t>
  </si>
  <si>
    <t>Algosec India</t>
  </si>
  <si>
    <t>יתרה ברופיה הודית</t>
  </si>
  <si>
    <t>JPM INR</t>
  </si>
  <si>
    <t>THINK FUTURE TECHNOLOGIES</t>
  </si>
  <si>
    <t>217.ספקים INR</t>
  </si>
  <si>
    <t>EVOKE GLOBAL</t>
  </si>
  <si>
    <t>Reliance General Insurance</t>
  </si>
  <si>
    <t>CGST Input @9%</t>
  </si>
  <si>
    <t>IGST Input @18%</t>
  </si>
  <si>
    <t>SGST Input @9%</t>
  </si>
  <si>
    <t>TDS U/s 194I (Rent)</t>
  </si>
  <si>
    <t>TDS U/s 194J (Professional)</t>
  </si>
  <si>
    <t>TDS U/s 194C (Contractor)</t>
  </si>
  <si>
    <t>Provident Fund payroll</t>
  </si>
  <si>
    <t>הכנסות בין חברתיות הודו IND TRANSFER PRICING</t>
  </si>
  <si>
    <t>שכר עבודה תמיכה הודו</t>
  </si>
  <si>
    <t>בונוס תמיכה הודו</t>
  </si>
  <si>
    <t>שכר הודו עמלות מכירה SE</t>
  </si>
  <si>
    <t>בדיקה רופי</t>
  </si>
  <si>
    <t>בדיקה דולר</t>
  </si>
  <si>
    <t>INR</t>
  </si>
  <si>
    <t>עובדים ומוסדות בגין שכר</t>
  </si>
  <si>
    <t>סה"כ עובדים ומוסדות בגין שכר</t>
  </si>
  <si>
    <t>Algosec India LLC</t>
  </si>
  <si>
    <t xml:space="preserve">לבדוק על בסיס חודשי האם הפריסה תואמת לחשבוניות (כולל בדיקת שינויים שלושה חודשים אחורה) + אנליטי </t>
  </si>
  <si>
    <t>India</t>
  </si>
  <si>
    <t>Cost+ income</t>
  </si>
  <si>
    <t>Salary</t>
  </si>
  <si>
    <t>TS</t>
  </si>
  <si>
    <t>PS</t>
  </si>
  <si>
    <t>עלויות ישירות</t>
  </si>
  <si>
    <t xml:space="preserve">Trade receivable </t>
  </si>
  <si>
    <t>Total R&amp;D and S&amp;M</t>
  </si>
  <si>
    <t>Check GBP</t>
  </si>
  <si>
    <t>בגין קו אשראי - ראה תיעוד בדף בנק.</t>
  </si>
  <si>
    <t>פקדון לחברת הניהול בגין השכירות של הנכס (בעבר שכרו בבניין אחר בקומה 4).</t>
  </si>
  <si>
    <t>לעדכן בכל סוף שנה.</t>
  </si>
  <si>
    <t>למיין אחת לרבעון את האופציות להון מניות.</t>
  </si>
  <si>
    <t>Gen Insurance 7.20-7.21</t>
  </si>
  <si>
    <t>Prepaid Expenses TP LT</t>
  </si>
  <si>
    <t>TS רילוקיישן</t>
  </si>
  <si>
    <t>Depriciation</t>
  </si>
  <si>
    <t>כולל הוצאות ל- Krest בגין תחזוקת מזגנים</t>
  </si>
  <si>
    <t>Founders interest</t>
  </si>
  <si>
    <t>Interest for Founders</t>
  </si>
  <si>
    <t>ללא שינוי מהותי + לוודא שחידושים שלא בוצעו הועברו לידיעת צוות המכירות.</t>
  </si>
  <si>
    <t>ללא שינוי - לוודא שעסקאות שלא חודשו הועברו לידעת המכירות.</t>
  </si>
  <si>
    <t>הכנסות מראש חייבות מעמ אירו</t>
  </si>
  <si>
    <t>הכנסות תחזוקה חייבות מעמ EUR (מועבר מהכ.מראש)</t>
  </si>
  <si>
    <t>שכר צרפת מכירות Sales</t>
  </si>
  <si>
    <t>שכר צרפת-מכירות Sales עמלות</t>
  </si>
  <si>
    <t>הוצאות עובדים צרפת מכירות Sales</t>
  </si>
  <si>
    <t>הכנסות חייבות ממוצרים</t>
  </si>
  <si>
    <t>07.2020</t>
  </si>
  <si>
    <t>08.2020</t>
  </si>
  <si>
    <t>TP charge based on collection</t>
  </si>
  <si>
    <t>בדיקת סבירות שמורה ברשת.</t>
  </si>
  <si>
    <t>כרטיס משמש לעלויות חד פעמיות - כולל בתוכו עלויות הקמה.</t>
  </si>
  <si>
    <t>כרטיס שמשמש לעלויות קבועות (הנה"ח, ביקורת, שכר וכו').</t>
  </si>
  <si>
    <t>ATP BOOKKEEPING SERVICES PTY LTD</t>
  </si>
  <si>
    <t xml:space="preserve">Algosec Australia Pty </t>
  </si>
  <si>
    <t>תואם לאישור יתרה מהנאמן.</t>
  </si>
  <si>
    <t>Accrued expenses - Employees</t>
  </si>
  <si>
    <t>Others</t>
  </si>
  <si>
    <t>As at August 31, 2020</t>
  </si>
  <si>
    <t>Redington Gulf FZE</t>
  </si>
  <si>
    <t>Navixia</t>
  </si>
  <si>
    <t>לעדכן שערוכים לאחר שהביקורת תסגר</t>
  </si>
  <si>
    <t>08/2020</t>
  </si>
  <si>
    <t>CSAA Insurance Group</t>
  </si>
  <si>
    <t>Cincinnati Children's Hospital Medical Center</t>
  </si>
  <si>
    <t>NetworkVigilance, LLC</t>
  </si>
  <si>
    <t>Securance LLC</t>
  </si>
  <si>
    <t>Silicon Valley Bank</t>
  </si>
  <si>
    <t>Computacenter Fusionstorm Inc.</t>
  </si>
  <si>
    <t>Busey Bank</t>
  </si>
  <si>
    <t>ITA Group, Inc.</t>
  </si>
  <si>
    <t>NTT America Solutions, Inc.</t>
  </si>
  <si>
    <t>MicroAge</t>
  </si>
  <si>
    <t>Shield Screening</t>
  </si>
  <si>
    <t>5200002-1</t>
  </si>
  <si>
    <t>Other Bonus - Delivery CAD</t>
  </si>
  <si>
    <t>SE Transportation AMERICAS</t>
  </si>
  <si>
    <t xml:space="preserve"> July 2020</t>
  </si>
  <si>
    <t xml:space="preserve"> August 2020</t>
  </si>
  <si>
    <t>הועבר תשלום בגובה תשלום חודשי למניעת קנסות. יתקזז בשלב מסויים</t>
  </si>
  <si>
    <t>USD/Rupee</t>
  </si>
  <si>
    <t>Ved Jain and Associates</t>
  </si>
  <si>
    <t>TDS U/s 192B ( Payroll)</t>
  </si>
  <si>
    <t>Provident Fund payroll(Employer Share)</t>
  </si>
  <si>
    <t>שכר עבודה תמיכה Support הודו</t>
  </si>
  <si>
    <t>Support Severance Payroll</t>
  </si>
  <si>
    <t>הוצאות Severance</t>
  </si>
  <si>
    <t>שכר Customer Focus</t>
  </si>
  <si>
    <t>Bonus Customer Focus</t>
  </si>
  <si>
    <t>שכר הודו מכירות Sales</t>
  </si>
  <si>
    <t>שכר הודו-מכירות Sales עמלות</t>
  </si>
  <si>
    <t>בונוס מכירות Sales</t>
  </si>
  <si>
    <t>Electricity</t>
  </si>
  <si>
    <t>General Deliveries</t>
  </si>
  <si>
    <t>ביטולי יתרות</t>
  </si>
  <si>
    <t xml:space="preserve">Electricity </t>
  </si>
  <si>
    <t>Consulting- Bookkeeping</t>
  </si>
  <si>
    <t>Consultancy G&amp;A</t>
  </si>
  <si>
    <t>כולל הוצאות חד פעמיות.</t>
  </si>
  <si>
    <t>AMC 6/20-6/2 Krest</t>
  </si>
  <si>
    <t>Tax expenses</t>
  </si>
  <si>
    <t>(INR)</t>
  </si>
  <si>
    <t>Add: Capital Assets expensed off (Note 3)</t>
  </si>
  <si>
    <t>Tax adjustments:</t>
  </si>
  <si>
    <t>Less: Depreciation as per Income Tax Act 1961 (Note 3)</t>
  </si>
  <si>
    <r>
      <t xml:space="preserve">Tax on above </t>
    </r>
    <r>
      <rPr>
        <sz val="10"/>
        <color rgb="FFFF0000"/>
        <rFont val="Arial"/>
        <family val="2"/>
      </rPr>
      <t>@30%</t>
    </r>
    <r>
      <rPr>
        <sz val="10"/>
        <rFont val="Arial"/>
        <family val="2"/>
      </rPr>
      <t xml:space="preserve"> (Note 4) (a)</t>
    </r>
  </si>
  <si>
    <t>Tax liability (higher of a and b)</t>
  </si>
  <si>
    <r>
      <t>Add: Surcharge @</t>
    </r>
    <r>
      <rPr>
        <sz val="10"/>
        <color rgb="FFFF0000"/>
        <rFont val="Arial"/>
        <family val="2"/>
      </rPr>
      <t xml:space="preserve"> 12%</t>
    </r>
    <r>
      <rPr>
        <sz val="10"/>
        <rFont val="Arial"/>
        <family val="2"/>
      </rPr>
      <t xml:space="preserve"> (Note 5)</t>
    </r>
  </si>
  <si>
    <t>Add: Education Cess + Secondary and Higher Education Cess @ 4% (Note 6)</t>
  </si>
  <si>
    <t>Total estimated tax liability</t>
  </si>
  <si>
    <t>Notes</t>
  </si>
  <si>
    <t xml:space="preserve">1. We have estimated the operating profits for FY 2020-21 based on the average operating profits for Jul to Aug 2020. </t>
  </si>
  <si>
    <t>2. These expenses are in the nature of business expense and hence, they will be allowed as a deduction for computing the taxable income. Annual amount is estimated on the basis of average of Jul to Aug 2020.</t>
  </si>
  <si>
    <t xml:space="preserve">3.The amount of Fixed Assets expensed off in the books has been added back. Further the amount of depreciation as per section 32 of the Act has been allowed for the purpose of computing taxable income. </t>
  </si>
  <si>
    <t>4.For the Assessment Year 2021-22, Limited Liabbility Partneraship is taxable at 30%.</t>
  </si>
  <si>
    <t>5.Surcharge is applicable @12% of the tax, where total income exceeds one crore rupees</t>
  </si>
  <si>
    <t>in July we paid one time set up fee</t>
  </si>
  <si>
    <t>פריסה של ההכנסות לפני יישום התקן.</t>
  </si>
  <si>
    <t>Accrued expenses'!A68</t>
  </si>
  <si>
    <t>לחשב רבעוני</t>
  </si>
  <si>
    <t>מירב שירותי דפוס והפקה (1994) בע"מ</t>
  </si>
  <si>
    <t>בארי כץ בע"מ</t>
  </si>
  <si>
    <t>אורקל ישראל בע"מ</t>
  </si>
  <si>
    <t>PCI SECURITY SANDARDS</t>
  </si>
  <si>
    <t>ספקים שונים-USD</t>
  </si>
  <si>
    <t>80064-1</t>
  </si>
  <si>
    <t>הכנסות תחזוקה חומרה מט"ח פטורות-מאזן בלבד</t>
  </si>
  <si>
    <t>לקוח הודי - לוקח להם זמן להעביר ניכוי מס במקור 10%.</t>
  </si>
  <si>
    <t>Prepaid expenses'!A42</t>
  </si>
  <si>
    <t>Comeet Technolodies Inc</t>
  </si>
  <si>
    <t>Accrued expenses'!A38</t>
  </si>
  <si>
    <t>מיון בונוס עובדי מטריקס</t>
  </si>
  <si>
    <t>פתוח - הרכב של היתרה יודע לשירי</t>
  </si>
  <si>
    <t>כולל מקדמה קבועה ע"ס 1,00 דולר שנתנה עבור החזרי הוצאות - יסגר בעת סיום העסקה.</t>
  </si>
  <si>
    <t>POD שמור ברשת</t>
  </si>
  <si>
    <t>אסמכתא</t>
  </si>
  <si>
    <t>Account number</t>
  </si>
  <si>
    <t>Details</t>
  </si>
  <si>
    <t>Invoice</t>
  </si>
  <si>
    <t>09/2020</t>
  </si>
  <si>
    <t>10/2020</t>
  </si>
  <si>
    <t>11/2020</t>
  </si>
  <si>
    <t>12/2020</t>
  </si>
  <si>
    <t>Prepaid expenses'!A143</t>
  </si>
  <si>
    <t>Accrued expenses'!A129</t>
  </si>
  <si>
    <t>As at September 30, 2020</t>
  </si>
  <si>
    <t>Servyr</t>
  </si>
  <si>
    <t>Prepaid expenses'!A152</t>
  </si>
  <si>
    <t>Accrued expenses'!A57</t>
  </si>
  <si>
    <t>09.2020</t>
  </si>
  <si>
    <t>Cable One, Inc.</t>
  </si>
  <si>
    <t>Creative Breakthroughs, Inc. "CBI"</t>
  </si>
  <si>
    <t>ISA Cybersecurity Inc.</t>
  </si>
  <si>
    <t>Pennsylvania State Employees Credit Union (PSECU</t>
  </si>
  <si>
    <t>Softchoice LP</t>
  </si>
  <si>
    <t>TELUS Communications Inc.</t>
  </si>
  <si>
    <t>Sayers</t>
  </si>
  <si>
    <t>First Quality Enterprises, Inc.</t>
  </si>
  <si>
    <t>Amerant Bank</t>
  </si>
  <si>
    <t>TravelCLICK an Amadeus company</t>
  </si>
  <si>
    <t>Sycomp, A Technology Company, Inc</t>
  </si>
  <si>
    <t>GigaNetworks, Inc</t>
  </si>
  <si>
    <t>Macomb County Government</t>
  </si>
  <si>
    <t>Micro Logic Sainte-Foy Ltée</t>
  </si>
  <si>
    <t>Solutions Simplified</t>
  </si>
  <si>
    <t>Maintenance Revenues Appliance Foreign Curre-1</t>
  </si>
  <si>
    <t>Subscription-Maint Revenues Foreign Cur. CISCO</t>
  </si>
  <si>
    <t>Subscription-Product Revenues Foreign Curr.CISCO</t>
  </si>
  <si>
    <t>6011004-1</t>
  </si>
  <si>
    <t>Workers Comp Customer Focus CAD</t>
  </si>
  <si>
    <t>7140016-2</t>
  </si>
  <si>
    <t>Workers Comp SE AMERICAS CAD</t>
  </si>
  <si>
    <t>7170004-1</t>
  </si>
  <si>
    <t>Workers Comp Bus Dev CAD</t>
  </si>
  <si>
    <t xml:space="preserve"> Sep 2020</t>
  </si>
  <si>
    <t>IC charge France</t>
  </si>
  <si>
    <t>לבצע התאמה למאזן של לשכת שירות צרפתית.</t>
  </si>
  <si>
    <t>תיקון חשבוניות שנפרסו בצורה שגויה בתקופה קודמת.</t>
  </si>
  <si>
    <t>אנליטי</t>
  </si>
  <si>
    <t xml:space="preserve">Name </t>
  </si>
  <si>
    <t xml:space="preserve">Total outstanding </t>
  </si>
  <si>
    <t>Total fully diluted</t>
  </si>
  <si>
    <t>% outstanding</t>
  </si>
  <si>
    <t>% fully diluted</t>
  </si>
  <si>
    <t>Yuval Baron</t>
  </si>
  <si>
    <t>Avishai Wool</t>
  </si>
  <si>
    <t>Claridge Israel L.P.</t>
  </si>
  <si>
    <t xml:space="preserve">Ex-Employees Options </t>
  </si>
  <si>
    <t xml:space="preserve">Ex-Employees Stocks </t>
  </si>
  <si>
    <t xml:space="preserve">Employees Allocated options </t>
  </si>
  <si>
    <t>Options Buy Back</t>
  </si>
  <si>
    <t>Exercised Options</t>
  </si>
  <si>
    <t>Employees unallocated options</t>
  </si>
  <si>
    <t>CAP table</t>
  </si>
  <si>
    <t>Value per share</t>
  </si>
  <si>
    <t xml:space="preserve">stock regual </t>
  </si>
  <si>
    <t>stack capital in USD</t>
  </si>
  <si>
    <t>Q3 2020</t>
  </si>
  <si>
    <t>Amortization Q3-2020 (for Capitalization up to Dec 31, 2018)</t>
  </si>
  <si>
    <t>Amortization Q3-2020 (for Capitalization Q1 2019)</t>
  </si>
  <si>
    <t>Amortization Q3-2020 (for Capitalization Q2 2019)</t>
  </si>
  <si>
    <t>Amortization Q3-2020 (for Capitalization Q3 2019)</t>
  </si>
  <si>
    <t>Amortization Q3-2020 (for Capitalization Q4 2019)</t>
  </si>
  <si>
    <t>Amortization Q3-2020 (for Capitalization Q1 2020)</t>
  </si>
  <si>
    <t>Amortization Q3-2020 (for Capitalization Q2 2020)</t>
  </si>
  <si>
    <t xml:space="preserve">Capitalization Q3 2020 commissions </t>
  </si>
  <si>
    <t>Current liabilities</t>
  </si>
  <si>
    <t>רבעון להעביר - מרכז רווח APAC</t>
  </si>
  <si>
    <t>מיון לז"א</t>
  </si>
  <si>
    <t>הפרשה למס הודו 2020-21</t>
  </si>
  <si>
    <t>מקדמות מס הודו</t>
  </si>
  <si>
    <t>החזר הוצאות הודו - תמיכה</t>
  </si>
  <si>
    <t>החזר הוצ' עובדים הודו SE</t>
  </si>
  <si>
    <t>Prepaid expenses'!A130</t>
  </si>
  <si>
    <t>Accrued expenses'!A150</t>
  </si>
  <si>
    <t>INC - USD</t>
  </si>
  <si>
    <t>India - INR</t>
  </si>
  <si>
    <t>Total operating profit before tax as per Income Statement</t>
  </si>
  <si>
    <t>Estimated Taxable Income for FY 2020</t>
  </si>
  <si>
    <t>*</t>
  </si>
  <si>
    <t>Allocation</t>
  </si>
  <si>
    <t>Delivery</t>
  </si>
  <si>
    <t>Grand Total</t>
  </si>
  <si>
    <t>R&amp;D - Allocated Costs –G&amp;A</t>
  </si>
  <si>
    <t>Allocation of G&amp;A to Other Departments</t>
  </si>
  <si>
    <t>להעביר ברבעון</t>
  </si>
  <si>
    <t>Sort G&amp;A to Cost of sales</t>
  </si>
  <si>
    <t>Allocation of G&amp;A to Sales</t>
  </si>
  <si>
    <t>Share-Based Payment FAS123 - Customer focus</t>
  </si>
  <si>
    <t>FAS 123  - Algosec Inc</t>
  </si>
  <si>
    <t>FAS 123 - IC</t>
  </si>
  <si>
    <t>הכנסות לקבל בגין שירותי PS שטרם הופקה בגינם חשבונית.</t>
  </si>
  <si>
    <t>Assertiva S.A</t>
  </si>
  <si>
    <t>LicenciasOnLine SA</t>
  </si>
  <si>
    <t>Muk Distribution LLC</t>
  </si>
  <si>
    <t>Licenciasonline S.A</t>
  </si>
  <si>
    <t>Orange Cyberdefense Denmark A/S</t>
  </si>
  <si>
    <t>NTT Belgium NV/SA</t>
  </si>
  <si>
    <t>Telenet BV</t>
  </si>
  <si>
    <t>לקוח פעיל - נשאר פתוח</t>
  </si>
  <si>
    <t>AR in credit</t>
  </si>
  <si>
    <t>Security4IT</t>
  </si>
  <si>
    <t>Licencias Online Chile (LOL)</t>
  </si>
  <si>
    <t>קוסט פורר ארנסט יאנג</t>
  </si>
  <si>
    <t>אייבורי מחשבים בע"מ</t>
  </si>
  <si>
    <t>קבוצת מומנטום הדרכה ייעוץ וחניכה בע"מ</t>
  </si>
  <si>
    <t>קלירמאש פתרונות בע"מ- 5110010</t>
  </si>
  <si>
    <t>דנה פיקל נועם</t>
  </si>
  <si>
    <t>או.קיי.דיל בע"מ</t>
  </si>
  <si>
    <t>אייר טופ בע"מ</t>
  </si>
  <si>
    <t>ספקים שונים חדש</t>
  </si>
  <si>
    <t>OKTOPOST TECHNOLOGIES (UK) LTD</t>
  </si>
  <si>
    <t>Accrued expenses'!A101</t>
  </si>
  <si>
    <t>VAT Report RAG</t>
  </si>
  <si>
    <t>Payroll RAG</t>
  </si>
  <si>
    <t>בדיקת סבירות משום שהשערים הם שונים.</t>
  </si>
  <si>
    <t>ברבעון להעביר ולהפוך</t>
  </si>
  <si>
    <t>כולל מיון הכנסות נדחות לזמן ארוך.</t>
  </si>
  <si>
    <t>אולקלאוד</t>
  </si>
  <si>
    <t>תיקון חשבוניות ישנות בגין פריסה לא נכונה.</t>
  </si>
  <si>
    <t>בגין מכירת ר"ק + POD שמור ברשת.</t>
  </si>
  <si>
    <t>הכנסות בגין מכירת רכוש קבוע - מתקזז מול רישום מקבל בכרטיס 80001 - יש לגרוע מול רווח הון.</t>
  </si>
  <si>
    <t>MBO provision update</t>
  </si>
  <si>
    <t>שכר צרפת PVR -בונוס MBO</t>
  </si>
  <si>
    <t>שכר צרפת מכירות-בונוס MBO</t>
  </si>
  <si>
    <t>Cost Center:</t>
  </si>
  <si>
    <t>EAST</t>
  </si>
  <si>
    <t>Accrued expenses'!A69</t>
  </si>
  <si>
    <t>בונוס SUPPORT MBO - חדש</t>
  </si>
  <si>
    <t>שכר הודו מכירות-בונוס MBO</t>
  </si>
  <si>
    <t>Kafka Kommunikation</t>
  </si>
  <si>
    <t>Description</t>
  </si>
  <si>
    <t>ALTSHULER</t>
  </si>
  <si>
    <t>NON SIGNIFICANT</t>
  </si>
  <si>
    <t>FRA</t>
  </si>
  <si>
    <t>IND</t>
  </si>
  <si>
    <t>AU</t>
  </si>
  <si>
    <t xml:space="preserve">MBO FILE </t>
  </si>
  <si>
    <t>העמדה של ניכוי מס במקור לפי 2.5%</t>
  </si>
  <si>
    <t>Commisions - ASC 606 adj</t>
  </si>
  <si>
    <t>Subscription - ASC 606 adj</t>
  </si>
  <si>
    <t>2019 subscription (Legacy)</t>
  </si>
  <si>
    <t>2020 subscription (Legacy)</t>
  </si>
  <si>
    <t>2018 subscription (Legacy)</t>
  </si>
  <si>
    <t>לשים לב שאם שיעור המס משתנה על פני השנה אז צריך לחודשים ינואר עד מרץ לקחת את שיעור המס הישן ואת החודשים אפריל עד דצמבר את שיעור המס החדש.</t>
  </si>
  <si>
    <t>הפרשה לחופשה י.פ.</t>
  </si>
  <si>
    <t>הפרשה לחופשה י.ס.</t>
  </si>
  <si>
    <t>הוצאות חופשה</t>
  </si>
  <si>
    <t>פיצויים י.פ.</t>
  </si>
  <si>
    <t>פיצויים י.ס.</t>
  </si>
  <si>
    <t>שיעור מס מועדף טכנוולוגי</t>
  </si>
  <si>
    <t>G&amp;A Allocation</t>
  </si>
  <si>
    <t>זיו האפט</t>
  </si>
  <si>
    <t>EY</t>
  </si>
  <si>
    <t>לעדכן סוף שנה לפי טופס פחת לצורכי מס</t>
  </si>
  <si>
    <t>הוצאות מו"פ 1/3 מוכר משנת 2019</t>
  </si>
  <si>
    <t>שנת 2019:</t>
  </si>
  <si>
    <t>סך של 1/3 מהוצאות מו"פ בשנת 2019 המוכרות לצורך 20א'</t>
  </si>
  <si>
    <t>הפרשה לחופשה</t>
  </si>
  <si>
    <t>התחייבות בשל סיום יחסי עובד מעביד, נטו</t>
  </si>
  <si>
    <t>החלק שיוכר ע"פ 3 שנים</t>
  </si>
  <si>
    <t>הכנסה חייבת לצורכי מס (הפסד להעברה)</t>
  </si>
  <si>
    <t>דו"ח על תזרימי מזומנים - ישראל</t>
  </si>
  <si>
    <t>עודפים</t>
  </si>
  <si>
    <t>Cash flows from operating activities:</t>
  </si>
  <si>
    <t>Cash flows from investing activities:</t>
  </si>
  <si>
    <t>LTD - NIS</t>
  </si>
  <si>
    <t>Australia - AUD</t>
  </si>
  <si>
    <t>Additional profit - Deferred Revenues adjustment</t>
  </si>
  <si>
    <t>Accrual in TB</t>
  </si>
  <si>
    <t xml:space="preserve">זיכוי השנה </t>
  </si>
  <si>
    <t>זיכוי משנים קודמות</t>
  </si>
  <si>
    <t>Europe - GBP</t>
  </si>
  <si>
    <t>Net profit (Loss)</t>
  </si>
  <si>
    <t>Changes in operating assets and liabilities:</t>
  </si>
  <si>
    <t>Long-term deposits</t>
  </si>
  <si>
    <t>Other long-term assets</t>
  </si>
  <si>
    <t>Liability to Founders</t>
  </si>
  <si>
    <t>Capital Reserve to Founders</t>
  </si>
  <si>
    <t>Additional paid-in capital</t>
  </si>
  <si>
    <t>Withholding Tax-sepcial UK-2020</t>
  </si>
  <si>
    <t>Please add cost center:</t>
  </si>
  <si>
    <t>מרכז רווח: EMEA</t>
  </si>
  <si>
    <t>Inc</t>
  </si>
  <si>
    <t>Commision prov Q3.2020</t>
  </si>
  <si>
    <t>חיוב מיידי - צריך להיות תואם לחיובים שלא ירדו.</t>
  </si>
  <si>
    <t>הפרש קטן אל מול הכרטיס אשראי - יטופל על ידי שירי.</t>
  </si>
  <si>
    <t>שכר מכירות הודו-בונוס למאזן בלבד</t>
  </si>
  <si>
    <t>להעביר להנה"ח בסוף</t>
  </si>
  <si>
    <t>Costumer focus</t>
  </si>
  <si>
    <t>Consulting Allocation</t>
  </si>
  <si>
    <t>שירותי חוץ ויעוץ הודו - תמיכה</t>
  </si>
  <si>
    <t>שירותי חוץ ויעוץ הודו - Delivery</t>
  </si>
  <si>
    <t xml:space="preserve">שירותי חוץ ויעוץ הודו - Customer Focus </t>
  </si>
  <si>
    <t xml:space="preserve">שירותי חוץ ויעוץ הודו - Sales </t>
  </si>
  <si>
    <t>Share based compensation</t>
  </si>
  <si>
    <t>Excersice of options</t>
  </si>
  <si>
    <t>Median 13.84%</t>
  </si>
  <si>
    <t>לעדכן ברבעון</t>
  </si>
  <si>
    <t>אנליטי אוקטובר</t>
  </si>
  <si>
    <t xml:space="preserve"> OCT 2020</t>
  </si>
  <si>
    <t>להעביר ברבעון (בסוף)</t>
  </si>
  <si>
    <t>10.2020</t>
  </si>
  <si>
    <t>התקבל החזר בנובמבר - לוודא שנסגר.</t>
  </si>
  <si>
    <t>שמור ברשת POD בסכומים מהותיים.</t>
  </si>
  <si>
    <t>INLINE GROUP JSC</t>
  </si>
  <si>
    <t>Fortis Distribution Ltd.</t>
  </si>
  <si>
    <t>Mnemonic AB</t>
  </si>
  <si>
    <t>Proximus PLC</t>
  </si>
  <si>
    <t>SHI Global IT Solutions Ireland Ltd</t>
  </si>
  <si>
    <t>ספקים שונים -EUR</t>
  </si>
  <si>
    <t>נדגמו POD של סכומים מהותיים</t>
  </si>
  <si>
    <t>Reclass to prepaid</t>
  </si>
  <si>
    <t>Olievier Samson</t>
  </si>
  <si>
    <t>Marc Henri GUY</t>
  </si>
  <si>
    <t>Laurent Laporte</t>
  </si>
  <si>
    <t>Antonio Padila</t>
  </si>
  <si>
    <t>Bruno Masson</t>
  </si>
  <si>
    <t>Delisle Edouard</t>
  </si>
  <si>
    <t>Prepaid expenses</t>
  </si>
  <si>
    <t>הוצאות לשלם. 220</t>
  </si>
  <si>
    <t>תקופת השירות של חשבונית FR420600009 שהופקה בספטמבר חל באוגוסט ולכן בחודש קודם הכרנו בסכום כפול.</t>
  </si>
  <si>
    <t>גידול בסוציאליות בעקבות העמלות.</t>
  </si>
  <si>
    <t>כולל את ההפחתה של הניכויים מלקוחות.</t>
  </si>
  <si>
    <t>משולם פעם בשנה - בתחילת כל שנה.</t>
  </si>
  <si>
    <t>Chubb INA Holdings Inc</t>
  </si>
  <si>
    <t>Groupware Technology, Inc.</t>
  </si>
  <si>
    <t>Open Text Inc.</t>
  </si>
  <si>
    <t>Tevora Business Solutions</t>
  </si>
  <si>
    <t>Charter Communications</t>
  </si>
  <si>
    <t>Atlantic Data Security, LLC</t>
  </si>
  <si>
    <t>United Data Technologies</t>
  </si>
  <si>
    <t>EVOTEK</t>
  </si>
  <si>
    <t>GuidePoint Security</t>
  </si>
  <si>
    <t>Mainline Information Systems, Inc.</t>
  </si>
  <si>
    <t>DigitalEra Group, LLC.</t>
  </si>
  <si>
    <t>W.B. Mason</t>
  </si>
  <si>
    <t>Jenn Castner</t>
  </si>
  <si>
    <t>Stuart Lee</t>
  </si>
  <si>
    <t>Matthew Basanceney</t>
  </si>
  <si>
    <t>6011001-1</t>
  </si>
  <si>
    <t>Overtime - Customer Focus</t>
  </si>
  <si>
    <t>6011012-1</t>
  </si>
  <si>
    <t>Overtime - Customer Focus CAD</t>
  </si>
  <si>
    <t>Donations</t>
  </si>
  <si>
    <t>הכנסות PS וברבעון גם- PS resident eng שטרם ניתן השירות בגינם.</t>
  </si>
  <si>
    <t>Record</t>
  </si>
  <si>
    <t>הכנסות בגין שירותי PS שניתנו וטרם הופקה בגינם חשבונית + חשבונית  US205000431 (זיכוי בגין מכירה בתשלומים)</t>
  </si>
  <si>
    <t>מעודכן אחת לרבעון</t>
  </si>
  <si>
    <t>FY 2020</t>
  </si>
  <si>
    <t>Post-Closing Withdrawl updated</t>
  </si>
  <si>
    <t>2018-2019 Interest</t>
  </si>
  <si>
    <t xml:space="preserve">Post-Closing Withdrawl </t>
  </si>
  <si>
    <t>Reclass deferred income to LT</t>
  </si>
  <si>
    <t>התחייבות לשלם דיבידנד לבעלים + ריבית על ההתחייבות = תואם לנייר עבודה של דב (מעודכן אחת לרבעון)</t>
  </si>
  <si>
    <t xml:space="preserve">ההפרש הוא בגין חשבונית זיכוי US205000431 - היא יצאה רק בגלל הסדר התשלומים הנדחים - בפועל יופקו חשבוניות חיוב מחדש ולכן רשמו הכנסות לקבל כנגד הכנסות נדחות אך בכרטיס 53599. </t>
  </si>
  <si>
    <t>FAS123 Check</t>
  </si>
  <si>
    <t>התחייבות לשלם דיבידנד לבעלים - החלק של הקרן.</t>
  </si>
  <si>
    <t>261.הכנסות נדחות לזמן ארוך</t>
  </si>
  <si>
    <t>שירותי חוץ ויעוץ הודו-מכירות</t>
  </si>
  <si>
    <t>Accrued expenses employees</t>
  </si>
  <si>
    <t>ניכוי מס במקור - שוטף</t>
  </si>
  <si>
    <t>ניכוי מס משכר - שוטף</t>
  </si>
  <si>
    <t>צריך לכלול רק את Jain - TFT מועמס על המחלקות.</t>
  </si>
  <si>
    <t>לפי הודים</t>
  </si>
  <si>
    <t>בנק לאומי   25730033 סניף 864 עו"ש שקל</t>
  </si>
  <si>
    <t>אלגוסק UK-השקעה</t>
  </si>
  <si>
    <t>Licencias on Line SA de CV</t>
  </si>
  <si>
    <t>Exclusive Networks Sales India Private Limited</t>
  </si>
  <si>
    <t>IISI - International Integrated Systems Inc</t>
  </si>
  <si>
    <t>ציוד אלקטרוני - עבודה מהבית</t>
  </si>
  <si>
    <t>ריהוט משרדי-עבודה מהבית</t>
  </si>
  <si>
    <t>מירב שיווק</t>
  </si>
  <si>
    <t>ביזנס קלאס</t>
  </si>
  <si>
    <t>שוקולאב</t>
  </si>
  <si>
    <t>ירוק חברתי</t>
  </si>
  <si>
    <t>מד 1 אי.סי.-1 )9991( ב</t>
  </si>
  <si>
    <t>דובל פתרונות דיגיטליים בע"מ</t>
  </si>
  <si>
    <t>Cloudshare Inc</t>
  </si>
  <si>
    <t>*23.כרטיסי אשראי</t>
  </si>
  <si>
    <t>לאומי קארד 8716/9617 מ-7/13 ש"ח יובל</t>
  </si>
  <si>
    <t>לאומי קארד 8716/9617 מ-7/13 $   יובל</t>
  </si>
  <si>
    <t>מבטח סיימון- חו"ז סוציאליות</t>
  </si>
  <si>
    <t>*26.התחייבויות לזמן ארוך</t>
  </si>
  <si>
    <t>הכנסות תחזוקה חומרה מט"ח פטורות</t>
  </si>
  <si>
    <t>80003-1</t>
  </si>
  <si>
    <t>הכנסות מריבית לעובדים-מאזן</t>
  </si>
  <si>
    <t>הכנסות פטורות PS מט"ח</t>
  </si>
  <si>
    <t>הכנסות בין חברתיות-לצורך דוחות בלבד</t>
  </si>
  <si>
    <t>יעוץ ושונות- Technical Support</t>
  </si>
  <si>
    <t>רשיונות תוכנה Delivery PS</t>
  </si>
  <si>
    <t>*58.חומרה</t>
  </si>
  <si>
    <t>בונוסים והפרשי שכר  עובדי ישראל פיתוח</t>
  </si>
  <si>
    <t>*61.הוצאות ניהול מוצר</t>
  </si>
  <si>
    <t>יועצים ניהול מוצר</t>
  </si>
  <si>
    <t>הדרכות חברה שנתי Sales kickoff GlOBAL</t>
  </si>
  <si>
    <t>שכר עבודה Finance &amp; Operation</t>
  </si>
  <si>
    <t>802.הוצאות ישירות Finance &amp; Operation</t>
  </si>
  <si>
    <t>תחזוקת כללית (הפרשה כ.א)</t>
  </si>
  <si>
    <t>*81.הוצאות IT +  IS</t>
  </si>
  <si>
    <t>.83*</t>
  </si>
  <si>
    <t>831.שכר ונלוות Admin</t>
  </si>
  <si>
    <t>842.שכר הנהלה וכלליות</t>
  </si>
  <si>
    <t>.85*</t>
  </si>
  <si>
    <t>ביטול יתרות</t>
  </si>
  <si>
    <t>ריבית והפרשי הצמדה ממוסדות , קנסות</t>
  </si>
  <si>
    <t>.96*</t>
  </si>
  <si>
    <t>Innovative Security SAS-Algosec SAS</t>
  </si>
  <si>
    <t>GoDaddy</t>
  </si>
  <si>
    <t>ריהוט משרדי - עבודה מהבית</t>
  </si>
  <si>
    <t>1130009-1</t>
  </si>
  <si>
    <t>אלגוסק הודו-השקעה</t>
  </si>
  <si>
    <t>מבטח סיימון</t>
  </si>
  <si>
    <t>OPM calculation</t>
  </si>
  <si>
    <t>Operating expenses</t>
  </si>
  <si>
    <t>As at October 31, 2020</t>
  </si>
  <si>
    <t>2500042-1</t>
  </si>
  <si>
    <t>החזר מס 2019</t>
  </si>
  <si>
    <t>AXA Group Operations SAS</t>
  </si>
  <si>
    <t>Atea Finland Oy</t>
  </si>
  <si>
    <t>תשלום ע"ח מס אנגליה 2019</t>
  </si>
  <si>
    <t>שכר אירופה מכירות-בונוס Other</t>
  </si>
  <si>
    <t>פקודות ששולחים להודו אחת לרבעון:</t>
  </si>
  <si>
    <t>INC revaluation</t>
  </si>
  <si>
    <t>11/2010</t>
  </si>
  <si>
    <t>Bharti Airtel Ltd</t>
  </si>
  <si>
    <t>Speed Way International</t>
  </si>
  <si>
    <t>הפרשה למס אנגליה 2019</t>
  </si>
  <si>
    <t>PS - EUR</t>
  </si>
  <si>
    <t>PS - USD</t>
  </si>
  <si>
    <t>מע"מ עסקאות מדווחות</t>
  </si>
  <si>
    <t>שכר צרפת מכירות-בונוס Other</t>
  </si>
  <si>
    <t>משולם אחת לרבעון.</t>
  </si>
  <si>
    <t>11.2020</t>
  </si>
  <si>
    <t>הכנסות למשוך Euro</t>
  </si>
  <si>
    <t>Nov Commission upfront paiment - paid in his payrpll</t>
  </si>
  <si>
    <t>בעקבות העמלה ששולמה לו מראש - חלה עליה בסוציאליות.</t>
  </si>
  <si>
    <t>IC charge France ST/LT</t>
  </si>
  <si>
    <t>Suppliers</t>
  </si>
  <si>
    <t>Clients</t>
  </si>
  <si>
    <t>Shareholders Loans - Associés Algosec UE - Comptes courants</t>
  </si>
  <si>
    <t>סך הוצאות שכר בספרים (לצורך בדיקה מול המאזן בוחן שלהם):</t>
  </si>
  <si>
    <t>Gift</t>
  </si>
  <si>
    <t>Operarating Revenue</t>
  </si>
  <si>
    <t>Operating profit/loss</t>
  </si>
  <si>
    <t>Income TB</t>
  </si>
  <si>
    <t>Less: Depcreciation as per financial statements</t>
  </si>
  <si>
    <t>Insight Canada</t>
  </si>
  <si>
    <t>BlueCross BlueShield of MN</t>
  </si>
  <si>
    <t>ConocoPhillips</t>
  </si>
  <si>
    <t>Future Com</t>
  </si>
  <si>
    <t>Gilead Sciences Inc.</t>
  </si>
  <si>
    <t>IBM Security Services</t>
  </si>
  <si>
    <t>ING Financial Services LLC. (US)</t>
  </si>
  <si>
    <t>Insight</t>
  </si>
  <si>
    <t>Trace3, LLC</t>
  </si>
  <si>
    <t>Wolf &amp; Company</t>
  </si>
  <si>
    <t>Envision RxOptions, LLC</t>
  </si>
  <si>
    <t>Kudelski Security Inc.</t>
  </si>
  <si>
    <t>Computex Technology Solutions</t>
  </si>
  <si>
    <t>Axispoint Technology Solutions Group, Inc.</t>
  </si>
  <si>
    <t>eClinicalWorks</t>
  </si>
  <si>
    <t>Ablegov, Inc.</t>
  </si>
  <si>
    <t>Sedara Security</t>
  </si>
  <si>
    <t>Other Liabilities.204</t>
  </si>
  <si>
    <t>Other Payables</t>
  </si>
  <si>
    <t>Palo Alto Networks (AP Vendor)</t>
  </si>
  <si>
    <t>EJH Consulting Inc.</t>
  </si>
  <si>
    <t>Funny Business Agency</t>
  </si>
  <si>
    <t>Hewlett Packard- Canada</t>
  </si>
  <si>
    <t>Liability sales tax due NY</t>
  </si>
  <si>
    <t>WFH Allowance- Customer Focus</t>
  </si>
  <si>
    <t>WFH Allowance- Marketing</t>
  </si>
  <si>
    <t>Nov 2020</t>
  </si>
  <si>
    <t>2018 GILTI amendment fee</t>
  </si>
  <si>
    <t>אלגוסק הודו-השקעה (LTD)</t>
  </si>
  <si>
    <t>2BSecure Ltd</t>
  </si>
  <si>
    <t>שטראוס מים בע"מ</t>
  </si>
  <si>
    <t>נישה הייטק גיוס והשמה בע"מ</t>
  </si>
  <si>
    <t>משה רחמים א.ו.מ.ר.עבודות קבלניות בע"מ</t>
  </si>
  <si>
    <t>טריפל חי בע"מ</t>
  </si>
  <si>
    <t>אי.אי.אר.גלובל (2018) בע"מ</t>
  </si>
  <si>
    <t>רכס פטנטים</t>
  </si>
  <si>
    <t>פרבדה מדיה גרופ</t>
  </si>
  <si>
    <t>קודרס קלאן בע"מ</t>
  </si>
  <si>
    <t>AIG Israel Insurance Company Ltd</t>
  </si>
  <si>
    <t>IRON MOUNTAIN</t>
  </si>
  <si>
    <t>Gurock - TestRail</t>
  </si>
  <si>
    <t>Logicalis</t>
  </si>
  <si>
    <t>Alchemer LLC - (SURVEY GIZMO)</t>
  </si>
  <si>
    <t>Chili Piper</t>
  </si>
  <si>
    <t>Business Technology Arch</t>
  </si>
  <si>
    <t>מיון הוצאות Cost+ הודו כדי להעמיד על 14.5%</t>
  </si>
  <si>
    <t>עודפות 2020</t>
  </si>
  <si>
    <t>רווח/הפסד הון ממכירת רכוש קבוע</t>
  </si>
  <si>
    <t>פקודות ששולחים לצרפת אחת לרבעון:</t>
  </si>
  <si>
    <t>Dec analyst</t>
  </si>
  <si>
    <t>31/12/2020</t>
  </si>
  <si>
    <t>1-12.2020 Interest</t>
  </si>
  <si>
    <t>Dec analytic</t>
  </si>
  <si>
    <t>Dec Analtyics</t>
  </si>
  <si>
    <t>12.2020</t>
  </si>
  <si>
    <t>שוטף - משולם אחת לרבעון</t>
  </si>
  <si>
    <t>1130011-1</t>
  </si>
  <si>
    <t>אלגוסק הודו-השקעה (UK)</t>
  </si>
  <si>
    <t>Cable Onda TIGO</t>
  </si>
  <si>
    <t>ARROWECS PORTUGAL, Unipessoal Lda</t>
  </si>
  <si>
    <t>Atea A/S</t>
  </si>
  <si>
    <t>Helse Vest IKT AS</t>
  </si>
  <si>
    <t>Open Networks GmbH</t>
  </si>
  <si>
    <t>Scai Solution Group SpA</t>
  </si>
  <si>
    <t>Worldline Sweden AB</t>
  </si>
  <si>
    <t>Equens Worldline Poland</t>
  </si>
  <si>
    <t>ניכוי במקור</t>
  </si>
  <si>
    <t>Tax expenses (Sweden)</t>
  </si>
  <si>
    <t>NEW1</t>
  </si>
  <si>
    <t>חלק מן החשבוניות הסתיימו בדצמבר אך החידוש החל בינואר.</t>
  </si>
  <si>
    <t>Office clearence</t>
  </si>
  <si>
    <t>Covid 19 - Aid and suppo - GBP 2.7k</t>
  </si>
  <si>
    <t xml:space="preserve">Commisions </t>
  </si>
  <si>
    <t>Social security</t>
  </si>
  <si>
    <t>Deferred revenue due appliance</t>
  </si>
  <si>
    <t>Reclass travel reimbursement exp</t>
  </si>
  <si>
    <t xml:space="preserve"> ALG Travel+ הכנסות PS שלא הופקה בגינן חשבונית אך השירות ניתן.</t>
  </si>
  <si>
    <t>Eur</t>
  </si>
  <si>
    <t>Collection by UK entity</t>
  </si>
  <si>
    <t xml:space="preserve">         411</t>
  </si>
  <si>
    <t>VAT adj</t>
  </si>
  <si>
    <t>Prepaid exp</t>
  </si>
  <si>
    <t>Charges constatées d'avance</t>
  </si>
  <si>
    <t>Insurance costs - Primes d'assurances</t>
  </si>
  <si>
    <t>Intercompany</t>
  </si>
  <si>
    <t>עובד שעזב במהלך נובמבר בגרמניה.</t>
  </si>
  <si>
    <t>PS - GBP</t>
  </si>
  <si>
    <t>One97 Communications Ltd</t>
  </si>
  <si>
    <t>החזר הוצאות הודו – Delivery</t>
  </si>
  <si>
    <t>הון 99% ישראל ו- 1% אירופה.</t>
  </si>
  <si>
    <t>Best HR Solutions.</t>
  </si>
  <si>
    <t>Deferred tax</t>
  </si>
  <si>
    <t>Fixed assets books -</t>
  </si>
  <si>
    <t>Fixed assets tax -</t>
  </si>
  <si>
    <t>Effective Tax Rate</t>
  </si>
  <si>
    <t>books</t>
  </si>
  <si>
    <t>Variance</t>
  </si>
  <si>
    <t>B</t>
  </si>
  <si>
    <t>Tax on income</t>
  </si>
  <si>
    <t>A</t>
  </si>
  <si>
    <t>Books</t>
  </si>
  <si>
    <t>Num. Of employees</t>
  </si>
  <si>
    <t xml:space="preserve">Arrow December arrow sell </t>
  </si>
  <si>
    <t xml:space="preserve">Arrow December stock  </t>
  </si>
  <si>
    <t>El Camino Hospital</t>
  </si>
  <si>
    <t>General Motors LLC</t>
  </si>
  <si>
    <t>Eversource</t>
  </si>
  <si>
    <t>PCPC Direct</t>
  </si>
  <si>
    <t>Tata Communications (America) Inc.</t>
  </si>
  <si>
    <t>Netsync</t>
  </si>
  <si>
    <t>General Datatech, L.P (GDT)</t>
  </si>
  <si>
    <t>Digital Federal Credit Union</t>
  </si>
  <si>
    <t>Red River Solutions, LLC</t>
  </si>
  <si>
    <t>Whatcom Educational Credit Union</t>
  </si>
  <si>
    <t>Fidelity National Financial</t>
  </si>
  <si>
    <t>Data Network Solutions</t>
  </si>
  <si>
    <t>VisitPay</t>
  </si>
  <si>
    <t>DirectDefense</t>
  </si>
  <si>
    <t>Proquire LLC</t>
  </si>
  <si>
    <t>HIC Network Security Solutions LLC</t>
  </si>
  <si>
    <t>Citrix Systems Inc.</t>
  </si>
  <si>
    <t>BAO- By Appointment Only Inc.</t>
  </si>
  <si>
    <t>ZOHO Corp.</t>
  </si>
  <si>
    <t>HireRight, LLC</t>
  </si>
  <si>
    <t>Dimitris Kasimatis</t>
  </si>
  <si>
    <t>Douglas Beasley</t>
  </si>
  <si>
    <t>Liability sales tax due IL</t>
  </si>
  <si>
    <t>WFH Allowance- Delivery</t>
  </si>
  <si>
    <t>Marketing Other exp. Abroad</t>
  </si>
  <si>
    <t>WFH Allowance- Sales East</t>
  </si>
  <si>
    <t>Sales Commision/exp to Vendors/Partners</t>
  </si>
  <si>
    <t>Direct Expenses Finance &amp; Operation.802</t>
  </si>
  <si>
    <t>WFH Allowance- G&amp;A- HR</t>
  </si>
  <si>
    <t>Reclass AR</t>
  </si>
  <si>
    <t>Sorting Customer credit balances</t>
  </si>
  <si>
    <t>חשבונית 102386 חודשה בסכום נמוך יותר.</t>
  </si>
  <si>
    <t>Share-Based Payment FAS123 - Sales - Provision Attribution Action Sales</t>
  </si>
  <si>
    <t>Share-Based Payment FAS123 - TS - Attribution TS</t>
  </si>
  <si>
    <t>CLM Software Comercio Importação e Exportação Lt</t>
  </si>
  <si>
    <t>PCS Security Pte Ltd</t>
  </si>
  <si>
    <t>Safeway Data Protection Solutions Ltd.</t>
  </si>
  <si>
    <t>Comgene Ltd.</t>
  </si>
  <si>
    <t>NTT Brasil Comercio e Servicos de Tecnologia Ltd</t>
  </si>
  <si>
    <t>Inventivo Pte Ltd</t>
  </si>
  <si>
    <t>Revel Tech (SG) Holdings Pte Ltd</t>
  </si>
  <si>
    <t>אש מהירה ייעוץ בע"מ</t>
  </si>
  <si>
    <t>איי אף אן פתרונות בע"מ</t>
  </si>
  <si>
    <t>Zapier</t>
  </si>
  <si>
    <t>Business Technology Architects, Inc.</t>
  </si>
  <si>
    <t>עמלות מכירות בחו"ל למפיצים</t>
  </si>
  <si>
    <r>
      <t>Armstrong Robert moved from support to delivery effective December 1</t>
    </r>
    <r>
      <rPr>
        <vertAlign val="superscript"/>
        <sz val="11"/>
        <color theme="1"/>
        <rFont val="Calibri"/>
        <family val="2"/>
      </rPr>
      <t>st</t>
    </r>
    <r>
      <rPr>
        <sz val="11"/>
        <color theme="1"/>
        <rFont val="Calibri"/>
        <family val="2"/>
      </rPr>
      <t xml:space="preserve"> </t>
    </r>
  </si>
  <si>
    <r>
      <t>Armstrong Robert moved from support to delivery effective December 1</t>
    </r>
    <r>
      <rPr>
        <vertAlign val="superscript"/>
        <sz val="11"/>
        <color theme="1"/>
        <rFont val="Calibri"/>
        <family val="2"/>
      </rPr>
      <t>st</t>
    </r>
    <r>
      <rPr>
        <sz val="11"/>
        <color theme="1"/>
        <rFont val="Calibri"/>
        <family val="2"/>
      </rPr>
      <t xml:space="preserve"> + we hired a new employee Gerdes Mary (started on December 1st)</t>
    </r>
  </si>
  <si>
    <t>Dimitris Kasimatis left (termination date was 12.15.20)</t>
  </si>
  <si>
    <t>יתרת רווח</t>
  </si>
  <si>
    <t>7020026-1</t>
  </si>
  <si>
    <t>Marketing Operations &amp; Programs- הפרשה כ.א.</t>
  </si>
  <si>
    <t>JET BRAINS</t>
  </si>
  <si>
    <t>להעביר ולהפוך</t>
  </si>
  <si>
    <t>חודש קודם נאווה בייפוס בונוס</t>
  </si>
  <si>
    <t>עמלות 606 (לפני 2019)</t>
  </si>
  <si>
    <t>קיזוז השנה - בגלל מפעל מועדף טכנולוגי אפשר לקזז רק 12% מההכנסה החייבת בחו"ל (הכנ' חייבת בחו"ל זה 98% לפי הטופס 901 השנה)</t>
  </si>
  <si>
    <t>העמסה ירדה מ- 7 עובדים ל- 3 עובדים.</t>
  </si>
  <si>
    <t>יותר עובדים עברו לעבוד מהמשרד ולכן יחס העמסה של השכירות עלה בסעיף הזה.</t>
  </si>
  <si>
    <t>כמות עובדים במחלקה ירדה + בעבר שתיים עבדו ב- NJ ועכשיו אפס כך שאין העמסה של שכירות.</t>
  </si>
  <si>
    <t>Key allocation</t>
  </si>
  <si>
    <t>ברנולי תוכנה</t>
  </si>
  <si>
    <t>ברנולי תוכנה - ספק חדש תכנון אינטגרציה SF</t>
  </si>
  <si>
    <t>זהר מתנות+ביימי</t>
  </si>
  <si>
    <t>שיעור העמסה השתנה - חל בכמות העובדים בשאר המחלקות.</t>
  </si>
  <si>
    <t>השקעה משותפת עם אירופה.</t>
  </si>
  <si>
    <t>אלטשולר שחם בנפיטס Q.2020-Q2.2021</t>
  </si>
  <si>
    <t xml:space="preserve"> הערכת שווי אופציות</t>
  </si>
  <si>
    <t>תקין, שינויים בהעסקה</t>
  </si>
  <si>
    <t>הפרשה למס 2020</t>
  </si>
  <si>
    <t>סגירת מסים 2020</t>
  </si>
  <si>
    <t>מקדמות לנצל ב- 2020</t>
  </si>
  <si>
    <t>Social security UK</t>
  </si>
  <si>
    <t>דוח מדען</t>
  </si>
  <si>
    <t>Q4 2020</t>
  </si>
  <si>
    <t>עדכון יעודה/עתודה לפיצויים - Q4</t>
  </si>
  <si>
    <t>Amortization Q4-2020 (for Capitalization Q2 2020)</t>
  </si>
  <si>
    <t>Amortization Q4-2020 (for Capitalization Q3 2020)</t>
  </si>
  <si>
    <t xml:space="preserve">Capitalization Q4 2020 commissions </t>
  </si>
  <si>
    <t>Amortization Q4-2020 (for Capitalization Q1 2020)</t>
  </si>
  <si>
    <t>Amortization Q4-2020 (for Capitalization Q4 2019)</t>
  </si>
  <si>
    <t>Amortization Q4-2020 (for Capitalization Q3 2019)</t>
  </si>
  <si>
    <t>Amortization Q4-2020 (for Capitalization Q2 2019)</t>
  </si>
  <si>
    <t>Amortization Q4-2020 (for Capitalization Q1 2019)</t>
  </si>
  <si>
    <t>Amortization Q4-2020 (for Capitalization up to Dec 31, 2018)</t>
  </si>
  <si>
    <t>MBO</t>
  </si>
  <si>
    <t>Repayment</t>
  </si>
  <si>
    <t>הוצאות מס מוכרות אירופה (ללא UK)</t>
  </si>
  <si>
    <t>% העמסה לז"א</t>
  </si>
  <si>
    <t>Allocated</t>
  </si>
  <si>
    <t>תנועה בקרן הון בארצות הברית</t>
  </si>
  <si>
    <t>Meals</t>
  </si>
  <si>
    <t>תנועה בקרן הון באירופה</t>
  </si>
  <si>
    <t>נמ"ב + מקדמות עודפות 2018:</t>
  </si>
  <si>
    <t>מקדמות בגין עודפות 2017:</t>
  </si>
  <si>
    <t>מקדמות בגין עודפות 2016:</t>
  </si>
  <si>
    <t>סגירת מיסים 2019</t>
  </si>
  <si>
    <t>נמ"ב + מקדמות בגין עודפות 2019</t>
  </si>
  <si>
    <t>מקדמות עודפות שנים קודמות - לא ממודד</t>
  </si>
  <si>
    <t>Perpetual - Product</t>
  </si>
  <si>
    <t>Appliance - Product</t>
  </si>
  <si>
    <t>Appliance - Support</t>
  </si>
  <si>
    <t>Perpetual - Support</t>
  </si>
  <si>
    <t>Other</t>
  </si>
  <si>
    <t>Support (Due perpetual)</t>
  </si>
  <si>
    <t>Support (Due Appliance)</t>
  </si>
  <si>
    <t>%</t>
  </si>
  <si>
    <t>Commision prov Q4.2020</t>
  </si>
  <si>
    <t>Commission accrual Q4.2020</t>
  </si>
  <si>
    <t>Commision accrual - On hold</t>
  </si>
  <si>
    <t>Sweden</t>
  </si>
  <si>
    <t>Subcontractors</t>
  </si>
  <si>
    <t>Netherlands</t>
  </si>
  <si>
    <t>Component</t>
  </si>
  <si>
    <t>הרשת שלי פתרונות בע"מ</t>
  </si>
  <si>
    <t>Cisco Systems, Inc.</t>
  </si>
  <si>
    <t>Special  - retained earnings-Founders</t>
  </si>
  <si>
    <t>One time bonus</t>
  </si>
  <si>
    <t>Other Bonus - Sales Corp</t>
  </si>
  <si>
    <t>מע"מ משולם על בסיס מזומן (למעט מכירה של ציוד) - ברגע שקיבלנו את הכסף נעביר את החלק של המע"מ לרשויות.</t>
  </si>
  <si>
    <t>שכר צרפת RVP -בונוס One time bonus</t>
  </si>
  <si>
    <t xml:space="preserve">2020 SUBSCR </t>
  </si>
  <si>
    <t xml:space="preserve">2019 SUBSCR </t>
  </si>
  <si>
    <t>OLD SUBSCR</t>
  </si>
  <si>
    <t xml:space="preserve">2021 SUBSCR </t>
  </si>
  <si>
    <t>Jan exp</t>
  </si>
  <si>
    <t>01/2021</t>
  </si>
  <si>
    <t>PAYMENTS 2021</t>
  </si>
  <si>
    <t>payments from customers  - 2021</t>
  </si>
  <si>
    <t>אנליטי דצמבר</t>
  </si>
  <si>
    <t>אנליטי  ינואר</t>
  </si>
  <si>
    <t>פחת נצבר (מחשבים +)</t>
  </si>
  <si>
    <t>Q4 Directorship Services - reverse</t>
  </si>
  <si>
    <t>Accrued expenses Employees 2021</t>
  </si>
  <si>
    <t>MBO 2021</t>
  </si>
  <si>
    <t>TP to complete</t>
  </si>
  <si>
    <t>בונוס  MBO מכירות-מהפרשה להוצ.</t>
  </si>
  <si>
    <t>הפרשה למס אוסטרליה 2021</t>
  </si>
  <si>
    <t>NTT United Kingdom Limited</t>
  </si>
  <si>
    <t>NAPS - Napredni poslovni sustavi d.o.o.</t>
  </si>
  <si>
    <t>AXA Insurance (Gulf) B.S.C.</t>
  </si>
  <si>
    <t>Sogeti Nederland B.V.</t>
  </si>
  <si>
    <t>Orange Cyberdefense Belgium nv</t>
  </si>
  <si>
    <t>Advanced Network Security Ltd</t>
  </si>
  <si>
    <t>Smart Solutions Grp Ltd</t>
  </si>
  <si>
    <t>Specialist Computer Centres plc</t>
  </si>
  <si>
    <t>National Bank of Belgium</t>
  </si>
  <si>
    <t>עליה בסוציאליות בעקבות חלוקת העמלות.</t>
  </si>
  <si>
    <t>היפוך הכנסות בגין ברזלים שנמסרו.</t>
  </si>
  <si>
    <t>חלק מהחידושים נרשמו בצרפת.</t>
  </si>
  <si>
    <t>Work Advantage Private Limited</t>
  </si>
  <si>
    <t>Galaxy Print Services Pvt. LTD.</t>
  </si>
  <si>
    <t>החזר הוצ' עובדים הודו מו"פ</t>
  </si>
  <si>
    <t>HR Payroll.821</t>
  </si>
  <si>
    <t>Consulting HR India</t>
  </si>
  <si>
    <t>HR</t>
  </si>
  <si>
    <t>שירותי חוץ ויעוץ הודו - Customer Focus</t>
  </si>
  <si>
    <t>שירותי חוץ ויעוץ הודו - Sales</t>
  </si>
  <si>
    <t>AUDIT</t>
  </si>
  <si>
    <t>Maureen Data Systems Inc.</t>
  </si>
  <si>
    <t>Motorola Solutions Inc.</t>
  </si>
  <si>
    <t>World Vision, Inc</t>
  </si>
  <si>
    <t>Critical Start Inc.</t>
  </si>
  <si>
    <t>State of Nevada</t>
  </si>
  <si>
    <t>Advanced Technical Solutions, Inc.</t>
  </si>
  <si>
    <t>Natix</t>
  </si>
  <si>
    <t>Morneau Shepell Ltd.</t>
  </si>
  <si>
    <t>Support Solutions, LLC</t>
  </si>
  <si>
    <t>Kambrian Corporation</t>
  </si>
  <si>
    <t>Avalara, Inc</t>
  </si>
  <si>
    <t>Colonial Life</t>
  </si>
  <si>
    <t>CF Other exp. Abroad</t>
  </si>
  <si>
    <t>Marketing Expenses</t>
  </si>
  <si>
    <t>Spiff Gift Cards-Marketing</t>
  </si>
  <si>
    <t>HRA - SE East</t>
  </si>
  <si>
    <t>G&amp;A-HR Other exp. Abroad</t>
  </si>
  <si>
    <t>Social security from provision only</t>
  </si>
  <si>
    <t>RAG Vat and payroll  reverse</t>
  </si>
  <si>
    <t>שכר אירופה מכירות-בונוס MBO</t>
  </si>
  <si>
    <t>שכר אירופה-בונוס למאזן בלבד</t>
  </si>
  <si>
    <t>Last payroll - paid after cut off date.</t>
  </si>
  <si>
    <t>2021 USA TR fees</t>
  </si>
  <si>
    <t>Spiff card</t>
  </si>
  <si>
    <t>D.A</t>
  </si>
  <si>
    <t>EJH Consulting -M Thomas</t>
  </si>
  <si>
    <t>Pay slip employee effective 01.01.21</t>
  </si>
  <si>
    <t>D.B</t>
  </si>
  <si>
    <t>J. Millner Pay slip employee effective 01.01.21</t>
  </si>
  <si>
    <t>Mary Gerdes left on January 11</t>
  </si>
  <si>
    <t>ריהוט משרדי-עבודה מהבית פחת נצבר</t>
  </si>
  <si>
    <t>תוכנה - VNT פחת נצבר</t>
  </si>
  <si>
    <t>ציוד אלקטרוני - עבודה מהבית פחת נצבר</t>
  </si>
  <si>
    <t>האיש החשוב בע"מ</t>
  </si>
  <si>
    <t>קומודו ייעוץ אבטחת מידע בע"מ</t>
  </si>
  <si>
    <t>טרנסוורלד לוגיסטיקה בע"מ</t>
  </si>
  <si>
    <t>סנסקום ייעוץ וניהול פרוייקטים בע"מ</t>
  </si>
  <si>
    <t>ZOHO - ManageEngine - AlarmsOne</t>
  </si>
  <si>
    <t>קייטו נטוורקס אירופה</t>
  </si>
  <si>
    <t>מע"מ מרשימון יבוא</t>
  </si>
  <si>
    <t>ניכוי מס מלקוחות 2021</t>
  </si>
  <si>
    <t>סגירת מיסים 2020</t>
  </si>
  <si>
    <t>הפרשי שכר אבישי</t>
  </si>
  <si>
    <t>Transfer Pricing per IC Agreement</t>
  </si>
  <si>
    <t>הפרשה למס 2021</t>
  </si>
  <si>
    <t>Audit 2021 - A. Legoux</t>
  </si>
  <si>
    <t>להעביר ולהפוך - ברבעון</t>
  </si>
  <si>
    <t>עדכון חיסולית ברבעונים.</t>
  </si>
  <si>
    <t>הפרשים נגררים משנים קודמות.</t>
  </si>
  <si>
    <t>One time Bonus</t>
  </si>
  <si>
    <t>בונוס IT &amp; IS  MBO</t>
  </si>
  <si>
    <t>219220-1</t>
  </si>
  <si>
    <t>עובדים חדשים.</t>
  </si>
  <si>
    <t>בונוס Finance &amp; Operation MBO</t>
  </si>
  <si>
    <t>תקין</t>
  </si>
  <si>
    <t>Quarter JE - Record and reverse</t>
  </si>
  <si>
    <t>Commission - Sales from provision only East</t>
  </si>
  <si>
    <t>עמלות גיל קרמר</t>
  </si>
  <si>
    <t>עמלות CRISIIANO DEDUCK ברזיל</t>
  </si>
  <si>
    <t>הפרשה להוצאות סוציאליות SE</t>
  </si>
  <si>
    <t>הפרשה להוצאות סוציאליות Sales</t>
  </si>
  <si>
    <t>הפרשה להוצאות סוציאליות RVP</t>
  </si>
  <si>
    <t>העמסת הוצאות הנה"כ על השיווק</t>
  </si>
  <si>
    <t>לוודא שמתאפס</t>
  </si>
  <si>
    <t>02/2021</t>
  </si>
  <si>
    <t>D.V</t>
  </si>
  <si>
    <t>חודש קודם סוצ' בגין עמלות</t>
  </si>
  <si>
    <t>שכר צרפת-בונוס למאזן בלבד</t>
  </si>
  <si>
    <t>שכר צרפת-RVP בונוס</t>
  </si>
  <si>
    <t>הפרשה להוצ סוציאליות RVP</t>
  </si>
  <si>
    <t>הפרשה להוצ סוציאליות Sales</t>
  </si>
  <si>
    <t>הפרשה להוצ סוציאליות SE</t>
  </si>
  <si>
    <t>אנליטי פברואר</t>
  </si>
  <si>
    <t>עליה בסוציאליות עקב תשלום בונוסים.</t>
  </si>
  <si>
    <t>הפרשה להוצ סוציאליות Delivery</t>
  </si>
  <si>
    <t>חודש פברואר מדובר במקדמה.</t>
  </si>
  <si>
    <t>Satisnet Limited</t>
  </si>
  <si>
    <t>Amdocs Management Limited</t>
  </si>
  <si>
    <t>ניכוי מס במקור מלקוחות 2021</t>
  </si>
  <si>
    <t>הכנסות חייבות</t>
  </si>
  <si>
    <t>בונוס ו-Mikkel Børve MBO</t>
  </si>
  <si>
    <t>עמלות Mikkel Børve</t>
  </si>
  <si>
    <t>Genuine Parts Company (GPC)</t>
  </si>
  <si>
    <t>Moneris Solutions Corporation</t>
  </si>
  <si>
    <t>Sterling Computers Corporation</t>
  </si>
  <si>
    <t>Hyatt Corporation</t>
  </si>
  <si>
    <t>New Era Technology</t>
  </si>
  <si>
    <t>Epstein Becker &amp; Green, P.C</t>
  </si>
  <si>
    <t>Intro Staffing Limited</t>
  </si>
  <si>
    <t>Atlantic Data Security ( AP Vendor)</t>
  </si>
  <si>
    <t>5100003-1</t>
  </si>
  <si>
    <t>MBO - Support CAD</t>
  </si>
  <si>
    <t>5200003-1</t>
  </si>
  <si>
    <t>MBO - Delivery CAD</t>
  </si>
  <si>
    <t>Hardware.58*</t>
  </si>
  <si>
    <t>Server/ POC Appliance Shipments</t>
  </si>
  <si>
    <t>Other Bonus - Sales East</t>
  </si>
  <si>
    <t>Recruiting Sales East</t>
  </si>
  <si>
    <t>Paid Vacation Sales US East</t>
  </si>
  <si>
    <t>7140009-3</t>
  </si>
  <si>
    <t>Severance SE AMERICAS CAD</t>
  </si>
  <si>
    <t>MBO - SE AMERICAS CAD</t>
  </si>
  <si>
    <t>Dierect Exp. SE.715</t>
  </si>
  <si>
    <t>Sales SE Other exp. Abroad East</t>
  </si>
  <si>
    <t>Tax Expenses.91*</t>
  </si>
  <si>
    <t>Tax Expenses.910</t>
  </si>
  <si>
    <t>חודש ינואר נרשם בכרטיס של כריס</t>
  </si>
  <si>
    <t>HR Direct Expenses.822</t>
  </si>
  <si>
    <t>HR admin fees</t>
  </si>
  <si>
    <t>COM+Umbrella 2021</t>
  </si>
  <si>
    <t>Aval Feb20-Feb21 (AMEX)</t>
  </si>
  <si>
    <t>Commision prov- Lowes</t>
  </si>
  <si>
    <t>Sales West</t>
  </si>
  <si>
    <t>Chris Thomas</t>
  </si>
  <si>
    <t>BD - CAD</t>
  </si>
  <si>
    <t>Employer tax due One time bonus</t>
  </si>
  <si>
    <t>בונוס על מעבר לתלוש</t>
  </si>
  <si>
    <t xml:space="preserve">Under the Income Tax Act, there is a concept of Block of Asset (means depreciation is charged on the complete block and not on the individual asset). 
In case of an asset acquired during the previous year and is put to use for the purpose of business or profession for a period less than 180 days in that previous year (i.e purchased after September 20), the deduction as depreciation allowance shall be restricted to 50% of the amount of such depreciation. </t>
  </si>
  <si>
    <t>אנגליה - עזיבת עובדים.</t>
  </si>
  <si>
    <t>Misoft JSC</t>
  </si>
  <si>
    <t>ג'ובאינפו בעמ</t>
  </si>
  <si>
    <t>מיתב תאגיד אזורי למים</t>
  </si>
  <si>
    <t>ORI-Organizational Resources International Ltd</t>
  </si>
  <si>
    <t>Hewlett Packard</t>
  </si>
  <si>
    <t>אלטשולר שחם בנפיטס בע"מ</t>
  </si>
  <si>
    <t>סינריון מערכות בע"מ</t>
  </si>
  <si>
    <t>Marketo inc</t>
  </si>
  <si>
    <t>iStock</t>
  </si>
  <si>
    <t>בונוס CRISIIANO DEDUC MBO ברזיל</t>
  </si>
  <si>
    <t>בונוס Finance &amp; Operation</t>
  </si>
  <si>
    <t>ניכוי במקור.</t>
  </si>
  <si>
    <t>שחף אושרי – עיצוב גרפי</t>
  </si>
  <si>
    <t>Marketo Bizible</t>
  </si>
  <si>
    <t>Zeplin Inc -לא לשלם שול</t>
  </si>
  <si>
    <t>קודרס קלאן</t>
  </si>
  <si>
    <t>עובדות חדשות.</t>
  </si>
  <si>
    <t>GP bonus</t>
  </si>
  <si>
    <t>MBO אבישי</t>
  </si>
  <si>
    <t>פקדון TFT עבור שכירות נכס בהודו (90,462 ש"ח), פקדון עבור שכירות נכס בישראל (460 אש"ח) - לשערך ידנית בסוף כל תקופה.</t>
  </si>
  <si>
    <t>מקדמות מס הכנסה 2020</t>
  </si>
  <si>
    <t>שלושה תשלומים שווים החל מ- פברואר, 2021</t>
  </si>
  <si>
    <t>03/2021</t>
  </si>
  <si>
    <t>Zuken NetWave, Inc.</t>
  </si>
  <si>
    <t>Moscow Exchange (MoEx)</t>
  </si>
  <si>
    <t>EGUARDIAN Bangladesh Pvt Ltd,</t>
  </si>
  <si>
    <t>InfoGuard AG</t>
  </si>
  <si>
    <t>Proximus Luxembourg S.A.</t>
  </si>
  <si>
    <t>British Telecommunications PLC</t>
  </si>
  <si>
    <t>Diligenta Limited</t>
  </si>
  <si>
    <t>Softcat plc</t>
  </si>
  <si>
    <t>Tata Consultancy Services Ltd. - Internal</t>
  </si>
  <si>
    <t>Credence Security UK</t>
  </si>
  <si>
    <t>S&amp;T Romania SRL</t>
  </si>
  <si>
    <t>Orange Cyberdefense Belgium NV</t>
  </si>
  <si>
    <t>שולם סכום התחלתי עם הגשת הדוח - יש לשלם מקדמה נוספת.</t>
  </si>
  <si>
    <t>2021 subscription (Legacy)</t>
  </si>
  <si>
    <t>Financial income (exp)</t>
  </si>
  <si>
    <t>סיומי העסקה.</t>
  </si>
  <si>
    <t>סיומי העסקה של עובדים בגרמניה.</t>
  </si>
  <si>
    <t>Zayo Canada Inc.</t>
  </si>
  <si>
    <t>Equitable Financial Life Insurance Company</t>
  </si>
  <si>
    <t>Swiss Re America Holding Corporation</t>
  </si>
  <si>
    <t>Lease Plan USA Inc.</t>
  </si>
  <si>
    <t>Mayo Clinic</t>
  </si>
  <si>
    <t>EverSec Group, Inc.</t>
  </si>
  <si>
    <t>Goldenwest Federal Credit Union</t>
  </si>
  <si>
    <t>SEI Investments</t>
  </si>
  <si>
    <t>Cornerstone Bank</t>
  </si>
  <si>
    <t>Tech Masters LLC</t>
  </si>
  <si>
    <t>randstad technologies</t>
  </si>
  <si>
    <t>Aquesst</t>
  </si>
  <si>
    <t>Other Bonus - Delivery</t>
  </si>
  <si>
    <t>Workers Comp Sales East CAD</t>
  </si>
  <si>
    <t>Vacation accrual for CA employees</t>
  </si>
  <si>
    <t>E.S options exercised</t>
  </si>
  <si>
    <t>Allocation of G&amp;A to S&amp;M 702.</t>
  </si>
  <si>
    <t>Gross Salary - Delivery (PS - Professional Services)</t>
  </si>
  <si>
    <t>Stanton H- Robert Viggia</t>
  </si>
  <si>
    <t>Record and reverse</t>
  </si>
  <si>
    <t>Product</t>
  </si>
  <si>
    <t>Owentis SAS</t>
  </si>
  <si>
    <t>משולם פעם בשנה - בתחילת כל שנה - כולל את 2021 בלבד</t>
  </si>
  <si>
    <t>מעודכן אחת לשנה וכולל חופשה+RTT+סוציאליות</t>
  </si>
  <si>
    <t>Accrued expenses Employees - Personnel Charges à payer</t>
  </si>
  <si>
    <t>MBO, RVP - MBO, RVP</t>
  </si>
  <si>
    <t>MBO Bonus, Delivery - MBO Bonus, Delivery</t>
  </si>
  <si>
    <t>MBO, Sales - MBO, Sales</t>
  </si>
  <si>
    <t>MBO, SE - MBO, SE</t>
  </si>
  <si>
    <t>1. Ghayas Faisal left on March 5</t>
  </si>
  <si>
    <t>4.	Elias left. February 28th was his last day</t>
  </si>
  <si>
    <t>5.	Robert Viggiano joined on March 15</t>
  </si>
  <si>
    <t>6.	Jasmine Nazzal left on March 15</t>
  </si>
  <si>
    <t>7.	Brandon Mikneus joined on February 22</t>
  </si>
  <si>
    <t>Tech Mahindra Ltd.</t>
  </si>
  <si>
    <t>Licencias On Line S.A.S</t>
  </si>
  <si>
    <t>טרמוגרפיה תבליטי דפוס בע"מ</t>
  </si>
  <si>
    <t>קורקט יבוא ושווק מתנות</t>
  </si>
  <si>
    <t>מיננה בע"מ</t>
  </si>
  <si>
    <t>שירותי פיתוח בפולין - MOJA FIRMA</t>
  </si>
  <si>
    <t>עמלות בקוריאה- Readsys- Jeongsoo Tak</t>
  </si>
  <si>
    <t>החזר הוצאות בקוריאה</t>
  </si>
  <si>
    <t>סקר שכר ויעוץ HR</t>
  </si>
  <si>
    <t>SRD Infotech</t>
  </si>
  <si>
    <t>Puran Singh</t>
  </si>
  <si>
    <t>Jasper Enterprises</t>
  </si>
  <si>
    <t>*91.הוצאות מיסים</t>
  </si>
  <si>
    <t xml:space="preserve">telephone charges </t>
  </si>
  <si>
    <t>2400001: Expenses Payable (Employees)</t>
  </si>
  <si>
    <t>5200003: Delivery India - MBO</t>
  </si>
  <si>
    <t>5100003: Technical Support India - MBO</t>
  </si>
  <si>
    <t>7110002: Sales - MBO</t>
  </si>
  <si>
    <t>7140002: SE- MBO</t>
  </si>
  <si>
    <t>5209999: Allocation of G&amp;A to Delivery</t>
  </si>
  <si>
    <t>6030001: Allocation of G&amp;A to Costumer focus</t>
  </si>
  <si>
    <t>7129999: Allocation of G&amp;A to Sales</t>
  </si>
  <si>
    <t>5120001: Allocation of G&amp;A to TS</t>
  </si>
  <si>
    <t>93100: Allocation of G&amp;A to Other Departments</t>
  </si>
  <si>
    <t>ש.ה.מ שרותי הובלה מתקדמים 1990</t>
  </si>
  <si>
    <t>הכנסות תחזוקה יורו ודולר-לפקודות מאזן בלבד</t>
  </si>
  <si>
    <t>איירונסקיילס בע"מ</t>
  </si>
  <si>
    <t>PS LT COMMIT Q1 2021</t>
  </si>
  <si>
    <t>Closing Balance</t>
  </si>
  <si>
    <t>Opening Balance</t>
  </si>
  <si>
    <t>לציין באסמכתא: UK208000096</t>
  </si>
  <si>
    <t>Resident Eng Q1</t>
  </si>
  <si>
    <t>RE</t>
  </si>
  <si>
    <t>Shutterstock</t>
  </si>
  <si>
    <t>Teamviewer</t>
  </si>
  <si>
    <t>נקיון</t>
  </si>
  <si>
    <t>הובלה</t>
  </si>
  <si>
    <t>חודש קודם סוצילאיות על MBO</t>
  </si>
  <si>
    <t>חודש קודם סוציאליותבגלל בונוס MBO</t>
  </si>
  <si>
    <t>S.P. Richards Company</t>
  </si>
  <si>
    <t>R.T options exercised</t>
  </si>
  <si>
    <t>Commissions 2021</t>
  </si>
  <si>
    <t>מרכז רווח:</t>
  </si>
  <si>
    <t>Commission 2021</t>
  </si>
  <si>
    <t>Commision 2020</t>
  </si>
  <si>
    <t>Commissions prévues au contrat - Sales</t>
  </si>
  <si>
    <t>Employés - Charges à payer</t>
  </si>
  <si>
    <t>Deferred revenue LT reclass</t>
  </si>
  <si>
    <t>Produits constatés d'avance ventes Euros</t>
  </si>
  <si>
    <t>Produits constatés d'avance €uro</t>
  </si>
  <si>
    <t>Miscellaneous profits - Produits divers de gestion courante</t>
  </si>
  <si>
    <t>IC account revaluation</t>
  </si>
  <si>
    <t>Socials due commissions</t>
  </si>
  <si>
    <t>Deferrrd Revenue:</t>
  </si>
  <si>
    <t>מרכז רווח APAC</t>
  </si>
  <si>
    <t>LATAM</t>
  </si>
  <si>
    <t>Social security Ltd</t>
  </si>
  <si>
    <t>Ltd</t>
  </si>
  <si>
    <t>Singapore</t>
  </si>
  <si>
    <t>Rate</t>
  </si>
  <si>
    <t>Above SGD 6,000 fixed rate of 1,020 - 3 employees</t>
  </si>
  <si>
    <t>ביטוח לאומי בגין עמלות</t>
  </si>
  <si>
    <t>הוצאות ביטוח לאומי מעביד - למאזן בלבד</t>
  </si>
  <si>
    <t>Employer taxes - Sales from provision only</t>
  </si>
  <si>
    <t>GO Daddy</t>
  </si>
  <si>
    <t>Linkpoint</t>
  </si>
  <si>
    <t>Servicenow</t>
  </si>
  <si>
    <t>איי טי סנטרל סטיישין בע"</t>
  </si>
  <si>
    <t>Q1 2021</t>
  </si>
  <si>
    <t>Amortization Q1-2021 (for Capitalization up to Dec 31, 2018)</t>
  </si>
  <si>
    <t>Amortization Q1-2021 (for Capitalization Q1 2019)</t>
  </si>
  <si>
    <t>Amortization Q1-2021 (for Capitalization Q3 2019)</t>
  </si>
  <si>
    <t>Amortization Q1-2021 (for Capitalization Q2 2019)</t>
  </si>
  <si>
    <t>Amortization Q1-2021 (for Capitalization Q4 2019)</t>
  </si>
  <si>
    <t>Amortization Q1-2021 (for Capitalization Q1 2020)</t>
  </si>
  <si>
    <t>Amortization Q1-2021 (for Capitalization Q2 2020)</t>
  </si>
  <si>
    <t>Amortization Q1-2021 (for Capitalization Q3 2020)</t>
  </si>
  <si>
    <t>Amortization Q1-2021 (for Capitalization Q4 2020)</t>
  </si>
  <si>
    <t xml:space="preserve">Capitalization Q1 2021 commissions </t>
  </si>
  <si>
    <t>ASC 606 comm - reclass to LT</t>
  </si>
  <si>
    <t>ASC 606 amortization - PREVIOUS PERIODS</t>
  </si>
  <si>
    <t>Americas</t>
  </si>
  <si>
    <t>Employer tax due commissions 2020</t>
  </si>
  <si>
    <t>Employer tax due commissions 2021</t>
  </si>
  <si>
    <t>1-3/2021</t>
  </si>
  <si>
    <t>Commissions On-Hold</t>
  </si>
  <si>
    <t>ON 24-AlgoSum 2020 exp</t>
  </si>
  <si>
    <t>Share-Based Share TS</t>
  </si>
  <si>
    <t>שכר צרפת-RVP בונוס MBO</t>
  </si>
  <si>
    <t>העמסות הנה"כ על מח' מכירות</t>
  </si>
  <si>
    <t>Allocation of G&amp;A to DELIVERY</t>
  </si>
  <si>
    <t>Allocation of G&amp;A to COGS</t>
  </si>
  <si>
    <t>Product Managament expenses.61*</t>
  </si>
  <si>
    <t>7110003-1</t>
  </si>
  <si>
    <t>FAS123 Sales US East</t>
  </si>
  <si>
    <t>FAS 123 Finance</t>
  </si>
  <si>
    <t>Tax exp. Due WHT deduction</t>
  </si>
  <si>
    <t>TRANSFER PRICING.59*</t>
  </si>
  <si>
    <t>Transfer Pricing.590</t>
  </si>
  <si>
    <t>Taxation- Federal</t>
  </si>
  <si>
    <t>Advances reclass</t>
  </si>
  <si>
    <t>Add: Interest on taxes</t>
  </si>
  <si>
    <t>Cost + הודו</t>
  </si>
  <si>
    <t>מיון לחו"ז בינחברתי - הודו</t>
  </si>
  <si>
    <t>הוצאות מו"פ 1/3 מוכר משנת 2020</t>
  </si>
  <si>
    <t>שנת 2020:</t>
  </si>
  <si>
    <t xml:space="preserve">הפרשה למס 2021 </t>
  </si>
  <si>
    <t>עמלות - תקן 606 - 2021</t>
  </si>
  <si>
    <t>הוצאות מו"פ 2/3 שנדחים בגין 2021</t>
  </si>
  <si>
    <t>Comm 606 - 2021</t>
  </si>
  <si>
    <t>Payroll Sales-COMM-606-2021</t>
  </si>
  <si>
    <t>Comm Sales US 606 2021</t>
  </si>
  <si>
    <t>Reclass TO LT - COMM 606</t>
  </si>
  <si>
    <t>מיון MBO</t>
  </si>
  <si>
    <t>Vacation and RTT accrual</t>
  </si>
  <si>
    <t>5100012-1</t>
  </si>
  <si>
    <t>העמסת הוצאות הנכ"כ על השיווק</t>
  </si>
  <si>
    <t>הוצ' הפרשה בגין פיצויים וחופשה שכר הנה"ח</t>
  </si>
  <si>
    <t>Deferred Taxes And others</t>
  </si>
  <si>
    <t>LTD - USD</t>
  </si>
  <si>
    <t>09/2021</t>
  </si>
  <si>
    <t>10/2021</t>
  </si>
  <si>
    <t>11/2021</t>
  </si>
  <si>
    <t>12/2021</t>
  </si>
  <si>
    <t>SoftwareONE Deutschland GmbH</t>
  </si>
  <si>
    <t>Inmarsat Global Ltd</t>
  </si>
  <si>
    <t>השמה מכירות</t>
  </si>
  <si>
    <t>יעוץ Fabio Tessera</t>
  </si>
  <si>
    <t>04/2021</t>
  </si>
  <si>
    <t>04.2021</t>
  </si>
  <si>
    <t>01.2021</t>
  </si>
  <si>
    <t>02.2021</t>
  </si>
  <si>
    <t>03.2021</t>
  </si>
  <si>
    <t>Exclusive Networks Asia Pte Ltd</t>
  </si>
  <si>
    <t>אואזיס טכנולוגיות תקשורת</t>
  </si>
  <si>
    <t>אספירקום מערכות בע"מ</t>
  </si>
  <si>
    <t>קדמון ברין בע"מ</t>
  </si>
  <si>
    <t>קובי רן בע"מ</t>
  </si>
  <si>
    <t>קוד ווליו</t>
  </si>
  <si>
    <t>שניים הפקות ש.א בע"מ</t>
  </si>
  <si>
    <t>LeadGnome Inc</t>
  </si>
  <si>
    <t>יעוץ Juan Ignacio</t>
  </si>
  <si>
    <t>שירותי פיתוח בבלרוס Belisoft International</t>
  </si>
  <si>
    <t>שירותי פיתוח באוקראינה itsoft</t>
  </si>
  <si>
    <t>04/20201</t>
  </si>
  <si>
    <t>TVAR Solutions, LLC</t>
  </si>
  <si>
    <t>City National Bank of Florida</t>
  </si>
  <si>
    <t>Optiv</t>
  </si>
  <si>
    <t>MidMichigan Health</t>
  </si>
  <si>
    <t>CompuNet, Inc.</t>
  </si>
  <si>
    <t>Brown Enterprise Solutions</t>
  </si>
  <si>
    <t>Swish Data Corp.</t>
  </si>
  <si>
    <t>ON24 Inc.</t>
  </si>
  <si>
    <t>Cvent, Inc.</t>
  </si>
  <si>
    <t>Nachum Cohen</t>
  </si>
  <si>
    <t>HRA - Sales US East</t>
  </si>
  <si>
    <t>Sales Corp - consultants</t>
  </si>
  <si>
    <t>Events/ Meals Employees Sales Corp</t>
  </si>
  <si>
    <t>Business Meals West</t>
  </si>
  <si>
    <t>Events/ Meals Employees Sales West</t>
  </si>
  <si>
    <t>SE Other travel exp. AMERICAS</t>
  </si>
  <si>
    <t>Recruiting SE Americas</t>
  </si>
  <si>
    <t>Taxation- New York</t>
  </si>
  <si>
    <t>הפרשה ביתר למארק הנרי - לא מהותי.</t>
  </si>
  <si>
    <t>Esha Shekhar</t>
  </si>
  <si>
    <t>מע"מ לקבל</t>
  </si>
  <si>
    <t xml:space="preserve">תשלומים ליועצים משפטיים, כספקים, בהודו אינם כוללים בחשבונית מע"מ אך על המשלם לשאת על עצמו את המע"מ </t>
  </si>
  <si>
    <t>עסקאות.</t>
  </si>
  <si>
    <t>מע"מ תשומות חודש שוטף ידווח בחודש עוקב 2021.</t>
  </si>
  <si>
    <t>PAYMENTS 2020-2021</t>
  </si>
  <si>
    <t>Payments from customers  - 2020-2021</t>
  </si>
  <si>
    <t xml:space="preserve">להעביר ברבעון </t>
  </si>
  <si>
    <t xml:space="preserve">עובד חדש Nicklas Kolni </t>
  </si>
  <si>
    <t>Commisions 2020</t>
  </si>
  <si>
    <t>להעביר - מרכז רווח APAC</t>
  </si>
  <si>
    <t xml:space="preserve">Commission reversal </t>
  </si>
  <si>
    <t>תקין - התהיה עליה גם במאי</t>
  </si>
  <si>
    <t>8.	We have three employees who joined during March:
a.	Faisal Feroze- March 15
b.	Connie Kao – March 29</t>
  </si>
  <si>
    <t>אזורי מלל תעשיות בעמ</t>
  </si>
  <si>
    <t>רופטופ פרטנרס</t>
  </si>
  <si>
    <t>אגם שיווק 4/21</t>
  </si>
  <si>
    <t>אש מהירה</t>
  </si>
  <si>
    <t>ביקורת 2020</t>
  </si>
  <si>
    <t xml:space="preserve">ביקורת2021 </t>
  </si>
  <si>
    <t>דוח מס $8k, דוח שנתי $17, שלוש סקירות $18k.</t>
  </si>
  <si>
    <t>Lee Stuart left on April 16</t>
  </si>
  <si>
    <t>PTLS STA Téc. Ltda</t>
  </si>
  <si>
    <t>סגירת מיסים 2021</t>
  </si>
  <si>
    <t>גיוס</t>
  </si>
  <si>
    <t>עזיבה</t>
  </si>
  <si>
    <t>מעגל רכוש קבוע - $:</t>
  </si>
  <si>
    <t>יתרת פתיחה, נטו</t>
  </si>
  <si>
    <t>בתוספת: עלות רכישת רכוש קבוע</t>
  </si>
  <si>
    <t>בניכוי: הוצאות פחת</t>
  </si>
  <si>
    <t>בניכוי: תמורה שתקבלה ממכירת רכוש קבוע</t>
  </si>
  <si>
    <t>בתוספת (בניכוי) רווח (הפסד) הון:</t>
  </si>
  <si>
    <t>לעדכן אחת לחודש</t>
  </si>
  <si>
    <t>05/2021</t>
  </si>
  <si>
    <t>05/20201</t>
  </si>
  <si>
    <t>05.2021</t>
  </si>
  <si>
    <t>בגלל עסקת COLT ו- WIPRO ההפרש נסגר מול כרטיס 53599.</t>
  </si>
  <si>
    <t>גרמניה</t>
  </si>
  <si>
    <t>מעל שכר של 7,100 יורו לא חלות עלויות מעביד.</t>
  </si>
  <si>
    <t>הכנסות מראש PS חייבות בנק שעות EUR</t>
  </si>
  <si>
    <t>GABRIEL FERRAN</t>
  </si>
  <si>
    <t>גידול בעקבות פדיון ימי חופשה של Eduard Delisle</t>
  </si>
  <si>
    <t>LeeOnn Tan</t>
  </si>
  <si>
    <t>מקדמות מס הכנסה 2021</t>
  </si>
  <si>
    <t>דיווח עד וכולל אפריל בוצע.</t>
  </si>
  <si>
    <t>חודש קודם סוציאליות גבוהות</t>
  </si>
  <si>
    <t>עמלת GP למייק</t>
  </si>
  <si>
    <t>Worldline BE (NV/SA)</t>
  </si>
  <si>
    <t>Bytes Software Services Ltd</t>
  </si>
  <si>
    <t>Logicalis Puerto Rico</t>
  </si>
  <si>
    <t>DG Consultants</t>
  </si>
  <si>
    <t>Ubiqus</t>
  </si>
  <si>
    <t>כל ההכנסות בגין חשבונית UK218000121 ספגנו באפריל 2021 על אף שהשירות החל כבר ב- 2020.</t>
  </si>
  <si>
    <t>LPL Financial</t>
  </si>
  <si>
    <t>High Availability Inc</t>
  </si>
  <si>
    <t>CTS Group Inc./Cavalier Technical SVCS.</t>
  </si>
  <si>
    <t>65 Challenger LLC</t>
  </si>
  <si>
    <t>Other Exp. Sales</t>
  </si>
  <si>
    <t>Flights Sales Corp</t>
  </si>
  <si>
    <t>Gross Salary - SE Manager</t>
  </si>
  <si>
    <t>Other Bonus SE Manager</t>
  </si>
  <si>
    <t>ER Contrib. Tax SE Manager</t>
  </si>
  <si>
    <t>Workers Comp SE Manager</t>
  </si>
  <si>
    <t>Taxation - NC</t>
  </si>
  <si>
    <t>Taxation - TX</t>
  </si>
  <si>
    <t>Taxation - WA</t>
  </si>
  <si>
    <t>Severance-Customer Focus</t>
  </si>
  <si>
    <t>Severance- Sales</t>
  </si>
  <si>
    <t>Severance- SE</t>
  </si>
  <si>
    <t>SE CAD</t>
  </si>
  <si>
    <t>SE WEST</t>
  </si>
  <si>
    <t>SALES CAD</t>
  </si>
  <si>
    <t>אוקראינה</t>
  </si>
  <si>
    <t>עובדים דרך ספק, אין סוציאליות ישירות, משלמים לספק סכום קבוע של 1,400 דולר בחודש בעד הסוציאליות.</t>
  </si>
  <si>
    <t>Severance SE</t>
  </si>
  <si>
    <t>גידול של עובד אחד</t>
  </si>
  <si>
    <t>Stroup Joshua joined on April 19</t>
  </si>
  <si>
    <t>Whitehead Dan joined on April 26</t>
  </si>
  <si>
    <t>Chris Messina - SE Manager</t>
  </si>
  <si>
    <t>Datalink Business Solutions Ltd.</t>
  </si>
  <si>
    <t>אוריגמי מערכות מידע \ ווב מארק אונליין</t>
  </si>
  <si>
    <t>ש.ר פרופשיונל מרקטינג בע"מ</t>
  </si>
  <si>
    <t>ועידן פתרונות קונפרנסינג</t>
  </si>
  <si>
    <t>אוונה רננים בע"מ</t>
  </si>
  <si>
    <t>Scansec Tecnologia LTDA</t>
  </si>
  <si>
    <t>Docebo</t>
  </si>
  <si>
    <t>יעוץ Carlos Felipe Geib</t>
  </si>
  <si>
    <t>החזר Carlos Felipe Geib</t>
  </si>
  <si>
    <t>BD - Bruno, Dough Beasely, Jeremiah</t>
  </si>
  <si>
    <t>הכנסות פטורות תחזוקה לצורך מאזן בלבד</t>
  </si>
  <si>
    <t>YWORKS GMBH</t>
  </si>
  <si>
    <t>Continuous Improvment Solutions</t>
  </si>
  <si>
    <t>80105-2</t>
  </si>
  <si>
    <t>מההכנסות 0.5%</t>
  </si>
  <si>
    <t>Hotjar- מנוי שנתי</t>
  </si>
  <si>
    <t>Kahoot</t>
  </si>
  <si>
    <t>Zapier Futur Charge</t>
  </si>
  <si>
    <t>Docebo licence 5/21-5/22</t>
  </si>
  <si>
    <t>CIS Renewal 7\21-7/22</t>
  </si>
  <si>
    <t>גמ"ח, פידיון חופש</t>
  </si>
  <si>
    <t>עובדת בחלד</t>
  </si>
  <si>
    <t>קיטון בעלויות מעביד כי חודש קודם היו עמלות.</t>
  </si>
  <si>
    <t>As at June 30, 2018</t>
  </si>
  <si>
    <t>שבדיה</t>
  </si>
  <si>
    <t>בהתאם לבדיקה שנעשתה במאי, 2021 הסוצילאיות בשבדיה הן 31% מהשכר ברוטו כולל תוספות (עמלות, בונוסים וכו').</t>
  </si>
  <si>
    <t>הולנד</t>
  </si>
  <si>
    <t>בהתאם לבדיקה שנעשתה במאי, 2021 הסוצילאיות בשבדיה הן 4% מהשכר ברוטו כולל תוספות (עמלות, בונוסים וכו').</t>
  </si>
  <si>
    <t>Amortization Q2-2021 (for Capitalization up to Dec 31, 2018)</t>
  </si>
  <si>
    <t>Amortization Q2-2021 (for Capitalization Q1 2019)</t>
  </si>
  <si>
    <t>Amortization Q2-2021 (for Capitalization Q2 2019)</t>
  </si>
  <si>
    <t>Amortization Q2-2021 (for Capitalization Q3 2019)</t>
  </si>
  <si>
    <t>Amortization Q2-2021 (for Capitalization Q4 2019)</t>
  </si>
  <si>
    <t>Amortization Q2-2021 (for Capitalization Q1 2020)</t>
  </si>
  <si>
    <t>Amortization Q2-2021 (for Capitalization Q2 2020)</t>
  </si>
  <si>
    <t>Amortization Q2-2021 (for Capitalization Q3 2020)</t>
  </si>
  <si>
    <t>Amortization Q2-2021 (for Capitalization Q4 2020)</t>
  </si>
  <si>
    <t>Amortization Q2-2021 (for Capitalization Q1 2021)</t>
  </si>
  <si>
    <t xml:space="preserve">Capitalization Q2 2021 commissions </t>
  </si>
  <si>
    <t>היפוך הכנסות לקבל בגין תשלום 2 Wipro</t>
  </si>
  <si>
    <t>06.2021</t>
  </si>
  <si>
    <t>06/20201</t>
  </si>
  <si>
    <t>06/2021</t>
  </si>
  <si>
    <t>Arrow ECS New Zealand Limited</t>
  </si>
  <si>
    <t>הכנסות שונות (קיזוז הוצ')</t>
  </si>
  <si>
    <t>Red Education Pty Ltd</t>
  </si>
  <si>
    <t>Meetmagic Pty LTD</t>
  </si>
  <si>
    <t>TP - COGS</t>
  </si>
  <si>
    <t>MBO  Q2.2021</t>
  </si>
  <si>
    <t>Prime de Vacances</t>
  </si>
  <si>
    <t>Vacation Bonus</t>
  </si>
  <si>
    <t>Autres primes - RVP</t>
  </si>
  <si>
    <t>Autres primes - SE</t>
  </si>
  <si>
    <t>Autres Bonus - Delivery</t>
  </si>
  <si>
    <t>Autres primes - Sales</t>
  </si>
  <si>
    <t>POST Telecom S.A.</t>
  </si>
  <si>
    <t>Orange Business Services Switzerland AG</t>
  </si>
  <si>
    <t>AXA Insurance S.A</t>
  </si>
  <si>
    <t>AXIANSeu Digital Solutions, S.A</t>
  </si>
  <si>
    <t>Tata Consultancy Services Ltd</t>
  </si>
  <si>
    <t>החזר הוצאות Nicklas Kolni</t>
  </si>
  <si>
    <t>חודש קודם מענק שנתי מהרשויות בהולנד.</t>
  </si>
  <si>
    <t>Aspira</t>
  </si>
  <si>
    <t>MetLife</t>
  </si>
  <si>
    <t>Utah System of Higher Education</t>
  </si>
  <si>
    <t>Thundercat Technology</t>
  </si>
  <si>
    <t>Corus360</t>
  </si>
  <si>
    <t>Cymbel Corporation</t>
  </si>
  <si>
    <t>TSYS Tempe</t>
  </si>
  <si>
    <t>BlackLake Security, LLC</t>
  </si>
  <si>
    <t>OneSpan North America Inc.</t>
  </si>
  <si>
    <t>Dean Dorton Allen Ford, PLLC</t>
  </si>
  <si>
    <t>ConvergeOne</t>
  </si>
  <si>
    <t>NetCracker Technology Corp</t>
  </si>
  <si>
    <t>vCloud Tech Inc.</t>
  </si>
  <si>
    <t>AHEAD</t>
  </si>
  <si>
    <t>Amazon Web Services</t>
  </si>
  <si>
    <t>Liability sales tax due AZ</t>
  </si>
  <si>
    <t>Liability sales tax due KY</t>
  </si>
  <si>
    <t>Technical Support Events/Meals With Employee</t>
  </si>
  <si>
    <t>Hotels Sales Corp</t>
  </si>
  <si>
    <t>Meals &amp; Perdium Sales Corp</t>
  </si>
  <si>
    <t>Transportation and Mileage Sales Corp</t>
  </si>
  <si>
    <t>Commissions SE Manager</t>
  </si>
  <si>
    <t>GovSpend- Paid By Cindy</t>
  </si>
  <si>
    <t>S.U options Exercised</t>
  </si>
  <si>
    <t>Y.T options exercised</t>
  </si>
  <si>
    <t>A.K options exercised</t>
  </si>
  <si>
    <t>G.K options exercised</t>
  </si>
  <si>
    <t>Interest for Founders Q2.2021</t>
  </si>
  <si>
    <t>Tony Cianciotto joined on June 14th.</t>
  </si>
  <si>
    <t xml:space="preserve">Luechtefeld Daniel </t>
  </si>
  <si>
    <t>Edelweiss General Insurance</t>
  </si>
  <si>
    <t>India Exp. Return - HR Payroll</t>
  </si>
  <si>
    <t>Internet Service charges</t>
  </si>
  <si>
    <t>Error &amp; Omissions Liability - SBI General Insurance</t>
  </si>
  <si>
    <t>address to the company</t>
  </si>
  <si>
    <t>Q2 Commissions</t>
  </si>
  <si>
    <t>Particulars</t>
  </si>
  <si>
    <t>Additions before</t>
  </si>
  <si>
    <t>Additions after</t>
  </si>
  <si>
    <t xml:space="preserve">Sale </t>
  </si>
  <si>
    <t xml:space="preserve">Adjustments </t>
  </si>
  <si>
    <t>Total as on</t>
  </si>
  <si>
    <t xml:space="preserve">WDV as on </t>
  </si>
  <si>
    <t>as on April 01,2020</t>
  </si>
  <si>
    <t>During the year</t>
  </si>
  <si>
    <t>March 31,2021</t>
  </si>
  <si>
    <t>During the Year</t>
  </si>
  <si>
    <t>Furniture &amp; Fixtures</t>
  </si>
  <si>
    <t xml:space="preserve">Intangible assets </t>
  </si>
  <si>
    <t>Computer hardware</t>
  </si>
  <si>
    <t>Plant &amp; Machinery</t>
  </si>
  <si>
    <t>Audit accrual update</t>
  </si>
  <si>
    <t>יעוץ Payrollplus</t>
  </si>
  <si>
    <t>עמלות Payrollplus</t>
  </si>
  <si>
    <t>שכר מבוסס עמלות בלבד.</t>
  </si>
  <si>
    <t>FCN Inc.</t>
  </si>
  <si>
    <t>אור-חוף</t>
  </si>
  <si>
    <t>Facebook</t>
  </si>
  <si>
    <t>יקב אלכסנדר בע"מ</t>
  </si>
  <si>
    <t>אלחנן ארונות ומדפים ממתכת</t>
  </si>
  <si>
    <t>סולוטק אקס.פי.בע"מ</t>
  </si>
  <si>
    <t>AMBITIOUS WORKS LLC-אחרי 10/21 דרוש אישור לחיוב</t>
  </si>
  <si>
    <t>LifeLabs Leearning</t>
  </si>
  <si>
    <t>הכנסות בין חברתיות אוסטרליה AUS TRANSFER PRICING</t>
  </si>
  <si>
    <t>החזר הוצאות Juan Ignacio</t>
  </si>
  <si>
    <t>רשיונות סקיוריטי הנה"כ</t>
  </si>
  <si>
    <t>COGS IC</t>
  </si>
  <si>
    <t>Income IC</t>
  </si>
  <si>
    <t>בדיקת איזון רווח והפסד בינחברתי:</t>
  </si>
  <si>
    <t>Cogs India</t>
  </si>
  <si>
    <t>Cogs Ltd</t>
  </si>
  <si>
    <t>IC Inc</t>
  </si>
  <si>
    <t>IC UK</t>
  </si>
  <si>
    <t>IC AUD</t>
  </si>
  <si>
    <t>IC AJE</t>
  </si>
  <si>
    <t>Q2 2021</t>
  </si>
  <si>
    <t>TB</t>
  </si>
  <si>
    <t xml:space="preserve">  תיקון פריסה של חשבוניות ישנות+ דחיית הכנסות בגין ברזלים שלא נמסרו + בגלל עסקת COLT ו- WIPRO ההפרש נסגר מול כרטיס 53599.</t>
  </si>
  <si>
    <t>As at December 31, 2018</t>
  </si>
  <si>
    <t>As at December 31, 2017</t>
  </si>
  <si>
    <t>חזרה מחל"ד - נאווה.</t>
  </si>
  <si>
    <t>חודש קודם היה גמר חשבון ופדיון חופש.</t>
  </si>
  <si>
    <t>AISA</t>
  </si>
  <si>
    <t>LT deferred revenue</t>
  </si>
  <si>
    <t>C.M singing Bonus</t>
  </si>
  <si>
    <t>רשיונות אבטחה בלבד שעד כה נרשמו לחשבון 8410048 ירשמו מעתה לחשבון החדש.</t>
  </si>
  <si>
    <t>Salary Payable to (F&amp;F)</t>
  </si>
  <si>
    <t>עקב הפרשי שער</t>
  </si>
  <si>
    <t>TP 2.5% adj</t>
  </si>
  <si>
    <t>Tax adj</t>
  </si>
  <si>
    <t>Adj P&amp;L</t>
  </si>
  <si>
    <t>TP</t>
  </si>
  <si>
    <t>Profit (Loss) before taxes</t>
  </si>
  <si>
    <t>פדיון חופשה לעובד שעזב</t>
  </si>
  <si>
    <t>עובד חדש + עדכון שכר.</t>
  </si>
  <si>
    <t>השמה 6/21-6/22</t>
  </si>
  <si>
    <t>מערכת נוכחות 5/21-5/22</t>
  </si>
  <si>
    <t>רשיון - הרשת שלי</t>
  </si>
  <si>
    <t>דילהאב בע"מ</t>
  </si>
  <si>
    <t>הוצאות מו"פ שלא שולמו במזומן</t>
  </si>
  <si>
    <t xml:space="preserve">תוספת הוצאות מו"פ שלא שולמו במזומן ב- 2020 </t>
  </si>
  <si>
    <t>בניכוי הוצאות מו"פ שלא שולמו במזומן ב- 2021</t>
  </si>
  <si>
    <t>הפסד הון ממכירת רכוש קבוע בספרים</t>
  </si>
  <si>
    <t xml:space="preserve">סגירת נכס מס </t>
  </si>
  <si>
    <t>כרגע לא צופים רווחיות ולכן לא מכירים בנכס עד אשר נעבור לרווח.</t>
  </si>
  <si>
    <t>Cost+ 06.2021</t>
  </si>
  <si>
    <t xml:space="preserve">
ברמות השכר אצל העובדים שלנו תוספת עלות מעביד כשיש תשלום עמלה בגרמניה תהיה מזערית, אם בכלל</t>
  </si>
  <si>
    <t>Germany</t>
  </si>
  <si>
    <t>to GBP</t>
  </si>
  <si>
    <t>Exchange rates:</t>
  </si>
  <si>
    <t>DKK</t>
  </si>
  <si>
    <t>SEK</t>
  </si>
  <si>
    <t>NIS/AUD</t>
  </si>
  <si>
    <t>NIS/DKK</t>
  </si>
  <si>
    <t>NIS/SEK</t>
  </si>
  <si>
    <t>NIS/CHF</t>
  </si>
  <si>
    <t>CHF</t>
  </si>
  <si>
    <t>Denmark</t>
  </si>
  <si>
    <t>Subcontractor</t>
  </si>
  <si>
    <t>Employer contribution</t>
  </si>
  <si>
    <t>Social security guidance:</t>
  </si>
  <si>
    <t>Denmark:</t>
  </si>
  <si>
    <t>Employer contribution based on a fixed amount per year.</t>
  </si>
  <si>
    <t>USA:</t>
  </si>
  <si>
    <t>The employee tax rate up to an yearly salary of $142k is 6.2%, each USD above this amount will bear a 1.45% - Most of our employees base salary pass the $142k yearly therefore the emploee tax provision due commissions is immaterial.</t>
  </si>
  <si>
    <t>לא להעביר</t>
  </si>
  <si>
    <t>NIS/CAD</t>
  </si>
  <si>
    <t>CAD</t>
  </si>
  <si>
    <t>to USD</t>
  </si>
  <si>
    <t xml:space="preserve"> להעביר ולהפוך - APAC</t>
  </si>
  <si>
    <t>Comm Q2 2021 - On-Hold</t>
  </si>
  <si>
    <t xml:space="preserve">
Christoph Graf</t>
  </si>
  <si>
    <t>Q2 Commissions on-Hold</t>
  </si>
  <si>
    <t>Commissions 2021 On-Hold</t>
  </si>
  <si>
    <t>M.H.G prepaid comm. Reverse</t>
  </si>
  <si>
    <t>לעדכן הפרשה למס כשיהיה רלוונטי + מקדמות למס הכנסה - כרגע קיים הפסד בראיה מצטברת.</t>
  </si>
  <si>
    <t>GUY Marc-Henri</t>
  </si>
  <si>
    <t>Commissions 2021 On-hold</t>
  </si>
  <si>
    <t>Social security due commissions</t>
  </si>
  <si>
    <r>
      <t xml:space="preserve">Calculation for the TP for 2021 </t>
    </r>
    <r>
      <rPr>
        <b/>
        <i/>
        <sz val="10"/>
        <rFont val="Arial"/>
        <family val="2"/>
      </rPr>
      <t>Per Tax</t>
    </r>
    <r>
      <rPr>
        <i/>
        <sz val="10"/>
        <rFont val="Arial"/>
        <family val="2"/>
      </rPr>
      <t xml:space="preserve"> :</t>
    </r>
  </si>
  <si>
    <r>
      <t xml:space="preserve">Calculation for the TP for  2021 </t>
    </r>
    <r>
      <rPr>
        <b/>
        <i/>
        <sz val="10"/>
        <rFont val="Arial"/>
        <family val="2"/>
      </rPr>
      <t>Per Books</t>
    </r>
    <r>
      <rPr>
        <i/>
        <sz val="10"/>
        <rFont val="Arial"/>
        <family val="2"/>
      </rPr>
      <t xml:space="preserve"> :</t>
    </r>
  </si>
  <si>
    <t>Forex Fluctuation</t>
  </si>
  <si>
    <t>Capital Loss</t>
  </si>
  <si>
    <t>י.ס 31.12.20</t>
  </si>
  <si>
    <t>Rent expense:</t>
  </si>
  <si>
    <t>Q2.2021</t>
  </si>
  <si>
    <t>Q1.2021</t>
  </si>
  <si>
    <t>07/2021</t>
  </si>
  <si>
    <t>07/20201</t>
  </si>
  <si>
    <t>07.2021</t>
  </si>
  <si>
    <t>ENJOY SHARING SAS</t>
  </si>
  <si>
    <t>As at September 30, 2018</t>
  </si>
  <si>
    <t>As at March 31, 2019</t>
  </si>
  <si>
    <t>As at March 31, 2018</t>
  </si>
  <si>
    <t xml:space="preserve">M.H.G prepaid comm. </t>
  </si>
  <si>
    <t>ירידה עקב עדכון הפרשה לסוציאליות בגין עמלות ביוני + RTT וחופשה</t>
  </si>
  <si>
    <t>עליה בסוציאליות עקב תשלום המקדמה.</t>
  </si>
  <si>
    <t>ביטוח עובדים</t>
  </si>
  <si>
    <t>Sidarion AG</t>
  </si>
  <si>
    <t>NTT Switzerland SA</t>
  </si>
  <si>
    <t>השמה - Recruiting-Delivery</t>
  </si>
  <si>
    <t>שכר עבודה שיווק (SDR)</t>
  </si>
  <si>
    <t>החזר הוצאות Fabio Tessera</t>
  </si>
  <si>
    <t>CHIP-N-CHIP</t>
  </si>
  <si>
    <t>Naked Eye Advertising Private Limited</t>
  </si>
  <si>
    <t>Software Sources</t>
  </si>
  <si>
    <t>צבירן ייעוץ וסקרים</t>
  </si>
  <si>
    <t>יהונתן לוביק יועצים בע"מ</t>
  </si>
  <si>
    <t>אמקס בע"מ</t>
  </si>
  <si>
    <t>טופ קומרס בע"מ</t>
  </si>
  <si>
    <t>רחוב 42 בע"מ</t>
  </si>
  <si>
    <t>עורך דין עומר מור</t>
  </si>
  <si>
    <t>MOJA FIRMA Sp. z o.o.</t>
  </si>
  <si>
    <t>Intrado Digital Media, LLC</t>
  </si>
  <si>
    <t>Bank Leumi - CAD account #291</t>
  </si>
  <si>
    <t>Other receivables-XTRM</t>
  </si>
  <si>
    <t>TSYS Merchant Solutions, LLC</t>
  </si>
  <si>
    <t>Structured, Inc.</t>
  </si>
  <si>
    <t>Set Solutions, Inc</t>
  </si>
  <si>
    <t>SaskPower</t>
  </si>
  <si>
    <t>CDW Canada Corp</t>
  </si>
  <si>
    <t>Cavalry Portfolio Services, LLC</t>
  </si>
  <si>
    <t>vCORE Technology Partners</t>
  </si>
  <si>
    <t>TATA Conultancy Services LTD</t>
  </si>
  <si>
    <t>XTRM Inc.</t>
  </si>
  <si>
    <t>Kyle Wickert-CAD</t>
  </si>
  <si>
    <t>CF Relocation</t>
  </si>
  <si>
    <t>Health SE Manager</t>
  </si>
  <si>
    <t>Bus.Dev. Business Meals</t>
  </si>
  <si>
    <t>Bus.Dev. Other Exp Abroad</t>
  </si>
  <si>
    <t>הפרשה למס הודו 2022-22</t>
  </si>
  <si>
    <t>Corp</t>
  </si>
  <si>
    <t>UIA options exercised</t>
  </si>
  <si>
    <t>O.G options exercised</t>
  </si>
  <si>
    <t>I believe it still exists. We asked them to close it but they never did.</t>
  </si>
  <si>
    <t>The bank made a mistake and converted USD to CAD. Instead of converting it back to USD we told them they could keep the CAD and use it for future payments. Apparently, we have a foreign account that was used for that. I attached the statement I pulled from Leumi web. Please note that the amount keeps changing due to the currency fluctuation.</t>
  </si>
  <si>
    <t>Oren Gabay relocated from ltd to inc. he started July 1st</t>
  </si>
  <si>
    <t>Jenn Castner was out on maternity leave</t>
  </si>
  <si>
    <t>חשבונית UK218000172 הופקה ביוני אך תאריך תחילת השירות הוא ממרץ ולכן יוני ספג הכל.</t>
  </si>
  <si>
    <t>חשבונית UK218000178 הופקה ביוני אך תאריך תחילת השירות הוא ממרץ ולכן יוני ספג הכל.</t>
  </si>
  <si>
    <t>הוצ' צרפת פיצויים וחופשה Delivery</t>
  </si>
  <si>
    <t>הוצ' צרפת פיצויים וחופשה Sales</t>
  </si>
  <si>
    <t>הוצ' צרפת פיצויים וחופשה RVP</t>
  </si>
  <si>
    <t>הוצ' צרפת פיצויים וחופשה SE</t>
  </si>
  <si>
    <t>Vacation bonus</t>
  </si>
  <si>
    <t>גיוס עובדים חדשים.</t>
  </si>
  <si>
    <t>הפרשה ביתר בגין Lars Nielsen.</t>
  </si>
  <si>
    <t>ביי מי טכנולוגיות בע"מ</t>
  </si>
  <si>
    <t>וואדי דיגיטל בע"מ</t>
  </si>
  <si>
    <t>Netpoleon Phillippines Inc</t>
  </si>
  <si>
    <t>Calendly</t>
  </si>
  <si>
    <t>TaskRay / Bracket Labs</t>
  </si>
  <si>
    <t>PFL Tech, Inc - Printing For Less</t>
  </si>
  <si>
    <t>Calendly 6/21-6/22</t>
  </si>
  <si>
    <t>Cato Networks</t>
  </si>
  <si>
    <t>PFL Tech, Inc - Printing</t>
  </si>
  <si>
    <t>Sales 4/21-3/22</t>
  </si>
  <si>
    <t>TaskRay 8/21-8/22</t>
  </si>
  <si>
    <t>ביטוח עסק 8/21-7/22</t>
  </si>
  <si>
    <t>סולוטק אק-שנתי 8.21-7.21</t>
  </si>
  <si>
    <t>קלריזן 7/21-6/22</t>
  </si>
  <si>
    <t>רשיונות 10/21-10/22</t>
  </si>
  <si>
    <t>מתודה</t>
  </si>
  <si>
    <t>נחמה ושירה עזבו.</t>
  </si>
  <si>
    <t>חודש קודם גמר חשבון עם סנסקום.</t>
  </si>
  <si>
    <t>קיטון באולקלאוד</t>
  </si>
  <si>
    <t>עליה בשירותי Confluence ושירות חדש של ספק מתודה.</t>
  </si>
  <si>
    <t>חל"ד יעל ביידה.</t>
  </si>
  <si>
    <t>גוטפרנדס בע"מ</t>
  </si>
  <si>
    <t>מנפאואר בע"מ</t>
  </si>
  <si>
    <t>עובדים שעזבו ביוני עם פדיון חופש משמעותי.</t>
  </si>
  <si>
    <t>עובדים שעזבו ביולי עם פדיון חופש משמעותי.</t>
  </si>
  <si>
    <t>עובדים חדשים</t>
  </si>
  <si>
    <t>ביוני עזיבה + פדיון</t>
  </si>
  <si>
    <t>Gross Salary - SE Americas</t>
  </si>
  <si>
    <t>Other Bonus SE Americas</t>
  </si>
  <si>
    <t>Commissions SE Americas</t>
  </si>
  <si>
    <t>ER Contrib. Tax SE Americas</t>
  </si>
  <si>
    <t>Health SE Americas</t>
  </si>
  <si>
    <t>Workers Comp SE Americas</t>
  </si>
  <si>
    <t>קנדי מול</t>
  </si>
  <si>
    <t>סי.אס.בי מוצרי חשמל</t>
  </si>
  <si>
    <t>י.ג סופט איטי בע"מ</t>
  </si>
  <si>
    <t>Audit fee 2020 'Yearly audit INR 125K + tax INR 45k + GST 15K + TP 20K</t>
  </si>
  <si>
    <t>Audit fee 2021 'Yearly audit INR 125K + tax INR 45k + GST 15K + TP 20K</t>
  </si>
  <si>
    <t>08.2021</t>
  </si>
  <si>
    <t>עובד חדש Bastien Kajczyk</t>
  </si>
  <si>
    <t>מקדמות מס הודו 2021-2022</t>
  </si>
  <si>
    <t>Tax advances 2020-2021</t>
  </si>
  <si>
    <t>Tax advances 2021-2022</t>
  </si>
  <si>
    <t>Tax advances reclass</t>
  </si>
  <si>
    <t>TFT consulting Invoice</t>
  </si>
  <si>
    <t>גידול של 1 עובד.</t>
  </si>
  <si>
    <t>08/2021</t>
  </si>
  <si>
    <t>Asic</t>
  </si>
  <si>
    <t>עובד חדש LEANDRO Noman</t>
  </si>
  <si>
    <t>Minimum Gurantee Leandro Noman + GP מייק</t>
  </si>
  <si>
    <t>08/20201</t>
  </si>
  <si>
    <t>OptiCom</t>
  </si>
  <si>
    <t>Ingram Micro Hungary Kft</t>
  </si>
  <si>
    <t>CDW Limited</t>
  </si>
  <si>
    <t>החזר הוצאות Azets</t>
  </si>
  <si>
    <t>יעוץ Azets</t>
  </si>
  <si>
    <t>עמלות Azets</t>
  </si>
  <si>
    <t>AT&amp;T Consulting Solutions</t>
  </si>
  <si>
    <t>Diebold Nixdorf</t>
  </si>
  <si>
    <t>NTT Security (US) Inc.</t>
  </si>
  <si>
    <t>Cellular South, Inc. dba C Spire</t>
  </si>
  <si>
    <t>Internetwork Engineering, Inc.</t>
  </si>
  <si>
    <t>NorthPoint Printing Services</t>
  </si>
  <si>
    <t>Technical Support Events/Meals With Customers</t>
  </si>
  <si>
    <t>PS Delivery Events/ Meals Employees</t>
  </si>
  <si>
    <t>Training Transportation Abroad</t>
  </si>
  <si>
    <t>Marketing Events/ Meals Employees</t>
  </si>
  <si>
    <t>Sales Flights East</t>
  </si>
  <si>
    <t>Sales Hotels East</t>
  </si>
  <si>
    <t>Sales Meals &amp; Perdium Abroad East</t>
  </si>
  <si>
    <t>Sales Transportation and Mileage East</t>
  </si>
  <si>
    <t>Business Meals Sales East</t>
  </si>
  <si>
    <t>Sales Americas Other Expenses</t>
  </si>
  <si>
    <t>Dental &amp; Vision SE Americas</t>
  </si>
  <si>
    <t>SE Perdium AMERICAS CAD</t>
  </si>
  <si>
    <t>SE Transportation AMERICAS CAD</t>
  </si>
  <si>
    <t>SE Other travel exp. AMERICAS CAD</t>
  </si>
  <si>
    <t>SE Business Meals with customers AMERICAS CAD</t>
  </si>
  <si>
    <t>Taxation - GA</t>
  </si>
  <si>
    <t>Taxation - CT</t>
  </si>
  <si>
    <t>MyFSA Canada Q1</t>
  </si>
  <si>
    <t>Carl Piehl joined on July 26th.</t>
  </si>
  <si>
    <r>
      <t>Samuel Gifford joined on August 3</t>
    </r>
    <r>
      <rPr>
        <vertAlign val="superscript"/>
        <sz val="11"/>
        <rFont val="Calibri"/>
        <family val="2"/>
      </rPr>
      <t>rd</t>
    </r>
  </si>
  <si>
    <t>Matthew Basanceney resigned effective August 27</t>
  </si>
  <si>
    <t>יעוץ AmiViz</t>
  </si>
  <si>
    <t>עמלות AmiViz</t>
  </si>
  <si>
    <t>Orange approved as product + Minimum Guarantee Thorben</t>
  </si>
  <si>
    <t>חודש קודם סוציאליות בגין עמלות</t>
  </si>
  <si>
    <t>Lars Nielsen</t>
  </si>
  <si>
    <t>Minimum Guarantee</t>
  </si>
  <si>
    <t>Compugraf Comércio de Tecnologia Ltda.</t>
  </si>
  <si>
    <t>Westcon Solutions China</t>
  </si>
  <si>
    <t>לילי מטבח שף בע"מ</t>
  </si>
  <si>
    <t>Doit</t>
  </si>
  <si>
    <t>דאדא עיצובים בע"מ</t>
  </si>
  <si>
    <t>!YOH - חיים את השטח</t>
  </si>
  <si>
    <t>אברא פיתוח ובי.אי בע"מ</t>
  </si>
  <si>
    <t>Perket Technologies</t>
  </si>
  <si>
    <t>REVEL TECH (SG) HOLDINGS PTE LTD</t>
  </si>
  <si>
    <t>Red Education</t>
  </si>
  <si>
    <t>ג'ירפה חוויות אורבניות בע"מ</t>
  </si>
  <si>
    <t>NTT Brasil</t>
  </si>
  <si>
    <t>כרטיסי טיסה PS Delivery</t>
  </si>
  <si>
    <t>מלון PS Delivery</t>
  </si>
  <si>
    <t>שונות תקשורת בחו"ל שיווק</t>
  </si>
  <si>
    <t>חודש קודם קיבלנו החזר מביטוח לאומי  כ- 9 אל"ד, יתרת ההפרש נובעת משינויים בשער החליפין.</t>
  </si>
  <si>
    <t>תשלום חלקי, היתרה בבירור.</t>
  </si>
  <si>
    <t xml:space="preserve">לקוח הודי - לוקח להם זמן להעביר ניכוי מס במקור 10% </t>
  </si>
  <si>
    <t>C</t>
  </si>
  <si>
    <t>Cash flow</t>
  </si>
  <si>
    <t>Net Profit before tax and extraordinary items</t>
  </si>
  <si>
    <t>Adjustments for:</t>
  </si>
  <si>
    <t>Short Term Loans and Advances</t>
  </si>
  <si>
    <t>Other Current Assets</t>
  </si>
  <si>
    <t>31.03.2021</t>
  </si>
  <si>
    <t>Tangible Assets</t>
  </si>
  <si>
    <t>Trade Payables</t>
  </si>
  <si>
    <t>Other Current Liabilities</t>
  </si>
  <si>
    <t>Deferred Tax Liability</t>
  </si>
  <si>
    <t>Partner's Capital Contributions</t>
  </si>
  <si>
    <t>Partner's Current Account</t>
  </si>
  <si>
    <t>Operating</t>
  </si>
  <si>
    <t>Investment</t>
  </si>
  <si>
    <t>Capital</t>
  </si>
  <si>
    <t>Changes in working capital:</t>
  </si>
  <si>
    <t>Adjustments for increase / (decrease) in operating liabilities:</t>
  </si>
  <si>
    <t xml:space="preserve">Other current liabilities </t>
  </si>
  <si>
    <t>Provisions</t>
  </si>
  <si>
    <t>CF report</t>
  </si>
  <si>
    <t>Intercompany (Algosec Inc)</t>
  </si>
  <si>
    <t>Tax liabilities</t>
  </si>
  <si>
    <t xml:space="preserve">Loans and advances </t>
  </si>
  <si>
    <t>Trade receivables</t>
  </si>
  <si>
    <t>Cash flow from operations</t>
  </si>
  <si>
    <t xml:space="preserve">Less: </t>
  </si>
  <si>
    <t>Income tax paid</t>
  </si>
  <si>
    <t>Tax paid</t>
  </si>
  <si>
    <t>NET CASH FLOW FROM/(USED IN) OPERATING ACTIVITIES</t>
  </si>
  <si>
    <t>NET CASH FLOW FROM/(USED IN) INVESTING ACTIVITIES</t>
  </si>
  <si>
    <t>NET CASH FLOW FROM/(USED IN) FINANCING ACTIVITIES</t>
  </si>
  <si>
    <t>Net (decrease)/increase in cash and cash equivalents</t>
  </si>
  <si>
    <t>Cash and cash equivalents at the end of the year*</t>
  </si>
  <si>
    <t>Rapid 7 scanner הרשת שלי</t>
  </si>
  <si>
    <t>Salesforce</t>
  </si>
  <si>
    <t>איירונסקיילס 11/21-22</t>
  </si>
  <si>
    <t>רשיון 9/21-8/22</t>
  </si>
  <si>
    <t>נסגר בספטמבר מול הפרשי שער והכנסות מימון.</t>
  </si>
  <si>
    <t>בזק</t>
  </si>
  <si>
    <t>ספק ברנולי (לא קבוע) ספק חדש (אברא)</t>
  </si>
  <si>
    <t>עליה בשירותי ספק דובל</t>
  </si>
  <si>
    <t>Oren G Relocation exp</t>
  </si>
  <si>
    <t>נועה אוחיון וחנה לוריה עברו להיות עובדות של אלגוסק.</t>
  </si>
  <si>
    <t>דוח מס</t>
  </si>
  <si>
    <t>2021</t>
  </si>
  <si>
    <t>דוח שנתי</t>
  </si>
  <si>
    <t>רבעון 2</t>
  </si>
  <si>
    <t>רבעון 3</t>
  </si>
  <si>
    <t>רבעון 1</t>
  </si>
  <si>
    <t>שולם</t>
  </si>
  <si>
    <t>עובד חדש.</t>
  </si>
  <si>
    <t>עובדים חדשים + ציוד שנרכש</t>
  </si>
  <si>
    <t>עובדים שהתחילו באמצע יולי - אוגוסט שכר מלא.</t>
  </si>
  <si>
    <t>שמעון יצחקי עזב - גמר חשבון</t>
  </si>
  <si>
    <t>Alexander Sales</t>
  </si>
  <si>
    <t>INTERDATA</t>
  </si>
  <si>
    <t>9010002</t>
  </si>
  <si>
    <t>משולם פעמיים בשנה - בתחילת כל שנה ובספטמבר.</t>
  </si>
  <si>
    <t>09.2021</t>
  </si>
  <si>
    <t>גידול בסוציאליות בעקבות המקדמה.</t>
  </si>
  <si>
    <t>בשנתי</t>
  </si>
  <si>
    <t>Trade exchange losses - Pertes de change sur créances et dettes commerciales</t>
  </si>
  <si>
    <t>202840-1</t>
  </si>
  <si>
    <t>Sparx Solutions Pty Ltd</t>
  </si>
  <si>
    <t>תשלום ATO הפרשה נמוכה מהתשלום בפועל כי מדובר ב- CISCO והתקבול בגין העסקה היה גבוה יותר + 5,750 עמלה מובטחת ללאנדרו.</t>
  </si>
  <si>
    <t>Atoutdom</t>
  </si>
  <si>
    <t>09/20201</t>
  </si>
  <si>
    <t>SBI General Insurance</t>
  </si>
  <si>
    <t>Hemlata Jain &amp; Co.</t>
  </si>
  <si>
    <t>Tax advance reclass</t>
  </si>
  <si>
    <t>Add: Bonus payable</t>
  </si>
  <si>
    <t>MBO Provision Q3.2021</t>
  </si>
  <si>
    <t>EPF &amp; ESIC work</t>
  </si>
  <si>
    <t>Share-Based Payment FAS123 - G&amp;A</t>
  </si>
  <si>
    <t>שתי עובדים עזבו.</t>
  </si>
  <si>
    <t>XON Systems (Pty) Ltd</t>
  </si>
  <si>
    <t>Technology Core</t>
  </si>
  <si>
    <t>Controlware GmbH</t>
  </si>
  <si>
    <t>Mnemonic as</t>
  </si>
  <si>
    <t>Network Research Belgium (NRB)</t>
  </si>
  <si>
    <t>Cefriel s.cons.r.l.</t>
  </si>
  <si>
    <t>Azets Insight A/S</t>
  </si>
  <si>
    <t>Antal international DMCC</t>
  </si>
  <si>
    <t>Orange Cyberdefense</t>
  </si>
  <si>
    <t>Ahmed Al-N - insurance</t>
  </si>
  <si>
    <t>Elsayed - insurance</t>
  </si>
  <si>
    <t>חשבונית UK218000233 הופקה באוגוסט עבור תקופת שירות שהחלה בינואר 2020.</t>
  </si>
  <si>
    <t>רוסיה הפרשה רטרואקטיבית.</t>
  </si>
  <si>
    <t>Reinhard+Thorben Minimum guarantee.</t>
  </si>
  <si>
    <t>Regional Sales Manager</t>
  </si>
  <si>
    <t>Max Shirshov left.</t>
  </si>
  <si>
    <t>רישום ספק הנה"ח דנמרק רטרו מחודש יוני.</t>
  </si>
  <si>
    <t>עובדת שחזרה מחל"ד - HEBA</t>
  </si>
  <si>
    <t>אירוע Strategie IT</t>
  </si>
  <si>
    <t>Other receivables-Campain</t>
  </si>
  <si>
    <t>Customer Tax withholding</t>
  </si>
  <si>
    <t>Presidio Networked Solutions Group, LLC</t>
  </si>
  <si>
    <t>Exclusive Networks JJNet Hong Kong Limited</t>
  </si>
  <si>
    <t>Benchmark Corporation</t>
  </si>
  <si>
    <t>Ineapple</t>
  </si>
  <si>
    <t>Softchoice Corporation - US</t>
  </si>
  <si>
    <t>Fuller Landau LLP</t>
  </si>
  <si>
    <t>Michael Blair Associates</t>
  </si>
  <si>
    <t>ZoomInfo</t>
  </si>
  <si>
    <t>Anthony Cosgrove</t>
  </si>
  <si>
    <t>Carl Piehl</t>
  </si>
  <si>
    <t>Liability sales tax due MN</t>
  </si>
  <si>
    <t>WFH Allowance- Support</t>
  </si>
  <si>
    <t>CF Transportation Abroad</t>
  </si>
  <si>
    <t>Gross Salary - Sales Americas</t>
  </si>
  <si>
    <t>Commission Sales Americas</t>
  </si>
  <si>
    <t>ER Contrib.Tax Sales Americas</t>
  </si>
  <si>
    <t>Health Sales Americas</t>
  </si>
  <si>
    <t>Workers Comp Sales Americas</t>
  </si>
  <si>
    <t>Sales Americas Recruiting</t>
  </si>
  <si>
    <t>SE Hotels Abroad East</t>
  </si>
  <si>
    <t>Sales SE Transportation Abroad East</t>
  </si>
  <si>
    <t>Taxation-  AZ</t>
  </si>
  <si>
    <t xml:space="preserve">It’s a third party company that we engaged with recently to pay our partners for spiff (sales incentive program). </t>
  </si>
  <si>
    <t>Comm. On-hold reverse (ATO)</t>
  </si>
  <si>
    <t>E.P exercised options</t>
  </si>
  <si>
    <t>30.09.2021</t>
  </si>
  <si>
    <t>iValue InfoSolutions Pvt Ltd. - Singapore Branch</t>
  </si>
  <si>
    <t>Contacta Seguranca em Conectividade LTDA</t>
  </si>
  <si>
    <t>אוטומט איט מלם תים בע"מ</t>
  </si>
  <si>
    <t>חגית רוטשטיין, עו"ד ונוטריון</t>
  </si>
  <si>
    <t>ישרוטל בע"מ</t>
  </si>
  <si>
    <t>ווידיגאיט בע"מ</t>
  </si>
  <si>
    <t>יולו Yolo</t>
  </si>
  <si>
    <t>Monday.com Ltd</t>
  </si>
  <si>
    <t>Cisco International Limited</t>
  </si>
  <si>
    <t>HOPIN LTD</t>
  </si>
  <si>
    <t>יעוץ Frances Horst</t>
  </si>
  <si>
    <t>החזר Frances Horst</t>
  </si>
  <si>
    <t xml:space="preserve">  </t>
  </si>
  <si>
    <t>Appliance - deferred income</t>
  </si>
  <si>
    <t>Mike Shelton joined 1st of Septmber.</t>
  </si>
  <si>
    <t>Andre Beaudoin - recruiting fees.</t>
  </si>
  <si>
    <t>Andre Beaudoin</t>
  </si>
  <si>
    <t>John Doolittle</t>
  </si>
  <si>
    <t>יכוי במקור</t>
  </si>
  <si>
    <t>9\21-22 SNAPENGAGE CHAT</t>
  </si>
  <si>
    <t>YourKit 9/21-9/22</t>
  </si>
  <si>
    <t>חוזה תמיכה לשנה</t>
  </si>
  <si>
    <t>רשיון שיווק 9/21-8/22</t>
  </si>
  <si>
    <t>רשיונות 8/21-7/22</t>
  </si>
  <si>
    <t>הפרשה- איי טי סנטרל</t>
  </si>
  <si>
    <t>ליאור סושארד</t>
  </si>
  <si>
    <t>גוטפרנדס</t>
  </si>
  <si>
    <t xml:space="preserve">אברא </t>
  </si>
  <si>
    <t>שטרן IT</t>
  </si>
  <si>
    <t xml:space="preserve">אוטומט איט </t>
  </si>
  <si>
    <t>Def. rev appliance</t>
  </si>
  <si>
    <t>להעביר ולהפוך + לציין מספר חשבונית AU421600049</t>
  </si>
  <si>
    <t>Def rev. appliance</t>
  </si>
  <si>
    <t>Danit Barak Halperin</t>
  </si>
  <si>
    <t>חודש קודם ברנולי תוכנה</t>
  </si>
  <si>
    <t>חגים</t>
  </si>
  <si>
    <r>
      <t>1. Reshef relocated back to LTD</t>
    </r>
    <r>
      <rPr>
        <sz val="11"/>
        <rFont val="Calibri"/>
        <family val="2"/>
      </rPr>
      <t xml:space="preserve"> </t>
    </r>
    <r>
      <rPr>
        <sz val="11"/>
        <color rgb="FFFF0000"/>
        <rFont val="Calibri"/>
        <family val="2"/>
      </rPr>
      <t>in Oct 12. However, he was on unpaid leave from September 16</t>
    </r>
    <r>
      <rPr>
        <vertAlign val="superscript"/>
        <sz val="11"/>
        <color rgb="FFFF0000"/>
        <rFont val="Calibri"/>
        <family val="2"/>
      </rPr>
      <t>th</t>
    </r>
    <r>
      <rPr>
        <sz val="11"/>
        <color rgb="FFFF0000"/>
        <rFont val="Calibri"/>
        <family val="2"/>
      </rPr>
      <t xml:space="preserve">. </t>
    </r>
  </si>
  <si>
    <t>1. we opened and new department – “Sales Americas” and we moved E.J from sales East to Sales Americas (Andrey’s request)</t>
  </si>
  <si>
    <r>
      <t>1. we added a new employee, John Doolittle, to his department. John started on September 7</t>
    </r>
    <r>
      <rPr>
        <vertAlign val="superscript"/>
        <sz val="11"/>
        <color rgb="FFFF0000"/>
        <rFont val="Calibri"/>
        <family val="2"/>
      </rPr>
      <t>th</t>
    </r>
    <r>
      <rPr>
        <sz val="11"/>
        <color rgb="FFFF0000"/>
        <rFont val="Calibri"/>
        <family val="2"/>
      </rPr>
      <t>.</t>
    </r>
  </si>
  <si>
    <t>אחוז הפרשה לסוציאליות:</t>
  </si>
  <si>
    <t>Q3 Commissions</t>
  </si>
  <si>
    <t>Socials due comm.</t>
  </si>
  <si>
    <t>Social security due commissions On hold</t>
  </si>
  <si>
    <t>Super Payable 2021</t>
  </si>
  <si>
    <t>According 2020 results.</t>
  </si>
  <si>
    <t>GP Bonus Q2.2021</t>
  </si>
  <si>
    <t>comm Q3 2021</t>
  </si>
  <si>
    <t>Comm. On Hold</t>
  </si>
  <si>
    <t>Provision for commissions</t>
  </si>
  <si>
    <t>801.שכר ונלוות הנהלה וכלליות</t>
  </si>
  <si>
    <t>לא להעביר בינתיים - מחכה לדוח מבטח סיימון</t>
  </si>
  <si>
    <t>Related to paybales which hasn't been paid in 3 months (Usualy the MBO of March).</t>
  </si>
  <si>
    <t>4-6/2021</t>
  </si>
  <si>
    <t>7-9/2021</t>
  </si>
  <si>
    <t>10-12/2021</t>
  </si>
  <si>
    <t>31/03/2021 - INR</t>
  </si>
  <si>
    <t>FY 2021-2022 - INR</t>
  </si>
  <si>
    <t>6sense Insights, Inc</t>
  </si>
  <si>
    <t>חל"ד</t>
  </si>
  <si>
    <t>חודש קודם פדיון ועזיבה של שמעון יצחקי</t>
  </si>
  <si>
    <t>עזיבה + פדיון מיקי וייזר</t>
  </si>
  <si>
    <t>Q3.2021</t>
  </si>
  <si>
    <t>Q4.2021</t>
  </si>
  <si>
    <t>Q3 2021</t>
  </si>
  <si>
    <t>Amortization Q3-2021 (for Capitalization up to Dec 31, 2018)</t>
  </si>
  <si>
    <t>Amortization Q3-2021 (for Capitalization Q1 2019)</t>
  </si>
  <si>
    <t>Amortization Q3-2021 (for Capitalization Q2 2019)</t>
  </si>
  <si>
    <t>Amortization Q3-2021 (for Capitalization Q3 2019)</t>
  </si>
  <si>
    <t>Amortization Q3-2021 (for Capitalization Q4 2019)</t>
  </si>
  <si>
    <t>Amortization Q3-2021 (for Capitalization Q1 2020)</t>
  </si>
  <si>
    <t>Amortization Q3-2021 (for Capitalization Q2 2020)</t>
  </si>
  <si>
    <t>Amortization Q3-2021 (for Capitalization Q3 2020)</t>
  </si>
  <si>
    <t>Amortization Q3-2021 (for Capitalization Q4 2020)</t>
  </si>
  <si>
    <t>Amortization Q3-2021 (for Capitalization Q1 2021)</t>
  </si>
  <si>
    <t xml:space="preserve">Capitalization Q3 2021 commissions </t>
  </si>
  <si>
    <t>Amortization Q3-2021 (for Capitalization Q2 2021)</t>
  </si>
  <si>
    <t>מבצעים גביה מיידית אך הכנסות נדחות-ישראל זקוקה לכסף.</t>
  </si>
  <si>
    <t>estimation of tax liabilty</t>
  </si>
  <si>
    <t>סך של 1/3 מהוצאות מו"פ בשנת 2020 המוכרות לצורך 20א'</t>
  </si>
  <si>
    <t>מקדמות ששולמו 2021</t>
  </si>
  <si>
    <t>הפרשה למס אנגליה 2021</t>
  </si>
  <si>
    <t>As at December 31, 2020</t>
  </si>
  <si>
    <t>Due BCG's 2nd installment</t>
  </si>
  <si>
    <t>US215000469</t>
  </si>
  <si>
    <t>10.2021</t>
  </si>
  <si>
    <t>Tata Consultancy Services - Qantas</t>
  </si>
  <si>
    <t>2500041-1</t>
  </si>
  <si>
    <t>מס הכנסה 2020</t>
  </si>
  <si>
    <t>GP Bonus</t>
  </si>
  <si>
    <t>Atea AS (Norway)</t>
  </si>
  <si>
    <t>dartalis s.a</t>
  </si>
  <si>
    <t>Licencias On Line S.A.</t>
  </si>
  <si>
    <t>Alexandr Shakhlevich</t>
  </si>
  <si>
    <t>Rag London Ltd. - Client Account</t>
  </si>
  <si>
    <t>LANDMARK</t>
  </si>
  <si>
    <t>Henderson Scott</t>
  </si>
  <si>
    <t>תשלום ע"ח מס אנגליה 2020</t>
  </si>
  <si>
    <t>בונוס /עמלות שיווק (SDR)</t>
  </si>
  <si>
    <t>החזר הוצאות שיווק (SDR)</t>
  </si>
  <si>
    <t>יעוץ Alexandr Shakhlevich</t>
  </si>
  <si>
    <t>תג-נאור בע"מ</t>
  </si>
  <si>
    <t>Stern IT</t>
  </si>
  <si>
    <t>שורש הטבע</t>
  </si>
  <si>
    <t>רופטופ פרטנרס בע"מ</t>
  </si>
  <si>
    <t>Belisoft International</t>
  </si>
  <si>
    <t>Arrow Electronics INC</t>
  </si>
  <si>
    <t>Amsalem business travel priate</t>
  </si>
  <si>
    <t>SalesLoft, Inc.</t>
  </si>
  <si>
    <t>10/20201</t>
  </si>
  <si>
    <t>State Compensation Insurance Fund - SCIF</t>
  </si>
  <si>
    <t>GuidePoint Security, LLC</t>
  </si>
  <si>
    <t>NASCAR Enterprises, LLC</t>
  </si>
  <si>
    <t>Kayne Anderson Capital Advisors</t>
  </si>
  <si>
    <t>Payentry</t>
  </si>
  <si>
    <t>Wrap Stars Graphics</t>
  </si>
  <si>
    <t>All American Entertainment</t>
  </si>
  <si>
    <t>Taylor Strickland</t>
  </si>
  <si>
    <t>Dan Sanniti CAD</t>
  </si>
  <si>
    <t>Jason McFadyen</t>
  </si>
  <si>
    <t>Roger Sonsta</t>
  </si>
  <si>
    <t>PS Delivery Flight</t>
  </si>
  <si>
    <t>PS Delivery Hotels Abroad</t>
  </si>
  <si>
    <t>PS Delivery  Perdium Abroad</t>
  </si>
  <si>
    <t>PS Delivery Transportation Abroad</t>
  </si>
  <si>
    <t>PS Delivery  Business Events/Meals</t>
  </si>
  <si>
    <t>6011005-1</t>
  </si>
  <si>
    <t>Paid Vacation Customer Focus CAD</t>
  </si>
  <si>
    <t>Recruiting Sales Americas</t>
  </si>
  <si>
    <t>Dental &amp; Vision Sales Americas</t>
  </si>
  <si>
    <t>Sales Other exp. Abroad East</t>
  </si>
  <si>
    <t>Taxation - NJ</t>
  </si>
  <si>
    <t>Taxation - VA</t>
  </si>
  <si>
    <t>GP Commission</t>
  </si>
  <si>
    <t>הגיש חשבוניות עכשיו רטרו.</t>
  </si>
  <si>
    <t>הפרשים נובעים בעיקר מכך שלא לקחתי בחשבון את ה- Minmum Guarantee, טורבן ולארס לא היו זכאים לעמלה,</t>
  </si>
  <si>
    <t>עמלות Alexandr Shakhlevich</t>
  </si>
  <si>
    <t>שוטף - אחת לחודש או חודשיים</t>
  </si>
  <si>
    <t>בעקבות תשלום העמלות</t>
  </si>
  <si>
    <t>STOREALLIANCE</t>
  </si>
  <si>
    <t>הפרשה מיותרת - העמלה של מארק הנרי קוזזה לו מהמקדמות.</t>
  </si>
  <si>
    <t>חידוש חשבונית UK218000188 הוא כעת כ- Subscription + שירות של חשבונית UK208000262 הסתייך אך החידוש נמצא במו"מ.</t>
  </si>
  <si>
    <t>R.K options exercised</t>
  </si>
  <si>
    <t>M.K.A options exercised</t>
  </si>
  <si>
    <t>Jason.M option exercised</t>
  </si>
  <si>
    <t>L.G options exercised</t>
  </si>
  <si>
    <t>Eli.S options exercised</t>
  </si>
  <si>
    <t>חידוש של חשבונית US205000403 נעשה בנובמבר (הסתיים בספטמבר) השפעה של כ- 10 אלף דולר,  US205000401 טרם חודש - כ- 5 אל"ד, חידושים בסכומים נמוכים יותר: US205000349, US205000350</t>
  </si>
  <si>
    <t>Kesley Beasley Joined 01.10.21</t>
  </si>
  <si>
    <t>A A P L &amp; Associates</t>
  </si>
  <si>
    <t>מקדמה לעובד</t>
  </si>
  <si>
    <t xml:space="preserve"> https://www.fbil.org.in/#/home</t>
  </si>
  <si>
    <t>לסגור מול החו"ז במידת הצורך בסוף שנה.</t>
  </si>
  <si>
    <t>Amiviz - Saudia</t>
  </si>
  <si>
    <t>Audit Q4.2021 accrual update</t>
  </si>
  <si>
    <t>Alexandr Shakhlevich MBO</t>
  </si>
  <si>
    <t>תשלום ביתר, מס הכנסה צריכים להחזיר לנו את ההפרש.</t>
  </si>
  <si>
    <r>
      <t>Jason McFadyen left October 1</t>
    </r>
    <r>
      <rPr>
        <vertAlign val="superscript"/>
        <sz val="11"/>
        <color rgb="FFFF0000"/>
        <rFont val="Arial"/>
        <family val="2"/>
      </rPr>
      <t>st</t>
    </r>
    <r>
      <rPr>
        <sz val="11"/>
        <color rgb="FFFF0000"/>
        <rFont val="Arial"/>
        <family val="2"/>
      </rPr>
      <t>.</t>
    </r>
  </si>
  <si>
    <r>
      <t>James Miller last day was September 30</t>
    </r>
    <r>
      <rPr>
        <vertAlign val="superscript"/>
        <sz val="11"/>
        <color rgb="FFFF0000"/>
        <rFont val="Arial"/>
        <family val="2"/>
      </rPr>
      <t>th</t>
    </r>
  </si>
  <si>
    <t>כולל הוצאות תפעוליות של המשרד המקומי שמטפל בתיק של Lars.</t>
  </si>
  <si>
    <t xml:space="preserve">ספק DG CONSULTANS אירוע באוקטובר - </t>
  </si>
  <si>
    <t>חודש קודם נשרשנו לשלם על הוצאות שלא היה ידוע לנו לגביהן + כולל עלויות SPONSOR כלומר עלויות העסקה ראשוניות.</t>
  </si>
  <si>
    <t>REINHARD טיסות נסיעות מלון לכנס</t>
  </si>
  <si>
    <t>ANDREW ROSSITER</t>
  </si>
  <si>
    <t>ביטול הפרשות של אלכסנדר</t>
  </si>
  <si>
    <t>424 רל בע"מ</t>
  </si>
  <si>
    <t>יו איי-הנדסת אנוש בע"מ</t>
  </si>
  <si>
    <t>בונוס Juan Ignacio</t>
  </si>
  <si>
    <t>חשבונית IL218000191 הופקה בספטמבר רטרו ממרץ.</t>
  </si>
  <si>
    <t xml:space="preserve">התאמות בגין ביקורת ניכויים 2016-2019 </t>
  </si>
  <si>
    <t>י.ב מ. ישראל בע"מ</t>
  </si>
  <si>
    <t>אוטופונט איי.פי.אס בע"מ</t>
  </si>
  <si>
    <t>מטריקס אי.טי אינטגרציה ותשתיות בע"מ</t>
  </si>
  <si>
    <t>המקדמות מורכבות מעיקול של מע"מ פברואר 2021 - לאחר הגשת דוח מס לשנת 2020 יבוצע החזר.</t>
  </si>
  <si>
    <t>Conga 11/21-10/22</t>
  </si>
  <si>
    <t>Gartner 10/21-3/22</t>
  </si>
  <si>
    <t>Gurock 1-12/22</t>
  </si>
  <si>
    <t>SalesLoft 7/21-6/22</t>
  </si>
  <si>
    <t>שירות לשרתים 12/21-11/22</t>
  </si>
  <si>
    <t>נעה פרץ וחנה הופמן עברו לעבוד אצלנו.</t>
  </si>
  <si>
    <t>פסק חדש אוטומט איט</t>
  </si>
  <si>
    <t>חודש קודם ניווי גבוה</t>
  </si>
  <si>
    <t>התן ביס עלה ל- 1,000 שח בחודש</t>
  </si>
  <si>
    <t>מיקי וייזר עזבה.</t>
  </si>
  <si>
    <t>לאפס יתרה ב- AUD - מדובר ביתרה שצריכה להיות מנוהלת בדולר.</t>
  </si>
  <si>
    <t>BAD DEBTS EXP</t>
  </si>
  <si>
    <t>אלטשולר שחם</t>
  </si>
  <si>
    <t>שתי עובדות שחזרו מחל"ד</t>
  </si>
  <si>
    <t>חודש קודם היו רכיבי רכוש קבוע, גיוס עובדים ובונוס.</t>
  </si>
  <si>
    <t>חסר ניכוי מס במקור - מאיה תבקש שנית.</t>
  </si>
  <si>
    <t>תשלום לספק שחזר בבנק. ספק כרגע פעיל ולא פתוח.</t>
  </si>
  <si>
    <t>קיימת יתרה פתוחה מ- 2020, בבדיקה של שירי.</t>
  </si>
  <si>
    <t>11.2021</t>
  </si>
  <si>
    <t>Depreciation per Books</t>
  </si>
  <si>
    <t>Depreciation per Tax</t>
  </si>
  <si>
    <t>2020 Fix assets</t>
  </si>
  <si>
    <t>Disposals</t>
  </si>
  <si>
    <t>2021 Fix assets</t>
  </si>
  <si>
    <t>Depreciation Adjustment</t>
  </si>
  <si>
    <t>50% deductible</t>
  </si>
  <si>
    <t>50% non-deductible</t>
  </si>
  <si>
    <t>DEDUCTIBLE EXPENSE- # RECIPIENTS @ $25</t>
  </si>
  <si>
    <t>According PY</t>
  </si>
  <si>
    <t>nondeductible gifts</t>
  </si>
  <si>
    <t>Disallowed expense</t>
  </si>
  <si>
    <t>2020 disallowed expense, to be allowed on 2021 tax return</t>
  </si>
  <si>
    <t>Offset by 606 prepaid commission</t>
  </si>
  <si>
    <t>2021 accrued expense</t>
  </si>
  <si>
    <t>paid by 3/15/2022</t>
  </si>
  <si>
    <t>accrued expenses disallowed on 2021 tax return</t>
  </si>
  <si>
    <t>Commissions &amp; Bonus 2021</t>
  </si>
  <si>
    <t>Vacation 2021</t>
  </si>
  <si>
    <t>Accrued Expenses</t>
  </si>
  <si>
    <t>paid by 3/15/2021 (or 9/15/20)</t>
  </si>
  <si>
    <t>Accrued expenses emp. related</t>
  </si>
  <si>
    <t>Interest to founder</t>
  </si>
  <si>
    <t>Interest reported on 1042</t>
  </si>
  <si>
    <t>interest to disallow</t>
  </si>
  <si>
    <t>Interest of Founders</t>
  </si>
  <si>
    <t>GILTI Income</t>
  </si>
  <si>
    <t>Sec 250 Deduction</t>
  </si>
  <si>
    <t>Foreign Tax Credit</t>
  </si>
  <si>
    <t>Delaware Tax (not based on income)</t>
  </si>
  <si>
    <t>Federal Income Tax</t>
  </si>
  <si>
    <t>11/20201</t>
  </si>
  <si>
    <t>31/01/21</t>
  </si>
  <si>
    <t>28/02/21</t>
  </si>
  <si>
    <t>16/03/21</t>
  </si>
  <si>
    <t>31/12/20</t>
  </si>
  <si>
    <t>31/03/21</t>
  </si>
  <si>
    <t>15/04/21</t>
  </si>
  <si>
    <t>29/04/21</t>
  </si>
  <si>
    <t>30/04/21</t>
  </si>
  <si>
    <t>31/05/21</t>
  </si>
  <si>
    <t>30/06/21</t>
  </si>
  <si>
    <t>19/07/21</t>
  </si>
  <si>
    <t>31/07/21</t>
  </si>
  <si>
    <t>31/08/21</t>
  </si>
  <si>
    <t>30/09/21</t>
  </si>
  <si>
    <t>31/10/21</t>
  </si>
  <si>
    <t>30/11/21</t>
  </si>
  <si>
    <t>31/12/21</t>
  </si>
  <si>
    <t>20/05/21</t>
  </si>
  <si>
    <t>28/05/21</t>
  </si>
  <si>
    <t>18/06/21</t>
  </si>
  <si>
    <t>28/06/21</t>
  </si>
  <si>
    <t>29/06/21</t>
  </si>
  <si>
    <t>14/07/21</t>
  </si>
  <si>
    <t>21/07/21</t>
  </si>
  <si>
    <t>27/07/21</t>
  </si>
  <si>
    <t>25/09/21</t>
  </si>
  <si>
    <t>22/09/21</t>
  </si>
  <si>
    <t>15/10/21</t>
  </si>
  <si>
    <t>Sodexo SVC India Private Limited</t>
  </si>
  <si>
    <t>IGST Input RCM</t>
  </si>
  <si>
    <t>IGST Output Tax Payable RCM</t>
  </si>
  <si>
    <t>GST Refund</t>
  </si>
  <si>
    <t>IGST Output@18%</t>
  </si>
  <si>
    <t>2500006-1</t>
  </si>
  <si>
    <t>2500007-1</t>
  </si>
  <si>
    <t>מע"מ עסקאות בגין הפקת חשבונית בינחברתית- מקוזז על ידי כרטיס 200006-1</t>
  </si>
  <si>
    <t>מע"מ תשומות בגין הפקת חשבונית בינחברתית - מקוזז על ידי כרטיס 200007-1</t>
  </si>
  <si>
    <t>NTT New Zealand Limited</t>
  </si>
  <si>
    <t>Telstra Corporation Limited</t>
  </si>
  <si>
    <t>מדווח על בסיס מזומן אחת לרבעון - יתכן ובעתיד נעבור לדיווח על בסיס מצטבר היות ובאוסטרליה חברות עם מעל 10 מיליון דולר הכנסות צריכות לעשות דיווח על בסיס מצטבר.</t>
  </si>
  <si>
    <t>Clsoe of audit 2020 accrual</t>
  </si>
  <si>
    <t>Soniya Graphics</t>
  </si>
  <si>
    <t>2500003-1</t>
  </si>
  <si>
    <t>CGST Input @2.5%</t>
  </si>
  <si>
    <t>2500005-1</t>
  </si>
  <si>
    <t>SGST Input @2.5%</t>
  </si>
  <si>
    <t>Supplies for the Office and Meetings</t>
  </si>
  <si>
    <t xml:space="preserve">Ved Jain &amp; Associates 9.2021 +  שירותים נלווים שטרם חויבנו עליהם במרץ ויוני </t>
  </si>
  <si>
    <t>בנק לאומי ליש"ט 522600/83</t>
  </si>
  <si>
    <t>Bynet Data Communications ltd</t>
  </si>
  <si>
    <t>10Secure Infinity Information Security Ltd.</t>
  </si>
  <si>
    <t>Exclusive Networks Singapore</t>
  </si>
  <si>
    <t>בולי בלון-אלבז חנניה</t>
  </si>
  <si>
    <t>פרחי עירית</t>
  </si>
  <si>
    <t>פ.ר אמיה יועצים בע"מ</t>
  </si>
  <si>
    <t>קפסולה שיווק יצירתי</t>
  </si>
  <si>
    <t>פודקאסטיקו</t>
  </si>
  <si>
    <t>טבסקו החזקות בע"מ</t>
  </si>
  <si>
    <t>אינסנטיבס סולושיינס</t>
  </si>
  <si>
    <t>טל קלומק</t>
  </si>
  <si>
    <t>מתוקו ת"א</t>
  </si>
  <si>
    <t>אלגד פיצה בע"מ</t>
  </si>
  <si>
    <t>NCC Group</t>
  </si>
  <si>
    <t>Contacta</t>
  </si>
  <si>
    <t>ניכוי במקור מספקים</t>
  </si>
  <si>
    <t>שונות בחו"ל PS Delivery</t>
  </si>
  <si>
    <t xml:space="preserve">IC reclass </t>
  </si>
  <si>
    <t>הצגה בנטו - הודו</t>
  </si>
  <si>
    <t>Comm. On-Hold reverse - V. Singh</t>
  </si>
  <si>
    <t>Private Protocol Limited</t>
  </si>
  <si>
    <t>Orange Cyberdefense Sweden AB</t>
  </si>
  <si>
    <t>SPIE ICS AG</t>
  </si>
  <si>
    <t>Integrity Partners Sp zo.o</t>
  </si>
  <si>
    <t>Orange Cyberdefense Germany GmbH</t>
  </si>
  <si>
    <t>Conscia Danmark A/S</t>
  </si>
  <si>
    <t>Ingram Micro DOO Beograd</t>
  </si>
  <si>
    <t>IBM Luxembourg S.a.r.l.</t>
  </si>
  <si>
    <t>QBS Software Ltd</t>
  </si>
  <si>
    <t>מע"מ חו"ז HMRC</t>
  </si>
  <si>
    <t>יעוץ AmiViz Sales</t>
  </si>
  <si>
    <t>עמלות AmiViz Sales</t>
  </si>
  <si>
    <t>החזר הוצאות Payrollplus</t>
  </si>
  <si>
    <t>יעוץ AmiViz SE</t>
  </si>
  <si>
    <t>יעוץ Gert De Wever</t>
  </si>
  <si>
    <t>עמלות Gert De Wever</t>
  </si>
  <si>
    <t>Handled by Paul. According to the customer, payment is in process</t>
  </si>
  <si>
    <t>הפרשה בחסר לעמלות של Jan-Bart רוחבי בשלב ראשון עמד על 41 אלף יורו וכעת מעודכן על 49 אלף יורו.</t>
  </si>
  <si>
    <t>Ahmed Taleb Al-Nahdi</t>
  </si>
  <si>
    <t>Elsayed Elsharkawy Lasheen</t>
  </si>
  <si>
    <t>Insight Technology Solutions SAS</t>
  </si>
  <si>
    <t>SHI International SAS</t>
  </si>
  <si>
    <t>MMCI</t>
  </si>
  <si>
    <t>850.עלות המכר</t>
  </si>
  <si>
    <t>סוציאליות</t>
  </si>
  <si>
    <t>The Depository Trust and Clearing Corporation</t>
  </si>
  <si>
    <t>Morgan Stanley</t>
  </si>
  <si>
    <t>Eversource Energy Service Co</t>
  </si>
  <si>
    <t>iON United, Inc</t>
  </si>
  <si>
    <t>Samsung America</t>
  </si>
  <si>
    <t>Red River Technology LLC</t>
  </si>
  <si>
    <t>Adventus 360 Inc</t>
  </si>
  <si>
    <t>Logicalis Inc.</t>
  </si>
  <si>
    <t>Samaritan Ministries International</t>
  </si>
  <si>
    <t>MK TAX Ltd</t>
  </si>
  <si>
    <t>Shelton Michael</t>
  </si>
  <si>
    <t>Liability sales tax due MA</t>
  </si>
  <si>
    <t>Marketing Customer Activity</t>
  </si>
  <si>
    <t>Sales Americas Flights</t>
  </si>
  <si>
    <t>Sales Americas Hotels</t>
  </si>
  <si>
    <t>Sales Americas Perdium</t>
  </si>
  <si>
    <t>Sales Americas Transportaion</t>
  </si>
  <si>
    <t>Sales Americas Business Meals with Customers</t>
  </si>
  <si>
    <t>Sales Americas Events/ Meals with Employees</t>
  </si>
  <si>
    <t>Computer Maintenance</t>
  </si>
  <si>
    <t xml:space="preserve">
Handled by Markus. According to the customer, payment is in process</t>
  </si>
  <si>
    <t>NETWORKS-Paid Amex</t>
  </si>
  <si>
    <t>Levy Cohen &amp; Co.</t>
  </si>
  <si>
    <t>2020 audit provision reverse</t>
  </si>
  <si>
    <t>Eyal.S options exercised</t>
  </si>
  <si>
    <t>M.B options exercised</t>
  </si>
  <si>
    <t>Mohamed M exercised opti</t>
  </si>
  <si>
    <t>Liad G exercised options</t>
  </si>
  <si>
    <t>Dania B.P exercised opti</t>
  </si>
  <si>
    <t>Matan M options exercise</t>
  </si>
  <si>
    <t>US205000433 - 10K חשבונית חידוש הופקה בדצמבר, US205000436 - 14k שירות הסתיים והחידוש עדיין במו"מ, US205000465 16k חשבונית חידוש הופקה בדצמבר,</t>
  </si>
  <si>
    <t>Brandon Wong Joined 25th of October.</t>
  </si>
  <si>
    <t>Jeff Litman Joined</t>
  </si>
  <si>
    <t>Merrit Willson Joined</t>
  </si>
  <si>
    <r>
      <t>Maceo Wattley moved from Training to Sales Corporate effective November 1</t>
    </r>
    <r>
      <rPr>
        <vertAlign val="superscript"/>
        <sz val="11"/>
        <color rgb="FF00B0F0"/>
        <rFont val="Calibri"/>
        <family val="2"/>
      </rPr>
      <t>st</t>
    </r>
    <r>
      <rPr>
        <sz val="11"/>
        <color rgb="FF00B0F0"/>
        <rFont val="Calibri"/>
        <family val="2"/>
      </rPr>
      <t>.</t>
    </r>
  </si>
  <si>
    <r>
      <t>Jennifer Castner left effective October 29</t>
    </r>
    <r>
      <rPr>
        <vertAlign val="superscript"/>
        <sz val="11"/>
        <color rgb="FF00B0F0"/>
        <rFont val="Calibri"/>
        <family val="2"/>
      </rPr>
      <t>th</t>
    </r>
  </si>
  <si>
    <t>Matthew McConaughey engagement - Virtual</t>
  </si>
  <si>
    <t>אוליביר עבר למחלקת מכירות.</t>
  </si>
  <si>
    <t>CYMPIRE LTD</t>
  </si>
  <si>
    <t>Google</t>
  </si>
  <si>
    <t>Stoplight</t>
  </si>
  <si>
    <t>Payment will be made by end of December 2021</t>
  </si>
  <si>
    <t>פופקו</t>
  </si>
  <si>
    <t>Refine Labs LLC</t>
  </si>
  <si>
    <t>בונוס ו- Alexandre Alves MBO</t>
  </si>
  <si>
    <t>OKTOPOST</t>
  </si>
  <si>
    <t>YWORKS 10/21-10/23</t>
  </si>
  <si>
    <t>ביטוח 12/21-11/22</t>
  </si>
  <si>
    <t>חוזה שירות שנתי 2022</t>
  </si>
  <si>
    <t>רשיון 11/21-11/22</t>
  </si>
  <si>
    <t>דובל</t>
  </si>
  <si>
    <t xml:space="preserve">Facebook </t>
  </si>
  <si>
    <t xml:space="preserve">ניוווי </t>
  </si>
  <si>
    <t>פדקס</t>
  </si>
  <si>
    <t>Joined: Eyal Hazi, Shoval Habas, Avishai Attia</t>
  </si>
  <si>
    <t>עליה בשירותי זיו האפט</t>
  </si>
  <si>
    <t>קיטון בשירותי אוטומט איט</t>
  </si>
  <si>
    <t>נובמבר פרויקט הקמה אינסנטיבס סולושיינס</t>
  </si>
  <si>
    <t>פרסי אלגומניה, ישרוטל.</t>
  </si>
  <si>
    <t>עליה בשירותי לינקדין</t>
  </si>
  <si>
    <t>בנק שעות אשר - מרקומיט</t>
  </si>
  <si>
    <t>מייק א פוינט בע"מ</t>
  </si>
  <si>
    <t>עובד עזב.</t>
  </si>
  <si>
    <t>מאיה ואביטל.</t>
  </si>
  <si>
    <t>חיוב כפול על חשבון מאיה.</t>
  </si>
  <si>
    <t>נסיעות לחו"ל בלבד</t>
  </si>
  <si>
    <t>העמסת שכר</t>
  </si>
  <si>
    <t>שכר דירה ואחזקת משרד - מועמס על כל המחלקות</t>
  </si>
  <si>
    <t>הוצאות שונות - מועמס על כל המחלקות</t>
  </si>
  <si>
    <t xml:space="preserve"> ארוח מתנות וכיבודים - מועמס על כל המחלקות</t>
  </si>
  <si>
    <t>לוודא שעמלות ל- SDRים נרשם בכרטיס MBO 7010002 ולא בכרטיס בונוסים רגיל.</t>
  </si>
  <si>
    <t>קיימת תקרה רבעונית להפרשות ולכן אין צורך להפריש לסוציאליות כאשר קיימות עמלות On-hold שצפוי שישולמו שלא ברבעון.</t>
  </si>
  <si>
    <t>12.2021</t>
  </si>
  <si>
    <t>12/20201</t>
  </si>
  <si>
    <t>AR due UK218000427</t>
  </si>
  <si>
    <t>מאזן בוחן נכון ל-31/12/2021 הופק 09/01/2022</t>
  </si>
  <si>
    <t>Arrow ECS Australia Pty Limited</t>
  </si>
  <si>
    <t>Tech Mahindra Internal Corporate IT</t>
  </si>
  <si>
    <t>One time vendor - AUD</t>
  </si>
  <si>
    <t>As at December 31, 2021</t>
  </si>
  <si>
    <t>Depriciation Q4.21</t>
  </si>
  <si>
    <t>לבדוק תאריך משלוח רשיונות.</t>
  </si>
  <si>
    <t>לכאורה יש קיטון עקב חשבונית AU420600088 - היות וזיהינו שיש טעות בפריסה שלה כבר בעת הפקתה הרצנו תיקון כנגד כרטיס 80103-1 ולכן יש להסתכל בניתוח האנליטי על שני הכרטיסים יחד כדי לראות את ההשפעה על קבוצה 400.</t>
  </si>
  <si>
    <t>IL218000293</t>
  </si>
  <si>
    <t>UK218000428</t>
  </si>
  <si>
    <t>US215000637</t>
  </si>
  <si>
    <t>Delivered in January.</t>
  </si>
  <si>
    <t>מאזן בוחן 31/12/2021 הופק 12/01/2022</t>
  </si>
  <si>
    <t>Audit 2021 update</t>
  </si>
  <si>
    <t>Audit 2021 update according actual 2020</t>
  </si>
  <si>
    <t>Accounting Fees - Honoraires Comptables</t>
  </si>
  <si>
    <t>Creditors Short Term - Fournisseurs</t>
  </si>
  <si>
    <t>חודש קודם סוציאליות בגין עמלה.</t>
  </si>
  <si>
    <t>M&amp;S due inv. FR421600046</t>
  </si>
  <si>
    <t>Trade Debtors - Clients</t>
  </si>
  <si>
    <t>חשבונית CA-CIB_SHI_AFA_174CL_Product הופקה רק עם ה- Product כאשר ה- Support הופקה ב- 2022.</t>
  </si>
  <si>
    <t>OLIVE COMMUNICATIONS</t>
  </si>
  <si>
    <t>IT Payroll</t>
  </si>
  <si>
    <t>Consulting IT India</t>
  </si>
  <si>
    <t>מאזן בוחן 31/12/2021 הופק 17/01/2022</t>
  </si>
  <si>
    <t>IT</t>
  </si>
  <si>
    <t>Krest Facilitators Private Limited</t>
  </si>
  <si>
    <t>Bharti Airtel LTD</t>
  </si>
  <si>
    <t>Reliance General Insurance Co. Ltd.</t>
  </si>
  <si>
    <t>AAPL - Office rent services Oct to Dec 2021</t>
  </si>
  <si>
    <t>FAS123 - Q4</t>
  </si>
  <si>
    <t>FAS 123 Q4.2021</t>
  </si>
  <si>
    <t>מדווח ומתקבל לאחר סיום הגשת דוחות המס.</t>
  </si>
  <si>
    <t>לוודא שההודים אכן פתחו כרטיס זהה.</t>
  </si>
  <si>
    <t>Reclass</t>
  </si>
  <si>
    <t>Reclass HR consulting 12.2021</t>
  </si>
  <si>
    <t>FAS123 - Q4.2021</t>
  </si>
  <si>
    <t>MBO Provision Q4 2021</t>
  </si>
  <si>
    <t>One time bonus 2021</t>
  </si>
  <si>
    <t>מאזן בוחן 31/12/2021 הופק 19/01/2022</t>
  </si>
  <si>
    <t>Secure Source Distribution (M) Sdn Bhd</t>
  </si>
  <si>
    <t>Exclusive Networks Malaysia Sdn Bhd</t>
  </si>
  <si>
    <t>AMIVIZ DMCC</t>
  </si>
  <si>
    <t>228433-1</t>
  </si>
  <si>
    <t>VAB Solutions</t>
  </si>
  <si>
    <t>DATAKOM GmbH</t>
  </si>
  <si>
    <t>Ericsson Nikola Tesla d.d</t>
  </si>
  <si>
    <t>NetDesign A/S</t>
  </si>
  <si>
    <t>Tieto Finland Oy</t>
  </si>
  <si>
    <t>Orange Cyberdefense Netherlands B.V</t>
  </si>
  <si>
    <t>equensWorldline SE</t>
  </si>
  <si>
    <t>Orange Cyberdefense UK Ltd</t>
  </si>
  <si>
    <t>Orange Business Germany GmbH</t>
  </si>
  <si>
    <t>Telindus-ISIT B.V.</t>
  </si>
  <si>
    <t>STEMMER</t>
  </si>
  <si>
    <t>החזר הוצאות Sweden</t>
  </si>
  <si>
    <t>החזר הוצאות AmiViz</t>
  </si>
  <si>
    <t>החזר הוצאות Gert De Wever</t>
  </si>
  <si>
    <t>החזר הוצאות Netherlands</t>
  </si>
  <si>
    <t>FAS 123 Q4</t>
  </si>
  <si>
    <t>insurance</t>
  </si>
  <si>
    <t>Twenty Three Aps Q4/21</t>
  </si>
  <si>
    <t>Office box</t>
  </si>
  <si>
    <t>הכנסות בגין שירותי PS שניתנו וטרם הופקה בגינם חשבונית (מטעמי שמרנות לוקחים רק 50%) + לשערך ידנית אחת לרבעון בהתאם למטבע</t>
  </si>
  <si>
    <t>Europe - USD</t>
  </si>
  <si>
    <t>Depriciation Q4.2021</t>
  </si>
  <si>
    <t>Deferred taxes:</t>
  </si>
  <si>
    <t>FA</t>
  </si>
  <si>
    <t>2022</t>
  </si>
  <si>
    <t>2023-2024</t>
  </si>
  <si>
    <t>שיעור המס הצפוי החלך משנת 2023 באנגליה.</t>
  </si>
  <si>
    <t>Share based comp.</t>
  </si>
  <si>
    <t>Deferred taxes</t>
  </si>
  <si>
    <t>Opening balance</t>
  </si>
  <si>
    <t>מעודכן אחת לשנה - רשויות המס לא מכירות באופציות למעט כאשר עובד עוזב או בעת אקזיט + רכוש קבוע.</t>
  </si>
  <si>
    <t>RAG Vat and payroll Q4.2021</t>
  </si>
  <si>
    <t>Aidan Hernandez</t>
  </si>
  <si>
    <t>לציין באסמכתא: UK218000428</t>
  </si>
  <si>
    <t>NEW2</t>
  </si>
  <si>
    <t>Withholding Tax-sepcial UK-2021</t>
  </si>
  <si>
    <t>WHT Secial UK</t>
  </si>
  <si>
    <t>WHT Special UK</t>
  </si>
  <si>
    <t>WHT</t>
  </si>
  <si>
    <t xml:space="preserve">According to TP - 2.5% belongs to UK </t>
  </si>
  <si>
    <t>Emp. Left - FAS123</t>
  </si>
  <si>
    <t>31/12/2021</t>
  </si>
  <si>
    <t>Bezeq Intl</t>
  </si>
  <si>
    <t>TrustNet</t>
  </si>
  <si>
    <t>Perion Solution Co., Ltd</t>
  </si>
  <si>
    <t>ScanSource Brasil Distribuidora de Tecnologias L</t>
  </si>
  <si>
    <t>Tech Mahindra (Singapore) Pte Ltd</t>
  </si>
  <si>
    <t>יורם זר,עורך פטנטים</t>
  </si>
  <si>
    <t>נט משאבי אנוש 2015 בע"מ</t>
  </si>
  <si>
    <t>ארטייסט אירועים בע"מ</t>
  </si>
  <si>
    <t>סבאן אושרי - שירותי צילום</t>
  </si>
  <si>
    <t>אלכסנדר שניידר איי טי בע"מ</t>
  </si>
  <si>
    <t>לוק אנד ליסן</t>
  </si>
  <si>
    <t>Technically Funny</t>
  </si>
  <si>
    <t>Everpost, Inc</t>
  </si>
  <si>
    <t>מסימיליאנו</t>
  </si>
  <si>
    <t>Claude Massey</t>
  </si>
  <si>
    <t>לוטם אסטרטגיות לפיתוח ארגונים בע“מ</t>
  </si>
  <si>
    <t>חשבים ה.פ.ס מידע עסקי בע"מ</t>
  </si>
  <si>
    <t>מאגרי תוכנה בע"מ</t>
  </si>
  <si>
    <t>ויילד ציילד</t>
  </si>
  <si>
    <t>אולדיס פנקייק בר רעננה</t>
  </si>
  <si>
    <t>סער טכנולוגיות - ISTORE</t>
  </si>
  <si>
    <t>MadCap Software, Inc</t>
  </si>
  <si>
    <t>Kovai</t>
  </si>
  <si>
    <t>עודפות 2021</t>
  </si>
  <si>
    <t>Employee training</t>
  </si>
  <si>
    <t>פרויקט תמיכה תובנות בחינוך</t>
  </si>
  <si>
    <t>שכר-גילום הטבות כללי חובה</t>
  </si>
  <si>
    <t>שכר-גילום הטבות כללי זכות</t>
  </si>
  <si>
    <t>הכנסות מראש (קיטון מהלקוחות) לקוחות בזכות</t>
  </si>
  <si>
    <t>215.ספקים -אחר</t>
  </si>
  <si>
    <t>מיון לקוחות בזכות לספקים</t>
  </si>
  <si>
    <t>PS LT COMM Q4 2021</t>
  </si>
  <si>
    <t>Reversal of 21010218</t>
  </si>
  <si>
    <t>כולל היפוך של תנועה 21010218 - מדובר בחשבונית שהזיכוי שלה יצא לאחר החתך.</t>
  </si>
  <si>
    <t>CDW Logistics, Inc.</t>
  </si>
  <si>
    <t>First National Bank &amp; Trust</t>
  </si>
  <si>
    <t>Dell Marketing L.P</t>
  </si>
  <si>
    <t>NEP Supershooters LP</t>
  </si>
  <si>
    <t>Realop Investments</t>
  </si>
  <si>
    <t>People 2.0 North America LLC (Stanton House)</t>
  </si>
  <si>
    <t>EER GLOBAL (2018) Ltd</t>
  </si>
  <si>
    <t>Anthony Sequino</t>
  </si>
  <si>
    <t>Derek Huges</t>
  </si>
  <si>
    <t>Michael Doerrie-CAD</t>
  </si>
  <si>
    <t>Nasir Uddin</t>
  </si>
  <si>
    <t>Antonella Fusco</t>
  </si>
  <si>
    <t>Lee Howard</t>
  </si>
  <si>
    <t>Dan Whitehead</t>
  </si>
  <si>
    <t>Cianciotto Tony</t>
  </si>
  <si>
    <t>Cooper Erik</t>
  </si>
  <si>
    <t>Stroup Joshua</t>
  </si>
  <si>
    <t>Kelsey Beaszley</t>
  </si>
  <si>
    <t>Liability sales tax due PA</t>
  </si>
  <si>
    <t>FSA - Delivery</t>
  </si>
  <si>
    <t>DCA - Delivery</t>
  </si>
  <si>
    <t>Paid Vacation- Sales Corp</t>
  </si>
  <si>
    <t>Recruiting Finance/HR</t>
  </si>
  <si>
    <t>Life/STD/LTD insurance</t>
  </si>
  <si>
    <t>נפרע לאחר החתך</t>
  </si>
  <si>
    <t>מאזן בוחן 31/12/2021 Issued at 24/01/2022</t>
  </si>
  <si>
    <t>Issue with Ariba – couldn’t upload invoices. Asked Hanna’s help with support call</t>
  </si>
  <si>
    <t>Samaritan</t>
  </si>
  <si>
    <t>Waiting for payment confirmation</t>
  </si>
  <si>
    <t xml:space="preserve">Cindy is checking </t>
  </si>
  <si>
    <t>Asked Karen and Andrew to handle</t>
  </si>
  <si>
    <t xml:space="preserve">
Waiting for payment confirmation</t>
  </si>
  <si>
    <t>בבדיקה של מאיה SF מציג תשלום בעוד שב- Priority פתוח.</t>
  </si>
  <si>
    <t>להעביר + לבטל תנועה 21001062</t>
  </si>
  <si>
    <t>Lead Gen services</t>
  </si>
  <si>
    <t>להעביר - אסמכתא 1732 + לבטל תנועה 21001402</t>
  </si>
  <si>
    <t>Commision Q4.2021</t>
  </si>
  <si>
    <t>Comm. Q4.2021 on-hold</t>
  </si>
  <si>
    <t>Socials due commissions Q4.2021</t>
  </si>
  <si>
    <t>Commissions social exp (~42%)</t>
  </si>
  <si>
    <t>Socials due Comm. On hold Q4.2021</t>
  </si>
  <si>
    <t>Comm. On-hold social exp (~42%)</t>
  </si>
  <si>
    <t>OT bonus social exp (~42%)</t>
  </si>
  <si>
    <t>Socials due One Time bonus</t>
  </si>
  <si>
    <t>להעביר ולהפוך + מרכז רווח: EMEA</t>
  </si>
  <si>
    <t>Socials due one time bonus</t>
  </si>
  <si>
    <t>Social security from provision only - PS</t>
  </si>
  <si>
    <t>Social security due one time bonus</t>
  </si>
  <si>
    <t>YesLogic- R&amp;D CSO Licens</t>
  </si>
  <si>
    <t>Kyle W -Jan 2021 SKO</t>
  </si>
  <si>
    <t>Robert V -Jan 2021 SKO</t>
  </si>
  <si>
    <t>Cindy G-Jan 2021 SKO</t>
  </si>
  <si>
    <t>Lee H- SNS Jan/22-Dec 22</t>
  </si>
  <si>
    <t>Chris T SKO 2022</t>
  </si>
  <si>
    <t>Kelsey B -SKO Flight</t>
  </si>
  <si>
    <t>Tony C -Cancelled Flight</t>
  </si>
  <si>
    <t>Q4 Depriciation</t>
  </si>
  <si>
    <t xml:space="preserve">One time bonus </t>
  </si>
  <si>
    <t>Secure Vibes options</t>
  </si>
  <si>
    <t>Jan Bart S options</t>
  </si>
  <si>
    <t>Miki W Options exercised</t>
  </si>
  <si>
    <t>Avi H exercised options</t>
  </si>
  <si>
    <t>לבדוק מול כרטיס 3000001</t>
  </si>
  <si>
    <t xml:space="preserve">Sales - Americas EJ Easton, Kelsey Beasley, JEFF LITMAN, Thomas Didyk </t>
  </si>
  <si>
    <t>Hanna and Roberto Viggino</t>
  </si>
  <si>
    <t>Support due inv. US215000644</t>
  </si>
  <si>
    <t>Record and reverse on 01.01.2022</t>
  </si>
  <si>
    <t>קריאייטיב האוס גרופ בע"מ</t>
  </si>
  <si>
    <t>בוקטוק ייצוג וניהול אומנים</t>
  </si>
  <si>
    <t>אוטומט איט מלם תים בע"מ USD</t>
  </si>
  <si>
    <r>
      <t>Both Thomason Mark and Rob Busch left on November 12</t>
    </r>
    <r>
      <rPr>
        <vertAlign val="superscript"/>
        <sz val="11"/>
        <rFont val="Calibri"/>
        <family val="2"/>
      </rPr>
      <t>th</t>
    </r>
    <r>
      <rPr>
        <sz val="11"/>
        <rFont val="Calibri"/>
        <family val="2"/>
      </rPr>
      <t>. In addition, Merritt Wilson joined November 8</t>
    </r>
    <r>
      <rPr>
        <vertAlign val="superscript"/>
        <sz val="11"/>
        <rFont val="Calibri"/>
        <family val="2"/>
      </rPr>
      <t>th</t>
    </r>
  </si>
  <si>
    <t>Accounts Receivable Other.135</t>
  </si>
  <si>
    <t>הפסד צבור</t>
  </si>
  <si>
    <t>FAS 123 - Q4</t>
  </si>
  <si>
    <t>One time bonus socials</t>
  </si>
  <si>
    <t>Aha 12/21-12/22</t>
  </si>
  <si>
    <t>Cato VPN</t>
  </si>
  <si>
    <t>IntelliJ license</t>
  </si>
  <si>
    <t>Kovai 12/21-12/22</t>
  </si>
  <si>
    <t>MadCap 2022</t>
  </si>
  <si>
    <t>Storage support renewal</t>
  </si>
  <si>
    <t>Yearly 24\7 support</t>
  </si>
  <si>
    <t>אגרת מכון התקנים 2022</t>
  </si>
  <si>
    <t>דמי חבר 2022</t>
  </si>
  <si>
    <t>היי בוב 18.12.21-18.1.22</t>
  </si>
  <si>
    <t>ויזה - רינת פז</t>
  </si>
  <si>
    <t>זיכוי 22.12.21-22.1.21</t>
  </si>
  <si>
    <t>כ.טיסה- מיכל חורב</t>
  </si>
  <si>
    <t>כ.טיסה - אלירן אוניל</t>
  </si>
  <si>
    <t>כ.טיסה - ערן שיף</t>
  </si>
  <si>
    <t>כ.טיסה אשר בנבנישתי</t>
  </si>
  <si>
    <t>כ.טיסה יובל בראון</t>
  </si>
  <si>
    <t>כ.טיסה לירז גולדשטיין</t>
  </si>
  <si>
    <t>כ.טיסה מיכל דברת</t>
  </si>
  <si>
    <t>כ.טיסה רינת פז</t>
  </si>
  <si>
    <t>מאגרי תוכנה 12/21-12/22</t>
  </si>
  <si>
    <t>מנוי פריוריטי Q1/22</t>
  </si>
  <si>
    <t>רשיון לשנה- אואזיס</t>
  </si>
  <si>
    <t>שקלולית 3-12/22</t>
  </si>
  <si>
    <t xml:space="preserve">
    החברה מכינה תלוש ומעבירה לו את הכסף - Christoph Graf</t>
  </si>
  <si>
    <t>לבדוק האם בונוסים לבלרוס, פולין ואוקראינה כוללים בחשבונית העמסה של סוציאליות - במידה ולא אין צורך להוסיף.</t>
  </si>
  <si>
    <t>Switzerland - C. Graf/Payrollplus issues payslip for him</t>
  </si>
  <si>
    <t>הוצאות ביטוח לאומי מעביד - למאזן בלבד שיווק</t>
  </si>
  <si>
    <t>הוצאות ביטוח לאומי מעביד - למאזן בלבד Corp &amp; GA</t>
  </si>
  <si>
    <t>הוצאות ביטוח לאומי מעביד - למאזן בלבד HR</t>
  </si>
  <si>
    <t>הוצאות ביטוח לאומי מעביד - למאזן בלבד IT &amp; IS</t>
  </si>
  <si>
    <t>הוצאות ביטוח לאומי מעביד - למאזן בלבד מוצר</t>
  </si>
  <si>
    <t>NEW12</t>
  </si>
  <si>
    <t>הוצאות ביטוח לאומי מעביד - למאזן בלבד שירותים מקצועיים</t>
  </si>
  <si>
    <t>הוצאות ביטוח לאומי מעביד - למאזן בלבד Training</t>
  </si>
  <si>
    <t>הוצאות ביטוח לאומי מעביד - למאזן בלבד פיתוח</t>
  </si>
  <si>
    <t>One time Bonus socials</t>
  </si>
  <si>
    <t>אונבקאפ בע"מ</t>
  </si>
  <si>
    <t>מיון לרווח הון</t>
  </si>
  <si>
    <t>גריעת רכוש קבוע Q4.2021</t>
  </si>
  <si>
    <t>הנחה, מחשב נמכר בתמורה ל- 7 אש"ח + גריעה לפי FIFO:</t>
  </si>
  <si>
    <t>חמישה מחשבים שנמכרו ברבעון:</t>
  </si>
  <si>
    <t>פריט 784: 3 מחשבים בתמורה ל- 1,282 ש"ח + פריט 786: 2 מחשבים בתמורה ל- 855 ש"ח.</t>
  </si>
  <si>
    <t>פחת Q4.2021</t>
  </si>
  <si>
    <t>Anat Kleinmann</t>
  </si>
  <si>
    <t>Anastasiya Pauliuchuk</t>
  </si>
  <si>
    <t>איציק דנה, צח אורן, ויטלי לנדה + Sara Prager ו- Eyal Hazi במחצית השניה של נובמבר</t>
  </si>
  <si>
    <t>AWS Control Tower Projec</t>
  </si>
  <si>
    <t>היפוך הפרשה של AWS CONTROL TOWER כאשר הוצה נרשמת בכרטיס אחר אבל תחת אותו הסעיף.</t>
  </si>
  <si>
    <t>Semion Belkov</t>
  </si>
  <si>
    <t>היפוך הוצאות לשלם סקירה Q3 + דוח מס 2020</t>
  </si>
  <si>
    <t>Amit Streit</t>
  </si>
  <si>
    <t>USD/SGD</t>
  </si>
  <si>
    <t>עמלות Q4.2021</t>
  </si>
  <si>
    <t>Socials due commissions 2021</t>
  </si>
  <si>
    <t>עמלות On-Hold Q4.2021</t>
  </si>
  <si>
    <t>Commission On-hold</t>
  </si>
  <si>
    <t>Commissions Q4.2021</t>
  </si>
  <si>
    <t>Socials due comm. Q4.2021</t>
  </si>
  <si>
    <t>Socials due comm. On-hold</t>
  </si>
  <si>
    <t>Social security commissions</t>
  </si>
  <si>
    <t>Social security On-hold</t>
  </si>
  <si>
    <t xml:space="preserve">הוצאות עתודה לחופשה Q4 2021  </t>
  </si>
  <si>
    <t>Comm. Q4.2021</t>
  </si>
  <si>
    <t>Comm. Q4.2021 - On-Hold</t>
  </si>
  <si>
    <t>Comm Q4 2021</t>
  </si>
  <si>
    <t>Commission Q4.2021 Provision</t>
  </si>
  <si>
    <t>Comm. On-Hold Q4.2021</t>
  </si>
  <si>
    <t>IL218000241</t>
  </si>
  <si>
    <t>US215000574</t>
  </si>
  <si>
    <t>US215000564</t>
  </si>
  <si>
    <t>US215000647</t>
  </si>
  <si>
    <t xml:space="preserve">Product - deferred income due US215000647 </t>
  </si>
  <si>
    <t>תמחיר Q4 2021</t>
  </si>
  <si>
    <t>RECLASS TO A.E.</t>
  </si>
  <si>
    <t>Total for 21-22</t>
  </si>
  <si>
    <t>Income receivable due renewals</t>
  </si>
  <si>
    <t>Maintenance Reveneus Foreign Currency(old)</t>
  </si>
  <si>
    <t>בונוסים פולין - MOJA FIRMA</t>
  </si>
  <si>
    <t>בונוסים בלרוס - Belisoft International</t>
  </si>
  <si>
    <t>מאזן בוחן 31/12/2021  בהתאם ל- 02/01/2022</t>
  </si>
  <si>
    <t>כולל הוצאות מוכרות בגין קנסות והצמדות ביקורת ביטוח לאומי.</t>
  </si>
  <si>
    <t>קנסות</t>
  </si>
  <si>
    <t>Mohamed M options - correction</t>
  </si>
  <si>
    <t>Matan M options - Correction</t>
  </si>
  <si>
    <t>בניכוי הוצאות חופשה ופיצויים</t>
  </si>
  <si>
    <t>הפקדות לבעש"ט</t>
  </si>
  <si>
    <t>חלק ברווחי שותפות תושבת ההודית - 99% - דוח 31/03/2022 - שע"ח ממוצע לתקופה</t>
  </si>
  <si>
    <t>התאמה למחירי העברה [בגין הכנסות נדחות] - 2021 - MKT Prpjection</t>
  </si>
  <si>
    <t xml:space="preserve">החלק שיוכר מיידית  2020 - 89% - על בסיס  אישור מדען של 2020 </t>
  </si>
  <si>
    <t xml:space="preserve">נייר מופ מוכר 2019 </t>
  </si>
  <si>
    <t>הוצאות מו"פ שלא שולמו במזומן ב- 2020, השנה מוכרות</t>
  </si>
  <si>
    <t xml:space="preserve">הפרש הנובע מאישור המדען </t>
  </si>
  <si>
    <t>זיכוי בגין תשלום המס בגין תקופה 2021-22 - שע"ח ממוצע לתקופת הדוח בהודו</t>
  </si>
  <si>
    <t>ישראל</t>
  </si>
  <si>
    <t>ארה"ב</t>
  </si>
  <si>
    <t>אוסטרליה</t>
  </si>
  <si>
    <t>אירופה</t>
  </si>
  <si>
    <t>Australia - USD</t>
  </si>
  <si>
    <t>הודו</t>
  </si>
  <si>
    <t>הוצאות פחת:</t>
  </si>
  <si>
    <t>תוספות לרכוש קבוע:</t>
  </si>
  <si>
    <t>MBO 2021 Q4.2021</t>
  </si>
  <si>
    <t>Socials due MBO</t>
  </si>
  <si>
    <t>MBO social expenses (~42%)</t>
  </si>
  <si>
    <t xml:space="preserve">עתודה לפיצויים Q4 2021 </t>
  </si>
  <si>
    <t>Apoorv</t>
  </si>
  <si>
    <t>Nitin</t>
  </si>
  <si>
    <t>Gurinder</t>
  </si>
  <si>
    <t>Commissions Payable in 2023:</t>
  </si>
  <si>
    <t>לסגור מול מקדמות במידת הצורך.</t>
  </si>
  <si>
    <t xml:space="preserve">בתחילת 11.21 עובד עזב + חדש הצטרף בתחילת 12.21 + העלאות שכר בדצמבר </t>
  </si>
  <si>
    <t>סיים העסקה.</t>
  </si>
  <si>
    <t>עובד סיים בנובמר</t>
  </si>
  <si>
    <t>עובד חדש</t>
  </si>
  <si>
    <t>הגילום הקפיץ לכולן, בעיקר הגילום של דפנה עם המלון</t>
  </si>
  <si>
    <t>עדכון יעודה/עתודה לפיצויים - Q4 2021</t>
  </si>
  <si>
    <t>שכר לגילום</t>
  </si>
  <si>
    <t xml:space="preserve">חיוב ניכוי ביטוח לאומי </t>
  </si>
  <si>
    <t>SKATTEVERKET</t>
  </si>
  <si>
    <t>MBO 2021 update</t>
  </si>
  <si>
    <t>מרכזי רווח:</t>
  </si>
  <si>
    <t>MBO Update</t>
  </si>
  <si>
    <r>
      <t xml:space="preserve">מרכז רווח: </t>
    </r>
    <r>
      <rPr>
        <sz val="10"/>
        <rFont val="Arial"/>
        <family val="2"/>
      </rPr>
      <t>APAC</t>
    </r>
  </si>
  <si>
    <t>לא מהותי - 7,105 דולר</t>
  </si>
  <si>
    <t>MBO - Sales Americas</t>
  </si>
  <si>
    <t>Q4 2021</t>
  </si>
  <si>
    <t>Capitalization of Q4 21 comm - 606</t>
  </si>
  <si>
    <t>AMORTIZATION  of Q1-19 comm - 606 - Q4</t>
  </si>
  <si>
    <t>AMORTIZATION  of Q2-19 comm - 606 - Q4</t>
  </si>
  <si>
    <t>AMORTIZATION  of Q3-19 comm - 606 - Q4</t>
  </si>
  <si>
    <t>AMORTIZATION  of Q4-19 comm - 606 - Q4</t>
  </si>
  <si>
    <t>AMORTIZATION  of Q1 20 comm - 606 - Q4</t>
  </si>
  <si>
    <t>AMORTIZATION  of Q2 20 comm - 606 - Q4</t>
  </si>
  <si>
    <t>AMORTIZATION  of Q3 20 comm - 606 - Q4</t>
  </si>
  <si>
    <t>AMORTIZATION  of Q4 20 comm - 606 - Q4</t>
  </si>
  <si>
    <t>AMORTIZATION  of Q1 21 comm - 606 - Q4</t>
  </si>
  <si>
    <t>AMORTIZATION  of Q2 21 comm - 606 - Q4</t>
  </si>
  <si>
    <t>AMORTIZATION  of Q3 21 comm - 606 - Q4</t>
  </si>
  <si>
    <t>asc 606 - COMM old - amortization Q4</t>
  </si>
  <si>
    <t>asc 606- COMM Q1 2019 - amortization Q4</t>
  </si>
  <si>
    <t>asc 606- COMM Q2 2019 - amortization Q4</t>
  </si>
  <si>
    <t>asc 606- COMM Q3 2019 - amortization Q4</t>
  </si>
  <si>
    <t>asc 606 - COMM Q4 2019 - amortization Q4</t>
  </si>
  <si>
    <t>asc 606 - COMM Q1 2020 - amortization Q4</t>
  </si>
  <si>
    <t>asc 606 - COMM Q2 2020 - amortization Q4</t>
  </si>
  <si>
    <t>asc 606 - COMM Q3 2020 - amortization Q4</t>
  </si>
  <si>
    <t>asc 606 - COMM Q4 2020 - amortization Q4</t>
  </si>
  <si>
    <t>asc 606 - COMM Q1 2021 - amortization Q4</t>
  </si>
  <si>
    <t>asc 606 - COMM Q2 2021 - amortization Q4</t>
  </si>
  <si>
    <t>asc 606 - COMM Q3 2021 - amortization Q4</t>
  </si>
  <si>
    <t>Social due MBO</t>
  </si>
  <si>
    <t>Social security due MBO</t>
  </si>
  <si>
    <t>asc 606- COMM - Amort Q1 2019 - Q4</t>
  </si>
  <si>
    <t>asc 606- COMM - Amort Q2 2019 - Q4</t>
  </si>
  <si>
    <t>asc 606- COMM - Amort Q3 2019 - Q4</t>
  </si>
  <si>
    <t>asc 606- COMM - Amort Q4 2019 - Q4</t>
  </si>
  <si>
    <t>asc 606- COMM - Amort Q1 2020 - Q4</t>
  </si>
  <si>
    <t>asc 606- COMM - Amort Q2 2020 - Q4</t>
  </si>
  <si>
    <t>asc 606- COMM - Amort Q3 2020 - Q4</t>
  </si>
  <si>
    <t xml:space="preserve">asc 606- COMM - Amort Q4 2020 - Q4 </t>
  </si>
  <si>
    <t xml:space="preserve">asc 606- COMM - Amort Q1 2021- Q4 </t>
  </si>
  <si>
    <t xml:space="preserve">asc 606- COMM - Amort Q2 2021- Q4 </t>
  </si>
  <si>
    <t>asc 606- COMM - Amort OLD - Q4</t>
  </si>
  <si>
    <t xml:space="preserve">asc 606- COMM - Amort Q3 2021- Q4 </t>
  </si>
  <si>
    <t>ASC 606 amortization - CAPITAL Q1 2019 - Q4</t>
  </si>
  <si>
    <t>ASC 606 amortization - CAPITAL Q2 2019 - Q4</t>
  </si>
  <si>
    <t>ASC 606 amortization - CAPITAL Q3 2019 - Q4</t>
  </si>
  <si>
    <t>ASC 606 amortization - CAPITAL Q4 2019 - Q4</t>
  </si>
  <si>
    <t>ASC 606 amortization - CAPITAL Q1 2020 - Q4</t>
  </si>
  <si>
    <t>ASC 606 amortization - CAPITAL Q2 2020 - Q4</t>
  </si>
  <si>
    <t>ASC 606 amortization - CAPITAL Q3 2020 - Q4</t>
  </si>
  <si>
    <t>ASC 606 amortization - CAPITAL Q4 2020 - Q4</t>
  </si>
  <si>
    <t>ASC 606 amortization - CAPITAL Q1 2021 - Q4</t>
  </si>
  <si>
    <t>ASC 606 amortization - CAPITAL Q2 2021 - Q4</t>
  </si>
  <si>
    <t>ASC 606 amortization - CAPITAL Q3 2021 - Q4</t>
  </si>
  <si>
    <t>ASC 606  - Capitalization Q4 2021 comm</t>
  </si>
  <si>
    <t>ASC 606  - Capitalization Q2 2021</t>
  </si>
  <si>
    <t>היפוך בוצע לאחר תאריך המאזן במקום בתוך התאריך</t>
  </si>
  <si>
    <t>הוצ' מראש זמן ארוך</t>
  </si>
  <si>
    <t>מיון מהכנסות מראש בין חברתי TP</t>
  </si>
  <si>
    <t>מיון להכנסות מראש מז"ק לז"א TP LT</t>
  </si>
  <si>
    <t>80101-2</t>
  </si>
  <si>
    <t>הכנסות תחזוקה דולר (מועבר מהכנסות מראש)</t>
  </si>
  <si>
    <t>ניכוי מהעובדים לטובת קופת FSA (עובד שלא מנצל את זכות השימוש שלו מפסיד את הכסף והוא נשאר אצל אלגוסק).</t>
  </si>
  <si>
    <t>Long term liabilities.26*</t>
  </si>
  <si>
    <t>Long Term Deferred revenues.261</t>
  </si>
  <si>
    <t>Other Bonus SE East</t>
  </si>
  <si>
    <t>Def taxes update - Q4.21</t>
  </si>
  <si>
    <t>Neutralize forex+interest</t>
  </si>
  <si>
    <t>WHT via TP 2021</t>
  </si>
  <si>
    <t>Retroactive revaluation</t>
  </si>
  <si>
    <t>Cost Center: Americas</t>
  </si>
  <si>
    <t>Comm. Due min. guarantee - Cost Center: Americas</t>
  </si>
  <si>
    <t>MBO - SE Americas</t>
  </si>
  <si>
    <t>IC TP charge - previous years - to neutralize in 2021</t>
  </si>
  <si>
    <t>Transfer Pricing per IC Agreement - Previous Years - mngmnt fees paid in 2021</t>
  </si>
  <si>
    <t>tp previous years</t>
  </si>
  <si>
    <t>TP Invoice  Mngmnt fees</t>
  </si>
  <si>
    <t>Tax rate in 2021 : 21%</t>
  </si>
  <si>
    <t>Deena's file - projection for 2021</t>
  </si>
  <si>
    <t>TAX ADVANCE Q1+2+CREDIT TAX 2020</t>
  </si>
  <si>
    <t>Tax 2021</t>
  </si>
  <si>
    <t>NO ENTRY NEEDED</t>
  </si>
  <si>
    <t>9A</t>
  </si>
  <si>
    <t>Amortization Q4-2021 (for Capitalization up to Dec 31, 2018)</t>
  </si>
  <si>
    <t>Amortization Q4-2021 (for Capitalization Q1 2019)</t>
  </si>
  <si>
    <t>Amortization Q4-2021 (for Capitalization Q2 2019)</t>
  </si>
  <si>
    <t>Amortization Q4-2021 (for Capitalization Q3 2019)</t>
  </si>
  <si>
    <t>Amortization Q4-2021 (for Capitalization Q4 2019)</t>
  </si>
  <si>
    <t>Amortization Q4-2021 (for Capitalization Q1 2020)</t>
  </si>
  <si>
    <t>Amortization Q4-2021 (for Capitalization Q2 2020)</t>
  </si>
  <si>
    <t>Amortization Q4-2021 (for Capitalization Q3 2020)</t>
  </si>
  <si>
    <t>Amortization Q4-2021 (for Capitalization Q4 2020)</t>
  </si>
  <si>
    <t>Amortization Q4-2021 (for Capitalization Q2 2021)</t>
  </si>
  <si>
    <t>Amortization Q4-2021 (for Capitalization Q3 2021)</t>
  </si>
  <si>
    <t xml:space="preserve">Capitalization Q4 2021 commissions </t>
  </si>
  <si>
    <t>Bank management fees due line of credit 2021 -</t>
  </si>
  <si>
    <t>AXA REGUL 2021</t>
  </si>
  <si>
    <t>ADESATT 2021</t>
  </si>
  <si>
    <t>Delivery - MBO 2021 Update (Payable in March)</t>
  </si>
  <si>
    <t>MBO payable in March 2022</t>
  </si>
  <si>
    <t>Social due commission correction</t>
  </si>
  <si>
    <t xml:space="preserve"> socials due correction</t>
  </si>
  <si>
    <t>להעביר ולהפוך ב- 01.01.2022</t>
  </si>
  <si>
    <t>An article on French newsletter</t>
  </si>
  <si>
    <t>GLOBAL SECURITY MAG</t>
  </si>
  <si>
    <t>OPCO ATLAS FR</t>
  </si>
  <si>
    <t>Rertoactive franch amendments</t>
  </si>
  <si>
    <t>SIM PUBLICITE</t>
  </si>
  <si>
    <t>Delivery - MBO 2021 Upda</t>
  </si>
  <si>
    <t xml:space="preserve">Other account receivable: </t>
  </si>
  <si>
    <t>Government authorities</t>
  </si>
  <si>
    <t xml:space="preserve">Accrued income </t>
  </si>
  <si>
    <t>total</t>
  </si>
  <si>
    <t>Prepaid</t>
  </si>
  <si>
    <t>מחשבים</t>
  </si>
  <si>
    <t>ציוד משרדי</t>
  </si>
  <si>
    <t>שיפורים</t>
  </si>
  <si>
    <t xml:space="preserve">כולל הודו  - דולר </t>
  </si>
  <si>
    <t xml:space="preserve">Group - USD </t>
  </si>
  <si>
    <t>open balance</t>
  </si>
  <si>
    <t>additions 2021</t>
  </si>
  <si>
    <t>deduction</t>
  </si>
  <si>
    <t>change in 2021</t>
  </si>
  <si>
    <t>closing balance - cost</t>
  </si>
  <si>
    <t xml:space="preserve">closing balance - depreciated </t>
  </si>
  <si>
    <t xml:space="preserve">total </t>
  </si>
  <si>
    <t xml:space="preserve">Accrued exp. </t>
  </si>
  <si>
    <t>Accrued exp</t>
  </si>
  <si>
    <t>Government</t>
  </si>
  <si>
    <t>Tax expense</t>
  </si>
  <si>
    <t>Current</t>
  </si>
  <si>
    <t>previous years</t>
  </si>
  <si>
    <t>deferred</t>
  </si>
  <si>
    <t xml:space="preserve">Foreign </t>
  </si>
  <si>
    <t>domestic - Inc</t>
  </si>
  <si>
    <t xml:space="preserve">תנועה שלא </t>
  </si>
  <si>
    <t>במזומן</t>
  </si>
  <si>
    <t>רכישת רכוש קבוע שלא במזומן:</t>
  </si>
  <si>
    <t>Reclass 2020 entry</t>
  </si>
  <si>
    <t>שערוך פקדון</t>
  </si>
  <si>
    <t xml:space="preserve">CVAE tax due on the turnover </t>
  </si>
  <si>
    <t>Account receivables</t>
  </si>
  <si>
    <t xml:space="preserve"> Other liabilities ST</t>
  </si>
  <si>
    <t xml:space="preserve"> Other liabilities LT</t>
  </si>
  <si>
    <t>Social creditors</t>
  </si>
  <si>
    <t>Turnover</t>
  </si>
  <si>
    <t>הפרשה למס צרפת 2021</t>
  </si>
  <si>
    <t>MoneyBack Guarantee</t>
  </si>
  <si>
    <t>Subs - Liscence</t>
  </si>
  <si>
    <t>Client</t>
  </si>
  <si>
    <t>Credited after cut-off date</t>
  </si>
  <si>
    <t>UK218000391</t>
  </si>
  <si>
    <t>בונוס Alexandr Shakhlevich</t>
  </si>
  <si>
    <t xml:space="preserve">מיון הוצאות מראש TerraSky+Oasis </t>
  </si>
  <si>
    <t>add: TP MNGMNT FEES</t>
  </si>
  <si>
    <t>less: options/ exchange rate/ taxes/ INTEREST</t>
  </si>
  <si>
    <t>Related Parties interest</t>
  </si>
  <si>
    <t>CREDIT FACILITY fees</t>
  </si>
  <si>
    <t>Foreign currency translation differences, net</t>
  </si>
  <si>
    <t>bank charges</t>
  </si>
  <si>
    <t>Liability for Uncertain Tax exp</t>
  </si>
  <si>
    <t>התחיבויות לזמן ארוך- מיסים</t>
  </si>
  <si>
    <t xml:space="preserve">עתודה למס - FIN 48 </t>
  </si>
  <si>
    <t>NEW26</t>
  </si>
  <si>
    <t>FIN48 - NEW IN 2021</t>
  </si>
  <si>
    <t>NEW22</t>
  </si>
  <si>
    <t>Accrued exp- Uncertain tax positions</t>
  </si>
  <si>
    <t xml:space="preserve">fin 48 - US part </t>
  </si>
  <si>
    <t xml:space="preserve">Taxation Previous Year </t>
  </si>
  <si>
    <t>עתודה לfin48</t>
  </si>
  <si>
    <t>Other long-term liabilities</t>
  </si>
  <si>
    <t>עדכון FIN48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</si>
</sst>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_-* #,##0.00_-;\-* #,##0.00_-;_-* &quot;-&quot;??_-;_-@_-"/>
    <numFmt numFmtId="166" formatCode="0.0_)"/>
    <numFmt numFmtId="167" formatCode="0_)"/>
    <numFmt numFmtId="168" formatCode="#,##0.000"/>
    <numFmt numFmtId="169" formatCode="0.000"/>
    <numFmt numFmtId="170" formatCode="#,##0;[Red]\(#,##0\)"/>
    <numFmt numFmtId="171" formatCode="#,##0;\(#,##0\)"/>
    <numFmt numFmtId="172" formatCode="_ * #,##0.0_ ;_ * \-#,##0.0_ ;_ * &quot;-&quot;?_ ;_ @_ "/>
    <numFmt numFmtId="173" formatCode="0.0%"/>
    <numFmt numFmtId="174" formatCode="#,##0.00;[Red]\(#,##0.00\)"/>
    <numFmt numFmtId="175" formatCode="#,##0.000;[Red]\(#,##0.000\)"/>
    <numFmt numFmtId="176" formatCode="#,##0.0000;[Red]\(#,##0.0000\)"/>
    <numFmt numFmtId="177" formatCode="0.0000"/>
    <numFmt numFmtId="178" formatCode="_ * #,##0_ ;_ * \-#,##0_ ;_ * &quot;-&quot;?_ ;_ @_ "/>
    <numFmt numFmtId="179" formatCode="_-* #,##0.000_-;\-* #,##0.000_-;_-* &quot;-&quot;??_-;_-@_-"/>
    <numFmt numFmtId="180" formatCode="_ * #,##0_ ;_ * \-#,##0_ ;_ * &quot;-&quot;??_ ;_ @_ "/>
    <numFmt numFmtId="181" formatCode="#,##0_ ;\-#,##0\ "/>
    <numFmt numFmtId="182" formatCode="0.00_)"/>
    <numFmt numFmtId="183" formatCode="_-* #,##0_-;\-* #,##0_-;_-* &quot;-&quot;??_-;_-@_-"/>
    <numFmt numFmtId="184" formatCode="_(* #,##0_);_(* \(#,##0\);_(* &quot;-&quot;??_);_(@_)"/>
    <numFmt numFmtId="185" formatCode="_(&quot;$&quot;* #,##0_);_(&quot;$&quot;* \(#,##0\);_(&quot;$&quot;* &quot;-&quot;??_);_(@_)"/>
    <numFmt numFmtId="186" formatCode="#,##0.0;[Red]\(#,##0.0\)"/>
    <numFmt numFmtId="187" formatCode="#,##0.0000000000_);[Red]\(#,##0.0000000000\)"/>
    <numFmt numFmtId="188" formatCode="_ [$₪-40D]\ * #,##0_ ;_ [$₪-40D]\ * \-#,##0_ ;_ [$₪-40D]\ * &quot;-&quot;??_ ;_ @_ "/>
    <numFmt numFmtId="189" formatCode="_([$$-409]* #,##0.00_);_([$$-409]* \(#,##0.00\);_([$$-409]* &quot;-&quot;??_);_(@_)"/>
    <numFmt numFmtId="190" formatCode="[$-409]mmmm\ d\,\ yyyy;@"/>
    <numFmt numFmtId="191" formatCode="_([$ILS]\ * #,##0_);_([$ILS]\ * \(#,##0\);_([$ILS]\ * &quot;-&quot;??_);_(@_)"/>
    <numFmt numFmtId="192" formatCode="_-[$£-809]* #,##0.0000_-;\-[$£-809]* #,##0.0000_-;_-[$£-809]* &quot;-&quot;??_-;_-@_-"/>
    <numFmt numFmtId="193" formatCode="0.00000"/>
    <numFmt numFmtId="194" formatCode="_-[$£-809]* #,##0.00_-;\-[$£-809]* #,##0.00_-;_-[$£-809]* &quot;-&quot;??_-;_-@_-"/>
    <numFmt numFmtId="195" formatCode="_-[$£-809]* #,##0_-;\-[$£-809]* #,##0_-;_-[$£-809]* &quot;-&quot;??_-;_-@_-"/>
    <numFmt numFmtId="196" formatCode="_-* #,##0.0000_-;\-* #,##0.0000_-;_-* &quot;-&quot;??_-;_-@_-"/>
    <numFmt numFmtId="197" formatCode="[$-1010000]dd/mm/yy;@"/>
    <numFmt numFmtId="198" formatCode="_([$ILS]\ * #,##0.00_);_([$ILS]\ * \(#,##0.00\);_([$ILS]\ * &quot;-&quot;??_);_(@_)"/>
    <numFmt numFmtId="199" formatCode="#,##0.00000;[Red]\(#,##0.00000\)"/>
    <numFmt numFmtId="200" formatCode="#,##0.00000000;[Red]\(#,##0.00000000\)"/>
    <numFmt numFmtId="201" formatCode="_ [$₪-40D]\ * #,##0.00_ ;_ [$₪-40D]\ * \-#,##0.00_ ;_ [$₪-40D]\ * &quot;-&quot;??_ ;_ @_ "/>
    <numFmt numFmtId="202" formatCode="_-* #,##0.0_-;\-* #,##0.0_-;_-* &quot;-&quot;??_-;_-@_-"/>
    <numFmt numFmtId="203" formatCode="0.000%"/>
    <numFmt numFmtId="204" formatCode="[$-409]d/mmm/yy;@"/>
    <numFmt numFmtId="205" formatCode="_([$INR]\ * #,##0_);_([$INR]\ * \(#,##0\);_([$INR]\ * &quot;-&quot;??_);_(@_)"/>
    <numFmt numFmtId="206" formatCode="_(&quot;$&quot;* #,##0.0_);_(&quot;$&quot;* \(#,##0.0\);_(&quot;$&quot;* &quot;-&quot;??_);_(@_)"/>
  </numFmts>
  <fonts count="217">
    <font>
      <sz val="10"/>
      <name val="Tms Rmn"/>
      <charset val="177"/>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name val="David"/>
      <family val="2"/>
      <charset val="177"/>
    </font>
    <font>
      <sz val="10"/>
      <name val="Arial"/>
      <family val="2"/>
    </font>
    <font>
      <sz val="10"/>
      <name val="Tms Rmn"/>
      <charset val="177"/>
    </font>
    <font>
      <sz val="12"/>
      <name val="David"/>
      <family val="2"/>
      <charset val="177"/>
    </font>
    <font>
      <sz val="10"/>
      <name val="Arial"/>
      <family val="2"/>
      <charset val="177"/>
    </font>
    <font>
      <sz val="10"/>
      <name val="Times New Roman"/>
      <family val="1"/>
    </font>
    <font>
      <b/>
      <sz val="10"/>
      <name val="Arial"/>
      <family val="2"/>
    </font>
    <font>
      <sz val="8"/>
      <name val="Tms Rmn"/>
      <charset val="177"/>
    </font>
    <font>
      <b/>
      <u/>
      <sz val="10"/>
      <name val="Arial"/>
      <family val="2"/>
    </font>
    <font>
      <sz val="10"/>
      <name val="Times New Roman"/>
      <family val="1"/>
    </font>
    <font>
      <sz val="8"/>
      <name val="Arial"/>
      <family val="2"/>
    </font>
    <font>
      <sz val="11"/>
      <color indexed="8"/>
      <name val="Arial"/>
      <family val="2"/>
      <charset val="177"/>
    </font>
    <font>
      <sz val="11"/>
      <color indexed="9"/>
      <name val="Arial"/>
      <family val="2"/>
      <charset val="177"/>
    </font>
    <font>
      <sz val="11"/>
      <color indexed="20"/>
      <name val="Arial"/>
      <family val="2"/>
      <charset val="177"/>
    </font>
    <font>
      <b/>
      <sz val="11"/>
      <color indexed="52"/>
      <name val="Arial"/>
      <family val="2"/>
      <charset val="177"/>
    </font>
    <font>
      <b/>
      <sz val="11"/>
      <color indexed="9"/>
      <name val="Arial"/>
      <family val="2"/>
      <charset val="177"/>
    </font>
    <font>
      <i/>
      <sz val="11"/>
      <color indexed="23"/>
      <name val="Arial"/>
      <family val="2"/>
      <charset val="177"/>
    </font>
    <font>
      <sz val="11"/>
      <color indexed="17"/>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2"/>
      <name val="Arial"/>
      <family val="2"/>
      <charset val="177"/>
    </font>
    <font>
      <sz val="11"/>
      <color indexed="52"/>
      <name val="Arial"/>
      <family val="2"/>
      <charset val="177"/>
    </font>
    <font>
      <sz val="11"/>
      <color indexed="60"/>
      <name val="Arial"/>
      <family val="2"/>
      <charset val="177"/>
    </font>
    <font>
      <sz val="12"/>
      <name val="Times New Roman (Hebrew)"/>
      <charset val="177"/>
    </font>
    <font>
      <b/>
      <sz val="11"/>
      <color indexed="63"/>
      <name val="Arial"/>
      <family val="2"/>
      <charset val="177"/>
    </font>
    <font>
      <b/>
      <sz val="18"/>
      <color indexed="56"/>
      <name val="Times New Roman"/>
      <family val="2"/>
      <charset val="177"/>
    </font>
    <font>
      <b/>
      <sz val="11"/>
      <color indexed="8"/>
      <name val="Arial"/>
      <family val="2"/>
      <charset val="177"/>
    </font>
    <font>
      <sz val="11"/>
      <color indexed="10"/>
      <name val="Arial"/>
      <family val="2"/>
      <charset val="177"/>
    </font>
    <font>
      <b/>
      <sz val="18"/>
      <color indexed="62"/>
      <name val="Times New Roman"/>
      <family val="2"/>
      <charset val="177"/>
    </font>
    <font>
      <b/>
      <sz val="15"/>
      <color indexed="62"/>
      <name val="Arial"/>
      <family val="2"/>
      <charset val="177"/>
    </font>
    <font>
      <b/>
      <sz val="13"/>
      <color indexed="62"/>
      <name val="Arial"/>
      <family val="2"/>
      <charset val="177"/>
    </font>
    <font>
      <b/>
      <sz val="11"/>
      <color indexed="62"/>
      <name val="Arial"/>
      <family val="2"/>
      <charset val="177"/>
    </font>
    <font>
      <sz val="10"/>
      <name val="Arial"/>
      <family val="2"/>
    </font>
    <font>
      <b/>
      <sz val="12"/>
      <name val="Helv"/>
    </font>
    <font>
      <b/>
      <i/>
      <sz val="16"/>
      <name val="Helv"/>
    </font>
    <font>
      <b/>
      <u val="double"/>
      <sz val="10"/>
      <name val="Arial"/>
      <family val="2"/>
    </font>
    <font>
      <sz val="10"/>
      <color indexed="9"/>
      <name val="Arial"/>
      <family val="2"/>
    </font>
    <font>
      <sz val="10"/>
      <name val="Arial"/>
      <family val="2"/>
    </font>
    <font>
      <sz val="10"/>
      <name val="Arial"/>
      <family val="2"/>
    </font>
    <font>
      <sz val="10"/>
      <name val="Arial"/>
      <family val="2"/>
    </font>
    <font>
      <b/>
      <sz val="9"/>
      <color indexed="81"/>
      <name val="Tahoma"/>
      <family val="2"/>
    </font>
    <font>
      <sz val="9"/>
      <color indexed="81"/>
      <name val="Tahoma"/>
      <family val="2"/>
    </font>
    <font>
      <sz val="11"/>
      <color rgb="FF006100"/>
      <name val="Arial"/>
      <family val="2"/>
    </font>
    <font>
      <sz val="11"/>
      <color theme="1"/>
      <name val="Arial"/>
      <family val="2"/>
      <charset val="177"/>
    </font>
    <font>
      <sz val="11"/>
      <color theme="1"/>
      <name val="Calibri"/>
      <family val="2"/>
      <charset val="177"/>
      <scheme val="minor"/>
    </font>
    <font>
      <sz val="11"/>
      <color theme="1"/>
      <name val="Calibri"/>
      <family val="2"/>
      <scheme val="minor"/>
    </font>
    <font>
      <sz val="11"/>
      <color rgb="FF9C0006"/>
      <name val="Calibri"/>
      <family val="2"/>
      <scheme val="minor"/>
    </font>
    <font>
      <sz val="10"/>
      <name val="Calibri"/>
      <family val="2"/>
      <scheme val="minor"/>
    </font>
    <font>
      <u/>
      <sz val="10"/>
      <name val="Arial"/>
      <family val="2"/>
    </font>
    <font>
      <sz val="10"/>
      <color rgb="FFFF0000"/>
      <name val="Arial"/>
      <family val="2"/>
    </font>
    <font>
      <b/>
      <sz val="10"/>
      <color rgb="FFFF0000"/>
      <name val="Arial"/>
      <family val="2"/>
    </font>
    <font>
      <sz val="10"/>
      <color indexed="8"/>
      <name val="Arial"/>
      <family val="2"/>
    </font>
    <font>
      <b/>
      <sz val="10"/>
      <color indexed="8"/>
      <name val="Arial"/>
      <family val="2"/>
    </font>
    <font>
      <sz val="10"/>
      <color theme="0"/>
      <name val="Arial"/>
      <family val="2"/>
    </font>
    <font>
      <sz val="10"/>
      <color theme="0" tint="-0.249977111117893"/>
      <name val="Arial"/>
      <family val="2"/>
    </font>
    <font>
      <sz val="10"/>
      <name val="Ariel"/>
    </font>
    <font>
      <b/>
      <sz val="10"/>
      <name val="Ariel"/>
    </font>
    <font>
      <sz val="10"/>
      <color theme="3"/>
      <name val="Ariel"/>
    </font>
    <font>
      <b/>
      <sz val="10"/>
      <color theme="1"/>
      <name val="Ariel"/>
    </font>
    <font>
      <sz val="10"/>
      <color rgb="FF000000"/>
      <name val="Arial"/>
      <family val="2"/>
    </font>
    <font>
      <b/>
      <sz val="10"/>
      <color theme="3"/>
      <name val="Arial"/>
      <family val="2"/>
    </font>
    <font>
      <u/>
      <sz val="10"/>
      <color theme="10"/>
      <name val="Tms Rmn"/>
      <charset val="177"/>
    </font>
    <font>
      <b/>
      <sz val="10"/>
      <color theme="4"/>
      <name val="Arial"/>
      <family val="2"/>
    </font>
    <font>
      <b/>
      <sz val="10"/>
      <color theme="0"/>
      <name val="Arial"/>
      <family val="2"/>
    </font>
    <font>
      <i/>
      <sz val="10"/>
      <name val="Arial"/>
      <family val="2"/>
    </font>
    <font>
      <sz val="10"/>
      <color theme="0" tint="-0.14999847407452621"/>
      <name val="Arial"/>
      <family val="2"/>
    </font>
    <font>
      <b/>
      <sz val="10"/>
      <color rgb="FF7030A0"/>
      <name val="Arial"/>
      <family val="2"/>
    </font>
    <font>
      <b/>
      <sz val="10"/>
      <color rgb="FF000000"/>
      <name val="Arial"/>
      <family val="2"/>
    </font>
    <font>
      <sz val="10"/>
      <color theme="4"/>
      <name val="Ariel"/>
    </font>
    <font>
      <sz val="11"/>
      <name val="Calibri"/>
      <family val="2"/>
    </font>
    <font>
      <b/>
      <u/>
      <sz val="10"/>
      <color rgb="FFFF0000"/>
      <name val="Arial"/>
      <family val="2"/>
    </font>
    <font>
      <b/>
      <sz val="10"/>
      <color theme="4" tint="-0.499984740745262"/>
      <name val="Arial"/>
      <family val="2"/>
    </font>
    <font>
      <sz val="10"/>
      <color theme="4"/>
      <name val="Arial"/>
      <family val="2"/>
    </font>
    <font>
      <sz val="8"/>
      <color indexed="81"/>
      <name val="Tahoma"/>
      <family val="2"/>
    </font>
    <font>
      <b/>
      <sz val="8"/>
      <color indexed="81"/>
      <name val="Tahoma"/>
      <family val="2"/>
    </font>
    <font>
      <b/>
      <sz val="10"/>
      <color rgb="FF00B0F0"/>
      <name val="Arial"/>
      <family val="2"/>
    </font>
    <font>
      <sz val="10"/>
      <color theme="4" tint="-0.499984740745262"/>
      <name val="Arial"/>
      <family val="2"/>
    </font>
    <font>
      <u/>
      <sz val="10"/>
      <color indexed="12"/>
      <name val="Arial"/>
      <family val="2"/>
    </font>
    <font>
      <b/>
      <sz val="10"/>
      <color theme="1"/>
      <name val="Arial"/>
      <family val="2"/>
    </font>
    <font>
      <sz val="10"/>
      <color theme="1"/>
      <name val="Arial"/>
      <family val="2"/>
    </font>
    <font>
      <b/>
      <sz val="10"/>
      <color indexed="12"/>
      <name val="Arial"/>
      <family val="2"/>
    </font>
    <font>
      <b/>
      <i/>
      <sz val="10"/>
      <name val="Arial"/>
      <family val="2"/>
    </font>
    <font>
      <b/>
      <i/>
      <sz val="10"/>
      <color theme="1"/>
      <name val="Arial"/>
      <family val="2"/>
    </font>
    <font>
      <sz val="10"/>
      <color theme="3"/>
      <name val="Arial"/>
      <family val="2"/>
    </font>
    <font>
      <u/>
      <sz val="10"/>
      <color theme="10"/>
      <name val="Arial"/>
      <family val="2"/>
    </font>
    <font>
      <sz val="10"/>
      <color rgb="FF00B0F0"/>
      <name val="Arial"/>
      <family val="2"/>
    </font>
    <font>
      <sz val="10"/>
      <color rgb="FF080707"/>
      <name val="Arial"/>
      <family val="2"/>
    </font>
    <font>
      <u val="singleAccounting"/>
      <sz val="10"/>
      <name val="Arial"/>
      <family val="2"/>
    </font>
    <font>
      <b/>
      <u/>
      <sz val="10"/>
      <color indexed="8"/>
      <name val="Arial"/>
      <family val="2"/>
    </font>
    <font>
      <b/>
      <u/>
      <sz val="10"/>
      <color theme="1"/>
      <name val="Arial"/>
      <family val="2"/>
    </font>
    <font>
      <b/>
      <u/>
      <sz val="10"/>
      <color indexed="12"/>
      <name val="Arial"/>
      <family val="2"/>
    </font>
    <font>
      <u/>
      <sz val="10"/>
      <color theme="1"/>
      <name val="Ariel"/>
    </font>
    <font>
      <u/>
      <sz val="10"/>
      <color indexed="12"/>
      <name val="Ariel"/>
    </font>
    <font>
      <b/>
      <u/>
      <sz val="10"/>
      <name val="Ariel"/>
    </font>
    <font>
      <b/>
      <u val="singleAccounting"/>
      <sz val="10"/>
      <name val="Ariel"/>
    </font>
    <font>
      <b/>
      <sz val="10"/>
      <color rgb="FF0070C0"/>
      <name val="Arial"/>
      <family val="2"/>
    </font>
    <font>
      <b/>
      <sz val="10"/>
      <color theme="0" tint="-0.14999847407452621"/>
      <name val="Arial"/>
      <family val="2"/>
    </font>
    <font>
      <u/>
      <sz val="10"/>
      <color theme="1"/>
      <name val="Arial"/>
      <family val="2"/>
    </font>
    <font>
      <u val="singleAccounting"/>
      <sz val="10"/>
      <name val="Ariel"/>
    </font>
    <font>
      <b/>
      <sz val="10"/>
      <color theme="3"/>
      <name val="Ariel"/>
    </font>
    <font>
      <b/>
      <sz val="10"/>
      <color rgb="FF00B050"/>
      <name val="Ariel"/>
    </font>
    <font>
      <b/>
      <u val="singleAccounting"/>
      <sz val="10"/>
      <name val="Arial"/>
      <family val="2"/>
    </font>
    <font>
      <b/>
      <u/>
      <sz val="10"/>
      <color indexed="12"/>
      <name val="Ariel"/>
    </font>
    <font>
      <i/>
      <sz val="10"/>
      <color theme="1"/>
      <name val="Arial"/>
      <family val="2"/>
    </font>
    <font>
      <b/>
      <u/>
      <sz val="10"/>
      <color indexed="9"/>
      <name val="Arial"/>
      <family val="2"/>
    </font>
    <font>
      <b/>
      <u val="singleAccounting"/>
      <sz val="10"/>
      <color indexed="8"/>
      <name val="Arial"/>
      <family val="2"/>
    </font>
    <font>
      <sz val="10"/>
      <color theme="0" tint="-0.249977111117893"/>
      <name val="Ariel"/>
    </font>
    <font>
      <sz val="10"/>
      <color theme="1"/>
      <name val="Ariel"/>
    </font>
    <font>
      <b/>
      <u/>
      <sz val="10"/>
      <color theme="4"/>
      <name val="Arial"/>
      <family val="2"/>
    </font>
    <font>
      <u/>
      <sz val="10"/>
      <name val="Ariel"/>
    </font>
    <font>
      <sz val="11"/>
      <color theme="1"/>
      <name val="Calibri"/>
      <family val="2"/>
    </font>
    <font>
      <vertAlign val="superscript"/>
      <sz val="11"/>
      <color theme="1"/>
      <name val="Calibri"/>
      <family val="2"/>
    </font>
    <font>
      <u/>
      <sz val="10"/>
      <color rgb="FFFF0000"/>
      <name val="Arial"/>
      <family val="2"/>
    </font>
    <font>
      <sz val="7"/>
      <name val="Times New Roman"/>
      <family val="1"/>
    </font>
    <font>
      <sz val="10"/>
      <color rgb="FFFF0066"/>
      <name val="Arial"/>
      <family val="2"/>
    </font>
    <font>
      <sz val="11"/>
      <name val="Arial"/>
      <family val="2"/>
    </font>
    <font>
      <sz val="11"/>
      <color rgb="FFFF0000"/>
      <name val="Calibri"/>
      <family val="2"/>
    </font>
    <font>
      <vertAlign val="superscript"/>
      <sz val="11"/>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ourier"/>
      <family val="3"/>
    </font>
    <font>
      <sz val="10"/>
      <name val="Helv"/>
      <family val="2"/>
    </font>
    <font>
      <sz val="11"/>
      <color indexed="8"/>
      <name val="Calibri"/>
      <family val="2"/>
    </font>
    <font>
      <sz val="11"/>
      <color theme="1"/>
      <name val="Arial"/>
      <family val="2"/>
    </font>
    <font>
      <i/>
      <u/>
      <sz val="10"/>
      <color theme="1"/>
      <name val="Arial"/>
      <family val="2"/>
    </font>
    <font>
      <i/>
      <sz val="10"/>
      <color indexed="8"/>
      <name val="Arial"/>
      <family val="2"/>
    </font>
    <font>
      <u/>
      <sz val="10"/>
      <color rgb="FF0000FF"/>
      <name val="Arial"/>
      <family val="2"/>
    </font>
    <font>
      <b/>
      <sz val="10"/>
      <color rgb="FFFF0000"/>
      <name val="Ariel"/>
    </font>
    <font>
      <vertAlign val="superscript"/>
      <sz val="11"/>
      <color rgb="FFFF0000"/>
      <name val="Calibri"/>
      <family val="2"/>
    </font>
    <font>
      <sz val="11"/>
      <color rgb="FF080707"/>
      <name val="Segoe UI"/>
      <family val="2"/>
    </font>
    <font>
      <sz val="11"/>
      <color rgb="FFFF0000"/>
      <name val="Arial"/>
      <family val="2"/>
    </font>
    <font>
      <vertAlign val="superscript"/>
      <sz val="11"/>
      <color rgb="FFFF0000"/>
      <name val="Arial"/>
      <family val="2"/>
    </font>
    <font>
      <sz val="11"/>
      <color rgb="FF00B0F0"/>
      <name val="Calibri"/>
      <family val="2"/>
    </font>
    <font>
      <vertAlign val="superscript"/>
      <sz val="11"/>
      <color rgb="FF00B0F0"/>
      <name val="Calibri"/>
      <family val="2"/>
    </font>
    <font>
      <b/>
      <sz val="11"/>
      <color rgb="FFFF0000"/>
      <name val="Arial"/>
      <family val="2"/>
    </font>
  </fonts>
  <fills count="10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26"/>
      </patternFill>
    </fill>
    <fill>
      <patternFill patternType="solid">
        <fgColor indexed="4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54"/>
      </patternFill>
    </fill>
    <fill>
      <patternFill patternType="solid">
        <fgColor indexed="9"/>
      </patternFill>
    </fill>
    <fill>
      <patternFill patternType="solid">
        <fgColor indexed="14"/>
        <bgColor indexed="64"/>
      </patternFill>
    </fill>
    <fill>
      <patternFill patternType="solid">
        <fgColor indexed="13"/>
        <bgColor indexed="64"/>
      </patternFill>
    </fill>
    <fill>
      <patternFill patternType="solid">
        <fgColor indexed="10"/>
        <bgColor indexed="64"/>
      </patternFill>
    </fill>
    <fill>
      <patternFill patternType="solid">
        <fgColor rgb="FFC6EFCE"/>
      </patternFill>
    </fill>
    <fill>
      <patternFill patternType="solid">
        <fgColor rgb="FFFFC7CE"/>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FF99"/>
        <bgColor indexed="64"/>
      </patternFill>
    </fill>
    <fill>
      <patternFill patternType="solid">
        <fgColor rgb="FF00B0F0"/>
        <bgColor indexed="64"/>
      </patternFill>
    </fill>
    <fill>
      <patternFill patternType="solid">
        <fgColor theme="9" tint="0.39997558519241921"/>
        <bgColor indexed="64"/>
      </patternFill>
    </fill>
    <fill>
      <patternFill patternType="solid">
        <fgColor rgb="FF00FFFF"/>
        <bgColor indexed="64"/>
      </patternFill>
    </fill>
    <fill>
      <patternFill patternType="solid">
        <fgColor rgb="FF66FFFF"/>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CCFF"/>
        <bgColor indexed="64"/>
      </patternFill>
    </fill>
    <fill>
      <patternFill patternType="solid">
        <fgColor rgb="FF66FF33"/>
        <bgColor indexed="64"/>
      </patternFill>
    </fill>
    <fill>
      <patternFill patternType="solid">
        <fgColor rgb="FFBDFFBD"/>
        <bgColor indexed="64"/>
      </patternFill>
    </fill>
    <fill>
      <patternFill patternType="solid">
        <fgColor rgb="FFCCCCFF"/>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CCCC"/>
        <bgColor indexed="64"/>
      </patternFill>
    </fill>
    <fill>
      <patternFill patternType="solid">
        <fgColor rgb="FFCCFFFF"/>
        <bgColor indexed="64"/>
      </patternFill>
    </fill>
    <fill>
      <patternFill patternType="solid">
        <fgColor theme="8"/>
        <bgColor indexed="64"/>
      </patternFill>
    </fill>
    <fill>
      <patternFill patternType="solid">
        <fgColor theme="6"/>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rgb="FF00B050"/>
        <bgColor indexed="64"/>
      </patternFill>
    </fill>
    <fill>
      <patternFill patternType="solid">
        <fgColor rgb="FF99FF33"/>
        <bgColor indexed="64"/>
      </patternFill>
    </fill>
  </fills>
  <borders count="19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style="medium">
        <color indexed="64"/>
      </right>
      <top/>
      <bottom/>
      <diagonal/>
    </border>
    <border>
      <left style="medium">
        <color indexed="64"/>
      </left>
      <right/>
      <top/>
      <bottom/>
      <diagonal/>
    </border>
    <border>
      <left/>
      <right/>
      <top style="thin">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8"/>
      </bottom>
      <diagonal/>
    </border>
    <border>
      <left style="thin">
        <color indexed="64"/>
      </left>
      <right style="thin">
        <color indexed="64"/>
      </right>
      <top style="thin">
        <color indexed="8"/>
      </top>
      <bottom style="thin">
        <color indexed="8"/>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style="dotted">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thin">
        <color indexed="64"/>
      </left>
      <right/>
      <top/>
      <bottom style="thin">
        <color indexed="8"/>
      </bottom>
      <diagonal/>
    </border>
    <border>
      <left style="thin">
        <color indexed="64"/>
      </left>
      <right/>
      <top style="thin">
        <color indexed="8"/>
      </top>
      <bottom style="thin">
        <color indexed="8"/>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8"/>
      </top>
      <bottom style="thin">
        <color indexed="8"/>
      </bottom>
      <diagonal/>
    </border>
    <border>
      <left/>
      <right style="thin">
        <color indexed="64"/>
      </right>
      <top style="thin">
        <color indexed="8"/>
      </top>
      <bottom/>
      <diagonal/>
    </border>
    <border>
      <left/>
      <right style="thin">
        <color indexed="64"/>
      </right>
      <top/>
      <bottom style="thin">
        <color indexed="8"/>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8"/>
      </top>
      <bottom/>
      <diagonal/>
    </border>
    <border>
      <left/>
      <right style="medium">
        <color indexed="64"/>
      </right>
      <top/>
      <bottom style="double">
        <color indexed="64"/>
      </bottom>
      <diagonal/>
    </border>
    <border>
      <left/>
      <right/>
      <top style="thin">
        <color indexed="8"/>
      </top>
      <bottom style="thin">
        <color indexed="8"/>
      </bottom>
      <diagonal/>
    </border>
    <border>
      <left/>
      <right/>
      <top style="thin">
        <color indexed="8"/>
      </top>
      <bottom/>
      <diagonal/>
    </border>
    <border>
      <left/>
      <right/>
      <top/>
      <bottom style="thin">
        <color indexed="8"/>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double">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auto="1"/>
      </bottom>
      <diagonal/>
    </border>
    <border>
      <left/>
      <right style="medium">
        <color indexed="64"/>
      </right>
      <top/>
      <bottom style="thin">
        <color auto="1"/>
      </bottom>
      <diagonal/>
    </border>
    <border>
      <left/>
      <right style="thin">
        <color indexed="64"/>
      </right>
      <top/>
      <bottom style="thin">
        <color indexed="64"/>
      </bottom>
      <diagonal/>
    </border>
    <border>
      <left style="thin">
        <color indexed="64"/>
      </left>
      <right/>
      <top/>
      <bottom style="thin">
        <color indexed="8"/>
      </bottom>
      <diagonal/>
    </border>
    <border>
      <left/>
      <right/>
      <top/>
      <bottom style="thin">
        <color indexed="64"/>
      </bottom>
      <diagonal/>
    </border>
    <border>
      <left style="thin">
        <color rgb="FFD0D0D0"/>
      </left>
      <right style="thin">
        <color rgb="FFD0D0D0"/>
      </right>
      <top style="thin">
        <color rgb="FFD0D0D0"/>
      </top>
      <bottom style="thin">
        <color rgb="FFD0D0D0"/>
      </bottom>
      <diagonal/>
    </border>
    <border>
      <left style="thin">
        <color indexed="64"/>
      </left>
      <right/>
      <top/>
      <bottom style="thin">
        <color auto="1"/>
      </bottom>
      <diagonal/>
    </border>
    <border>
      <left style="thin">
        <color indexed="64"/>
      </left>
      <right style="thin">
        <color indexed="64"/>
      </right>
      <top/>
      <bottom style="thin">
        <color indexed="64"/>
      </bottom>
      <diagonal/>
    </border>
    <border>
      <left/>
      <right style="dotted">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8"/>
      </bottom>
      <diagonal/>
    </border>
    <border>
      <left style="medium">
        <color indexed="64"/>
      </left>
      <right style="thin">
        <color indexed="64"/>
      </right>
      <top/>
      <bottom style="medium">
        <color indexed="64"/>
      </bottom>
      <diagonal/>
    </border>
    <border>
      <left/>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8"/>
      </top>
      <bottom/>
      <diagonal/>
    </border>
    <border>
      <left/>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thin">
        <color indexed="64"/>
      </right>
      <top style="thin">
        <color indexed="8"/>
      </top>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style="thin">
        <color indexed="8"/>
      </bottom>
      <diagonal/>
    </border>
    <border>
      <left/>
      <right/>
      <top style="thin">
        <color indexed="8"/>
      </top>
      <bottom style="thin">
        <color indexed="8"/>
      </bottom>
      <diagonal/>
    </border>
    <border>
      <left style="thin">
        <color indexed="64"/>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style="thin">
        <color indexed="64"/>
      </left>
      <right style="thin">
        <color indexed="64"/>
      </right>
      <top/>
      <bottom style="thin">
        <color indexed="8"/>
      </bottom>
      <diagonal/>
    </border>
    <border>
      <left/>
      <right style="medium">
        <color indexed="64"/>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8"/>
      </bottom>
      <diagonal/>
    </border>
    <border>
      <left/>
      <right style="thin">
        <color indexed="64"/>
      </right>
      <top/>
      <bottom style="thin">
        <color indexed="64"/>
      </bottom>
      <diagonal/>
    </border>
    <border>
      <left/>
      <right/>
      <top/>
      <bottom style="thin">
        <color indexed="64"/>
      </bottom>
      <diagonal/>
    </border>
    <border>
      <left/>
      <right style="thin">
        <color rgb="FFD0D0D0"/>
      </right>
      <top style="thin">
        <color rgb="FFD0D0D0"/>
      </top>
      <bottom style="thin">
        <color rgb="FFD0D0D0"/>
      </bottom>
      <diagonal/>
    </border>
    <border>
      <left/>
      <right style="medium">
        <color indexed="64"/>
      </right>
      <top/>
      <bottom style="thin">
        <color indexed="64"/>
      </bottom>
      <diagonal/>
    </border>
    <border>
      <left/>
      <right style="hair">
        <color indexed="64"/>
      </right>
      <top style="hair">
        <color indexed="64"/>
      </top>
      <bottom/>
      <diagonal/>
    </border>
    <border>
      <left/>
      <right style="hair">
        <color indexed="64"/>
      </right>
      <top/>
      <bottom/>
      <diagonal/>
    </border>
    <border>
      <left style="thin">
        <color indexed="64"/>
      </left>
      <right style="thin">
        <color indexed="64"/>
      </right>
      <top style="hair">
        <color indexed="64"/>
      </top>
      <bottom/>
      <diagonal/>
    </border>
    <border>
      <left/>
      <right/>
      <top/>
      <bottom style="thin">
        <color auto="1"/>
      </bottom>
      <diagonal/>
    </border>
    <border>
      <left style="medium">
        <color rgb="FF999999"/>
      </left>
      <right/>
      <top style="medium">
        <color rgb="FF999999"/>
      </top>
      <bottom/>
      <diagonal/>
    </border>
    <border>
      <left style="medium">
        <color rgb="FF999999"/>
      </left>
      <right style="medium">
        <color rgb="FF999999"/>
      </right>
      <top style="medium">
        <color rgb="FF999999"/>
      </top>
      <bottom/>
      <diagonal/>
    </border>
    <border>
      <left style="medium">
        <color rgb="FF999999"/>
      </left>
      <right/>
      <top/>
      <bottom/>
      <diagonal/>
    </border>
    <border>
      <left style="medium">
        <color rgb="FF999999"/>
      </left>
      <right style="medium">
        <color rgb="FF999999"/>
      </right>
      <top/>
      <bottom/>
      <diagonal/>
    </border>
    <border>
      <left style="medium">
        <color rgb="FF999999"/>
      </left>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right style="thick">
        <color indexed="64"/>
      </right>
      <top/>
      <bottom/>
      <diagonal/>
    </border>
    <border>
      <left style="thin">
        <color indexed="64"/>
      </left>
      <right/>
      <top style="thin">
        <color indexed="8"/>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8"/>
      </bottom>
      <diagonal/>
    </border>
    <border>
      <left/>
      <right/>
      <top/>
      <bottom style="thin">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auto="1"/>
      </bottom>
      <diagonal/>
    </border>
    <border>
      <left style="thin">
        <color indexed="64"/>
      </left>
      <right style="thin">
        <color indexed="64"/>
      </right>
      <top/>
      <bottom style="thin">
        <color indexed="8"/>
      </bottom>
      <diagonal/>
    </border>
    <border>
      <left/>
      <right/>
      <top/>
      <bottom style="thin">
        <color indexed="64"/>
      </bottom>
      <diagonal/>
    </border>
    <border>
      <left/>
      <right style="medium">
        <color indexed="64"/>
      </right>
      <top/>
      <bottom style="thin">
        <color auto="1"/>
      </bottom>
      <diagonal/>
    </border>
    <border>
      <left/>
      <right style="thin">
        <color indexed="64"/>
      </right>
      <top/>
      <bottom style="thin">
        <color indexed="64"/>
      </bottom>
      <diagonal/>
    </border>
    <border>
      <left/>
      <right/>
      <top/>
      <bottom style="thin">
        <color indexed="8"/>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double">
        <color indexed="64"/>
      </top>
      <bottom/>
      <diagonal/>
    </border>
    <border>
      <left/>
      <right style="thin">
        <color indexed="64"/>
      </right>
      <top style="thin">
        <color indexed="8"/>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auto="1"/>
      </right>
      <top style="thin">
        <color auto="1"/>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8"/>
      </top>
      <bottom style="thin">
        <color indexed="8"/>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thin">
        <color auto="1"/>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bottom style="thin">
        <color indexed="8"/>
      </bottom>
      <diagonal/>
    </border>
    <border>
      <left style="thin">
        <color indexed="64"/>
      </left>
      <right/>
      <top/>
      <bottom style="thin">
        <color auto="1"/>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auto="1"/>
      </top>
      <bottom/>
      <diagonal/>
    </border>
    <border>
      <left/>
      <right style="medium">
        <color indexed="64"/>
      </right>
      <top style="thin">
        <color indexed="64"/>
      </top>
      <bottom style="double">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389">
    <xf numFmtId="188" fontId="0" fillId="0" borderId="0"/>
    <xf numFmtId="188" fontId="70" fillId="0" borderId="0"/>
    <xf numFmtId="188" fontId="69" fillId="0" borderId="0"/>
    <xf numFmtId="188" fontId="69" fillId="0" borderId="0"/>
    <xf numFmtId="188" fontId="69" fillId="0" borderId="0"/>
    <xf numFmtId="188" fontId="70" fillId="0" borderId="0"/>
    <xf numFmtId="188" fontId="69" fillId="0" borderId="0"/>
    <xf numFmtId="188" fontId="101" fillId="0" borderId="0"/>
    <xf numFmtId="188" fontId="73" fillId="0" borderId="0"/>
    <xf numFmtId="188" fontId="73" fillId="0" borderId="0"/>
    <xf numFmtId="188" fontId="73" fillId="0" borderId="0"/>
    <xf numFmtId="188" fontId="73" fillId="0" borderId="0"/>
    <xf numFmtId="188" fontId="77" fillId="0" borderId="0"/>
    <xf numFmtId="188" fontId="70" fillId="0" borderId="0"/>
    <xf numFmtId="188" fontId="79" fillId="2" borderId="0" applyNumberFormat="0" applyBorder="0" applyAlignment="0" applyProtection="0"/>
    <xf numFmtId="188" fontId="79" fillId="3" borderId="0" applyNumberFormat="0" applyBorder="0" applyAlignment="0" applyProtection="0"/>
    <xf numFmtId="188" fontId="79" fillId="4" borderId="0" applyNumberFormat="0" applyBorder="0" applyAlignment="0" applyProtection="0"/>
    <xf numFmtId="188" fontId="79" fillId="5" borderId="0" applyNumberFormat="0" applyBorder="0" applyAlignment="0" applyProtection="0"/>
    <xf numFmtId="188" fontId="79" fillId="6" borderId="0" applyNumberFormat="0" applyBorder="0" applyAlignment="0" applyProtection="0"/>
    <xf numFmtId="188" fontId="79" fillId="7" borderId="0" applyNumberFormat="0" applyBorder="0" applyAlignment="0" applyProtection="0"/>
    <xf numFmtId="188" fontId="79" fillId="7" borderId="0" applyNumberFormat="0" applyBorder="0" applyAlignment="0" applyProtection="0"/>
    <xf numFmtId="188" fontId="79" fillId="8" borderId="0" applyNumberFormat="0" applyBorder="0" applyAlignment="0" applyProtection="0"/>
    <xf numFmtId="188" fontId="79" fillId="9" borderId="0" applyNumberFormat="0" applyBorder="0" applyAlignment="0" applyProtection="0"/>
    <xf numFmtId="188" fontId="79" fillId="7" borderId="0" applyNumberFormat="0" applyBorder="0" applyAlignment="0" applyProtection="0"/>
    <xf numFmtId="188" fontId="79" fillId="6" borderId="0" applyNumberFormat="0" applyBorder="0" applyAlignment="0" applyProtection="0"/>
    <xf numFmtId="188" fontId="79" fillId="9" borderId="0" applyNumberFormat="0" applyBorder="0" applyAlignment="0" applyProtection="0"/>
    <xf numFmtId="188" fontId="79" fillId="10" borderId="0" applyNumberFormat="0" applyBorder="0" applyAlignment="0" applyProtection="0"/>
    <xf numFmtId="188" fontId="79" fillId="8" borderId="0" applyNumberFormat="0" applyBorder="0" applyAlignment="0" applyProtection="0"/>
    <xf numFmtId="188" fontId="79" fillId="11" borderId="0" applyNumberFormat="0" applyBorder="0" applyAlignment="0" applyProtection="0"/>
    <xf numFmtId="188" fontId="79" fillId="5" borderId="0" applyNumberFormat="0" applyBorder="0" applyAlignment="0" applyProtection="0"/>
    <xf numFmtId="188" fontId="79" fillId="10" borderId="0" applyNumberFormat="0" applyBorder="0" applyAlignment="0" applyProtection="0"/>
    <xf numFmtId="188" fontId="79" fillId="12" borderId="0" applyNumberFormat="0" applyBorder="0" applyAlignment="0" applyProtection="0"/>
    <xf numFmtId="188" fontId="79" fillId="13" borderId="0" applyNumberFormat="0" applyBorder="0" applyAlignment="0" applyProtection="0"/>
    <xf numFmtId="188" fontId="79" fillId="8" borderId="0" applyNumberFormat="0" applyBorder="0" applyAlignment="0" applyProtection="0"/>
    <xf numFmtId="188" fontId="79" fillId="14" borderId="0" applyNumberFormat="0" applyBorder="0" applyAlignment="0" applyProtection="0"/>
    <xf numFmtId="188" fontId="79" fillId="13" borderId="0" applyNumberFormat="0" applyBorder="0" applyAlignment="0" applyProtection="0"/>
    <xf numFmtId="188" fontId="79" fillId="10" borderId="0" applyNumberFormat="0" applyBorder="0" applyAlignment="0" applyProtection="0"/>
    <xf numFmtId="188" fontId="79" fillId="14" borderId="0" applyNumberFormat="0" applyBorder="0" applyAlignment="0" applyProtection="0"/>
    <xf numFmtId="188" fontId="80" fillId="15" borderId="0" applyNumberFormat="0" applyBorder="0" applyAlignment="0" applyProtection="0"/>
    <xf numFmtId="188" fontId="80" fillId="8" borderId="0" applyNumberFormat="0" applyBorder="0" applyAlignment="0" applyProtection="0"/>
    <xf numFmtId="188" fontId="80" fillId="11" borderId="0" applyNumberFormat="0" applyBorder="0" applyAlignment="0" applyProtection="0"/>
    <xf numFmtId="188" fontId="80" fillId="16" borderId="0" applyNumberFormat="0" applyBorder="0" applyAlignment="0" applyProtection="0"/>
    <xf numFmtId="188" fontId="80" fillId="17" borderId="0" applyNumberFormat="0" applyBorder="0" applyAlignment="0" applyProtection="0"/>
    <xf numFmtId="188" fontId="80" fillId="18" borderId="0" applyNumberFormat="0" applyBorder="0" applyAlignment="0" applyProtection="0"/>
    <xf numFmtId="188" fontId="80" fillId="17" borderId="0" applyNumberFormat="0" applyBorder="0" applyAlignment="0" applyProtection="0"/>
    <xf numFmtId="188" fontId="80" fillId="8" borderId="0" applyNumberFormat="0" applyBorder="0" applyAlignment="0" applyProtection="0"/>
    <xf numFmtId="188" fontId="80" fillId="14" borderId="0" applyNumberFormat="0" applyBorder="0" applyAlignment="0" applyProtection="0"/>
    <xf numFmtId="188" fontId="80" fillId="13" borderId="0" applyNumberFormat="0" applyBorder="0" applyAlignment="0" applyProtection="0"/>
    <xf numFmtId="188" fontId="80" fillId="17" borderId="0" applyNumberFormat="0" applyBorder="0" applyAlignment="0" applyProtection="0"/>
    <xf numFmtId="188" fontId="80" fillId="8" borderId="0" applyNumberFormat="0" applyBorder="0" applyAlignment="0" applyProtection="0"/>
    <xf numFmtId="188" fontId="80" fillId="19" borderId="0" applyNumberFormat="0" applyBorder="0" applyAlignment="0" applyProtection="0"/>
    <xf numFmtId="188" fontId="80" fillId="20" borderId="0" applyNumberFormat="0" applyBorder="0" applyAlignment="0" applyProtection="0"/>
    <xf numFmtId="188" fontId="80" fillId="21" borderId="0" applyNumberFormat="0" applyBorder="0" applyAlignment="0" applyProtection="0"/>
    <xf numFmtId="188" fontId="80" fillId="16" borderId="0" applyNumberFormat="0" applyBorder="0" applyAlignment="0" applyProtection="0"/>
    <xf numFmtId="188" fontId="80" fillId="17" borderId="0" applyNumberFormat="0" applyBorder="0" applyAlignment="0" applyProtection="0"/>
    <xf numFmtId="188" fontId="80" fillId="22" borderId="0" applyNumberFormat="0" applyBorder="0" applyAlignment="0" applyProtection="0"/>
    <xf numFmtId="188" fontId="81" fillId="3" borderId="0" applyNumberFormat="0" applyBorder="0" applyAlignment="0" applyProtection="0"/>
    <xf numFmtId="188" fontId="82" fillId="13" borderId="1" applyNumberFormat="0" applyAlignment="0" applyProtection="0"/>
    <xf numFmtId="188" fontId="83" fillId="23" borderId="2" applyNumberFormat="0" applyAlignment="0" applyProtection="0"/>
    <xf numFmtId="165" fontId="69" fillId="0" borderId="0" applyFont="0" applyFill="0" applyBorder="0" applyAlignment="0" applyProtection="0"/>
    <xf numFmtId="43" fontId="69" fillId="0" borderId="0" applyFont="0" applyFill="0" applyBorder="0" applyAlignment="0" applyProtection="0"/>
    <xf numFmtId="165" fontId="69" fillId="0" borderId="0" applyFont="0" applyFill="0" applyBorder="0" applyAlignment="0" applyProtection="0"/>
    <xf numFmtId="43" fontId="106" fillId="0" borderId="0" applyFont="0" applyFill="0" applyBorder="0" applyAlignment="0" applyProtection="0"/>
    <xf numFmtId="188" fontId="107" fillId="0" borderId="0"/>
    <xf numFmtId="43" fontId="108" fillId="0" borderId="0" applyFont="0" applyFill="0" applyBorder="0" applyAlignment="0" applyProtection="0"/>
    <xf numFmtId="43" fontId="69" fillId="0" borderId="0" applyFont="0" applyFill="0" applyBorder="0" applyAlignment="0" applyProtection="0"/>
    <xf numFmtId="42" fontId="73" fillId="0" borderId="0" applyFont="0" applyFill="0" applyBorder="0" applyAlignment="0" applyProtection="0"/>
    <xf numFmtId="44" fontId="69" fillId="0" borderId="0" applyFont="0" applyFill="0" applyBorder="0" applyAlignment="0" applyProtection="0"/>
    <xf numFmtId="44" fontId="69" fillId="0" borderId="0" applyFont="0" applyFill="0" applyBorder="0" applyAlignment="0" applyProtection="0"/>
    <xf numFmtId="44" fontId="106" fillId="0" borderId="0" applyFont="0" applyFill="0" applyBorder="0" applyAlignment="0" applyProtection="0"/>
    <xf numFmtId="44" fontId="108" fillId="0" borderId="0" applyFont="0" applyFill="0" applyBorder="0" applyAlignment="0" applyProtection="0"/>
    <xf numFmtId="188" fontId="69" fillId="0" borderId="0" applyFont="0" applyFill="0" applyBorder="0" applyAlignment="0" applyProtection="0"/>
    <xf numFmtId="188" fontId="84" fillId="0" borderId="0" applyNumberFormat="0" applyFill="0" applyBorder="0" applyAlignment="0" applyProtection="0"/>
    <xf numFmtId="188" fontId="85" fillId="4" borderId="0" applyNumberFormat="0" applyBorder="0" applyAlignment="0" applyProtection="0"/>
    <xf numFmtId="188" fontId="111" fillId="31" borderId="0" applyNumberFormat="0" applyBorder="0" applyAlignment="0" applyProtection="0"/>
    <xf numFmtId="38" fontId="78" fillId="24" borderId="0" applyNumberFormat="0" applyBorder="0" applyAlignment="0" applyProtection="0"/>
    <xf numFmtId="188" fontId="102" fillId="0" borderId="0">
      <alignment horizontal="left"/>
    </xf>
    <xf numFmtId="188" fontId="86" fillId="0" borderId="3" applyNumberFormat="0" applyFill="0" applyAlignment="0" applyProtection="0"/>
    <xf numFmtId="188" fontId="87" fillId="0" borderId="4" applyNumberFormat="0" applyFill="0" applyAlignment="0" applyProtection="0"/>
    <xf numFmtId="188" fontId="88" fillId="0" borderId="5" applyNumberFormat="0" applyFill="0" applyAlignment="0" applyProtection="0"/>
    <xf numFmtId="188" fontId="88" fillId="0" borderId="0" applyNumberFormat="0" applyFill="0" applyBorder="0" applyAlignment="0" applyProtection="0"/>
    <xf numFmtId="188" fontId="89" fillId="7" borderId="1" applyNumberFormat="0" applyAlignment="0" applyProtection="0"/>
    <xf numFmtId="10" fontId="78" fillId="25" borderId="6" applyNumberFormat="0" applyBorder="0" applyAlignment="0" applyProtection="0"/>
    <xf numFmtId="188" fontId="89" fillId="7" borderId="1" applyNumberFormat="0" applyAlignment="0" applyProtection="0"/>
    <xf numFmtId="188" fontId="90" fillId="0" borderId="7" applyNumberFormat="0" applyFill="0" applyAlignment="0" applyProtection="0"/>
    <xf numFmtId="188" fontId="72" fillId="0" borderId="0" applyNumberFormat="0">
      <alignment horizontal="left"/>
    </xf>
    <xf numFmtId="170" fontId="71" fillId="0" borderId="8" applyNumberFormat="0">
      <alignment horizontal="right"/>
    </xf>
    <xf numFmtId="188" fontId="91" fillId="14" borderId="0" applyNumberFormat="0" applyBorder="0" applyAlignment="0" applyProtection="0"/>
    <xf numFmtId="182" fontId="103" fillId="0" borderId="0"/>
    <xf numFmtId="188" fontId="112"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07"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2" fillId="0" borderId="0"/>
    <xf numFmtId="188" fontId="112" fillId="0" borderId="0"/>
    <xf numFmtId="188" fontId="112" fillId="0" borderId="0"/>
    <xf numFmtId="188" fontId="112" fillId="0" borderId="0"/>
    <xf numFmtId="188" fontId="112" fillId="0" borderId="0"/>
    <xf numFmtId="188" fontId="112" fillId="0" borderId="0"/>
    <xf numFmtId="188" fontId="112" fillId="0" borderId="0"/>
    <xf numFmtId="188" fontId="112" fillId="0" borderId="0"/>
    <xf numFmtId="188" fontId="114" fillId="0" borderId="0"/>
    <xf numFmtId="188" fontId="112" fillId="0" borderId="0"/>
    <xf numFmtId="188" fontId="112" fillId="0" borderId="0"/>
    <xf numFmtId="188" fontId="112" fillId="0" borderId="0"/>
    <xf numFmtId="188" fontId="108"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69" fillId="0" borderId="0"/>
    <xf numFmtId="188" fontId="70"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06"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2"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2"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113" fillId="0" borderId="0"/>
    <xf numFmtId="188" fontId="69" fillId="0" borderId="0"/>
    <xf numFmtId="188" fontId="69" fillId="0" borderId="0"/>
    <xf numFmtId="188" fontId="70" fillId="0" borderId="0"/>
    <xf numFmtId="188" fontId="69" fillId="0" borderId="0"/>
    <xf numFmtId="37" fontId="68" fillId="0" borderId="0"/>
    <xf numFmtId="38" fontId="72" fillId="0" borderId="0"/>
    <xf numFmtId="170" fontId="72" fillId="0" borderId="0"/>
    <xf numFmtId="170" fontId="72" fillId="0" borderId="0"/>
    <xf numFmtId="170" fontId="69" fillId="0" borderId="0"/>
    <xf numFmtId="188" fontId="69" fillId="0" borderId="0"/>
    <xf numFmtId="188" fontId="92" fillId="9" borderId="9" applyNumberFormat="0" applyFont="0" applyAlignment="0" applyProtection="0"/>
    <xf numFmtId="188" fontId="93" fillId="13" borderId="10" applyNumberFormat="0" applyAlignment="0" applyProtection="0"/>
    <xf numFmtId="9" fontId="69" fillId="0" borderId="0" applyFont="0" applyFill="0" applyBorder="0" applyAlignment="0" applyProtection="0"/>
    <xf numFmtId="10" fontId="101" fillId="0" borderId="0" applyFont="0" applyFill="0" applyBorder="0" applyAlignment="0" applyProtection="0"/>
    <xf numFmtId="9" fontId="106" fillId="0" borderId="0" applyFont="0" applyFill="0" applyBorder="0" applyAlignment="0" applyProtection="0"/>
    <xf numFmtId="9" fontId="69" fillId="0" borderId="0" applyFont="0" applyFill="0" applyBorder="0" applyAlignment="0" applyProtection="0"/>
    <xf numFmtId="9" fontId="108" fillId="0" borderId="0" applyFont="0" applyFill="0" applyBorder="0" applyAlignment="0" applyProtection="0"/>
    <xf numFmtId="188" fontId="73" fillId="0" borderId="0"/>
    <xf numFmtId="188" fontId="94" fillId="0" borderId="0" applyNumberFormat="0" applyFill="0" applyBorder="0" applyAlignment="0" applyProtection="0"/>
    <xf numFmtId="188" fontId="95" fillId="0" borderId="11" applyNumberFormat="0" applyFill="0" applyAlignment="0" applyProtection="0"/>
    <xf numFmtId="188" fontId="96" fillId="0" borderId="0" applyNumberFormat="0" applyFill="0" applyBorder="0" applyAlignment="0" applyProtection="0"/>
    <xf numFmtId="188" fontId="80" fillId="17" borderId="0" applyNumberFormat="0" applyBorder="0" applyAlignment="0" applyProtection="0"/>
    <xf numFmtId="188" fontId="80" fillId="20" borderId="0" applyNumberFormat="0" applyBorder="0" applyAlignment="0" applyProtection="0"/>
    <xf numFmtId="188" fontId="80" fillId="21" borderId="0" applyNumberFormat="0" applyBorder="0" applyAlignment="0" applyProtection="0"/>
    <xf numFmtId="188" fontId="80" fillId="26" borderId="0" applyNumberFormat="0" applyBorder="0" applyAlignment="0" applyProtection="0"/>
    <xf numFmtId="188" fontId="80" fillId="17" borderId="0" applyNumberFormat="0" applyBorder="0" applyAlignment="0" applyProtection="0"/>
    <xf numFmtId="188" fontId="80" fillId="22" borderId="0" applyNumberFormat="0" applyBorder="0" applyAlignment="0" applyProtection="0"/>
    <xf numFmtId="188" fontId="70" fillId="9" borderId="9" applyNumberFormat="0" applyFont="0" applyAlignment="0" applyProtection="0"/>
    <xf numFmtId="188" fontId="82" fillId="27" borderId="1" applyNumberFormat="0" applyAlignment="0" applyProtection="0"/>
    <xf numFmtId="188" fontId="85" fillId="4" borderId="0" applyNumberFormat="0" applyBorder="0" applyAlignment="0" applyProtection="0"/>
    <xf numFmtId="188" fontId="96" fillId="0" borderId="0" applyNumberFormat="0" applyFill="0" applyBorder="0" applyAlignment="0" applyProtection="0"/>
    <xf numFmtId="188" fontId="84" fillId="0" borderId="0" applyNumberFormat="0" applyFill="0" applyBorder="0" applyAlignment="0" applyProtection="0"/>
    <xf numFmtId="188" fontId="97" fillId="0" borderId="0" applyNumberFormat="0" applyFill="0" applyBorder="0" applyAlignment="0" applyProtection="0"/>
    <xf numFmtId="188" fontId="98" fillId="0" borderId="12" applyNumberFormat="0" applyFill="0" applyAlignment="0" applyProtection="0"/>
    <xf numFmtId="188" fontId="99" fillId="0" borderId="4" applyNumberFormat="0" applyFill="0" applyAlignment="0" applyProtection="0"/>
    <xf numFmtId="188" fontId="100" fillId="0" borderId="13" applyNumberFormat="0" applyFill="0" applyAlignment="0" applyProtection="0"/>
    <xf numFmtId="188" fontId="100" fillId="0" borderId="0" applyNumberFormat="0" applyFill="0" applyBorder="0" applyAlignment="0" applyProtection="0"/>
    <xf numFmtId="188" fontId="91" fillId="14" borderId="0" applyNumberFormat="0" applyBorder="0" applyAlignment="0" applyProtection="0"/>
    <xf numFmtId="188" fontId="95" fillId="0" borderId="14" applyNumberFormat="0" applyFill="0" applyAlignment="0" applyProtection="0"/>
    <xf numFmtId="188" fontId="93" fillId="27" borderId="10" applyNumberFormat="0" applyAlignment="0" applyProtection="0"/>
    <xf numFmtId="188" fontId="89" fillId="14" borderId="1" applyNumberFormat="0" applyAlignment="0" applyProtection="0"/>
    <xf numFmtId="188" fontId="81" fillId="3" borderId="0" applyNumberFormat="0" applyBorder="0" applyAlignment="0" applyProtection="0"/>
    <xf numFmtId="188" fontId="115" fillId="32" borderId="0" applyNumberFormat="0" applyBorder="0" applyAlignment="0" applyProtection="0"/>
    <xf numFmtId="188" fontId="83" fillId="23" borderId="2" applyNumberFormat="0" applyAlignment="0" applyProtection="0"/>
    <xf numFmtId="188" fontId="90" fillId="0" borderId="7" applyNumberFormat="0" applyFill="0" applyAlignment="0" applyProtection="0"/>
    <xf numFmtId="188" fontId="70" fillId="0" borderId="0"/>
    <xf numFmtId="43" fontId="69" fillId="0" borderId="0" applyFont="0" applyFill="0" applyBorder="0" applyAlignment="0" applyProtection="0"/>
    <xf numFmtId="188" fontId="67" fillId="0" borderId="0"/>
    <xf numFmtId="44" fontId="67" fillId="0" borderId="0" applyFont="0" applyFill="0" applyBorder="0" applyAlignment="0" applyProtection="0"/>
    <xf numFmtId="44" fontId="70" fillId="0" borderId="0" applyFont="0" applyFill="0" applyBorder="0" applyAlignment="0" applyProtection="0"/>
    <xf numFmtId="188" fontId="130" fillId="0" borderId="0" applyNumberFormat="0" applyFill="0" applyBorder="0" applyAlignment="0" applyProtection="0"/>
    <xf numFmtId="0" fontId="66" fillId="0" borderId="0"/>
    <xf numFmtId="43" fontId="66" fillId="0" borderId="0" applyFont="0" applyFill="0" applyBorder="0" applyAlignment="0" applyProtection="0"/>
    <xf numFmtId="9" fontId="66" fillId="0" borderId="0" applyFont="0" applyFill="0" applyBorder="0" applyAlignment="0" applyProtection="0"/>
    <xf numFmtId="0" fontId="65" fillId="0" borderId="0"/>
    <xf numFmtId="43" fontId="65" fillId="0" borderId="0" applyFont="0" applyFill="0" applyBorder="0" applyAlignment="0" applyProtection="0"/>
    <xf numFmtId="0" fontId="65" fillId="0" borderId="0"/>
    <xf numFmtId="0" fontId="78" fillId="0" borderId="0"/>
    <xf numFmtId="43" fontId="78" fillId="0" borderId="0" applyFont="0" applyFill="0" applyBorder="0" applyAlignment="0" applyProtection="0"/>
    <xf numFmtId="44" fontId="65" fillId="0" borderId="0" applyFont="0" applyFill="0" applyBorder="0" applyAlignment="0" applyProtection="0"/>
    <xf numFmtId="0" fontId="65" fillId="0" borderId="0"/>
    <xf numFmtId="0" fontId="65" fillId="0" borderId="0"/>
    <xf numFmtId="0" fontId="78" fillId="0" borderId="0"/>
    <xf numFmtId="0" fontId="65" fillId="0" borderId="0"/>
    <xf numFmtId="164" fontId="65" fillId="0" borderId="0" applyFont="0" applyFill="0" applyBorder="0" applyAlignment="0" applyProtection="0"/>
    <xf numFmtId="0" fontId="69" fillId="0" borderId="0"/>
    <xf numFmtId="0" fontId="69" fillId="0" borderId="0"/>
    <xf numFmtId="0" fontId="78" fillId="0" borderId="0"/>
    <xf numFmtId="165" fontId="65" fillId="0" borderId="0" applyFont="0" applyFill="0" applyBorder="0" applyAlignment="0" applyProtection="0"/>
    <xf numFmtId="0" fontId="187" fillId="0" borderId="0" applyNumberFormat="0" applyFill="0" applyBorder="0" applyAlignment="0" applyProtection="0"/>
    <xf numFmtId="0" fontId="188" fillId="0" borderId="162" applyNumberFormat="0" applyFill="0" applyAlignment="0" applyProtection="0"/>
    <xf numFmtId="0" fontId="189" fillId="0" borderId="163" applyNumberFormat="0" applyFill="0" applyAlignment="0" applyProtection="0"/>
    <xf numFmtId="0" fontId="190" fillId="0" borderId="164" applyNumberFormat="0" applyFill="0" applyAlignment="0" applyProtection="0"/>
    <xf numFmtId="0" fontId="190" fillId="0" borderId="0" applyNumberFormat="0" applyFill="0" applyBorder="0" applyAlignment="0" applyProtection="0"/>
    <xf numFmtId="0" fontId="191" fillId="31" borderId="0" applyNumberFormat="0" applyBorder="0" applyAlignment="0" applyProtection="0"/>
    <xf numFmtId="0" fontId="115" fillId="32" borderId="0" applyNumberFormat="0" applyBorder="0" applyAlignment="0" applyProtection="0"/>
    <xf numFmtId="0" fontId="192" fillId="67" borderId="0" applyNumberFormat="0" applyBorder="0" applyAlignment="0" applyProtection="0"/>
    <xf numFmtId="0" fontId="193" fillId="68" borderId="165" applyNumberFormat="0" applyAlignment="0" applyProtection="0"/>
    <xf numFmtId="0" fontId="194" fillId="69" borderId="166" applyNumberFormat="0" applyAlignment="0" applyProtection="0"/>
    <xf numFmtId="0" fontId="195" fillId="69" borderId="165" applyNumberFormat="0" applyAlignment="0" applyProtection="0"/>
    <xf numFmtId="0" fontId="196" fillId="0" borderId="167" applyNumberFormat="0" applyFill="0" applyAlignment="0" applyProtection="0"/>
    <xf numFmtId="0" fontId="197" fillId="70" borderId="168" applyNumberFormat="0" applyAlignment="0" applyProtection="0"/>
    <xf numFmtId="0" fontId="198" fillId="0" borderId="0" applyNumberFormat="0" applyFill="0" applyBorder="0" applyAlignment="0" applyProtection="0"/>
    <xf numFmtId="0" fontId="65" fillId="71" borderId="169" applyNumberFormat="0" applyFont="0" applyAlignment="0" applyProtection="0"/>
    <xf numFmtId="0" fontId="199" fillId="0" borderId="0" applyNumberFormat="0" applyFill="0" applyBorder="0" applyAlignment="0" applyProtection="0"/>
    <xf numFmtId="0" fontId="200" fillId="0" borderId="170" applyNumberFormat="0" applyFill="0" applyAlignment="0" applyProtection="0"/>
    <xf numFmtId="0" fontId="201" fillId="72" borderId="0" applyNumberFormat="0" applyBorder="0" applyAlignment="0" applyProtection="0"/>
    <xf numFmtId="0" fontId="65" fillId="73" borderId="0" applyNumberFormat="0" applyBorder="0" applyAlignment="0" applyProtection="0"/>
    <xf numFmtId="0" fontId="65" fillId="74" borderId="0" applyNumberFormat="0" applyBorder="0" applyAlignment="0" applyProtection="0"/>
    <xf numFmtId="0" fontId="201" fillId="75" borderId="0" applyNumberFormat="0" applyBorder="0" applyAlignment="0" applyProtection="0"/>
    <xf numFmtId="0" fontId="201" fillId="76" borderId="0" applyNumberFormat="0" applyBorder="0" applyAlignment="0" applyProtection="0"/>
    <xf numFmtId="0" fontId="65" fillId="77" borderId="0" applyNumberFormat="0" applyBorder="0" applyAlignment="0" applyProtection="0"/>
    <xf numFmtId="0" fontId="65" fillId="78" borderId="0" applyNumberFormat="0" applyBorder="0" applyAlignment="0" applyProtection="0"/>
    <xf numFmtId="0" fontId="201" fillId="79" borderId="0" applyNumberFormat="0" applyBorder="0" applyAlignment="0" applyProtection="0"/>
    <xf numFmtId="0" fontId="201" fillId="80" borderId="0" applyNumberFormat="0" applyBorder="0" applyAlignment="0" applyProtection="0"/>
    <xf numFmtId="0" fontId="65" fillId="81" borderId="0" applyNumberFormat="0" applyBorder="0" applyAlignment="0" applyProtection="0"/>
    <xf numFmtId="0" fontId="65" fillId="82" borderId="0" applyNumberFormat="0" applyBorder="0" applyAlignment="0" applyProtection="0"/>
    <xf numFmtId="0" fontId="201" fillId="83" borderId="0" applyNumberFormat="0" applyBorder="0" applyAlignment="0" applyProtection="0"/>
    <xf numFmtId="0" fontId="201" fillId="84" borderId="0" applyNumberFormat="0" applyBorder="0" applyAlignment="0" applyProtection="0"/>
    <xf numFmtId="0" fontId="65" fillId="85" borderId="0" applyNumberFormat="0" applyBorder="0" applyAlignment="0" applyProtection="0"/>
    <xf numFmtId="0" fontId="65" fillId="86" borderId="0" applyNumberFormat="0" applyBorder="0" applyAlignment="0" applyProtection="0"/>
    <xf numFmtId="0" fontId="201" fillId="87" borderId="0" applyNumberFormat="0" applyBorder="0" applyAlignment="0" applyProtection="0"/>
    <xf numFmtId="0" fontId="201" fillId="88" borderId="0" applyNumberFormat="0" applyBorder="0" applyAlignment="0" applyProtection="0"/>
    <xf numFmtId="0" fontId="65" fillId="89" borderId="0" applyNumberFormat="0" applyBorder="0" applyAlignment="0" applyProtection="0"/>
    <xf numFmtId="0" fontId="65" fillId="90" borderId="0" applyNumberFormat="0" applyBorder="0" applyAlignment="0" applyProtection="0"/>
    <xf numFmtId="0" fontId="201" fillId="91" borderId="0" applyNumberFormat="0" applyBorder="0" applyAlignment="0" applyProtection="0"/>
    <xf numFmtId="0" fontId="201" fillId="92" borderId="0" applyNumberFormat="0" applyBorder="0" applyAlignment="0" applyProtection="0"/>
    <xf numFmtId="0" fontId="65" fillId="93" borderId="0" applyNumberFormat="0" applyBorder="0" applyAlignment="0" applyProtection="0"/>
    <xf numFmtId="0" fontId="65" fillId="94" borderId="0" applyNumberFormat="0" applyBorder="0" applyAlignment="0" applyProtection="0"/>
    <xf numFmtId="0" fontId="201" fillId="95" borderId="0" applyNumberFormat="0" applyBorder="0" applyAlignment="0" applyProtection="0"/>
    <xf numFmtId="0" fontId="78" fillId="0" borderId="0"/>
    <xf numFmtId="0" fontId="78" fillId="0" borderId="0"/>
    <xf numFmtId="0" fontId="65" fillId="0" borderId="0"/>
    <xf numFmtId="43" fontId="65" fillId="0" borderId="0" applyFont="0" applyFill="0" applyBorder="0" applyAlignment="0" applyProtection="0"/>
    <xf numFmtId="0" fontId="65" fillId="0" borderId="0"/>
    <xf numFmtId="43" fontId="65" fillId="0" borderId="0" applyFont="0" applyFill="0" applyBorder="0" applyAlignment="0" applyProtection="0"/>
    <xf numFmtId="9" fontId="65" fillId="0" borderId="0" applyFont="0" applyFill="0" applyBorder="0" applyAlignment="0" applyProtection="0"/>
    <xf numFmtId="0" fontId="128" fillId="0" borderId="0"/>
    <xf numFmtId="0" fontId="69" fillId="0" borderId="0"/>
    <xf numFmtId="0" fontId="146" fillId="0" borderId="0" applyNumberFormat="0" applyFill="0" applyBorder="0" applyAlignment="0" applyProtection="0">
      <alignment vertical="top"/>
      <protection locked="0"/>
    </xf>
    <xf numFmtId="39" fontId="202" fillId="0" borderId="0"/>
    <xf numFmtId="9" fontId="78" fillId="0" borderId="0" applyFont="0" applyFill="0" applyBorder="0" applyAlignment="0" applyProtection="0"/>
    <xf numFmtId="0" fontId="65" fillId="0" borderId="0"/>
    <xf numFmtId="43" fontId="65" fillId="0" borderId="0" applyFont="0" applyFill="0" applyBorder="0" applyAlignment="0" applyProtection="0"/>
    <xf numFmtId="0" fontId="203" fillId="0" borderId="0"/>
    <xf numFmtId="9" fontId="65" fillId="0" borderId="0" applyFont="0" applyFill="0" applyBorder="0" applyAlignment="0" applyProtection="0"/>
    <xf numFmtId="0" fontId="78" fillId="0" borderId="0"/>
    <xf numFmtId="43" fontId="78" fillId="0" borderId="0" applyFont="0" applyFill="0" applyBorder="0" applyAlignment="0" applyProtection="0"/>
    <xf numFmtId="0" fontId="69" fillId="0" borderId="0"/>
    <xf numFmtId="0" fontId="78" fillId="0" borderId="0"/>
    <xf numFmtId="0" fontId="128" fillId="0" borderId="0"/>
    <xf numFmtId="0" fontId="65" fillId="0" borderId="0"/>
    <xf numFmtId="43" fontId="65" fillId="0" borderId="0" applyFont="0" applyFill="0" applyBorder="0" applyAlignment="0" applyProtection="0"/>
    <xf numFmtId="0" fontId="65" fillId="0" borderId="0"/>
    <xf numFmtId="43" fontId="204" fillId="0" borderId="0" applyFont="0" applyFill="0" applyBorder="0" applyAlignment="0" applyProtection="0"/>
    <xf numFmtId="0" fontId="128" fillId="0" borderId="0"/>
    <xf numFmtId="165" fontId="78" fillId="0" borderId="0" applyFont="0" applyFill="0" applyBorder="0" applyAlignment="0" applyProtection="0"/>
    <xf numFmtId="0" fontId="128" fillId="0" borderId="0"/>
    <xf numFmtId="0" fontId="65" fillId="0" borderId="0"/>
    <xf numFmtId="43" fontId="65" fillId="0" borderId="0" applyFont="0" applyFill="0" applyBorder="0" applyAlignment="0" applyProtection="0"/>
    <xf numFmtId="0" fontId="65" fillId="0" borderId="0"/>
    <xf numFmtId="43" fontId="65" fillId="0" borderId="0" applyFont="0" applyFill="0" applyBorder="0" applyAlignment="0" applyProtection="0"/>
    <xf numFmtId="0" fontId="65" fillId="0" borderId="0"/>
    <xf numFmtId="0" fontId="78" fillId="0" borderId="0"/>
    <xf numFmtId="0" fontId="65" fillId="0" borderId="0"/>
    <xf numFmtId="0" fontId="205" fillId="0" borderId="0"/>
    <xf numFmtId="9" fontId="205" fillId="0" borderId="0" applyFont="0" applyFill="0" applyBorder="0" applyAlignment="0" applyProtection="0"/>
    <xf numFmtId="164" fontId="65" fillId="0" borderId="0" applyFont="0" applyFill="0" applyBorder="0" applyAlignment="0" applyProtection="0"/>
    <xf numFmtId="43" fontId="205" fillId="0" borderId="0" applyFont="0" applyFill="0" applyBorder="0" applyAlignment="0" applyProtection="0"/>
    <xf numFmtId="0" fontId="69" fillId="0" borderId="0"/>
    <xf numFmtId="0" fontId="205" fillId="0" borderId="0"/>
    <xf numFmtId="43" fontId="205" fillId="0" borderId="0" applyFont="0" applyFill="0" applyBorder="0" applyAlignment="0" applyProtection="0"/>
    <xf numFmtId="43" fontId="69" fillId="0" borderId="0" applyFont="0" applyFill="0" applyBorder="0" applyAlignment="0" applyProtection="0"/>
    <xf numFmtId="0" fontId="65" fillId="0" borderId="0"/>
    <xf numFmtId="0" fontId="65" fillId="0" borderId="0"/>
    <xf numFmtId="0" fontId="65" fillId="0" borderId="0"/>
    <xf numFmtId="0" fontId="205" fillId="0" borderId="0"/>
    <xf numFmtId="0" fontId="65" fillId="0" borderId="0"/>
    <xf numFmtId="164" fontId="65" fillId="0" borderId="0" applyFont="0" applyFill="0" applyBorder="0" applyAlignment="0" applyProtection="0"/>
    <xf numFmtId="0" fontId="69" fillId="0" borderId="0"/>
    <xf numFmtId="0" fontId="65" fillId="0" borderId="0"/>
    <xf numFmtId="0" fontId="65" fillId="0" borderId="0"/>
    <xf numFmtId="43" fontId="65" fillId="0" borderId="0" applyFont="0" applyFill="0" applyBorder="0" applyAlignment="0" applyProtection="0"/>
    <xf numFmtId="0" fontId="65" fillId="0" borderId="0"/>
    <xf numFmtId="0" fontId="65" fillId="0" borderId="0"/>
    <xf numFmtId="0" fontId="65" fillId="0" borderId="0"/>
    <xf numFmtId="0" fontId="65" fillId="0" borderId="0"/>
    <xf numFmtId="0" fontId="65" fillId="0" borderId="0"/>
    <xf numFmtId="0" fontId="65" fillId="0" borderId="0"/>
    <xf numFmtId="43" fontId="65" fillId="0" borderId="0" applyFont="0" applyFill="0" applyBorder="0" applyAlignment="0" applyProtection="0"/>
    <xf numFmtId="0" fontId="65" fillId="0" borderId="0"/>
    <xf numFmtId="43" fontId="65" fillId="0" borderId="0" applyFont="0" applyFill="0" applyBorder="0" applyAlignment="0" applyProtection="0"/>
    <xf numFmtId="165" fontId="65" fillId="0" borderId="0" applyFont="0" applyFill="0" applyBorder="0" applyAlignment="0" applyProtection="0"/>
    <xf numFmtId="0" fontId="65" fillId="0" borderId="0"/>
    <xf numFmtId="0" fontId="65" fillId="0" borderId="0"/>
    <xf numFmtId="0" fontId="193" fillId="68" borderId="165" applyNumberFormat="0" applyAlignment="0" applyProtection="0"/>
    <xf numFmtId="0" fontId="78" fillId="0" borderId="0"/>
    <xf numFmtId="9" fontId="78" fillId="0" borderId="0" applyFont="0" applyFill="0" applyBorder="0" applyAlignment="0" applyProtection="0"/>
    <xf numFmtId="9" fontId="78" fillId="0" borderId="0" applyFont="0" applyFill="0" applyBorder="0" applyAlignment="0" applyProtection="0"/>
    <xf numFmtId="0" fontId="193" fillId="68" borderId="165" applyNumberFormat="0" applyAlignment="0" applyProtection="0"/>
    <xf numFmtId="0" fontId="22" fillId="0" borderId="0"/>
    <xf numFmtId="43" fontId="22" fillId="0" borderId="0" applyFont="0" applyFill="0" applyBorder="0" applyAlignment="0" applyProtection="0"/>
    <xf numFmtId="0" fontId="22" fillId="0" borderId="0"/>
  </cellStyleXfs>
  <cellXfs count="4640">
    <xf numFmtId="170" fontId="0" fillId="0" borderId="0" xfId="0" applyNumberFormat="1"/>
    <xf numFmtId="170" fontId="69" fillId="0" borderId="0" xfId="214" applyFont="1"/>
    <xf numFmtId="170" fontId="69" fillId="0" borderId="0" xfId="214" applyFont="1" applyAlignment="1">
      <alignment horizontal="right"/>
    </xf>
    <xf numFmtId="37" fontId="74" fillId="0" borderId="0" xfId="210" quotePrefix="1" applyFont="1" applyFill="1" applyBorder="1" applyAlignment="1">
      <alignment horizontal="left"/>
    </xf>
    <xf numFmtId="170" fontId="69" fillId="0" borderId="0" xfId="5" applyNumberFormat="1" applyFont="1" applyAlignment="1">
      <alignment horizontal="right"/>
    </xf>
    <xf numFmtId="37" fontId="69" fillId="0" borderId="0" xfId="210" applyFont="1" applyFill="1" applyBorder="1" applyAlignment="1">
      <alignment horizontal="left"/>
    </xf>
    <xf numFmtId="41" fontId="69" fillId="0" borderId="0" xfId="210" applyNumberFormat="1" applyFont="1" applyFill="1" applyBorder="1" applyAlignment="1">
      <alignment horizontal="right"/>
    </xf>
    <xf numFmtId="41" fontId="74" fillId="0" borderId="20" xfId="5" applyNumberFormat="1" applyFont="1" applyBorder="1" applyAlignment="1">
      <alignment horizontal="right"/>
    </xf>
    <xf numFmtId="37" fontId="74" fillId="0" borderId="0" xfId="210" applyFont="1" applyFill="1" applyBorder="1" applyAlignment="1">
      <alignment horizontal="left"/>
    </xf>
    <xf numFmtId="170" fontId="69" fillId="0" borderId="0" xfId="5" applyNumberFormat="1" applyFont="1" applyFill="1" applyAlignment="1">
      <alignment horizontal="right"/>
    </xf>
    <xf numFmtId="41" fontId="74" fillId="0" borderId="0" xfId="5" applyNumberFormat="1" applyFont="1" applyBorder="1" applyAlignment="1">
      <alignment horizontal="right"/>
    </xf>
    <xf numFmtId="170" fontId="69" fillId="0" borderId="0" xfId="5" applyNumberFormat="1" applyFont="1"/>
    <xf numFmtId="41" fontId="74" fillId="0" borderId="17" xfId="5" applyNumberFormat="1" applyFont="1" applyBorder="1" applyAlignment="1">
      <alignment horizontal="right"/>
    </xf>
    <xf numFmtId="41" fontId="105" fillId="0" borderId="0" xfId="210" applyNumberFormat="1" applyFont="1" applyFill="1" applyBorder="1" applyAlignment="1">
      <alignment horizontal="right"/>
    </xf>
    <xf numFmtId="41" fontId="74" fillId="0" borderId="0" xfId="210" applyNumberFormat="1" applyFont="1" applyFill="1" applyBorder="1" applyAlignment="1">
      <alignment horizontal="left"/>
    </xf>
    <xf numFmtId="37" fontId="74" fillId="0" borderId="0" xfId="210" applyFont="1" applyFill="1" applyBorder="1" applyAlignment="1"/>
    <xf numFmtId="41" fontId="69" fillId="0" borderId="0" xfId="210" applyNumberFormat="1" applyFont="1" applyFill="1" applyBorder="1" applyAlignment="1">
      <alignment horizontal="left"/>
    </xf>
    <xf numFmtId="37" fontId="69" fillId="0" borderId="0" xfId="210" applyFont="1"/>
    <xf numFmtId="41" fontId="74" fillId="0" borderId="20" xfId="210" applyNumberFormat="1" applyFont="1" applyFill="1" applyBorder="1" applyAlignment="1">
      <alignment horizontal="right"/>
    </xf>
    <xf numFmtId="41" fontId="74" fillId="0" borderId="0" xfId="210" applyNumberFormat="1" applyFont="1" applyFill="1" applyBorder="1" applyAlignment="1">
      <alignment horizontal="right"/>
    </xf>
    <xf numFmtId="41" fontId="69" fillId="0" borderId="0" xfId="5" applyNumberFormat="1" applyFont="1" applyAlignment="1">
      <alignment horizontal="right"/>
    </xf>
    <xf numFmtId="188" fontId="76" fillId="0" borderId="0" xfId="206" applyFont="1" applyFill="1" applyBorder="1" applyAlignment="1">
      <alignment horizontal="left"/>
    </xf>
    <xf numFmtId="188" fontId="69" fillId="0" borderId="0" xfId="206" applyFont="1" applyFill="1"/>
    <xf numFmtId="170" fontId="69" fillId="0" borderId="21" xfId="5" applyNumberFormat="1" applyFont="1" applyBorder="1" applyAlignment="1">
      <alignment horizontal="right"/>
    </xf>
    <xf numFmtId="41" fontId="69" fillId="0" borderId="21" xfId="210" applyNumberFormat="1" applyFont="1" applyFill="1" applyBorder="1" applyAlignment="1">
      <alignment horizontal="right"/>
    </xf>
    <xf numFmtId="188" fontId="74" fillId="0" borderId="0" xfId="206" applyFont="1" applyFill="1"/>
    <xf numFmtId="171" fontId="76" fillId="0" borderId="0" xfId="206" applyNumberFormat="1" applyFont="1" applyAlignment="1">
      <alignment horizontal="left"/>
    </xf>
    <xf numFmtId="170" fontId="69" fillId="0" borderId="21" xfId="5" applyNumberFormat="1" applyFont="1" applyFill="1" applyBorder="1" applyAlignment="1">
      <alignment horizontal="right"/>
    </xf>
    <xf numFmtId="170" fontId="69" fillId="0" borderId="39" xfId="5" applyNumberFormat="1" applyFont="1" applyFill="1" applyBorder="1" applyAlignment="1">
      <alignment horizontal="right"/>
    </xf>
    <xf numFmtId="170" fontId="69" fillId="0" borderId="0" xfId="5" applyNumberFormat="1" applyFont="1" applyBorder="1" applyAlignment="1">
      <alignment horizontal="right"/>
    </xf>
    <xf numFmtId="170" fontId="69" fillId="0" borderId="0" xfId="5" applyNumberFormat="1" applyFont="1" applyFill="1" applyBorder="1" applyAlignment="1">
      <alignment horizontal="right"/>
    </xf>
    <xf numFmtId="41" fontId="69" fillId="0" borderId="0" xfId="5" applyNumberFormat="1" applyFont="1" applyBorder="1" applyAlignment="1">
      <alignment horizontal="right"/>
    </xf>
    <xf numFmtId="170" fontId="69" fillId="0" borderId="0" xfId="0" applyNumberFormat="1" applyFont="1"/>
    <xf numFmtId="170" fontId="74" fillId="0" borderId="0" xfId="0" applyNumberFormat="1" applyFont="1"/>
    <xf numFmtId="170" fontId="76" fillId="0" borderId="8" xfId="1" applyNumberFormat="1" applyFont="1" applyFill="1" applyBorder="1" applyAlignment="1">
      <alignment horizontal="right"/>
    </xf>
    <xf numFmtId="41" fontId="69" fillId="0" borderId="0" xfId="5" applyNumberFormat="1" applyFont="1" applyFill="1" applyAlignment="1">
      <alignment horizontal="right"/>
    </xf>
    <xf numFmtId="41" fontId="74" fillId="0" borderId="20" xfId="5" applyNumberFormat="1" applyFont="1" applyFill="1" applyBorder="1" applyAlignment="1">
      <alignment horizontal="right"/>
    </xf>
    <xf numFmtId="188" fontId="74" fillId="0" borderId="18" xfId="62" applyNumberFormat="1" applyFont="1" applyBorder="1" applyAlignment="1">
      <alignment horizontal="center"/>
    </xf>
    <xf numFmtId="41" fontId="74" fillId="0" borderId="0" xfId="5" applyNumberFormat="1" applyFont="1" applyFill="1" applyBorder="1" applyAlignment="1">
      <alignment horizontal="right"/>
    </xf>
    <xf numFmtId="41" fontId="74" fillId="0" borderId="17" xfId="5" applyNumberFormat="1" applyFont="1" applyFill="1" applyBorder="1" applyAlignment="1">
      <alignment horizontal="right"/>
    </xf>
    <xf numFmtId="170" fontId="69" fillId="0" borderId="8" xfId="213" applyFont="1" applyFill="1" applyBorder="1" applyAlignment="1">
      <alignment horizontal="right"/>
    </xf>
    <xf numFmtId="170" fontId="74" fillId="0" borderId="0" xfId="213" applyFont="1" applyFill="1"/>
    <xf numFmtId="170" fontId="69" fillId="0" borderId="8" xfId="213" applyFont="1" applyFill="1" applyBorder="1"/>
    <xf numFmtId="170" fontId="74" fillId="0" borderId="66" xfId="1" applyNumberFormat="1" applyFont="1" applyBorder="1"/>
    <xf numFmtId="170" fontId="74" fillId="0" borderId="35" xfId="1" applyNumberFormat="1" applyFont="1" applyBorder="1"/>
    <xf numFmtId="170" fontId="69" fillId="0" borderId="0" xfId="213" applyFont="1" applyFill="1" applyBorder="1" applyAlignment="1">
      <alignment horizontal="right"/>
    </xf>
    <xf numFmtId="188" fontId="69" fillId="0" borderId="0" xfId="206" applyFont="1" applyFill="1" applyBorder="1"/>
    <xf numFmtId="170" fontId="69" fillId="0" borderId="8" xfId="1" applyNumberFormat="1" applyFont="1" applyFill="1" applyBorder="1" applyAlignment="1">
      <alignment horizontal="right"/>
    </xf>
    <xf numFmtId="170" fontId="69" fillId="0" borderId="0" xfId="213" applyFont="1" applyBorder="1" applyAlignment="1">
      <alignment horizontal="right"/>
    </xf>
    <xf numFmtId="170" fontId="69" fillId="0" borderId="8" xfId="1" applyNumberFormat="1" applyFont="1" applyFill="1" applyBorder="1"/>
    <xf numFmtId="170" fontId="76" fillId="0" borderId="0" xfId="1" applyNumberFormat="1" applyFont="1" applyFill="1" applyBorder="1" applyAlignment="1">
      <alignment horizontal="right"/>
    </xf>
    <xf numFmtId="170" fontId="69" fillId="0" borderId="0" xfId="1" applyNumberFormat="1" applyFont="1" applyBorder="1"/>
    <xf numFmtId="170" fontId="69" fillId="0" borderId="0" xfId="1" applyNumberFormat="1" applyFont="1" applyFill="1" applyBorder="1"/>
    <xf numFmtId="170" fontId="74" fillId="0" borderId="17" xfId="1" applyNumberFormat="1" applyFont="1" applyFill="1" applyBorder="1" applyAlignment="1">
      <alignment horizontal="right"/>
    </xf>
    <xf numFmtId="170" fontId="74" fillId="0" borderId="0" xfId="1" applyNumberFormat="1" applyFont="1" applyFill="1" applyBorder="1" applyAlignment="1">
      <alignment horizontal="right"/>
    </xf>
    <xf numFmtId="1" fontId="69" fillId="0" borderId="0" xfId="1" applyNumberFormat="1" applyFont="1" applyFill="1" applyBorder="1" applyAlignment="1">
      <alignment horizontal="right"/>
    </xf>
    <xf numFmtId="170" fontId="76" fillId="0" borderId="52" xfId="1" applyNumberFormat="1" applyFont="1" applyFill="1" applyBorder="1" applyAlignment="1">
      <alignment horizontal="right"/>
    </xf>
    <xf numFmtId="170" fontId="74" fillId="24" borderId="72" xfId="1" applyNumberFormat="1" applyFont="1" applyFill="1" applyBorder="1" applyAlignment="1">
      <alignment horizontal="right"/>
    </xf>
    <xf numFmtId="170" fontId="76" fillId="24" borderId="52" xfId="1" applyNumberFormat="1" applyFont="1" applyFill="1" applyBorder="1" applyAlignment="1">
      <alignment horizontal="right"/>
    </xf>
    <xf numFmtId="170" fontId="76" fillId="0" borderId="0" xfId="1" applyNumberFormat="1" applyFont="1" applyBorder="1" applyAlignment="1">
      <alignment horizontal="right"/>
    </xf>
    <xf numFmtId="170" fontId="74" fillId="24" borderId="20" xfId="1" applyNumberFormat="1" applyFont="1" applyFill="1" applyBorder="1" applyAlignment="1">
      <alignment horizontal="right"/>
    </xf>
    <xf numFmtId="170" fontId="69" fillId="0" borderId="0" xfId="1" applyNumberFormat="1" applyFont="1" applyBorder="1" applyAlignment="1">
      <alignment horizontal="right"/>
    </xf>
    <xf numFmtId="170" fontId="74" fillId="0" borderId="72" xfId="1" applyNumberFormat="1" applyFont="1" applyFill="1" applyBorder="1" applyAlignment="1">
      <alignment horizontal="right"/>
    </xf>
    <xf numFmtId="170" fontId="69" fillId="0" borderId="0" xfId="1" applyNumberFormat="1" applyFont="1" applyFill="1" applyBorder="1" applyAlignment="1">
      <alignment horizontal="right"/>
    </xf>
    <xf numFmtId="170" fontId="69" fillId="0" borderId="73" xfId="1" applyNumberFormat="1" applyFont="1" applyFill="1" applyBorder="1" applyAlignment="1">
      <alignment horizontal="right"/>
    </xf>
    <xf numFmtId="1" fontId="74" fillId="24" borderId="72" xfId="1" applyNumberFormat="1" applyFont="1" applyFill="1" applyBorder="1" applyAlignment="1">
      <alignment horizontal="right"/>
    </xf>
    <xf numFmtId="170" fontId="69" fillId="0" borderId="74" xfId="213" applyFont="1" applyFill="1" applyBorder="1" applyAlignment="1">
      <alignment horizontal="right"/>
    </xf>
    <xf numFmtId="37" fontId="74" fillId="24" borderId="72" xfId="1" applyNumberFormat="1" applyFont="1" applyFill="1" applyBorder="1" applyAlignment="1" applyProtection="1">
      <alignment horizontal="right"/>
    </xf>
    <xf numFmtId="170" fontId="76" fillId="0" borderId="0" xfId="213" applyFont="1" applyBorder="1" applyAlignment="1">
      <alignment horizontal="right"/>
    </xf>
    <xf numFmtId="37" fontId="74" fillId="0" borderId="72" xfId="1" applyNumberFormat="1" applyFont="1" applyFill="1" applyBorder="1" applyAlignment="1" applyProtection="1">
      <alignment horizontal="right"/>
    </xf>
    <xf numFmtId="170" fontId="76" fillId="24" borderId="0" xfId="1" applyNumberFormat="1" applyFont="1" applyFill="1" applyBorder="1" applyAlignment="1">
      <alignment horizontal="right"/>
    </xf>
    <xf numFmtId="170" fontId="74" fillId="0" borderId="17" xfId="1" applyNumberFormat="1" applyFont="1" applyBorder="1" applyAlignment="1">
      <alignment horizontal="right"/>
    </xf>
    <xf numFmtId="170" fontId="74" fillId="0" borderId="0" xfId="1" applyNumberFormat="1" applyFont="1" applyBorder="1" applyAlignment="1">
      <alignment horizontal="right"/>
    </xf>
    <xf numFmtId="170" fontId="76" fillId="0" borderId="19" xfId="1" applyNumberFormat="1" applyFont="1" applyFill="1" applyBorder="1" applyAlignment="1">
      <alignment horizontal="right"/>
    </xf>
    <xf numFmtId="170" fontId="117" fillId="0" borderId="0" xfId="1" applyNumberFormat="1" applyFont="1" applyFill="1" applyBorder="1" applyAlignment="1">
      <alignment horizontal="right"/>
    </xf>
    <xf numFmtId="170" fontId="69" fillId="0" borderId="17" xfId="213" applyFont="1" applyBorder="1" applyAlignment="1">
      <alignment horizontal="right"/>
    </xf>
    <xf numFmtId="170" fontId="69" fillId="0" borderId="17" xfId="1" applyNumberFormat="1" applyFont="1" applyFill="1" applyBorder="1" applyAlignment="1">
      <alignment horizontal="right"/>
    </xf>
    <xf numFmtId="170" fontId="74" fillId="0" borderId="40" xfId="1" applyNumberFormat="1" applyFont="1" applyFill="1" applyBorder="1"/>
    <xf numFmtId="183" fontId="69" fillId="0" borderId="28" xfId="59" applyNumberFormat="1" applyFont="1" applyFill="1" applyBorder="1" applyProtection="1"/>
    <xf numFmtId="183" fontId="69" fillId="0" borderId="28" xfId="59" applyNumberFormat="1" applyFont="1" applyFill="1" applyBorder="1"/>
    <xf numFmtId="170" fontId="74" fillId="0" borderId="27" xfId="1" applyNumberFormat="1" applyFont="1" applyFill="1" applyBorder="1"/>
    <xf numFmtId="170" fontId="74" fillId="0" borderId="68" xfId="1" applyNumberFormat="1" applyFont="1" applyFill="1" applyBorder="1"/>
    <xf numFmtId="170" fontId="74" fillId="0" borderId="35" xfId="1" applyNumberFormat="1" applyFont="1" applyFill="1" applyBorder="1"/>
    <xf numFmtId="170" fontId="74" fillId="0" borderId="0" xfId="1" applyNumberFormat="1" applyFont="1" applyFill="1" applyAlignment="1">
      <alignment horizontal="center"/>
    </xf>
    <xf numFmtId="170" fontId="74" fillId="0" borderId="27" xfId="1" applyNumberFormat="1" applyFont="1" applyBorder="1"/>
    <xf numFmtId="170" fontId="74" fillId="0" borderId="68" xfId="1" applyNumberFormat="1" applyFont="1" applyBorder="1"/>
    <xf numFmtId="183" fontId="74" fillId="0" borderId="32" xfId="59" applyNumberFormat="1" applyFont="1" applyBorder="1" applyAlignment="1">
      <alignment horizontal="center"/>
    </xf>
    <xf numFmtId="170" fontId="74" fillId="0" borderId="0" xfId="213" applyFont="1" applyFill="1" applyBorder="1" applyAlignment="1">
      <alignment horizontal="right"/>
    </xf>
    <xf numFmtId="183" fontId="74" fillId="0" borderId="6" xfId="59" applyNumberFormat="1" applyFont="1" applyBorder="1"/>
    <xf numFmtId="183" fontId="74" fillId="0" borderId="27" xfId="59" applyNumberFormat="1" applyFont="1" applyBorder="1"/>
    <xf numFmtId="183" fontId="74" fillId="0" borderId="68" xfId="59" applyNumberFormat="1" applyFont="1" applyBorder="1"/>
    <xf numFmtId="170" fontId="74" fillId="0" borderId="20" xfId="1" applyNumberFormat="1" applyFont="1" applyBorder="1"/>
    <xf numFmtId="170" fontId="74" fillId="0" borderId="19" xfId="1" applyNumberFormat="1" applyFont="1" applyBorder="1"/>
    <xf numFmtId="170" fontId="74" fillId="0" borderId="18" xfId="1" applyNumberFormat="1" applyFont="1" applyBorder="1"/>
    <xf numFmtId="170" fontId="74" fillId="0" borderId="20" xfId="1" applyNumberFormat="1" applyFont="1" applyFill="1" applyBorder="1"/>
    <xf numFmtId="170" fontId="74" fillId="0" borderId="32" xfId="1" applyNumberFormat="1" applyFont="1" applyBorder="1" applyAlignment="1">
      <alignment horizontal="center"/>
    </xf>
    <xf numFmtId="170" fontId="74" fillId="0" borderId="6" xfId="1" applyNumberFormat="1" applyFont="1" applyFill="1" applyBorder="1"/>
    <xf numFmtId="170" fontId="69" fillId="0" borderId="28" xfId="213" applyFont="1" applyBorder="1"/>
    <xf numFmtId="170" fontId="69" fillId="0" borderId="28" xfId="213" applyFont="1" applyFill="1" applyBorder="1"/>
    <xf numFmtId="183" fontId="74" fillId="0" borderId="6" xfId="59" applyNumberFormat="1" applyFont="1" applyFill="1" applyBorder="1"/>
    <xf numFmtId="170" fontId="118" fillId="0" borderId="0" xfId="5" applyNumberFormat="1" applyFont="1" applyAlignment="1">
      <alignment horizontal="right"/>
    </xf>
    <xf numFmtId="41" fontId="118" fillId="0" borderId="0" xfId="210" applyNumberFormat="1" applyFont="1" applyFill="1" applyBorder="1" applyAlignment="1">
      <alignment horizontal="right"/>
    </xf>
    <xf numFmtId="170" fontId="118" fillId="0" borderId="0" xfId="5" applyNumberFormat="1" applyFont="1" applyFill="1" applyAlignment="1">
      <alignment horizontal="right"/>
    </xf>
    <xf numFmtId="41" fontId="119" fillId="0" borderId="0" xfId="5" applyNumberFormat="1" applyFont="1" applyFill="1" applyBorder="1" applyAlignment="1">
      <alignment horizontal="right"/>
    </xf>
    <xf numFmtId="41" fontId="119" fillId="0" borderId="20" xfId="210" applyNumberFormat="1" applyFont="1" applyFill="1" applyBorder="1" applyAlignment="1">
      <alignment horizontal="right"/>
    </xf>
    <xf numFmtId="41" fontId="119" fillId="0" borderId="0" xfId="210" applyNumberFormat="1" applyFont="1" applyFill="1" applyBorder="1" applyAlignment="1">
      <alignment horizontal="right"/>
    </xf>
    <xf numFmtId="41" fontId="118" fillId="0" borderId="0" xfId="5" applyNumberFormat="1" applyFont="1" applyFill="1" applyAlignment="1">
      <alignment horizontal="right"/>
    </xf>
    <xf numFmtId="170" fontId="69" fillId="0" borderId="8" xfId="5" applyNumberFormat="1" applyFont="1" applyFill="1" applyBorder="1" applyAlignment="1">
      <alignment horizontal="right"/>
    </xf>
    <xf numFmtId="170" fontId="69" fillId="0" borderId="8" xfId="5" applyNumberFormat="1" applyFont="1" applyFill="1" applyBorder="1"/>
    <xf numFmtId="170" fontId="74" fillId="0" borderId="66" xfId="5" applyNumberFormat="1" applyFont="1" applyBorder="1"/>
    <xf numFmtId="170" fontId="74" fillId="0" borderId="35" xfId="5" applyNumberFormat="1" applyFont="1" applyBorder="1"/>
    <xf numFmtId="170" fontId="69" fillId="0" borderId="8" xfId="5" applyNumberFormat="1" applyFont="1" applyFill="1" applyBorder="1" applyAlignment="1">
      <alignment horizontal="left"/>
    </xf>
    <xf numFmtId="3" fontId="69" fillId="0" borderId="0" xfId="5" applyNumberFormat="1" applyFont="1" applyFill="1" applyBorder="1" applyAlignment="1">
      <alignment horizontal="right"/>
    </xf>
    <xf numFmtId="41" fontId="69" fillId="0" borderId="0" xfId="210" applyNumberFormat="1" applyFont="1" applyFill="1" applyBorder="1" applyAlignment="1">
      <alignment horizontal="center"/>
    </xf>
    <xf numFmtId="41" fontId="69" fillId="0" borderId="21" xfId="210" applyNumberFormat="1" applyFont="1" applyFill="1" applyBorder="1" applyAlignment="1">
      <alignment horizontal="center"/>
    </xf>
    <xf numFmtId="170" fontId="69" fillId="0" borderId="0" xfId="5" applyNumberFormat="1" applyFont="1" applyAlignment="1">
      <alignment horizontal="center"/>
    </xf>
    <xf numFmtId="41" fontId="69" fillId="0" borderId="0" xfId="210" applyNumberFormat="1" applyFont="1" applyFill="1" applyBorder="1" applyAlignment="1"/>
    <xf numFmtId="41" fontId="74" fillId="0" borderId="20" xfId="5" applyNumberFormat="1" applyFont="1" applyBorder="1" applyAlignment="1">
      <alignment horizontal="center"/>
    </xf>
    <xf numFmtId="41" fontId="74" fillId="0" borderId="0" xfId="5" applyNumberFormat="1" applyFont="1" applyBorder="1" applyAlignment="1">
      <alignment horizontal="center"/>
    </xf>
    <xf numFmtId="41" fontId="74" fillId="0" borderId="17" xfId="5" applyNumberFormat="1" applyFont="1" applyBorder="1" applyAlignment="1">
      <alignment horizontal="center"/>
    </xf>
    <xf numFmtId="41" fontId="105" fillId="0" borderId="0" xfId="210" applyNumberFormat="1" applyFont="1" applyFill="1" applyBorder="1" applyAlignment="1">
      <alignment horizontal="center"/>
    </xf>
    <xf numFmtId="41" fontId="74" fillId="0" borderId="20" xfId="210" applyNumberFormat="1" applyFont="1" applyFill="1" applyBorder="1" applyAlignment="1">
      <alignment horizontal="center"/>
    </xf>
    <xf numFmtId="41" fontId="74" fillId="0" borderId="0" xfId="210" applyNumberFormat="1" applyFont="1" applyFill="1" applyBorder="1" applyAlignment="1">
      <alignment horizontal="center"/>
    </xf>
    <xf numFmtId="3" fontId="105" fillId="0" borderId="0" xfId="5" applyNumberFormat="1" applyFont="1" applyFill="1" applyBorder="1" applyAlignment="1">
      <alignment horizontal="center"/>
    </xf>
    <xf numFmtId="41" fontId="69" fillId="0" borderId="0" xfId="5" applyNumberFormat="1" applyFont="1" applyAlignment="1">
      <alignment horizontal="center"/>
    </xf>
    <xf numFmtId="41" fontId="74" fillId="0" borderId="20" xfId="5" applyNumberFormat="1" applyFont="1" applyBorder="1" applyAlignment="1"/>
    <xf numFmtId="9" fontId="69" fillId="0" borderId="0" xfId="218" applyFont="1" applyFill="1" applyBorder="1" applyAlignment="1">
      <alignment horizontal="center"/>
    </xf>
    <xf numFmtId="9" fontId="74" fillId="0" borderId="20" xfId="218" applyFont="1" applyBorder="1" applyAlignment="1">
      <alignment horizontal="center"/>
    </xf>
    <xf numFmtId="9" fontId="74" fillId="0" borderId="17" xfId="218" applyFont="1" applyBorder="1" applyAlignment="1">
      <alignment horizontal="center"/>
    </xf>
    <xf numFmtId="9" fontId="74" fillId="0" borderId="20" xfId="218" applyFont="1" applyFill="1" applyBorder="1" applyAlignment="1">
      <alignment horizontal="center"/>
    </xf>
    <xf numFmtId="9" fontId="69" fillId="0" borderId="21" xfId="218" applyFont="1" applyFill="1" applyBorder="1" applyAlignment="1">
      <alignment horizontal="center"/>
    </xf>
    <xf numFmtId="170" fontId="74" fillId="0" borderId="39" xfId="5" applyNumberFormat="1" applyFont="1" applyFill="1" applyBorder="1" applyAlignment="1">
      <alignment horizontal="right"/>
    </xf>
    <xf numFmtId="9" fontId="74" fillId="0" borderId="39" xfId="218" applyFont="1" applyFill="1" applyBorder="1" applyAlignment="1">
      <alignment horizontal="center"/>
    </xf>
    <xf numFmtId="188" fontId="69" fillId="0" borderId="0" xfId="128" applyFont="1" applyBorder="1"/>
    <xf numFmtId="173" fontId="69" fillId="0" borderId="0" xfId="218" applyNumberFormat="1" applyFont="1" applyBorder="1"/>
    <xf numFmtId="9" fontId="69" fillId="0" borderId="0" xfId="218" applyFont="1" applyBorder="1"/>
    <xf numFmtId="170" fontId="74" fillId="0" borderId="21" xfId="1" applyNumberFormat="1" applyFont="1" applyBorder="1" applyAlignment="1">
      <alignment horizontal="center"/>
    </xf>
    <xf numFmtId="170" fontId="69" fillId="0" borderId="0" xfId="1" applyNumberFormat="1" applyFont="1"/>
    <xf numFmtId="39" fontId="120" fillId="0" borderId="0" xfId="128" applyNumberFormat="1" applyFont="1" applyBorder="1"/>
    <xf numFmtId="37" fontId="120" fillId="0" borderId="0" xfId="128" applyNumberFormat="1" applyFont="1" applyBorder="1"/>
    <xf numFmtId="174" fontId="69" fillId="0" borderId="0" xfId="1" applyNumberFormat="1" applyFont="1"/>
    <xf numFmtId="170" fontId="69" fillId="0" borderId="0" xfId="1" applyNumberFormat="1" applyFont="1" applyFill="1"/>
    <xf numFmtId="183" fontId="120" fillId="0" borderId="0" xfId="59" applyNumberFormat="1" applyFont="1" applyBorder="1"/>
    <xf numFmtId="183" fontId="121" fillId="0" borderId="0" xfId="59" applyNumberFormat="1" applyFont="1" applyBorder="1"/>
    <xf numFmtId="183" fontId="69" fillId="0" borderId="0" xfId="59" applyNumberFormat="1" applyFont="1" applyBorder="1"/>
    <xf numFmtId="170" fontId="69" fillId="0" borderId="16" xfId="1" applyNumberFormat="1" applyFont="1" applyFill="1" applyBorder="1"/>
    <xf numFmtId="170" fontId="69" fillId="0" borderId="15" xfId="1" applyNumberFormat="1" applyFont="1" applyBorder="1"/>
    <xf numFmtId="39" fontId="120" fillId="0" borderId="16" xfId="128" applyNumberFormat="1" applyFont="1" applyBorder="1"/>
    <xf numFmtId="188" fontId="69" fillId="0" borderId="16" xfId="128" applyFont="1" applyBorder="1"/>
    <xf numFmtId="170" fontId="69" fillId="0" borderId="24" xfId="1" applyNumberFormat="1" applyFont="1" applyFill="1" applyBorder="1"/>
    <xf numFmtId="170" fontId="69" fillId="0" borderId="18" xfId="1" applyNumberFormat="1" applyFont="1" applyFill="1" applyBorder="1"/>
    <xf numFmtId="170" fontId="69" fillId="0" borderId="18" xfId="1" applyNumberFormat="1" applyFont="1" applyBorder="1"/>
    <xf numFmtId="170" fontId="69" fillId="0" borderId="25" xfId="1" applyNumberFormat="1" applyFont="1" applyBorder="1"/>
    <xf numFmtId="188" fontId="69" fillId="0" borderId="0" xfId="0" applyFont="1"/>
    <xf numFmtId="188" fontId="74" fillId="0" borderId="28" xfId="59" applyNumberFormat="1" applyFont="1" applyFill="1" applyBorder="1" applyAlignment="1">
      <alignment horizontal="right"/>
    </xf>
    <xf numFmtId="188" fontId="74" fillId="0" borderId="28" xfId="59" applyNumberFormat="1" applyFont="1" applyBorder="1" applyAlignment="1">
      <alignment horizontal="right"/>
    </xf>
    <xf numFmtId="188" fontId="69" fillId="0" borderId="28" xfId="213" applyNumberFormat="1" applyFont="1" applyFill="1" applyBorder="1" applyAlignment="1">
      <alignment horizontal="right"/>
    </xf>
    <xf numFmtId="188" fontId="69" fillId="0" borderId="28" xfId="213" applyNumberFormat="1" applyFont="1" applyFill="1" applyBorder="1" applyAlignment="1">
      <alignment horizontal="center"/>
    </xf>
    <xf numFmtId="187" fontId="69" fillId="0" borderId="0" xfId="5" applyNumberFormat="1" applyFont="1" applyAlignment="1">
      <alignment horizontal="right"/>
    </xf>
    <xf numFmtId="188" fontId="69" fillId="0" borderId="0" xfId="0" applyFont="1" applyAlignment="1">
      <alignment horizontal="right"/>
    </xf>
    <xf numFmtId="184" fontId="69" fillId="0" borderId="0" xfId="59" applyNumberFormat="1" applyFont="1" applyFill="1" applyAlignment="1">
      <alignment horizontal="right"/>
    </xf>
    <xf numFmtId="188" fontId="69" fillId="0" borderId="0" xfId="0" applyFont="1" applyFill="1" applyAlignment="1">
      <alignment horizontal="right"/>
    </xf>
    <xf numFmtId="183" fontId="74" fillId="0" borderId="28" xfId="59" applyNumberFormat="1" applyFont="1" applyBorder="1" applyProtection="1"/>
    <xf numFmtId="170" fontId="74" fillId="0" borderId="0" xfId="1" applyNumberFormat="1" applyFont="1" applyBorder="1"/>
    <xf numFmtId="170" fontId="74" fillId="0" borderId="28" xfId="1" applyNumberFormat="1" applyFont="1" applyBorder="1"/>
    <xf numFmtId="170" fontId="74" fillId="0" borderId="0" xfId="1" applyNumberFormat="1" applyFont="1" applyBorder="1" applyProtection="1"/>
    <xf numFmtId="170" fontId="74" fillId="0" borderId="28" xfId="1" applyNumberFormat="1" applyFont="1" applyBorder="1" applyProtection="1"/>
    <xf numFmtId="170" fontId="69" fillId="0" borderId="8" xfId="213" applyFont="1" applyFill="1" applyBorder="1" applyAlignment="1">
      <alignment horizontal="left"/>
    </xf>
    <xf numFmtId="170" fontId="69" fillId="0" borderId="0" xfId="213" applyFont="1" applyFill="1" applyBorder="1"/>
    <xf numFmtId="170" fontId="69" fillId="0" borderId="28" xfId="1" applyNumberFormat="1" applyFont="1" applyFill="1" applyBorder="1" applyAlignment="1">
      <alignment horizontal="right"/>
    </xf>
    <xf numFmtId="170" fontId="69" fillId="0" borderId="0" xfId="1" applyNumberFormat="1" applyFont="1" applyFill="1" applyBorder="1" applyProtection="1"/>
    <xf numFmtId="170" fontId="69" fillId="0" borderId="28" xfId="1" applyNumberFormat="1" applyFont="1" applyFill="1" applyBorder="1" applyProtection="1"/>
    <xf numFmtId="170" fontId="69" fillId="0" borderId="8" xfId="213" applyFont="1" applyBorder="1" applyAlignment="1">
      <alignment horizontal="left"/>
    </xf>
    <xf numFmtId="170" fontId="69" fillId="0" borderId="8" xfId="5" applyNumberFormat="1" applyFont="1" applyBorder="1" applyAlignment="1">
      <alignment horizontal="left"/>
    </xf>
    <xf numFmtId="170" fontId="76" fillId="0" borderId="8" xfId="5" applyNumberFormat="1" applyFont="1" applyFill="1" applyBorder="1" applyAlignment="1">
      <alignment horizontal="left"/>
    </xf>
    <xf numFmtId="170" fontId="74" fillId="0" borderId="44" xfId="5" applyNumberFormat="1" applyFont="1" applyBorder="1" applyAlignment="1">
      <alignment horizontal="left"/>
    </xf>
    <xf numFmtId="170" fontId="74" fillId="0" borderId="8" xfId="5" applyNumberFormat="1" applyFont="1" applyBorder="1" applyAlignment="1">
      <alignment horizontal="left"/>
    </xf>
    <xf numFmtId="170" fontId="69" fillId="0" borderId="61" xfId="5" applyNumberFormat="1" applyFont="1" applyBorder="1" applyAlignment="1">
      <alignment horizontal="left"/>
    </xf>
    <xf numFmtId="188" fontId="69" fillId="0" borderId="28" xfId="1" applyNumberFormat="1" applyFont="1" applyFill="1" applyBorder="1" applyAlignment="1">
      <alignment horizontal="right"/>
    </xf>
    <xf numFmtId="170" fontId="74" fillId="0" borderId="28" xfId="1" applyNumberFormat="1" applyFont="1" applyFill="1" applyBorder="1" applyProtection="1"/>
    <xf numFmtId="170" fontId="74" fillId="0" borderId="8" xfId="1" applyNumberFormat="1" applyFont="1" applyFill="1" applyBorder="1"/>
    <xf numFmtId="170" fontId="74" fillId="0" borderId="8" xfId="1" applyNumberFormat="1" applyFont="1" applyFill="1" applyBorder="1" applyProtection="1"/>
    <xf numFmtId="183" fontId="69" fillId="0" borderId="0" xfId="59" applyNumberFormat="1" applyFont="1" applyAlignment="1">
      <alignment horizontal="left"/>
    </xf>
    <xf numFmtId="183" fontId="120" fillId="45" borderId="17" xfId="59" applyNumberFormat="1" applyFont="1" applyFill="1" applyBorder="1"/>
    <xf numFmtId="41" fontId="74" fillId="0" borderId="21" xfId="210" applyNumberFormat="1" applyFont="1" applyFill="1" applyBorder="1" applyAlignment="1">
      <alignment horizontal="right"/>
    </xf>
    <xf numFmtId="37" fontId="74" fillId="0" borderId="28" xfId="1" applyNumberFormat="1" applyFont="1" applyBorder="1"/>
    <xf numFmtId="170" fontId="118" fillId="0" borderId="28" xfId="213" applyFont="1" applyFill="1" applyBorder="1"/>
    <xf numFmtId="170" fontId="69" fillId="0" borderId="34" xfId="213" applyFont="1" applyFill="1" applyBorder="1"/>
    <xf numFmtId="41" fontId="69" fillId="46" borderId="0" xfId="210" applyNumberFormat="1" applyFont="1" applyFill="1" applyBorder="1" applyAlignment="1"/>
    <xf numFmtId="41" fontId="69" fillId="46" borderId="0" xfId="210" applyNumberFormat="1" applyFont="1" applyFill="1" applyBorder="1" applyAlignment="1">
      <alignment horizontal="center"/>
    </xf>
    <xf numFmtId="41" fontId="69" fillId="0" borderId="18" xfId="210" applyNumberFormat="1" applyFont="1" applyFill="1" applyBorder="1" applyAlignment="1">
      <alignment horizontal="right"/>
    </xf>
    <xf numFmtId="41" fontId="74" fillId="0" borderId="18" xfId="210" applyNumberFormat="1" applyFont="1" applyFill="1" applyBorder="1" applyAlignment="1">
      <alignment horizontal="right"/>
    </xf>
    <xf numFmtId="41" fontId="69" fillId="0" borderId="78" xfId="210" applyNumberFormat="1" applyFont="1" applyFill="1" applyBorder="1" applyAlignment="1">
      <alignment horizontal="right"/>
    </xf>
    <xf numFmtId="3" fontId="122" fillId="0" borderId="0" xfId="5" applyNumberFormat="1" applyFont="1" applyFill="1" applyBorder="1" applyAlignment="1">
      <alignment horizontal="right"/>
    </xf>
    <xf numFmtId="188" fontId="74" fillId="0" borderId="0" xfId="0" applyFont="1"/>
    <xf numFmtId="37" fontId="120" fillId="0" borderId="21" xfId="128" applyNumberFormat="1" applyFont="1" applyBorder="1"/>
    <xf numFmtId="0" fontId="69" fillId="0" borderId="0" xfId="0" applyNumberFormat="1" applyFont="1" applyFill="1" applyAlignment="1">
      <alignment horizontal="right"/>
    </xf>
    <xf numFmtId="0" fontId="69" fillId="0" borderId="28" xfId="213" applyNumberFormat="1" applyFont="1" applyFill="1" applyBorder="1" applyAlignment="1">
      <alignment horizontal="center"/>
    </xf>
    <xf numFmtId="179" fontId="69" fillId="0" borderId="0" xfId="59" applyNumberFormat="1" applyFont="1" applyAlignment="1">
      <alignment horizontal="left"/>
    </xf>
    <xf numFmtId="49" fontId="69" fillId="0" borderId="28" xfId="213" applyNumberFormat="1" applyFont="1" applyFill="1" applyBorder="1" applyAlignment="1">
      <alignment horizontal="left"/>
    </xf>
    <xf numFmtId="49" fontId="69" fillId="0" borderId="8" xfId="213" applyNumberFormat="1" applyFont="1" applyFill="1" applyBorder="1" applyAlignment="1">
      <alignment horizontal="left"/>
    </xf>
    <xf numFmtId="188" fontId="69" fillId="0" borderId="24" xfId="128" applyFont="1" applyBorder="1"/>
    <xf numFmtId="188" fontId="69" fillId="0" borderId="18" xfId="128" applyFont="1" applyBorder="1"/>
    <xf numFmtId="170" fontId="69" fillId="0" borderId="28" xfId="213" applyFont="1" applyFill="1" applyBorder="1" applyAlignment="1">
      <alignment horizontal="right"/>
    </xf>
    <xf numFmtId="183" fontId="69" fillId="0" borderId="0" xfId="59" applyNumberFormat="1" applyFont="1" applyFill="1" applyBorder="1"/>
    <xf numFmtId="43" fontId="69" fillId="0" borderId="0" xfId="210" applyNumberFormat="1" applyFont="1" applyFill="1" applyBorder="1" applyAlignment="1">
      <alignment horizontal="right"/>
    </xf>
    <xf numFmtId="184" fontId="69" fillId="0" borderId="0" xfId="210" applyNumberFormat="1" applyFont="1" applyFill="1" applyBorder="1" applyAlignment="1">
      <alignment horizontal="right"/>
    </xf>
    <xf numFmtId="170" fontId="74" fillId="0" borderId="0" xfId="1" applyNumberFormat="1" applyFont="1" applyBorder="1" applyAlignment="1">
      <alignment horizontal="center"/>
    </xf>
    <xf numFmtId="1" fontId="69" fillId="0" borderId="0" xfId="0" applyNumberFormat="1" applyFont="1" applyFill="1" applyBorder="1" applyAlignment="1">
      <alignment horizontal="right"/>
    </xf>
    <xf numFmtId="170" fontId="69" fillId="0" borderId="0" xfId="5" applyNumberFormat="1" applyFont="1" applyFill="1" applyBorder="1"/>
    <xf numFmtId="37" fontId="119" fillId="0" borderId="28" xfId="1" applyNumberFormat="1" applyFont="1" applyFill="1" applyBorder="1" applyAlignment="1">
      <alignment horizontal="right"/>
    </xf>
    <xf numFmtId="170" fontId="76" fillId="0" borderId="0" xfId="5" applyNumberFormat="1" applyFont="1"/>
    <xf numFmtId="188" fontId="124" fillId="0" borderId="0" xfId="0" applyFont="1"/>
    <xf numFmtId="170" fontId="124" fillId="0" borderId="0" xfId="0" applyNumberFormat="1" applyFont="1"/>
    <xf numFmtId="188" fontId="124" fillId="0" borderId="0" xfId="0" applyFont="1" applyBorder="1"/>
    <xf numFmtId="170" fontId="124" fillId="0" borderId="19" xfId="0" applyNumberFormat="1" applyFont="1" applyFill="1" applyBorder="1" applyAlignment="1">
      <alignment horizontal="left"/>
    </xf>
    <xf numFmtId="170" fontId="124" fillId="0" borderId="0" xfId="0" applyNumberFormat="1" applyFont="1" applyFill="1" applyBorder="1" applyAlignment="1">
      <alignment horizontal="left"/>
    </xf>
    <xf numFmtId="188" fontId="124" fillId="56" borderId="16" xfId="0" applyFont="1" applyFill="1" applyBorder="1"/>
    <xf numFmtId="0" fontId="124" fillId="0" borderId="0" xfId="0" applyNumberFormat="1" applyFont="1" applyBorder="1"/>
    <xf numFmtId="1" fontId="124" fillId="0" borderId="15" xfId="0" applyNumberFormat="1" applyFont="1" applyBorder="1"/>
    <xf numFmtId="9" fontId="124" fillId="0" borderId="0" xfId="218" applyFont="1" applyBorder="1"/>
    <xf numFmtId="188" fontId="124" fillId="35" borderId="16" xfId="0" applyFont="1" applyFill="1" applyBorder="1"/>
    <xf numFmtId="188" fontId="124" fillId="33" borderId="16" xfId="0" applyFont="1" applyFill="1" applyBorder="1"/>
    <xf numFmtId="170" fontId="124" fillId="0" borderId="18" xfId="0" applyNumberFormat="1" applyFont="1" applyFill="1" applyBorder="1" applyAlignment="1">
      <alignment horizontal="left"/>
    </xf>
    <xf numFmtId="188" fontId="124" fillId="34" borderId="16" xfId="0" applyFont="1" applyFill="1" applyBorder="1"/>
    <xf numFmtId="188" fontId="124" fillId="0" borderId="0" xfId="0" applyFont="1" applyAlignment="1">
      <alignment horizontal="left"/>
    </xf>
    <xf numFmtId="170" fontId="124" fillId="0" borderId="0" xfId="0" applyNumberFormat="1" applyFont="1" applyAlignment="1">
      <alignment horizontal="left"/>
    </xf>
    <xf numFmtId="188" fontId="124" fillId="0" borderId="24" xfId="0" applyFont="1" applyBorder="1"/>
    <xf numFmtId="0" fontId="125" fillId="0" borderId="18" xfId="0" applyNumberFormat="1" applyFont="1" applyBorder="1"/>
    <xf numFmtId="1" fontId="125" fillId="0" borderId="25" xfId="0" applyNumberFormat="1" applyFont="1" applyBorder="1"/>
    <xf numFmtId="180" fontId="126" fillId="0" borderId="0" xfId="59" applyNumberFormat="1" applyFont="1" applyBorder="1"/>
    <xf numFmtId="165" fontId="125" fillId="0" borderId="21" xfId="59" applyFont="1" applyBorder="1" applyAlignment="1">
      <alignment horizontal="center"/>
    </xf>
    <xf numFmtId="183" fontId="124" fillId="34" borderId="0" xfId="59" applyNumberFormat="1" applyFont="1" applyFill="1"/>
    <xf numFmtId="183" fontId="124" fillId="35" borderId="0" xfId="59" applyNumberFormat="1" applyFont="1" applyFill="1"/>
    <xf numFmtId="183" fontId="124" fillId="33" borderId="0" xfId="59" applyNumberFormat="1" applyFont="1" applyFill="1"/>
    <xf numFmtId="183" fontId="124" fillId="37" borderId="0" xfId="59" applyNumberFormat="1" applyFont="1" applyFill="1"/>
    <xf numFmtId="1" fontId="124" fillId="0" borderId="39" xfId="0" applyNumberFormat="1" applyFont="1" applyBorder="1"/>
    <xf numFmtId="9" fontId="124" fillId="0" borderId="39" xfId="218" applyNumberFormat="1" applyFont="1" applyBorder="1"/>
    <xf numFmtId="183" fontId="124" fillId="0" borderId="39" xfId="59" applyNumberFormat="1" applyFont="1" applyBorder="1"/>
    <xf numFmtId="183" fontId="124" fillId="0" borderId="0" xfId="59" applyNumberFormat="1" applyFont="1" applyBorder="1"/>
    <xf numFmtId="43" fontId="124" fillId="0" borderId="0" xfId="0" applyNumberFormat="1" applyFont="1" applyBorder="1"/>
    <xf numFmtId="184" fontId="124" fillId="0" borderId="0" xfId="59" applyNumberFormat="1" applyFont="1"/>
    <xf numFmtId="43" fontId="125" fillId="0" borderId="21" xfId="0" applyNumberFormat="1" applyFont="1" applyBorder="1" applyAlignment="1">
      <alignment horizontal="center"/>
    </xf>
    <xf numFmtId="188" fontId="124" fillId="0" borderId="0" xfId="0" applyFont="1" applyFill="1"/>
    <xf numFmtId="184" fontId="124" fillId="0" borderId="0" xfId="59" applyNumberFormat="1" applyFont="1" applyFill="1" applyBorder="1"/>
    <xf numFmtId="174" fontId="124" fillId="0" borderId="0" xfId="0" applyNumberFormat="1" applyFont="1" applyAlignment="1">
      <alignment horizontal="right"/>
    </xf>
    <xf numFmtId="174" fontId="124" fillId="0" borderId="0" xfId="0" applyNumberFormat="1" applyFont="1"/>
    <xf numFmtId="188" fontId="124" fillId="0" borderId="0" xfId="0" applyNumberFormat="1" applyFont="1" applyAlignment="1">
      <alignment horizontal="left"/>
    </xf>
    <xf numFmtId="188" fontId="125" fillId="0" borderId="0" xfId="0" applyFont="1" applyFill="1"/>
    <xf numFmtId="184" fontId="124" fillId="0" borderId="39" xfId="59" applyNumberFormat="1" applyFont="1" applyBorder="1"/>
    <xf numFmtId="170" fontId="124" fillId="0" borderId="0" xfId="213" applyFont="1" applyFill="1" applyBorder="1" applyAlignment="1">
      <alignment horizontal="left"/>
    </xf>
    <xf numFmtId="170" fontId="74" fillId="0" borderId="0" xfId="1" applyNumberFormat="1" applyFont="1" applyFill="1"/>
    <xf numFmtId="170" fontId="129" fillId="0" borderId="28" xfId="5" applyNumberFormat="1" applyFont="1" applyFill="1" applyBorder="1" applyAlignment="1" applyProtection="1">
      <alignment horizontal="center"/>
    </xf>
    <xf numFmtId="170" fontId="69" fillId="0" borderId="0" xfId="0" applyNumberFormat="1" applyFont="1" applyAlignment="1">
      <alignment horizontal="center"/>
    </xf>
    <xf numFmtId="170" fontId="69" fillId="0" borderId="0" xfId="0" applyNumberFormat="1" applyFont="1" applyFill="1" applyAlignment="1">
      <alignment horizontal="center"/>
    </xf>
    <xf numFmtId="185" fontId="69" fillId="0" borderId="0" xfId="255" applyNumberFormat="1" applyFont="1" applyAlignment="1">
      <alignment horizontal="center"/>
    </xf>
    <xf numFmtId="37" fontId="120" fillId="0" borderId="18" xfId="128" applyNumberFormat="1" applyFont="1" applyBorder="1"/>
    <xf numFmtId="170" fontId="129" fillId="0" borderId="28" xfId="1" applyNumberFormat="1" applyFont="1" applyFill="1" applyBorder="1" applyAlignment="1" applyProtection="1">
      <alignment horizontal="right"/>
    </xf>
    <xf numFmtId="41" fontId="69" fillId="39" borderId="0" xfId="210" applyNumberFormat="1" applyFont="1" applyFill="1" applyBorder="1" applyAlignment="1">
      <alignment horizontal="right"/>
    </xf>
    <xf numFmtId="193" fontId="74" fillId="0" borderId="0" xfId="213" applyNumberFormat="1" applyFont="1" applyFill="1"/>
    <xf numFmtId="173" fontId="69" fillId="0" borderId="0" xfId="218" applyNumberFormat="1" applyFont="1" applyFill="1" applyBorder="1" applyAlignment="1">
      <alignment horizontal="right"/>
    </xf>
    <xf numFmtId="170" fontId="119" fillId="0" borderId="28" xfId="213" applyFont="1" applyFill="1" applyBorder="1" applyAlignment="1">
      <alignment horizontal="center"/>
    </xf>
    <xf numFmtId="170" fontId="74" fillId="0" borderId="15" xfId="5" applyNumberFormat="1" applyFont="1" applyFill="1" applyBorder="1"/>
    <xf numFmtId="170" fontId="131" fillId="0" borderId="0" xfId="5" quotePrefix="1" applyNumberFormat="1" applyFont="1" applyFill="1"/>
    <xf numFmtId="170" fontId="119" fillId="0" borderId="28" xfId="5" applyNumberFormat="1" applyFont="1" applyBorder="1" applyAlignment="1" applyProtection="1">
      <alignment horizontal="center"/>
    </xf>
    <xf numFmtId="170" fontId="128" fillId="0" borderId="28" xfId="0" applyNumberFormat="1" applyFont="1" applyFill="1" applyBorder="1" applyAlignment="1">
      <alignment horizontal="center"/>
    </xf>
    <xf numFmtId="41" fontId="69" fillId="40" borderId="0" xfId="210" applyNumberFormat="1" applyFont="1" applyFill="1" applyBorder="1" applyAlignment="1">
      <alignment horizontal="right"/>
    </xf>
    <xf numFmtId="170" fontId="69" fillId="0" borderId="84" xfId="5" applyNumberFormat="1" applyFont="1" applyBorder="1" applyAlignment="1">
      <alignment horizontal="right"/>
    </xf>
    <xf numFmtId="170" fontId="74" fillId="0" borderId="85" xfId="5" applyNumberFormat="1" applyFont="1" applyFill="1" applyBorder="1"/>
    <xf numFmtId="185" fontId="134" fillId="0" borderId="0" xfId="255" applyNumberFormat="1" applyFont="1" applyBorder="1"/>
    <xf numFmtId="170" fontId="74" fillId="0" borderId="23" xfId="5" applyNumberFormat="1" applyFont="1" applyFill="1" applyBorder="1"/>
    <xf numFmtId="170" fontId="74" fillId="0" borderId="25" xfId="5" applyNumberFormat="1" applyFont="1" applyFill="1" applyBorder="1"/>
    <xf numFmtId="170" fontId="74" fillId="0" borderId="0" xfId="1" applyNumberFormat="1" applyFont="1" applyFill="1" applyBorder="1"/>
    <xf numFmtId="170" fontId="128" fillId="0" borderId="0" xfId="0" applyNumberFormat="1" applyFont="1"/>
    <xf numFmtId="37" fontId="121" fillId="0" borderId="0" xfId="128" applyNumberFormat="1" applyFont="1" applyBorder="1"/>
    <xf numFmtId="14" fontId="76" fillId="0" borderId="0" xfId="214" applyNumberFormat="1" applyFont="1" applyAlignment="1">
      <alignment horizontal="right"/>
    </xf>
    <xf numFmtId="170" fontId="74" fillId="0" borderId="56" xfId="5" applyNumberFormat="1" applyFont="1" applyBorder="1"/>
    <xf numFmtId="170" fontId="74" fillId="0" borderId="81" xfId="5" applyNumberFormat="1" applyFont="1" applyBorder="1"/>
    <xf numFmtId="37" fontId="74" fillId="0" borderId="0" xfId="1" applyNumberFormat="1" applyFont="1" applyFill="1" applyBorder="1" applyAlignment="1" applyProtection="1">
      <alignment horizontal="right"/>
    </xf>
    <xf numFmtId="170" fontId="135" fillId="0" borderId="28" xfId="213" applyFont="1" applyFill="1" applyBorder="1" applyAlignment="1">
      <alignment horizontal="right"/>
    </xf>
    <xf numFmtId="0" fontId="124" fillId="0" borderId="88" xfId="0" applyNumberFormat="1" applyFont="1" applyBorder="1"/>
    <xf numFmtId="1" fontId="124" fillId="0" borderId="85" xfId="0" applyNumberFormat="1" applyFont="1" applyBorder="1"/>
    <xf numFmtId="188" fontId="127" fillId="0" borderId="93" xfId="0" applyFont="1" applyBorder="1"/>
    <xf numFmtId="9" fontId="124" fillId="0" borderId="80" xfId="218" applyFont="1" applyBorder="1"/>
    <xf numFmtId="9" fontId="124" fillId="0" borderId="55" xfId="218" applyFont="1" applyBorder="1"/>
    <xf numFmtId="9" fontId="124" fillId="0" borderId="94" xfId="218" applyFont="1" applyBorder="1"/>
    <xf numFmtId="170" fontId="124" fillId="0" borderId="0" xfId="0" pivotButton="1" applyNumberFormat="1" applyFont="1"/>
    <xf numFmtId="170" fontId="124" fillId="0" borderId="23" xfId="0" applyNumberFormat="1" applyFont="1" applyBorder="1"/>
    <xf numFmtId="188" fontId="124" fillId="0" borderId="16" xfId="0" applyNumberFormat="1" applyFont="1" applyBorder="1" applyAlignment="1">
      <alignment horizontal="left"/>
    </xf>
    <xf numFmtId="184" fontId="124" fillId="0" borderId="0" xfId="59" applyNumberFormat="1" applyFont="1" applyBorder="1"/>
    <xf numFmtId="170" fontId="124" fillId="0" borderId="15" xfId="0" applyNumberFormat="1" applyFont="1" applyBorder="1"/>
    <xf numFmtId="188" fontId="125" fillId="0" borderId="0" xfId="0" applyFont="1" applyFill="1" applyBorder="1"/>
    <xf numFmtId="188" fontId="124" fillId="0" borderId="18" xfId="0" applyFont="1" applyBorder="1"/>
    <xf numFmtId="170" fontId="124" fillId="0" borderId="19" xfId="0" applyNumberFormat="1" applyFont="1" applyBorder="1"/>
    <xf numFmtId="170" fontId="124" fillId="0" borderId="16" xfId="0" applyNumberFormat="1" applyFont="1" applyBorder="1"/>
    <xf numFmtId="170" fontId="124" fillId="0" borderId="0" xfId="0" applyNumberFormat="1" applyFont="1" applyBorder="1"/>
    <xf numFmtId="170" fontId="124" fillId="0" borderId="24" xfId="0" applyNumberFormat="1" applyFont="1" applyBorder="1"/>
    <xf numFmtId="170" fontId="124" fillId="0" borderId="18" xfId="0" applyNumberFormat="1" applyFont="1" applyBorder="1"/>
    <xf numFmtId="184" fontId="124" fillId="34" borderId="0" xfId="59" applyNumberFormat="1" applyFont="1" applyFill="1"/>
    <xf numFmtId="184" fontId="124" fillId="35" borderId="0" xfId="59" applyNumberFormat="1" applyFont="1" applyFill="1"/>
    <xf numFmtId="184" fontId="124" fillId="33" borderId="0" xfId="59" applyNumberFormat="1" applyFont="1" applyFill="1"/>
    <xf numFmtId="188" fontId="124" fillId="0" borderId="16" xfId="0" applyNumberFormat="1" applyFont="1" applyBorder="1" applyAlignment="1">
      <alignment horizontal="center"/>
    </xf>
    <xf numFmtId="188" fontId="124" fillId="0" borderId="0" xfId="0" applyFont="1" applyBorder="1" applyAlignment="1">
      <alignment horizontal="center"/>
    </xf>
    <xf numFmtId="165" fontId="125" fillId="0" borderId="88" xfId="59" applyFont="1" applyBorder="1" applyAlignment="1">
      <alignment horizontal="center"/>
    </xf>
    <xf numFmtId="188" fontId="124" fillId="0" borderId="16" xfId="0" applyNumberFormat="1" applyFont="1" applyBorder="1"/>
    <xf numFmtId="188" fontId="124" fillId="0" borderId="0" xfId="0" applyNumberFormat="1" applyFont="1" applyBorder="1" applyAlignment="1">
      <alignment horizontal="left"/>
    </xf>
    <xf numFmtId="170" fontId="125" fillId="0" borderId="22" xfId="0" applyNumberFormat="1" applyFont="1" applyBorder="1"/>
    <xf numFmtId="188" fontId="124" fillId="0" borderId="16" xfId="0" applyFont="1" applyBorder="1"/>
    <xf numFmtId="188" fontId="127" fillId="0" borderId="88" xfId="0" applyFont="1" applyBorder="1"/>
    <xf numFmtId="1" fontId="124" fillId="0" borderId="0" xfId="0" applyNumberFormat="1" applyFont="1" applyBorder="1"/>
    <xf numFmtId="9" fontId="124" fillId="0" borderId="0" xfId="218" applyNumberFormat="1" applyFont="1" applyBorder="1"/>
    <xf numFmtId="9" fontId="124" fillId="0" borderId="15" xfId="218" applyNumberFormat="1" applyFont="1" applyBorder="1"/>
    <xf numFmtId="188" fontId="124" fillId="37" borderId="16" xfId="0" applyFont="1" applyFill="1" applyBorder="1"/>
    <xf numFmtId="9" fontId="124" fillId="0" borderId="47" xfId="218" applyNumberFormat="1" applyFont="1" applyBorder="1"/>
    <xf numFmtId="180" fontId="124" fillId="0" borderId="0" xfId="0" applyNumberFormat="1" applyFont="1" applyBorder="1"/>
    <xf numFmtId="188" fontId="124" fillId="0" borderId="25" xfId="0" applyFont="1" applyBorder="1"/>
    <xf numFmtId="184" fontId="124" fillId="37" borderId="0" xfId="59" applyNumberFormat="1" applyFont="1" applyFill="1"/>
    <xf numFmtId="188" fontId="69" fillId="0" borderId="0" xfId="0" applyFont="1" applyAlignment="1">
      <alignment horizontal="center"/>
    </xf>
    <xf numFmtId="188" fontId="69" fillId="0" borderId="87" xfId="0" applyFont="1" applyFill="1" applyBorder="1" applyAlignment="1">
      <alignment horizontal="right"/>
    </xf>
    <xf numFmtId="0" fontId="69" fillId="0" borderId="96" xfId="0" applyNumberFormat="1" applyFont="1" applyFill="1" applyBorder="1" applyAlignment="1">
      <alignment horizontal="right"/>
    </xf>
    <xf numFmtId="170" fontId="69" fillId="0" borderId="0" xfId="0" applyNumberFormat="1" applyFont="1" applyBorder="1"/>
    <xf numFmtId="41" fontId="69" fillId="47" borderId="0" xfId="210" applyNumberFormat="1" applyFont="1" applyFill="1" applyBorder="1" applyAlignment="1"/>
    <xf numFmtId="41" fontId="69" fillId="47" borderId="0" xfId="210" applyNumberFormat="1" applyFont="1" applyFill="1" applyBorder="1" applyAlignment="1">
      <alignment horizontal="center"/>
    </xf>
    <xf numFmtId="41" fontId="69" fillId="47" borderId="21" xfId="210" applyNumberFormat="1" applyFont="1" applyFill="1" applyBorder="1" applyAlignment="1">
      <alignment horizontal="center"/>
    </xf>
    <xf numFmtId="170" fontId="74" fillId="47" borderId="39" xfId="5" applyNumberFormat="1" applyFont="1" applyFill="1" applyBorder="1" applyAlignment="1">
      <alignment horizontal="right"/>
    </xf>
    <xf numFmtId="170" fontId="69" fillId="47" borderId="0" xfId="5" applyNumberFormat="1" applyFont="1" applyFill="1" applyAlignment="1">
      <alignment horizontal="center"/>
    </xf>
    <xf numFmtId="41" fontId="74" fillId="47" borderId="20" xfId="5" applyNumberFormat="1" applyFont="1" applyFill="1" applyBorder="1" applyAlignment="1"/>
    <xf numFmtId="41" fontId="74" fillId="47" borderId="20" xfId="5" applyNumberFormat="1" applyFont="1" applyFill="1" applyBorder="1" applyAlignment="1">
      <alignment horizontal="center"/>
    </xf>
    <xf numFmtId="41" fontId="74" fillId="47" borderId="0" xfId="5" applyNumberFormat="1" applyFont="1" applyFill="1" applyBorder="1" applyAlignment="1">
      <alignment horizontal="center"/>
    </xf>
    <xf numFmtId="41" fontId="74" fillId="47" borderId="17" xfId="5" applyNumberFormat="1" applyFont="1" applyFill="1" applyBorder="1" applyAlignment="1">
      <alignment horizontal="center"/>
    </xf>
    <xf numFmtId="41" fontId="74" fillId="47" borderId="20" xfId="210" applyNumberFormat="1" applyFont="1" applyFill="1" applyBorder="1" applyAlignment="1">
      <alignment horizontal="center"/>
    </xf>
    <xf numFmtId="41" fontId="74" fillId="47" borderId="0" xfId="210" applyNumberFormat="1" applyFont="1" applyFill="1" applyBorder="1" applyAlignment="1">
      <alignment horizontal="center"/>
    </xf>
    <xf numFmtId="41" fontId="69" fillId="47" borderId="0" xfId="5" applyNumberFormat="1" applyFont="1" applyFill="1" applyAlignment="1">
      <alignment horizontal="center"/>
    </xf>
    <xf numFmtId="41" fontId="105" fillId="47" borderId="0" xfId="210" applyNumberFormat="1" applyFont="1" applyFill="1" applyBorder="1" applyAlignment="1">
      <alignment horizontal="center"/>
    </xf>
    <xf numFmtId="41" fontId="123" fillId="0" borderId="0" xfId="210" applyNumberFormat="1" applyFont="1" applyFill="1" applyBorder="1" applyAlignment="1">
      <alignment horizontal="center"/>
    </xf>
    <xf numFmtId="170" fontId="74" fillId="0" borderId="28" xfId="1" applyNumberFormat="1" applyFont="1" applyBorder="1" applyAlignment="1">
      <alignment horizontal="center"/>
    </xf>
    <xf numFmtId="176" fontId="69" fillId="0" borderId="0" xfId="59" applyNumberFormat="1" applyFont="1"/>
    <xf numFmtId="49" fontId="69" fillId="0" borderId="0" xfId="213" applyNumberFormat="1" applyFont="1" applyFill="1" applyBorder="1" applyAlignment="1">
      <alignment horizontal="left"/>
    </xf>
    <xf numFmtId="49" fontId="69" fillId="0" borderId="18" xfId="213" applyNumberFormat="1" applyFont="1" applyFill="1" applyBorder="1" applyAlignment="1">
      <alignment horizontal="left"/>
    </xf>
    <xf numFmtId="185" fontId="124" fillId="0" borderId="0" xfId="255" applyNumberFormat="1" applyFont="1"/>
    <xf numFmtId="170" fontId="125" fillId="0" borderId="0" xfId="0" applyNumberFormat="1" applyFont="1"/>
    <xf numFmtId="185" fontId="124" fillId="0" borderId="21" xfId="255" applyNumberFormat="1" applyFont="1" applyBorder="1"/>
    <xf numFmtId="185" fontId="124" fillId="0" borderId="0" xfId="255" applyNumberFormat="1" applyFont="1" applyBorder="1"/>
    <xf numFmtId="198" fontId="124" fillId="0" borderId="0" xfId="255" applyNumberFormat="1" applyFont="1" applyBorder="1" applyAlignment="1">
      <alignment horizontal="center"/>
    </xf>
    <xf numFmtId="170" fontId="138" fillId="0" borderId="0" xfId="0" applyNumberFormat="1" applyFont="1"/>
    <xf numFmtId="43" fontId="124" fillId="34" borderId="0" xfId="59" applyNumberFormat="1" applyFont="1" applyFill="1"/>
    <xf numFmtId="43" fontId="124" fillId="33" borderId="0" xfId="59" applyNumberFormat="1" applyFont="1" applyFill="1"/>
    <xf numFmtId="170" fontId="124" fillId="0" borderId="0" xfId="0" applyNumberFormat="1" applyFont="1" applyFill="1" applyBorder="1"/>
    <xf numFmtId="0" fontId="124" fillId="0" borderId="0" xfId="0" applyNumberFormat="1" applyFont="1" applyFill="1" applyBorder="1"/>
    <xf numFmtId="188" fontId="124" fillId="0" borderId="0" xfId="0" applyNumberFormat="1" applyFont="1" applyFill="1" applyBorder="1" applyAlignment="1">
      <alignment horizontal="left"/>
    </xf>
    <xf numFmtId="188" fontId="124" fillId="0" borderId="0" xfId="0" applyFont="1" applyFill="1" applyBorder="1"/>
    <xf numFmtId="188" fontId="124" fillId="0" borderId="0" xfId="0" applyNumberFormat="1" applyFont="1" applyFill="1" applyBorder="1" applyAlignment="1">
      <alignment horizontal="center"/>
    </xf>
    <xf numFmtId="188" fontId="124" fillId="0" borderId="0" xfId="0" applyFont="1" applyFill="1" applyBorder="1" applyAlignment="1">
      <alignment horizontal="center"/>
    </xf>
    <xf numFmtId="43" fontId="125" fillId="0" borderId="0" xfId="0" applyNumberFormat="1" applyFont="1" applyFill="1" applyBorder="1" applyAlignment="1">
      <alignment horizontal="center"/>
    </xf>
    <xf numFmtId="165" fontId="125" fillId="0" borderId="0" xfId="59" applyFont="1" applyFill="1" applyBorder="1" applyAlignment="1">
      <alignment horizontal="center"/>
    </xf>
    <xf numFmtId="170" fontId="124" fillId="0" borderId="0" xfId="0" applyNumberFormat="1" applyFont="1" applyFill="1" applyBorder="1" applyAlignment="1">
      <alignment horizontal="center"/>
    </xf>
    <xf numFmtId="174" fontId="124" fillId="0" borderId="0" xfId="0" applyNumberFormat="1" applyFont="1" applyFill="1" applyBorder="1" applyAlignment="1">
      <alignment horizontal="center"/>
    </xf>
    <xf numFmtId="183" fontId="124" fillId="0" borderId="0" xfId="0" applyNumberFormat="1" applyFont="1" applyFill="1" applyBorder="1"/>
    <xf numFmtId="188" fontId="124" fillId="0" borderId="0" xfId="0" applyNumberFormat="1" applyFont="1" applyFill="1" applyBorder="1"/>
    <xf numFmtId="170" fontId="124" fillId="0" borderId="0" xfId="0" applyNumberFormat="1" applyFont="1" applyFill="1"/>
    <xf numFmtId="170" fontId="139" fillId="0" borderId="0" xfId="5" applyNumberFormat="1" applyFont="1" applyFill="1" applyAlignment="1">
      <alignment horizontal="center"/>
    </xf>
    <xf numFmtId="170" fontId="131" fillId="0" borderId="0" xfId="5" quotePrefix="1" applyNumberFormat="1" applyFont="1" applyFill="1" applyAlignment="1">
      <alignment horizontal="center"/>
    </xf>
    <xf numFmtId="170" fontId="124" fillId="0" borderId="80" xfId="0" applyNumberFormat="1" applyFont="1" applyFill="1" applyBorder="1" applyAlignment="1">
      <alignment horizontal="left"/>
    </xf>
    <xf numFmtId="170" fontId="124" fillId="0" borderId="55" xfId="0" applyNumberFormat="1" applyFont="1" applyFill="1" applyBorder="1" applyAlignment="1">
      <alignment horizontal="left"/>
    </xf>
    <xf numFmtId="170" fontId="74" fillId="0" borderId="0" xfId="5" applyNumberFormat="1" applyFont="1" applyFill="1"/>
    <xf numFmtId="37" fontId="119" fillId="0" borderId="28" xfId="1" applyNumberFormat="1" applyFont="1" applyFill="1" applyBorder="1" applyAlignment="1">
      <alignment horizontal="center"/>
    </xf>
    <xf numFmtId="41" fontId="69" fillId="47" borderId="88" xfId="210" applyNumberFormat="1" applyFont="1" applyFill="1" applyBorder="1" applyAlignment="1">
      <alignment horizontal="center"/>
    </xf>
    <xf numFmtId="170" fontId="119" fillId="0" borderId="0" xfId="1" applyNumberFormat="1" applyFont="1" applyFill="1" applyBorder="1"/>
    <xf numFmtId="170" fontId="74" fillId="0" borderId="0" xfId="5" applyNumberFormat="1" applyFont="1" applyFill="1" applyBorder="1"/>
    <xf numFmtId="170" fontId="119" fillId="0" borderId="0" xfId="5" applyNumberFormat="1" applyFont="1" applyFill="1" applyBorder="1"/>
    <xf numFmtId="191" fontId="137" fillId="34" borderId="0" xfId="255" applyNumberFormat="1" applyFont="1" applyFill="1" applyBorder="1" applyAlignment="1">
      <alignment horizontal="center"/>
    </xf>
    <xf numFmtId="185" fontId="137" fillId="34" borderId="0" xfId="255" applyNumberFormat="1" applyFont="1" applyFill="1" applyBorder="1" applyAlignment="1">
      <alignment horizontal="center"/>
    </xf>
    <xf numFmtId="41" fontId="69" fillId="0" borderId="19" xfId="210" applyNumberFormat="1" applyFont="1" applyFill="1" applyBorder="1" applyAlignment="1">
      <alignment horizontal="center"/>
    </xf>
    <xf numFmtId="41" fontId="69" fillId="0" borderId="18" xfId="210" applyNumberFormat="1" applyFont="1" applyFill="1" applyBorder="1" applyAlignment="1">
      <alignment horizontal="center"/>
    </xf>
    <xf numFmtId="41" fontId="69" fillId="47" borderId="88" xfId="210" applyNumberFormat="1" applyFont="1" applyFill="1" applyBorder="1" applyAlignment="1"/>
    <xf numFmtId="170" fontId="128" fillId="0" borderId="0" xfId="0" applyNumberFormat="1" applyFont="1" applyFill="1" applyBorder="1" applyAlignment="1">
      <alignment horizontal="left" vertical="center" wrapText="1"/>
    </xf>
    <xf numFmtId="170" fontId="128" fillId="0" borderId="0" xfId="0" applyNumberFormat="1" applyFont="1" applyFill="1" applyBorder="1" applyAlignment="1">
      <alignment horizontal="right" wrapText="1"/>
    </xf>
    <xf numFmtId="170" fontId="128" fillId="0" borderId="28" xfId="0" applyNumberFormat="1" applyFont="1" applyBorder="1" applyAlignment="1">
      <alignment horizontal="center"/>
    </xf>
    <xf numFmtId="170" fontId="74" fillId="0" borderId="0" xfId="5" applyNumberFormat="1" applyFont="1"/>
    <xf numFmtId="188" fontId="124" fillId="0" borderId="22" xfId="0" applyNumberFormat="1" applyFont="1" applyBorder="1" applyAlignment="1">
      <alignment horizontal="left"/>
    </xf>
    <xf numFmtId="170" fontId="69" fillId="0" borderId="0" xfId="0" applyNumberFormat="1" applyFont="1" applyFill="1"/>
    <xf numFmtId="170" fontId="74" fillId="0" borderId="0" xfId="1" applyNumberFormat="1" applyFont="1" applyFill="1" applyBorder="1" applyAlignment="1">
      <alignment horizontal="center"/>
    </xf>
    <xf numFmtId="170" fontId="74" fillId="0" borderId="0" xfId="1" applyNumberFormat="1" applyFont="1"/>
    <xf numFmtId="170" fontId="69" fillId="0" borderId="0" xfId="0" applyNumberFormat="1" applyFont="1" applyFill="1" applyBorder="1"/>
    <xf numFmtId="170" fontId="76" fillId="0" borderId="0" xfId="5" applyNumberFormat="1" applyFont="1" applyFill="1" applyAlignment="1">
      <alignment horizontal="center"/>
    </xf>
    <xf numFmtId="170" fontId="119" fillId="0" borderId="16" xfId="1" applyNumberFormat="1" applyFont="1" applyFill="1" applyBorder="1"/>
    <xf numFmtId="170" fontId="69" fillId="0" borderId="18" xfId="1" applyNumberFormat="1" applyFont="1" applyFill="1" applyBorder="1" applyAlignment="1">
      <alignment horizontal="right"/>
    </xf>
    <xf numFmtId="170" fontId="76" fillId="0" borderId="31" xfId="213" applyFont="1" applyBorder="1" applyAlignment="1">
      <alignment horizontal="right"/>
    </xf>
    <xf numFmtId="170" fontId="74" fillId="0" borderId="31" xfId="213" applyFont="1" applyBorder="1" applyAlignment="1">
      <alignment horizontal="right"/>
    </xf>
    <xf numFmtId="170" fontId="74" fillId="0" borderId="0" xfId="1" applyNumberFormat="1" applyFont="1" applyAlignment="1">
      <alignment horizontal="center"/>
    </xf>
    <xf numFmtId="170" fontId="69" fillId="0" borderId="109" xfId="5" applyNumberFormat="1" applyFont="1" applyFill="1" applyBorder="1" applyAlignment="1">
      <alignment horizontal="left"/>
    </xf>
    <xf numFmtId="0" fontId="74" fillId="0" borderId="0" xfId="59" applyNumberFormat="1" applyFont="1" applyAlignment="1">
      <alignment horizontal="center"/>
    </xf>
    <xf numFmtId="170" fontId="74" fillId="0" borderId="40" xfId="5" applyNumberFormat="1" applyFont="1" applyFill="1" applyBorder="1"/>
    <xf numFmtId="37" fontId="129" fillId="0" borderId="28" xfId="1" applyNumberFormat="1" applyFont="1" applyFill="1" applyBorder="1" applyAlignment="1">
      <alignment horizontal="right"/>
    </xf>
    <xf numFmtId="9" fontId="69" fillId="0" borderId="0" xfId="218" applyFont="1" applyFill="1"/>
    <xf numFmtId="188" fontId="69" fillId="0" borderId="18" xfId="1" applyFont="1" applyFill="1" applyBorder="1" applyAlignment="1">
      <alignment wrapText="1"/>
    </xf>
    <xf numFmtId="170" fontId="69" fillId="0" borderId="28" xfId="59" applyNumberFormat="1" applyFont="1" applyBorder="1" applyAlignment="1">
      <alignment horizontal="right"/>
    </xf>
    <xf numFmtId="170" fontId="69" fillId="0" borderId="0" xfId="1" quotePrefix="1" applyNumberFormat="1" applyFont="1" applyBorder="1" applyAlignment="1">
      <alignment horizontal="right"/>
    </xf>
    <xf numFmtId="183" fontId="69" fillId="0" borderId="28" xfId="59" applyNumberFormat="1" applyFont="1" applyBorder="1"/>
    <xf numFmtId="170" fontId="69" fillId="0" borderId="28" xfId="1" applyNumberFormat="1" applyFont="1" applyBorder="1"/>
    <xf numFmtId="176" fontId="69" fillId="0" borderId="0" xfId="1" applyNumberFormat="1" applyFont="1"/>
    <xf numFmtId="170" fontId="118" fillId="0" borderId="28" xfId="1" applyNumberFormat="1" applyFont="1" applyFill="1" applyBorder="1" applyAlignment="1">
      <alignment horizontal="right"/>
    </xf>
    <xf numFmtId="188" fontId="69" fillId="0" borderId="0" xfId="1" applyFont="1" applyFill="1" applyAlignment="1">
      <alignment wrapText="1"/>
    </xf>
    <xf numFmtId="170" fontId="69" fillId="0" borderId="0" xfId="1" applyNumberFormat="1" applyFont="1" applyFill="1" applyAlignment="1">
      <alignment horizontal="left"/>
    </xf>
    <xf numFmtId="174" fontId="69" fillId="0" borderId="0" xfId="1" applyNumberFormat="1" applyFont="1" applyAlignment="1">
      <alignment horizontal="left"/>
    </xf>
    <xf numFmtId="170" fontId="69" fillId="0" borderId="0" xfId="1" applyNumberFormat="1" applyFont="1" applyAlignment="1">
      <alignment horizontal="right"/>
    </xf>
    <xf numFmtId="188" fontId="69" fillId="0" borderId="0" xfId="1" applyFont="1" applyFill="1" applyBorder="1" applyAlignment="1">
      <alignment wrapText="1"/>
    </xf>
    <xf numFmtId="188" fontId="69" fillId="0" borderId="28" xfId="59" applyNumberFormat="1" applyFont="1" applyFill="1" applyBorder="1" applyAlignment="1">
      <alignment horizontal="right"/>
    </xf>
    <xf numFmtId="170" fontId="69" fillId="0" borderId="18" xfId="1" applyNumberFormat="1" applyFont="1" applyBorder="1" applyAlignment="1">
      <alignment horizontal="center"/>
    </xf>
    <xf numFmtId="170" fontId="69" fillId="0" borderId="68" xfId="1" applyNumberFormat="1" applyFont="1" applyBorder="1" applyAlignment="1">
      <alignment horizontal="center"/>
    </xf>
    <xf numFmtId="170" fontId="69" fillId="0" borderId="0" xfId="1" applyNumberFormat="1" applyFont="1" applyAlignment="1">
      <alignment horizontal="left"/>
    </xf>
    <xf numFmtId="166" fontId="69" fillId="0" borderId="0" xfId="1" applyNumberFormat="1" applyFont="1" applyFill="1" applyBorder="1"/>
    <xf numFmtId="188" fontId="74" fillId="0" borderId="27" xfId="59" applyNumberFormat="1" applyFont="1" applyBorder="1" applyAlignment="1">
      <alignment horizontal="right"/>
    </xf>
    <xf numFmtId="170" fontId="69" fillId="0" borderId="19" xfId="1" applyNumberFormat="1" applyFont="1" applyBorder="1" applyAlignment="1">
      <alignment horizontal="right"/>
    </xf>
    <xf numFmtId="183" fontId="74" fillId="0" borderId="27" xfId="59" applyNumberFormat="1" applyFont="1" applyBorder="1" applyAlignment="1">
      <alignment horizontal="right"/>
    </xf>
    <xf numFmtId="170" fontId="74" fillId="0" borderId="19" xfId="1" applyNumberFormat="1" applyFont="1" applyBorder="1" applyAlignment="1">
      <alignment horizontal="right"/>
    </xf>
    <xf numFmtId="170" fontId="74" fillId="0" borderId="27" xfId="1" applyNumberFormat="1" applyFont="1" applyBorder="1" applyAlignment="1">
      <alignment horizontal="right"/>
    </xf>
    <xf numFmtId="37" fontId="74" fillId="0" borderId="27" xfId="1" applyNumberFormat="1" applyFont="1" applyBorder="1" applyAlignment="1">
      <alignment horizontal="right"/>
    </xf>
    <xf numFmtId="166" fontId="69" fillId="0" borderId="0" xfId="1" applyNumberFormat="1" applyFont="1" applyFill="1" applyBorder="1" applyProtection="1"/>
    <xf numFmtId="170" fontId="69" fillId="0" borderId="0" xfId="1" quotePrefix="1" applyNumberFormat="1" applyFont="1" applyFill="1" applyBorder="1" applyAlignment="1">
      <alignment horizontal="right"/>
    </xf>
    <xf numFmtId="166" fontId="69" fillId="0" borderId="0" xfId="1" applyNumberFormat="1" applyFont="1" applyProtection="1"/>
    <xf numFmtId="188" fontId="69" fillId="0" borderId="28" xfId="59" applyNumberFormat="1" applyFont="1" applyBorder="1" applyAlignment="1">
      <alignment horizontal="right"/>
    </xf>
    <xf numFmtId="183" fontId="74" fillId="0" borderId="28" xfId="59" applyNumberFormat="1" applyFont="1" applyBorder="1" applyAlignment="1">
      <alignment horizontal="right"/>
    </xf>
    <xf numFmtId="170" fontId="74" fillId="0" borderId="28" xfId="1" applyNumberFormat="1" applyFont="1" applyBorder="1" applyAlignment="1">
      <alignment horizontal="right"/>
    </xf>
    <xf numFmtId="37" fontId="74" fillId="0" borderId="28" xfId="1" applyNumberFormat="1" applyFont="1" applyBorder="1" applyAlignment="1">
      <alignment horizontal="right"/>
    </xf>
    <xf numFmtId="188" fontId="74" fillId="0" borderId="34" xfId="59" applyNumberFormat="1" applyFont="1" applyBorder="1" applyAlignment="1">
      <alignment horizontal="right"/>
    </xf>
    <xf numFmtId="170" fontId="69" fillId="0" borderId="21" xfId="1" applyNumberFormat="1" applyFont="1" applyBorder="1" applyAlignment="1">
      <alignment horizontal="right"/>
    </xf>
    <xf numFmtId="174" fontId="74" fillId="0" borderId="0" xfId="1" applyNumberFormat="1" applyFont="1" applyBorder="1" applyAlignment="1">
      <alignment horizontal="right"/>
    </xf>
    <xf numFmtId="170" fontId="74" fillId="0" borderId="0" xfId="1" applyNumberFormat="1" applyFont="1" applyFill="1" applyBorder="1" applyAlignment="1">
      <alignment horizontal="centerContinuous"/>
    </xf>
    <xf numFmtId="183" fontId="69" fillId="0" borderId="28" xfId="59" applyNumberFormat="1" applyFont="1" applyBorder="1" applyProtection="1"/>
    <xf numFmtId="37" fontId="69" fillId="0" borderId="28" xfId="1" applyNumberFormat="1" applyFont="1" applyBorder="1"/>
    <xf numFmtId="174" fontId="74" fillId="0" borderId="0" xfId="1" applyNumberFormat="1" applyFont="1" applyAlignment="1">
      <alignment horizontal="right"/>
    </xf>
    <xf numFmtId="37" fontId="118" fillId="0" borderId="28" xfId="1" applyNumberFormat="1" applyFont="1" applyFill="1" applyBorder="1" applyAlignment="1">
      <alignment horizontal="right"/>
    </xf>
    <xf numFmtId="181" fontId="69" fillId="0" borderId="0" xfId="1" applyNumberFormat="1" applyFont="1" applyFill="1" applyBorder="1" applyAlignment="1">
      <alignment horizontal="right"/>
    </xf>
    <xf numFmtId="175" fontId="69" fillId="0" borderId="0" xfId="209" applyNumberFormat="1" applyFont="1"/>
    <xf numFmtId="39" fontId="69" fillId="0" borderId="0" xfId="1" applyNumberFormat="1" applyFont="1" applyFill="1" applyBorder="1" applyProtection="1"/>
    <xf numFmtId="183" fontId="74" fillId="0" borderId="33" xfId="59" applyNumberFormat="1" applyFont="1" applyFill="1" applyBorder="1" applyAlignment="1">
      <alignment horizontal="right"/>
    </xf>
    <xf numFmtId="170" fontId="74" fillId="0" borderId="33" xfId="1" applyNumberFormat="1" applyFont="1" applyFill="1" applyBorder="1" applyAlignment="1">
      <alignment horizontal="right"/>
    </xf>
    <xf numFmtId="188" fontId="69" fillId="0" borderId="28" xfId="213" applyNumberFormat="1" applyFont="1" applyBorder="1" applyAlignment="1">
      <alignment horizontal="center"/>
    </xf>
    <xf numFmtId="170" fontId="69" fillId="0" borderId="28" xfId="1" applyNumberFormat="1" applyFont="1" applyFill="1" applyBorder="1"/>
    <xf numFmtId="170" fontId="69" fillId="0" borderId="0" xfId="1" applyNumberFormat="1" applyFont="1" applyBorder="1" applyProtection="1"/>
    <xf numFmtId="37" fontId="69" fillId="0" borderId="28" xfId="1" applyNumberFormat="1" applyFont="1" applyFill="1" applyBorder="1"/>
    <xf numFmtId="188" fontId="69" fillId="0" borderId="34" xfId="213" applyNumberFormat="1" applyFont="1" applyFill="1" applyBorder="1" applyAlignment="1">
      <alignment horizontal="center"/>
    </xf>
    <xf numFmtId="183" fontId="74" fillId="0" borderId="28" xfId="59" applyNumberFormat="1" applyFont="1" applyFill="1" applyBorder="1" applyAlignment="1">
      <alignment horizontal="right"/>
    </xf>
    <xf numFmtId="170" fontId="74" fillId="0" borderId="28" xfId="1" applyNumberFormat="1" applyFont="1" applyFill="1" applyBorder="1" applyAlignment="1">
      <alignment horizontal="right"/>
    </xf>
    <xf numFmtId="170" fontId="118" fillId="0" borderId="28" xfId="1" applyNumberFormat="1" applyFont="1" applyFill="1" applyBorder="1" applyAlignment="1" applyProtection="1">
      <alignment horizontal="right"/>
    </xf>
    <xf numFmtId="170" fontId="69" fillId="0" borderId="28" xfId="1" applyNumberFormat="1" applyFont="1" applyBorder="1" applyProtection="1"/>
    <xf numFmtId="183" fontId="74" fillId="44" borderId="30" xfId="59" applyNumberFormat="1" applyFont="1" applyFill="1" applyBorder="1" applyProtection="1"/>
    <xf numFmtId="183" fontId="69" fillId="0" borderId="28" xfId="59" applyNumberFormat="1" applyFont="1" applyFill="1" applyBorder="1" applyAlignment="1">
      <alignment horizontal="right"/>
    </xf>
    <xf numFmtId="175" fontId="69" fillId="0" borderId="0" xfId="209" applyNumberFormat="1" applyFont="1" applyFill="1"/>
    <xf numFmtId="188" fontId="74" fillId="0" borderId="0" xfId="1" applyNumberFormat="1" applyFont="1" applyFill="1" applyBorder="1"/>
    <xf numFmtId="170" fontId="117" fillId="0" borderId="0" xfId="1" applyNumberFormat="1" applyFont="1" applyBorder="1"/>
    <xf numFmtId="37" fontId="69" fillId="0" borderId="0" xfId="1" applyNumberFormat="1" applyFont="1" applyBorder="1"/>
    <xf numFmtId="170" fontId="117" fillId="0" borderId="28" xfId="1" applyNumberFormat="1" applyFont="1" applyBorder="1"/>
    <xf numFmtId="170" fontId="76" fillId="0" borderId="0" xfId="1" applyNumberFormat="1" applyFont="1" applyFill="1" applyBorder="1"/>
    <xf numFmtId="37" fontId="74" fillId="0" borderId="0" xfId="1" applyNumberFormat="1" applyFont="1" applyFill="1" applyBorder="1" applyProtection="1"/>
    <xf numFmtId="37" fontId="74" fillId="0" borderId="28" xfId="1" applyNumberFormat="1" applyFont="1" applyFill="1" applyBorder="1" applyProtection="1"/>
    <xf numFmtId="39" fontId="69" fillId="0" borderId="0" xfId="1" applyNumberFormat="1" applyFont="1" applyFill="1" applyBorder="1" applyAlignment="1" applyProtection="1">
      <alignment horizontal="right"/>
    </xf>
    <xf numFmtId="183" fontId="69" fillId="0" borderId="28" xfId="59" applyNumberFormat="1" applyFont="1" applyBorder="1" applyAlignment="1">
      <alignment horizontal="right"/>
    </xf>
    <xf numFmtId="170" fontId="69" fillId="0" borderId="28" xfId="213" applyFont="1" applyFill="1" applyBorder="1" applyAlignment="1">
      <alignment horizontal="center"/>
    </xf>
    <xf numFmtId="170" fontId="69" fillId="0" borderId="31" xfId="1" applyNumberFormat="1" applyFont="1" applyBorder="1"/>
    <xf numFmtId="170" fontId="69" fillId="0" borderId="0" xfId="1" applyNumberFormat="1" applyFont="1" applyFill="1" applyAlignment="1">
      <alignment horizontal="right"/>
    </xf>
    <xf numFmtId="170" fontId="69" fillId="0" borderId="31" xfId="1" applyNumberFormat="1" applyFont="1" applyFill="1" applyBorder="1"/>
    <xf numFmtId="183" fontId="74" fillId="0" borderId="28" xfId="59" applyNumberFormat="1" applyFont="1" applyFill="1" applyBorder="1" applyProtection="1"/>
    <xf numFmtId="170" fontId="69" fillId="0" borderId="0" xfId="1" applyNumberFormat="1" applyFont="1" applyFill="1" applyBorder="1" applyAlignment="1" applyProtection="1">
      <alignment horizontal="right"/>
    </xf>
    <xf numFmtId="170" fontId="69" fillId="0" borderId="28" xfId="1" applyNumberFormat="1" applyFont="1" applyBorder="1" applyAlignment="1">
      <alignment horizontal="right"/>
    </xf>
    <xf numFmtId="170" fontId="69" fillId="0" borderId="73" xfId="1" applyNumberFormat="1" applyFont="1" applyBorder="1"/>
    <xf numFmtId="170" fontId="69" fillId="0" borderId="70" xfId="1" applyNumberFormat="1" applyFont="1" applyBorder="1"/>
    <xf numFmtId="37" fontId="74" fillId="0" borderId="28" xfId="1" applyNumberFormat="1" applyFont="1" applyFill="1" applyBorder="1"/>
    <xf numFmtId="170" fontId="69" fillId="0" borderId="28" xfId="0" applyNumberFormat="1" applyFont="1" applyBorder="1"/>
    <xf numFmtId="170" fontId="69" fillId="0" borderId="58" xfId="1" applyNumberFormat="1" applyFont="1" applyBorder="1"/>
    <xf numFmtId="170" fontId="69" fillId="0" borderId="57" xfId="1" applyNumberFormat="1" applyFont="1" applyBorder="1"/>
    <xf numFmtId="175" fontId="69" fillId="0" borderId="0" xfId="209" applyNumberFormat="1" applyFont="1" applyBorder="1"/>
    <xf numFmtId="170" fontId="69" fillId="0" borderId="70" xfId="1" applyNumberFormat="1" applyFont="1" applyBorder="1" applyProtection="1"/>
    <xf numFmtId="170" fontId="69" fillId="0" borderId="8" xfId="1" applyNumberFormat="1" applyFont="1" applyFill="1" applyBorder="1" applyProtection="1"/>
    <xf numFmtId="37" fontId="69" fillId="0" borderId="0" xfId="1" applyNumberFormat="1" applyFont="1" applyBorder="1" applyProtection="1"/>
    <xf numFmtId="37" fontId="69" fillId="0" borderId="28" xfId="1" applyNumberFormat="1" applyFont="1" applyBorder="1" applyProtection="1"/>
    <xf numFmtId="170" fontId="117" fillId="0" borderId="0" xfId="0" applyNumberFormat="1" applyFont="1"/>
    <xf numFmtId="195" fontId="69" fillId="0" borderId="0" xfId="255" applyNumberFormat="1" applyFont="1"/>
    <xf numFmtId="170" fontId="69" fillId="28" borderId="0" xfId="1" applyNumberFormat="1" applyFont="1" applyFill="1"/>
    <xf numFmtId="170" fontId="69" fillId="0" borderId="31" xfId="0" applyNumberFormat="1" applyFont="1" applyBorder="1"/>
    <xf numFmtId="2" fontId="69" fillId="0" borderId="0" xfId="1" applyNumberFormat="1" applyFont="1" applyFill="1" applyBorder="1" applyProtection="1"/>
    <xf numFmtId="170" fontId="69" fillId="0" borderId="21" xfId="1" applyNumberFormat="1" applyFont="1" applyBorder="1"/>
    <xf numFmtId="37" fontId="69" fillId="0" borderId="0" xfId="1" applyNumberFormat="1" applyFont="1" applyFill="1" applyBorder="1" applyProtection="1"/>
    <xf numFmtId="37" fontId="69" fillId="0" borderId="28" xfId="1" applyNumberFormat="1" applyFont="1" applyFill="1" applyBorder="1" applyProtection="1"/>
    <xf numFmtId="183" fontId="74" fillId="0" borderId="28" xfId="59" applyNumberFormat="1" applyFont="1" applyBorder="1"/>
    <xf numFmtId="170" fontId="69" fillId="0" borderId="34" xfId="213" applyFont="1" applyFill="1" applyBorder="1" applyAlignment="1">
      <alignment horizontal="right"/>
    </xf>
    <xf numFmtId="170" fontId="69" fillId="0" borderId="0" xfId="213" applyFont="1" applyBorder="1"/>
    <xf numFmtId="170" fontId="69" fillId="0" borderId="21" xfId="213" applyFont="1" applyBorder="1"/>
    <xf numFmtId="183" fontId="69" fillId="0" borderId="57" xfId="59" applyNumberFormat="1" applyFont="1" applyBorder="1"/>
    <xf numFmtId="165" fontId="69" fillId="0" borderId="0" xfId="59" applyFont="1"/>
    <xf numFmtId="175" fontId="69" fillId="0" borderId="0" xfId="1" applyNumberFormat="1" applyFont="1"/>
    <xf numFmtId="176" fontId="69" fillId="0" borderId="0" xfId="209" applyNumberFormat="1" applyFont="1"/>
    <xf numFmtId="175" fontId="69" fillId="0" borderId="0" xfId="1" applyNumberFormat="1" applyFont="1" applyFill="1"/>
    <xf numFmtId="188" fontId="69" fillId="0" borderId="0" xfId="1" applyFont="1" applyFill="1" applyAlignment="1">
      <alignment horizontal="right" wrapText="1"/>
    </xf>
    <xf numFmtId="170" fontId="69" fillId="0" borderId="43" xfId="1" applyNumberFormat="1" applyFont="1" applyBorder="1"/>
    <xf numFmtId="37" fontId="69" fillId="0" borderId="34" xfId="1" applyNumberFormat="1" applyFont="1" applyBorder="1"/>
    <xf numFmtId="170" fontId="69" fillId="0" borderId="0" xfId="1" applyNumberFormat="1" applyFont="1" applyFill="1" applyAlignment="1">
      <alignment wrapText="1"/>
    </xf>
    <xf numFmtId="174" fontId="69" fillId="0" borderId="0" xfId="209" applyNumberFormat="1" applyFont="1"/>
    <xf numFmtId="1" fontId="69" fillId="0" borderId="28" xfId="59" applyNumberFormat="1" applyFont="1" applyBorder="1" applyAlignment="1">
      <alignment horizontal="right"/>
    </xf>
    <xf numFmtId="170" fontId="76" fillId="0" borderId="0" xfId="1" quotePrefix="1" applyNumberFormat="1" applyFont="1" applyFill="1" applyBorder="1" applyAlignment="1">
      <alignment horizontal="center"/>
    </xf>
    <xf numFmtId="14" fontId="76" fillId="0" borderId="0" xfId="1" quotePrefix="1" applyNumberFormat="1" applyFont="1" applyFill="1" applyBorder="1" applyAlignment="1">
      <alignment horizontal="center"/>
    </xf>
    <xf numFmtId="170" fontId="76" fillId="0" borderId="0" xfId="1" applyNumberFormat="1" applyFont="1" applyFill="1" applyBorder="1" applyAlignment="1">
      <alignment horizontal="center"/>
    </xf>
    <xf numFmtId="170" fontId="76" fillId="0" borderId="0" xfId="1" applyNumberFormat="1" applyFont="1" applyFill="1" applyBorder="1" applyAlignment="1">
      <alignment horizontal="centerContinuous"/>
    </xf>
    <xf numFmtId="170" fontId="69" fillId="0" borderId="0" xfId="1" quotePrefix="1" applyNumberFormat="1" applyFont="1" applyFill="1" applyBorder="1" applyAlignment="1">
      <alignment horizontal="left"/>
    </xf>
    <xf numFmtId="188" fontId="76" fillId="0" borderId="0" xfId="1" quotePrefix="1" applyNumberFormat="1" applyFont="1" applyFill="1" applyBorder="1" applyAlignment="1">
      <alignment horizontal="right"/>
    </xf>
    <xf numFmtId="170" fontId="76" fillId="0" borderId="0" xfId="1" quotePrefix="1" applyNumberFormat="1" applyFont="1" applyFill="1" applyBorder="1" applyAlignment="1">
      <alignment horizontal="right"/>
    </xf>
    <xf numFmtId="188" fontId="69" fillId="0" borderId="0" xfId="1" applyNumberFormat="1" applyFont="1" applyFill="1" applyBorder="1" applyAlignment="1">
      <alignment horizontal="center"/>
    </xf>
    <xf numFmtId="177" fontId="69" fillId="0" borderId="0" xfId="214" applyNumberFormat="1" applyFont="1"/>
    <xf numFmtId="170" fontId="69" fillId="0" borderId="0" xfId="214" applyFont="1" applyBorder="1"/>
    <xf numFmtId="169" fontId="69" fillId="0" borderId="0" xfId="0" applyNumberFormat="1" applyFont="1" applyFill="1" applyBorder="1" applyAlignment="1"/>
    <xf numFmtId="175" fontId="69" fillId="0" borderId="0" xfId="214" applyNumberFormat="1" applyFont="1"/>
    <xf numFmtId="37" fontId="74" fillId="0" borderId="0" xfId="210" quotePrefix="1" applyFont="1" applyBorder="1" applyAlignment="1">
      <alignment horizontal="right"/>
    </xf>
    <xf numFmtId="15" fontId="76" fillId="0" borderId="0" xfId="210" quotePrefix="1" applyNumberFormat="1" applyFont="1" applyFill="1" applyBorder="1" applyAlignment="1">
      <alignment horizontal="right"/>
    </xf>
    <xf numFmtId="15" fontId="74" fillId="0" borderId="0" xfId="210" applyNumberFormat="1" applyFont="1" applyFill="1" applyBorder="1" applyAlignment="1">
      <alignment horizontal="right"/>
    </xf>
    <xf numFmtId="188" fontId="69" fillId="0" borderId="0" xfId="0" applyFont="1" applyAlignment="1">
      <alignment horizontal="left"/>
    </xf>
    <xf numFmtId="177" fontId="69" fillId="0" borderId="0" xfId="0" applyNumberFormat="1" applyFont="1"/>
    <xf numFmtId="165" fontId="69" fillId="0" borderId="28" xfId="59" applyFont="1" applyBorder="1"/>
    <xf numFmtId="165" fontId="69" fillId="0" borderId="0" xfId="59" applyFont="1" applyBorder="1"/>
    <xf numFmtId="174" fontId="69" fillId="0" borderId="0" xfId="1" applyNumberFormat="1" applyFont="1" applyFill="1"/>
    <xf numFmtId="1" fontId="69" fillId="0" borderId="0" xfId="209" applyNumberFormat="1" applyFont="1" applyFill="1"/>
    <xf numFmtId="165" fontId="69" fillId="0" borderId="0" xfId="59" applyFont="1" applyFill="1" applyBorder="1" applyProtection="1"/>
    <xf numFmtId="165" fontId="69" fillId="0" borderId="28" xfId="59" applyFont="1" applyFill="1" applyBorder="1" applyProtection="1"/>
    <xf numFmtId="183" fontId="69" fillId="0" borderId="0" xfId="59" applyNumberFormat="1" applyFont="1" applyFill="1" applyBorder="1" applyAlignment="1">
      <alignment horizontal="right"/>
    </xf>
    <xf numFmtId="170" fontId="69" fillId="0" borderId="18" xfId="1" applyNumberFormat="1" applyFont="1" applyBorder="1" applyAlignment="1">
      <alignment horizontal="right"/>
    </xf>
    <xf numFmtId="170" fontId="69" fillId="0" borderId="68" xfId="1" applyNumberFormat="1" applyFont="1" applyFill="1" applyBorder="1" applyAlignment="1">
      <alignment horizontal="right"/>
    </xf>
    <xf numFmtId="170" fontId="69" fillId="0" borderId="0" xfId="0" applyNumberFormat="1" applyFont="1" applyBorder="1" applyAlignment="1">
      <alignment horizontal="center" wrapText="1"/>
    </xf>
    <xf numFmtId="193" fontId="69" fillId="0" borderId="0" xfId="0" applyNumberFormat="1" applyFont="1" applyFill="1" applyBorder="1"/>
    <xf numFmtId="170" fontId="69" fillId="0" borderId="19" xfId="1" applyNumberFormat="1" applyFont="1" applyFill="1" applyBorder="1" applyAlignment="1">
      <alignment horizontal="right"/>
    </xf>
    <xf numFmtId="170" fontId="69" fillId="0" borderId="88" xfId="0" applyNumberFormat="1" applyFont="1" applyFill="1" applyBorder="1"/>
    <xf numFmtId="170" fontId="69" fillId="0" borderId="15" xfId="0" applyNumberFormat="1" applyFont="1" applyBorder="1"/>
    <xf numFmtId="170" fontId="69" fillId="0" borderId="25" xfId="0" applyNumberFormat="1" applyFont="1" applyBorder="1"/>
    <xf numFmtId="0" fontId="69" fillId="0" borderId="95" xfId="213" applyNumberFormat="1" applyFont="1" applyFill="1" applyBorder="1" applyAlignment="1">
      <alignment horizontal="right"/>
    </xf>
    <xf numFmtId="193" fontId="69" fillId="0" borderId="0" xfId="0" applyNumberFormat="1" applyFont="1"/>
    <xf numFmtId="192" fontId="69" fillId="0" borderId="0" xfId="0" applyNumberFormat="1" applyFont="1"/>
    <xf numFmtId="4" fontId="69" fillId="0" borderId="0" xfId="0" applyNumberFormat="1" applyFont="1"/>
    <xf numFmtId="192" fontId="69" fillId="0" borderId="0" xfId="0" applyNumberFormat="1" applyFont="1" applyFill="1"/>
    <xf numFmtId="170" fontId="74" fillId="0" borderId="53" xfId="1" applyNumberFormat="1" applyFont="1" applyFill="1" applyBorder="1" applyAlignment="1">
      <alignment horizontal="centerContinuous"/>
    </xf>
    <xf numFmtId="193" fontId="69" fillId="0" borderId="0" xfId="1" applyNumberFormat="1" applyFont="1" applyFill="1"/>
    <xf numFmtId="170" fontId="69" fillId="0" borderId="54" xfId="1" applyNumberFormat="1" applyFont="1" applyFill="1" applyBorder="1"/>
    <xf numFmtId="170" fontId="74" fillId="0" borderId="24" xfId="1" applyNumberFormat="1" applyFont="1" applyFill="1" applyBorder="1" applyAlignment="1">
      <alignment horizontal="right"/>
    </xf>
    <xf numFmtId="170" fontId="74" fillId="0" borderId="55" xfId="1" applyNumberFormat="1" applyFont="1" applyFill="1" applyBorder="1" applyAlignment="1">
      <alignment horizontal="right"/>
    </xf>
    <xf numFmtId="193" fontId="69" fillId="0" borderId="0" xfId="1" applyNumberFormat="1" applyFont="1" applyFill="1" applyBorder="1"/>
    <xf numFmtId="188" fontId="146" fillId="0" borderId="36" xfId="0" applyNumberFormat="1" applyFont="1" applyFill="1" applyBorder="1" applyAlignment="1">
      <alignment horizontal="right"/>
    </xf>
    <xf numFmtId="1" fontId="69" fillId="0" borderId="31" xfId="0" applyNumberFormat="1" applyFont="1" applyFill="1" applyBorder="1" applyAlignment="1">
      <alignment horizontal="right"/>
    </xf>
    <xf numFmtId="0" fontId="69" fillId="0" borderId="95" xfId="0" applyNumberFormat="1" applyFont="1" applyFill="1" applyBorder="1" applyAlignment="1">
      <alignment horizontal="right"/>
    </xf>
    <xf numFmtId="0" fontId="69" fillId="0" borderId="97" xfId="0" applyNumberFormat="1" applyFont="1" applyFill="1" applyBorder="1" applyAlignment="1">
      <alignment horizontal="right"/>
    </xf>
    <xf numFmtId="0" fontId="69" fillId="0" borderId="28" xfId="0" applyNumberFormat="1" applyFont="1" applyFill="1" applyBorder="1" applyAlignment="1">
      <alignment horizontal="right"/>
    </xf>
    <xf numFmtId="194" fontId="69" fillId="0" borderId="0" xfId="1" applyNumberFormat="1" applyFont="1" applyFill="1" applyBorder="1"/>
    <xf numFmtId="1" fontId="69" fillId="0" borderId="28" xfId="0" applyNumberFormat="1" applyFont="1" applyFill="1" applyBorder="1" applyAlignment="1">
      <alignment horizontal="right"/>
    </xf>
    <xf numFmtId="170" fontId="76" fillId="0" borderId="22" xfId="0" applyNumberFormat="1" applyFont="1" applyBorder="1"/>
    <xf numFmtId="174" fontId="69" fillId="0" borderId="19" xfId="1" applyNumberFormat="1" applyFont="1" applyBorder="1"/>
    <xf numFmtId="170" fontId="69" fillId="0" borderId="19" xfId="1" applyNumberFormat="1" applyFont="1" applyBorder="1"/>
    <xf numFmtId="170" fontId="69" fillId="0" borderId="23" xfId="1" applyNumberFormat="1" applyFont="1" applyBorder="1"/>
    <xf numFmtId="170" fontId="76" fillId="0" borderId="16" xfId="0" applyNumberFormat="1" applyFont="1" applyBorder="1"/>
    <xf numFmtId="174" fontId="69" fillId="0" borderId="0" xfId="1" applyNumberFormat="1" applyFont="1" applyBorder="1"/>
    <xf numFmtId="49" fontId="69" fillId="0" borderId="97" xfId="0" applyNumberFormat="1" applyFont="1" applyFill="1" applyBorder="1" applyAlignment="1">
      <alignment horizontal="right"/>
    </xf>
    <xf numFmtId="1" fontId="69" fillId="0" borderId="68" xfId="0" applyNumberFormat="1" applyFont="1" applyFill="1" applyBorder="1" applyAlignment="1">
      <alignment horizontal="right"/>
    </xf>
    <xf numFmtId="170" fontId="69" fillId="0" borderId="15" xfId="0" applyNumberFormat="1" applyFont="1" applyFill="1" applyBorder="1"/>
    <xf numFmtId="175" fontId="69" fillId="0" borderId="0" xfId="1" applyNumberFormat="1" applyFont="1" applyFill="1" applyBorder="1"/>
    <xf numFmtId="170" fontId="69" fillId="0" borderId="37" xfId="207" applyNumberFormat="1" applyFont="1" applyFill="1" applyBorder="1" applyAlignment="1">
      <alignment horizontal="right"/>
    </xf>
    <xf numFmtId="170" fontId="74" fillId="0" borderId="0" xfId="1" applyNumberFormat="1" applyFont="1" applyFill="1" applyBorder="1" applyAlignment="1">
      <alignment horizontal="center" wrapText="1"/>
    </xf>
    <xf numFmtId="170" fontId="69" fillId="0" borderId="0" xfId="0" applyNumberFormat="1" applyFont="1" applyFill="1" applyBorder="1" applyAlignment="1">
      <alignment horizontal="center"/>
    </xf>
    <xf numFmtId="170" fontId="69" fillId="0" borderId="0" xfId="0" applyNumberFormat="1" applyFont="1" applyFill="1" applyBorder="1" applyAlignment="1">
      <alignment horizontal="right"/>
    </xf>
    <xf numFmtId="170" fontId="69" fillId="0" borderId="25" xfId="0" applyNumberFormat="1" applyFont="1" applyFill="1" applyBorder="1"/>
    <xf numFmtId="170" fontId="69" fillId="0" borderId="15" xfId="1" applyNumberFormat="1" applyFont="1" applyFill="1" applyBorder="1"/>
    <xf numFmtId="170" fontId="69" fillId="0" borderId="80" xfId="0" applyNumberFormat="1" applyFont="1" applyFill="1" applyBorder="1"/>
    <xf numFmtId="170" fontId="69" fillId="0" borderId="55" xfId="0" applyNumberFormat="1" applyFont="1" applyFill="1" applyBorder="1"/>
    <xf numFmtId="170" fontId="74" fillId="0" borderId="15" xfId="0" applyNumberFormat="1" applyFont="1" applyFill="1" applyBorder="1" applyAlignment="1">
      <alignment horizontal="center"/>
    </xf>
    <xf numFmtId="170" fontId="69" fillId="0" borderId="23" xfId="0" applyNumberFormat="1" applyFont="1" applyFill="1" applyBorder="1"/>
    <xf numFmtId="188" fontId="76" fillId="0" borderId="0" xfId="0" applyFont="1"/>
    <xf numFmtId="165" fontId="74" fillId="0" borderId="33" xfId="59" applyFont="1" applyFill="1" applyBorder="1" applyAlignment="1">
      <alignment horizontal="right"/>
    </xf>
    <xf numFmtId="1" fontId="76" fillId="24" borderId="107" xfId="1" applyNumberFormat="1" applyFont="1" applyFill="1" applyBorder="1" applyAlignment="1">
      <alignment horizontal="right" indent="1"/>
    </xf>
    <xf numFmtId="183" fontId="74" fillId="0" borderId="68" xfId="59" applyNumberFormat="1" applyFont="1" applyBorder="1" applyAlignment="1">
      <alignment horizontal="center"/>
    </xf>
    <xf numFmtId="170" fontId="74" fillId="0" borderId="68" xfId="1" applyNumberFormat="1" applyFont="1" applyBorder="1" applyAlignment="1">
      <alignment horizontal="center"/>
    </xf>
    <xf numFmtId="170" fontId="74" fillId="24" borderId="21" xfId="1" applyNumberFormat="1" applyFont="1" applyFill="1" applyBorder="1" applyAlignment="1">
      <alignment horizontal="right"/>
    </xf>
    <xf numFmtId="183" fontId="74" fillId="24" borderId="107" xfId="59" applyNumberFormat="1" applyFont="1" applyFill="1" applyBorder="1" applyAlignment="1">
      <alignment horizontal="center"/>
    </xf>
    <xf numFmtId="170" fontId="74" fillId="24" borderId="102" xfId="1" applyNumberFormat="1" applyFont="1" applyFill="1" applyBorder="1" applyAlignment="1">
      <alignment horizontal="centerContinuous"/>
    </xf>
    <xf numFmtId="170" fontId="74" fillId="24" borderId="107" xfId="1" applyNumberFormat="1" applyFont="1" applyFill="1" applyBorder="1" applyAlignment="1">
      <alignment horizontal="centerContinuous"/>
    </xf>
    <xf numFmtId="37" fontId="74" fillId="24" borderId="107" xfId="1" applyNumberFormat="1" applyFont="1" applyFill="1" applyBorder="1" applyAlignment="1">
      <alignment horizontal="centerContinuous"/>
    </xf>
    <xf numFmtId="170" fontId="74" fillId="0" borderId="51" xfId="1" applyNumberFormat="1" applyFont="1" applyFill="1" applyBorder="1" applyAlignment="1">
      <alignment horizontal="right"/>
    </xf>
    <xf numFmtId="170" fontId="74" fillId="0" borderId="52" xfId="1" applyNumberFormat="1" applyFont="1" applyFill="1" applyBorder="1" applyAlignment="1">
      <alignment horizontal="right"/>
    </xf>
    <xf numFmtId="15" fontId="74" fillId="0" borderId="51" xfId="1" applyNumberFormat="1" applyFont="1" applyFill="1" applyBorder="1" applyAlignment="1">
      <alignment horizontal="right"/>
    </xf>
    <xf numFmtId="170" fontId="69" fillId="0" borderId="31" xfId="1" applyNumberFormat="1" applyFont="1" applyFill="1" applyBorder="1" applyAlignment="1">
      <alignment horizontal="right"/>
    </xf>
    <xf numFmtId="170" fontId="69" fillId="0" borderId="31" xfId="1" applyNumberFormat="1" applyFont="1" applyBorder="1" applyAlignment="1">
      <alignment horizontal="right"/>
    </xf>
    <xf numFmtId="0" fontId="69" fillId="0" borderId="28" xfId="213" applyNumberFormat="1" applyFont="1" applyFill="1" applyBorder="1" applyAlignment="1">
      <alignment horizontal="right"/>
    </xf>
    <xf numFmtId="188" fontId="74" fillId="0" borderId="0" xfId="0" applyFont="1" applyAlignment="1">
      <alignment horizontal="right"/>
    </xf>
    <xf numFmtId="0" fontId="69" fillId="0" borderId="0" xfId="0" applyNumberFormat="1" applyFont="1" applyAlignment="1">
      <alignment horizontal="right"/>
    </xf>
    <xf numFmtId="0" fontId="69" fillId="0" borderId="0" xfId="1" applyNumberFormat="1" applyFont="1" applyFill="1" applyAlignment="1">
      <alignment horizontal="right"/>
    </xf>
    <xf numFmtId="170" fontId="69" fillId="0" borderId="8" xfId="1" applyNumberFormat="1" applyFont="1" applyBorder="1" applyProtection="1"/>
    <xf numFmtId="174" fontId="69" fillId="0" borderId="28" xfId="1" applyNumberFormat="1" applyFont="1" applyFill="1" applyBorder="1" applyProtection="1"/>
    <xf numFmtId="174" fontId="69" fillId="0" borderId="8" xfId="1" applyNumberFormat="1" applyFont="1" applyFill="1" applyBorder="1" applyProtection="1"/>
    <xf numFmtId="174" fontId="74" fillId="44" borderId="6" xfId="1" applyNumberFormat="1" applyFont="1" applyFill="1" applyBorder="1" applyProtection="1"/>
    <xf numFmtId="176" fontId="74" fillId="0" borderId="0" xfId="59" applyNumberFormat="1" applyFont="1"/>
    <xf numFmtId="188" fontId="69" fillId="0" borderId="8" xfId="1" applyFont="1" applyFill="1" applyBorder="1" applyAlignment="1">
      <alignment wrapText="1"/>
    </xf>
    <xf numFmtId="165" fontId="69" fillId="0" borderId="70" xfId="59" applyFont="1" applyBorder="1"/>
    <xf numFmtId="165" fontId="69" fillId="0" borderId="73" xfId="59" applyFont="1" applyBorder="1"/>
    <xf numFmtId="165" fontId="69" fillId="0" borderId="73" xfId="59" applyFont="1" applyFill="1" applyBorder="1"/>
    <xf numFmtId="170" fontId="74" fillId="44" borderId="6" xfId="1" applyNumberFormat="1" applyFont="1" applyFill="1" applyBorder="1" applyProtection="1"/>
    <xf numFmtId="170" fontId="69" fillId="0" borderId="34" xfId="1" applyNumberFormat="1" applyFont="1" applyFill="1" applyBorder="1" applyProtection="1"/>
    <xf numFmtId="188" fontId="69" fillId="0" borderId="8" xfId="0" applyFont="1" applyBorder="1" applyAlignment="1">
      <alignment horizontal="right"/>
    </xf>
    <xf numFmtId="188" fontId="69" fillId="0" borderId="28" xfId="0" applyFont="1" applyBorder="1" applyAlignment="1">
      <alignment horizontal="right"/>
    </xf>
    <xf numFmtId="175" fontId="69" fillId="0" borderId="8" xfId="209" applyNumberFormat="1" applyFont="1" applyBorder="1"/>
    <xf numFmtId="0" fontId="69" fillId="0" borderId="8" xfId="213" applyNumberFormat="1" applyFont="1" applyFill="1" applyBorder="1" applyAlignment="1">
      <alignment horizontal="center"/>
    </xf>
    <xf numFmtId="170" fontId="69" fillId="0" borderId="28" xfId="213" applyNumberFormat="1" applyFont="1" applyBorder="1"/>
    <xf numFmtId="170" fontId="69" fillId="0" borderId="28" xfId="213" applyNumberFormat="1" applyFont="1" applyFill="1" applyBorder="1"/>
    <xf numFmtId="183" fontId="74" fillId="44" borderId="110" xfId="59" applyNumberFormat="1" applyFont="1" applyFill="1" applyBorder="1" applyProtection="1"/>
    <xf numFmtId="170" fontId="76" fillId="0" borderId="28" xfId="1" applyNumberFormat="1" applyFont="1" applyFill="1" applyBorder="1" applyAlignment="1">
      <alignment horizontal="right"/>
    </xf>
    <xf numFmtId="170" fontId="117" fillId="0" borderId="28" xfId="1" applyNumberFormat="1" applyFont="1" applyFill="1" applyBorder="1" applyAlignment="1">
      <alignment horizontal="right"/>
    </xf>
    <xf numFmtId="170" fontId="74" fillId="0" borderId="22" xfId="1" applyNumberFormat="1" applyFont="1" applyBorder="1" applyAlignment="1">
      <alignment horizontal="right"/>
    </xf>
    <xf numFmtId="183" fontId="74" fillId="0" borderId="75" xfId="59" applyNumberFormat="1" applyFont="1" applyBorder="1"/>
    <xf numFmtId="170" fontId="69" fillId="0" borderId="24" xfId="1" applyNumberFormat="1" applyFont="1" applyBorder="1" applyAlignment="1">
      <alignment horizontal="right"/>
    </xf>
    <xf numFmtId="183" fontId="74" fillId="0" borderId="77" xfId="59" applyNumberFormat="1" applyFont="1" applyBorder="1"/>
    <xf numFmtId="188" fontId="69" fillId="0" borderId="0" xfId="0" applyFont="1" applyFill="1" applyAlignment="1">
      <alignment horizontal="left"/>
    </xf>
    <xf numFmtId="188" fontId="69" fillId="0" borderId="0" xfId="0" applyFont="1" applyFill="1" applyAlignment="1">
      <alignment horizontal="center"/>
    </xf>
    <xf numFmtId="188" fontId="69" fillId="0" borderId="0" xfId="0" applyFont="1" applyBorder="1" applyAlignment="1">
      <alignment horizontal="left"/>
    </xf>
    <xf numFmtId="188" fontId="69" fillId="0" borderId="0" xfId="0" applyFont="1" applyBorder="1"/>
    <xf numFmtId="188" fontId="69" fillId="0" borderId="0" xfId="0" applyFont="1" applyFill="1" applyBorder="1" applyAlignment="1">
      <alignment horizontal="left"/>
    </xf>
    <xf numFmtId="188" fontId="69" fillId="0" borderId="21" xfId="0" applyFont="1" applyFill="1" applyBorder="1" applyAlignment="1">
      <alignment horizontal="center"/>
    </xf>
    <xf numFmtId="188" fontId="76" fillId="0" borderId="0" xfId="208" applyNumberFormat="1" applyFont="1" applyFill="1" applyBorder="1" applyAlignment="1" applyProtection="1">
      <alignment horizontal="left"/>
    </xf>
    <xf numFmtId="170" fontId="69" fillId="0" borderId="0" xfId="208" applyNumberFormat="1" applyFont="1"/>
    <xf numFmtId="170" fontId="69" fillId="0" borderId="84" xfId="1" applyNumberFormat="1" applyFont="1" applyBorder="1" applyAlignment="1">
      <alignment horizontal="center"/>
    </xf>
    <xf numFmtId="170" fontId="69" fillId="0" borderId="0" xfId="1" applyNumberFormat="1" applyFont="1" applyBorder="1" applyAlignment="1">
      <alignment horizontal="center"/>
    </xf>
    <xf numFmtId="49" fontId="121" fillId="0" borderId="0" xfId="128" applyNumberFormat="1" applyFont="1"/>
    <xf numFmtId="37" fontId="74" fillId="57" borderId="0" xfId="210" quotePrefix="1" applyFont="1" applyFill="1" applyBorder="1" applyAlignment="1">
      <alignment horizontal="left"/>
    </xf>
    <xf numFmtId="170" fontId="123" fillId="0" borderId="0" xfId="1" applyNumberFormat="1" applyFont="1"/>
    <xf numFmtId="37" fontId="74" fillId="42" borderId="0" xfId="210" applyFont="1" applyFill="1" applyBorder="1" applyAlignment="1">
      <alignment horizontal="left"/>
    </xf>
    <xf numFmtId="49" fontId="121" fillId="0" borderId="0" xfId="128" applyNumberFormat="1" applyFont="1" applyFill="1"/>
    <xf numFmtId="41" fontId="74" fillId="46" borderId="0" xfId="210" applyNumberFormat="1" applyFont="1" applyFill="1" applyBorder="1" applyAlignment="1">
      <alignment horizontal="left"/>
    </xf>
    <xf numFmtId="188" fontId="76" fillId="43" borderId="0" xfId="206" applyFont="1" applyFill="1" applyBorder="1" applyAlignment="1">
      <alignment horizontal="left"/>
    </xf>
    <xf numFmtId="170" fontId="69" fillId="0" borderId="84" xfId="1" applyNumberFormat="1" applyFont="1" applyBorder="1"/>
    <xf numFmtId="188" fontId="147" fillId="0" borderId="0" xfId="206" applyFont="1" applyFill="1" applyBorder="1" applyAlignment="1">
      <alignment horizontal="left" vertical="center"/>
    </xf>
    <xf numFmtId="165" fontId="74" fillId="0" borderId="20" xfId="59" applyFont="1" applyBorder="1"/>
    <xf numFmtId="165" fontId="69" fillId="0" borderId="84" xfId="59" applyFont="1" applyBorder="1"/>
    <xf numFmtId="170" fontId="69" fillId="0" borderId="20" xfId="5" applyNumberFormat="1" applyFont="1" applyBorder="1" applyAlignment="1">
      <alignment horizontal="right"/>
    </xf>
    <xf numFmtId="183" fontId="74" fillId="0" borderId="0" xfId="59" applyNumberFormat="1" applyFont="1" applyFill="1" applyBorder="1" applyAlignment="1">
      <alignment horizontal="right"/>
    </xf>
    <xf numFmtId="170" fontId="69" fillId="59" borderId="0" xfId="0" applyNumberFormat="1" applyFont="1" applyFill="1" applyAlignment="1">
      <alignment horizontal="center"/>
    </xf>
    <xf numFmtId="170" fontId="76" fillId="0" borderId="0" xfId="0" applyNumberFormat="1" applyFont="1" applyAlignment="1">
      <alignment horizontal="center"/>
    </xf>
    <xf numFmtId="170" fontId="69" fillId="0" borderId="0" xfId="0" applyNumberFormat="1" applyFont="1" applyAlignment="1">
      <alignment wrapText="1"/>
    </xf>
    <xf numFmtId="170" fontId="118" fillId="0" borderId="0" xfId="0" applyNumberFormat="1" applyFont="1"/>
    <xf numFmtId="170" fontId="69" fillId="47" borderId="0" xfId="0" applyNumberFormat="1" applyFont="1" applyFill="1" applyAlignment="1">
      <alignment horizontal="center"/>
    </xf>
    <xf numFmtId="180" fontId="69" fillId="0" borderId="0" xfId="65" applyNumberFormat="1" applyFont="1" applyBorder="1" applyAlignment="1">
      <alignment horizontal="right"/>
    </xf>
    <xf numFmtId="180" fontId="118" fillId="0" borderId="0" xfId="65" applyNumberFormat="1" applyFont="1" applyFill="1" applyBorder="1" applyAlignment="1">
      <alignment horizontal="right"/>
    </xf>
    <xf numFmtId="180" fontId="69" fillId="0" borderId="0" xfId="65" applyNumberFormat="1" applyFont="1" applyFill="1" applyBorder="1" applyAlignment="1">
      <alignment horizontal="right"/>
    </xf>
    <xf numFmtId="180" fontId="69" fillId="47" borderId="0" xfId="65" applyNumberFormat="1" applyFont="1" applyFill="1" applyBorder="1" applyAlignment="1">
      <alignment horizontal="center"/>
    </xf>
    <xf numFmtId="180" fontId="69" fillId="0" borderId="0" xfId="65" applyNumberFormat="1" applyFont="1" applyBorder="1" applyAlignment="1">
      <alignment horizontal="center"/>
    </xf>
    <xf numFmtId="170" fontId="69" fillId="47" borderId="0" xfId="0" applyNumberFormat="1" applyFont="1" applyFill="1"/>
    <xf numFmtId="9" fontId="69" fillId="0" borderId="0" xfId="218" applyFont="1"/>
    <xf numFmtId="170" fontId="69" fillId="0" borderId="22" xfId="0" applyNumberFormat="1" applyFont="1" applyBorder="1"/>
    <xf numFmtId="170" fontId="69" fillId="57" borderId="23" xfId="0" applyNumberFormat="1" applyFont="1" applyFill="1" applyBorder="1"/>
    <xf numFmtId="170" fontId="69" fillId="0" borderId="16" xfId="0" applyNumberFormat="1" applyFont="1" applyBorder="1"/>
    <xf numFmtId="170" fontId="69" fillId="0" borderId="24" xfId="0" applyNumberFormat="1" applyFont="1" applyBorder="1"/>
    <xf numFmtId="9" fontId="69" fillId="0" borderId="0" xfId="218" applyFont="1" applyAlignment="1">
      <alignment horizontal="right"/>
    </xf>
    <xf numFmtId="188" fontId="149" fillId="0" borderId="0" xfId="5" applyFont="1" applyFill="1" applyBorder="1" applyAlignment="1">
      <alignment horizontal="center" vertical="center" wrapText="1"/>
    </xf>
    <xf numFmtId="188" fontId="149" fillId="0" borderId="0" xfId="5" applyFont="1" applyFill="1" applyBorder="1" applyAlignment="1">
      <alignment horizontal="center"/>
    </xf>
    <xf numFmtId="14" fontId="74" fillId="0" borderId="21" xfId="5" applyNumberFormat="1" applyFont="1" applyBorder="1" applyAlignment="1" applyProtection="1">
      <alignment horizontal="right"/>
      <protection locked="0"/>
    </xf>
    <xf numFmtId="14" fontId="74" fillId="0" borderId="0" xfId="5" applyNumberFormat="1" applyFont="1" applyBorder="1" applyAlignment="1" applyProtection="1">
      <alignment horizontal="right"/>
      <protection locked="0"/>
    </xf>
    <xf numFmtId="14" fontId="74" fillId="47" borderId="78" xfId="5" applyNumberFormat="1" applyFont="1" applyFill="1" applyBorder="1" applyAlignment="1" applyProtection="1">
      <alignment horizontal="center"/>
      <protection locked="0"/>
    </xf>
    <xf numFmtId="14" fontId="74" fillId="0" borderId="78" xfId="5" applyNumberFormat="1" applyFont="1" applyBorder="1" applyAlignment="1" applyProtection="1">
      <alignment horizontal="center"/>
      <protection locked="0"/>
    </xf>
    <xf numFmtId="188" fontId="74" fillId="0" borderId="20" xfId="5" applyFont="1" applyFill="1" applyBorder="1" applyAlignment="1">
      <alignment horizontal="center" wrapText="1"/>
    </xf>
    <xf numFmtId="188" fontId="74" fillId="0" borderId="0" xfId="5" applyFont="1" applyFill="1" applyBorder="1" applyAlignment="1">
      <alignment horizontal="center" wrapText="1"/>
    </xf>
    <xf numFmtId="188" fontId="74" fillId="47" borderId="21" xfId="5" applyFont="1" applyFill="1" applyBorder="1" applyAlignment="1">
      <alignment horizontal="center" wrapText="1"/>
    </xf>
    <xf numFmtId="188" fontId="74" fillId="47" borderId="88" xfId="5" applyFont="1" applyFill="1" applyBorder="1" applyAlignment="1">
      <alignment horizontal="center" wrapText="1"/>
    </xf>
    <xf numFmtId="188" fontId="74" fillId="0" borderId="21" xfId="5" applyFont="1" applyFill="1" applyBorder="1" applyAlignment="1">
      <alignment horizontal="center" wrapText="1"/>
    </xf>
    <xf numFmtId="188" fontId="74" fillId="0" borderId="0" xfId="5" applyFont="1" applyFill="1" applyBorder="1" applyAlignment="1">
      <alignment horizontal="right" wrapText="1"/>
    </xf>
    <xf numFmtId="14" fontId="74" fillId="0" borderId="21" xfId="5" applyNumberFormat="1" applyFont="1" applyBorder="1" applyAlignment="1" applyProtection="1">
      <alignment horizontal="center"/>
      <protection locked="0"/>
    </xf>
    <xf numFmtId="14" fontId="74" fillId="0" borderId="60" xfId="5" applyNumberFormat="1" applyFont="1" applyBorder="1" applyAlignment="1" applyProtection="1">
      <alignment wrapText="1"/>
      <protection locked="0"/>
    </xf>
    <xf numFmtId="14" fontId="74" fillId="55" borderId="21" xfId="5" applyNumberFormat="1" applyFont="1" applyFill="1" applyBorder="1" applyAlignment="1" applyProtection="1">
      <alignment wrapText="1"/>
      <protection locked="0"/>
    </xf>
    <xf numFmtId="188" fontId="74" fillId="47" borderId="20" xfId="5" applyFont="1" applyFill="1" applyBorder="1" applyAlignment="1">
      <alignment horizontal="center" wrapText="1"/>
    </xf>
    <xf numFmtId="188" fontId="119" fillId="0" borderId="0" xfId="5" applyFont="1" applyFill="1" applyBorder="1" applyAlignment="1">
      <alignment horizontal="center" wrapText="1"/>
    </xf>
    <xf numFmtId="188" fontId="74" fillId="47" borderId="0" xfId="5" applyFont="1" applyFill="1" applyBorder="1" applyAlignment="1">
      <alignment horizontal="center" wrapText="1"/>
    </xf>
    <xf numFmtId="9" fontId="69" fillId="47" borderId="0" xfId="218" applyFont="1" applyFill="1" applyBorder="1" applyAlignment="1">
      <alignment horizontal="right"/>
    </xf>
    <xf numFmtId="170" fontId="69" fillId="0" borderId="88" xfId="5" applyNumberFormat="1" applyFont="1" applyBorder="1" applyAlignment="1">
      <alignment horizontal="right"/>
    </xf>
    <xf numFmtId="165" fontId="147" fillId="0" borderId="0" xfId="59" applyFont="1"/>
    <xf numFmtId="188" fontId="148" fillId="0" borderId="0" xfId="0" applyFont="1"/>
    <xf numFmtId="188" fontId="74" fillId="0" borderId="0" xfId="0" applyFont="1" applyAlignment="1">
      <alignment horizontal="center"/>
    </xf>
    <xf numFmtId="188" fontId="147" fillId="0" borderId="0" xfId="0" applyFont="1" applyAlignment="1">
      <alignment horizontal="left"/>
    </xf>
    <xf numFmtId="0" fontId="148" fillId="0" borderId="0" xfId="0" applyNumberFormat="1" applyFont="1" applyAlignment="1">
      <alignment horizontal="left"/>
    </xf>
    <xf numFmtId="188" fontId="148" fillId="0" borderId="0" xfId="0" applyFont="1" applyAlignment="1">
      <alignment horizontal="left"/>
    </xf>
    <xf numFmtId="184" fontId="148" fillId="50" borderId="0" xfId="0" applyNumberFormat="1" applyFont="1" applyFill="1" applyAlignment="1">
      <alignment horizontal="left"/>
    </xf>
    <xf numFmtId="184" fontId="148" fillId="51" borderId="0" xfId="0" applyNumberFormat="1" applyFont="1" applyFill="1" applyAlignment="1">
      <alignment horizontal="left"/>
    </xf>
    <xf numFmtId="43" fontId="148" fillId="51" borderId="0" xfId="0" applyNumberFormat="1" applyFont="1" applyFill="1" applyAlignment="1">
      <alignment horizontal="left"/>
    </xf>
    <xf numFmtId="188" fontId="148" fillId="0" borderId="0" xfId="0" applyFont="1" applyFill="1"/>
    <xf numFmtId="184" fontId="148" fillId="52" borderId="0" xfId="0" applyNumberFormat="1" applyFont="1" applyFill="1" applyAlignment="1">
      <alignment horizontal="left"/>
    </xf>
    <xf numFmtId="184" fontId="148" fillId="38" borderId="0" xfId="0" applyNumberFormat="1" applyFont="1" applyFill="1" applyAlignment="1">
      <alignment horizontal="left"/>
    </xf>
    <xf numFmtId="184" fontId="148" fillId="53" borderId="0" xfId="59" applyNumberFormat="1" applyFont="1" applyFill="1"/>
    <xf numFmtId="184" fontId="148" fillId="0" borderId="0" xfId="59" applyNumberFormat="1" applyFont="1"/>
    <xf numFmtId="170" fontId="150" fillId="0" borderId="0" xfId="0" applyNumberFormat="1" applyFont="1" applyAlignment="1">
      <alignment horizontal="center"/>
    </xf>
    <xf numFmtId="184" fontId="69" fillId="49" borderId="54" xfId="59" applyNumberFormat="1" applyFont="1" applyFill="1" applyBorder="1" applyAlignment="1">
      <alignment horizontal="left"/>
    </xf>
    <xf numFmtId="184" fontId="69" fillId="52" borderId="80" xfId="0" applyNumberFormat="1" applyFont="1" applyFill="1" applyBorder="1" applyAlignment="1">
      <alignment horizontal="left"/>
    </xf>
    <xf numFmtId="184" fontId="148" fillId="50" borderId="80" xfId="0" applyNumberFormat="1" applyFont="1" applyFill="1" applyBorder="1" applyAlignment="1">
      <alignment horizontal="left"/>
    </xf>
    <xf numFmtId="184" fontId="69" fillId="53" borderId="80" xfId="0" applyNumberFormat="1" applyFont="1" applyFill="1" applyBorder="1" applyAlignment="1">
      <alignment horizontal="left"/>
    </xf>
    <xf numFmtId="184" fontId="69" fillId="51" borderId="80" xfId="0" applyNumberFormat="1" applyFont="1" applyFill="1" applyBorder="1" applyAlignment="1">
      <alignment horizontal="left"/>
    </xf>
    <xf numFmtId="184" fontId="69" fillId="38" borderId="80" xfId="0" applyNumberFormat="1" applyFont="1" applyFill="1" applyBorder="1" applyAlignment="1">
      <alignment horizontal="left"/>
    </xf>
    <xf numFmtId="0" fontId="148" fillId="0" borderId="0" xfId="0" applyNumberFormat="1" applyFont="1"/>
    <xf numFmtId="184" fontId="148" fillId="0" borderId="0" xfId="59" applyNumberFormat="1" applyFont="1" applyFill="1"/>
    <xf numFmtId="188" fontId="69" fillId="0" borderId="0" xfId="0" applyFont="1" applyFill="1"/>
    <xf numFmtId="188" fontId="148" fillId="0" borderId="0" xfId="0" applyFont="1" applyAlignment="1">
      <alignment horizontal="center"/>
    </xf>
    <xf numFmtId="170" fontId="69" fillId="0" borderId="0" xfId="0" applyNumberFormat="1" applyFont="1" applyAlignment="1">
      <alignment horizontal="left"/>
    </xf>
    <xf numFmtId="188" fontId="151" fillId="0" borderId="21" xfId="0" applyFont="1" applyBorder="1" applyAlignment="1">
      <alignment horizontal="left"/>
    </xf>
    <xf numFmtId="188" fontId="147" fillId="0" borderId="0" xfId="0" applyFont="1" applyAlignment="1">
      <alignment horizontal="center"/>
    </xf>
    <xf numFmtId="0" fontId="148" fillId="34" borderId="0" xfId="0" applyNumberFormat="1" applyFont="1" applyFill="1" applyAlignment="1">
      <alignment horizontal="left"/>
    </xf>
    <xf numFmtId="184" fontId="148" fillId="33" borderId="0" xfId="59" applyNumberFormat="1" applyFont="1" applyFill="1"/>
    <xf numFmtId="184" fontId="69" fillId="33" borderId="80" xfId="0" applyNumberFormat="1" applyFont="1" applyFill="1" applyBorder="1" applyAlignment="1">
      <alignment horizontal="left"/>
    </xf>
    <xf numFmtId="170" fontId="74" fillId="0" borderId="22" xfId="1" applyNumberFormat="1" applyFont="1" applyFill="1" applyBorder="1" applyAlignment="1">
      <alignment horizontal="right"/>
    </xf>
    <xf numFmtId="0" fontId="69" fillId="0" borderId="28" xfId="0" applyNumberFormat="1" applyFont="1" applyBorder="1" applyAlignment="1">
      <alignment horizontal="right"/>
    </xf>
    <xf numFmtId="170" fontId="74" fillId="0" borderId="20" xfId="1" applyNumberFormat="1" applyFont="1" applyFill="1" applyBorder="1" applyAlignment="1">
      <alignment horizontal="right"/>
    </xf>
    <xf numFmtId="170" fontId="69" fillId="0" borderId="101" xfId="1" applyNumberFormat="1" applyFont="1" applyBorder="1" applyProtection="1"/>
    <xf numFmtId="1" fontId="74" fillId="0" borderId="72" xfId="1" applyNumberFormat="1" applyFont="1" applyFill="1" applyBorder="1" applyAlignment="1">
      <alignment horizontal="right"/>
    </xf>
    <xf numFmtId="1" fontId="74" fillId="0" borderId="0" xfId="1" applyNumberFormat="1" applyFont="1" applyFill="1" applyBorder="1" applyAlignment="1">
      <alignment horizontal="right"/>
    </xf>
    <xf numFmtId="174" fontId="74" fillId="0" borderId="28" xfId="1" applyNumberFormat="1" applyFont="1" applyFill="1" applyBorder="1" applyProtection="1"/>
    <xf numFmtId="183" fontId="74" fillId="0" borderId="0" xfId="59" applyNumberFormat="1" applyFont="1" applyFill="1" applyBorder="1" applyProtection="1"/>
    <xf numFmtId="174" fontId="74" fillId="0" borderId="0" xfId="1" applyNumberFormat="1" applyFont="1" applyFill="1" applyBorder="1" applyProtection="1"/>
    <xf numFmtId="176" fontId="74" fillId="0" borderId="0" xfId="59" applyNumberFormat="1" applyFont="1" applyFill="1"/>
    <xf numFmtId="170" fontId="69" fillId="0" borderId="0" xfId="1" applyNumberFormat="1" applyFont="1" applyFill="1" applyBorder="1" applyAlignment="1">
      <alignment horizontal="center"/>
    </xf>
    <xf numFmtId="165" fontId="118" fillId="0" borderId="0" xfId="59" applyFont="1" applyFill="1" applyAlignment="1">
      <alignment horizontal="right"/>
    </xf>
    <xf numFmtId="183" fontId="69" fillId="0" borderId="0" xfId="59" applyNumberFormat="1" applyFont="1"/>
    <xf numFmtId="170" fontId="69" fillId="0" borderId="19" xfId="0" applyNumberFormat="1" applyFont="1" applyBorder="1"/>
    <xf numFmtId="170" fontId="69" fillId="0" borderId="18" xfId="0" applyNumberFormat="1" applyFont="1" applyBorder="1"/>
    <xf numFmtId="170" fontId="69" fillId="0" borderId="16" xfId="0" applyNumberFormat="1" applyFont="1" applyFill="1" applyBorder="1"/>
    <xf numFmtId="175" fontId="69" fillId="0" borderId="15" xfId="0" applyNumberFormat="1" applyFont="1" applyBorder="1"/>
    <xf numFmtId="170" fontId="69" fillId="0" borderId="103" xfId="0" applyNumberFormat="1" applyFont="1" applyFill="1" applyBorder="1"/>
    <xf numFmtId="3" fontId="69" fillId="0" borderId="0" xfId="0" applyNumberFormat="1" applyFont="1" applyFill="1"/>
    <xf numFmtId="49" fontId="69" fillId="0" borderId="19" xfId="213" applyNumberFormat="1" applyFont="1" applyFill="1" applyBorder="1" applyAlignment="1">
      <alignment horizontal="left"/>
    </xf>
    <xf numFmtId="170" fontId="69" fillId="0" borderId="19" xfId="0" applyNumberFormat="1" applyFont="1" applyFill="1" applyBorder="1"/>
    <xf numFmtId="170" fontId="69" fillId="0" borderId="18" xfId="0" applyNumberFormat="1" applyFont="1" applyFill="1" applyBorder="1"/>
    <xf numFmtId="183" fontId="69" fillId="0" borderId="0" xfId="59" applyNumberFormat="1" applyFont="1" applyFill="1"/>
    <xf numFmtId="188" fontId="69" fillId="0" borderId="0" xfId="213" applyNumberFormat="1" applyFont="1" applyFill="1" applyBorder="1" applyAlignment="1">
      <alignment horizontal="left"/>
    </xf>
    <xf numFmtId="183" fontId="69" fillId="0" borderId="19" xfId="59" applyNumberFormat="1" applyFont="1" applyFill="1" applyBorder="1"/>
    <xf numFmtId="3" fontId="69" fillId="0" borderId="19" xfId="0" applyNumberFormat="1" applyFont="1" applyFill="1" applyBorder="1"/>
    <xf numFmtId="3" fontId="69" fillId="0" borderId="0" xfId="0" applyNumberFormat="1" applyFont="1" applyFill="1" applyBorder="1"/>
    <xf numFmtId="49" fontId="69" fillId="0" borderId="0" xfId="0" applyNumberFormat="1" applyFont="1" applyBorder="1" applyAlignment="1">
      <alignment horizontal="left"/>
    </xf>
    <xf numFmtId="170" fontId="69" fillId="0" borderId="0" xfId="0" applyNumberFormat="1" applyFont="1" applyBorder="1" applyAlignment="1">
      <alignment horizontal="center"/>
    </xf>
    <xf numFmtId="174" fontId="69" fillId="0" borderId="0" xfId="0" applyNumberFormat="1" applyFont="1" applyBorder="1"/>
    <xf numFmtId="170" fontId="69" fillId="0" borderId="23" xfId="0" applyNumberFormat="1" applyFont="1" applyBorder="1"/>
    <xf numFmtId="188" fontId="69" fillId="0" borderId="0" xfId="0" applyFont="1" applyFill="1" applyBorder="1"/>
    <xf numFmtId="188" fontId="69" fillId="0" borderId="18" xfId="0" applyFont="1" applyFill="1" applyBorder="1"/>
    <xf numFmtId="0" fontId="69" fillId="0" borderId="0" xfId="0" applyNumberFormat="1" applyFont="1"/>
    <xf numFmtId="49" fontId="120" fillId="0" borderId="0" xfId="0" applyNumberFormat="1" applyFont="1"/>
    <xf numFmtId="49" fontId="120" fillId="0" borderId="0" xfId="0" applyNumberFormat="1" applyFont="1" applyAlignment="1">
      <alignment horizontal="right"/>
    </xf>
    <xf numFmtId="49" fontId="120" fillId="47" borderId="23" xfId="0" applyNumberFormat="1" applyFont="1" applyFill="1" applyBorder="1" applyAlignment="1">
      <alignment horizontal="right"/>
    </xf>
    <xf numFmtId="49" fontId="120" fillId="47" borderId="25" xfId="0" applyNumberFormat="1" applyFont="1" applyFill="1" applyBorder="1" applyAlignment="1">
      <alignment horizontal="right"/>
    </xf>
    <xf numFmtId="49" fontId="120" fillId="0" borderId="0" xfId="0" applyNumberFormat="1" applyFont="1" applyFill="1" applyAlignment="1">
      <alignment horizontal="right"/>
    </xf>
    <xf numFmtId="0" fontId="120" fillId="0" borderId="0" xfId="0" applyNumberFormat="1" applyFont="1" applyAlignment="1">
      <alignment horizontal="right"/>
    </xf>
    <xf numFmtId="49" fontId="120" fillId="0" borderId="0" xfId="0" applyNumberFormat="1" applyFont="1" applyBorder="1" applyAlignment="1">
      <alignment horizontal="right"/>
    </xf>
    <xf numFmtId="49" fontId="120" fillId="0" borderId="0" xfId="0" applyNumberFormat="1" applyFont="1" applyFill="1" applyBorder="1" applyAlignment="1">
      <alignment horizontal="right"/>
    </xf>
    <xf numFmtId="170" fontId="74" fillId="0" borderId="112" xfId="1" applyNumberFormat="1" applyFont="1" applyFill="1" applyBorder="1" applyAlignment="1">
      <alignment horizontal="right"/>
    </xf>
    <xf numFmtId="183" fontId="69" fillId="0" borderId="8" xfId="59" applyNumberFormat="1" applyFont="1" applyFill="1" applyBorder="1" applyAlignment="1">
      <alignment horizontal="right"/>
    </xf>
    <xf numFmtId="170" fontId="74" fillId="0" borderId="33" xfId="1" applyNumberFormat="1" applyFont="1" applyFill="1" applyBorder="1" applyAlignment="1"/>
    <xf numFmtId="170" fontId="69" fillId="0" borderId="28" xfId="1" applyNumberFormat="1" applyFont="1" applyFill="1" applyBorder="1" applyAlignment="1"/>
    <xf numFmtId="170" fontId="69" fillId="0" borderId="34" xfId="1" applyNumberFormat="1" applyFont="1" applyFill="1" applyBorder="1"/>
    <xf numFmtId="170" fontId="74" fillId="0" borderId="96" xfId="1" applyNumberFormat="1" applyFont="1" applyFill="1" applyBorder="1" applyAlignment="1"/>
    <xf numFmtId="170" fontId="74" fillId="0" borderId="113" xfId="1" applyNumberFormat="1" applyFont="1" applyFill="1" applyBorder="1" applyAlignment="1"/>
    <xf numFmtId="170" fontId="74" fillId="0" borderId="101" xfId="1" applyNumberFormat="1" applyFont="1" applyFill="1" applyBorder="1" applyAlignment="1"/>
    <xf numFmtId="170" fontId="69" fillId="0" borderId="96" xfId="1" applyNumberFormat="1" applyFont="1" applyFill="1" applyBorder="1" applyAlignment="1"/>
    <xf numFmtId="1" fontId="74" fillId="0" borderId="112" xfId="1" applyNumberFormat="1" applyFont="1" applyFill="1" applyBorder="1" applyAlignment="1">
      <alignment horizontal="right"/>
    </xf>
    <xf numFmtId="1" fontId="74" fillId="24" borderId="112" xfId="1" applyNumberFormat="1" applyFont="1" applyFill="1" applyBorder="1" applyAlignment="1">
      <alignment horizontal="right"/>
    </xf>
    <xf numFmtId="37" fontId="74" fillId="0" borderId="112" xfId="1" applyNumberFormat="1" applyFont="1" applyFill="1" applyBorder="1" applyAlignment="1" applyProtection="1">
      <alignment horizontal="right"/>
    </xf>
    <xf numFmtId="37" fontId="74" fillId="24" borderId="112" xfId="1" applyNumberFormat="1" applyFont="1" applyFill="1" applyBorder="1" applyAlignment="1" applyProtection="1">
      <alignment horizontal="right"/>
    </xf>
    <xf numFmtId="170" fontId="69" fillId="0" borderId="28" xfId="213" applyFont="1" applyFill="1" applyBorder="1" applyAlignment="1"/>
    <xf numFmtId="188" fontId="69" fillId="0" borderId="8" xfId="59" applyNumberFormat="1" applyFont="1" applyFill="1" applyBorder="1" applyAlignment="1">
      <alignment horizontal="right"/>
    </xf>
    <xf numFmtId="170" fontId="74" fillId="0" borderId="28" xfId="1" applyNumberFormat="1" applyFont="1" applyFill="1" applyBorder="1" applyAlignment="1"/>
    <xf numFmtId="183" fontId="74" fillId="0" borderId="34" xfId="59" applyNumberFormat="1" applyFont="1" applyBorder="1" applyAlignment="1">
      <alignment horizontal="right"/>
    </xf>
    <xf numFmtId="170" fontId="74" fillId="0" borderId="21" xfId="1" applyNumberFormat="1" applyFont="1" applyBorder="1" applyAlignment="1">
      <alignment horizontal="right"/>
    </xf>
    <xf numFmtId="170" fontId="74" fillId="0" borderId="34" xfId="1" applyNumberFormat="1" applyFont="1" applyBorder="1" applyAlignment="1">
      <alignment horizontal="right"/>
    </xf>
    <xf numFmtId="188" fontId="69" fillId="0" borderId="18" xfId="5" applyFont="1" applyFill="1" applyBorder="1" applyAlignment="1">
      <alignment wrapText="1"/>
    </xf>
    <xf numFmtId="170" fontId="69" fillId="0" borderId="31" xfId="5" applyNumberFormat="1" applyFont="1" applyFill="1" applyBorder="1" applyAlignment="1">
      <alignment horizontal="left"/>
    </xf>
    <xf numFmtId="188" fontId="69" fillId="0" borderId="28" xfId="61" applyNumberFormat="1" applyFont="1" applyBorder="1" applyAlignment="1">
      <alignment horizontal="center"/>
    </xf>
    <xf numFmtId="170" fontId="69" fillId="0" borderId="8" xfId="5" quotePrefix="1" applyNumberFormat="1" applyFont="1" applyBorder="1" applyAlignment="1">
      <alignment horizontal="left"/>
    </xf>
    <xf numFmtId="170" fontId="69" fillId="0" borderId="8" xfId="5" applyNumberFormat="1" applyFont="1" applyBorder="1"/>
    <xf numFmtId="174" fontId="69" fillId="0" borderId="0" xfId="5" applyNumberFormat="1" applyFont="1"/>
    <xf numFmtId="170" fontId="69" fillId="0" borderId="28" xfId="5" applyNumberFormat="1" applyFont="1" applyBorder="1"/>
    <xf numFmtId="170" fontId="118" fillId="0" borderId="0" xfId="5" applyNumberFormat="1" applyFont="1" applyFill="1"/>
    <xf numFmtId="170" fontId="69" fillId="0" borderId="0" xfId="5" applyNumberFormat="1" applyFont="1" applyFill="1"/>
    <xf numFmtId="188" fontId="69" fillId="0" borderId="0" xfId="5" applyFont="1" applyFill="1" applyAlignment="1">
      <alignment wrapText="1"/>
    </xf>
    <xf numFmtId="170" fontId="69" fillId="0" borderId="0" xfId="5" applyNumberFormat="1" applyFont="1" applyAlignment="1">
      <alignment horizontal="left"/>
    </xf>
    <xf numFmtId="174" fontId="69" fillId="0" borderId="0" xfId="5" applyNumberFormat="1" applyFont="1" applyAlignment="1">
      <alignment horizontal="left"/>
    </xf>
    <xf numFmtId="170" fontId="118" fillId="0" borderId="0" xfId="5" applyNumberFormat="1" applyFont="1" applyFill="1" applyAlignment="1">
      <alignment horizontal="left"/>
    </xf>
    <xf numFmtId="170" fontId="69" fillId="0" borderId="0" xfId="5" applyNumberFormat="1" applyFont="1" applyFill="1" applyAlignment="1">
      <alignment horizontal="left"/>
    </xf>
    <xf numFmtId="170" fontId="69" fillId="0" borderId="28" xfId="5" applyNumberFormat="1" applyFont="1" applyFill="1" applyBorder="1"/>
    <xf numFmtId="188" fontId="69" fillId="0" borderId="0" xfId="5" applyFont="1" applyFill="1" applyBorder="1" applyAlignment="1">
      <alignment wrapText="1"/>
    </xf>
    <xf numFmtId="188" fontId="69" fillId="0" borderId="28" xfId="61" applyNumberFormat="1" applyFont="1" applyFill="1" applyBorder="1" applyAlignment="1">
      <alignment horizontal="center"/>
    </xf>
    <xf numFmtId="188" fontId="74" fillId="0" borderId="27" xfId="61" applyNumberFormat="1" applyFont="1" applyBorder="1" applyAlignment="1">
      <alignment horizontal="center"/>
    </xf>
    <xf numFmtId="170" fontId="69" fillId="0" borderId="66" xfId="5" applyNumberFormat="1" applyFont="1" applyBorder="1" applyAlignment="1">
      <alignment horizontal="left"/>
    </xf>
    <xf numFmtId="170" fontId="74" fillId="0" borderId="66" xfId="5" applyNumberFormat="1" applyFont="1" applyBorder="1" applyAlignment="1">
      <alignment horizontal="right"/>
    </xf>
    <xf numFmtId="166" fontId="69" fillId="0" borderId="0" xfId="5" applyNumberFormat="1" applyFont="1" applyFill="1" applyBorder="1" applyProtection="1"/>
    <xf numFmtId="170" fontId="69" fillId="0" borderId="0" xfId="5" quotePrefix="1" applyNumberFormat="1" applyFont="1" applyFill="1" applyBorder="1" applyAlignment="1">
      <alignment horizontal="right"/>
    </xf>
    <xf numFmtId="166" fontId="69" fillId="0" borderId="0" xfId="5" applyNumberFormat="1" applyFont="1" applyProtection="1"/>
    <xf numFmtId="170" fontId="74" fillId="0" borderId="8" xfId="5" applyNumberFormat="1" applyFont="1" applyBorder="1" applyAlignment="1">
      <alignment horizontal="right"/>
    </xf>
    <xf numFmtId="37" fontId="74" fillId="0" borderId="8" xfId="5" applyNumberFormat="1" applyFont="1" applyBorder="1" applyAlignment="1">
      <alignment horizontal="right"/>
    </xf>
    <xf numFmtId="37" fontId="74" fillId="0" borderId="28" xfId="5" applyNumberFormat="1" applyFont="1" applyBorder="1" applyAlignment="1">
      <alignment horizontal="right"/>
    </xf>
    <xf numFmtId="188" fontId="74" fillId="0" borderId="34" xfId="61" applyNumberFormat="1" applyFont="1" applyBorder="1" applyAlignment="1">
      <alignment horizontal="center"/>
    </xf>
    <xf numFmtId="170" fontId="69" fillId="0" borderId="42" xfId="5" applyNumberFormat="1" applyFont="1" applyBorder="1" applyAlignment="1">
      <alignment horizontal="left"/>
    </xf>
    <xf numFmtId="170" fontId="74" fillId="0" borderId="64" xfId="5" applyNumberFormat="1" applyFont="1" applyBorder="1" applyAlignment="1">
      <alignment horizontal="right"/>
    </xf>
    <xf numFmtId="174" fontId="74" fillId="0" borderId="0" xfId="5" applyNumberFormat="1" applyFont="1" applyBorder="1" applyAlignment="1">
      <alignment horizontal="right"/>
    </xf>
    <xf numFmtId="170" fontId="74" fillId="0" borderId="0" xfId="5" applyNumberFormat="1" applyFont="1" applyFill="1" applyBorder="1" applyAlignment="1">
      <alignment horizontal="centerContinuous"/>
    </xf>
    <xf numFmtId="170" fontId="69" fillId="0" borderId="8" xfId="5" applyNumberFormat="1" applyFont="1" applyBorder="1" applyProtection="1"/>
    <xf numFmtId="174" fontId="74" fillId="0" borderId="0" xfId="5" applyNumberFormat="1" applyFont="1" applyAlignment="1">
      <alignment horizontal="right"/>
    </xf>
    <xf numFmtId="170" fontId="69" fillId="0" borderId="8" xfId="5" applyNumberFormat="1" applyFont="1" applyFill="1" applyBorder="1" applyProtection="1"/>
    <xf numFmtId="170" fontId="69" fillId="0" borderId="0" xfId="5" applyNumberFormat="1" applyFont="1" applyBorder="1"/>
    <xf numFmtId="39" fontId="69" fillId="0" borderId="0" xfId="5" applyNumberFormat="1" applyFont="1" applyFill="1" applyBorder="1" applyProtection="1"/>
    <xf numFmtId="188" fontId="69" fillId="0" borderId="28" xfId="213" applyNumberFormat="1" applyFont="1" applyFill="1" applyBorder="1" applyAlignment="1">
      <alignment horizontal="left"/>
    </xf>
    <xf numFmtId="170" fontId="69" fillId="0" borderId="28" xfId="5" applyNumberFormat="1" applyFont="1" applyFill="1" applyBorder="1" applyAlignment="1" applyProtection="1">
      <alignment horizontal="right"/>
    </xf>
    <xf numFmtId="170" fontId="69" fillId="0" borderId="28" xfId="5" applyNumberFormat="1" applyFont="1" applyFill="1" applyBorder="1" applyProtection="1"/>
    <xf numFmtId="181" fontId="69" fillId="0" borderId="8" xfId="5" applyNumberFormat="1" applyFont="1" applyFill="1" applyBorder="1" applyAlignment="1">
      <alignment horizontal="right"/>
    </xf>
    <xf numFmtId="170" fontId="69" fillId="0" borderId="28" xfId="5" applyNumberFormat="1" applyFont="1" applyBorder="1" applyProtection="1"/>
    <xf numFmtId="37" fontId="74" fillId="24" borderId="62" xfId="5" applyNumberFormat="1" applyFont="1" applyFill="1" applyBorder="1" applyProtection="1"/>
    <xf numFmtId="170" fontId="74" fillId="0" borderId="8" xfId="5" applyNumberFormat="1" applyFont="1" applyFill="1" applyBorder="1" applyAlignment="1">
      <alignment horizontal="right"/>
    </xf>
    <xf numFmtId="170" fontId="69" fillId="0" borderId="28" xfId="5" applyNumberFormat="1" applyFont="1" applyFill="1" applyBorder="1" applyAlignment="1">
      <alignment horizontal="right"/>
    </xf>
    <xf numFmtId="170" fontId="69" fillId="0" borderId="8" xfId="213" applyFont="1" applyBorder="1"/>
    <xf numFmtId="170" fontId="118" fillId="0" borderId="28" xfId="5" applyNumberFormat="1" applyFont="1" applyBorder="1" applyProtection="1"/>
    <xf numFmtId="170" fontId="118" fillId="0" borderId="28" xfId="5" applyNumberFormat="1" applyFont="1" applyBorder="1" applyAlignment="1" applyProtection="1">
      <alignment horizontal="center"/>
    </xf>
    <xf numFmtId="170" fontId="69" fillId="33" borderId="8" xfId="5" applyNumberFormat="1" applyFont="1" applyFill="1" applyBorder="1" applyProtection="1"/>
    <xf numFmtId="170" fontId="118" fillId="0" borderId="28" xfId="5" applyNumberFormat="1" applyFont="1" applyFill="1" applyBorder="1" applyAlignment="1" applyProtection="1">
      <alignment horizontal="center"/>
    </xf>
    <xf numFmtId="49" fontId="69" fillId="0" borderId="28" xfId="213" applyNumberFormat="1" applyFont="1" applyFill="1" applyBorder="1" applyAlignment="1">
      <alignment horizontal="center"/>
    </xf>
    <xf numFmtId="170" fontId="118" fillId="0" borderId="28" xfId="5" applyNumberFormat="1" applyFont="1" applyFill="1" applyBorder="1" applyAlignment="1">
      <alignment horizontal="right"/>
    </xf>
    <xf numFmtId="188" fontId="69" fillId="0" borderId="0" xfId="5" applyFont="1" applyFill="1" applyAlignment="1"/>
    <xf numFmtId="170" fontId="117" fillId="0" borderId="8" xfId="5" applyNumberFormat="1" applyFont="1" applyBorder="1"/>
    <xf numFmtId="37" fontId="69" fillId="0" borderId="8" xfId="5" applyNumberFormat="1" applyFont="1" applyBorder="1"/>
    <xf numFmtId="37" fontId="118" fillId="0" borderId="28" xfId="5" applyNumberFormat="1" applyFont="1" applyBorder="1"/>
    <xf numFmtId="170" fontId="76" fillId="0" borderId="0" xfId="5" applyNumberFormat="1" applyFont="1" applyFill="1" applyBorder="1"/>
    <xf numFmtId="37" fontId="74" fillId="0" borderId="8" xfId="5" applyNumberFormat="1" applyFont="1" applyFill="1" applyBorder="1" applyProtection="1"/>
    <xf numFmtId="170" fontId="76" fillId="0" borderId="0" xfId="5" applyNumberFormat="1" applyFont="1" applyFill="1" applyBorder="1" applyAlignment="1">
      <alignment horizontal="right"/>
    </xf>
    <xf numFmtId="188" fontId="74" fillId="0" borderId="0" xfId="5" applyNumberFormat="1" applyFont="1" applyFill="1" applyBorder="1"/>
    <xf numFmtId="39" fontId="69" fillId="0" borderId="0" xfId="5" applyNumberFormat="1" applyFont="1" applyFill="1" applyBorder="1" applyAlignment="1" applyProtection="1">
      <alignment horizontal="right"/>
    </xf>
    <xf numFmtId="170" fontId="118" fillId="0" borderId="28" xfId="5" applyNumberFormat="1" applyFont="1" applyBorder="1"/>
    <xf numFmtId="188" fontId="69" fillId="0" borderId="0" xfId="5" applyNumberFormat="1" applyFont="1" applyAlignment="1">
      <alignment horizontal="center"/>
    </xf>
    <xf numFmtId="37" fontId="69" fillId="0" borderId="8" xfId="5" applyNumberFormat="1" applyFont="1" applyBorder="1" applyProtection="1"/>
    <xf numFmtId="170" fontId="118" fillId="0" borderId="28" xfId="5" applyNumberFormat="1" applyFont="1" applyFill="1" applyBorder="1" applyProtection="1"/>
    <xf numFmtId="170" fontId="118" fillId="0" borderId="0" xfId="5" applyNumberFormat="1" applyFont="1" applyFill="1" applyBorder="1"/>
    <xf numFmtId="188" fontId="69" fillId="0" borderId="8" xfId="5" applyFont="1" applyFill="1" applyBorder="1" applyAlignment="1">
      <alignment wrapText="1"/>
    </xf>
    <xf numFmtId="188" fontId="69" fillId="0" borderId="8" xfId="213" applyNumberFormat="1" applyFont="1" applyFill="1" applyBorder="1" applyAlignment="1">
      <alignment horizontal="left"/>
    </xf>
    <xf numFmtId="170" fontId="74" fillId="24" borderId="62" xfId="5" applyNumberFormat="1" applyFont="1" applyFill="1" applyBorder="1" applyProtection="1"/>
    <xf numFmtId="170" fontId="69" fillId="34" borderId="8" xfId="5" applyNumberFormat="1" applyFont="1" applyFill="1" applyBorder="1" applyProtection="1"/>
    <xf numFmtId="170" fontId="118" fillId="0" borderId="28" xfId="5" applyNumberFormat="1" applyFont="1" applyFill="1" applyBorder="1"/>
    <xf numFmtId="170" fontId="153" fillId="0" borderId="28" xfId="256" applyNumberFormat="1" applyFont="1" applyFill="1" applyBorder="1" applyAlignment="1" applyProtection="1">
      <alignment horizontal="center"/>
    </xf>
    <xf numFmtId="170" fontId="69" fillId="24" borderId="63" xfId="5" applyNumberFormat="1" applyFont="1" applyFill="1" applyBorder="1"/>
    <xf numFmtId="170" fontId="69" fillId="24" borderId="40" xfId="5" applyNumberFormat="1" applyFont="1" applyFill="1" applyBorder="1"/>
    <xf numFmtId="188" fontId="69" fillId="0" borderId="109" xfId="61" applyNumberFormat="1" applyFont="1" applyFill="1" applyBorder="1" applyAlignment="1">
      <alignment horizontal="center"/>
    </xf>
    <xf numFmtId="170" fontId="69" fillId="0" borderId="63" xfId="5" applyNumberFormat="1" applyFont="1" applyBorder="1"/>
    <xf numFmtId="170" fontId="118" fillId="0" borderId="70" xfId="5" applyNumberFormat="1" applyFont="1" applyBorder="1"/>
    <xf numFmtId="188" fontId="69" fillId="0" borderId="8" xfId="61" applyNumberFormat="1" applyFont="1" applyFill="1" applyBorder="1" applyAlignment="1">
      <alignment horizontal="center"/>
    </xf>
    <xf numFmtId="170" fontId="69" fillId="0" borderId="28" xfId="1" applyNumberFormat="1" applyFont="1" applyFill="1" applyBorder="1" applyAlignment="1" applyProtection="1">
      <alignment horizontal="right" vertical="center" wrapText="1"/>
    </xf>
    <xf numFmtId="49" fontId="69" fillId="0" borderId="64" xfId="213" applyNumberFormat="1" applyFont="1" applyFill="1" applyBorder="1" applyAlignment="1">
      <alignment horizontal="center"/>
    </xf>
    <xf numFmtId="188" fontId="69" fillId="0" borderId="28" xfId="5" applyNumberFormat="1" applyFont="1" applyBorder="1" applyAlignment="1">
      <alignment horizontal="center"/>
    </xf>
    <xf numFmtId="170" fontId="69" fillId="0" borderId="19" xfId="5" applyNumberFormat="1" applyFont="1" applyBorder="1"/>
    <xf numFmtId="170" fontId="69" fillId="0" borderId="64" xfId="213" applyFont="1" applyFill="1" applyBorder="1" applyAlignment="1">
      <alignment horizontal="left"/>
    </xf>
    <xf numFmtId="188" fontId="74" fillId="24" borderId="30" xfId="61" applyNumberFormat="1" applyFont="1" applyFill="1" applyBorder="1" applyAlignment="1">
      <alignment horizontal="center"/>
    </xf>
    <xf numFmtId="188" fontId="74" fillId="0" borderId="28" xfId="61" applyNumberFormat="1" applyFont="1" applyFill="1" applyBorder="1" applyAlignment="1">
      <alignment horizontal="center"/>
    </xf>
    <xf numFmtId="170" fontId="76" fillId="0" borderId="8" xfId="5" applyNumberFormat="1" applyFont="1" applyBorder="1" applyAlignment="1">
      <alignment horizontal="left"/>
    </xf>
    <xf numFmtId="170" fontId="69" fillId="0" borderId="0" xfId="5" applyNumberFormat="1" applyFont="1" applyFill="1" applyBorder="1" applyAlignment="1">
      <alignment horizontal="left"/>
    </xf>
    <xf numFmtId="170" fontId="69" fillId="0" borderId="15" xfId="5" applyNumberFormat="1" applyFont="1" applyFill="1" applyBorder="1"/>
    <xf numFmtId="170" fontId="118" fillId="0" borderId="28" xfId="5" applyNumberFormat="1" applyFont="1" applyFill="1" applyBorder="1" applyAlignment="1" applyProtection="1">
      <alignment horizontal="center" wrapText="1"/>
    </xf>
    <xf numFmtId="170" fontId="69" fillId="0" borderId="25" xfId="5" applyNumberFormat="1" applyFont="1" applyFill="1" applyBorder="1"/>
    <xf numFmtId="170" fontId="69" fillId="0" borderId="28" xfId="5" applyNumberFormat="1" applyFont="1" applyFill="1" applyBorder="1" applyAlignment="1" applyProtection="1">
      <alignment horizontal="center"/>
    </xf>
    <xf numFmtId="170" fontId="69" fillId="0" borderId="19" xfId="5" applyNumberFormat="1" applyFont="1" applyFill="1" applyBorder="1"/>
    <xf numFmtId="170" fontId="118" fillId="0" borderId="0" xfId="5" quotePrefix="1" applyNumberFormat="1" applyFont="1" applyFill="1"/>
    <xf numFmtId="170" fontId="69" fillId="0" borderId="28" xfId="5" applyNumberFormat="1" applyFont="1" applyFill="1" applyBorder="1" applyAlignment="1" applyProtection="1">
      <alignment horizontal="right" wrapText="1"/>
    </xf>
    <xf numFmtId="170" fontId="69" fillId="0" borderId="18" xfId="5" applyNumberFormat="1" applyFont="1" applyBorder="1"/>
    <xf numFmtId="170" fontId="69" fillId="0" borderId="0" xfId="5" applyNumberFormat="1" applyFont="1" applyFill="1" applyBorder="1" applyProtection="1"/>
    <xf numFmtId="175" fontId="69" fillId="0" borderId="0" xfId="5" applyNumberFormat="1" applyFont="1"/>
    <xf numFmtId="199" fontId="69" fillId="0" borderId="0" xfId="5" applyNumberFormat="1" applyFont="1"/>
    <xf numFmtId="176" fontId="69" fillId="0" borderId="0" xfId="5" applyNumberFormat="1" applyFont="1"/>
    <xf numFmtId="170" fontId="153" fillId="0" borderId="28" xfId="256" quotePrefix="1" applyNumberFormat="1" applyFont="1" applyFill="1" applyBorder="1" applyAlignment="1" applyProtection="1">
      <alignment horizontal="center"/>
    </xf>
    <xf numFmtId="170" fontId="118" fillId="24" borderId="6" xfId="5" applyNumberFormat="1" applyFont="1" applyFill="1" applyBorder="1"/>
    <xf numFmtId="176" fontId="69" fillId="0" borderId="0" xfId="5" applyNumberFormat="1" applyFont="1" applyBorder="1"/>
    <xf numFmtId="174" fontId="69" fillId="0" borderId="0" xfId="5" applyNumberFormat="1" applyFont="1" applyFill="1" applyBorder="1"/>
    <xf numFmtId="170" fontId="118" fillId="0" borderId="0" xfId="5" applyNumberFormat="1" applyFont="1" applyFill="1" applyAlignment="1">
      <alignment horizontal="center"/>
    </xf>
    <xf numFmtId="170" fontId="118" fillId="34" borderId="0" xfId="5" applyNumberFormat="1" applyFont="1" applyFill="1" applyAlignment="1">
      <alignment horizontal="center"/>
    </xf>
    <xf numFmtId="170" fontId="69" fillId="49" borderId="8" xfId="5" applyNumberFormat="1" applyFont="1" applyFill="1" applyBorder="1" applyProtection="1"/>
    <xf numFmtId="186" fontId="69" fillId="0" borderId="0" xfId="5" applyNumberFormat="1" applyFont="1"/>
    <xf numFmtId="200" fontId="69" fillId="0" borderId="0" xfId="5" applyNumberFormat="1" applyFont="1" applyFill="1" applyBorder="1" applyProtection="1"/>
    <xf numFmtId="170" fontId="69" fillId="54" borderId="8" xfId="5" applyNumberFormat="1" applyFont="1" applyFill="1" applyBorder="1" applyProtection="1"/>
    <xf numFmtId="196" fontId="69" fillId="0" borderId="0" xfId="59" applyNumberFormat="1" applyFont="1"/>
    <xf numFmtId="170" fontId="69" fillId="40" borderId="8" xfId="5" applyNumberFormat="1" applyFont="1" applyFill="1" applyBorder="1" applyProtection="1"/>
    <xf numFmtId="170" fontId="69" fillId="0" borderId="23" xfId="5" applyNumberFormat="1" applyFont="1" applyFill="1" applyBorder="1"/>
    <xf numFmtId="170" fontId="69" fillId="0" borderId="19" xfId="213" applyFont="1" applyBorder="1"/>
    <xf numFmtId="188" fontId="69" fillId="33" borderId="0" xfId="0" applyFont="1" applyFill="1" applyBorder="1"/>
    <xf numFmtId="165" fontId="69" fillId="0" borderId="0" xfId="61" applyFont="1"/>
    <xf numFmtId="170" fontId="69" fillId="0" borderId="28" xfId="5" applyNumberFormat="1" applyFont="1" applyBorder="1" applyAlignment="1">
      <alignment horizontal="center" vertical="center"/>
    </xf>
    <xf numFmtId="188" fontId="69" fillId="33" borderId="19" xfId="0" applyFont="1" applyFill="1" applyBorder="1"/>
    <xf numFmtId="49" fontId="118" fillId="0" borderId="28" xfId="213" applyNumberFormat="1" applyFont="1" applyFill="1" applyBorder="1" applyAlignment="1">
      <alignment horizontal="center"/>
    </xf>
    <xf numFmtId="170" fontId="69" fillId="47" borderId="0" xfId="5" applyNumberFormat="1" applyFont="1" applyFill="1"/>
    <xf numFmtId="49" fontId="118" fillId="0" borderId="28" xfId="213" applyNumberFormat="1" applyFont="1" applyFill="1" applyBorder="1" applyAlignment="1">
      <alignment horizontal="right"/>
    </xf>
    <xf numFmtId="170" fontId="69" fillId="43" borderId="0" xfId="5" applyNumberFormat="1" applyFont="1" applyFill="1"/>
    <xf numFmtId="2" fontId="69" fillId="0" borderId="0" xfId="5" applyNumberFormat="1" applyFont="1" applyFill="1" applyBorder="1" applyProtection="1"/>
    <xf numFmtId="175" fontId="69" fillId="35" borderId="0" xfId="209" applyNumberFormat="1" applyFont="1" applyFill="1"/>
    <xf numFmtId="170" fontId="69" fillId="35" borderId="0" xfId="5" applyNumberFormat="1" applyFont="1" applyFill="1"/>
    <xf numFmtId="170" fontId="69" fillId="58" borderId="0" xfId="5" applyNumberFormat="1" applyFont="1" applyFill="1"/>
    <xf numFmtId="170" fontId="74" fillId="0" borderId="8" xfId="5" applyNumberFormat="1" applyFont="1" applyFill="1" applyBorder="1"/>
    <xf numFmtId="188" fontId="69" fillId="0" borderId="28" xfId="5" applyNumberFormat="1" applyFont="1" applyFill="1" applyBorder="1" applyAlignment="1">
      <alignment horizontal="center"/>
    </xf>
    <xf numFmtId="1" fontId="69" fillId="0" borderId="28" xfId="5" applyNumberFormat="1" applyFont="1" applyFill="1" applyBorder="1" applyAlignment="1">
      <alignment horizontal="left"/>
    </xf>
    <xf numFmtId="0" fontId="69" fillId="0" borderId="28" xfId="61" applyNumberFormat="1" applyFont="1" applyFill="1" applyBorder="1" applyAlignment="1">
      <alignment horizontal="center"/>
    </xf>
    <xf numFmtId="170" fontId="69" fillId="57" borderId="0" xfId="5" applyNumberFormat="1" applyFont="1" applyFill="1"/>
    <xf numFmtId="37" fontId="74" fillId="0" borderId="62" xfId="5" applyNumberFormat="1" applyFont="1" applyFill="1" applyBorder="1" applyProtection="1"/>
    <xf numFmtId="37" fontId="119" fillId="0" borderId="30" xfId="5" applyNumberFormat="1" applyFont="1" applyFill="1" applyBorder="1" applyProtection="1"/>
    <xf numFmtId="37" fontId="69" fillId="0" borderId="8" xfId="5" applyNumberFormat="1" applyFont="1" applyFill="1" applyBorder="1" applyProtection="1"/>
    <xf numFmtId="170" fontId="74" fillId="0" borderId="44" xfId="5" applyNumberFormat="1" applyFont="1" applyBorder="1"/>
    <xf numFmtId="170" fontId="119" fillId="0" borderId="33" xfId="5" applyNumberFormat="1" applyFont="1" applyFill="1" applyBorder="1"/>
    <xf numFmtId="170" fontId="69" fillId="0" borderId="66" xfId="5" applyNumberFormat="1" applyFont="1" applyFill="1" applyBorder="1"/>
    <xf numFmtId="170" fontId="119" fillId="0" borderId="33" xfId="5" applyNumberFormat="1" applyFont="1" applyBorder="1"/>
    <xf numFmtId="165" fontId="69" fillId="0" borderId="0" xfId="61" applyFont="1" applyFill="1"/>
    <xf numFmtId="188" fontId="74" fillId="0" borderId="28" xfId="61" applyNumberFormat="1" applyFont="1" applyBorder="1" applyAlignment="1">
      <alignment horizontal="center"/>
    </xf>
    <xf numFmtId="170" fontId="74" fillId="0" borderId="8" xfId="5" applyNumberFormat="1" applyFont="1" applyBorder="1"/>
    <xf numFmtId="170" fontId="119" fillId="0" borderId="28" xfId="5" applyNumberFormat="1" applyFont="1" applyBorder="1"/>
    <xf numFmtId="170" fontId="69" fillId="0" borderId="8" xfId="209" applyNumberFormat="1" applyFont="1" applyBorder="1"/>
    <xf numFmtId="188" fontId="69" fillId="0" borderId="32" xfId="213" applyNumberFormat="1" applyFont="1" applyBorder="1" applyAlignment="1">
      <alignment horizontal="center"/>
    </xf>
    <xf numFmtId="170" fontId="69" fillId="0" borderId="61" xfId="213" applyFont="1" applyFill="1" applyBorder="1"/>
    <xf numFmtId="170" fontId="118" fillId="0" borderId="32" xfId="213" applyFont="1" applyFill="1" applyBorder="1"/>
    <xf numFmtId="170" fontId="69" fillId="0" borderId="66" xfId="213" applyFont="1" applyFill="1" applyBorder="1"/>
    <xf numFmtId="170" fontId="69" fillId="0" borderId="0" xfId="5" applyNumberFormat="1" applyFont="1" applyFill="1" applyBorder="1" applyAlignment="1">
      <alignment horizontal="center"/>
    </xf>
    <xf numFmtId="49" fontId="69" fillId="0" borderId="0" xfId="0" applyNumberFormat="1" applyFont="1" applyFill="1" applyAlignment="1"/>
    <xf numFmtId="14" fontId="69" fillId="0" borderId="0" xfId="0" applyNumberFormat="1" applyFont="1" applyFill="1"/>
    <xf numFmtId="170" fontId="69" fillId="0" borderId="59" xfId="5" applyNumberFormat="1" applyFont="1" applyBorder="1"/>
    <xf numFmtId="188" fontId="69" fillId="0" borderId="0" xfId="5" applyFont="1" applyFill="1" applyAlignment="1">
      <alignment horizontal="right" wrapText="1"/>
    </xf>
    <xf numFmtId="170" fontId="69" fillId="40" borderId="8" xfId="5" applyNumberFormat="1" applyFont="1" applyFill="1" applyBorder="1"/>
    <xf numFmtId="170" fontId="69" fillId="47" borderId="8" xfId="5" applyNumberFormat="1" applyFont="1" applyFill="1" applyBorder="1"/>
    <xf numFmtId="170" fontId="69" fillId="0" borderId="0" xfId="5" applyNumberFormat="1" applyFont="1" applyFill="1" applyAlignment="1">
      <alignment wrapText="1"/>
    </xf>
    <xf numFmtId="170" fontId="69" fillId="0" borderId="31" xfId="5" applyNumberFormat="1" applyFont="1" applyBorder="1" applyAlignment="1">
      <alignment horizontal="left"/>
    </xf>
    <xf numFmtId="183" fontId="69" fillId="0" borderId="8" xfId="59" applyNumberFormat="1" applyFont="1" applyBorder="1"/>
    <xf numFmtId="170" fontId="117" fillId="0" borderId="0" xfId="5" applyNumberFormat="1" applyFont="1" applyFill="1"/>
    <xf numFmtId="170" fontId="74" fillId="24" borderId="66" xfId="5" applyNumberFormat="1" applyFont="1" applyFill="1" applyBorder="1" applyAlignment="1">
      <alignment horizontal="center"/>
    </xf>
    <xf numFmtId="170" fontId="74" fillId="24" borderId="66" xfId="5" applyNumberFormat="1" applyFont="1" applyFill="1" applyBorder="1" applyAlignment="1">
      <alignment horizontal="centerContinuous"/>
    </xf>
    <xf numFmtId="170" fontId="76" fillId="0" borderId="0" xfId="5" quotePrefix="1" applyNumberFormat="1" applyFont="1" applyFill="1" applyBorder="1" applyAlignment="1">
      <alignment horizontal="center"/>
    </xf>
    <xf numFmtId="170" fontId="76" fillId="0" borderId="0" xfId="5" applyNumberFormat="1" applyFont="1" applyFill="1" applyBorder="1" applyAlignment="1">
      <alignment horizontal="center"/>
    </xf>
    <xf numFmtId="170" fontId="74" fillId="0" borderId="0" xfId="5" applyNumberFormat="1" applyFont="1" applyFill="1" applyBorder="1" applyAlignment="1">
      <alignment horizontal="right"/>
    </xf>
    <xf numFmtId="170" fontId="76" fillId="0" borderId="0" xfId="5" applyNumberFormat="1" applyFont="1" applyFill="1" applyBorder="1" applyAlignment="1">
      <alignment horizontal="centerContinuous"/>
    </xf>
    <xf numFmtId="170" fontId="76" fillId="24" borderId="61" xfId="5" applyNumberFormat="1" applyFont="1" applyFill="1" applyBorder="1" applyAlignment="1">
      <alignment horizontal="left"/>
    </xf>
    <xf numFmtId="188" fontId="74" fillId="0" borderId="33" xfId="61" applyNumberFormat="1" applyFont="1" applyFill="1" applyBorder="1" applyAlignment="1">
      <alignment horizontal="center"/>
    </xf>
    <xf numFmtId="170" fontId="74" fillId="0" borderId="44" xfId="5" applyNumberFormat="1" applyFont="1" applyFill="1" applyBorder="1" applyAlignment="1">
      <alignment horizontal="left"/>
    </xf>
    <xf numFmtId="170" fontId="74" fillId="0" borderId="8" xfId="5" applyNumberFormat="1" applyFont="1" applyFill="1" applyBorder="1" applyAlignment="1">
      <alignment horizontal="left"/>
    </xf>
    <xf numFmtId="1" fontId="74" fillId="0" borderId="28" xfId="61" applyNumberFormat="1" applyFont="1" applyFill="1" applyBorder="1" applyAlignment="1">
      <alignment horizontal="center"/>
    </xf>
    <xf numFmtId="170" fontId="76" fillId="0" borderId="61" xfId="5" applyNumberFormat="1" applyFont="1" applyFill="1" applyBorder="1" applyAlignment="1">
      <alignment horizontal="left"/>
    </xf>
    <xf numFmtId="170" fontId="119" fillId="0" borderId="28" xfId="5" applyNumberFormat="1" applyFont="1" applyFill="1" applyBorder="1" applyAlignment="1" applyProtection="1">
      <alignment horizontal="center" vertical="center"/>
    </xf>
    <xf numFmtId="188" fontId="74" fillId="0" borderId="29" xfId="61" applyNumberFormat="1" applyFont="1" applyFill="1" applyBorder="1" applyAlignment="1">
      <alignment horizontal="center"/>
    </xf>
    <xf numFmtId="170" fontId="74" fillId="0" borderId="62" xfId="5" applyNumberFormat="1" applyFont="1" applyFill="1" applyBorder="1" applyAlignment="1">
      <alignment horizontal="left"/>
    </xf>
    <xf numFmtId="188" fontId="76" fillId="0" borderId="0" xfId="5" quotePrefix="1" applyNumberFormat="1" applyFont="1" applyFill="1" applyBorder="1" applyAlignment="1">
      <alignment horizontal="right"/>
    </xf>
    <xf numFmtId="170" fontId="76" fillId="0" borderId="0" xfId="5" quotePrefix="1" applyNumberFormat="1" applyFont="1" applyFill="1" applyBorder="1" applyAlignment="1">
      <alignment horizontal="right"/>
    </xf>
    <xf numFmtId="1" fontId="69" fillId="0" borderId="8" xfId="5" applyNumberFormat="1" applyFont="1" applyFill="1" applyBorder="1" applyAlignment="1">
      <alignment horizontal="left"/>
    </xf>
    <xf numFmtId="170" fontId="74" fillId="24" borderId="62" xfId="5" applyNumberFormat="1" applyFont="1" applyFill="1" applyBorder="1" applyAlignment="1">
      <alignment horizontal="left"/>
    </xf>
    <xf numFmtId="188" fontId="69" fillId="0" borderId="0" xfId="5" applyNumberFormat="1" applyFont="1" applyFill="1" applyBorder="1" applyAlignment="1">
      <alignment horizontal="center"/>
    </xf>
    <xf numFmtId="170" fontId="74" fillId="0" borderId="0" xfId="5" applyNumberFormat="1" applyFont="1" applyFill="1" applyBorder="1" applyAlignment="1">
      <alignment horizontal="center"/>
    </xf>
    <xf numFmtId="188" fontId="74" fillId="0" borderId="30" xfId="61" applyNumberFormat="1" applyFont="1" applyFill="1" applyBorder="1" applyAlignment="1">
      <alignment horizontal="center"/>
    </xf>
    <xf numFmtId="1" fontId="74" fillId="24" borderId="62" xfId="5" applyNumberFormat="1" applyFont="1" applyFill="1" applyBorder="1" applyAlignment="1">
      <alignment horizontal="left"/>
    </xf>
    <xf numFmtId="1" fontId="74" fillId="0" borderId="8" xfId="5" applyNumberFormat="1" applyFont="1" applyFill="1" applyBorder="1" applyAlignment="1">
      <alignment horizontal="left"/>
    </xf>
    <xf numFmtId="184" fontId="69" fillId="0" borderId="0" xfId="59" applyNumberFormat="1" applyFont="1" applyFill="1" applyAlignment="1">
      <alignment horizontal="left"/>
    </xf>
    <xf numFmtId="184" fontId="69" fillId="0" borderId="0" xfId="59" applyNumberFormat="1" applyFont="1" applyFill="1" applyBorder="1" applyAlignment="1">
      <alignment horizontal="left"/>
    </xf>
    <xf numFmtId="170" fontId="69" fillId="0" borderId="8" xfId="213" applyFont="1" applyBorder="1" applyAlignment="1">
      <alignment horizontal="right"/>
    </xf>
    <xf numFmtId="170" fontId="76" fillId="24" borderId="8" xfId="5" applyNumberFormat="1" applyFont="1" applyFill="1" applyBorder="1" applyAlignment="1">
      <alignment horizontal="left"/>
    </xf>
    <xf numFmtId="170" fontId="76" fillId="0" borderId="18" xfId="5" applyNumberFormat="1" applyFont="1" applyFill="1" applyBorder="1"/>
    <xf numFmtId="170" fontId="76" fillId="0" borderId="22" xfId="5" applyNumberFormat="1" applyFont="1" applyFill="1" applyBorder="1"/>
    <xf numFmtId="170" fontId="76" fillId="0" borderId="16" xfId="5" applyNumberFormat="1" applyFont="1" applyFill="1" applyBorder="1"/>
    <xf numFmtId="170" fontId="76" fillId="0" borderId="24" xfId="5" applyNumberFormat="1" applyFont="1" applyFill="1" applyBorder="1"/>
    <xf numFmtId="49" fontId="74" fillId="0" borderId="28" xfId="213" applyNumberFormat="1" applyFont="1" applyFill="1" applyBorder="1" applyAlignment="1">
      <alignment horizontal="left"/>
    </xf>
    <xf numFmtId="170" fontId="69" fillId="0" borderId="61" xfId="213" applyFont="1" applyBorder="1" applyAlignment="1">
      <alignment horizontal="left"/>
    </xf>
    <xf numFmtId="170" fontId="74" fillId="0" borderId="0" xfId="5" applyNumberFormat="1" applyFont="1" applyBorder="1"/>
    <xf numFmtId="183" fontId="147" fillId="48" borderId="56" xfId="59" applyNumberFormat="1" applyFont="1" applyFill="1" applyBorder="1"/>
    <xf numFmtId="1" fontId="76" fillId="24" borderId="67" xfId="5" applyNumberFormat="1" applyFont="1" applyFill="1" applyBorder="1" applyAlignment="1">
      <alignment horizontal="left"/>
    </xf>
    <xf numFmtId="188" fontId="74" fillId="24" borderId="18" xfId="61" applyNumberFormat="1" applyFont="1" applyFill="1" applyBorder="1" applyAlignment="1">
      <alignment horizontal="center"/>
    </xf>
    <xf numFmtId="170" fontId="74" fillId="24" borderId="25" xfId="5" applyNumberFormat="1" applyFont="1" applyFill="1" applyBorder="1" applyAlignment="1">
      <alignment horizontal="left"/>
    </xf>
    <xf numFmtId="170" fontId="118" fillId="0" borderId="28" xfId="5" applyNumberFormat="1" applyFont="1" applyFill="1" applyBorder="1" applyAlignment="1" applyProtection="1">
      <alignment horizontal="center" vertical="center" wrapText="1"/>
    </xf>
    <xf numFmtId="170" fontId="76" fillId="0" borderId="0" xfId="0" applyNumberFormat="1" applyFont="1"/>
    <xf numFmtId="17" fontId="69" fillId="0" borderId="84" xfId="0" applyNumberFormat="1" applyFont="1" applyBorder="1"/>
    <xf numFmtId="170" fontId="69" fillId="0" borderId="0" xfId="0" applyNumberFormat="1" applyFont="1" applyFill="1" applyAlignment="1"/>
    <xf numFmtId="175" fontId="69" fillId="0" borderId="8" xfId="209" applyNumberFormat="1" applyFont="1" applyFill="1" applyBorder="1"/>
    <xf numFmtId="174" fontId="69" fillId="0" borderId="0" xfId="1" applyNumberFormat="1" applyFont="1" applyFill="1" applyBorder="1" applyProtection="1"/>
    <xf numFmtId="170" fontId="69" fillId="0" borderId="31" xfId="213" applyFont="1" applyFill="1" applyBorder="1" applyAlignment="1">
      <alignment horizontal="right"/>
    </xf>
    <xf numFmtId="170" fontId="69" fillId="0" borderId="8" xfId="1" applyNumberFormat="1" applyFont="1" applyBorder="1"/>
    <xf numFmtId="0" fontId="74" fillId="0" borderId="0" xfId="0" applyNumberFormat="1" applyFont="1"/>
    <xf numFmtId="170" fontId="69" fillId="0" borderId="0" xfId="0" applyNumberFormat="1" applyFont="1" applyFill="1" applyBorder="1" applyAlignment="1"/>
    <xf numFmtId="170" fontId="74" fillId="0" borderId="0" xfId="0" applyNumberFormat="1" applyFont="1" applyFill="1" applyBorder="1" applyAlignment="1"/>
    <xf numFmtId="0" fontId="74" fillId="0" borderId="0" xfId="0" applyNumberFormat="1" applyFont="1" applyFill="1"/>
    <xf numFmtId="17" fontId="69" fillId="0" borderId="0" xfId="0" applyNumberFormat="1" applyFont="1" applyAlignment="1">
      <alignment horizontal="left"/>
    </xf>
    <xf numFmtId="170" fontId="69" fillId="0" borderId="102" xfId="0" applyNumberFormat="1" applyFont="1" applyBorder="1"/>
    <xf numFmtId="170" fontId="153" fillId="0" borderId="28" xfId="256" quotePrefix="1" applyNumberFormat="1" applyFont="1" applyFill="1" applyBorder="1" applyAlignment="1" applyProtection="1">
      <alignment horizontal="center" wrapText="1"/>
    </xf>
    <xf numFmtId="17" fontId="69" fillId="0" borderId="46" xfId="0" applyNumberFormat="1" applyFont="1" applyBorder="1"/>
    <xf numFmtId="165" fontId="69" fillId="0" borderId="0" xfId="59" applyFont="1" applyFill="1" applyBorder="1"/>
    <xf numFmtId="170" fontId="69" fillId="0" borderId="16" xfId="0" applyNumberFormat="1" applyFont="1" applyBorder="1" applyAlignment="1"/>
    <xf numFmtId="170" fontId="74" fillId="0" borderId="0" xfId="0" applyNumberFormat="1" applyFont="1" applyBorder="1"/>
    <xf numFmtId="0" fontId="129" fillId="0" borderId="0" xfId="0" applyNumberFormat="1" applyFont="1" applyAlignment="1">
      <alignment horizontal="right"/>
    </xf>
    <xf numFmtId="188" fontId="147" fillId="0" borderId="0" xfId="0" applyFont="1" applyFill="1" applyBorder="1" applyAlignment="1">
      <alignment horizontal="right" readingOrder="2"/>
    </xf>
    <xf numFmtId="197" fontId="148" fillId="0" borderId="0" xfId="0" applyNumberFormat="1" applyFont="1" applyFill="1" applyBorder="1" applyAlignment="1">
      <alignment horizontal="right" readingOrder="2"/>
    </xf>
    <xf numFmtId="197" fontId="148" fillId="0" borderId="0" xfId="0" applyNumberFormat="1" applyFont="1" applyBorder="1" applyAlignment="1">
      <alignment horizontal="right" readingOrder="2"/>
    </xf>
    <xf numFmtId="3" fontId="148" fillId="0" borderId="0" xfId="0" applyNumberFormat="1" applyFont="1" applyBorder="1" applyAlignment="1">
      <alignment horizontal="right" readingOrder="2"/>
    </xf>
    <xf numFmtId="188" fontId="148" fillId="0" borderId="0" xfId="0" applyFont="1" applyBorder="1" applyAlignment="1">
      <alignment horizontal="right" readingOrder="2"/>
    </xf>
    <xf numFmtId="185" fontId="69" fillId="0" borderId="0" xfId="255" applyNumberFormat="1" applyFont="1" applyBorder="1"/>
    <xf numFmtId="170" fontId="76" fillId="0" borderId="0" xfId="0" applyNumberFormat="1" applyFont="1" applyBorder="1" applyAlignment="1">
      <alignment horizontal="center"/>
    </xf>
    <xf numFmtId="170" fontId="69" fillId="0" borderId="26" xfId="0" applyNumberFormat="1" applyFont="1" applyBorder="1"/>
    <xf numFmtId="170" fontId="69" fillId="0" borderId="17" xfId="0" applyNumberFormat="1" applyFont="1" applyBorder="1"/>
    <xf numFmtId="170" fontId="69" fillId="0" borderId="115" xfId="0" applyNumberFormat="1" applyFont="1" applyBorder="1"/>
    <xf numFmtId="170" fontId="69" fillId="0" borderId="80" xfId="0" applyNumberFormat="1" applyFont="1" applyBorder="1"/>
    <xf numFmtId="188" fontId="69" fillId="0" borderId="22" xfId="0" applyFont="1" applyBorder="1"/>
    <xf numFmtId="188" fontId="69" fillId="0" borderId="16" xfId="0" applyFont="1" applyBorder="1"/>
    <xf numFmtId="170" fontId="69" fillId="0" borderId="0" xfId="0" applyNumberFormat="1" applyFont="1" applyAlignment="1">
      <alignment vertical="center"/>
    </xf>
    <xf numFmtId="170" fontId="69" fillId="0" borderId="88" xfId="0" applyNumberFormat="1" applyFont="1" applyBorder="1"/>
    <xf numFmtId="170" fontId="141" fillId="0" borderId="0" xfId="0" applyNumberFormat="1" applyFont="1" applyAlignment="1">
      <alignment horizontal="center"/>
    </xf>
    <xf numFmtId="185" fontId="69" fillId="0" borderId="0" xfId="255" applyNumberFormat="1" applyFont="1"/>
    <xf numFmtId="170" fontId="147" fillId="0" borderId="0" xfId="0" applyNumberFormat="1" applyFont="1"/>
    <xf numFmtId="17" fontId="69" fillId="0" borderId="103" xfId="0" applyNumberFormat="1" applyFont="1" applyBorder="1"/>
    <xf numFmtId="170" fontId="69" fillId="0" borderId="16" xfId="0" applyNumberFormat="1" applyFont="1" applyFill="1" applyBorder="1" applyAlignment="1"/>
    <xf numFmtId="170" fontId="69" fillId="0" borderId="98" xfId="0" applyNumberFormat="1" applyFont="1" applyBorder="1"/>
    <xf numFmtId="170" fontId="69" fillId="0" borderId="8" xfId="0" applyNumberFormat="1" applyFont="1" applyBorder="1"/>
    <xf numFmtId="170" fontId="117" fillId="0" borderId="0" xfId="0" applyNumberFormat="1" applyFont="1" applyBorder="1" applyAlignment="1">
      <alignment horizontal="center" wrapText="1"/>
    </xf>
    <xf numFmtId="188" fontId="149" fillId="0" borderId="88" xfId="5" applyFont="1" applyFill="1" applyBorder="1" applyAlignment="1">
      <alignment horizontal="center" vertical="center"/>
    </xf>
    <xf numFmtId="170" fontId="74" fillId="0" borderId="88" xfId="0" applyNumberFormat="1" applyFont="1" applyBorder="1"/>
    <xf numFmtId="188" fontId="74" fillId="0" borderId="0" xfId="0" applyFont="1" applyBorder="1" applyAlignment="1">
      <alignment horizontal="left"/>
    </xf>
    <xf numFmtId="188" fontId="149" fillId="0" borderId="0" xfId="5" applyFont="1" applyFill="1" applyBorder="1" applyAlignment="1">
      <alignment horizontal="center" vertical="center"/>
    </xf>
    <xf numFmtId="170" fontId="69" fillId="0" borderId="28" xfId="5" applyNumberFormat="1" applyFont="1" applyFill="1" applyBorder="1" applyAlignment="1" applyProtection="1">
      <alignment horizontal="left" wrapText="1"/>
    </xf>
    <xf numFmtId="183" fontId="120" fillId="48" borderId="56" xfId="59" applyNumberFormat="1" applyFont="1" applyFill="1" applyBorder="1"/>
    <xf numFmtId="188" fontId="69" fillId="0" borderId="19" xfId="128" applyFont="1" applyBorder="1"/>
    <xf numFmtId="183" fontId="69" fillId="0" borderId="21" xfId="59" applyNumberFormat="1" applyFont="1" applyBorder="1" applyAlignment="1">
      <alignment horizontal="left"/>
    </xf>
    <xf numFmtId="188" fontId="69" fillId="0" borderId="21" xfId="128" applyFont="1" applyBorder="1"/>
    <xf numFmtId="188" fontId="69" fillId="34" borderId="21" xfId="128" applyFont="1" applyFill="1" applyBorder="1"/>
    <xf numFmtId="188" fontId="69" fillId="0" borderId="0" xfId="128" applyFont="1" applyFill="1" applyBorder="1"/>
    <xf numFmtId="170" fontId="119" fillId="0" borderId="0" xfId="0" applyNumberFormat="1" applyFont="1" applyFill="1"/>
    <xf numFmtId="183" fontId="69" fillId="0" borderId="0" xfId="59" applyNumberFormat="1" applyFont="1" applyBorder="1" applyAlignment="1">
      <alignment horizontal="left"/>
    </xf>
    <xf numFmtId="174" fontId="69" fillId="0" borderId="0" xfId="0" applyNumberFormat="1" applyFont="1"/>
    <xf numFmtId="9" fontId="69" fillId="0" borderId="18" xfId="218" applyFont="1" applyBorder="1"/>
    <xf numFmtId="183" fontId="69" fillId="0" borderId="18" xfId="59" applyNumberFormat="1" applyFont="1" applyBorder="1"/>
    <xf numFmtId="39" fontId="121" fillId="42" borderId="22" xfId="128" applyNumberFormat="1" applyFont="1" applyFill="1" applyBorder="1"/>
    <xf numFmtId="39" fontId="120" fillId="0" borderId="19" xfId="128" applyNumberFormat="1" applyFont="1" applyBorder="1"/>
    <xf numFmtId="183" fontId="120" fillId="0" borderId="19" xfId="59" applyNumberFormat="1" applyFont="1" applyBorder="1" applyAlignment="1">
      <alignment horizontal="left"/>
    </xf>
    <xf numFmtId="170" fontId="133" fillId="0" borderId="21" xfId="0" applyNumberFormat="1" applyFont="1" applyBorder="1"/>
    <xf numFmtId="170" fontId="133" fillId="34" borderId="21" xfId="0" applyNumberFormat="1" applyFont="1" applyFill="1" applyBorder="1"/>
    <xf numFmtId="183" fontId="121" fillId="0" borderId="0" xfId="59" applyNumberFormat="1" applyFont="1" applyBorder="1" applyAlignment="1">
      <alignment horizontal="left"/>
    </xf>
    <xf numFmtId="184" fontId="69" fillId="0" borderId="0" xfId="59" applyNumberFormat="1" applyFont="1" applyFill="1"/>
    <xf numFmtId="184" fontId="69" fillId="0" borderId="0" xfId="59" applyNumberFormat="1" applyFont="1" applyFill="1" applyBorder="1"/>
    <xf numFmtId="39" fontId="69" fillId="0" borderId="0" xfId="128" applyNumberFormat="1" applyFont="1" applyBorder="1"/>
    <xf numFmtId="170" fontId="118" fillId="0" borderId="15" xfId="0" applyNumberFormat="1" applyFont="1" applyFill="1" applyBorder="1" applyAlignment="1">
      <alignment horizontal="right"/>
    </xf>
    <xf numFmtId="39" fontId="120" fillId="0" borderId="16" xfId="128" applyNumberFormat="1" applyFont="1" applyFill="1" applyBorder="1"/>
    <xf numFmtId="184" fontId="69" fillId="0" borderId="58" xfId="59" applyNumberFormat="1" applyFont="1" applyBorder="1"/>
    <xf numFmtId="184" fontId="69" fillId="0" borderId="0" xfId="59" applyNumberFormat="1" applyFont="1" applyBorder="1"/>
    <xf numFmtId="184" fontId="69" fillId="0" borderId="58" xfId="59" applyNumberFormat="1" applyFont="1" applyFill="1" applyBorder="1"/>
    <xf numFmtId="184" fontId="69" fillId="0" borderId="21" xfId="59" applyNumberFormat="1" applyFont="1" applyBorder="1"/>
    <xf numFmtId="39" fontId="157" fillId="0" borderId="16" xfId="128" applyNumberFormat="1" applyFont="1" applyBorder="1"/>
    <xf numFmtId="183" fontId="120" fillId="0" borderId="0" xfId="59" applyNumberFormat="1" applyFont="1" applyBorder="1" applyAlignment="1">
      <alignment horizontal="left"/>
    </xf>
    <xf numFmtId="184" fontId="69" fillId="0" borderId="0" xfId="59" applyNumberFormat="1" applyFont="1"/>
    <xf numFmtId="39" fontId="157" fillId="0" borderId="0" xfId="128" applyNumberFormat="1" applyFont="1" applyBorder="1"/>
    <xf numFmtId="183" fontId="120" fillId="0" borderId="21" xfId="59" applyNumberFormat="1" applyFont="1" applyBorder="1" applyAlignment="1">
      <alignment horizontal="left"/>
    </xf>
    <xf numFmtId="185" fontId="69" fillId="0" borderId="21" xfId="255" applyNumberFormat="1" applyFont="1" applyBorder="1"/>
    <xf numFmtId="39" fontId="120" fillId="0" borderId="22" xfId="128" applyNumberFormat="1" applyFont="1" applyBorder="1"/>
    <xf numFmtId="39" fontId="121" fillId="0" borderId="16" xfId="128" applyNumberFormat="1" applyFont="1" applyFill="1" applyBorder="1"/>
    <xf numFmtId="183" fontId="120" fillId="0" borderId="0" xfId="59" applyNumberFormat="1" applyFont="1" applyFill="1" applyBorder="1" applyAlignment="1">
      <alignment horizontal="left"/>
    </xf>
    <xf numFmtId="39" fontId="121" fillId="0" borderId="16" xfId="128" applyNumberFormat="1" applyFont="1" applyBorder="1"/>
    <xf numFmtId="188" fontId="69" fillId="0" borderId="0" xfId="128" applyFont="1" applyBorder="1" applyAlignment="1">
      <alignment horizontal="left"/>
    </xf>
    <xf numFmtId="39" fontId="69" fillId="0" borderId="0" xfId="128" applyNumberFormat="1" applyFont="1" applyFill="1" applyBorder="1" applyAlignment="1">
      <alignment horizontal="right"/>
    </xf>
    <xf numFmtId="184" fontId="120" fillId="0" borderId="21" xfId="59" applyNumberFormat="1" applyFont="1" applyFill="1" applyBorder="1" applyAlignment="1">
      <alignment horizontal="left"/>
    </xf>
    <xf numFmtId="184" fontId="120" fillId="0" borderId="0" xfId="59" applyNumberFormat="1" applyFont="1" applyBorder="1" applyAlignment="1">
      <alignment horizontal="left"/>
    </xf>
    <xf numFmtId="184" fontId="120" fillId="0" borderId="39" xfId="59" applyNumberFormat="1" applyFont="1" applyBorder="1" applyAlignment="1">
      <alignment horizontal="left"/>
    </xf>
    <xf numFmtId="183" fontId="120" fillId="0" borderId="84" xfId="59" applyNumberFormat="1" applyFont="1" applyBorder="1" applyAlignment="1">
      <alignment horizontal="left"/>
    </xf>
    <xf numFmtId="183" fontId="120" fillId="0" borderId="18" xfId="59" applyNumberFormat="1" applyFont="1" applyBorder="1" applyAlignment="1">
      <alignment horizontal="left"/>
    </xf>
    <xf numFmtId="188" fontId="158" fillId="0" borderId="0" xfId="253" applyFont="1" applyAlignment="1">
      <alignment horizontal="center"/>
    </xf>
    <xf numFmtId="185" fontId="69" fillId="0" borderId="0" xfId="254" applyNumberFormat="1" applyFont="1"/>
    <xf numFmtId="185" fontId="69" fillId="0" borderId="0" xfId="254" applyNumberFormat="1" applyFont="1" applyFill="1"/>
    <xf numFmtId="185" fontId="69" fillId="37" borderId="0" xfId="254" applyNumberFormat="1" applyFont="1" applyFill="1"/>
    <xf numFmtId="185" fontId="69" fillId="0" borderId="39" xfId="254" applyNumberFormat="1" applyFont="1" applyBorder="1"/>
    <xf numFmtId="185" fontId="147" fillId="0" borderId="0" xfId="253" applyNumberFormat="1" applyFont="1" applyBorder="1"/>
    <xf numFmtId="188" fontId="147" fillId="0" borderId="0" xfId="253" applyFont="1"/>
    <xf numFmtId="185" fontId="147" fillId="0" borderId="0" xfId="253" applyNumberFormat="1" applyFont="1"/>
    <xf numFmtId="185" fontId="147" fillId="0" borderId="0" xfId="253" applyNumberFormat="1" applyFont="1" applyFill="1"/>
    <xf numFmtId="185" fontId="147" fillId="37" borderId="0" xfId="253" applyNumberFormat="1" applyFont="1" applyFill="1"/>
    <xf numFmtId="188" fontId="118" fillId="0" borderId="0" xfId="253" applyFont="1" applyAlignment="1">
      <alignment wrapText="1"/>
    </xf>
    <xf numFmtId="185" fontId="118" fillId="0" borderId="0" xfId="253" applyNumberFormat="1" applyFont="1" applyBorder="1"/>
    <xf numFmtId="185" fontId="69" fillId="48" borderId="0" xfId="254" applyNumberFormat="1" applyFont="1" applyFill="1"/>
    <xf numFmtId="183" fontId="69" fillId="0" borderId="18" xfId="59" applyNumberFormat="1" applyFont="1" applyFill="1" applyBorder="1"/>
    <xf numFmtId="183" fontId="121" fillId="48" borderId="56" xfId="59" applyNumberFormat="1" applyFont="1" applyFill="1" applyBorder="1"/>
    <xf numFmtId="170" fontId="150" fillId="0" borderId="21" xfId="0" applyNumberFormat="1" applyFont="1" applyBorder="1"/>
    <xf numFmtId="188" fontId="69" fillId="0" borderId="31" xfId="61" applyNumberFormat="1" applyFont="1" applyFill="1" applyBorder="1" applyAlignment="1">
      <alignment horizontal="center"/>
    </xf>
    <xf numFmtId="170" fontId="69" fillId="0" borderId="66" xfId="5" applyNumberFormat="1" applyFont="1" applyBorder="1"/>
    <xf numFmtId="170" fontId="69" fillId="40" borderId="66" xfId="5" applyNumberFormat="1" applyFont="1" applyFill="1" applyBorder="1" applyProtection="1"/>
    <xf numFmtId="175" fontId="69" fillId="0" borderId="19" xfId="5" applyNumberFormat="1" applyFont="1" applyBorder="1"/>
    <xf numFmtId="170" fontId="69" fillId="0" borderId="75" xfId="5" applyNumberFormat="1" applyFont="1" applyBorder="1" applyProtection="1"/>
    <xf numFmtId="175" fontId="69" fillId="0" borderId="0" xfId="5" applyNumberFormat="1" applyFont="1" applyBorder="1"/>
    <xf numFmtId="170" fontId="69" fillId="0" borderId="76" xfId="5" applyNumberFormat="1" applyFont="1" applyBorder="1" applyProtection="1"/>
    <xf numFmtId="170" fontId="69" fillId="0" borderId="76" xfId="5" applyNumberFormat="1" applyFont="1" applyBorder="1"/>
    <xf numFmtId="188" fontId="154" fillId="0" borderId="16" xfId="0" applyFont="1" applyBorder="1"/>
    <xf numFmtId="170" fontId="69" fillId="0" borderId="16" xfId="1" applyNumberFormat="1" applyFont="1" applyBorder="1" applyAlignment="1">
      <alignment horizontal="right"/>
    </xf>
    <xf numFmtId="170" fontId="74" fillId="0" borderId="16" xfId="1" applyNumberFormat="1" applyFont="1" applyBorder="1" applyAlignment="1">
      <alignment horizontal="left"/>
    </xf>
    <xf numFmtId="174" fontId="69" fillId="0" borderId="0" xfId="209" applyNumberFormat="1" applyFont="1" applyBorder="1"/>
    <xf numFmtId="170" fontId="69" fillId="0" borderId="76" xfId="5" applyNumberFormat="1" applyFont="1" applyBorder="1" applyAlignment="1">
      <alignment horizontal="center" vertical="center" wrapText="1"/>
    </xf>
    <xf numFmtId="188" fontId="69" fillId="0" borderId="24" xfId="0" applyFont="1" applyBorder="1"/>
    <xf numFmtId="170" fontId="69" fillId="0" borderId="35" xfId="5" applyNumberFormat="1" applyFont="1" applyBorder="1"/>
    <xf numFmtId="174" fontId="69" fillId="0" borderId="18" xfId="209" applyNumberFormat="1" applyFont="1" applyBorder="1"/>
    <xf numFmtId="175" fontId="69" fillId="0" borderId="0" xfId="0" applyNumberFormat="1" applyFont="1"/>
    <xf numFmtId="176" fontId="69" fillId="0" borderId="0" xfId="0" applyNumberFormat="1" applyFont="1"/>
    <xf numFmtId="188" fontId="74" fillId="0" borderId="21" xfId="0" applyFont="1" applyBorder="1" applyAlignment="1">
      <alignment horizontal="right"/>
    </xf>
    <xf numFmtId="184" fontId="74" fillId="0" borderId="21" xfId="59" applyNumberFormat="1" applyFont="1" applyBorder="1" applyAlignment="1">
      <alignment horizontal="right"/>
    </xf>
    <xf numFmtId="170" fontId="74" fillId="0" borderId="51" xfId="1" applyNumberFormat="1" applyFont="1" applyFill="1" applyBorder="1" applyAlignment="1">
      <alignment horizontal="centerContinuous"/>
    </xf>
    <xf numFmtId="170" fontId="74" fillId="0" borderId="52" xfId="1" applyNumberFormat="1" applyFont="1" applyFill="1" applyBorder="1" applyAlignment="1">
      <alignment horizontal="centerContinuous"/>
    </xf>
    <xf numFmtId="170" fontId="74" fillId="0" borderId="51" xfId="1" quotePrefix="1" applyNumberFormat="1" applyFont="1" applyFill="1" applyBorder="1" applyAlignment="1">
      <alignment horizontal="centerContinuous"/>
    </xf>
    <xf numFmtId="170" fontId="74" fillId="0" borderId="52" xfId="1" quotePrefix="1" applyNumberFormat="1" applyFont="1" applyFill="1" applyBorder="1" applyAlignment="1">
      <alignment horizontal="centerContinuous"/>
    </xf>
    <xf numFmtId="170" fontId="69" fillId="0" borderId="22" xfId="1" applyNumberFormat="1" applyFont="1" applyFill="1" applyBorder="1"/>
    <xf numFmtId="170" fontId="69" fillId="0" borderId="23" xfId="1" applyNumberFormat="1" applyFont="1" applyFill="1" applyBorder="1"/>
    <xf numFmtId="170" fontId="74" fillId="0" borderId="25" xfId="1" applyNumberFormat="1" applyFont="1" applyFill="1" applyBorder="1"/>
    <xf numFmtId="1" fontId="69" fillId="0" borderId="18" xfId="0" applyNumberFormat="1" applyFont="1" applyFill="1" applyBorder="1" applyAlignment="1">
      <alignment horizontal="right"/>
    </xf>
    <xf numFmtId="173" fontId="129" fillId="39" borderId="0" xfId="218" applyNumberFormat="1" applyFont="1" applyFill="1" applyBorder="1"/>
    <xf numFmtId="1" fontId="69" fillId="0" borderId="67" xfId="0" applyNumberFormat="1" applyFont="1" applyFill="1" applyBorder="1" applyAlignment="1">
      <alignment horizontal="right"/>
    </xf>
    <xf numFmtId="170" fontId="69" fillId="0" borderId="25" xfId="1" applyNumberFormat="1" applyFont="1" applyFill="1" applyBorder="1"/>
    <xf numFmtId="170" fontId="69" fillId="0" borderId="88" xfId="1" applyNumberFormat="1" applyFont="1" applyBorder="1"/>
    <xf numFmtId="183" fontId="74" fillId="0" borderId="29" xfId="59" applyNumberFormat="1" applyFont="1" applyBorder="1" applyAlignment="1">
      <alignment horizontal="right"/>
    </xf>
    <xf numFmtId="170" fontId="74" fillId="0" borderId="74" xfId="1" applyNumberFormat="1" applyFont="1" applyBorder="1" applyAlignment="1">
      <alignment horizontal="right"/>
    </xf>
    <xf numFmtId="170" fontId="74" fillId="0" borderId="29" xfId="1" applyNumberFormat="1" applyFont="1" applyBorder="1" applyAlignment="1">
      <alignment horizontal="right"/>
    </xf>
    <xf numFmtId="170" fontId="119" fillId="0" borderId="29" xfId="1" applyNumberFormat="1" applyFont="1" applyFill="1" applyBorder="1" applyAlignment="1">
      <alignment horizontal="right"/>
    </xf>
    <xf numFmtId="179" fontId="69" fillId="0" borderId="0" xfId="59" applyNumberFormat="1" applyFont="1"/>
    <xf numFmtId="179" fontId="69" fillId="0" borderId="0" xfId="59" applyNumberFormat="1" applyFont="1" applyFill="1" applyAlignment="1">
      <alignment horizontal="right"/>
    </xf>
    <xf numFmtId="174" fontId="74" fillId="0" borderId="0" xfId="1" applyNumberFormat="1" applyFont="1" applyFill="1" applyAlignment="1">
      <alignment horizontal="right"/>
    </xf>
    <xf numFmtId="179" fontId="69" fillId="0" borderId="0" xfId="59" applyNumberFormat="1" applyFont="1" applyAlignment="1">
      <alignment horizontal="right"/>
    </xf>
    <xf numFmtId="183" fontId="69" fillId="0" borderId="31" xfId="59" applyNumberFormat="1" applyFont="1" applyBorder="1" applyAlignment="1">
      <alignment horizontal="right"/>
    </xf>
    <xf numFmtId="183" fontId="69" fillId="0" borderId="0" xfId="59" applyNumberFormat="1" applyFont="1" applyBorder="1" applyAlignment="1">
      <alignment horizontal="right"/>
    </xf>
    <xf numFmtId="170" fontId="69" fillId="0" borderId="28" xfId="1" applyNumberFormat="1" applyFont="1" applyBorder="1" applyAlignment="1">
      <alignment horizontal="center" wrapText="1"/>
    </xf>
    <xf numFmtId="188" fontId="69" fillId="0" borderId="28" xfId="0" applyFont="1" applyFill="1" applyBorder="1" applyAlignment="1">
      <alignment horizontal="right"/>
    </xf>
    <xf numFmtId="183" fontId="74" fillId="24" borderId="30" xfId="59" applyNumberFormat="1" applyFont="1" applyFill="1" applyBorder="1" applyProtection="1"/>
    <xf numFmtId="183" fontId="69" fillId="0" borderId="70" xfId="59" applyNumberFormat="1" applyFont="1" applyBorder="1"/>
    <xf numFmtId="170" fontId="69" fillId="0" borderId="73" xfId="1" applyNumberFormat="1" applyFont="1" applyFill="1" applyBorder="1"/>
    <xf numFmtId="170" fontId="69" fillId="0" borderId="28" xfId="1" applyNumberFormat="1" applyFont="1" applyFill="1" applyBorder="1" applyAlignment="1" applyProtection="1">
      <alignment horizontal="right"/>
    </xf>
    <xf numFmtId="170" fontId="69" fillId="0" borderId="28" xfId="1" applyNumberFormat="1" applyFont="1" applyFill="1" applyBorder="1" applyAlignment="1" applyProtection="1">
      <alignment horizontal="center" vertical="center"/>
    </xf>
    <xf numFmtId="170" fontId="118" fillId="0" borderId="28" xfId="1" applyNumberFormat="1" applyFont="1" applyFill="1" applyBorder="1" applyAlignment="1" applyProtection="1">
      <alignment horizontal="right" wrapText="1"/>
    </xf>
    <xf numFmtId="170" fontId="69" fillId="0" borderId="28" xfId="1" applyNumberFormat="1" applyFont="1" applyFill="1" applyBorder="1" applyAlignment="1" applyProtection="1">
      <alignment horizontal="center" vertical="center" wrapText="1"/>
    </xf>
    <xf numFmtId="170" fontId="118" fillId="0" borderId="6" xfId="1" applyNumberFormat="1" applyFont="1" applyFill="1" applyBorder="1" applyAlignment="1">
      <alignment horizontal="right"/>
    </xf>
    <xf numFmtId="0" fontId="69" fillId="0" borderId="28" xfId="213" applyNumberFormat="1" applyFont="1" applyBorder="1" applyAlignment="1">
      <alignment horizontal="right"/>
    </xf>
    <xf numFmtId="170" fontId="141" fillId="0" borderId="28" xfId="1" applyNumberFormat="1" applyFont="1" applyFill="1" applyBorder="1" applyAlignment="1">
      <alignment horizontal="center"/>
    </xf>
    <xf numFmtId="170" fontId="118" fillId="0" borderId="28" xfId="1" applyNumberFormat="1" applyFont="1" applyFill="1" applyBorder="1" applyAlignment="1">
      <alignment horizontal="center" wrapText="1"/>
    </xf>
    <xf numFmtId="170" fontId="69" fillId="47" borderId="0" xfId="1" applyNumberFormat="1" applyFont="1" applyFill="1"/>
    <xf numFmtId="170" fontId="69" fillId="57" borderId="0" xfId="1" applyNumberFormat="1" applyFont="1" applyFill="1"/>
    <xf numFmtId="183" fontId="74" fillId="0" borderId="30" xfId="59" applyNumberFormat="1" applyFont="1" applyFill="1" applyBorder="1" applyProtection="1"/>
    <xf numFmtId="37" fontId="74" fillId="0" borderId="72" xfId="1" applyNumberFormat="1" applyFont="1" applyFill="1" applyBorder="1" applyProtection="1"/>
    <xf numFmtId="37" fontId="74" fillId="0" borderId="30" xfId="1" applyNumberFormat="1" applyFont="1" applyFill="1" applyBorder="1" applyProtection="1"/>
    <xf numFmtId="170" fontId="69" fillId="0" borderId="31" xfId="1" applyNumberFormat="1" applyFont="1" applyFill="1" applyBorder="1" applyProtection="1"/>
    <xf numFmtId="170" fontId="69" fillId="0" borderId="0" xfId="1" quotePrefix="1" applyNumberFormat="1" applyFont="1" applyFill="1" applyBorder="1" applyAlignment="1" applyProtection="1">
      <alignment horizontal="right"/>
    </xf>
    <xf numFmtId="183" fontId="74" fillId="0" borderId="33" xfId="59" applyNumberFormat="1" applyFont="1" applyBorder="1"/>
    <xf numFmtId="170" fontId="74" fillId="0" borderId="17" xfId="1" applyNumberFormat="1" applyFont="1" applyBorder="1"/>
    <xf numFmtId="170" fontId="74" fillId="0" borderId="33" xfId="1" applyNumberFormat="1" applyFont="1" applyBorder="1"/>
    <xf numFmtId="170" fontId="69" fillId="0" borderId="19" xfId="1" applyNumberFormat="1" applyFont="1" applyFill="1" applyBorder="1"/>
    <xf numFmtId="170" fontId="118" fillId="0" borderId="28" xfId="213" applyFont="1" applyFill="1" applyBorder="1" applyAlignment="1">
      <alignment horizontal="right"/>
    </xf>
    <xf numFmtId="179" fontId="69" fillId="0" borderId="0" xfId="59" applyNumberFormat="1" applyFont="1" applyBorder="1" applyAlignment="1">
      <alignment horizontal="right"/>
    </xf>
    <xf numFmtId="183" fontId="69" fillId="0" borderId="34" xfId="59" applyNumberFormat="1" applyFont="1" applyBorder="1"/>
    <xf numFmtId="170" fontId="69" fillId="0" borderId="34" xfId="1" applyNumberFormat="1" applyFont="1" applyBorder="1"/>
    <xf numFmtId="170" fontId="118" fillId="0" borderId="68" xfId="1" applyNumberFormat="1" applyFont="1" applyFill="1" applyBorder="1" applyAlignment="1">
      <alignment horizontal="right"/>
    </xf>
    <xf numFmtId="170" fontId="119" fillId="0" borderId="29" xfId="1" applyNumberFormat="1" applyFont="1" applyFill="1" applyBorder="1" applyAlignment="1" applyProtection="1">
      <alignment horizontal="right"/>
    </xf>
    <xf numFmtId="170" fontId="69" fillId="0" borderId="0" xfId="1" applyNumberFormat="1" applyFont="1" applyBorder="1" applyAlignment="1">
      <alignment horizontal="left"/>
    </xf>
    <xf numFmtId="183" fontId="74" fillId="24" borderId="27" xfId="59" applyNumberFormat="1" applyFont="1" applyFill="1" applyBorder="1" applyAlignment="1">
      <alignment horizontal="center"/>
    </xf>
    <xf numFmtId="170" fontId="74" fillId="24" borderId="19" xfId="1" applyNumberFormat="1" applyFont="1" applyFill="1" applyBorder="1" applyAlignment="1">
      <alignment horizontal="centerContinuous"/>
    </xf>
    <xf numFmtId="170" fontId="74" fillId="24" borderId="27" xfId="1" applyNumberFormat="1" applyFont="1" applyFill="1" applyBorder="1" applyAlignment="1">
      <alignment horizontal="centerContinuous"/>
    </xf>
    <xf numFmtId="37" fontId="74" fillId="24" borderId="27" xfId="1" applyNumberFormat="1" applyFont="1" applyFill="1" applyBorder="1" applyAlignment="1">
      <alignment horizontal="centerContinuous"/>
    </xf>
    <xf numFmtId="1" fontId="76" fillId="24" borderId="31" xfId="1" applyNumberFormat="1" applyFont="1" applyFill="1" applyBorder="1" applyAlignment="1">
      <alignment horizontal="right"/>
    </xf>
    <xf numFmtId="188" fontId="74" fillId="24" borderId="28" xfId="59" applyNumberFormat="1" applyFont="1" applyFill="1" applyBorder="1" applyAlignment="1">
      <alignment horizontal="right"/>
    </xf>
    <xf numFmtId="170" fontId="74" fillId="24" borderId="0" xfId="1" applyNumberFormat="1" applyFont="1" applyFill="1" applyBorder="1" applyAlignment="1">
      <alignment horizontal="right"/>
    </xf>
    <xf numFmtId="170" fontId="74" fillId="0" borderId="0" xfId="0" applyNumberFormat="1" applyFont="1" applyFill="1" applyAlignment="1">
      <alignment horizontal="right"/>
    </xf>
    <xf numFmtId="170" fontId="152" fillId="0" borderId="28" xfId="213" applyFont="1" applyFill="1" applyBorder="1" applyAlignment="1">
      <alignment horizontal="center"/>
    </xf>
    <xf numFmtId="170" fontId="129" fillId="0" borderId="28" xfId="213" applyFont="1" applyFill="1" applyBorder="1" applyAlignment="1">
      <alignment horizontal="center"/>
    </xf>
    <xf numFmtId="170" fontId="118" fillId="0" borderId="28" xfId="213" applyFont="1" applyFill="1" applyBorder="1" applyAlignment="1">
      <alignment horizontal="center"/>
    </xf>
    <xf numFmtId="165" fontId="69" fillId="0" borderId="31" xfId="59" applyFont="1" applyFill="1" applyBorder="1"/>
    <xf numFmtId="183" fontId="69" fillId="0" borderId="31" xfId="59" applyNumberFormat="1" applyFont="1" applyFill="1" applyBorder="1"/>
    <xf numFmtId="15" fontId="76" fillId="0" borderId="0" xfId="214" applyNumberFormat="1" applyFont="1"/>
    <xf numFmtId="170" fontId="76" fillId="0" borderId="0" xfId="214" applyFont="1"/>
    <xf numFmtId="170" fontId="74" fillId="0" borderId="18" xfId="1" applyNumberFormat="1" applyFont="1" applyFill="1" applyBorder="1" applyAlignment="1">
      <alignment horizontal="right"/>
    </xf>
    <xf numFmtId="1" fontId="76" fillId="24" borderId="66" xfId="1" applyNumberFormat="1" applyFont="1" applyFill="1" applyBorder="1" applyAlignment="1"/>
    <xf numFmtId="1" fontId="76" fillId="24" borderId="27" xfId="1" applyNumberFormat="1" applyFont="1" applyFill="1" applyBorder="1" applyAlignment="1">
      <alignment horizontal="right"/>
    </xf>
    <xf numFmtId="170" fontId="69" fillId="0" borderId="28" xfId="1" applyNumberFormat="1" applyFont="1" applyBorder="1" applyAlignment="1">
      <alignment horizontal="right" vertical="center"/>
    </xf>
    <xf numFmtId="188" fontId="74" fillId="0" borderId="33" xfId="59" applyNumberFormat="1" applyFont="1" applyFill="1" applyBorder="1" applyAlignment="1">
      <alignment horizontal="right"/>
    </xf>
    <xf numFmtId="188" fontId="69" fillId="0" borderId="28" xfId="213" applyNumberFormat="1" applyFont="1" applyBorder="1" applyAlignment="1">
      <alignment horizontal="right"/>
    </xf>
    <xf numFmtId="188" fontId="74" fillId="24" borderId="30" xfId="59" applyNumberFormat="1" applyFont="1" applyFill="1" applyBorder="1" applyAlignment="1">
      <alignment horizontal="right"/>
    </xf>
    <xf numFmtId="188" fontId="69" fillId="0" borderId="70" xfId="213" applyNumberFormat="1" applyFont="1" applyBorder="1" applyAlignment="1">
      <alignment horizontal="right"/>
    </xf>
    <xf numFmtId="188" fontId="74" fillId="24" borderId="6" xfId="59" applyNumberFormat="1" applyFont="1" applyFill="1" applyBorder="1" applyAlignment="1">
      <alignment horizontal="right"/>
    </xf>
    <xf numFmtId="188" fontId="74" fillId="0" borderId="30" xfId="59" applyNumberFormat="1" applyFont="1" applyFill="1" applyBorder="1" applyAlignment="1">
      <alignment horizontal="right"/>
    </xf>
    <xf numFmtId="188" fontId="69" fillId="0" borderId="28" xfId="1" applyNumberFormat="1" applyFont="1" applyBorder="1" applyAlignment="1">
      <alignment horizontal="right"/>
    </xf>
    <xf numFmtId="0" fontId="69" fillId="0" borderId="28" xfId="59" applyNumberFormat="1" applyFont="1" applyBorder="1" applyAlignment="1">
      <alignment horizontal="right"/>
    </xf>
    <xf numFmtId="188" fontId="69" fillId="0" borderId="33" xfId="213" applyNumberFormat="1" applyFont="1" applyBorder="1" applyAlignment="1">
      <alignment horizontal="right"/>
    </xf>
    <xf numFmtId="188" fontId="69" fillId="0" borderId="34" xfId="1" applyNumberFormat="1" applyFont="1" applyFill="1" applyBorder="1" applyAlignment="1">
      <alignment horizontal="right"/>
    </xf>
    <xf numFmtId="188" fontId="74" fillId="0" borderId="33" xfId="59" applyNumberFormat="1" applyFont="1" applyBorder="1" applyAlignment="1">
      <alignment horizontal="right"/>
    </xf>
    <xf numFmtId="1" fontId="69" fillId="0" borderId="28" xfId="59" applyNumberFormat="1" applyFont="1" applyFill="1" applyBorder="1" applyAlignment="1">
      <alignment horizontal="right"/>
    </xf>
    <xf numFmtId="188" fontId="74" fillId="0" borderId="34" xfId="59" applyNumberFormat="1" applyFont="1" applyFill="1" applyBorder="1" applyAlignment="1">
      <alignment horizontal="right"/>
    </xf>
    <xf numFmtId="174" fontId="74" fillId="0" borderId="33" xfId="59" applyNumberFormat="1" applyFont="1" applyFill="1" applyBorder="1" applyAlignment="1">
      <alignment horizontal="right"/>
    </xf>
    <xf numFmtId="174" fontId="69" fillId="0" borderId="0" xfId="1" applyNumberFormat="1" applyFont="1" applyBorder="1" applyProtection="1"/>
    <xf numFmtId="174" fontId="69" fillId="0" borderId="28" xfId="1" applyNumberFormat="1" applyFont="1" applyBorder="1" applyProtection="1"/>
    <xf numFmtId="174" fontId="74" fillId="44" borderId="30" xfId="59" applyNumberFormat="1" applyFont="1" applyFill="1" applyBorder="1" applyProtection="1"/>
    <xf numFmtId="174" fontId="69" fillId="0" borderId="0" xfId="1" applyNumberFormat="1" applyFont="1" applyFill="1" applyBorder="1" applyAlignment="1">
      <alignment horizontal="right"/>
    </xf>
    <xf numFmtId="174" fontId="69" fillId="0" borderId="28" xfId="1" applyNumberFormat="1" applyFont="1" applyFill="1" applyBorder="1" applyAlignment="1">
      <alignment horizontal="right"/>
    </xf>
    <xf numFmtId="174" fontId="69" fillId="0" borderId="28" xfId="1" applyNumberFormat="1" applyFont="1" applyBorder="1"/>
    <xf numFmtId="174" fontId="69" fillId="0" borderId="28" xfId="1" applyNumberFormat="1" applyFont="1" applyFill="1" applyBorder="1"/>
    <xf numFmtId="166" fontId="69" fillId="0" borderId="0" xfId="1" applyNumberFormat="1" applyFont="1" applyFill="1" applyProtection="1"/>
    <xf numFmtId="188" fontId="74" fillId="0" borderId="6" xfId="59" applyNumberFormat="1" applyFont="1" applyFill="1" applyBorder="1" applyAlignment="1">
      <alignment horizontal="right"/>
    </xf>
    <xf numFmtId="170" fontId="147" fillId="0" borderId="28" xfId="1" applyNumberFormat="1" applyFont="1" applyFill="1" applyBorder="1" applyAlignment="1" applyProtection="1">
      <alignment horizontal="left"/>
    </xf>
    <xf numFmtId="170" fontId="147" fillId="0" borderId="31" xfId="1" applyNumberFormat="1" applyFont="1" applyFill="1" applyBorder="1" applyAlignment="1" applyProtection="1">
      <alignment horizontal="left"/>
    </xf>
    <xf numFmtId="170" fontId="74" fillId="0" borderId="16" xfId="0" applyNumberFormat="1" applyFont="1" applyFill="1" applyBorder="1"/>
    <xf numFmtId="170" fontId="69" fillId="0" borderId="26" xfId="0" applyNumberFormat="1" applyFont="1" applyFill="1" applyBorder="1"/>
    <xf numFmtId="170" fontId="69" fillId="0" borderId="17" xfId="0" applyNumberFormat="1" applyFont="1" applyFill="1" applyBorder="1"/>
    <xf numFmtId="170" fontId="69" fillId="0" borderId="115" xfId="0" applyNumberFormat="1" applyFont="1" applyFill="1" applyBorder="1"/>
    <xf numFmtId="170" fontId="69" fillId="0" borderId="81" xfId="0" applyNumberFormat="1" applyFont="1" applyFill="1" applyBorder="1"/>
    <xf numFmtId="170" fontId="69" fillId="0" borderId="15" xfId="0" applyNumberFormat="1" applyFont="1" applyFill="1" applyBorder="1" applyAlignment="1">
      <alignment horizontal="center"/>
    </xf>
    <xf numFmtId="170" fontId="69" fillId="0" borderId="78" xfId="0" applyNumberFormat="1" applyFont="1" applyFill="1" applyBorder="1"/>
    <xf numFmtId="170" fontId="69" fillId="0" borderId="71" xfId="0" applyNumberFormat="1" applyFont="1" applyFill="1" applyBorder="1"/>
    <xf numFmtId="170" fontId="69" fillId="0" borderId="24" xfId="0" applyNumberFormat="1" applyFont="1" applyFill="1" applyBorder="1"/>
    <xf numFmtId="170" fontId="76" fillId="0" borderId="16" xfId="0" applyNumberFormat="1" applyFont="1" applyFill="1" applyBorder="1" applyAlignment="1">
      <alignment horizontal="center"/>
    </xf>
    <xf numFmtId="170" fontId="76" fillId="0" borderId="0" xfId="0" applyNumberFormat="1" applyFont="1" applyFill="1" applyBorder="1" applyAlignment="1">
      <alignment horizontal="center"/>
    </xf>
    <xf numFmtId="170" fontId="76" fillId="0" borderId="15" xfId="0" applyNumberFormat="1" applyFont="1" applyFill="1" applyBorder="1" applyAlignment="1">
      <alignment horizontal="center"/>
    </xf>
    <xf numFmtId="170" fontId="76" fillId="0" borderId="54" xfId="0" applyNumberFormat="1" applyFont="1" applyFill="1" applyBorder="1" applyAlignment="1">
      <alignment horizontal="center"/>
    </xf>
    <xf numFmtId="170" fontId="76" fillId="0" borderId="56" xfId="0" applyNumberFormat="1" applyFont="1" applyFill="1" applyBorder="1" applyAlignment="1">
      <alignment horizontal="center"/>
    </xf>
    <xf numFmtId="37" fontId="74" fillId="0" borderId="62" xfId="1" applyNumberFormat="1" applyFont="1" applyFill="1" applyBorder="1" applyProtection="1"/>
    <xf numFmtId="37" fontId="69" fillId="0" borderId="8" xfId="1" applyNumberFormat="1" applyFont="1" applyFill="1" applyBorder="1"/>
    <xf numFmtId="37" fontId="74" fillId="0" borderId="8" xfId="1" applyNumberFormat="1" applyFont="1" applyFill="1" applyBorder="1"/>
    <xf numFmtId="183" fontId="69" fillId="0" borderId="8" xfId="59" applyNumberFormat="1" applyFont="1" applyBorder="1" applyProtection="1"/>
    <xf numFmtId="183" fontId="69" fillId="0" borderId="8" xfId="59" applyNumberFormat="1" applyFont="1" applyFill="1" applyBorder="1"/>
    <xf numFmtId="37" fontId="104" fillId="0" borderId="72" xfId="1" applyNumberFormat="1" applyFont="1" applyFill="1" applyBorder="1" applyAlignment="1" applyProtection="1">
      <alignment horizontal="right"/>
    </xf>
    <xf numFmtId="170" fontId="76" fillId="0" borderId="0" xfId="213" applyFont="1" applyFill="1" applyBorder="1" applyAlignment="1">
      <alignment horizontal="right"/>
    </xf>
    <xf numFmtId="165" fontId="69" fillId="0" borderId="0" xfId="59" applyFont="1" applyFill="1" applyBorder="1" applyAlignment="1">
      <alignment horizontal="right"/>
    </xf>
    <xf numFmtId="165" fontId="74" fillId="44" borderId="30" xfId="59" applyFont="1" applyFill="1" applyBorder="1" applyProtection="1"/>
    <xf numFmtId="165" fontId="117" fillId="0" borderId="0" xfId="59" applyFont="1" applyBorder="1"/>
    <xf numFmtId="165" fontId="74" fillId="0" borderId="0" xfId="59" applyFont="1" applyFill="1" applyBorder="1" applyProtection="1"/>
    <xf numFmtId="165" fontId="69" fillId="0" borderId="72" xfId="59" applyFont="1" applyBorder="1" applyProtection="1"/>
    <xf numFmtId="165" fontId="74" fillId="0" borderId="72" xfId="59" applyFont="1" applyFill="1" applyBorder="1" applyProtection="1"/>
    <xf numFmtId="165" fontId="74" fillId="0" borderId="6" xfId="59" applyFont="1" applyBorder="1"/>
    <xf numFmtId="165" fontId="69" fillId="0" borderId="28" xfId="59" applyFont="1" applyBorder="1" applyAlignment="1">
      <alignment horizontal="right"/>
    </xf>
    <xf numFmtId="165" fontId="69" fillId="0" borderId="28" xfId="59" applyFont="1" applyFill="1" applyBorder="1"/>
    <xf numFmtId="165" fontId="74" fillId="0" borderId="28" xfId="59" applyFont="1" applyFill="1" applyBorder="1" applyProtection="1"/>
    <xf numFmtId="170" fontId="69" fillId="0" borderId="28" xfId="5" applyNumberFormat="1" applyFont="1" applyFill="1" applyBorder="1" applyAlignment="1" applyProtection="1">
      <alignment horizontal="left"/>
    </xf>
    <xf numFmtId="49" fontId="117" fillId="0" borderId="0" xfId="213" applyNumberFormat="1" applyFont="1" applyFill="1" applyBorder="1" applyAlignment="1">
      <alignment horizontal="left"/>
    </xf>
    <xf numFmtId="14" fontId="69" fillId="0" borderId="0" xfId="5" applyNumberFormat="1" applyFont="1" applyAlignment="1">
      <alignment horizontal="left"/>
    </xf>
    <xf numFmtId="49" fontId="69" fillId="0" borderId="22" xfId="0" applyNumberFormat="1" applyFont="1" applyBorder="1" applyAlignment="1">
      <alignment horizontal="left"/>
    </xf>
    <xf numFmtId="0" fontId="69" fillId="0" borderId="24" xfId="0" applyNumberFormat="1" applyFont="1" applyBorder="1" applyAlignment="1">
      <alignment horizontal="left"/>
    </xf>
    <xf numFmtId="174" fontId="69" fillId="0" borderId="19" xfId="0" applyNumberFormat="1" applyFont="1" applyBorder="1"/>
    <xf numFmtId="174" fontId="69" fillId="0" borderId="18" xfId="0" applyNumberFormat="1" applyFont="1" applyBorder="1"/>
    <xf numFmtId="0" fontId="76" fillId="0" borderId="16" xfId="0" applyNumberFormat="1" applyFont="1" applyBorder="1" applyAlignment="1">
      <alignment horizontal="center"/>
    </xf>
    <xf numFmtId="170" fontId="76" fillId="0" borderId="0" xfId="0" applyNumberFormat="1" applyFont="1" applyBorder="1" applyAlignment="1">
      <alignment horizontal="left"/>
    </xf>
    <xf numFmtId="17" fontId="69" fillId="0" borderId="21" xfId="0" applyNumberFormat="1" applyFont="1" applyBorder="1"/>
    <xf numFmtId="17" fontId="69" fillId="0" borderId="15" xfId="0" applyNumberFormat="1" applyFont="1" applyBorder="1"/>
    <xf numFmtId="170" fontId="69" fillId="0" borderId="0" xfId="0" applyNumberFormat="1" applyFont="1" applyBorder="1" applyAlignment="1">
      <alignment horizontal="left"/>
    </xf>
    <xf numFmtId="0" fontId="69" fillId="0" borderId="16" xfId="0" applyNumberFormat="1" applyFont="1" applyBorder="1"/>
    <xf numFmtId="170" fontId="128" fillId="0" borderId="0" xfId="0" applyNumberFormat="1" applyFont="1" applyBorder="1" applyAlignment="1">
      <alignment horizontal="left"/>
    </xf>
    <xf numFmtId="170" fontId="69" fillId="0" borderId="0" xfId="0" applyNumberFormat="1" applyFont="1" applyBorder="1" applyAlignment="1">
      <alignment horizontal="left" vertical="center"/>
    </xf>
    <xf numFmtId="0" fontId="69" fillId="0" borderId="0" xfId="0" applyNumberFormat="1" applyFont="1" applyBorder="1"/>
    <xf numFmtId="170" fontId="69" fillId="0" borderId="0" xfId="0" applyNumberFormat="1" applyFont="1" applyBorder="1" applyAlignment="1">
      <alignment horizontal="left" vertical="center" wrapText="1"/>
    </xf>
    <xf numFmtId="170" fontId="69" fillId="0" borderId="15" xfId="0" quotePrefix="1" applyNumberFormat="1" applyFont="1" applyFill="1" applyBorder="1" applyAlignment="1">
      <alignment horizontal="center"/>
    </xf>
    <xf numFmtId="170" fontId="141" fillId="0" borderId="16" xfId="0" applyNumberFormat="1" applyFont="1" applyFill="1" applyBorder="1"/>
    <xf numFmtId="170" fontId="141" fillId="0" borderId="16" xfId="0" applyNumberFormat="1" applyFont="1" applyBorder="1"/>
    <xf numFmtId="170" fontId="147" fillId="44" borderId="22" xfId="0" applyNumberFormat="1" applyFont="1" applyFill="1" applyBorder="1"/>
    <xf numFmtId="183" fontId="74" fillId="0" borderId="39" xfId="59" applyNumberFormat="1" applyFont="1" applyBorder="1"/>
    <xf numFmtId="165" fontId="147" fillId="48" borderId="56" xfId="59" applyFont="1" applyFill="1" applyBorder="1" applyAlignment="1">
      <alignment horizontal="right"/>
    </xf>
    <xf numFmtId="170" fontId="69" fillId="0" borderId="27" xfId="213" applyFont="1" applyBorder="1" applyAlignment="1">
      <alignment horizontal="right"/>
    </xf>
    <xf numFmtId="0" fontId="69" fillId="0" borderId="8" xfId="213" applyNumberFormat="1" applyFont="1" applyFill="1" applyBorder="1" applyAlignment="1">
      <alignment horizontal="right"/>
    </xf>
    <xf numFmtId="1" fontId="69" fillId="0" borderId="80" xfId="0" applyNumberFormat="1" applyFont="1" applyFill="1" applyBorder="1" applyAlignment="1">
      <alignment horizontal="right"/>
    </xf>
    <xf numFmtId="1" fontId="69" fillId="0" borderId="55" xfId="0" applyNumberFormat="1" applyFont="1" applyFill="1" applyBorder="1" applyAlignment="1">
      <alignment horizontal="right"/>
    </xf>
    <xf numFmtId="170" fontId="74" fillId="0" borderId="102" xfId="1" applyNumberFormat="1" applyFont="1" applyBorder="1"/>
    <xf numFmtId="165" fontId="147" fillId="48" borderId="56" xfId="59" applyFont="1" applyFill="1" applyBorder="1"/>
    <xf numFmtId="170" fontId="118" fillId="0" borderId="31" xfId="5" applyNumberFormat="1" applyFont="1" applyFill="1" applyBorder="1"/>
    <xf numFmtId="170" fontId="128" fillId="0" borderId="31" xfId="0" applyNumberFormat="1" applyFont="1" applyBorder="1" applyAlignment="1">
      <alignment horizontal="left" wrapText="1"/>
    </xf>
    <xf numFmtId="170" fontId="158" fillId="0" borderId="0" xfId="5" applyNumberFormat="1" applyFont="1" applyAlignment="1">
      <alignment horizontal="center"/>
    </xf>
    <xf numFmtId="170" fontId="74" fillId="0" borderId="0" xfId="0" applyNumberFormat="1" applyFont="1" applyBorder="1" applyAlignment="1">
      <alignment horizontal="center"/>
    </xf>
    <xf numFmtId="188" fontId="74" fillId="0" borderId="0" xfId="0" applyFont="1" applyFill="1" applyAlignment="1">
      <alignment horizontal="right"/>
    </xf>
    <xf numFmtId="0" fontId="69" fillId="0" borderId="22" xfId="213" applyNumberFormat="1" applyFont="1" applyFill="1" applyBorder="1" applyAlignment="1">
      <alignment horizontal="left"/>
    </xf>
    <xf numFmtId="0" fontId="69" fillId="0" borderId="16" xfId="213" applyNumberFormat="1" applyFont="1" applyFill="1" applyBorder="1" applyAlignment="1">
      <alignment horizontal="left"/>
    </xf>
    <xf numFmtId="0" fontId="69" fillId="0" borderId="24" xfId="213" applyNumberFormat="1" applyFont="1" applyFill="1" applyBorder="1" applyAlignment="1">
      <alignment horizontal="left"/>
    </xf>
    <xf numFmtId="183" fontId="124" fillId="0" borderId="0" xfId="213" applyNumberFormat="1" applyFont="1" applyFill="1" applyBorder="1" applyAlignment="1">
      <alignment horizontal="center"/>
    </xf>
    <xf numFmtId="44" fontId="124" fillId="0" borderId="0" xfId="255" applyFont="1" applyBorder="1"/>
    <xf numFmtId="188" fontId="127" fillId="0" borderId="0" xfId="0" applyFont="1"/>
    <xf numFmtId="188" fontId="160" fillId="0" borderId="0" xfId="0" applyFont="1" applyAlignment="1">
      <alignment horizontal="left"/>
    </xf>
    <xf numFmtId="188" fontId="124" fillId="0" borderId="0" xfId="0" applyFont="1" applyBorder="1" applyAlignment="1">
      <alignment horizontal="left"/>
    </xf>
    <xf numFmtId="180" fontId="124" fillId="0" borderId="0" xfId="59" applyNumberFormat="1" applyFont="1" applyBorder="1" applyAlignment="1">
      <alignment horizontal="center"/>
    </xf>
    <xf numFmtId="1" fontId="161" fillId="0" borderId="36" xfId="0" applyNumberFormat="1" applyFont="1" applyFill="1" applyBorder="1" applyAlignment="1">
      <alignment horizontal="left"/>
    </xf>
    <xf numFmtId="170" fontId="124" fillId="0" borderId="27" xfId="207" applyNumberFormat="1" applyFont="1" applyFill="1" applyBorder="1" applyAlignment="1">
      <alignment horizontal="left"/>
    </xf>
    <xf numFmtId="170" fontId="124" fillId="0" borderId="27" xfId="0" applyNumberFormat="1" applyFont="1" applyFill="1" applyBorder="1" applyAlignment="1">
      <alignment horizontal="left"/>
    </xf>
    <xf numFmtId="170" fontId="124" fillId="0" borderId="75" xfId="0" applyNumberFormat="1" applyFont="1" applyFill="1" applyBorder="1" applyAlignment="1">
      <alignment horizontal="center"/>
    </xf>
    <xf numFmtId="188" fontId="127" fillId="0" borderId="82" xfId="0" applyFont="1" applyBorder="1" applyAlignment="1">
      <alignment horizontal="center"/>
    </xf>
    <xf numFmtId="188" fontId="127" fillId="0" borderId="60" xfId="0" applyFont="1" applyBorder="1" applyAlignment="1">
      <alignment horizontal="center"/>
    </xf>
    <xf numFmtId="188" fontId="127" fillId="0" borderId="83" xfId="0" applyFont="1" applyBorder="1" applyAlignment="1">
      <alignment horizontal="center"/>
    </xf>
    <xf numFmtId="0" fontId="124" fillId="0" borderId="16" xfId="59" applyNumberFormat="1" applyFont="1" applyFill="1" applyBorder="1" applyAlignment="1">
      <alignment horizontal="center"/>
    </xf>
    <xf numFmtId="1" fontId="124" fillId="0" borderId="28" xfId="0" applyNumberFormat="1" applyFont="1" applyFill="1" applyBorder="1" applyAlignment="1">
      <alignment horizontal="left"/>
    </xf>
    <xf numFmtId="170" fontId="124" fillId="0" borderId="28" xfId="0" applyNumberFormat="1" applyFont="1" applyFill="1" applyBorder="1" applyAlignment="1">
      <alignment horizontal="left"/>
    </xf>
    <xf numFmtId="0" fontId="124" fillId="0" borderId="24" xfId="59" applyNumberFormat="1" applyFont="1" applyFill="1" applyBorder="1" applyAlignment="1">
      <alignment horizontal="center"/>
    </xf>
    <xf numFmtId="1" fontId="124" fillId="0" borderId="68" xfId="0" applyNumberFormat="1" applyFont="1" applyFill="1" applyBorder="1" applyAlignment="1">
      <alignment horizontal="left"/>
    </xf>
    <xf numFmtId="170" fontId="124" fillId="0" borderId="68" xfId="0" applyNumberFormat="1" applyFont="1" applyFill="1" applyBorder="1" applyAlignment="1">
      <alignment horizontal="left"/>
    </xf>
    <xf numFmtId="170" fontId="124" fillId="0" borderId="77" xfId="0" applyNumberFormat="1" applyFont="1" applyFill="1" applyBorder="1" applyAlignment="1">
      <alignment horizontal="left"/>
    </xf>
    <xf numFmtId="180" fontId="124" fillId="0" borderId="0" xfId="59" applyNumberFormat="1" applyFont="1" applyBorder="1" applyAlignment="1">
      <alignment horizontal="left"/>
    </xf>
    <xf numFmtId="180" fontId="124" fillId="0" borderId="0" xfId="59" applyNumberFormat="1" applyFont="1" applyAlignment="1">
      <alignment horizontal="left"/>
    </xf>
    <xf numFmtId="188" fontId="127" fillId="0" borderId="21" xfId="0" applyFont="1" applyBorder="1" applyAlignment="1">
      <alignment horizontal="center"/>
    </xf>
    <xf numFmtId="188" fontId="124" fillId="0" borderId="0" xfId="0" applyNumberFormat="1" applyFont="1" applyFill="1" applyAlignment="1">
      <alignment horizontal="left"/>
    </xf>
    <xf numFmtId="170" fontId="162" fillId="0" borderId="0" xfId="0" applyNumberFormat="1" applyFont="1"/>
    <xf numFmtId="170" fontId="124" fillId="0" borderId="23" xfId="0" applyNumberFormat="1" applyFont="1" applyBorder="1" applyAlignment="1">
      <alignment horizontal="left"/>
    </xf>
    <xf numFmtId="188" fontId="127" fillId="0" borderId="85" xfId="0" applyFont="1" applyBorder="1" applyAlignment="1">
      <alignment horizontal="left"/>
    </xf>
    <xf numFmtId="9" fontId="124" fillId="0" borderId="15" xfId="218" applyNumberFormat="1" applyFont="1" applyBorder="1" applyAlignment="1">
      <alignment horizontal="left"/>
    </xf>
    <xf numFmtId="170" fontId="162" fillId="0" borderId="19" xfId="0" applyNumberFormat="1" applyFont="1" applyBorder="1"/>
    <xf numFmtId="170" fontId="125" fillId="0" borderId="0" xfId="0" applyNumberFormat="1" applyFont="1" applyBorder="1"/>
    <xf numFmtId="170" fontId="125" fillId="0" borderId="56" xfId="0" applyNumberFormat="1" applyFont="1" applyFill="1" applyBorder="1"/>
    <xf numFmtId="188" fontId="163" fillId="0" borderId="19" xfId="0" applyFont="1" applyBorder="1"/>
    <xf numFmtId="188" fontId="163" fillId="0" borderId="22" xfId="0" applyFont="1" applyBorder="1"/>
    <xf numFmtId="188" fontId="163" fillId="0" borderId="23" xfId="0" applyFont="1" applyBorder="1"/>
    <xf numFmtId="0" fontId="124" fillId="0" borderId="16" xfId="213" applyNumberFormat="1" applyFont="1" applyFill="1" applyBorder="1" applyAlignment="1">
      <alignment horizontal="center"/>
    </xf>
    <xf numFmtId="184" fontId="124" fillId="0" borderId="47" xfId="59" applyNumberFormat="1" applyFont="1" applyBorder="1"/>
    <xf numFmtId="188" fontId="124" fillId="0" borderId="24" xfId="0" applyNumberFormat="1" applyFont="1" applyBorder="1" applyAlignment="1">
      <alignment horizontal="left"/>
    </xf>
    <xf numFmtId="174" fontId="124" fillId="0" borderId="0" xfId="0" applyNumberFormat="1" applyFont="1" applyBorder="1" applyAlignment="1">
      <alignment horizontal="right"/>
    </xf>
    <xf numFmtId="184" fontId="124" fillId="0" borderId="15" xfId="59" applyNumberFormat="1" applyFont="1" applyFill="1" applyBorder="1"/>
    <xf numFmtId="0" fontId="124" fillId="0" borderId="0" xfId="0" applyNumberFormat="1" applyFont="1" applyFill="1" applyBorder="1" applyAlignment="1"/>
    <xf numFmtId="0" fontId="124" fillId="0" borderId="15" xfId="0" applyNumberFormat="1" applyFont="1" applyFill="1" applyBorder="1" applyAlignment="1"/>
    <xf numFmtId="44" fontId="124" fillId="0" borderId="15" xfId="255" applyFont="1" applyBorder="1"/>
    <xf numFmtId="170" fontId="127" fillId="0" borderId="18" xfId="0" applyNumberFormat="1" applyFont="1" applyBorder="1"/>
    <xf numFmtId="170" fontId="127" fillId="0" borderId="25" xfId="0" applyNumberFormat="1" applyFont="1" applyBorder="1"/>
    <xf numFmtId="170" fontId="125" fillId="0" borderId="15" xfId="0" applyNumberFormat="1" applyFont="1" applyBorder="1"/>
    <xf numFmtId="49" fontId="124" fillId="0" borderId="0" xfId="213" applyNumberFormat="1" applyFont="1" applyFill="1" applyBorder="1" applyAlignment="1">
      <alignment horizontal="left"/>
    </xf>
    <xf numFmtId="170" fontId="162" fillId="0" borderId="22" xfId="0" applyNumberFormat="1" applyFont="1" applyBorder="1"/>
    <xf numFmtId="188" fontId="124" fillId="0" borderId="16" xfId="0" applyFont="1" applyFill="1" applyBorder="1"/>
    <xf numFmtId="0" fontId="124" fillId="0" borderId="16" xfId="0" applyNumberFormat="1" applyFont="1" applyFill="1" applyBorder="1" applyAlignment="1"/>
    <xf numFmtId="188" fontId="125" fillId="0" borderId="19" xfId="0" applyFont="1" applyFill="1" applyBorder="1"/>
    <xf numFmtId="184" fontId="124" fillId="0" borderId="108" xfId="59" applyNumberFormat="1" applyFont="1" applyFill="1" applyBorder="1"/>
    <xf numFmtId="170" fontId="69" fillId="44" borderId="8" xfId="5" applyNumberFormat="1" applyFont="1" applyFill="1" applyBorder="1" applyProtection="1"/>
    <xf numFmtId="9" fontId="124" fillId="0" borderId="0" xfId="218" applyNumberFormat="1" applyFont="1" applyBorder="1" applyAlignment="1">
      <alignment horizontal="left"/>
    </xf>
    <xf numFmtId="9" fontId="124" fillId="0" borderId="39" xfId="218" applyNumberFormat="1" applyFont="1" applyBorder="1" applyAlignment="1">
      <alignment horizontal="left"/>
    </xf>
    <xf numFmtId="188" fontId="124" fillId="0" borderId="18" xfId="0" applyFont="1" applyBorder="1" applyAlignment="1">
      <alignment horizontal="left"/>
    </xf>
    <xf numFmtId="9" fontId="124" fillId="0" borderId="16" xfId="218" applyFont="1" applyBorder="1"/>
    <xf numFmtId="0" fontId="69" fillId="0" borderId="107" xfId="213" applyNumberFormat="1" applyFont="1" applyFill="1" applyBorder="1" applyAlignment="1">
      <alignment horizontal="right"/>
    </xf>
    <xf numFmtId="170" fontId="69" fillId="0" borderId="107" xfId="213" applyFont="1" applyFill="1" applyBorder="1" applyAlignment="1">
      <alignment horizontal="right"/>
    </xf>
    <xf numFmtId="170" fontId="69" fillId="0" borderId="102" xfId="1" applyNumberFormat="1" applyFont="1" applyFill="1" applyBorder="1" applyProtection="1"/>
    <xf numFmtId="170" fontId="69" fillId="0" borderId="107" xfId="1" applyNumberFormat="1" applyFont="1" applyBorder="1"/>
    <xf numFmtId="170" fontId="69" fillId="0" borderId="106" xfId="1" applyNumberFormat="1" applyFont="1" applyBorder="1"/>
    <xf numFmtId="0" fontId="69" fillId="0" borderId="34" xfId="213" applyNumberFormat="1" applyFont="1" applyFill="1" applyBorder="1" applyAlignment="1">
      <alignment horizontal="right"/>
    </xf>
    <xf numFmtId="170" fontId="69" fillId="0" borderId="21" xfId="1" applyNumberFormat="1" applyFont="1" applyFill="1" applyBorder="1" applyProtection="1"/>
    <xf numFmtId="174" fontId="69" fillId="0" borderId="105" xfId="1" applyNumberFormat="1" applyFont="1" applyFill="1" applyBorder="1" applyProtection="1"/>
    <xf numFmtId="174" fontId="69" fillId="0" borderId="107" xfId="1" applyNumberFormat="1" applyFont="1" applyFill="1" applyBorder="1" applyProtection="1"/>
    <xf numFmtId="170" fontId="69" fillId="0" borderId="102" xfId="1" applyNumberFormat="1" applyFont="1" applyFill="1" applyBorder="1"/>
    <xf numFmtId="170" fontId="69" fillId="0" borderId="107" xfId="1" applyNumberFormat="1" applyFont="1" applyFill="1" applyBorder="1" applyProtection="1"/>
    <xf numFmtId="170" fontId="69" fillId="0" borderId="21" xfId="1" applyNumberFormat="1" applyFont="1" applyFill="1" applyBorder="1"/>
    <xf numFmtId="165" fontId="69" fillId="0" borderId="102" xfId="59" applyFont="1" applyBorder="1"/>
    <xf numFmtId="165" fontId="69" fillId="0" borderId="21" xfId="59" applyFont="1" applyBorder="1"/>
    <xf numFmtId="170" fontId="74" fillId="0" borderId="16" xfId="0" applyNumberFormat="1" applyFont="1" applyBorder="1"/>
    <xf numFmtId="170" fontId="69" fillId="0" borderId="19" xfId="0" applyNumberFormat="1" applyFont="1" applyBorder="1" applyAlignment="1">
      <alignment horizontal="center"/>
    </xf>
    <xf numFmtId="170" fontId="74" fillId="0" borderId="24" xfId="0" applyNumberFormat="1" applyFont="1" applyBorder="1"/>
    <xf numFmtId="165" fontId="69" fillId="0" borderId="8" xfId="59" applyFont="1" applyFill="1" applyBorder="1"/>
    <xf numFmtId="165" fontId="69" fillId="0" borderId="8" xfId="59" applyFont="1" applyFill="1" applyBorder="1" applyAlignment="1">
      <alignment horizontal="right"/>
    </xf>
    <xf numFmtId="165" fontId="74" fillId="0" borderId="8" xfId="59" applyFont="1" applyFill="1" applyBorder="1" applyAlignment="1">
      <alignment horizontal="right"/>
    </xf>
    <xf numFmtId="170" fontId="69" fillId="0" borderId="116" xfId="0" applyNumberFormat="1" applyFont="1" applyBorder="1"/>
    <xf numFmtId="170" fontId="69" fillId="0" borderId="15" xfId="0" applyNumberFormat="1" applyFont="1" applyFill="1" applyBorder="1" applyAlignment="1">
      <alignment horizontal="center" wrapText="1"/>
    </xf>
    <xf numFmtId="170" fontId="153" fillId="0" borderId="28" xfId="256" applyNumberFormat="1" applyFont="1" applyFill="1" applyBorder="1" applyAlignment="1" applyProtection="1">
      <alignment horizontal="center" vertical="center" wrapText="1"/>
    </xf>
    <xf numFmtId="170" fontId="141" fillId="0" borderId="0" xfId="0" applyNumberFormat="1" applyFont="1" applyFill="1" applyAlignment="1">
      <alignment horizontal="center" wrapText="1"/>
    </xf>
    <xf numFmtId="170" fontId="128" fillId="0" borderId="89" xfId="0" applyNumberFormat="1" applyFont="1" applyFill="1" applyBorder="1" applyAlignment="1">
      <alignment horizontal="left" vertical="center" wrapText="1"/>
    </xf>
    <xf numFmtId="170" fontId="69" fillId="0" borderId="0" xfId="0" applyNumberFormat="1" applyFont="1" applyAlignment="1">
      <alignment horizontal="right"/>
    </xf>
    <xf numFmtId="37" fontId="69" fillId="0" borderId="8" xfId="1" applyNumberFormat="1" applyFont="1" applyBorder="1"/>
    <xf numFmtId="37" fontId="69" fillId="0" borderId="101" xfId="1" applyNumberFormat="1" applyFont="1" applyBorder="1"/>
    <xf numFmtId="0" fontId="69" fillId="0" borderId="28" xfId="213" applyNumberFormat="1" applyFont="1" applyFill="1" applyBorder="1" applyAlignment="1">
      <alignment horizontal="right" vertical="center"/>
    </xf>
    <xf numFmtId="188" fontId="69" fillId="0" borderId="0" xfId="0" applyFont="1" applyAlignment="1">
      <alignment horizontal="right" vertical="center"/>
    </xf>
    <xf numFmtId="170" fontId="69" fillId="0" borderId="0" xfId="1" applyNumberFormat="1" applyFont="1" applyBorder="1" applyAlignment="1">
      <alignment vertical="center"/>
    </xf>
    <xf numFmtId="170" fontId="69" fillId="0" borderId="28" xfId="1" applyNumberFormat="1" applyFont="1" applyBorder="1" applyAlignment="1">
      <alignment vertical="center"/>
    </xf>
    <xf numFmtId="170" fontId="69" fillId="0" borderId="0" xfId="1" applyNumberFormat="1" applyFont="1" applyFill="1" applyBorder="1" applyAlignment="1" applyProtection="1">
      <alignment vertical="center"/>
    </xf>
    <xf numFmtId="170" fontId="69" fillId="0" borderId="28" xfId="1" applyNumberFormat="1" applyFont="1" applyFill="1" applyBorder="1" applyAlignment="1" applyProtection="1">
      <alignment vertical="center"/>
    </xf>
    <xf numFmtId="170" fontId="69" fillId="0" borderId="0" xfId="1" applyNumberFormat="1" applyFont="1" applyBorder="1" applyAlignment="1">
      <alignment horizontal="right" vertical="center"/>
    </xf>
    <xf numFmtId="183" fontId="147" fillId="48" borderId="56" xfId="59" applyNumberFormat="1" applyFont="1" applyFill="1" applyBorder="1" applyAlignment="1">
      <alignment horizontal="right"/>
    </xf>
    <xf numFmtId="170" fontId="69" fillId="0" borderId="50" xfId="207" applyNumberFormat="1" applyFont="1" applyFill="1" applyBorder="1" applyAlignment="1">
      <alignment horizontal="right"/>
    </xf>
    <xf numFmtId="170" fontId="76" fillId="0" borderId="53" xfId="0" applyNumberFormat="1" applyFont="1" applyFill="1" applyBorder="1" applyAlignment="1">
      <alignment horizontal="center"/>
    </xf>
    <xf numFmtId="188" fontId="146" fillId="0" borderId="61" xfId="0" applyNumberFormat="1" applyFont="1" applyFill="1" applyBorder="1" applyAlignment="1">
      <alignment horizontal="right"/>
    </xf>
    <xf numFmtId="0" fontId="69" fillId="0" borderId="35" xfId="0" applyNumberFormat="1" applyFont="1" applyFill="1" applyBorder="1" applyAlignment="1">
      <alignment horizontal="right"/>
    </xf>
    <xf numFmtId="174" fontId="69" fillId="0" borderId="80" xfId="0" applyNumberFormat="1" applyFont="1" applyFill="1" applyBorder="1"/>
    <xf numFmtId="174" fontId="69" fillId="0" borderId="55" xfId="0" applyNumberFormat="1" applyFont="1" applyFill="1" applyBorder="1"/>
    <xf numFmtId="174" fontId="69" fillId="0" borderId="8" xfId="1" applyNumberFormat="1" applyFont="1" applyBorder="1"/>
    <xf numFmtId="170" fontId="74" fillId="44" borderId="30" xfId="59" applyNumberFormat="1" applyFont="1" applyFill="1" applyBorder="1" applyProtection="1"/>
    <xf numFmtId="0" fontId="69" fillId="0" borderId="8" xfId="0" applyNumberFormat="1" applyFont="1" applyFill="1" applyBorder="1" applyAlignment="1">
      <alignment horizontal="right"/>
    </xf>
    <xf numFmtId="174" fontId="69" fillId="0" borderId="15" xfId="0" applyNumberFormat="1" applyFont="1" applyFill="1" applyBorder="1"/>
    <xf numFmtId="170" fontId="164" fillId="0" borderId="0" xfId="0" applyNumberFormat="1" applyFont="1" applyAlignment="1">
      <alignment horizontal="center"/>
    </xf>
    <xf numFmtId="173" fontId="164" fillId="0" borderId="0" xfId="218" applyNumberFormat="1" applyFont="1" applyAlignment="1">
      <alignment horizontal="center"/>
    </xf>
    <xf numFmtId="0" fontId="144" fillId="0" borderId="22" xfId="0" applyNumberFormat="1" applyFont="1" applyBorder="1" applyAlignment="1">
      <alignment horizontal="center"/>
    </xf>
    <xf numFmtId="170" fontId="74" fillId="0" borderId="16" xfId="0" applyNumberFormat="1" applyFont="1" applyBorder="1" applyAlignment="1">
      <alignment horizontal="center"/>
    </xf>
    <xf numFmtId="170" fontId="69" fillId="0" borderId="16" xfId="0" applyNumberFormat="1" applyFont="1" applyBorder="1" applyAlignment="1">
      <alignment horizontal="center"/>
    </xf>
    <xf numFmtId="173" fontId="164" fillId="0" borderId="16" xfId="218" applyNumberFormat="1" applyFont="1" applyBorder="1" applyAlignment="1">
      <alignment horizontal="center"/>
    </xf>
    <xf numFmtId="170" fontId="69" fillId="0" borderId="24" xfId="0" applyNumberFormat="1" applyFont="1" applyBorder="1" applyAlignment="1">
      <alignment horizontal="center"/>
    </xf>
    <xf numFmtId="170" fontId="74" fillId="0" borderId="56" xfId="0" applyNumberFormat="1" applyFont="1" applyBorder="1"/>
    <xf numFmtId="175" fontId="74" fillId="0" borderId="15" xfId="0" applyNumberFormat="1" applyFont="1" applyBorder="1"/>
    <xf numFmtId="170" fontId="74" fillId="0" borderId="46" xfId="1" applyNumberFormat="1" applyFont="1" applyBorder="1" applyAlignment="1">
      <alignment horizontal="center"/>
    </xf>
    <xf numFmtId="170" fontId="74" fillId="0" borderId="15" xfId="1" applyNumberFormat="1" applyFont="1" applyBorder="1" applyAlignment="1">
      <alignment horizontal="center"/>
    </xf>
    <xf numFmtId="183" fontId="120" fillId="0" borderId="15" xfId="59" applyNumberFormat="1" applyFont="1" applyBorder="1"/>
    <xf numFmtId="183" fontId="121" fillId="0" borderId="15" xfId="59" applyNumberFormat="1" applyFont="1" applyBorder="1"/>
    <xf numFmtId="39" fontId="120" fillId="0" borderId="15" xfId="128" applyNumberFormat="1" applyFont="1" applyBorder="1"/>
    <xf numFmtId="39" fontId="120" fillId="0" borderId="25" xfId="128" applyNumberFormat="1" applyFont="1" applyBorder="1"/>
    <xf numFmtId="0" fontId="69" fillId="0" borderId="0" xfId="0" applyNumberFormat="1" applyFont="1" applyFill="1" applyBorder="1" applyAlignment="1">
      <alignment horizontal="right"/>
    </xf>
    <xf numFmtId="170" fontId="69" fillId="0" borderId="56" xfId="207" applyNumberFormat="1" applyFont="1" applyFill="1" applyBorder="1" applyAlignment="1">
      <alignment horizontal="right"/>
    </xf>
    <xf numFmtId="170" fontId="69" fillId="0" borderId="0" xfId="1" applyNumberFormat="1" applyFont="1" applyFill="1" applyAlignment="1">
      <alignment horizontal="center"/>
    </xf>
    <xf numFmtId="183" fontId="74" fillId="48" borderId="56" xfId="59" applyNumberFormat="1" applyFont="1" applyFill="1" applyBorder="1"/>
    <xf numFmtId="170" fontId="74" fillId="0" borderId="16" xfId="0" applyNumberFormat="1" applyFont="1" applyBorder="1" applyAlignment="1">
      <alignment horizontal="left"/>
    </xf>
    <xf numFmtId="0" fontId="69" fillId="0" borderId="28" xfId="213" applyNumberFormat="1" applyFont="1" applyFill="1" applyBorder="1" applyAlignment="1"/>
    <xf numFmtId="15" fontId="74" fillId="0" borderId="51" xfId="1" applyNumberFormat="1" applyFont="1" applyFill="1" applyBorder="1" applyAlignment="1">
      <alignment horizontal="centerContinuous"/>
    </xf>
    <xf numFmtId="0" fontId="69" fillId="0" borderId="0" xfId="1" applyNumberFormat="1" applyFont="1" applyFill="1"/>
    <xf numFmtId="177" fontId="69" fillId="0" borderId="0" xfId="0" applyNumberFormat="1" applyFont="1" applyFill="1"/>
    <xf numFmtId="168" fontId="69" fillId="0" borderId="0" xfId="1" applyNumberFormat="1" applyFont="1" applyFill="1"/>
    <xf numFmtId="170" fontId="165" fillId="0" borderId="0" xfId="1" applyNumberFormat="1" applyFont="1" applyFill="1" applyBorder="1" applyAlignment="1">
      <alignment horizontal="center" wrapText="1"/>
    </xf>
    <xf numFmtId="169" fontId="69" fillId="0" borderId="0" xfId="214" applyNumberFormat="1" applyFont="1" applyFill="1"/>
    <xf numFmtId="174" fontId="69" fillId="0" borderId="0" xfId="1" applyNumberFormat="1" applyFont="1" applyFill="1" applyBorder="1"/>
    <xf numFmtId="165" fontId="74" fillId="0" borderId="17" xfId="59" applyFont="1" applyFill="1" applyBorder="1" applyAlignment="1">
      <alignment horizontal="right"/>
    </xf>
    <xf numFmtId="174" fontId="74" fillId="0" borderId="17" xfId="1" applyNumberFormat="1" applyFont="1" applyFill="1" applyBorder="1" applyAlignment="1">
      <alignment horizontal="right"/>
    </xf>
    <xf numFmtId="174" fontId="74" fillId="0" borderId="33" xfId="1" applyNumberFormat="1" applyFont="1" applyFill="1" applyBorder="1" applyAlignment="1">
      <alignment horizontal="right"/>
    </xf>
    <xf numFmtId="165" fontId="69" fillId="0" borderId="28" xfId="59" applyFont="1" applyFill="1" applyBorder="1" applyAlignment="1">
      <alignment horizontal="right"/>
    </xf>
    <xf numFmtId="165" fontId="74" fillId="0" borderId="0" xfId="59" applyFont="1" applyFill="1" applyBorder="1" applyAlignment="1">
      <alignment horizontal="right"/>
    </xf>
    <xf numFmtId="165" fontId="74" fillId="0" borderId="28" xfId="59" applyFont="1" applyFill="1" applyBorder="1" applyAlignment="1">
      <alignment horizontal="right"/>
    </xf>
    <xf numFmtId="174" fontId="74" fillId="0" borderId="0" xfId="1" applyNumberFormat="1" applyFont="1" applyFill="1" applyBorder="1" applyAlignment="1">
      <alignment horizontal="right"/>
    </xf>
    <xf numFmtId="174" fontId="74" fillId="0" borderId="28" xfId="1" applyNumberFormat="1" applyFont="1" applyFill="1" applyBorder="1" applyAlignment="1">
      <alignment horizontal="right"/>
    </xf>
    <xf numFmtId="1" fontId="69" fillId="0" borderId="0" xfId="209" applyNumberFormat="1" applyFont="1"/>
    <xf numFmtId="170" fontId="69" fillId="41" borderId="31" xfId="1" applyNumberFormat="1" applyFont="1" applyFill="1" applyBorder="1"/>
    <xf numFmtId="170" fontId="69" fillId="41" borderId="28" xfId="1" applyNumberFormat="1" applyFont="1" applyFill="1" applyBorder="1"/>
    <xf numFmtId="170" fontId="69" fillId="0" borderId="28" xfId="1" applyNumberFormat="1" applyFont="1" applyFill="1" applyBorder="1" applyAlignment="1" applyProtection="1">
      <alignment horizontal="left"/>
    </xf>
    <xf numFmtId="170" fontId="69" fillId="0" borderId="96" xfId="1" applyNumberFormat="1" applyFont="1" applyBorder="1" applyProtection="1"/>
    <xf numFmtId="175" fontId="69" fillId="36" borderId="0" xfId="209" applyNumberFormat="1" applyFont="1" applyFill="1"/>
    <xf numFmtId="181" fontId="69" fillId="0" borderId="31" xfId="1" applyNumberFormat="1" applyFont="1" applyFill="1" applyBorder="1" applyAlignment="1">
      <alignment horizontal="right"/>
    </xf>
    <xf numFmtId="170" fontId="69" fillId="0" borderId="58" xfId="213" applyFont="1" applyFill="1" applyBorder="1" applyAlignment="1">
      <alignment horizontal="right"/>
    </xf>
    <xf numFmtId="175" fontId="69" fillId="0" borderId="58" xfId="209" applyNumberFormat="1" applyFont="1" applyBorder="1"/>
    <xf numFmtId="170" fontId="69" fillId="0" borderId="88" xfId="213" applyFont="1" applyFill="1" applyBorder="1" applyAlignment="1">
      <alignment horizontal="right"/>
    </xf>
    <xf numFmtId="170" fontId="69" fillId="0" borderId="91" xfId="1" applyNumberFormat="1" applyFont="1" applyBorder="1"/>
    <xf numFmtId="170" fontId="69" fillId="0" borderId="88" xfId="1" applyNumberFormat="1" applyFont="1" applyFill="1" applyBorder="1" applyProtection="1"/>
    <xf numFmtId="170" fontId="69" fillId="0" borderId="91" xfId="1" applyNumberFormat="1" applyFont="1" applyFill="1" applyBorder="1" applyProtection="1"/>
    <xf numFmtId="175" fontId="69" fillId="0" borderId="88" xfId="209" applyNumberFormat="1" applyFont="1" applyBorder="1"/>
    <xf numFmtId="170" fontId="69" fillId="0" borderId="84" xfId="213" applyFont="1" applyFill="1" applyBorder="1" applyAlignment="1">
      <alignment horizontal="right"/>
    </xf>
    <xf numFmtId="170" fontId="69" fillId="59" borderId="21" xfId="1" quotePrefix="1" applyNumberFormat="1" applyFont="1" applyFill="1" applyBorder="1"/>
    <xf numFmtId="170" fontId="69" fillId="49" borderId="0" xfId="1" applyNumberFormat="1" applyFont="1" applyFill="1"/>
    <xf numFmtId="170" fontId="118" fillId="0" borderId="28" xfId="1" applyNumberFormat="1" applyFont="1" applyFill="1" applyBorder="1" applyAlignment="1">
      <alignment horizontal="right" wrapText="1"/>
    </xf>
    <xf numFmtId="170" fontId="118" fillId="0" borderId="28" xfId="213" applyFont="1" applyFill="1" applyBorder="1" applyAlignment="1">
      <alignment horizontal="center" wrapText="1"/>
    </xf>
    <xf numFmtId="179" fontId="69" fillId="0" borderId="105" xfId="59" applyNumberFormat="1" applyFont="1" applyFill="1" applyBorder="1" applyAlignment="1">
      <alignment horizontal="right"/>
    </xf>
    <xf numFmtId="179" fontId="69" fillId="0" borderId="21" xfId="59" applyNumberFormat="1" applyFont="1" applyFill="1" applyBorder="1" applyAlignment="1">
      <alignment horizontal="right"/>
    </xf>
    <xf numFmtId="170" fontId="69" fillId="0" borderId="21" xfId="213" applyFont="1" applyFill="1" applyBorder="1" applyAlignment="1">
      <alignment horizontal="right"/>
    </xf>
    <xf numFmtId="170" fontId="118" fillId="0" borderId="107" xfId="213" applyFont="1" applyFill="1" applyBorder="1" applyAlignment="1">
      <alignment horizontal="right"/>
    </xf>
    <xf numFmtId="170" fontId="69" fillId="41" borderId="28" xfId="1" applyNumberFormat="1" applyFont="1" applyFill="1" applyBorder="1" applyAlignment="1">
      <alignment horizontal="right"/>
    </xf>
    <xf numFmtId="170" fontId="69" fillId="59" borderId="21" xfId="1" quotePrefix="1" applyNumberFormat="1" applyFont="1" applyFill="1" applyBorder="1" applyAlignment="1">
      <alignment horizontal="center"/>
    </xf>
    <xf numFmtId="165" fontId="69" fillId="0" borderId="0" xfId="59" applyFont="1" applyBorder="1" applyAlignment="1">
      <alignment vertical="center"/>
    </xf>
    <xf numFmtId="170" fontId="69" fillId="0" borderId="28" xfId="1" applyNumberFormat="1" applyFont="1" applyFill="1" applyBorder="1" applyAlignment="1">
      <alignment vertical="center"/>
    </xf>
    <xf numFmtId="170" fontId="69" fillId="0" borderId="0" xfId="1" applyNumberFormat="1" applyFont="1" applyFill="1" applyBorder="1" applyAlignment="1">
      <alignment vertical="center"/>
    </xf>
    <xf numFmtId="174" fontId="69" fillId="0" borderId="0" xfId="1" applyNumberFormat="1" applyFont="1" applyFill="1" applyBorder="1" applyAlignment="1" applyProtection="1">
      <alignment vertical="center"/>
    </xf>
    <xf numFmtId="174" fontId="69" fillId="0" borderId="28" xfId="1" applyNumberFormat="1" applyFont="1" applyFill="1" applyBorder="1" applyAlignment="1" applyProtection="1">
      <alignment vertical="center"/>
    </xf>
    <xf numFmtId="179" fontId="69" fillId="0" borderId="0" xfId="59" applyNumberFormat="1" applyFont="1" applyFill="1" applyAlignment="1">
      <alignment horizontal="right" vertical="center"/>
    </xf>
    <xf numFmtId="188" fontId="69" fillId="0" borderId="34" xfId="213" applyNumberFormat="1" applyFont="1" applyFill="1" applyBorder="1" applyAlignment="1">
      <alignment horizontal="right"/>
    </xf>
    <xf numFmtId="188" fontId="74" fillId="0" borderId="27" xfId="59" applyNumberFormat="1" applyFont="1" applyFill="1" applyBorder="1" applyAlignment="1">
      <alignment horizontal="right"/>
    </xf>
    <xf numFmtId="188" fontId="74" fillId="0" borderId="33" xfId="1" applyNumberFormat="1" applyFont="1" applyFill="1" applyBorder="1" applyAlignment="1">
      <alignment horizontal="right"/>
    </xf>
    <xf numFmtId="0" fontId="69" fillId="0" borderId="28" xfId="1" applyNumberFormat="1" applyFont="1" applyBorder="1" applyAlignment="1">
      <alignment horizontal="right"/>
    </xf>
    <xf numFmtId="0" fontId="69" fillId="0" borderId="28" xfId="1" applyNumberFormat="1" applyFont="1" applyFill="1" applyBorder="1" applyAlignment="1">
      <alignment horizontal="right"/>
    </xf>
    <xf numFmtId="0" fontId="69" fillId="0" borderId="57" xfId="213" applyNumberFormat="1" applyFont="1" applyFill="1" applyBorder="1" applyAlignment="1">
      <alignment horizontal="right"/>
    </xf>
    <xf numFmtId="0" fontId="69" fillId="0" borderId="91" xfId="213" applyNumberFormat="1" applyFont="1" applyFill="1" applyBorder="1" applyAlignment="1">
      <alignment horizontal="right"/>
    </xf>
    <xf numFmtId="0" fontId="69" fillId="0" borderId="28" xfId="59" applyNumberFormat="1" applyFont="1" applyFill="1" applyBorder="1" applyAlignment="1">
      <alignment horizontal="right"/>
    </xf>
    <xf numFmtId="0" fontId="69" fillId="0" borderId="28" xfId="213" quotePrefix="1" applyNumberFormat="1" applyFont="1" applyFill="1" applyBorder="1" applyAlignment="1">
      <alignment horizontal="right"/>
    </xf>
    <xf numFmtId="170" fontId="69" fillId="0" borderId="28" xfId="213" applyFont="1" applyFill="1" applyBorder="1" applyAlignment="1">
      <alignment horizontal="right" vertical="center"/>
    </xf>
    <xf numFmtId="170" fontId="76" fillId="0" borderId="0" xfId="1" applyNumberFormat="1" applyFont="1" applyBorder="1" applyAlignment="1">
      <alignment horizontal="center"/>
    </xf>
    <xf numFmtId="0" fontId="147" fillId="0" borderId="0" xfId="262" applyFont="1"/>
    <xf numFmtId="37" fontId="120" fillId="0" borderId="21" xfId="128" applyNumberFormat="1" applyFont="1" applyFill="1" applyBorder="1"/>
    <xf numFmtId="37" fontId="121" fillId="0" borderId="39" xfId="128" applyNumberFormat="1" applyFont="1" applyBorder="1"/>
    <xf numFmtId="188" fontId="147" fillId="0" borderId="0" xfId="0" applyFont="1"/>
    <xf numFmtId="188" fontId="69" fillId="0" borderId="8" xfId="213" applyNumberFormat="1" applyFont="1" applyFill="1" applyBorder="1" applyAlignment="1">
      <alignment horizontal="right"/>
    </xf>
    <xf numFmtId="188" fontId="74" fillId="0" borderId="8" xfId="59" applyNumberFormat="1" applyFont="1" applyFill="1" applyBorder="1" applyAlignment="1">
      <alignment horizontal="right"/>
    </xf>
    <xf numFmtId="0" fontId="69" fillId="0" borderId="8" xfId="0" applyNumberFormat="1" applyFont="1" applyBorder="1" applyAlignment="1">
      <alignment horizontal="right"/>
    </xf>
    <xf numFmtId="188" fontId="74" fillId="0" borderId="109" xfId="59" applyNumberFormat="1" applyFont="1" applyFill="1" applyBorder="1" applyAlignment="1">
      <alignment horizontal="right"/>
    </xf>
    <xf numFmtId="188" fontId="69" fillId="0" borderId="109" xfId="213" applyNumberFormat="1" applyFont="1" applyBorder="1" applyAlignment="1">
      <alignment horizontal="right"/>
    </xf>
    <xf numFmtId="188" fontId="69" fillId="0" borderId="8" xfId="59" applyNumberFormat="1" applyFont="1" applyBorder="1" applyAlignment="1">
      <alignment horizontal="right"/>
    </xf>
    <xf numFmtId="170" fontId="118" fillId="0" borderId="28" xfId="213" applyFont="1" applyFill="1" applyBorder="1" applyAlignment="1">
      <alignment horizontal="center" vertical="center" wrapText="1"/>
    </xf>
    <xf numFmtId="176" fontId="69" fillId="0" borderId="28" xfId="59" applyNumberFormat="1" applyFont="1" applyBorder="1"/>
    <xf numFmtId="0" fontId="69" fillId="0" borderId="28" xfId="213" applyNumberFormat="1" applyFont="1" applyBorder="1" applyAlignment="1">
      <alignment horizontal="right" vertical="center"/>
    </xf>
    <xf numFmtId="170" fontId="69" fillId="0" borderId="0" xfId="213" applyFont="1" applyBorder="1" applyAlignment="1">
      <alignment horizontal="right" vertical="center"/>
    </xf>
    <xf numFmtId="175" fontId="69" fillId="0" borderId="0" xfId="209" applyNumberFormat="1" applyFont="1" applyAlignment="1">
      <alignment vertical="center"/>
    </xf>
    <xf numFmtId="188" fontId="69" fillId="0" borderId="28" xfId="213" applyNumberFormat="1" applyFont="1" applyFill="1" applyBorder="1" applyAlignment="1">
      <alignment horizontal="right" vertical="center"/>
    </xf>
    <xf numFmtId="170" fontId="69" fillId="0" borderId="51" xfId="0" applyNumberFormat="1" applyFont="1" applyBorder="1" applyAlignment="1">
      <alignment horizontal="center" wrapText="1"/>
    </xf>
    <xf numFmtId="170" fontId="74" fillId="0" borderId="51" xfId="0" applyNumberFormat="1" applyFont="1" applyBorder="1" applyAlignment="1">
      <alignment horizontal="center"/>
    </xf>
    <xf numFmtId="170" fontId="69" fillId="0" borderId="96" xfId="213" applyFont="1" applyFill="1" applyBorder="1" applyAlignment="1">
      <alignment horizontal="right"/>
    </xf>
    <xf numFmtId="44" fontId="124" fillId="0" borderId="0" xfId="255" applyFont="1" applyFill="1" applyBorder="1"/>
    <xf numFmtId="0" fontId="124" fillId="0" borderId="0" xfId="213" applyNumberFormat="1" applyFont="1" applyFill="1" applyBorder="1" applyAlignment="1">
      <alignment horizontal="center"/>
    </xf>
    <xf numFmtId="170" fontId="124" fillId="0" borderId="76" xfId="0" applyNumberFormat="1" applyFont="1" applyFill="1" applyBorder="1" applyAlignment="1">
      <alignment horizontal="left"/>
    </xf>
    <xf numFmtId="188" fontId="127" fillId="0" borderId="88" xfId="0" applyFont="1" applyBorder="1" applyAlignment="1">
      <alignment horizontal="center"/>
    </xf>
    <xf numFmtId="170" fontId="74" fillId="0" borderId="0" xfId="1" applyNumberFormat="1" applyFont="1" applyBorder="1" applyAlignment="1">
      <alignment horizontal="center" vertical="center"/>
    </xf>
    <xf numFmtId="170" fontId="69" fillId="0" borderId="77" xfId="1" applyNumberFormat="1" applyFont="1" applyFill="1" applyBorder="1" applyAlignment="1">
      <alignment horizontal="right"/>
    </xf>
    <xf numFmtId="170" fontId="69" fillId="0" borderId="75" xfId="1" applyNumberFormat="1" applyFont="1" applyFill="1" applyBorder="1" applyAlignment="1">
      <alignment horizontal="right"/>
    </xf>
    <xf numFmtId="170" fontId="74" fillId="0" borderId="88" xfId="1" applyNumberFormat="1" applyFont="1" applyBorder="1"/>
    <xf numFmtId="170" fontId="74" fillId="0" borderId="58" xfId="1" applyNumberFormat="1" applyFont="1" applyBorder="1"/>
    <xf numFmtId="170" fontId="117" fillId="0" borderId="0" xfId="0" applyNumberFormat="1" applyFont="1" applyBorder="1" applyAlignment="1">
      <alignment horizontal="center"/>
    </xf>
    <xf numFmtId="174" fontId="69" fillId="0" borderId="54" xfId="0" applyNumberFormat="1" applyFont="1" applyFill="1" applyBorder="1"/>
    <xf numFmtId="174" fontId="69" fillId="0" borderId="25" xfId="0" applyNumberFormat="1" applyFont="1" applyFill="1" applyBorder="1"/>
    <xf numFmtId="183" fontId="69" fillId="0" borderId="15" xfId="59" applyNumberFormat="1" applyFont="1" applyBorder="1"/>
    <xf numFmtId="170" fontId="76" fillId="44" borderId="54" xfId="1" applyNumberFormat="1" applyFont="1" applyFill="1" applyBorder="1" applyAlignment="1">
      <alignment horizontal="center"/>
    </xf>
    <xf numFmtId="10" fontId="74" fillId="44" borderId="55" xfId="218" applyNumberFormat="1" applyFont="1" applyFill="1" applyBorder="1" applyAlignment="1">
      <alignment horizontal="center"/>
    </xf>
    <xf numFmtId="170" fontId="69" fillId="0" borderId="16" xfId="1" applyNumberFormat="1" applyFont="1" applyBorder="1"/>
    <xf numFmtId="170" fontId="145" fillId="0" borderId="0" xfId="0" applyNumberFormat="1" applyFont="1" applyFill="1" applyBorder="1" applyAlignment="1"/>
    <xf numFmtId="170" fontId="69" fillId="0" borderId="0" xfId="1" applyNumberFormat="1" applyFont="1" applyAlignment="1"/>
    <xf numFmtId="188" fontId="69" fillId="0" borderId="0" xfId="0" applyFont="1" applyFill="1" applyBorder="1" applyAlignment="1">
      <alignment vertical="center"/>
    </xf>
    <xf numFmtId="188" fontId="147" fillId="0" borderId="33" xfId="59" applyNumberFormat="1" applyFont="1" applyFill="1" applyBorder="1" applyAlignment="1">
      <alignment horizontal="right"/>
    </xf>
    <xf numFmtId="170" fontId="74" fillId="0" borderId="66" xfId="1" applyNumberFormat="1" applyFont="1" applyFill="1" applyBorder="1" applyAlignment="1">
      <alignment horizontal="center"/>
    </xf>
    <xf numFmtId="170" fontId="74" fillId="0" borderId="66" xfId="1" applyNumberFormat="1" applyFont="1" applyFill="1" applyBorder="1" applyAlignment="1">
      <alignment horizontal="centerContinuous"/>
    </xf>
    <xf numFmtId="37" fontId="74" fillId="0" borderId="66" xfId="1" applyNumberFormat="1" applyFont="1" applyFill="1" applyBorder="1" applyAlignment="1">
      <alignment horizontal="centerContinuous"/>
    </xf>
    <xf numFmtId="170" fontId="69" fillId="0" borderId="35" xfId="1" applyNumberFormat="1" applyFont="1" applyFill="1" applyBorder="1" applyAlignment="1">
      <alignment horizontal="right"/>
    </xf>
    <xf numFmtId="170" fontId="69" fillId="0" borderId="66" xfId="1" applyNumberFormat="1" applyFont="1" applyBorder="1" applyAlignment="1">
      <alignment horizontal="right"/>
    </xf>
    <xf numFmtId="170" fontId="74" fillId="0" borderId="66" xfId="1" applyNumberFormat="1" applyFont="1" applyFill="1" applyBorder="1" applyAlignment="1">
      <alignment horizontal="right"/>
    </xf>
    <xf numFmtId="37" fontId="74" fillId="0" borderId="66" xfId="1" applyNumberFormat="1" applyFont="1" applyFill="1" applyBorder="1" applyAlignment="1">
      <alignment horizontal="right"/>
    </xf>
    <xf numFmtId="170" fontId="74" fillId="0" borderId="8" xfId="1" applyNumberFormat="1" applyFont="1" applyBorder="1" applyAlignment="1">
      <alignment horizontal="right"/>
    </xf>
    <xf numFmtId="170" fontId="74" fillId="0" borderId="8" xfId="1" applyNumberFormat="1" applyFont="1" applyFill="1" applyBorder="1" applyAlignment="1">
      <alignment horizontal="right"/>
    </xf>
    <xf numFmtId="37" fontId="74" fillId="0" borderId="8" xfId="1" applyNumberFormat="1" applyFont="1" applyFill="1" applyBorder="1" applyAlignment="1">
      <alignment horizontal="right"/>
    </xf>
    <xf numFmtId="1" fontId="74" fillId="0" borderId="34" xfId="59" applyNumberFormat="1" applyFont="1" applyBorder="1" applyAlignment="1">
      <alignment horizontal="right"/>
    </xf>
    <xf numFmtId="170" fontId="69" fillId="0" borderId="42" xfId="1" applyNumberFormat="1" applyFont="1" applyBorder="1" applyAlignment="1">
      <alignment horizontal="right"/>
    </xf>
    <xf numFmtId="170" fontId="74" fillId="0" borderId="64" xfId="1" applyNumberFormat="1" applyFont="1" applyFill="1" applyBorder="1" applyAlignment="1">
      <alignment horizontal="right"/>
    </xf>
    <xf numFmtId="1" fontId="74" fillId="0" borderId="28" xfId="59" applyNumberFormat="1" applyFont="1" applyFill="1" applyBorder="1" applyAlignment="1">
      <alignment horizontal="right"/>
    </xf>
    <xf numFmtId="183" fontId="69" fillId="0" borderId="70" xfId="59" applyNumberFormat="1" applyFont="1" applyFill="1" applyBorder="1" applyProtection="1"/>
    <xf numFmtId="1" fontId="74" fillId="0" borderId="33" xfId="59" applyNumberFormat="1" applyFont="1" applyFill="1" applyBorder="1" applyAlignment="1">
      <alignment horizontal="right"/>
    </xf>
    <xf numFmtId="170" fontId="74" fillId="0" borderId="44" xfId="1" applyNumberFormat="1" applyFont="1" applyFill="1" applyBorder="1" applyAlignment="1">
      <alignment horizontal="right"/>
    </xf>
    <xf numFmtId="49" fontId="69" fillId="0" borderId="28" xfId="213" applyNumberFormat="1" applyFont="1" applyBorder="1" applyAlignment="1">
      <alignment horizontal="right"/>
    </xf>
    <xf numFmtId="49" fontId="69" fillId="0" borderId="28" xfId="213" applyNumberFormat="1" applyFont="1" applyFill="1" applyBorder="1" applyAlignment="1">
      <alignment horizontal="right"/>
    </xf>
    <xf numFmtId="170" fontId="118" fillId="0" borderId="28" xfId="1" applyNumberFormat="1" applyFont="1" applyFill="1" applyBorder="1" applyAlignment="1" applyProtection="1">
      <alignment wrapText="1"/>
    </xf>
    <xf numFmtId="49" fontId="69" fillId="0" borderId="34" xfId="213" applyNumberFormat="1" applyFont="1" applyFill="1" applyBorder="1" applyAlignment="1">
      <alignment horizontal="right"/>
    </xf>
    <xf numFmtId="49" fontId="69" fillId="0" borderId="28" xfId="0" applyNumberFormat="1" applyFont="1" applyBorder="1" applyAlignment="1">
      <alignment horizontal="right"/>
    </xf>
    <xf numFmtId="188" fontId="69" fillId="0" borderId="0" xfId="0" applyFont="1" applyBorder="1" applyAlignment="1">
      <alignment horizontal="right"/>
    </xf>
    <xf numFmtId="1" fontId="74" fillId="0" borderId="27" xfId="59" applyNumberFormat="1" applyFont="1" applyFill="1" applyBorder="1" applyAlignment="1">
      <alignment horizontal="right"/>
    </xf>
    <xf numFmtId="181" fontId="69" fillId="0" borderId="8" xfId="1" applyNumberFormat="1" applyFont="1" applyFill="1" applyBorder="1" applyAlignment="1">
      <alignment horizontal="right"/>
    </xf>
    <xf numFmtId="188" fontId="69" fillId="0" borderId="0" xfId="0" applyFont="1" applyFill="1" applyBorder="1" applyAlignment="1">
      <alignment horizontal="right"/>
    </xf>
    <xf numFmtId="170" fontId="118" fillId="0" borderId="28" xfId="1" applyNumberFormat="1" applyFont="1" applyFill="1" applyBorder="1" applyAlignment="1" applyProtection="1">
      <alignment horizontal="center" wrapText="1"/>
    </xf>
    <xf numFmtId="170" fontId="117" fillId="0" borderId="8" xfId="1" applyNumberFormat="1" applyFont="1" applyFill="1" applyBorder="1"/>
    <xf numFmtId="170" fontId="69" fillId="0" borderId="42" xfId="1" applyNumberFormat="1" applyFont="1" applyFill="1" applyBorder="1"/>
    <xf numFmtId="170" fontId="117" fillId="0" borderId="42" xfId="1" applyNumberFormat="1" applyFont="1" applyFill="1" applyBorder="1"/>
    <xf numFmtId="170" fontId="69" fillId="0" borderId="42" xfId="1" applyNumberFormat="1" applyFont="1" applyFill="1" applyBorder="1" applyProtection="1"/>
    <xf numFmtId="183" fontId="69" fillId="0" borderId="34" xfId="59" applyNumberFormat="1" applyFont="1" applyFill="1" applyBorder="1"/>
    <xf numFmtId="37" fontId="74" fillId="0" borderId="8" xfId="1" applyNumberFormat="1" applyFont="1" applyFill="1" applyBorder="1" applyProtection="1"/>
    <xf numFmtId="188" fontId="69" fillId="0" borderId="29" xfId="0" applyFont="1" applyBorder="1" applyAlignment="1">
      <alignment horizontal="right"/>
    </xf>
    <xf numFmtId="188" fontId="69" fillId="0" borderId="0" xfId="1" applyFont="1" applyFill="1" applyBorder="1" applyAlignment="1">
      <alignment horizontal="right" wrapText="1"/>
    </xf>
    <xf numFmtId="170" fontId="69" fillId="0" borderId="28" xfId="1" applyNumberFormat="1" applyFont="1" applyFill="1" applyBorder="1" applyAlignment="1" applyProtection="1">
      <alignment horizontal="right" wrapText="1"/>
    </xf>
    <xf numFmtId="170" fontId="118" fillId="0" borderId="0" xfId="1" applyNumberFormat="1" applyFont="1" applyFill="1" applyBorder="1" applyAlignment="1" applyProtection="1">
      <alignment horizontal="right"/>
    </xf>
    <xf numFmtId="170" fontId="69" fillId="0" borderId="63" xfId="1" applyNumberFormat="1" applyFont="1" applyFill="1" applyBorder="1"/>
    <xf numFmtId="188" fontId="69" fillId="0" borderId="0" xfId="1" applyFont="1" applyFill="1" applyAlignment="1"/>
    <xf numFmtId="170" fontId="69" fillId="0" borderId="28" xfId="1" applyNumberFormat="1" applyFont="1" applyFill="1" applyBorder="1" applyAlignment="1" applyProtection="1">
      <alignment horizontal="center"/>
    </xf>
    <xf numFmtId="37" fontId="69" fillId="0" borderId="8" xfId="1" applyNumberFormat="1" applyFont="1" applyFill="1" applyBorder="1" applyProtection="1"/>
    <xf numFmtId="170" fontId="69" fillId="56" borderId="0" xfId="1" applyNumberFormat="1" applyFont="1" applyFill="1"/>
    <xf numFmtId="170" fontId="74" fillId="0" borderId="44" xfId="1" applyNumberFormat="1" applyFont="1" applyFill="1" applyBorder="1"/>
    <xf numFmtId="170" fontId="69" fillId="0" borderId="0" xfId="1" quotePrefix="1" applyNumberFormat="1" applyFont="1" applyFill="1" applyAlignment="1">
      <alignment horizontal="right"/>
    </xf>
    <xf numFmtId="0" fontId="69" fillId="0" borderId="28" xfId="0" applyNumberFormat="1" applyFont="1" applyBorder="1"/>
    <xf numFmtId="188" fontId="69" fillId="0" borderId="28" xfId="0" applyFont="1" applyBorder="1"/>
    <xf numFmtId="170" fontId="69" fillId="0" borderId="8" xfId="1" applyNumberFormat="1" applyFont="1" applyBorder="1" applyAlignment="1">
      <alignment horizontal="right"/>
    </xf>
    <xf numFmtId="0" fontId="69" fillId="0" borderId="31" xfId="0" applyNumberFormat="1" applyFont="1" applyFill="1" applyBorder="1" applyAlignment="1">
      <alignment horizontal="right"/>
    </xf>
    <xf numFmtId="0" fontId="69" fillId="0" borderId="31" xfId="0" applyNumberFormat="1" applyFont="1" applyBorder="1"/>
    <xf numFmtId="183" fontId="74" fillId="0" borderId="33" xfId="59" applyNumberFormat="1" applyFont="1" applyFill="1" applyBorder="1"/>
    <xf numFmtId="183" fontId="74" fillId="0" borderId="28" xfId="59" applyNumberFormat="1" applyFont="1" applyFill="1" applyBorder="1"/>
    <xf numFmtId="170" fontId="118" fillId="0" borderId="28" xfId="213" applyFont="1" applyFill="1" applyBorder="1" applyAlignment="1">
      <alignment horizontal="right" wrapText="1"/>
    </xf>
    <xf numFmtId="167" fontId="69" fillId="0" borderId="0" xfId="1" applyNumberFormat="1" applyFont="1" applyBorder="1" applyProtection="1"/>
    <xf numFmtId="170" fontId="74" fillId="0" borderId="42" xfId="1" applyNumberFormat="1" applyFont="1" applyFill="1" applyBorder="1"/>
    <xf numFmtId="170" fontId="69" fillId="0" borderId="66" xfId="1" applyNumberFormat="1" applyFont="1" applyFill="1" applyBorder="1"/>
    <xf numFmtId="170" fontId="152" fillId="0" borderId="28" xfId="213" quotePrefix="1" applyFont="1" applyFill="1" applyBorder="1" applyAlignment="1">
      <alignment horizontal="center" wrapText="1"/>
    </xf>
    <xf numFmtId="170" fontId="69" fillId="0" borderId="28" xfId="213" quotePrefix="1" applyFont="1" applyFill="1" applyBorder="1" applyAlignment="1">
      <alignment horizontal="center" wrapText="1"/>
    </xf>
    <xf numFmtId="37" fontId="118" fillId="0" borderId="28" xfId="1" applyNumberFormat="1" applyFont="1" applyBorder="1" applyAlignment="1">
      <alignment horizontal="right"/>
    </xf>
    <xf numFmtId="167" fontId="69" fillId="0" borderId="0" xfId="1" applyNumberFormat="1" applyFont="1" applyFill="1" applyBorder="1" applyProtection="1"/>
    <xf numFmtId="170" fontId="69" fillId="56" borderId="0" xfId="1" applyNumberFormat="1" applyFont="1" applyFill="1" applyAlignment="1">
      <alignment horizontal="right"/>
    </xf>
    <xf numFmtId="183" fontId="74" fillId="0" borderId="0" xfId="59" applyNumberFormat="1" applyFont="1" applyFill="1" applyBorder="1"/>
    <xf numFmtId="183" fontId="69" fillId="0" borderId="27" xfId="59" applyNumberFormat="1" applyFont="1" applyFill="1" applyBorder="1"/>
    <xf numFmtId="170" fontId="69" fillId="56" borderId="0" xfId="1" quotePrefix="1" applyNumberFormat="1" applyFont="1" applyFill="1"/>
    <xf numFmtId="170" fontId="69" fillId="43" borderId="0" xfId="1" applyNumberFormat="1" applyFont="1" applyFill="1"/>
    <xf numFmtId="188" fontId="69" fillId="0" borderId="32" xfId="213" applyNumberFormat="1" applyFont="1" applyBorder="1" applyAlignment="1">
      <alignment horizontal="right"/>
    </xf>
    <xf numFmtId="170" fontId="69" fillId="0" borderId="42" xfId="213" applyFont="1" applyFill="1" applyBorder="1"/>
    <xf numFmtId="170" fontId="69" fillId="0" borderId="44" xfId="213" applyFont="1" applyFill="1" applyBorder="1"/>
    <xf numFmtId="188" fontId="69" fillId="0" borderId="32" xfId="59" applyNumberFormat="1" applyFont="1" applyFill="1" applyBorder="1" applyAlignment="1">
      <alignment horizontal="right"/>
    </xf>
    <xf numFmtId="188" fontId="69" fillId="0" borderId="32" xfId="213" applyNumberFormat="1" applyFont="1" applyFill="1" applyBorder="1" applyAlignment="1">
      <alignment horizontal="right"/>
    </xf>
    <xf numFmtId="170" fontId="74" fillId="0" borderId="66" xfId="1" applyNumberFormat="1" applyFont="1" applyFill="1" applyBorder="1"/>
    <xf numFmtId="188" fontId="69" fillId="0" borderId="33" xfId="59" applyNumberFormat="1" applyFont="1" applyBorder="1" applyAlignment="1">
      <alignment horizontal="right"/>
    </xf>
    <xf numFmtId="170" fontId="69" fillId="0" borderId="44" xfId="1" applyNumberFormat="1" applyFont="1" applyFill="1" applyBorder="1"/>
    <xf numFmtId="188" fontId="69" fillId="0" borderId="33" xfId="59" applyNumberFormat="1" applyFont="1" applyFill="1" applyBorder="1" applyAlignment="1">
      <alignment horizontal="right"/>
    </xf>
    <xf numFmtId="1" fontId="74" fillId="24" borderId="30" xfId="59" applyNumberFormat="1" applyFont="1" applyFill="1" applyBorder="1" applyAlignment="1">
      <alignment horizontal="right"/>
    </xf>
    <xf numFmtId="170" fontId="69" fillId="0" borderId="59" xfId="1" applyNumberFormat="1" applyFont="1" applyFill="1" applyBorder="1"/>
    <xf numFmtId="37" fontId="69" fillId="0" borderId="35" xfId="1" applyNumberFormat="1" applyFont="1" applyFill="1" applyBorder="1"/>
    <xf numFmtId="170" fontId="136" fillId="0" borderId="70" xfId="0" applyNumberFormat="1" applyFont="1" applyBorder="1"/>
    <xf numFmtId="0" fontId="69" fillId="0" borderId="16" xfId="213" applyNumberFormat="1" applyFont="1" applyFill="1" applyBorder="1" applyAlignment="1">
      <alignment horizontal="right"/>
    </xf>
    <xf numFmtId="0" fontId="69" fillId="0" borderId="24" xfId="213" applyNumberFormat="1" applyFont="1" applyFill="1" applyBorder="1" applyAlignment="1">
      <alignment horizontal="right"/>
    </xf>
    <xf numFmtId="0" fontId="69" fillId="0" borderId="80" xfId="213" applyNumberFormat="1" applyFont="1" applyFill="1" applyBorder="1" applyAlignment="1">
      <alignment horizontal="right"/>
    </xf>
    <xf numFmtId="0" fontId="69" fillId="0" borderId="55" xfId="213" applyNumberFormat="1" applyFont="1" applyFill="1" applyBorder="1" applyAlignment="1">
      <alignment horizontal="right"/>
    </xf>
    <xf numFmtId="0" fontId="69" fillId="0" borderId="97" xfId="213" applyNumberFormat="1" applyFont="1" applyFill="1" applyBorder="1" applyAlignment="1">
      <alignment horizontal="right"/>
    </xf>
    <xf numFmtId="170" fontId="74" fillId="0" borderId="16" xfId="1" applyNumberFormat="1" applyFont="1" applyFill="1" applyBorder="1" applyAlignment="1">
      <alignment horizontal="right"/>
    </xf>
    <xf numFmtId="170" fontId="74" fillId="0" borderId="80" xfId="1" applyNumberFormat="1" applyFont="1" applyFill="1" applyBorder="1"/>
    <xf numFmtId="1" fontId="146" fillId="0" borderId="36" xfId="0" applyNumberFormat="1" applyFont="1" applyFill="1" applyBorder="1" applyAlignment="1">
      <alignment horizontal="right"/>
    </xf>
    <xf numFmtId="49" fontId="69" fillId="0" borderId="97" xfId="213" applyNumberFormat="1" applyFont="1" applyFill="1" applyBorder="1" applyAlignment="1">
      <alignment horizontal="right"/>
    </xf>
    <xf numFmtId="1" fontId="69" fillId="0" borderId="91" xfId="0" applyNumberFormat="1" applyFont="1" applyFill="1" applyBorder="1" applyAlignment="1">
      <alignment horizontal="right"/>
    </xf>
    <xf numFmtId="170" fontId="69" fillId="0" borderId="15" xfId="1" applyNumberFormat="1" applyFont="1" applyFill="1" applyBorder="1" applyAlignment="1">
      <alignment horizontal="center"/>
    </xf>
    <xf numFmtId="1" fontId="69" fillId="0" borderId="37" xfId="0" applyNumberFormat="1" applyFont="1" applyFill="1" applyBorder="1" applyAlignment="1">
      <alignment horizontal="right"/>
    </xf>
    <xf numFmtId="170" fontId="69" fillId="0" borderId="19" xfId="0" applyNumberFormat="1" applyFont="1" applyFill="1" applyBorder="1" applyAlignment="1">
      <alignment horizontal="center"/>
    </xf>
    <xf numFmtId="1" fontId="69" fillId="0" borderId="54" xfId="0" applyNumberFormat="1" applyFont="1" applyFill="1" applyBorder="1" applyAlignment="1">
      <alignment horizontal="right"/>
    </xf>
    <xf numFmtId="188" fontId="69" fillId="0" borderId="0" xfId="0" applyFont="1" applyAlignment="1">
      <alignment horizontal="left" vertical="top"/>
    </xf>
    <xf numFmtId="175" fontId="74" fillId="0" borderId="0" xfId="1" applyNumberFormat="1" applyFont="1" applyFill="1"/>
    <xf numFmtId="165" fontId="74" fillId="0" borderId="44" xfId="59" applyFont="1" applyFill="1" applyBorder="1" applyAlignment="1">
      <alignment horizontal="right"/>
    </xf>
    <xf numFmtId="183" fontId="69" fillId="0" borderId="8" xfId="59" applyNumberFormat="1" applyFont="1" applyFill="1" applyBorder="1" applyAlignment="1">
      <alignment horizontal="right" readingOrder="2"/>
    </xf>
    <xf numFmtId="183" fontId="74" fillId="0" borderId="44" xfId="59" applyNumberFormat="1" applyFont="1" applyFill="1" applyBorder="1" applyAlignment="1">
      <alignment horizontal="right" readingOrder="2"/>
    </xf>
    <xf numFmtId="183" fontId="74" fillId="0" borderId="44" xfId="59" applyNumberFormat="1" applyFont="1" applyFill="1" applyBorder="1" applyAlignment="1">
      <alignment horizontal="right"/>
    </xf>
    <xf numFmtId="183" fontId="74" fillId="0" borderId="8" xfId="59" applyNumberFormat="1" applyFont="1" applyFill="1" applyBorder="1" applyAlignment="1">
      <alignment horizontal="right" readingOrder="2"/>
    </xf>
    <xf numFmtId="183" fontId="74" fillId="0" borderId="8" xfId="59" applyNumberFormat="1" applyFont="1" applyFill="1" applyBorder="1" applyAlignment="1">
      <alignment horizontal="right"/>
    </xf>
    <xf numFmtId="179" fontId="69" fillId="0" borderId="0" xfId="59" applyNumberFormat="1" applyFont="1" applyFill="1" applyBorder="1" applyAlignment="1">
      <alignment horizontal="right"/>
    </xf>
    <xf numFmtId="179" fontId="69" fillId="0" borderId="0" xfId="59" applyNumberFormat="1" applyFont="1" applyFill="1" applyAlignment="1">
      <alignment horizontal="right" readingOrder="1"/>
    </xf>
    <xf numFmtId="188" fontId="76" fillId="0" borderId="0" xfId="0" applyFont="1" applyAlignment="1">
      <alignment horizontal="right"/>
    </xf>
    <xf numFmtId="184" fontId="76" fillId="0" borderId="0" xfId="59" applyNumberFormat="1" applyFont="1" applyAlignment="1">
      <alignment horizontal="right"/>
    </xf>
    <xf numFmtId="170" fontId="76" fillId="0" borderId="0" xfId="1" applyNumberFormat="1" applyFont="1" applyAlignment="1">
      <alignment horizontal="right"/>
    </xf>
    <xf numFmtId="170" fontId="76" fillId="0" borderId="0" xfId="1" applyNumberFormat="1" applyFont="1" applyFill="1" applyAlignment="1">
      <alignment horizontal="right"/>
    </xf>
    <xf numFmtId="1" fontId="74" fillId="0" borderId="29" xfId="59" applyNumberFormat="1" applyFont="1" applyFill="1" applyBorder="1" applyAlignment="1">
      <alignment horizontal="right"/>
    </xf>
    <xf numFmtId="165" fontId="69" fillId="0" borderId="8" xfId="59" applyFont="1" applyFill="1" applyBorder="1" applyProtection="1"/>
    <xf numFmtId="174" fontId="69" fillId="0" borderId="8" xfId="1" applyNumberFormat="1" applyFont="1" applyFill="1" applyBorder="1"/>
    <xf numFmtId="170" fontId="74" fillId="24" borderId="112" xfId="1" applyNumberFormat="1" applyFont="1" applyFill="1" applyBorder="1" applyAlignment="1">
      <alignment horizontal="right"/>
    </xf>
    <xf numFmtId="170" fontId="69" fillId="0" borderId="107" xfId="1" applyNumberFormat="1" applyFont="1" applyFill="1" applyBorder="1"/>
    <xf numFmtId="37" fontId="74" fillId="0" borderId="114" xfId="1" applyNumberFormat="1" applyFont="1" applyFill="1" applyBorder="1" applyProtection="1"/>
    <xf numFmtId="174" fontId="69" fillId="0" borderId="67" xfId="0" applyNumberFormat="1" applyFont="1" applyFill="1" applyBorder="1" applyAlignment="1">
      <alignment horizontal="right"/>
    </xf>
    <xf numFmtId="170" fontId="74" fillId="0" borderId="56" xfId="1" applyNumberFormat="1" applyFont="1" applyFill="1" applyBorder="1" applyAlignment="1">
      <alignment horizontal="right"/>
    </xf>
    <xf numFmtId="170" fontId="74" fillId="0" borderId="53" xfId="1" applyNumberFormat="1" applyFont="1" applyFill="1" applyBorder="1"/>
    <xf numFmtId="165" fontId="69" fillId="0" borderId="42" xfId="59" applyFont="1" applyFill="1" applyBorder="1" applyAlignment="1">
      <alignment horizontal="right"/>
    </xf>
    <xf numFmtId="165" fontId="117" fillId="0" borderId="8" xfId="59" applyFont="1" applyFill="1" applyBorder="1"/>
    <xf numFmtId="188" fontId="74" fillId="0" borderId="29" xfId="59" applyNumberFormat="1" applyFont="1" applyFill="1" applyBorder="1" applyAlignment="1">
      <alignment horizontal="right"/>
    </xf>
    <xf numFmtId="165" fontId="69" fillId="0" borderId="42" xfId="59" applyFont="1" applyFill="1" applyBorder="1"/>
    <xf numFmtId="165" fontId="69" fillId="0" borderId="42" xfId="59" applyFont="1" applyFill="1" applyBorder="1" applyProtection="1"/>
    <xf numFmtId="165" fontId="74" fillId="0" borderId="30" xfId="59" applyFont="1" applyFill="1" applyBorder="1" applyProtection="1"/>
    <xf numFmtId="188" fontId="69" fillId="0" borderId="0" xfId="1" applyFont="1" applyFill="1" applyAlignment="1">
      <alignment vertical="center" wrapText="1"/>
    </xf>
    <xf numFmtId="188" fontId="69" fillId="0" borderId="0" xfId="0" applyFont="1" applyFill="1" applyAlignment="1">
      <alignment horizontal="right" vertical="center"/>
    </xf>
    <xf numFmtId="170" fontId="69" fillId="0" borderId="0" xfId="1" applyNumberFormat="1" applyFont="1" applyFill="1" applyBorder="1" applyAlignment="1">
      <alignment horizontal="right" vertical="center"/>
    </xf>
    <xf numFmtId="175" fontId="69" fillId="0" borderId="0" xfId="209" applyNumberFormat="1" applyFont="1" applyFill="1" applyAlignment="1">
      <alignment vertical="center"/>
    </xf>
    <xf numFmtId="170" fontId="69" fillId="0" borderId="0" xfId="1" applyNumberFormat="1" applyFont="1" applyFill="1" applyAlignment="1">
      <alignment vertical="center"/>
    </xf>
    <xf numFmtId="170" fontId="76" fillId="0" borderId="0" xfId="1" applyNumberFormat="1" applyFont="1" applyFill="1" applyBorder="1" applyAlignment="1">
      <alignment vertical="center"/>
    </xf>
    <xf numFmtId="166" fontId="69" fillId="0" borderId="0" xfId="1" applyNumberFormat="1" applyFont="1" applyFill="1" applyBorder="1" applyAlignment="1" applyProtection="1">
      <alignment vertical="center"/>
    </xf>
    <xf numFmtId="39" fontId="69" fillId="0" borderId="0" xfId="1" applyNumberFormat="1" applyFont="1" applyFill="1" applyBorder="1" applyAlignment="1" applyProtection="1">
      <alignment vertical="center"/>
    </xf>
    <xf numFmtId="188" fontId="69" fillId="0" borderId="0" xfId="1" applyFont="1" applyFill="1" applyBorder="1" applyAlignment="1">
      <alignment vertical="center" wrapText="1"/>
    </xf>
    <xf numFmtId="170" fontId="69" fillId="0" borderId="0" xfId="1" applyNumberFormat="1" applyFont="1" applyAlignment="1">
      <alignment vertical="center"/>
    </xf>
    <xf numFmtId="174" fontId="69" fillId="0" borderId="54" xfId="0" applyNumberFormat="1" applyFont="1" applyBorder="1"/>
    <xf numFmtId="174" fontId="69" fillId="0" borderId="15" xfId="0" applyNumberFormat="1" applyFont="1" applyBorder="1"/>
    <xf numFmtId="0" fontId="69" fillId="0" borderId="35" xfId="0" applyNumberFormat="1" applyFont="1" applyBorder="1" applyAlignment="1">
      <alignment horizontal="right"/>
    </xf>
    <xf numFmtId="174" fontId="69" fillId="0" borderId="55" xfId="0" applyNumberFormat="1" applyFont="1" applyBorder="1"/>
    <xf numFmtId="174" fontId="69" fillId="0" borderId="25" xfId="0" applyNumberFormat="1" applyFont="1" applyBorder="1"/>
    <xf numFmtId="170" fontId="76" fillId="0" borderId="51" xfId="0" applyNumberFormat="1" applyFont="1" applyFill="1" applyBorder="1" applyAlignment="1">
      <alignment horizontal="center"/>
    </xf>
    <xf numFmtId="174" fontId="69" fillId="0" borderId="31" xfId="0" applyNumberFormat="1" applyFont="1" applyFill="1" applyBorder="1" applyAlignment="1">
      <alignment horizontal="right"/>
    </xf>
    <xf numFmtId="170" fontId="149" fillId="0" borderId="54" xfId="0" applyNumberFormat="1" applyFont="1" applyFill="1" applyBorder="1" applyAlignment="1">
      <alignment horizontal="right"/>
    </xf>
    <xf numFmtId="170" fontId="69" fillId="0" borderId="0" xfId="0" applyNumberFormat="1" applyFont="1" applyBorder="1" applyAlignment="1">
      <alignment vertical="center"/>
    </xf>
    <xf numFmtId="49" fontId="69" fillId="0" borderId="16" xfId="0" applyNumberFormat="1" applyFont="1" applyBorder="1"/>
    <xf numFmtId="0" fontId="69" fillId="0" borderId="16" xfId="0" applyNumberFormat="1" applyFont="1" applyFill="1" applyBorder="1" applyAlignment="1">
      <alignment horizontal="center"/>
    </xf>
    <xf numFmtId="0" fontId="69" fillId="0" borderId="16" xfId="0" applyNumberFormat="1" applyFont="1" applyBorder="1" applyAlignment="1">
      <alignment horizontal="center"/>
    </xf>
    <xf numFmtId="170" fontId="69" fillId="0" borderId="0" xfId="0" quotePrefix="1" applyNumberFormat="1" applyFont="1" applyBorder="1"/>
    <xf numFmtId="170" fontId="141" fillId="0" borderId="15" xfId="0" applyNumberFormat="1" applyFont="1" applyBorder="1" applyAlignment="1">
      <alignment horizontal="center"/>
    </xf>
    <xf numFmtId="170" fontId="141" fillId="0" borderId="15" xfId="0" applyNumberFormat="1" applyFont="1" applyFill="1" applyBorder="1" applyAlignment="1">
      <alignment horizontal="center"/>
    </xf>
    <xf numFmtId="44" fontId="69" fillId="0" borderId="15" xfId="255" applyFont="1" applyFill="1" applyBorder="1"/>
    <xf numFmtId="188" fontId="69" fillId="0" borderId="16" xfId="0" applyFont="1" applyFill="1" applyBorder="1" applyAlignment="1">
      <alignment horizontal="left"/>
    </xf>
    <xf numFmtId="170" fontId="69" fillId="0" borderId="16" xfId="0" applyNumberFormat="1" applyFont="1" applyFill="1" applyBorder="1" applyAlignment="1">
      <alignment horizontal="left"/>
    </xf>
    <xf numFmtId="17" fontId="69" fillId="0" borderId="84" xfId="0" applyNumberFormat="1" applyFont="1" applyBorder="1" applyAlignment="1">
      <alignment horizontal="center"/>
    </xf>
    <xf numFmtId="170" fontId="153" fillId="0" borderId="8" xfId="256" quotePrefix="1" applyNumberFormat="1" applyFont="1" applyFill="1" applyBorder="1" applyAlignment="1" applyProtection="1">
      <alignment horizontal="center"/>
    </xf>
    <xf numFmtId="179" fontId="69" fillId="0" borderId="28" xfId="59" applyNumberFormat="1" applyFont="1" applyFill="1" applyBorder="1" applyAlignment="1">
      <alignment horizontal="right"/>
    </xf>
    <xf numFmtId="0" fontId="116" fillId="0" borderId="0" xfId="0" applyNumberFormat="1" applyFont="1" applyAlignment="1">
      <alignment horizontal="left"/>
    </xf>
    <xf numFmtId="170" fontId="74" fillId="44" borderId="114" xfId="59" applyNumberFormat="1" applyFont="1" applyFill="1" applyBorder="1" applyProtection="1"/>
    <xf numFmtId="170" fontId="69" fillId="0" borderId="86" xfId="1" applyNumberFormat="1" applyFont="1" applyFill="1" applyBorder="1" applyProtection="1"/>
    <xf numFmtId="170" fontId="69" fillId="0" borderId="28" xfId="1" applyNumberFormat="1" applyFont="1" applyFill="1" applyBorder="1" applyAlignment="1">
      <alignment horizontal="left"/>
    </xf>
    <xf numFmtId="165" fontId="69" fillId="0" borderId="34" xfId="59" applyFont="1" applyFill="1" applyBorder="1"/>
    <xf numFmtId="183" fontId="74" fillId="0" borderId="44" xfId="59" applyNumberFormat="1" applyFont="1" applyFill="1" applyBorder="1"/>
    <xf numFmtId="183" fontId="69" fillId="0" borderId="8" xfId="59" applyNumberFormat="1" applyFont="1" applyFill="1" applyBorder="1" applyProtection="1"/>
    <xf numFmtId="183" fontId="69" fillId="0" borderId="34" xfId="59" applyNumberFormat="1" applyFont="1" applyFill="1" applyBorder="1" applyProtection="1"/>
    <xf numFmtId="183" fontId="69" fillId="0" borderId="42" xfId="59" applyNumberFormat="1" applyFont="1" applyFill="1" applyBorder="1"/>
    <xf numFmtId="183" fontId="69" fillId="0" borderId="42" xfId="59" applyNumberFormat="1" applyFont="1" applyFill="1" applyBorder="1" applyProtection="1"/>
    <xf numFmtId="170" fontId="74" fillId="0" borderId="16" xfId="0" applyNumberFormat="1" applyFont="1" applyBorder="1" applyAlignment="1">
      <alignment horizontal="right"/>
    </xf>
    <xf numFmtId="170" fontId="74" fillId="0" borderId="24" xfId="0" applyNumberFormat="1" applyFont="1" applyBorder="1" applyAlignment="1">
      <alignment horizontal="right"/>
    </xf>
    <xf numFmtId="17" fontId="69" fillId="0" borderId="103" xfId="0" applyNumberFormat="1" applyFont="1" applyBorder="1" applyAlignment="1">
      <alignment horizontal="center"/>
    </xf>
    <xf numFmtId="170" fontId="118" fillId="0" borderId="31" xfId="1" applyNumberFormat="1" applyFont="1" applyFill="1" applyBorder="1" applyAlignment="1" applyProtection="1">
      <alignment horizontal="right"/>
    </xf>
    <xf numFmtId="0" fontId="147" fillId="0" borderId="0" xfId="0" applyNumberFormat="1" applyFont="1" applyAlignment="1">
      <alignment horizontal="right"/>
    </xf>
    <xf numFmtId="170" fontId="74" fillId="0" borderId="103" xfId="0" applyNumberFormat="1" applyFont="1" applyBorder="1" applyAlignment="1">
      <alignment horizontal="center"/>
    </xf>
    <xf numFmtId="170" fontId="74" fillId="0" borderId="118" xfId="0" applyNumberFormat="1" applyFont="1" applyBorder="1" applyAlignment="1">
      <alignment horizontal="center"/>
    </xf>
    <xf numFmtId="183" fontId="69" fillId="0" borderId="80" xfId="59" applyNumberFormat="1" applyFont="1" applyBorder="1" applyAlignment="1">
      <alignment horizontal="center"/>
    </xf>
    <xf numFmtId="183" fontId="69" fillId="0" borderId="81" xfId="59" applyNumberFormat="1" applyFont="1" applyBorder="1" applyAlignment="1">
      <alignment horizontal="center"/>
    </xf>
    <xf numFmtId="170" fontId="69" fillId="0" borderId="8" xfId="1" applyNumberFormat="1" applyFont="1" applyFill="1" applyBorder="1" applyAlignment="1" applyProtection="1">
      <alignment vertical="center"/>
    </xf>
    <xf numFmtId="170" fontId="69" fillId="0" borderId="8" xfId="1" applyNumberFormat="1" applyFont="1" applyFill="1" applyBorder="1" applyAlignment="1">
      <alignment vertical="center"/>
    </xf>
    <xf numFmtId="165" fontId="69" fillId="0" borderId="8" xfId="59" applyFont="1" applyFill="1" applyBorder="1" applyAlignment="1" applyProtection="1">
      <alignment vertical="center"/>
    </xf>
    <xf numFmtId="170" fontId="69" fillId="0" borderId="109" xfId="1" applyNumberFormat="1" applyFont="1" applyFill="1" applyBorder="1" applyProtection="1"/>
    <xf numFmtId="170" fontId="69" fillId="0" borderId="117" xfId="213" applyFont="1" applyFill="1" applyBorder="1" applyAlignment="1">
      <alignment horizontal="right"/>
    </xf>
    <xf numFmtId="37" fontId="74" fillId="24" borderId="113" xfId="1" applyNumberFormat="1" applyFont="1" applyFill="1" applyBorder="1" applyAlignment="1" applyProtection="1">
      <alignment horizontal="right"/>
    </xf>
    <xf numFmtId="170" fontId="76" fillId="0" borderId="28" xfId="1" applyNumberFormat="1" applyFont="1" applyBorder="1" applyAlignment="1">
      <alignment horizontal="right"/>
    </xf>
    <xf numFmtId="170" fontId="69" fillId="0" borderId="109" xfId="1" applyNumberFormat="1" applyFont="1" applyFill="1" applyBorder="1"/>
    <xf numFmtId="170" fontId="69" fillId="0" borderId="28" xfId="213" applyFont="1" applyBorder="1" applyAlignment="1">
      <alignment horizontal="right"/>
    </xf>
    <xf numFmtId="185" fontId="69" fillId="0" borderId="0" xfId="255" applyNumberFormat="1" applyFont="1" applyFill="1" applyBorder="1"/>
    <xf numFmtId="170" fontId="69" fillId="0" borderId="18" xfId="0" applyNumberFormat="1" applyFont="1" applyBorder="1" applyAlignment="1">
      <alignment horizontal="center"/>
    </xf>
    <xf numFmtId="170" fontId="69" fillId="0" borderId="0" xfId="0" applyNumberFormat="1" applyFont="1" applyBorder="1" applyAlignment="1">
      <alignment horizontal="center" vertical="center"/>
    </xf>
    <xf numFmtId="170" fontId="69" fillId="0" borderId="0" xfId="0" applyNumberFormat="1" applyFont="1" applyFill="1" applyBorder="1" applyAlignment="1">
      <alignment vertical="center"/>
    </xf>
    <xf numFmtId="170" fontId="69" fillId="0" borderId="15" xfId="0" applyNumberFormat="1" applyFont="1" applyFill="1" applyBorder="1" applyAlignment="1">
      <alignment vertical="center"/>
    </xf>
    <xf numFmtId="49" fontId="69" fillId="0" borderId="16" xfId="0" applyNumberFormat="1" applyFont="1" applyFill="1" applyBorder="1" applyAlignment="1">
      <alignment horizontal="center"/>
    </xf>
    <xf numFmtId="183" fontId="69" fillId="0" borderId="17" xfId="59" applyNumberFormat="1" applyFont="1" applyBorder="1"/>
    <xf numFmtId="170" fontId="69" fillId="0" borderId="51" xfId="0" applyNumberFormat="1" applyFont="1" applyFill="1" applyBorder="1" applyAlignment="1">
      <alignment horizontal="center" vertical="center" wrapText="1"/>
    </xf>
    <xf numFmtId="170" fontId="69" fillId="0" borderId="51" xfId="0" applyNumberFormat="1" applyFont="1" applyFill="1" applyBorder="1" applyAlignment="1">
      <alignment horizontal="center" vertical="center"/>
    </xf>
    <xf numFmtId="170" fontId="69" fillId="0" borderId="51" xfId="0" quotePrefix="1" applyNumberFormat="1" applyFont="1" applyFill="1" applyBorder="1" applyAlignment="1">
      <alignment horizontal="center"/>
    </xf>
    <xf numFmtId="170" fontId="69" fillId="0" borderId="24" xfId="0" applyNumberFormat="1" applyFont="1" applyFill="1" applyBorder="1" applyAlignment="1">
      <alignment horizontal="center" wrapText="1"/>
    </xf>
    <xf numFmtId="170" fontId="69" fillId="0" borderId="24" xfId="0" applyNumberFormat="1" applyFont="1" applyFill="1" applyBorder="1" applyAlignment="1">
      <alignment wrapText="1"/>
    </xf>
    <xf numFmtId="170" fontId="69" fillId="0" borderId="51" xfId="0" applyNumberFormat="1" applyFont="1" applyFill="1" applyBorder="1" applyAlignment="1">
      <alignment horizontal="center"/>
    </xf>
    <xf numFmtId="170" fontId="69" fillId="0" borderId="51" xfId="0" applyNumberFormat="1" applyFont="1" applyFill="1" applyBorder="1"/>
    <xf numFmtId="49" fontId="69" fillId="0" borderId="16" xfId="0" applyNumberFormat="1" applyFont="1" applyFill="1" applyBorder="1" applyAlignment="1">
      <alignment horizontal="center" vertical="center"/>
    </xf>
    <xf numFmtId="170" fontId="69" fillId="0" borderId="51" xfId="0" applyNumberFormat="1" applyFont="1" applyBorder="1" applyAlignment="1">
      <alignment horizontal="center" vertical="center" wrapText="1"/>
    </xf>
    <xf numFmtId="49" fontId="69" fillId="0" borderId="16" xfId="0" applyNumberFormat="1" applyFont="1" applyBorder="1" applyAlignment="1">
      <alignment horizontal="center" vertical="center"/>
    </xf>
    <xf numFmtId="183" fontId="69" fillId="0" borderId="0" xfId="59" applyNumberFormat="1" applyFont="1" applyFill="1" applyBorder="1" applyAlignment="1">
      <alignment vertical="center"/>
    </xf>
    <xf numFmtId="170" fontId="74" fillId="0" borderId="30" xfId="59" applyNumberFormat="1" applyFont="1" applyFill="1" applyBorder="1" applyProtection="1"/>
    <xf numFmtId="176" fontId="69" fillId="0" borderId="28" xfId="59" applyNumberFormat="1" applyFont="1" applyFill="1" applyBorder="1"/>
    <xf numFmtId="165" fontId="69" fillId="0" borderId="109" xfId="59" applyFont="1" applyFill="1" applyBorder="1"/>
    <xf numFmtId="1" fontId="74" fillId="24" borderId="113" xfId="1" applyNumberFormat="1" applyFont="1" applyFill="1" applyBorder="1" applyAlignment="1">
      <alignment horizontal="right"/>
    </xf>
    <xf numFmtId="170" fontId="76" fillId="0" borderId="28" xfId="213" applyFont="1" applyBorder="1" applyAlignment="1">
      <alignment horizontal="right"/>
    </xf>
    <xf numFmtId="37" fontId="74" fillId="0" borderId="113" xfId="1" applyNumberFormat="1" applyFont="1" applyFill="1" applyBorder="1" applyAlignment="1" applyProtection="1">
      <alignment horizontal="right"/>
    </xf>
    <xf numFmtId="170" fontId="76" fillId="24" borderId="28" xfId="1" applyNumberFormat="1" applyFont="1" applyFill="1" applyBorder="1" applyAlignment="1">
      <alignment horizontal="right"/>
    </xf>
    <xf numFmtId="170" fontId="76" fillId="0" borderId="28" xfId="213" applyFont="1" applyFill="1" applyBorder="1" applyAlignment="1">
      <alignment horizontal="right"/>
    </xf>
    <xf numFmtId="49" fontId="69" fillId="0" borderId="8" xfId="213" applyNumberFormat="1" applyFont="1" applyFill="1" applyBorder="1" applyAlignment="1">
      <alignment horizontal="right"/>
    </xf>
    <xf numFmtId="188" fontId="167" fillId="0" borderId="0" xfId="0" applyFont="1" applyBorder="1" applyAlignment="1">
      <alignment horizontal="center"/>
    </xf>
    <xf numFmtId="170" fontId="124" fillId="0" borderId="37" xfId="207" applyNumberFormat="1" applyFont="1" applyFill="1" applyBorder="1" applyAlignment="1">
      <alignment horizontal="left"/>
    </xf>
    <xf numFmtId="170" fontId="124" fillId="0" borderId="54" xfId="0" applyNumberFormat="1" applyFont="1" applyFill="1" applyBorder="1" applyAlignment="1">
      <alignment horizontal="left"/>
    </xf>
    <xf numFmtId="170" fontId="124" fillId="0" borderId="66" xfId="0" applyNumberFormat="1" applyFont="1" applyFill="1" applyBorder="1" applyAlignment="1">
      <alignment horizontal="left"/>
    </xf>
    <xf numFmtId="170" fontId="124" fillId="0" borderId="75" xfId="0" applyNumberFormat="1" applyFont="1" applyFill="1" applyBorder="1" applyAlignment="1">
      <alignment horizontal="left"/>
    </xf>
    <xf numFmtId="1" fontId="124" fillId="0" borderId="31" xfId="0" applyNumberFormat="1" applyFont="1" applyFill="1" applyBorder="1" applyAlignment="1">
      <alignment horizontal="left"/>
    </xf>
    <xf numFmtId="170" fontId="124" fillId="0" borderId="8" xfId="0" applyNumberFormat="1" applyFont="1" applyFill="1" applyBorder="1" applyAlignment="1">
      <alignment horizontal="left"/>
    </xf>
    <xf numFmtId="1" fontId="124" fillId="0" borderId="67" xfId="0" applyNumberFormat="1" applyFont="1" applyFill="1" applyBorder="1" applyAlignment="1">
      <alignment horizontal="left"/>
    </xf>
    <xf numFmtId="170" fontId="124" fillId="0" borderId="35" xfId="0" applyNumberFormat="1" applyFont="1" applyFill="1" applyBorder="1" applyAlignment="1">
      <alignment horizontal="left"/>
    </xf>
    <xf numFmtId="170" fontId="124" fillId="0" borderId="99" xfId="0" applyNumberFormat="1" applyFont="1" applyFill="1" applyBorder="1" applyAlignment="1">
      <alignment horizontal="left"/>
    </xf>
    <xf numFmtId="170" fontId="124" fillId="0" borderId="100" xfId="0" applyNumberFormat="1" applyFont="1" applyFill="1" applyBorder="1" applyAlignment="1">
      <alignment horizontal="left"/>
    </xf>
    <xf numFmtId="165" fontId="69" fillId="0" borderId="8" xfId="59" applyFont="1" applyFill="1" applyBorder="1" applyAlignment="1">
      <alignment vertical="center"/>
    </xf>
    <xf numFmtId="170" fontId="74" fillId="0" borderId="54" xfId="1" applyNumberFormat="1" applyFont="1" applyFill="1" applyBorder="1" applyAlignment="1">
      <alignment horizontal="right"/>
    </xf>
    <xf numFmtId="184" fontId="69" fillId="60" borderId="54" xfId="59" applyNumberFormat="1" applyFont="1" applyFill="1" applyBorder="1" applyAlignment="1">
      <alignment horizontal="left"/>
    </xf>
    <xf numFmtId="184" fontId="69" fillId="60" borderId="0" xfId="59" applyNumberFormat="1" applyFont="1" applyFill="1" applyAlignment="1">
      <alignment horizontal="left"/>
    </xf>
    <xf numFmtId="184" fontId="69" fillId="61" borderId="80" xfId="59" applyNumberFormat="1" applyFont="1" applyFill="1" applyBorder="1" applyAlignment="1">
      <alignment horizontal="left"/>
    </xf>
    <xf numFmtId="184" fontId="69" fillId="61" borderId="0" xfId="59" applyNumberFormat="1" applyFont="1" applyFill="1" applyAlignment="1">
      <alignment horizontal="left"/>
    </xf>
    <xf numFmtId="43" fontId="69" fillId="61" borderId="0" xfId="59" applyNumberFormat="1" applyFont="1" applyFill="1" applyAlignment="1">
      <alignment horizontal="left"/>
    </xf>
    <xf numFmtId="170" fontId="74" fillId="0" borderId="0" xfId="1" applyNumberFormat="1" applyFont="1" applyFill="1" applyBorder="1" applyAlignment="1">
      <alignment horizontal="center" vertical="center" wrapText="1"/>
    </xf>
    <xf numFmtId="188" fontId="146" fillId="0" borderId="99" xfId="0" applyNumberFormat="1" applyFont="1" applyFill="1" applyBorder="1" applyAlignment="1">
      <alignment horizontal="right"/>
    </xf>
    <xf numFmtId="170" fontId="69" fillId="0" borderId="100" xfId="207" applyNumberFormat="1" applyFont="1" applyFill="1" applyBorder="1" applyAlignment="1">
      <alignment horizontal="right"/>
    </xf>
    <xf numFmtId="1" fontId="69" fillId="0" borderId="76" xfId="0" applyNumberFormat="1" applyFont="1" applyFill="1" applyBorder="1" applyAlignment="1">
      <alignment horizontal="right"/>
    </xf>
    <xf numFmtId="1" fontId="69" fillId="0" borderId="77" xfId="0" applyNumberFormat="1" applyFont="1" applyFill="1" applyBorder="1" applyAlignment="1">
      <alignment horizontal="right"/>
    </xf>
    <xf numFmtId="174" fontId="69" fillId="0" borderId="0" xfId="0" applyNumberFormat="1" applyFont="1" applyFill="1" applyBorder="1" applyAlignment="1">
      <alignment horizontal="right"/>
    </xf>
    <xf numFmtId="174" fontId="69" fillId="0" borderId="18" xfId="0" applyNumberFormat="1" applyFont="1" applyFill="1" applyBorder="1" applyAlignment="1">
      <alignment horizontal="right"/>
    </xf>
    <xf numFmtId="174" fontId="69" fillId="0" borderId="54" xfId="0" applyNumberFormat="1" applyFont="1" applyFill="1" applyBorder="1" applyAlignment="1">
      <alignment horizontal="right"/>
    </xf>
    <xf numFmtId="174" fontId="69" fillId="0" borderId="55" xfId="0" applyNumberFormat="1" applyFont="1" applyFill="1" applyBorder="1" applyAlignment="1">
      <alignment horizontal="right"/>
    </xf>
    <xf numFmtId="174" fontId="69" fillId="0" borderId="80" xfId="0" applyNumberFormat="1" applyFont="1" applyFill="1" applyBorder="1" applyAlignment="1">
      <alignment horizontal="right"/>
    </xf>
    <xf numFmtId="174" fontId="69" fillId="0" borderId="80" xfId="1" applyNumberFormat="1" applyFont="1" applyFill="1" applyBorder="1" applyAlignment="1">
      <alignment horizontal="right"/>
    </xf>
    <xf numFmtId="174" fontId="69" fillId="0" borderId="55" xfId="1" applyNumberFormat="1" applyFont="1" applyFill="1" applyBorder="1" applyAlignment="1">
      <alignment horizontal="right"/>
    </xf>
    <xf numFmtId="188" fontId="170" fillId="0" borderId="0" xfId="0" applyFont="1" applyAlignment="1">
      <alignment horizontal="center"/>
    </xf>
    <xf numFmtId="4" fontId="170" fillId="0" borderId="0" xfId="0" applyNumberFormat="1" applyFont="1" applyAlignment="1">
      <alignment horizontal="center"/>
    </xf>
    <xf numFmtId="170" fontId="170" fillId="0" borderId="0" xfId="0" applyNumberFormat="1" applyFont="1" applyAlignment="1">
      <alignment horizontal="center"/>
    </xf>
    <xf numFmtId="170" fontId="69" fillId="0" borderId="101" xfId="1" applyNumberFormat="1" applyFont="1" applyFill="1" applyBorder="1" applyProtection="1"/>
    <xf numFmtId="170" fontId="76" fillId="0" borderId="0" xfId="213" applyFont="1" applyFill="1" applyAlignment="1">
      <alignment horizontal="center"/>
    </xf>
    <xf numFmtId="175" fontId="69" fillId="0" borderId="0" xfId="209" applyNumberFormat="1" applyFont="1" applyFill="1" applyBorder="1"/>
    <xf numFmtId="174" fontId="69" fillId="0" borderId="99" xfId="1" applyNumberFormat="1" applyFont="1" applyFill="1" applyBorder="1" applyProtection="1"/>
    <xf numFmtId="174" fontId="69" fillId="0" borderId="61" xfId="1" applyNumberFormat="1" applyFont="1" applyFill="1" applyBorder="1" applyProtection="1"/>
    <xf numFmtId="174" fontId="69" fillId="0" borderId="53" xfId="1" applyNumberFormat="1" applyFont="1" applyFill="1" applyBorder="1" applyProtection="1"/>
    <xf numFmtId="170" fontId="74" fillId="0" borderId="51" xfId="1" applyNumberFormat="1" applyFont="1" applyBorder="1" applyAlignment="1">
      <alignment horizontal="right"/>
    </xf>
    <xf numFmtId="165" fontId="118" fillId="0" borderId="28" xfId="59" applyFont="1" applyFill="1" applyBorder="1" applyAlignment="1">
      <alignment horizontal="right"/>
    </xf>
    <xf numFmtId="170" fontId="74" fillId="44" borderId="40" xfId="1" applyNumberFormat="1" applyFont="1" applyFill="1" applyBorder="1" applyProtection="1"/>
    <xf numFmtId="170" fontId="69" fillId="0" borderId="8" xfId="213" applyNumberFormat="1" applyFont="1" applyBorder="1"/>
    <xf numFmtId="170" fontId="69" fillId="0" borderId="8" xfId="213" applyNumberFormat="1" applyFont="1" applyFill="1" applyBorder="1"/>
    <xf numFmtId="176" fontId="74" fillId="0" borderId="28" xfId="59" applyNumberFormat="1" applyFont="1" applyBorder="1"/>
    <xf numFmtId="170" fontId="69" fillId="0" borderId="107" xfId="1" applyNumberFormat="1" applyFont="1" applyFill="1" applyBorder="1" applyAlignment="1"/>
    <xf numFmtId="183" fontId="69" fillId="0" borderId="8" xfId="1" applyNumberFormat="1" applyFont="1" applyFill="1" applyBorder="1" applyProtection="1"/>
    <xf numFmtId="170" fontId="69" fillId="0" borderId="28" xfId="59" applyNumberFormat="1" applyFont="1" applyBorder="1"/>
    <xf numFmtId="170" fontId="69" fillId="0" borderId="0" xfId="59" applyNumberFormat="1" applyFont="1" applyFill="1" applyBorder="1"/>
    <xf numFmtId="170" fontId="69" fillId="0" borderId="28" xfId="59" applyNumberFormat="1" applyFont="1" applyFill="1" applyBorder="1"/>
    <xf numFmtId="183" fontId="74" fillId="44" borderId="114" xfId="59" applyNumberFormat="1" applyFont="1" applyFill="1" applyBorder="1" applyProtection="1"/>
    <xf numFmtId="170" fontId="76" fillId="0" borderId="101" xfId="1" applyNumberFormat="1" applyFont="1" applyBorder="1" applyAlignment="1">
      <alignment horizontal="right"/>
    </xf>
    <xf numFmtId="170" fontId="69" fillId="0" borderId="117" xfId="213" applyFont="1" applyBorder="1" applyAlignment="1">
      <alignment horizontal="right"/>
    </xf>
    <xf numFmtId="170" fontId="69" fillId="44" borderId="6" xfId="1" applyNumberFormat="1" applyFont="1" applyFill="1" applyBorder="1" applyProtection="1"/>
    <xf numFmtId="170" fontId="69" fillId="44" borderId="20" xfId="1" applyNumberFormat="1" applyFont="1" applyFill="1" applyBorder="1" applyProtection="1"/>
    <xf numFmtId="170" fontId="69" fillId="44" borderId="6" xfId="59" applyNumberFormat="1" applyFont="1" applyFill="1" applyBorder="1"/>
    <xf numFmtId="170" fontId="69" fillId="44" borderId="20" xfId="59" applyNumberFormat="1" applyFont="1" applyFill="1" applyBorder="1"/>
    <xf numFmtId="170" fontId="69" fillId="44" borderId="40" xfId="1" applyNumberFormat="1" applyFont="1" applyFill="1" applyBorder="1" applyProtection="1"/>
    <xf numFmtId="170" fontId="69" fillId="0" borderId="109" xfId="1" applyNumberFormat="1" applyFont="1" applyBorder="1" applyProtection="1"/>
    <xf numFmtId="174" fontId="74" fillId="44" borderId="40" xfId="1" applyNumberFormat="1" applyFont="1" applyFill="1" applyBorder="1" applyProtection="1"/>
    <xf numFmtId="170" fontId="69" fillId="0" borderId="0" xfId="0" applyNumberFormat="1" applyFont="1" applyFill="1" applyBorder="1" applyAlignment="1">
      <alignment horizontal="right" readingOrder="2"/>
    </xf>
    <xf numFmtId="4" fontId="69" fillId="0" borderId="0" xfId="0" applyNumberFormat="1" applyFont="1" applyBorder="1"/>
    <xf numFmtId="170" fontId="69" fillId="0" borderId="119" xfId="5" applyNumberFormat="1" applyFont="1" applyBorder="1" applyAlignment="1">
      <alignment horizontal="right"/>
    </xf>
    <xf numFmtId="41" fontId="69" fillId="0" borderId="119" xfId="210" applyNumberFormat="1" applyFont="1" applyFill="1" applyBorder="1" applyAlignment="1">
      <alignment horizontal="right"/>
    </xf>
    <xf numFmtId="170" fontId="69" fillId="0" borderId="8" xfId="1" applyNumberFormat="1" applyFont="1" applyFill="1" applyBorder="1" applyAlignment="1" applyProtection="1">
      <alignment horizontal="right"/>
    </xf>
    <xf numFmtId="0" fontId="69" fillId="0" borderId="28" xfId="0" applyNumberFormat="1" applyFont="1" applyBorder="1" applyAlignment="1">
      <alignment horizontal="right" vertical="center"/>
    </xf>
    <xf numFmtId="188" fontId="69" fillId="0" borderId="0" xfId="0" applyFont="1" applyFill="1" applyBorder="1" applyAlignment="1">
      <alignment horizontal="right" vertical="center"/>
    </xf>
    <xf numFmtId="179" fontId="69" fillId="0" borderId="0" xfId="59" applyNumberFormat="1" applyFont="1" applyFill="1" applyBorder="1" applyAlignment="1">
      <alignment horizontal="right" vertical="center"/>
    </xf>
    <xf numFmtId="170" fontId="69" fillId="0" borderId="0" xfId="213" applyFont="1" applyFill="1" applyBorder="1" applyAlignment="1">
      <alignment horizontal="right" vertical="center"/>
    </xf>
    <xf numFmtId="165" fontId="69" fillId="0" borderId="28" xfId="59" applyFont="1" applyFill="1" applyBorder="1" applyAlignment="1">
      <alignment vertical="center"/>
    </xf>
    <xf numFmtId="183" fontId="69" fillId="0" borderId="8" xfId="59" applyNumberFormat="1" applyFont="1" applyFill="1" applyBorder="1" applyAlignment="1">
      <alignment vertical="center"/>
    </xf>
    <xf numFmtId="170" fontId="76" fillId="0" borderId="119" xfId="0" applyNumberFormat="1" applyFont="1" applyBorder="1" applyAlignment="1">
      <alignment horizontal="center"/>
    </xf>
    <xf numFmtId="170" fontId="69" fillId="0" borderId="16" xfId="0" applyNumberFormat="1" applyFont="1" applyBorder="1" applyAlignment="1">
      <alignment horizontal="right"/>
    </xf>
    <xf numFmtId="170" fontId="74" fillId="0" borderId="56" xfId="0" applyNumberFormat="1" applyFont="1" applyBorder="1" applyAlignment="1">
      <alignment horizontal="center"/>
    </xf>
    <xf numFmtId="170" fontId="69" fillId="0" borderId="28" xfId="213" applyFont="1" applyBorder="1" applyAlignment="1">
      <alignment horizontal="right" vertical="center"/>
    </xf>
    <xf numFmtId="196" fontId="69" fillId="0" borderId="0" xfId="59" applyNumberFormat="1" applyFont="1" applyFill="1" applyBorder="1"/>
    <xf numFmtId="170" fontId="69" fillId="0" borderId="28" xfId="59" applyNumberFormat="1" applyFont="1" applyFill="1" applyBorder="1" applyProtection="1"/>
    <xf numFmtId="183" fontId="69" fillId="0" borderId="91" xfId="59" applyNumberFormat="1" applyFont="1" applyFill="1" applyBorder="1" applyProtection="1"/>
    <xf numFmtId="179" fontId="69" fillId="0" borderId="8" xfId="59" applyNumberFormat="1" applyFont="1" applyFill="1" applyBorder="1" applyAlignment="1" applyProtection="1">
      <alignment horizontal="right"/>
    </xf>
    <xf numFmtId="170" fontId="69" fillId="0" borderId="0" xfId="5" applyNumberFormat="1" applyFont="1" applyFill="1" applyAlignment="1">
      <alignment horizontal="center"/>
    </xf>
    <xf numFmtId="170" fontId="124" fillId="0" borderId="0" xfId="1" applyNumberFormat="1" applyFont="1" applyFill="1"/>
    <xf numFmtId="170" fontId="125" fillId="0" borderId="51" xfId="1" applyNumberFormat="1" applyFont="1" applyFill="1" applyBorder="1" applyAlignment="1">
      <alignment horizontal="right"/>
    </xf>
    <xf numFmtId="170" fontId="125" fillId="0" borderId="52" xfId="1" applyNumberFormat="1" applyFont="1" applyFill="1" applyBorder="1" applyAlignment="1">
      <alignment horizontal="right"/>
    </xf>
    <xf numFmtId="170" fontId="125" fillId="0" borderId="53" xfId="1" applyNumberFormat="1" applyFont="1" applyFill="1" applyBorder="1" applyAlignment="1">
      <alignment horizontal="centerContinuous"/>
    </xf>
    <xf numFmtId="193" fontId="124" fillId="0" borderId="0" xfId="1" applyNumberFormat="1" applyFont="1" applyFill="1"/>
    <xf numFmtId="170" fontId="124" fillId="0" borderId="0" xfId="1" applyNumberFormat="1" applyFont="1"/>
    <xf numFmtId="170" fontId="125" fillId="0" borderId="24" xfId="1" applyNumberFormat="1" applyFont="1" applyFill="1" applyBorder="1" applyAlignment="1">
      <alignment horizontal="right"/>
    </xf>
    <xf numFmtId="170" fontId="125" fillId="0" borderId="55" xfId="1" applyNumberFormat="1" applyFont="1" applyFill="1" applyBorder="1" applyAlignment="1">
      <alignment horizontal="right"/>
    </xf>
    <xf numFmtId="170" fontId="124" fillId="0" borderId="0" xfId="1" applyNumberFormat="1" applyFont="1" applyFill="1" applyBorder="1"/>
    <xf numFmtId="193" fontId="124" fillId="0" borderId="0" xfId="1" applyNumberFormat="1" applyFont="1" applyFill="1" applyBorder="1"/>
    <xf numFmtId="170" fontId="162" fillId="0" borderId="0" xfId="1" applyNumberFormat="1" applyFont="1" applyFill="1" applyBorder="1" applyAlignment="1">
      <alignment horizontal="right"/>
    </xf>
    <xf numFmtId="165" fontId="127" fillId="48" borderId="56" xfId="59" applyFont="1" applyFill="1" applyBorder="1" applyAlignment="1">
      <alignment horizontal="right"/>
    </xf>
    <xf numFmtId="170" fontId="124" fillId="0" borderId="15" xfId="0" applyNumberFormat="1" applyFont="1" applyFill="1" applyBorder="1"/>
    <xf numFmtId="189" fontId="124" fillId="0" borderId="0" xfId="1" applyNumberFormat="1" applyFont="1" applyFill="1" applyBorder="1"/>
    <xf numFmtId="170" fontId="124" fillId="0" borderId="0" xfId="0" applyNumberFormat="1" applyFont="1" applyBorder="1" applyAlignment="1">
      <alignment horizontal="center" wrapText="1"/>
    </xf>
    <xf numFmtId="173" fontId="124" fillId="0" borderId="0" xfId="218" applyNumberFormat="1" applyFont="1" applyBorder="1"/>
    <xf numFmtId="170" fontId="124" fillId="0" borderId="0" xfId="1" applyNumberFormat="1" applyFont="1" applyFill="1" applyAlignment="1">
      <alignment horizontal="right"/>
    </xf>
    <xf numFmtId="170" fontId="125" fillId="0" borderId="0" xfId="213" applyFont="1" applyFill="1"/>
    <xf numFmtId="193" fontId="125" fillId="0" borderId="0" xfId="213" applyNumberFormat="1" applyFont="1" applyFill="1"/>
    <xf numFmtId="170" fontId="125" fillId="0" borderId="0" xfId="1" applyNumberFormat="1" applyFont="1"/>
    <xf numFmtId="188" fontId="125" fillId="0" borderId="0" xfId="0" applyFont="1"/>
    <xf numFmtId="188" fontId="125" fillId="0" borderId="0" xfId="0" applyFont="1" applyAlignment="1">
      <alignment horizontal="right"/>
    </xf>
    <xf numFmtId="170" fontId="162" fillId="0" borderId="0" xfId="213" applyFont="1" applyFill="1" applyAlignment="1">
      <alignment horizontal="center"/>
    </xf>
    <xf numFmtId="170" fontId="162" fillId="0" borderId="0" xfId="0" applyNumberFormat="1" applyFont="1" applyAlignment="1">
      <alignment horizontal="center"/>
    </xf>
    <xf numFmtId="4" fontId="124" fillId="0" borderId="0" xfId="0" applyNumberFormat="1" applyFont="1"/>
    <xf numFmtId="165" fontId="124" fillId="0" borderId="0" xfId="59" applyFont="1"/>
    <xf numFmtId="177" fontId="124" fillId="0" borderId="0" xfId="0" applyNumberFormat="1" applyFont="1"/>
    <xf numFmtId="192" fontId="124" fillId="0" borderId="0" xfId="0" applyNumberFormat="1" applyFont="1"/>
    <xf numFmtId="188" fontId="124" fillId="0" borderId="0" xfId="0" applyFont="1" applyAlignment="1">
      <alignment horizontal="right"/>
    </xf>
    <xf numFmtId="0" fontId="124" fillId="0" borderId="0" xfId="0" applyNumberFormat="1" applyFont="1" applyAlignment="1">
      <alignment horizontal="right"/>
    </xf>
    <xf numFmtId="192" fontId="124" fillId="0" borderId="0" xfId="0" applyNumberFormat="1" applyFont="1" applyFill="1"/>
    <xf numFmtId="188" fontId="124" fillId="0" borderId="0" xfId="0" applyFont="1" applyFill="1" applyAlignment="1">
      <alignment horizontal="right"/>
    </xf>
    <xf numFmtId="0" fontId="124" fillId="0" borderId="0" xfId="0" applyNumberFormat="1" applyFont="1" applyFill="1" applyAlignment="1">
      <alignment horizontal="right"/>
    </xf>
    <xf numFmtId="184" fontId="124" fillId="0" borderId="0" xfId="59" applyNumberFormat="1" applyFont="1" applyFill="1" applyAlignment="1">
      <alignment horizontal="right"/>
    </xf>
    <xf numFmtId="0" fontId="124" fillId="0" borderId="0" xfId="1" applyNumberFormat="1" applyFont="1" applyFill="1" applyAlignment="1">
      <alignment horizontal="right"/>
    </xf>
    <xf numFmtId="41" fontId="69" fillId="47" borderId="0" xfId="210" applyNumberFormat="1" applyFont="1" applyFill="1"/>
    <xf numFmtId="41" fontId="74" fillId="47" borderId="20" xfId="5" applyNumberFormat="1" applyFont="1" applyFill="1" applyBorder="1"/>
    <xf numFmtId="41" fontId="69" fillId="47" borderId="0" xfId="210" applyNumberFormat="1" applyFont="1" applyFill="1" applyAlignment="1">
      <alignment horizontal="center"/>
    </xf>
    <xf numFmtId="41" fontId="74" fillId="47" borderId="0" xfId="5" applyNumberFormat="1" applyFont="1" applyFill="1" applyAlignment="1">
      <alignment horizontal="center"/>
    </xf>
    <xf numFmtId="41" fontId="105" fillId="47" borderId="0" xfId="210" applyNumberFormat="1" applyFont="1" applyFill="1" applyAlignment="1">
      <alignment horizontal="center"/>
    </xf>
    <xf numFmtId="41" fontId="74" fillId="47" borderId="0" xfId="210" applyNumberFormat="1" applyFont="1" applyFill="1" applyAlignment="1">
      <alignment horizontal="center"/>
    </xf>
    <xf numFmtId="41" fontId="69" fillId="47" borderId="119" xfId="210" applyNumberFormat="1" applyFont="1" applyFill="1" applyBorder="1" applyAlignment="1">
      <alignment horizontal="center"/>
    </xf>
    <xf numFmtId="188" fontId="74" fillId="47" borderId="119" xfId="5" applyFont="1" applyFill="1" applyBorder="1" applyAlignment="1">
      <alignment horizontal="center" wrapText="1"/>
    </xf>
    <xf numFmtId="188" fontId="74" fillId="47" borderId="0" xfId="5" applyFont="1" applyFill="1" applyAlignment="1">
      <alignment horizontal="center" wrapText="1"/>
    </xf>
    <xf numFmtId="170" fontId="69" fillId="0" borderId="120" xfId="213" applyFont="1" applyFill="1" applyBorder="1" applyAlignment="1">
      <alignment horizontal="right"/>
    </xf>
    <xf numFmtId="170" fontId="69" fillId="0" borderId="107" xfId="213" applyFont="1" applyFill="1" applyBorder="1" applyAlignment="1"/>
    <xf numFmtId="170" fontId="69" fillId="0" borderId="6" xfId="213" applyFont="1" applyFill="1" applyBorder="1" applyAlignment="1"/>
    <xf numFmtId="170" fontId="69" fillId="0" borderId="106" xfId="1" applyNumberFormat="1" applyFont="1" applyBorder="1" applyProtection="1"/>
    <xf numFmtId="170" fontId="69" fillId="0" borderId="120" xfId="213" applyNumberFormat="1" applyFont="1" applyBorder="1"/>
    <xf numFmtId="183" fontId="147" fillId="35" borderId="56" xfId="59" applyNumberFormat="1" applyFont="1" applyFill="1" applyBorder="1"/>
    <xf numFmtId="170" fontId="69" fillId="0" borderId="0" xfId="5" applyNumberFormat="1" applyFont="1" applyBorder="1" applyAlignment="1">
      <alignment horizontal="left"/>
    </xf>
    <xf numFmtId="188" fontId="69" fillId="0" borderId="0" xfId="5" applyNumberFormat="1" applyFont="1" applyBorder="1" applyAlignment="1">
      <alignment horizontal="center"/>
    </xf>
    <xf numFmtId="188" fontId="69" fillId="0" borderId="0" xfId="61" applyNumberFormat="1" applyFont="1" applyBorder="1" applyAlignment="1">
      <alignment horizontal="center"/>
    </xf>
    <xf numFmtId="174" fontId="69" fillId="0" borderId="0" xfId="5" applyNumberFormat="1" applyFont="1" applyBorder="1"/>
    <xf numFmtId="184" fontId="124" fillId="0" borderId="102" xfId="59" applyNumberFormat="1" applyFont="1" applyBorder="1"/>
    <xf numFmtId="37" fontId="69" fillId="0" borderId="0" xfId="210" applyFont="1" applyFill="1"/>
    <xf numFmtId="173" fontId="164" fillId="0" borderId="23" xfId="218" applyNumberFormat="1" applyFont="1" applyBorder="1" applyAlignment="1">
      <alignment horizontal="center"/>
    </xf>
    <xf numFmtId="170" fontId="69" fillId="0" borderId="123" xfId="0" applyNumberFormat="1" applyFont="1" applyBorder="1"/>
    <xf numFmtId="170" fontId="76" fillId="0" borderId="22" xfId="0" applyNumberFormat="1" applyFont="1" applyBorder="1" applyAlignment="1">
      <alignment horizontal="left"/>
    </xf>
    <xf numFmtId="170" fontId="76" fillId="0" borderId="16" xfId="0" applyNumberFormat="1" applyFont="1" applyBorder="1" applyAlignment="1">
      <alignment horizontal="left"/>
    </xf>
    <xf numFmtId="170" fontId="69" fillId="0" borderId="16" xfId="0" applyNumberFormat="1" applyFont="1" applyBorder="1" applyAlignment="1">
      <alignment horizontal="left"/>
    </xf>
    <xf numFmtId="0" fontId="69" fillId="0" borderId="16" xfId="0" applyNumberFormat="1" applyFont="1" applyBorder="1" applyAlignment="1">
      <alignment horizontal="left"/>
    </xf>
    <xf numFmtId="170" fontId="69" fillId="0" borderId="24" xfId="0" applyNumberFormat="1" applyFont="1" applyBorder="1" applyAlignment="1">
      <alignment horizontal="left"/>
    </xf>
    <xf numFmtId="170" fontId="159" fillId="0" borderId="56" xfId="0" applyNumberFormat="1" applyFont="1" applyFill="1" applyBorder="1" applyAlignment="1">
      <alignment horizontal="right"/>
    </xf>
    <xf numFmtId="1" fontId="158" fillId="24" borderId="105" xfId="1" applyNumberFormat="1" applyFont="1" applyFill="1" applyBorder="1" applyAlignment="1">
      <alignment horizontal="right" indent="1"/>
    </xf>
    <xf numFmtId="179" fontId="172" fillId="0" borderId="23" xfId="59" applyNumberFormat="1" applyFont="1" applyFill="1" applyBorder="1"/>
    <xf numFmtId="188" fontId="147" fillId="24" borderId="34" xfId="59" applyNumberFormat="1" applyFont="1" applyFill="1" applyBorder="1" applyAlignment="1">
      <alignment horizontal="right"/>
    </xf>
    <xf numFmtId="179" fontId="172" fillId="0" borderId="25" xfId="59" applyNumberFormat="1" applyFont="1" applyFill="1" applyBorder="1"/>
    <xf numFmtId="170" fontId="158" fillId="0" borderId="0" xfId="1" quotePrefix="1" applyNumberFormat="1" applyFont="1" applyFill="1" applyBorder="1" applyAlignment="1">
      <alignment horizontal="center"/>
    </xf>
    <xf numFmtId="183" fontId="147" fillId="0" borderId="68" xfId="59" applyNumberFormat="1" applyFont="1" applyBorder="1" applyAlignment="1">
      <alignment horizontal="center"/>
    </xf>
    <xf numFmtId="170" fontId="147" fillId="0" borderId="18" xfId="1" applyNumberFormat="1" applyFont="1" applyBorder="1" applyAlignment="1">
      <alignment horizontal="center"/>
    </xf>
    <xf numFmtId="170" fontId="147" fillId="0" borderId="68" xfId="1" applyNumberFormat="1" applyFont="1" applyBorder="1" applyAlignment="1">
      <alignment horizontal="center"/>
    </xf>
    <xf numFmtId="14" fontId="158" fillId="0" borderId="0" xfId="1" quotePrefix="1" applyNumberFormat="1" applyFont="1" applyFill="1" applyBorder="1" applyAlignment="1">
      <alignment horizontal="center"/>
    </xf>
    <xf numFmtId="188" fontId="147" fillId="0" borderId="27" xfId="59" applyNumberFormat="1" applyFont="1" applyBorder="1" applyAlignment="1">
      <alignment horizontal="right"/>
    </xf>
    <xf numFmtId="183" fontId="147" fillId="0" borderId="27" xfId="59" applyNumberFormat="1" applyFont="1" applyBorder="1" applyAlignment="1">
      <alignment horizontal="right"/>
    </xf>
    <xf numFmtId="170" fontId="147" fillId="0" borderId="19" xfId="1" applyNumberFormat="1" applyFont="1" applyBorder="1" applyAlignment="1">
      <alignment horizontal="right"/>
    </xf>
    <xf numFmtId="170" fontId="147" fillId="0" borderId="27" xfId="1" applyNumberFormat="1" applyFont="1" applyBorder="1" applyAlignment="1">
      <alignment horizontal="right"/>
    </xf>
    <xf numFmtId="37" fontId="147" fillId="0" borderId="27" xfId="1" applyNumberFormat="1" applyFont="1" applyBorder="1" applyAlignment="1">
      <alignment horizontal="right"/>
    </xf>
    <xf numFmtId="170" fontId="158" fillId="0" borderId="0" xfId="1" applyNumberFormat="1" applyFont="1" applyFill="1" applyBorder="1" applyAlignment="1">
      <alignment horizontal="center"/>
    </xf>
    <xf numFmtId="170" fontId="147" fillId="0" borderId="0" xfId="1" applyNumberFormat="1" applyFont="1" applyBorder="1" applyAlignment="1">
      <alignment horizontal="right"/>
    </xf>
    <xf numFmtId="183" fontId="147" fillId="0" borderId="28" xfId="59" applyNumberFormat="1" applyFont="1" applyBorder="1" applyAlignment="1">
      <alignment horizontal="right"/>
    </xf>
    <xf numFmtId="170" fontId="147" fillId="0" borderId="28" xfId="1" applyNumberFormat="1" applyFont="1" applyBorder="1" applyAlignment="1">
      <alignment horizontal="right"/>
    </xf>
    <xf numFmtId="37" fontId="147" fillId="0" borderId="28" xfId="1" applyNumberFormat="1" applyFont="1" applyBorder="1" applyAlignment="1">
      <alignment horizontal="right"/>
    </xf>
    <xf numFmtId="188" fontId="147" fillId="0" borderId="34" xfId="59" applyNumberFormat="1" applyFont="1" applyBorder="1" applyAlignment="1">
      <alignment horizontal="right"/>
    </xf>
    <xf numFmtId="183" fontId="147" fillId="0" borderId="34" xfId="59" applyNumberFormat="1" applyFont="1" applyBorder="1" applyAlignment="1">
      <alignment horizontal="right"/>
    </xf>
    <xf numFmtId="170" fontId="147" fillId="0" borderId="21" xfId="1" applyNumberFormat="1" applyFont="1" applyBorder="1" applyAlignment="1">
      <alignment horizontal="right"/>
    </xf>
    <xf numFmtId="170" fontId="147" fillId="0" borderId="34" xfId="1" applyNumberFormat="1" applyFont="1" applyBorder="1" applyAlignment="1">
      <alignment horizontal="right"/>
    </xf>
    <xf numFmtId="170" fontId="147" fillId="0" borderId="0" xfId="1" applyNumberFormat="1" applyFont="1" applyFill="1" applyBorder="1" applyAlignment="1">
      <alignment horizontal="centerContinuous"/>
    </xf>
    <xf numFmtId="170" fontId="147" fillId="0" borderId="0" xfId="1" applyNumberFormat="1" applyFont="1" applyFill="1" applyBorder="1" applyAlignment="1">
      <alignment horizontal="right"/>
    </xf>
    <xf numFmtId="170" fontId="147" fillId="0" borderId="0" xfId="1" applyNumberFormat="1" applyFont="1" applyFill="1" applyBorder="1"/>
    <xf numFmtId="170" fontId="158" fillId="0" borderId="0" xfId="1" applyNumberFormat="1" applyFont="1" applyFill="1" applyBorder="1" applyAlignment="1">
      <alignment horizontal="centerContinuous"/>
    </xf>
    <xf numFmtId="188" fontId="147" fillId="0" borderId="28" xfId="59" applyNumberFormat="1" applyFont="1" applyFill="1" applyBorder="1" applyAlignment="1">
      <alignment horizontal="right"/>
    </xf>
    <xf numFmtId="170" fontId="158" fillId="24" borderId="52" xfId="1" applyNumberFormat="1" applyFont="1" applyFill="1" applyBorder="1" applyAlignment="1">
      <alignment horizontal="right"/>
    </xf>
    <xf numFmtId="170" fontId="158" fillId="0" borderId="0" xfId="1" applyNumberFormat="1" applyFont="1" applyFill="1" applyBorder="1"/>
    <xf numFmtId="188" fontId="147" fillId="0" borderId="33" xfId="59" applyNumberFormat="1" applyFont="1" applyFill="1" applyBorder="1" applyAlignment="1">
      <alignment horizontal="center"/>
    </xf>
    <xf numFmtId="170" fontId="147" fillId="0" borderId="17" xfId="1" applyNumberFormat="1" applyFont="1" applyFill="1" applyBorder="1" applyAlignment="1">
      <alignment horizontal="right"/>
    </xf>
    <xf numFmtId="183" fontId="147" fillId="0" borderId="33" xfId="59" applyNumberFormat="1" applyFont="1" applyFill="1" applyBorder="1" applyAlignment="1">
      <alignment horizontal="right"/>
    </xf>
    <xf numFmtId="170" fontId="158" fillId="0" borderId="0" xfId="1" applyNumberFormat="1" applyFont="1" applyFill="1" applyBorder="1" applyAlignment="1">
      <alignment horizontal="right"/>
    </xf>
    <xf numFmtId="170" fontId="147" fillId="0" borderId="33" xfId="1" applyNumberFormat="1" applyFont="1" applyFill="1" applyBorder="1" applyAlignment="1">
      <alignment horizontal="right"/>
    </xf>
    <xf numFmtId="188" fontId="147" fillId="0" borderId="28" xfId="59" applyNumberFormat="1" applyFont="1" applyFill="1" applyBorder="1" applyAlignment="1">
      <alignment horizontal="center"/>
    </xf>
    <xf numFmtId="183" fontId="147" fillId="0" borderId="28" xfId="59" applyNumberFormat="1" applyFont="1" applyFill="1" applyBorder="1" applyAlignment="1">
      <alignment horizontal="right"/>
    </xf>
    <xf numFmtId="170" fontId="147" fillId="0" borderId="28" xfId="1" applyNumberFormat="1" applyFont="1" applyFill="1" applyBorder="1" applyAlignment="1">
      <alignment horizontal="right"/>
    </xf>
    <xf numFmtId="188" fontId="147" fillId="0" borderId="27" xfId="59" applyNumberFormat="1" applyFont="1" applyFill="1" applyBorder="1" applyAlignment="1">
      <alignment horizontal="center"/>
    </xf>
    <xf numFmtId="170" fontId="147" fillId="0" borderId="33" xfId="1" applyNumberFormat="1" applyFont="1" applyFill="1" applyBorder="1" applyAlignment="1"/>
    <xf numFmtId="170" fontId="147" fillId="0" borderId="112" xfId="1" applyNumberFormat="1" applyFont="1" applyFill="1" applyBorder="1" applyAlignment="1">
      <alignment horizontal="right"/>
    </xf>
    <xf numFmtId="183" fontId="147" fillId="44" borderId="30" xfId="59" applyNumberFormat="1" applyFont="1" applyFill="1" applyBorder="1" applyProtection="1"/>
    <xf numFmtId="188" fontId="147" fillId="0" borderId="0" xfId="1" applyNumberFormat="1" applyFont="1" applyFill="1" applyBorder="1"/>
    <xf numFmtId="170" fontId="147" fillId="0" borderId="96" xfId="1" applyNumberFormat="1" applyFont="1" applyFill="1" applyBorder="1" applyAlignment="1"/>
    <xf numFmtId="188" fontId="158" fillId="0" borderId="0" xfId="1" quotePrefix="1" applyNumberFormat="1" applyFont="1" applyFill="1" applyBorder="1" applyAlignment="1">
      <alignment horizontal="right"/>
    </xf>
    <xf numFmtId="170" fontId="158" fillId="0" borderId="0" xfId="1" quotePrefix="1" applyNumberFormat="1" applyFont="1" applyFill="1" applyBorder="1" applyAlignment="1">
      <alignment horizontal="right"/>
    </xf>
    <xf numFmtId="170" fontId="158" fillId="0" borderId="0" xfId="1" applyNumberFormat="1" applyFont="1" applyBorder="1" applyAlignment="1">
      <alignment horizontal="right"/>
    </xf>
    <xf numFmtId="170" fontId="166" fillId="0" borderId="0" xfId="1" applyNumberFormat="1" applyFont="1" applyBorder="1"/>
    <xf numFmtId="170" fontId="166" fillId="0" borderId="28" xfId="1" applyNumberFormat="1" applyFont="1" applyBorder="1"/>
    <xf numFmtId="170" fontId="147" fillId="0" borderId="113" xfId="1" applyNumberFormat="1" applyFont="1" applyFill="1" applyBorder="1" applyAlignment="1"/>
    <xf numFmtId="37" fontId="147" fillId="0" borderId="0" xfId="1" applyNumberFormat="1" applyFont="1" applyFill="1" applyBorder="1" applyProtection="1"/>
    <xf numFmtId="37" fontId="147" fillId="0" borderId="28" xfId="1" applyNumberFormat="1" applyFont="1" applyFill="1" applyBorder="1" applyProtection="1"/>
    <xf numFmtId="170" fontId="147" fillId="0" borderId="20" xfId="1" applyNumberFormat="1" applyFont="1" applyFill="1" applyBorder="1" applyAlignment="1">
      <alignment horizontal="right"/>
    </xf>
    <xf numFmtId="170" fontId="147" fillId="0" borderId="72" xfId="1" applyNumberFormat="1" applyFont="1" applyFill="1" applyBorder="1" applyAlignment="1">
      <alignment horizontal="right"/>
    </xf>
    <xf numFmtId="183" fontId="147" fillId="0" borderId="28" xfId="59" applyNumberFormat="1" applyFont="1" applyFill="1" applyBorder="1" applyProtection="1"/>
    <xf numFmtId="170" fontId="147" fillId="24" borderId="72" xfId="1" applyNumberFormat="1" applyFont="1" applyFill="1" applyBorder="1" applyAlignment="1">
      <alignment horizontal="right"/>
    </xf>
    <xf numFmtId="1" fontId="147" fillId="0" borderId="72" xfId="1" applyNumberFormat="1" applyFont="1" applyFill="1" applyBorder="1" applyAlignment="1">
      <alignment horizontal="right"/>
    </xf>
    <xf numFmtId="37" fontId="147" fillId="0" borderId="28" xfId="1" applyNumberFormat="1" applyFont="1" applyFill="1" applyBorder="1"/>
    <xf numFmtId="170" fontId="158" fillId="0" borderId="0" xfId="1" applyNumberFormat="1" applyFont="1" applyBorder="1"/>
    <xf numFmtId="170" fontId="147" fillId="0" borderId="101" xfId="1" applyNumberFormat="1" applyFont="1" applyFill="1" applyBorder="1" applyAlignment="1"/>
    <xf numFmtId="1" fontId="147" fillId="0" borderId="112" xfId="1" applyNumberFormat="1" applyFont="1" applyFill="1" applyBorder="1" applyAlignment="1">
      <alignment horizontal="right"/>
    </xf>
    <xf numFmtId="170" fontId="147" fillId="44" borderId="6" xfId="1" applyNumberFormat="1" applyFont="1" applyFill="1" applyBorder="1" applyProtection="1"/>
    <xf numFmtId="174" fontId="147" fillId="44" borderId="6" xfId="1" applyNumberFormat="1" applyFont="1" applyFill="1" applyBorder="1" applyProtection="1"/>
    <xf numFmtId="176" fontId="147" fillId="0" borderId="0" xfId="59" applyNumberFormat="1" applyFont="1"/>
    <xf numFmtId="1" fontId="147" fillId="24" borderId="112" xfId="1" applyNumberFormat="1" applyFont="1" applyFill="1" applyBorder="1" applyAlignment="1">
      <alignment horizontal="right"/>
    </xf>
    <xf numFmtId="37" fontId="147" fillId="0" borderId="112" xfId="1" applyNumberFormat="1" applyFont="1" applyFill="1" applyBorder="1" applyAlignment="1" applyProtection="1">
      <alignment horizontal="right"/>
    </xf>
    <xf numFmtId="37" fontId="147" fillId="24" borderId="112" xfId="1" applyNumberFormat="1" applyFont="1" applyFill="1" applyBorder="1" applyAlignment="1" applyProtection="1">
      <alignment horizontal="right"/>
    </xf>
    <xf numFmtId="170" fontId="166" fillId="0" borderId="0" xfId="0" applyNumberFormat="1" applyFont="1"/>
    <xf numFmtId="170" fontId="158" fillId="0" borderId="0" xfId="213" applyFont="1" applyBorder="1" applyAlignment="1">
      <alignment horizontal="right"/>
    </xf>
    <xf numFmtId="170" fontId="147" fillId="0" borderId="28" xfId="1" applyNumberFormat="1" applyFont="1" applyFill="1" applyBorder="1" applyAlignment="1"/>
    <xf numFmtId="1" fontId="147" fillId="0" borderId="0" xfId="1" applyNumberFormat="1" applyFont="1" applyFill="1" applyBorder="1" applyAlignment="1">
      <alignment horizontal="right"/>
    </xf>
    <xf numFmtId="174" fontId="147" fillId="0" borderId="28" xfId="1" applyNumberFormat="1" applyFont="1" applyFill="1" applyBorder="1" applyProtection="1"/>
    <xf numFmtId="183" fontId="147" fillId="0" borderId="0" xfId="59" applyNumberFormat="1" applyFont="1" applyFill="1" applyBorder="1" applyProtection="1"/>
    <xf numFmtId="174" fontId="147" fillId="0" borderId="0" xfId="1" applyNumberFormat="1" applyFont="1" applyFill="1" applyBorder="1" applyProtection="1"/>
    <xf numFmtId="176" fontId="147" fillId="0" borderId="0" xfId="59" applyNumberFormat="1" applyFont="1" applyFill="1"/>
    <xf numFmtId="170" fontId="158" fillId="0" borderId="0" xfId="1" quotePrefix="1" applyNumberFormat="1" applyFont="1" applyFill="1" applyAlignment="1">
      <alignment horizontal="center"/>
    </xf>
    <xf numFmtId="170" fontId="158" fillId="24" borderId="0" xfId="1" applyNumberFormat="1" applyFont="1" applyFill="1" applyBorder="1" applyAlignment="1">
      <alignment horizontal="right"/>
    </xf>
    <xf numFmtId="165" fontId="147" fillId="44" borderId="6" xfId="59" applyFont="1" applyFill="1" applyBorder="1" applyProtection="1"/>
    <xf numFmtId="176" fontId="147" fillId="0" borderId="28" xfId="59" applyNumberFormat="1" applyFont="1" applyBorder="1"/>
    <xf numFmtId="170" fontId="158" fillId="0" borderId="28" xfId="1" applyNumberFormat="1" applyFont="1" applyFill="1" applyBorder="1" applyAlignment="1">
      <alignment horizontal="right"/>
    </xf>
    <xf numFmtId="183" fontId="147" fillId="44" borderId="110" xfId="59" applyNumberFormat="1" applyFont="1" applyFill="1" applyBorder="1" applyProtection="1"/>
    <xf numFmtId="170" fontId="147" fillId="0" borderId="28" xfId="1" applyNumberFormat="1" applyFont="1" applyBorder="1"/>
    <xf numFmtId="170" fontId="147" fillId="0" borderId="0" xfId="1" applyNumberFormat="1" applyFont="1" applyBorder="1"/>
    <xf numFmtId="188" fontId="147" fillId="0" borderId="28" xfId="59" applyNumberFormat="1" applyFont="1" applyBorder="1" applyAlignment="1">
      <alignment horizontal="center"/>
    </xf>
    <xf numFmtId="183" fontId="147" fillId="0" borderId="28" xfId="59" applyNumberFormat="1" applyFont="1" applyBorder="1"/>
    <xf numFmtId="188" fontId="147" fillId="0" borderId="113" xfId="59" applyNumberFormat="1" applyFont="1" applyFill="1" applyBorder="1" applyAlignment="1">
      <alignment horizontal="center"/>
    </xf>
    <xf numFmtId="170" fontId="158" fillId="0" borderId="8" xfId="1" applyNumberFormat="1" applyFont="1" applyFill="1" applyBorder="1" applyAlignment="1">
      <alignment horizontal="right"/>
    </xf>
    <xf numFmtId="170" fontId="166" fillId="0" borderId="28" xfId="1" applyNumberFormat="1" applyFont="1" applyFill="1" applyBorder="1" applyAlignment="1">
      <alignment horizontal="right"/>
    </xf>
    <xf numFmtId="37" fontId="147" fillId="0" borderId="72" xfId="1" applyNumberFormat="1" applyFont="1" applyFill="1" applyBorder="1" applyAlignment="1" applyProtection="1">
      <alignment horizontal="right"/>
    </xf>
    <xf numFmtId="170" fontId="147" fillId="0" borderId="22" xfId="1" applyNumberFormat="1" applyFont="1" applyBorder="1" applyAlignment="1">
      <alignment horizontal="right"/>
    </xf>
    <xf numFmtId="183" fontId="147" fillId="0" borderId="27" xfId="59" applyNumberFormat="1" applyFont="1" applyBorder="1"/>
    <xf numFmtId="183" fontId="147" fillId="0" borderId="75" xfId="59" applyNumberFormat="1" applyFont="1" applyBorder="1"/>
    <xf numFmtId="183" fontId="147" fillId="0" borderId="68" xfId="59" applyNumberFormat="1" applyFont="1" applyBorder="1"/>
    <xf numFmtId="183" fontId="147" fillId="0" borderId="77" xfId="59" applyNumberFormat="1" applyFont="1" applyBorder="1"/>
    <xf numFmtId="37" fontId="147" fillId="0" borderId="28" xfId="1" applyNumberFormat="1" applyFont="1" applyBorder="1"/>
    <xf numFmtId="37" fontId="147" fillId="0" borderId="0" xfId="1" applyNumberFormat="1" applyFont="1" applyBorder="1"/>
    <xf numFmtId="0" fontId="69" fillId="0" borderId="36" xfId="0" applyNumberFormat="1" applyFont="1" applyFill="1" applyBorder="1" applyAlignment="1">
      <alignment horizontal="right"/>
    </xf>
    <xf numFmtId="165" fontId="69" fillId="0" borderId="8" xfId="59" applyFont="1" applyBorder="1"/>
    <xf numFmtId="170" fontId="153" fillId="0" borderId="28" xfId="256" quotePrefix="1" applyNumberFormat="1" applyFont="1" applyFill="1" applyBorder="1" applyAlignment="1" applyProtection="1">
      <alignment horizontal="center" vertical="center" wrapText="1"/>
    </xf>
    <xf numFmtId="183" fontId="69" fillId="0" borderId="39" xfId="59" applyNumberFormat="1" applyFont="1" applyBorder="1"/>
    <xf numFmtId="170" fontId="118" fillId="0" borderId="0" xfId="1" applyNumberFormat="1" applyFont="1" applyFill="1" applyBorder="1" applyAlignment="1">
      <alignment horizontal="right"/>
    </xf>
    <xf numFmtId="170" fontId="69" fillId="0" borderId="0" xfId="1" applyNumberFormat="1" applyFont="1" applyFill="1" applyBorder="1" applyAlignment="1">
      <alignment wrapText="1"/>
    </xf>
    <xf numFmtId="1" fontId="69" fillId="0" borderId="0" xfId="59" applyNumberFormat="1" applyFont="1" applyBorder="1" applyAlignment="1">
      <alignment horizontal="right"/>
    </xf>
    <xf numFmtId="188" fontId="69" fillId="0" borderId="0" xfId="59" applyNumberFormat="1" applyFont="1" applyBorder="1" applyAlignment="1">
      <alignment horizontal="right"/>
    </xf>
    <xf numFmtId="37" fontId="118" fillId="0" borderId="0" xfId="1" applyNumberFormat="1" applyFont="1" applyFill="1" applyBorder="1" applyAlignment="1">
      <alignment horizontal="right"/>
    </xf>
    <xf numFmtId="170" fontId="128" fillId="0" borderId="124" xfId="0" applyNumberFormat="1" applyFont="1" applyFill="1" applyBorder="1" applyAlignment="1">
      <alignment horizontal="left" vertical="center" wrapText="1"/>
    </xf>
    <xf numFmtId="170" fontId="69" fillId="0" borderId="28" xfId="1" quotePrefix="1" applyNumberFormat="1" applyFont="1" applyFill="1" applyBorder="1" applyAlignment="1" applyProtection="1">
      <alignment horizontal="center" vertical="center" wrapText="1"/>
    </xf>
    <xf numFmtId="183" fontId="147" fillId="0" borderId="0" xfId="59" applyNumberFormat="1" applyFont="1" applyFill="1" applyBorder="1" applyAlignment="1">
      <alignment horizontal="center"/>
    </xf>
    <xf numFmtId="170" fontId="74" fillId="0" borderId="114" xfId="1" applyNumberFormat="1" applyFont="1" applyFill="1" applyBorder="1" applyProtection="1"/>
    <xf numFmtId="170" fontId="69" fillId="0" borderId="109" xfId="1" applyNumberFormat="1" applyFont="1" applyBorder="1"/>
    <xf numFmtId="170" fontId="69" fillId="0" borderId="101" xfId="1" applyNumberFormat="1" applyFont="1" applyBorder="1"/>
    <xf numFmtId="170" fontId="74" fillId="0" borderId="113" xfId="1" applyNumberFormat="1" applyFont="1" applyFill="1" applyBorder="1" applyAlignment="1">
      <alignment horizontal="right"/>
    </xf>
    <xf numFmtId="170" fontId="74" fillId="0" borderId="112" xfId="1" applyNumberFormat="1" applyFont="1" applyFill="1" applyBorder="1" applyProtection="1"/>
    <xf numFmtId="174" fontId="74" fillId="0" borderId="30" xfId="59" applyNumberFormat="1" applyFont="1" applyFill="1" applyBorder="1" applyProtection="1"/>
    <xf numFmtId="170" fontId="69" fillId="0" borderId="125" xfId="0" applyNumberFormat="1" applyFont="1" applyFill="1" applyBorder="1"/>
    <xf numFmtId="170" fontId="76" fillId="0" borderId="0" xfId="1" applyNumberFormat="1" applyFont="1" applyFill="1" applyAlignment="1">
      <alignment horizontal="center"/>
    </xf>
    <xf numFmtId="170" fontId="69" fillId="44" borderId="28" xfId="1" applyNumberFormat="1" applyFont="1" applyFill="1" applyBorder="1" applyAlignment="1" applyProtection="1">
      <alignment horizontal="right"/>
    </xf>
    <xf numFmtId="170" fontId="74" fillId="0" borderId="28" xfId="1" applyNumberFormat="1" applyFont="1" applyFill="1" applyBorder="1"/>
    <xf numFmtId="170" fontId="69" fillId="44" borderId="0" xfId="1" applyNumberFormat="1" applyFont="1" applyFill="1" applyBorder="1" applyAlignment="1" applyProtection="1">
      <alignment horizontal="right"/>
    </xf>
    <xf numFmtId="183" fontId="120" fillId="0" borderId="21" xfId="59" applyNumberFormat="1" applyFont="1" applyFill="1" applyBorder="1"/>
    <xf numFmtId="188" fontId="69" fillId="0" borderId="8" xfId="213" applyNumberFormat="1" applyFont="1" applyBorder="1" applyAlignment="1">
      <alignment horizontal="right"/>
    </xf>
    <xf numFmtId="188" fontId="149" fillId="0" borderId="0" xfId="5" applyFont="1" applyAlignment="1">
      <alignment horizontal="center" vertical="center" wrapText="1"/>
    </xf>
    <xf numFmtId="183" fontId="69" fillId="0" borderId="0" xfId="1" applyNumberFormat="1" applyFont="1" applyFill="1" applyBorder="1" applyAlignment="1">
      <alignment horizontal="right"/>
    </xf>
    <xf numFmtId="183" fontId="69" fillId="0" borderId="28" xfId="1" applyNumberFormat="1" applyFont="1" applyFill="1" applyBorder="1" applyAlignment="1">
      <alignment horizontal="right"/>
    </xf>
    <xf numFmtId="183" fontId="69" fillId="0" borderId="0" xfId="1" applyNumberFormat="1" applyFont="1" applyBorder="1"/>
    <xf numFmtId="170" fontId="153" fillId="0" borderId="28" xfId="256" quotePrefix="1" applyNumberFormat="1" applyFont="1" applyFill="1" applyBorder="1" applyAlignment="1" applyProtection="1">
      <alignment horizontal="center" vertical="center"/>
    </xf>
    <xf numFmtId="170" fontId="76" fillId="0" borderId="0" xfId="1" applyNumberFormat="1" applyFont="1"/>
    <xf numFmtId="188" fontId="124" fillId="0" borderId="22" xfId="0" applyFont="1" applyBorder="1"/>
    <xf numFmtId="170" fontId="69" fillId="0" borderId="34" xfId="1" applyNumberFormat="1" applyFont="1" applyBorder="1" applyAlignment="1">
      <alignment horizontal="right"/>
    </xf>
    <xf numFmtId="170" fontId="74" fillId="0" borderId="6" xfId="1" applyNumberFormat="1" applyFont="1" applyBorder="1" applyAlignment="1">
      <alignment horizontal="right"/>
    </xf>
    <xf numFmtId="183" fontId="147" fillId="0" borderId="0" xfId="59" applyNumberFormat="1" applyFont="1" applyFill="1" applyBorder="1" applyAlignment="1">
      <alignment horizontal="center" vertical="center"/>
    </xf>
    <xf numFmtId="170" fontId="76" fillId="0" borderId="0" xfId="1" applyNumberFormat="1" applyFont="1" applyAlignment="1">
      <alignment horizontal="center"/>
    </xf>
    <xf numFmtId="170" fontId="76" fillId="0" borderId="23" xfId="0" applyNumberFormat="1" applyFont="1" applyFill="1" applyBorder="1" applyAlignment="1">
      <alignment horizontal="center"/>
    </xf>
    <xf numFmtId="165" fontId="148" fillId="0" borderId="0" xfId="59" applyFont="1" applyFill="1" applyBorder="1" applyAlignment="1">
      <alignment horizontal="right" readingOrder="2"/>
    </xf>
    <xf numFmtId="3" fontId="148" fillId="0" borderId="21" xfId="0" applyNumberFormat="1" applyFont="1" applyFill="1" applyBorder="1" applyAlignment="1">
      <alignment horizontal="right" readingOrder="2"/>
    </xf>
    <xf numFmtId="183" fontId="69" fillId="0" borderId="21" xfId="59" applyNumberFormat="1" applyFont="1" applyFill="1" applyBorder="1"/>
    <xf numFmtId="170" fontId="69" fillId="0" borderId="46" xfId="0" applyNumberFormat="1" applyFont="1" applyFill="1" applyBorder="1"/>
    <xf numFmtId="165" fontId="69" fillId="0" borderId="21" xfId="59" applyFont="1" applyFill="1" applyBorder="1"/>
    <xf numFmtId="170" fontId="74" fillId="0" borderId="24" xfId="0" applyNumberFormat="1" applyFont="1" applyFill="1" applyBorder="1"/>
    <xf numFmtId="188" fontId="148" fillId="0" borderId="0" xfId="0" applyFont="1" applyFill="1" applyBorder="1" applyAlignment="1">
      <alignment horizontal="right" readingOrder="2"/>
    </xf>
    <xf numFmtId="170" fontId="69" fillId="0" borderId="22" xfId="0" applyNumberFormat="1" applyFont="1" applyFill="1" applyBorder="1"/>
    <xf numFmtId="170" fontId="74" fillId="0" borderId="0" xfId="1" applyNumberFormat="1" applyFont="1" applyFill="1" applyBorder="1" applyProtection="1"/>
    <xf numFmtId="37" fontId="74" fillId="44" borderId="62" xfId="5" applyNumberFormat="1" applyFont="1" applyFill="1" applyBorder="1" applyProtection="1"/>
    <xf numFmtId="165" fontId="74" fillId="44" borderId="62" xfId="59" applyFont="1" applyFill="1" applyBorder="1" applyProtection="1"/>
    <xf numFmtId="188" fontId="74" fillId="0" borderId="6" xfId="61" applyNumberFormat="1" applyFont="1" applyFill="1" applyBorder="1" applyAlignment="1">
      <alignment horizontal="center"/>
    </xf>
    <xf numFmtId="170" fontId="74" fillId="0" borderId="40" xfId="5" applyNumberFormat="1" applyFont="1" applyFill="1" applyBorder="1" applyAlignment="1">
      <alignment horizontal="left"/>
    </xf>
    <xf numFmtId="1" fontId="74" fillId="0" borderId="62" xfId="5" applyNumberFormat="1" applyFont="1" applyFill="1" applyBorder="1" applyAlignment="1">
      <alignment horizontal="left"/>
    </xf>
    <xf numFmtId="37" fontId="74" fillId="0" borderId="62" xfId="5" applyNumberFormat="1" applyFont="1" applyFill="1" applyBorder="1" applyAlignment="1" applyProtection="1">
      <alignment horizontal="left"/>
    </xf>
    <xf numFmtId="170" fontId="69" fillId="0" borderId="40" xfId="213" applyFont="1" applyFill="1" applyBorder="1"/>
    <xf numFmtId="170" fontId="74" fillId="0" borderId="62" xfId="5" applyNumberFormat="1" applyFont="1" applyFill="1" applyBorder="1" applyProtection="1"/>
    <xf numFmtId="170" fontId="118" fillId="0" borderId="6" xfId="5" applyNumberFormat="1" applyFont="1" applyFill="1" applyBorder="1"/>
    <xf numFmtId="175" fontId="69" fillId="0" borderId="126" xfId="209" applyNumberFormat="1" applyFont="1" applyBorder="1"/>
    <xf numFmtId="175" fontId="69" fillId="0" borderId="127" xfId="209" applyNumberFormat="1" applyFont="1" applyBorder="1"/>
    <xf numFmtId="179" fontId="69" fillId="0" borderId="128" xfId="59" applyNumberFormat="1" applyFont="1" applyFill="1" applyBorder="1" applyAlignment="1">
      <alignment horizontal="right"/>
    </xf>
    <xf numFmtId="165" fontId="74" fillId="44" borderId="30" xfId="59" applyNumberFormat="1" applyFont="1" applyFill="1" applyBorder="1" applyProtection="1"/>
    <xf numFmtId="165" fontId="69" fillId="0" borderId="0" xfId="59" applyNumberFormat="1" applyFont="1" applyFill="1" applyBorder="1" applyAlignment="1">
      <alignment horizontal="right"/>
    </xf>
    <xf numFmtId="165" fontId="117" fillId="0" borderId="0" xfId="59" applyNumberFormat="1" applyFont="1" applyBorder="1"/>
    <xf numFmtId="165" fontId="69" fillId="0" borderId="0" xfId="59" applyNumberFormat="1" applyFont="1" applyFill="1" applyBorder="1" applyProtection="1"/>
    <xf numFmtId="165" fontId="74" fillId="0" borderId="0" xfId="59" applyNumberFormat="1" applyFont="1" applyFill="1" applyBorder="1" applyProtection="1"/>
    <xf numFmtId="165" fontId="69" fillId="0" borderId="0" xfId="59" applyNumberFormat="1" applyFont="1" applyBorder="1"/>
    <xf numFmtId="37" fontId="69" fillId="0" borderId="0" xfId="1" applyNumberFormat="1" applyFont="1" applyFill="1" applyBorder="1"/>
    <xf numFmtId="170" fontId="69" fillId="0" borderId="28" xfId="59" applyNumberFormat="1" applyFont="1" applyBorder="1" applyAlignment="1"/>
    <xf numFmtId="1" fontId="76" fillId="24" borderId="105" xfId="1" applyNumberFormat="1" applyFont="1" applyFill="1" applyBorder="1" applyAlignment="1"/>
    <xf numFmtId="188" fontId="74" fillId="24" borderId="34" xfId="59" applyNumberFormat="1" applyFont="1" applyFill="1" applyBorder="1" applyAlignment="1"/>
    <xf numFmtId="188" fontId="69" fillId="0" borderId="28" xfId="59" applyNumberFormat="1" applyFont="1" applyFill="1" applyBorder="1" applyAlignment="1"/>
    <xf numFmtId="188" fontId="74" fillId="0" borderId="27" xfId="59" applyNumberFormat="1" applyFont="1" applyBorder="1" applyAlignment="1"/>
    <xf numFmtId="188" fontId="69" fillId="0" borderId="28" xfId="59" applyNumberFormat="1" applyFont="1" applyBorder="1" applyAlignment="1"/>
    <xf numFmtId="188" fontId="74" fillId="0" borderId="34" xfId="59" applyNumberFormat="1" applyFont="1" applyBorder="1" applyAlignment="1"/>
    <xf numFmtId="188" fontId="74" fillId="0" borderId="28" xfId="59" applyNumberFormat="1" applyFont="1" applyFill="1" applyBorder="1" applyAlignment="1"/>
    <xf numFmtId="0" fontId="69" fillId="0" borderId="28" xfId="213" applyNumberFormat="1" applyFont="1" applyBorder="1" applyAlignment="1"/>
    <xf numFmtId="188" fontId="74" fillId="0" borderId="33" xfId="59" applyNumberFormat="1" applyFont="1" applyFill="1" applyBorder="1" applyAlignment="1"/>
    <xf numFmtId="188" fontId="69" fillId="0" borderId="34" xfId="213" applyNumberFormat="1" applyFont="1" applyFill="1" applyBorder="1" applyAlignment="1"/>
    <xf numFmtId="188" fontId="69" fillId="0" borderId="28" xfId="213" applyNumberFormat="1" applyFont="1" applyFill="1" applyBorder="1" applyAlignment="1"/>
    <xf numFmtId="188" fontId="74" fillId="0" borderId="27" xfId="59" applyNumberFormat="1" applyFont="1" applyFill="1" applyBorder="1" applyAlignment="1"/>
    <xf numFmtId="170" fontId="69" fillId="0" borderId="34" xfId="1" applyNumberFormat="1" applyFont="1" applyFill="1" applyBorder="1" applyAlignment="1"/>
    <xf numFmtId="0" fontId="69" fillId="0" borderId="28" xfId="0" applyNumberFormat="1" applyFont="1" applyBorder="1" applyAlignment="1"/>
    <xf numFmtId="170" fontId="69" fillId="0" borderId="28" xfId="213" applyFont="1" applyBorder="1" applyAlignment="1"/>
    <xf numFmtId="188" fontId="69" fillId="0" borderId="28" xfId="213" applyNumberFormat="1" applyFont="1" applyBorder="1" applyAlignment="1"/>
    <xf numFmtId="170" fontId="69" fillId="0" borderId="28" xfId="0" applyNumberFormat="1" applyFont="1" applyBorder="1" applyAlignment="1"/>
    <xf numFmtId="188" fontId="74" fillId="0" borderId="28" xfId="59" applyNumberFormat="1" applyFont="1" applyBorder="1" applyAlignment="1"/>
    <xf numFmtId="188" fontId="74" fillId="0" borderId="113" xfId="59" applyNumberFormat="1" applyFont="1" applyFill="1" applyBorder="1" applyAlignment="1"/>
    <xf numFmtId="188" fontId="69" fillId="0" borderId="107" xfId="213" applyNumberFormat="1" applyFont="1" applyBorder="1" applyAlignment="1"/>
    <xf numFmtId="183" fontId="69" fillId="0" borderId="0" xfId="59" applyNumberFormat="1" applyFont="1" applyFill="1" applyAlignment="1">
      <alignment horizontal="left"/>
    </xf>
    <xf numFmtId="183" fontId="74" fillId="0" borderId="0" xfId="59" applyNumberFormat="1" applyFont="1" applyFill="1"/>
    <xf numFmtId="170" fontId="74" fillId="0" borderId="49" xfId="1" applyNumberFormat="1" applyFont="1" applyFill="1" applyBorder="1" applyAlignment="1">
      <alignment horizontal="right"/>
    </xf>
    <xf numFmtId="188" fontId="69" fillId="0" borderId="0" xfId="59" applyNumberFormat="1" applyFont="1" applyBorder="1" applyAlignment="1"/>
    <xf numFmtId="188" fontId="69" fillId="0" borderId="0" xfId="59" applyNumberFormat="1" applyFont="1" applyFill="1" applyBorder="1" applyAlignment="1"/>
    <xf numFmtId="175" fontId="69" fillId="0" borderId="0" xfId="1" applyNumberFormat="1" applyFont="1" applyBorder="1"/>
    <xf numFmtId="170" fontId="69" fillId="0" borderId="102" xfId="0" applyNumberFormat="1" applyFont="1" applyFill="1" applyBorder="1"/>
    <xf numFmtId="170" fontId="0" fillId="0" borderId="0" xfId="0" applyNumberFormat="1" applyFill="1"/>
    <xf numFmtId="0" fontId="69" fillId="0" borderId="0" xfId="263" applyFont="1"/>
    <xf numFmtId="184" fontId="69" fillId="0" borderId="0" xfId="263" applyNumberFormat="1" applyFont="1"/>
    <xf numFmtId="0" fontId="74" fillId="0" borderId="0" xfId="263" applyFont="1"/>
    <xf numFmtId="175" fontId="153" fillId="0" borderId="0" xfId="256" quotePrefix="1" applyNumberFormat="1" applyFont="1" applyFill="1" applyAlignment="1">
      <alignment horizontal="center"/>
    </xf>
    <xf numFmtId="170" fontId="153" fillId="0" borderId="28" xfId="256" quotePrefix="1" applyNumberFormat="1" applyFont="1" applyFill="1" applyBorder="1" applyAlignment="1" applyProtection="1">
      <alignment horizontal="right"/>
    </xf>
    <xf numFmtId="188" fontId="69" fillId="0" borderId="8" xfId="1" applyFont="1" applyFill="1" applyBorder="1" applyAlignment="1">
      <alignment vertical="center" wrapText="1"/>
    </xf>
    <xf numFmtId="0" fontId="69" fillId="0" borderId="28" xfId="213" applyNumberFormat="1" applyFont="1" applyFill="1" applyBorder="1" applyAlignment="1">
      <alignment vertical="center"/>
    </xf>
    <xf numFmtId="183" fontId="69" fillId="0" borderId="8" xfId="59" applyNumberFormat="1" applyFont="1" applyFill="1" applyBorder="1" applyAlignment="1">
      <alignment horizontal="right" vertical="center"/>
    </xf>
    <xf numFmtId="183" fontId="69" fillId="0" borderId="28" xfId="59" applyNumberFormat="1" applyFont="1" applyBorder="1" applyAlignment="1">
      <alignment vertical="center"/>
    </xf>
    <xf numFmtId="183" fontId="69" fillId="0" borderId="28" xfId="59" applyNumberFormat="1" applyFont="1" applyFill="1" applyBorder="1" applyAlignment="1">
      <alignment vertical="center"/>
    </xf>
    <xf numFmtId="183" fontId="69" fillId="0" borderId="0" xfId="59" applyNumberFormat="1" applyFont="1" applyFill="1" applyAlignment="1">
      <alignment vertical="center"/>
    </xf>
    <xf numFmtId="170" fontId="69" fillId="28" borderId="0" xfId="1" applyNumberFormat="1" applyFont="1" applyFill="1" applyAlignment="1">
      <alignment vertical="center"/>
    </xf>
    <xf numFmtId="170" fontId="74" fillId="44" borderId="62" xfId="5" applyNumberFormat="1" applyFont="1" applyFill="1" applyBorder="1" applyProtection="1"/>
    <xf numFmtId="0" fontId="69" fillId="0" borderId="28" xfId="5" applyNumberFormat="1" applyFont="1" applyFill="1" applyBorder="1" applyAlignment="1">
      <alignment horizontal="center"/>
    </xf>
    <xf numFmtId="170" fontId="69" fillId="0" borderId="0" xfId="1" quotePrefix="1" applyNumberFormat="1" applyFont="1" applyAlignment="1">
      <alignment horizontal="right"/>
    </xf>
    <xf numFmtId="170" fontId="74" fillId="0" borderId="0" xfId="1" quotePrefix="1" applyNumberFormat="1" applyFont="1" applyAlignment="1">
      <alignment horizontal="right"/>
    </xf>
    <xf numFmtId="170" fontId="76" fillId="0" borderId="0" xfId="1" quotePrefix="1" applyNumberFormat="1" applyFont="1" applyAlignment="1">
      <alignment horizontal="center"/>
    </xf>
    <xf numFmtId="165" fontId="69" fillId="0" borderId="0" xfId="59" applyFont="1" applyFill="1"/>
    <xf numFmtId="170" fontId="118" fillId="0" borderId="8" xfId="1" applyNumberFormat="1" applyFont="1" applyFill="1" applyBorder="1" applyAlignment="1">
      <alignment horizontal="right"/>
    </xf>
    <xf numFmtId="188" fontId="74" fillId="24" borderId="31" xfId="59" applyNumberFormat="1" applyFont="1" applyFill="1" applyBorder="1" applyAlignment="1">
      <alignment horizontal="right"/>
    </xf>
    <xf numFmtId="170" fontId="69" fillId="0" borderId="129" xfId="1" applyNumberFormat="1" applyFont="1" applyBorder="1" applyAlignment="1">
      <alignment horizontal="center"/>
    </xf>
    <xf numFmtId="170" fontId="69" fillId="0" borderId="129" xfId="1" applyNumberFormat="1" applyFont="1" applyBorder="1"/>
    <xf numFmtId="165" fontId="69" fillId="0" borderId="129" xfId="59" applyFont="1" applyBorder="1"/>
    <xf numFmtId="183" fontId="124" fillId="0" borderId="0" xfId="59" applyNumberFormat="1" applyFont="1" applyFill="1" applyBorder="1"/>
    <xf numFmtId="183" fontId="124" fillId="0" borderId="15" xfId="59" applyNumberFormat="1" applyFont="1" applyFill="1" applyBorder="1"/>
    <xf numFmtId="188" fontId="124" fillId="0" borderId="23" xfId="0" applyFont="1" applyFill="1" applyBorder="1"/>
    <xf numFmtId="183" fontId="124" fillId="0" borderId="47" xfId="0" applyNumberFormat="1" applyFont="1" applyFill="1" applyBorder="1"/>
    <xf numFmtId="170" fontId="125" fillId="0" borderId="15" xfId="0" applyNumberFormat="1" applyFont="1" applyFill="1" applyBorder="1"/>
    <xf numFmtId="170" fontId="118" fillId="0" borderId="8" xfId="1" applyNumberFormat="1" applyFont="1" applyFill="1" applyBorder="1" applyAlignment="1" applyProtection="1">
      <alignment horizontal="right"/>
    </xf>
    <xf numFmtId="170" fontId="76" fillId="0" borderId="101" xfId="1" applyNumberFormat="1" applyFont="1" applyFill="1" applyBorder="1" applyAlignment="1">
      <alignment horizontal="right"/>
    </xf>
    <xf numFmtId="183" fontId="69" fillId="0" borderId="0" xfId="1" applyNumberFormat="1" applyFont="1" applyFill="1"/>
    <xf numFmtId="175" fontId="69" fillId="0" borderId="0" xfId="1" applyNumberFormat="1" applyFont="1" applyFill="1" applyBorder="1" applyAlignment="1">
      <alignment horizontal="right"/>
    </xf>
    <xf numFmtId="14" fontId="69" fillId="0" borderId="16" xfId="1" applyNumberFormat="1" applyFont="1" applyBorder="1"/>
    <xf numFmtId="14" fontId="69" fillId="0" borderId="16" xfId="1" applyNumberFormat="1" applyFont="1" applyFill="1" applyBorder="1"/>
    <xf numFmtId="175" fontId="69" fillId="0" borderId="0" xfId="1" applyNumberFormat="1" applyFont="1" applyFill="1" applyBorder="1" applyProtection="1"/>
    <xf numFmtId="18" fontId="69" fillId="0" borderId="16" xfId="1" applyNumberFormat="1" applyFont="1" applyBorder="1"/>
    <xf numFmtId="168" fontId="76" fillId="0" borderId="0" xfId="1" applyNumberFormat="1" applyFont="1" applyFill="1" applyBorder="1" applyAlignment="1">
      <alignment horizontal="center"/>
    </xf>
    <xf numFmtId="175" fontId="76" fillId="0" borderId="0" xfId="1" applyNumberFormat="1" applyFont="1" applyFill="1" applyBorder="1" applyAlignment="1">
      <alignment horizontal="center"/>
    </xf>
    <xf numFmtId="18" fontId="69" fillId="0" borderId="16" xfId="1" applyNumberFormat="1" applyFont="1" applyFill="1" applyBorder="1"/>
    <xf numFmtId="170" fontId="69" fillId="0" borderId="15" xfId="1" applyNumberFormat="1" applyFont="1" applyFill="1" applyBorder="1" applyAlignment="1">
      <alignment horizontal="right"/>
    </xf>
    <xf numFmtId="170" fontId="74" fillId="0" borderId="16" xfId="1" applyNumberFormat="1" applyFont="1" applyFill="1" applyBorder="1"/>
    <xf numFmtId="168" fontId="76" fillId="0" borderId="0" xfId="1" applyNumberFormat="1" applyFont="1" applyFill="1" applyBorder="1" applyAlignment="1">
      <alignment horizontal="right"/>
    </xf>
    <xf numFmtId="175" fontId="105" fillId="0" borderId="0" xfId="1" applyNumberFormat="1" applyFont="1" applyFill="1" applyBorder="1"/>
    <xf numFmtId="170" fontId="76" fillId="0" borderId="16" xfId="1" applyNumberFormat="1" applyFont="1" applyFill="1" applyBorder="1"/>
    <xf numFmtId="175" fontId="76" fillId="0" borderId="0" xfId="1" applyNumberFormat="1" applyFont="1" applyFill="1" applyBorder="1"/>
    <xf numFmtId="168" fontId="69" fillId="0" borderId="0" xfId="1" applyNumberFormat="1" applyFont="1" applyFill="1" applyBorder="1"/>
    <xf numFmtId="170" fontId="74" fillId="0" borderId="15" xfId="1" applyNumberFormat="1" applyFont="1" applyFill="1" applyBorder="1" applyAlignment="1">
      <alignment horizontal="center"/>
    </xf>
    <xf numFmtId="168" fontId="74" fillId="0" borderId="0" xfId="1" applyNumberFormat="1" applyFont="1" applyFill="1" applyBorder="1"/>
    <xf numFmtId="175" fontId="69" fillId="0" borderId="19" xfId="1" applyNumberFormat="1" applyFont="1" applyFill="1" applyBorder="1"/>
    <xf numFmtId="2" fontId="69" fillId="0" borderId="0" xfId="1" applyNumberFormat="1" applyFont="1" applyFill="1"/>
    <xf numFmtId="175" fontId="105" fillId="0" borderId="0" xfId="1" applyNumberFormat="1" applyFont="1" applyBorder="1" applyAlignment="1">
      <alignment horizontal="right"/>
    </xf>
    <xf numFmtId="178" fontId="69" fillId="0" borderId="0" xfId="1" applyNumberFormat="1" applyFont="1" applyFill="1" applyBorder="1"/>
    <xf numFmtId="172" fontId="69" fillId="0" borderId="0" xfId="1" applyNumberFormat="1" applyFont="1" applyFill="1" applyBorder="1"/>
    <xf numFmtId="172" fontId="69" fillId="0" borderId="21" xfId="1" applyNumberFormat="1" applyFont="1" applyFill="1" applyBorder="1"/>
    <xf numFmtId="172" fontId="156" fillId="0" borderId="0" xfId="1" applyNumberFormat="1" applyFont="1" applyFill="1" applyBorder="1"/>
    <xf numFmtId="170" fontId="69" fillId="0" borderId="46" xfId="1" applyNumberFormat="1" applyFont="1" applyFill="1" applyBorder="1"/>
    <xf numFmtId="178" fontId="69" fillId="0" borderId="38" xfId="1" applyNumberFormat="1" applyFont="1" applyFill="1" applyBorder="1"/>
    <xf numFmtId="170" fontId="69" fillId="0" borderId="38" xfId="1" applyNumberFormat="1" applyFont="1" applyFill="1" applyBorder="1"/>
    <xf numFmtId="175" fontId="69" fillId="0" borderId="18" xfId="1" applyNumberFormat="1" applyFont="1" applyFill="1" applyBorder="1"/>
    <xf numFmtId="175" fontId="105" fillId="0" borderId="0" xfId="1" applyNumberFormat="1" applyFont="1" applyFill="1" applyBorder="1" applyAlignment="1">
      <alignment horizontal="right"/>
    </xf>
    <xf numFmtId="170" fontId="76" fillId="0" borderId="15" xfId="1" applyNumberFormat="1" applyFont="1" applyFill="1" applyBorder="1" applyAlignment="1">
      <alignment horizontal="right"/>
    </xf>
    <xf numFmtId="170" fontId="69" fillId="29" borderId="0" xfId="1" applyNumberFormat="1" applyFont="1" applyFill="1"/>
    <xf numFmtId="170" fontId="76" fillId="0" borderId="20" xfId="1" applyNumberFormat="1" applyFont="1" applyFill="1" applyBorder="1" applyAlignment="1"/>
    <xf numFmtId="170" fontId="76" fillId="0" borderId="21" xfId="1" applyNumberFormat="1" applyFont="1" applyFill="1" applyBorder="1" applyAlignment="1"/>
    <xf numFmtId="41" fontId="69" fillId="0" borderId="0" xfId="1" applyNumberFormat="1" applyFont="1" applyFill="1" applyBorder="1"/>
    <xf numFmtId="170" fontId="69" fillId="0" borderId="16" xfId="1" applyNumberFormat="1" applyFont="1" applyFill="1" applyBorder="1" applyAlignment="1">
      <alignment horizontal="right"/>
    </xf>
    <xf numFmtId="173" fontId="69" fillId="0" borderId="0" xfId="218" applyNumberFormat="1" applyFont="1"/>
    <xf numFmtId="170" fontId="69" fillId="0" borderId="21" xfId="1" quotePrefix="1" applyNumberFormat="1" applyFont="1" applyFill="1" applyBorder="1" applyAlignment="1">
      <alignment horizontal="right"/>
    </xf>
    <xf numFmtId="170" fontId="76" fillId="0" borderId="0" xfId="1" applyNumberFormat="1" applyFont="1" applyFill="1" applyBorder="1" applyAlignment="1"/>
    <xf numFmtId="170" fontId="74" fillId="0" borderId="38" xfId="1" applyNumberFormat="1" applyFont="1" applyFill="1" applyBorder="1" applyAlignment="1"/>
    <xf numFmtId="170" fontId="76" fillId="0" borderId="16" xfId="1" applyNumberFormat="1" applyFont="1" applyFill="1" applyBorder="1" applyAlignment="1">
      <alignment horizontal="right"/>
    </xf>
    <xf numFmtId="170" fontId="74" fillId="0" borderId="45" xfId="1" applyNumberFormat="1" applyFont="1" applyFill="1" applyBorder="1"/>
    <xf numFmtId="170" fontId="74" fillId="0" borderId="17" xfId="1" applyNumberFormat="1" applyFont="1" applyFill="1" applyBorder="1" applyAlignment="1"/>
    <xf numFmtId="170" fontId="69" fillId="0" borderId="45" xfId="1" applyNumberFormat="1" applyFont="1" applyFill="1" applyBorder="1"/>
    <xf numFmtId="40" fontId="76" fillId="0" borderId="0" xfId="1" applyNumberFormat="1" applyFont="1" applyFill="1" applyBorder="1" applyAlignment="1">
      <alignment horizontal="right"/>
    </xf>
    <xf numFmtId="186" fontId="105" fillId="0" borderId="0" xfId="1" applyNumberFormat="1" applyFont="1" applyFill="1" applyBorder="1" applyAlignment="1">
      <alignment horizontal="right"/>
    </xf>
    <xf numFmtId="170" fontId="74" fillId="0" borderId="17" xfId="1" applyNumberFormat="1" applyFont="1" applyFill="1" applyBorder="1"/>
    <xf numFmtId="174" fontId="69" fillId="0" borderId="22" xfId="1" applyNumberFormat="1" applyFont="1" applyBorder="1"/>
    <xf numFmtId="175" fontId="69" fillId="0" borderId="0" xfId="1" applyNumberFormat="1" applyFont="1" applyBorder="1" applyAlignment="1">
      <alignment horizontal="right"/>
    </xf>
    <xf numFmtId="168" fontId="69" fillId="0" borderId="19" xfId="1" applyNumberFormat="1" applyFont="1" applyFill="1" applyBorder="1"/>
    <xf numFmtId="170" fontId="69" fillId="0" borderId="24" xfId="1" applyNumberFormat="1" applyFont="1" applyBorder="1"/>
    <xf numFmtId="168" fontId="69" fillId="0" borderId="18" xfId="1" applyNumberFormat="1" applyFont="1" applyFill="1" applyBorder="1"/>
    <xf numFmtId="170" fontId="69" fillId="0" borderId="24" xfId="1" applyNumberFormat="1" applyFont="1" applyFill="1" applyBorder="1" applyAlignment="1">
      <alignment horizontal="right"/>
    </xf>
    <xf numFmtId="175" fontId="69" fillId="0" borderId="18" xfId="1" applyNumberFormat="1" applyFont="1" applyFill="1" applyBorder="1" applyAlignment="1">
      <alignment horizontal="right"/>
    </xf>
    <xf numFmtId="175" fontId="69" fillId="0" borderId="0" xfId="1" applyNumberFormat="1" applyFont="1" applyFill="1" applyAlignment="1">
      <alignment horizontal="right"/>
    </xf>
    <xf numFmtId="170" fontId="74" fillId="0" borderId="15" xfId="1" applyNumberFormat="1" applyFont="1" applyFill="1" applyBorder="1"/>
    <xf numFmtId="175" fontId="69" fillId="0" borderId="0" xfId="1" quotePrefix="1" applyNumberFormat="1" applyFont="1" applyFill="1" applyAlignment="1">
      <alignment horizontal="right"/>
    </xf>
    <xf numFmtId="170" fontId="69" fillId="0" borderId="47" xfId="1" applyNumberFormat="1" applyFont="1" applyFill="1" applyBorder="1"/>
    <xf numFmtId="170" fontId="69" fillId="0" borderId="39" xfId="1" applyNumberFormat="1" applyFont="1" applyFill="1" applyBorder="1"/>
    <xf numFmtId="170" fontId="104" fillId="0" borderId="0" xfId="1" applyNumberFormat="1" applyFont="1" applyFill="1" applyBorder="1"/>
    <xf numFmtId="175" fontId="74" fillId="0" borderId="0" xfId="1" applyNumberFormat="1" applyFont="1" applyFill="1" applyBorder="1"/>
    <xf numFmtId="14" fontId="76" fillId="0" borderId="0" xfId="1" applyNumberFormat="1" applyFont="1" applyFill="1" applyBorder="1" applyAlignment="1" applyProtection="1">
      <alignment horizontal="center"/>
    </xf>
    <xf numFmtId="188" fontId="76" fillId="0" borderId="15" xfId="1" applyNumberFormat="1" applyFont="1" applyFill="1" applyBorder="1" applyAlignment="1" applyProtection="1">
      <alignment horizontal="center"/>
    </xf>
    <xf numFmtId="168" fontId="76" fillId="0" borderId="0" xfId="1" applyNumberFormat="1" applyFont="1" applyFill="1" applyBorder="1" applyAlignment="1" applyProtection="1">
      <alignment horizontal="center"/>
    </xf>
    <xf numFmtId="175" fontId="76" fillId="0" borderId="0" xfId="1" applyNumberFormat="1" applyFont="1" applyFill="1" applyBorder="1" applyAlignment="1" applyProtection="1">
      <alignment horizontal="center"/>
    </xf>
    <xf numFmtId="170" fontId="76" fillId="0" borderId="15" xfId="1" applyNumberFormat="1" applyFont="1" applyFill="1" applyBorder="1" applyAlignment="1">
      <alignment horizontal="center"/>
    </xf>
    <xf numFmtId="15" fontId="76" fillId="0" borderId="0" xfId="1" quotePrefix="1" applyNumberFormat="1" applyFont="1" applyFill="1" applyBorder="1" applyAlignment="1">
      <alignment horizontal="right"/>
    </xf>
    <xf numFmtId="168" fontId="76" fillId="0" borderId="0" xfId="1" quotePrefix="1" applyNumberFormat="1" applyFont="1" applyFill="1" applyBorder="1" applyAlignment="1">
      <alignment horizontal="right"/>
    </xf>
    <xf numFmtId="15" fontId="76" fillId="30" borderId="0" xfId="1" applyNumberFormat="1" applyFont="1" applyFill="1" applyBorder="1" applyAlignment="1">
      <alignment horizontal="right"/>
    </xf>
    <xf numFmtId="15" fontId="76" fillId="0" borderId="15" xfId="1" quotePrefix="1" applyNumberFormat="1" applyFont="1" applyFill="1" applyBorder="1" applyAlignment="1">
      <alignment horizontal="right"/>
    </xf>
    <xf numFmtId="170" fontId="76" fillId="0" borderId="16" xfId="1" applyNumberFormat="1" applyFont="1" applyBorder="1"/>
    <xf numFmtId="175" fontId="76" fillId="0" borderId="0" xfId="1" applyNumberFormat="1" applyFont="1" applyBorder="1"/>
    <xf numFmtId="175" fontId="173" fillId="0" borderId="0" xfId="1" applyNumberFormat="1" applyFont="1" applyFill="1" applyBorder="1"/>
    <xf numFmtId="170" fontId="76" fillId="0" borderId="16" xfId="1" quotePrefix="1" applyNumberFormat="1" applyFont="1" applyBorder="1" applyAlignment="1">
      <alignment horizontal="right"/>
    </xf>
    <xf numFmtId="175" fontId="76" fillId="0" borderId="0" xfId="1" quotePrefix="1" applyNumberFormat="1" applyFont="1" applyBorder="1" applyAlignment="1">
      <alignment horizontal="right"/>
    </xf>
    <xf numFmtId="170" fontId="76" fillId="0" borderId="16" xfId="1" applyNumberFormat="1" applyFont="1" applyBorder="1" applyAlignment="1">
      <alignment horizontal="right"/>
    </xf>
    <xf numFmtId="170" fontId="76" fillId="0" borderId="16" xfId="1" quotePrefix="1" applyNumberFormat="1" applyFont="1" applyFill="1" applyBorder="1" applyAlignment="1">
      <alignment horizontal="right"/>
    </xf>
    <xf numFmtId="170" fontId="76" fillId="0" borderId="16" xfId="1" applyNumberFormat="1" applyFont="1" applyBorder="1" applyAlignment="1">
      <alignment horizontal="center" wrapText="1"/>
    </xf>
    <xf numFmtId="170" fontId="74" fillId="0" borderId="26" xfId="1" applyNumberFormat="1" applyFont="1" applyBorder="1"/>
    <xf numFmtId="170" fontId="74" fillId="0" borderId="26" xfId="1" quotePrefix="1" applyNumberFormat="1" applyFont="1" applyFill="1" applyBorder="1" applyAlignment="1">
      <alignment horizontal="right"/>
    </xf>
    <xf numFmtId="175" fontId="76" fillId="0" borderId="0" xfId="1" applyNumberFormat="1" applyFont="1" applyFill="1" applyAlignment="1">
      <alignment horizontal="right"/>
    </xf>
    <xf numFmtId="170" fontId="74" fillId="0" borderId="16" xfId="1" applyNumberFormat="1" applyFont="1" applyFill="1" applyBorder="1" applyAlignment="1">
      <alignment horizontal="right" wrapText="1"/>
    </xf>
    <xf numFmtId="183" fontId="127" fillId="48" borderId="56" xfId="59" applyNumberFormat="1" applyFont="1" applyFill="1" applyBorder="1"/>
    <xf numFmtId="165" fontId="127" fillId="48" borderId="56" xfId="59" applyFont="1" applyFill="1" applyBorder="1"/>
    <xf numFmtId="170" fontId="69" fillId="44" borderId="0" xfId="5" applyNumberFormat="1" applyFont="1" applyFill="1"/>
    <xf numFmtId="188" fontId="170" fillId="0" borderId="52" xfId="0" applyNumberFormat="1" applyFont="1" applyBorder="1" applyAlignment="1">
      <alignment horizontal="center"/>
    </xf>
    <xf numFmtId="165" fontId="170" fillId="0" borderId="52" xfId="59" applyFont="1" applyBorder="1" applyAlignment="1">
      <alignment horizontal="center"/>
    </xf>
    <xf numFmtId="49" fontId="174" fillId="0" borderId="52" xfId="0" applyNumberFormat="1" applyFont="1" applyBorder="1" applyAlignment="1">
      <alignment horizontal="center"/>
    </xf>
    <xf numFmtId="170" fontId="170" fillId="0" borderId="52" xfId="0" applyNumberFormat="1" applyFont="1" applyBorder="1" applyAlignment="1">
      <alignment horizontal="center"/>
    </xf>
    <xf numFmtId="170" fontId="170" fillId="0" borderId="53" xfId="0" applyNumberFormat="1" applyFont="1" applyBorder="1" applyAlignment="1">
      <alignment horizontal="center"/>
    </xf>
    <xf numFmtId="183" fontId="147" fillId="48" borderId="56" xfId="59" applyNumberFormat="1" applyFont="1" applyFill="1" applyBorder="1" applyAlignment="1">
      <alignment horizontal="center"/>
    </xf>
    <xf numFmtId="37" fontId="153" fillId="0" borderId="28" xfId="256" quotePrefix="1" applyNumberFormat="1" applyFont="1" applyFill="1" applyBorder="1" applyAlignment="1">
      <alignment horizontal="center"/>
    </xf>
    <xf numFmtId="170" fontId="74" fillId="0" borderId="111" xfId="1" applyNumberFormat="1" applyFont="1" applyFill="1" applyBorder="1" applyAlignment="1">
      <alignment horizontal="right"/>
    </xf>
    <xf numFmtId="170" fontId="69" fillId="0" borderId="0" xfId="59" applyNumberFormat="1" applyFont="1"/>
    <xf numFmtId="170" fontId="76" fillId="0" borderId="19" xfId="0" applyNumberFormat="1" applyFont="1" applyBorder="1" applyAlignment="1">
      <alignment horizontal="center"/>
    </xf>
    <xf numFmtId="183" fontId="147" fillId="0" borderId="44" xfId="59" applyNumberFormat="1" applyFont="1" applyFill="1" applyBorder="1" applyAlignment="1">
      <alignment horizontal="right"/>
    </xf>
    <xf numFmtId="183" fontId="147" fillId="0" borderId="17" xfId="1" applyNumberFormat="1" applyFont="1" applyFill="1" applyBorder="1" applyAlignment="1">
      <alignment horizontal="right"/>
    </xf>
    <xf numFmtId="183" fontId="147" fillId="0" borderId="33" xfId="1" applyNumberFormat="1" applyFont="1" applyFill="1" applyBorder="1" applyAlignment="1">
      <alignment horizontal="right"/>
    </xf>
    <xf numFmtId="183" fontId="147" fillId="0" borderId="0" xfId="1" applyNumberFormat="1" applyFont="1" applyFill="1" applyBorder="1" applyAlignment="1">
      <alignment horizontal="right"/>
    </xf>
    <xf numFmtId="183" fontId="147" fillId="0" borderId="28" xfId="1" applyNumberFormat="1" applyFont="1" applyFill="1" applyBorder="1" applyAlignment="1">
      <alignment horizontal="right"/>
    </xf>
    <xf numFmtId="165" fontId="74" fillId="0" borderId="0" xfId="59" applyFont="1" applyBorder="1"/>
    <xf numFmtId="183" fontId="147" fillId="0" borderId="0" xfId="59" applyNumberFormat="1" applyFont="1" applyFill="1" applyBorder="1"/>
    <xf numFmtId="37" fontId="147" fillId="0" borderId="28" xfId="1" applyNumberFormat="1" applyFont="1" applyFill="1" applyBorder="1" applyAlignment="1">
      <alignment horizontal="center" wrapText="1"/>
    </xf>
    <xf numFmtId="1" fontId="161" fillId="0" borderId="22" xfId="0" applyNumberFormat="1" applyFont="1" applyFill="1" applyBorder="1" applyAlignment="1">
      <alignment horizontal="left"/>
    </xf>
    <xf numFmtId="1" fontId="124" fillId="0" borderId="16" xfId="0" applyNumberFormat="1" applyFont="1" applyFill="1" applyBorder="1" applyAlignment="1">
      <alignment horizontal="left"/>
    </xf>
    <xf numFmtId="1" fontId="124" fillId="0" borderId="24" xfId="0" applyNumberFormat="1" applyFont="1" applyFill="1" applyBorder="1" applyAlignment="1">
      <alignment horizontal="left"/>
    </xf>
    <xf numFmtId="170" fontId="162" fillId="0" borderId="54" xfId="0" applyNumberFormat="1" applyFont="1" applyFill="1" applyBorder="1" applyAlignment="1">
      <alignment horizontal="right"/>
    </xf>
    <xf numFmtId="185" fontId="124" fillId="0" borderId="80" xfId="255" applyNumberFormat="1" applyFont="1" applyBorder="1" applyAlignment="1">
      <alignment horizontal="right"/>
    </xf>
    <xf numFmtId="170" fontId="124" fillId="0" borderId="55" xfId="0" applyNumberFormat="1" applyFont="1" applyFill="1" applyBorder="1" applyAlignment="1">
      <alignment horizontal="right"/>
    </xf>
    <xf numFmtId="170" fontId="162" fillId="0" borderId="54" xfId="0" applyNumberFormat="1" applyFont="1" applyFill="1" applyBorder="1" applyAlignment="1">
      <alignment horizontal="center"/>
    </xf>
    <xf numFmtId="170" fontId="124" fillId="0" borderId="80" xfId="0" applyNumberFormat="1" applyFont="1" applyFill="1" applyBorder="1" applyAlignment="1">
      <alignment horizontal="center"/>
    </xf>
    <xf numFmtId="170" fontId="124" fillId="0" borderId="80" xfId="0" applyNumberFormat="1" applyFont="1" applyBorder="1" applyAlignment="1">
      <alignment horizontal="center"/>
    </xf>
    <xf numFmtId="170" fontId="124" fillId="0" borderId="55" xfId="0" applyNumberFormat="1" applyFont="1" applyFill="1" applyBorder="1" applyAlignment="1">
      <alignment horizontal="center"/>
    </xf>
    <xf numFmtId="37" fontId="74" fillId="62" borderId="62" xfId="5" applyNumberFormat="1" applyFont="1" applyFill="1" applyBorder="1" applyAlignment="1" applyProtection="1">
      <alignment horizontal="left"/>
    </xf>
    <xf numFmtId="170" fontId="69" fillId="62" borderId="40" xfId="5" applyNumberFormat="1" applyFont="1" applyFill="1" applyBorder="1"/>
    <xf numFmtId="184" fontId="69" fillId="0" borderId="6" xfId="261" applyNumberFormat="1" applyFont="1" applyBorder="1"/>
    <xf numFmtId="203" fontId="69" fillId="0" borderId="6" xfId="218" applyNumberFormat="1" applyFont="1" applyBorder="1"/>
    <xf numFmtId="0" fontId="69" fillId="0" borderId="31" xfId="213" applyNumberFormat="1" applyFont="1" applyFill="1" applyBorder="1" applyAlignment="1">
      <alignment horizontal="left"/>
    </xf>
    <xf numFmtId="170" fontId="69" fillId="0" borderId="129" xfId="0" applyNumberFormat="1" applyFont="1" applyBorder="1"/>
    <xf numFmtId="0" fontId="69" fillId="0" borderId="22" xfId="0" applyNumberFormat="1" applyFont="1" applyBorder="1" applyAlignment="1">
      <alignment horizontal="left"/>
    </xf>
    <xf numFmtId="174" fontId="69" fillId="0" borderId="23" xfId="0" applyNumberFormat="1" applyFont="1" applyFill="1" applyBorder="1"/>
    <xf numFmtId="174" fontId="69" fillId="0" borderId="0" xfId="59" applyNumberFormat="1" applyFont="1"/>
    <xf numFmtId="174" fontId="69" fillId="0" borderId="19" xfId="0" applyNumberFormat="1" applyFont="1" applyFill="1" applyBorder="1"/>
    <xf numFmtId="174" fontId="69" fillId="0" borderId="18" xfId="0" applyNumberFormat="1" applyFont="1" applyFill="1" applyBorder="1"/>
    <xf numFmtId="170" fontId="64" fillId="0" borderId="0" xfId="0" applyNumberFormat="1" applyFont="1"/>
    <xf numFmtId="170" fontId="64" fillId="0" borderId="28" xfId="5" applyNumberFormat="1" applyFont="1" applyFill="1" applyBorder="1" applyProtection="1"/>
    <xf numFmtId="170" fontId="64" fillId="0" borderId="28" xfId="5" applyNumberFormat="1" applyFont="1" applyFill="1" applyBorder="1" applyAlignment="1" applyProtection="1">
      <alignment horizontal="center"/>
    </xf>
    <xf numFmtId="170" fontId="64" fillId="0" borderId="28" xfId="5" applyNumberFormat="1" applyFont="1" applyFill="1" applyBorder="1" applyAlignment="1" applyProtection="1">
      <alignment horizontal="center" vertical="top" wrapText="1"/>
    </xf>
    <xf numFmtId="170" fontId="64" fillId="0" borderId="8" xfId="5" applyNumberFormat="1" applyFont="1" applyFill="1" applyBorder="1" applyProtection="1"/>
    <xf numFmtId="170" fontId="64" fillId="0" borderId="28" xfId="213" applyFont="1" applyFill="1" applyBorder="1" applyAlignment="1">
      <alignment horizontal="left"/>
    </xf>
    <xf numFmtId="170" fontId="64" fillId="0" borderId="28" xfId="213" applyFont="1" applyFill="1" applyBorder="1" applyAlignment="1">
      <alignment horizontal="right"/>
    </xf>
    <xf numFmtId="165" fontId="64" fillId="0" borderId="0" xfId="59" applyFont="1" applyFill="1" applyBorder="1"/>
    <xf numFmtId="170" fontId="64" fillId="0" borderId="0" xfId="5" applyNumberFormat="1" applyFont="1" applyFill="1"/>
    <xf numFmtId="170" fontId="64" fillId="0" borderId="0" xfId="5" applyNumberFormat="1" applyFont="1"/>
    <xf numFmtId="170" fontId="155" fillId="0" borderId="0" xfId="0" applyNumberFormat="1" applyFont="1"/>
    <xf numFmtId="0" fontId="69" fillId="0" borderId="0" xfId="0" applyNumberFormat="1" applyFont="1" applyBorder="1" applyAlignment="1">
      <alignment horizontal="left"/>
    </xf>
    <xf numFmtId="170" fontId="64" fillId="0" borderId="28" xfId="5" applyNumberFormat="1" applyFont="1" applyFill="1" applyBorder="1" applyAlignment="1" applyProtection="1">
      <alignment horizontal="left"/>
    </xf>
    <xf numFmtId="170" fontId="74" fillId="0" borderId="54" xfId="0" applyNumberFormat="1" applyFont="1" applyBorder="1" applyAlignment="1">
      <alignment vertical="center"/>
    </xf>
    <xf numFmtId="170" fontId="74" fillId="0" borderId="80" xfId="0" applyNumberFormat="1" applyFont="1" applyBorder="1" applyAlignment="1">
      <alignment vertical="center"/>
    </xf>
    <xf numFmtId="170" fontId="74" fillId="0" borderId="55" xfId="0" applyNumberFormat="1" applyFont="1" applyBorder="1" applyAlignment="1">
      <alignment vertical="center"/>
    </xf>
    <xf numFmtId="170" fontId="69" fillId="0" borderId="54" xfId="0" applyNumberFormat="1" applyFont="1" applyBorder="1"/>
    <xf numFmtId="170" fontId="69" fillId="0" borderId="55" xfId="0" applyNumberFormat="1" applyFont="1" applyBorder="1"/>
    <xf numFmtId="188" fontId="74" fillId="0" borderId="0" xfId="0" applyFont="1" applyFill="1" applyBorder="1" applyAlignment="1">
      <alignment horizontal="left"/>
    </xf>
    <xf numFmtId="174" fontId="118" fillId="0" borderId="28" xfId="1" applyNumberFormat="1" applyFont="1" applyFill="1" applyBorder="1" applyProtection="1"/>
    <xf numFmtId="170" fontId="69" fillId="0" borderId="101" xfId="213" applyFont="1" applyBorder="1" applyAlignment="1">
      <alignment horizontal="right"/>
    </xf>
    <xf numFmtId="37" fontId="119" fillId="0" borderId="66" xfId="1" applyNumberFormat="1" applyFont="1" applyFill="1" applyBorder="1" applyAlignment="1">
      <alignment horizontal="right"/>
    </xf>
    <xf numFmtId="37" fontId="74" fillId="0" borderId="35" xfId="1" applyNumberFormat="1" applyFont="1" applyFill="1" applyBorder="1" applyAlignment="1">
      <alignment horizontal="center"/>
    </xf>
    <xf numFmtId="37" fontId="118" fillId="0" borderId="8" xfId="1" applyNumberFormat="1" applyFont="1" applyFill="1" applyBorder="1" applyAlignment="1">
      <alignment horizontal="right"/>
    </xf>
    <xf numFmtId="174" fontId="69" fillId="0" borderId="8" xfId="1" applyNumberFormat="1" applyFont="1" applyBorder="1" applyAlignment="1">
      <alignment horizontal="left"/>
    </xf>
    <xf numFmtId="165" fontId="147" fillId="48" borderId="56" xfId="59" applyNumberFormat="1" applyFont="1" applyFill="1" applyBorder="1"/>
    <xf numFmtId="183" fontId="69" fillId="0" borderId="52" xfId="59" applyNumberFormat="1" applyFont="1" applyBorder="1"/>
    <xf numFmtId="170" fontId="69" fillId="0" borderId="130" xfId="0" applyNumberFormat="1" applyFont="1" applyBorder="1" applyAlignment="1">
      <alignment vertical="center"/>
    </xf>
    <xf numFmtId="170" fontId="69" fillId="0" borderId="132" xfId="0" applyNumberFormat="1" applyFont="1" applyBorder="1" applyAlignment="1">
      <alignment vertical="center"/>
    </xf>
    <xf numFmtId="170" fontId="69" fillId="0" borderId="134" xfId="0" applyNumberFormat="1" applyFont="1" applyBorder="1" applyAlignment="1">
      <alignment vertical="center"/>
    </xf>
    <xf numFmtId="170" fontId="74" fillId="0" borderId="135" xfId="0" applyNumberFormat="1" applyFont="1" applyBorder="1" applyAlignment="1">
      <alignment horizontal="right" vertical="center"/>
    </xf>
    <xf numFmtId="0" fontId="69" fillId="0" borderId="0" xfId="213" applyNumberFormat="1" applyFont="1" applyFill="1" applyBorder="1" applyAlignment="1">
      <alignment horizontal="left"/>
    </xf>
    <xf numFmtId="183" fontId="69" fillId="0" borderId="66" xfId="59" applyNumberFormat="1" applyFont="1" applyFill="1" applyBorder="1"/>
    <xf numFmtId="183" fontId="69" fillId="0" borderId="122" xfId="59" applyNumberFormat="1" applyFont="1" applyFill="1" applyBorder="1"/>
    <xf numFmtId="170" fontId="69" fillId="44" borderId="28" xfId="1" applyNumberFormat="1" applyFont="1" applyFill="1" applyBorder="1" applyAlignment="1">
      <alignment horizontal="right"/>
    </xf>
    <xf numFmtId="183" fontId="69" fillId="0" borderId="61" xfId="59" applyNumberFormat="1" applyFont="1" applyFill="1" applyBorder="1"/>
    <xf numFmtId="170" fontId="69" fillId="0" borderId="32" xfId="213" applyFont="1" applyBorder="1" applyAlignment="1">
      <alignment horizontal="right"/>
    </xf>
    <xf numFmtId="183" fontId="69" fillId="0" borderId="44" xfId="59" applyNumberFormat="1" applyFont="1" applyFill="1" applyBorder="1"/>
    <xf numFmtId="170" fontId="69" fillId="0" borderId="33" xfId="213" applyFont="1" applyBorder="1" applyAlignment="1">
      <alignment horizontal="right"/>
    </xf>
    <xf numFmtId="170" fontId="124" fillId="0" borderId="15" xfId="1" applyNumberFormat="1" applyFont="1" applyFill="1" applyBorder="1"/>
    <xf numFmtId="170" fontId="124" fillId="0" borderId="80" xfId="1" applyNumberFormat="1" applyFont="1" applyBorder="1" applyAlignment="1">
      <alignment horizontal="right"/>
    </xf>
    <xf numFmtId="188" fontId="161" fillId="0" borderId="19" xfId="0" applyNumberFormat="1" applyFont="1" applyFill="1" applyBorder="1" applyAlignment="1">
      <alignment horizontal="right"/>
    </xf>
    <xf numFmtId="0" fontId="124" fillId="0" borderId="16" xfId="0" applyNumberFormat="1" applyFont="1" applyFill="1" applyBorder="1" applyAlignment="1">
      <alignment horizontal="right"/>
    </xf>
    <xf numFmtId="170" fontId="124" fillId="0" borderId="54" xfId="207" applyNumberFormat="1" applyFont="1" applyFill="1" applyBorder="1" applyAlignment="1">
      <alignment horizontal="right"/>
    </xf>
    <xf numFmtId="170" fontId="124" fillId="0" borderId="55" xfId="1" applyNumberFormat="1" applyFont="1" applyBorder="1" applyAlignment="1">
      <alignment horizontal="right"/>
    </xf>
    <xf numFmtId="170" fontId="124" fillId="0" borderId="18" xfId="1" applyNumberFormat="1" applyFont="1" applyFill="1" applyBorder="1" applyAlignment="1">
      <alignment horizontal="right"/>
    </xf>
    <xf numFmtId="0" fontId="124" fillId="0" borderId="0" xfId="0" applyNumberFormat="1" applyFont="1" applyFill="1" applyBorder="1" applyAlignment="1">
      <alignment horizontal="right"/>
    </xf>
    <xf numFmtId="170" fontId="69" fillId="0" borderId="54" xfId="0" applyNumberFormat="1" applyFont="1" applyFill="1" applyBorder="1"/>
    <xf numFmtId="174" fontId="69" fillId="0" borderId="0" xfId="0" applyNumberFormat="1" applyFont="1" applyFill="1" applyBorder="1"/>
    <xf numFmtId="170" fontId="74" fillId="0" borderId="0" xfId="1" applyNumberFormat="1" applyFont="1" applyFill="1" applyBorder="1" applyAlignment="1">
      <alignment horizontal="center" vertical="center"/>
    </xf>
    <xf numFmtId="1" fontId="69" fillId="0" borderId="8" xfId="0" applyNumberFormat="1" applyFont="1" applyBorder="1" applyAlignment="1">
      <alignment horizontal="right"/>
    </xf>
    <xf numFmtId="170" fontId="76" fillId="0" borderId="21" xfId="1" quotePrefix="1" applyNumberFormat="1" applyFont="1" applyFill="1" applyBorder="1" applyAlignment="1">
      <alignment horizontal="center"/>
    </xf>
    <xf numFmtId="170" fontId="76" fillId="0" borderId="123" xfId="1" quotePrefix="1" applyNumberFormat="1" applyFont="1" applyFill="1" applyBorder="1" applyAlignment="1">
      <alignment horizontal="center"/>
    </xf>
    <xf numFmtId="183" fontId="147" fillId="48" borderId="56" xfId="59" applyNumberFormat="1" applyFont="1" applyFill="1" applyBorder="1" applyProtection="1"/>
    <xf numFmtId="183" fontId="147" fillId="48" borderId="56" xfId="59" applyNumberFormat="1" applyFont="1" applyFill="1" applyBorder="1" applyAlignment="1" applyProtection="1">
      <alignment horizontal="center"/>
    </xf>
    <xf numFmtId="170" fontId="149" fillId="0" borderId="56" xfId="0" applyNumberFormat="1" applyFont="1" applyFill="1" applyBorder="1" applyAlignment="1">
      <alignment horizontal="right"/>
    </xf>
    <xf numFmtId="202" fontId="147" fillId="48" borderId="56" xfId="59" applyNumberFormat="1" applyFont="1" applyFill="1" applyBorder="1" applyAlignment="1" applyProtection="1">
      <alignment horizontal="right"/>
    </xf>
    <xf numFmtId="183" fontId="147" fillId="48" borderId="56" xfId="59" applyNumberFormat="1" applyFont="1" applyFill="1" applyBorder="1" applyAlignment="1">
      <alignment vertical="center"/>
    </xf>
    <xf numFmtId="170" fontId="159" fillId="0" borderId="56" xfId="0" applyNumberFormat="1" applyFont="1" applyBorder="1" applyAlignment="1">
      <alignment horizontal="right"/>
    </xf>
    <xf numFmtId="170" fontId="69" fillId="0" borderId="28" xfId="0" applyNumberFormat="1" applyFont="1" applyBorder="1" applyAlignment="1">
      <alignment horizontal="right"/>
    </xf>
    <xf numFmtId="183" fontId="147" fillId="48" borderId="56" xfId="59" applyNumberFormat="1" applyFont="1" applyFill="1" applyBorder="1" applyAlignment="1">
      <alignment horizontal="right" vertical="center"/>
    </xf>
    <xf numFmtId="170" fontId="69" fillId="0" borderId="34" xfId="1" applyNumberFormat="1" applyFont="1" applyFill="1" applyBorder="1" applyAlignment="1">
      <alignment horizontal="right"/>
    </xf>
    <xf numFmtId="170" fontId="76" fillId="0" borderId="22" xfId="0" applyNumberFormat="1" applyFont="1" applyBorder="1" applyAlignment="1">
      <alignment horizontal="center"/>
    </xf>
    <xf numFmtId="170" fontId="76" fillId="0" borderId="16" xfId="0" applyNumberFormat="1" applyFont="1" applyBorder="1" applyAlignment="1">
      <alignment horizontal="center"/>
    </xf>
    <xf numFmtId="17" fontId="74" fillId="0" borderId="84" xfId="0" applyNumberFormat="1" applyFont="1" applyBorder="1" applyAlignment="1">
      <alignment horizontal="center"/>
    </xf>
    <xf numFmtId="170" fontId="132" fillId="0" borderId="8" xfId="1" applyNumberFormat="1" applyFont="1" applyFill="1" applyBorder="1" applyAlignment="1" applyProtection="1">
      <alignment vertical="center"/>
    </xf>
    <xf numFmtId="0" fontId="69" fillId="0" borderId="27" xfId="213" applyNumberFormat="1" applyFont="1" applyFill="1" applyBorder="1" applyAlignment="1">
      <alignment horizontal="right"/>
    </xf>
    <xf numFmtId="170" fontId="69" fillId="0" borderId="27" xfId="213" applyFont="1" applyFill="1" applyBorder="1" applyAlignment="1">
      <alignment horizontal="right"/>
    </xf>
    <xf numFmtId="170" fontId="69" fillId="0" borderId="66" xfId="1" applyNumberFormat="1" applyFont="1" applyFill="1" applyBorder="1" applyProtection="1"/>
    <xf numFmtId="165" fontId="69" fillId="0" borderId="66" xfId="59" applyFont="1" applyFill="1" applyBorder="1"/>
    <xf numFmtId="170" fontId="69" fillId="0" borderId="27" xfId="1" applyNumberFormat="1" applyFont="1" applyFill="1" applyBorder="1"/>
    <xf numFmtId="179" fontId="69" fillId="0" borderId="23" xfId="59" applyNumberFormat="1" applyFont="1" applyFill="1" applyBorder="1" applyAlignment="1">
      <alignment horizontal="right"/>
    </xf>
    <xf numFmtId="179" fontId="69" fillId="0" borderId="15" xfId="59" applyNumberFormat="1" applyFont="1" applyFill="1" applyBorder="1" applyAlignment="1">
      <alignment horizontal="right"/>
    </xf>
    <xf numFmtId="0" fontId="69" fillId="0" borderId="68" xfId="213" applyNumberFormat="1" applyFont="1" applyFill="1" applyBorder="1" applyAlignment="1">
      <alignment horizontal="right"/>
    </xf>
    <xf numFmtId="170" fontId="69" fillId="0" borderId="68" xfId="213" applyFont="1" applyFill="1" applyBorder="1" applyAlignment="1">
      <alignment horizontal="right"/>
    </xf>
    <xf numFmtId="183" fontId="69" fillId="0" borderId="8" xfId="1" applyNumberFormat="1" applyFont="1" applyFill="1" applyBorder="1"/>
    <xf numFmtId="183" fontId="147" fillId="48" borderId="99" xfId="59" applyNumberFormat="1" applyFont="1" applyFill="1" applyBorder="1"/>
    <xf numFmtId="183" fontId="147" fillId="0" borderId="28" xfId="59" applyNumberFormat="1" applyFont="1" applyFill="1" applyBorder="1" applyAlignment="1">
      <alignment vertical="center"/>
    </xf>
    <xf numFmtId="175" fontId="69" fillId="0" borderId="80" xfId="1" applyNumberFormat="1" applyFont="1" applyFill="1" applyBorder="1"/>
    <xf numFmtId="170" fontId="69" fillId="0" borderId="55" xfId="1" applyNumberFormat="1" applyFont="1" applyFill="1" applyBorder="1"/>
    <xf numFmtId="49" fontId="69" fillId="0" borderId="34" xfId="59" applyNumberFormat="1" applyFont="1" applyFill="1" applyBorder="1" applyAlignment="1">
      <alignment horizontal="right"/>
    </xf>
    <xf numFmtId="49" fontId="120" fillId="0" borderId="0" xfId="0" applyNumberFormat="1" applyFont="1" applyFill="1" applyBorder="1" applyAlignment="1">
      <alignment horizontal="center" vertical="center"/>
    </xf>
    <xf numFmtId="49" fontId="120" fillId="0" borderId="0" xfId="0" applyNumberFormat="1" applyFont="1" applyAlignment="1">
      <alignment horizontal="center"/>
    </xf>
    <xf numFmtId="49" fontId="120" fillId="0" borderId="54" xfId="0" applyNumberFormat="1" applyFont="1" applyFill="1" applyBorder="1" applyAlignment="1">
      <alignment horizontal="center"/>
    </xf>
    <xf numFmtId="49" fontId="120" fillId="0" borderId="55" xfId="0" applyNumberFormat="1" applyFont="1" applyFill="1" applyBorder="1" applyAlignment="1">
      <alignment horizontal="center"/>
    </xf>
    <xf numFmtId="49" fontId="120" fillId="0" borderId="0" xfId="0" applyNumberFormat="1" applyFont="1" applyBorder="1" applyAlignment="1">
      <alignment horizontal="center" vertical="center"/>
    </xf>
    <xf numFmtId="17" fontId="69" fillId="0" borderId="129" xfId="0" applyNumberFormat="1" applyFont="1" applyBorder="1"/>
    <xf numFmtId="0" fontId="124" fillId="0" borderId="24" xfId="0" applyNumberFormat="1" applyFont="1" applyFill="1" applyBorder="1" applyAlignment="1">
      <alignment horizontal="right"/>
    </xf>
    <xf numFmtId="174" fontId="69" fillId="0" borderId="15" xfId="1" applyNumberFormat="1" applyFont="1" applyFill="1" applyBorder="1" applyAlignment="1">
      <alignment horizontal="right"/>
    </xf>
    <xf numFmtId="174" fontId="69" fillId="0" borderId="25" xfId="1" applyNumberFormat="1" applyFont="1" applyFill="1" applyBorder="1" applyAlignment="1">
      <alignment horizontal="right"/>
    </xf>
    <xf numFmtId="174" fontId="69" fillId="0" borderId="8" xfId="0" applyNumberFormat="1" applyFont="1" applyFill="1" applyBorder="1" applyAlignment="1">
      <alignment horizontal="right"/>
    </xf>
    <xf numFmtId="174" fontId="74" fillId="0" borderId="54" xfId="1" applyNumberFormat="1" applyFont="1" applyFill="1" applyBorder="1" applyAlignment="1">
      <alignment vertical="center"/>
    </xf>
    <xf numFmtId="170" fontId="69" fillId="0" borderId="37" xfId="1" applyNumberFormat="1" applyFont="1" applyFill="1" applyBorder="1" applyAlignment="1">
      <alignment horizontal="right"/>
    </xf>
    <xf numFmtId="170" fontId="69" fillId="0" borderId="67" xfId="1" applyNumberFormat="1" applyFont="1" applyFill="1" applyBorder="1" applyAlignment="1">
      <alignment horizontal="right"/>
    </xf>
    <xf numFmtId="183" fontId="147" fillId="48" borderId="56" xfId="59" applyNumberFormat="1" applyFont="1" applyFill="1" applyBorder="1" applyAlignment="1" applyProtection="1">
      <alignment horizontal="right"/>
    </xf>
    <xf numFmtId="37" fontId="74" fillId="0" borderId="107" xfId="1" applyNumberFormat="1" applyFont="1" applyFill="1" applyBorder="1" applyProtection="1"/>
    <xf numFmtId="170" fontId="74" fillId="44" borderId="8" xfId="1" applyNumberFormat="1" applyFont="1" applyFill="1" applyBorder="1" applyProtection="1"/>
    <xf numFmtId="14" fontId="74" fillId="0" borderId="21" xfId="5" applyNumberFormat="1" applyFont="1" applyBorder="1" applyAlignment="1" applyProtection="1">
      <alignment horizontal="center" vertical="center"/>
      <protection locked="0"/>
    </xf>
    <xf numFmtId="14" fontId="74" fillId="0" borderId="60" xfId="5" applyNumberFormat="1" applyFont="1" applyBorder="1" applyAlignment="1" applyProtection="1">
      <alignment horizontal="center" vertical="center" wrapText="1"/>
      <protection locked="0"/>
    </xf>
    <xf numFmtId="14" fontId="74" fillId="55" borderId="60" xfId="5" applyNumberFormat="1" applyFont="1" applyFill="1" applyBorder="1" applyAlignment="1" applyProtection="1">
      <alignment horizontal="center" vertical="center" wrapText="1"/>
      <protection locked="0"/>
    </xf>
    <xf numFmtId="174" fontId="69" fillId="0" borderId="15" xfId="0" applyNumberFormat="1" applyFont="1" applyFill="1" applyBorder="1" applyAlignment="1">
      <alignment horizontal="right"/>
    </xf>
    <xf numFmtId="174" fontId="69" fillId="0" borderId="25" xfId="0" applyNumberFormat="1" applyFont="1" applyFill="1" applyBorder="1" applyAlignment="1">
      <alignment horizontal="right"/>
    </xf>
    <xf numFmtId="170" fontId="69" fillId="0" borderId="80" xfId="0" applyNumberFormat="1" applyFont="1" applyFill="1" applyBorder="1" applyAlignment="1">
      <alignment horizontal="right"/>
    </xf>
    <xf numFmtId="170" fontId="69" fillId="0" borderId="15" xfId="0" applyNumberFormat="1" applyFont="1" applyFill="1" applyBorder="1" applyAlignment="1">
      <alignment horizontal="right"/>
    </xf>
    <xf numFmtId="170" fontId="69" fillId="0" borderId="55" xfId="0" applyNumberFormat="1" applyFont="1" applyFill="1" applyBorder="1" applyAlignment="1">
      <alignment horizontal="right"/>
    </xf>
    <xf numFmtId="170" fontId="69" fillId="0" borderId="25" xfId="0" applyNumberFormat="1" applyFont="1" applyFill="1" applyBorder="1" applyAlignment="1">
      <alignment horizontal="right"/>
    </xf>
    <xf numFmtId="0" fontId="124" fillId="0" borderId="0" xfId="213" applyNumberFormat="1" applyFont="1" applyFill="1" applyBorder="1" applyAlignment="1">
      <alignment horizontal="right"/>
    </xf>
    <xf numFmtId="170" fontId="124" fillId="0" borderId="35" xfId="1" applyNumberFormat="1" applyFont="1" applyBorder="1"/>
    <xf numFmtId="170" fontId="162" fillId="0" borderId="23" xfId="0" applyNumberFormat="1" applyFont="1" applyFill="1" applyBorder="1" applyAlignment="1">
      <alignment horizontal="center"/>
    </xf>
    <xf numFmtId="170" fontId="162" fillId="0" borderId="19" xfId="0" applyNumberFormat="1" applyFont="1" applyFill="1" applyBorder="1" applyAlignment="1">
      <alignment horizontal="center"/>
    </xf>
    <xf numFmtId="174" fontId="124" fillId="0" borderId="0" xfId="0" applyNumberFormat="1" applyFont="1" applyFill="1" applyBorder="1"/>
    <xf numFmtId="174" fontId="162" fillId="0" borderId="23" xfId="0" applyNumberFormat="1" applyFont="1" applyFill="1" applyBorder="1" applyAlignment="1">
      <alignment horizontal="center"/>
    </xf>
    <xf numFmtId="174" fontId="124" fillId="0" borderId="15" xfId="0" applyNumberFormat="1" applyFont="1" applyFill="1" applyBorder="1"/>
    <xf numFmtId="174" fontId="124" fillId="0" borderId="25" xfId="0" applyNumberFormat="1" applyFont="1" applyFill="1" applyBorder="1"/>
    <xf numFmtId="170" fontId="124" fillId="0" borderId="80" xfId="0" applyNumberFormat="1" applyFont="1" applyFill="1" applyBorder="1" applyAlignment="1">
      <alignment horizontal="right"/>
    </xf>
    <xf numFmtId="170" fontId="124" fillId="0" borderId="55" xfId="1" applyNumberFormat="1" applyFont="1" applyBorder="1"/>
    <xf numFmtId="174" fontId="124" fillId="0" borderId="80" xfId="0" applyNumberFormat="1" applyFont="1" applyFill="1" applyBorder="1" applyAlignment="1">
      <alignment horizontal="right"/>
    </xf>
    <xf numFmtId="174" fontId="124" fillId="0" borderId="55" xfId="0" applyNumberFormat="1" applyFont="1" applyFill="1" applyBorder="1" applyAlignment="1">
      <alignment horizontal="right"/>
    </xf>
    <xf numFmtId="174" fontId="162" fillId="0" borderId="54" xfId="0" applyNumberFormat="1" applyFont="1" applyFill="1" applyBorder="1" applyAlignment="1">
      <alignment horizontal="center"/>
    </xf>
    <xf numFmtId="188" fontId="161" fillId="0" borderId="54" xfId="0" applyNumberFormat="1" applyFont="1" applyFill="1" applyBorder="1" applyAlignment="1">
      <alignment horizontal="right"/>
    </xf>
    <xf numFmtId="170" fontId="171" fillId="0" borderId="56" xfId="0" applyNumberFormat="1" applyFont="1" applyFill="1" applyBorder="1" applyAlignment="1">
      <alignment horizontal="right"/>
    </xf>
    <xf numFmtId="175" fontId="69" fillId="0" borderId="8" xfId="209" applyNumberFormat="1" applyFont="1" applyBorder="1" applyAlignment="1">
      <alignment vertical="center"/>
    </xf>
    <xf numFmtId="184" fontId="148" fillId="63" borderId="0" xfId="59" applyNumberFormat="1" applyFont="1" applyFill="1"/>
    <xf numFmtId="184" fontId="69" fillId="63" borderId="80" xfId="0" applyNumberFormat="1" applyFont="1" applyFill="1" applyBorder="1" applyAlignment="1">
      <alignment horizontal="left"/>
    </xf>
    <xf numFmtId="165" fontId="74" fillId="0" borderId="8" xfId="59" applyFont="1" applyFill="1" applyBorder="1" applyProtection="1"/>
    <xf numFmtId="165" fontId="69" fillId="0" borderId="0" xfId="59" applyFont="1" applyBorder="1" applyAlignment="1">
      <alignment horizontal="right"/>
    </xf>
    <xf numFmtId="0" fontId="69" fillId="0" borderId="31" xfId="213" applyNumberFormat="1" applyFont="1" applyBorder="1" applyAlignment="1">
      <alignment horizontal="left"/>
    </xf>
    <xf numFmtId="188" fontId="62" fillId="0" borderId="0" xfId="0" applyFont="1" applyBorder="1" applyAlignment="1">
      <alignment horizontal="left"/>
    </xf>
    <xf numFmtId="0" fontId="69" fillId="0" borderId="8" xfId="213" applyNumberFormat="1" applyFont="1" applyFill="1" applyBorder="1" applyAlignment="1">
      <alignment horizontal="left"/>
    </xf>
    <xf numFmtId="184" fontId="148" fillId="64" borderId="0" xfId="0" applyNumberFormat="1" applyFont="1" applyFill="1" applyAlignment="1">
      <alignment horizontal="left"/>
    </xf>
    <xf numFmtId="0" fontId="117" fillId="0" borderId="0" xfId="213" applyNumberFormat="1" applyFont="1" applyFill="1" applyBorder="1" applyAlignment="1">
      <alignment horizontal="left"/>
    </xf>
    <xf numFmtId="170" fontId="74" fillId="0" borderId="39" xfId="0" applyNumberFormat="1" applyFont="1" applyBorder="1"/>
    <xf numFmtId="193" fontId="74" fillId="0" borderId="0" xfId="1" applyNumberFormat="1" applyFont="1" applyFill="1" applyBorder="1" applyAlignment="1">
      <alignment horizontal="center"/>
    </xf>
    <xf numFmtId="0" fontId="76" fillId="0" borderId="0" xfId="213" applyNumberFormat="1" applyFont="1" applyFill="1" applyBorder="1" applyAlignment="1">
      <alignment horizontal="left"/>
    </xf>
    <xf numFmtId="188" fontId="69" fillId="0" borderId="0" xfId="1" applyFont="1"/>
    <xf numFmtId="188" fontId="69" fillId="0" borderId="16" xfId="1" applyFont="1" applyBorder="1"/>
    <xf numFmtId="3" fontId="69" fillId="0" borderId="0" xfId="1" applyNumberFormat="1" applyFont="1"/>
    <xf numFmtId="3" fontId="69" fillId="0" borderId="79" xfId="1" applyNumberFormat="1" applyFont="1" applyBorder="1"/>
    <xf numFmtId="188" fontId="69" fillId="0" borderId="0" xfId="1" applyFont="1" applyAlignment="1">
      <alignment horizontal="right"/>
    </xf>
    <xf numFmtId="188" fontId="69" fillId="0" borderId="24" xfId="1" applyFont="1" applyBorder="1"/>
    <xf numFmtId="188" fontId="69" fillId="0" borderId="19" xfId="1" applyFont="1" applyBorder="1"/>
    <xf numFmtId="3" fontId="69" fillId="0" borderId="19" xfId="1" applyNumberFormat="1" applyFont="1" applyBorder="1"/>
    <xf numFmtId="3" fontId="69" fillId="0" borderId="23" xfId="1" applyNumberFormat="1" applyFont="1" applyBorder="1"/>
    <xf numFmtId="3" fontId="69" fillId="0" borderId="0" xfId="1" applyNumberFormat="1" applyFont="1" applyFill="1"/>
    <xf numFmtId="3" fontId="69" fillId="0" borderId="15" xfId="1" applyNumberFormat="1" applyFont="1" applyBorder="1"/>
    <xf numFmtId="188" fontId="74" fillId="0" borderId="0" xfId="1" applyFont="1"/>
    <xf numFmtId="170" fontId="69" fillId="0" borderId="31" xfId="213" applyFont="1" applyBorder="1" applyAlignment="1">
      <alignment horizontal="right"/>
    </xf>
    <xf numFmtId="3" fontId="69" fillId="0" borderId="85" xfId="1" applyNumberFormat="1" applyFont="1" applyBorder="1"/>
    <xf numFmtId="188" fontId="69" fillId="35" borderId="0" xfId="1" applyFont="1" applyFill="1"/>
    <xf numFmtId="3" fontId="118" fillId="0" borderId="88" xfId="1" applyNumberFormat="1" applyFont="1" applyBorder="1"/>
    <xf numFmtId="188" fontId="69" fillId="0" borderId="15" xfId="1" applyFont="1" applyBorder="1"/>
    <xf numFmtId="188" fontId="69" fillId="0" borderId="0" xfId="1" applyFont="1" applyAlignment="1">
      <alignment horizontal="center" wrapText="1"/>
    </xf>
    <xf numFmtId="3" fontId="69" fillId="34" borderId="15" xfId="1" applyNumberFormat="1" applyFont="1" applyFill="1" applyBorder="1"/>
    <xf numFmtId="188" fontId="76" fillId="0" borderId="0" xfId="1" applyFont="1"/>
    <xf numFmtId="188" fontId="76" fillId="0" borderId="0" xfId="1" applyFont="1" applyAlignment="1">
      <alignment wrapText="1"/>
    </xf>
    <xf numFmtId="173" fontId="69" fillId="0" borderId="0" xfId="221" applyNumberFormat="1" applyFont="1"/>
    <xf numFmtId="9" fontId="69" fillId="0" borderId="0" xfId="221" applyFont="1"/>
    <xf numFmtId="10" fontId="69" fillId="0" borderId="0" xfId="1" applyNumberFormat="1" applyFont="1"/>
    <xf numFmtId="188" fontId="69" fillId="0" borderId="0" xfId="1" applyFont="1" applyAlignment="1">
      <alignment readingOrder="2"/>
    </xf>
    <xf numFmtId="3" fontId="74" fillId="0" borderId="47" xfId="1" applyNumberFormat="1" applyFont="1" applyBorder="1"/>
    <xf numFmtId="3" fontId="74" fillId="0" borderId="15" xfId="1" applyNumberFormat="1" applyFont="1" applyBorder="1"/>
    <xf numFmtId="188" fontId="74" fillId="0" borderId="16" xfId="1" applyFont="1" applyBorder="1"/>
    <xf numFmtId="188" fontId="69" fillId="0" borderId="104" xfId="1" applyFont="1" applyBorder="1"/>
    <xf numFmtId="188" fontId="69" fillId="0" borderId="102" xfId="1" applyFont="1" applyBorder="1"/>
    <xf numFmtId="3" fontId="69" fillId="0" borderId="108" xfId="1" applyNumberFormat="1" applyFont="1" applyBorder="1"/>
    <xf numFmtId="49" fontId="69" fillId="0" borderId="16" xfId="1" applyNumberFormat="1" applyFont="1" applyBorder="1" applyAlignment="1">
      <alignment horizontal="right"/>
    </xf>
    <xf numFmtId="188" fontId="69" fillId="0" borderId="16" xfId="1" applyFont="1" applyBorder="1" applyAlignment="1">
      <alignment horizontal="right"/>
    </xf>
    <xf numFmtId="3" fontId="69" fillId="0" borderId="47" xfId="1" applyNumberFormat="1" applyFont="1" applyBorder="1"/>
    <xf numFmtId="188" fontId="69" fillId="0" borderId="18" xfId="1" applyFont="1" applyBorder="1"/>
    <xf numFmtId="188" fontId="69" fillId="0" borderId="22" xfId="1" applyFont="1" applyBorder="1"/>
    <xf numFmtId="188" fontId="69" fillId="0" borderId="23" xfId="1" applyFont="1" applyBorder="1"/>
    <xf numFmtId="188" fontId="76" fillId="0" borderId="16" xfId="1" applyFont="1" applyBorder="1"/>
    <xf numFmtId="170" fontId="69" fillId="0" borderId="108" xfId="1" applyNumberFormat="1" applyFont="1" applyBorder="1"/>
    <xf numFmtId="170" fontId="69" fillId="0" borderId="71" xfId="1" applyNumberFormat="1" applyFont="1" applyBorder="1"/>
    <xf numFmtId="201" fontId="69" fillId="0" borderId="0" xfId="1" applyNumberFormat="1" applyFont="1"/>
    <xf numFmtId="3" fontId="69" fillId="0" borderId="18" xfId="1" applyNumberFormat="1" applyFont="1" applyBorder="1"/>
    <xf numFmtId="183" fontId="74" fillId="0" borderId="0" xfId="59" applyNumberFormat="1" applyFont="1"/>
    <xf numFmtId="188" fontId="69" fillId="34" borderId="0" xfId="1" applyFont="1" applyFill="1"/>
    <xf numFmtId="0" fontId="74" fillId="0" borderId="88" xfId="1" applyNumberFormat="1" applyFont="1" applyBorder="1" applyAlignment="1">
      <alignment horizontal="center"/>
    </xf>
    <xf numFmtId="188" fontId="69" fillId="0" borderId="88" xfId="1" applyFont="1" applyBorder="1"/>
    <xf numFmtId="188" fontId="74" fillId="0" borderId="51" xfId="1" applyFont="1" applyBorder="1" applyAlignment="1">
      <alignment horizontal="centerContinuous"/>
    </xf>
    <xf numFmtId="188" fontId="74" fillId="0" borderId="52" xfId="1" applyFont="1" applyBorder="1" applyAlignment="1">
      <alignment horizontal="centerContinuous"/>
    </xf>
    <xf numFmtId="188" fontId="74" fillId="0" borderId="53" xfId="1" applyFont="1" applyBorder="1" applyAlignment="1">
      <alignment horizontal="centerContinuous"/>
    </xf>
    <xf numFmtId="38" fontId="74" fillId="0" borderId="0" xfId="211" applyFont="1" applyAlignment="1">
      <alignment horizontal="center"/>
    </xf>
    <xf numFmtId="188" fontId="74" fillId="0" borderId="0" xfId="215" applyFont="1"/>
    <xf numFmtId="183" fontId="134" fillId="0" borderId="0" xfId="59" applyNumberFormat="1" applyFont="1" applyAlignment="1">
      <alignment horizontal="right"/>
    </xf>
    <xf numFmtId="170" fontId="69" fillId="0" borderId="0" xfId="215" applyNumberFormat="1" applyFont="1" applyAlignment="1">
      <alignment horizontal="center"/>
    </xf>
    <xf numFmtId="170" fontId="69" fillId="0" borderId="0" xfId="215" applyNumberFormat="1" applyFont="1"/>
    <xf numFmtId="1" fontId="69" fillId="0" borderId="0" xfId="215" applyNumberFormat="1" applyFont="1" applyAlignment="1">
      <alignment horizontal="right"/>
    </xf>
    <xf numFmtId="170" fontId="120" fillId="0" borderId="0" xfId="212" applyFont="1" applyAlignment="1">
      <alignment horizontal="right" readingOrder="1"/>
    </xf>
    <xf numFmtId="188" fontId="74" fillId="0" borderId="0" xfId="1" applyFont="1" applyAlignment="1">
      <alignment horizontal="centerContinuous"/>
    </xf>
    <xf numFmtId="188" fontId="170" fillId="0" borderId="22" xfId="1" applyFont="1" applyBorder="1" applyAlignment="1">
      <alignment horizontal="center"/>
    </xf>
    <xf numFmtId="188" fontId="170" fillId="0" borderId="23" xfId="1" applyFont="1" applyBorder="1" applyAlignment="1">
      <alignment horizontal="center"/>
    </xf>
    <xf numFmtId="183" fontId="69" fillId="0" borderId="15" xfId="59" applyNumberFormat="1" applyFont="1" applyBorder="1" applyAlignment="1">
      <alignment horizontal="right"/>
    </xf>
    <xf numFmtId="183" fontId="69" fillId="0" borderId="25" xfId="59" applyNumberFormat="1" applyFont="1" applyBorder="1" applyAlignment="1">
      <alignment horizontal="right"/>
    </xf>
    <xf numFmtId="49" fontId="120" fillId="0" borderId="0" xfId="0" applyNumberFormat="1" applyFont="1" applyFill="1" applyBorder="1" applyAlignment="1">
      <alignment horizontal="center"/>
    </xf>
    <xf numFmtId="188" fontId="74" fillId="0" borderId="0" xfId="0" applyFont="1" applyFill="1" applyBorder="1" applyAlignment="1">
      <alignment horizontal="center"/>
    </xf>
    <xf numFmtId="188" fontId="69" fillId="0" borderId="0" xfId="0" applyFont="1" applyFill="1" applyAlignment="1">
      <alignment horizontal="center" wrapText="1"/>
    </xf>
    <xf numFmtId="184" fontId="122" fillId="63" borderId="0" xfId="0" applyNumberFormat="1" applyFont="1" applyFill="1" applyAlignment="1">
      <alignment horizontal="left"/>
    </xf>
    <xf numFmtId="184" fontId="122" fillId="63" borderId="0" xfId="59" applyNumberFormat="1" applyFont="1" applyFill="1"/>
    <xf numFmtId="183" fontId="118" fillId="0" borderId="0" xfId="59" applyNumberFormat="1" applyFont="1" applyBorder="1" applyAlignment="1">
      <alignment horizontal="right"/>
    </xf>
    <xf numFmtId="170" fontId="120" fillId="0" borderId="0" xfId="212" applyFont="1" applyBorder="1" applyAlignment="1">
      <alignment horizontal="right" readingOrder="1"/>
    </xf>
    <xf numFmtId="170" fontId="69" fillId="0" borderId="51" xfId="0" quotePrefix="1" applyNumberFormat="1" applyFont="1" applyBorder="1" applyAlignment="1">
      <alignment horizontal="center" vertical="center" wrapText="1"/>
    </xf>
    <xf numFmtId="188" fontId="69" fillId="0" borderId="16" xfId="1" applyFont="1" applyBorder="1" applyAlignment="1"/>
    <xf numFmtId="188" fontId="69" fillId="0" borderId="0" xfId="1" applyFont="1" applyAlignment="1"/>
    <xf numFmtId="3" fontId="69" fillId="0" borderId="15" xfId="1" applyNumberFormat="1" applyFont="1" applyBorder="1" applyAlignment="1"/>
    <xf numFmtId="49" fontId="69" fillId="34" borderId="16" xfId="1" applyNumberFormat="1" applyFont="1" applyFill="1" applyBorder="1" applyAlignment="1">
      <alignment horizontal="right"/>
    </xf>
    <xf numFmtId="184" fontId="69" fillId="34" borderId="0" xfId="59" applyNumberFormat="1" applyFont="1" applyFill="1"/>
    <xf numFmtId="188" fontId="69" fillId="0" borderId="0" xfId="1" applyFont="1" applyBorder="1"/>
    <xf numFmtId="170" fontId="76" fillId="0" borderId="0" xfId="1" applyNumberFormat="1" applyFont="1" applyBorder="1" applyAlignment="1">
      <alignment horizontal="center"/>
    </xf>
    <xf numFmtId="18" fontId="69" fillId="0" borderId="0" xfId="1" applyNumberFormat="1" applyFont="1"/>
    <xf numFmtId="170" fontId="69" fillId="55" borderId="0" xfId="0" applyNumberFormat="1" applyFont="1" applyFill="1"/>
    <xf numFmtId="170" fontId="117" fillId="0" borderId="0" xfId="1" applyNumberFormat="1" applyFont="1"/>
    <xf numFmtId="170" fontId="74" fillId="0" borderId="0" xfId="1" quotePrefix="1" applyNumberFormat="1" applyFont="1" applyAlignment="1">
      <alignment horizontal="center"/>
    </xf>
    <xf numFmtId="14" fontId="69" fillId="0" borderId="0" xfId="1" applyNumberFormat="1" applyFont="1" applyAlignment="1">
      <alignment horizontal="center"/>
    </xf>
    <xf numFmtId="18" fontId="69" fillId="0" borderId="0" xfId="1" applyNumberFormat="1" applyFont="1" applyAlignment="1">
      <alignment horizontal="center"/>
    </xf>
    <xf numFmtId="170" fontId="76" fillId="0" borderId="0" xfId="1" applyNumberFormat="1" applyFont="1" applyAlignment="1">
      <alignment horizontal="centerContinuous"/>
    </xf>
    <xf numFmtId="14" fontId="74" fillId="0" borderId="0" xfId="1" applyNumberFormat="1" applyFont="1" applyProtection="1"/>
    <xf numFmtId="14" fontId="69" fillId="0" borderId="0" xfId="1" applyNumberFormat="1" applyFont="1" applyAlignment="1" applyProtection="1">
      <alignment horizontal="center"/>
    </xf>
    <xf numFmtId="170" fontId="69" fillId="0" borderId="0" xfId="86" quotePrefix="1" applyFont="1" applyBorder="1" applyAlignment="1">
      <alignment horizontal="right"/>
    </xf>
    <xf numFmtId="170" fontId="74" fillId="0" borderId="0" xfId="1" applyNumberFormat="1" applyFont="1" applyAlignment="1">
      <alignment horizontal="right"/>
    </xf>
    <xf numFmtId="14" fontId="76" fillId="0" borderId="0" xfId="1" applyNumberFormat="1" applyFont="1" applyProtection="1"/>
    <xf numFmtId="37" fontId="69" fillId="0" borderId="0" xfId="1" applyNumberFormat="1" applyFont="1" applyProtection="1"/>
    <xf numFmtId="37" fontId="69" fillId="40" borderId="0" xfId="1" applyNumberFormat="1" applyFont="1" applyFill="1" applyProtection="1"/>
    <xf numFmtId="37" fontId="69" fillId="0" borderId="0" xfId="1" applyNumberFormat="1" applyFont="1" applyFill="1" applyProtection="1"/>
    <xf numFmtId="170" fontId="74" fillId="24" borderId="17" xfId="1" applyNumberFormat="1" applyFont="1" applyFill="1" applyBorder="1"/>
    <xf numFmtId="14" fontId="76" fillId="0" borderId="0" xfId="1" applyNumberFormat="1" applyFont="1" applyBorder="1" applyAlignment="1" applyProtection="1">
      <alignment horizontal="center"/>
    </xf>
    <xf numFmtId="41" fontId="69" fillId="0" borderId="0" xfId="1" applyNumberFormat="1" applyFont="1"/>
    <xf numFmtId="170" fontId="74" fillId="0" borderId="58" xfId="1" applyNumberFormat="1" applyFont="1" applyFill="1" applyBorder="1"/>
    <xf numFmtId="188" fontId="69" fillId="0" borderId="0" xfId="0" applyFont="1" applyAlignment="1">
      <alignment horizontal="justify" vertical="center" wrapText="1"/>
    </xf>
    <xf numFmtId="188" fontId="74" fillId="0" borderId="0" xfId="0" applyFont="1" applyFill="1"/>
    <xf numFmtId="188" fontId="69" fillId="0" borderId="8" xfId="0" applyFont="1" applyFill="1" applyBorder="1" applyAlignment="1">
      <alignment horizontal="right"/>
    </xf>
    <xf numFmtId="170" fontId="74" fillId="0" borderId="114" xfId="1" applyNumberFormat="1" applyFont="1" applyFill="1" applyBorder="1" applyAlignment="1">
      <alignment horizontal="right"/>
    </xf>
    <xf numFmtId="170" fontId="69" fillId="0" borderId="35" xfId="1" applyNumberFormat="1" applyFont="1" applyBorder="1" applyAlignment="1">
      <alignment horizontal="right"/>
    </xf>
    <xf numFmtId="188" fontId="74" fillId="0" borderId="113" xfId="59" applyNumberFormat="1" applyFont="1" applyFill="1" applyBorder="1" applyAlignment="1">
      <alignment horizontal="right"/>
    </xf>
    <xf numFmtId="170" fontId="74" fillId="24" borderId="17" xfId="1" applyNumberFormat="1" applyFont="1" applyFill="1" applyBorder="1" applyAlignment="1">
      <alignment horizontal="center"/>
    </xf>
    <xf numFmtId="170" fontId="74" fillId="0" borderId="22" xfId="1" applyNumberFormat="1" applyFont="1" applyBorder="1"/>
    <xf numFmtId="170" fontId="74" fillId="0" borderId="19" xfId="1" applyNumberFormat="1" applyFont="1" applyBorder="1" applyAlignment="1">
      <alignment horizontal="center"/>
    </xf>
    <xf numFmtId="170" fontId="74" fillId="0" borderId="16" xfId="1" applyNumberFormat="1" applyFont="1" applyBorder="1"/>
    <xf numFmtId="170" fontId="74" fillId="0" borderId="15" xfId="1" applyNumberFormat="1" applyFont="1" applyBorder="1"/>
    <xf numFmtId="14" fontId="76" fillId="0" borderId="0" xfId="1" applyNumberFormat="1" applyFont="1" applyBorder="1" applyProtection="1"/>
    <xf numFmtId="170" fontId="74" fillId="0" borderId="16" xfId="1" applyNumberFormat="1" applyFont="1" applyBorder="1" applyAlignment="1">
      <alignment horizontal="right"/>
    </xf>
    <xf numFmtId="170" fontId="117" fillId="0" borderId="0" xfId="1" applyNumberFormat="1" applyFont="1" applyFill="1" applyBorder="1" applyAlignment="1">
      <alignment horizontal="center"/>
    </xf>
    <xf numFmtId="170" fontId="117" fillId="0" borderId="0" xfId="1" applyNumberFormat="1" applyFont="1" applyFill="1" applyBorder="1"/>
    <xf numFmtId="170" fontId="74" fillId="24" borderId="26" xfId="1" applyNumberFormat="1" applyFont="1" applyFill="1" applyBorder="1"/>
    <xf numFmtId="170" fontId="74" fillId="24" borderId="115" xfId="1" applyNumberFormat="1" applyFont="1" applyFill="1" applyBorder="1"/>
    <xf numFmtId="183" fontId="69" fillId="0" borderId="0" xfId="128" applyNumberFormat="1" applyFont="1" applyBorder="1"/>
    <xf numFmtId="170" fontId="69" fillId="0" borderId="40" xfId="5" applyNumberFormat="1" applyFont="1" applyFill="1" applyBorder="1"/>
    <xf numFmtId="3" fontId="148" fillId="0" borderId="129" xfId="0" applyNumberFormat="1" applyFont="1" applyFill="1" applyBorder="1" applyAlignment="1">
      <alignment horizontal="right" readingOrder="2"/>
    </xf>
    <xf numFmtId="183" fontId="69" fillId="0" borderId="129" xfId="59" applyNumberFormat="1" applyFont="1" applyFill="1" applyBorder="1"/>
    <xf numFmtId="165" fontId="69" fillId="0" borderId="129" xfId="59" applyFont="1" applyFill="1" applyBorder="1"/>
    <xf numFmtId="170" fontId="74" fillId="0" borderId="25" xfId="0" applyNumberFormat="1" applyFont="1" applyBorder="1"/>
    <xf numFmtId="170" fontId="74" fillId="0" borderId="18" xfId="0" applyNumberFormat="1" applyFont="1" applyBorder="1"/>
    <xf numFmtId="14" fontId="74" fillId="55" borderId="60" xfId="5" applyNumberFormat="1" applyFont="1" applyFill="1" applyBorder="1" applyAlignment="1" applyProtection="1">
      <alignment horizontal="center" wrapText="1"/>
      <protection locked="0"/>
    </xf>
    <xf numFmtId="188" fontId="170" fillId="0" borderId="0" xfId="0" applyFont="1" applyFill="1"/>
    <xf numFmtId="0" fontId="124" fillId="0" borderId="18" xfId="0" applyNumberFormat="1" applyFont="1" applyFill="1" applyBorder="1" applyAlignment="1">
      <alignment horizontal="right"/>
    </xf>
    <xf numFmtId="170" fontId="171" fillId="0" borderId="51" xfId="0" applyNumberFormat="1" applyFont="1" applyFill="1" applyBorder="1" applyAlignment="1">
      <alignment horizontal="right"/>
    </xf>
    <xf numFmtId="170" fontId="124" fillId="0" borderId="23" xfId="207" applyNumberFormat="1" applyFont="1" applyFill="1" applyBorder="1" applyAlignment="1">
      <alignment horizontal="right"/>
    </xf>
    <xf numFmtId="0" fontId="124" fillId="0" borderId="80" xfId="0" applyNumberFormat="1" applyFont="1" applyFill="1" applyBorder="1" applyAlignment="1">
      <alignment horizontal="right"/>
    </xf>
    <xf numFmtId="0" fontId="124" fillId="0" borderId="55" xfId="0" applyNumberFormat="1" applyFont="1" applyFill="1" applyBorder="1" applyAlignment="1">
      <alignment horizontal="right"/>
    </xf>
    <xf numFmtId="170" fontId="125" fillId="0" borderId="25" xfId="1" applyNumberFormat="1" applyFont="1" applyFill="1" applyBorder="1"/>
    <xf numFmtId="165" fontId="127" fillId="48" borderId="53" xfId="59" applyFont="1" applyFill="1" applyBorder="1" applyAlignment="1">
      <alignment horizontal="right"/>
    </xf>
    <xf numFmtId="170" fontId="125" fillId="0" borderId="56" xfId="1" applyNumberFormat="1" applyFont="1" applyFill="1" applyBorder="1" applyAlignment="1">
      <alignment horizontal="right"/>
    </xf>
    <xf numFmtId="170" fontId="74" fillId="0" borderId="54" xfId="1" applyNumberFormat="1" applyFont="1" applyFill="1" applyBorder="1" applyAlignment="1">
      <alignment vertical="center"/>
    </xf>
    <xf numFmtId="170" fontId="74" fillId="0" borderId="80" xfId="1" applyNumberFormat="1" applyFont="1" applyFill="1" applyBorder="1" applyAlignment="1">
      <alignment vertical="center"/>
    </xf>
    <xf numFmtId="170" fontId="74" fillId="0" borderId="55" xfId="1" applyNumberFormat="1" applyFont="1" applyFill="1" applyBorder="1" applyAlignment="1">
      <alignment vertical="center"/>
    </xf>
    <xf numFmtId="170" fontId="69" fillId="0" borderId="52" xfId="207" applyNumberFormat="1" applyFont="1" applyFill="1" applyBorder="1" applyAlignment="1">
      <alignment horizontal="right"/>
    </xf>
    <xf numFmtId="188" fontId="146" fillId="0" borderId="56" xfId="0" applyNumberFormat="1" applyFont="1" applyFill="1" applyBorder="1" applyAlignment="1">
      <alignment horizontal="right"/>
    </xf>
    <xf numFmtId="170" fontId="61" fillId="0" borderId="28" xfId="1" applyNumberFormat="1" applyFont="1" applyFill="1" applyBorder="1" applyAlignment="1" applyProtection="1">
      <alignment horizontal="right"/>
    </xf>
    <xf numFmtId="188" fontId="61" fillId="0" borderId="0" xfId="1" applyFont="1" applyFill="1" applyAlignment="1">
      <alignment vertical="center" wrapText="1"/>
    </xf>
    <xf numFmtId="0" fontId="61" fillId="0" borderId="28" xfId="0" applyNumberFormat="1" applyFont="1" applyBorder="1" applyAlignment="1">
      <alignment horizontal="right" vertical="center"/>
    </xf>
    <xf numFmtId="188" fontId="61" fillId="0" borderId="0" xfId="0" applyFont="1" applyFill="1" applyBorder="1" applyAlignment="1">
      <alignment horizontal="right" vertical="center"/>
    </xf>
    <xf numFmtId="170" fontId="61" fillId="0" borderId="28" xfId="1" applyNumberFormat="1" applyFont="1" applyFill="1" applyBorder="1" applyAlignment="1" applyProtection="1">
      <alignment vertical="center"/>
    </xf>
    <xf numFmtId="165" fontId="61" fillId="0" borderId="8" xfId="59" applyFont="1" applyFill="1" applyBorder="1" applyAlignment="1">
      <alignment vertical="center"/>
    </xf>
    <xf numFmtId="170" fontId="61" fillId="0" borderId="8" xfId="1" applyNumberFormat="1" applyFont="1" applyFill="1" applyBorder="1" applyAlignment="1">
      <alignment vertical="center"/>
    </xf>
    <xf numFmtId="170" fontId="61" fillId="0" borderId="8" xfId="1" applyNumberFormat="1" applyFont="1" applyFill="1" applyBorder="1" applyAlignment="1" applyProtection="1">
      <alignment vertical="center"/>
    </xf>
    <xf numFmtId="170" fontId="61" fillId="0" borderId="28" xfId="1" applyNumberFormat="1" applyFont="1" applyFill="1" applyBorder="1" applyAlignment="1">
      <alignment vertical="center"/>
    </xf>
    <xf numFmtId="179" fontId="61" fillId="0" borderId="0" xfId="59" applyNumberFormat="1" applyFont="1" applyFill="1" applyBorder="1" applyAlignment="1">
      <alignment horizontal="right" vertical="center"/>
    </xf>
    <xf numFmtId="170" fontId="61" fillId="0" borderId="0" xfId="1" applyNumberFormat="1" applyFont="1" applyAlignment="1">
      <alignment vertical="center"/>
    </xf>
    <xf numFmtId="170" fontId="61" fillId="0" borderId="0" xfId="1" applyNumberFormat="1" applyFont="1" applyFill="1" applyBorder="1" applyAlignment="1">
      <alignment vertical="center"/>
    </xf>
    <xf numFmtId="170" fontId="61" fillId="0" borderId="0" xfId="1" applyNumberFormat="1" applyFont="1" applyFill="1" applyBorder="1" applyAlignment="1">
      <alignment horizontal="right" vertical="center"/>
    </xf>
    <xf numFmtId="166" fontId="61" fillId="0" borderId="0" xfId="1" applyNumberFormat="1" applyFont="1" applyFill="1" applyBorder="1" applyAlignment="1" applyProtection="1">
      <alignment vertical="center"/>
    </xf>
    <xf numFmtId="39" fontId="61" fillId="0" borderId="0" xfId="1" applyNumberFormat="1" applyFont="1" applyFill="1" applyBorder="1" applyAlignment="1" applyProtection="1">
      <alignment vertical="center"/>
    </xf>
    <xf numFmtId="170" fontId="61" fillId="0" borderId="28" xfId="1" applyNumberFormat="1" applyFont="1" applyFill="1" applyBorder="1" applyAlignment="1" applyProtection="1">
      <alignment horizontal="center"/>
    </xf>
    <xf numFmtId="170" fontId="61" fillId="0" borderId="28" xfId="1" applyNumberFormat="1" applyFont="1" applyFill="1" applyBorder="1" applyAlignment="1" applyProtection="1">
      <alignment horizontal="right" wrapText="1"/>
    </xf>
    <xf numFmtId="170" fontId="61" fillId="0" borderId="28" xfId="1" applyNumberFormat="1" applyFont="1" applyFill="1" applyBorder="1" applyAlignment="1" applyProtection="1">
      <alignment horizontal="right" vertical="center" wrapText="1"/>
    </xf>
    <xf numFmtId="37" fontId="61" fillId="0" borderId="28" xfId="1" applyNumberFormat="1" applyFont="1" applyBorder="1" applyAlignment="1">
      <alignment horizontal="center" vertical="center" wrapText="1"/>
    </xf>
    <xf numFmtId="170" fontId="61" fillId="0" borderId="8" xfId="1" applyNumberFormat="1" applyFont="1" applyFill="1" applyBorder="1" applyProtection="1"/>
    <xf numFmtId="170" fontId="61" fillId="0" borderId="28" xfId="213" applyFont="1" applyFill="1" applyBorder="1" applyAlignment="1">
      <alignment horizontal="right"/>
    </xf>
    <xf numFmtId="170" fontId="61" fillId="0" borderId="28" xfId="213" applyFont="1" applyFill="1" applyBorder="1" applyAlignment="1">
      <alignment horizontal="left" readingOrder="1"/>
    </xf>
    <xf numFmtId="170" fontId="61" fillId="0" borderId="28" xfId="213" quotePrefix="1" applyFont="1" applyFill="1" applyBorder="1" applyAlignment="1">
      <alignment horizontal="right" wrapText="1"/>
    </xf>
    <xf numFmtId="49" fontId="120" fillId="0" borderId="54" xfId="0" applyNumberFormat="1" applyFont="1" applyBorder="1" applyAlignment="1">
      <alignment horizontal="left"/>
    </xf>
    <xf numFmtId="174" fontId="124" fillId="0" borderId="55" xfId="1" applyNumberFormat="1" applyFont="1" applyBorder="1"/>
    <xf numFmtId="174" fontId="124" fillId="0" borderId="35" xfId="1" applyNumberFormat="1" applyFont="1" applyBorder="1"/>
    <xf numFmtId="17" fontId="69" fillId="0" borderId="0" xfId="0" applyNumberFormat="1" applyFont="1" applyBorder="1"/>
    <xf numFmtId="185" fontId="69" fillId="0" borderId="0" xfId="255" applyNumberFormat="1" applyFont="1" applyFill="1" applyBorder="1" applyAlignment="1">
      <alignment horizontal="left"/>
    </xf>
    <xf numFmtId="9" fontId="74" fillId="0" borderId="0" xfId="218" applyFont="1"/>
    <xf numFmtId="170" fontId="74" fillId="0" borderId="22" xfId="0" applyNumberFormat="1" applyFont="1" applyBorder="1"/>
    <xf numFmtId="37" fontId="147" fillId="0" borderId="19" xfId="1" applyNumberFormat="1" applyFont="1" applyBorder="1"/>
    <xf numFmtId="188" fontId="69" fillId="0" borderId="8" xfId="59" applyNumberFormat="1" applyFont="1" applyFill="1" applyBorder="1" applyAlignment="1"/>
    <xf numFmtId="188" fontId="69" fillId="0" borderId="8" xfId="59" applyNumberFormat="1" applyFont="1" applyBorder="1" applyAlignment="1"/>
    <xf numFmtId="170" fontId="69" fillId="0" borderId="137" xfId="1" applyNumberFormat="1" applyFont="1" applyFill="1" applyBorder="1" applyAlignment="1">
      <alignment horizontal="right"/>
    </xf>
    <xf numFmtId="183" fontId="69" fillId="0" borderId="19" xfId="59" applyNumberFormat="1" applyFont="1" applyBorder="1"/>
    <xf numFmtId="170" fontId="69" fillId="0" borderId="16" xfId="1" applyNumberFormat="1" applyFont="1" applyBorder="1" applyAlignment="1">
      <alignment horizontal="left"/>
    </xf>
    <xf numFmtId="188" fontId="69" fillId="0" borderId="54" xfId="0" applyFont="1" applyFill="1" applyBorder="1" applyAlignment="1">
      <alignment horizontal="center"/>
    </xf>
    <xf numFmtId="188" fontId="69" fillId="0" borderId="80" xfId="0" applyFont="1" applyFill="1" applyBorder="1" applyAlignment="1">
      <alignment horizontal="center"/>
    </xf>
    <xf numFmtId="188" fontId="69" fillId="0" borderId="55" xfId="0" applyFont="1" applyFill="1" applyBorder="1" applyAlignment="1">
      <alignment horizontal="center"/>
    </xf>
    <xf numFmtId="185" fontId="147" fillId="48" borderId="56" xfId="255" applyNumberFormat="1" applyFont="1" applyFill="1" applyBorder="1"/>
    <xf numFmtId="37" fontId="61" fillId="0" borderId="0" xfId="210" applyFont="1" applyFill="1" applyBorder="1" applyAlignment="1">
      <alignment horizontal="left"/>
    </xf>
    <xf numFmtId="188" fontId="132" fillId="0" borderId="0" xfId="206" applyFont="1" applyFill="1" applyBorder="1" applyAlignment="1">
      <alignment horizontal="left" vertical="center"/>
    </xf>
    <xf numFmtId="173" fontId="147" fillId="44" borderId="56" xfId="218" applyNumberFormat="1" applyFont="1" applyFill="1" applyBorder="1"/>
    <xf numFmtId="10" fontId="147" fillId="44" borderId="56" xfId="218" applyNumberFormat="1" applyFont="1" applyFill="1" applyBorder="1"/>
    <xf numFmtId="0" fontId="69" fillId="0" borderId="95" xfId="213" applyNumberFormat="1" applyFont="1" applyBorder="1" applyAlignment="1">
      <alignment horizontal="right"/>
    </xf>
    <xf numFmtId="175" fontId="124" fillId="0" borderId="0" xfId="1" applyNumberFormat="1" applyFont="1" applyFill="1"/>
    <xf numFmtId="174" fontId="176" fillId="0" borderId="80" xfId="1" applyNumberFormat="1" applyFont="1" applyFill="1" applyBorder="1" applyProtection="1"/>
    <xf numFmtId="174" fontId="176" fillId="0" borderId="0" xfId="1" applyNumberFormat="1" applyFont="1" applyFill="1" applyBorder="1" applyProtection="1"/>
    <xf numFmtId="174" fontId="176" fillId="0" borderId="55" xfId="1" applyNumberFormat="1" applyFont="1" applyFill="1" applyBorder="1" applyProtection="1"/>
    <xf numFmtId="170" fontId="60" fillId="0" borderId="0" xfId="0" applyNumberFormat="1" applyFont="1"/>
    <xf numFmtId="170" fontId="69" fillId="44" borderId="8" xfId="213" applyFont="1" applyFill="1" applyBorder="1"/>
    <xf numFmtId="202" fontId="147" fillId="48" borderId="56" xfId="59" applyNumberFormat="1" applyFont="1" applyFill="1" applyBorder="1" applyAlignment="1">
      <alignment horizontal="left"/>
    </xf>
    <xf numFmtId="0" fontId="69" fillId="0" borderId="0" xfId="61" applyNumberFormat="1" applyFont="1" applyFill="1" applyBorder="1" applyAlignment="1">
      <alignment horizontal="left"/>
    </xf>
    <xf numFmtId="38" fontId="69" fillId="0" borderId="0" xfId="1" applyNumberFormat="1" applyFont="1" applyFill="1" applyBorder="1"/>
    <xf numFmtId="170" fontId="69" fillId="65" borderId="8" xfId="5" applyNumberFormat="1" applyFont="1" applyFill="1" applyBorder="1" applyProtection="1"/>
    <xf numFmtId="170" fontId="69" fillId="60" borderId="8" xfId="5" applyNumberFormat="1" applyFont="1" applyFill="1" applyBorder="1" applyProtection="1"/>
    <xf numFmtId="170" fontId="59" fillId="0" borderId="8" xfId="1" applyNumberFormat="1" applyFont="1" applyFill="1" applyBorder="1" applyProtection="1"/>
    <xf numFmtId="170" fontId="177" fillId="0" borderId="0" xfId="5" quotePrefix="1" applyNumberFormat="1" applyFont="1" applyFill="1" applyAlignment="1">
      <alignment horizontal="center"/>
    </xf>
    <xf numFmtId="170" fontId="177" fillId="0" borderId="0" xfId="5" quotePrefix="1" applyNumberFormat="1" applyFont="1" applyFill="1"/>
    <xf numFmtId="174" fontId="69" fillId="0" borderId="23" xfId="0" applyNumberFormat="1" applyFont="1" applyBorder="1"/>
    <xf numFmtId="183" fontId="76" fillId="0" borderId="0" xfId="59" quotePrefix="1" applyNumberFormat="1" applyFont="1" applyFill="1" applyBorder="1" applyAlignment="1">
      <alignment horizontal="center"/>
    </xf>
    <xf numFmtId="165" fontId="74" fillId="0" borderId="0" xfId="59" applyFont="1" applyFill="1" applyBorder="1"/>
    <xf numFmtId="183" fontId="69" fillId="0" borderId="129" xfId="59" applyNumberFormat="1" applyFont="1" applyBorder="1"/>
    <xf numFmtId="170" fontId="69" fillId="0" borderId="18" xfId="214" applyFont="1" applyBorder="1"/>
    <xf numFmtId="183" fontId="69" fillId="0" borderId="116" xfId="0" applyNumberFormat="1" applyFont="1" applyBorder="1"/>
    <xf numFmtId="183" fontId="69" fillId="0" borderId="39" xfId="0" applyNumberFormat="1" applyFont="1" applyBorder="1"/>
    <xf numFmtId="183" fontId="69" fillId="0" borderId="47" xfId="59" applyNumberFormat="1" applyFont="1" applyBorder="1"/>
    <xf numFmtId="170" fontId="152" fillId="0" borderId="28" xfId="213" applyFont="1" applyFill="1" applyBorder="1" applyAlignment="1"/>
    <xf numFmtId="170" fontId="69" fillId="0" borderId="53" xfId="0" applyNumberFormat="1" applyFont="1" applyBorder="1"/>
    <xf numFmtId="170" fontId="69" fillId="41" borderId="0" xfId="1" applyNumberFormat="1" applyFont="1" applyFill="1"/>
    <xf numFmtId="174" fontId="69" fillId="0" borderId="80" xfId="0" applyNumberFormat="1" applyFont="1" applyBorder="1"/>
    <xf numFmtId="170" fontId="58" fillId="0" borderId="28" xfId="5" applyNumberFormat="1" applyFont="1" applyFill="1" applyBorder="1" applyAlignment="1" applyProtection="1">
      <alignment horizontal="right"/>
    </xf>
    <xf numFmtId="170" fontId="58" fillId="0" borderId="28" xfId="5" applyNumberFormat="1" applyFont="1" applyFill="1" applyBorder="1" applyAlignment="1" applyProtection="1">
      <alignment horizontal="center"/>
    </xf>
    <xf numFmtId="49" fontId="69" fillId="0" borderId="16" xfId="0" applyNumberFormat="1" applyFont="1" applyBorder="1" applyAlignment="1">
      <alignment horizontal="left"/>
    </xf>
    <xf numFmtId="165" fontId="147" fillId="48" borderId="54" xfId="59" applyFont="1" applyFill="1" applyBorder="1"/>
    <xf numFmtId="49" fontId="69" fillId="0" borderId="24" xfId="0" applyNumberFormat="1" applyFont="1" applyBorder="1" applyAlignment="1">
      <alignment horizontal="left"/>
    </xf>
    <xf numFmtId="170" fontId="57" fillId="0" borderId="0" xfId="5" applyNumberFormat="1" applyFont="1" applyFill="1"/>
    <xf numFmtId="170" fontId="57" fillId="0" borderId="0" xfId="5" applyNumberFormat="1" applyFont="1"/>
    <xf numFmtId="170" fontId="57" fillId="0" borderId="0" xfId="5" applyNumberFormat="1" applyFont="1" applyFill="1" applyBorder="1"/>
    <xf numFmtId="170" fontId="147" fillId="0" borderId="0" xfId="5" quotePrefix="1" applyNumberFormat="1" applyFont="1" applyFill="1" applyAlignment="1">
      <alignment horizontal="center"/>
    </xf>
    <xf numFmtId="170" fontId="158" fillId="0" borderId="0" xfId="5" applyNumberFormat="1" applyFont="1" applyFill="1" applyBorder="1"/>
    <xf numFmtId="170" fontId="57" fillId="0" borderId="0" xfId="5" applyNumberFormat="1" applyFont="1" applyFill="1" applyBorder="1" applyAlignment="1">
      <alignment horizontal="right"/>
    </xf>
    <xf numFmtId="170" fontId="158" fillId="0" borderId="0" xfId="5" quotePrefix="1" applyNumberFormat="1" applyFont="1" applyFill="1" applyBorder="1" applyAlignment="1">
      <alignment horizontal="right"/>
    </xf>
    <xf numFmtId="184" fontId="57" fillId="0" borderId="0" xfId="59" applyNumberFormat="1" applyFont="1" applyFill="1" applyBorder="1" applyAlignment="1">
      <alignment horizontal="left"/>
    </xf>
    <xf numFmtId="184" fontId="57" fillId="0" borderId="0" xfId="59" applyNumberFormat="1" applyFont="1" applyFill="1" applyAlignment="1">
      <alignment horizontal="left"/>
    </xf>
    <xf numFmtId="183" fontId="57" fillId="0" borderId="0" xfId="59" applyNumberFormat="1" applyFont="1" applyFill="1" applyBorder="1"/>
    <xf numFmtId="170" fontId="158" fillId="0" borderId="0" xfId="5" quotePrefix="1" applyNumberFormat="1" applyFont="1" applyFill="1" applyAlignment="1">
      <alignment horizontal="center"/>
    </xf>
    <xf numFmtId="170" fontId="57" fillId="0" borderId="0" xfId="5" applyNumberFormat="1" applyFont="1" applyBorder="1"/>
    <xf numFmtId="170" fontId="64" fillId="44" borderId="0" xfId="5" applyNumberFormat="1" applyFont="1" applyFill="1"/>
    <xf numFmtId="49" fontId="69" fillId="44" borderId="28" xfId="213" applyNumberFormat="1" applyFont="1" applyFill="1" applyBorder="1" applyAlignment="1">
      <alignment horizontal="left"/>
    </xf>
    <xf numFmtId="170" fontId="57" fillId="44" borderId="0" xfId="5" applyNumberFormat="1" applyFont="1" applyFill="1"/>
    <xf numFmtId="170" fontId="57" fillId="0" borderId="8" xfId="5" applyNumberFormat="1" applyFont="1" applyFill="1" applyBorder="1" applyProtection="1"/>
    <xf numFmtId="184" fontId="69" fillId="0" borderId="0" xfId="0" applyNumberFormat="1" applyFont="1"/>
    <xf numFmtId="185" fontId="69" fillId="0" borderId="0" xfId="255" applyNumberFormat="1" applyFont="1" applyFill="1" applyAlignment="1">
      <alignment horizontal="right"/>
    </xf>
    <xf numFmtId="185" fontId="69" fillId="0" borderId="0" xfId="255" applyNumberFormat="1" applyFont="1" applyAlignment="1">
      <alignment horizontal="right"/>
    </xf>
    <xf numFmtId="185" fontId="69" fillId="0" borderId="0" xfId="255" applyNumberFormat="1" applyFont="1" applyFill="1" applyBorder="1" applyAlignment="1">
      <alignment horizontal="right"/>
    </xf>
    <xf numFmtId="184" fontId="74" fillId="0" borderId="0" xfId="0" applyNumberFormat="1" applyFont="1"/>
    <xf numFmtId="185" fontId="74" fillId="0" borderId="102" xfId="255" applyNumberFormat="1" applyFont="1" applyFill="1" applyBorder="1" applyAlignment="1">
      <alignment horizontal="right"/>
    </xf>
    <xf numFmtId="183" fontId="147" fillId="48" borderId="53" xfId="59" applyNumberFormat="1" applyFont="1" applyFill="1" applyBorder="1"/>
    <xf numFmtId="188" fontId="146" fillId="0" borderId="61" xfId="0" applyFont="1" applyBorder="1" applyAlignment="1">
      <alignment horizontal="right"/>
    </xf>
    <xf numFmtId="170" fontId="69" fillId="0" borderId="50" xfId="207" applyNumberFormat="1" applyBorder="1" applyAlignment="1">
      <alignment horizontal="right"/>
    </xf>
    <xf numFmtId="170" fontId="76" fillId="0" borderId="32" xfId="0" applyNumberFormat="1" applyFont="1" applyBorder="1" applyAlignment="1">
      <alignment horizontal="center"/>
    </xf>
    <xf numFmtId="170" fontId="76" fillId="0" borderId="100" xfId="0" applyNumberFormat="1" applyFont="1" applyBorder="1" applyAlignment="1">
      <alignment horizontal="center"/>
    </xf>
    <xf numFmtId="170" fontId="158" fillId="0" borderId="0" xfId="1" applyNumberFormat="1" applyFont="1"/>
    <xf numFmtId="170" fontId="158" fillId="0" borderId="0" xfId="1" quotePrefix="1" applyNumberFormat="1" applyFont="1" applyAlignment="1">
      <alignment horizontal="right"/>
    </xf>
    <xf numFmtId="170" fontId="56" fillId="0" borderId="0" xfId="5" applyNumberFormat="1" applyFont="1" applyFill="1"/>
    <xf numFmtId="170" fontId="69" fillId="0" borderId="140" xfId="213" applyFont="1" applyFill="1" applyBorder="1" applyAlignment="1">
      <alignment horizontal="right"/>
    </xf>
    <xf numFmtId="183" fontId="69" fillId="44" borderId="0" xfId="59" applyNumberFormat="1" applyFont="1" applyFill="1"/>
    <xf numFmtId="183" fontId="69" fillId="44" borderId="0" xfId="59" applyNumberFormat="1" applyFont="1" applyFill="1" applyBorder="1"/>
    <xf numFmtId="170" fontId="69" fillId="44" borderId="0" xfId="1" applyNumberFormat="1" applyFont="1" applyFill="1" applyBorder="1"/>
    <xf numFmtId="170" fontId="69" fillId="0" borderId="141" xfId="0" applyNumberFormat="1" applyFont="1" applyFill="1" applyBorder="1"/>
    <xf numFmtId="170" fontId="69" fillId="0" borderId="96" xfId="213" applyNumberFormat="1" applyFont="1" applyFill="1" applyBorder="1" applyAlignment="1">
      <alignment horizontal="right"/>
    </xf>
    <xf numFmtId="170" fontId="69" fillId="0" borderId="64" xfId="213" applyNumberFormat="1" applyFont="1" applyFill="1" applyBorder="1" applyAlignment="1">
      <alignment horizontal="right"/>
    </xf>
    <xf numFmtId="170" fontId="69" fillId="0" borderId="8" xfId="59" applyNumberFormat="1" applyFont="1" applyFill="1" applyBorder="1" applyProtection="1"/>
    <xf numFmtId="183" fontId="69" fillId="0" borderId="8" xfId="59" applyNumberFormat="1" applyFont="1" applyFill="1" applyBorder="1" applyAlignment="1" applyProtection="1">
      <alignment vertical="center"/>
    </xf>
    <xf numFmtId="175" fontId="69" fillId="0" borderId="0" xfId="0" applyNumberFormat="1" applyFont="1" applyFill="1" applyBorder="1"/>
    <xf numFmtId="170" fontId="69" fillId="44" borderId="0" xfId="1" applyNumberFormat="1" applyFont="1" applyFill="1"/>
    <xf numFmtId="170" fontId="69" fillId="0" borderId="15" xfId="0" applyNumberFormat="1" applyFont="1" applyBorder="1" applyAlignment="1">
      <alignment horizontal="center"/>
    </xf>
    <xf numFmtId="170" fontId="69" fillId="0" borderId="25" xfId="0" applyNumberFormat="1" applyFont="1" applyBorder="1" applyAlignment="1">
      <alignment horizontal="center"/>
    </xf>
    <xf numFmtId="174" fontId="69" fillId="0" borderId="15" xfId="0" applyNumberFormat="1" applyFont="1" applyBorder="1" applyAlignment="1">
      <alignment horizontal="right"/>
    </xf>
    <xf numFmtId="174" fontId="69" fillId="0" borderId="25" xfId="0" applyNumberFormat="1" applyFont="1" applyBorder="1" applyAlignment="1">
      <alignment horizontal="right"/>
    </xf>
    <xf numFmtId="170" fontId="69" fillId="0" borderId="80" xfId="0" applyNumberFormat="1" applyFont="1" applyBorder="1" applyAlignment="1">
      <alignment horizontal="center"/>
    </xf>
    <xf numFmtId="170" fontId="69" fillId="0" borderId="55" xfId="0" applyNumberFormat="1" applyFont="1" applyBorder="1" applyAlignment="1">
      <alignment horizontal="center"/>
    </xf>
    <xf numFmtId="174" fontId="69" fillId="0" borderId="80" xfId="0" applyNumberFormat="1" applyFont="1" applyBorder="1" applyAlignment="1">
      <alignment horizontal="right"/>
    </xf>
    <xf numFmtId="174" fontId="69" fillId="0" borderId="55" xfId="0" applyNumberFormat="1" applyFont="1" applyBorder="1" applyAlignment="1">
      <alignment horizontal="right"/>
    </xf>
    <xf numFmtId="170" fontId="69" fillId="0" borderId="22" xfId="1" applyNumberFormat="1" applyFont="1" applyBorder="1" applyAlignment="1">
      <alignment horizontal="left"/>
    </xf>
    <xf numFmtId="170" fontId="69" fillId="0" borderId="24" xfId="1" applyNumberFormat="1" applyFont="1" applyBorder="1" applyAlignment="1">
      <alignment horizontal="left"/>
    </xf>
    <xf numFmtId="37" fontId="55" fillId="0" borderId="28" xfId="1" applyNumberFormat="1" applyFont="1" applyFill="1" applyBorder="1" applyAlignment="1">
      <alignment horizontal="right"/>
    </xf>
    <xf numFmtId="170" fontId="55" fillId="0" borderId="28" xfId="1" applyNumberFormat="1" applyFont="1" applyFill="1" applyBorder="1" applyAlignment="1" applyProtection="1">
      <alignment horizontal="right"/>
    </xf>
    <xf numFmtId="170" fontId="55" fillId="0" borderId="0" xfId="0" applyNumberFormat="1" applyFont="1"/>
    <xf numFmtId="188" fontId="55" fillId="0" borderId="0" xfId="59" applyNumberFormat="1" applyFont="1" applyFill="1" applyBorder="1" applyAlignment="1">
      <alignment horizontal="center"/>
    </xf>
    <xf numFmtId="188" fontId="55" fillId="0" borderId="22" xfId="0" applyFont="1" applyBorder="1"/>
    <xf numFmtId="183" fontId="55" fillId="0" borderId="27" xfId="59" applyNumberFormat="1" applyFont="1" applyBorder="1"/>
    <xf numFmtId="170" fontId="55" fillId="0" borderId="19" xfId="1" applyNumberFormat="1" applyFont="1" applyBorder="1"/>
    <xf numFmtId="170" fontId="55" fillId="0" borderId="27" xfId="1" applyNumberFormat="1" applyFont="1" applyBorder="1"/>
    <xf numFmtId="170" fontId="55" fillId="0" borderId="0" xfId="1" applyNumberFormat="1" applyFont="1" applyBorder="1"/>
    <xf numFmtId="188" fontId="55" fillId="0" borderId="16" xfId="0" applyFont="1" applyBorder="1"/>
    <xf numFmtId="183" fontId="55" fillId="0" borderId="28" xfId="59" applyNumberFormat="1" applyFont="1" applyBorder="1"/>
    <xf numFmtId="170" fontId="55" fillId="0" borderId="28" xfId="1" applyNumberFormat="1" applyFont="1" applyBorder="1"/>
    <xf numFmtId="170" fontId="55" fillId="0" borderId="0" xfId="1" applyNumberFormat="1" applyFont="1" applyFill="1"/>
    <xf numFmtId="183" fontId="55" fillId="0" borderId="68" xfId="59" applyNumberFormat="1" applyFont="1" applyBorder="1"/>
    <xf numFmtId="170" fontId="55" fillId="0" borderId="18" xfId="1" applyNumberFormat="1" applyFont="1" applyBorder="1"/>
    <xf numFmtId="170" fontId="55" fillId="0" borderId="68" xfId="1" applyNumberFormat="1" applyFont="1" applyBorder="1"/>
    <xf numFmtId="170" fontId="55" fillId="0" borderId="67" xfId="1" applyNumberFormat="1" applyFont="1" applyBorder="1"/>
    <xf numFmtId="183" fontId="55" fillId="0" borderId="8" xfId="59" applyNumberFormat="1" applyFont="1" applyBorder="1"/>
    <xf numFmtId="10" fontId="69" fillId="0" borderId="0" xfId="218" applyNumberFormat="1" applyFont="1" applyBorder="1"/>
    <xf numFmtId="170" fontId="69" fillId="0" borderId="80" xfId="1" applyNumberFormat="1" applyFont="1" applyFill="1" applyBorder="1" applyProtection="1"/>
    <xf numFmtId="41" fontId="69" fillId="0" borderId="0" xfId="210" applyNumberFormat="1" applyFont="1" applyAlignment="1">
      <alignment horizontal="right"/>
    </xf>
    <xf numFmtId="170" fontId="162" fillId="0" borderId="0" xfId="1" applyNumberFormat="1" applyFont="1" applyFill="1" applyBorder="1"/>
    <xf numFmtId="170" fontId="178" fillId="0" borderId="0" xfId="1" applyNumberFormat="1" applyFont="1" applyFill="1"/>
    <xf numFmtId="170" fontId="69" fillId="0" borderId="140" xfId="213" applyFont="1" applyFill="1" applyBorder="1"/>
    <xf numFmtId="174" fontId="76" fillId="0" borderId="54" xfId="0" applyNumberFormat="1" applyFont="1" applyFill="1" applyBorder="1" applyAlignment="1">
      <alignment horizontal="center"/>
    </xf>
    <xf numFmtId="170" fontId="147" fillId="0" borderId="0" xfId="1" applyNumberFormat="1" applyFont="1" applyFill="1" applyBorder="1" applyProtection="1"/>
    <xf numFmtId="170" fontId="147" fillId="0" borderId="28" xfId="1" applyNumberFormat="1" applyFont="1" applyFill="1" applyBorder="1" applyProtection="1"/>
    <xf numFmtId="165" fontId="69" fillId="0" borderId="15" xfId="59" applyNumberFormat="1" applyFont="1" applyBorder="1"/>
    <xf numFmtId="165" fontId="69" fillId="0" borderId="15" xfId="0" applyNumberFormat="1" applyFont="1" applyBorder="1"/>
    <xf numFmtId="170" fontId="74" fillId="0" borderId="60" xfId="1" applyNumberFormat="1" applyFont="1" applyBorder="1" applyAlignment="1">
      <alignment horizontal="center"/>
    </xf>
    <xf numFmtId="37" fontId="147" fillId="48" borderId="56" xfId="1" applyNumberFormat="1" applyFont="1" applyFill="1" applyBorder="1"/>
    <xf numFmtId="37" fontId="147" fillId="48" borderId="99" xfId="1" applyNumberFormat="1" applyFont="1" applyFill="1" applyBorder="1"/>
    <xf numFmtId="183" fontId="69" fillId="0" borderId="15" xfId="59" applyNumberFormat="1" applyFont="1" applyFill="1" applyBorder="1"/>
    <xf numFmtId="170" fontId="74" fillId="0" borderId="56" xfId="1" applyNumberFormat="1" applyFont="1" applyFill="1" applyBorder="1" applyAlignment="1">
      <alignment horizontal="center" vertical="center" wrapText="1"/>
    </xf>
    <xf numFmtId="37" fontId="54" fillId="0" borderId="28" xfId="1" applyNumberFormat="1" applyFont="1" applyFill="1" applyBorder="1" applyAlignment="1">
      <alignment horizontal="right"/>
    </xf>
    <xf numFmtId="0" fontId="69" fillId="0" borderId="34" xfId="0" applyNumberFormat="1" applyFont="1" applyBorder="1" applyAlignment="1"/>
    <xf numFmtId="188" fontId="69" fillId="0" borderId="122" xfId="0" applyFont="1" applyBorder="1" applyAlignment="1">
      <alignment horizontal="right"/>
    </xf>
    <xf numFmtId="174" fontId="69" fillId="0" borderId="122" xfId="1" applyNumberFormat="1" applyFont="1" applyFill="1" applyBorder="1" applyProtection="1"/>
    <xf numFmtId="170" fontId="69" fillId="0" borderId="141" xfId="1" applyNumberFormat="1" applyFont="1" applyFill="1" applyBorder="1" applyProtection="1"/>
    <xf numFmtId="183" fontId="69" fillId="0" borderId="141" xfId="59" applyNumberFormat="1" applyFont="1" applyFill="1" applyBorder="1"/>
    <xf numFmtId="170" fontId="69" fillId="0" borderId="122" xfId="1" applyNumberFormat="1" applyFont="1" applyFill="1" applyBorder="1" applyProtection="1"/>
    <xf numFmtId="170" fontId="54" fillId="0" borderId="0" xfId="1" applyNumberFormat="1" applyFont="1" applyFill="1"/>
    <xf numFmtId="170" fontId="54" fillId="0" borderId="0" xfId="1" applyNumberFormat="1" applyFont="1"/>
    <xf numFmtId="170" fontId="54" fillId="0" borderId="84" xfId="1" applyNumberFormat="1" applyFont="1" applyBorder="1" applyAlignment="1">
      <alignment horizontal="center"/>
    </xf>
    <xf numFmtId="165" fontId="54" fillId="0" borderId="0" xfId="59" applyFont="1"/>
    <xf numFmtId="183" fontId="54" fillId="0" borderId="0" xfId="59" applyNumberFormat="1" applyFont="1"/>
    <xf numFmtId="170" fontId="147" fillId="0" borderId="20" xfId="1" applyNumberFormat="1" applyFont="1" applyBorder="1"/>
    <xf numFmtId="165" fontId="147" fillId="0" borderId="20" xfId="59" applyFont="1" applyBorder="1"/>
    <xf numFmtId="170" fontId="147" fillId="0" borderId="102" xfId="1" applyNumberFormat="1" applyFont="1" applyBorder="1"/>
    <xf numFmtId="170" fontId="54" fillId="0" borderId="84" xfId="1" applyNumberFormat="1" applyFont="1" applyBorder="1"/>
    <xf numFmtId="170" fontId="147" fillId="0" borderId="0" xfId="1" applyNumberFormat="1" applyFont="1"/>
    <xf numFmtId="183" fontId="54" fillId="0" borderId="84" xfId="59" applyNumberFormat="1" applyFont="1" applyBorder="1"/>
    <xf numFmtId="170" fontId="54" fillId="0" borderId="0" xfId="1" applyNumberFormat="1" applyFont="1" applyBorder="1"/>
    <xf numFmtId="170" fontId="147" fillId="0" borderId="0" xfId="1" applyNumberFormat="1" applyFont="1" applyFill="1" applyBorder="1" applyAlignment="1">
      <alignment horizontal="center" wrapText="1"/>
    </xf>
    <xf numFmtId="170" fontId="54" fillId="0" borderId="129" xfId="1" applyNumberFormat="1" applyFont="1" applyBorder="1" applyAlignment="1">
      <alignment horizontal="center"/>
    </xf>
    <xf numFmtId="170" fontId="54" fillId="0" borderId="0" xfId="1" applyNumberFormat="1" applyFont="1" applyFill="1" applyBorder="1" applyAlignment="1">
      <alignment horizontal="center"/>
    </xf>
    <xf numFmtId="165" fontId="54" fillId="0" borderId="0" xfId="59" applyFont="1" applyFill="1"/>
    <xf numFmtId="183" fontId="54" fillId="0" borderId="0" xfId="59" applyNumberFormat="1" applyFont="1" applyFill="1"/>
    <xf numFmtId="165" fontId="147" fillId="0" borderId="0" xfId="59" applyFont="1" applyFill="1" applyBorder="1"/>
    <xf numFmtId="170" fontId="54" fillId="0" borderId="129" xfId="1" applyNumberFormat="1" applyFont="1" applyBorder="1"/>
    <xf numFmtId="170" fontId="54" fillId="0" borderId="0" xfId="1" applyNumberFormat="1" applyFont="1" applyFill="1" applyBorder="1"/>
    <xf numFmtId="170" fontId="147" fillId="0" borderId="0" xfId="1" applyNumberFormat="1" applyFont="1" applyFill="1"/>
    <xf numFmtId="183" fontId="54" fillId="0" borderId="129" xfId="59" applyNumberFormat="1" applyFont="1" applyBorder="1"/>
    <xf numFmtId="183" fontId="54" fillId="0" borderId="0" xfId="59" applyNumberFormat="1" applyFont="1" applyFill="1" applyBorder="1"/>
    <xf numFmtId="188" fontId="54" fillId="0" borderId="16" xfId="0" applyFont="1" applyBorder="1"/>
    <xf numFmtId="170" fontId="55" fillId="66" borderId="24" xfId="1" applyNumberFormat="1" applyFont="1" applyFill="1" applyBorder="1"/>
    <xf numFmtId="10" fontId="147" fillId="48" borderId="56" xfId="218" applyNumberFormat="1" applyFont="1" applyFill="1" applyBorder="1"/>
    <xf numFmtId="170" fontId="69" fillId="0" borderId="56" xfId="1" applyNumberFormat="1" applyFont="1" applyFill="1" applyBorder="1" applyProtection="1"/>
    <xf numFmtId="170" fontId="69" fillId="0" borderId="141" xfId="0" applyNumberFormat="1" applyFont="1" applyBorder="1"/>
    <xf numFmtId="170" fontId="138" fillId="0" borderId="0" xfId="0" applyNumberFormat="1" applyFont="1" applyAlignment="1">
      <alignment horizontal="left" vertical="center" indent="1"/>
    </xf>
    <xf numFmtId="17" fontId="69" fillId="0" borderId="83" xfId="0" applyNumberFormat="1" applyFont="1" applyBorder="1" applyAlignment="1">
      <alignment horizontal="center"/>
    </xf>
    <xf numFmtId="170" fontId="69" fillId="0" borderId="52" xfId="0" applyNumberFormat="1" applyFont="1" applyBorder="1"/>
    <xf numFmtId="170" fontId="61" fillId="0" borderId="8" xfId="1" applyNumberFormat="1" applyFont="1" applyFill="1" applyBorder="1" applyAlignment="1" applyProtection="1">
      <alignment horizontal="right" vertical="center" wrapText="1"/>
    </xf>
    <xf numFmtId="179" fontId="69" fillId="0" borderId="76" xfId="59" applyNumberFormat="1" applyFont="1" applyFill="1" applyBorder="1" applyAlignment="1">
      <alignment horizontal="right"/>
    </xf>
    <xf numFmtId="170" fontId="74" fillId="0" borderId="26" xfId="0" applyNumberFormat="1" applyFont="1" applyBorder="1"/>
    <xf numFmtId="183" fontId="74" fillId="0" borderId="17" xfId="59" applyNumberFormat="1" applyFont="1" applyBorder="1"/>
    <xf numFmtId="183" fontId="74" fillId="0" borderId="115" xfId="59" applyNumberFormat="1" applyFont="1" applyBorder="1"/>
    <xf numFmtId="170" fontId="53" fillId="0" borderId="28" xfId="1" applyNumberFormat="1" applyFont="1" applyFill="1" applyBorder="1" applyAlignment="1" applyProtection="1">
      <alignment horizontal="center"/>
    </xf>
    <xf numFmtId="170" fontId="76" fillId="0" borderId="28" xfId="213" applyFont="1" applyFill="1" applyBorder="1" applyAlignment="1">
      <alignment horizontal="left"/>
    </xf>
    <xf numFmtId="170" fontId="64" fillId="0" borderId="31" xfId="213" applyFont="1" applyFill="1" applyBorder="1" applyAlignment="1">
      <alignment horizontal="left"/>
    </xf>
    <xf numFmtId="188" fontId="74" fillId="47" borderId="141" xfId="5" applyFont="1" applyFill="1" applyBorder="1" applyAlignment="1">
      <alignment horizontal="center" wrapText="1"/>
    </xf>
    <xf numFmtId="41" fontId="69" fillId="47" borderId="141" xfId="210" applyNumberFormat="1" applyFont="1" applyFill="1" applyBorder="1" applyAlignment="1">
      <alignment horizontal="center"/>
    </xf>
    <xf numFmtId="3" fontId="69" fillId="0" borderId="0" xfId="5" applyNumberFormat="1" applyFont="1" applyAlignment="1">
      <alignment horizontal="right"/>
    </xf>
    <xf numFmtId="170" fontId="52" fillId="0" borderId="28" xfId="1" applyNumberFormat="1" applyFont="1" applyFill="1" applyBorder="1" applyAlignment="1" applyProtection="1">
      <alignment horizontal="right" wrapText="1"/>
    </xf>
    <xf numFmtId="195" fontId="147" fillId="48" borderId="56" xfId="0" applyNumberFormat="1" applyFont="1" applyFill="1" applyBorder="1"/>
    <xf numFmtId="1" fontId="69" fillId="0" borderId="8" xfId="0" applyNumberFormat="1" applyFont="1" applyFill="1" applyBorder="1" applyAlignment="1">
      <alignment horizontal="right"/>
    </xf>
    <xf numFmtId="1" fontId="69" fillId="0" borderId="35" xfId="0" applyNumberFormat="1" applyFont="1" applyFill="1" applyBorder="1" applyAlignment="1">
      <alignment horizontal="right"/>
    </xf>
    <xf numFmtId="0" fontId="124" fillId="0" borderId="80" xfId="213" applyNumberFormat="1" applyFont="1" applyFill="1" applyBorder="1" applyAlignment="1">
      <alignment horizontal="right"/>
    </xf>
    <xf numFmtId="170" fontId="76" fillId="0" borderId="52" xfId="0" applyNumberFormat="1" applyFont="1" applyFill="1" applyBorder="1" applyAlignment="1">
      <alignment horizontal="center"/>
    </xf>
    <xf numFmtId="165" fontId="147" fillId="48" borderId="53" xfId="59" applyFont="1" applyFill="1" applyBorder="1" applyAlignment="1">
      <alignment horizontal="right"/>
    </xf>
    <xf numFmtId="170" fontId="74" fillId="0" borderId="142" xfId="1" applyNumberFormat="1" applyFont="1" applyFill="1" applyBorder="1" applyAlignment="1">
      <alignment horizontal="right"/>
    </xf>
    <xf numFmtId="170" fontId="76" fillId="0" borderId="136" xfId="1" applyNumberFormat="1" applyFont="1" applyFill="1" applyBorder="1" applyAlignment="1">
      <alignment horizontal="right"/>
    </xf>
    <xf numFmtId="170" fontId="74" fillId="0" borderId="143" xfId="1" applyNumberFormat="1" applyFont="1" applyFill="1" applyBorder="1" applyAlignment="1">
      <alignment horizontal="right"/>
    </xf>
    <xf numFmtId="165" fontId="147" fillId="48" borderId="143" xfId="59" applyFont="1" applyFill="1" applyBorder="1" applyAlignment="1">
      <alignment horizontal="right"/>
    </xf>
    <xf numFmtId="0" fontId="76" fillId="0" borderId="0" xfId="263" applyFont="1"/>
    <xf numFmtId="0" fontId="69" fillId="0" borderId="0" xfId="263" applyFont="1" applyBorder="1"/>
    <xf numFmtId="0" fontId="74" fillId="0" borderId="0" xfId="263" applyFont="1" applyBorder="1" applyAlignment="1">
      <alignment horizontal="left" vertical="top"/>
    </xf>
    <xf numFmtId="10" fontId="69" fillId="0" borderId="0" xfId="218" applyNumberFormat="1" applyFont="1" applyFill="1" applyBorder="1" applyProtection="1"/>
    <xf numFmtId="0" fontId="74" fillId="0" borderId="0" xfId="263" applyFont="1" applyAlignment="1">
      <alignment horizontal="center"/>
    </xf>
    <xf numFmtId="0" fontId="69" fillId="0" borderId="0" xfId="263" applyFont="1" applyBorder="1" applyAlignment="1">
      <alignment vertical="top"/>
    </xf>
    <xf numFmtId="184" fontId="69" fillId="0" borderId="0" xfId="263" applyNumberFormat="1" applyFont="1" applyBorder="1" applyAlignment="1">
      <alignment horizontal="left" wrapText="1"/>
    </xf>
    <xf numFmtId="184" fontId="74" fillId="0" borderId="93" xfId="264" applyNumberFormat="1" applyFont="1" applyBorder="1" applyAlignment="1">
      <alignment horizontal="center"/>
    </xf>
    <xf numFmtId="184" fontId="69" fillId="0" borderId="144" xfId="264" applyNumberFormat="1" applyFont="1" applyFill="1" applyBorder="1"/>
    <xf numFmtId="184" fontId="69" fillId="0" borderId="80" xfId="264" applyNumberFormat="1" applyFont="1" applyBorder="1" applyAlignment="1">
      <alignment vertical="top"/>
    </xf>
    <xf numFmtId="184" fontId="69" fillId="0" borderId="144" xfId="264" applyNumberFormat="1" applyFont="1" applyBorder="1" applyAlignment="1">
      <alignment vertical="top"/>
    </xf>
    <xf numFmtId="184" fontId="69" fillId="0" borderId="94" xfId="264" applyNumberFormat="1" applyFont="1" applyBorder="1" applyAlignment="1">
      <alignment vertical="top"/>
    </xf>
    <xf numFmtId="184" fontId="74" fillId="0" borderId="54" xfId="264" applyNumberFormat="1" applyFont="1" applyBorder="1" applyAlignment="1">
      <alignment vertical="top"/>
    </xf>
    <xf numFmtId="184" fontId="74" fillId="0" borderId="80" xfId="264" applyNumberFormat="1" applyFont="1" applyBorder="1" applyAlignment="1">
      <alignment vertical="top"/>
    </xf>
    <xf numFmtId="184" fontId="69" fillId="0" borderId="80" xfId="264" applyNumberFormat="1" applyFont="1" applyBorder="1" applyAlignment="1">
      <alignment horizontal="right" vertical="top"/>
    </xf>
    <xf numFmtId="183" fontId="69" fillId="0" borderId="80" xfId="264" applyNumberFormat="1" applyFont="1" applyBorder="1" applyAlignment="1">
      <alignment horizontal="right" vertical="top"/>
    </xf>
    <xf numFmtId="184" fontId="69" fillId="0" borderId="55" xfId="263" applyNumberFormat="1" applyFont="1" applyBorder="1"/>
    <xf numFmtId="0" fontId="74" fillId="0" borderId="0" xfId="263" applyFont="1" applyBorder="1"/>
    <xf numFmtId="165" fontId="124" fillId="0" borderId="80" xfId="59" applyFont="1" applyFill="1" applyBorder="1"/>
    <xf numFmtId="170" fontId="124" fillId="0" borderId="54" xfId="1" applyNumberFormat="1" applyFont="1" applyFill="1" applyBorder="1"/>
    <xf numFmtId="170" fontId="124" fillId="0" borderId="80" xfId="1" applyNumberFormat="1" applyFont="1" applyFill="1" applyBorder="1"/>
    <xf numFmtId="170" fontId="124" fillId="0" borderId="55" xfId="1" applyNumberFormat="1" applyFont="1" applyFill="1" applyBorder="1"/>
    <xf numFmtId="0" fontId="69" fillId="0" borderId="0" xfId="213" applyNumberFormat="1" applyFont="1" applyFill="1" applyBorder="1" applyAlignment="1"/>
    <xf numFmtId="170" fontId="69" fillId="0" borderId="0" xfId="0" applyNumberFormat="1" applyFont="1" applyAlignment="1"/>
    <xf numFmtId="170" fontId="69" fillId="0" borderId="107" xfId="5" applyNumberFormat="1" applyFont="1" applyBorder="1"/>
    <xf numFmtId="170" fontId="155" fillId="0" borderId="28" xfId="0" applyNumberFormat="1" applyFont="1" applyBorder="1" applyAlignment="1">
      <alignment wrapText="1"/>
    </xf>
    <xf numFmtId="188" fontId="69" fillId="0" borderId="22" xfId="0" applyFont="1" applyFill="1" applyBorder="1" applyAlignment="1">
      <alignment horizontal="center"/>
    </xf>
    <xf numFmtId="188" fontId="69" fillId="0" borderId="24" xfId="0" applyFont="1" applyFill="1" applyBorder="1" applyAlignment="1">
      <alignment horizontal="center"/>
    </xf>
    <xf numFmtId="188" fontId="74" fillId="0" borderId="114" xfId="61" applyNumberFormat="1" applyFont="1" applyFill="1" applyBorder="1" applyAlignment="1">
      <alignment horizontal="center"/>
    </xf>
    <xf numFmtId="170" fontId="69" fillId="59" borderId="54" xfId="1" applyNumberFormat="1" applyFont="1" applyFill="1" applyBorder="1" applyAlignment="1" applyProtection="1">
      <alignment horizontal="right"/>
    </xf>
    <xf numFmtId="170" fontId="69" fillId="59" borderId="80" xfId="1" applyNumberFormat="1" applyFont="1" applyFill="1" applyBorder="1" applyAlignment="1" applyProtection="1">
      <alignment horizontal="right"/>
    </xf>
    <xf numFmtId="17" fontId="74" fillId="0" borderId="0" xfId="0" applyNumberFormat="1" applyFont="1" applyBorder="1" applyAlignment="1">
      <alignment horizontal="center"/>
    </xf>
    <xf numFmtId="17" fontId="74" fillId="0" borderId="141" xfId="0" applyNumberFormat="1" applyFont="1" applyBorder="1" applyAlignment="1">
      <alignment horizontal="center"/>
    </xf>
    <xf numFmtId="17" fontId="74" fillId="0" borderId="139" xfId="0" applyNumberFormat="1" applyFont="1" applyBorder="1" applyAlignment="1">
      <alignment horizontal="center"/>
    </xf>
    <xf numFmtId="170" fontId="51" fillId="0" borderId="28" xfId="213" applyFont="1" applyFill="1" applyBorder="1" applyAlignment="1">
      <alignment horizontal="left"/>
    </xf>
    <xf numFmtId="170" fontId="64" fillId="0" borderId="28" xfId="213" applyFont="1" applyFill="1" applyBorder="1" applyAlignment="1"/>
    <xf numFmtId="0" fontId="124" fillId="0" borderId="54" xfId="213" applyNumberFormat="1" applyFont="1" applyFill="1" applyBorder="1" applyAlignment="1">
      <alignment horizontal="right"/>
    </xf>
    <xf numFmtId="174" fontId="69" fillId="0" borderId="23" xfId="1" applyNumberFormat="1" applyFont="1" applyBorder="1"/>
    <xf numFmtId="174" fontId="69" fillId="0" borderId="15" xfId="1" applyNumberFormat="1" applyFont="1" applyBorder="1"/>
    <xf numFmtId="174" fontId="69" fillId="0" borderId="25" xfId="1" applyNumberFormat="1" applyFont="1" applyBorder="1"/>
    <xf numFmtId="170" fontId="124" fillId="0" borderId="0" xfId="1" applyNumberFormat="1" applyFont="1" applyFill="1" applyBorder="1" applyAlignment="1">
      <alignment horizontal="right"/>
    </xf>
    <xf numFmtId="170" fontId="179" fillId="0" borderId="0" xfId="0" applyNumberFormat="1" applyFont="1" applyAlignment="1">
      <alignment horizontal="left" vertical="center" indent="1"/>
    </xf>
    <xf numFmtId="170" fontId="179" fillId="0" borderId="0" xfId="0" applyNumberFormat="1" applyFont="1"/>
    <xf numFmtId="37" fontId="51" fillId="0" borderId="28" xfId="1" applyNumberFormat="1" applyFont="1" applyBorder="1" applyAlignment="1">
      <alignment horizontal="center" vertical="center" wrapText="1"/>
    </xf>
    <xf numFmtId="17" fontId="74" fillId="0" borderId="18" xfId="0" applyNumberFormat="1" applyFont="1" applyBorder="1" applyAlignment="1">
      <alignment horizontal="center"/>
    </xf>
    <xf numFmtId="188" fontId="124" fillId="0" borderId="51" xfId="0" applyFont="1" applyBorder="1" applyAlignment="1">
      <alignment horizontal="center" wrapText="1"/>
    </xf>
    <xf numFmtId="188" fontId="124" fillId="0" borderId="53" xfId="0" applyFont="1" applyBorder="1" applyAlignment="1">
      <alignment horizontal="center" wrapText="1"/>
    </xf>
    <xf numFmtId="183" fontId="50" fillId="0" borderId="0" xfId="59" applyNumberFormat="1" applyFont="1" applyAlignment="1">
      <alignment horizontal="right"/>
    </xf>
    <xf numFmtId="188" fontId="124" fillId="0" borderId="19" xfId="0" applyNumberFormat="1" applyFont="1" applyBorder="1" applyAlignment="1">
      <alignment horizontal="left"/>
    </xf>
    <xf numFmtId="188" fontId="124" fillId="0" borderId="19" xfId="0" applyFont="1" applyBorder="1"/>
    <xf numFmtId="188" fontId="124" fillId="0" borderId="0" xfId="0" applyNumberFormat="1" applyFont="1" applyBorder="1" applyAlignment="1">
      <alignment horizontal="center"/>
    </xf>
    <xf numFmtId="170" fontId="124" fillId="0" borderId="15" xfId="0" applyNumberFormat="1" applyFont="1" applyBorder="1" applyAlignment="1">
      <alignment horizontal="center"/>
    </xf>
    <xf numFmtId="0" fontId="124" fillId="0" borderId="0" xfId="0" applyNumberFormat="1" applyFont="1" applyFill="1" applyBorder="1" applyAlignment="1">
      <alignment horizontal="left"/>
    </xf>
    <xf numFmtId="174" fontId="124" fillId="0" borderId="15" xfId="0" applyNumberFormat="1" applyFont="1" applyBorder="1" applyAlignment="1">
      <alignment horizontal="center"/>
    </xf>
    <xf numFmtId="188" fontId="124" fillId="0" borderId="0" xfId="0" applyNumberFormat="1" applyFont="1" applyBorder="1"/>
    <xf numFmtId="170" fontId="124" fillId="0" borderId="25" xfId="0" applyNumberFormat="1" applyFont="1" applyBorder="1"/>
    <xf numFmtId="170" fontId="124" fillId="0" borderId="22" xfId="0" applyNumberFormat="1" applyFont="1" applyBorder="1"/>
    <xf numFmtId="170" fontId="125" fillId="0" borderId="16" xfId="0" applyNumberFormat="1" applyFont="1" applyBorder="1" applyAlignment="1"/>
    <xf numFmtId="175" fontId="124" fillId="0" borderId="0" xfId="0" applyNumberFormat="1" applyFont="1" applyBorder="1"/>
    <xf numFmtId="170" fontId="124" fillId="35" borderId="0" xfId="0" applyNumberFormat="1" applyFont="1" applyFill="1" applyBorder="1"/>
    <xf numFmtId="185" fontId="124" fillId="35" borderId="0" xfId="255" applyNumberFormat="1" applyFont="1" applyFill="1" applyBorder="1"/>
    <xf numFmtId="176" fontId="175" fillId="0" borderId="15" xfId="0" applyNumberFormat="1" applyFont="1" applyBorder="1"/>
    <xf numFmtId="170" fontId="124" fillId="0" borderId="16" xfId="0" applyNumberFormat="1" applyFont="1" applyBorder="1" applyAlignment="1"/>
    <xf numFmtId="170" fontId="124" fillId="33" borderId="0" xfId="0" applyNumberFormat="1" applyFont="1" applyFill="1" applyBorder="1"/>
    <xf numFmtId="185" fontId="124" fillId="33" borderId="0" xfId="255" applyNumberFormat="1" applyFont="1" applyFill="1" applyBorder="1"/>
    <xf numFmtId="0" fontId="124" fillId="44" borderId="15" xfId="0" applyNumberFormat="1" applyFont="1" applyFill="1" applyBorder="1"/>
    <xf numFmtId="188" fontId="124" fillId="34" borderId="24" xfId="0" applyFont="1" applyFill="1" applyBorder="1"/>
    <xf numFmtId="0" fontId="124" fillId="44" borderId="25" xfId="0" applyNumberFormat="1" applyFont="1" applyFill="1" applyBorder="1"/>
    <xf numFmtId="188" fontId="124" fillId="0" borderId="51" xfId="0" applyFont="1" applyBorder="1"/>
    <xf numFmtId="0" fontId="125" fillId="0" borderId="53" xfId="0" applyNumberFormat="1" applyFont="1" applyBorder="1"/>
    <xf numFmtId="180" fontId="126" fillId="0" borderId="19" xfId="59" applyNumberFormat="1" applyFont="1" applyBorder="1"/>
    <xf numFmtId="188" fontId="124" fillId="0" borderId="23" xfId="0" applyFont="1" applyBorder="1"/>
    <xf numFmtId="9" fontId="124" fillId="0" borderId="0" xfId="218" applyFont="1" applyFill="1" applyAlignment="1">
      <alignment horizontal="left"/>
    </xf>
    <xf numFmtId="170" fontId="124" fillId="0" borderId="0" xfId="0" applyNumberFormat="1" applyFont="1" applyFill="1" applyAlignment="1">
      <alignment horizontal="left"/>
    </xf>
    <xf numFmtId="170" fontId="50" fillId="0" borderId="0" xfId="5" applyNumberFormat="1" applyFont="1" applyFill="1"/>
    <xf numFmtId="188" fontId="127" fillId="0" borderId="141" xfId="0" applyFont="1" applyBorder="1" applyAlignment="1">
      <alignment horizontal="center"/>
    </xf>
    <xf numFmtId="188" fontId="127" fillId="0" borderId="139" xfId="0" applyFont="1" applyBorder="1" applyAlignment="1">
      <alignment horizontal="center"/>
    </xf>
    <xf numFmtId="170" fontId="74" fillId="0" borderId="33" xfId="1" applyNumberFormat="1" applyFont="1" applyBorder="1" applyAlignment="1">
      <alignment horizontal="right"/>
    </xf>
    <xf numFmtId="170" fontId="69" fillId="0" borderId="106" xfId="1" applyNumberFormat="1" applyFont="1" applyFill="1" applyBorder="1"/>
    <xf numFmtId="179" fontId="69" fillId="0" borderId="8" xfId="59" applyNumberFormat="1" applyFont="1" applyFill="1" applyBorder="1" applyAlignment="1">
      <alignment horizontal="right"/>
    </xf>
    <xf numFmtId="170" fontId="69" fillId="0" borderId="122" xfId="1" applyNumberFormat="1" applyFont="1" applyFill="1" applyBorder="1"/>
    <xf numFmtId="170" fontId="74" fillId="24" borderId="113" xfId="1" applyNumberFormat="1" applyFont="1" applyFill="1" applyBorder="1" applyAlignment="1">
      <alignment horizontal="right"/>
    </xf>
    <xf numFmtId="170" fontId="74" fillId="0" borderId="19" xfId="0" applyNumberFormat="1" applyFont="1" applyBorder="1"/>
    <xf numFmtId="175" fontId="74" fillId="0" borderId="54" xfId="1" applyNumberFormat="1" applyFont="1" applyFill="1" applyBorder="1" applyAlignment="1">
      <alignment vertical="center"/>
    </xf>
    <xf numFmtId="175" fontId="74" fillId="0" borderId="55" xfId="1" applyNumberFormat="1" applyFont="1" applyFill="1" applyBorder="1" applyAlignment="1">
      <alignment vertical="center"/>
    </xf>
    <xf numFmtId="165" fontId="69" fillId="0" borderId="55" xfId="59" applyFont="1" applyFill="1" applyBorder="1" applyAlignment="1">
      <alignment vertical="center"/>
    </xf>
    <xf numFmtId="179" fontId="74" fillId="0" borderId="54" xfId="59" applyNumberFormat="1" applyFont="1" applyFill="1" applyBorder="1" applyAlignment="1">
      <alignment vertical="center"/>
    </xf>
    <xf numFmtId="179" fontId="74" fillId="0" borderId="55" xfId="59" applyNumberFormat="1" applyFont="1" applyFill="1" applyBorder="1" applyAlignment="1">
      <alignment vertical="center"/>
    </xf>
    <xf numFmtId="170" fontId="74" fillId="0" borderId="22" xfId="0" applyNumberFormat="1" applyFont="1" applyFill="1" applyBorder="1"/>
    <xf numFmtId="170" fontId="74" fillId="0" borderId="19" xfId="0" applyNumberFormat="1" applyFont="1" applyFill="1" applyBorder="1"/>
    <xf numFmtId="170" fontId="138" fillId="0" borderId="8" xfId="0" applyNumberFormat="1" applyFont="1" applyBorder="1" applyAlignment="1">
      <alignment vertical="center"/>
    </xf>
    <xf numFmtId="183" fontId="147" fillId="48" borderId="55" xfId="59" applyNumberFormat="1" applyFont="1" applyFill="1" applyBorder="1"/>
    <xf numFmtId="170" fontId="69" fillId="0" borderId="139" xfId="0" applyNumberFormat="1" applyFont="1" applyBorder="1"/>
    <xf numFmtId="170" fontId="69" fillId="0" borderId="145" xfId="0" applyNumberFormat="1" applyFont="1" applyBorder="1" applyAlignment="1">
      <alignment horizontal="center"/>
    </xf>
    <xf numFmtId="170" fontId="69" fillId="0" borderId="146" xfId="0" applyNumberFormat="1" applyFont="1" applyBorder="1" applyAlignment="1">
      <alignment horizontal="center"/>
    </xf>
    <xf numFmtId="170" fontId="69" fillId="0" borderId="147" xfId="0" applyNumberFormat="1" applyFont="1" applyBorder="1"/>
    <xf numFmtId="170" fontId="74" fillId="0" borderId="149" xfId="0" applyNumberFormat="1" applyFont="1" applyBorder="1"/>
    <xf numFmtId="185" fontId="69" fillId="0" borderId="15" xfId="255" applyNumberFormat="1" applyFont="1" applyBorder="1"/>
    <xf numFmtId="190" fontId="69" fillId="0" borderId="84" xfId="0" applyNumberFormat="1" applyFont="1" applyBorder="1"/>
    <xf numFmtId="190" fontId="69" fillId="0" borderId="84" xfId="0" applyNumberFormat="1" applyFont="1" applyBorder="1" applyAlignment="1">
      <alignment horizontal="center"/>
    </xf>
    <xf numFmtId="184" fontId="69" fillId="0" borderId="0" xfId="0" applyNumberFormat="1" applyFont="1" applyFill="1"/>
    <xf numFmtId="184" fontId="69" fillId="0" borderId="84" xfId="59" applyNumberFormat="1" applyFont="1" applyFill="1" applyBorder="1"/>
    <xf numFmtId="184" fontId="69" fillId="0" borderId="84" xfId="0" applyNumberFormat="1" applyFont="1" applyFill="1" applyBorder="1"/>
    <xf numFmtId="184" fontId="147" fillId="0" borderId="0" xfId="0" applyNumberFormat="1" applyFont="1"/>
    <xf numFmtId="184" fontId="69" fillId="0" borderId="0" xfId="0" applyNumberFormat="1" applyFont="1" applyFill="1" applyBorder="1"/>
    <xf numFmtId="184" fontId="69" fillId="0" borderId="0" xfId="59" applyNumberFormat="1" applyFont="1" applyAlignment="1">
      <alignment vertical="center"/>
    </xf>
    <xf numFmtId="184" fontId="147" fillId="0" borderId="0" xfId="0" applyNumberFormat="1" applyFont="1" applyFill="1"/>
    <xf numFmtId="184" fontId="74" fillId="0" borderId="20" xfId="0" applyNumberFormat="1" applyFont="1" applyFill="1" applyBorder="1"/>
    <xf numFmtId="184" fontId="151" fillId="0" borderId="92" xfId="59" applyNumberFormat="1" applyFont="1" applyBorder="1" applyAlignment="1">
      <alignment vertical="center"/>
    </xf>
    <xf numFmtId="184" fontId="172" fillId="0" borderId="0" xfId="59" applyNumberFormat="1" applyFont="1" applyAlignment="1">
      <alignment vertical="center"/>
    </xf>
    <xf numFmtId="170" fontId="69" fillId="0" borderId="43" xfId="1" applyNumberFormat="1" applyFont="1" applyFill="1" applyBorder="1" applyProtection="1"/>
    <xf numFmtId="188" fontId="124" fillId="0" borderId="22" xfId="0" applyFont="1" applyBorder="1" applyAlignment="1">
      <alignment horizontal="left"/>
    </xf>
    <xf numFmtId="43" fontId="124" fillId="0" borderId="19" xfId="0" applyNumberFormat="1" applyFont="1" applyBorder="1" applyAlignment="1">
      <alignment horizontal="left"/>
    </xf>
    <xf numFmtId="43" fontId="125" fillId="0" borderId="60" xfId="0" applyNumberFormat="1" applyFont="1" applyBorder="1" applyAlignment="1">
      <alignment horizontal="left"/>
    </xf>
    <xf numFmtId="165" fontId="125" fillId="0" borderId="83" xfId="59" applyFont="1" applyBorder="1" applyAlignment="1">
      <alignment horizontal="left"/>
    </xf>
    <xf numFmtId="0" fontId="124" fillId="0" borderId="16" xfId="213" applyNumberFormat="1" applyFont="1" applyFill="1" applyBorder="1" applyAlignment="1">
      <alignment horizontal="left"/>
    </xf>
    <xf numFmtId="184" fontId="124" fillId="0" borderId="0" xfId="59" applyNumberFormat="1" applyFont="1" applyFill="1" applyBorder="1" applyAlignment="1">
      <alignment horizontal="left"/>
    </xf>
    <xf numFmtId="184" fontId="124" fillId="0" borderId="15" xfId="59" applyNumberFormat="1" applyFont="1" applyFill="1" applyBorder="1" applyAlignment="1">
      <alignment horizontal="left"/>
    </xf>
    <xf numFmtId="170" fontId="69" fillId="0" borderId="15" xfId="1" applyNumberFormat="1" applyFont="1" applyBorder="1" applyAlignment="1">
      <alignment horizontal="left"/>
    </xf>
    <xf numFmtId="184" fontId="124" fillId="0" borderId="123" xfId="59" applyNumberFormat="1" applyFont="1" applyBorder="1" applyAlignment="1">
      <alignment horizontal="left"/>
    </xf>
    <xf numFmtId="184" fontId="124" fillId="0" borderId="15" xfId="59" applyNumberFormat="1" applyFont="1" applyBorder="1" applyAlignment="1">
      <alignment horizontal="left"/>
    </xf>
    <xf numFmtId="188" fontId="125" fillId="0" borderId="0" xfId="0" applyFont="1" applyFill="1" applyBorder="1" applyAlignment="1">
      <alignment horizontal="left"/>
    </xf>
    <xf numFmtId="184" fontId="124" fillId="0" borderId="102" xfId="59" applyNumberFormat="1" applyFont="1" applyBorder="1" applyAlignment="1">
      <alignment horizontal="left"/>
    </xf>
    <xf numFmtId="184" fontId="124" fillId="0" borderId="47" xfId="59" applyNumberFormat="1" applyFont="1" applyBorder="1" applyAlignment="1">
      <alignment horizontal="left"/>
    </xf>
    <xf numFmtId="184" fontId="127" fillId="48" borderId="56" xfId="59" applyNumberFormat="1" applyFont="1" applyFill="1" applyBorder="1" applyAlignment="1">
      <alignment horizontal="left"/>
    </xf>
    <xf numFmtId="170" fontId="69" fillId="0" borderId="33" xfId="1" applyNumberFormat="1" applyFont="1" applyFill="1" applyBorder="1"/>
    <xf numFmtId="170" fontId="69" fillId="0" borderId="32" xfId="213" applyFont="1" applyFill="1" applyBorder="1" applyAlignment="1">
      <alignment horizontal="right"/>
    </xf>
    <xf numFmtId="1" fontId="76" fillId="24" borderId="37" xfId="1" applyNumberFormat="1" applyFont="1" applyFill="1" applyBorder="1" applyAlignment="1"/>
    <xf numFmtId="188" fontId="69" fillId="0" borderId="67" xfId="59" applyNumberFormat="1" applyFont="1" applyFill="1" applyBorder="1" applyAlignment="1">
      <alignment horizontal="right"/>
    </xf>
    <xf numFmtId="183" fontId="120" fillId="34" borderId="0" xfId="59" applyNumberFormat="1" applyFont="1" applyFill="1" applyBorder="1" applyAlignment="1">
      <alignment horizontal="left"/>
    </xf>
    <xf numFmtId="170" fontId="76" fillId="0" borderId="22" xfId="0" applyNumberFormat="1" applyFont="1" applyFill="1" applyBorder="1" applyAlignment="1">
      <alignment horizontal="left"/>
    </xf>
    <xf numFmtId="0" fontId="69" fillId="0" borderId="0" xfId="0" applyNumberFormat="1" applyFont="1" applyAlignment="1">
      <alignment horizontal="left"/>
    </xf>
    <xf numFmtId="185" fontId="69" fillId="0" borderId="141" xfId="255" applyNumberFormat="1" applyFont="1" applyBorder="1"/>
    <xf numFmtId="39" fontId="121" fillId="0" borderId="0" xfId="128" applyNumberFormat="1" applyFont="1" applyBorder="1"/>
    <xf numFmtId="185" fontId="74" fillId="0" borderId="0" xfId="255" applyNumberFormat="1" applyFont="1" applyBorder="1"/>
    <xf numFmtId="165" fontId="69" fillId="0" borderId="8" xfId="59" applyFont="1" applyFill="1" applyBorder="1" applyAlignment="1" applyProtection="1"/>
    <xf numFmtId="170" fontId="76" fillId="0" borderId="16" xfId="0" applyNumberFormat="1" applyFont="1" applyFill="1" applyBorder="1" applyAlignment="1">
      <alignment horizontal="left"/>
    </xf>
    <xf numFmtId="179" fontId="69" fillId="0" borderId="31" xfId="59" applyNumberFormat="1" applyFont="1" applyFill="1" applyBorder="1" applyAlignment="1">
      <alignment horizontal="right"/>
    </xf>
    <xf numFmtId="170" fontId="69" fillId="0" borderId="54" xfId="1" applyNumberFormat="1" applyFont="1" applyFill="1" applyBorder="1" applyAlignment="1" applyProtection="1">
      <alignment horizontal="right"/>
    </xf>
    <xf numFmtId="170" fontId="69" fillId="59" borderId="94" xfId="1" applyNumberFormat="1" applyFont="1" applyFill="1" applyBorder="1" applyAlignment="1" applyProtection="1">
      <alignment horizontal="right"/>
    </xf>
    <xf numFmtId="37" fontId="69" fillId="59" borderId="80" xfId="1" applyNumberFormat="1" applyFont="1" applyFill="1" applyBorder="1" applyAlignment="1">
      <alignment horizontal="right"/>
    </xf>
    <xf numFmtId="170" fontId="69" fillId="59" borderId="55" xfId="1" applyNumberFormat="1" applyFont="1" applyFill="1" applyBorder="1" applyAlignment="1" applyProtection="1">
      <alignment horizontal="right"/>
    </xf>
    <xf numFmtId="183" fontId="69" fillId="0" borderId="42" xfId="59" applyNumberFormat="1" applyFont="1" applyFill="1" applyBorder="1" applyAlignment="1">
      <alignment horizontal="right"/>
    </xf>
    <xf numFmtId="170" fontId="117" fillId="0" borderId="16" xfId="0" applyNumberFormat="1" applyFont="1" applyBorder="1"/>
    <xf numFmtId="170" fontId="117" fillId="0" borderId="15" xfId="0" applyNumberFormat="1" applyFont="1" applyBorder="1" applyAlignment="1">
      <alignment horizontal="center"/>
    </xf>
    <xf numFmtId="173" fontId="69" fillId="0" borderId="15" xfId="218" applyNumberFormat="1" applyFont="1" applyBorder="1"/>
    <xf numFmtId="174" fontId="69" fillId="0" borderId="23" xfId="0" applyNumberFormat="1" applyFont="1" applyFill="1" applyBorder="1" applyAlignment="1">
      <alignment horizontal="right"/>
    </xf>
    <xf numFmtId="195" fontId="69" fillId="0" borderId="80" xfId="0" applyNumberFormat="1" applyFont="1" applyBorder="1" applyAlignment="1">
      <alignment horizontal="right"/>
    </xf>
    <xf numFmtId="195" fontId="69" fillId="0" borderId="55" xfId="0" applyNumberFormat="1" applyFont="1" applyBorder="1" applyAlignment="1">
      <alignment horizontal="right"/>
    </xf>
    <xf numFmtId="170" fontId="76" fillId="0" borderId="23" xfId="0" applyNumberFormat="1" applyFont="1" applyBorder="1" applyAlignment="1">
      <alignment horizontal="center"/>
    </xf>
    <xf numFmtId="174" fontId="124" fillId="0" borderId="55" xfId="1" applyNumberFormat="1" applyFont="1" applyFill="1" applyBorder="1"/>
    <xf numFmtId="183" fontId="69" fillId="0" borderId="0" xfId="59" applyNumberFormat="1" applyFont="1" applyFill="1" applyBorder="1" applyAlignment="1">
      <alignment horizontal="left"/>
    </xf>
    <xf numFmtId="170" fontId="69" fillId="0" borderId="0" xfId="1" applyNumberFormat="1" applyFont="1" applyFill="1" applyBorder="1" applyAlignment="1">
      <alignment horizontal="left"/>
    </xf>
    <xf numFmtId="170" fontId="128" fillId="0" borderId="0" xfId="0" quotePrefix="1" applyNumberFormat="1" applyFont="1" applyFill="1" applyBorder="1" applyAlignment="1">
      <alignment horizontal="right"/>
    </xf>
    <xf numFmtId="165" fontId="69" fillId="0" borderId="17" xfId="59" applyFont="1" applyBorder="1"/>
    <xf numFmtId="170" fontId="131" fillId="0" borderId="0" xfId="1" applyNumberFormat="1" applyFont="1" applyFill="1" applyBorder="1" applyAlignment="1">
      <alignment horizontal="right"/>
    </xf>
    <xf numFmtId="185" fontId="131" fillId="0" borderId="0" xfId="255" applyNumberFormat="1" applyFont="1" applyFill="1" applyBorder="1"/>
    <xf numFmtId="170" fontId="69" fillId="0" borderId="0" xfId="1" applyNumberFormat="1" applyFont="1" applyFill="1" applyBorder="1" applyAlignment="1">
      <alignment horizontal="center" wrapText="1"/>
    </xf>
    <xf numFmtId="170" fontId="50" fillId="0" borderId="0" xfId="5" applyNumberFormat="1" applyFont="1" applyFill="1" applyAlignment="1">
      <alignment horizontal="left"/>
    </xf>
    <xf numFmtId="170" fontId="51" fillId="0" borderId="0" xfId="5" applyNumberFormat="1" applyFont="1" applyFill="1" applyAlignment="1">
      <alignment horizontal="left"/>
    </xf>
    <xf numFmtId="170" fontId="147" fillId="0" borderId="0" xfId="1" applyNumberFormat="1" applyFont="1" applyFill="1" applyBorder="1" applyAlignment="1"/>
    <xf numFmtId="17" fontId="69" fillId="0" borderId="150" xfId="0" applyNumberFormat="1" applyFont="1" applyBorder="1"/>
    <xf numFmtId="170" fontId="119" fillId="0" borderId="0" xfId="0" applyNumberFormat="1" applyFont="1" applyAlignment="1"/>
    <xf numFmtId="170" fontId="74" fillId="0" borderId="8" xfId="1" applyNumberFormat="1" applyFont="1" applyBorder="1"/>
    <xf numFmtId="37" fontId="69" fillId="0" borderId="122" xfId="1" applyNumberFormat="1" applyFont="1" applyBorder="1"/>
    <xf numFmtId="170" fontId="74" fillId="0" borderId="106" xfId="1" applyNumberFormat="1" applyFont="1" applyBorder="1"/>
    <xf numFmtId="202" fontId="147" fillId="48" borderId="56" xfId="59" applyNumberFormat="1" applyFont="1" applyFill="1" applyBorder="1"/>
    <xf numFmtId="0" fontId="69" fillId="0" borderId="34" xfId="213" applyNumberFormat="1" applyFont="1" applyFill="1" applyBorder="1" applyAlignment="1">
      <alignment horizontal="right" vertical="center"/>
    </xf>
    <xf numFmtId="170" fontId="69" fillId="0" borderId="34" xfId="213" applyFont="1" applyFill="1" applyBorder="1" applyAlignment="1">
      <alignment horizontal="right" vertical="center"/>
    </xf>
    <xf numFmtId="170" fontId="69" fillId="0" borderId="105" xfId="1" applyNumberFormat="1" applyFont="1" applyFill="1" applyBorder="1" applyAlignment="1" applyProtection="1">
      <alignment vertical="center"/>
    </xf>
    <xf numFmtId="170" fontId="74" fillId="0" borderId="52" xfId="1" applyNumberFormat="1" applyFont="1" applyBorder="1" applyAlignment="1">
      <alignment horizontal="center"/>
    </xf>
    <xf numFmtId="183" fontId="69" fillId="0" borderId="115" xfId="59" applyNumberFormat="1" applyFont="1" applyBorder="1"/>
    <xf numFmtId="170" fontId="49" fillId="0" borderId="28" xfId="213" applyFont="1" applyFill="1" applyBorder="1" applyAlignment="1">
      <alignment horizontal="center" wrapText="1"/>
    </xf>
    <xf numFmtId="0" fontId="49" fillId="0" borderId="28" xfId="213" applyNumberFormat="1" applyFont="1" applyBorder="1" applyAlignment="1">
      <alignment horizontal="right"/>
    </xf>
    <xf numFmtId="188" fontId="49" fillId="0" borderId="28" xfId="213" applyNumberFormat="1" applyFont="1" applyBorder="1" applyAlignment="1">
      <alignment horizontal="right"/>
    </xf>
    <xf numFmtId="188" fontId="49" fillId="0" borderId="28" xfId="59" applyNumberFormat="1" applyFont="1" applyBorder="1" applyAlignment="1">
      <alignment horizontal="right"/>
    </xf>
    <xf numFmtId="188" fontId="49" fillId="0" borderId="28" xfId="213" applyNumberFormat="1" applyFont="1" applyFill="1" applyBorder="1" applyAlignment="1">
      <alignment horizontal="right"/>
    </xf>
    <xf numFmtId="0" fontId="49" fillId="0" borderId="28" xfId="213" applyNumberFormat="1" applyFont="1" applyFill="1" applyBorder="1" applyAlignment="1">
      <alignment horizontal="right"/>
    </xf>
    <xf numFmtId="37" fontId="49" fillId="0" borderId="28" xfId="1" applyNumberFormat="1" applyFont="1" applyFill="1" applyBorder="1" applyAlignment="1">
      <alignment horizontal="right"/>
    </xf>
    <xf numFmtId="170" fontId="49" fillId="0" borderId="57" xfId="1" applyNumberFormat="1" applyFont="1" applyFill="1" applyBorder="1" applyAlignment="1" applyProtection="1">
      <alignment horizontal="left"/>
    </xf>
    <xf numFmtId="170" fontId="49" fillId="0" borderId="28" xfId="1" applyNumberFormat="1" applyFont="1" applyFill="1" applyBorder="1" applyAlignment="1" applyProtection="1">
      <alignment horizontal="left"/>
    </xf>
    <xf numFmtId="170" fontId="49" fillId="0" borderId="91" xfId="1" applyNumberFormat="1" applyFont="1" applyFill="1" applyBorder="1" applyAlignment="1" applyProtection="1">
      <alignment horizontal="left"/>
    </xf>
    <xf numFmtId="170" fontId="49" fillId="0" borderId="91" xfId="1" applyNumberFormat="1" applyFont="1" applyFill="1" applyBorder="1" applyAlignment="1" applyProtection="1">
      <alignment horizontal="left" wrapText="1"/>
    </xf>
    <xf numFmtId="37" fontId="49" fillId="0" borderId="28" xfId="1" applyNumberFormat="1" applyFont="1" applyFill="1" applyBorder="1" applyAlignment="1">
      <alignment horizontal="left"/>
    </xf>
    <xf numFmtId="170" fontId="49" fillId="0" borderId="28" xfId="213" applyFont="1" applyFill="1" applyBorder="1" applyAlignment="1">
      <alignment horizontal="center" vertical="top" wrapText="1"/>
    </xf>
    <xf numFmtId="170" fontId="49" fillId="0" borderId="28" xfId="213" applyFont="1" applyFill="1" applyBorder="1" applyAlignment="1">
      <alignment horizontal="left" vertical="center" wrapText="1"/>
    </xf>
    <xf numFmtId="170" fontId="49" fillId="0" borderId="28" xfId="213" applyFont="1" applyFill="1" applyBorder="1" applyAlignment="1">
      <alignment horizontal="right"/>
    </xf>
    <xf numFmtId="170" fontId="49" fillId="0" borderId="28" xfId="213" applyFont="1" applyFill="1" applyBorder="1" applyAlignment="1">
      <alignment horizontal="center" vertical="center" wrapText="1"/>
    </xf>
    <xf numFmtId="170" fontId="49" fillId="0" borderId="28" xfId="213" applyFont="1" applyFill="1" applyBorder="1" applyAlignment="1">
      <alignment horizontal="right" wrapText="1"/>
    </xf>
    <xf numFmtId="170" fontId="49" fillId="0" borderId="28" xfId="213" applyFont="1" applyFill="1" applyBorder="1" applyAlignment="1">
      <alignment horizontal="left" wrapText="1"/>
    </xf>
    <xf numFmtId="170" fontId="48" fillId="0" borderId="28" xfId="1" applyNumberFormat="1" applyFont="1" applyFill="1" applyBorder="1" applyAlignment="1" applyProtection="1">
      <alignment horizontal="right"/>
    </xf>
    <xf numFmtId="170" fontId="69" fillId="0" borderId="151" xfId="213" applyFont="1" applyFill="1" applyBorder="1" applyAlignment="1">
      <alignment horizontal="right"/>
    </xf>
    <xf numFmtId="170" fontId="74" fillId="44" borderId="152" xfId="0" applyNumberFormat="1" applyFont="1" applyFill="1" applyBorder="1" applyAlignment="1">
      <alignment horizontal="center"/>
    </xf>
    <xf numFmtId="0" fontId="69" fillId="0" borderId="0" xfId="0" applyNumberFormat="1" applyFont="1" applyBorder="1" applyAlignment="1">
      <alignment horizontal="right"/>
    </xf>
    <xf numFmtId="188" fontId="74" fillId="0" borderId="0" xfId="0" applyFont="1" applyBorder="1"/>
    <xf numFmtId="188" fontId="74" fillId="0" borderId="0" xfId="0" applyFont="1" applyFill="1" applyBorder="1" applyAlignment="1">
      <alignment horizontal="right"/>
    </xf>
    <xf numFmtId="184" fontId="69" fillId="0" borderId="0" xfId="59" applyNumberFormat="1" applyFont="1" applyFill="1" applyBorder="1" applyAlignment="1">
      <alignment horizontal="right"/>
    </xf>
    <xf numFmtId="183" fontId="124" fillId="0" borderId="21" xfId="59" applyNumberFormat="1" applyFont="1" applyFill="1" applyBorder="1"/>
    <xf numFmtId="183" fontId="69" fillId="0" borderId="106" xfId="59" applyNumberFormat="1" applyFont="1" applyFill="1" applyBorder="1" applyProtection="1"/>
    <xf numFmtId="183" fontId="69" fillId="0" borderId="106" xfId="59" applyNumberFormat="1" applyFont="1" applyFill="1" applyBorder="1"/>
    <xf numFmtId="183" fontId="74" fillId="0" borderId="8" xfId="59" applyNumberFormat="1" applyFont="1" applyFill="1" applyBorder="1"/>
    <xf numFmtId="37" fontId="104" fillId="24" borderId="113" xfId="1" applyNumberFormat="1" applyFont="1" applyFill="1" applyBorder="1" applyAlignment="1" applyProtection="1">
      <alignment horizontal="right"/>
    </xf>
    <xf numFmtId="188" fontId="69" fillId="0" borderId="28" xfId="207" applyFont="1" applyBorder="1" applyAlignment="1">
      <alignment horizontal="right"/>
    </xf>
    <xf numFmtId="17" fontId="69" fillId="0" borderId="150" xfId="0" applyNumberFormat="1" applyFont="1" applyBorder="1" applyAlignment="1">
      <alignment horizontal="center"/>
    </xf>
    <xf numFmtId="170" fontId="117" fillId="0" borderId="122" xfId="1" applyNumberFormat="1" applyFont="1" applyFill="1" applyBorder="1"/>
    <xf numFmtId="179" fontId="69" fillId="0" borderId="79" xfId="59" applyNumberFormat="1" applyFont="1" applyFill="1" applyBorder="1" applyAlignment="1">
      <alignment horizontal="right"/>
    </xf>
    <xf numFmtId="183" fontId="69" fillId="0" borderId="122" xfId="1" applyNumberFormat="1" applyFont="1" applyFill="1" applyBorder="1" applyProtection="1"/>
    <xf numFmtId="10" fontId="147" fillId="48" borderId="56" xfId="218" applyNumberFormat="1" applyFont="1" applyFill="1" applyBorder="1" applyAlignment="1">
      <alignment horizontal="center"/>
    </xf>
    <xf numFmtId="170" fontId="69" fillId="0" borderId="33" xfId="1" applyNumberFormat="1" applyFont="1" applyBorder="1" applyAlignment="1">
      <alignment horizontal="right"/>
    </xf>
    <xf numFmtId="0" fontId="69" fillId="0" borderId="16" xfId="0" applyNumberFormat="1" applyFont="1" applyBorder="1" applyAlignment="1">
      <alignment horizontal="center" vertical="center"/>
    </xf>
    <xf numFmtId="202" fontId="69" fillId="0" borderId="16" xfId="59" applyNumberFormat="1" applyFont="1" applyBorder="1"/>
    <xf numFmtId="170" fontId="69" fillId="0" borderId="16" xfId="0" applyNumberFormat="1" applyFont="1" applyFill="1" applyBorder="1" applyAlignment="1">
      <alignment vertical="center"/>
    </xf>
    <xf numFmtId="183" fontId="69" fillId="0" borderId="16" xfId="59" applyNumberFormat="1" applyFont="1" applyFill="1" applyBorder="1"/>
    <xf numFmtId="183" fontId="74" fillId="0" borderId="114" xfId="59" applyNumberFormat="1" applyFont="1" applyFill="1" applyBorder="1" applyProtection="1"/>
    <xf numFmtId="183" fontId="46" fillId="0" borderId="0" xfId="59" applyNumberFormat="1" applyFont="1"/>
    <xf numFmtId="170" fontId="76" fillId="0" borderId="56" xfId="0" applyNumberFormat="1" applyFont="1" applyBorder="1" applyAlignment="1">
      <alignment horizontal="center"/>
    </xf>
    <xf numFmtId="174" fontId="69" fillId="0" borderId="54" xfId="0" applyNumberFormat="1" applyFont="1" applyBorder="1" applyAlignment="1">
      <alignment horizontal="right"/>
    </xf>
    <xf numFmtId="170" fontId="69" fillId="0" borderId="0" xfId="214" applyFont="1" applyFill="1"/>
    <xf numFmtId="170" fontId="76" fillId="0" borderId="0" xfId="214" applyFont="1" applyFill="1" applyAlignment="1">
      <alignment horizontal="center" wrapText="1"/>
    </xf>
    <xf numFmtId="15" fontId="69" fillId="0" borderId="0" xfId="214" applyNumberFormat="1" applyFont="1" applyFill="1"/>
    <xf numFmtId="170" fontId="125" fillId="34" borderId="0" xfId="0" applyNumberFormat="1" applyFont="1" applyFill="1"/>
    <xf numFmtId="170" fontId="69" fillId="0" borderId="18" xfId="1" applyNumberFormat="1" applyFont="1" applyFill="1" applyBorder="1" applyProtection="1"/>
    <xf numFmtId="1" fontId="76" fillId="24" borderId="19" xfId="1" applyNumberFormat="1" applyFont="1" applyFill="1" applyBorder="1" applyAlignment="1"/>
    <xf numFmtId="170" fontId="74" fillId="0" borderId="19" xfId="1" applyNumberFormat="1" applyFont="1" applyFill="1" applyBorder="1" applyAlignment="1">
      <alignment horizontal="right"/>
    </xf>
    <xf numFmtId="183" fontId="74" fillId="24" borderId="36" xfId="59" applyNumberFormat="1" applyFont="1" applyFill="1" applyBorder="1" applyAlignment="1">
      <alignment horizontal="center"/>
    </xf>
    <xf numFmtId="37" fontId="74" fillId="24" borderId="75" xfId="1" applyNumberFormat="1" applyFont="1" applyFill="1" applyBorder="1" applyAlignment="1">
      <alignment horizontal="centerContinuous"/>
    </xf>
    <xf numFmtId="188" fontId="74" fillId="24" borderId="68" xfId="59" applyNumberFormat="1" applyFont="1" applyFill="1" applyBorder="1" applyAlignment="1">
      <alignment horizontal="right"/>
    </xf>
    <xf numFmtId="170" fontId="74" fillId="24" borderId="25" xfId="1" applyNumberFormat="1" applyFont="1" applyFill="1" applyBorder="1" applyAlignment="1">
      <alignment horizontal="right"/>
    </xf>
    <xf numFmtId="188" fontId="69" fillId="0" borderId="23" xfId="1" applyFont="1" applyFill="1" applyBorder="1" applyAlignment="1">
      <alignment wrapText="1"/>
    </xf>
    <xf numFmtId="188" fontId="69" fillId="0" borderId="15" xfId="1" applyFont="1" applyFill="1" applyBorder="1" applyAlignment="1">
      <alignment wrapText="1"/>
    </xf>
    <xf numFmtId="0" fontId="63" fillId="0" borderId="68" xfId="213" applyNumberFormat="1" applyFont="1" applyFill="1" applyBorder="1" applyAlignment="1">
      <alignment horizontal="right"/>
    </xf>
    <xf numFmtId="0" fontId="69" fillId="0" borderId="27" xfId="213" applyNumberFormat="1" applyFont="1" applyFill="1" applyBorder="1" applyAlignment="1">
      <alignment horizontal="center"/>
    </xf>
    <xf numFmtId="49" fontId="69" fillId="0" borderId="27" xfId="213" applyNumberFormat="1" applyFont="1" applyFill="1" applyBorder="1" applyAlignment="1">
      <alignment horizontal="left"/>
    </xf>
    <xf numFmtId="170" fontId="69" fillId="0" borderId="66" xfId="5" applyNumberFormat="1" applyFont="1" applyFill="1" applyBorder="1" applyProtection="1"/>
    <xf numFmtId="170" fontId="69" fillId="0" borderId="19" xfId="5" applyNumberFormat="1" applyFont="1" applyFill="1" applyBorder="1" applyProtection="1"/>
    <xf numFmtId="0" fontId="69" fillId="0" borderId="68" xfId="213" applyNumberFormat="1" applyFont="1" applyFill="1" applyBorder="1" applyAlignment="1">
      <alignment horizontal="center"/>
    </xf>
    <xf numFmtId="49" fontId="69" fillId="0" borderId="68" xfId="213" applyNumberFormat="1" applyFont="1" applyFill="1" applyBorder="1" applyAlignment="1">
      <alignment horizontal="left"/>
    </xf>
    <xf numFmtId="170" fontId="69" fillId="0" borderId="35" xfId="5" applyNumberFormat="1" applyFont="1" applyFill="1" applyBorder="1" applyProtection="1"/>
    <xf numFmtId="170" fontId="69" fillId="0" borderId="35" xfId="5" applyNumberFormat="1" applyFont="1" applyFill="1" applyBorder="1"/>
    <xf numFmtId="170" fontId="69" fillId="0" borderId="18" xfId="5" applyNumberFormat="1" applyFont="1" applyFill="1" applyBorder="1" applyProtection="1"/>
    <xf numFmtId="188" fontId="69" fillId="0" borderId="0" xfId="5" applyFont="1" applyFill="1" applyBorder="1" applyAlignment="1"/>
    <xf numFmtId="170" fontId="69" fillId="0" borderId="66" xfId="5" applyNumberFormat="1" applyFont="1" applyFill="1" applyBorder="1" applyAlignment="1" applyProtection="1"/>
    <xf numFmtId="170" fontId="69" fillId="0" borderId="66" xfId="5" applyNumberFormat="1" applyFont="1" applyFill="1" applyBorder="1" applyAlignment="1"/>
    <xf numFmtId="170" fontId="69" fillId="0" borderId="19" xfId="5" applyNumberFormat="1" applyFont="1" applyFill="1" applyBorder="1" applyAlignment="1" applyProtection="1"/>
    <xf numFmtId="175" fontId="69" fillId="0" borderId="0" xfId="209" applyNumberFormat="1" applyFont="1" applyAlignment="1"/>
    <xf numFmtId="170" fontId="69" fillId="49" borderId="0" xfId="5" applyNumberFormat="1" applyFont="1" applyFill="1" applyAlignment="1"/>
    <xf numFmtId="170" fontId="69" fillId="0" borderId="0" xfId="5" applyNumberFormat="1" applyFont="1" applyAlignment="1"/>
    <xf numFmtId="170" fontId="69" fillId="0" borderId="0" xfId="5" applyNumberFormat="1" applyFont="1" applyFill="1" applyAlignment="1"/>
    <xf numFmtId="170" fontId="64" fillId="0" borderId="0" xfId="5" applyNumberFormat="1" applyFont="1" applyFill="1" applyAlignment="1"/>
    <xf numFmtId="170" fontId="57" fillId="0" borderId="0" xfId="5" applyNumberFormat="1" applyFont="1" applyFill="1" applyAlignment="1"/>
    <xf numFmtId="170" fontId="69" fillId="0" borderId="0" xfId="5" applyNumberFormat="1" applyFont="1" applyFill="1" applyBorder="1" applyAlignment="1"/>
    <xf numFmtId="170" fontId="69" fillId="0" borderId="0" xfId="5" applyNumberFormat="1" applyFont="1" applyBorder="1" applyAlignment="1"/>
    <xf numFmtId="170" fontId="76" fillId="0" borderId="0" xfId="5" applyNumberFormat="1" applyFont="1" applyFill="1" applyBorder="1" applyAlignment="1"/>
    <xf numFmtId="170" fontId="69" fillId="0" borderId="8" xfId="5" applyNumberFormat="1" applyFont="1" applyFill="1" applyBorder="1" applyAlignment="1" applyProtection="1"/>
    <xf numFmtId="170" fontId="69" fillId="0" borderId="8" xfId="5" applyNumberFormat="1" applyFont="1" applyFill="1" applyBorder="1" applyAlignment="1"/>
    <xf numFmtId="170" fontId="69" fillId="0" borderId="0" xfId="5" applyNumberFormat="1" applyFont="1" applyFill="1" applyBorder="1" applyAlignment="1" applyProtection="1"/>
    <xf numFmtId="170" fontId="118" fillId="0" borderId="28" xfId="5" applyNumberFormat="1" applyFont="1" applyBorder="1" applyAlignment="1" applyProtection="1"/>
    <xf numFmtId="170" fontId="69" fillId="44" borderId="0" xfId="5" applyNumberFormat="1" applyFont="1" applyFill="1" applyAlignment="1"/>
    <xf numFmtId="170" fontId="57" fillId="44" borderId="0" xfId="5" applyNumberFormat="1" applyFont="1" applyFill="1" applyAlignment="1"/>
    <xf numFmtId="170" fontId="118" fillId="0" borderId="0" xfId="0" applyNumberFormat="1" applyFont="1" applyAlignment="1"/>
    <xf numFmtId="170" fontId="69" fillId="43" borderId="0" xfId="5" applyNumberFormat="1" applyFont="1" applyFill="1" applyAlignment="1"/>
    <xf numFmtId="170" fontId="69" fillId="0" borderId="35" xfId="5" applyNumberFormat="1" applyFont="1" applyFill="1" applyBorder="1" applyAlignment="1" applyProtection="1"/>
    <xf numFmtId="170" fontId="69" fillId="0" borderId="35" xfId="5" applyNumberFormat="1" applyFont="1" applyFill="1" applyBorder="1" applyAlignment="1"/>
    <xf numFmtId="170" fontId="69" fillId="0" borderId="18" xfId="5" applyNumberFormat="1" applyFont="1" applyFill="1" applyBorder="1" applyAlignment="1" applyProtection="1"/>
    <xf numFmtId="49" fontId="69" fillId="0" borderId="35" xfId="213" applyNumberFormat="1" applyFont="1" applyFill="1" applyBorder="1" applyAlignment="1">
      <alignment horizontal="left"/>
    </xf>
    <xf numFmtId="49" fontId="69" fillId="0" borderId="66" xfId="213" applyNumberFormat="1" applyFont="1" applyFill="1" applyBorder="1" applyAlignment="1">
      <alignment horizontal="left"/>
    </xf>
    <xf numFmtId="170" fontId="69" fillId="0" borderId="31" xfId="5" applyNumberFormat="1" applyFont="1" applyFill="1" applyBorder="1" applyProtection="1"/>
    <xf numFmtId="170" fontId="69" fillId="0" borderId="152" xfId="0" applyNumberFormat="1" applyFont="1" applyBorder="1"/>
    <xf numFmtId="170" fontId="69" fillId="0" borderId="18" xfId="0" applyNumberFormat="1" applyFont="1" applyBorder="1" applyAlignment="1">
      <alignment horizontal="right"/>
    </xf>
    <xf numFmtId="170" fontId="69" fillId="0" borderId="54" xfId="0" applyNumberFormat="1" applyFont="1" applyBorder="1" applyAlignment="1">
      <alignment vertical="center"/>
    </xf>
    <xf numFmtId="170" fontId="69" fillId="0" borderId="55" xfId="0" applyNumberFormat="1" applyFont="1" applyBorder="1" applyAlignment="1">
      <alignment vertical="center"/>
    </xf>
    <xf numFmtId="170" fontId="76" fillId="0" borderId="54" xfId="0" applyNumberFormat="1" applyFont="1" applyBorder="1" applyAlignment="1">
      <alignment horizontal="center"/>
    </xf>
    <xf numFmtId="170" fontId="69" fillId="0" borderId="0" xfId="0" applyNumberFormat="1" applyFont="1" applyBorder="1" applyAlignment="1"/>
    <xf numFmtId="188" fontId="69" fillId="0" borderId="16" xfId="0" applyFont="1" applyFill="1" applyBorder="1" applyAlignment="1">
      <alignment horizontal="center"/>
    </xf>
    <xf numFmtId="170" fontId="69" fillId="0" borderId="80" xfId="0" applyNumberFormat="1" applyFont="1" applyBorder="1" applyAlignment="1">
      <alignment vertical="center"/>
    </xf>
    <xf numFmtId="49" fontId="69" fillId="0" borderId="0" xfId="0" applyNumberFormat="1" applyFont="1" applyAlignment="1">
      <alignment horizontal="left"/>
    </xf>
    <xf numFmtId="183" fontId="147" fillId="48" borderId="56" xfId="59" applyNumberFormat="1" applyFont="1" applyFill="1" applyBorder="1" applyAlignment="1">
      <alignment horizontal="left"/>
    </xf>
    <xf numFmtId="0" fontId="119" fillId="0" borderId="0" xfId="263" applyFont="1"/>
    <xf numFmtId="0" fontId="119" fillId="0" borderId="0" xfId="263" applyFont="1" applyAlignment="1">
      <alignment horizontal="left"/>
    </xf>
    <xf numFmtId="183" fontId="49" fillId="48" borderId="56" xfId="59" applyNumberFormat="1" applyFont="1" applyFill="1" applyBorder="1"/>
    <xf numFmtId="170" fontId="118" fillId="0" borderId="28" xfId="1" applyNumberFormat="1" applyFont="1" applyFill="1" applyBorder="1" applyAlignment="1" applyProtection="1">
      <alignment horizontal="right" readingOrder="2"/>
    </xf>
    <xf numFmtId="170" fontId="44" fillId="0" borderId="28" xfId="1" applyNumberFormat="1" applyFont="1" applyFill="1" applyBorder="1" applyAlignment="1" applyProtection="1">
      <alignment horizontal="right" readingOrder="2"/>
    </xf>
    <xf numFmtId="188" fontId="170" fillId="0" borderId="51" xfId="0" applyNumberFormat="1" applyFont="1" applyBorder="1" applyAlignment="1">
      <alignment horizontal="left"/>
    </xf>
    <xf numFmtId="188" fontId="69" fillId="0" borderId="0" xfId="0" applyNumberFormat="1" applyFont="1" applyAlignment="1">
      <alignment horizontal="left"/>
    </xf>
    <xf numFmtId="49" fontId="69" fillId="0" borderId="22" xfId="213" applyNumberFormat="1" applyFont="1" applyFill="1" applyBorder="1" applyAlignment="1">
      <alignment horizontal="left"/>
    </xf>
    <xf numFmtId="49" fontId="69" fillId="0" borderId="24" xfId="213" applyNumberFormat="1" applyFont="1" applyFill="1" applyBorder="1" applyAlignment="1">
      <alignment horizontal="left"/>
    </xf>
    <xf numFmtId="49" fontId="69" fillId="0" borderId="24" xfId="0" applyNumberFormat="1" applyFont="1" applyFill="1" applyBorder="1" applyAlignment="1">
      <alignment horizontal="left"/>
    </xf>
    <xf numFmtId="49" fontId="69" fillId="0" borderId="0" xfId="0" applyNumberFormat="1" applyFont="1" applyFill="1" applyBorder="1" applyAlignment="1">
      <alignment horizontal="left"/>
    </xf>
    <xf numFmtId="170" fontId="69" fillId="0" borderId="0" xfId="0" applyNumberFormat="1" applyFont="1" applyFill="1" applyBorder="1" applyAlignment="1">
      <alignment horizontal="left"/>
    </xf>
    <xf numFmtId="188" fontId="170" fillId="0" borderId="0" xfId="0" applyFont="1" applyAlignment="1">
      <alignment horizontal="left"/>
    </xf>
    <xf numFmtId="170" fontId="69" fillId="0" borderId="31" xfId="1" applyNumberFormat="1" applyFont="1" applyFill="1" applyBorder="1" applyAlignment="1" applyProtection="1">
      <alignment vertical="center"/>
    </xf>
    <xf numFmtId="170" fontId="69" fillId="0" borderId="0" xfId="59" applyNumberFormat="1" applyFont="1" applyBorder="1"/>
    <xf numFmtId="170" fontId="74" fillId="0" borderId="152" xfId="1" applyNumberFormat="1" applyFont="1" applyBorder="1" applyAlignment="1">
      <alignment horizontal="center"/>
    </xf>
    <xf numFmtId="170" fontId="74" fillId="0" borderId="153" xfId="1" applyNumberFormat="1" applyFont="1" applyBorder="1" applyAlignment="1">
      <alignment horizontal="center"/>
    </xf>
    <xf numFmtId="170" fontId="155" fillId="0" borderId="28" xfId="0" applyNumberFormat="1" applyFont="1" applyBorder="1" applyAlignment="1">
      <alignment horizontal="left" wrapText="1"/>
    </xf>
    <xf numFmtId="185" fontId="69" fillId="0" borderId="0" xfId="255" applyNumberFormat="1" applyFont="1" applyFill="1" applyAlignment="1">
      <alignment horizontal="left"/>
    </xf>
    <xf numFmtId="185" fontId="69" fillId="0" borderId="0" xfId="255" applyNumberFormat="1" applyFont="1" applyFill="1"/>
    <xf numFmtId="188" fontId="69" fillId="0" borderId="8" xfId="5" applyNumberFormat="1" applyFont="1" applyBorder="1" applyAlignment="1">
      <alignment horizontal="center"/>
    </xf>
    <xf numFmtId="170" fontId="74" fillId="0" borderId="151" xfId="5" applyNumberFormat="1" applyFont="1" applyBorder="1"/>
    <xf numFmtId="170" fontId="69" fillId="0" borderId="27" xfId="5" applyNumberFormat="1" applyFont="1" applyFill="1" applyBorder="1"/>
    <xf numFmtId="183" fontId="127" fillId="48" borderId="56" xfId="59" applyNumberFormat="1" applyFont="1" applyFill="1" applyBorder="1" applyAlignment="1">
      <alignment horizontal="left"/>
    </xf>
    <xf numFmtId="170" fontId="51" fillId="0" borderId="28" xfId="213" applyFont="1" applyFill="1" applyBorder="1" applyAlignment="1">
      <alignment horizontal="right"/>
    </xf>
    <xf numFmtId="170" fontId="69" fillId="0" borderId="28" xfId="5" applyNumberFormat="1" applyFont="1" applyBorder="1" applyAlignment="1">
      <alignment horizontal="right"/>
    </xf>
    <xf numFmtId="170" fontId="69" fillId="0" borderId="28" xfId="5" applyNumberFormat="1" applyFont="1" applyBorder="1" applyAlignment="1">
      <alignment horizontal="right" vertical="center"/>
    </xf>
    <xf numFmtId="188" fontId="69" fillId="0" borderId="91" xfId="0" applyFont="1" applyBorder="1"/>
    <xf numFmtId="188" fontId="69" fillId="0" borderId="156" xfId="0" applyFont="1" applyBorder="1"/>
    <xf numFmtId="188" fontId="69" fillId="0" borderId="79" xfId="0" applyFont="1" applyBorder="1"/>
    <xf numFmtId="203" fontId="69" fillId="0" borderId="65" xfId="218" applyNumberFormat="1" applyFont="1" applyBorder="1"/>
    <xf numFmtId="9" fontId="69" fillId="0" borderId="33" xfId="218" applyFont="1" applyBorder="1"/>
    <xf numFmtId="188" fontId="69" fillId="0" borderId="103" xfId="0" applyFont="1" applyBorder="1"/>
    <xf numFmtId="188" fontId="69" fillId="0" borderId="157" xfId="0" applyFont="1" applyBorder="1"/>
    <xf numFmtId="188" fontId="69" fillId="0" borderId="26" xfId="0" applyFont="1" applyBorder="1"/>
    <xf numFmtId="184" fontId="69" fillId="0" borderId="138" xfId="261" applyNumberFormat="1" applyFont="1" applyBorder="1"/>
    <xf numFmtId="184" fontId="69" fillId="0" borderId="148" xfId="261" applyNumberFormat="1" applyFont="1" applyBorder="1"/>
    <xf numFmtId="165" fontId="69" fillId="0" borderId="0" xfId="59" applyFont="1" applyFill="1" applyBorder="1" applyAlignment="1">
      <alignment vertical="center"/>
    </xf>
    <xf numFmtId="183" fontId="69" fillId="0" borderId="15" xfId="59" applyNumberFormat="1" applyFont="1" applyFill="1" applyBorder="1" applyAlignment="1">
      <alignment horizontal="right"/>
    </xf>
    <xf numFmtId="170" fontId="69" fillId="0" borderId="0" xfId="5" applyNumberFormat="1" applyFont="1" applyAlignment="1">
      <alignment wrapText="1"/>
    </xf>
    <xf numFmtId="170" fontId="42" fillId="0" borderId="28" xfId="1" applyNumberFormat="1" applyFont="1" applyFill="1" applyBorder="1" applyAlignment="1" applyProtection="1">
      <alignment horizontal="right"/>
    </xf>
    <xf numFmtId="37" fontId="42" fillId="0" borderId="28" xfId="1" applyNumberFormat="1" applyFont="1" applyFill="1" applyBorder="1" applyAlignment="1">
      <alignment horizontal="right"/>
    </xf>
    <xf numFmtId="165" fontId="69" fillId="0" borderId="0" xfId="59" applyFont="1" applyFill="1" applyBorder="1" applyAlignment="1">
      <alignment horizontal="center"/>
    </xf>
    <xf numFmtId="170" fontId="127" fillId="0" borderId="54" xfId="1" applyNumberFormat="1" applyFont="1" applyFill="1" applyBorder="1" applyAlignment="1">
      <alignment horizontal="center" vertical="center"/>
    </xf>
    <xf numFmtId="170" fontId="74" fillId="0" borderId="83" xfId="1" applyNumberFormat="1" applyFont="1" applyBorder="1" applyAlignment="1">
      <alignment horizontal="right"/>
    </xf>
    <xf numFmtId="170" fontId="74" fillId="0" borderId="0" xfId="213" applyFont="1" applyFill="1" applyAlignment="1">
      <alignment horizontal="right"/>
    </xf>
    <xf numFmtId="170" fontId="69" fillId="0" borderId="54" xfId="1" applyNumberFormat="1" applyFont="1" applyBorder="1" applyAlignment="1">
      <alignment horizontal="right"/>
    </xf>
    <xf numFmtId="170" fontId="69" fillId="0" borderId="80" xfId="1" applyNumberFormat="1" applyFont="1" applyBorder="1" applyAlignment="1">
      <alignment horizontal="right"/>
    </xf>
    <xf numFmtId="170" fontId="69" fillId="0" borderId="55" xfId="1" applyNumberFormat="1" applyFont="1" applyBorder="1" applyAlignment="1">
      <alignment horizontal="right"/>
    </xf>
    <xf numFmtId="188" fontId="161" fillId="0" borderId="56" xfId="0" applyNumberFormat="1" applyFont="1" applyFill="1" applyBorder="1" applyAlignment="1">
      <alignment horizontal="right"/>
    </xf>
    <xf numFmtId="170" fontId="124" fillId="0" borderId="53" xfId="207" applyNumberFormat="1" applyFont="1" applyFill="1" applyBorder="1" applyAlignment="1">
      <alignment horizontal="right"/>
    </xf>
    <xf numFmtId="170" fontId="162" fillId="0" borderId="56" xfId="0" applyNumberFormat="1" applyFont="1" applyFill="1" applyBorder="1" applyAlignment="1">
      <alignment horizontal="center"/>
    </xf>
    <xf numFmtId="195" fontId="69" fillId="0" borderId="80" xfId="0" applyNumberFormat="1" applyFont="1" applyBorder="1"/>
    <xf numFmtId="195" fontId="74" fillId="0" borderId="81" xfId="0" applyNumberFormat="1" applyFont="1" applyBorder="1"/>
    <xf numFmtId="188" fontId="146" fillId="0" borderId="66" xfId="0" applyNumberFormat="1" applyFont="1" applyFill="1" applyBorder="1" applyAlignment="1">
      <alignment horizontal="right"/>
    </xf>
    <xf numFmtId="49" fontId="69" fillId="0" borderId="36" xfId="0" applyNumberFormat="1" applyFont="1" applyFill="1" applyBorder="1" applyAlignment="1">
      <alignment horizontal="right"/>
    </xf>
    <xf numFmtId="188" fontId="147" fillId="0" borderId="52" xfId="0" applyFont="1" applyBorder="1" applyAlignment="1">
      <alignment horizontal="center"/>
    </xf>
    <xf numFmtId="188" fontId="147" fillId="0" borderId="56" xfId="0" applyFont="1" applyBorder="1" applyAlignment="1">
      <alignment horizontal="center"/>
    </xf>
    <xf numFmtId="195" fontId="69" fillId="0" borderId="156" xfId="0" applyNumberFormat="1" applyFont="1" applyBorder="1"/>
    <xf numFmtId="195" fontId="69" fillId="0" borderId="91" xfId="0" applyNumberFormat="1" applyFont="1" applyBorder="1"/>
    <xf numFmtId="9" fontId="69" fillId="0" borderId="28" xfId="218" applyFont="1" applyBorder="1"/>
    <xf numFmtId="188" fontId="147" fillId="0" borderId="99" xfId="0" applyFont="1" applyBorder="1" applyAlignment="1">
      <alignment horizontal="center"/>
    </xf>
    <xf numFmtId="188" fontId="147" fillId="0" borderId="32" xfId="0" applyFont="1" applyBorder="1" applyAlignment="1">
      <alignment horizontal="center"/>
    </xf>
    <xf numFmtId="185" fontId="69" fillId="0" borderId="15" xfId="255" applyNumberFormat="1" applyFont="1" applyFill="1" applyBorder="1"/>
    <xf numFmtId="185" fontId="69" fillId="0" borderId="108" xfId="255" applyNumberFormat="1" applyFont="1" applyFill="1" applyBorder="1"/>
    <xf numFmtId="194" fontId="69" fillId="0" borderId="15" xfId="0" applyNumberFormat="1" applyFont="1" applyFill="1" applyBorder="1"/>
    <xf numFmtId="194" fontId="69" fillId="0" borderId="46" xfId="0" applyNumberFormat="1" applyFont="1" applyFill="1" applyBorder="1"/>
    <xf numFmtId="170" fontId="69" fillId="0" borderId="23" xfId="0" applyNumberFormat="1" applyFont="1" applyBorder="1" applyAlignment="1">
      <alignment horizontal="center"/>
    </xf>
    <xf numFmtId="44" fontId="69" fillId="0" borderId="15" xfId="255" applyFont="1" applyBorder="1"/>
    <xf numFmtId="44" fontId="69" fillId="0" borderId="46" xfId="255" applyFont="1" applyBorder="1"/>
    <xf numFmtId="185" fontId="69" fillId="0" borderId="18" xfId="255" applyNumberFormat="1" applyFont="1" applyBorder="1"/>
    <xf numFmtId="170" fontId="69" fillId="0" borderId="16" xfId="0" applyNumberFormat="1" applyFont="1" applyBorder="1" applyAlignment="1">
      <alignment vertical="center"/>
    </xf>
    <xf numFmtId="188" fontId="147" fillId="0" borderId="100" xfId="0" applyFont="1" applyBorder="1" applyAlignment="1">
      <alignment horizontal="center"/>
    </xf>
    <xf numFmtId="9" fontId="69" fillId="0" borderId="91" xfId="218" applyFont="1" applyBorder="1" applyAlignment="1">
      <alignment horizontal="center" wrapText="1"/>
    </xf>
    <xf numFmtId="185" fontId="69" fillId="0" borderId="16" xfId="255" applyNumberFormat="1" applyFont="1" applyBorder="1"/>
    <xf numFmtId="185" fontId="69" fillId="0" borderId="36" xfId="255" applyNumberFormat="1" applyFont="1" applyBorder="1"/>
    <xf numFmtId="185" fontId="69" fillId="0" borderId="27" xfId="255" applyNumberFormat="1" applyFont="1" applyBorder="1"/>
    <xf numFmtId="185" fontId="69" fillId="0" borderId="27" xfId="255" applyNumberFormat="1" applyFont="1" applyBorder="1" applyAlignment="1">
      <alignment horizontal="right"/>
    </xf>
    <xf numFmtId="185" fontId="69" fillId="0" borderId="24" xfId="255" applyNumberFormat="1" applyFont="1" applyBorder="1"/>
    <xf numFmtId="170" fontId="69" fillId="0" borderId="43" xfId="0" applyNumberFormat="1" applyFont="1" applyBorder="1" applyAlignment="1">
      <alignment horizontal="right"/>
    </xf>
    <xf numFmtId="170" fontId="69" fillId="0" borderId="93" xfId="0" applyNumberFormat="1" applyFont="1" applyBorder="1"/>
    <xf numFmtId="185" fontId="74" fillId="0" borderId="55" xfId="255" applyNumberFormat="1" applyFont="1" applyBorder="1"/>
    <xf numFmtId="170" fontId="41" fillId="0" borderId="28" xfId="213" applyFont="1" applyFill="1" applyBorder="1" applyAlignment="1">
      <alignment horizontal="right"/>
    </xf>
    <xf numFmtId="165" fontId="69" fillId="0" borderId="15" xfId="59" applyFont="1" applyBorder="1"/>
    <xf numFmtId="170" fontId="74" fillId="0" borderId="31" xfId="1" applyNumberFormat="1" applyFont="1" applyFill="1" applyBorder="1" applyAlignment="1">
      <alignment horizontal="right"/>
    </xf>
    <xf numFmtId="170" fontId="147" fillId="48" borderId="53" xfId="5" applyNumberFormat="1" applyFont="1" applyFill="1" applyBorder="1"/>
    <xf numFmtId="170" fontId="74" fillId="46" borderId="51" xfId="0" applyNumberFormat="1" applyFont="1" applyFill="1" applyBorder="1"/>
    <xf numFmtId="173" fontId="76" fillId="46" borderId="53" xfId="218" applyNumberFormat="1" applyFont="1" applyFill="1" applyBorder="1" applyAlignment="1">
      <alignment horizontal="center"/>
    </xf>
    <xf numFmtId="0" fontId="40" fillId="0" borderId="8" xfId="0" applyNumberFormat="1" applyFont="1" applyFill="1" applyBorder="1" applyAlignment="1">
      <alignment horizontal="right"/>
    </xf>
    <xf numFmtId="174" fontId="128" fillId="0" borderId="54" xfId="0" applyNumberFormat="1" applyFont="1" applyBorder="1"/>
    <xf numFmtId="183" fontId="69" fillId="0" borderId="0" xfId="59" applyNumberFormat="1" applyFont="1" applyFill="1" applyAlignment="1">
      <alignment horizontal="right"/>
    </xf>
    <xf numFmtId="188" fontId="69" fillId="0" borderId="0" xfId="1" applyFont="1" applyAlignment="1">
      <alignment wrapText="1"/>
    </xf>
    <xf numFmtId="170" fontId="69" fillId="0" borderId="0" xfId="213" applyFont="1" applyAlignment="1">
      <alignment horizontal="right"/>
    </xf>
    <xf numFmtId="175" fontId="69" fillId="0" borderId="0" xfId="209" applyNumberFormat="1"/>
    <xf numFmtId="170" fontId="118" fillId="0" borderId="28" xfId="1" applyNumberFormat="1" applyFont="1" applyBorder="1" applyAlignment="1">
      <alignment horizontal="right"/>
    </xf>
    <xf numFmtId="202" fontId="69" fillId="0" borderId="28" xfId="59" applyNumberFormat="1" applyFont="1" applyFill="1" applyBorder="1"/>
    <xf numFmtId="165" fontId="74" fillId="0" borderId="28" xfId="59" applyFont="1" applyBorder="1"/>
    <xf numFmtId="165" fontId="69" fillId="0" borderId="58" xfId="59" applyFont="1" applyBorder="1"/>
    <xf numFmtId="165" fontId="69" fillId="0" borderId="57" xfId="59" applyFont="1" applyBorder="1"/>
    <xf numFmtId="165" fontId="69" fillId="0" borderId="0" xfId="59" applyFont="1" applyBorder="1" applyProtection="1"/>
    <xf numFmtId="165" fontId="69" fillId="0" borderId="28" xfId="59" applyFont="1" applyBorder="1" applyProtection="1"/>
    <xf numFmtId="165" fontId="74" fillId="0" borderId="27" xfId="59" applyFont="1" applyBorder="1"/>
    <xf numFmtId="165" fontId="74" fillId="0" borderId="19" xfId="59" applyFont="1" applyBorder="1"/>
    <xf numFmtId="165" fontId="74" fillId="0" borderId="18" xfId="59" applyFont="1" applyBorder="1"/>
    <xf numFmtId="165" fontId="74" fillId="0" borderId="68" xfId="59" applyFont="1" applyBorder="1"/>
    <xf numFmtId="165" fontId="69" fillId="0" borderId="0" xfId="59" applyFont="1" applyFill="1" applyAlignment="1">
      <alignment horizontal="right"/>
    </xf>
    <xf numFmtId="165" fontId="69" fillId="0" borderId="96" xfId="59" applyFont="1" applyFill="1" applyBorder="1" applyAlignment="1">
      <alignment horizontal="right"/>
    </xf>
    <xf numFmtId="165" fontId="69" fillId="0" borderId="88" xfId="59" applyFont="1" applyBorder="1"/>
    <xf numFmtId="165" fontId="69" fillId="0" borderId="91" xfId="59" applyFont="1" applyBorder="1"/>
    <xf numFmtId="183" fontId="69" fillId="0" borderId="73" xfId="59" applyNumberFormat="1" applyFont="1" applyBorder="1" applyProtection="1"/>
    <xf numFmtId="183" fontId="69" fillId="0" borderId="73" xfId="59" applyNumberFormat="1" applyFont="1" applyBorder="1"/>
    <xf numFmtId="9" fontId="39" fillId="0" borderId="0" xfId="218" applyFont="1"/>
    <xf numFmtId="9" fontId="69" fillId="0" borderId="28" xfId="218" applyFont="1" applyFill="1" applyBorder="1" applyAlignment="1" applyProtection="1">
      <alignment horizontal="right"/>
    </xf>
    <xf numFmtId="184" fontId="120" fillId="0" borderId="39" xfId="59" applyNumberFormat="1" applyFont="1" applyFill="1" applyBorder="1" applyAlignment="1">
      <alignment horizontal="left"/>
    </xf>
    <xf numFmtId="188" fontId="69" fillId="0" borderId="0" xfId="128" applyFont="1" applyFill="1" applyBorder="1" applyAlignment="1">
      <alignment horizontal="left"/>
    </xf>
    <xf numFmtId="184" fontId="120" fillId="0" borderId="0" xfId="59" applyNumberFormat="1" applyFont="1" applyFill="1" applyBorder="1" applyAlignment="1">
      <alignment horizontal="left"/>
    </xf>
    <xf numFmtId="170" fontId="55" fillId="0" borderId="31" xfId="1" applyNumberFormat="1" applyFont="1" applyBorder="1"/>
    <xf numFmtId="37" fontId="147" fillId="0" borderId="27" xfId="1" applyNumberFormat="1" applyFont="1" applyBorder="1"/>
    <xf numFmtId="37" fontId="147" fillId="0" borderId="75" xfId="1" applyNumberFormat="1" applyFont="1" applyBorder="1"/>
    <xf numFmtId="37" fontId="55" fillId="0" borderId="22" xfId="1" applyNumberFormat="1" applyFont="1" applyBorder="1"/>
    <xf numFmtId="170" fontId="55" fillId="0" borderId="16" xfId="1" applyNumberFormat="1" applyFont="1" applyBorder="1"/>
    <xf numFmtId="170" fontId="55" fillId="0" borderId="24" xfId="1" applyNumberFormat="1" applyFont="1" applyBorder="1"/>
    <xf numFmtId="37" fontId="55" fillId="0" borderId="54" xfId="1" applyNumberFormat="1" applyFont="1" applyBorder="1"/>
    <xf numFmtId="170" fontId="55" fillId="0" borderId="80" xfId="1" applyNumberFormat="1" applyFont="1" applyBorder="1"/>
    <xf numFmtId="170" fontId="55" fillId="0" borderId="55" xfId="1" applyNumberFormat="1" applyFont="1" applyBorder="1"/>
    <xf numFmtId="170" fontId="69" fillId="0" borderId="129" xfId="1" applyNumberFormat="1" applyFont="1" applyFill="1" applyBorder="1" applyProtection="1"/>
    <xf numFmtId="170" fontId="69" fillId="0" borderId="160" xfId="1" applyNumberFormat="1" applyFont="1" applyBorder="1"/>
    <xf numFmtId="0" fontId="69" fillId="0" borderId="55" xfId="213" applyNumberFormat="1" applyFont="1" applyBorder="1" applyAlignment="1">
      <alignment horizontal="right"/>
    </xf>
    <xf numFmtId="0" fontId="69" fillId="0" borderId="80" xfId="213" applyNumberFormat="1" applyFont="1" applyBorder="1" applyAlignment="1">
      <alignment horizontal="right"/>
    </xf>
    <xf numFmtId="1" fontId="69" fillId="0" borderId="15" xfId="0" applyNumberFormat="1" applyFont="1" applyFill="1" applyBorder="1" applyAlignment="1">
      <alignment horizontal="right"/>
    </xf>
    <xf numFmtId="0" fontId="69" fillId="0" borderId="80" xfId="0" applyNumberFormat="1" applyFont="1" applyFill="1" applyBorder="1" applyAlignment="1">
      <alignment horizontal="right"/>
    </xf>
    <xf numFmtId="183" fontId="69" fillId="0" borderId="17" xfId="59" applyNumberFormat="1" applyFont="1" applyFill="1" applyBorder="1"/>
    <xf numFmtId="170" fontId="182" fillId="0" borderId="0" xfId="0" applyNumberFormat="1" applyFont="1"/>
    <xf numFmtId="183" fontId="118" fillId="0" borderId="80" xfId="59" applyNumberFormat="1" applyFont="1" applyBorder="1" applyAlignment="1">
      <alignment horizontal="center"/>
    </xf>
    <xf numFmtId="0" fontId="63" fillId="0" borderId="0" xfId="213" applyNumberFormat="1" applyFont="1" applyFill="1" applyBorder="1" applyAlignment="1">
      <alignment horizontal="right"/>
    </xf>
    <xf numFmtId="174" fontId="69" fillId="0" borderId="80" xfId="1" applyNumberFormat="1" applyFont="1" applyFill="1" applyBorder="1"/>
    <xf numFmtId="174" fontId="69" fillId="0" borderId="55" xfId="1" applyNumberFormat="1" applyFont="1" applyFill="1" applyBorder="1"/>
    <xf numFmtId="15" fontId="69" fillId="0" borderId="0" xfId="214" quotePrefix="1" applyNumberFormat="1" applyFont="1" applyFill="1"/>
    <xf numFmtId="170" fontId="183" fillId="44" borderId="0" xfId="1" applyNumberFormat="1" applyFont="1" applyFill="1"/>
    <xf numFmtId="183" fontId="38" fillId="48" borderId="56" xfId="59" applyNumberFormat="1" applyFont="1" applyFill="1" applyBorder="1"/>
    <xf numFmtId="170" fontId="69" fillId="44" borderId="31" xfId="1" applyNumberFormat="1" applyFont="1" applyFill="1" applyBorder="1"/>
    <xf numFmtId="37" fontId="37" fillId="0" borderId="28" xfId="1" applyNumberFormat="1" applyFont="1" applyFill="1" applyBorder="1" applyAlignment="1">
      <alignment horizontal="right" vertical="center"/>
    </xf>
    <xf numFmtId="170" fontId="76" fillId="0" borderId="22" xfId="0" applyNumberFormat="1" applyFont="1" applyFill="1" applyBorder="1"/>
    <xf numFmtId="39" fontId="120" fillId="0" borderId="24" xfId="128" applyNumberFormat="1" applyFont="1" applyFill="1" applyBorder="1"/>
    <xf numFmtId="174" fontId="124" fillId="0" borderId="80" xfId="0" applyNumberFormat="1" applyFont="1" applyBorder="1" applyAlignment="1">
      <alignment horizontal="right"/>
    </xf>
    <xf numFmtId="43" fontId="69" fillId="0" borderId="0" xfId="263" applyNumberFormat="1" applyFont="1"/>
    <xf numFmtId="183" fontId="147" fillId="48" borderId="54" xfId="59" applyNumberFormat="1" applyFont="1" applyFill="1" applyBorder="1" applyAlignment="1">
      <alignment vertical="center"/>
    </xf>
    <xf numFmtId="170" fontId="69" fillId="44" borderId="28" xfId="1" applyNumberFormat="1" applyFont="1" applyFill="1" applyBorder="1"/>
    <xf numFmtId="170" fontId="69" fillId="44" borderId="0" xfId="1" applyNumberFormat="1" applyFont="1" applyFill="1" applyBorder="1" applyProtection="1"/>
    <xf numFmtId="170" fontId="69" fillId="44" borderId="28" xfId="213" applyFont="1" applyFill="1" applyBorder="1"/>
    <xf numFmtId="179" fontId="69" fillId="44" borderId="0" xfId="59" applyNumberFormat="1" applyFont="1" applyFill="1" applyAlignment="1">
      <alignment horizontal="right"/>
    </xf>
    <xf numFmtId="175" fontId="69" fillId="44" borderId="0" xfId="209" applyNumberFormat="1" applyFont="1" applyFill="1"/>
    <xf numFmtId="179" fontId="69" fillId="44" borderId="0" xfId="59" applyNumberFormat="1" applyFont="1" applyFill="1" applyBorder="1" applyAlignment="1">
      <alignment horizontal="right"/>
    </xf>
    <xf numFmtId="175" fontId="69" fillId="44" borderId="8" xfId="209" applyNumberFormat="1" applyFont="1" applyFill="1" applyBorder="1"/>
    <xf numFmtId="170" fontId="69" fillId="0" borderId="28" xfId="5" applyNumberFormat="1" applyFont="1" applyBorder="1" applyAlignment="1">
      <alignment vertical="center"/>
    </xf>
    <xf numFmtId="170" fontId="36" fillId="0" borderId="28" xfId="1" applyNumberFormat="1" applyFont="1" applyFill="1" applyBorder="1" applyAlignment="1" applyProtection="1">
      <alignment horizontal="right"/>
    </xf>
    <xf numFmtId="183" fontId="69" fillId="0" borderId="109" xfId="59" applyNumberFormat="1" applyFont="1" applyFill="1" applyBorder="1"/>
    <xf numFmtId="170" fontId="69" fillId="0" borderId="101" xfId="1" applyNumberFormat="1" applyFont="1" applyBorder="1" applyAlignment="1">
      <alignment horizontal="right"/>
    </xf>
    <xf numFmtId="170" fontId="76" fillId="24" borderId="32" xfId="1" applyNumberFormat="1" applyFont="1" applyFill="1" applyBorder="1" applyAlignment="1">
      <alignment horizontal="right"/>
    </xf>
    <xf numFmtId="170" fontId="69" fillId="0" borderId="101" xfId="1" applyNumberFormat="1" applyFont="1" applyFill="1" applyBorder="1" applyAlignment="1">
      <alignment horizontal="right"/>
    </xf>
    <xf numFmtId="170" fontId="76" fillId="0" borderId="32" xfId="1" applyNumberFormat="1" applyFont="1" applyFill="1" applyBorder="1" applyAlignment="1">
      <alignment horizontal="right"/>
    </xf>
    <xf numFmtId="188" fontId="74" fillId="0" borderId="8" xfId="59" applyNumberFormat="1" applyFont="1" applyBorder="1" applyAlignment="1">
      <alignment horizontal="right"/>
    </xf>
    <xf numFmtId="49" fontId="69" fillId="0" borderId="154" xfId="59" applyNumberFormat="1" applyFont="1" applyFill="1" applyBorder="1" applyAlignment="1">
      <alignment horizontal="right"/>
    </xf>
    <xf numFmtId="188" fontId="74" fillId="24" borderId="114" xfId="59" applyNumberFormat="1" applyFont="1" applyFill="1" applyBorder="1" applyAlignment="1">
      <alignment horizontal="right"/>
    </xf>
    <xf numFmtId="41" fontId="69" fillId="44" borderId="0" xfId="210" applyNumberFormat="1" applyFont="1" applyFill="1" applyBorder="1" applyAlignment="1">
      <alignment horizontal="right"/>
    </xf>
    <xf numFmtId="170" fontId="69" fillId="44" borderId="0" xfId="5" applyNumberFormat="1" applyFont="1" applyFill="1" applyAlignment="1">
      <alignment horizontal="right"/>
    </xf>
    <xf numFmtId="175" fontId="69" fillId="0" borderId="15" xfId="0" applyNumberFormat="1" applyFont="1" applyFill="1" applyBorder="1"/>
    <xf numFmtId="170" fontId="184" fillId="0" borderId="0" xfId="0" applyNumberFormat="1" applyFont="1"/>
    <xf numFmtId="188" fontId="69" fillId="0" borderId="68" xfId="213" applyNumberFormat="1" applyFont="1" applyFill="1" applyBorder="1" applyAlignment="1">
      <alignment horizontal="center"/>
    </xf>
    <xf numFmtId="170" fontId="185" fillId="0" borderId="0" xfId="0" applyNumberFormat="1" applyFont="1"/>
    <xf numFmtId="170" fontId="69" fillId="0" borderId="76" xfId="1" applyNumberFormat="1" applyFont="1" applyFill="1" applyBorder="1" applyAlignment="1" applyProtection="1">
      <alignment horizontal="right"/>
    </xf>
    <xf numFmtId="170" fontId="69" fillId="0" borderId="76" xfId="1" applyNumberFormat="1" applyFont="1" applyBorder="1"/>
    <xf numFmtId="170" fontId="118" fillId="0" borderId="76" xfId="1" applyNumberFormat="1" applyFont="1" applyFill="1" applyBorder="1" applyAlignment="1" applyProtection="1">
      <alignment horizontal="right"/>
    </xf>
    <xf numFmtId="170" fontId="69" fillId="0" borderId="76" xfId="1" applyNumberFormat="1" applyFont="1" applyFill="1" applyBorder="1" applyAlignment="1" applyProtection="1">
      <alignment horizontal="center" vertical="center" wrapText="1"/>
    </xf>
    <xf numFmtId="37" fontId="118" fillId="0" borderId="76" xfId="1" applyNumberFormat="1" applyFont="1" applyFill="1" applyBorder="1" applyAlignment="1">
      <alignment horizontal="right"/>
    </xf>
    <xf numFmtId="170" fontId="153" fillId="0" borderId="76" xfId="256" quotePrefix="1" applyNumberFormat="1" applyFont="1" applyFill="1" applyBorder="1" applyAlignment="1" applyProtection="1">
      <alignment horizontal="center"/>
    </xf>
    <xf numFmtId="170" fontId="69" fillId="0" borderId="76" xfId="1" applyNumberFormat="1" applyFont="1" applyFill="1" applyBorder="1" applyAlignment="1" applyProtection="1">
      <alignment horizontal="center" wrapText="1"/>
    </xf>
    <xf numFmtId="170" fontId="128" fillId="0" borderId="76" xfId="0" applyNumberFormat="1" applyFont="1" applyBorder="1"/>
    <xf numFmtId="37" fontId="118" fillId="0" borderId="76" xfId="1" applyNumberFormat="1" applyFont="1" applyBorder="1" applyAlignment="1">
      <alignment horizontal="right"/>
    </xf>
    <xf numFmtId="170" fontId="61" fillId="0" borderId="80" xfId="1" applyNumberFormat="1" applyFont="1" applyFill="1" applyBorder="1" applyAlignment="1" applyProtection="1">
      <alignment horizontal="right"/>
    </xf>
    <xf numFmtId="170" fontId="118" fillId="0" borderId="80" xfId="1" applyNumberFormat="1" applyFont="1" applyFill="1" applyBorder="1" applyAlignment="1" applyProtection="1">
      <alignment horizontal="right" wrapText="1"/>
    </xf>
    <xf numFmtId="170" fontId="118" fillId="0" borderId="80" xfId="1" applyNumberFormat="1" applyFont="1" applyFill="1" applyBorder="1" applyAlignment="1" applyProtection="1">
      <alignment horizontal="right"/>
    </xf>
    <xf numFmtId="37" fontId="69" fillId="0" borderId="55" xfId="1" applyNumberFormat="1" applyFont="1" applyFill="1" applyBorder="1" applyAlignment="1">
      <alignment horizontal="right"/>
    </xf>
    <xf numFmtId="37" fontId="119" fillId="0" borderId="54" xfId="1" applyNumberFormat="1" applyFont="1" applyFill="1" applyBorder="1" applyAlignment="1" applyProtection="1">
      <alignment horizontal="right"/>
    </xf>
    <xf numFmtId="37" fontId="119" fillId="0" borderId="80" xfId="1" applyNumberFormat="1" applyFont="1" applyFill="1" applyBorder="1" applyAlignment="1" applyProtection="1">
      <alignment horizontal="right"/>
    </xf>
    <xf numFmtId="170" fontId="118" fillId="0" borderId="55" xfId="1" applyNumberFormat="1" applyFont="1" applyFill="1" applyBorder="1" applyAlignment="1" applyProtection="1">
      <alignment horizontal="right"/>
    </xf>
    <xf numFmtId="170" fontId="34" fillId="0" borderId="28" xfId="1" applyNumberFormat="1" applyFont="1" applyFill="1" applyBorder="1" applyAlignment="1" applyProtection="1">
      <alignment horizontal="right"/>
    </xf>
    <xf numFmtId="10" fontId="34" fillId="0" borderId="76" xfId="218" applyNumberFormat="1" applyFont="1" applyFill="1" applyBorder="1" applyAlignment="1" applyProtection="1">
      <alignment horizontal="right"/>
    </xf>
    <xf numFmtId="183" fontId="69" fillId="0" borderId="154" xfId="59" applyNumberFormat="1" applyFont="1" applyFill="1" applyBorder="1"/>
    <xf numFmtId="183" fontId="69" fillId="0" borderId="0" xfId="0" applyNumberFormat="1" applyFont="1" applyBorder="1"/>
    <xf numFmtId="183" fontId="69" fillId="43" borderId="0" xfId="0" applyNumberFormat="1" applyFont="1" applyFill="1" applyBorder="1"/>
    <xf numFmtId="17" fontId="69" fillId="0" borderId="82" xfId="0" applyNumberFormat="1" applyFont="1" applyBorder="1" applyAlignment="1">
      <alignment horizontal="center"/>
    </xf>
    <xf numFmtId="17" fontId="69" fillId="0" borderId="60" xfId="0" applyNumberFormat="1" applyFont="1" applyBorder="1" applyAlignment="1">
      <alignment horizontal="center"/>
    </xf>
    <xf numFmtId="188" fontId="74" fillId="47" borderId="152" xfId="5" applyFont="1" applyFill="1" applyBorder="1" applyAlignment="1">
      <alignment horizontal="center" wrapText="1"/>
    </xf>
    <xf numFmtId="41" fontId="69" fillId="47" borderId="152" xfId="210" applyNumberFormat="1" applyFont="1" applyFill="1" applyBorder="1" applyAlignment="1">
      <alignment horizontal="center"/>
    </xf>
    <xf numFmtId="41" fontId="69" fillId="0" borderId="0" xfId="210" applyNumberFormat="1" applyFont="1" applyFill="1" applyAlignment="1">
      <alignment horizontal="center"/>
    </xf>
    <xf numFmtId="41" fontId="69" fillId="0" borderId="119" xfId="210" applyNumberFormat="1" applyFont="1" applyFill="1" applyBorder="1" applyAlignment="1">
      <alignment horizontal="center"/>
    </xf>
    <xf numFmtId="9" fontId="69" fillId="0" borderId="0" xfId="218" applyFont="1" applyFill="1" applyBorder="1" applyAlignment="1">
      <alignment horizontal="right"/>
    </xf>
    <xf numFmtId="165" fontId="147" fillId="0" borderId="0" xfId="59" applyFont="1" applyFill="1"/>
    <xf numFmtId="170" fontId="33" fillId="0" borderId="0" xfId="0" applyNumberFormat="1" applyFont="1" applyAlignment="1">
      <alignment horizontal="right"/>
    </xf>
    <xf numFmtId="170" fontId="74" fillId="0" borderId="0" xfId="0" applyNumberFormat="1" applyFont="1" applyFill="1"/>
    <xf numFmtId="183" fontId="74" fillId="0" borderId="53" xfId="59" applyNumberFormat="1" applyFont="1" applyFill="1" applyBorder="1" applyAlignment="1">
      <alignment horizontal="centerContinuous"/>
    </xf>
    <xf numFmtId="183" fontId="74" fillId="0" borderId="0" xfId="59" applyNumberFormat="1" applyFont="1" applyFill="1" applyBorder="1" applyAlignment="1">
      <alignment horizontal="centerContinuous"/>
    </xf>
    <xf numFmtId="183" fontId="74" fillId="0" borderId="55" xfId="59" applyNumberFormat="1" applyFont="1" applyFill="1" applyBorder="1"/>
    <xf numFmtId="183" fontId="76" fillId="0" borderId="56" xfId="59" applyNumberFormat="1" applyFont="1" applyFill="1" applyBorder="1" applyAlignment="1">
      <alignment horizontal="center"/>
    </xf>
    <xf numFmtId="183" fontId="76" fillId="0" borderId="0" xfId="59" applyNumberFormat="1" applyFont="1" applyFill="1" applyBorder="1" applyAlignment="1">
      <alignment horizontal="center"/>
    </xf>
    <xf numFmtId="183" fontId="69" fillId="0" borderId="80" xfId="59" applyNumberFormat="1" applyFont="1" applyFill="1" applyBorder="1"/>
    <xf numFmtId="183" fontId="69" fillId="0" borderId="25" xfId="59" applyNumberFormat="1" applyFont="1" applyBorder="1"/>
    <xf numFmtId="183" fontId="74" fillId="0" borderId="54" xfId="59" applyNumberFormat="1" applyFont="1" applyFill="1" applyBorder="1" applyAlignment="1">
      <alignment horizontal="center" vertical="center"/>
    </xf>
    <xf numFmtId="183" fontId="74" fillId="0" borderId="55" xfId="59" applyNumberFormat="1" applyFont="1" applyFill="1" applyBorder="1" applyAlignment="1">
      <alignment horizontal="center" vertical="center"/>
    </xf>
    <xf numFmtId="183" fontId="74" fillId="0" borderId="54" xfId="59" applyNumberFormat="1" applyFont="1" applyBorder="1" applyAlignment="1">
      <alignment horizontal="center" vertical="center"/>
    </xf>
    <xf numFmtId="183" fontId="74" fillId="0" borderId="55" xfId="59" applyNumberFormat="1" applyFont="1" applyBorder="1" applyAlignment="1">
      <alignment horizontal="center" vertical="center"/>
    </xf>
    <xf numFmtId="183" fontId="74" fillId="0" borderId="80" xfId="59" applyNumberFormat="1" applyFont="1" applyBorder="1" applyAlignment="1">
      <alignment horizontal="center" vertical="center"/>
    </xf>
    <xf numFmtId="183" fontId="76" fillId="0" borderId="54" xfId="59" applyNumberFormat="1" applyFont="1" applyFill="1" applyBorder="1" applyAlignment="1">
      <alignment horizontal="center"/>
    </xf>
    <xf numFmtId="183" fontId="69" fillId="0" borderId="25" xfId="59" applyNumberFormat="1" applyFont="1" applyFill="1" applyBorder="1"/>
    <xf numFmtId="183" fontId="76" fillId="0" borderId="23" xfId="59" applyNumberFormat="1" applyFont="1" applyFill="1" applyBorder="1" applyAlignment="1">
      <alignment horizontal="center"/>
    </xf>
    <xf numFmtId="183" fontId="76" fillId="0" borderId="53" xfId="59" applyNumberFormat="1" applyFont="1" applyFill="1" applyBorder="1" applyAlignment="1">
      <alignment horizontal="center"/>
    </xf>
    <xf numFmtId="183" fontId="76" fillId="0" borderId="23" xfId="59" applyNumberFormat="1" applyFont="1" applyBorder="1" applyAlignment="1">
      <alignment horizontal="center"/>
    </xf>
    <xf numFmtId="170" fontId="32" fillId="0" borderId="28" xfId="1" applyNumberFormat="1" applyFont="1" applyFill="1" applyBorder="1" applyAlignment="1" applyProtection="1">
      <alignment horizontal="left" wrapText="1"/>
    </xf>
    <xf numFmtId="170" fontId="69" fillId="0" borderId="129" xfId="0" applyNumberFormat="1" applyFont="1" applyFill="1" applyBorder="1"/>
    <xf numFmtId="170" fontId="69" fillId="0" borderId="31" xfId="5" applyNumberFormat="1" applyFont="1" applyBorder="1"/>
    <xf numFmtId="0" fontId="69" fillId="0" borderId="0" xfId="263" applyFont="1" applyBorder="1" applyAlignment="1">
      <alignment horizontal="left" vertical="top" wrapText="1"/>
    </xf>
    <xf numFmtId="0" fontId="69" fillId="0" borderId="0" xfId="263" applyFont="1" applyAlignment="1">
      <alignment vertical="top" wrapText="1"/>
    </xf>
    <xf numFmtId="183" fontId="31" fillId="0" borderId="0" xfId="59" applyNumberFormat="1" applyFont="1" applyFill="1"/>
    <xf numFmtId="170" fontId="31" fillId="0" borderId="0" xfId="0" applyNumberFormat="1" applyFont="1" applyFill="1"/>
    <xf numFmtId="0" fontId="69" fillId="0" borderId="0" xfId="263" applyFont="1" applyBorder="1" applyAlignment="1">
      <alignment vertical="top" wrapText="1"/>
    </xf>
    <xf numFmtId="0" fontId="74" fillId="0" borderId="0" xfId="263" applyFont="1" applyBorder="1" applyAlignment="1">
      <alignment vertical="top" wrapText="1"/>
    </xf>
    <xf numFmtId="184" fontId="74" fillId="0" borderId="0" xfId="264" applyNumberFormat="1" applyFont="1" applyBorder="1" applyAlignment="1">
      <alignment horizontal="center"/>
    </xf>
    <xf numFmtId="184" fontId="69" fillId="0" borderId="0" xfId="264" applyNumberFormat="1" applyFont="1" applyFill="1" applyBorder="1"/>
    <xf numFmtId="184" fontId="69" fillId="0" borderId="0" xfId="264" applyNumberFormat="1" applyFont="1" applyBorder="1" applyAlignment="1">
      <alignment vertical="top"/>
    </xf>
    <xf numFmtId="184" fontId="74" fillId="0" borderId="0" xfId="264" applyNumberFormat="1" applyFont="1" applyBorder="1" applyAlignment="1">
      <alignment vertical="top"/>
    </xf>
    <xf numFmtId="184" fontId="69" fillId="0" borderId="0" xfId="264" applyNumberFormat="1" applyFont="1" applyBorder="1" applyAlignment="1">
      <alignment horizontal="right" vertical="top"/>
    </xf>
    <xf numFmtId="183" fontId="69" fillId="0" borderId="0" xfId="264" applyNumberFormat="1" applyFont="1" applyBorder="1" applyAlignment="1">
      <alignment horizontal="right" vertical="top"/>
    </xf>
    <xf numFmtId="184" fontId="69" fillId="0" borderId="0" xfId="263" applyNumberFormat="1" applyFont="1" applyBorder="1"/>
    <xf numFmtId="0" fontId="69" fillId="0" borderId="0" xfId="263" applyFont="1" applyAlignment="1">
      <alignment vertical="top"/>
    </xf>
    <xf numFmtId="0" fontId="69" fillId="0" borderId="0" xfId="263" applyFont="1" applyAlignment="1"/>
    <xf numFmtId="184" fontId="69" fillId="0" borderId="0" xfId="264" applyNumberFormat="1" applyFont="1" applyFill="1" applyBorder="1" applyAlignment="1">
      <alignment vertical="top"/>
    </xf>
    <xf numFmtId="0" fontId="74" fillId="0" borderId="107" xfId="272" applyFont="1" applyBorder="1"/>
    <xf numFmtId="0" fontId="74" fillId="0" borderId="106" xfId="272" applyFont="1" applyBorder="1"/>
    <xf numFmtId="0" fontId="74" fillId="0" borderId="91" xfId="272" applyFont="1" applyBorder="1"/>
    <xf numFmtId="16" fontId="74" fillId="0" borderId="91" xfId="272" applyNumberFormat="1" applyFont="1" applyBorder="1"/>
    <xf numFmtId="0" fontId="74" fillId="0" borderId="154" xfId="272" applyFont="1" applyBorder="1"/>
    <xf numFmtId="0" fontId="69" fillId="0" borderId="28" xfId="272" applyFont="1" applyBorder="1"/>
    <xf numFmtId="0" fontId="69" fillId="0" borderId="8" xfId="272" applyFont="1" applyBorder="1"/>
    <xf numFmtId="9" fontId="69" fillId="0" borderId="28" xfId="272" applyNumberFormat="1" applyFont="1" applyBorder="1"/>
    <xf numFmtId="41" fontId="69" fillId="0" borderId="28" xfId="272" applyNumberFormat="1" applyFont="1" applyBorder="1"/>
    <xf numFmtId="41" fontId="69" fillId="0" borderId="0" xfId="272" quotePrefix="1" applyNumberFormat="1" applyFont="1"/>
    <xf numFmtId="0" fontId="69" fillId="0" borderId="6" xfId="272" applyFont="1" applyBorder="1"/>
    <xf numFmtId="41" fontId="74" fillId="0" borderId="6" xfId="272" applyNumberFormat="1" applyFont="1" applyBorder="1"/>
    <xf numFmtId="0" fontId="74" fillId="0" borderId="107" xfId="272" applyFont="1" applyBorder="1" applyAlignment="1">
      <alignment horizontal="left"/>
    </xf>
    <xf numFmtId="190" fontId="74" fillId="0" borderId="91" xfId="272" quotePrefix="1" applyNumberFormat="1" applyFont="1" applyBorder="1" applyAlignment="1">
      <alignment horizontal="left"/>
    </xf>
    <xf numFmtId="170" fontId="127" fillId="0" borderId="54" xfId="1" applyNumberFormat="1" applyFont="1" applyFill="1" applyBorder="1" applyAlignment="1">
      <alignment horizontal="center" vertical="center"/>
    </xf>
    <xf numFmtId="170" fontId="30" fillId="0" borderId="0" xfId="0" applyNumberFormat="1" applyFont="1" applyBorder="1"/>
    <xf numFmtId="165" fontId="30" fillId="0" borderId="0" xfId="59" applyFont="1" applyBorder="1"/>
    <xf numFmtId="165" fontId="69" fillId="0" borderId="15" xfId="59" applyNumberFormat="1" applyFont="1" applyFill="1" applyBorder="1"/>
    <xf numFmtId="170" fontId="29" fillId="0" borderId="28" xfId="1" applyNumberFormat="1" applyFont="1" applyFill="1" applyBorder="1" applyAlignment="1" applyProtection="1">
      <alignment horizontal="right"/>
    </xf>
    <xf numFmtId="1" fontId="146" fillId="0" borderId="66" xfId="0" applyNumberFormat="1" applyFont="1" applyFill="1" applyBorder="1" applyAlignment="1">
      <alignment horizontal="right"/>
    </xf>
    <xf numFmtId="1" fontId="146" fillId="0" borderId="23" xfId="0" applyNumberFormat="1" applyFont="1" applyFill="1" applyBorder="1" applyAlignment="1">
      <alignment horizontal="right"/>
    </xf>
    <xf numFmtId="0" fontId="69" fillId="0" borderId="15" xfId="213" applyNumberFormat="1" applyFont="1" applyFill="1" applyBorder="1" applyAlignment="1">
      <alignment horizontal="right"/>
    </xf>
    <xf numFmtId="0" fontId="69" fillId="0" borderId="25" xfId="213" applyNumberFormat="1" applyFont="1" applyFill="1" applyBorder="1" applyAlignment="1">
      <alignment horizontal="right"/>
    </xf>
    <xf numFmtId="165" fontId="74" fillId="0" borderId="0" xfId="59" applyNumberFormat="1" applyFont="1" applyFill="1" applyBorder="1"/>
    <xf numFmtId="165" fontId="69" fillId="0" borderId="0" xfId="59" applyNumberFormat="1" applyFont="1" applyFill="1" applyBorder="1"/>
    <xf numFmtId="174" fontId="76" fillId="0" borderId="54" xfId="0" applyNumberFormat="1" applyFont="1" applyBorder="1" applyAlignment="1">
      <alignment horizontal="center"/>
    </xf>
    <xf numFmtId="174" fontId="76" fillId="0" borderId="23" xfId="0" applyNumberFormat="1" applyFont="1" applyBorder="1" applyAlignment="1">
      <alignment horizontal="center"/>
    </xf>
    <xf numFmtId="179" fontId="74" fillId="0" borderId="0" xfId="59" applyNumberFormat="1" applyFont="1" applyFill="1" applyBorder="1"/>
    <xf numFmtId="179" fontId="69" fillId="0" borderId="0" xfId="59" applyNumberFormat="1" applyFont="1" applyFill="1" applyBorder="1"/>
    <xf numFmtId="188" fontId="29" fillId="0" borderId="0" xfId="0" applyFont="1" applyAlignment="1">
      <alignment horizontal="left"/>
    </xf>
    <xf numFmtId="188" fontId="29" fillId="0" borderId="0" xfId="0" applyFont="1" applyFill="1"/>
    <xf numFmtId="184" fontId="148" fillId="0" borderId="54" xfId="0" applyNumberFormat="1" applyFont="1" applyFill="1" applyBorder="1" applyAlignment="1">
      <alignment horizontal="left"/>
    </xf>
    <xf numFmtId="184" fontId="148" fillId="0" borderId="80" xfId="59" applyNumberFormat="1" applyFont="1" applyFill="1" applyBorder="1"/>
    <xf numFmtId="184" fontId="148" fillId="0" borderId="80" xfId="0" applyNumberFormat="1" applyFont="1" applyFill="1" applyBorder="1" applyAlignment="1">
      <alignment horizontal="left"/>
    </xf>
    <xf numFmtId="170" fontId="69" fillId="0" borderId="56" xfId="0" applyNumberFormat="1" applyFont="1" applyBorder="1"/>
    <xf numFmtId="185" fontId="29" fillId="0" borderId="0" xfId="255" applyNumberFormat="1" applyFont="1" applyFill="1" applyAlignment="1">
      <alignment horizontal="left"/>
    </xf>
    <xf numFmtId="185" fontId="29" fillId="0" borderId="0" xfId="255" applyNumberFormat="1" applyFont="1" applyFill="1"/>
    <xf numFmtId="49" fontId="120" fillId="47" borderId="25" xfId="0" applyNumberFormat="1" applyFont="1" applyFill="1" applyBorder="1" applyAlignment="1">
      <alignment vertical="center"/>
    </xf>
    <xf numFmtId="49" fontId="120" fillId="47" borderId="23" xfId="0" applyNumberFormat="1" applyFont="1" applyFill="1" applyBorder="1" applyAlignment="1">
      <alignment horizontal="right" vertical="center"/>
    </xf>
    <xf numFmtId="37" fontId="28" fillId="0" borderId="28" xfId="1" applyNumberFormat="1" applyFont="1" applyBorder="1" applyAlignment="1">
      <alignment horizontal="center" vertical="center" wrapText="1"/>
    </xf>
    <xf numFmtId="183" fontId="69" fillId="0" borderId="0" xfId="59" applyNumberFormat="1" applyFont="1" applyBorder="1" applyProtection="1"/>
    <xf numFmtId="37" fontId="43" fillId="0" borderId="28" xfId="1" applyNumberFormat="1" applyFont="1" applyBorder="1" applyAlignment="1">
      <alignment vertical="center"/>
    </xf>
    <xf numFmtId="170" fontId="28" fillId="0" borderId="28" xfId="213" applyFont="1" applyFill="1" applyBorder="1" applyAlignment="1">
      <alignment horizontal="right"/>
    </xf>
    <xf numFmtId="170" fontId="28" fillId="0" borderId="0" xfId="1" applyNumberFormat="1" applyFont="1"/>
    <xf numFmtId="173" fontId="69" fillId="0" borderId="25" xfId="218" applyNumberFormat="1" applyFont="1" applyBorder="1"/>
    <xf numFmtId="170" fontId="74" fillId="44" borderId="113" xfId="1" applyNumberFormat="1" applyFont="1" applyFill="1" applyBorder="1" applyAlignment="1">
      <alignment horizontal="right"/>
    </xf>
    <xf numFmtId="170" fontId="69" fillId="44" borderId="8" xfId="1" applyNumberFormat="1" applyFont="1" applyFill="1" applyBorder="1"/>
    <xf numFmtId="37" fontId="74" fillId="44" borderId="62" xfId="1" applyNumberFormat="1" applyFont="1" applyFill="1" applyBorder="1" applyProtection="1"/>
    <xf numFmtId="37" fontId="74" fillId="44" borderId="113" xfId="1" applyNumberFormat="1" applyFont="1" applyFill="1" applyBorder="1" applyAlignment="1" applyProtection="1">
      <alignment horizontal="right"/>
    </xf>
    <xf numFmtId="170" fontId="69" fillId="44" borderId="40" xfId="1" applyNumberFormat="1" applyFont="1" applyFill="1" applyBorder="1"/>
    <xf numFmtId="0" fontId="69" fillId="0" borderId="16" xfId="0" applyNumberFormat="1" applyFont="1" applyFill="1" applyBorder="1" applyAlignment="1">
      <alignment horizontal="right"/>
    </xf>
    <xf numFmtId="0" fontId="69" fillId="0" borderId="24" xfId="0" applyNumberFormat="1" applyFont="1" applyFill="1" applyBorder="1" applyAlignment="1">
      <alignment horizontal="right"/>
    </xf>
    <xf numFmtId="188" fontId="146" fillId="0" borderId="51" xfId="0" applyNumberFormat="1" applyFont="1" applyFill="1" applyBorder="1" applyAlignment="1">
      <alignment horizontal="right"/>
    </xf>
    <xf numFmtId="49" fontId="69" fillId="0" borderId="24" xfId="213" applyNumberFormat="1" applyFont="1" applyFill="1" applyBorder="1" applyAlignment="1">
      <alignment horizontal="right"/>
    </xf>
    <xf numFmtId="49" fontId="69" fillId="0" borderId="16" xfId="213" applyNumberFormat="1" applyFont="1" applyFill="1" applyBorder="1" applyAlignment="1">
      <alignment horizontal="right"/>
    </xf>
    <xf numFmtId="49" fontId="69" fillId="0" borderId="24" xfId="0" applyNumberFormat="1" applyFont="1" applyFill="1" applyBorder="1" applyAlignment="1">
      <alignment horizontal="right"/>
    </xf>
    <xf numFmtId="41" fontId="69" fillId="0" borderId="0" xfId="263" applyNumberFormat="1" applyFont="1"/>
    <xf numFmtId="170" fontId="69" fillId="0" borderId="0" xfId="0" applyNumberFormat="1" applyFont="1" applyBorder="1" applyAlignment="1">
      <alignment horizontal="right"/>
    </xf>
    <xf numFmtId="170" fontId="76" fillId="0" borderId="15" xfId="0" applyNumberFormat="1" applyFont="1" applyBorder="1"/>
    <xf numFmtId="170" fontId="69" fillId="0" borderId="15" xfId="0" applyNumberFormat="1" applyFont="1" applyBorder="1" applyAlignment="1"/>
    <xf numFmtId="170" fontId="76" fillId="0" borderId="0" xfId="0" applyNumberFormat="1" applyFont="1" applyBorder="1"/>
    <xf numFmtId="170" fontId="76" fillId="44" borderId="51" xfId="0" applyNumberFormat="1" applyFont="1" applyFill="1" applyBorder="1"/>
    <xf numFmtId="188" fontId="147" fillId="0" borderId="19" xfId="0" applyFont="1" applyBorder="1"/>
    <xf numFmtId="188" fontId="170" fillId="0" borderId="0" xfId="0" applyFont="1"/>
    <xf numFmtId="188" fontId="147" fillId="0" borderId="16" xfId="0" applyFont="1" applyBorder="1" applyAlignment="1">
      <alignment horizontal="right"/>
    </xf>
    <xf numFmtId="188" fontId="147" fillId="0" borderId="0" xfId="0" applyFont="1" applyBorder="1"/>
    <xf numFmtId="170" fontId="69" fillId="0" borderId="16" xfId="214" applyFont="1" applyBorder="1"/>
    <xf numFmtId="170" fontId="69" fillId="0" borderId="24" xfId="214" applyFont="1" applyBorder="1"/>
    <xf numFmtId="170" fontId="74" fillId="0" borderId="22" xfId="214" applyFont="1" applyBorder="1" applyAlignment="1">
      <alignment horizontal="right"/>
    </xf>
    <xf numFmtId="188" fontId="147" fillId="0" borderId="0" xfId="0" applyFont="1" applyBorder="1" applyAlignment="1">
      <alignment horizontal="center"/>
    </xf>
    <xf numFmtId="173" fontId="69" fillId="0" borderId="28" xfId="218" applyNumberFormat="1" applyFont="1" applyBorder="1"/>
    <xf numFmtId="49" fontId="120" fillId="0" borderId="80" xfId="0" applyNumberFormat="1" applyFont="1" applyFill="1" applyBorder="1" applyAlignment="1">
      <alignment horizontal="center" vertical="center"/>
    </xf>
    <xf numFmtId="174" fontId="176" fillId="0" borderId="18" xfId="1" applyNumberFormat="1" applyFont="1" applyFill="1" applyBorder="1" applyProtection="1"/>
    <xf numFmtId="173" fontId="69" fillId="0" borderId="95" xfId="218" applyNumberFormat="1" applyFont="1" applyBorder="1"/>
    <xf numFmtId="170" fontId="69" fillId="0" borderId="52" xfId="207" applyNumberFormat="1" applyBorder="1" applyAlignment="1">
      <alignment horizontal="right"/>
    </xf>
    <xf numFmtId="188" fontId="146" fillId="0" borderId="56" xfId="0" applyFont="1" applyBorder="1" applyAlignment="1">
      <alignment horizontal="right"/>
    </xf>
    <xf numFmtId="0" fontId="63" fillId="0" borderId="55" xfId="213" applyNumberFormat="1" applyFont="1" applyFill="1" applyBorder="1" applyAlignment="1">
      <alignment horizontal="right"/>
    </xf>
    <xf numFmtId="170" fontId="124" fillId="0" borderId="15" xfId="1" applyNumberFormat="1" applyFont="1" applyBorder="1" applyAlignment="1">
      <alignment horizontal="right"/>
    </xf>
    <xf numFmtId="170" fontId="124" fillId="0" borderId="25" xfId="1" applyNumberFormat="1" applyFont="1" applyBorder="1" applyAlignment="1">
      <alignment horizontal="right"/>
    </xf>
    <xf numFmtId="0" fontId="69" fillId="0" borderId="80" xfId="213" applyNumberFormat="1" applyFont="1" applyFill="1" applyBorder="1" applyAlignment="1"/>
    <xf numFmtId="43" fontId="69" fillId="0" borderId="23" xfId="261" applyNumberFormat="1" applyFont="1" applyBorder="1"/>
    <xf numFmtId="43" fontId="69" fillId="0" borderId="15" xfId="261" applyNumberFormat="1" applyFont="1" applyBorder="1"/>
    <xf numFmtId="43" fontId="69" fillId="0" borderId="15" xfId="59" applyNumberFormat="1" applyFont="1" applyBorder="1"/>
    <xf numFmtId="43" fontId="69" fillId="0" borderId="15" xfId="214" applyNumberFormat="1" applyFont="1" applyBorder="1"/>
    <xf numFmtId="43" fontId="69" fillId="0" borderId="25" xfId="214" applyNumberFormat="1" applyFont="1" applyBorder="1"/>
    <xf numFmtId="41" fontId="74" fillId="0" borderId="0" xfId="218" applyNumberFormat="1" applyFont="1"/>
    <xf numFmtId="165" fontId="69" fillId="41" borderId="0" xfId="59" applyFont="1" applyFill="1"/>
    <xf numFmtId="170" fontId="118" fillId="41" borderId="0" xfId="1" applyNumberFormat="1" applyFont="1" applyFill="1"/>
    <xf numFmtId="170" fontId="118" fillId="0" borderId="0" xfId="1" applyNumberFormat="1" applyFont="1" applyFill="1"/>
    <xf numFmtId="170" fontId="147" fillId="48" borderId="56" xfId="1" applyNumberFormat="1" applyFont="1" applyFill="1" applyBorder="1"/>
    <xf numFmtId="183" fontId="125" fillId="0" borderId="0" xfId="59" applyNumberFormat="1" applyFont="1"/>
    <xf numFmtId="183" fontId="124" fillId="0" borderId="0" xfId="59" applyNumberFormat="1" applyFont="1" applyFill="1"/>
    <xf numFmtId="183" fontId="124" fillId="0" borderId="0" xfId="59" applyNumberFormat="1" applyFont="1"/>
    <xf numFmtId="1" fontId="74" fillId="24" borderId="155" xfId="1" applyNumberFormat="1" applyFont="1" applyFill="1" applyBorder="1" applyAlignment="1">
      <alignment horizontal="right"/>
    </xf>
    <xf numFmtId="170" fontId="74" fillId="44" borderId="91" xfId="1" applyNumberFormat="1" applyFont="1" applyFill="1" applyBorder="1" applyProtection="1"/>
    <xf numFmtId="0" fontId="69" fillId="0" borderId="107" xfId="0" applyNumberFormat="1" applyFont="1" applyBorder="1" applyAlignment="1"/>
    <xf numFmtId="188" fontId="69" fillId="0" borderId="106" xfId="0" applyFont="1" applyBorder="1" applyAlignment="1">
      <alignment horizontal="right"/>
    </xf>
    <xf numFmtId="174" fontId="69" fillId="0" borderId="106" xfId="1" applyNumberFormat="1" applyFont="1" applyFill="1" applyBorder="1" applyProtection="1"/>
    <xf numFmtId="183" fontId="69" fillId="0" borderId="107" xfId="59" applyNumberFormat="1" applyFont="1" applyBorder="1"/>
    <xf numFmtId="183" fontId="69" fillId="0" borderId="102" xfId="59" applyNumberFormat="1" applyFont="1" applyFill="1" applyBorder="1"/>
    <xf numFmtId="183" fontId="69" fillId="0" borderId="107" xfId="59" applyNumberFormat="1" applyFont="1" applyFill="1" applyBorder="1"/>
    <xf numFmtId="170" fontId="69" fillId="0" borderId="106" xfId="1" applyNumberFormat="1" applyFont="1" applyFill="1" applyBorder="1" applyProtection="1"/>
    <xf numFmtId="188" fontId="69" fillId="0" borderId="91" xfId="59" applyNumberFormat="1" applyFont="1" applyBorder="1" applyAlignment="1"/>
    <xf numFmtId="188" fontId="69" fillId="0" borderId="154" xfId="0" applyFont="1" applyBorder="1" applyAlignment="1">
      <alignment horizontal="right"/>
    </xf>
    <xf numFmtId="170" fontId="69" fillId="0" borderId="152" xfId="1" applyNumberFormat="1" applyFont="1" applyFill="1" applyBorder="1" applyProtection="1"/>
    <xf numFmtId="183" fontId="69" fillId="0" borderId="91" xfId="59" applyNumberFormat="1" applyFont="1" applyFill="1" applyBorder="1"/>
    <xf numFmtId="174" fontId="69" fillId="0" borderId="91" xfId="1" applyNumberFormat="1" applyFont="1" applyFill="1" applyBorder="1" applyProtection="1"/>
    <xf numFmtId="174" fontId="69" fillId="0" borderId="154" xfId="1" applyNumberFormat="1" applyFont="1" applyFill="1" applyBorder="1" applyProtection="1"/>
    <xf numFmtId="170" fontId="69" fillId="0" borderId="91" xfId="1" applyNumberFormat="1" applyFont="1" applyFill="1" applyBorder="1"/>
    <xf numFmtId="202" fontId="147" fillId="48" borderId="56" xfId="59" applyNumberFormat="1" applyFont="1" applyFill="1" applyBorder="1" applyAlignment="1">
      <alignment horizontal="right"/>
    </xf>
    <xf numFmtId="170" fontId="69" fillId="0" borderId="31" xfId="213" applyFont="1" applyFill="1" applyBorder="1"/>
    <xf numFmtId="170" fontId="74" fillId="0" borderId="50" xfId="1" applyNumberFormat="1" applyFont="1" applyBorder="1" applyAlignment="1">
      <alignment horizontal="center"/>
    </xf>
    <xf numFmtId="170" fontId="118" fillId="0" borderId="107" xfId="1" applyNumberFormat="1" applyFont="1" applyFill="1" applyBorder="1" applyAlignment="1" applyProtection="1">
      <alignment horizontal="right"/>
    </xf>
    <xf numFmtId="170" fontId="69" fillId="0" borderId="28" xfId="0" applyNumberFormat="1" applyFont="1" applyFill="1" applyBorder="1"/>
    <xf numFmtId="37" fontId="74" fillId="0" borderId="28" xfId="1" applyNumberFormat="1" applyFont="1" applyFill="1" applyBorder="1" applyAlignment="1">
      <alignment horizontal="center"/>
    </xf>
    <xf numFmtId="37" fontId="119" fillId="0" borderId="28" xfId="1" applyNumberFormat="1" applyFont="1" applyBorder="1" applyAlignment="1">
      <alignment horizontal="right"/>
    </xf>
    <xf numFmtId="170" fontId="119" fillId="0" borderId="28" xfId="1" applyNumberFormat="1" applyFont="1" applyFill="1" applyBorder="1" applyAlignment="1">
      <alignment horizontal="right"/>
    </xf>
    <xf numFmtId="17" fontId="69" fillId="0" borderId="129" xfId="0" applyNumberFormat="1" applyFont="1" applyBorder="1" applyAlignment="1">
      <alignment horizontal="center"/>
    </xf>
    <xf numFmtId="17" fontId="74" fillId="0" borderId="103" xfId="0" applyNumberFormat="1" applyFont="1" applyBorder="1"/>
    <xf numFmtId="17" fontId="74" fillId="0" borderId="103" xfId="0" applyNumberFormat="1" applyFont="1" applyBorder="1" applyAlignment="1">
      <alignment horizontal="center"/>
    </xf>
    <xf numFmtId="17" fontId="74" fillId="0" borderId="21" xfId="0" applyNumberFormat="1" applyFont="1" applyBorder="1" applyAlignment="1">
      <alignment horizontal="center"/>
    </xf>
    <xf numFmtId="17" fontId="74" fillId="0" borderId="46" xfId="0" applyNumberFormat="1" applyFont="1" applyBorder="1" applyAlignment="1">
      <alignment horizontal="center"/>
    </xf>
    <xf numFmtId="17" fontId="74" fillId="0" borderId="141" xfId="0" applyNumberFormat="1" applyFont="1" applyBorder="1"/>
    <xf numFmtId="17" fontId="74" fillId="0" borderId="150" xfId="0" applyNumberFormat="1" applyFont="1" applyBorder="1"/>
    <xf numFmtId="17" fontId="74" fillId="0" borderId="84" xfId="0" applyNumberFormat="1" applyFont="1" applyBorder="1"/>
    <xf numFmtId="170" fontId="147" fillId="44" borderId="40" xfId="1" applyNumberFormat="1" applyFont="1" applyFill="1" applyBorder="1" applyProtection="1"/>
    <xf numFmtId="174" fontId="147" fillId="44" borderId="40" xfId="1" applyNumberFormat="1" applyFont="1" applyFill="1" applyBorder="1" applyProtection="1"/>
    <xf numFmtId="165" fontId="147" fillId="44" borderId="40" xfId="59" applyFont="1" applyFill="1" applyBorder="1" applyProtection="1"/>
    <xf numFmtId="183" fontId="147" fillId="44" borderId="114" xfId="59" applyNumberFormat="1" applyFont="1" applyFill="1" applyBorder="1" applyProtection="1"/>
    <xf numFmtId="183" fontId="147" fillId="44" borderId="161" xfId="59" applyNumberFormat="1" applyFont="1" applyFill="1" applyBorder="1" applyProtection="1"/>
    <xf numFmtId="184" fontId="69" fillId="0" borderId="94" xfId="264" applyNumberFormat="1" applyFont="1" applyFill="1" applyBorder="1" applyAlignment="1">
      <alignment vertical="top"/>
    </xf>
    <xf numFmtId="184" fontId="69" fillId="0" borderId="94" xfId="264" applyNumberFormat="1" applyFont="1" applyFill="1" applyBorder="1" applyAlignment="1">
      <alignment horizontal="right" vertical="top"/>
    </xf>
    <xf numFmtId="170" fontId="69" fillId="0" borderId="54" xfId="1" applyNumberFormat="1" applyFont="1" applyFill="1" applyBorder="1" applyProtection="1"/>
    <xf numFmtId="170" fontId="147" fillId="24" borderId="152" xfId="1" applyNumberFormat="1" applyFont="1" applyFill="1" applyBorder="1" applyAlignment="1">
      <alignment horizontal="right"/>
    </xf>
    <xf numFmtId="183" fontId="147" fillId="44" borderId="113" xfId="59" applyNumberFormat="1" applyFont="1" applyFill="1" applyBorder="1" applyProtection="1"/>
    <xf numFmtId="183" fontId="69" fillId="0" borderId="91" xfId="59" applyNumberFormat="1" applyFont="1" applyFill="1" applyBorder="1" applyAlignment="1">
      <alignment horizontal="right"/>
    </xf>
    <xf numFmtId="170" fontId="69" fillId="0" borderId="91" xfId="213" applyFont="1" applyFill="1" applyBorder="1" applyAlignment="1">
      <alignment horizontal="right"/>
    </xf>
    <xf numFmtId="170" fontId="118" fillId="0" borderId="0" xfId="1" applyNumberFormat="1" applyFont="1"/>
    <xf numFmtId="165" fontId="74" fillId="44" borderId="114" xfId="59" applyFont="1" applyFill="1" applyBorder="1" applyProtection="1"/>
    <xf numFmtId="165" fontId="74" fillId="0" borderId="66" xfId="59" applyFont="1" applyBorder="1"/>
    <xf numFmtId="165" fontId="74" fillId="44" borderId="113" xfId="59" applyFont="1" applyFill="1" applyBorder="1" applyProtection="1"/>
    <xf numFmtId="170" fontId="74" fillId="44" borderId="110" xfId="59" applyNumberFormat="1" applyFont="1" applyFill="1" applyBorder="1" applyProtection="1"/>
    <xf numFmtId="165" fontId="74" fillId="44" borderId="109" xfId="59" applyFont="1" applyFill="1" applyBorder="1" applyProtection="1"/>
    <xf numFmtId="165" fontId="69" fillId="0" borderId="106" xfId="59" applyFont="1" applyFill="1" applyBorder="1"/>
    <xf numFmtId="183" fontId="69" fillId="0" borderId="101" xfId="59" applyNumberFormat="1" applyFont="1" applyBorder="1" applyProtection="1"/>
    <xf numFmtId="170" fontId="74" fillId="44" borderId="113" xfId="59" applyNumberFormat="1" applyFont="1" applyFill="1" applyBorder="1" applyProtection="1"/>
    <xf numFmtId="183" fontId="69" fillId="0" borderId="151" xfId="59" applyNumberFormat="1" applyFont="1" applyBorder="1"/>
    <xf numFmtId="170" fontId="74" fillId="44" borderId="40" xfId="1" applyNumberFormat="1" applyFont="1" applyFill="1" applyBorder="1"/>
    <xf numFmtId="165" fontId="69" fillId="0" borderId="152" xfId="59" applyFont="1" applyBorder="1"/>
    <xf numFmtId="183" fontId="74" fillId="44" borderId="113" xfId="59" applyNumberFormat="1" applyFont="1" applyFill="1" applyBorder="1" applyProtection="1"/>
    <xf numFmtId="183" fontId="69" fillId="0" borderId="101" xfId="59" applyNumberFormat="1" applyFont="1" applyBorder="1"/>
    <xf numFmtId="188" fontId="74" fillId="0" borderId="0" xfId="62" applyNumberFormat="1" applyFont="1" applyBorder="1" applyAlignment="1">
      <alignment horizontal="center"/>
    </xf>
    <xf numFmtId="188" fontId="170" fillId="0" borderId="0" xfId="0" applyNumberFormat="1" applyFont="1" applyBorder="1" applyAlignment="1">
      <alignment horizontal="left"/>
    </xf>
    <xf numFmtId="188" fontId="170" fillId="0" borderId="0" xfId="0" applyNumberFormat="1" applyFont="1" applyBorder="1" applyAlignment="1">
      <alignment horizontal="center"/>
    </xf>
    <xf numFmtId="49" fontId="174" fillId="0" borderId="0" xfId="0" applyNumberFormat="1" applyFont="1" applyBorder="1" applyAlignment="1">
      <alignment horizontal="center"/>
    </xf>
    <xf numFmtId="170" fontId="170" fillId="0" borderId="0" xfId="0" applyNumberFormat="1" applyFont="1" applyBorder="1" applyAlignment="1">
      <alignment horizontal="center"/>
    </xf>
    <xf numFmtId="179" fontId="74" fillId="0" borderId="32" xfId="1" applyNumberFormat="1" applyFont="1" applyBorder="1" applyAlignment="1">
      <alignment horizontal="center"/>
    </xf>
    <xf numFmtId="179" fontId="69" fillId="0" borderId="0" xfId="1" applyNumberFormat="1" applyFont="1"/>
    <xf numFmtId="179" fontId="147" fillId="0" borderId="22" xfId="1" applyNumberFormat="1" applyFont="1" applyFill="1" applyBorder="1" applyAlignment="1">
      <alignment horizontal="right"/>
    </xf>
    <xf numFmtId="179" fontId="147" fillId="0" borderId="24" xfId="1" applyNumberFormat="1" applyFont="1" applyFill="1" applyBorder="1" applyAlignment="1">
      <alignment horizontal="right"/>
    </xf>
    <xf numFmtId="179" fontId="147" fillId="0" borderId="0" xfId="1" applyNumberFormat="1" applyFont="1" applyBorder="1" applyAlignment="1">
      <alignment horizontal="right"/>
    </xf>
    <xf numFmtId="179" fontId="147" fillId="0" borderId="0" xfId="1" applyNumberFormat="1" applyFont="1" applyAlignment="1">
      <alignment horizontal="right"/>
    </xf>
    <xf numFmtId="170" fontId="69" fillId="0" borderId="28" xfId="0" applyNumberFormat="1" applyFont="1" applyFill="1" applyBorder="1" applyAlignment="1">
      <alignment horizontal="right"/>
    </xf>
    <xf numFmtId="170" fontId="25" fillId="0" borderId="28" xfId="1" applyNumberFormat="1" applyFont="1" applyFill="1" applyBorder="1" applyAlignment="1" applyProtection="1">
      <alignment horizontal="right"/>
    </xf>
    <xf numFmtId="0" fontId="74" fillId="0" borderId="0" xfId="263" applyFont="1" applyAlignment="1">
      <alignment horizontal="right"/>
    </xf>
    <xf numFmtId="183" fontId="69" fillId="0" borderId="22" xfId="59" applyNumberFormat="1" applyFont="1" applyBorder="1"/>
    <xf numFmtId="0" fontId="24" fillId="0" borderId="16" xfId="350" applyFont="1" applyFill="1" applyBorder="1"/>
    <xf numFmtId="0" fontId="206" fillId="0" borderId="16" xfId="376" applyFont="1" applyBorder="1" applyAlignment="1">
      <alignment vertical="top"/>
    </xf>
    <xf numFmtId="0" fontId="69" fillId="0" borderId="15" xfId="263" applyFont="1" applyBorder="1"/>
    <xf numFmtId="170" fontId="69" fillId="0" borderId="15" xfId="263" applyNumberFormat="1" applyFont="1" applyBorder="1"/>
    <xf numFmtId="0" fontId="74" fillId="0" borderId="15" xfId="263" applyFont="1" applyBorder="1"/>
    <xf numFmtId="170" fontId="74" fillId="0" borderId="15" xfId="263" applyNumberFormat="1" applyFont="1" applyBorder="1"/>
    <xf numFmtId="0" fontId="69" fillId="0" borderId="174" xfId="263" applyFont="1" applyBorder="1"/>
    <xf numFmtId="184" fontId="69" fillId="0" borderId="15" xfId="263" applyNumberFormat="1" applyFont="1" applyBorder="1"/>
    <xf numFmtId="0" fontId="69" fillId="0" borderId="172" xfId="263" applyFont="1" applyBorder="1"/>
    <xf numFmtId="170" fontId="74" fillId="0" borderId="171" xfId="263" applyNumberFormat="1" applyFont="1" applyBorder="1"/>
    <xf numFmtId="0" fontId="76" fillId="0" borderId="16" xfId="263" applyFont="1" applyBorder="1"/>
    <xf numFmtId="0" fontId="69" fillId="0" borderId="129" xfId="263" applyFont="1" applyBorder="1"/>
    <xf numFmtId="43" fontId="69" fillId="0" borderId="0" xfId="263" applyNumberFormat="1" applyFont="1" applyBorder="1"/>
    <xf numFmtId="184" fontId="74" fillId="0" borderId="15" xfId="263" applyNumberFormat="1" applyFont="1" applyBorder="1"/>
    <xf numFmtId="164" fontId="69" fillId="0" borderId="19" xfId="263" applyNumberFormat="1" applyFont="1" applyBorder="1"/>
    <xf numFmtId="0" fontId="76" fillId="0" borderId="0" xfId="263" applyFont="1" applyBorder="1"/>
    <xf numFmtId="0" fontId="24" fillId="0" borderId="16" xfId="376" applyFont="1" applyBorder="1" applyAlignment="1">
      <alignment horizontal="left" vertical="top" indent="1"/>
    </xf>
    <xf numFmtId="15" fontId="76" fillId="0" borderId="0" xfId="263" applyNumberFormat="1" applyFont="1" applyBorder="1"/>
    <xf numFmtId="0" fontId="69" fillId="0" borderId="23" xfId="263" applyFont="1" applyBorder="1"/>
    <xf numFmtId="15" fontId="74" fillId="0" borderId="0" xfId="263" applyNumberFormat="1" applyFont="1" applyBorder="1" applyAlignment="1">
      <alignment horizontal="center"/>
    </xf>
    <xf numFmtId="0" fontId="120" fillId="0" borderId="22" xfId="373" applyFont="1" applyFill="1" applyBorder="1"/>
    <xf numFmtId="170" fontId="69" fillId="0" borderId="0" xfId="263" applyNumberFormat="1" applyFont="1" applyBorder="1"/>
    <xf numFmtId="0" fontId="76" fillId="0" borderId="0" xfId="263" applyFont="1" applyBorder="1" applyAlignment="1">
      <alignment horizontal="center"/>
    </xf>
    <xf numFmtId="0" fontId="69" fillId="0" borderId="16" xfId="350" applyFont="1" applyFill="1" applyBorder="1" applyAlignment="1">
      <alignment vertical="center"/>
    </xf>
    <xf numFmtId="0" fontId="69" fillId="0" borderId="19" xfId="263" applyFont="1" applyBorder="1"/>
    <xf numFmtId="0" fontId="207" fillId="0" borderId="16" xfId="373" applyFont="1" applyBorder="1"/>
    <xf numFmtId="0" fontId="69" fillId="0" borderId="16" xfId="263" applyFont="1" applyBorder="1"/>
    <xf numFmtId="0" fontId="69" fillId="0" borderId="173" xfId="263" applyFont="1" applyBorder="1"/>
    <xf numFmtId="170" fontId="69" fillId="0" borderId="23" xfId="263" applyNumberFormat="1" applyFont="1" applyBorder="1"/>
    <xf numFmtId="170" fontId="69" fillId="0" borderId="173" xfId="1" applyNumberFormat="1" applyFont="1" applyFill="1" applyBorder="1" applyProtection="1"/>
    <xf numFmtId="170" fontId="74" fillId="44" borderId="175" xfId="59" applyNumberFormat="1" applyFont="1" applyFill="1" applyBorder="1" applyProtection="1"/>
    <xf numFmtId="170" fontId="69" fillId="0" borderId="172" xfId="0" applyNumberFormat="1" applyFont="1" applyFill="1" applyBorder="1" applyAlignment="1">
      <alignment wrapText="1"/>
    </xf>
    <xf numFmtId="170" fontId="118" fillId="0" borderId="0" xfId="0" applyNumberFormat="1" applyFont="1" applyFill="1" applyBorder="1"/>
    <xf numFmtId="170" fontId="76" fillId="0" borderId="0" xfId="0" quotePrefix="1" applyNumberFormat="1" applyFont="1" applyAlignment="1">
      <alignment horizontal="center"/>
    </xf>
    <xf numFmtId="165" fontId="69" fillId="0" borderId="0" xfId="59" applyFont="1" applyAlignment="1">
      <alignment vertical="center"/>
    </xf>
    <xf numFmtId="170" fontId="208" fillId="0" borderId="52" xfId="0" applyNumberFormat="1" applyFont="1" applyFill="1" applyBorder="1" applyAlignment="1">
      <alignment horizontal="right"/>
    </xf>
    <xf numFmtId="41" fontId="74" fillId="47" borderId="176" xfId="5" applyNumberFormat="1" applyFont="1" applyFill="1" applyBorder="1"/>
    <xf numFmtId="41" fontId="74" fillId="47" borderId="176" xfId="5" applyNumberFormat="1" applyFont="1" applyFill="1" applyBorder="1" applyAlignment="1">
      <alignment horizontal="center"/>
    </xf>
    <xf numFmtId="41" fontId="74" fillId="47" borderId="177" xfId="5" applyNumberFormat="1" applyFont="1" applyFill="1" applyBorder="1" applyAlignment="1">
      <alignment horizontal="center"/>
    </xf>
    <xf numFmtId="41" fontId="74" fillId="47" borderId="176" xfId="210" applyNumberFormat="1" applyFont="1" applyFill="1" applyBorder="1" applyAlignment="1">
      <alignment horizontal="center"/>
    </xf>
    <xf numFmtId="188" fontId="74" fillId="47" borderId="176" xfId="5" applyFont="1" applyFill="1" applyBorder="1" applyAlignment="1">
      <alignment horizontal="center" wrapText="1"/>
    </xf>
    <xf numFmtId="170" fontId="74" fillId="47" borderId="178" xfId="5" applyNumberFormat="1" applyFont="1" applyFill="1" applyBorder="1" applyAlignment="1">
      <alignment horizontal="right"/>
    </xf>
    <xf numFmtId="174" fontId="124" fillId="0" borderId="15" xfId="0" applyNumberFormat="1" applyFont="1" applyFill="1" applyBorder="1" applyAlignment="1">
      <alignment horizontal="right"/>
    </xf>
    <xf numFmtId="174" fontId="124" fillId="0" borderId="174" xfId="1" applyNumberFormat="1" applyFont="1" applyBorder="1"/>
    <xf numFmtId="170" fontId="69" fillId="0" borderId="80" xfId="1" applyNumberFormat="1" applyFont="1" applyFill="1" applyBorder="1" applyAlignment="1">
      <alignment horizontal="right"/>
    </xf>
    <xf numFmtId="174" fontId="69" fillId="0" borderId="15" xfId="1" applyNumberFormat="1" applyFont="1" applyFill="1" applyBorder="1"/>
    <xf numFmtId="170" fontId="69" fillId="0" borderId="53" xfId="1" applyNumberFormat="1" applyFont="1" applyBorder="1"/>
    <xf numFmtId="170" fontId="69" fillId="0" borderId="31" xfId="1" applyNumberFormat="1" applyFont="1" applyFill="1" applyBorder="1" applyAlignment="1">
      <alignment vertical="center"/>
    </xf>
    <xf numFmtId="165" fontId="69" fillId="0" borderId="151" xfId="59" applyNumberFormat="1" applyFont="1" applyBorder="1"/>
    <xf numFmtId="170" fontId="69" fillId="0" borderId="151" xfId="1" applyNumberFormat="1" applyFont="1" applyFill="1" applyBorder="1"/>
    <xf numFmtId="188" fontId="161" fillId="0" borderId="80" xfId="0" applyNumberFormat="1" applyFont="1" applyFill="1" applyBorder="1" applyAlignment="1">
      <alignment horizontal="right"/>
    </xf>
    <xf numFmtId="170" fontId="162" fillId="0" borderId="80" xfId="0" applyNumberFormat="1" applyFont="1" applyFill="1" applyBorder="1" applyAlignment="1">
      <alignment horizontal="center"/>
    </xf>
    <xf numFmtId="170" fontId="124" fillId="0" borderId="19" xfId="1" applyNumberFormat="1" applyFont="1" applyFill="1" applyBorder="1"/>
    <xf numFmtId="170" fontId="124" fillId="0" borderId="173" xfId="1" applyNumberFormat="1" applyFont="1" applyFill="1" applyBorder="1" applyAlignment="1">
      <alignment horizontal="right"/>
    </xf>
    <xf numFmtId="170" fontId="124" fillId="0" borderId="80" xfId="1" applyNumberFormat="1" applyFont="1" applyFill="1" applyBorder="1" applyAlignment="1">
      <alignment horizontal="right"/>
    </xf>
    <xf numFmtId="170" fontId="74" fillId="44" borderId="179" xfId="1" applyNumberFormat="1" applyFont="1" applyFill="1" applyBorder="1" applyProtection="1"/>
    <xf numFmtId="165" fontId="124" fillId="0" borderId="80" xfId="59" applyFont="1" applyFill="1" applyBorder="1" applyAlignment="1">
      <alignment horizontal="right"/>
    </xf>
    <xf numFmtId="170" fontId="118" fillId="0" borderId="0" xfId="1" applyNumberFormat="1" applyFont="1" applyFill="1" applyAlignment="1">
      <alignment horizontal="right"/>
    </xf>
    <xf numFmtId="170" fontId="118" fillId="41" borderId="0" xfId="1" applyNumberFormat="1" applyFont="1" applyFill="1" applyAlignment="1">
      <alignment horizontal="right"/>
    </xf>
    <xf numFmtId="170" fontId="119" fillId="0" borderId="28" xfId="0" applyNumberFormat="1" applyFont="1" applyBorder="1" applyAlignment="1">
      <alignment wrapText="1"/>
    </xf>
    <xf numFmtId="188" fontId="146" fillId="0" borderId="36" xfId="0" applyFont="1" applyBorder="1" applyAlignment="1">
      <alignment horizontal="right"/>
    </xf>
    <xf numFmtId="170" fontId="74" fillId="0" borderId="0" xfId="5" applyNumberFormat="1" applyFont="1" applyFill="1" applyBorder="1" applyAlignment="1">
      <alignment horizontal="center" vertical="center" wrapText="1"/>
    </xf>
    <xf numFmtId="188" fontId="69" fillId="44" borderId="0" xfId="5" applyFont="1" applyFill="1" applyAlignment="1">
      <alignment wrapText="1"/>
    </xf>
    <xf numFmtId="49" fontId="69" fillId="44" borderId="8" xfId="213" applyNumberFormat="1" applyFont="1" applyFill="1" applyBorder="1" applyAlignment="1">
      <alignment horizontal="left"/>
    </xf>
    <xf numFmtId="49" fontId="69" fillId="0" borderId="180" xfId="213" applyNumberFormat="1" applyFont="1" applyFill="1" applyBorder="1" applyAlignment="1">
      <alignment horizontal="left"/>
    </xf>
    <xf numFmtId="174" fontId="69" fillId="0" borderId="8" xfId="5" applyNumberFormat="1" applyFont="1" applyFill="1" applyBorder="1" applyProtection="1"/>
    <xf numFmtId="188" fontId="74" fillId="37" borderId="51" xfId="0" applyFont="1" applyFill="1" applyBorder="1"/>
    <xf numFmtId="0" fontId="69" fillId="0" borderId="66" xfId="213" applyNumberFormat="1" applyFont="1" applyFill="1" applyBorder="1" applyAlignment="1">
      <alignment horizontal="center"/>
    </xf>
    <xf numFmtId="0" fontId="69" fillId="0" borderId="180" xfId="213" applyNumberFormat="1" applyFont="1" applyFill="1" applyBorder="1" applyAlignment="1">
      <alignment horizontal="center"/>
    </xf>
    <xf numFmtId="170" fontId="23" fillId="0" borderId="28" xfId="1" applyNumberFormat="1" applyFont="1" applyFill="1" applyBorder="1" applyAlignment="1" applyProtection="1">
      <alignment horizontal="right"/>
    </xf>
    <xf numFmtId="170" fontId="69" fillId="0" borderId="28" xfId="1" quotePrefix="1" applyNumberFormat="1" applyFont="1" applyFill="1" applyBorder="1" applyAlignment="1" applyProtection="1">
      <alignment horizontal="right"/>
    </xf>
    <xf numFmtId="183" fontId="69" fillId="0" borderId="15" xfId="59" applyNumberFormat="1" applyFont="1" applyFill="1" applyBorder="1" applyAlignment="1">
      <alignment vertical="center"/>
    </xf>
    <xf numFmtId="170" fontId="69" fillId="0" borderId="180" xfId="1" applyNumberFormat="1" applyFont="1" applyFill="1" applyBorder="1" applyProtection="1"/>
    <xf numFmtId="165" fontId="69" fillId="0" borderId="180" xfId="59" applyFont="1" applyFill="1" applyBorder="1"/>
    <xf numFmtId="170" fontId="69" fillId="0" borderId="180" xfId="1" applyNumberFormat="1" applyFont="1" applyFill="1" applyBorder="1"/>
    <xf numFmtId="0" fontId="69" fillId="0" borderId="180" xfId="0" applyNumberFormat="1" applyFont="1" applyFill="1" applyBorder="1" applyAlignment="1">
      <alignment horizontal="right"/>
    </xf>
    <xf numFmtId="174" fontId="69" fillId="0" borderId="174" xfId="0" applyNumberFormat="1" applyFont="1" applyFill="1" applyBorder="1" applyAlignment="1">
      <alignment horizontal="right"/>
    </xf>
    <xf numFmtId="174" fontId="69" fillId="0" borderId="173" xfId="0" applyNumberFormat="1" applyFont="1" applyFill="1" applyBorder="1" applyAlignment="1">
      <alignment horizontal="right"/>
    </xf>
    <xf numFmtId="170" fontId="185" fillId="0" borderId="0" xfId="0" applyNumberFormat="1" applyFont="1" applyAlignment="1">
      <alignment horizontal="left" vertical="center" indent="1"/>
    </xf>
    <xf numFmtId="174" fontId="74" fillId="0" borderId="55" xfId="1" applyNumberFormat="1" applyFont="1" applyFill="1" applyBorder="1" applyAlignment="1">
      <alignment horizontal="center" vertical="center"/>
    </xf>
    <xf numFmtId="41" fontId="69" fillId="0" borderId="28" xfId="272" applyNumberFormat="1" applyFont="1" applyFill="1" applyBorder="1"/>
    <xf numFmtId="183" fontId="55" fillId="0" borderId="0" xfId="59" applyNumberFormat="1" applyFont="1" applyBorder="1"/>
    <xf numFmtId="170" fontId="158" fillId="0" borderId="0" xfId="1" quotePrefix="1" applyNumberFormat="1" applyFont="1" applyBorder="1" applyAlignment="1">
      <alignment horizontal="center"/>
    </xf>
    <xf numFmtId="170" fontId="55" fillId="0" borderId="54" xfId="1" applyNumberFormat="1" applyFont="1" applyBorder="1"/>
    <xf numFmtId="170" fontId="69" fillId="0" borderId="53" xfId="1" applyNumberFormat="1" applyFont="1" applyFill="1" applyBorder="1"/>
    <xf numFmtId="37" fontId="147" fillId="0" borderId="23" xfId="1" applyNumberFormat="1" applyFont="1" applyBorder="1"/>
    <xf numFmtId="170" fontId="55" fillId="0" borderId="23" xfId="1" applyNumberFormat="1" applyFont="1" applyBorder="1"/>
    <xf numFmtId="170" fontId="55" fillId="0" borderId="15" xfId="1" applyNumberFormat="1" applyFont="1" applyBorder="1"/>
    <xf numFmtId="170" fontId="55" fillId="0" borderId="174" xfId="1" applyNumberFormat="1" applyFont="1" applyBorder="1"/>
    <xf numFmtId="37" fontId="147" fillId="0" borderId="54" xfId="1" applyNumberFormat="1" applyFont="1" applyBorder="1"/>
    <xf numFmtId="170" fontId="69" fillId="0" borderId="56" xfId="1" applyNumberFormat="1" applyFont="1" applyBorder="1"/>
    <xf numFmtId="170" fontId="55" fillId="44" borderId="16" xfId="1" applyNumberFormat="1" applyFont="1" applyFill="1" applyBorder="1"/>
    <xf numFmtId="170" fontId="55" fillId="44" borderId="80" xfId="1" applyNumberFormat="1" applyFont="1" applyFill="1" applyBorder="1"/>
    <xf numFmtId="170" fontId="69" fillId="0" borderId="172" xfId="0" applyNumberFormat="1" applyFont="1" applyBorder="1"/>
    <xf numFmtId="170" fontId="69" fillId="0" borderId="181" xfId="0" applyNumberFormat="1" applyFont="1" applyBorder="1"/>
    <xf numFmtId="170" fontId="74" fillId="0" borderId="55" xfId="0" applyNumberFormat="1" applyFont="1" applyBorder="1"/>
    <xf numFmtId="0" fontId="69" fillId="0" borderId="54" xfId="213" applyNumberFormat="1" applyFont="1" applyFill="1" applyBorder="1" applyAlignment="1">
      <alignment horizontal="left"/>
    </xf>
    <xf numFmtId="0" fontId="69" fillId="0" borderId="80" xfId="213" applyNumberFormat="1" applyFont="1" applyFill="1" applyBorder="1" applyAlignment="1">
      <alignment horizontal="left"/>
    </xf>
    <xf numFmtId="174" fontId="74" fillId="0" borderId="54" xfId="1" applyNumberFormat="1" applyFont="1" applyFill="1" applyBorder="1" applyAlignment="1">
      <alignment vertical="center" wrapText="1"/>
    </xf>
    <xf numFmtId="174" fontId="74" fillId="0" borderId="55" xfId="1" applyNumberFormat="1" applyFont="1" applyFill="1" applyBorder="1" applyAlignment="1">
      <alignment vertical="center" wrapText="1"/>
    </xf>
    <xf numFmtId="174" fontId="74" fillId="37" borderId="80" xfId="1" applyNumberFormat="1" applyFont="1" applyFill="1" applyBorder="1" applyAlignment="1">
      <alignment vertical="center" wrapText="1"/>
    </xf>
    <xf numFmtId="179" fontId="74" fillId="37" borderId="0" xfId="59" applyNumberFormat="1" applyFont="1" applyFill="1" applyBorder="1"/>
    <xf numFmtId="179" fontId="74" fillId="37" borderId="54" xfId="59" applyNumberFormat="1" applyFont="1" applyFill="1" applyBorder="1" applyAlignment="1">
      <alignment vertical="center"/>
    </xf>
    <xf numFmtId="170" fontId="69" fillId="37" borderId="33" xfId="0" applyNumberFormat="1" applyFont="1" applyFill="1" applyBorder="1"/>
    <xf numFmtId="170" fontId="69" fillId="37" borderId="159" xfId="0" applyNumberFormat="1" applyFont="1" applyFill="1" applyBorder="1"/>
    <xf numFmtId="170" fontId="69" fillId="37" borderId="148" xfId="0" applyNumberFormat="1" applyFont="1" applyFill="1" applyBorder="1"/>
    <xf numFmtId="170" fontId="69" fillId="37" borderId="182" xfId="0" applyNumberFormat="1" applyFont="1" applyFill="1" applyBorder="1"/>
    <xf numFmtId="174" fontId="69" fillId="0" borderId="0" xfId="1" applyNumberFormat="1" applyFont="1" applyAlignment="1">
      <alignment horizontal="right"/>
    </xf>
    <xf numFmtId="174" fontId="69" fillId="0" borderId="76" xfId="1" applyNumberFormat="1" applyFont="1" applyBorder="1" applyAlignment="1">
      <alignment horizontal="right"/>
    </xf>
    <xf numFmtId="174" fontId="69" fillId="0" borderId="173" xfId="1" applyNumberFormat="1" applyFont="1" applyBorder="1" applyAlignment="1">
      <alignment horizontal="right"/>
    </xf>
    <xf numFmtId="174" fontId="69" fillId="0" borderId="77" xfId="1" applyNumberFormat="1" applyFont="1" applyBorder="1" applyAlignment="1">
      <alignment horizontal="right"/>
    </xf>
    <xf numFmtId="183" fontId="69" fillId="0" borderId="0" xfId="59" applyNumberFormat="1" applyFont="1" applyAlignment="1">
      <alignment horizontal="center"/>
    </xf>
    <xf numFmtId="1" fontId="147" fillId="48" borderId="56" xfId="5" applyNumberFormat="1" applyFont="1" applyFill="1" applyBorder="1"/>
    <xf numFmtId="3" fontId="69" fillId="0" borderId="0" xfId="1" applyNumberFormat="1" applyFont="1" applyAlignment="1">
      <alignment horizontal="right"/>
    </xf>
    <xf numFmtId="188" fontId="74" fillId="0" borderId="0" xfId="1" applyFont="1" applyFill="1" applyBorder="1"/>
    <xf numFmtId="170" fontId="120" fillId="0" borderId="0" xfId="212" applyFont="1" applyFill="1" applyBorder="1" applyAlignment="1">
      <alignment horizontal="right" readingOrder="1"/>
    </xf>
    <xf numFmtId="188" fontId="69" fillId="0" borderId="0" xfId="1" applyFont="1" applyFill="1" applyBorder="1"/>
    <xf numFmtId="188" fontId="69" fillId="0" borderId="0" xfId="1" applyFont="1" applyFill="1"/>
    <xf numFmtId="1" fontId="69" fillId="0" borderId="0" xfId="215" applyNumberFormat="1" applyFont="1" applyFill="1" applyAlignment="1">
      <alignment horizontal="right"/>
    </xf>
    <xf numFmtId="170" fontId="120" fillId="0" borderId="0" xfId="212" applyFont="1" applyFill="1" applyAlignment="1">
      <alignment horizontal="right" readingOrder="1"/>
    </xf>
    <xf numFmtId="170" fontId="69" fillId="0" borderId="0" xfId="215" applyNumberFormat="1" applyFont="1" applyFill="1"/>
    <xf numFmtId="188" fontId="69" fillId="0" borderId="0" xfId="215" applyFont="1" applyFill="1" applyAlignment="1">
      <alignment horizontal="right"/>
    </xf>
    <xf numFmtId="170" fontId="74" fillId="0" borderId="0" xfId="215" applyNumberFormat="1" applyFont="1" applyFill="1" applyAlignment="1">
      <alignment horizontal="right"/>
    </xf>
    <xf numFmtId="38" fontId="69" fillId="0" borderId="0" xfId="211" applyFont="1" applyFill="1" applyAlignment="1">
      <alignment horizontal="center"/>
    </xf>
    <xf numFmtId="170" fontId="74" fillId="0" borderId="0" xfId="215" applyNumberFormat="1" applyFont="1" applyFill="1"/>
    <xf numFmtId="188" fontId="69" fillId="0" borderId="0" xfId="1" applyFont="1" applyFill="1" applyAlignment="1">
      <alignment horizontal="right"/>
    </xf>
    <xf numFmtId="38" fontId="74" fillId="0" borderId="0" xfId="211" applyFont="1" applyFill="1" applyAlignment="1">
      <alignment horizontal="center"/>
    </xf>
    <xf numFmtId="188" fontId="74" fillId="0" borderId="0" xfId="1" applyFont="1" applyFill="1" applyAlignment="1">
      <alignment horizontal="centerContinuous"/>
    </xf>
    <xf numFmtId="188" fontId="69" fillId="0" borderId="0" xfId="1" applyFont="1" applyFill="1" applyAlignment="1">
      <alignment horizontal="centerContinuous"/>
    </xf>
    <xf numFmtId="188" fontId="76" fillId="0" borderId="0" xfId="1" applyFont="1" applyFill="1"/>
    <xf numFmtId="188" fontId="76" fillId="0" borderId="0" xfId="1" applyFont="1" applyFill="1" applyAlignment="1">
      <alignment wrapText="1"/>
    </xf>
    <xf numFmtId="0" fontId="69" fillId="0" borderId="95" xfId="0" applyNumberFormat="1" applyFont="1" applyBorder="1" applyAlignment="1">
      <alignment horizontal="right"/>
    </xf>
    <xf numFmtId="170" fontId="123" fillId="0" borderId="0" xfId="1" applyNumberFormat="1" applyFont="1" applyBorder="1"/>
    <xf numFmtId="170" fontId="69" fillId="0" borderId="152" xfId="1" applyNumberFormat="1" applyFont="1" applyBorder="1" applyAlignment="1">
      <alignment horizontal="center"/>
    </xf>
    <xf numFmtId="170" fontId="74" fillId="0" borderId="176" xfId="1" applyNumberFormat="1" applyFont="1" applyBorder="1"/>
    <xf numFmtId="165" fontId="74" fillId="0" borderId="176" xfId="59" applyFont="1" applyBorder="1"/>
    <xf numFmtId="170" fontId="69" fillId="0" borderId="152" xfId="1" applyNumberFormat="1" applyFont="1" applyBorder="1"/>
    <xf numFmtId="170" fontId="69" fillId="44" borderId="31" xfId="213" applyFont="1" applyFill="1" applyBorder="1"/>
    <xf numFmtId="186" fontId="69" fillId="0" borderId="0" xfId="1" applyNumberFormat="1" applyFont="1" applyFill="1"/>
    <xf numFmtId="170" fontId="211" fillId="0" borderId="0" xfId="0" applyNumberFormat="1" applyFont="1"/>
    <xf numFmtId="37" fontId="20" fillId="0" borderId="28" xfId="1" applyNumberFormat="1" applyFont="1" applyFill="1" applyBorder="1" applyAlignment="1">
      <alignment horizontal="right"/>
    </xf>
    <xf numFmtId="170" fontId="130" fillId="0" borderId="0" xfId="256" applyNumberFormat="1"/>
    <xf numFmtId="170" fontId="212" fillId="0" borderId="0" xfId="0" applyNumberFormat="1" applyFont="1"/>
    <xf numFmtId="170" fontId="19" fillId="0" borderId="28" xfId="213" applyFont="1" applyFill="1" applyBorder="1" applyAlignment="1">
      <alignment horizontal="right" wrapText="1"/>
    </xf>
    <xf numFmtId="174" fontId="69" fillId="0" borderId="0" xfId="0" applyNumberFormat="1" applyFont="1" applyAlignment="1">
      <alignment horizontal="right"/>
    </xf>
    <xf numFmtId="174" fontId="69" fillId="0" borderId="31" xfId="0" applyNumberFormat="1" applyFont="1" applyBorder="1" applyAlignment="1">
      <alignment horizontal="right"/>
    </xf>
    <xf numFmtId="174" fontId="69" fillId="0" borderId="80" xfId="1" applyNumberFormat="1" applyFont="1" applyBorder="1" applyAlignment="1">
      <alignment horizontal="right"/>
    </xf>
    <xf numFmtId="174" fontId="69" fillId="0" borderId="55" xfId="1" applyNumberFormat="1" applyFont="1" applyBorder="1" applyAlignment="1">
      <alignment horizontal="right"/>
    </xf>
    <xf numFmtId="174" fontId="69" fillId="0" borderId="173" xfId="0" applyNumberFormat="1" applyFont="1" applyBorder="1" applyAlignment="1">
      <alignment horizontal="right"/>
    </xf>
    <xf numFmtId="174" fontId="69" fillId="0" borderId="8" xfId="0" applyNumberFormat="1" applyFont="1" applyBorder="1" applyAlignment="1">
      <alignment horizontal="right"/>
    </xf>
    <xf numFmtId="174" fontId="69" fillId="0" borderId="180" xfId="0" applyNumberFormat="1" applyFont="1" applyBorder="1" applyAlignment="1">
      <alignment horizontal="right"/>
    </xf>
    <xf numFmtId="170" fontId="69" fillId="34" borderId="76" xfId="1" applyNumberFormat="1" applyFont="1" applyFill="1" applyBorder="1" applyAlignment="1" applyProtection="1">
      <alignment horizontal="right"/>
    </xf>
    <xf numFmtId="170" fontId="69" fillId="41" borderId="0" xfId="213" applyFont="1" applyFill="1" applyBorder="1"/>
    <xf numFmtId="170" fontId="69" fillId="41" borderId="152" xfId="213" applyFont="1" applyFill="1" applyBorder="1"/>
    <xf numFmtId="183" fontId="69" fillId="0" borderId="152" xfId="59" applyNumberFormat="1" applyFont="1" applyBorder="1"/>
    <xf numFmtId="183" fontId="120" fillId="41" borderId="0" xfId="59" applyNumberFormat="1" applyFont="1" applyFill="1" applyBorder="1" applyAlignment="1">
      <alignment horizontal="left"/>
    </xf>
    <xf numFmtId="183" fontId="18" fillId="44" borderId="54" xfId="59" applyNumberFormat="1" applyFont="1" applyFill="1" applyBorder="1"/>
    <xf numFmtId="173" fontId="18" fillId="44" borderId="55" xfId="218" applyNumberFormat="1" applyFont="1" applyFill="1" applyBorder="1"/>
    <xf numFmtId="183" fontId="18" fillId="48" borderId="56" xfId="59" applyNumberFormat="1" applyFont="1" applyFill="1" applyBorder="1" applyAlignment="1">
      <alignment horizontal="left"/>
    </xf>
    <xf numFmtId="188" fontId="18" fillId="0" borderId="0" xfId="253" applyFont="1"/>
    <xf numFmtId="0" fontId="18" fillId="0" borderId="0" xfId="253" applyNumberFormat="1" applyFont="1"/>
    <xf numFmtId="185" fontId="18" fillId="0" borderId="0" xfId="253" applyNumberFormat="1" applyFont="1"/>
    <xf numFmtId="188" fontId="18" fillId="0" borderId="0" xfId="253" applyFont="1" applyAlignment="1">
      <alignment wrapText="1"/>
    </xf>
    <xf numFmtId="188" fontId="18" fillId="34" borderId="0" xfId="253" applyFont="1" applyFill="1"/>
    <xf numFmtId="185" fontId="18" fillId="0" borderId="39" xfId="253" applyNumberFormat="1" applyFont="1" applyBorder="1"/>
    <xf numFmtId="44" fontId="18" fillId="0" borderId="0" xfId="253" applyNumberFormat="1" applyFont="1"/>
    <xf numFmtId="185" fontId="18" fillId="0" borderId="58" xfId="253" applyNumberFormat="1" applyFont="1" applyBorder="1"/>
    <xf numFmtId="170" fontId="69" fillId="0" borderId="177" xfId="0" applyNumberFormat="1" applyFont="1" applyBorder="1"/>
    <xf numFmtId="183" fontId="69" fillId="0" borderId="23" xfId="59" applyNumberFormat="1" applyFont="1" applyBorder="1" applyAlignment="1">
      <alignment horizontal="left"/>
    </xf>
    <xf numFmtId="183" fontId="69" fillId="0" borderId="15" xfId="59" applyNumberFormat="1" applyFont="1" applyBorder="1" applyAlignment="1">
      <alignment horizontal="left"/>
    </xf>
    <xf numFmtId="184" fontId="69" fillId="0" borderId="0" xfId="319" applyNumberFormat="1" applyFont="1" applyBorder="1"/>
    <xf numFmtId="170" fontId="69" fillId="0" borderId="173" xfId="0" applyNumberFormat="1" applyFont="1" applyBorder="1"/>
    <xf numFmtId="183" fontId="69" fillId="0" borderId="174" xfId="59" applyNumberFormat="1" applyFont="1" applyBorder="1" applyAlignment="1">
      <alignment horizontal="left"/>
    </xf>
    <xf numFmtId="39" fontId="121" fillId="0" borderId="22" xfId="128" applyNumberFormat="1" applyFont="1" applyBorder="1"/>
    <xf numFmtId="170" fontId="69" fillId="0" borderId="173" xfId="0" applyNumberFormat="1" applyFont="1" applyBorder="1" applyAlignment="1"/>
    <xf numFmtId="183" fontId="69" fillId="0" borderId="177" xfId="59" applyNumberFormat="1" applyFont="1" applyBorder="1"/>
    <xf numFmtId="183" fontId="69" fillId="0" borderId="173" xfId="59" applyNumberFormat="1" applyFont="1" applyBorder="1" applyAlignment="1">
      <alignment horizontal="left"/>
    </xf>
    <xf numFmtId="184" fontId="69" fillId="0" borderId="172" xfId="319" applyNumberFormat="1" applyFont="1" applyBorder="1"/>
    <xf numFmtId="184" fontId="69" fillId="0" borderId="173" xfId="319" applyNumberFormat="1" applyFont="1" applyBorder="1"/>
    <xf numFmtId="184" fontId="120" fillId="41" borderId="21" xfId="59" applyNumberFormat="1" applyFont="1" applyFill="1" applyBorder="1" applyAlignment="1">
      <alignment horizontal="left"/>
    </xf>
    <xf numFmtId="188" fontId="69" fillId="0" borderId="152" xfId="128" applyFont="1" applyBorder="1"/>
    <xf numFmtId="14" fontId="69" fillId="0" borderId="0" xfId="0" applyNumberFormat="1" applyFont="1"/>
    <xf numFmtId="14" fontId="69" fillId="0" borderId="0" xfId="0" applyNumberFormat="1" applyFont="1" applyAlignment="1">
      <alignment horizontal="left"/>
    </xf>
    <xf numFmtId="37" fontId="17" fillId="0" borderId="28" xfId="1" applyNumberFormat="1" applyFont="1" applyFill="1" applyBorder="1" applyAlignment="1">
      <alignment horizontal="right" vertical="center"/>
    </xf>
    <xf numFmtId="0" fontId="138" fillId="0" borderId="0" xfId="0" applyNumberFormat="1" applyFont="1"/>
    <xf numFmtId="170" fontId="69" fillId="45" borderId="28" xfId="213" applyFont="1" applyFill="1" applyBorder="1" applyAlignment="1">
      <alignment horizontal="right"/>
    </xf>
    <xf numFmtId="170" fontId="69" fillId="45" borderId="31" xfId="213" applyFont="1" applyFill="1" applyBorder="1" applyAlignment="1">
      <alignment horizontal="right"/>
    </xf>
    <xf numFmtId="1" fontId="76" fillId="24" borderId="66" xfId="1" applyNumberFormat="1" applyFont="1" applyFill="1" applyBorder="1" applyAlignment="1">
      <alignment horizontal="right"/>
    </xf>
    <xf numFmtId="188" fontId="69" fillId="0" borderId="31" xfId="0" applyFont="1" applyBorder="1" applyAlignment="1">
      <alignment horizontal="left"/>
    </xf>
    <xf numFmtId="14" fontId="69" fillId="0" borderId="31" xfId="0" applyNumberFormat="1" applyFont="1" applyBorder="1" applyAlignment="1">
      <alignment horizontal="left"/>
    </xf>
    <xf numFmtId="170" fontId="134" fillId="0" borderId="0" xfId="1" applyNumberFormat="1" applyFont="1" applyFill="1" applyBorder="1"/>
    <xf numFmtId="170" fontId="134" fillId="0" borderId="0" xfId="1" applyNumberFormat="1" applyFont="1" applyFill="1" applyBorder="1" applyAlignment="1">
      <alignment horizontal="center"/>
    </xf>
    <xf numFmtId="170" fontId="16" fillId="0" borderId="28" xfId="1" applyNumberFormat="1" applyFont="1" applyFill="1" applyBorder="1" applyAlignment="1" applyProtection="1"/>
    <xf numFmtId="170" fontId="16" fillId="0" borderId="28" xfId="1" applyNumberFormat="1" applyFont="1" applyFill="1" applyBorder="1" applyAlignment="1" applyProtection="1">
      <alignment horizontal="right" vertical="center" wrapText="1"/>
    </xf>
    <xf numFmtId="170" fontId="16" fillId="0" borderId="28" xfId="1" applyNumberFormat="1" applyFont="1" applyFill="1" applyBorder="1" applyAlignment="1" applyProtection="1">
      <alignment horizontal="right" vertical="center"/>
    </xf>
    <xf numFmtId="170" fontId="16" fillId="0" borderId="28" xfId="1" applyNumberFormat="1" applyFont="1" applyFill="1" applyBorder="1" applyAlignment="1" applyProtection="1">
      <alignment vertical="center" wrapText="1"/>
    </xf>
    <xf numFmtId="170" fontId="16" fillId="0" borderId="28" xfId="1" applyNumberFormat="1" applyFont="1" applyFill="1" applyBorder="1" applyAlignment="1" applyProtection="1">
      <alignment horizontal="right"/>
    </xf>
    <xf numFmtId="170" fontId="16" fillId="0" borderId="0" xfId="1" applyNumberFormat="1" applyFont="1" applyFill="1" applyAlignment="1">
      <alignment horizontal="right"/>
    </xf>
    <xf numFmtId="170" fontId="16" fillId="0" borderId="28" xfId="1" applyNumberFormat="1" applyFont="1" applyFill="1" applyBorder="1"/>
    <xf numFmtId="183" fontId="69" fillId="0" borderId="31" xfId="59" applyNumberFormat="1" applyFont="1" applyBorder="1"/>
    <xf numFmtId="183" fontId="69" fillId="0" borderId="31" xfId="59" applyNumberFormat="1" applyFont="1" applyBorder="1" applyProtection="1"/>
    <xf numFmtId="174" fontId="74" fillId="44" borderId="49" xfId="59" applyNumberFormat="1" applyFont="1" applyFill="1" applyBorder="1" applyProtection="1"/>
    <xf numFmtId="170" fontId="69" fillId="0" borderId="183" xfId="1" applyNumberFormat="1" applyFont="1" applyFill="1" applyBorder="1" applyAlignment="1" applyProtection="1">
      <alignment vertical="center"/>
    </xf>
    <xf numFmtId="170" fontId="69" fillId="0" borderId="184" xfId="1" applyNumberFormat="1" applyFont="1" applyFill="1" applyBorder="1" applyAlignment="1" applyProtection="1">
      <alignment vertical="center"/>
    </xf>
    <xf numFmtId="183" fontId="69" fillId="0" borderId="31" xfId="59" applyNumberFormat="1" applyFont="1" applyFill="1" applyBorder="1" applyAlignment="1">
      <alignment horizontal="right"/>
    </xf>
    <xf numFmtId="170" fontId="74" fillId="44" borderId="49" xfId="59" applyNumberFormat="1" applyFont="1" applyFill="1" applyBorder="1" applyProtection="1"/>
    <xf numFmtId="170" fontId="69" fillId="0" borderId="185" xfId="1" applyNumberFormat="1" applyFont="1" applyFill="1" applyBorder="1"/>
    <xf numFmtId="183" fontId="74" fillId="0" borderId="31" xfId="59" applyNumberFormat="1" applyFont="1" applyFill="1" applyBorder="1" applyProtection="1"/>
    <xf numFmtId="165" fontId="74" fillId="24" borderId="73" xfId="59" applyFont="1" applyFill="1" applyBorder="1" applyProtection="1"/>
    <xf numFmtId="165" fontId="74" fillId="24" borderId="101" xfId="59" applyFont="1" applyFill="1" applyBorder="1" applyProtection="1"/>
    <xf numFmtId="37" fontId="74" fillId="24" borderId="73" xfId="1" applyNumberFormat="1" applyFont="1" applyFill="1" applyBorder="1" applyProtection="1"/>
    <xf numFmtId="37" fontId="74" fillId="24" borderId="101" xfId="1" applyNumberFormat="1" applyFont="1" applyFill="1" applyBorder="1" applyProtection="1"/>
    <xf numFmtId="165" fontId="74" fillId="24" borderId="109" xfId="59" applyFont="1" applyFill="1" applyBorder="1" applyProtection="1"/>
    <xf numFmtId="165" fontId="69" fillId="0" borderId="105" xfId="59" applyFont="1" applyBorder="1"/>
    <xf numFmtId="165" fontId="69" fillId="0" borderId="107" xfId="59" applyFont="1" applyBorder="1"/>
    <xf numFmtId="179" fontId="69" fillId="0" borderId="102" xfId="59" applyNumberFormat="1" applyFont="1" applyBorder="1" applyAlignment="1">
      <alignment horizontal="right"/>
    </xf>
    <xf numFmtId="175" fontId="69" fillId="0" borderId="102" xfId="209" applyNumberFormat="1" applyFont="1" applyBorder="1"/>
    <xf numFmtId="37" fontId="129" fillId="0" borderId="107" xfId="1" applyNumberFormat="1" applyFont="1" applyFill="1" applyBorder="1" applyAlignment="1">
      <alignment horizontal="right"/>
    </xf>
    <xf numFmtId="165" fontId="69" fillId="0" borderId="31" xfId="59" applyFont="1" applyBorder="1"/>
    <xf numFmtId="165" fontId="69" fillId="0" borderId="28" xfId="59" applyFont="1" applyFill="1" applyBorder="1" applyAlignment="1" applyProtection="1">
      <alignment vertical="center"/>
    </xf>
    <xf numFmtId="174" fontId="74" fillId="44" borderId="175" xfId="59" applyNumberFormat="1" applyFont="1" applyFill="1" applyBorder="1" applyProtection="1"/>
    <xf numFmtId="176" fontId="69" fillId="0" borderId="0" xfId="59" applyNumberFormat="1" applyFont="1" applyBorder="1"/>
    <xf numFmtId="165" fontId="69" fillId="0" borderId="31" xfId="59" applyFont="1" applyBorder="1" applyAlignment="1">
      <alignment vertical="center"/>
    </xf>
    <xf numFmtId="179" fontId="69" fillId="0" borderId="0" xfId="59" applyNumberFormat="1" applyFont="1" applyBorder="1" applyAlignment="1">
      <alignment horizontal="right" vertical="center"/>
    </xf>
    <xf numFmtId="165" fontId="69" fillId="0" borderId="183" xfId="59" applyFont="1" applyBorder="1"/>
    <xf numFmtId="170" fontId="69" fillId="0" borderId="186" xfId="1" applyNumberFormat="1" applyFont="1" applyBorder="1"/>
    <xf numFmtId="174" fontId="69" fillId="0" borderId="183" xfId="1" applyNumberFormat="1" applyFont="1" applyFill="1" applyBorder="1" applyProtection="1"/>
    <xf numFmtId="170" fontId="69" fillId="0" borderId="187" xfId="1" applyNumberFormat="1" applyFont="1" applyFill="1" applyBorder="1"/>
    <xf numFmtId="170" fontId="69" fillId="0" borderId="187" xfId="1" applyNumberFormat="1" applyFont="1" applyBorder="1"/>
    <xf numFmtId="174" fontId="69" fillId="0" borderId="187" xfId="1" applyNumberFormat="1" applyFont="1" applyFill="1" applyBorder="1" applyProtection="1"/>
    <xf numFmtId="183" fontId="74" fillId="44" borderId="175" xfId="59" applyNumberFormat="1" applyFont="1" applyFill="1" applyBorder="1" applyProtection="1"/>
    <xf numFmtId="170" fontId="69" fillId="0" borderId="31" xfId="1" applyNumberFormat="1" applyFont="1" applyBorder="1" applyAlignment="1">
      <alignment vertical="center"/>
    </xf>
    <xf numFmtId="176" fontId="69" fillId="0" borderId="0" xfId="59" applyNumberFormat="1" applyFont="1" applyFill="1" applyBorder="1"/>
    <xf numFmtId="170" fontId="69" fillId="0" borderId="137" xfId="1" applyNumberFormat="1" applyFont="1" applyBorder="1"/>
    <xf numFmtId="37" fontId="69" fillId="0" borderId="31" xfId="1" applyNumberFormat="1" applyFont="1" applyBorder="1" applyProtection="1"/>
    <xf numFmtId="170" fontId="74" fillId="0" borderId="175" xfId="1" applyNumberFormat="1" applyFont="1" applyFill="1" applyBorder="1" applyProtection="1"/>
    <xf numFmtId="170" fontId="16" fillId="0" borderId="28" xfId="1" applyNumberFormat="1" applyFont="1" applyFill="1" applyBorder="1" applyAlignment="1" applyProtection="1">
      <alignment horizontal="right" wrapText="1"/>
    </xf>
    <xf numFmtId="170" fontId="16" fillId="0" borderId="28" xfId="213" applyFont="1" applyFill="1" applyBorder="1" applyAlignment="1">
      <alignment horizontal="left" wrapText="1" readingOrder="1"/>
    </xf>
    <xf numFmtId="170" fontId="141" fillId="0" borderId="0" xfId="0" applyNumberFormat="1" applyFont="1" applyFill="1" applyBorder="1" applyAlignment="1">
      <alignment horizontal="center" wrapText="1"/>
    </xf>
    <xf numFmtId="170" fontId="16" fillId="0" borderId="28" xfId="1" applyNumberFormat="1" applyFont="1" applyFill="1" applyBorder="1" applyAlignment="1">
      <alignment horizontal="center" wrapText="1"/>
    </xf>
    <xf numFmtId="37" fontId="74" fillId="0" borderId="183" xfId="1" applyNumberFormat="1" applyFont="1" applyFill="1" applyBorder="1" applyProtection="1"/>
    <xf numFmtId="37" fontId="74" fillId="0" borderId="91" xfId="1" applyNumberFormat="1" applyFont="1" applyFill="1" applyBorder="1" applyProtection="1"/>
    <xf numFmtId="37" fontId="74" fillId="0" borderId="187" xfId="1" applyNumberFormat="1" applyFont="1" applyFill="1" applyBorder="1" applyProtection="1"/>
    <xf numFmtId="179" fontId="69" fillId="0" borderId="187" xfId="59" applyNumberFormat="1" applyFont="1" applyBorder="1" applyAlignment="1">
      <alignment horizontal="right"/>
    </xf>
    <xf numFmtId="175" fontId="69" fillId="0" borderId="187" xfId="209" applyNumberFormat="1" applyFont="1" applyBorder="1"/>
    <xf numFmtId="37" fontId="16" fillId="0" borderId="28" xfId="1" applyNumberFormat="1" applyFont="1" applyFill="1" applyBorder="1" applyAlignment="1">
      <alignment horizontal="right"/>
    </xf>
    <xf numFmtId="170" fontId="16" fillId="0" borderId="0" xfId="1" applyNumberFormat="1" applyFont="1" applyFill="1"/>
    <xf numFmtId="188" fontId="69" fillId="0" borderId="31" xfId="0" applyFont="1" applyBorder="1"/>
    <xf numFmtId="14" fontId="69" fillId="0" borderId="31" xfId="0" applyNumberFormat="1" applyFont="1" applyBorder="1"/>
    <xf numFmtId="174" fontId="69" fillId="0" borderId="8" xfId="213" applyNumberFormat="1" applyFont="1" applyFill="1" applyBorder="1"/>
    <xf numFmtId="170" fontId="69" fillId="45" borderId="31" xfId="213" applyFont="1" applyFill="1" applyBorder="1" applyAlignment="1">
      <alignment horizontal="left"/>
    </xf>
    <xf numFmtId="170" fontId="69" fillId="45" borderId="31" xfId="5" applyNumberFormat="1" applyFont="1" applyFill="1" applyBorder="1" applyAlignment="1">
      <alignment horizontal="left"/>
    </xf>
    <xf numFmtId="170" fontId="155" fillId="0" borderId="28" xfId="0" applyNumberFormat="1" applyFont="1" applyBorder="1" applyAlignment="1"/>
    <xf numFmtId="170" fontId="69" fillId="45" borderId="28" xfId="213" applyFont="1" applyFill="1" applyBorder="1" applyAlignment="1">
      <alignment horizontal="left"/>
    </xf>
    <xf numFmtId="170" fontId="185" fillId="0" borderId="0" xfId="0" applyNumberFormat="1" applyFont="1" applyFill="1" applyAlignment="1">
      <alignment horizontal="left" vertical="center" indent="1"/>
    </xf>
    <xf numFmtId="165" fontId="125" fillId="0" borderId="150" xfId="59" applyFont="1" applyFill="1" applyBorder="1" applyAlignment="1">
      <alignment horizontal="center"/>
    </xf>
    <xf numFmtId="184" fontId="124" fillId="0" borderId="150" xfId="59" applyNumberFormat="1" applyFont="1" applyFill="1" applyBorder="1"/>
    <xf numFmtId="188" fontId="124" fillId="0" borderId="172" xfId="0" applyNumberFormat="1" applyFont="1" applyBorder="1"/>
    <xf numFmtId="188" fontId="124" fillId="0" borderId="173" xfId="0" applyFont="1" applyBorder="1"/>
    <xf numFmtId="170" fontId="124" fillId="0" borderId="172" xfId="0" applyNumberFormat="1" applyFont="1" applyBorder="1"/>
    <xf numFmtId="170" fontId="124" fillId="0" borderId="173" xfId="0" applyNumberFormat="1" applyFont="1" applyBorder="1"/>
    <xf numFmtId="170" fontId="214" fillId="0" borderId="0" xfId="0" applyNumberFormat="1" applyFont="1"/>
    <xf numFmtId="170" fontId="214" fillId="0" borderId="0" xfId="0" applyNumberFormat="1" applyFont="1" applyAlignment="1">
      <alignment horizontal="left" vertical="center" indent="1"/>
    </xf>
    <xf numFmtId="170" fontId="15" fillId="0" borderId="28" xfId="1" applyNumberFormat="1" applyFont="1" applyFill="1" applyBorder="1" applyAlignment="1" applyProtection="1">
      <alignment horizontal="right"/>
    </xf>
    <xf numFmtId="170" fontId="69" fillId="45" borderId="34" xfId="213" applyFont="1" applyFill="1" applyBorder="1" applyAlignment="1">
      <alignment horizontal="right"/>
    </xf>
    <xf numFmtId="170" fontId="69" fillId="45" borderId="91" xfId="213" applyFont="1" applyFill="1" applyBorder="1" applyAlignment="1">
      <alignment horizontal="right"/>
    </xf>
    <xf numFmtId="170" fontId="69" fillId="33" borderId="8" xfId="213" applyFont="1" applyFill="1" applyBorder="1"/>
    <xf numFmtId="170" fontId="69" fillId="33" borderId="8" xfId="1" applyNumberFormat="1" applyFont="1" applyFill="1" applyBorder="1" applyProtection="1"/>
    <xf numFmtId="43" fontId="125" fillId="0" borderId="187" xfId="0" applyNumberFormat="1" applyFont="1" applyBorder="1" applyAlignment="1">
      <alignment horizontal="center"/>
    </xf>
    <xf numFmtId="165" fontId="125" fillId="0" borderId="187" xfId="59" applyFont="1" applyBorder="1" applyAlignment="1">
      <alignment horizontal="center"/>
    </xf>
    <xf numFmtId="183" fontId="124" fillId="0" borderId="178" xfId="0" applyNumberFormat="1" applyFont="1" applyBorder="1"/>
    <xf numFmtId="170" fontId="124" fillId="0" borderId="174" xfId="0" applyNumberFormat="1" applyFont="1" applyBorder="1"/>
    <xf numFmtId="170" fontId="216" fillId="34" borderId="28" xfId="213" applyFont="1" applyFill="1" applyBorder="1" applyAlignment="1">
      <alignment horizontal="right"/>
    </xf>
    <xf numFmtId="170" fontId="69" fillId="63" borderId="0" xfId="0" applyNumberFormat="1" applyFont="1" applyFill="1"/>
    <xf numFmtId="37" fontId="120" fillId="63" borderId="21" xfId="128" applyNumberFormat="1" applyFont="1" applyFill="1" applyBorder="1"/>
    <xf numFmtId="37" fontId="120" fillId="63" borderId="0" xfId="128" applyNumberFormat="1" applyFont="1" applyFill="1" applyBorder="1"/>
    <xf numFmtId="170" fontId="74" fillId="63" borderId="88" xfId="0" applyNumberFormat="1" applyFont="1" applyFill="1" applyBorder="1"/>
    <xf numFmtId="170" fontId="69" fillId="63" borderId="88" xfId="0" applyNumberFormat="1" applyFont="1" applyFill="1" applyBorder="1"/>
    <xf numFmtId="170" fontId="69" fillId="63" borderId="0" xfId="0" applyNumberFormat="1" applyFont="1" applyFill="1" applyBorder="1"/>
    <xf numFmtId="170" fontId="69" fillId="63" borderId="187" xfId="0" applyNumberFormat="1" applyFont="1" applyFill="1" applyBorder="1"/>
    <xf numFmtId="170" fontId="69" fillId="63" borderId="152" xfId="0" applyNumberFormat="1" applyFont="1" applyFill="1" applyBorder="1"/>
    <xf numFmtId="165" fontId="69" fillId="63" borderId="152" xfId="59" applyFont="1" applyFill="1" applyBorder="1"/>
    <xf numFmtId="170" fontId="69" fillId="63" borderId="129" xfId="0" applyNumberFormat="1" applyFont="1" applyFill="1" applyBorder="1"/>
    <xf numFmtId="170" fontId="74" fillId="0" borderId="0" xfId="1" applyNumberFormat="1" applyFont="1" applyFill="1" applyBorder="1" applyAlignment="1">
      <alignment horizontal="center" wrapText="1"/>
    </xf>
    <xf numFmtId="179" fontId="28" fillId="63" borderId="0" xfId="59" applyNumberFormat="1" applyFont="1" applyFill="1"/>
    <xf numFmtId="15" fontId="69" fillId="63" borderId="0" xfId="214" applyNumberFormat="1" applyFont="1" applyFill="1" applyAlignment="1">
      <alignment horizontal="center"/>
    </xf>
    <xf numFmtId="15" fontId="69" fillId="63" borderId="0" xfId="214" applyNumberFormat="1" applyFont="1" applyFill="1"/>
    <xf numFmtId="37" fontId="69" fillId="63" borderId="0" xfId="210" quotePrefix="1" applyFont="1" applyFill="1" applyBorder="1" applyAlignment="1">
      <alignment horizontal="right"/>
    </xf>
    <xf numFmtId="188" fontId="69" fillId="63" borderId="18" xfId="59" applyNumberFormat="1" applyFont="1" applyFill="1" applyBorder="1" applyAlignment="1">
      <alignment horizontal="right"/>
    </xf>
    <xf numFmtId="170" fontId="74" fillId="63" borderId="19" xfId="1" applyNumberFormat="1" applyFont="1" applyFill="1" applyBorder="1" applyAlignment="1">
      <alignment horizontal="right"/>
    </xf>
    <xf numFmtId="170" fontId="74" fillId="63" borderId="0" xfId="1" applyNumberFormat="1" applyFont="1" applyFill="1" applyBorder="1" applyAlignment="1">
      <alignment horizontal="right"/>
    </xf>
    <xf numFmtId="170" fontId="74" fillId="63" borderId="155" xfId="1" applyNumberFormat="1" applyFont="1" applyFill="1" applyBorder="1" applyAlignment="1">
      <alignment horizontal="right"/>
    </xf>
    <xf numFmtId="170" fontId="76" fillId="63" borderId="0" xfId="1" applyNumberFormat="1" applyFont="1" applyFill="1" applyBorder="1" applyAlignment="1">
      <alignment horizontal="right"/>
    </xf>
    <xf numFmtId="170" fontId="69" fillId="63" borderId="0" xfId="1" quotePrefix="1" applyNumberFormat="1" applyFont="1" applyFill="1" applyBorder="1" applyAlignment="1">
      <alignment horizontal="right"/>
    </xf>
    <xf numFmtId="170" fontId="69" fillId="63" borderId="0" xfId="213" applyFont="1" applyFill="1" applyBorder="1" applyAlignment="1">
      <alignment horizontal="right"/>
    </xf>
    <xf numFmtId="170" fontId="74" fillId="63" borderId="8" xfId="1" applyNumberFormat="1" applyFont="1" applyFill="1" applyBorder="1" applyAlignment="1">
      <alignment horizontal="right"/>
    </xf>
    <xf numFmtId="170" fontId="69" fillId="63" borderId="0" xfId="1" applyNumberFormat="1" applyFont="1" applyFill="1" applyBorder="1" applyAlignment="1">
      <alignment horizontal="right"/>
    </xf>
    <xf numFmtId="170" fontId="69" fillId="63" borderId="8" xfId="1" applyNumberFormat="1" applyFont="1" applyFill="1" applyBorder="1" applyAlignment="1">
      <alignment horizontal="right"/>
    </xf>
    <xf numFmtId="170" fontId="16" fillId="63" borderId="8" xfId="1" applyNumberFormat="1" applyFont="1" applyFill="1" applyBorder="1" applyAlignment="1">
      <alignment horizontal="right"/>
    </xf>
    <xf numFmtId="170" fontId="16" fillId="63" borderId="8" xfId="213" applyFont="1" applyFill="1" applyBorder="1" applyAlignment="1">
      <alignment horizontal="right"/>
    </xf>
    <xf numFmtId="170" fontId="147" fillId="63" borderId="8" xfId="1" applyNumberFormat="1" applyFont="1" applyFill="1" applyBorder="1" applyAlignment="1">
      <alignment horizontal="right"/>
    </xf>
    <xf numFmtId="170" fontId="69" fillId="63" borderId="8" xfId="213" applyFont="1" applyFill="1" applyBorder="1" applyAlignment="1">
      <alignment horizontal="right"/>
    </xf>
    <xf numFmtId="170" fontId="117" fillId="0" borderId="16" xfId="0" applyNumberFormat="1" applyFont="1" applyFill="1" applyBorder="1" applyAlignment="1">
      <alignment horizontal="center"/>
    </xf>
    <xf numFmtId="170" fontId="69" fillId="63" borderId="102" xfId="213" applyFont="1" applyFill="1" applyBorder="1" applyAlignment="1">
      <alignment horizontal="right"/>
    </xf>
    <xf numFmtId="170" fontId="69" fillId="63" borderId="152" xfId="213" applyFont="1" applyFill="1" applyBorder="1" applyAlignment="1">
      <alignment horizontal="right"/>
    </xf>
    <xf numFmtId="183" fontId="69" fillId="34" borderId="0" xfId="59" applyNumberFormat="1" applyFont="1" applyFill="1" applyBorder="1"/>
    <xf numFmtId="170" fontId="69" fillId="63" borderId="0" xfId="213" applyFont="1" applyFill="1" applyBorder="1" applyAlignment="1">
      <alignment horizontal="right" vertical="center"/>
    </xf>
    <xf numFmtId="165" fontId="69" fillId="0" borderId="150" xfId="59" applyFont="1" applyFill="1" applyBorder="1"/>
    <xf numFmtId="170" fontId="16" fillId="63" borderId="0" xfId="213" applyFont="1" applyFill="1" applyBorder="1" applyAlignment="1">
      <alignment horizontal="right"/>
    </xf>
    <xf numFmtId="170" fontId="16" fillId="63" borderId="173" xfId="1" applyNumberFormat="1" applyFont="1" applyFill="1" applyBorder="1"/>
    <xf numFmtId="170" fontId="16" fillId="63" borderId="19" xfId="1" applyNumberFormat="1" applyFont="1" applyFill="1" applyBorder="1"/>
    <xf numFmtId="0" fontId="69" fillId="63" borderId="8" xfId="213" applyNumberFormat="1" applyFont="1" applyFill="1" applyBorder="1" applyAlignment="1">
      <alignment horizontal="right"/>
    </xf>
    <xf numFmtId="170" fontId="69" fillId="63" borderId="0" xfId="0" applyNumberFormat="1" applyFont="1" applyFill="1" applyBorder="1" applyAlignment="1">
      <alignment horizontal="right"/>
    </xf>
    <xf numFmtId="170" fontId="118" fillId="63" borderId="0" xfId="213" applyFont="1" applyFill="1" applyBorder="1" applyAlignment="1">
      <alignment horizontal="right"/>
    </xf>
    <xf numFmtId="188" fontId="69" fillId="63" borderId="0" xfId="209" applyFont="1" applyFill="1" applyBorder="1" applyAlignment="1">
      <alignment horizontal="right"/>
    </xf>
    <xf numFmtId="170" fontId="69" fillId="63" borderId="0" xfId="213" applyFont="1" applyFill="1" applyBorder="1" applyAlignment="1">
      <alignment horizontal="left"/>
    </xf>
    <xf numFmtId="170" fontId="69" fillId="63" borderId="52" xfId="1" applyNumberFormat="1" applyFont="1" applyFill="1" applyBorder="1"/>
    <xf numFmtId="170" fontId="119" fillId="63" borderId="48" xfId="1" applyNumberFormat="1" applyFont="1" applyFill="1" applyBorder="1" applyAlignment="1">
      <alignment horizontal="right"/>
    </xf>
    <xf numFmtId="170" fontId="119" fillId="63" borderId="37" xfId="1" applyNumberFormat="1" applyFont="1" applyFill="1" applyBorder="1" applyAlignment="1">
      <alignment horizontal="right"/>
    </xf>
    <xf numFmtId="170" fontId="119" fillId="63" borderId="31" xfId="1" applyNumberFormat="1" applyFont="1" applyFill="1" applyBorder="1" applyAlignment="1">
      <alignment horizontal="right"/>
    </xf>
    <xf numFmtId="170" fontId="139" fillId="63" borderId="0" xfId="1" applyNumberFormat="1" applyFont="1" applyFill="1" applyBorder="1" applyAlignment="1">
      <alignment horizontal="right"/>
    </xf>
    <xf numFmtId="170" fontId="118" fillId="63" borderId="31" xfId="1" applyNumberFormat="1" applyFont="1" applyFill="1" applyBorder="1" applyAlignment="1">
      <alignment horizontal="right"/>
    </xf>
    <xf numFmtId="170" fontId="147" fillId="63" borderId="31" xfId="1" applyNumberFormat="1" applyFont="1" applyFill="1" applyBorder="1" applyAlignment="1">
      <alignment horizontal="right"/>
    </xf>
    <xf numFmtId="1" fontId="69" fillId="63" borderId="80" xfId="0" applyNumberFormat="1" applyFont="1" applyFill="1" applyBorder="1" applyAlignment="1">
      <alignment horizontal="right"/>
    </xf>
    <xf numFmtId="1" fontId="69" fillId="63" borderId="55" xfId="0" applyNumberFormat="1" applyFont="1" applyFill="1" applyBorder="1" applyAlignment="1">
      <alignment horizontal="right"/>
    </xf>
    <xf numFmtId="170" fontId="69" fillId="63" borderId="31" xfId="213" applyFont="1" applyFill="1" applyBorder="1" applyAlignment="1">
      <alignment horizontal="right"/>
    </xf>
    <xf numFmtId="37" fontId="69" fillId="0" borderId="0" xfId="1" applyNumberFormat="1" applyFont="1" applyFill="1" applyBorder="1" applyAlignment="1" applyProtection="1">
      <alignment horizontal="right"/>
    </xf>
    <xf numFmtId="170" fontId="74" fillId="0" borderId="6" xfId="1" applyNumberFormat="1" applyFont="1" applyFill="1" applyBorder="1" applyProtection="1"/>
    <xf numFmtId="176" fontId="74" fillId="0" borderId="28" xfId="59" applyNumberFormat="1" applyFont="1" applyFill="1" applyBorder="1"/>
    <xf numFmtId="170" fontId="74" fillId="0" borderId="111" xfId="1" applyNumberFormat="1" applyFont="1" applyFill="1" applyBorder="1"/>
    <xf numFmtId="170" fontId="74" fillId="63" borderId="31" xfId="1" applyNumberFormat="1" applyFont="1" applyFill="1" applyBorder="1" applyAlignment="1">
      <alignment horizontal="right"/>
    </xf>
    <xf numFmtId="170" fontId="74" fillId="63" borderId="48" xfId="1" applyNumberFormat="1" applyFont="1" applyFill="1" applyBorder="1" applyAlignment="1">
      <alignment horizontal="right"/>
    </xf>
    <xf numFmtId="188" fontId="69" fillId="63" borderId="0" xfId="0" applyFont="1" applyFill="1" applyAlignment="1">
      <alignment horizontal="right"/>
    </xf>
    <xf numFmtId="175" fontId="124" fillId="0" borderId="0" xfId="0" applyNumberFormat="1" applyFont="1" applyFill="1"/>
    <xf numFmtId="170" fontId="69" fillId="63" borderId="31" xfId="1" applyNumberFormat="1" applyFont="1" applyFill="1" applyBorder="1" applyAlignment="1">
      <alignment horizontal="right"/>
    </xf>
    <xf numFmtId="170" fontId="69" fillId="63" borderId="28" xfId="213" applyFont="1" applyFill="1" applyBorder="1" applyAlignment="1">
      <alignment horizontal="right"/>
    </xf>
    <xf numFmtId="170" fontId="127" fillId="0" borderId="54" xfId="1" applyNumberFormat="1" applyFont="1" applyFill="1" applyBorder="1" applyAlignment="1">
      <alignment horizontal="center" vertical="center"/>
    </xf>
    <xf numFmtId="188" fontId="69" fillId="63" borderId="28" xfId="0" applyFont="1" applyFill="1" applyBorder="1" applyAlignment="1">
      <alignment horizontal="right"/>
    </xf>
    <xf numFmtId="188" fontId="69" fillId="63" borderId="34" xfId="0" applyFont="1" applyFill="1" applyBorder="1" applyAlignment="1">
      <alignment horizontal="right"/>
    </xf>
    <xf numFmtId="170" fontId="74" fillId="63" borderId="43" xfId="1" applyNumberFormat="1" applyFont="1" applyFill="1" applyBorder="1" applyAlignment="1">
      <alignment horizontal="right"/>
    </xf>
    <xf numFmtId="188" fontId="69" fillId="63" borderId="31" xfId="0" applyFont="1" applyFill="1" applyBorder="1" applyAlignment="1">
      <alignment horizontal="right"/>
    </xf>
    <xf numFmtId="170" fontId="161" fillId="63" borderId="54" xfId="0" applyNumberFormat="1" applyFont="1" applyFill="1" applyBorder="1" applyAlignment="1">
      <alignment horizontal="center"/>
    </xf>
    <xf numFmtId="170" fontId="161" fillId="63" borderId="80" xfId="0" applyNumberFormat="1" applyFont="1" applyFill="1" applyBorder="1" applyAlignment="1">
      <alignment horizontal="center"/>
    </xf>
    <xf numFmtId="170" fontId="161" fillId="63" borderId="55" xfId="0" applyNumberFormat="1" applyFont="1" applyFill="1" applyBorder="1" applyAlignment="1">
      <alignment horizontal="center"/>
    </xf>
    <xf numFmtId="188" fontId="69" fillId="63" borderId="0" xfId="0" applyFont="1" applyFill="1" applyAlignment="1">
      <alignment horizontal="right" vertical="center"/>
    </xf>
    <xf numFmtId="170" fontId="55" fillId="63" borderId="0" xfId="213" applyFont="1" applyFill="1" applyBorder="1" applyAlignment="1">
      <alignment horizontal="right"/>
    </xf>
    <xf numFmtId="170" fontId="55" fillId="63" borderId="31" xfId="213" applyFont="1" applyFill="1" applyBorder="1" applyAlignment="1">
      <alignment horizontal="right"/>
    </xf>
    <xf numFmtId="188" fontId="69" fillId="63" borderId="31" xfId="209" applyFont="1" applyFill="1" applyBorder="1" applyAlignment="1">
      <alignment horizontal="right"/>
    </xf>
    <xf numFmtId="170" fontId="69" fillId="63" borderId="133" xfId="0" applyNumberFormat="1" applyFont="1" applyFill="1" applyBorder="1" applyAlignment="1">
      <alignment horizontal="right" vertical="center"/>
    </xf>
    <xf numFmtId="170" fontId="69" fillId="63" borderId="131" xfId="0" applyNumberFormat="1" applyFont="1" applyFill="1" applyBorder="1" applyAlignment="1">
      <alignment horizontal="right" vertical="center"/>
    </xf>
    <xf numFmtId="183" fontId="74" fillId="0" borderId="27" xfId="59" applyNumberFormat="1" applyFont="1" applyFill="1" applyBorder="1"/>
    <xf numFmtId="170" fontId="76" fillId="0" borderId="53" xfId="0" applyNumberFormat="1" applyFont="1" applyBorder="1" applyAlignment="1">
      <alignment horizontal="center"/>
    </xf>
    <xf numFmtId="170" fontId="69" fillId="0" borderId="91" xfId="213" applyNumberFormat="1" applyFont="1" applyBorder="1"/>
    <xf numFmtId="170" fontId="124" fillId="0" borderId="174" xfId="1" applyNumberFormat="1" applyFont="1" applyBorder="1" applyAlignment="1">
      <alignment horizontal="right"/>
    </xf>
    <xf numFmtId="174" fontId="124" fillId="0" borderId="174" xfId="0" applyNumberFormat="1" applyFont="1" applyFill="1" applyBorder="1"/>
    <xf numFmtId="165" fontId="69" fillId="0" borderId="16" xfId="59" applyFont="1" applyBorder="1"/>
    <xf numFmtId="170" fontId="124" fillId="0" borderId="54" xfId="1" applyNumberFormat="1" applyFont="1" applyBorder="1" applyAlignment="1">
      <alignment horizontal="right"/>
    </xf>
    <xf numFmtId="193" fontId="124" fillId="0" borderId="23" xfId="1" applyNumberFormat="1" applyFont="1" applyFill="1" applyBorder="1"/>
    <xf numFmtId="170" fontId="74" fillId="63" borderId="0" xfId="0" applyNumberFormat="1" applyFont="1" applyFill="1" applyAlignment="1">
      <alignment horizontal="center"/>
    </xf>
    <xf numFmtId="170" fontId="74" fillId="96" borderId="22" xfId="1" applyNumberFormat="1" applyFont="1" applyFill="1" applyBorder="1"/>
    <xf numFmtId="170" fontId="74" fillId="96" borderId="16" xfId="1" applyNumberFormat="1" applyFont="1" applyFill="1" applyBorder="1"/>
    <xf numFmtId="170" fontId="74" fillId="96" borderId="24" xfId="1" applyNumberFormat="1" applyFont="1" applyFill="1" applyBorder="1"/>
    <xf numFmtId="170" fontId="159" fillId="0" borderId="51" xfId="0" applyNumberFormat="1" applyFont="1" applyFill="1" applyBorder="1" applyAlignment="1">
      <alignment horizontal="right"/>
    </xf>
    <xf numFmtId="170" fontId="159" fillId="0" borderId="51" xfId="0" applyNumberFormat="1" applyFont="1" applyBorder="1" applyAlignment="1">
      <alignment horizontal="right"/>
    </xf>
    <xf numFmtId="1" fontId="69" fillId="0" borderId="180" xfId="0" applyNumberFormat="1" applyFont="1" applyFill="1" applyBorder="1" applyAlignment="1">
      <alignment horizontal="right"/>
    </xf>
    <xf numFmtId="1" fontId="69" fillId="0" borderId="173" xfId="0" applyNumberFormat="1" applyFont="1" applyFill="1" applyBorder="1" applyAlignment="1">
      <alignment horizontal="right"/>
    </xf>
    <xf numFmtId="1" fontId="69" fillId="0" borderId="0" xfId="0" applyNumberFormat="1" applyFont="1" applyBorder="1" applyAlignment="1">
      <alignment horizontal="right"/>
    </xf>
    <xf numFmtId="1" fontId="69" fillId="0" borderId="173" xfId="0" applyNumberFormat="1" applyFont="1" applyBorder="1" applyAlignment="1">
      <alignment horizontal="right"/>
    </xf>
    <xf numFmtId="0" fontId="69" fillId="0" borderId="54" xfId="213" applyNumberFormat="1" applyFont="1" applyFill="1" applyBorder="1" applyAlignment="1">
      <alignment horizontal="right"/>
    </xf>
    <xf numFmtId="0" fontId="69" fillId="0" borderId="54" xfId="0" applyNumberFormat="1" applyFont="1" applyFill="1" applyBorder="1" applyAlignment="1">
      <alignment horizontal="right"/>
    </xf>
    <xf numFmtId="0" fontId="69" fillId="0" borderId="55" xfId="0" applyNumberFormat="1" applyFont="1" applyFill="1" applyBorder="1" applyAlignment="1">
      <alignment horizontal="right"/>
    </xf>
    <xf numFmtId="0" fontId="63" fillId="0" borderId="80" xfId="213" applyNumberFormat="1" applyFont="1" applyFill="1" applyBorder="1" applyAlignment="1">
      <alignment horizontal="right"/>
    </xf>
    <xf numFmtId="0" fontId="69" fillId="0" borderId="55" xfId="0" applyNumberFormat="1" applyFont="1" applyBorder="1" applyAlignment="1">
      <alignment horizontal="right"/>
    </xf>
    <xf numFmtId="0" fontId="45" fillId="0" borderId="80" xfId="213" applyNumberFormat="1" applyFont="1" applyBorder="1" applyAlignment="1">
      <alignment horizontal="right"/>
    </xf>
    <xf numFmtId="0" fontId="69" fillId="0" borderId="54" xfId="213" applyNumberFormat="1" applyFont="1" applyBorder="1" applyAlignment="1">
      <alignment horizontal="right"/>
    </xf>
    <xf numFmtId="1" fontId="69" fillId="0" borderId="19" xfId="0" applyNumberFormat="1" applyFont="1" applyFill="1" applyBorder="1" applyAlignment="1">
      <alignment horizontal="right"/>
    </xf>
    <xf numFmtId="174" fontId="69" fillId="0" borderId="174" xfId="0" applyNumberFormat="1" applyFont="1" applyFill="1" applyBorder="1"/>
    <xf numFmtId="174" fontId="69" fillId="0" borderId="174" xfId="0" applyNumberFormat="1" applyFont="1" applyBorder="1"/>
    <xf numFmtId="174" fontId="69" fillId="0" borderId="23" xfId="0" applyNumberFormat="1" applyFont="1" applyBorder="1" applyAlignment="1">
      <alignment horizontal="right"/>
    </xf>
    <xf numFmtId="174" fontId="69" fillId="0" borderId="173" xfId="1" applyNumberFormat="1" applyFont="1" applyBorder="1"/>
    <xf numFmtId="40" fontId="69" fillId="0" borderId="80" xfId="0" applyNumberFormat="1" applyFont="1" applyFill="1" applyBorder="1"/>
    <xf numFmtId="170" fontId="69" fillId="0" borderId="80" xfId="1" applyNumberFormat="1" applyFont="1" applyBorder="1"/>
    <xf numFmtId="174" fontId="69" fillId="0" borderId="173" xfId="1" applyNumberFormat="1" applyFont="1" applyFill="1" applyBorder="1"/>
    <xf numFmtId="1" fontId="69" fillId="63" borderId="16" xfId="0" applyNumberFormat="1" applyFont="1" applyFill="1" applyBorder="1" applyAlignment="1">
      <alignment horizontal="right"/>
    </xf>
    <xf numFmtId="1" fontId="69" fillId="63" borderId="172" xfId="0" applyNumberFormat="1" applyFont="1" applyFill="1" applyBorder="1" applyAlignment="1">
      <alignment horizontal="right"/>
    </xf>
    <xf numFmtId="170" fontId="69" fillId="63" borderId="16" xfId="0" applyNumberFormat="1" applyFont="1" applyFill="1" applyBorder="1"/>
    <xf numFmtId="188" fontId="69" fillId="63" borderId="67" xfId="59" applyNumberFormat="1" applyFont="1" applyFill="1" applyBorder="1" applyAlignment="1">
      <alignment horizontal="right"/>
    </xf>
    <xf numFmtId="170" fontId="74" fillId="63" borderId="37" xfId="1" applyNumberFormat="1" applyFont="1" applyFill="1" applyBorder="1" applyAlignment="1">
      <alignment horizontal="right"/>
    </xf>
    <xf numFmtId="170" fontId="76" fillId="63" borderId="31" xfId="1" applyNumberFormat="1" applyFont="1" applyFill="1" applyBorder="1" applyAlignment="1">
      <alignment horizontal="right"/>
    </xf>
    <xf numFmtId="170" fontId="76" fillId="0" borderId="0" xfId="1" applyNumberFormat="1" applyFont="1" applyBorder="1" applyAlignment="1">
      <alignment horizontal="center"/>
    </xf>
    <xf numFmtId="170" fontId="12" fillId="34" borderId="28" xfId="1" applyNumberFormat="1" applyFont="1" applyFill="1" applyBorder="1" applyAlignment="1" applyProtection="1">
      <alignment horizontal="right" readingOrder="2"/>
    </xf>
    <xf numFmtId="170" fontId="118" fillId="0" borderId="0" xfId="1" applyNumberFormat="1" applyFont="1" applyFill="1" applyBorder="1" applyAlignment="1">
      <alignment horizontal="left"/>
    </xf>
    <xf numFmtId="170" fontId="69" fillId="0" borderId="187" xfId="0" applyNumberFormat="1" applyFont="1" applyFill="1" applyBorder="1"/>
    <xf numFmtId="170" fontId="69" fillId="0" borderId="176" xfId="1" applyNumberFormat="1" applyFont="1" applyFill="1" applyBorder="1"/>
    <xf numFmtId="37" fontId="12" fillId="0" borderId="28" xfId="1" applyNumberFormat="1" applyFont="1" applyFill="1" applyBorder="1" applyAlignment="1">
      <alignment horizontal="right"/>
    </xf>
    <xf numFmtId="170" fontId="76" fillId="0" borderId="15" xfId="1" applyNumberFormat="1" applyFont="1" applyBorder="1"/>
    <xf numFmtId="170" fontId="69" fillId="0" borderId="15" xfId="0" quotePrefix="1" applyNumberFormat="1" applyFont="1" applyFill="1" applyBorder="1"/>
    <xf numFmtId="170" fontId="69" fillId="0" borderId="172" xfId="1" applyNumberFormat="1" applyFont="1" applyBorder="1"/>
    <xf numFmtId="170" fontId="74" fillId="0" borderId="177" xfId="1" applyNumberFormat="1" applyFont="1" applyFill="1" applyBorder="1"/>
    <xf numFmtId="170" fontId="69" fillId="63" borderId="31" xfId="213" quotePrefix="1" applyFont="1" applyFill="1" applyBorder="1" applyAlignment="1">
      <alignment horizontal="right"/>
    </xf>
    <xf numFmtId="170" fontId="69" fillId="63" borderId="31" xfId="0" applyNumberFormat="1" applyFont="1" applyFill="1" applyBorder="1" applyAlignment="1">
      <alignment horizontal="right"/>
    </xf>
    <xf numFmtId="170" fontId="69" fillId="63" borderId="69" xfId="213" applyFont="1" applyFill="1" applyBorder="1" applyAlignment="1">
      <alignment horizontal="right"/>
    </xf>
    <xf numFmtId="170" fontId="69" fillId="63" borderId="90" xfId="213" applyFont="1" applyFill="1" applyBorder="1" applyAlignment="1">
      <alignment horizontal="right"/>
    </xf>
    <xf numFmtId="170" fontId="69" fillId="63" borderId="43" xfId="213" applyFont="1" applyFill="1" applyBorder="1" applyAlignment="1">
      <alignment horizontal="right"/>
    </xf>
    <xf numFmtId="170" fontId="74" fillId="63" borderId="107" xfId="1" applyNumberFormat="1" applyFont="1" applyFill="1" applyBorder="1" applyAlignment="1">
      <alignment horizontal="right"/>
    </xf>
    <xf numFmtId="170" fontId="69" fillId="63" borderId="0" xfId="1" applyNumberFormat="1" applyFont="1" applyFill="1"/>
    <xf numFmtId="170" fontId="69" fillId="63" borderId="0" xfId="1" applyNumberFormat="1" applyFont="1" applyFill="1" applyBorder="1"/>
    <xf numFmtId="170" fontId="27" fillId="63" borderId="0" xfId="1" applyNumberFormat="1" applyFont="1" applyFill="1" applyAlignment="1">
      <alignment horizontal="right"/>
    </xf>
    <xf numFmtId="170" fontId="27" fillId="63" borderId="31" xfId="213" applyFont="1" applyFill="1" applyBorder="1" applyAlignment="1">
      <alignment horizontal="right"/>
    </xf>
    <xf numFmtId="170" fontId="69" fillId="63" borderId="31" xfId="213" applyFont="1" applyFill="1" applyBorder="1" applyAlignment="1">
      <alignment horizontal="right" vertical="center"/>
    </xf>
    <xf numFmtId="170" fontId="49" fillId="63" borderId="31" xfId="213" quotePrefix="1" applyFont="1" applyFill="1" applyBorder="1" applyAlignment="1">
      <alignment horizontal="right"/>
    </xf>
    <xf numFmtId="170" fontId="49" fillId="63" borderId="31" xfId="213" applyFont="1" applyFill="1" applyBorder="1" applyAlignment="1">
      <alignment horizontal="right"/>
    </xf>
    <xf numFmtId="174" fontId="76" fillId="0" borderId="23" xfId="59" applyNumberFormat="1" applyFont="1" applyFill="1" applyBorder="1" applyAlignment="1">
      <alignment horizontal="center"/>
    </xf>
    <xf numFmtId="174" fontId="69" fillId="0" borderId="80" xfId="59" applyNumberFormat="1" applyFont="1" applyBorder="1"/>
    <xf numFmtId="174" fontId="69" fillId="0" borderId="15" xfId="59" applyNumberFormat="1" applyFont="1" applyBorder="1"/>
    <xf numFmtId="170" fontId="49" fillId="63" borderId="31" xfId="213" applyFont="1" applyFill="1" applyBorder="1" applyAlignment="1">
      <alignment horizontal="right" vertical="center"/>
    </xf>
    <xf numFmtId="49" fontId="69" fillId="0" borderId="28" xfId="59" applyNumberFormat="1" applyFont="1" applyFill="1" applyBorder="1" applyAlignment="1">
      <alignment horizontal="right"/>
    </xf>
    <xf numFmtId="170" fontId="74" fillId="0" borderId="0" xfId="0" applyNumberFormat="1" applyFont="1" applyFill="1" applyBorder="1"/>
    <xf numFmtId="195" fontId="69" fillId="0" borderId="0" xfId="1" applyNumberFormat="1" applyFont="1" applyFill="1" applyBorder="1"/>
    <xf numFmtId="170" fontId="11" fillId="63" borderId="187" xfId="0" applyNumberFormat="1" applyFont="1" applyFill="1" applyBorder="1"/>
    <xf numFmtId="188" fontId="147" fillId="0" borderId="0" xfId="5" applyFont="1" applyFill="1" applyBorder="1" applyAlignment="1">
      <alignment horizontal="center" vertical="center"/>
    </xf>
    <xf numFmtId="170" fontId="11" fillId="63" borderId="0" xfId="0" applyNumberFormat="1" applyFont="1" applyFill="1"/>
    <xf numFmtId="170" fontId="11" fillId="63" borderId="88" xfId="0" applyNumberFormat="1" applyFont="1" applyFill="1" applyBorder="1"/>
    <xf numFmtId="188" fontId="147" fillId="0" borderId="88" xfId="5" applyFont="1" applyFill="1" applyBorder="1" applyAlignment="1">
      <alignment horizontal="center" vertical="center"/>
    </xf>
    <xf numFmtId="170" fontId="11" fillId="63" borderId="152" xfId="0" applyNumberFormat="1" applyFont="1" applyFill="1" applyBorder="1"/>
    <xf numFmtId="170" fontId="11" fillId="0" borderId="0" xfId="0" applyNumberFormat="1" applyFont="1"/>
    <xf numFmtId="170" fontId="11" fillId="0" borderId="141" xfId="0" applyNumberFormat="1" applyFont="1" applyFill="1" applyBorder="1"/>
    <xf numFmtId="170" fontId="69" fillId="63" borderId="31" xfId="213" applyFont="1" applyFill="1" applyBorder="1" applyAlignment="1">
      <alignment horizontal="left"/>
    </xf>
    <xf numFmtId="170" fontId="69" fillId="63" borderId="28" xfId="213" applyFont="1" applyFill="1" applyBorder="1" applyAlignment="1">
      <alignment horizontal="left"/>
    </xf>
    <xf numFmtId="170" fontId="69" fillId="63" borderId="31" xfId="5" applyNumberFormat="1" applyFont="1" applyFill="1" applyBorder="1" applyAlignment="1">
      <alignment horizontal="left"/>
    </xf>
    <xf numFmtId="1" fontId="74" fillId="63" borderId="31" xfId="61" applyNumberFormat="1" applyFont="1" applyFill="1" applyBorder="1" applyAlignment="1">
      <alignment horizontal="left"/>
    </xf>
    <xf numFmtId="170" fontId="10" fillId="0" borderId="28" xfId="1" applyNumberFormat="1" applyFont="1" applyFill="1" applyBorder="1" applyAlignment="1" applyProtection="1">
      <alignment horizontal="right" wrapText="1"/>
    </xf>
    <xf numFmtId="1" fontId="74" fillId="63" borderId="28" xfId="59" applyNumberFormat="1" applyFont="1" applyFill="1" applyBorder="1" applyAlignment="1">
      <alignment horizontal="right"/>
    </xf>
    <xf numFmtId="1" fontId="74" fillId="63" borderId="31" xfId="59" applyNumberFormat="1" applyFont="1" applyFill="1" applyBorder="1" applyAlignment="1">
      <alignment horizontal="right"/>
    </xf>
    <xf numFmtId="170" fontId="74" fillId="63" borderId="28" xfId="1" applyNumberFormat="1" applyFont="1" applyFill="1" applyBorder="1" applyAlignment="1">
      <alignment horizontal="right"/>
    </xf>
    <xf numFmtId="170" fontId="69" fillId="63" borderId="28" xfId="1" applyNumberFormat="1" applyFont="1" applyFill="1" applyBorder="1" applyAlignment="1">
      <alignment horizontal="right"/>
    </xf>
    <xf numFmtId="170" fontId="61" fillId="63" borderId="31" xfId="213" applyFont="1" applyFill="1" applyBorder="1" applyAlignment="1">
      <alignment horizontal="right" vertical="center"/>
    </xf>
    <xf numFmtId="170" fontId="21" fillId="63" borderId="28" xfId="213" applyFont="1" applyFill="1" applyBorder="1" applyAlignment="1">
      <alignment horizontal="left"/>
    </xf>
    <xf numFmtId="170" fontId="21" fillId="63" borderId="31" xfId="5" applyNumberFormat="1" applyFont="1" applyFill="1" applyBorder="1" applyAlignment="1">
      <alignment horizontal="left"/>
    </xf>
    <xf numFmtId="170" fontId="21" fillId="63" borderId="28" xfId="5" applyNumberFormat="1" applyFont="1" applyFill="1" applyBorder="1" applyAlignment="1">
      <alignment horizontal="left"/>
    </xf>
    <xf numFmtId="170" fontId="76" fillId="0" borderId="53" xfId="0" applyNumberFormat="1" applyFont="1" applyBorder="1" applyAlignment="1">
      <alignment horizontal="center"/>
    </xf>
    <xf numFmtId="9" fontId="74" fillId="63" borderId="56" xfId="218" applyFont="1" applyFill="1" applyBorder="1" applyAlignment="1">
      <alignment vertical="center"/>
    </xf>
    <xf numFmtId="170" fontId="74" fillId="63" borderId="37" xfId="5" applyNumberFormat="1" applyFont="1" applyFill="1" applyBorder="1" applyAlignment="1">
      <alignment horizontal="left"/>
    </xf>
    <xf numFmtId="170" fontId="74" fillId="63" borderId="31" xfId="5" applyNumberFormat="1" applyFont="1" applyFill="1" applyBorder="1" applyAlignment="1">
      <alignment horizontal="left"/>
    </xf>
    <xf numFmtId="170" fontId="74" fillId="63" borderId="48" xfId="5" applyNumberFormat="1" applyFont="1" applyFill="1" applyBorder="1" applyAlignment="1">
      <alignment horizontal="left"/>
    </xf>
    <xf numFmtId="170" fontId="76" fillId="63" borderId="31" xfId="5" applyNumberFormat="1" applyFont="1" applyFill="1" applyBorder="1" applyAlignment="1">
      <alignment horizontal="left"/>
    </xf>
    <xf numFmtId="170" fontId="69" fillId="63" borderId="0" xfId="213" applyFont="1" applyFill="1" applyAlignment="1">
      <alignment horizontal="left"/>
    </xf>
    <xf numFmtId="183" fontId="148" fillId="63" borderId="0" xfId="59" applyNumberFormat="1" applyFont="1" applyFill="1" applyBorder="1" applyAlignment="1">
      <alignment horizontal="right" readingOrder="2"/>
    </xf>
    <xf numFmtId="3" fontId="148" fillId="63" borderId="21" xfId="0" applyNumberFormat="1" applyFont="1" applyFill="1" applyBorder="1" applyAlignment="1">
      <alignment horizontal="right" readingOrder="2"/>
    </xf>
    <xf numFmtId="170" fontId="69" fillId="0" borderId="153" xfId="0" applyNumberFormat="1" applyFont="1" applyFill="1" applyBorder="1"/>
    <xf numFmtId="170" fontId="69" fillId="63" borderId="28" xfId="5" applyNumberFormat="1" applyFont="1" applyFill="1" applyBorder="1" applyAlignment="1">
      <alignment horizontal="left"/>
    </xf>
    <xf numFmtId="170" fontId="69" fillId="63" borderId="0" xfId="5" applyNumberFormat="1" applyFont="1" applyFill="1" applyBorder="1" applyAlignment="1">
      <alignment horizontal="left"/>
    </xf>
    <xf numFmtId="170" fontId="21" fillId="63" borderId="31" xfId="213" applyFont="1" applyFill="1" applyBorder="1" applyAlignment="1">
      <alignment horizontal="left"/>
    </xf>
    <xf numFmtId="170" fontId="74" fillId="0" borderId="15" xfId="0" applyNumberFormat="1" applyFont="1" applyFill="1" applyBorder="1" applyAlignment="1"/>
    <xf numFmtId="188" fontId="69" fillId="63" borderId="31" xfId="209" applyFont="1" applyFill="1" applyBorder="1" applyAlignment="1">
      <alignment horizontal="left"/>
    </xf>
    <xf numFmtId="170" fontId="69" fillId="63" borderId="22" xfId="213" applyFont="1" applyFill="1" applyBorder="1" applyAlignment="1">
      <alignment horizontal="left"/>
    </xf>
    <xf numFmtId="170" fontId="69" fillId="63" borderId="16" xfId="213" applyFont="1" applyFill="1" applyBorder="1" applyAlignment="1">
      <alignment horizontal="left"/>
    </xf>
    <xf numFmtId="170" fontId="69" fillId="63" borderId="24" xfId="213" applyFont="1" applyFill="1" applyBorder="1" applyAlignment="1">
      <alignment horizontal="left"/>
    </xf>
    <xf numFmtId="170" fontId="69" fillId="63" borderId="54" xfId="213" applyFont="1" applyFill="1" applyBorder="1" applyAlignment="1">
      <alignment horizontal="left"/>
    </xf>
    <xf numFmtId="170" fontId="69" fillId="63" borderId="80" xfId="213" applyFont="1" applyFill="1" applyBorder="1" applyAlignment="1">
      <alignment horizontal="left"/>
    </xf>
    <xf numFmtId="170" fontId="69" fillId="63" borderId="55" xfId="213" applyFont="1" applyFill="1" applyBorder="1" applyAlignment="1">
      <alignment horizontal="left"/>
    </xf>
    <xf numFmtId="170" fontId="69" fillId="63" borderId="95" xfId="213" applyFont="1" applyFill="1" applyBorder="1" applyAlignment="1">
      <alignment horizontal="left"/>
    </xf>
    <xf numFmtId="170" fontId="69" fillId="63" borderId="34" xfId="213" applyFont="1" applyFill="1" applyBorder="1" applyAlignment="1">
      <alignment horizontal="right"/>
    </xf>
    <xf numFmtId="3" fontId="69" fillId="63" borderId="88" xfId="1" applyNumberFormat="1" applyFont="1" applyFill="1" applyBorder="1"/>
    <xf numFmtId="170" fontId="74" fillId="0" borderId="55" xfId="1" applyNumberFormat="1" applyFont="1" applyFill="1" applyBorder="1" applyAlignment="1">
      <alignment horizontal="center" vertical="center"/>
    </xf>
    <xf numFmtId="9" fontId="69" fillId="0" borderId="156" xfId="218" applyNumberFormat="1" applyFont="1" applyBorder="1"/>
    <xf numFmtId="170" fontId="69" fillId="0" borderId="28" xfId="0" applyNumberFormat="1" applyFont="1" applyBorder="1" applyAlignment="1">
      <alignment horizontal="right" wrapText="1"/>
    </xf>
    <xf numFmtId="170" fontId="69" fillId="0" borderId="80" xfId="0" applyNumberFormat="1" applyFont="1" applyFill="1" applyBorder="1" applyAlignment="1">
      <alignment vertical="center"/>
    </xf>
    <xf numFmtId="170" fontId="69" fillId="0" borderId="55" xfId="0" applyNumberFormat="1" applyFont="1" applyFill="1" applyBorder="1" applyAlignment="1">
      <alignment vertical="center"/>
    </xf>
    <xf numFmtId="195" fontId="74" fillId="0" borderId="158" xfId="0" applyNumberFormat="1" applyFont="1" applyBorder="1"/>
    <xf numFmtId="195" fontId="74" fillId="0" borderId="28" xfId="0" applyNumberFormat="1" applyFont="1" applyBorder="1"/>
    <xf numFmtId="195" fontId="74" fillId="0" borderId="188" xfId="0" applyNumberFormat="1" applyFont="1" applyBorder="1"/>
    <xf numFmtId="195" fontId="74" fillId="0" borderId="189" xfId="0" applyNumberFormat="1" applyFont="1" applyBorder="1"/>
    <xf numFmtId="195" fontId="74" fillId="0" borderId="190" xfId="0" applyNumberFormat="1" applyFont="1" applyBorder="1"/>
    <xf numFmtId="170" fontId="69" fillId="34" borderId="0" xfId="0" applyNumberFormat="1" applyFont="1" applyFill="1" applyBorder="1" applyAlignment="1">
      <alignment horizontal="right"/>
    </xf>
    <xf numFmtId="170" fontId="69" fillId="34" borderId="0" xfId="0" applyNumberFormat="1" applyFont="1" applyFill="1" applyBorder="1"/>
    <xf numFmtId="188" fontId="147" fillId="0" borderId="32" xfId="0" applyFont="1" applyBorder="1" applyAlignment="1">
      <alignment horizontal="left"/>
    </xf>
    <xf numFmtId="202" fontId="69" fillId="0" borderId="0" xfId="59" applyNumberFormat="1" applyFont="1" applyBorder="1"/>
    <xf numFmtId="202" fontId="69" fillId="0" borderId="0" xfId="59" applyNumberFormat="1" applyFont="1" applyFill="1" applyBorder="1"/>
    <xf numFmtId="170" fontId="9" fillId="63" borderId="31" xfId="213" applyFont="1" applyFill="1" applyBorder="1" applyAlignment="1">
      <alignment horizontal="right"/>
    </xf>
    <xf numFmtId="170" fontId="69" fillId="63" borderId="28" xfId="213" applyFont="1" applyFill="1" applyBorder="1" applyAlignment="1">
      <alignment horizontal="right" vertical="center"/>
    </xf>
    <xf numFmtId="170" fontId="26" fillId="63" borderId="28" xfId="213" applyFont="1" applyFill="1" applyBorder="1" applyAlignment="1">
      <alignment horizontal="right"/>
    </xf>
    <xf numFmtId="170" fontId="28" fillId="63" borderId="0" xfId="0" applyNumberFormat="1" applyFont="1" applyFill="1" applyBorder="1"/>
    <xf numFmtId="165" fontId="28" fillId="63" borderId="0" xfId="59" applyFont="1" applyFill="1" applyBorder="1"/>
    <xf numFmtId="165" fontId="69" fillId="63" borderId="0" xfId="59" applyFont="1" applyFill="1" applyBorder="1"/>
    <xf numFmtId="183" fontId="28" fillId="63" borderId="0" xfId="59" applyNumberFormat="1" applyFont="1" applyFill="1" applyBorder="1"/>
    <xf numFmtId="183" fontId="28" fillId="63" borderId="119" xfId="59" applyNumberFormat="1" applyFont="1" applyFill="1" applyBorder="1"/>
    <xf numFmtId="165" fontId="69" fillId="63" borderId="119" xfId="59" applyFont="1" applyFill="1" applyBorder="1"/>
    <xf numFmtId="170" fontId="8" fillId="63" borderId="31" xfId="213" applyFont="1" applyFill="1" applyBorder="1" applyAlignment="1">
      <alignment horizontal="right"/>
    </xf>
    <xf numFmtId="188" fontId="69" fillId="63" borderId="31" xfId="207" applyFont="1" applyFill="1" applyBorder="1" applyAlignment="1">
      <alignment horizontal="right"/>
    </xf>
    <xf numFmtId="169" fontId="69" fillId="63" borderId="0" xfId="214" applyNumberFormat="1" applyFont="1" applyFill="1"/>
    <xf numFmtId="183" fontId="69" fillId="0" borderId="15" xfId="0" applyNumberFormat="1" applyFont="1" applyBorder="1"/>
    <xf numFmtId="170" fontId="69" fillId="0" borderId="80" xfId="1" applyNumberFormat="1" applyFont="1" applyFill="1" applyBorder="1" applyAlignment="1">
      <alignment horizontal="center" vertical="center"/>
    </xf>
    <xf numFmtId="174" fontId="69" fillId="0" borderId="80" xfId="1" applyNumberFormat="1" applyFont="1" applyFill="1" applyBorder="1" applyAlignment="1">
      <alignment horizontal="right" vertical="center"/>
    </xf>
    <xf numFmtId="183" fontId="74" fillId="0" borderId="55" xfId="59" applyNumberFormat="1" applyFont="1" applyBorder="1" applyAlignment="1">
      <alignment horizontal="center" vertical="center"/>
    </xf>
    <xf numFmtId="183" fontId="74" fillId="0" borderId="55" xfId="59" applyNumberFormat="1" applyFont="1" applyFill="1" applyBorder="1" applyAlignment="1">
      <alignment vertical="center"/>
    </xf>
    <xf numFmtId="183" fontId="69" fillId="0" borderId="80" xfId="59" applyNumberFormat="1" applyFont="1" applyBorder="1" applyAlignment="1">
      <alignment horizontal="center" vertical="center"/>
    </xf>
    <xf numFmtId="170" fontId="69" fillId="0" borderId="80" xfId="1" applyNumberFormat="1" applyFont="1" applyFill="1" applyBorder="1" applyAlignment="1">
      <alignment horizontal="center"/>
    </xf>
    <xf numFmtId="170" fontId="125" fillId="0" borderId="55" xfId="1" applyNumberFormat="1" applyFont="1" applyFill="1" applyBorder="1" applyAlignment="1">
      <alignment horizontal="center" vertical="center"/>
    </xf>
    <xf numFmtId="17" fontId="74" fillId="0" borderId="187" xfId="0" applyNumberFormat="1" applyFont="1" applyBorder="1"/>
    <xf numFmtId="17" fontId="74" fillId="0" borderId="153" xfId="0" applyNumberFormat="1" applyFont="1" applyBorder="1"/>
    <xf numFmtId="170" fontId="125" fillId="0" borderId="54" xfId="1" applyNumberFormat="1" applyFont="1" applyFill="1" applyBorder="1" applyAlignment="1">
      <alignment vertical="center"/>
    </xf>
    <xf numFmtId="170" fontId="124" fillId="0" borderId="80" xfId="1" applyNumberFormat="1" applyFont="1" applyFill="1" applyBorder="1" applyAlignment="1">
      <alignment horizontal="center" vertical="center"/>
    </xf>
    <xf numFmtId="170" fontId="147" fillId="0" borderId="0" xfId="1" applyNumberFormat="1" applyFont="1" applyFill="1" applyBorder="1" applyAlignment="1">
      <alignment horizontal="center"/>
    </xf>
    <xf numFmtId="170" fontId="76" fillId="0" borderId="53" xfId="0" applyNumberFormat="1" applyFont="1" applyBorder="1" applyAlignment="1">
      <alignment horizontal="center"/>
    </xf>
    <xf numFmtId="188" fontId="7" fillId="0" borderId="18" xfId="1" applyFont="1" applyFill="1" applyBorder="1" applyAlignment="1">
      <alignment wrapText="1"/>
    </xf>
    <xf numFmtId="170" fontId="7" fillId="0" borderId="31" xfId="1" applyNumberFormat="1" applyFont="1" applyFill="1" applyBorder="1" applyAlignment="1">
      <alignment horizontal="right"/>
    </xf>
    <xf numFmtId="170" fontId="7" fillId="0" borderId="28" xfId="59" applyNumberFormat="1" applyFont="1" applyBorder="1" applyAlignment="1">
      <alignment horizontal="right"/>
    </xf>
    <xf numFmtId="170" fontId="7" fillId="0" borderId="0" xfId="1" quotePrefix="1" applyNumberFormat="1" applyFont="1" applyBorder="1" applyAlignment="1">
      <alignment horizontal="right"/>
    </xf>
    <xf numFmtId="170" fontId="7" fillId="0" borderId="0" xfId="1" applyNumberFormat="1" applyFont="1" applyFill="1" applyBorder="1" applyProtection="1"/>
    <xf numFmtId="170" fontId="7" fillId="0" borderId="28" xfId="1" applyNumberFormat="1" applyFont="1" applyFill="1" applyBorder="1" applyProtection="1"/>
    <xf numFmtId="170" fontId="7" fillId="0" borderId="28" xfId="1" applyNumberFormat="1" applyFont="1" applyFill="1" applyBorder="1"/>
    <xf numFmtId="176" fontId="7" fillId="0" borderId="0" xfId="1" applyNumberFormat="1" applyFont="1"/>
    <xf numFmtId="174" fontId="7" fillId="0" borderId="0" xfId="1" applyNumberFormat="1" applyFont="1"/>
    <xf numFmtId="170" fontId="7" fillId="0" borderId="28" xfId="1" applyNumberFormat="1" applyFont="1" applyFill="1" applyBorder="1" applyAlignment="1">
      <alignment horizontal="right"/>
    </xf>
    <xf numFmtId="170" fontId="7" fillId="0" borderId="0" xfId="1" applyNumberFormat="1" applyFont="1" applyFill="1"/>
    <xf numFmtId="170" fontId="7" fillId="0" borderId="0" xfId="1" applyNumberFormat="1" applyFont="1"/>
    <xf numFmtId="170" fontId="7" fillId="0" borderId="0" xfId="1" applyNumberFormat="1" applyFont="1" applyFill="1" applyBorder="1"/>
    <xf numFmtId="188" fontId="7" fillId="0" borderId="0" xfId="1" applyFont="1" applyFill="1" applyAlignment="1">
      <alignment wrapText="1"/>
    </xf>
    <xf numFmtId="37" fontId="7" fillId="0" borderId="28" xfId="1" applyNumberFormat="1" applyFont="1" applyFill="1" applyBorder="1" applyAlignment="1">
      <alignment horizontal="right"/>
    </xf>
    <xf numFmtId="170" fontId="7" fillId="0" borderId="0" xfId="1" applyNumberFormat="1" applyFont="1" applyFill="1" applyAlignment="1">
      <alignment horizontal="left"/>
    </xf>
    <xf numFmtId="170" fontId="7" fillId="0" borderId="0" xfId="1" applyNumberFormat="1" applyFont="1" applyFill="1" applyBorder="1" applyAlignment="1">
      <alignment horizontal="right"/>
    </xf>
    <xf numFmtId="170" fontId="7" fillId="0" borderId="0" xfId="1" applyNumberFormat="1" applyFont="1" applyAlignment="1">
      <alignment horizontal="right"/>
    </xf>
    <xf numFmtId="188" fontId="7" fillId="0" borderId="0" xfId="1" applyFont="1" applyFill="1" applyBorder="1" applyAlignment="1">
      <alignment wrapText="1"/>
    </xf>
    <xf numFmtId="188" fontId="7" fillId="0" borderId="28" xfId="59" applyNumberFormat="1" applyFont="1" applyFill="1" applyBorder="1" applyAlignment="1">
      <alignment horizontal="right"/>
    </xf>
    <xf numFmtId="170" fontId="7" fillId="0" borderId="18" xfId="1" applyNumberFormat="1" applyFont="1" applyFill="1" applyBorder="1" applyAlignment="1">
      <alignment horizontal="right"/>
    </xf>
    <xf numFmtId="170" fontId="7" fillId="0" borderId="18" xfId="1" applyNumberFormat="1" applyFont="1" applyBorder="1" applyAlignment="1">
      <alignment horizontal="center"/>
    </xf>
    <xf numFmtId="170" fontId="7" fillId="0" borderId="68" xfId="1" applyNumberFormat="1" applyFont="1" applyBorder="1" applyAlignment="1">
      <alignment horizontal="center"/>
    </xf>
    <xf numFmtId="170" fontId="7" fillId="0" borderId="0" xfId="1" applyNumberFormat="1" applyFont="1" applyAlignment="1">
      <alignment horizontal="left"/>
    </xf>
    <xf numFmtId="179" fontId="7" fillId="0" borderId="0" xfId="1" applyNumberFormat="1" applyFont="1"/>
    <xf numFmtId="179" fontId="7" fillId="0" borderId="0" xfId="1" applyNumberFormat="1" applyFont="1" applyAlignment="1">
      <alignment horizontal="left"/>
    </xf>
    <xf numFmtId="166" fontId="7" fillId="0" borderId="0" xfId="1" applyNumberFormat="1" applyFont="1" applyFill="1" applyBorder="1"/>
    <xf numFmtId="170" fontId="7" fillId="0" borderId="19" xfId="1" applyNumberFormat="1" applyFont="1" applyBorder="1" applyAlignment="1">
      <alignment horizontal="right"/>
    </xf>
    <xf numFmtId="166" fontId="7" fillId="0" borderId="0" xfId="1" applyNumberFormat="1" applyFont="1" applyFill="1" applyBorder="1" applyProtection="1"/>
    <xf numFmtId="170" fontId="7" fillId="0" borderId="0" xfId="1" quotePrefix="1" applyNumberFormat="1" applyFont="1" applyFill="1" applyBorder="1" applyAlignment="1">
      <alignment horizontal="right"/>
    </xf>
    <xf numFmtId="166" fontId="7" fillId="0" borderId="0" xfId="1" applyNumberFormat="1" applyFont="1" applyProtection="1"/>
    <xf numFmtId="188" fontId="7" fillId="0" borderId="28" xfId="59" applyNumberFormat="1" applyFont="1" applyBorder="1" applyAlignment="1">
      <alignment horizontal="right"/>
    </xf>
    <xf numFmtId="170" fontId="7" fillId="0" borderId="21" xfId="1" applyNumberFormat="1" applyFont="1" applyBorder="1" applyAlignment="1">
      <alignment horizontal="right"/>
    </xf>
    <xf numFmtId="188" fontId="7" fillId="0" borderId="8" xfId="1" applyFont="1" applyFill="1" applyBorder="1" applyAlignment="1">
      <alignment wrapText="1"/>
    </xf>
    <xf numFmtId="183" fontId="7" fillId="0" borderId="28" xfId="59" applyNumberFormat="1" applyFont="1" applyBorder="1" applyProtection="1"/>
    <xf numFmtId="170" fontId="7" fillId="0" borderId="0" xfId="1" applyNumberFormat="1" applyFont="1" applyBorder="1"/>
    <xf numFmtId="170" fontId="7" fillId="0" borderId="28" xfId="1" applyNumberFormat="1" applyFont="1" applyBorder="1"/>
    <xf numFmtId="37" fontId="7" fillId="0" borderId="28" xfId="1" applyNumberFormat="1" applyFont="1" applyBorder="1"/>
    <xf numFmtId="179" fontId="7" fillId="0" borderId="0" xfId="59" applyNumberFormat="1" applyFont="1" applyFill="1"/>
    <xf numFmtId="170" fontId="7" fillId="0" borderId="0" xfId="0" applyNumberFormat="1" applyFont="1"/>
    <xf numFmtId="188" fontId="7" fillId="63" borderId="0" xfId="0" applyFont="1" applyFill="1" applyAlignment="1">
      <alignment horizontal="right"/>
    </xf>
    <xf numFmtId="0" fontId="7" fillId="0" borderId="28" xfId="213" applyNumberFormat="1" applyFont="1" applyBorder="1" applyAlignment="1">
      <alignment horizontal="center"/>
    </xf>
    <xf numFmtId="170" fontId="7" fillId="0" borderId="0" xfId="213" applyFont="1" applyBorder="1" applyAlignment="1">
      <alignment horizontal="right"/>
    </xf>
    <xf numFmtId="183" fontId="7" fillId="0" borderId="28" xfId="59" applyNumberFormat="1" applyFont="1" applyFill="1" applyBorder="1"/>
    <xf numFmtId="183" fontId="7" fillId="0" borderId="28" xfId="59" applyNumberFormat="1" applyFont="1" applyBorder="1"/>
    <xf numFmtId="183" fontId="7" fillId="0" borderId="0" xfId="59" applyNumberFormat="1" applyFont="1" applyFill="1" applyBorder="1"/>
    <xf numFmtId="183" fontId="7" fillId="0" borderId="28" xfId="59" applyNumberFormat="1" applyFont="1" applyFill="1" applyBorder="1" applyProtection="1"/>
    <xf numFmtId="183" fontId="7" fillId="0" borderId="8" xfId="1" applyNumberFormat="1" applyFont="1" applyFill="1" applyBorder="1" applyProtection="1"/>
    <xf numFmtId="179" fontId="7" fillId="0" borderId="0" xfId="209" applyNumberFormat="1" applyFont="1" applyFill="1"/>
    <xf numFmtId="39" fontId="7" fillId="0" borderId="0" xfId="1" applyNumberFormat="1" applyFont="1" applyFill="1" applyBorder="1" applyProtection="1"/>
    <xf numFmtId="188" fontId="7" fillId="0" borderId="28" xfId="213" applyNumberFormat="1" applyFont="1" applyBorder="1" applyAlignment="1">
      <alignment horizontal="center"/>
    </xf>
    <xf numFmtId="183" fontId="7" fillId="0" borderId="0" xfId="1" applyNumberFormat="1" applyFont="1" applyFill="1" applyBorder="1" applyProtection="1"/>
    <xf numFmtId="183" fontId="7" fillId="0" borderId="28" xfId="1" applyNumberFormat="1" applyFont="1" applyFill="1" applyBorder="1" applyProtection="1"/>
    <xf numFmtId="188" fontId="7" fillId="0" borderId="28" xfId="59" applyNumberFormat="1" applyFont="1" applyBorder="1" applyAlignment="1">
      <alignment horizontal="center"/>
    </xf>
    <xf numFmtId="170" fontId="7" fillId="0" borderId="0" xfId="1" applyNumberFormat="1" applyFont="1" applyBorder="1" applyAlignment="1">
      <alignment horizontal="right"/>
    </xf>
    <xf numFmtId="183" fontId="7" fillId="0" borderId="0" xfId="1" applyNumberFormat="1" applyFont="1" applyFill="1" applyBorder="1"/>
    <xf numFmtId="183" fontId="7" fillId="0" borderId="28" xfId="1" applyNumberFormat="1" applyFont="1" applyFill="1" applyBorder="1"/>
    <xf numFmtId="37" fontId="7" fillId="0" borderId="28" xfId="1" applyNumberFormat="1" applyFont="1" applyFill="1" applyBorder="1"/>
    <xf numFmtId="179" fontId="7" fillId="0" borderId="0" xfId="1" applyNumberFormat="1" applyFont="1" applyFill="1"/>
    <xf numFmtId="188" fontId="7" fillId="0" borderId="28" xfId="213" applyNumberFormat="1" applyFont="1" applyFill="1" applyBorder="1" applyAlignment="1">
      <alignment horizontal="center"/>
    </xf>
    <xf numFmtId="170" fontId="7" fillId="0" borderId="0" xfId="213" applyFont="1" applyFill="1" applyBorder="1" applyAlignment="1">
      <alignment horizontal="right"/>
    </xf>
    <xf numFmtId="181" fontId="7" fillId="0" borderId="0" xfId="1" applyNumberFormat="1" applyFont="1" applyFill="1" applyBorder="1" applyAlignment="1">
      <alignment horizontal="right"/>
    </xf>
    <xf numFmtId="0" fontId="7" fillId="0" borderId="28" xfId="213" applyNumberFormat="1" applyFont="1" applyFill="1" applyBorder="1" applyAlignment="1">
      <alignment horizontal="center"/>
    </xf>
    <xf numFmtId="188" fontId="7" fillId="0" borderId="34" xfId="213" applyNumberFormat="1" applyFont="1" applyFill="1" applyBorder="1" applyAlignment="1">
      <alignment horizontal="center"/>
    </xf>
    <xf numFmtId="183" fontId="7" fillId="0" borderId="0" xfId="1" applyNumberFormat="1" applyFont="1" applyFill="1" applyBorder="1" applyAlignment="1">
      <alignment horizontal="right"/>
    </xf>
    <xf numFmtId="179" fontId="7" fillId="0" borderId="0" xfId="59" applyNumberFormat="1" applyFont="1"/>
    <xf numFmtId="179" fontId="7" fillId="0" borderId="0" xfId="209" applyNumberFormat="1" applyFont="1"/>
    <xf numFmtId="183" fontId="7" fillId="0" borderId="0" xfId="1" applyNumberFormat="1" applyFont="1" applyBorder="1" applyProtection="1"/>
    <xf numFmtId="183" fontId="7" fillId="0" borderId="28" xfId="1" applyNumberFormat="1" applyFont="1" applyBorder="1" applyProtection="1"/>
    <xf numFmtId="170" fontId="7" fillId="0" borderId="28" xfId="1" applyNumberFormat="1" applyFont="1" applyBorder="1" applyProtection="1"/>
    <xf numFmtId="176" fontId="7" fillId="0" borderId="0" xfId="59" applyNumberFormat="1" applyFont="1"/>
    <xf numFmtId="170" fontId="7" fillId="0" borderId="28" xfId="1" applyNumberFormat="1" applyFont="1" applyFill="1" applyBorder="1" applyAlignment="1"/>
    <xf numFmtId="1" fontId="7" fillId="0" borderId="0" xfId="1" applyNumberFormat="1" applyFont="1" applyFill="1" applyBorder="1" applyAlignment="1">
      <alignment horizontal="right"/>
    </xf>
    <xf numFmtId="183" fontId="7" fillId="0" borderId="28" xfId="59" applyNumberFormat="1" applyFont="1" applyFill="1" applyBorder="1" applyAlignment="1">
      <alignment horizontal="right"/>
    </xf>
    <xf numFmtId="183" fontId="7" fillId="0" borderId="28" xfId="1" applyNumberFormat="1" applyFont="1" applyFill="1" applyBorder="1" applyAlignment="1">
      <alignment horizontal="right"/>
    </xf>
    <xf numFmtId="170" fontId="7" fillId="63" borderId="31" xfId="1" applyNumberFormat="1" applyFont="1" applyFill="1" applyBorder="1" applyAlignment="1">
      <alignment horizontal="right"/>
    </xf>
    <xf numFmtId="183" fontId="7" fillId="0" borderId="0" xfId="59" applyNumberFormat="1" applyFont="1" applyFill="1" applyBorder="1" applyAlignment="1">
      <alignment horizontal="right"/>
    </xf>
    <xf numFmtId="179" fontId="7" fillId="0" borderId="8" xfId="209" applyNumberFormat="1" applyFont="1" applyBorder="1"/>
    <xf numFmtId="170" fontId="7" fillId="0" borderId="31" xfId="1" applyNumberFormat="1" applyFont="1" applyFill="1" applyBorder="1"/>
    <xf numFmtId="188" fontId="7" fillId="0" borderId="0" xfId="0" applyFont="1" applyAlignment="1">
      <alignment horizontal="right"/>
    </xf>
    <xf numFmtId="170" fontId="7" fillId="0" borderId="0" xfId="1" quotePrefix="1" applyNumberFormat="1" applyFont="1" applyFill="1" applyBorder="1" applyAlignment="1">
      <alignment horizontal="left"/>
    </xf>
    <xf numFmtId="175" fontId="7" fillId="0" borderId="0" xfId="209" applyNumberFormat="1" applyFont="1"/>
    <xf numFmtId="37" fontId="7" fillId="0" borderId="0" xfId="1" applyNumberFormat="1" applyFont="1" applyBorder="1"/>
    <xf numFmtId="176" fontId="7" fillId="0" borderId="0" xfId="59" applyNumberFormat="1" applyFont="1" applyAlignment="1">
      <alignment horizontal="right"/>
    </xf>
    <xf numFmtId="170" fontId="7" fillId="0" borderId="28" xfId="213" applyFont="1" applyFill="1" applyBorder="1" applyAlignment="1">
      <alignment horizontal="center"/>
    </xf>
    <xf numFmtId="176" fontId="7" fillId="0" borderId="0" xfId="59" applyNumberFormat="1" applyFont="1" applyAlignment="1">
      <alignment horizontal="left"/>
    </xf>
    <xf numFmtId="170" fontId="7" fillId="0" borderId="28" xfId="213" applyFont="1" applyBorder="1" applyAlignment="1">
      <alignment horizontal="center"/>
    </xf>
    <xf numFmtId="39" fontId="7" fillId="0" borderId="0" xfId="1" applyNumberFormat="1" applyFont="1" applyFill="1" applyBorder="1" applyAlignment="1" applyProtection="1">
      <alignment horizontal="right"/>
    </xf>
    <xf numFmtId="188" fontId="7" fillId="0" borderId="0" xfId="1" applyNumberFormat="1" applyFont="1" applyFill="1" applyBorder="1" applyAlignment="1">
      <alignment horizontal="center"/>
    </xf>
    <xf numFmtId="175" fontId="7" fillId="0" borderId="0" xfId="209" applyNumberFormat="1" applyFont="1" applyFill="1"/>
    <xf numFmtId="170" fontId="7" fillId="0" borderId="28" xfId="213" applyFont="1" applyFill="1" applyBorder="1" applyAlignment="1">
      <alignment horizontal="right"/>
    </xf>
    <xf numFmtId="174" fontId="7" fillId="0" borderId="28" xfId="1" applyNumberFormat="1" applyFont="1" applyFill="1" applyBorder="1" applyProtection="1"/>
    <xf numFmtId="170" fontId="7" fillId="0" borderId="8" xfId="1" applyNumberFormat="1" applyFont="1" applyFill="1" applyBorder="1" applyProtection="1"/>
    <xf numFmtId="170" fontId="7" fillId="0" borderId="0" xfId="1" applyNumberFormat="1" applyFont="1" applyFill="1" applyBorder="1" applyAlignment="1" applyProtection="1">
      <alignment horizontal="right"/>
    </xf>
    <xf numFmtId="170" fontId="7" fillId="0" borderId="101" xfId="1" applyNumberFormat="1" applyFont="1" applyBorder="1" applyProtection="1"/>
    <xf numFmtId="170" fontId="7" fillId="0" borderId="0" xfId="1" applyNumberFormat="1" applyFont="1" applyBorder="1" applyProtection="1"/>
    <xf numFmtId="170" fontId="7" fillId="0" borderId="28" xfId="1" applyNumberFormat="1" applyFont="1" applyBorder="1" applyAlignment="1">
      <alignment horizontal="right"/>
    </xf>
    <xf numFmtId="188" fontId="7" fillId="0" borderId="28" xfId="59" applyNumberFormat="1" applyFont="1" applyFill="1" applyBorder="1" applyAlignment="1">
      <alignment horizontal="center"/>
    </xf>
    <xf numFmtId="170" fontId="7" fillId="0" borderId="73" xfId="1" applyNumberFormat="1" applyFont="1" applyFill="1" applyBorder="1" applyAlignment="1">
      <alignment horizontal="right"/>
    </xf>
    <xf numFmtId="165" fontId="7" fillId="0" borderId="70" xfId="59" applyFont="1" applyBorder="1"/>
    <xf numFmtId="165" fontId="7" fillId="0" borderId="73" xfId="59" applyFont="1" applyBorder="1"/>
    <xf numFmtId="165" fontId="7" fillId="0" borderId="0" xfId="59" applyFont="1" applyBorder="1"/>
    <xf numFmtId="165" fontId="7" fillId="0" borderId="28" xfId="59" applyFont="1" applyBorder="1"/>
    <xf numFmtId="165" fontId="7" fillId="0" borderId="73" xfId="59" applyFont="1" applyFill="1" applyBorder="1"/>
    <xf numFmtId="165" fontId="7" fillId="0" borderId="28" xfId="59" applyFont="1" applyFill="1" applyBorder="1" applyProtection="1"/>
    <xf numFmtId="174" fontId="7" fillId="0" borderId="8" xfId="1" applyNumberFormat="1" applyFont="1" applyFill="1" applyBorder="1" applyProtection="1"/>
    <xf numFmtId="175" fontId="7" fillId="0" borderId="31" xfId="1" applyNumberFormat="1" applyFont="1" applyFill="1" applyBorder="1" applyProtection="1"/>
    <xf numFmtId="170" fontId="7" fillId="0" borderId="96" xfId="1" applyNumberFormat="1" applyFont="1" applyFill="1" applyBorder="1" applyAlignment="1"/>
    <xf numFmtId="175" fontId="7" fillId="0" borderId="8" xfId="209" applyNumberFormat="1" applyFont="1" applyFill="1" applyBorder="1"/>
    <xf numFmtId="170" fontId="7" fillId="0" borderId="15" xfId="1" applyNumberFormat="1" applyFont="1" applyFill="1" applyBorder="1"/>
    <xf numFmtId="175" fontId="7" fillId="0" borderId="0" xfId="209" applyNumberFormat="1" applyFont="1" applyFill="1" applyBorder="1"/>
    <xf numFmtId="170" fontId="7" fillId="0" borderId="121" xfId="213" applyFont="1" applyFill="1" applyBorder="1" applyAlignment="1">
      <alignment horizontal="right"/>
    </xf>
    <xf numFmtId="170" fontId="7" fillId="0" borderId="15" xfId="1" applyNumberFormat="1" applyFont="1" applyBorder="1"/>
    <xf numFmtId="170" fontId="7" fillId="0" borderId="155" xfId="213" applyFont="1" applyFill="1" applyBorder="1" applyAlignment="1">
      <alignment horizontal="right"/>
    </xf>
    <xf numFmtId="195" fontId="7" fillId="0" borderId="0" xfId="255" applyNumberFormat="1" applyFont="1"/>
    <xf numFmtId="188" fontId="7" fillId="63" borderId="28" xfId="0" applyFont="1" applyFill="1" applyBorder="1" applyAlignment="1">
      <alignment horizontal="right"/>
    </xf>
    <xf numFmtId="0" fontId="7" fillId="0" borderId="28" xfId="0" applyNumberFormat="1" applyFont="1" applyBorder="1" applyAlignment="1">
      <alignment horizontal="right"/>
    </xf>
    <xf numFmtId="37" fontId="7" fillId="0" borderId="28" xfId="1" quotePrefix="1" applyNumberFormat="1" applyFont="1" applyFill="1" applyBorder="1" applyAlignment="1">
      <alignment vertical="center"/>
    </xf>
    <xf numFmtId="37" fontId="7" fillId="0" borderId="28" xfId="1" quotePrefix="1" applyNumberFormat="1" applyFont="1" applyFill="1" applyBorder="1" applyAlignment="1">
      <alignment horizontal="right"/>
    </xf>
    <xf numFmtId="170" fontId="7" fillId="63" borderId="28" xfId="213" applyFont="1" applyFill="1" applyBorder="1" applyAlignment="1">
      <alignment horizontal="right"/>
    </xf>
    <xf numFmtId="175" fontId="7" fillId="0" borderId="0" xfId="209" applyNumberFormat="1" applyFont="1" applyBorder="1"/>
    <xf numFmtId="0" fontId="7" fillId="0" borderId="96" xfId="0" applyNumberFormat="1" applyFont="1" applyBorder="1" applyAlignment="1">
      <alignment horizontal="right"/>
    </xf>
    <xf numFmtId="188" fontId="7" fillId="0" borderId="64" xfId="0" applyFont="1" applyBorder="1" applyAlignment="1">
      <alignment horizontal="right"/>
    </xf>
    <xf numFmtId="183" fontId="7" fillId="0" borderId="96" xfId="59" applyNumberFormat="1" applyFont="1" applyFill="1" applyBorder="1"/>
    <xf numFmtId="174" fontId="7" fillId="0" borderId="34" xfId="1" applyNumberFormat="1" applyFont="1" applyFill="1" applyBorder="1" applyProtection="1"/>
    <xf numFmtId="170" fontId="7" fillId="0" borderId="34" xfId="1" applyNumberFormat="1" applyFont="1" applyFill="1" applyBorder="1" applyProtection="1"/>
    <xf numFmtId="175" fontId="7" fillId="0" borderId="8" xfId="209" applyNumberFormat="1" applyFont="1" applyBorder="1"/>
    <xf numFmtId="170" fontId="7" fillId="63" borderId="31" xfId="213" applyFont="1" applyFill="1" applyBorder="1" applyAlignment="1">
      <alignment horizontal="right"/>
    </xf>
    <xf numFmtId="179" fontId="7" fillId="0" borderId="0" xfId="59" applyNumberFormat="1" applyFont="1" applyFill="1" applyAlignment="1">
      <alignment horizontal="right"/>
    </xf>
    <xf numFmtId="183" fontId="7" fillId="0" borderId="91" xfId="59" applyNumberFormat="1" applyFont="1" applyFill="1" applyBorder="1" applyAlignment="1">
      <alignment horizontal="right"/>
    </xf>
    <xf numFmtId="170" fontId="7" fillId="0" borderId="28" xfId="1" applyNumberFormat="1" applyFont="1" applyFill="1" applyBorder="1" applyAlignment="1" applyProtection="1">
      <alignment horizontal="right"/>
    </xf>
    <xf numFmtId="170" fontId="7" fillId="0" borderId="73" xfId="1" applyNumberFormat="1" applyFont="1" applyBorder="1"/>
    <xf numFmtId="170" fontId="7" fillId="0" borderId="70" xfId="1" applyNumberFormat="1" applyFont="1" applyBorder="1"/>
    <xf numFmtId="170" fontId="7" fillId="0" borderId="70" xfId="1" applyNumberFormat="1" applyFont="1" applyBorder="1" applyProtection="1"/>
    <xf numFmtId="170" fontId="7" fillId="0" borderId="27" xfId="213" applyFont="1" applyBorder="1" applyAlignment="1">
      <alignment horizontal="right"/>
    </xf>
    <xf numFmtId="170" fontId="7" fillId="0" borderId="91" xfId="1" applyNumberFormat="1" applyFont="1" applyFill="1" applyBorder="1" applyProtection="1"/>
    <xf numFmtId="188" fontId="7" fillId="0" borderId="27" xfId="0" applyFont="1" applyBorder="1" applyAlignment="1">
      <alignment horizontal="right"/>
    </xf>
    <xf numFmtId="188" fontId="7" fillId="0" borderId="28" xfId="0" applyFont="1" applyBorder="1" applyAlignment="1">
      <alignment horizontal="right"/>
    </xf>
    <xf numFmtId="188" fontId="7" fillId="0" borderId="0" xfId="0" applyFont="1" applyBorder="1" applyAlignment="1">
      <alignment horizontal="right"/>
    </xf>
    <xf numFmtId="170" fontId="7" fillId="0" borderId="27" xfId="1" applyNumberFormat="1" applyFont="1" applyBorder="1"/>
    <xf numFmtId="170" fontId="7" fillId="0" borderId="154" xfId="1" applyNumberFormat="1" applyFont="1" applyFill="1" applyBorder="1"/>
    <xf numFmtId="37" fontId="7" fillId="0" borderId="0" xfId="1" applyNumberFormat="1" applyFont="1" applyBorder="1" applyProtection="1"/>
    <xf numFmtId="37" fontId="7" fillId="0" borderId="28" xfId="1" applyNumberFormat="1" applyFont="1" applyBorder="1" applyProtection="1"/>
    <xf numFmtId="188" fontId="7" fillId="0" borderId="0" xfId="1" applyFont="1" applyAlignment="1">
      <alignment wrapText="1"/>
    </xf>
    <xf numFmtId="170" fontId="7" fillId="0" borderId="28" xfId="213" applyFont="1" applyBorder="1" applyAlignment="1">
      <alignment horizontal="right"/>
    </xf>
    <xf numFmtId="170" fontId="7" fillId="0" borderId="28" xfId="213" applyFont="1" applyFill="1" applyBorder="1" applyAlignment="1"/>
    <xf numFmtId="183" fontId="7" fillId="0" borderId="28" xfId="59" applyNumberFormat="1" applyFont="1" applyBorder="1" applyAlignment="1">
      <alignment horizontal="right"/>
    </xf>
    <xf numFmtId="170" fontId="7" fillId="63" borderId="0" xfId="1" applyNumberFormat="1" applyFont="1" applyFill="1" applyBorder="1" applyAlignment="1">
      <alignment horizontal="right"/>
    </xf>
    <xf numFmtId="170" fontId="7" fillId="0" borderId="8" xfId="1" applyNumberFormat="1" applyFont="1" applyBorder="1" applyProtection="1"/>
    <xf numFmtId="183" fontId="7" fillId="0" borderId="8" xfId="59" applyNumberFormat="1" applyFont="1" applyFill="1" applyBorder="1" applyAlignment="1">
      <alignment horizontal="right"/>
    </xf>
    <xf numFmtId="183" fontId="7" fillId="0" borderId="8" xfId="59" applyNumberFormat="1" applyFont="1" applyBorder="1" applyAlignment="1">
      <alignment horizontal="right"/>
    </xf>
    <xf numFmtId="170" fontId="7" fillId="63" borderId="0" xfId="213" applyFont="1" applyFill="1" applyBorder="1" applyAlignment="1">
      <alignment horizontal="right"/>
    </xf>
    <xf numFmtId="183" fontId="7" fillId="0" borderId="8" xfId="59" applyNumberFormat="1" applyFont="1" applyFill="1" applyBorder="1"/>
    <xf numFmtId="170" fontId="7" fillId="28" borderId="0" xfId="1" applyNumberFormat="1" applyFont="1" applyFill="1"/>
    <xf numFmtId="170" fontId="7" fillId="0" borderId="31" xfId="1" applyNumberFormat="1" applyFont="1" applyFill="1" applyBorder="1" applyAlignment="1" applyProtection="1">
      <alignment horizontal="right"/>
    </xf>
    <xf numFmtId="170" fontId="7" fillId="0" borderId="0" xfId="0" applyNumberFormat="1" applyFont="1" applyFill="1"/>
    <xf numFmtId="170" fontId="7" fillId="0" borderId="28" xfId="0" applyNumberFormat="1" applyFont="1" applyBorder="1"/>
    <xf numFmtId="170" fontId="7" fillId="0" borderId="0" xfId="1" applyNumberFormat="1" applyFont="1" applyFill="1" applyBorder="1" applyAlignment="1">
      <alignment horizontal="center"/>
    </xf>
    <xf numFmtId="170" fontId="7" fillId="0" borderId="0" xfId="1" applyNumberFormat="1" applyFont="1" applyBorder="1" applyAlignment="1">
      <alignment horizontal="center"/>
    </xf>
    <xf numFmtId="170" fontId="7" fillId="57" borderId="0" xfId="1" quotePrefix="1" applyNumberFormat="1" applyFont="1" applyFill="1" applyBorder="1" applyAlignment="1">
      <alignment horizontal="center"/>
    </xf>
    <xf numFmtId="170" fontId="7" fillId="57" borderId="0" xfId="1" quotePrefix="1" applyNumberFormat="1" applyFont="1" applyFill="1" applyBorder="1"/>
    <xf numFmtId="170" fontId="7" fillId="59" borderId="0" xfId="1" quotePrefix="1" applyNumberFormat="1" applyFont="1" applyFill="1" applyBorder="1"/>
    <xf numFmtId="170" fontId="7" fillId="0" borderId="0" xfId="0" applyNumberFormat="1" applyFont="1" applyBorder="1"/>
    <xf numFmtId="170" fontId="7" fillId="0" borderId="121" xfId="1" applyNumberFormat="1" applyFont="1" applyBorder="1" applyAlignment="1">
      <alignment horizontal="right"/>
    </xf>
    <xf numFmtId="170" fontId="7" fillId="0" borderId="122" xfId="1" applyNumberFormat="1" applyFont="1" applyFill="1" applyBorder="1"/>
    <xf numFmtId="170" fontId="7" fillId="0" borderId="8" xfId="1" applyNumberFormat="1" applyFont="1" applyBorder="1"/>
    <xf numFmtId="2" fontId="7" fillId="0" borderId="0" xfId="1" applyNumberFormat="1" applyFont="1" applyFill="1" applyBorder="1" applyProtection="1"/>
    <xf numFmtId="188" fontId="7" fillId="0" borderId="8" xfId="59" applyNumberFormat="1" applyFont="1" applyFill="1" applyBorder="1" applyAlignment="1">
      <alignment horizontal="right"/>
    </xf>
    <xf numFmtId="170" fontId="7" fillId="0" borderId="21" xfId="1" applyNumberFormat="1" applyFont="1" applyBorder="1"/>
    <xf numFmtId="170" fontId="7" fillId="0" borderId="8" xfId="213" applyFont="1" applyFill="1" applyBorder="1" applyAlignment="1">
      <alignment horizontal="right"/>
    </xf>
    <xf numFmtId="170" fontId="7" fillId="44" borderId="28" xfId="1" applyNumberFormat="1" applyFont="1" applyFill="1" applyBorder="1" applyProtection="1"/>
    <xf numFmtId="170" fontId="7" fillId="0" borderId="117" xfId="1" applyNumberFormat="1" applyFont="1" applyBorder="1" applyAlignment="1">
      <alignment horizontal="right"/>
    </xf>
    <xf numFmtId="170" fontId="7" fillId="0" borderId="91" xfId="1" applyNumberFormat="1" applyFont="1" applyFill="1" applyBorder="1"/>
    <xf numFmtId="37" fontId="7" fillId="0" borderId="8" xfId="1" applyNumberFormat="1" applyFont="1" applyBorder="1"/>
    <xf numFmtId="170" fontId="7" fillId="0" borderId="28" xfId="213" applyFont="1" applyBorder="1"/>
    <xf numFmtId="170" fontId="7" fillId="0" borderId="28" xfId="213" applyNumberFormat="1" applyFont="1" applyBorder="1"/>
    <xf numFmtId="170" fontId="7" fillId="0" borderId="28" xfId="213" applyFont="1" applyFill="1" applyBorder="1"/>
    <xf numFmtId="170" fontId="7" fillId="0" borderId="28" xfId="213" applyNumberFormat="1" applyFont="1" applyFill="1" applyBorder="1"/>
    <xf numFmtId="183" fontId="7" fillId="0" borderId="107" xfId="59" applyNumberFormat="1" applyFont="1" applyFill="1" applyBorder="1" applyProtection="1"/>
    <xf numFmtId="37" fontId="7" fillId="0" borderId="0" xfId="1" applyNumberFormat="1" applyFont="1" applyFill="1" applyBorder="1" applyProtection="1"/>
    <xf numFmtId="37" fontId="7" fillId="0" borderId="28" xfId="1" applyNumberFormat="1" applyFont="1" applyFill="1" applyBorder="1" applyProtection="1"/>
    <xf numFmtId="170" fontId="7" fillId="0" borderId="91" xfId="213" applyFont="1" applyFill="1" applyBorder="1"/>
    <xf numFmtId="188" fontId="7" fillId="63" borderId="31" xfId="209" applyFont="1" applyFill="1" applyBorder="1" applyAlignment="1">
      <alignment horizontal="right"/>
    </xf>
    <xf numFmtId="174" fontId="7" fillId="44" borderId="28" xfId="1" applyNumberFormat="1" applyFont="1" applyFill="1" applyBorder="1" applyProtection="1"/>
    <xf numFmtId="174" fontId="7" fillId="0" borderId="0" xfId="1" applyNumberFormat="1" applyFont="1" applyFill="1" applyBorder="1" applyProtection="1"/>
    <xf numFmtId="170" fontId="7" fillId="43" borderId="0" xfId="1" applyNumberFormat="1" applyFont="1" applyFill="1"/>
    <xf numFmtId="170" fontId="7" fillId="43" borderId="0" xfId="1" applyNumberFormat="1" applyFont="1" applyFill="1" applyBorder="1"/>
    <xf numFmtId="170" fontId="7" fillId="44" borderId="0" xfId="1" applyNumberFormat="1" applyFont="1" applyFill="1" applyBorder="1"/>
    <xf numFmtId="0" fontId="7" fillId="44" borderId="28" xfId="213" applyNumberFormat="1" applyFont="1" applyFill="1" applyBorder="1" applyAlignment="1">
      <alignment horizontal="center"/>
    </xf>
    <xf numFmtId="170" fontId="7" fillId="44" borderId="28" xfId="213" applyFont="1" applyFill="1" applyBorder="1" applyAlignment="1">
      <alignment horizontal="right"/>
    </xf>
    <xf numFmtId="170" fontId="7" fillId="44" borderId="0" xfId="1" applyNumberFormat="1" applyFont="1" applyFill="1"/>
    <xf numFmtId="170" fontId="7" fillId="0" borderId="120" xfId="213" applyFont="1" applyFill="1" applyBorder="1" applyAlignment="1">
      <alignment horizontal="right"/>
    </xf>
    <xf numFmtId="170" fontId="7" fillId="0" borderId="107" xfId="213" applyFont="1" applyFill="1" applyBorder="1" applyAlignment="1"/>
    <xf numFmtId="188" fontId="7" fillId="0" borderId="107" xfId="213" applyNumberFormat="1" applyFont="1" applyBorder="1" applyAlignment="1">
      <alignment horizontal="center"/>
    </xf>
    <xf numFmtId="170" fontId="7" fillId="0" borderId="0" xfId="213" applyFont="1" applyBorder="1"/>
    <xf numFmtId="170" fontId="7" fillId="0" borderId="0" xfId="213" applyFont="1" applyFill="1" applyBorder="1"/>
    <xf numFmtId="170" fontId="7" fillId="0" borderId="8" xfId="1" applyNumberFormat="1" applyFont="1" applyFill="1" applyBorder="1"/>
    <xf numFmtId="170" fontId="7" fillId="0" borderId="6" xfId="213" applyFont="1" applyFill="1" applyBorder="1" applyAlignment="1"/>
    <xf numFmtId="170" fontId="7" fillId="0" borderId="0" xfId="1" applyNumberFormat="1" applyFont="1" applyFill="1" applyAlignment="1">
      <alignment horizontal="center" wrapText="1"/>
    </xf>
    <xf numFmtId="170" fontId="7" fillId="0" borderId="21" xfId="213" applyFont="1" applyBorder="1"/>
    <xf numFmtId="183" fontId="7" fillId="0" borderId="57" xfId="59" applyNumberFormat="1" applyFont="1" applyBorder="1"/>
    <xf numFmtId="165" fontId="7" fillId="0" borderId="0" xfId="59" applyFont="1"/>
    <xf numFmtId="170" fontId="7" fillId="0" borderId="107" xfId="1" applyNumberFormat="1" applyFont="1" applyFill="1" applyBorder="1" applyAlignment="1"/>
    <xf numFmtId="170" fontId="7" fillId="34" borderId="28" xfId="1" applyNumberFormat="1" applyFont="1" applyFill="1" applyBorder="1" applyAlignment="1" applyProtection="1">
      <alignment horizontal="right"/>
    </xf>
    <xf numFmtId="170" fontId="7" fillId="0" borderId="58" xfId="1" applyNumberFormat="1" applyFont="1" applyBorder="1"/>
    <xf numFmtId="170" fontId="7" fillId="0" borderId="57" xfId="1" applyNumberFormat="1" applyFont="1" applyBorder="1"/>
    <xf numFmtId="188" fontId="7" fillId="0" borderId="31" xfId="59" applyNumberFormat="1" applyFont="1" applyFill="1" applyBorder="1" applyAlignment="1">
      <alignment horizontal="center"/>
    </xf>
    <xf numFmtId="170" fontId="7" fillId="0" borderId="19" xfId="1" applyNumberFormat="1" applyFont="1" applyBorder="1"/>
    <xf numFmtId="170" fontId="7" fillId="0" borderId="24" xfId="1" applyNumberFormat="1" applyFont="1" applyBorder="1" applyAlignment="1">
      <alignment horizontal="right"/>
    </xf>
    <xf numFmtId="170" fontId="7" fillId="0" borderId="18" xfId="1" applyNumberFormat="1" applyFont="1" applyBorder="1"/>
    <xf numFmtId="176" fontId="7" fillId="0" borderId="0" xfId="209" applyNumberFormat="1" applyFont="1" applyBorder="1"/>
    <xf numFmtId="175" fontId="7" fillId="0" borderId="0" xfId="1" applyNumberFormat="1" applyFont="1"/>
    <xf numFmtId="170" fontId="7" fillId="0" borderId="31" xfId="1" applyNumberFormat="1" applyFont="1" applyBorder="1"/>
    <xf numFmtId="176" fontId="7" fillId="0" borderId="0" xfId="209" applyNumberFormat="1" applyFont="1"/>
    <xf numFmtId="188" fontId="7" fillId="0" borderId="0" xfId="0" applyFont="1"/>
    <xf numFmtId="175" fontId="7" fillId="0" borderId="0" xfId="1" applyNumberFormat="1" applyFont="1" applyFill="1" applyBorder="1"/>
    <xf numFmtId="175" fontId="7" fillId="0" borderId="8" xfId="1" applyNumberFormat="1" applyFont="1" applyBorder="1"/>
    <xf numFmtId="37" fontId="7" fillId="0" borderId="8" xfId="1" applyNumberFormat="1" applyFont="1" applyFill="1" applyBorder="1" applyAlignment="1">
      <alignment horizontal="right"/>
    </xf>
    <xf numFmtId="175" fontId="7" fillId="0" borderId="0" xfId="1" applyNumberFormat="1" applyFont="1" applyFill="1"/>
    <xf numFmtId="188" fontId="7" fillId="0" borderId="0" xfId="1" applyFont="1" applyFill="1" applyAlignment="1">
      <alignment horizontal="right" wrapText="1"/>
    </xf>
    <xf numFmtId="170" fontId="7" fillId="0" borderId="91" xfId="1" applyNumberFormat="1" applyFont="1" applyBorder="1"/>
    <xf numFmtId="37" fontId="7" fillId="0" borderId="91" xfId="1" applyNumberFormat="1" applyFont="1" applyBorder="1"/>
    <xf numFmtId="37" fontId="7" fillId="0" borderId="34" xfId="1" applyNumberFormat="1" applyFont="1" applyBorder="1"/>
    <xf numFmtId="1" fontId="7" fillId="0" borderId="28" xfId="59" applyNumberFormat="1" applyFont="1" applyFill="1" applyBorder="1" applyAlignment="1">
      <alignment horizontal="center"/>
    </xf>
    <xf numFmtId="170" fontId="7" fillId="0" borderId="0" xfId="1" applyNumberFormat="1" applyFont="1" applyFill="1" applyAlignment="1">
      <alignment wrapText="1"/>
    </xf>
    <xf numFmtId="170" fontId="7" fillId="0" borderId="31" xfId="1" applyNumberFormat="1" applyFont="1" applyBorder="1" applyAlignment="1">
      <alignment horizontal="right"/>
    </xf>
    <xf numFmtId="174" fontId="7" fillId="0" borderId="0" xfId="209" applyNumberFormat="1" applyFont="1"/>
    <xf numFmtId="1" fontId="7" fillId="0" borderId="28" xfId="59" applyNumberFormat="1" applyFont="1" applyBorder="1" applyAlignment="1">
      <alignment horizontal="center"/>
    </xf>
    <xf numFmtId="1" fontId="7" fillId="0" borderId="28" xfId="59" applyNumberFormat="1" applyFont="1" applyBorder="1" applyAlignment="1">
      <alignment horizontal="right"/>
    </xf>
    <xf numFmtId="170" fontId="118" fillId="0" borderId="28" xfId="0" applyNumberFormat="1" applyFont="1" applyBorder="1"/>
    <xf numFmtId="170" fontId="128" fillId="0" borderId="28" xfId="0" applyNumberFormat="1" applyFont="1" applyBorder="1"/>
    <xf numFmtId="170" fontId="69" fillId="0" borderId="53" xfId="207" applyNumberFormat="1" applyFont="1" applyFill="1" applyBorder="1" applyAlignment="1">
      <alignment horizontal="right"/>
    </xf>
    <xf numFmtId="1" fontId="69" fillId="0" borderId="25" xfId="0" applyNumberFormat="1" applyFont="1" applyFill="1" applyBorder="1" applyAlignment="1">
      <alignment horizontal="right"/>
    </xf>
    <xf numFmtId="49" fontId="69" fillId="0" borderId="54" xfId="0" applyNumberFormat="1" applyFont="1" applyFill="1" applyBorder="1" applyAlignment="1">
      <alignment horizontal="right"/>
    </xf>
    <xf numFmtId="49" fontId="69" fillId="0" borderId="80" xfId="0" applyNumberFormat="1" applyFont="1" applyFill="1" applyBorder="1" applyAlignment="1">
      <alignment horizontal="right"/>
    </xf>
    <xf numFmtId="9" fontId="74" fillId="0" borderId="0" xfId="218" applyFont="1" applyFill="1" applyAlignment="1">
      <alignment vertical="center"/>
    </xf>
    <xf numFmtId="170" fontId="69" fillId="63" borderId="123" xfId="0" applyNumberFormat="1" applyFont="1" applyFill="1" applyBorder="1"/>
    <xf numFmtId="183" fontId="74" fillId="0" borderId="0" xfId="59" applyNumberFormat="1" applyFont="1" applyBorder="1"/>
    <xf numFmtId="170" fontId="74" fillId="0" borderId="23" xfId="1" applyNumberFormat="1" applyFont="1" applyFill="1" applyBorder="1" applyAlignment="1">
      <alignment vertical="center"/>
    </xf>
    <xf numFmtId="170" fontId="74" fillId="0" borderId="15" xfId="1" applyNumberFormat="1" applyFont="1" applyFill="1" applyBorder="1" applyAlignment="1">
      <alignment vertical="center"/>
    </xf>
    <xf numFmtId="170" fontId="74" fillId="0" borderId="25" xfId="1" applyNumberFormat="1" applyFont="1" applyFill="1" applyBorder="1" applyAlignment="1">
      <alignment vertical="center"/>
    </xf>
    <xf numFmtId="188" fontId="124" fillId="45" borderId="0" xfId="0" applyFont="1" applyFill="1"/>
    <xf numFmtId="0" fontId="124" fillId="0" borderId="0" xfId="0" applyNumberFormat="1" applyFont="1"/>
    <xf numFmtId="44" fontId="69" fillId="59" borderId="15" xfId="255" applyNumberFormat="1" applyFont="1" applyFill="1" applyBorder="1"/>
    <xf numFmtId="170" fontId="147" fillId="41" borderId="6" xfId="1" applyNumberFormat="1" applyFont="1" applyFill="1" applyBorder="1" applyProtection="1"/>
    <xf numFmtId="1" fontId="7" fillId="0" borderId="31" xfId="59" applyNumberFormat="1" applyFont="1" applyFill="1" applyBorder="1" applyAlignment="1">
      <alignment horizontal="center"/>
    </xf>
    <xf numFmtId="170" fontId="7" fillId="0" borderId="37" xfId="1" applyNumberFormat="1" applyFont="1" applyBorder="1"/>
    <xf numFmtId="170" fontId="7" fillId="0" borderId="23" xfId="1" applyNumberFormat="1" applyFont="1" applyBorder="1"/>
    <xf numFmtId="170" fontId="7" fillId="0" borderId="16" xfId="1" applyNumberFormat="1" applyFont="1" applyBorder="1" applyAlignment="1">
      <alignment horizontal="right"/>
    </xf>
    <xf numFmtId="188" fontId="7" fillId="0" borderId="16" xfId="0" applyFont="1" applyBorder="1"/>
    <xf numFmtId="175" fontId="7" fillId="0" borderId="15" xfId="1" applyNumberFormat="1" applyFont="1" applyFill="1" applyBorder="1"/>
    <xf numFmtId="170" fontId="147" fillId="0" borderId="16" xfId="1" applyNumberFormat="1" applyFont="1" applyBorder="1" applyAlignment="1">
      <alignment horizontal="right"/>
    </xf>
    <xf numFmtId="170" fontId="7" fillId="0" borderId="172" xfId="1" applyNumberFormat="1" applyFont="1" applyBorder="1" applyAlignment="1">
      <alignment horizontal="right"/>
    </xf>
    <xf numFmtId="183" fontId="7" fillId="0" borderId="68" xfId="59" applyNumberFormat="1" applyFont="1" applyBorder="1"/>
    <xf numFmtId="170" fontId="7" fillId="0" borderId="173" xfId="1" applyNumberFormat="1" applyFont="1" applyBorder="1"/>
    <xf numFmtId="170" fontId="7" fillId="0" borderId="68" xfId="1" applyNumberFormat="1" applyFont="1" applyBorder="1"/>
    <xf numFmtId="37" fontId="7" fillId="0" borderId="68" xfId="1" applyNumberFormat="1" applyFont="1" applyBorder="1"/>
    <xf numFmtId="170" fontId="7" fillId="0" borderId="25" xfId="1" applyNumberFormat="1" applyFont="1" applyFill="1" applyBorder="1"/>
    <xf numFmtId="39" fontId="120" fillId="0" borderId="16" xfId="128" applyNumberFormat="1" applyFont="1" applyFill="1" applyBorder="1" applyAlignment="1">
      <alignment horizontal="right" readingOrder="2"/>
    </xf>
    <xf numFmtId="9" fontId="69" fillId="63" borderId="56" xfId="218" applyFont="1" applyFill="1" applyBorder="1"/>
    <xf numFmtId="9" fontId="140" fillId="63" borderId="56" xfId="218" applyFont="1" applyFill="1" applyBorder="1"/>
    <xf numFmtId="185" fontId="69" fillId="0" borderId="129" xfId="255" applyNumberFormat="1" applyFont="1" applyBorder="1"/>
    <xf numFmtId="9" fontId="69" fillId="63" borderId="53" xfId="218" applyFont="1" applyFill="1" applyBorder="1"/>
    <xf numFmtId="3" fontId="69" fillId="63" borderId="0" xfId="1" applyNumberFormat="1" applyFont="1" applyFill="1"/>
    <xf numFmtId="170" fontId="59" fillId="33" borderId="8" xfId="1" applyNumberFormat="1" applyFont="1" applyFill="1" applyBorder="1" applyProtection="1"/>
    <xf numFmtId="170" fontId="69" fillId="43" borderId="8" xfId="1" applyNumberFormat="1" applyFont="1" applyFill="1" applyBorder="1" applyProtection="1"/>
    <xf numFmtId="170" fontId="69" fillId="43" borderId="8" xfId="213" applyFont="1" applyFill="1" applyBorder="1"/>
    <xf numFmtId="170" fontId="69" fillId="43" borderId="28" xfId="1" applyNumberFormat="1" applyFont="1" applyFill="1" applyBorder="1" applyProtection="1"/>
    <xf numFmtId="170" fontId="69" fillId="43" borderId="28" xfId="213" applyFont="1" applyFill="1" applyBorder="1"/>
    <xf numFmtId="170" fontId="69" fillId="44" borderId="191" xfId="1" applyNumberFormat="1" applyFont="1" applyFill="1" applyBorder="1"/>
    <xf numFmtId="0" fontId="124" fillId="63" borderId="88" xfId="0" applyNumberFormat="1" applyFont="1" applyFill="1" applyBorder="1"/>
    <xf numFmtId="1" fontId="124" fillId="63" borderId="85" xfId="0" applyNumberFormat="1" applyFont="1" applyFill="1" applyBorder="1"/>
    <xf numFmtId="0" fontId="124" fillId="63" borderId="0" xfId="0" applyNumberFormat="1" applyFont="1" applyFill="1" applyBorder="1"/>
    <xf numFmtId="1" fontId="124" fillId="63" borderId="15" xfId="0" applyNumberFormat="1" applyFont="1" applyFill="1" applyBorder="1"/>
    <xf numFmtId="9" fontId="124" fillId="63" borderId="0" xfId="218" applyFont="1" applyFill="1" applyAlignment="1">
      <alignment horizontal="left"/>
    </xf>
    <xf numFmtId="0" fontId="124" fillId="63" borderId="0" xfId="0" applyNumberFormat="1" applyFont="1" applyFill="1"/>
    <xf numFmtId="170" fontId="124" fillId="63" borderId="0" xfId="0" applyNumberFormat="1" applyFont="1" applyFill="1"/>
    <xf numFmtId="170" fontId="124" fillId="63" borderId="88" xfId="0" applyNumberFormat="1" applyFont="1" applyFill="1" applyBorder="1"/>
    <xf numFmtId="174" fontId="69" fillId="34" borderId="0" xfId="0" applyNumberFormat="1" applyFont="1" applyFill="1"/>
    <xf numFmtId="170" fontId="6" fillId="63" borderId="22" xfId="213" applyFont="1" applyFill="1" applyBorder="1" applyAlignment="1">
      <alignment horizontal="right"/>
    </xf>
    <xf numFmtId="170" fontId="6" fillId="63" borderId="16" xfId="213" applyFont="1" applyFill="1" applyBorder="1" applyAlignment="1">
      <alignment horizontal="right"/>
    </xf>
    <xf numFmtId="170" fontId="42" fillId="63" borderId="16" xfId="213" applyFont="1" applyFill="1" applyBorder="1" applyAlignment="1">
      <alignment horizontal="right"/>
    </xf>
    <xf numFmtId="170" fontId="42" fillId="63" borderId="172" xfId="213" applyFont="1" applyFill="1" applyBorder="1" applyAlignment="1">
      <alignment horizontal="right"/>
    </xf>
    <xf numFmtId="179" fontId="69" fillId="0" borderId="19" xfId="59" applyNumberFormat="1" applyFont="1" applyFill="1" applyBorder="1"/>
    <xf numFmtId="179" fontId="69" fillId="0" borderId="18" xfId="59" applyNumberFormat="1" applyFont="1" applyFill="1" applyBorder="1"/>
    <xf numFmtId="170" fontId="69" fillId="34" borderId="0" xfId="1" applyNumberFormat="1" applyFont="1" applyFill="1" applyBorder="1"/>
    <xf numFmtId="3" fontId="69" fillId="63" borderId="15" xfId="1" applyNumberFormat="1" applyFont="1" applyFill="1" applyBorder="1"/>
    <xf numFmtId="3" fontId="69" fillId="34" borderId="0" xfId="1" applyNumberFormat="1" applyFont="1" applyFill="1"/>
    <xf numFmtId="9" fontId="69" fillId="34" borderId="0" xfId="218" applyFont="1" applyFill="1"/>
    <xf numFmtId="170" fontId="69" fillId="63" borderId="15" xfId="1" applyNumberFormat="1" applyFont="1" applyFill="1" applyBorder="1"/>
    <xf numFmtId="165" fontId="69" fillId="0" borderId="85" xfId="59" applyFont="1" applyFill="1" applyBorder="1"/>
    <xf numFmtId="170" fontId="69" fillId="63" borderId="71" xfId="1" applyNumberFormat="1" applyFont="1" applyFill="1" applyBorder="1"/>
    <xf numFmtId="188" fontId="69" fillId="0" borderId="150" xfId="1" applyFont="1" applyBorder="1"/>
    <xf numFmtId="3" fontId="69" fillId="0" borderId="192" xfId="1" applyNumberFormat="1" applyFont="1" applyBorder="1"/>
    <xf numFmtId="3" fontId="69" fillId="0" borderId="150" xfId="1" applyNumberFormat="1" applyFont="1" applyBorder="1"/>
    <xf numFmtId="183" fontId="74" fillId="0" borderId="15" xfId="59" applyNumberFormat="1" applyFont="1" applyBorder="1"/>
    <xf numFmtId="170" fontId="74" fillId="0" borderId="193" xfId="1" applyNumberFormat="1" applyFont="1" applyBorder="1"/>
    <xf numFmtId="170" fontId="69" fillId="34" borderId="15" xfId="1" applyNumberFormat="1" applyFont="1" applyFill="1" applyBorder="1"/>
    <xf numFmtId="165" fontId="69" fillId="0" borderId="25" xfId="59" applyFont="1" applyBorder="1"/>
    <xf numFmtId="185" fontId="69" fillId="0" borderId="174" xfId="255" applyNumberFormat="1" applyFont="1" applyBorder="1"/>
    <xf numFmtId="185" fontId="69" fillId="0" borderId="23" xfId="255" applyNumberFormat="1" applyFont="1" applyBorder="1"/>
    <xf numFmtId="185" fontId="69" fillId="0" borderId="25" xfId="255" applyNumberFormat="1" applyFont="1" applyBorder="1"/>
    <xf numFmtId="1" fontId="69" fillId="0" borderId="22" xfId="0" applyNumberFormat="1" applyFont="1" applyBorder="1" applyAlignment="1">
      <alignment horizontal="right"/>
    </xf>
    <xf numFmtId="174" fontId="69" fillId="0" borderId="174" xfId="1" applyNumberFormat="1" applyFont="1" applyBorder="1"/>
    <xf numFmtId="170" fontId="74" fillId="0" borderId="55" xfId="1" applyNumberFormat="1" applyFont="1" applyFill="1" applyBorder="1" applyAlignment="1">
      <alignment horizontal="center" vertical="center"/>
    </xf>
    <xf numFmtId="183" fontId="74" fillId="0" borderId="80" xfId="59" applyNumberFormat="1" applyFont="1" applyFill="1" applyBorder="1" applyAlignment="1">
      <alignment horizontal="center" vertical="center"/>
    </xf>
    <xf numFmtId="1" fontId="124" fillId="63" borderId="80" xfId="0" applyNumberFormat="1" applyFont="1" applyFill="1" applyBorder="1" applyAlignment="1">
      <alignment horizontal="right"/>
    </xf>
    <xf numFmtId="170" fontId="69" fillId="63" borderId="16" xfId="1" applyNumberFormat="1" applyFont="1" applyFill="1" applyBorder="1"/>
    <xf numFmtId="1" fontId="124" fillId="63" borderId="55" xfId="0" applyNumberFormat="1" applyFont="1" applyFill="1" applyBorder="1" applyAlignment="1">
      <alignment horizontal="right"/>
    </xf>
    <xf numFmtId="170" fontId="74" fillId="63" borderId="22" xfId="1" applyNumberFormat="1" applyFont="1" applyFill="1" applyBorder="1"/>
    <xf numFmtId="170" fontId="74" fillId="63" borderId="16" xfId="1" applyNumberFormat="1" applyFont="1" applyFill="1" applyBorder="1"/>
    <xf numFmtId="170" fontId="74" fillId="63" borderId="24" xfId="1" applyNumberFormat="1" applyFont="1" applyFill="1" applyBorder="1"/>
    <xf numFmtId="1" fontId="69" fillId="63" borderId="15" xfId="0" applyNumberFormat="1" applyFont="1" applyFill="1" applyBorder="1" applyAlignment="1">
      <alignment horizontal="right"/>
    </xf>
    <xf numFmtId="1" fontId="69" fillId="63" borderId="174" xfId="0" applyNumberFormat="1" applyFont="1" applyFill="1" applyBorder="1" applyAlignment="1">
      <alignment horizontal="right"/>
    </xf>
    <xf numFmtId="41" fontId="69" fillId="63" borderId="28" xfId="272" applyNumberFormat="1" applyFont="1" applyFill="1" applyBorder="1"/>
    <xf numFmtId="41" fontId="69" fillId="63" borderId="0" xfId="272" quotePrefix="1" applyNumberFormat="1" applyFont="1" applyFill="1"/>
    <xf numFmtId="184" fontId="69" fillId="63" borderId="80" xfId="264" applyNumberFormat="1" applyFont="1" applyFill="1" applyBorder="1" applyAlignment="1">
      <alignment vertical="top"/>
    </xf>
    <xf numFmtId="184" fontId="156" fillId="0" borderId="0" xfId="264" applyNumberFormat="1" applyFont="1" applyFill="1" applyBorder="1" applyAlignment="1">
      <alignment vertical="top"/>
    </xf>
    <xf numFmtId="185" fontId="69" fillId="0" borderId="0" xfId="255" applyNumberFormat="1" applyFont="1" applyFill="1" applyBorder="1" applyAlignment="1">
      <alignment vertical="top"/>
    </xf>
    <xf numFmtId="185" fontId="69" fillId="0" borderId="152" xfId="255" applyNumberFormat="1" applyFont="1" applyFill="1" applyBorder="1" applyAlignment="1">
      <alignment vertical="top"/>
    </xf>
    <xf numFmtId="185" fontId="69" fillId="0" borderId="0" xfId="255" applyNumberFormat="1" applyFont="1" applyBorder="1" applyAlignment="1">
      <alignment vertical="top"/>
    </xf>
    <xf numFmtId="205" fontId="69" fillId="0" borderId="0" xfId="264" applyNumberFormat="1" applyFont="1" applyBorder="1" applyAlignment="1">
      <alignment vertical="top"/>
    </xf>
    <xf numFmtId="188" fontId="69" fillId="63" borderId="107" xfId="0" applyFont="1" applyFill="1" applyBorder="1" applyAlignment="1">
      <alignment horizontal="right"/>
    </xf>
    <xf numFmtId="170" fontId="161" fillId="63" borderId="16" xfId="0" applyNumberFormat="1" applyFont="1" applyFill="1" applyBorder="1" applyAlignment="1">
      <alignment horizontal="right"/>
    </xf>
    <xf numFmtId="170" fontId="160" fillId="63" borderId="16" xfId="0" applyNumberFormat="1" applyFont="1" applyFill="1" applyBorder="1" applyAlignment="1">
      <alignment horizontal="right"/>
    </xf>
    <xf numFmtId="170" fontId="124" fillId="63" borderId="80" xfId="1" applyNumberFormat="1" applyFont="1" applyFill="1" applyBorder="1" applyAlignment="1">
      <alignment horizontal="right"/>
    </xf>
    <xf numFmtId="170" fontId="124" fillId="63" borderId="55" xfId="1" applyNumberFormat="1" applyFont="1" applyFill="1" applyBorder="1" applyAlignment="1">
      <alignment horizontal="right"/>
    </xf>
    <xf numFmtId="188" fontId="69" fillId="63" borderId="8" xfId="1" applyFont="1" applyFill="1" applyBorder="1" applyAlignment="1">
      <alignment wrapText="1"/>
    </xf>
    <xf numFmtId="170" fontId="69" fillId="63" borderId="8" xfId="0" applyNumberFormat="1" applyFont="1" applyFill="1" applyBorder="1"/>
    <xf numFmtId="0" fontId="69" fillId="0" borderId="173" xfId="0" applyNumberFormat="1" applyFont="1" applyFill="1" applyBorder="1" applyAlignment="1">
      <alignment horizontal="right"/>
    </xf>
    <xf numFmtId="170" fontId="74" fillId="0" borderId="173" xfId="1" applyNumberFormat="1" applyFont="1" applyFill="1" applyBorder="1" applyAlignment="1">
      <alignment horizontal="center" vertical="center" wrapText="1"/>
    </xf>
    <xf numFmtId="0" fontId="69" fillId="0" borderId="95" xfId="213" applyNumberFormat="1" applyFont="1" applyFill="1" applyBorder="1" applyAlignment="1"/>
    <xf numFmtId="49" fontId="5" fillId="0" borderId="95" xfId="0" applyNumberFormat="1" applyFont="1" applyFill="1" applyBorder="1" applyAlignment="1">
      <alignment horizontal="right"/>
    </xf>
    <xf numFmtId="0" fontId="5" fillId="0" borderId="95" xfId="213" applyNumberFormat="1" applyFont="1" applyFill="1" applyBorder="1" applyAlignment="1">
      <alignment horizontal="right"/>
    </xf>
    <xf numFmtId="49" fontId="5" fillId="0" borderId="97" xfId="213" applyNumberFormat="1" applyFont="1" applyFill="1" applyBorder="1" applyAlignment="1">
      <alignment horizontal="right"/>
    </xf>
    <xf numFmtId="179" fontId="69" fillId="0" borderId="23" xfId="59" applyNumberFormat="1" applyFont="1" applyFill="1" applyBorder="1"/>
    <xf numFmtId="179" fontId="69" fillId="0" borderId="25" xfId="59" applyNumberFormat="1" applyFont="1" applyFill="1" applyBorder="1"/>
    <xf numFmtId="41" fontId="69" fillId="0" borderId="0" xfId="218" applyNumberFormat="1" applyFont="1" applyFill="1" applyBorder="1" applyAlignment="1">
      <alignment horizontal="right"/>
    </xf>
    <xf numFmtId="183" fontId="74" fillId="0" borderId="54" xfId="59" applyNumberFormat="1" applyFont="1" applyFill="1" applyBorder="1" applyAlignment="1">
      <alignment vertical="center"/>
    </xf>
    <xf numFmtId="183" fontId="69" fillId="0" borderId="80" xfId="59" applyNumberFormat="1" applyFont="1" applyFill="1" applyBorder="1" applyAlignment="1">
      <alignment vertical="center"/>
    </xf>
    <xf numFmtId="183" fontId="69" fillId="0" borderId="55" xfId="59" applyNumberFormat="1" applyFont="1" applyFill="1" applyBorder="1" applyAlignment="1">
      <alignment vertical="center"/>
    </xf>
    <xf numFmtId="170" fontId="69" fillId="0" borderId="80" xfId="1" applyNumberFormat="1" applyFont="1" applyFill="1" applyBorder="1" applyAlignment="1">
      <alignment vertical="center"/>
    </xf>
    <xf numFmtId="170" fontId="149" fillId="0" borderId="51" xfId="0" applyNumberFormat="1" applyFont="1" applyFill="1" applyBorder="1" applyAlignment="1">
      <alignment horizontal="right"/>
    </xf>
    <xf numFmtId="170" fontId="69" fillId="0" borderId="19" xfId="207" applyNumberFormat="1" applyFont="1" applyFill="1" applyBorder="1" applyAlignment="1">
      <alignment horizontal="right"/>
    </xf>
    <xf numFmtId="170" fontId="69" fillId="0" borderId="19" xfId="207" applyNumberFormat="1" applyFont="1" applyBorder="1" applyAlignment="1">
      <alignment horizontal="right"/>
    </xf>
    <xf numFmtId="188" fontId="146" fillId="0" borderId="54" xfId="0" applyFont="1" applyFill="1" applyBorder="1" applyAlignment="1">
      <alignment horizontal="right"/>
    </xf>
    <xf numFmtId="1" fontId="146" fillId="0" borderId="54" xfId="0" applyNumberFormat="1" applyFont="1" applyFill="1" applyBorder="1" applyAlignment="1">
      <alignment horizontal="right"/>
    </xf>
    <xf numFmtId="49" fontId="69" fillId="0" borderId="80" xfId="0" applyNumberFormat="1" applyFont="1" applyBorder="1" applyAlignment="1">
      <alignment horizontal="right"/>
    </xf>
    <xf numFmtId="0" fontId="69" fillId="0" borderId="80" xfId="0" applyNumberFormat="1" applyFont="1" applyBorder="1"/>
    <xf numFmtId="49" fontId="69" fillId="0" borderId="80" xfId="213" applyNumberFormat="1" applyFont="1" applyBorder="1" applyAlignment="1">
      <alignment horizontal="right"/>
    </xf>
    <xf numFmtId="183" fontId="69" fillId="96" borderId="15" xfId="0" applyNumberFormat="1" applyFont="1" applyFill="1" applyBorder="1"/>
    <xf numFmtId="183" fontId="69" fillId="96" borderId="15" xfId="59" applyNumberFormat="1" applyFont="1" applyFill="1" applyBorder="1"/>
    <xf numFmtId="170" fontId="69" fillId="97" borderId="16" xfId="0" applyNumberFormat="1" applyFont="1" applyFill="1" applyBorder="1"/>
    <xf numFmtId="185" fontId="69" fillId="0" borderId="0" xfId="255" applyNumberFormat="1" applyFont="1" applyAlignment="1">
      <alignment horizontal="left" vertical="top"/>
    </xf>
    <xf numFmtId="191" fontId="69" fillId="0" borderId="0" xfId="1" applyNumberFormat="1" applyFont="1" applyFill="1"/>
    <xf numFmtId="165" fontId="69" fillId="0" borderId="0" xfId="59" applyNumberFormat="1" applyFont="1"/>
    <xf numFmtId="170" fontId="5" fillId="0" borderId="15" xfId="0" applyNumberFormat="1" applyFont="1" applyBorder="1" applyAlignment="1">
      <alignment horizontal="center"/>
    </xf>
    <xf numFmtId="183" fontId="69" fillId="0" borderId="173" xfId="59" applyNumberFormat="1" applyFont="1" applyBorder="1"/>
    <xf numFmtId="183" fontId="69" fillId="0" borderId="173" xfId="59" applyNumberFormat="1" applyFont="1" applyFill="1" applyBorder="1"/>
    <xf numFmtId="165" fontId="69" fillId="0" borderId="173" xfId="59" applyFont="1" applyBorder="1"/>
    <xf numFmtId="165" fontId="69" fillId="0" borderId="174" xfId="59" applyFont="1" applyBorder="1"/>
    <xf numFmtId="17" fontId="74" fillId="0" borderId="152" xfId="0" applyNumberFormat="1" applyFont="1" applyBorder="1" applyAlignment="1">
      <alignment horizontal="center"/>
    </xf>
    <xf numFmtId="17" fontId="74" fillId="0" borderId="153" xfId="0" applyNumberFormat="1" applyFont="1" applyBorder="1" applyAlignment="1">
      <alignment horizontal="center"/>
    </xf>
    <xf numFmtId="170" fontId="69" fillId="0" borderId="173" xfId="0" applyNumberFormat="1" applyFont="1" applyFill="1" applyBorder="1"/>
    <xf numFmtId="183" fontId="69" fillId="63" borderId="15" xfId="59" applyNumberFormat="1" applyFont="1" applyFill="1" applyBorder="1"/>
    <xf numFmtId="183" fontId="69" fillId="63" borderId="174" xfId="59" applyNumberFormat="1" applyFont="1" applyFill="1" applyBorder="1"/>
    <xf numFmtId="0" fontId="69" fillId="0" borderId="172" xfId="213" applyNumberFormat="1" applyFont="1" applyFill="1" applyBorder="1" applyAlignment="1">
      <alignment horizontal="left"/>
    </xf>
    <xf numFmtId="49" fontId="69" fillId="0" borderId="173" xfId="213" applyNumberFormat="1" applyFont="1" applyFill="1" applyBorder="1" applyAlignment="1">
      <alignment horizontal="left"/>
    </xf>
    <xf numFmtId="202" fontId="69" fillId="63" borderId="0" xfId="59" applyNumberFormat="1" applyFont="1" applyFill="1" applyBorder="1"/>
    <xf numFmtId="0" fontId="69" fillId="0" borderId="28" xfId="0" applyNumberFormat="1" applyFont="1" applyFill="1" applyBorder="1"/>
    <xf numFmtId="0" fontId="69" fillId="0" borderId="31" xfId="0" applyNumberFormat="1" applyFont="1" applyFill="1" applyBorder="1"/>
    <xf numFmtId="174" fontId="69" fillId="63" borderId="55" xfId="0" applyNumberFormat="1" applyFont="1" applyFill="1" applyBorder="1"/>
    <xf numFmtId="174" fontId="69" fillId="63" borderId="174" xfId="0" applyNumberFormat="1" applyFont="1" applyFill="1" applyBorder="1"/>
    <xf numFmtId="0" fontId="69" fillId="0" borderId="97" xfId="0" applyNumberFormat="1" applyFont="1" applyBorder="1" applyAlignment="1">
      <alignment horizontal="right"/>
    </xf>
    <xf numFmtId="170" fontId="69" fillId="0" borderId="173" xfId="1" applyNumberFormat="1" applyFont="1" applyBorder="1" applyAlignment="1">
      <alignment horizontal="right"/>
    </xf>
    <xf numFmtId="17" fontId="74" fillId="0" borderId="82" xfId="0" applyNumberFormat="1" applyFont="1" applyBorder="1"/>
    <xf numFmtId="17" fontId="74" fillId="0" borderId="60" xfId="0" applyNumberFormat="1" applyFont="1" applyBorder="1"/>
    <xf numFmtId="17" fontId="74" fillId="0" borderId="83" xfId="0" applyNumberFormat="1" applyFont="1" applyBorder="1"/>
    <xf numFmtId="170" fontId="69" fillId="0" borderId="194" xfId="0" applyNumberFormat="1" applyFont="1" applyBorder="1"/>
    <xf numFmtId="165" fontId="69" fillId="0" borderId="177" xfId="59" applyFont="1" applyBorder="1"/>
    <xf numFmtId="183" fontId="69" fillId="0" borderId="195" xfId="59" applyNumberFormat="1" applyFont="1" applyBorder="1"/>
    <xf numFmtId="174" fontId="69" fillId="0" borderId="173" xfId="0" applyNumberFormat="1" applyFont="1" applyBorder="1"/>
    <xf numFmtId="170" fontId="74" fillId="63" borderId="0" xfId="0" applyNumberFormat="1" applyFont="1" applyFill="1"/>
    <xf numFmtId="170" fontId="69" fillId="0" borderId="153" xfId="1" applyNumberFormat="1" applyFont="1" applyBorder="1"/>
    <xf numFmtId="188" fontId="69" fillId="0" borderId="172" xfId="128" applyFont="1" applyBorder="1"/>
    <xf numFmtId="188" fontId="69" fillId="0" borderId="173" xfId="128" applyFont="1" applyBorder="1"/>
    <xf numFmtId="183" fontId="120" fillId="0" borderId="173" xfId="59" applyNumberFormat="1" applyFont="1" applyBorder="1"/>
    <xf numFmtId="183" fontId="120" fillId="0" borderId="174" xfId="59" applyNumberFormat="1" applyFont="1" applyBorder="1"/>
    <xf numFmtId="170" fontId="4" fillId="0" borderId="28" xfId="5" applyNumberFormat="1" applyFont="1" applyFill="1" applyBorder="1" applyAlignment="1" applyProtection="1">
      <alignment horizontal="center" vertical="top" wrapText="1"/>
    </xf>
    <xf numFmtId="170" fontId="69" fillId="63" borderId="16" xfId="213" applyFont="1" applyFill="1" applyBorder="1" applyAlignment="1">
      <alignment horizontal="right"/>
    </xf>
    <xf numFmtId="179" fontId="69" fillId="0" borderId="25" xfId="59" applyNumberFormat="1" applyFont="1" applyFill="1" applyBorder="1" applyAlignment="1">
      <alignment horizontal="right"/>
    </xf>
    <xf numFmtId="170" fontId="69" fillId="0" borderId="19" xfId="1" applyNumberFormat="1" applyFont="1" applyFill="1" applyBorder="1" applyProtection="1"/>
    <xf numFmtId="170" fontId="69" fillId="0" borderId="173" xfId="5" applyNumberFormat="1" applyFont="1" applyFill="1" applyBorder="1" applyProtection="1"/>
    <xf numFmtId="170" fontId="69" fillId="63" borderId="107" xfId="213" applyFont="1" applyFill="1" applyBorder="1" applyAlignment="1">
      <alignment horizontal="right"/>
    </xf>
    <xf numFmtId="188" fontId="3" fillId="0" borderId="16" xfId="0" applyFont="1" applyBorder="1"/>
    <xf numFmtId="170" fontId="125" fillId="0" borderId="0" xfId="1" applyNumberFormat="1" applyFont="1" applyFill="1"/>
    <xf numFmtId="170" fontId="209" fillId="0" borderId="0" xfId="1" applyNumberFormat="1" applyFont="1" applyFill="1"/>
    <xf numFmtId="170" fontId="69" fillId="0" borderId="183" xfId="1" applyNumberFormat="1" applyFont="1" applyFill="1" applyBorder="1" applyProtection="1"/>
    <xf numFmtId="170" fontId="69" fillId="0" borderId="154" xfId="1" applyNumberFormat="1" applyFont="1" applyFill="1" applyBorder="1" applyProtection="1"/>
    <xf numFmtId="165" fontId="133" fillId="0" borderId="66" xfId="59" applyNumberFormat="1" applyFont="1" applyFill="1" applyBorder="1"/>
    <xf numFmtId="174" fontId="74" fillId="0" borderId="22" xfId="1" applyNumberFormat="1" applyFont="1" applyFill="1" applyBorder="1" applyAlignment="1">
      <alignment horizontal="right"/>
    </xf>
    <xf numFmtId="174" fontId="69" fillId="0" borderId="0" xfId="59" applyNumberFormat="1" applyFont="1" applyFill="1" applyAlignment="1">
      <alignment horizontal="right"/>
    </xf>
    <xf numFmtId="174" fontId="69" fillId="0" borderId="0" xfId="59" applyNumberFormat="1" applyFont="1" applyAlignment="1">
      <alignment horizontal="right"/>
    </xf>
    <xf numFmtId="174" fontId="69" fillId="0" borderId="141" xfId="59" applyNumberFormat="1" applyFont="1" applyFill="1" applyBorder="1" applyAlignment="1">
      <alignment horizontal="right"/>
    </xf>
    <xf numFmtId="174" fontId="69" fillId="0" borderId="107" xfId="59" applyNumberFormat="1" applyFont="1" applyFill="1" applyBorder="1" applyAlignment="1">
      <alignment horizontal="right"/>
    </xf>
    <xf numFmtId="174" fontId="69" fillId="0" borderId="28" xfId="59" applyNumberFormat="1" applyFont="1" applyFill="1" applyBorder="1" applyAlignment="1">
      <alignment horizontal="right"/>
    </xf>
    <xf numFmtId="174" fontId="69" fillId="0" borderId="154" xfId="59" applyNumberFormat="1" applyFont="1" applyFill="1" applyBorder="1" applyAlignment="1">
      <alignment horizontal="right"/>
    </xf>
    <xf numFmtId="174" fontId="69" fillId="0" borderId="0" xfId="59" applyNumberFormat="1" applyFont="1" applyFill="1" applyAlignment="1">
      <alignment horizontal="right" vertical="center"/>
    </xf>
    <xf numFmtId="174" fontId="69" fillId="0" borderId="0" xfId="59" applyNumberFormat="1" applyFont="1" applyBorder="1" applyAlignment="1">
      <alignment horizontal="right"/>
    </xf>
    <xf numFmtId="174" fontId="69" fillId="0" borderId="0" xfId="209" applyNumberFormat="1" applyFont="1" applyBorder="1" applyAlignment="1">
      <alignment horizontal="right"/>
    </xf>
    <xf numFmtId="174" fontId="69" fillId="0" borderId="0" xfId="59" applyNumberFormat="1" applyFont="1" applyBorder="1"/>
    <xf numFmtId="174" fontId="69" fillId="0" borderId="0" xfId="1" applyNumberFormat="1" applyFont="1" applyBorder="1" applyAlignment="1">
      <alignment horizontal="right"/>
    </xf>
    <xf numFmtId="170" fontId="74" fillId="0" borderId="54" xfId="0" applyNumberFormat="1" applyFont="1" applyBorder="1"/>
    <xf numFmtId="188" fontId="74" fillId="0" borderId="0" xfId="0" applyFont="1" applyFill="1" applyBorder="1" applyAlignment="1">
      <alignment horizontal="center" vertical="center"/>
    </xf>
    <xf numFmtId="188" fontId="69" fillId="33" borderId="16" xfId="128" applyFont="1" applyFill="1" applyBorder="1"/>
    <xf numFmtId="170" fontId="74" fillId="63" borderId="0" xfId="0" applyNumberFormat="1" applyFont="1" applyFill="1" applyBorder="1" applyAlignment="1">
      <alignment horizontal="center" vertical="center"/>
    </xf>
    <xf numFmtId="170" fontId="69" fillId="98" borderId="0" xfId="0" applyNumberFormat="1" applyFont="1" applyFill="1" applyBorder="1"/>
    <xf numFmtId="170" fontId="69" fillId="98" borderId="129" xfId="0" applyNumberFormat="1" applyFont="1" applyFill="1" applyBorder="1"/>
    <xf numFmtId="170" fontId="69" fillId="98" borderId="0" xfId="0" applyNumberFormat="1" applyFont="1" applyFill="1"/>
    <xf numFmtId="170" fontId="69" fillId="98" borderId="159" xfId="0" applyNumberFormat="1" applyFont="1" applyFill="1" applyBorder="1"/>
    <xf numFmtId="185" fontId="74" fillId="63" borderId="47" xfId="255" applyNumberFormat="1" applyFont="1" applyFill="1" applyBorder="1"/>
    <xf numFmtId="174" fontId="69" fillId="63" borderId="28" xfId="1" applyNumberFormat="1" applyFont="1" applyFill="1" applyBorder="1" applyProtection="1"/>
    <xf numFmtId="170" fontId="69" fillId="63" borderId="28" xfId="1" applyNumberFormat="1" applyFont="1" applyFill="1" applyBorder="1" applyAlignment="1" applyProtection="1">
      <alignment vertical="center"/>
    </xf>
    <xf numFmtId="170" fontId="69" fillId="63" borderId="28" xfId="1" applyNumberFormat="1" applyFont="1" applyFill="1" applyBorder="1" applyProtection="1"/>
    <xf numFmtId="170" fontId="69" fillId="63" borderId="31" xfId="1" applyNumberFormat="1" applyFont="1" applyFill="1" applyBorder="1" applyProtection="1"/>
    <xf numFmtId="170" fontId="69" fillId="99" borderId="28" xfId="1" applyNumberFormat="1" applyFont="1" applyFill="1" applyBorder="1" applyAlignment="1" applyProtection="1">
      <alignment vertical="center"/>
    </xf>
    <xf numFmtId="170" fontId="69" fillId="99" borderId="28" xfId="1" applyNumberFormat="1" applyFont="1" applyFill="1" applyBorder="1" applyProtection="1"/>
    <xf numFmtId="174" fontId="69" fillId="99" borderId="28" xfId="1" applyNumberFormat="1" applyFont="1" applyFill="1" applyBorder="1" applyAlignment="1" applyProtection="1">
      <alignment vertical="center"/>
    </xf>
    <xf numFmtId="174" fontId="69" fillId="99" borderId="28" xfId="1" applyNumberFormat="1" applyFont="1" applyFill="1" applyBorder="1" applyProtection="1"/>
    <xf numFmtId="165" fontId="69" fillId="99" borderId="28" xfId="59" applyFont="1" applyFill="1" applyBorder="1" applyProtection="1"/>
    <xf numFmtId="170" fontId="69" fillId="0" borderId="174" xfId="0" applyNumberFormat="1" applyFont="1" applyBorder="1"/>
    <xf numFmtId="0" fontId="2" fillId="0" borderId="28" xfId="213" applyNumberFormat="1" applyFont="1" applyFill="1" applyBorder="1" applyAlignment="1">
      <alignment horizontal="center"/>
    </xf>
    <xf numFmtId="206" fontId="69" fillId="0" borderId="15" xfId="255" applyNumberFormat="1" applyFont="1" applyFill="1" applyBorder="1"/>
    <xf numFmtId="206" fontId="69" fillId="0" borderId="15" xfId="255" applyNumberFormat="1" applyFont="1" applyBorder="1"/>
    <xf numFmtId="206" fontId="69" fillId="0" borderId="150" xfId="255" applyNumberFormat="1" applyFont="1" applyBorder="1"/>
    <xf numFmtId="170" fontId="69" fillId="0" borderId="19" xfId="0" applyNumberFormat="1" applyFont="1" applyBorder="1" applyAlignment="1">
      <alignment horizontal="right"/>
    </xf>
    <xf numFmtId="170" fontId="74" fillId="0" borderId="15" xfId="0" applyNumberFormat="1" applyFont="1" applyBorder="1"/>
    <xf numFmtId="170" fontId="69" fillId="0" borderId="173" xfId="0" applyNumberFormat="1" applyFont="1" applyBorder="1" applyAlignment="1">
      <alignment horizontal="right"/>
    </xf>
    <xf numFmtId="170" fontId="74" fillId="0" borderId="15" xfId="0" applyNumberFormat="1" applyFont="1" applyBorder="1" applyAlignment="1">
      <alignment horizontal="center"/>
    </xf>
    <xf numFmtId="170" fontId="69" fillId="100" borderId="0" xfId="0" applyNumberFormat="1" applyFont="1" applyFill="1"/>
    <xf numFmtId="170" fontId="117" fillId="0" borderId="0" xfId="0" applyNumberFormat="1" applyFont="1" applyAlignment="1">
      <alignment horizontal="right"/>
    </xf>
    <xf numFmtId="170" fontId="69" fillId="0" borderId="153" xfId="0" applyNumberFormat="1" applyFont="1" applyBorder="1"/>
    <xf numFmtId="191" fontId="69" fillId="0" borderId="0" xfId="0" applyNumberFormat="1" applyFont="1"/>
    <xf numFmtId="185" fontId="74" fillId="0" borderId="193" xfId="255" applyNumberFormat="1" applyFont="1" applyBorder="1"/>
    <xf numFmtId="0" fontId="1" fillId="0" borderId="28" xfId="0" applyNumberFormat="1" applyFont="1" applyBorder="1" applyAlignment="1">
      <alignment horizontal="right"/>
    </xf>
    <xf numFmtId="170" fontId="1" fillId="0" borderId="28" xfId="213" applyFont="1" applyFill="1" applyBorder="1" applyAlignment="1">
      <alignment horizontal="right"/>
    </xf>
    <xf numFmtId="170" fontId="7" fillId="0" borderId="196" xfId="1" applyNumberFormat="1" applyFont="1" applyBorder="1"/>
    <xf numFmtId="170" fontId="7" fillId="0" borderId="197" xfId="1" applyNumberFormat="1" applyFont="1" applyBorder="1"/>
    <xf numFmtId="170" fontId="147" fillId="44" borderId="191" xfId="1" applyNumberFormat="1" applyFont="1" applyFill="1" applyBorder="1" applyProtection="1"/>
    <xf numFmtId="170" fontId="147" fillId="44" borderId="179" xfId="1" applyNumberFormat="1" applyFont="1" applyFill="1" applyBorder="1" applyProtection="1"/>
    <xf numFmtId="170" fontId="147" fillId="0" borderId="197" xfId="1" applyNumberFormat="1" applyFont="1" applyBorder="1"/>
    <xf numFmtId="183" fontId="147" fillId="41" borderId="30" xfId="59" applyNumberFormat="1" applyFont="1" applyFill="1" applyBorder="1" applyProtection="1"/>
    <xf numFmtId="183" fontId="7" fillId="41" borderId="28" xfId="59" applyNumberFormat="1" applyFont="1" applyFill="1" applyBorder="1" applyProtection="1"/>
    <xf numFmtId="183" fontId="147" fillId="41" borderId="33" xfId="59" applyNumberFormat="1" applyFont="1" applyFill="1" applyBorder="1" applyAlignment="1">
      <alignment horizontal="right"/>
    </xf>
    <xf numFmtId="174" fontId="7" fillId="41" borderId="28" xfId="1" applyNumberFormat="1" applyFont="1" applyFill="1" applyBorder="1" applyProtection="1"/>
    <xf numFmtId="170" fontId="7" fillId="41" borderId="28" xfId="1" applyNumberFormat="1" applyFont="1" applyFill="1" applyBorder="1" applyProtection="1"/>
    <xf numFmtId="49" fontId="121" fillId="0" borderId="0" xfId="128" applyNumberFormat="1" applyFont="1" applyAlignment="1">
      <alignment horizontal="right"/>
    </xf>
    <xf numFmtId="170" fontId="7" fillId="38" borderId="28" xfId="1" applyNumberFormat="1" applyFont="1" applyFill="1" applyBorder="1" applyProtection="1"/>
    <xf numFmtId="174" fontId="7" fillId="38" borderId="28" xfId="1" applyNumberFormat="1" applyFont="1" applyFill="1" applyBorder="1" applyProtection="1"/>
    <xf numFmtId="170" fontId="69" fillId="0" borderId="173" xfId="1" applyNumberFormat="1" applyFont="1" applyFill="1" applyBorder="1" applyAlignment="1">
      <alignment horizontal="right"/>
    </xf>
    <xf numFmtId="183" fontId="147" fillId="0" borderId="0" xfId="59" applyNumberFormat="1" applyFont="1"/>
    <xf numFmtId="170" fontId="76" fillId="0" borderId="15" xfId="0" applyNumberFormat="1" applyFont="1" applyBorder="1" applyAlignment="1">
      <alignment horizontal="center"/>
    </xf>
    <xf numFmtId="170" fontId="74" fillId="0" borderId="178" xfId="0" applyNumberFormat="1" applyFont="1" applyBorder="1"/>
    <xf numFmtId="170" fontId="74" fillId="0" borderId="193" xfId="0" applyNumberFormat="1" applyFont="1" applyBorder="1"/>
    <xf numFmtId="0" fontId="69" fillId="0" borderId="55" xfId="59" applyNumberFormat="1" applyFont="1" applyBorder="1" applyAlignment="1">
      <alignment horizontal="right"/>
    </xf>
    <xf numFmtId="170" fontId="74" fillId="34" borderId="0" xfId="0" applyNumberFormat="1" applyFont="1" applyFill="1" applyAlignment="1">
      <alignment horizontal="center"/>
    </xf>
    <xf numFmtId="1" fontId="147" fillId="34" borderId="0" xfId="5" applyNumberFormat="1" applyFont="1" applyFill="1" applyBorder="1"/>
    <xf numFmtId="170" fontId="76" fillId="0" borderId="16" xfId="1" applyNumberFormat="1" applyFont="1" applyBorder="1" applyAlignment="1">
      <alignment horizontal="center"/>
    </xf>
    <xf numFmtId="170" fontId="76" fillId="0" borderId="0" xfId="1" applyNumberFormat="1" applyFont="1" applyBorder="1" applyAlignment="1">
      <alignment horizontal="center"/>
    </xf>
    <xf numFmtId="170" fontId="76" fillId="0" borderId="15" xfId="1" applyNumberFormat="1" applyFont="1" applyBorder="1" applyAlignment="1">
      <alignment horizontal="center"/>
    </xf>
    <xf numFmtId="183" fontId="147" fillId="48" borderId="54" xfId="59" applyNumberFormat="1" applyFont="1" applyFill="1" applyBorder="1" applyAlignment="1">
      <alignment horizontal="center" vertical="center"/>
    </xf>
    <xf numFmtId="183" fontId="147" fillId="48" borderId="55" xfId="59" applyNumberFormat="1" applyFont="1" applyFill="1" applyBorder="1" applyAlignment="1">
      <alignment horizontal="center" vertical="center"/>
    </xf>
    <xf numFmtId="14" fontId="76" fillId="0" borderId="51" xfId="1" applyNumberFormat="1" applyFont="1" applyFill="1" applyBorder="1" applyAlignment="1" applyProtection="1">
      <alignment horizontal="center"/>
    </xf>
    <xf numFmtId="14" fontId="76" fillId="0" borderId="52" xfId="1" applyNumberFormat="1" applyFont="1" applyFill="1" applyBorder="1" applyAlignment="1" applyProtection="1">
      <alignment horizontal="center"/>
    </xf>
    <xf numFmtId="14" fontId="76" fillId="0" borderId="32" xfId="1" applyNumberFormat="1" applyFont="1" applyFill="1" applyBorder="1" applyAlignment="1" applyProtection="1">
      <alignment horizontal="center"/>
    </xf>
    <xf numFmtId="14" fontId="76" fillId="0" borderId="61" xfId="1" applyNumberFormat="1" applyFont="1" applyFill="1" applyBorder="1" applyAlignment="1" applyProtection="1">
      <alignment horizontal="center"/>
    </xf>
    <xf numFmtId="14" fontId="76" fillId="0" borderId="53" xfId="1" applyNumberFormat="1" applyFont="1" applyFill="1" applyBorder="1" applyAlignment="1" applyProtection="1">
      <alignment horizontal="center"/>
    </xf>
    <xf numFmtId="170" fontId="61" fillId="0" borderId="54" xfId="1" applyNumberFormat="1" applyFont="1" applyFill="1" applyBorder="1" applyAlignment="1" applyProtection="1">
      <alignment horizontal="right" vertical="center" wrapText="1"/>
    </xf>
    <xf numFmtId="170" fontId="61" fillId="0" borderId="55" xfId="1" applyNumberFormat="1" applyFont="1" applyFill="1" applyBorder="1" applyAlignment="1" applyProtection="1">
      <alignment horizontal="right" vertical="center" wrapText="1"/>
    </xf>
    <xf numFmtId="170" fontId="47" fillId="0" borderId="54" xfId="1" applyNumberFormat="1" applyFont="1" applyFill="1" applyBorder="1" applyAlignment="1" applyProtection="1">
      <alignment horizontal="center" vertical="center" wrapText="1"/>
    </xf>
    <xf numFmtId="170" fontId="61" fillId="0" borderId="80" xfId="1" applyNumberFormat="1" applyFont="1" applyFill="1" applyBorder="1" applyAlignment="1" applyProtection="1">
      <alignment horizontal="center" vertical="center" wrapText="1"/>
    </xf>
    <xf numFmtId="170" fontId="61" fillId="0" borderId="55" xfId="1" applyNumberFormat="1" applyFont="1" applyFill="1" applyBorder="1" applyAlignment="1" applyProtection="1">
      <alignment horizontal="center" vertical="center" wrapText="1"/>
    </xf>
    <xf numFmtId="170" fontId="47" fillId="0" borderId="54" xfId="1" applyNumberFormat="1" applyFont="1" applyFill="1" applyBorder="1" applyAlignment="1" applyProtection="1">
      <alignment horizontal="center" vertical="center"/>
    </xf>
    <xf numFmtId="170" fontId="47" fillId="0" borderId="80" xfId="1" applyNumberFormat="1" applyFont="1" applyFill="1" applyBorder="1" applyAlignment="1" applyProtection="1">
      <alignment horizontal="center" vertical="center"/>
    </xf>
    <xf numFmtId="170" fontId="47" fillId="0" borderId="55" xfId="1" applyNumberFormat="1" applyFont="1" applyFill="1" applyBorder="1" applyAlignment="1" applyProtection="1">
      <alignment horizontal="center" vertical="center"/>
    </xf>
    <xf numFmtId="183" fontId="147" fillId="48" borderId="54" xfId="59" applyNumberFormat="1" applyFont="1" applyFill="1" applyBorder="1" applyAlignment="1">
      <alignment horizontal="center" vertical="center" wrapText="1"/>
    </xf>
    <xf numFmtId="183" fontId="147" fillId="48" borderId="55" xfId="59" applyNumberFormat="1" applyFont="1" applyFill="1" applyBorder="1" applyAlignment="1">
      <alignment horizontal="center" vertical="center" wrapText="1"/>
    </xf>
    <xf numFmtId="183" fontId="74" fillId="48" borderId="54" xfId="59" applyNumberFormat="1" applyFont="1" applyFill="1" applyBorder="1" applyAlignment="1">
      <alignment horizontal="center" vertical="center" wrapText="1"/>
    </xf>
    <xf numFmtId="183" fontId="74" fillId="48" borderId="80" xfId="59" applyNumberFormat="1" applyFont="1" applyFill="1" applyBorder="1" applyAlignment="1">
      <alignment horizontal="center" vertical="center" wrapText="1"/>
    </xf>
    <xf numFmtId="183" fontId="74" fillId="48" borderId="55" xfId="59" applyNumberFormat="1" applyFont="1" applyFill="1" applyBorder="1" applyAlignment="1">
      <alignment horizontal="center" vertical="center" wrapText="1"/>
    </xf>
    <xf numFmtId="183" fontId="147" fillId="48" borderId="54" xfId="59" applyNumberFormat="1" applyFont="1" applyFill="1" applyBorder="1" applyAlignment="1">
      <alignment vertical="center"/>
    </xf>
    <xf numFmtId="183" fontId="147" fillId="48" borderId="55" xfId="59" applyNumberFormat="1" applyFont="1" applyFill="1" applyBorder="1" applyAlignment="1">
      <alignment vertical="center"/>
    </xf>
    <xf numFmtId="37" fontId="35" fillId="0" borderId="54" xfId="1" applyNumberFormat="1" applyFont="1" applyBorder="1" applyAlignment="1">
      <alignment horizontal="center" vertical="center"/>
    </xf>
    <xf numFmtId="37" fontId="35" fillId="0" borderId="55" xfId="1" applyNumberFormat="1" applyFont="1" applyBorder="1" applyAlignment="1">
      <alignment horizontal="center" vertical="center"/>
    </xf>
    <xf numFmtId="1" fontId="69" fillId="63" borderId="80" xfId="0" applyNumberFormat="1" applyFont="1" applyFill="1" applyBorder="1" applyAlignment="1">
      <alignment horizontal="center"/>
    </xf>
    <xf numFmtId="1" fontId="69" fillId="63" borderId="55" xfId="0" applyNumberFormat="1" applyFont="1" applyFill="1" applyBorder="1" applyAlignment="1">
      <alignment horizontal="center"/>
    </xf>
    <xf numFmtId="170" fontId="74" fillId="0" borderId="51" xfId="1" applyNumberFormat="1" applyFont="1" applyFill="1" applyBorder="1" applyAlignment="1">
      <alignment horizontal="center"/>
    </xf>
    <xf numFmtId="170" fontId="74" fillId="0" borderId="52" xfId="1" applyNumberFormat="1" applyFont="1" applyFill="1" applyBorder="1" applyAlignment="1">
      <alignment horizontal="center"/>
    </xf>
    <xf numFmtId="170" fontId="74" fillId="0" borderId="53" xfId="1" applyNumberFormat="1" applyFont="1" applyFill="1" applyBorder="1" applyAlignment="1">
      <alignment horizontal="center"/>
    </xf>
    <xf numFmtId="15" fontId="74" fillId="0" borderId="51" xfId="1" applyNumberFormat="1" applyFont="1" applyFill="1" applyBorder="1" applyAlignment="1">
      <alignment horizontal="center"/>
    </xf>
    <xf numFmtId="15" fontId="74" fillId="0" borderId="52" xfId="1" applyNumberFormat="1" applyFont="1" applyFill="1" applyBorder="1" applyAlignment="1">
      <alignment horizontal="center"/>
    </xf>
    <xf numFmtId="15" fontId="74" fillId="0" borderId="53" xfId="1" applyNumberFormat="1" applyFont="1" applyFill="1" applyBorder="1" applyAlignment="1">
      <alignment horizontal="center"/>
    </xf>
    <xf numFmtId="170" fontId="74" fillId="0" borderId="51" xfId="1" quotePrefix="1" applyNumberFormat="1" applyFont="1" applyFill="1" applyBorder="1" applyAlignment="1">
      <alignment horizontal="center"/>
    </xf>
    <xf numFmtId="170" fontId="74" fillId="0" borderId="52" xfId="1" quotePrefix="1" applyNumberFormat="1" applyFont="1" applyFill="1" applyBorder="1" applyAlignment="1">
      <alignment horizontal="center"/>
    </xf>
    <xf numFmtId="170" fontId="74" fillId="0" borderId="53" xfId="1" quotePrefix="1" applyNumberFormat="1" applyFont="1" applyFill="1" applyBorder="1" applyAlignment="1">
      <alignment horizontal="center"/>
    </xf>
    <xf numFmtId="170" fontId="146" fillId="63" borderId="54" xfId="0" applyNumberFormat="1" applyFont="1" applyFill="1" applyBorder="1" applyAlignment="1">
      <alignment horizontal="center"/>
    </xf>
    <xf numFmtId="170" fontId="146" fillId="63" borderId="55" xfId="0" applyNumberFormat="1" applyFont="1" applyFill="1" applyBorder="1" applyAlignment="1">
      <alignment horizontal="center"/>
    </xf>
    <xf numFmtId="170" fontId="146" fillId="63" borderId="80" xfId="0" applyNumberFormat="1" applyFont="1" applyFill="1" applyBorder="1" applyAlignment="1">
      <alignment horizontal="center"/>
    </xf>
    <xf numFmtId="1" fontId="69" fillId="63" borderId="54" xfId="0" applyNumberFormat="1" applyFont="1" applyFill="1" applyBorder="1" applyAlignment="1">
      <alignment horizontal="center"/>
    </xf>
    <xf numFmtId="170" fontId="159" fillId="63" borderId="54" xfId="0" applyNumberFormat="1" applyFont="1" applyFill="1" applyBorder="1" applyAlignment="1">
      <alignment horizontal="center"/>
    </xf>
    <xf numFmtId="170" fontId="159" fillId="63" borderId="55" xfId="0" applyNumberFormat="1" applyFont="1" applyFill="1" applyBorder="1" applyAlignment="1">
      <alignment horizontal="center"/>
    </xf>
    <xf numFmtId="170" fontId="159" fillId="63" borderId="80" xfId="0" applyNumberFormat="1" applyFont="1" applyFill="1" applyBorder="1" applyAlignment="1">
      <alignment horizontal="center"/>
    </xf>
    <xf numFmtId="170" fontId="74" fillId="0" borderId="54" xfId="1" applyNumberFormat="1" applyFont="1" applyFill="1" applyBorder="1" applyAlignment="1">
      <alignment horizontal="center" vertical="center"/>
    </xf>
    <xf numFmtId="170" fontId="74" fillId="0" borderId="80" xfId="1" applyNumberFormat="1" applyFont="1" applyFill="1" applyBorder="1" applyAlignment="1">
      <alignment horizontal="center" vertical="center"/>
    </xf>
    <xf numFmtId="170" fontId="74" fillId="0" borderId="55" xfId="1" applyNumberFormat="1" applyFont="1" applyFill="1" applyBorder="1" applyAlignment="1">
      <alignment horizontal="center" vertical="center"/>
    </xf>
    <xf numFmtId="170" fontId="147" fillId="0" borderId="54" xfId="1" applyNumberFormat="1" applyFont="1" applyFill="1" applyBorder="1" applyAlignment="1">
      <alignment horizontal="center" vertical="center" wrapText="1"/>
    </xf>
    <xf numFmtId="170" fontId="147" fillId="0" borderId="80" xfId="1" applyNumberFormat="1" applyFont="1" applyFill="1" applyBorder="1" applyAlignment="1">
      <alignment horizontal="center" vertical="center" wrapText="1"/>
    </xf>
    <xf numFmtId="170" fontId="147" fillId="0" borderId="55" xfId="1" applyNumberFormat="1" applyFont="1" applyFill="1" applyBorder="1" applyAlignment="1">
      <alignment horizontal="center" vertical="center" wrapText="1"/>
    </xf>
    <xf numFmtId="170" fontId="74" fillId="0" borderId="54" xfId="1" applyNumberFormat="1" applyFont="1" applyFill="1" applyBorder="1" applyAlignment="1">
      <alignment horizontal="center" vertical="center" wrapText="1"/>
    </xf>
    <xf numFmtId="170" fontId="74" fillId="0" borderId="80" xfId="1" applyNumberFormat="1" applyFont="1" applyFill="1" applyBorder="1" applyAlignment="1">
      <alignment horizontal="center" vertical="center" wrapText="1"/>
    </xf>
    <xf numFmtId="170" fontId="74" fillId="0" borderId="55" xfId="1" applyNumberFormat="1" applyFont="1" applyFill="1" applyBorder="1" applyAlignment="1">
      <alignment horizontal="center" vertical="center" wrapText="1"/>
    </xf>
    <xf numFmtId="1" fontId="69" fillId="63" borderId="75" xfId="0" applyNumberFormat="1" applyFont="1" applyFill="1" applyBorder="1" applyAlignment="1">
      <alignment horizontal="center"/>
    </xf>
    <xf numFmtId="1" fontId="69" fillId="63" borderId="77" xfId="0" applyNumberFormat="1" applyFont="1" applyFill="1" applyBorder="1" applyAlignment="1">
      <alignment horizontal="center"/>
    </xf>
    <xf numFmtId="174" fontId="74" fillId="0" borderId="54" xfId="1" applyNumberFormat="1" applyFont="1" applyFill="1" applyBorder="1" applyAlignment="1">
      <alignment horizontal="center" vertical="center"/>
    </xf>
    <xf numFmtId="174" fontId="74" fillId="0" borderId="80" xfId="1" applyNumberFormat="1" applyFont="1" applyFill="1" applyBorder="1" applyAlignment="1">
      <alignment horizontal="center" vertical="center"/>
    </xf>
    <xf numFmtId="174" fontId="74" fillId="0" borderId="55" xfId="1" applyNumberFormat="1" applyFont="1" applyFill="1" applyBorder="1" applyAlignment="1">
      <alignment horizontal="center" vertical="center"/>
    </xf>
    <xf numFmtId="170" fontId="74" fillId="0" borderId="54" xfId="1" applyNumberFormat="1" applyFont="1" applyBorder="1" applyAlignment="1">
      <alignment horizontal="center" vertical="center" wrapText="1"/>
    </xf>
    <xf numFmtId="170" fontId="74" fillId="0" borderId="80" xfId="1" applyNumberFormat="1" applyFont="1" applyBorder="1" applyAlignment="1">
      <alignment horizontal="center" vertical="center" wrapText="1"/>
    </xf>
    <xf numFmtId="170" fontId="74" fillId="0" borderId="55" xfId="1" applyNumberFormat="1" applyFont="1" applyBorder="1" applyAlignment="1">
      <alignment horizontal="center" vertical="center" wrapText="1"/>
    </xf>
    <xf numFmtId="170" fontId="74" fillId="0" borderId="54" xfId="1" applyNumberFormat="1" applyFont="1" applyBorder="1" applyAlignment="1">
      <alignment horizontal="center" vertical="center"/>
    </xf>
    <xf numFmtId="170" fontId="74" fillId="0" borderId="80" xfId="1" applyNumberFormat="1" applyFont="1" applyBorder="1" applyAlignment="1">
      <alignment horizontal="center" vertical="center"/>
    </xf>
    <xf numFmtId="170" fontId="74" fillId="0" borderId="55" xfId="1" applyNumberFormat="1" applyFont="1" applyBorder="1" applyAlignment="1">
      <alignment horizontal="center" vertical="center"/>
    </xf>
    <xf numFmtId="176" fontId="74" fillId="0" borderId="54" xfId="1" applyNumberFormat="1" applyFont="1" applyFill="1" applyBorder="1" applyAlignment="1">
      <alignment horizontal="center" vertical="center"/>
    </xf>
    <xf numFmtId="176" fontId="74" fillId="0" borderId="80" xfId="1" applyNumberFormat="1" applyFont="1" applyFill="1" applyBorder="1" applyAlignment="1">
      <alignment horizontal="center" vertical="center"/>
    </xf>
    <xf numFmtId="176" fontId="74" fillId="0" borderId="55" xfId="1" applyNumberFormat="1" applyFont="1" applyFill="1" applyBorder="1" applyAlignment="1">
      <alignment horizontal="center" vertical="center"/>
    </xf>
    <xf numFmtId="0" fontId="69" fillId="0" borderId="66" xfId="213" applyNumberFormat="1" applyFont="1" applyBorder="1" applyAlignment="1">
      <alignment horizontal="center" vertical="center"/>
    </xf>
    <xf numFmtId="0" fontId="69" fillId="0" borderId="35" xfId="213" applyNumberFormat="1" applyFont="1" applyBorder="1" applyAlignment="1">
      <alignment horizontal="center" vertical="center"/>
    </xf>
    <xf numFmtId="170" fontId="74" fillId="44" borderId="54" xfId="1" applyNumberFormat="1" applyFont="1" applyFill="1" applyBorder="1" applyAlignment="1">
      <alignment horizontal="center" vertical="center"/>
    </xf>
    <xf numFmtId="170" fontId="74" fillId="44" borderId="80" xfId="1" applyNumberFormat="1" applyFont="1" applyFill="1" applyBorder="1" applyAlignment="1">
      <alignment horizontal="center" vertical="center"/>
    </xf>
    <xf numFmtId="170" fontId="74" fillId="44" borderId="55" xfId="1" applyNumberFormat="1" applyFont="1" applyFill="1" applyBorder="1" applyAlignment="1">
      <alignment horizontal="center" vertical="center"/>
    </xf>
    <xf numFmtId="170" fontId="69" fillId="63" borderId="22" xfId="1" applyNumberFormat="1" applyFont="1" applyFill="1" applyBorder="1" applyAlignment="1">
      <alignment horizontal="center"/>
    </xf>
    <xf numFmtId="170" fontId="69" fillId="63" borderId="16" xfId="1" applyNumberFormat="1" applyFont="1" applyFill="1" applyBorder="1" applyAlignment="1">
      <alignment horizontal="center"/>
    </xf>
    <xf numFmtId="170" fontId="69" fillId="63" borderId="172" xfId="1" applyNumberFormat="1" applyFont="1" applyFill="1" applyBorder="1" applyAlignment="1">
      <alignment horizontal="center"/>
    </xf>
    <xf numFmtId="1" fontId="69" fillId="63" borderId="37" xfId="0" applyNumberFormat="1" applyFont="1" applyFill="1" applyBorder="1" applyAlignment="1">
      <alignment horizontal="center"/>
    </xf>
    <xf numFmtId="1" fontId="69" fillId="63" borderId="67" xfId="0" applyNumberFormat="1" applyFont="1" applyFill="1" applyBorder="1" applyAlignment="1">
      <alignment horizontal="center"/>
    </xf>
    <xf numFmtId="1" fontId="69" fillId="63" borderId="54" xfId="0" applyNumberFormat="1" applyFont="1" applyFill="1" applyBorder="1" applyAlignment="1">
      <alignment horizontal="center" vertical="center"/>
    </xf>
    <xf numFmtId="1" fontId="69" fillId="63" borderId="55" xfId="0" applyNumberFormat="1" applyFont="1" applyFill="1" applyBorder="1" applyAlignment="1">
      <alignment horizontal="center" vertical="center"/>
    </xf>
    <xf numFmtId="1" fontId="69" fillId="34" borderId="54" xfId="0" applyNumberFormat="1" applyFont="1" applyFill="1" applyBorder="1" applyAlignment="1">
      <alignment horizontal="center"/>
    </xf>
    <xf numFmtId="1" fontId="69" fillId="34" borderId="80" xfId="0" applyNumberFormat="1" applyFont="1" applyFill="1" applyBorder="1" applyAlignment="1">
      <alignment horizontal="center"/>
    </xf>
    <xf numFmtId="1" fontId="69" fillId="34" borderId="55" xfId="0" applyNumberFormat="1" applyFont="1" applyFill="1" applyBorder="1" applyAlignment="1">
      <alignment horizontal="center"/>
    </xf>
    <xf numFmtId="170" fontId="181" fillId="96" borderId="22" xfId="0" applyNumberFormat="1" applyFont="1" applyFill="1" applyBorder="1" applyAlignment="1">
      <alignment horizontal="center"/>
    </xf>
    <xf numFmtId="170" fontId="181" fillId="96" borderId="16" xfId="0" applyNumberFormat="1" applyFont="1" applyFill="1" applyBorder="1" applyAlignment="1">
      <alignment horizontal="center"/>
    </xf>
    <xf numFmtId="170" fontId="181" fillId="96" borderId="172" xfId="0" applyNumberFormat="1" applyFont="1" applyFill="1" applyBorder="1" applyAlignment="1">
      <alignment horizontal="center"/>
    </xf>
    <xf numFmtId="1" fontId="69" fillId="63" borderId="76" xfId="0" applyNumberFormat="1" applyFont="1" applyFill="1" applyBorder="1" applyAlignment="1">
      <alignment horizontal="center"/>
    </xf>
    <xf numFmtId="170" fontId="124" fillId="0" borderId="18" xfId="0" quotePrefix="1" applyNumberFormat="1" applyFont="1" applyBorder="1" applyAlignment="1">
      <alignment horizontal="center" wrapText="1"/>
    </xf>
    <xf numFmtId="170" fontId="124" fillId="0" borderId="52" xfId="0" quotePrefix="1" applyNumberFormat="1" applyFont="1" applyBorder="1" applyAlignment="1">
      <alignment horizontal="center" wrapText="1"/>
    </xf>
    <xf numFmtId="9" fontId="168" fillId="0" borderId="16" xfId="218" applyFont="1" applyBorder="1" applyAlignment="1">
      <alignment horizontal="center" wrapText="1"/>
    </xf>
    <xf numFmtId="9" fontId="168" fillId="0" borderId="0" xfId="218" applyFont="1" applyBorder="1" applyAlignment="1">
      <alignment horizontal="center" wrapText="1"/>
    </xf>
    <xf numFmtId="9" fontId="169" fillId="0" borderId="16" xfId="218" applyFont="1" applyBorder="1" applyAlignment="1">
      <alignment horizontal="center" wrapText="1"/>
    </xf>
    <xf numFmtId="9" fontId="169" fillId="0" borderId="0" xfId="218" applyFont="1" applyBorder="1" applyAlignment="1">
      <alignment horizontal="center" wrapText="1"/>
    </xf>
    <xf numFmtId="170" fontId="117" fillId="0" borderId="0" xfId="0" applyNumberFormat="1" applyFont="1" applyBorder="1" applyAlignment="1">
      <alignment horizontal="center" wrapText="1"/>
    </xf>
    <xf numFmtId="170" fontId="74" fillId="0" borderId="51" xfId="0" applyNumberFormat="1" applyFont="1" applyBorder="1" applyAlignment="1">
      <alignment horizontal="center"/>
    </xf>
    <xf numFmtId="170" fontId="74" fillId="0" borderId="53" xfId="0" applyNumberFormat="1" applyFont="1" applyBorder="1" applyAlignment="1">
      <alignment horizontal="center"/>
    </xf>
    <xf numFmtId="0" fontId="158" fillId="0" borderId="51" xfId="0" applyNumberFormat="1" applyFont="1" applyBorder="1" applyAlignment="1">
      <alignment horizontal="center"/>
    </xf>
    <xf numFmtId="0" fontId="158" fillId="0" borderId="53" xfId="0" applyNumberFormat="1" applyFont="1" applyBorder="1" applyAlignment="1">
      <alignment horizontal="center"/>
    </xf>
    <xf numFmtId="188" fontId="147" fillId="0" borderId="51" xfId="0" applyFont="1" applyBorder="1" applyAlignment="1">
      <alignment horizontal="center"/>
    </xf>
    <xf numFmtId="188" fontId="147" fillId="0" borderId="53" xfId="0" applyFont="1" applyBorder="1" applyAlignment="1">
      <alignment horizontal="center"/>
    </xf>
    <xf numFmtId="170" fontId="74" fillId="0" borderId="51" xfId="0" applyNumberFormat="1" applyFont="1" applyBorder="1" applyAlignment="1">
      <alignment horizontal="center" wrapText="1"/>
    </xf>
    <xf numFmtId="170" fontId="74" fillId="0" borderId="52" xfId="0" applyNumberFormat="1" applyFont="1" applyBorder="1" applyAlignment="1">
      <alignment horizontal="center" wrapText="1"/>
    </xf>
    <xf numFmtId="170" fontId="74" fillId="0" borderId="53" xfId="0" applyNumberFormat="1" applyFont="1" applyBorder="1" applyAlignment="1">
      <alignment horizontal="center" wrapText="1"/>
    </xf>
    <xf numFmtId="170" fontId="147" fillId="0" borderId="51" xfId="0" applyNumberFormat="1" applyFont="1" applyBorder="1" applyAlignment="1">
      <alignment horizontal="center" wrapText="1"/>
    </xf>
    <xf numFmtId="170" fontId="147" fillId="0" borderId="52" xfId="0" applyNumberFormat="1" applyFont="1" applyBorder="1" applyAlignment="1">
      <alignment horizontal="center" wrapText="1"/>
    </xf>
    <xf numFmtId="170" fontId="147" fillId="0" borderId="53" xfId="0" applyNumberFormat="1" applyFont="1" applyBorder="1" applyAlignment="1">
      <alignment horizontal="center" wrapText="1"/>
    </xf>
    <xf numFmtId="0" fontId="147" fillId="44" borderId="51" xfId="0" applyNumberFormat="1" applyFont="1" applyFill="1" applyBorder="1" applyAlignment="1">
      <alignment horizontal="center" wrapText="1"/>
    </xf>
    <xf numFmtId="0" fontId="147" fillId="44" borderId="52" xfId="0" applyNumberFormat="1" applyFont="1" applyFill="1" applyBorder="1" applyAlignment="1">
      <alignment horizontal="center" wrapText="1"/>
    </xf>
    <xf numFmtId="0" fontId="147" fillId="44" borderId="53" xfId="0" applyNumberFormat="1" applyFont="1" applyFill="1" applyBorder="1" applyAlignment="1">
      <alignment horizontal="center" wrapText="1"/>
    </xf>
    <xf numFmtId="170" fontId="74" fillId="0" borderId="51" xfId="0" applyNumberFormat="1" applyFont="1" applyFill="1" applyBorder="1" applyAlignment="1">
      <alignment horizontal="center" wrapText="1"/>
    </xf>
    <xf numFmtId="170" fontId="74" fillId="0" borderId="52" xfId="0" applyNumberFormat="1" applyFont="1" applyFill="1" applyBorder="1" applyAlignment="1">
      <alignment horizontal="center" wrapText="1"/>
    </xf>
    <xf numFmtId="170" fontId="74" fillId="0" borderId="53" xfId="0" applyNumberFormat="1" applyFont="1" applyFill="1" applyBorder="1" applyAlignment="1">
      <alignment horizontal="center" wrapText="1"/>
    </xf>
    <xf numFmtId="0" fontId="147" fillId="44" borderId="51" xfId="0" applyNumberFormat="1" applyFont="1" applyFill="1" applyBorder="1" applyAlignment="1">
      <alignment horizontal="center"/>
    </xf>
    <xf numFmtId="0" fontId="147" fillId="44" borderId="52" xfId="0" applyNumberFormat="1" applyFont="1" applyFill="1" applyBorder="1" applyAlignment="1">
      <alignment horizontal="center"/>
    </xf>
    <xf numFmtId="0" fontId="147" fillId="44" borderId="53" xfId="0" applyNumberFormat="1" applyFont="1" applyFill="1" applyBorder="1" applyAlignment="1">
      <alignment horizontal="center"/>
    </xf>
    <xf numFmtId="170" fontId="74" fillId="0" borderId="82" xfId="0" applyNumberFormat="1" applyFont="1" applyFill="1" applyBorder="1" applyAlignment="1">
      <alignment horizontal="center"/>
    </xf>
    <xf numFmtId="170" fontId="74" fillId="0" borderId="60" xfId="0" applyNumberFormat="1" applyFont="1" applyFill="1" applyBorder="1" applyAlignment="1">
      <alignment horizontal="center"/>
    </xf>
    <xf numFmtId="170" fontId="74" fillId="0" borderId="83" xfId="0" applyNumberFormat="1" applyFont="1" applyFill="1" applyBorder="1" applyAlignment="1">
      <alignment horizontal="center"/>
    </xf>
    <xf numFmtId="188" fontId="149" fillId="0" borderId="18" xfId="5" applyFont="1" applyFill="1" applyBorder="1" applyAlignment="1">
      <alignment horizontal="center"/>
    </xf>
    <xf numFmtId="170" fontId="76" fillId="44" borderId="22" xfId="0" applyNumberFormat="1" applyFont="1" applyFill="1" applyBorder="1" applyAlignment="1">
      <alignment horizontal="center"/>
    </xf>
    <xf numFmtId="170" fontId="76" fillId="44" borderId="19" xfId="0" applyNumberFormat="1" applyFont="1" applyFill="1" applyBorder="1" applyAlignment="1">
      <alignment horizontal="center"/>
    </xf>
    <xf numFmtId="170" fontId="76" fillId="44" borderId="23" xfId="0" applyNumberFormat="1" applyFont="1" applyFill="1" applyBorder="1" applyAlignment="1">
      <alignment horizontal="center"/>
    </xf>
    <xf numFmtId="170" fontId="76" fillId="44" borderId="51" xfId="0" applyNumberFormat="1" applyFont="1" applyFill="1" applyBorder="1" applyAlignment="1">
      <alignment horizontal="center"/>
    </xf>
    <xf numFmtId="170" fontId="76" fillId="44" borderId="52" xfId="0" applyNumberFormat="1" applyFont="1" applyFill="1" applyBorder="1" applyAlignment="1">
      <alignment horizontal="center"/>
    </xf>
    <xf numFmtId="170" fontId="76" fillId="44" borderId="53" xfId="0" applyNumberFormat="1" applyFont="1" applyFill="1" applyBorder="1" applyAlignment="1">
      <alignment horizontal="center"/>
    </xf>
    <xf numFmtId="170" fontId="69" fillId="0" borderId="0" xfId="214" applyFont="1" applyAlignment="1">
      <alignment horizontal="center"/>
    </xf>
    <xf numFmtId="170" fontId="76" fillId="0" borderId="51" xfId="1" applyNumberFormat="1" applyFont="1" applyBorder="1" applyAlignment="1">
      <alignment horizontal="center"/>
    </xf>
    <xf numFmtId="170" fontId="76" fillId="0" borderId="52" xfId="1" applyNumberFormat="1" applyFont="1" applyBorder="1" applyAlignment="1">
      <alignment horizontal="center"/>
    </xf>
    <xf numFmtId="170" fontId="76" fillId="0" borderId="53" xfId="1" applyNumberFormat="1" applyFont="1" applyBorder="1" applyAlignment="1">
      <alignment horizontal="center"/>
    </xf>
    <xf numFmtId="170" fontId="49" fillId="0" borderId="28" xfId="213" applyFont="1" applyFill="1" applyBorder="1" applyAlignment="1">
      <alignment horizontal="center" vertical="center" wrapText="1"/>
    </xf>
    <xf numFmtId="1" fontId="76" fillId="24" borderId="37" xfId="1" applyNumberFormat="1" applyFont="1" applyFill="1" applyBorder="1" applyAlignment="1">
      <alignment horizontal="right"/>
    </xf>
    <xf numFmtId="1" fontId="76" fillId="24" borderId="19" xfId="1" applyNumberFormat="1" applyFont="1" applyFill="1" applyBorder="1" applyAlignment="1">
      <alignment horizontal="right"/>
    </xf>
    <xf numFmtId="1" fontId="76" fillId="24" borderId="66" xfId="1" applyNumberFormat="1" applyFont="1" applyFill="1" applyBorder="1" applyAlignment="1">
      <alignment horizontal="right"/>
    </xf>
    <xf numFmtId="14" fontId="76" fillId="24" borderId="51" xfId="1" applyNumberFormat="1" applyFont="1" applyFill="1" applyBorder="1" applyAlignment="1" applyProtection="1">
      <alignment horizontal="center"/>
    </xf>
    <xf numFmtId="14" fontId="76" fillId="24" borderId="52" xfId="1" applyNumberFormat="1" applyFont="1" applyFill="1" applyBorder="1" applyAlignment="1" applyProtection="1">
      <alignment horizontal="center"/>
    </xf>
    <xf numFmtId="14" fontId="76" fillId="24" borderId="32" xfId="1" applyNumberFormat="1" applyFont="1" applyFill="1" applyBorder="1" applyAlignment="1" applyProtection="1">
      <alignment horizontal="center"/>
    </xf>
    <xf numFmtId="14" fontId="76" fillId="24" borderId="61" xfId="1" applyNumberFormat="1" applyFont="1" applyFill="1" applyBorder="1" applyAlignment="1" applyProtection="1">
      <alignment horizontal="center"/>
    </xf>
    <xf numFmtId="14" fontId="76" fillId="24" borderId="53" xfId="1" applyNumberFormat="1" applyFont="1" applyFill="1" applyBorder="1" applyAlignment="1" applyProtection="1">
      <alignment horizontal="center"/>
    </xf>
    <xf numFmtId="183" fontId="74" fillId="0" borderId="54" xfId="59" applyNumberFormat="1" applyFont="1" applyFill="1" applyBorder="1" applyAlignment="1">
      <alignment horizontal="center" vertical="center"/>
    </xf>
    <xf numFmtId="183" fontId="74" fillId="0" borderId="80" xfId="59" applyNumberFormat="1" applyFont="1" applyFill="1" applyBorder="1" applyAlignment="1">
      <alignment horizontal="center" vertical="center"/>
    </xf>
    <xf numFmtId="183" fontId="74" fillId="0" borderId="55" xfId="59" applyNumberFormat="1" applyFont="1" applyFill="1" applyBorder="1" applyAlignment="1">
      <alignment horizontal="center" vertical="center"/>
    </xf>
    <xf numFmtId="170" fontId="118" fillId="63" borderId="54" xfId="1" applyNumberFormat="1" applyFont="1" applyFill="1" applyBorder="1" applyAlignment="1">
      <alignment horizontal="center"/>
    </xf>
    <xf numFmtId="170" fontId="118" fillId="63" borderId="55" xfId="1" applyNumberFormat="1" applyFont="1" applyFill="1" applyBorder="1" applyAlignment="1">
      <alignment horizontal="center"/>
    </xf>
    <xf numFmtId="170" fontId="69" fillId="63" borderId="54" xfId="1" applyNumberFormat="1" applyFont="1" applyFill="1" applyBorder="1" applyAlignment="1">
      <alignment horizontal="center"/>
    </xf>
    <xf numFmtId="170" fontId="69" fillId="63" borderId="55" xfId="1" applyNumberFormat="1" applyFont="1" applyFill="1" applyBorder="1" applyAlignment="1">
      <alignment horizontal="center"/>
    </xf>
    <xf numFmtId="170" fontId="118" fillId="63" borderId="80" xfId="1" applyNumberFormat="1" applyFont="1" applyFill="1" applyBorder="1" applyAlignment="1">
      <alignment horizontal="center"/>
    </xf>
    <xf numFmtId="183" fontId="74" fillId="0" borderId="54" xfId="59" applyNumberFormat="1" applyFont="1" applyFill="1" applyBorder="1" applyAlignment="1">
      <alignment horizontal="center" vertical="center" wrapText="1"/>
    </xf>
    <xf numFmtId="183" fontId="74" fillId="0" borderId="80" xfId="59" applyNumberFormat="1" applyFont="1" applyFill="1" applyBorder="1" applyAlignment="1">
      <alignment horizontal="center" vertical="center" wrapText="1"/>
    </xf>
    <xf numFmtId="183" fontId="74" fillId="0" borderId="55" xfId="59" applyNumberFormat="1" applyFont="1" applyFill="1" applyBorder="1" applyAlignment="1">
      <alignment horizontal="center" vertical="center" wrapText="1"/>
    </xf>
    <xf numFmtId="179" fontId="74" fillId="0" borderId="54" xfId="59" applyNumberFormat="1" applyFont="1" applyFill="1" applyBorder="1" applyAlignment="1">
      <alignment horizontal="center" vertical="center"/>
    </xf>
    <xf numFmtId="179" fontId="74" fillId="0" borderId="80" xfId="59" applyNumberFormat="1" applyFont="1" applyFill="1" applyBorder="1" applyAlignment="1">
      <alignment horizontal="center" vertical="center"/>
    </xf>
    <xf numFmtId="179" fontId="74" fillId="0" borderId="55" xfId="59" applyNumberFormat="1" applyFont="1" applyFill="1" applyBorder="1" applyAlignment="1">
      <alignment horizontal="center" vertical="center"/>
    </xf>
    <xf numFmtId="183" fontId="74" fillId="0" borderId="54" xfId="59" applyNumberFormat="1" applyFont="1" applyBorder="1" applyAlignment="1">
      <alignment horizontal="center" vertical="center"/>
    </xf>
    <xf numFmtId="183" fontId="74" fillId="0" borderId="80" xfId="59" applyNumberFormat="1" applyFont="1" applyBorder="1" applyAlignment="1">
      <alignment horizontal="center" vertical="center"/>
    </xf>
    <xf numFmtId="183" fontId="74" fillId="0" borderId="55" xfId="59" applyNumberFormat="1" applyFont="1" applyBorder="1" applyAlignment="1">
      <alignment horizontal="center" vertical="center"/>
    </xf>
    <xf numFmtId="1" fontId="118" fillId="63" borderId="54" xfId="0" applyNumberFormat="1" applyFont="1" applyFill="1" applyBorder="1" applyAlignment="1">
      <alignment horizontal="center"/>
    </xf>
    <xf numFmtId="1" fontId="118" fillId="63" borderId="55" xfId="0" applyNumberFormat="1" applyFont="1" applyFill="1" applyBorder="1" applyAlignment="1">
      <alignment horizontal="center"/>
    </xf>
    <xf numFmtId="183" fontId="74" fillId="0" borderId="23" xfId="59" applyNumberFormat="1" applyFont="1" applyBorder="1" applyAlignment="1">
      <alignment horizontal="center" vertical="center"/>
    </xf>
    <xf numFmtId="183" fontId="74" fillId="0" borderId="15" xfId="59" applyNumberFormat="1" applyFont="1" applyBorder="1" applyAlignment="1">
      <alignment horizontal="center" vertical="center"/>
    </xf>
    <xf numFmtId="183" fontId="74" fillId="0" borderId="25" xfId="59" applyNumberFormat="1" applyFont="1" applyBorder="1" applyAlignment="1">
      <alignment horizontal="center" vertical="center"/>
    </xf>
    <xf numFmtId="1" fontId="141" fillId="63" borderId="54" xfId="0" applyNumberFormat="1" applyFont="1" applyFill="1" applyBorder="1" applyAlignment="1">
      <alignment horizontal="center"/>
    </xf>
    <xf numFmtId="1" fontId="141" fillId="63" borderId="55" xfId="0" applyNumberFormat="1" applyFont="1" applyFill="1" applyBorder="1" applyAlignment="1">
      <alignment horizontal="center"/>
    </xf>
    <xf numFmtId="0" fontId="76" fillId="0" borderId="22" xfId="1" applyNumberFormat="1" applyFont="1" applyBorder="1" applyAlignment="1">
      <alignment horizontal="center"/>
    </xf>
    <xf numFmtId="0" fontId="76" fillId="0" borderId="19" xfId="1" applyNumberFormat="1" applyFont="1" applyBorder="1" applyAlignment="1">
      <alignment horizontal="center"/>
    </xf>
    <xf numFmtId="0" fontId="76" fillId="0" borderId="23" xfId="1" applyNumberFormat="1" applyFont="1" applyBorder="1" applyAlignment="1">
      <alignment horizontal="center"/>
    </xf>
    <xf numFmtId="170" fontId="74" fillId="0" borderId="41" xfId="1" applyNumberFormat="1" applyFont="1" applyFill="1" applyBorder="1" applyAlignment="1">
      <alignment horizontal="center"/>
    </xf>
    <xf numFmtId="170" fontId="74" fillId="0" borderId="20" xfId="1" applyNumberFormat="1" applyFont="1" applyFill="1" applyBorder="1" applyAlignment="1">
      <alignment horizontal="center"/>
    </xf>
    <xf numFmtId="183" fontId="74" fillId="0" borderId="54" xfId="59" applyNumberFormat="1" applyFont="1" applyBorder="1" applyAlignment="1">
      <alignment horizontal="center" vertical="center" wrapText="1"/>
    </xf>
    <xf numFmtId="183" fontId="74" fillId="0" borderId="80" xfId="59" applyNumberFormat="1" applyFont="1" applyBorder="1" applyAlignment="1">
      <alignment horizontal="center" vertical="center" wrapText="1"/>
    </xf>
    <xf numFmtId="183" fontId="74" fillId="0" borderId="55" xfId="59" applyNumberFormat="1" applyFont="1" applyBorder="1" applyAlignment="1">
      <alignment horizontal="center" vertical="center" wrapText="1"/>
    </xf>
    <xf numFmtId="0" fontId="124" fillId="0" borderId="0" xfId="0" applyNumberFormat="1" applyFont="1" applyFill="1" applyBorder="1" applyAlignment="1">
      <alignment horizontal="center" wrapText="1"/>
    </xf>
    <xf numFmtId="170" fontId="74" fillId="0" borderId="84" xfId="1" applyNumberFormat="1" applyFont="1" applyFill="1" applyBorder="1" applyAlignment="1">
      <alignment horizontal="center" wrapText="1"/>
    </xf>
    <xf numFmtId="170" fontId="74" fillId="0" borderId="88" xfId="1" applyNumberFormat="1" applyFont="1" applyFill="1" applyBorder="1" applyAlignment="1">
      <alignment horizontal="center" wrapText="1"/>
    </xf>
    <xf numFmtId="170" fontId="74" fillId="0" borderId="88" xfId="1" applyNumberFormat="1" applyFont="1" applyFill="1" applyBorder="1" applyAlignment="1">
      <alignment horizontal="center"/>
    </xf>
    <xf numFmtId="170" fontId="74" fillId="0" borderId="129" xfId="1" applyNumberFormat="1" applyFont="1" applyBorder="1" applyAlignment="1">
      <alignment horizontal="center" wrapText="1"/>
    </xf>
    <xf numFmtId="14" fontId="76" fillId="24" borderId="26" xfId="1" applyNumberFormat="1" applyFont="1" applyFill="1" applyBorder="1" applyAlignment="1" applyProtection="1">
      <alignment horizontal="center"/>
    </xf>
    <xf numFmtId="14" fontId="76" fillId="24" borderId="17" xfId="1" applyNumberFormat="1" applyFont="1" applyFill="1" applyBorder="1" applyAlignment="1" applyProtection="1">
      <alignment horizontal="center"/>
    </xf>
    <xf numFmtId="14" fontId="76" fillId="24" borderId="115" xfId="1" applyNumberFormat="1" applyFont="1" applyFill="1" applyBorder="1" applyAlignment="1" applyProtection="1">
      <alignment horizontal="center"/>
    </xf>
    <xf numFmtId="37" fontId="74" fillId="0" borderId="54" xfId="1" applyNumberFormat="1" applyFont="1" applyFill="1" applyBorder="1" applyAlignment="1">
      <alignment horizontal="center" vertical="center"/>
    </xf>
    <xf numFmtId="37" fontId="74" fillId="0" borderId="55" xfId="1" applyNumberFormat="1" applyFont="1" applyFill="1" applyBorder="1" applyAlignment="1">
      <alignment horizontal="center" vertical="center"/>
    </xf>
    <xf numFmtId="1" fontId="76" fillId="24" borderId="36" xfId="1" applyNumberFormat="1" applyFont="1" applyFill="1" applyBorder="1" applyAlignment="1">
      <alignment horizontal="center" vertical="center"/>
    </xf>
    <xf numFmtId="1" fontId="76" fillId="24" borderId="97" xfId="1" applyNumberFormat="1" applyFont="1" applyFill="1" applyBorder="1" applyAlignment="1">
      <alignment horizontal="center" vertical="center"/>
    </xf>
    <xf numFmtId="183" fontId="147" fillId="48" borderId="80" xfId="59" applyNumberFormat="1" applyFont="1" applyFill="1" applyBorder="1" applyAlignment="1">
      <alignment horizontal="center" vertical="center"/>
    </xf>
    <xf numFmtId="37" fontId="153" fillId="0" borderId="28" xfId="256" applyNumberFormat="1" applyFont="1" applyFill="1" applyBorder="1" applyAlignment="1">
      <alignment horizontal="center" vertical="center"/>
    </xf>
    <xf numFmtId="37" fontId="14" fillId="0" borderId="28" xfId="1" applyNumberFormat="1" applyFont="1" applyFill="1" applyBorder="1" applyAlignment="1">
      <alignment horizontal="center" vertical="center"/>
    </xf>
    <xf numFmtId="165" fontId="74" fillId="0" borderId="54" xfId="59" applyFont="1" applyFill="1" applyBorder="1" applyAlignment="1">
      <alignment horizontal="center" vertical="center"/>
    </xf>
    <xf numFmtId="165" fontId="74" fillId="0" borderId="55" xfId="59" applyFont="1" applyFill="1" applyBorder="1" applyAlignment="1">
      <alignment horizontal="center" vertical="center"/>
    </xf>
    <xf numFmtId="170" fontId="119" fillId="0" borderId="0" xfId="0" applyNumberFormat="1" applyFont="1" applyAlignment="1">
      <alignment horizontal="center" wrapText="1"/>
    </xf>
    <xf numFmtId="9" fontId="74" fillId="37" borderId="54" xfId="218" applyFont="1" applyFill="1" applyBorder="1" applyAlignment="1">
      <alignment horizontal="center" vertical="center"/>
    </xf>
    <xf numFmtId="9" fontId="74" fillId="37" borderId="55" xfId="218" applyFont="1" applyFill="1" applyBorder="1" applyAlignment="1">
      <alignment horizontal="center" vertical="center"/>
    </xf>
    <xf numFmtId="170" fontId="74" fillId="0" borderId="0" xfId="1" applyNumberFormat="1" applyFont="1" applyFill="1" applyBorder="1" applyAlignment="1">
      <alignment horizontal="center" wrapText="1"/>
    </xf>
    <xf numFmtId="188" fontId="147" fillId="0" borderId="21" xfId="0" applyFont="1" applyBorder="1" applyAlignment="1">
      <alignment horizontal="center"/>
    </xf>
    <xf numFmtId="170" fontId="69" fillId="0" borderId="0" xfId="1" applyNumberFormat="1" applyFont="1" applyAlignment="1">
      <alignment horizontal="left" vertical="center" wrapText="1"/>
    </xf>
    <xf numFmtId="170" fontId="69" fillId="0" borderId="0" xfId="1" applyNumberFormat="1" applyFont="1" applyAlignment="1">
      <alignment horizontal="left" vertical="center"/>
    </xf>
    <xf numFmtId="170" fontId="74" fillId="0" borderId="54" xfId="5" applyNumberFormat="1" applyFont="1" applyFill="1" applyBorder="1" applyAlignment="1">
      <alignment horizontal="center" vertical="center" wrapText="1"/>
    </xf>
    <xf numFmtId="170" fontId="74" fillId="0" borderId="80" xfId="5" applyNumberFormat="1" applyFont="1" applyFill="1" applyBorder="1" applyAlignment="1">
      <alignment horizontal="center" vertical="center" wrapText="1"/>
    </xf>
    <xf numFmtId="170" fontId="74" fillId="0" borderId="55" xfId="5" applyNumberFormat="1" applyFont="1" applyFill="1" applyBorder="1" applyAlignment="1">
      <alignment horizontal="center" vertical="center" wrapText="1"/>
    </xf>
    <xf numFmtId="170" fontId="69" fillId="0" borderId="0" xfId="5" applyNumberFormat="1" applyFont="1" applyFill="1" applyAlignment="1">
      <alignment horizontal="center"/>
    </xf>
    <xf numFmtId="170" fontId="74" fillId="0" borderId="54" xfId="5" applyNumberFormat="1" applyFont="1" applyFill="1" applyBorder="1" applyAlignment="1">
      <alignment horizontal="center" vertical="center"/>
    </xf>
    <xf numFmtId="170" fontId="74" fillId="0" borderId="80" xfId="5" applyNumberFormat="1" applyFont="1" applyFill="1" applyBorder="1" applyAlignment="1">
      <alignment horizontal="center" vertical="center"/>
    </xf>
    <xf numFmtId="170" fontId="74" fillId="0" borderId="55" xfId="5" applyNumberFormat="1" applyFont="1" applyFill="1" applyBorder="1" applyAlignment="1">
      <alignment horizontal="center" vertical="center"/>
    </xf>
    <xf numFmtId="1" fontId="76" fillId="24" borderId="37" xfId="5" applyNumberFormat="1" applyFont="1" applyFill="1" applyBorder="1" applyAlignment="1">
      <alignment horizontal="left"/>
    </xf>
    <xf numFmtId="1" fontId="76" fillId="24" borderId="19" xfId="5" applyNumberFormat="1" applyFont="1" applyFill="1" applyBorder="1" applyAlignment="1">
      <alignment horizontal="left"/>
    </xf>
    <xf numFmtId="1" fontId="76" fillId="24" borderId="66" xfId="5" applyNumberFormat="1" applyFont="1" applyFill="1" applyBorder="1" applyAlignment="1">
      <alignment horizontal="left"/>
    </xf>
    <xf numFmtId="14" fontId="76" fillId="24" borderId="51" xfId="5" applyNumberFormat="1" applyFont="1" applyFill="1" applyBorder="1" applyAlignment="1" applyProtection="1">
      <alignment horizontal="center"/>
    </xf>
    <xf numFmtId="14" fontId="76" fillId="24" borderId="52" xfId="5" applyNumberFormat="1" applyFont="1" applyFill="1" applyBorder="1" applyAlignment="1" applyProtection="1">
      <alignment horizontal="center"/>
    </xf>
    <xf numFmtId="14" fontId="76" fillId="24" borderId="32" xfId="5" applyNumberFormat="1" applyFont="1" applyFill="1" applyBorder="1" applyAlignment="1" applyProtection="1">
      <alignment horizontal="center"/>
    </xf>
    <xf numFmtId="14" fontId="76" fillId="24" borderId="61" xfId="5" applyNumberFormat="1" applyFont="1" applyFill="1" applyBorder="1" applyAlignment="1" applyProtection="1">
      <alignment horizontal="center"/>
    </xf>
    <xf numFmtId="170" fontId="69" fillId="0" borderId="28" xfId="5" applyNumberFormat="1" applyFont="1" applyBorder="1" applyAlignment="1">
      <alignment horizontal="center" vertical="center" wrapText="1"/>
    </xf>
    <xf numFmtId="170" fontId="69" fillId="0" borderId="75" xfId="5" applyNumberFormat="1" applyFont="1" applyFill="1" applyBorder="1" applyAlignment="1">
      <alignment horizontal="center" wrapText="1"/>
    </xf>
    <xf numFmtId="170" fontId="69" fillId="0" borderId="77" xfId="5" applyNumberFormat="1" applyFont="1" applyFill="1" applyBorder="1" applyAlignment="1">
      <alignment horizontal="center" wrapText="1"/>
    </xf>
    <xf numFmtId="170" fontId="74" fillId="63" borderId="15" xfId="0" applyNumberFormat="1" applyFont="1" applyFill="1" applyBorder="1" applyAlignment="1">
      <alignment horizontal="center" vertical="center"/>
    </xf>
    <xf numFmtId="170" fontId="74" fillId="0" borderId="54" xfId="0" applyNumberFormat="1" applyFont="1" applyBorder="1" applyAlignment="1">
      <alignment horizontal="center" vertical="center"/>
    </xf>
    <xf numFmtId="170" fontId="74" fillId="0" borderId="55" xfId="0" applyNumberFormat="1" applyFont="1" applyBorder="1" applyAlignment="1">
      <alignment horizontal="center" vertical="center"/>
    </xf>
    <xf numFmtId="170" fontId="69" fillId="0" borderId="54" xfId="0" applyNumberFormat="1" applyFont="1" applyBorder="1" applyAlignment="1">
      <alignment horizontal="center" vertical="center"/>
    </xf>
    <xf numFmtId="170" fontId="69" fillId="0" borderId="55" xfId="0" applyNumberFormat="1" applyFont="1" applyBorder="1" applyAlignment="1">
      <alignment horizontal="center" vertical="center"/>
    </xf>
    <xf numFmtId="49" fontId="120" fillId="0" borderId="54" xfId="0" applyNumberFormat="1" applyFont="1" applyBorder="1" applyAlignment="1">
      <alignment horizontal="center" vertical="center"/>
    </xf>
    <xf numFmtId="49" fontId="120" fillId="0" borderId="55" xfId="0" applyNumberFormat="1" applyFont="1" applyBorder="1" applyAlignment="1">
      <alignment horizontal="center" vertical="center"/>
    </xf>
    <xf numFmtId="49" fontId="120" fillId="0" borderId="80" xfId="0" applyNumberFormat="1" applyFont="1" applyBorder="1" applyAlignment="1">
      <alignment horizontal="center" vertical="center"/>
    </xf>
    <xf numFmtId="188" fontId="74" fillId="0" borderId="54" xfId="0" applyFont="1" applyFill="1" applyBorder="1" applyAlignment="1">
      <alignment horizontal="center" vertical="center"/>
    </xf>
    <xf numFmtId="188" fontId="74" fillId="0" borderId="55" xfId="0" applyFont="1" applyFill="1" applyBorder="1" applyAlignment="1">
      <alignment horizontal="center" vertical="center"/>
    </xf>
    <xf numFmtId="49" fontId="120" fillId="0" borderId="54" xfId="0" applyNumberFormat="1" applyFont="1" applyFill="1" applyBorder="1" applyAlignment="1">
      <alignment horizontal="center" vertical="center" wrapText="1"/>
    </xf>
    <xf numFmtId="49" fontId="120" fillId="0" borderId="80" xfId="0" applyNumberFormat="1" applyFont="1" applyFill="1" applyBorder="1" applyAlignment="1">
      <alignment horizontal="center" vertical="center" wrapText="1"/>
    </xf>
    <xf numFmtId="49" fontId="120" fillId="0" borderId="55" xfId="0" applyNumberFormat="1" applyFont="1" applyFill="1" applyBorder="1" applyAlignment="1">
      <alignment horizontal="center" vertical="center" wrapText="1"/>
    </xf>
    <xf numFmtId="170" fontId="74" fillId="44" borderId="22" xfId="0" applyNumberFormat="1" applyFont="1" applyFill="1" applyBorder="1" applyAlignment="1">
      <alignment horizontal="center" vertical="center"/>
    </xf>
    <xf numFmtId="170" fontId="74" fillId="44" borderId="16" xfId="0" applyNumberFormat="1" applyFont="1" applyFill="1" applyBorder="1" applyAlignment="1">
      <alignment horizontal="center" vertical="center"/>
    </xf>
    <xf numFmtId="170" fontId="74" fillId="44" borderId="24" xfId="0" applyNumberFormat="1" applyFont="1" applyFill="1" applyBorder="1" applyAlignment="1">
      <alignment horizontal="center" vertical="center"/>
    </xf>
    <xf numFmtId="170" fontId="74" fillId="0" borderId="22" xfId="0" applyNumberFormat="1" applyFont="1" applyBorder="1" applyAlignment="1">
      <alignment horizontal="center" vertical="center"/>
    </xf>
    <xf numFmtId="170" fontId="74" fillId="0" borderId="16" xfId="0" applyNumberFormat="1" applyFont="1" applyBorder="1" applyAlignment="1">
      <alignment horizontal="center" vertical="center"/>
    </xf>
    <xf numFmtId="170" fontId="74" fillId="0" borderId="24" xfId="0" applyNumberFormat="1" applyFont="1" applyBorder="1" applyAlignment="1">
      <alignment horizontal="center" vertical="center"/>
    </xf>
    <xf numFmtId="49" fontId="120" fillId="0" borderId="54" xfId="0" applyNumberFormat="1" applyFont="1" applyFill="1" applyBorder="1" applyAlignment="1">
      <alignment horizontal="center" vertical="center"/>
    </xf>
    <xf numFmtId="49" fontId="120" fillId="0" borderId="55" xfId="0" applyNumberFormat="1" applyFont="1" applyFill="1" applyBorder="1" applyAlignment="1">
      <alignment horizontal="center" vertical="center"/>
    </xf>
    <xf numFmtId="170" fontId="74" fillId="0" borderId="54" xfId="0" applyNumberFormat="1" applyFont="1" applyFill="1" applyBorder="1" applyAlignment="1">
      <alignment horizontal="center" vertical="center"/>
    </xf>
    <xf numFmtId="170" fontId="74" fillId="0" borderId="55" xfId="0" applyNumberFormat="1" applyFont="1" applyFill="1" applyBorder="1" applyAlignment="1">
      <alignment horizontal="center" vertical="center"/>
    </xf>
    <xf numFmtId="170" fontId="69" fillId="0" borderId="54" xfId="0" applyNumberFormat="1" applyFont="1" applyFill="1" applyBorder="1" applyAlignment="1">
      <alignment horizontal="center" vertical="center"/>
    </xf>
    <xf numFmtId="170" fontId="69" fillId="0" borderId="55" xfId="0" applyNumberFormat="1" applyFont="1" applyFill="1" applyBorder="1" applyAlignment="1">
      <alignment horizontal="center" vertical="center"/>
    </xf>
    <xf numFmtId="49" fontId="120" fillId="0" borderId="54" xfId="0" applyNumberFormat="1" applyFont="1" applyFill="1" applyBorder="1" applyAlignment="1">
      <alignment horizontal="center" wrapText="1"/>
    </xf>
    <xf numFmtId="49" fontId="120" fillId="0" borderId="55" xfId="0" applyNumberFormat="1" applyFont="1" applyFill="1" applyBorder="1" applyAlignment="1">
      <alignment horizontal="center" wrapText="1"/>
    </xf>
    <xf numFmtId="49" fontId="120" fillId="0" borderId="80" xfId="0" applyNumberFormat="1" applyFont="1" applyFill="1" applyBorder="1" applyAlignment="1">
      <alignment horizontal="center" vertical="center"/>
    </xf>
    <xf numFmtId="170" fontId="69" fillId="0" borderId="80" xfId="0" applyNumberFormat="1" applyFont="1" applyFill="1" applyBorder="1" applyAlignment="1">
      <alignment horizontal="center" vertical="center"/>
    </xf>
    <xf numFmtId="170" fontId="74" fillId="63" borderId="54" xfId="0" applyNumberFormat="1" applyFont="1" applyFill="1" applyBorder="1" applyAlignment="1">
      <alignment horizontal="center" vertical="center"/>
    </xf>
    <xf numFmtId="170" fontId="74" fillId="63" borderId="80" xfId="0" applyNumberFormat="1" applyFont="1" applyFill="1" applyBorder="1" applyAlignment="1">
      <alignment horizontal="center" vertical="center"/>
    </xf>
    <xf numFmtId="170" fontId="74" fillId="63" borderId="55" xfId="0" applyNumberFormat="1" applyFont="1" applyFill="1" applyBorder="1" applyAlignment="1">
      <alignment horizontal="center" vertical="center"/>
    </xf>
    <xf numFmtId="170" fontId="74" fillId="0" borderId="52" xfId="0" applyNumberFormat="1" applyFont="1" applyBorder="1" applyAlignment="1">
      <alignment horizontal="center"/>
    </xf>
    <xf numFmtId="170" fontId="69" fillId="0" borderId="54" xfId="0" applyNumberFormat="1" applyFont="1" applyBorder="1" applyAlignment="1">
      <alignment horizontal="center" vertical="center" wrapText="1"/>
    </xf>
    <xf numFmtId="170" fontId="69" fillId="0" borderId="55" xfId="0" applyNumberFormat="1" applyFont="1" applyBorder="1" applyAlignment="1">
      <alignment horizontal="center" vertical="center" wrapText="1"/>
    </xf>
    <xf numFmtId="170" fontId="69" fillId="34" borderId="54" xfId="0" applyNumberFormat="1" applyFont="1" applyFill="1" applyBorder="1" applyAlignment="1">
      <alignment horizontal="center" vertical="center"/>
    </xf>
    <xf numFmtId="170" fontId="69" fillId="34" borderId="55" xfId="0" applyNumberFormat="1" applyFont="1" applyFill="1" applyBorder="1" applyAlignment="1">
      <alignment horizontal="center" vertical="center"/>
    </xf>
    <xf numFmtId="49" fontId="120" fillId="0" borderId="54" xfId="0" applyNumberFormat="1" applyFont="1" applyFill="1" applyBorder="1" applyAlignment="1">
      <alignment horizontal="left" wrapText="1"/>
    </xf>
    <xf numFmtId="49" fontId="120" fillId="0" borderId="55" xfId="0" applyNumberFormat="1" applyFont="1" applyFill="1" applyBorder="1" applyAlignment="1">
      <alignment horizontal="left" wrapText="1"/>
    </xf>
    <xf numFmtId="170" fontId="74" fillId="0" borderId="80" xfId="0" applyNumberFormat="1" applyFont="1" applyBorder="1" applyAlignment="1">
      <alignment horizontal="center" vertical="center"/>
    </xf>
    <xf numFmtId="170" fontId="74" fillId="0" borderId="54" xfId="0" applyNumberFormat="1" applyFont="1" applyBorder="1" applyAlignment="1">
      <alignment horizontal="center" vertical="center" wrapText="1"/>
    </xf>
    <xf numFmtId="170" fontId="74" fillId="0" borderId="80" xfId="0" applyNumberFormat="1" applyFont="1" applyBorder="1" applyAlignment="1">
      <alignment horizontal="center" vertical="center" wrapText="1"/>
    </xf>
    <xf numFmtId="170" fontId="74" fillId="0" borderId="55" xfId="0" applyNumberFormat="1" applyFont="1" applyBorder="1" applyAlignment="1">
      <alignment horizontal="center" vertical="center" wrapText="1"/>
    </xf>
    <xf numFmtId="49" fontId="120" fillId="47" borderId="23" xfId="0" applyNumberFormat="1" applyFont="1" applyFill="1" applyBorder="1" applyAlignment="1">
      <alignment horizontal="center" vertical="center"/>
    </xf>
    <xf numFmtId="49" fontId="120" fillId="47" borderId="25" xfId="0" applyNumberFormat="1" applyFont="1" applyFill="1" applyBorder="1" applyAlignment="1">
      <alignment horizontal="center" vertical="center"/>
    </xf>
    <xf numFmtId="49" fontId="120" fillId="0" borderId="23" xfId="0" applyNumberFormat="1" applyFont="1" applyFill="1" applyBorder="1" applyAlignment="1">
      <alignment horizontal="center" vertical="center"/>
    </xf>
    <xf numFmtId="49" fontId="120" fillId="0" borderId="25" xfId="0" applyNumberFormat="1" applyFont="1" applyFill="1" applyBorder="1" applyAlignment="1">
      <alignment horizontal="center" vertical="center"/>
    </xf>
    <xf numFmtId="188" fontId="69" fillId="0" borderId="54" xfId="0" applyFont="1" applyFill="1" applyBorder="1" applyAlignment="1">
      <alignment horizontal="center" vertical="center"/>
    </xf>
    <xf numFmtId="188" fontId="69" fillId="0" borderId="55" xfId="0" applyFont="1" applyFill="1" applyBorder="1" applyAlignment="1">
      <alignment horizontal="center" vertical="center"/>
    </xf>
    <xf numFmtId="188" fontId="74" fillId="0" borderId="54" xfId="0" applyFont="1" applyBorder="1" applyAlignment="1">
      <alignment horizontal="center" vertical="center"/>
    </xf>
    <xf numFmtId="188" fontId="74" fillId="0" borderId="80" xfId="0" applyFont="1" applyBorder="1" applyAlignment="1">
      <alignment horizontal="center" vertical="center"/>
    </xf>
    <xf numFmtId="188" fontId="74" fillId="0" borderId="55" xfId="0" applyFont="1" applyBorder="1" applyAlignment="1">
      <alignment horizontal="center" vertical="center"/>
    </xf>
    <xf numFmtId="204" fontId="147" fillId="37" borderId="51" xfId="0" applyNumberFormat="1" applyFont="1" applyFill="1" applyBorder="1" applyAlignment="1">
      <alignment horizontal="center"/>
    </xf>
    <xf numFmtId="204" fontId="147" fillId="37" borderId="52" xfId="0" applyNumberFormat="1" applyFont="1" applyFill="1" applyBorder="1" applyAlignment="1">
      <alignment horizontal="center"/>
    </xf>
    <xf numFmtId="204" fontId="147" fillId="37" borderId="53" xfId="0" applyNumberFormat="1" applyFont="1" applyFill="1" applyBorder="1" applyAlignment="1">
      <alignment horizontal="center"/>
    </xf>
    <xf numFmtId="188" fontId="163" fillId="0" borderId="51" xfId="0" applyFont="1" applyFill="1" applyBorder="1" applyAlignment="1">
      <alignment horizontal="center"/>
    </xf>
    <xf numFmtId="188" fontId="163" fillId="0" borderId="53" xfId="0" applyFont="1" applyFill="1" applyBorder="1" applyAlignment="1">
      <alignment horizontal="center"/>
    </xf>
    <xf numFmtId="188" fontId="18" fillId="0" borderId="0" xfId="253" applyFont="1" applyAlignment="1">
      <alignment horizontal="center" vertical="center" wrapText="1"/>
    </xf>
    <xf numFmtId="1" fontId="158" fillId="24" borderId="107" xfId="1" applyNumberFormat="1" applyFont="1" applyFill="1" applyBorder="1" applyAlignment="1">
      <alignment horizontal="center" vertical="center"/>
    </xf>
    <xf numFmtId="1" fontId="158" fillId="24" borderId="91" xfId="1" applyNumberFormat="1" applyFont="1" applyFill="1" applyBorder="1" applyAlignment="1">
      <alignment horizontal="center" vertical="center"/>
    </xf>
    <xf numFmtId="14" fontId="158" fillId="24" borderId="22" xfId="1" applyNumberFormat="1" applyFont="1" applyFill="1" applyBorder="1" applyAlignment="1" applyProtection="1">
      <alignment horizontal="center" vertical="center"/>
    </xf>
    <xf numFmtId="14" fontId="158" fillId="24" borderId="19" xfId="1" applyNumberFormat="1" applyFont="1" applyFill="1" applyBorder="1" applyAlignment="1" applyProtection="1">
      <alignment horizontal="center" vertical="center"/>
    </xf>
    <xf numFmtId="14" fontId="158" fillId="24" borderId="23" xfId="1" applyNumberFormat="1" applyFont="1" applyFill="1" applyBorder="1" applyAlignment="1" applyProtection="1">
      <alignment horizontal="center" vertical="center"/>
    </xf>
    <xf numFmtId="14" fontId="158" fillId="24" borderId="24" xfId="1" applyNumberFormat="1" applyFont="1" applyFill="1" applyBorder="1" applyAlignment="1" applyProtection="1">
      <alignment horizontal="center" vertical="center"/>
    </xf>
    <xf numFmtId="14" fontId="158" fillId="24" borderId="18" xfId="1" applyNumberFormat="1" applyFont="1" applyFill="1" applyBorder="1" applyAlignment="1" applyProtection="1">
      <alignment horizontal="center" vertical="center"/>
    </xf>
    <xf numFmtId="14" fontId="158" fillId="24" borderId="25" xfId="1" applyNumberFormat="1" applyFont="1" applyFill="1" applyBorder="1" applyAlignment="1" applyProtection="1">
      <alignment horizontal="center" vertical="center"/>
    </xf>
    <xf numFmtId="37" fontId="7" fillId="0" borderId="28" xfId="1" applyNumberFormat="1" applyFont="1" applyFill="1" applyBorder="1" applyAlignment="1">
      <alignment horizontal="center" vertical="center" wrapText="1"/>
    </xf>
    <xf numFmtId="170" fontId="7" fillId="0" borderId="0" xfId="1" applyNumberFormat="1" applyFont="1" applyFill="1" applyBorder="1" applyAlignment="1">
      <alignment horizontal="center" wrapText="1"/>
    </xf>
    <xf numFmtId="170" fontId="147" fillId="0" borderId="31" xfId="1" applyNumberFormat="1" applyFont="1" applyFill="1" applyBorder="1" applyAlignment="1">
      <alignment horizontal="center"/>
    </xf>
    <xf numFmtId="170" fontId="147" fillId="0" borderId="0" xfId="1" applyNumberFormat="1" applyFont="1" applyFill="1" applyBorder="1" applyAlignment="1">
      <alignment horizontal="center"/>
    </xf>
    <xf numFmtId="1" fontId="69" fillId="63" borderId="22" xfId="0" applyNumberFormat="1" applyFont="1" applyFill="1" applyBorder="1" applyAlignment="1">
      <alignment horizontal="center"/>
    </xf>
    <xf numFmtId="1" fontId="69" fillId="63" borderId="172" xfId="0" applyNumberFormat="1" applyFont="1" applyFill="1" applyBorder="1" applyAlignment="1">
      <alignment horizontal="center"/>
    </xf>
    <xf numFmtId="170" fontId="147" fillId="0" borderId="23" xfId="1" applyNumberFormat="1" applyFont="1" applyFill="1" applyBorder="1" applyAlignment="1">
      <alignment horizontal="center" vertical="center"/>
    </xf>
    <xf numFmtId="170" fontId="147" fillId="0" borderId="15" xfId="1" applyNumberFormat="1" applyFont="1" applyFill="1" applyBorder="1" applyAlignment="1">
      <alignment horizontal="center" vertical="center"/>
    </xf>
    <xf numFmtId="170" fontId="147" fillId="0" borderId="25" xfId="1" applyNumberFormat="1" applyFont="1" applyFill="1" applyBorder="1" applyAlignment="1">
      <alignment horizontal="center" vertical="center"/>
    </xf>
    <xf numFmtId="170" fontId="147" fillId="0" borderId="54" xfId="1" applyNumberFormat="1" applyFont="1" applyBorder="1" applyAlignment="1">
      <alignment horizontal="center" vertical="center"/>
    </xf>
    <xf numFmtId="170" fontId="147" fillId="0" borderId="80" xfId="1" applyNumberFormat="1" applyFont="1" applyBorder="1" applyAlignment="1">
      <alignment horizontal="center" vertical="center"/>
    </xf>
    <xf numFmtId="170" fontId="147" fillId="0" borderId="55" xfId="1" applyNumberFormat="1" applyFont="1" applyBorder="1" applyAlignment="1">
      <alignment horizontal="center" vertical="center"/>
    </xf>
    <xf numFmtId="1" fontId="69" fillId="63" borderId="16" xfId="0" applyNumberFormat="1" applyFont="1" applyFill="1" applyBorder="1" applyAlignment="1">
      <alignment horizontal="center"/>
    </xf>
    <xf numFmtId="170" fontId="69" fillId="63" borderId="80" xfId="1" applyNumberFormat="1" applyFont="1" applyFill="1" applyBorder="1" applyAlignment="1">
      <alignment horizontal="center"/>
    </xf>
    <xf numFmtId="170" fontId="147" fillId="0" borderId="54" xfId="1" applyNumberFormat="1" applyFont="1" applyFill="1" applyBorder="1" applyAlignment="1">
      <alignment horizontal="center" vertical="center"/>
    </xf>
    <xf numFmtId="170" fontId="74" fillId="0" borderId="23" xfId="1" applyNumberFormat="1" applyFont="1" applyFill="1" applyBorder="1" applyAlignment="1">
      <alignment horizontal="center" vertical="center" wrapText="1"/>
    </xf>
    <xf numFmtId="170" fontId="74" fillId="0" borderId="15" xfId="1" applyNumberFormat="1" applyFont="1" applyFill="1" applyBorder="1" applyAlignment="1">
      <alignment horizontal="center" vertical="center" wrapText="1"/>
    </xf>
    <xf numFmtId="170" fontId="74" fillId="0" borderId="25" xfId="1" applyNumberFormat="1" applyFont="1" applyFill="1" applyBorder="1" applyAlignment="1">
      <alignment horizontal="center" vertical="center" wrapText="1"/>
    </xf>
    <xf numFmtId="170" fontId="74" fillId="0" borderId="23" xfId="1" applyNumberFormat="1" applyFont="1" applyBorder="1" applyAlignment="1">
      <alignment horizontal="center" vertical="center"/>
    </xf>
    <xf numFmtId="170" fontId="74" fillId="0" borderId="25" xfId="1" applyNumberFormat="1" applyFont="1" applyBorder="1" applyAlignment="1">
      <alignment horizontal="center" vertical="center"/>
    </xf>
    <xf numFmtId="170" fontId="74" fillId="0" borderId="23" xfId="1" applyNumberFormat="1" applyFont="1" applyFill="1" applyBorder="1" applyAlignment="1">
      <alignment horizontal="center" vertical="center"/>
    </xf>
    <xf numFmtId="170" fontId="74" fillId="0" borderId="15" xfId="1" applyNumberFormat="1" applyFont="1" applyFill="1" applyBorder="1" applyAlignment="1">
      <alignment horizontal="center" vertical="center"/>
    </xf>
    <xf numFmtId="170" fontId="74" fillId="0" borderId="25" xfId="1" applyNumberFormat="1" applyFont="1" applyFill="1" applyBorder="1" applyAlignment="1">
      <alignment horizontal="center" vertical="center"/>
    </xf>
    <xf numFmtId="1" fontId="118" fillId="63" borderId="16" xfId="0" applyNumberFormat="1" applyFont="1" applyFill="1" applyBorder="1" applyAlignment="1">
      <alignment horizontal="center"/>
    </xf>
    <xf numFmtId="1" fontId="118" fillId="63" borderId="172" xfId="0" applyNumberFormat="1" applyFont="1" applyFill="1" applyBorder="1" applyAlignment="1">
      <alignment horizontal="center"/>
    </xf>
    <xf numFmtId="170" fontId="74" fillId="0" borderId="84" xfId="1" applyNumberFormat="1" applyFont="1" applyFill="1" applyBorder="1" applyAlignment="1">
      <alignment horizontal="center" vertical="center" wrapText="1"/>
    </xf>
    <xf numFmtId="170" fontId="74" fillId="0" borderId="0" xfId="1" applyNumberFormat="1" applyFont="1" applyBorder="1" applyAlignment="1">
      <alignment horizontal="center" wrapText="1"/>
    </xf>
    <xf numFmtId="170" fontId="74" fillId="0" borderId="152" xfId="1" applyNumberFormat="1" applyFont="1" applyBorder="1" applyAlignment="1">
      <alignment horizontal="center" vertical="center" wrapText="1"/>
    </xf>
    <xf numFmtId="37" fontId="13" fillId="0" borderId="28" xfId="1" applyNumberFormat="1" applyFont="1" applyFill="1" applyBorder="1" applyAlignment="1">
      <alignment horizontal="right" vertical="center"/>
    </xf>
    <xf numFmtId="37" fontId="55" fillId="0" borderId="28" xfId="1" applyNumberFormat="1" applyFont="1" applyFill="1" applyBorder="1" applyAlignment="1">
      <alignment horizontal="right" vertical="center"/>
    </xf>
    <xf numFmtId="1" fontId="76" fillId="24" borderId="107" xfId="1" applyNumberFormat="1" applyFont="1" applyFill="1" applyBorder="1" applyAlignment="1">
      <alignment horizontal="center" vertical="center"/>
    </xf>
    <xf numFmtId="1" fontId="76" fillId="24" borderId="91" xfId="1" applyNumberFormat="1" applyFont="1" applyFill="1" applyBorder="1" applyAlignment="1">
      <alignment horizontal="center" vertical="center"/>
    </xf>
    <xf numFmtId="170" fontId="161" fillId="63" borderId="54" xfId="0" applyNumberFormat="1" applyFont="1" applyFill="1" applyBorder="1" applyAlignment="1">
      <alignment horizontal="center"/>
    </xf>
    <xf numFmtId="170" fontId="161" fillId="63" borderId="55" xfId="0" applyNumberFormat="1" applyFont="1" applyFill="1" applyBorder="1" applyAlignment="1">
      <alignment horizontal="center"/>
    </xf>
    <xf numFmtId="170" fontId="125" fillId="0" borderId="54" xfId="1" applyNumberFormat="1" applyFont="1" applyFill="1" applyBorder="1" applyAlignment="1">
      <alignment horizontal="center" vertical="center"/>
    </xf>
    <xf numFmtId="170" fontId="125" fillId="0" borderId="80" xfId="1" applyNumberFormat="1" applyFont="1" applyFill="1" applyBorder="1" applyAlignment="1">
      <alignment horizontal="center" vertical="center"/>
    </xf>
    <xf numFmtId="170" fontId="125" fillId="0" borderId="55" xfId="1" applyNumberFormat="1" applyFont="1" applyFill="1" applyBorder="1" applyAlignment="1">
      <alignment horizontal="center" vertical="center"/>
    </xf>
    <xf numFmtId="170" fontId="127" fillId="0" borderId="54" xfId="1" applyNumberFormat="1" applyFont="1" applyFill="1" applyBorder="1" applyAlignment="1">
      <alignment horizontal="center" vertical="center"/>
    </xf>
    <xf numFmtId="170" fontId="127" fillId="0" borderId="80" xfId="1" applyNumberFormat="1" applyFont="1" applyFill="1" applyBorder="1" applyAlignment="1">
      <alignment horizontal="center" vertical="center"/>
    </xf>
    <xf numFmtId="170" fontId="127" fillId="0" borderId="55" xfId="1" applyNumberFormat="1" applyFont="1" applyFill="1" applyBorder="1" applyAlignment="1">
      <alignment horizontal="center" vertical="center"/>
    </xf>
    <xf numFmtId="1" fontId="124" fillId="63" borderId="54" xfId="0" applyNumberFormat="1" applyFont="1" applyFill="1" applyBorder="1" applyAlignment="1">
      <alignment horizontal="center"/>
    </xf>
    <xf numFmtId="1" fontId="124" fillId="63" borderId="80" xfId="0" applyNumberFormat="1" applyFont="1" applyFill="1" applyBorder="1" applyAlignment="1">
      <alignment horizontal="center"/>
    </xf>
    <xf numFmtId="1" fontId="124" fillId="63" borderId="55" xfId="0" applyNumberFormat="1" applyFont="1" applyFill="1" applyBorder="1" applyAlignment="1">
      <alignment horizontal="center"/>
    </xf>
    <xf numFmtId="170" fontId="171" fillId="63" borderId="54" xfId="0" applyNumberFormat="1" applyFont="1" applyFill="1" applyBorder="1" applyAlignment="1">
      <alignment horizontal="center"/>
    </xf>
    <xf numFmtId="170" fontId="171" fillId="63" borderId="80" xfId="0" applyNumberFormat="1" applyFont="1" applyFill="1" applyBorder="1" applyAlignment="1">
      <alignment horizontal="center"/>
    </xf>
    <xf numFmtId="170" fontId="171" fillId="63" borderId="55" xfId="0" applyNumberFormat="1" applyFont="1" applyFill="1" applyBorder="1" applyAlignment="1">
      <alignment horizontal="center"/>
    </xf>
    <xf numFmtId="1" fontId="124" fillId="63" borderId="54" xfId="0" applyNumberFormat="1" applyFont="1" applyFill="1" applyBorder="1" applyAlignment="1">
      <alignment horizontal="center" vertical="center"/>
    </xf>
    <xf numFmtId="1" fontId="124" fillId="63" borderId="55" xfId="0" applyNumberFormat="1" applyFont="1" applyFill="1" applyBorder="1" applyAlignment="1">
      <alignment horizontal="center" vertical="center"/>
    </xf>
    <xf numFmtId="170" fontId="125" fillId="44" borderId="51" xfId="1" applyNumberFormat="1" applyFont="1" applyFill="1" applyBorder="1" applyAlignment="1">
      <alignment horizontal="center"/>
    </xf>
    <xf numFmtId="170" fontId="125" fillId="44" borderId="52" xfId="1" applyNumberFormat="1" applyFont="1" applyFill="1" applyBorder="1" applyAlignment="1">
      <alignment horizontal="center"/>
    </xf>
    <xf numFmtId="170" fontId="125" fillId="44" borderId="53" xfId="1" applyNumberFormat="1" applyFont="1" applyFill="1" applyBorder="1" applyAlignment="1">
      <alignment horizontal="center"/>
    </xf>
    <xf numFmtId="170" fontId="161" fillId="63" borderId="80" xfId="0" applyNumberFormat="1" applyFont="1" applyFill="1" applyBorder="1" applyAlignment="1">
      <alignment horizontal="center"/>
    </xf>
    <xf numFmtId="170" fontId="124" fillId="63" borderId="54" xfId="1" applyNumberFormat="1" applyFont="1" applyFill="1" applyBorder="1" applyAlignment="1">
      <alignment horizontal="center"/>
    </xf>
    <xf numFmtId="170" fontId="124" fillId="63" borderId="80" xfId="1" applyNumberFormat="1" applyFont="1" applyFill="1" applyBorder="1" applyAlignment="1">
      <alignment horizontal="center"/>
    </xf>
    <xf numFmtId="170" fontId="124" fillId="63" borderId="55" xfId="1" applyNumberFormat="1" applyFont="1" applyFill="1" applyBorder="1" applyAlignment="1">
      <alignment horizontal="center"/>
    </xf>
    <xf numFmtId="170" fontId="147" fillId="0" borderId="129" xfId="1" applyNumberFormat="1" applyFont="1" applyBorder="1" applyAlignment="1">
      <alignment horizontal="center" wrapText="1"/>
    </xf>
    <xf numFmtId="41" fontId="69" fillId="41" borderId="0" xfId="210" applyNumberFormat="1" applyFont="1" applyFill="1" applyAlignment="1">
      <alignment horizontal="center"/>
    </xf>
  </cellXfs>
  <cellStyles count="389">
    <cellStyle name="$" xfId="1" xr:uid="{00000000-0005-0000-0000-000000000000}"/>
    <cellStyle name="$ 2" xfId="2" xr:uid="{00000000-0005-0000-0000-000001000000}"/>
    <cellStyle name="$ 2 2" xfId="3" xr:uid="{00000000-0005-0000-0000-000002000000}"/>
    <cellStyle name="$ 2_Copy of PO 01 01" xfId="4" xr:uid="{00000000-0005-0000-0000-000003000000}"/>
    <cellStyle name="$ 3" xfId="5" xr:uid="{00000000-0005-0000-0000-000004000000}"/>
    <cellStyle name="$_Copy of PO 01 01" xfId="6" xr:uid="{00000000-0005-0000-0000-000005000000}"/>
    <cellStyle name="$_Fed Budget ISRAEL 2008 V5 - 121807 update to 3.4.08" xfId="7" xr:uid="{00000000-0005-0000-0000-000006000000}"/>
    <cellStyle name="$_mPortico 10.08  " xfId="8" xr:uid="{00000000-0005-0000-0000-000007000000}"/>
    <cellStyle name="$_mPortico 11.08  " xfId="9" xr:uid="{00000000-0005-0000-0000-000008000000}"/>
    <cellStyle name="$_Nanocyte Annual Report 31.12.08 V2" xfId="10" xr:uid="{00000000-0005-0000-0000-000009000000}"/>
    <cellStyle name="$_Rainbow12.2008V2" xfId="11" xr:uid="{00000000-0005-0000-0000-00000A000000}"/>
    <cellStyle name="$_נתונים לשינוי2 (2)" xfId="12" xr:uid="{00000000-0005-0000-0000-00000B000000}"/>
    <cellStyle name="$_עודפות2008 - אלגוסק" xfId="13" xr:uid="{00000000-0005-0000-0000-00000C000000}"/>
    <cellStyle name="20% - Accent1" xfId="14" xr:uid="{00000000-0005-0000-0000-00000D000000}"/>
    <cellStyle name="20% - Accent1 2" xfId="293" xr:uid="{5BE2CE95-BDD8-4C6F-9CD7-FB36DD6E1481}"/>
    <cellStyle name="20% - Accent2" xfId="15" xr:uid="{00000000-0005-0000-0000-00000E000000}"/>
    <cellStyle name="20% - Accent2 2" xfId="297" xr:uid="{56335834-6625-4A16-90EE-CAEAB492A7BA}"/>
    <cellStyle name="20% - Accent3" xfId="16" xr:uid="{00000000-0005-0000-0000-00000F000000}"/>
    <cellStyle name="20% - Accent3 2" xfId="301" xr:uid="{14DAD48A-D24D-4E66-9408-0B38D922BBCD}"/>
    <cellStyle name="20% - Accent4" xfId="17" xr:uid="{00000000-0005-0000-0000-000010000000}"/>
    <cellStyle name="20% - Accent4 2" xfId="305" xr:uid="{82724563-1785-4652-A7FB-C889335F19C2}"/>
    <cellStyle name="20% - Accent5" xfId="18" xr:uid="{00000000-0005-0000-0000-000011000000}"/>
    <cellStyle name="20% - Accent5 2" xfId="309" xr:uid="{1B5CAE48-B22D-4112-B295-BFC88D65331F}"/>
    <cellStyle name="20% - Accent6" xfId="19" xr:uid="{00000000-0005-0000-0000-000012000000}"/>
    <cellStyle name="20% - Accent6 2" xfId="313" xr:uid="{9AAD786C-2D90-408E-A765-89FEDCB6CBAC}"/>
    <cellStyle name="20% - הדגשה1" xfId="20" xr:uid="{00000000-0005-0000-0000-000013000000}"/>
    <cellStyle name="20% - הדגשה2" xfId="21" xr:uid="{00000000-0005-0000-0000-000014000000}"/>
    <cellStyle name="20% - הדגשה3" xfId="22" xr:uid="{00000000-0005-0000-0000-000015000000}"/>
    <cellStyle name="20% - הדגשה4" xfId="23" xr:uid="{00000000-0005-0000-0000-000016000000}"/>
    <cellStyle name="20% - הדגשה5" xfId="24" xr:uid="{00000000-0005-0000-0000-000017000000}"/>
    <cellStyle name="20% - הדגשה6" xfId="25" xr:uid="{00000000-0005-0000-0000-000018000000}"/>
    <cellStyle name="40% - Accent1" xfId="26" xr:uid="{00000000-0005-0000-0000-000019000000}"/>
    <cellStyle name="40% - Accent1 2" xfId="294" xr:uid="{8926A3A2-0FEB-496D-8CA7-85A0DC8BDEEA}"/>
    <cellStyle name="40% - Accent2" xfId="27" xr:uid="{00000000-0005-0000-0000-00001A000000}"/>
    <cellStyle name="40% - Accent2 2" xfId="298" xr:uid="{C1C49087-8437-474E-BEF6-44B4A1E52875}"/>
    <cellStyle name="40% - Accent3" xfId="28" xr:uid="{00000000-0005-0000-0000-00001B000000}"/>
    <cellStyle name="40% - Accent3 2" xfId="302" xr:uid="{16C3C571-0A6B-45EC-A7CA-C1CB521ADB57}"/>
    <cellStyle name="40% - Accent4" xfId="29" xr:uid="{00000000-0005-0000-0000-00001C000000}"/>
    <cellStyle name="40% - Accent4 2" xfId="306" xr:uid="{DF0E03E7-17F9-4A12-96AF-F12FDD89831F}"/>
    <cellStyle name="40% - Accent5" xfId="30" xr:uid="{00000000-0005-0000-0000-00001D000000}"/>
    <cellStyle name="40% - Accent5 2" xfId="310" xr:uid="{875800E1-B5B2-4DD4-9911-93ED3AF482AC}"/>
    <cellStyle name="40% - Accent6" xfId="31" xr:uid="{00000000-0005-0000-0000-00001E000000}"/>
    <cellStyle name="40% - Accent6 2" xfId="314" xr:uid="{2D512B4E-3D22-4EE9-A935-259A108BEA8A}"/>
    <cellStyle name="40% - הדגשה1" xfId="32" xr:uid="{00000000-0005-0000-0000-00001F000000}"/>
    <cellStyle name="40% - הדגשה2" xfId="33" xr:uid="{00000000-0005-0000-0000-000020000000}"/>
    <cellStyle name="40% - הדגשה3" xfId="34" xr:uid="{00000000-0005-0000-0000-000021000000}"/>
    <cellStyle name="40% - הדגשה4" xfId="35" xr:uid="{00000000-0005-0000-0000-000022000000}"/>
    <cellStyle name="40% - הדגשה5" xfId="36" xr:uid="{00000000-0005-0000-0000-000023000000}"/>
    <cellStyle name="40% - הדגשה6" xfId="37" xr:uid="{00000000-0005-0000-0000-000024000000}"/>
    <cellStyle name="60% - Accent1" xfId="38" xr:uid="{00000000-0005-0000-0000-000025000000}"/>
    <cellStyle name="60% - Accent1 2" xfId="295" xr:uid="{EB1B8729-7549-4821-B504-0DEAA58C4E62}"/>
    <cellStyle name="60% - Accent2" xfId="39" xr:uid="{00000000-0005-0000-0000-000026000000}"/>
    <cellStyle name="60% - Accent2 2" xfId="299" xr:uid="{B369BEC0-C9D6-488D-A2BB-32BF932B0113}"/>
    <cellStyle name="60% - Accent3" xfId="40" xr:uid="{00000000-0005-0000-0000-000027000000}"/>
    <cellStyle name="60% - Accent3 2" xfId="303" xr:uid="{29EDF765-CAAC-4650-90DC-3902D77DF120}"/>
    <cellStyle name="60% - Accent4" xfId="41" xr:uid="{00000000-0005-0000-0000-000028000000}"/>
    <cellStyle name="60% - Accent4 2" xfId="307" xr:uid="{0D3D168E-7B74-4FC3-BFCD-492546C14431}"/>
    <cellStyle name="60% - Accent5" xfId="42" xr:uid="{00000000-0005-0000-0000-000029000000}"/>
    <cellStyle name="60% - Accent5 2" xfId="311" xr:uid="{9C8C7011-9DD3-42AD-B2A2-130A14E9F346}"/>
    <cellStyle name="60% - Accent6" xfId="43" xr:uid="{00000000-0005-0000-0000-00002A000000}"/>
    <cellStyle name="60% - Accent6 2" xfId="315" xr:uid="{007DA902-B8D9-4C24-96AD-82BEC4025F38}"/>
    <cellStyle name="60% - הדגשה1" xfId="44" xr:uid="{00000000-0005-0000-0000-00002B000000}"/>
    <cellStyle name="60% - הדגשה2" xfId="45" xr:uid="{00000000-0005-0000-0000-00002C000000}"/>
    <cellStyle name="60% - הדגשה3" xfId="46" xr:uid="{00000000-0005-0000-0000-00002D000000}"/>
    <cellStyle name="60% - הדגשה4" xfId="47" xr:uid="{00000000-0005-0000-0000-00002E000000}"/>
    <cellStyle name="60% - הדגשה5" xfId="48" xr:uid="{00000000-0005-0000-0000-00002F000000}"/>
    <cellStyle name="60% - הדגשה6" xfId="49" xr:uid="{00000000-0005-0000-0000-000030000000}"/>
    <cellStyle name="Accent1" xfId="50" xr:uid="{00000000-0005-0000-0000-000031000000}"/>
    <cellStyle name="Accent1 2" xfId="292" xr:uid="{0DE2B698-EE5F-4054-BAFE-705579CCCBDA}"/>
    <cellStyle name="Accent2" xfId="51" xr:uid="{00000000-0005-0000-0000-000032000000}"/>
    <cellStyle name="Accent2 2" xfId="296" xr:uid="{82733FBD-913D-4015-8270-EE200960655E}"/>
    <cellStyle name="Accent3" xfId="52" xr:uid="{00000000-0005-0000-0000-000033000000}"/>
    <cellStyle name="Accent3 2" xfId="300" xr:uid="{19097E7A-2A5D-4183-A684-6AFCDC68EA1B}"/>
    <cellStyle name="Accent4" xfId="53" xr:uid="{00000000-0005-0000-0000-000034000000}"/>
    <cellStyle name="Accent4 2" xfId="304" xr:uid="{F191385A-AB91-4783-B639-C3D31145AC57}"/>
    <cellStyle name="Accent5" xfId="54" xr:uid="{00000000-0005-0000-0000-000035000000}"/>
    <cellStyle name="Accent5 2" xfId="308" xr:uid="{250EE5AD-9459-4814-8027-7212ECEA3438}"/>
    <cellStyle name="Accent6" xfId="55" xr:uid="{00000000-0005-0000-0000-000036000000}"/>
    <cellStyle name="Accent6 2" xfId="312" xr:uid="{03FC9489-F59E-49CD-B650-EAAB315A47D4}"/>
    <cellStyle name="Bad" xfId="56" xr:uid="{00000000-0005-0000-0000-000037000000}"/>
    <cellStyle name="Bad 2" xfId="281" xr:uid="{71FA20D9-B571-4E2B-B794-54E1AC30B559}"/>
    <cellStyle name="Calculation" xfId="57" xr:uid="{00000000-0005-0000-0000-000038000000}"/>
    <cellStyle name="Calculation 2" xfId="285" xr:uid="{40AB5C4F-6783-47D0-9DB4-CA466FE2F9B4}"/>
    <cellStyle name="Check Cell" xfId="58" xr:uid="{00000000-0005-0000-0000-000039000000}"/>
    <cellStyle name="Check Cell 2" xfId="287" xr:uid="{8EB6D814-70D0-4A89-BAD5-4AA8D84654BB}"/>
    <cellStyle name="Comma" xfId="59" builtinId="3"/>
    <cellStyle name="Comma 10" xfId="274" xr:uid="{CCC45B16-ED34-4D46-9EED-15ABFEBFD752}"/>
    <cellStyle name="Comma 11" xfId="387" xr:uid="{1B1F0DD9-98B2-4BC0-BA62-5BA12D72A321}"/>
    <cellStyle name="Comma 12 2" xfId="358" xr:uid="{38424430-130B-44F6-B8AF-462B7D47C4B1}"/>
    <cellStyle name="Comma 2" xfId="60" xr:uid="{00000000-0005-0000-0000-00003B000000}"/>
    <cellStyle name="Comma 2 2" xfId="61" xr:uid="{00000000-0005-0000-0000-00003C000000}"/>
    <cellStyle name="Comma 2 2 2" xfId="252" xr:uid="{00000000-0005-0000-0000-00003D000000}"/>
    <cellStyle name="Comma 2 3" xfId="264" xr:uid="{D52FA973-0230-4FCC-A92F-CB466D3411A0}"/>
    <cellStyle name="Comma 2 3 2" xfId="357" xr:uid="{1FA8223B-7EF7-4648-9571-833273B3A9C7}"/>
    <cellStyle name="Comma 2 4" xfId="319" xr:uid="{1CC410DD-FF46-43E4-B4B6-B566A1E3543A}"/>
    <cellStyle name="Comma 3" xfId="62" xr:uid="{00000000-0005-0000-0000-00003E000000}"/>
    <cellStyle name="Comma 3 2" xfId="340" xr:uid="{9EFB855D-E50E-4070-8BD2-A59837553C77}"/>
    <cellStyle name="Comma 3 3" xfId="347" xr:uid="{F540BA01-23F6-4486-B3D5-455B3E7922BF}"/>
    <cellStyle name="Comma 3 4" xfId="353" xr:uid="{8B466525-7FB0-4EE5-B2B5-B6475A77FED8}"/>
    <cellStyle name="Comma 3 5" xfId="364" xr:uid="{6E478F4F-7970-4F22-8DC6-9A56671F0D8F}"/>
    <cellStyle name="Comma 3 6" xfId="377" xr:uid="{2066A1BF-1AAB-4BAE-AACB-741F2575F1CE}"/>
    <cellStyle name="Comma 3 7" xfId="321" xr:uid="{2A116AFC-77E2-4F1A-80D6-AC832A057BB6}"/>
    <cellStyle name="Comma 4" xfId="63" xr:uid="{00000000-0005-0000-0000-00003F000000}"/>
    <cellStyle name="Comma 4 2" xfId="333" xr:uid="{04C26D3D-6CF0-41BA-B5B6-5C28E95F97F3}"/>
    <cellStyle name="Comma 4 3" xfId="329" xr:uid="{9A64B875-592F-4EF0-9734-3911036298A9}"/>
    <cellStyle name="Comma 5" xfId="64" xr:uid="{00000000-0005-0000-0000-000040000000}"/>
    <cellStyle name="Comma 5 2" xfId="345" xr:uid="{B2BAC144-976E-4196-A581-2D8E3DFAA196}"/>
    <cellStyle name="Comma 5 2 2" xfId="368" xr:uid="{D4F96899-EF0E-41F0-BF4E-916110A817A9}"/>
    <cellStyle name="Comma 5 2 3" xfId="375" xr:uid="{353A8BE7-9A42-44FB-983E-ABAD5A02627D}"/>
    <cellStyle name="Comma 5 3" xfId="338" xr:uid="{ECB8CBB7-ACBD-4EC8-B4DF-0A11B07F570D}"/>
    <cellStyle name="Comma 6" xfId="258" xr:uid="{5E48A7C0-F605-4AE2-99AC-16295BE8C4BE}"/>
    <cellStyle name="Comma 6 2" xfId="342" xr:uid="{56D6F9AE-9EDF-4914-87BF-544F1D7405FC}"/>
    <cellStyle name="Comma 7" xfId="261" xr:uid="{720C5C1B-8D78-435A-8801-2EC71E50E747}"/>
    <cellStyle name="Comma 8" xfId="270" xr:uid="{7273A93D-0287-4B22-89DF-C0D1EEF55B55}"/>
    <cellStyle name="Comma 8 2" xfId="354" xr:uid="{3165CB80-07B3-411B-AA32-4338C7412934}"/>
    <cellStyle name="Comma 9" xfId="378" xr:uid="{AEE154FA-5159-47A8-BE8B-593216B42975}"/>
    <cellStyle name="Comma_Prostaplant 1207" xfId="65" xr:uid="{00000000-0005-0000-0000-000041000000}"/>
    <cellStyle name="Currency" xfId="255" builtinId="4"/>
    <cellStyle name="Currency [0] _BS" xfId="66" xr:uid="{00000000-0005-0000-0000-000043000000}"/>
    <cellStyle name="Currency 2" xfId="67" xr:uid="{00000000-0005-0000-0000-000044000000}"/>
    <cellStyle name="Currency 2 2" xfId="68" xr:uid="{00000000-0005-0000-0000-000045000000}"/>
    <cellStyle name="Currency 3" xfId="69" xr:uid="{00000000-0005-0000-0000-000046000000}"/>
    <cellStyle name="Currency 4" xfId="70" xr:uid="{00000000-0005-0000-0000-000047000000}"/>
    <cellStyle name="Currency 5" xfId="254" xr:uid="{00000000-0005-0000-0000-000048000000}"/>
    <cellStyle name="Currency 6" xfId="265" xr:uid="{57643254-F0BF-4BCB-B3A2-F292000AD85E}"/>
    <cellStyle name="Euro" xfId="71" xr:uid="{00000000-0005-0000-0000-000049000000}"/>
    <cellStyle name="Explanatory Text" xfId="72" xr:uid="{00000000-0005-0000-0000-00004A000000}"/>
    <cellStyle name="Explanatory Text 2" xfId="290" xr:uid="{CEAB9F1C-1C9E-4FA8-B559-DC01FC2F641D}"/>
    <cellStyle name="Good" xfId="73" xr:uid="{00000000-0005-0000-0000-00004B000000}"/>
    <cellStyle name="Good 2" xfId="74" xr:uid="{00000000-0005-0000-0000-00004C000000}"/>
    <cellStyle name="Good 3" xfId="280" xr:uid="{F48F9909-71DC-4B73-9C09-0A27338150BF}"/>
    <cellStyle name="Grey" xfId="75" xr:uid="{00000000-0005-0000-0000-00004D000000}"/>
    <cellStyle name="HEADER" xfId="76" xr:uid="{00000000-0005-0000-0000-00004E000000}"/>
    <cellStyle name="Heading 1" xfId="77" xr:uid="{00000000-0005-0000-0000-00004F000000}"/>
    <cellStyle name="Heading 1 2" xfId="276" xr:uid="{80CC8651-D5D3-42F5-B66F-8E3E799089C9}"/>
    <cellStyle name="Heading 2" xfId="78" xr:uid="{00000000-0005-0000-0000-000050000000}"/>
    <cellStyle name="Heading 2 2" xfId="277" xr:uid="{A527F975-842A-4C43-B431-F6B567E05303}"/>
    <cellStyle name="Heading 3" xfId="79" xr:uid="{00000000-0005-0000-0000-000051000000}"/>
    <cellStyle name="Heading 3 2" xfId="278" xr:uid="{86B6EC02-F579-492F-92F4-5465571D6B9E}"/>
    <cellStyle name="Heading 4" xfId="80" xr:uid="{00000000-0005-0000-0000-000052000000}"/>
    <cellStyle name="Heading 4 2" xfId="279" xr:uid="{8D208689-1161-4D9A-A8D9-0EDEEB8EF2A4}"/>
    <cellStyle name="Hyperlink" xfId="256" builtinId="8"/>
    <cellStyle name="Hyperlink 2" xfId="325" xr:uid="{030499BB-2373-4BD4-84A9-6476518D7AD3}"/>
    <cellStyle name="Input" xfId="81" xr:uid="{00000000-0005-0000-0000-000054000000}"/>
    <cellStyle name="Input [yellow]" xfId="82" xr:uid="{00000000-0005-0000-0000-000055000000}"/>
    <cellStyle name="Input 2" xfId="283" xr:uid="{9DF186B1-57EB-46D0-B4F0-830A479B9CCA}"/>
    <cellStyle name="Input 3" xfId="381" xr:uid="{192A8DBA-8951-4BDC-8E0E-AA3E414E2CA5}"/>
    <cellStyle name="Input 4" xfId="385" xr:uid="{5311B649-7874-4292-B2FD-E5B5EF6A5333}"/>
    <cellStyle name="Input_mPortico 10.08  " xfId="83" xr:uid="{00000000-0005-0000-0000-000056000000}"/>
    <cellStyle name="Linked Cell" xfId="84" xr:uid="{00000000-0005-0000-0000-000057000000}"/>
    <cellStyle name="Linked Cell 2" xfId="286" xr:uid="{CFD9761A-7008-4042-AEF0-34AA2B73B9DF}"/>
    <cellStyle name="MS_English" xfId="85" xr:uid="{00000000-0005-0000-0000-000058000000}"/>
    <cellStyle name="MS_Hebrew" xfId="86" xr:uid="{00000000-0005-0000-0000-000059000000}"/>
    <cellStyle name="Neutral" xfId="87" xr:uid="{00000000-0005-0000-0000-00005A000000}"/>
    <cellStyle name="Neutral 2" xfId="282" xr:uid="{0031F87B-792A-4016-B332-3D36DA7013CD}"/>
    <cellStyle name="Normal" xfId="0" builtinId="0"/>
    <cellStyle name="Normal - Style1" xfId="88" xr:uid="{00000000-0005-0000-0000-00005C000000}"/>
    <cellStyle name="Normal 10" xfId="89" xr:uid="{00000000-0005-0000-0000-00005D000000}"/>
    <cellStyle name="Normal 10 2" xfId="344" xr:uid="{BA7CE9B4-8CC5-44C5-93A6-8BC643435304}"/>
    <cellStyle name="Normal 10 2 2" xfId="367" xr:uid="{23C54282-6450-4706-940E-B266391E2B12}"/>
    <cellStyle name="Normal 10 2 3" xfId="373" xr:uid="{22C6AF18-18C9-4EFF-8791-888E21588ABE}"/>
    <cellStyle name="Normal 10 3" xfId="337" xr:uid="{6030F537-4C66-4C25-923F-CF09FAD162FF}"/>
    <cellStyle name="Normal 100" xfId="90" xr:uid="{00000000-0005-0000-0000-00005E000000}"/>
    <cellStyle name="Normal 101" xfId="91" xr:uid="{00000000-0005-0000-0000-00005F000000}"/>
    <cellStyle name="Normal 102" xfId="92" xr:uid="{00000000-0005-0000-0000-000060000000}"/>
    <cellStyle name="Normal 103" xfId="93" xr:uid="{00000000-0005-0000-0000-000061000000}"/>
    <cellStyle name="Normal 104" xfId="94" xr:uid="{00000000-0005-0000-0000-000062000000}"/>
    <cellStyle name="Normal 105" xfId="95" xr:uid="{00000000-0005-0000-0000-000063000000}"/>
    <cellStyle name="Normal 106" xfId="96" xr:uid="{00000000-0005-0000-0000-000064000000}"/>
    <cellStyle name="Normal 107" xfId="97" xr:uid="{00000000-0005-0000-0000-000065000000}"/>
    <cellStyle name="Normal 108" xfId="98" xr:uid="{00000000-0005-0000-0000-000066000000}"/>
    <cellStyle name="Normal 109" xfId="99" xr:uid="{00000000-0005-0000-0000-000067000000}"/>
    <cellStyle name="Normal 11" xfId="100" xr:uid="{00000000-0005-0000-0000-000068000000}"/>
    <cellStyle name="Normal 11 2" xfId="360" xr:uid="{E016A8F2-4797-4120-BCB6-805E42A0D538}"/>
    <cellStyle name="Normal 11 3" xfId="348" xr:uid="{305642DA-EACC-45EE-B151-6250DEC9E9AD}"/>
    <cellStyle name="Normal 110" xfId="101" xr:uid="{00000000-0005-0000-0000-000069000000}"/>
    <cellStyle name="Normal 111" xfId="102" xr:uid="{00000000-0005-0000-0000-00006A000000}"/>
    <cellStyle name="Normal 112" xfId="103" xr:uid="{00000000-0005-0000-0000-00006B000000}"/>
    <cellStyle name="Normal 113" xfId="104" xr:uid="{00000000-0005-0000-0000-00006C000000}"/>
    <cellStyle name="Normal 114" xfId="105" xr:uid="{00000000-0005-0000-0000-00006D000000}"/>
    <cellStyle name="Normal 115" xfId="106" xr:uid="{00000000-0005-0000-0000-00006E000000}"/>
    <cellStyle name="Normal 116" xfId="107" xr:uid="{00000000-0005-0000-0000-00006F000000}"/>
    <cellStyle name="Normal 117" xfId="253" xr:uid="{00000000-0005-0000-0000-000070000000}"/>
    <cellStyle name="Normal 118" xfId="257" xr:uid="{5B9EACF0-B01B-4C52-A534-753ABF206700}"/>
    <cellStyle name="Normal 119" xfId="260" xr:uid="{AAD4C32C-8CF4-41A0-A754-18E7BC2F4682}"/>
    <cellStyle name="Normal 12" xfId="108" xr:uid="{00000000-0005-0000-0000-000071000000}"/>
    <cellStyle name="Normal 12 2" xfId="267" xr:uid="{73F62BB0-64B9-4DA2-AB2A-B8D4A9E57553}"/>
    <cellStyle name="Normal 12 3" xfId="351" xr:uid="{B61B08A6-AA68-484F-8B36-A92DD1EBE296}"/>
    <cellStyle name="Normal 120" xfId="262" xr:uid="{AC4AC250-4AF9-416E-AFB8-5DC13A3C0F57}"/>
    <cellStyle name="Normal 121" xfId="266" xr:uid="{883C70CD-66A2-4186-9C21-3F9CFC1FB7B2}"/>
    <cellStyle name="Normal 122" xfId="269" xr:uid="{5210CA3E-242D-42CF-9BC9-17A3F4436C5F}"/>
    <cellStyle name="Normal 123" xfId="273" xr:uid="{8B8715D9-E71A-435E-B6C1-271137983235}"/>
    <cellStyle name="Normal 124" xfId="349" xr:uid="{52502F1B-7DAD-491F-AC0C-3A88EBD354DA}"/>
    <cellStyle name="Normal 125" xfId="382" xr:uid="{E5CF2DC2-64E0-4522-962D-1AA527BF244A}"/>
    <cellStyle name="Normal 126" xfId="386" xr:uid="{2ED96ED9-E39E-4BA2-A7DC-0CAF9D9F2170}"/>
    <cellStyle name="Normal 127" xfId="388" xr:uid="{A5619DEC-E7E2-4ADF-8E0D-D26860A855FC}"/>
    <cellStyle name="Normal 13" xfId="109" xr:uid="{00000000-0005-0000-0000-000072000000}"/>
    <cellStyle name="Normal 13 2" xfId="335" xr:uid="{5C3730F5-F607-4763-80F0-222DB202189F}"/>
    <cellStyle name="Normal 14" xfId="110" xr:uid="{00000000-0005-0000-0000-000073000000}"/>
    <cellStyle name="Normal 14 2" xfId="366" xr:uid="{00EDB9F1-40A7-4768-9B29-52116927ACC4}"/>
    <cellStyle name="Normal 15" xfId="111" xr:uid="{00000000-0005-0000-0000-000074000000}"/>
    <cellStyle name="Normal 15 2" xfId="369" xr:uid="{926C091D-A0DF-4B22-9FA5-A172C185DFA4}"/>
    <cellStyle name="Normal 16" xfId="112" xr:uid="{00000000-0005-0000-0000-000075000000}"/>
    <cellStyle name="Normal 16 2" xfId="362" xr:uid="{10CB046E-2488-4B35-8CBE-CACDD83C2BDB}"/>
    <cellStyle name="Normal 17" xfId="113" xr:uid="{00000000-0005-0000-0000-000076000000}"/>
    <cellStyle name="Normal 17 2" xfId="346" xr:uid="{E27A85AA-8081-4213-A828-7AC1908AD67E}"/>
    <cellStyle name="Normal 17 2 2" xfId="376" xr:uid="{BA8E02DF-729E-406A-B9E8-053B02C4349C}"/>
    <cellStyle name="Normal 17 3" xfId="339" xr:uid="{5AF78CBE-1AF3-4E22-91C6-705974C25C9E}"/>
    <cellStyle name="Normal 18" xfId="114" xr:uid="{00000000-0005-0000-0000-000077000000}"/>
    <cellStyle name="Normal 18 2" xfId="372" xr:uid="{670D58D8-19E9-40C0-9632-D97F0DCC3307}"/>
    <cellStyle name="Normal 18 3" xfId="370" xr:uid="{513B1CCA-6506-45D6-9B07-91349F743A65}"/>
    <cellStyle name="Normal 19" xfId="115" xr:uid="{00000000-0005-0000-0000-000078000000}"/>
    <cellStyle name="Normal 19 2" xfId="371" xr:uid="{E125C11D-1BD0-473B-A5C1-84008CD6B20E}"/>
    <cellStyle name="Normal 2" xfId="116" xr:uid="{00000000-0005-0000-0000-000079000000}"/>
    <cellStyle name="Normal 2 2" xfId="117" xr:uid="{00000000-0005-0000-0000-00007A000000}"/>
    <cellStyle name="Normal 2 2 2" xfId="272" xr:uid="{1F6AE66E-5AB6-47CF-BE36-8B797E855DD3}"/>
    <cellStyle name="Normal 2 2 3" xfId="317" xr:uid="{7E152D89-B8DE-4C3C-AAF0-9866C0DE13D8}"/>
    <cellStyle name="Normal 2 3" xfId="251" xr:uid="{00000000-0005-0000-0000-00007B000000}"/>
    <cellStyle name="Normal 2 3 2" xfId="326" xr:uid="{1019021A-4E12-44C7-8FEC-424FDD5BE8F1}"/>
    <cellStyle name="Normal 2 4" xfId="263" xr:uid="{E38E3379-F55D-4C6B-8FEF-3DF2A43B2A97}"/>
    <cellStyle name="Normal 2 4 2" xfId="356" xr:uid="{EAA97025-DEE0-4607-B9A1-73A1DD130976}"/>
    <cellStyle name="Normal 2 5" xfId="271" xr:uid="{926AEBB1-13F6-47E4-904B-2346E15956D3}"/>
    <cellStyle name="Normal 2 5 2" xfId="359" xr:uid="{2AB41532-C18B-4791-B5D6-4824DB648EE9}"/>
    <cellStyle name="Normal 2 6" xfId="379" xr:uid="{DD158C96-B8D7-460C-A579-D0D2DC96532D}"/>
    <cellStyle name="Normal 2 7" xfId="318" xr:uid="{19103208-553C-41F8-B5A6-4DBF0C609C48}"/>
    <cellStyle name="Normal 20" xfId="118" xr:uid="{00000000-0005-0000-0000-00007C000000}"/>
    <cellStyle name="Normal 21" xfId="119" xr:uid="{00000000-0005-0000-0000-00007D000000}"/>
    <cellStyle name="Normal 218 2" xfId="355" xr:uid="{9D61016F-4CFE-4E80-9541-58F351E31D82}"/>
    <cellStyle name="Normal 22" xfId="120" xr:uid="{00000000-0005-0000-0000-00007E000000}"/>
    <cellStyle name="Normal 22 2" xfId="361" xr:uid="{63A2263C-614D-4F2E-9AA3-99EDD82928DF}"/>
    <cellStyle name="Normal 23" xfId="121" xr:uid="{00000000-0005-0000-0000-00007F000000}"/>
    <cellStyle name="Normal 24" xfId="122" xr:uid="{00000000-0005-0000-0000-000080000000}"/>
    <cellStyle name="Normal 25" xfId="123" xr:uid="{00000000-0005-0000-0000-000081000000}"/>
    <cellStyle name="Normal 26" xfId="124" xr:uid="{00000000-0005-0000-0000-000082000000}"/>
    <cellStyle name="Normal 27" xfId="125" xr:uid="{00000000-0005-0000-0000-000083000000}"/>
    <cellStyle name="Normal 28" xfId="126" xr:uid="{00000000-0005-0000-0000-000084000000}"/>
    <cellStyle name="Normal 29" xfId="127" xr:uid="{00000000-0005-0000-0000-000085000000}"/>
    <cellStyle name="Normal 3" xfId="128" xr:uid="{00000000-0005-0000-0000-000086000000}"/>
    <cellStyle name="Normal 3 2" xfId="129" xr:uid="{00000000-0005-0000-0000-000087000000}"/>
    <cellStyle name="Normal 3 2 2" xfId="365" xr:uid="{3639A526-DEDF-4C9F-B1A0-E84EEB4F3F49}"/>
    <cellStyle name="Normal 3 2 3" xfId="324" xr:uid="{FBC79A3B-5EC6-47A3-9450-17F49EF69FE5}"/>
    <cellStyle name="Normal 3 3" xfId="341" xr:uid="{9CDFBF87-2EE8-4C60-AE1A-0D15F3E7EB4F}"/>
    <cellStyle name="Normal 3 4" xfId="350" xr:uid="{D1C8EA5D-A368-40B5-B903-5042BD90557E}"/>
    <cellStyle name="Normal 3 5" xfId="363" xr:uid="{BE2F7133-2380-4DD2-A132-84B68FB360D7}"/>
    <cellStyle name="Normal 3 6" xfId="374" xr:uid="{126E7EAF-6ADB-4ADE-9F1B-CD69C6B69F73}"/>
    <cellStyle name="Normal 3 7" xfId="380" xr:uid="{71855207-6DF7-46E4-90D2-5224EDD64774}"/>
    <cellStyle name="Normal 3 8" xfId="320" xr:uid="{ED6474D4-4880-45BA-BF04-600EB2CA0CE8}"/>
    <cellStyle name="Normal 30" xfId="130" xr:uid="{00000000-0005-0000-0000-000088000000}"/>
    <cellStyle name="Normal 31" xfId="131" xr:uid="{00000000-0005-0000-0000-000089000000}"/>
    <cellStyle name="Normal 32" xfId="132" xr:uid="{00000000-0005-0000-0000-00008A000000}"/>
    <cellStyle name="Normal 33" xfId="133" xr:uid="{00000000-0005-0000-0000-00008B000000}"/>
    <cellStyle name="Normal 34" xfId="134" xr:uid="{00000000-0005-0000-0000-00008C000000}"/>
    <cellStyle name="Normal 35" xfId="135" xr:uid="{00000000-0005-0000-0000-00008D000000}"/>
    <cellStyle name="Normal 36" xfId="136" xr:uid="{00000000-0005-0000-0000-00008E000000}"/>
    <cellStyle name="Normal 37" xfId="137" xr:uid="{00000000-0005-0000-0000-00008F000000}"/>
    <cellStyle name="Normal 38" xfId="138" xr:uid="{00000000-0005-0000-0000-000090000000}"/>
    <cellStyle name="Normal 39" xfId="139" xr:uid="{00000000-0005-0000-0000-000091000000}"/>
    <cellStyle name="Normal 4" xfId="140" xr:uid="{00000000-0005-0000-0000-000092000000}"/>
    <cellStyle name="Normal 4 2" xfId="343" xr:uid="{E5D77897-50FF-4F92-867A-B9E1E068CD87}"/>
    <cellStyle name="Normal 4 3" xfId="328" xr:uid="{53137E70-B6B2-45F0-8228-B4A86CC04F01}"/>
    <cellStyle name="Normal 40" xfId="141" xr:uid="{00000000-0005-0000-0000-000093000000}"/>
    <cellStyle name="Normal 41" xfId="142" xr:uid="{00000000-0005-0000-0000-000094000000}"/>
    <cellStyle name="Normal 42" xfId="143" xr:uid="{00000000-0005-0000-0000-000095000000}"/>
    <cellStyle name="Normal 43" xfId="144" xr:uid="{00000000-0005-0000-0000-000096000000}"/>
    <cellStyle name="Normal 44" xfId="145" xr:uid="{00000000-0005-0000-0000-000097000000}"/>
    <cellStyle name="Normal 45" xfId="146" xr:uid="{00000000-0005-0000-0000-000098000000}"/>
    <cellStyle name="Normal 46" xfId="147" xr:uid="{00000000-0005-0000-0000-000099000000}"/>
    <cellStyle name="Normal 47" xfId="148" xr:uid="{00000000-0005-0000-0000-00009A000000}"/>
    <cellStyle name="Normal 48" xfId="149" xr:uid="{00000000-0005-0000-0000-00009B000000}"/>
    <cellStyle name="Normal 49" xfId="150" xr:uid="{00000000-0005-0000-0000-00009C000000}"/>
    <cellStyle name="Normal 5" xfId="151" xr:uid="{00000000-0005-0000-0000-00009D000000}"/>
    <cellStyle name="Normal 5 2" xfId="316" xr:uid="{63523CD6-58B3-424B-8C9F-DEA2B8EB19A4}"/>
    <cellStyle name="Normal 50" xfId="152" xr:uid="{00000000-0005-0000-0000-00009E000000}"/>
    <cellStyle name="Normal 51" xfId="153" xr:uid="{00000000-0005-0000-0000-00009F000000}"/>
    <cellStyle name="Normal 52" xfId="154" xr:uid="{00000000-0005-0000-0000-0000A0000000}"/>
    <cellStyle name="Normal 53" xfId="155" xr:uid="{00000000-0005-0000-0000-0000A1000000}"/>
    <cellStyle name="Normal 54" xfId="156" xr:uid="{00000000-0005-0000-0000-0000A2000000}"/>
    <cellStyle name="Normal 55" xfId="157" xr:uid="{00000000-0005-0000-0000-0000A3000000}"/>
    <cellStyle name="Normal 56" xfId="158" xr:uid="{00000000-0005-0000-0000-0000A4000000}"/>
    <cellStyle name="Normal 57" xfId="159" xr:uid="{00000000-0005-0000-0000-0000A5000000}"/>
    <cellStyle name="Normal 58" xfId="160" xr:uid="{00000000-0005-0000-0000-0000A6000000}"/>
    <cellStyle name="Normal 59" xfId="161" xr:uid="{00000000-0005-0000-0000-0000A7000000}"/>
    <cellStyle name="Normal 6" xfId="162" xr:uid="{00000000-0005-0000-0000-0000A8000000}"/>
    <cellStyle name="Normal 6 2" xfId="268" xr:uid="{A0C64B1F-EF18-44A1-833D-79AADEF42026}"/>
    <cellStyle name="Normal 6 3" xfId="323" xr:uid="{EEB7F684-1E4F-4541-9EBD-FAA0A2FEDF41}"/>
    <cellStyle name="Normal 60" xfId="163" xr:uid="{00000000-0005-0000-0000-0000A9000000}"/>
    <cellStyle name="Normal 61" xfId="164" xr:uid="{00000000-0005-0000-0000-0000AA000000}"/>
    <cellStyle name="Normal 62" xfId="165" xr:uid="{00000000-0005-0000-0000-0000AB000000}"/>
    <cellStyle name="Normal 63" xfId="166" xr:uid="{00000000-0005-0000-0000-0000AC000000}"/>
    <cellStyle name="Normal 64" xfId="167" xr:uid="{00000000-0005-0000-0000-0000AD000000}"/>
    <cellStyle name="Normal 65" xfId="168" xr:uid="{00000000-0005-0000-0000-0000AE000000}"/>
    <cellStyle name="Normal 66" xfId="169" xr:uid="{00000000-0005-0000-0000-0000AF000000}"/>
    <cellStyle name="Normal 67" xfId="170" xr:uid="{00000000-0005-0000-0000-0000B0000000}"/>
    <cellStyle name="Normal 68" xfId="171" xr:uid="{00000000-0005-0000-0000-0000B1000000}"/>
    <cellStyle name="Normal 69" xfId="172" xr:uid="{00000000-0005-0000-0000-0000B2000000}"/>
    <cellStyle name="Normal 7" xfId="173" xr:uid="{00000000-0005-0000-0000-0000B3000000}"/>
    <cellStyle name="Normal 7 2" xfId="336" xr:uid="{7DFE838C-29D5-4A61-83B0-888BBCA6FE0F}"/>
    <cellStyle name="Normal 70" xfId="174" xr:uid="{00000000-0005-0000-0000-0000B4000000}"/>
    <cellStyle name="Normal 71" xfId="175" xr:uid="{00000000-0005-0000-0000-0000B5000000}"/>
    <cellStyle name="Normal 72" xfId="176" xr:uid="{00000000-0005-0000-0000-0000B6000000}"/>
    <cellStyle name="Normal 73" xfId="177" xr:uid="{00000000-0005-0000-0000-0000B7000000}"/>
    <cellStyle name="Normal 74" xfId="178" xr:uid="{00000000-0005-0000-0000-0000B8000000}"/>
    <cellStyle name="Normal 75" xfId="179" xr:uid="{00000000-0005-0000-0000-0000B9000000}"/>
    <cellStyle name="Normal 76" xfId="180" xr:uid="{00000000-0005-0000-0000-0000BA000000}"/>
    <cellStyle name="Normal 77" xfId="181" xr:uid="{00000000-0005-0000-0000-0000BB000000}"/>
    <cellStyle name="Normal 78" xfId="182" xr:uid="{00000000-0005-0000-0000-0000BC000000}"/>
    <cellStyle name="Normal 79" xfId="183" xr:uid="{00000000-0005-0000-0000-0000BD000000}"/>
    <cellStyle name="Normal 8" xfId="184" xr:uid="{00000000-0005-0000-0000-0000BE000000}"/>
    <cellStyle name="Normal 8 2" xfId="332" xr:uid="{9EC415D1-6D92-44FA-BA58-D8D55E3A5F60}"/>
    <cellStyle name="Normal 80" xfId="185" xr:uid="{00000000-0005-0000-0000-0000BF000000}"/>
    <cellStyle name="Normal 81" xfId="186" xr:uid="{00000000-0005-0000-0000-0000C0000000}"/>
    <cellStyle name="Normal 82" xfId="187" xr:uid="{00000000-0005-0000-0000-0000C1000000}"/>
    <cellStyle name="Normal 83" xfId="188" xr:uid="{00000000-0005-0000-0000-0000C2000000}"/>
    <cellStyle name="Normal 84" xfId="189" xr:uid="{00000000-0005-0000-0000-0000C3000000}"/>
    <cellStyle name="Normal 85" xfId="190" xr:uid="{00000000-0005-0000-0000-0000C4000000}"/>
    <cellStyle name="Normal 86" xfId="191" xr:uid="{00000000-0005-0000-0000-0000C5000000}"/>
    <cellStyle name="Normal 87" xfId="192" xr:uid="{00000000-0005-0000-0000-0000C6000000}"/>
    <cellStyle name="Normal 88" xfId="193" xr:uid="{00000000-0005-0000-0000-0000C7000000}"/>
    <cellStyle name="Normal 89" xfId="194" xr:uid="{00000000-0005-0000-0000-0000C8000000}"/>
    <cellStyle name="Normal 9" xfId="195" xr:uid="{00000000-0005-0000-0000-0000C9000000}"/>
    <cellStyle name="Normal 9 2" xfId="334" xr:uid="{3E240C5D-BDFD-4CAA-8A16-8ECE3891CB29}"/>
    <cellStyle name="Normal 90" xfId="196" xr:uid="{00000000-0005-0000-0000-0000CA000000}"/>
    <cellStyle name="Normal 91" xfId="197" xr:uid="{00000000-0005-0000-0000-0000CB000000}"/>
    <cellStyle name="Normal 92" xfId="198" xr:uid="{00000000-0005-0000-0000-0000CC000000}"/>
    <cellStyle name="Normal 93" xfId="199" xr:uid="{00000000-0005-0000-0000-0000CD000000}"/>
    <cellStyle name="Normal 94" xfId="200" xr:uid="{00000000-0005-0000-0000-0000CE000000}"/>
    <cellStyle name="Normal 95" xfId="201" xr:uid="{00000000-0005-0000-0000-0000CF000000}"/>
    <cellStyle name="Normal 96" xfId="202" xr:uid="{00000000-0005-0000-0000-0000D0000000}"/>
    <cellStyle name="Normal 97" xfId="203" xr:uid="{00000000-0005-0000-0000-0000D1000000}"/>
    <cellStyle name="Normal 98" xfId="204" xr:uid="{00000000-0005-0000-0000-0000D2000000}"/>
    <cellStyle name="Normal 99" xfId="205" xr:uid="{00000000-0005-0000-0000-0000D3000000}"/>
    <cellStyle name="Normal_BAB_3_05" xfId="206" xr:uid="{00000000-0005-0000-0000-0000D6000000}"/>
    <cellStyle name="Normal_KOL0698" xfId="207" xr:uid="{00000000-0005-0000-0000-0000D7000000}"/>
    <cellStyle name="Normal_Rainbow12.2008" xfId="208" xr:uid="{00000000-0005-0000-0000-0000D8000000}"/>
    <cellStyle name="Normal_RESHET96" xfId="209" xr:uid="{00000000-0005-0000-0000-0000D9000000}"/>
    <cellStyle name="Normal_דוח מתכונת הגשה" xfId="210" xr:uid="{00000000-0005-0000-0000-0000DA000000}"/>
    <cellStyle name="Normal_השקעה במוחזקות" xfId="211" xr:uid="{00000000-0005-0000-0000-0000DB000000}"/>
    <cellStyle name="Normal_כרטיסים שלא שולבו_1" xfId="212" xr:uid="{00000000-0005-0000-0000-0000DC000000}"/>
    <cellStyle name="Normal_כרטיסים שלא שולבו_2" xfId="213" xr:uid="{00000000-0005-0000-0000-0000DD000000}"/>
    <cellStyle name="Normal_נתונים לשינוי" xfId="214" xr:uid="{00000000-0005-0000-0000-0000DE000000}"/>
    <cellStyle name="Normal_עודפות" xfId="215" xr:uid="{00000000-0005-0000-0000-0000DF000000}"/>
    <cellStyle name="Note" xfId="216" xr:uid="{00000000-0005-0000-0000-0000E0000000}"/>
    <cellStyle name="Note 2" xfId="289" xr:uid="{661333A3-6C4C-4F4C-B9B3-E4FDA6D71DFF}"/>
    <cellStyle name="Output" xfId="217" xr:uid="{00000000-0005-0000-0000-0000E1000000}"/>
    <cellStyle name="Output 2" xfId="284" xr:uid="{F0E8E83E-7FBD-45F0-8615-D02477F73816}"/>
    <cellStyle name="Percent" xfId="218" builtinId="5"/>
    <cellStyle name="Percent [2]" xfId="219" xr:uid="{00000000-0005-0000-0000-0000E3000000}"/>
    <cellStyle name="Percent 2" xfId="220" xr:uid="{00000000-0005-0000-0000-0000E4000000}"/>
    <cellStyle name="Percent 2 2" xfId="221" xr:uid="{00000000-0005-0000-0000-0000E5000000}"/>
    <cellStyle name="Percent 2 3" xfId="322" xr:uid="{C1544AC0-7F75-4A90-90AB-A15FCC7ABE8D}"/>
    <cellStyle name="Percent 3" xfId="222" xr:uid="{00000000-0005-0000-0000-0000E6000000}"/>
    <cellStyle name="Percent 3 2" xfId="331" xr:uid="{C2DAB28C-067F-4D75-901C-4987587E7508}"/>
    <cellStyle name="Percent 4" xfId="259" xr:uid="{3D3CB6CE-6EEA-4DB4-A1B8-18965808A97A}"/>
    <cellStyle name="Percent 4 2" xfId="352" xr:uid="{59BBF407-A150-4E75-9D52-D25AFD20C12B}"/>
    <cellStyle name="Percent 5" xfId="327" xr:uid="{545E9D00-A691-45CA-896D-2072E38112E4}"/>
    <cellStyle name="Percent 6" xfId="384" xr:uid="{14F356B4-6677-47A6-9A24-394B9E010E33}"/>
    <cellStyle name="Percent 7" xfId="383" xr:uid="{B437DBF1-F5CF-45A3-BA4D-D83B02305FC6}"/>
    <cellStyle name="Style 1" xfId="223" xr:uid="{00000000-0005-0000-0000-0000E7000000}"/>
    <cellStyle name="Style 1 2" xfId="330" xr:uid="{563A8DCE-6FE9-46A0-9855-A4288C74C941}"/>
    <cellStyle name="Title" xfId="224" xr:uid="{00000000-0005-0000-0000-0000E8000000}"/>
    <cellStyle name="Title 2" xfId="275" xr:uid="{1AE13D24-59E5-47BC-9417-5471503AB48A}"/>
    <cellStyle name="Total" xfId="225" xr:uid="{00000000-0005-0000-0000-0000E9000000}"/>
    <cellStyle name="Total 2" xfId="291" xr:uid="{2B50FC02-368F-468C-A08C-90155F20BBE1}"/>
    <cellStyle name="Warning Text" xfId="226" xr:uid="{00000000-0005-0000-0000-0000EA000000}"/>
    <cellStyle name="Warning Text 2" xfId="288" xr:uid="{B19B4388-0DD6-411D-BAE5-B360AF2779BE}"/>
    <cellStyle name="הדגשה1" xfId="227" xr:uid="{00000000-0005-0000-0000-0000EB000000}"/>
    <cellStyle name="הדגשה2" xfId="228" xr:uid="{00000000-0005-0000-0000-0000EC000000}"/>
    <cellStyle name="הדגשה3" xfId="229" xr:uid="{00000000-0005-0000-0000-0000ED000000}"/>
    <cellStyle name="הדגשה4" xfId="230" xr:uid="{00000000-0005-0000-0000-0000EE000000}"/>
    <cellStyle name="הדגשה5" xfId="231" xr:uid="{00000000-0005-0000-0000-0000EF000000}"/>
    <cellStyle name="הדגשה6" xfId="232" xr:uid="{00000000-0005-0000-0000-0000F0000000}"/>
    <cellStyle name="הערה" xfId="233" xr:uid="{00000000-0005-0000-0000-0000F1000000}"/>
    <cellStyle name="חישוב" xfId="234" xr:uid="{00000000-0005-0000-0000-0000F2000000}"/>
    <cellStyle name="טוב" xfId="235" xr:uid="{00000000-0005-0000-0000-0000F3000000}"/>
    <cellStyle name="טקסט אזהרה" xfId="236" xr:uid="{00000000-0005-0000-0000-0000F4000000}"/>
    <cellStyle name="טקסט הסברי" xfId="237" xr:uid="{00000000-0005-0000-0000-0000F5000000}"/>
    <cellStyle name="כותרת" xfId="238" xr:uid="{00000000-0005-0000-0000-0000F6000000}"/>
    <cellStyle name="כותרת 1" xfId="239" xr:uid="{00000000-0005-0000-0000-0000F7000000}"/>
    <cellStyle name="כותרת 2" xfId="240" xr:uid="{00000000-0005-0000-0000-0000F8000000}"/>
    <cellStyle name="כותרת 3" xfId="241" xr:uid="{00000000-0005-0000-0000-0000F9000000}"/>
    <cellStyle name="כותרת 4" xfId="242" xr:uid="{00000000-0005-0000-0000-0000FA000000}"/>
    <cellStyle name="ניטראלי" xfId="243" xr:uid="{00000000-0005-0000-0000-0000FB000000}"/>
    <cellStyle name="סה&quot;כ" xfId="244" xr:uid="{00000000-0005-0000-0000-0000FC000000}"/>
    <cellStyle name="פלט" xfId="245" xr:uid="{00000000-0005-0000-0000-0000FD000000}"/>
    <cellStyle name="קלט" xfId="246" xr:uid="{00000000-0005-0000-0000-0000FE000000}"/>
    <cellStyle name="רע" xfId="247" xr:uid="{00000000-0005-0000-0000-0000FF000000}"/>
    <cellStyle name="רע 2" xfId="248" xr:uid="{00000000-0005-0000-0000-000000010000}"/>
    <cellStyle name="תא מסומן" xfId="249" xr:uid="{00000000-0005-0000-0000-000001010000}"/>
    <cellStyle name="תא מקושר" xfId="250" xr:uid="{00000000-0005-0000-0000-000002010000}"/>
  </cellStyles>
  <dxfs count="106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b/>
        <i val="0"/>
      </font>
      <fill>
        <patternFill>
          <bgColor rgb="FFFFFF00"/>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indexed="10"/>
        </patternFill>
      </fill>
    </dxf>
    <dxf>
      <fill>
        <patternFill>
          <bgColor indexed="10"/>
        </patternFill>
      </fill>
    </dxf>
    <dxf>
      <fill>
        <patternFill>
          <bgColor indexed="10"/>
        </patternFill>
      </fill>
    </dxf>
    <dxf>
      <font>
        <color rgb="FF9C0006"/>
      </font>
      <fill>
        <patternFill>
          <bgColor rgb="FFFF0000"/>
        </patternFill>
      </fill>
    </dxf>
    <dxf>
      <font>
        <color rgb="FF9C0006"/>
      </font>
      <fill>
        <patternFill>
          <bgColor rgb="FFFF000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b/>
        <i val="0"/>
      </font>
      <fill>
        <patternFill>
          <bgColor rgb="FFFFFF00"/>
        </patternFill>
      </fill>
    </dxf>
    <dxf>
      <font>
        <b/>
        <i val="0"/>
      </font>
      <fill>
        <patternFill>
          <bgColor rgb="FFFFFF00"/>
        </patternFill>
      </fill>
    </dxf>
    <dxf>
      <font>
        <b/>
        <i val="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99FF33"/>
      <color rgb="FFCCFFFF"/>
      <color rgb="FF0000FF"/>
      <color rgb="FFFF0066"/>
      <color rgb="FFFF99FF"/>
      <color rgb="FF66FFFF"/>
      <color rgb="FF00FFFF"/>
      <color rgb="FFFF66CC"/>
      <color rgb="FFFFCC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6.xml"/><Relationship Id="rId21" Type="http://schemas.openxmlformats.org/officeDocument/2006/relationships/worksheet" Target="worksheets/sheet21.xml"/><Relationship Id="rId42" Type="http://schemas.openxmlformats.org/officeDocument/2006/relationships/externalLink" Target="externalLinks/externalLink1.xml"/><Relationship Id="rId63" Type="http://schemas.openxmlformats.org/officeDocument/2006/relationships/externalLink" Target="externalLinks/externalLink22.xml"/><Relationship Id="rId84" Type="http://schemas.openxmlformats.org/officeDocument/2006/relationships/externalLink" Target="externalLinks/externalLink43.xml"/><Relationship Id="rId138" Type="http://schemas.openxmlformats.org/officeDocument/2006/relationships/externalLink" Target="externalLinks/externalLink97.xml"/><Relationship Id="rId159" Type="http://schemas.openxmlformats.org/officeDocument/2006/relationships/externalLink" Target="externalLinks/externalLink118.xml"/><Relationship Id="rId170" Type="http://schemas.openxmlformats.org/officeDocument/2006/relationships/externalLink" Target="externalLinks/externalLink129.xml"/><Relationship Id="rId191" Type="http://schemas.openxmlformats.org/officeDocument/2006/relationships/externalLink" Target="externalLinks/externalLink150.xml"/><Relationship Id="rId205" Type="http://schemas.openxmlformats.org/officeDocument/2006/relationships/externalLink" Target="externalLinks/externalLink164.xml"/><Relationship Id="rId226" Type="http://schemas.openxmlformats.org/officeDocument/2006/relationships/sharedStrings" Target="sharedStrings.xml"/><Relationship Id="rId107" Type="http://schemas.openxmlformats.org/officeDocument/2006/relationships/externalLink" Target="externalLinks/externalLink6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2.xml"/><Relationship Id="rId74" Type="http://schemas.openxmlformats.org/officeDocument/2006/relationships/externalLink" Target="externalLinks/externalLink33.xml"/><Relationship Id="rId128" Type="http://schemas.openxmlformats.org/officeDocument/2006/relationships/externalLink" Target="externalLinks/externalLink87.xml"/><Relationship Id="rId149" Type="http://schemas.openxmlformats.org/officeDocument/2006/relationships/externalLink" Target="externalLinks/externalLink108.xml"/><Relationship Id="rId5" Type="http://schemas.openxmlformats.org/officeDocument/2006/relationships/worksheet" Target="worksheets/sheet5.xml"/><Relationship Id="rId95" Type="http://schemas.openxmlformats.org/officeDocument/2006/relationships/externalLink" Target="externalLinks/externalLink54.xml"/><Relationship Id="rId160" Type="http://schemas.openxmlformats.org/officeDocument/2006/relationships/externalLink" Target="externalLinks/externalLink119.xml"/><Relationship Id="rId181" Type="http://schemas.openxmlformats.org/officeDocument/2006/relationships/externalLink" Target="externalLinks/externalLink140.xml"/><Relationship Id="rId216" Type="http://schemas.openxmlformats.org/officeDocument/2006/relationships/externalLink" Target="externalLinks/externalLink175.xml"/><Relationship Id="rId22" Type="http://schemas.openxmlformats.org/officeDocument/2006/relationships/worksheet" Target="worksheets/sheet22.xml"/><Relationship Id="rId43" Type="http://schemas.openxmlformats.org/officeDocument/2006/relationships/externalLink" Target="externalLinks/externalLink2.xml"/><Relationship Id="rId64" Type="http://schemas.openxmlformats.org/officeDocument/2006/relationships/externalLink" Target="externalLinks/externalLink23.xml"/><Relationship Id="rId118" Type="http://schemas.openxmlformats.org/officeDocument/2006/relationships/externalLink" Target="externalLinks/externalLink77.xml"/><Relationship Id="rId139" Type="http://schemas.openxmlformats.org/officeDocument/2006/relationships/externalLink" Target="externalLinks/externalLink98.xml"/><Relationship Id="rId85" Type="http://schemas.openxmlformats.org/officeDocument/2006/relationships/externalLink" Target="externalLinks/externalLink44.xml"/><Relationship Id="rId150" Type="http://schemas.openxmlformats.org/officeDocument/2006/relationships/externalLink" Target="externalLinks/externalLink109.xml"/><Relationship Id="rId171" Type="http://schemas.openxmlformats.org/officeDocument/2006/relationships/externalLink" Target="externalLinks/externalLink130.xml"/><Relationship Id="rId192" Type="http://schemas.openxmlformats.org/officeDocument/2006/relationships/externalLink" Target="externalLinks/externalLink151.xml"/><Relationship Id="rId206" Type="http://schemas.openxmlformats.org/officeDocument/2006/relationships/externalLink" Target="externalLinks/externalLink165.xml"/><Relationship Id="rId227" Type="http://schemas.openxmlformats.org/officeDocument/2006/relationships/sheetMetadata" Target="metadata.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67.xml"/><Relationship Id="rId129" Type="http://schemas.openxmlformats.org/officeDocument/2006/relationships/externalLink" Target="externalLinks/externalLink88.xml"/><Relationship Id="rId54" Type="http://schemas.openxmlformats.org/officeDocument/2006/relationships/externalLink" Target="externalLinks/externalLink13.xml"/><Relationship Id="rId75" Type="http://schemas.openxmlformats.org/officeDocument/2006/relationships/externalLink" Target="externalLinks/externalLink34.xml"/><Relationship Id="rId96" Type="http://schemas.openxmlformats.org/officeDocument/2006/relationships/externalLink" Target="externalLinks/externalLink55.xml"/><Relationship Id="rId140" Type="http://schemas.openxmlformats.org/officeDocument/2006/relationships/externalLink" Target="externalLinks/externalLink99.xml"/><Relationship Id="rId161" Type="http://schemas.openxmlformats.org/officeDocument/2006/relationships/externalLink" Target="externalLinks/externalLink120.xml"/><Relationship Id="rId182" Type="http://schemas.openxmlformats.org/officeDocument/2006/relationships/externalLink" Target="externalLinks/externalLink141.xml"/><Relationship Id="rId217" Type="http://schemas.openxmlformats.org/officeDocument/2006/relationships/externalLink" Target="externalLinks/externalLink176.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78.xml"/><Relationship Id="rId44" Type="http://schemas.openxmlformats.org/officeDocument/2006/relationships/externalLink" Target="externalLinks/externalLink3.xml"/><Relationship Id="rId65" Type="http://schemas.openxmlformats.org/officeDocument/2006/relationships/externalLink" Target="externalLinks/externalLink24.xml"/><Relationship Id="rId86" Type="http://schemas.openxmlformats.org/officeDocument/2006/relationships/externalLink" Target="externalLinks/externalLink45.xml"/><Relationship Id="rId130" Type="http://schemas.openxmlformats.org/officeDocument/2006/relationships/externalLink" Target="externalLinks/externalLink89.xml"/><Relationship Id="rId151" Type="http://schemas.openxmlformats.org/officeDocument/2006/relationships/externalLink" Target="externalLinks/externalLink110.xml"/><Relationship Id="rId172" Type="http://schemas.openxmlformats.org/officeDocument/2006/relationships/externalLink" Target="externalLinks/externalLink131.xml"/><Relationship Id="rId193" Type="http://schemas.openxmlformats.org/officeDocument/2006/relationships/externalLink" Target="externalLinks/externalLink152.xml"/><Relationship Id="rId207" Type="http://schemas.openxmlformats.org/officeDocument/2006/relationships/externalLink" Target="externalLinks/externalLink166.xml"/><Relationship Id="rId228"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68.xml"/><Relationship Id="rId34" Type="http://schemas.openxmlformats.org/officeDocument/2006/relationships/worksheet" Target="worksheets/sheet34.xml"/><Relationship Id="rId55" Type="http://schemas.openxmlformats.org/officeDocument/2006/relationships/externalLink" Target="externalLinks/externalLink14.xml"/><Relationship Id="rId76" Type="http://schemas.openxmlformats.org/officeDocument/2006/relationships/externalLink" Target="externalLinks/externalLink35.xml"/><Relationship Id="rId97" Type="http://schemas.openxmlformats.org/officeDocument/2006/relationships/externalLink" Target="externalLinks/externalLink56.xml"/><Relationship Id="rId120" Type="http://schemas.openxmlformats.org/officeDocument/2006/relationships/externalLink" Target="externalLinks/externalLink79.xml"/><Relationship Id="rId141" Type="http://schemas.openxmlformats.org/officeDocument/2006/relationships/externalLink" Target="externalLinks/externalLink100.xml"/><Relationship Id="rId7" Type="http://schemas.openxmlformats.org/officeDocument/2006/relationships/worksheet" Target="worksheets/sheet7.xml"/><Relationship Id="rId162" Type="http://schemas.openxmlformats.org/officeDocument/2006/relationships/externalLink" Target="externalLinks/externalLink121.xml"/><Relationship Id="rId183" Type="http://schemas.openxmlformats.org/officeDocument/2006/relationships/externalLink" Target="externalLinks/externalLink142.xml"/><Relationship Id="rId218" Type="http://schemas.openxmlformats.org/officeDocument/2006/relationships/externalLink" Target="externalLinks/externalLink177.xml"/><Relationship Id="rId24" Type="http://schemas.openxmlformats.org/officeDocument/2006/relationships/worksheet" Target="worksheets/sheet24.xml"/><Relationship Id="rId45" Type="http://schemas.openxmlformats.org/officeDocument/2006/relationships/externalLink" Target="externalLinks/externalLink4.xml"/><Relationship Id="rId66" Type="http://schemas.openxmlformats.org/officeDocument/2006/relationships/externalLink" Target="externalLinks/externalLink25.xml"/><Relationship Id="rId87" Type="http://schemas.openxmlformats.org/officeDocument/2006/relationships/externalLink" Target="externalLinks/externalLink46.xml"/><Relationship Id="rId110" Type="http://schemas.openxmlformats.org/officeDocument/2006/relationships/externalLink" Target="externalLinks/externalLink69.xml"/><Relationship Id="rId131" Type="http://schemas.openxmlformats.org/officeDocument/2006/relationships/externalLink" Target="externalLinks/externalLink90.xml"/><Relationship Id="rId152" Type="http://schemas.openxmlformats.org/officeDocument/2006/relationships/externalLink" Target="externalLinks/externalLink111.xml"/><Relationship Id="rId173" Type="http://schemas.openxmlformats.org/officeDocument/2006/relationships/externalLink" Target="externalLinks/externalLink132.xml"/><Relationship Id="rId194" Type="http://schemas.openxmlformats.org/officeDocument/2006/relationships/externalLink" Target="externalLinks/externalLink153.xml"/><Relationship Id="rId208" Type="http://schemas.openxmlformats.org/officeDocument/2006/relationships/externalLink" Target="externalLinks/externalLink167.xml"/><Relationship Id="rId229" Type="http://schemas.openxmlformats.org/officeDocument/2006/relationships/customXml" Target="../customXml/item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externalLink" Target="externalLinks/externalLink15.xml"/><Relationship Id="rId77" Type="http://schemas.openxmlformats.org/officeDocument/2006/relationships/externalLink" Target="externalLinks/externalLink36.xml"/><Relationship Id="rId100" Type="http://schemas.openxmlformats.org/officeDocument/2006/relationships/externalLink" Target="externalLinks/externalLink59.xml"/><Relationship Id="rId8" Type="http://schemas.openxmlformats.org/officeDocument/2006/relationships/worksheet" Target="worksheets/sheet8.xml"/><Relationship Id="rId98" Type="http://schemas.openxmlformats.org/officeDocument/2006/relationships/externalLink" Target="externalLinks/externalLink57.xml"/><Relationship Id="rId121" Type="http://schemas.openxmlformats.org/officeDocument/2006/relationships/externalLink" Target="externalLinks/externalLink80.xml"/><Relationship Id="rId142" Type="http://schemas.openxmlformats.org/officeDocument/2006/relationships/externalLink" Target="externalLinks/externalLink101.xml"/><Relationship Id="rId163" Type="http://schemas.openxmlformats.org/officeDocument/2006/relationships/externalLink" Target="externalLinks/externalLink122.xml"/><Relationship Id="rId184" Type="http://schemas.openxmlformats.org/officeDocument/2006/relationships/externalLink" Target="externalLinks/externalLink143.xml"/><Relationship Id="rId219" Type="http://schemas.openxmlformats.org/officeDocument/2006/relationships/externalLink" Target="externalLinks/externalLink178.xml"/><Relationship Id="rId230" Type="http://schemas.openxmlformats.org/officeDocument/2006/relationships/customXml" Target="../customXml/item2.xml"/><Relationship Id="rId25" Type="http://schemas.openxmlformats.org/officeDocument/2006/relationships/worksheet" Target="worksheets/sheet25.xml"/><Relationship Id="rId46" Type="http://schemas.openxmlformats.org/officeDocument/2006/relationships/externalLink" Target="externalLinks/externalLink5.xml"/><Relationship Id="rId67" Type="http://schemas.openxmlformats.org/officeDocument/2006/relationships/externalLink" Target="externalLinks/externalLink26.xml"/><Relationship Id="rId116" Type="http://schemas.openxmlformats.org/officeDocument/2006/relationships/externalLink" Target="externalLinks/externalLink75.xml"/><Relationship Id="rId137" Type="http://schemas.openxmlformats.org/officeDocument/2006/relationships/externalLink" Target="externalLinks/externalLink96.xml"/><Relationship Id="rId158" Type="http://schemas.openxmlformats.org/officeDocument/2006/relationships/externalLink" Target="externalLinks/externalLink11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1.xml"/><Relationship Id="rId83" Type="http://schemas.openxmlformats.org/officeDocument/2006/relationships/externalLink" Target="externalLinks/externalLink42.xml"/><Relationship Id="rId88" Type="http://schemas.openxmlformats.org/officeDocument/2006/relationships/externalLink" Target="externalLinks/externalLink47.xml"/><Relationship Id="rId111" Type="http://schemas.openxmlformats.org/officeDocument/2006/relationships/externalLink" Target="externalLinks/externalLink70.xml"/><Relationship Id="rId132" Type="http://schemas.openxmlformats.org/officeDocument/2006/relationships/externalLink" Target="externalLinks/externalLink91.xml"/><Relationship Id="rId153" Type="http://schemas.openxmlformats.org/officeDocument/2006/relationships/externalLink" Target="externalLinks/externalLink112.xml"/><Relationship Id="rId174" Type="http://schemas.openxmlformats.org/officeDocument/2006/relationships/externalLink" Target="externalLinks/externalLink133.xml"/><Relationship Id="rId179" Type="http://schemas.openxmlformats.org/officeDocument/2006/relationships/externalLink" Target="externalLinks/externalLink138.xml"/><Relationship Id="rId195" Type="http://schemas.openxmlformats.org/officeDocument/2006/relationships/externalLink" Target="externalLinks/externalLink154.xml"/><Relationship Id="rId209" Type="http://schemas.openxmlformats.org/officeDocument/2006/relationships/externalLink" Target="externalLinks/externalLink168.xml"/><Relationship Id="rId190" Type="http://schemas.openxmlformats.org/officeDocument/2006/relationships/externalLink" Target="externalLinks/externalLink149.xml"/><Relationship Id="rId204" Type="http://schemas.openxmlformats.org/officeDocument/2006/relationships/externalLink" Target="externalLinks/externalLink163.xml"/><Relationship Id="rId220" Type="http://schemas.openxmlformats.org/officeDocument/2006/relationships/externalLink" Target="externalLinks/externalLink179.xml"/><Relationship Id="rId225"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6.xml"/><Relationship Id="rId106" Type="http://schemas.openxmlformats.org/officeDocument/2006/relationships/externalLink" Target="externalLinks/externalLink65.xml"/><Relationship Id="rId127" Type="http://schemas.openxmlformats.org/officeDocument/2006/relationships/externalLink" Target="externalLinks/externalLink8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1.xml"/><Relationship Id="rId73" Type="http://schemas.openxmlformats.org/officeDocument/2006/relationships/externalLink" Target="externalLinks/externalLink32.xml"/><Relationship Id="rId78" Type="http://schemas.openxmlformats.org/officeDocument/2006/relationships/externalLink" Target="externalLinks/externalLink37.xml"/><Relationship Id="rId94" Type="http://schemas.openxmlformats.org/officeDocument/2006/relationships/externalLink" Target="externalLinks/externalLink53.xml"/><Relationship Id="rId99" Type="http://schemas.openxmlformats.org/officeDocument/2006/relationships/externalLink" Target="externalLinks/externalLink58.xml"/><Relationship Id="rId101" Type="http://schemas.openxmlformats.org/officeDocument/2006/relationships/externalLink" Target="externalLinks/externalLink60.xml"/><Relationship Id="rId122" Type="http://schemas.openxmlformats.org/officeDocument/2006/relationships/externalLink" Target="externalLinks/externalLink81.xml"/><Relationship Id="rId143" Type="http://schemas.openxmlformats.org/officeDocument/2006/relationships/externalLink" Target="externalLinks/externalLink102.xml"/><Relationship Id="rId148" Type="http://schemas.openxmlformats.org/officeDocument/2006/relationships/externalLink" Target="externalLinks/externalLink107.xml"/><Relationship Id="rId164" Type="http://schemas.openxmlformats.org/officeDocument/2006/relationships/externalLink" Target="externalLinks/externalLink123.xml"/><Relationship Id="rId169" Type="http://schemas.openxmlformats.org/officeDocument/2006/relationships/externalLink" Target="externalLinks/externalLink128.xml"/><Relationship Id="rId185" Type="http://schemas.openxmlformats.org/officeDocument/2006/relationships/externalLink" Target="externalLinks/externalLink144.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39.xml"/><Relationship Id="rId210" Type="http://schemas.openxmlformats.org/officeDocument/2006/relationships/externalLink" Target="externalLinks/externalLink169.xml"/><Relationship Id="rId215" Type="http://schemas.openxmlformats.org/officeDocument/2006/relationships/externalLink" Target="externalLinks/externalLink174.xml"/><Relationship Id="rId26" Type="http://schemas.openxmlformats.org/officeDocument/2006/relationships/worksheet" Target="worksheets/sheet26.xml"/><Relationship Id="rId231" Type="http://schemas.openxmlformats.org/officeDocument/2006/relationships/customXml" Target="../customXml/item3.xml"/><Relationship Id="rId47" Type="http://schemas.openxmlformats.org/officeDocument/2006/relationships/externalLink" Target="externalLinks/externalLink6.xml"/><Relationship Id="rId68" Type="http://schemas.openxmlformats.org/officeDocument/2006/relationships/externalLink" Target="externalLinks/externalLink27.xml"/><Relationship Id="rId89" Type="http://schemas.openxmlformats.org/officeDocument/2006/relationships/externalLink" Target="externalLinks/externalLink48.xml"/><Relationship Id="rId112" Type="http://schemas.openxmlformats.org/officeDocument/2006/relationships/externalLink" Target="externalLinks/externalLink71.xml"/><Relationship Id="rId133" Type="http://schemas.openxmlformats.org/officeDocument/2006/relationships/externalLink" Target="externalLinks/externalLink92.xml"/><Relationship Id="rId154" Type="http://schemas.openxmlformats.org/officeDocument/2006/relationships/externalLink" Target="externalLinks/externalLink113.xml"/><Relationship Id="rId175" Type="http://schemas.openxmlformats.org/officeDocument/2006/relationships/externalLink" Target="externalLinks/externalLink134.xml"/><Relationship Id="rId196" Type="http://schemas.openxmlformats.org/officeDocument/2006/relationships/externalLink" Target="externalLinks/externalLink155.xml"/><Relationship Id="rId200" Type="http://schemas.openxmlformats.org/officeDocument/2006/relationships/externalLink" Target="externalLinks/externalLink159.xml"/><Relationship Id="rId16" Type="http://schemas.openxmlformats.org/officeDocument/2006/relationships/worksheet" Target="worksheets/sheet16.xml"/><Relationship Id="rId221" Type="http://schemas.openxmlformats.org/officeDocument/2006/relationships/externalLink" Target="externalLinks/externalLink180.xml"/><Relationship Id="rId37" Type="http://schemas.openxmlformats.org/officeDocument/2006/relationships/worksheet" Target="worksheets/sheet37.xml"/><Relationship Id="rId58" Type="http://schemas.openxmlformats.org/officeDocument/2006/relationships/externalLink" Target="externalLinks/externalLink17.xml"/><Relationship Id="rId79" Type="http://schemas.openxmlformats.org/officeDocument/2006/relationships/externalLink" Target="externalLinks/externalLink38.xml"/><Relationship Id="rId102" Type="http://schemas.openxmlformats.org/officeDocument/2006/relationships/externalLink" Target="externalLinks/externalLink61.xml"/><Relationship Id="rId123" Type="http://schemas.openxmlformats.org/officeDocument/2006/relationships/externalLink" Target="externalLinks/externalLink82.xml"/><Relationship Id="rId144" Type="http://schemas.openxmlformats.org/officeDocument/2006/relationships/externalLink" Target="externalLinks/externalLink103.xml"/><Relationship Id="rId90" Type="http://schemas.openxmlformats.org/officeDocument/2006/relationships/externalLink" Target="externalLinks/externalLink49.xml"/><Relationship Id="rId165" Type="http://schemas.openxmlformats.org/officeDocument/2006/relationships/externalLink" Target="externalLinks/externalLink124.xml"/><Relationship Id="rId186" Type="http://schemas.openxmlformats.org/officeDocument/2006/relationships/externalLink" Target="externalLinks/externalLink145.xml"/><Relationship Id="rId211" Type="http://schemas.openxmlformats.org/officeDocument/2006/relationships/externalLink" Target="externalLinks/externalLink170.xml"/><Relationship Id="rId27" Type="http://schemas.openxmlformats.org/officeDocument/2006/relationships/worksheet" Target="worksheets/sheet27.xml"/><Relationship Id="rId48" Type="http://schemas.openxmlformats.org/officeDocument/2006/relationships/externalLink" Target="externalLinks/externalLink7.xml"/><Relationship Id="rId69" Type="http://schemas.openxmlformats.org/officeDocument/2006/relationships/externalLink" Target="externalLinks/externalLink28.xml"/><Relationship Id="rId113" Type="http://schemas.openxmlformats.org/officeDocument/2006/relationships/externalLink" Target="externalLinks/externalLink72.xml"/><Relationship Id="rId134" Type="http://schemas.openxmlformats.org/officeDocument/2006/relationships/externalLink" Target="externalLinks/externalLink93.xml"/><Relationship Id="rId80" Type="http://schemas.openxmlformats.org/officeDocument/2006/relationships/externalLink" Target="externalLinks/externalLink39.xml"/><Relationship Id="rId155" Type="http://schemas.openxmlformats.org/officeDocument/2006/relationships/externalLink" Target="externalLinks/externalLink114.xml"/><Relationship Id="rId176" Type="http://schemas.openxmlformats.org/officeDocument/2006/relationships/externalLink" Target="externalLinks/externalLink135.xml"/><Relationship Id="rId197" Type="http://schemas.openxmlformats.org/officeDocument/2006/relationships/externalLink" Target="externalLinks/externalLink156.xml"/><Relationship Id="rId201" Type="http://schemas.openxmlformats.org/officeDocument/2006/relationships/externalLink" Target="externalLinks/externalLink160.xml"/><Relationship Id="rId222" Type="http://schemas.openxmlformats.org/officeDocument/2006/relationships/externalLink" Target="externalLinks/externalLink18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externalLink" Target="externalLinks/externalLink18.xml"/><Relationship Id="rId103" Type="http://schemas.openxmlformats.org/officeDocument/2006/relationships/externalLink" Target="externalLinks/externalLink62.xml"/><Relationship Id="rId124" Type="http://schemas.openxmlformats.org/officeDocument/2006/relationships/externalLink" Target="externalLinks/externalLink83.xml"/><Relationship Id="rId70" Type="http://schemas.openxmlformats.org/officeDocument/2006/relationships/externalLink" Target="externalLinks/externalLink29.xml"/><Relationship Id="rId91" Type="http://schemas.openxmlformats.org/officeDocument/2006/relationships/externalLink" Target="externalLinks/externalLink50.xml"/><Relationship Id="rId145" Type="http://schemas.openxmlformats.org/officeDocument/2006/relationships/externalLink" Target="externalLinks/externalLink104.xml"/><Relationship Id="rId166" Type="http://schemas.openxmlformats.org/officeDocument/2006/relationships/externalLink" Target="externalLinks/externalLink125.xml"/><Relationship Id="rId187" Type="http://schemas.openxmlformats.org/officeDocument/2006/relationships/externalLink" Target="externalLinks/externalLink146.xml"/><Relationship Id="rId1" Type="http://schemas.openxmlformats.org/officeDocument/2006/relationships/worksheet" Target="worksheets/sheet1.xml"/><Relationship Id="rId212" Type="http://schemas.openxmlformats.org/officeDocument/2006/relationships/externalLink" Target="externalLinks/externalLink171.xml"/><Relationship Id="rId28" Type="http://schemas.openxmlformats.org/officeDocument/2006/relationships/worksheet" Target="worksheets/sheet28.xml"/><Relationship Id="rId49" Type="http://schemas.openxmlformats.org/officeDocument/2006/relationships/externalLink" Target="externalLinks/externalLink8.xml"/><Relationship Id="rId114" Type="http://schemas.openxmlformats.org/officeDocument/2006/relationships/externalLink" Target="externalLinks/externalLink73.xml"/><Relationship Id="rId60" Type="http://schemas.openxmlformats.org/officeDocument/2006/relationships/externalLink" Target="externalLinks/externalLink19.xml"/><Relationship Id="rId81" Type="http://schemas.openxmlformats.org/officeDocument/2006/relationships/externalLink" Target="externalLinks/externalLink40.xml"/><Relationship Id="rId135" Type="http://schemas.openxmlformats.org/officeDocument/2006/relationships/externalLink" Target="externalLinks/externalLink94.xml"/><Relationship Id="rId156" Type="http://schemas.openxmlformats.org/officeDocument/2006/relationships/externalLink" Target="externalLinks/externalLink115.xml"/><Relationship Id="rId177" Type="http://schemas.openxmlformats.org/officeDocument/2006/relationships/externalLink" Target="externalLinks/externalLink136.xml"/><Relationship Id="rId198" Type="http://schemas.openxmlformats.org/officeDocument/2006/relationships/externalLink" Target="externalLinks/externalLink157.xml"/><Relationship Id="rId202" Type="http://schemas.openxmlformats.org/officeDocument/2006/relationships/externalLink" Target="externalLinks/externalLink161.xml"/><Relationship Id="rId223" Type="http://schemas.openxmlformats.org/officeDocument/2006/relationships/externalLink" Target="externalLinks/externalLink18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externalLink" Target="externalLinks/externalLink9.xml"/><Relationship Id="rId104" Type="http://schemas.openxmlformats.org/officeDocument/2006/relationships/externalLink" Target="externalLinks/externalLink63.xml"/><Relationship Id="rId125" Type="http://schemas.openxmlformats.org/officeDocument/2006/relationships/externalLink" Target="externalLinks/externalLink84.xml"/><Relationship Id="rId146" Type="http://schemas.openxmlformats.org/officeDocument/2006/relationships/externalLink" Target="externalLinks/externalLink105.xml"/><Relationship Id="rId167" Type="http://schemas.openxmlformats.org/officeDocument/2006/relationships/externalLink" Target="externalLinks/externalLink126.xml"/><Relationship Id="rId188" Type="http://schemas.openxmlformats.org/officeDocument/2006/relationships/externalLink" Target="externalLinks/externalLink147.xml"/><Relationship Id="rId71" Type="http://schemas.openxmlformats.org/officeDocument/2006/relationships/externalLink" Target="externalLinks/externalLink30.xml"/><Relationship Id="rId92" Type="http://schemas.openxmlformats.org/officeDocument/2006/relationships/externalLink" Target="externalLinks/externalLink51.xml"/><Relationship Id="rId213" Type="http://schemas.openxmlformats.org/officeDocument/2006/relationships/externalLink" Target="externalLinks/externalLink172.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externalLink" Target="externalLinks/externalLink74.xml"/><Relationship Id="rId136" Type="http://schemas.openxmlformats.org/officeDocument/2006/relationships/externalLink" Target="externalLinks/externalLink95.xml"/><Relationship Id="rId157" Type="http://schemas.openxmlformats.org/officeDocument/2006/relationships/externalLink" Target="externalLinks/externalLink116.xml"/><Relationship Id="rId178" Type="http://schemas.openxmlformats.org/officeDocument/2006/relationships/externalLink" Target="externalLinks/externalLink137.xml"/><Relationship Id="rId61" Type="http://schemas.openxmlformats.org/officeDocument/2006/relationships/externalLink" Target="externalLinks/externalLink20.xml"/><Relationship Id="rId82" Type="http://schemas.openxmlformats.org/officeDocument/2006/relationships/externalLink" Target="externalLinks/externalLink41.xml"/><Relationship Id="rId199" Type="http://schemas.openxmlformats.org/officeDocument/2006/relationships/externalLink" Target="externalLinks/externalLink158.xml"/><Relationship Id="rId203" Type="http://schemas.openxmlformats.org/officeDocument/2006/relationships/externalLink" Target="externalLinks/externalLink162.xml"/><Relationship Id="rId19" Type="http://schemas.openxmlformats.org/officeDocument/2006/relationships/worksheet" Target="worksheets/sheet19.xml"/><Relationship Id="rId224" Type="http://schemas.openxmlformats.org/officeDocument/2006/relationships/theme" Target="theme/theme1.xml"/><Relationship Id="rId30" Type="http://schemas.openxmlformats.org/officeDocument/2006/relationships/worksheet" Target="worksheets/sheet30.xml"/><Relationship Id="rId105" Type="http://schemas.openxmlformats.org/officeDocument/2006/relationships/externalLink" Target="externalLinks/externalLink64.xml"/><Relationship Id="rId126" Type="http://schemas.openxmlformats.org/officeDocument/2006/relationships/externalLink" Target="externalLinks/externalLink85.xml"/><Relationship Id="rId147" Type="http://schemas.openxmlformats.org/officeDocument/2006/relationships/externalLink" Target="externalLinks/externalLink106.xml"/><Relationship Id="rId168" Type="http://schemas.openxmlformats.org/officeDocument/2006/relationships/externalLink" Target="externalLinks/externalLink127.xml"/><Relationship Id="rId51" Type="http://schemas.openxmlformats.org/officeDocument/2006/relationships/externalLink" Target="externalLinks/externalLink10.xml"/><Relationship Id="rId72" Type="http://schemas.openxmlformats.org/officeDocument/2006/relationships/externalLink" Target="externalLinks/externalLink31.xml"/><Relationship Id="rId93" Type="http://schemas.openxmlformats.org/officeDocument/2006/relationships/externalLink" Target="externalLinks/externalLink52.xml"/><Relationship Id="rId189" Type="http://schemas.openxmlformats.org/officeDocument/2006/relationships/externalLink" Target="externalLinks/externalLink148.xml"/><Relationship Id="rId3" Type="http://schemas.openxmlformats.org/officeDocument/2006/relationships/worksheet" Target="worksheets/sheet3.xml"/><Relationship Id="rId214" Type="http://schemas.openxmlformats.org/officeDocument/2006/relationships/externalLink" Target="externalLinks/externalLink173.xml"/></Relationships>
</file>

<file path=xl/drawings/_rels/drawing2.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10" Type="http://schemas.openxmlformats.org/officeDocument/2006/relationships/image" Target="../media/image1.png"/><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3.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5.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10" Type="http://schemas.openxmlformats.org/officeDocument/2006/relationships/image" Target="../media/image3.png"/><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8.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10" Type="http://schemas.openxmlformats.org/officeDocument/2006/relationships/image" Target="../media/image6.png"/><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9.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11.xml.rels><?xml version="1.0" encoding="UTF-8" standalone="yes"?>
<Relationships xmlns="http://schemas.openxmlformats.org/package/2006/relationships"><Relationship Id="rId8" Type="http://schemas.openxmlformats.org/officeDocument/2006/relationships/hyperlink" Target="#'&#1504;&#1514;&#1493;&#1504;&#1497;&#1501; &#1500;&#1513;&#1497;&#1504;&#1493;&#1497;'!A1"/><Relationship Id="rId3" Type="http://schemas.openxmlformats.org/officeDocument/2006/relationships/hyperlink" Target="#'New TB INC'!A1"/><Relationship Id="rId7" Type="http://schemas.openxmlformats.org/officeDocument/2006/relationships/hyperlink" Target="#'&#1502;&#1488;&#1494;&#1503; &#1489;&#1493;&#1495;&#1503; &#1492;&#1493;&#1491;&#1493;'!A1"/><Relationship Id="rId2" Type="http://schemas.openxmlformats.org/officeDocument/2006/relationships/hyperlink" Target="#'&#1502;&#1488;&#1494;&#1503; &#1489;&#1493;&#1495;&#1503;'!A1"/><Relationship Id="rId1" Type="http://schemas.openxmlformats.org/officeDocument/2006/relationships/image" Target="../media/image7.png"/><Relationship Id="rId6" Type="http://schemas.openxmlformats.org/officeDocument/2006/relationships/hyperlink" Target="#'&#1502;&#1488;&#1494;&#1503; &#1489;&#1493;&#1495;&#1503; &#1510;&#1512;&#1508;&#1514;'!A1"/><Relationship Id="rId5" Type="http://schemas.openxmlformats.org/officeDocument/2006/relationships/hyperlink" Target="#'&#1502;&#1488;&#1494;&#1503; &#1489;&#1493;&#1495;&#1503; Australia'!A1"/><Relationship Id="rId10" Type="http://schemas.openxmlformats.org/officeDocument/2006/relationships/hyperlink" Target="#'Accrued expenses'!A1"/><Relationship Id="rId4" Type="http://schemas.openxmlformats.org/officeDocument/2006/relationships/hyperlink" Target="#'&#1502;&#1488;&#1494;&#1503; &#1489;&#1493;&#1495;&#1503; EUROPE'!A1"/><Relationship Id="rId9" Type="http://schemas.openxmlformats.org/officeDocument/2006/relationships/hyperlink" Target="#Consolidation!A1"/></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10" Type="http://schemas.openxmlformats.org/officeDocument/2006/relationships/image" Target="../media/image9.png"/><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15.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18.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drawing20.xml.rels><?xml version="1.0" encoding="UTF-8" standalone="yes"?>
<Relationships xmlns="http://schemas.openxmlformats.org/package/2006/relationships"><Relationship Id="rId8" Type="http://schemas.openxmlformats.org/officeDocument/2006/relationships/hyperlink" Target="#Consolidation!A1"/><Relationship Id="rId3" Type="http://schemas.openxmlformats.org/officeDocument/2006/relationships/hyperlink" Target="#'&#1502;&#1488;&#1494;&#1503; &#1489;&#1493;&#1495;&#1503; EUROPE'!A1"/><Relationship Id="rId7" Type="http://schemas.openxmlformats.org/officeDocument/2006/relationships/hyperlink" Target="#'&#1504;&#1514;&#1493;&#1504;&#1497;&#1501; &#1500;&#1513;&#1497;&#1504;&#1493;&#1497;'!A1"/><Relationship Id="rId2" Type="http://schemas.openxmlformats.org/officeDocument/2006/relationships/hyperlink" Target="#'New TB INC'!A1"/><Relationship Id="rId1" Type="http://schemas.openxmlformats.org/officeDocument/2006/relationships/hyperlink" Target="#'&#1502;&#1488;&#1494;&#1503; &#1489;&#1493;&#1495;&#1503;'!A1"/><Relationship Id="rId6" Type="http://schemas.openxmlformats.org/officeDocument/2006/relationships/hyperlink" Target="#'&#1502;&#1488;&#1494;&#1503; &#1489;&#1493;&#1495;&#1503; &#1492;&#1493;&#1491;&#1493;'!A1"/><Relationship Id="rId5" Type="http://schemas.openxmlformats.org/officeDocument/2006/relationships/hyperlink" Target="#'&#1502;&#1488;&#1494;&#1503; &#1489;&#1493;&#1495;&#1503; &#1510;&#1512;&#1508;&#1514;'!A1"/><Relationship Id="rId10" Type="http://schemas.openxmlformats.org/officeDocument/2006/relationships/image" Target="../media/image10.png"/><Relationship Id="rId4" Type="http://schemas.openxmlformats.org/officeDocument/2006/relationships/hyperlink" Target="#'&#1502;&#1488;&#1494;&#1503; &#1489;&#1493;&#1495;&#1503; Australia'!A1"/><Relationship Id="rId9" Type="http://schemas.openxmlformats.org/officeDocument/2006/relationships/hyperlink" Target="#'Accrued expenses'!A1"/></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1</xdr:row>
      <xdr:rowOff>9525</xdr:rowOff>
    </xdr:from>
    <xdr:to>
      <xdr:col>20</xdr:col>
      <xdr:colOff>38100</xdr:colOff>
      <xdr:row>2</xdr:row>
      <xdr:rowOff>184150</xdr:rowOff>
    </xdr:to>
    <xdr:sp macro="" textlink="">
      <xdr:nvSpPr>
        <xdr:cNvPr id="367650" name="טקסט 1">
          <a:extLst>
            <a:ext uri="{FF2B5EF4-FFF2-40B4-BE49-F238E27FC236}">
              <a16:creationId xmlns:a16="http://schemas.microsoft.com/office/drawing/2014/main" id="{00000000-0008-0000-0000-0000229C0500}"/>
            </a:ext>
          </a:extLst>
        </xdr:cNvPr>
        <xdr:cNvSpPr txBox="1">
          <a:spLocks noChangeArrowheads="1"/>
        </xdr:cNvSpPr>
      </xdr:nvSpPr>
      <xdr:spPr bwMode="auto">
        <a:xfrm>
          <a:off x="14135100" y="219075"/>
          <a:ext cx="38100" cy="3810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11204</xdr:colOff>
      <xdr:row>0</xdr:row>
      <xdr:rowOff>14941</xdr:rowOff>
    </xdr:from>
    <xdr:to>
      <xdr:col>3</xdr:col>
      <xdr:colOff>3328147</xdr:colOff>
      <xdr:row>6</xdr:row>
      <xdr:rowOff>147010</xdr:rowOff>
    </xdr:to>
    <xdr:grpSp>
      <xdr:nvGrpSpPr>
        <xdr:cNvPr id="14" name="Group 13">
          <a:extLst>
            <a:ext uri="{FF2B5EF4-FFF2-40B4-BE49-F238E27FC236}">
              <a16:creationId xmlns:a16="http://schemas.microsoft.com/office/drawing/2014/main" id="{00000000-0008-0000-0100-00000E000000}"/>
            </a:ext>
          </a:extLst>
        </xdr:cNvPr>
        <xdr:cNvGrpSpPr/>
      </xdr:nvGrpSpPr>
      <xdr:grpSpPr>
        <a:xfrm>
          <a:off x="9222316791" y="14941"/>
          <a:ext cx="3956799" cy="1118187"/>
          <a:chOff x="12824085" y="39969"/>
          <a:chExt cx="4415118" cy="901325"/>
        </a:xfrm>
        <a:solidFill>
          <a:schemeClr val="bg1">
            <a:lumMod val="65000"/>
          </a:schemeClr>
        </a:solidFill>
      </xdr:grpSpPr>
      <xdr:sp macro="" textlink="">
        <xdr:nvSpPr>
          <xdr:cNvPr id="15" name="Rectangle 14">
            <a:extLst>
              <a:ext uri="{FF2B5EF4-FFF2-40B4-BE49-F238E27FC236}">
                <a16:creationId xmlns:a16="http://schemas.microsoft.com/office/drawing/2014/main" id="{00000000-0008-0000-0100-00000F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00000000-0008-0000-0100-000010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00000000-0008-0000-0100-000011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00000000-0008-0000-0100-000012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00000000-0008-0000-0100-000013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00000000-0008-0000-0100-000014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00000000-0008-0000-0100-000015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00000000-0008-0000-0100-000016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3" name="Rectangle: Rounded Corners 22">
            <a:hlinkClick xmlns:r="http://schemas.openxmlformats.org/officeDocument/2006/relationships" r:id="rId8"/>
            <a:extLst>
              <a:ext uri="{FF2B5EF4-FFF2-40B4-BE49-F238E27FC236}">
                <a16:creationId xmlns:a16="http://schemas.microsoft.com/office/drawing/2014/main" id="{00000000-0008-0000-0100-000017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4" name="Rectangle: Rounded Corners 23">
            <a:hlinkClick xmlns:r="http://schemas.openxmlformats.org/officeDocument/2006/relationships" r:id="rId9"/>
            <a:extLst>
              <a:ext uri="{FF2B5EF4-FFF2-40B4-BE49-F238E27FC236}">
                <a16:creationId xmlns:a16="http://schemas.microsoft.com/office/drawing/2014/main" id="{00000000-0008-0000-0100-000018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editAs="oneCell">
    <xdr:from>
      <xdr:col>14</xdr:col>
      <xdr:colOff>2217964</xdr:colOff>
      <xdr:row>964</xdr:row>
      <xdr:rowOff>95250</xdr:rowOff>
    </xdr:from>
    <xdr:to>
      <xdr:col>27</xdr:col>
      <xdr:colOff>386076</xdr:colOff>
      <xdr:row>1008</xdr:row>
      <xdr:rowOff>73916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0"/>
        <a:stretch>
          <a:fillRect/>
        </a:stretch>
      </xdr:blipFill>
      <xdr:spPr>
        <a:xfrm>
          <a:off x="9161093501" y="159679821"/>
          <a:ext cx="12542857" cy="7380952"/>
        </a:xfrm>
        <a:prstGeom prst="rect">
          <a:avLst/>
        </a:prstGeom>
      </xdr:spPr>
    </xdr:pic>
    <xdr:clientData/>
  </xdr:twoCellAnchor>
  <xdr:twoCellAnchor>
    <xdr:from>
      <xdr:col>2</xdr:col>
      <xdr:colOff>22412</xdr:colOff>
      <xdr:row>0</xdr:row>
      <xdr:rowOff>33617</xdr:rowOff>
    </xdr:from>
    <xdr:to>
      <xdr:col>4</xdr:col>
      <xdr:colOff>0</xdr:colOff>
      <xdr:row>6</xdr:row>
      <xdr:rowOff>123264</xdr:rowOff>
    </xdr:to>
    <xdr:grpSp>
      <xdr:nvGrpSpPr>
        <xdr:cNvPr id="25" name="Group 24">
          <a:extLst>
            <a:ext uri="{FF2B5EF4-FFF2-40B4-BE49-F238E27FC236}">
              <a16:creationId xmlns:a16="http://schemas.microsoft.com/office/drawing/2014/main" id="{00000000-0008-0000-0100-000019000000}"/>
            </a:ext>
          </a:extLst>
        </xdr:cNvPr>
        <xdr:cNvGrpSpPr/>
      </xdr:nvGrpSpPr>
      <xdr:grpSpPr>
        <a:xfrm>
          <a:off x="9222317911" y="33617"/>
          <a:ext cx="3944471" cy="1075765"/>
          <a:chOff x="12824085" y="39969"/>
          <a:chExt cx="4415118" cy="901325"/>
        </a:xfrm>
        <a:solidFill>
          <a:schemeClr val="bg1">
            <a:lumMod val="65000"/>
          </a:schemeClr>
        </a:solidFill>
      </xdr:grpSpPr>
      <xdr:sp macro="" textlink="">
        <xdr:nvSpPr>
          <xdr:cNvPr id="26" name="Rectangle 25">
            <a:extLst>
              <a:ext uri="{FF2B5EF4-FFF2-40B4-BE49-F238E27FC236}">
                <a16:creationId xmlns:a16="http://schemas.microsoft.com/office/drawing/2014/main" id="{00000000-0008-0000-0100-00001A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00000000-0008-0000-0100-00001B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00000000-0008-0000-0100-00001C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00000000-0008-0000-0100-00001D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00000000-0008-0000-0100-00001E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00000000-0008-0000-0100-00001F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00000000-0008-0000-0100-000020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00000000-0008-0000-0100-000021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00000000-0008-0000-0100-000022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00000000-0008-0000-0100-000023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xdr:from>
      <xdr:col>1</xdr:col>
      <xdr:colOff>2353235</xdr:colOff>
      <xdr:row>0</xdr:row>
      <xdr:rowOff>100853</xdr:rowOff>
    </xdr:from>
    <xdr:to>
      <xdr:col>4</xdr:col>
      <xdr:colOff>22410</xdr:colOff>
      <xdr:row>6</xdr:row>
      <xdr:rowOff>100854</xdr:rowOff>
    </xdr:to>
    <xdr:grpSp>
      <xdr:nvGrpSpPr>
        <xdr:cNvPr id="36" name="Group 35">
          <a:extLst>
            <a:ext uri="{FF2B5EF4-FFF2-40B4-BE49-F238E27FC236}">
              <a16:creationId xmlns:a16="http://schemas.microsoft.com/office/drawing/2014/main" id="{00000000-0008-0000-0100-000024000000}"/>
            </a:ext>
          </a:extLst>
        </xdr:cNvPr>
        <xdr:cNvGrpSpPr/>
      </xdr:nvGrpSpPr>
      <xdr:grpSpPr>
        <a:xfrm>
          <a:off x="9222295501" y="100853"/>
          <a:ext cx="4179793" cy="986119"/>
          <a:chOff x="12824085" y="39970"/>
          <a:chExt cx="4415118" cy="873734"/>
        </a:xfrm>
        <a:solidFill>
          <a:schemeClr val="bg1">
            <a:lumMod val="75000"/>
          </a:schemeClr>
        </a:solidFill>
      </xdr:grpSpPr>
      <xdr:sp macro="" textlink="">
        <xdr:nvSpPr>
          <xdr:cNvPr id="37" name="Rectangle 36">
            <a:extLst>
              <a:ext uri="{FF2B5EF4-FFF2-40B4-BE49-F238E27FC236}">
                <a16:creationId xmlns:a16="http://schemas.microsoft.com/office/drawing/2014/main" id="{00000000-0008-0000-0100-000025000000}"/>
              </a:ext>
            </a:extLst>
          </xdr:cNvPr>
          <xdr:cNvSpPr/>
        </xdr:nvSpPr>
        <xdr:spPr bwMode="auto">
          <a:xfrm>
            <a:off x="12824085" y="39970"/>
            <a:ext cx="4415118" cy="873734"/>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38" name="Rectangle: Rounded Corners 37">
            <a:hlinkClick xmlns:r="http://schemas.openxmlformats.org/officeDocument/2006/relationships" r:id="rId1"/>
            <a:extLst>
              <a:ext uri="{FF2B5EF4-FFF2-40B4-BE49-F238E27FC236}">
                <a16:creationId xmlns:a16="http://schemas.microsoft.com/office/drawing/2014/main" id="{00000000-0008-0000-0100-000026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39" name="Rectangle: Rounded Corners 38">
            <a:hlinkClick xmlns:r="http://schemas.openxmlformats.org/officeDocument/2006/relationships" r:id="rId2"/>
            <a:extLst>
              <a:ext uri="{FF2B5EF4-FFF2-40B4-BE49-F238E27FC236}">
                <a16:creationId xmlns:a16="http://schemas.microsoft.com/office/drawing/2014/main" id="{00000000-0008-0000-0100-000027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40" name="Rectangle: Rounded Corners 39">
            <a:hlinkClick xmlns:r="http://schemas.openxmlformats.org/officeDocument/2006/relationships" r:id="rId3"/>
            <a:extLst>
              <a:ext uri="{FF2B5EF4-FFF2-40B4-BE49-F238E27FC236}">
                <a16:creationId xmlns:a16="http://schemas.microsoft.com/office/drawing/2014/main" id="{00000000-0008-0000-0100-000028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00000000-0008-0000-0100-000029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42" name="Rectangle: Rounded Corners 41">
            <a:hlinkClick xmlns:r="http://schemas.openxmlformats.org/officeDocument/2006/relationships" r:id="rId5"/>
            <a:extLst>
              <a:ext uri="{FF2B5EF4-FFF2-40B4-BE49-F238E27FC236}">
                <a16:creationId xmlns:a16="http://schemas.microsoft.com/office/drawing/2014/main" id="{00000000-0008-0000-0100-00002A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43" name="Rectangle: Rounded Corners 42">
            <a:hlinkClick xmlns:r="http://schemas.openxmlformats.org/officeDocument/2006/relationships" r:id="rId6"/>
            <a:extLst>
              <a:ext uri="{FF2B5EF4-FFF2-40B4-BE49-F238E27FC236}">
                <a16:creationId xmlns:a16="http://schemas.microsoft.com/office/drawing/2014/main" id="{00000000-0008-0000-0100-00002B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44" name="Rectangle: Rounded Corners 43">
            <a:hlinkClick xmlns:r="http://schemas.openxmlformats.org/officeDocument/2006/relationships" r:id="rId7"/>
            <a:extLst>
              <a:ext uri="{FF2B5EF4-FFF2-40B4-BE49-F238E27FC236}">
                <a16:creationId xmlns:a16="http://schemas.microsoft.com/office/drawing/2014/main" id="{00000000-0008-0000-0100-00002C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45" name="Rectangle: Rounded Corners 44">
            <a:hlinkClick xmlns:r="http://schemas.openxmlformats.org/officeDocument/2006/relationships" r:id="rId8"/>
            <a:extLst>
              <a:ext uri="{FF2B5EF4-FFF2-40B4-BE49-F238E27FC236}">
                <a16:creationId xmlns:a16="http://schemas.microsoft.com/office/drawing/2014/main" id="{00000000-0008-0000-0100-00002D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46" name="Rectangle: Rounded Corners 45">
            <a:hlinkClick xmlns:r="http://schemas.openxmlformats.org/officeDocument/2006/relationships" r:id="rId9"/>
            <a:extLst>
              <a:ext uri="{FF2B5EF4-FFF2-40B4-BE49-F238E27FC236}">
                <a16:creationId xmlns:a16="http://schemas.microsoft.com/office/drawing/2014/main" id="{00000000-0008-0000-0100-00002E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95250</xdr:rowOff>
    </xdr:from>
    <xdr:to>
      <xdr:col>1</xdr:col>
      <xdr:colOff>723900</xdr:colOff>
      <xdr:row>6</xdr:row>
      <xdr:rowOff>46784</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9050" y="95250"/>
          <a:ext cx="3317421" cy="931248"/>
          <a:chOff x="12824085" y="39969"/>
          <a:chExt cx="4415118" cy="901325"/>
        </a:xfrm>
        <a:solidFill>
          <a:schemeClr val="bg1">
            <a:lumMod val="75000"/>
          </a:schemeClr>
        </a:solidFill>
      </xdr:grpSpPr>
      <xdr:sp macro="" textlink="">
        <xdr:nvSpPr>
          <xdr:cNvPr id="3" name="Rectangle 2">
            <a:extLst>
              <a:ext uri="{FF2B5EF4-FFF2-40B4-BE49-F238E27FC236}">
                <a16:creationId xmlns:a16="http://schemas.microsoft.com/office/drawing/2014/main" id="{00000000-0008-0000-0500-000003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500-000004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0500-000005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0500-000006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0000000-0008-0000-0500-000007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0000000-0008-0000-0500-000008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00000000-0008-0000-0500-000009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00000000-0008-0000-0500-00000A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00000000-0008-0000-0500-00000B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0500-00000C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1200150</xdr:colOff>
          <xdr:row>46</xdr:row>
          <xdr:rowOff>47625</xdr:rowOff>
        </xdr:from>
        <xdr:to>
          <xdr:col>9</xdr:col>
          <xdr:colOff>0</xdr:colOff>
          <xdr:row>48</xdr:row>
          <xdr:rowOff>0</xdr:rowOff>
        </xdr:to>
        <xdr:sp macro="" textlink="">
          <xdr:nvSpPr>
            <xdr:cNvPr id="418823" name="Object 7" hidden="1">
              <a:extLst>
                <a:ext uri="{63B3BB69-23CF-44E3-9099-C40C66FF867C}">
                  <a14:compatExt spid="_x0000_s418823"/>
                </a:ext>
                <a:ext uri="{FF2B5EF4-FFF2-40B4-BE49-F238E27FC236}">
                  <a16:creationId xmlns:a16="http://schemas.microsoft.com/office/drawing/2014/main" id="{00000000-0008-0000-0600-0000076406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2398059</xdr:colOff>
      <xdr:row>6</xdr:row>
      <xdr:rowOff>134471</xdr:rowOff>
    </xdr:to>
    <xdr:grpSp>
      <xdr:nvGrpSpPr>
        <xdr:cNvPr id="13" name="Group 12">
          <a:extLst>
            <a:ext uri="{FF2B5EF4-FFF2-40B4-BE49-F238E27FC236}">
              <a16:creationId xmlns:a16="http://schemas.microsoft.com/office/drawing/2014/main" id="{00000000-0008-0000-0800-00000D000000}"/>
            </a:ext>
          </a:extLst>
        </xdr:cNvPr>
        <xdr:cNvGrpSpPr/>
      </xdr:nvGrpSpPr>
      <xdr:grpSpPr>
        <a:xfrm>
          <a:off x="0" y="0"/>
          <a:ext cx="3944471" cy="1075765"/>
          <a:chOff x="12824085" y="39969"/>
          <a:chExt cx="4415118" cy="901325"/>
        </a:xfrm>
        <a:solidFill>
          <a:schemeClr val="bg1">
            <a:lumMod val="65000"/>
          </a:schemeClr>
        </a:solidFill>
      </xdr:grpSpPr>
      <xdr:sp macro="" textlink="">
        <xdr:nvSpPr>
          <xdr:cNvPr id="14" name="Rectangle 13">
            <a:extLst>
              <a:ext uri="{FF2B5EF4-FFF2-40B4-BE49-F238E27FC236}">
                <a16:creationId xmlns:a16="http://schemas.microsoft.com/office/drawing/2014/main" id="{00000000-0008-0000-0800-00000E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0000000-0008-0000-0800-00000F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0800-000010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0800-000011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00000000-0008-0000-0800-000012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00000000-0008-0000-0800-000013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0000000-0008-0000-0800-000014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00000000-0008-0000-0800-000015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00000000-0008-0000-0800-000016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00000000-0008-0000-0800-000017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editAs="oneCell">
    <xdr:from>
      <xdr:col>16</xdr:col>
      <xdr:colOff>2017059</xdr:colOff>
      <xdr:row>53</xdr:row>
      <xdr:rowOff>123265</xdr:rowOff>
    </xdr:from>
    <xdr:to>
      <xdr:col>19</xdr:col>
      <xdr:colOff>700093</xdr:colOff>
      <xdr:row>72</xdr:row>
      <xdr:rowOff>16630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0"/>
        <a:stretch>
          <a:fillRect/>
        </a:stretch>
      </xdr:blipFill>
      <xdr:spPr>
        <a:xfrm>
          <a:off x="19318941" y="9054353"/>
          <a:ext cx="3685714" cy="29238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63500</xdr:colOff>
      <xdr:row>44</xdr:row>
      <xdr:rowOff>76200</xdr:rowOff>
    </xdr:from>
    <xdr:to>
      <xdr:col>5</xdr:col>
      <xdr:colOff>438150</xdr:colOff>
      <xdr:row>44</xdr:row>
      <xdr:rowOff>85725</xdr:rowOff>
    </xdr:to>
    <xdr:cxnSp macro="">
      <xdr:nvCxnSpPr>
        <xdr:cNvPr id="5" name="Straight Arrow Connector 4">
          <a:extLst>
            <a:ext uri="{FF2B5EF4-FFF2-40B4-BE49-F238E27FC236}">
              <a16:creationId xmlns:a16="http://schemas.microsoft.com/office/drawing/2014/main" id="{00000000-0008-0000-0C00-000005000000}"/>
            </a:ext>
          </a:extLst>
        </xdr:cNvPr>
        <xdr:cNvCxnSpPr/>
      </xdr:nvCxnSpPr>
      <xdr:spPr bwMode="auto">
        <a:xfrm flipV="1">
          <a:off x="5334000" y="7038975"/>
          <a:ext cx="1247775" cy="6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5</xdr:col>
      <xdr:colOff>638175</xdr:colOff>
      <xdr:row>47</xdr:row>
      <xdr:rowOff>9525</xdr:rowOff>
    </xdr:from>
    <xdr:to>
      <xdr:col>16</xdr:col>
      <xdr:colOff>48416</xdr:colOff>
      <xdr:row>57</xdr:row>
      <xdr:rowOff>114541</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1"/>
        <a:stretch>
          <a:fillRect/>
        </a:stretch>
      </xdr:blipFill>
      <xdr:spPr>
        <a:xfrm>
          <a:off x="6778625" y="7454900"/>
          <a:ext cx="5668166" cy="1727441"/>
        </a:xfrm>
        <a:prstGeom prst="rect">
          <a:avLst/>
        </a:prstGeom>
      </xdr:spPr>
    </xdr:pic>
    <xdr:clientData/>
  </xdr:twoCellAnchor>
  <xdr:twoCellAnchor>
    <xdr:from>
      <xdr:col>4</xdr:col>
      <xdr:colOff>25400</xdr:colOff>
      <xdr:row>46</xdr:row>
      <xdr:rowOff>82550</xdr:rowOff>
    </xdr:from>
    <xdr:to>
      <xdr:col>5</xdr:col>
      <xdr:colOff>609600</xdr:colOff>
      <xdr:row>51</xdr:row>
      <xdr:rowOff>57150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bwMode="auto">
        <a:xfrm>
          <a:off x="5295900" y="7372350"/>
          <a:ext cx="1457325" cy="781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5</xdr:col>
      <xdr:colOff>542925</xdr:colOff>
      <xdr:row>40</xdr:row>
      <xdr:rowOff>57150</xdr:rowOff>
    </xdr:from>
    <xdr:to>
      <xdr:col>15</xdr:col>
      <xdr:colOff>256508</xdr:colOff>
      <xdr:row>46</xdr:row>
      <xdr:rowOff>136394</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a:stretch>
          <a:fillRect/>
        </a:stretch>
      </xdr:blipFill>
      <xdr:spPr>
        <a:xfrm>
          <a:off x="8296275" y="6715125"/>
          <a:ext cx="5336508" cy="10507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323850</xdr:colOff>
      <xdr:row>1</xdr:row>
      <xdr:rowOff>38100</xdr:rowOff>
    </xdr:from>
    <xdr:to>
      <xdr:col>12</xdr:col>
      <xdr:colOff>814668</xdr:colOff>
      <xdr:row>6</xdr:row>
      <xdr:rowOff>442042</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5267325" y="200025"/>
          <a:ext cx="4415118" cy="1099267"/>
          <a:chOff x="9219723671" y="86314"/>
          <a:chExt cx="4415118" cy="2734394"/>
        </a:xfrm>
      </xdr:grpSpPr>
      <xdr:sp macro="" textlink="">
        <xdr:nvSpPr>
          <xdr:cNvPr id="3" name="Rectangle 2">
            <a:extLst>
              <a:ext uri="{FF2B5EF4-FFF2-40B4-BE49-F238E27FC236}">
                <a16:creationId xmlns:a16="http://schemas.microsoft.com/office/drawing/2014/main" id="{00000000-0008-0000-0D00-000003000000}"/>
              </a:ext>
            </a:extLst>
          </xdr:cNvPr>
          <xdr:cNvSpPr/>
        </xdr:nvSpPr>
        <xdr:spPr bwMode="auto">
          <a:xfrm>
            <a:off x="9219723671" y="86314"/>
            <a:ext cx="4415118" cy="2734394"/>
          </a:xfrm>
          <a:prstGeom prst="rect">
            <a:avLst/>
          </a:prstGeom>
          <a:solidFill>
            <a:schemeClr val="accent5"/>
          </a:solid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D00-000004000000}"/>
              </a:ext>
            </a:extLst>
          </xdr:cNvPr>
          <xdr:cNvSpPr/>
        </xdr:nvSpPr>
        <xdr:spPr bwMode="auto">
          <a:xfrm>
            <a:off x="9219858336" y="543276"/>
            <a:ext cx="1304934" cy="58427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0D00-000005000000}"/>
              </a:ext>
            </a:extLst>
          </xdr:cNvPr>
          <xdr:cNvSpPr/>
        </xdr:nvSpPr>
        <xdr:spPr bwMode="auto">
          <a:xfrm>
            <a:off x="9221315702" y="534204"/>
            <a:ext cx="1240782" cy="5870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0D00-000006000000}"/>
              </a:ext>
            </a:extLst>
          </xdr:cNvPr>
          <xdr:cNvSpPr/>
        </xdr:nvSpPr>
        <xdr:spPr bwMode="auto">
          <a:xfrm>
            <a:off x="9222782617" y="552415"/>
            <a:ext cx="1247132" cy="58427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0000000-0008-0000-0D00-000007000000}"/>
              </a:ext>
            </a:extLst>
          </xdr:cNvPr>
          <xdr:cNvSpPr/>
        </xdr:nvSpPr>
        <xdr:spPr bwMode="auto">
          <a:xfrm>
            <a:off x="9219896864" y="1275976"/>
            <a:ext cx="1240782" cy="59341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0000000-0008-0000-0D00-000008000000}"/>
              </a:ext>
            </a:extLst>
          </xdr:cNvPr>
          <xdr:cNvSpPr/>
        </xdr:nvSpPr>
        <xdr:spPr bwMode="auto">
          <a:xfrm>
            <a:off x="9221328420" y="1266132"/>
            <a:ext cx="1285661" cy="58427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00000000-0008-0000-0D00-000009000000}"/>
              </a:ext>
            </a:extLst>
          </xdr:cNvPr>
          <xdr:cNvSpPr/>
        </xdr:nvSpPr>
        <xdr:spPr bwMode="auto">
          <a:xfrm>
            <a:off x="9222819463" y="1297747"/>
            <a:ext cx="1247132" cy="573117"/>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00000000-0008-0000-0D00-00000A000000}"/>
              </a:ext>
            </a:extLst>
          </xdr:cNvPr>
          <xdr:cNvSpPr/>
        </xdr:nvSpPr>
        <xdr:spPr bwMode="auto">
          <a:xfrm>
            <a:off x="9219866377" y="2067034"/>
            <a:ext cx="1276141" cy="5835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00000000-0008-0000-0D00-00000B000000}"/>
              </a:ext>
            </a:extLst>
          </xdr:cNvPr>
          <xdr:cNvSpPr/>
        </xdr:nvSpPr>
        <xdr:spPr bwMode="auto">
          <a:xfrm>
            <a:off x="9221317199" y="2047349"/>
            <a:ext cx="1332251" cy="604568"/>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0D00-00000C000000}"/>
              </a:ext>
            </a:extLst>
          </xdr:cNvPr>
          <xdr:cNvSpPr/>
        </xdr:nvSpPr>
        <xdr:spPr bwMode="auto">
          <a:xfrm>
            <a:off x="9222780933" y="2030448"/>
            <a:ext cx="1319327" cy="5835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22411</xdr:colOff>
      <xdr:row>0</xdr:row>
      <xdr:rowOff>134469</xdr:rowOff>
    </xdr:from>
    <xdr:to>
      <xdr:col>3</xdr:col>
      <xdr:colOff>3148853</xdr:colOff>
      <xdr:row>6</xdr:row>
      <xdr:rowOff>224116</xdr:rowOff>
    </xdr:to>
    <xdr:grpSp>
      <xdr:nvGrpSpPr>
        <xdr:cNvPr id="13" name="Group 12">
          <a:extLst>
            <a:ext uri="{FF2B5EF4-FFF2-40B4-BE49-F238E27FC236}">
              <a16:creationId xmlns:a16="http://schemas.microsoft.com/office/drawing/2014/main" id="{00000000-0008-0000-1000-00000D000000}"/>
            </a:ext>
          </a:extLst>
        </xdr:cNvPr>
        <xdr:cNvGrpSpPr/>
      </xdr:nvGrpSpPr>
      <xdr:grpSpPr>
        <a:xfrm>
          <a:off x="9237875178" y="134469"/>
          <a:ext cx="3947973" cy="1089772"/>
          <a:chOff x="12824085" y="39969"/>
          <a:chExt cx="4415118" cy="901325"/>
        </a:xfrm>
        <a:solidFill>
          <a:schemeClr val="bg1">
            <a:lumMod val="65000"/>
          </a:schemeClr>
        </a:solidFill>
      </xdr:grpSpPr>
      <xdr:sp macro="" textlink="">
        <xdr:nvSpPr>
          <xdr:cNvPr id="14" name="Rectangle 13">
            <a:extLst>
              <a:ext uri="{FF2B5EF4-FFF2-40B4-BE49-F238E27FC236}">
                <a16:creationId xmlns:a16="http://schemas.microsoft.com/office/drawing/2014/main" id="{00000000-0008-0000-1000-00000E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0000000-0008-0000-1000-00000F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1000-000010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1000-000011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00000000-0008-0000-1000-000012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00000000-0008-0000-1000-000013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0000000-0008-0000-1000-000014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00000000-0008-0000-1000-000015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00000000-0008-0000-1000-000016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00000000-0008-0000-1000-000017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editAs="oneCell">
    <xdr:from>
      <xdr:col>20</xdr:col>
      <xdr:colOff>22411</xdr:colOff>
      <xdr:row>278</xdr:row>
      <xdr:rowOff>33618</xdr:rowOff>
    </xdr:from>
    <xdr:to>
      <xdr:col>31</xdr:col>
      <xdr:colOff>344366</xdr:colOff>
      <xdr:row>309</xdr:row>
      <xdr:rowOff>68847</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0"/>
        <a:stretch>
          <a:fillRect/>
        </a:stretch>
      </xdr:blipFill>
      <xdr:spPr>
        <a:xfrm>
          <a:off x="9208716987" y="44520971"/>
          <a:ext cx="10676190" cy="50476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145676</xdr:colOff>
      <xdr:row>0</xdr:row>
      <xdr:rowOff>78441</xdr:rowOff>
    </xdr:from>
    <xdr:to>
      <xdr:col>11</xdr:col>
      <xdr:colOff>638735</xdr:colOff>
      <xdr:row>6</xdr:row>
      <xdr:rowOff>145677</xdr:rowOff>
    </xdr:to>
    <xdr:grpSp>
      <xdr:nvGrpSpPr>
        <xdr:cNvPr id="2" name="Group 1">
          <a:extLst>
            <a:ext uri="{FF2B5EF4-FFF2-40B4-BE49-F238E27FC236}">
              <a16:creationId xmlns:a16="http://schemas.microsoft.com/office/drawing/2014/main" id="{00000000-0008-0000-1100-000002000000}"/>
            </a:ext>
          </a:extLst>
        </xdr:cNvPr>
        <xdr:cNvGrpSpPr/>
      </xdr:nvGrpSpPr>
      <xdr:grpSpPr>
        <a:xfrm>
          <a:off x="8810748265" y="78441"/>
          <a:ext cx="3070412" cy="1075765"/>
          <a:chOff x="12824085" y="39969"/>
          <a:chExt cx="4415118" cy="901325"/>
        </a:xfrm>
        <a:solidFill>
          <a:schemeClr val="bg1">
            <a:lumMod val="65000"/>
          </a:schemeClr>
        </a:solidFill>
      </xdr:grpSpPr>
      <xdr:sp macro="" textlink="">
        <xdr:nvSpPr>
          <xdr:cNvPr id="3" name="Rectangle 2">
            <a:extLst>
              <a:ext uri="{FF2B5EF4-FFF2-40B4-BE49-F238E27FC236}">
                <a16:creationId xmlns:a16="http://schemas.microsoft.com/office/drawing/2014/main" id="{00000000-0008-0000-1100-000003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1100-000004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1100-000005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1100-000006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0000000-0008-0000-1100-000007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0000000-0008-0000-1100-000008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00000000-0008-0000-1100-000009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00000000-0008-0000-1100-00000A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00000000-0008-0000-1100-00000B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1100-00000C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38100</xdr:colOff>
      <xdr:row>2</xdr:row>
      <xdr:rowOff>177800</xdr:rowOff>
    </xdr:to>
    <xdr:sp macro="" textlink="">
      <xdr:nvSpPr>
        <xdr:cNvPr id="2" name="טקסט 1">
          <a:extLst>
            <a:ext uri="{FF2B5EF4-FFF2-40B4-BE49-F238E27FC236}">
              <a16:creationId xmlns:a16="http://schemas.microsoft.com/office/drawing/2014/main" id="{00000000-0008-0000-1500-000002000000}"/>
            </a:ext>
          </a:extLst>
        </xdr:cNvPr>
        <xdr:cNvSpPr txBox="1">
          <a:spLocks noChangeArrowheads="1"/>
        </xdr:cNvSpPr>
      </xdr:nvSpPr>
      <xdr:spPr bwMode="auto">
        <a:xfrm flipH="1">
          <a:off x="0" y="361950"/>
          <a:ext cx="38100" cy="3810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16</xdr:col>
      <xdr:colOff>329346</xdr:colOff>
      <xdr:row>122</xdr:row>
      <xdr:rowOff>163058</xdr:rowOff>
    </xdr:from>
    <xdr:to>
      <xdr:col>22</xdr:col>
      <xdr:colOff>743294</xdr:colOff>
      <xdr:row>143</xdr:row>
      <xdr:rowOff>49556</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0289263884" y="20696237"/>
          <a:ext cx="8986449" cy="3377183"/>
        </a:xfrm>
        <a:prstGeom prst="rect">
          <a:avLst/>
        </a:prstGeom>
      </xdr:spPr>
    </xdr:pic>
    <xdr:clientData/>
  </xdr:twoCellAnchor>
  <xdr:twoCellAnchor>
    <xdr:from>
      <xdr:col>2</xdr:col>
      <xdr:colOff>0</xdr:colOff>
      <xdr:row>0</xdr:row>
      <xdr:rowOff>33618</xdr:rowOff>
    </xdr:from>
    <xdr:to>
      <xdr:col>3</xdr:col>
      <xdr:colOff>3148853</xdr:colOff>
      <xdr:row>6</xdr:row>
      <xdr:rowOff>134471</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9171764102" y="33618"/>
          <a:ext cx="3940541" cy="1102834"/>
          <a:chOff x="12824085" y="39969"/>
          <a:chExt cx="4415118" cy="901325"/>
        </a:xfrm>
        <a:solidFill>
          <a:schemeClr val="bg1">
            <a:lumMod val="65000"/>
          </a:schemeClr>
        </a:solidFill>
      </xdr:grpSpPr>
      <xdr:sp macro="" textlink="">
        <xdr:nvSpPr>
          <xdr:cNvPr id="15" name="Rectangle 14">
            <a:extLst>
              <a:ext uri="{FF2B5EF4-FFF2-40B4-BE49-F238E27FC236}">
                <a16:creationId xmlns:a16="http://schemas.microsoft.com/office/drawing/2014/main" id="{00000000-0008-0000-1600-00000F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1600-000010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1600-000011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00000000-0008-0000-1600-000012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00000000-0008-0000-1600-000013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0000000-0008-0000-1600-000014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00000000-0008-0000-1600-000015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00000000-0008-0000-1600-000016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00000000-0008-0000-1600-000017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4" name="Rectangle: Rounded Corners 23">
            <a:hlinkClick xmlns:r="http://schemas.openxmlformats.org/officeDocument/2006/relationships" r:id="rId10"/>
            <a:extLst>
              <a:ext uri="{FF2B5EF4-FFF2-40B4-BE49-F238E27FC236}">
                <a16:creationId xmlns:a16="http://schemas.microsoft.com/office/drawing/2014/main" id="{00000000-0008-0000-1600-000018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1230328</xdr:colOff>
      <xdr:row>20</xdr:row>
      <xdr:rowOff>56031</xdr:rowOff>
    </xdr:from>
    <xdr:to>
      <xdr:col>18</xdr:col>
      <xdr:colOff>193108</xdr:colOff>
      <xdr:row>41</xdr:row>
      <xdr:rowOff>149240</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02789480" y="3182472"/>
          <a:ext cx="8364515" cy="353023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38100</xdr:colOff>
      <xdr:row>2</xdr:row>
      <xdr:rowOff>177800</xdr:rowOff>
    </xdr:to>
    <xdr:sp macro="" textlink="">
      <xdr:nvSpPr>
        <xdr:cNvPr id="2" name="טקסט 1">
          <a:extLst>
            <a:ext uri="{FF2B5EF4-FFF2-40B4-BE49-F238E27FC236}">
              <a16:creationId xmlns:a16="http://schemas.microsoft.com/office/drawing/2014/main" id="{00000000-0008-0000-1900-000002000000}"/>
            </a:ext>
          </a:extLst>
        </xdr:cNvPr>
        <xdr:cNvSpPr txBox="1">
          <a:spLocks noChangeArrowheads="1"/>
        </xdr:cNvSpPr>
      </xdr:nvSpPr>
      <xdr:spPr bwMode="auto">
        <a:xfrm flipH="1">
          <a:off x="0" y="223838"/>
          <a:ext cx="38100" cy="38576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24165</xdr:colOff>
      <xdr:row>0</xdr:row>
      <xdr:rowOff>53277</xdr:rowOff>
    </xdr:from>
    <xdr:to>
      <xdr:col>3</xdr:col>
      <xdr:colOff>3143248</xdr:colOff>
      <xdr:row>5</xdr:row>
      <xdr:rowOff>136573</xdr:rowOff>
    </xdr:to>
    <xdr:grpSp>
      <xdr:nvGrpSpPr>
        <xdr:cNvPr id="2" name="Group 1">
          <a:extLst>
            <a:ext uri="{FF2B5EF4-FFF2-40B4-BE49-F238E27FC236}">
              <a16:creationId xmlns:a16="http://schemas.microsoft.com/office/drawing/2014/main" id="{00000000-0008-0000-1B00-000002000000}"/>
            </a:ext>
          </a:extLst>
        </xdr:cNvPr>
        <xdr:cNvGrpSpPr/>
      </xdr:nvGrpSpPr>
      <xdr:grpSpPr>
        <a:xfrm>
          <a:off x="2298259" y="53277"/>
          <a:ext cx="4535927" cy="916734"/>
          <a:chOff x="12824085" y="39969"/>
          <a:chExt cx="4415118" cy="901325"/>
        </a:xfrm>
        <a:solidFill>
          <a:schemeClr val="bg1">
            <a:lumMod val="75000"/>
          </a:schemeClr>
        </a:solidFill>
      </xdr:grpSpPr>
      <xdr:sp macro="" textlink="">
        <xdr:nvSpPr>
          <xdr:cNvPr id="16" name="Rectangle 15">
            <a:extLst>
              <a:ext uri="{FF2B5EF4-FFF2-40B4-BE49-F238E27FC236}">
                <a16:creationId xmlns:a16="http://schemas.microsoft.com/office/drawing/2014/main" id="{00000000-0008-0000-1B00-000010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00000000-0008-0000-1B00-000011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00000000-0008-0000-1B00-000012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00000000-0008-0000-1B00-000013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00000000-0008-0000-1B00-000014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00000000-0008-0000-1B00-000015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00000000-0008-0000-1B00-000016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00000000-0008-0000-1B00-000017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00000000-0008-0000-1B00-000018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00000000-0008-0000-1B00-000019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editAs="oneCell">
    <xdr:from>
      <xdr:col>12</xdr:col>
      <xdr:colOff>381000</xdr:colOff>
      <xdr:row>413</xdr:row>
      <xdr:rowOff>95250</xdr:rowOff>
    </xdr:from>
    <xdr:to>
      <xdr:col>12</xdr:col>
      <xdr:colOff>5266714</xdr:colOff>
      <xdr:row>425</xdr:row>
      <xdr:rowOff>104531</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0"/>
        <a:stretch>
          <a:fillRect/>
        </a:stretch>
      </xdr:blipFill>
      <xdr:spPr>
        <a:xfrm>
          <a:off x="12489656" y="69234844"/>
          <a:ext cx="4885714" cy="195238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404813</xdr:colOff>
      <xdr:row>0</xdr:row>
      <xdr:rowOff>47626</xdr:rowOff>
    </xdr:from>
    <xdr:to>
      <xdr:col>12</xdr:col>
      <xdr:colOff>192368</xdr:colOff>
      <xdr:row>4</xdr:row>
      <xdr:rowOff>47625</xdr:rowOff>
    </xdr:to>
    <xdr:grpSp>
      <xdr:nvGrpSpPr>
        <xdr:cNvPr id="2" name="Group 1">
          <a:extLst>
            <a:ext uri="{FF2B5EF4-FFF2-40B4-BE49-F238E27FC236}">
              <a16:creationId xmlns:a16="http://schemas.microsoft.com/office/drawing/2014/main" id="{00000000-0008-0000-1C00-000002000000}"/>
            </a:ext>
          </a:extLst>
        </xdr:cNvPr>
        <xdr:cNvGrpSpPr/>
      </xdr:nvGrpSpPr>
      <xdr:grpSpPr>
        <a:xfrm>
          <a:off x="14311313" y="47626"/>
          <a:ext cx="4407180" cy="785812"/>
          <a:chOff x="12824085" y="39969"/>
          <a:chExt cx="4415118" cy="901325"/>
        </a:xfrm>
        <a:solidFill>
          <a:schemeClr val="bg1">
            <a:lumMod val="75000"/>
          </a:schemeClr>
        </a:solidFill>
      </xdr:grpSpPr>
      <xdr:sp macro="" textlink="">
        <xdr:nvSpPr>
          <xdr:cNvPr id="3" name="Rectangle 2">
            <a:extLst>
              <a:ext uri="{FF2B5EF4-FFF2-40B4-BE49-F238E27FC236}">
                <a16:creationId xmlns:a16="http://schemas.microsoft.com/office/drawing/2014/main" id="{00000000-0008-0000-1C00-000003000000}"/>
              </a:ext>
            </a:extLst>
          </xdr:cNvPr>
          <xdr:cNvSpPr/>
        </xdr:nvSpPr>
        <xdr:spPr bwMode="auto">
          <a:xfrm>
            <a:off x="12824085" y="39969"/>
            <a:ext cx="4415118" cy="901325"/>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1C00-000004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1C00-000005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1C00-000006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0000000-0008-0000-1C00-000007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0000000-0008-0000-1C00-000008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00000000-0008-0000-1C00-000009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00000000-0008-0000-1C00-00000A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00000000-0008-0000-1C00-00000B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1C00-00000C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38100</xdr:colOff>
      <xdr:row>39</xdr:row>
      <xdr:rowOff>152400</xdr:rowOff>
    </xdr:from>
    <xdr:to>
      <xdr:col>7</xdr:col>
      <xdr:colOff>9525</xdr:colOff>
      <xdr:row>48</xdr:row>
      <xdr:rowOff>28575</xdr:rowOff>
    </xdr:to>
    <xdr:cxnSp macro="">
      <xdr:nvCxnSpPr>
        <xdr:cNvPr id="3" name="Straight Arrow Connector 2">
          <a:extLst>
            <a:ext uri="{FF2B5EF4-FFF2-40B4-BE49-F238E27FC236}">
              <a16:creationId xmlns:a16="http://schemas.microsoft.com/office/drawing/2014/main" id="{00000000-0008-0000-1D00-000003000000}"/>
            </a:ext>
          </a:extLst>
        </xdr:cNvPr>
        <xdr:cNvCxnSpPr/>
      </xdr:nvCxnSpPr>
      <xdr:spPr bwMode="auto">
        <a:xfrm>
          <a:off x="6572250" y="6467475"/>
          <a:ext cx="1600200" cy="13430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19050</xdr:colOff>
      <xdr:row>78</xdr:row>
      <xdr:rowOff>66675</xdr:rowOff>
    </xdr:from>
    <xdr:to>
      <xdr:col>16</xdr:col>
      <xdr:colOff>438150</xdr:colOff>
      <xdr:row>84</xdr:row>
      <xdr:rowOff>180975</xdr:rowOff>
    </xdr:to>
    <xdr:sp macro="" textlink="">
      <xdr:nvSpPr>
        <xdr:cNvPr id="4" name="Right Brace 3">
          <a:extLst>
            <a:ext uri="{FF2B5EF4-FFF2-40B4-BE49-F238E27FC236}">
              <a16:creationId xmlns:a16="http://schemas.microsoft.com/office/drawing/2014/main" id="{00000000-0008-0000-1F00-000004000000}"/>
            </a:ext>
          </a:extLst>
        </xdr:cNvPr>
        <xdr:cNvSpPr/>
      </xdr:nvSpPr>
      <xdr:spPr>
        <a:xfrm>
          <a:off x="13933170" y="24366855"/>
          <a:ext cx="419100" cy="15240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1411942</xdr:colOff>
      <xdr:row>0</xdr:row>
      <xdr:rowOff>156881</xdr:rowOff>
    </xdr:from>
    <xdr:to>
      <xdr:col>4</xdr:col>
      <xdr:colOff>44823</xdr:colOff>
      <xdr:row>7</xdr:row>
      <xdr:rowOff>0</xdr:rowOff>
    </xdr:to>
    <xdr:grpSp>
      <xdr:nvGrpSpPr>
        <xdr:cNvPr id="13" name="Group 12">
          <a:extLst>
            <a:ext uri="{FF2B5EF4-FFF2-40B4-BE49-F238E27FC236}">
              <a16:creationId xmlns:a16="http://schemas.microsoft.com/office/drawing/2014/main" id="{00000000-0008-0000-2000-00000D000000}"/>
            </a:ext>
          </a:extLst>
        </xdr:cNvPr>
        <xdr:cNvGrpSpPr/>
      </xdr:nvGrpSpPr>
      <xdr:grpSpPr>
        <a:xfrm>
          <a:off x="9225982235" y="156881"/>
          <a:ext cx="4179793" cy="986119"/>
          <a:chOff x="12824085" y="39970"/>
          <a:chExt cx="4415118" cy="873734"/>
        </a:xfrm>
        <a:solidFill>
          <a:schemeClr val="bg1">
            <a:lumMod val="75000"/>
          </a:schemeClr>
        </a:solidFill>
      </xdr:grpSpPr>
      <xdr:sp macro="" textlink="">
        <xdr:nvSpPr>
          <xdr:cNvPr id="14" name="Rectangle 13">
            <a:extLst>
              <a:ext uri="{FF2B5EF4-FFF2-40B4-BE49-F238E27FC236}">
                <a16:creationId xmlns:a16="http://schemas.microsoft.com/office/drawing/2014/main" id="{00000000-0008-0000-2000-00000E000000}"/>
              </a:ext>
            </a:extLst>
          </xdr:cNvPr>
          <xdr:cNvSpPr/>
        </xdr:nvSpPr>
        <xdr:spPr bwMode="auto">
          <a:xfrm>
            <a:off x="12824085" y="39970"/>
            <a:ext cx="4415118" cy="873734"/>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0000000-0008-0000-2000-00000F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2000-000010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2000-000011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00000000-0008-0000-2000-000012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00000000-0008-0000-2000-000013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0000000-0008-0000-2000-000014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00000000-0008-0000-2000-000015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00000000-0008-0000-2000-000016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00000000-0008-0000-2000-000017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38100</xdr:colOff>
      <xdr:row>2</xdr:row>
      <xdr:rowOff>221969</xdr:rowOff>
    </xdr:to>
    <xdr:sp macro="" textlink="">
      <xdr:nvSpPr>
        <xdr:cNvPr id="2" name="טקסט 1">
          <a:extLst>
            <a:ext uri="{FF2B5EF4-FFF2-40B4-BE49-F238E27FC236}">
              <a16:creationId xmlns:a16="http://schemas.microsoft.com/office/drawing/2014/main" id="{00000000-0008-0000-2300-000002000000}"/>
            </a:ext>
          </a:extLst>
        </xdr:cNvPr>
        <xdr:cNvSpPr txBox="1">
          <a:spLocks noChangeArrowheads="1"/>
        </xdr:cNvSpPr>
      </xdr:nvSpPr>
      <xdr:spPr bwMode="auto">
        <a:xfrm flipH="1">
          <a:off x="0" y="171450"/>
          <a:ext cx="38100" cy="374369"/>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73268</xdr:colOff>
      <xdr:row>0</xdr:row>
      <xdr:rowOff>1</xdr:rowOff>
    </xdr:from>
    <xdr:to>
      <xdr:col>3</xdr:col>
      <xdr:colOff>3370384</xdr:colOff>
      <xdr:row>6</xdr:row>
      <xdr:rowOff>115138</xdr:rowOff>
    </xdr:to>
    <xdr:grpSp>
      <xdr:nvGrpSpPr>
        <xdr:cNvPr id="2" name="Group 1">
          <a:extLst>
            <a:ext uri="{FF2B5EF4-FFF2-40B4-BE49-F238E27FC236}">
              <a16:creationId xmlns:a16="http://schemas.microsoft.com/office/drawing/2014/main" id="{00000000-0008-0000-2400-000002000000}"/>
            </a:ext>
          </a:extLst>
        </xdr:cNvPr>
        <xdr:cNvGrpSpPr/>
      </xdr:nvGrpSpPr>
      <xdr:grpSpPr>
        <a:xfrm>
          <a:off x="9189421428" y="1"/>
          <a:ext cx="4130554" cy="1115262"/>
          <a:chOff x="9219723671" y="86314"/>
          <a:chExt cx="4415118" cy="2734394"/>
        </a:xfrm>
        <a:solidFill>
          <a:schemeClr val="bg1">
            <a:lumMod val="65000"/>
          </a:schemeClr>
        </a:solidFill>
      </xdr:grpSpPr>
      <xdr:sp macro="" textlink="">
        <xdr:nvSpPr>
          <xdr:cNvPr id="3" name="Rectangle 2">
            <a:extLst>
              <a:ext uri="{FF2B5EF4-FFF2-40B4-BE49-F238E27FC236}">
                <a16:creationId xmlns:a16="http://schemas.microsoft.com/office/drawing/2014/main" id="{00000000-0008-0000-2400-000003000000}"/>
              </a:ext>
            </a:extLst>
          </xdr:cNvPr>
          <xdr:cNvSpPr/>
        </xdr:nvSpPr>
        <xdr:spPr bwMode="auto">
          <a:xfrm>
            <a:off x="9219723671" y="86314"/>
            <a:ext cx="4415118" cy="2734394"/>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2400-000004000000}"/>
              </a:ext>
            </a:extLst>
          </xdr:cNvPr>
          <xdr:cNvSpPr/>
        </xdr:nvSpPr>
        <xdr:spPr bwMode="auto">
          <a:xfrm>
            <a:off x="9219858336" y="543276"/>
            <a:ext cx="1304934" cy="584273"/>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2400-000005000000}"/>
              </a:ext>
            </a:extLst>
          </xdr:cNvPr>
          <xdr:cNvSpPr/>
        </xdr:nvSpPr>
        <xdr:spPr bwMode="auto">
          <a:xfrm>
            <a:off x="9221315702" y="534204"/>
            <a:ext cx="1240782" cy="58706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2400-000006000000}"/>
              </a:ext>
            </a:extLst>
          </xdr:cNvPr>
          <xdr:cNvSpPr/>
        </xdr:nvSpPr>
        <xdr:spPr bwMode="auto">
          <a:xfrm>
            <a:off x="9222782617" y="552415"/>
            <a:ext cx="1247132" cy="584273"/>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0000000-0008-0000-2400-000007000000}"/>
              </a:ext>
            </a:extLst>
          </xdr:cNvPr>
          <xdr:cNvSpPr/>
        </xdr:nvSpPr>
        <xdr:spPr bwMode="auto">
          <a:xfrm>
            <a:off x="9219896864" y="1275976"/>
            <a:ext cx="1240782" cy="5934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0000000-0008-0000-2400-000008000000}"/>
              </a:ext>
            </a:extLst>
          </xdr:cNvPr>
          <xdr:cNvSpPr/>
        </xdr:nvSpPr>
        <xdr:spPr bwMode="auto">
          <a:xfrm>
            <a:off x="9221328420" y="1266132"/>
            <a:ext cx="1285661" cy="584273"/>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00000000-0008-0000-2400-000009000000}"/>
              </a:ext>
            </a:extLst>
          </xdr:cNvPr>
          <xdr:cNvSpPr/>
        </xdr:nvSpPr>
        <xdr:spPr bwMode="auto">
          <a:xfrm>
            <a:off x="9222819463" y="1297747"/>
            <a:ext cx="1247132" cy="57311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00000000-0008-0000-2400-00000A000000}"/>
              </a:ext>
            </a:extLst>
          </xdr:cNvPr>
          <xdr:cNvSpPr/>
        </xdr:nvSpPr>
        <xdr:spPr bwMode="auto">
          <a:xfrm>
            <a:off x="9219866377" y="2067034"/>
            <a:ext cx="1276141" cy="58350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00000000-0008-0000-2400-00000B000000}"/>
              </a:ext>
            </a:extLst>
          </xdr:cNvPr>
          <xdr:cNvSpPr/>
        </xdr:nvSpPr>
        <xdr:spPr bwMode="auto">
          <a:xfrm>
            <a:off x="9221317199" y="2047349"/>
            <a:ext cx="1332251" cy="604568"/>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0000000-0008-0000-2400-00000C000000}"/>
              </a:ext>
            </a:extLst>
          </xdr:cNvPr>
          <xdr:cNvSpPr/>
        </xdr:nvSpPr>
        <xdr:spPr bwMode="auto">
          <a:xfrm>
            <a:off x="9222780933" y="2030448"/>
            <a:ext cx="1319327" cy="58350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twoCellAnchor editAs="oneCell">
    <xdr:from>
      <xdr:col>15</xdr:col>
      <xdr:colOff>790575</xdr:colOff>
      <xdr:row>126</xdr:row>
      <xdr:rowOff>85725</xdr:rowOff>
    </xdr:from>
    <xdr:to>
      <xdr:col>16</xdr:col>
      <xdr:colOff>564528</xdr:colOff>
      <xdr:row>139</xdr:row>
      <xdr:rowOff>145775</xdr:rowOff>
    </xdr:to>
    <xdr:pic>
      <xdr:nvPicPr>
        <xdr:cNvPr id="13" name="Picture 12">
          <a:extLst>
            <a:ext uri="{FF2B5EF4-FFF2-40B4-BE49-F238E27FC236}">
              <a16:creationId xmlns:a16="http://schemas.microsoft.com/office/drawing/2014/main" id="{00000000-0008-0000-2400-00000D000000}"/>
            </a:ext>
          </a:extLst>
        </xdr:cNvPr>
        <xdr:cNvPicPr>
          <a:picLocks noChangeAspect="1"/>
        </xdr:cNvPicPr>
      </xdr:nvPicPr>
      <xdr:blipFill>
        <a:blip xmlns:r="http://schemas.openxmlformats.org/officeDocument/2006/relationships" r:embed="rId10"/>
        <a:stretch>
          <a:fillRect/>
        </a:stretch>
      </xdr:blipFill>
      <xdr:spPr>
        <a:xfrm>
          <a:off x="9209799323" y="20212050"/>
          <a:ext cx="4980952" cy="2180952"/>
        </a:xfrm>
        <a:prstGeom prst="rect">
          <a:avLst/>
        </a:prstGeom>
      </xdr:spPr>
    </xdr:pic>
    <xdr:clientData/>
  </xdr:twoCellAnchor>
  <xdr:twoCellAnchor>
    <xdr:from>
      <xdr:col>2</xdr:col>
      <xdr:colOff>47625</xdr:colOff>
      <xdr:row>0</xdr:row>
      <xdr:rowOff>130969</xdr:rowOff>
    </xdr:from>
    <xdr:to>
      <xdr:col>3</xdr:col>
      <xdr:colOff>3382074</xdr:colOff>
      <xdr:row>6</xdr:row>
      <xdr:rowOff>116963</xdr:rowOff>
    </xdr:to>
    <xdr:grpSp>
      <xdr:nvGrpSpPr>
        <xdr:cNvPr id="14" name="Group 13">
          <a:extLst>
            <a:ext uri="{FF2B5EF4-FFF2-40B4-BE49-F238E27FC236}">
              <a16:creationId xmlns:a16="http://schemas.microsoft.com/office/drawing/2014/main" id="{00000000-0008-0000-2400-00000E000000}"/>
            </a:ext>
          </a:extLst>
        </xdr:cNvPr>
        <xdr:cNvGrpSpPr/>
      </xdr:nvGrpSpPr>
      <xdr:grpSpPr>
        <a:xfrm>
          <a:off x="9189409738" y="130969"/>
          <a:ext cx="4167887" cy="986119"/>
          <a:chOff x="12824085" y="39970"/>
          <a:chExt cx="4415118" cy="873734"/>
        </a:xfrm>
        <a:solidFill>
          <a:schemeClr val="bg1">
            <a:lumMod val="75000"/>
          </a:schemeClr>
        </a:solidFill>
      </xdr:grpSpPr>
      <xdr:sp macro="" textlink="">
        <xdr:nvSpPr>
          <xdr:cNvPr id="15" name="Rectangle 14">
            <a:extLst>
              <a:ext uri="{FF2B5EF4-FFF2-40B4-BE49-F238E27FC236}">
                <a16:creationId xmlns:a16="http://schemas.microsoft.com/office/drawing/2014/main" id="{00000000-0008-0000-2400-00000F000000}"/>
              </a:ext>
            </a:extLst>
          </xdr:cNvPr>
          <xdr:cNvSpPr/>
        </xdr:nvSpPr>
        <xdr:spPr bwMode="auto">
          <a:xfrm>
            <a:off x="12824085" y="39970"/>
            <a:ext cx="4415118" cy="873734"/>
          </a:xfrm>
          <a:prstGeom prst="rect">
            <a:avLst/>
          </a:prstGeom>
          <a:grp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rtl="1"/>
            <a:endParaRPr lang="en-GB" sz="1100"/>
          </a:p>
        </xdr:txBody>
      </xdr:sp>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00000000-0008-0000-2400-000010000000}"/>
              </a:ext>
            </a:extLst>
          </xdr:cNvPr>
          <xdr:cNvSpPr/>
        </xdr:nvSpPr>
        <xdr:spPr bwMode="auto">
          <a:xfrm>
            <a:off x="12911142" y="168455"/>
            <a:ext cx="1305874"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Israel</a:t>
            </a:r>
          </a:p>
        </xdr:txBody>
      </xdr:sp>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00000000-0008-0000-2400-000011000000}"/>
              </a:ext>
            </a:extLst>
          </xdr:cNvPr>
          <xdr:cNvSpPr/>
        </xdr:nvSpPr>
        <xdr:spPr bwMode="auto">
          <a:xfrm>
            <a:off x="14369558" y="163652"/>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Inc</a:t>
            </a:r>
          </a:p>
        </xdr:txBody>
      </xdr:sp>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00000000-0008-0000-2400-000012000000}"/>
              </a:ext>
            </a:extLst>
          </xdr:cNvPr>
          <xdr:cNvSpPr/>
        </xdr:nvSpPr>
        <xdr:spPr bwMode="auto">
          <a:xfrm>
            <a:off x="15843885" y="169324"/>
            <a:ext cx="1241676"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Europe</a:t>
            </a:r>
          </a:p>
        </xdr:txBody>
      </xdr:sp>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00000000-0008-0000-2400-000013000000}"/>
              </a:ext>
            </a:extLst>
          </xdr:cNvPr>
          <xdr:cNvSpPr/>
        </xdr:nvSpPr>
        <xdr:spPr bwMode="auto">
          <a:xfrm>
            <a:off x="12949698" y="396648"/>
            <a:ext cx="1241676" cy="184812"/>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Australia</a:t>
            </a:r>
          </a:p>
        </xdr:txBody>
      </xdr:sp>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00000000-0008-0000-2400-000014000000}"/>
              </a:ext>
            </a:extLst>
          </xdr:cNvPr>
          <xdr:cNvSpPr/>
        </xdr:nvSpPr>
        <xdr:spPr bwMode="auto">
          <a:xfrm>
            <a:off x="14382286" y="393582"/>
            <a:ext cx="1280233" cy="183944"/>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France</a:t>
            </a:r>
          </a:p>
        </xdr:txBody>
      </xdr:sp>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00000000-0008-0000-2400-000015000000}"/>
              </a:ext>
            </a:extLst>
          </xdr:cNvPr>
          <xdr:cNvSpPr/>
        </xdr:nvSpPr>
        <xdr:spPr bwMode="auto">
          <a:xfrm>
            <a:off x="15880757" y="401450"/>
            <a:ext cx="1241676" cy="180469"/>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India</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00000000-0008-0000-2400-000016000000}"/>
              </a:ext>
            </a:extLst>
          </xdr:cNvPr>
          <xdr:cNvSpPr/>
        </xdr:nvSpPr>
        <xdr:spPr bwMode="auto">
          <a:xfrm>
            <a:off x="12919189" y="641037"/>
            <a:ext cx="1283415"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Rates</a:t>
            </a:r>
          </a:p>
        </xdr:txBody>
      </xdr:sp>
      <xdr:sp macro="" textlink="">
        <xdr:nvSpPr>
          <xdr:cNvPr id="23" name="Rectangle: Rounded Corners 22">
            <a:hlinkClick xmlns:r="http://schemas.openxmlformats.org/officeDocument/2006/relationships" r:id="rId8"/>
            <a:extLst>
              <a:ext uri="{FF2B5EF4-FFF2-40B4-BE49-F238E27FC236}">
                <a16:creationId xmlns:a16="http://schemas.microsoft.com/office/drawing/2014/main" id="{00000000-0008-0000-2400-000017000000}"/>
              </a:ext>
            </a:extLst>
          </xdr:cNvPr>
          <xdr:cNvSpPr/>
        </xdr:nvSpPr>
        <xdr:spPr bwMode="auto">
          <a:xfrm>
            <a:off x="14371056" y="634907"/>
            <a:ext cx="1339566" cy="188287"/>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GB" sz="1600" b="1"/>
              <a:t>Consolidation</a:t>
            </a:r>
          </a:p>
        </xdr:txBody>
      </xdr:sp>
      <xdr:sp macro="" textlink="">
        <xdr:nvSpPr>
          <xdr:cNvPr id="24" name="Rectangle: Rounded Corners 23">
            <a:hlinkClick xmlns:r="http://schemas.openxmlformats.org/officeDocument/2006/relationships" r:id="rId9"/>
            <a:extLst>
              <a:ext uri="{FF2B5EF4-FFF2-40B4-BE49-F238E27FC236}">
                <a16:creationId xmlns:a16="http://schemas.microsoft.com/office/drawing/2014/main" id="{00000000-0008-0000-2400-000018000000}"/>
              </a:ext>
            </a:extLst>
          </xdr:cNvPr>
          <xdr:cNvSpPr/>
        </xdr:nvSpPr>
        <xdr:spPr bwMode="auto">
          <a:xfrm>
            <a:off x="15842200" y="629643"/>
            <a:ext cx="1313924" cy="185681"/>
          </a:xfrm>
          <a:prstGeom prst="round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rtl="1"/>
            <a:r>
              <a:rPr lang="en-US" sz="1600" b="1"/>
              <a:t>Accrued</a:t>
            </a:r>
            <a:r>
              <a:rPr lang="en-US" sz="1600" b="1" baseline="0"/>
              <a:t> expenses</a:t>
            </a:r>
            <a:endParaRPr lang="en-GB" sz="1600" b="1"/>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38100</xdr:colOff>
      <xdr:row>2</xdr:row>
      <xdr:rowOff>244475</xdr:rowOff>
    </xdr:to>
    <xdr:sp macro="" textlink="">
      <xdr:nvSpPr>
        <xdr:cNvPr id="2" name="טקסט 1">
          <a:extLst>
            <a:ext uri="{FF2B5EF4-FFF2-40B4-BE49-F238E27FC236}">
              <a16:creationId xmlns:a16="http://schemas.microsoft.com/office/drawing/2014/main" id="{00000000-0008-0000-2600-000002000000}"/>
            </a:ext>
          </a:extLst>
        </xdr:cNvPr>
        <xdr:cNvSpPr txBox="1">
          <a:spLocks noChangeArrowheads="1"/>
        </xdr:cNvSpPr>
      </xdr:nvSpPr>
      <xdr:spPr bwMode="auto">
        <a:xfrm flipH="1">
          <a:off x="0" y="171450"/>
          <a:ext cx="38100" cy="376237"/>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gosec\data\Finance%202\Financials%20-%20Audit%20(2)\2017%20Finance\Options%202017\2017%20options%20reports\ASC718%20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E:\C:\vjahdd\Office%20Data\HARIKRISHNA\SumitMarch04\Data04\ADTL\Schedule%20VI%20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E:\C:\vjahdd\Office%20Data\SERVER\WordXL\c%20backup\Tapasya\Babu\Iiq\Audit%2003-04\Financials\Schedule%20VI%20-%2003-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E:\C:\vjahdd\Office%20Data\Dldanismi\smita\WINDOWS\TEMP\Kevin%20Steele97-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E:\C:\vjahdd\Office%20Data\sheldon\D\TEMP\GEA_July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Finance%20Main\Financials%20-%20Audit\2019%20Financials\Q1%202019\&#1491;&#1493;&#1495;%20&#1502;&#1488;&#1493;&#1495;&#1491;%20&#1488;&#1500;&#1490;&#1493;&#1505;&#1511;%20-%20&#1513;&#1504;&#1514;%202019%20-check%20March%2031v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Finance%20Main\Financials%20-%20Audit\2017%20Financials\Copy%20of%20Copy%20of%20Copy%20of%20&#1491;&#1493;&#1495;%20&#1502;&#1488;&#1493;&#1495;&#1491;%20&#1488;&#1500;&#1490;&#1493;&#1505;&#1511;%20-%20&#1513;&#1504;&#1514;%20%20201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Finance%20Main\Monthly%20reports\Draft%20Monthly%20Report\monthly%20by%20AC\2018\December%202018\&#1491;&#1493;&#1495;%20&#1502;&#1488;&#1493;&#1495;&#1491;%20&#1488;&#1500;&#1490;&#1493;&#1505;&#1511;%20-%20&#1513;&#1504;&#1514;%202018%20-%20December%2031%20v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Finance%20Main\Financials%20-%20Audit\2018%20Financials\Algosec%20Ltd%202018\&#1491;&#1493;&#1495;%20&#1502;&#1505;%202018\&#1491;&#1493;&#1495;%20&#1502;&#1488;&#1493;&#1495;&#1491;%20&#1488;&#1500;&#1490;&#1493;&#1505;&#1511;%20-%20&#1513;&#1504;&#1514;%202018%20-%20December%2031%20&#1491;&#1493;&#1495;%20&#1502;&#1505;%20V3%20(20&#1488;%20&#1502;&#1493;&#1499;&#1503;)%20UK%20Update%20&#1500;&#1500;&#1488;%20&#1489;&#1497;&#1496;&#1493;&#1500;%20&#1504;&#1497;&#1508;&#1493;&#1495;%20IC.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P/&#1492;&#1512;&#1499;&#1489;%20&#1492;&#1499;&#1504;&#1505;&#1493;&#1514;%20&#1500;&#1511;&#1489;&#15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LTD%202020\&#1504;&#1497;&#1499;&#1493;&#1497;%20&#1489;&#1502;&#1511;&#1493;&#1512;%20&#1489;&#1495;&#1493;&#1500;%20&#1506;&#1500;%20&#1497;&#1491;&#1497;%20&#1500;&#1511;&#1493;&#1495;&#1493;&#1514;%20&#1492;&#1495;&#1489;&#1512;&#1492;%20&#1489;&#1513;&#1504;&#1497;&#1501;%2015-19%20&#1493;&#1504;&#1497;&#1510;&#1493;&#1500;%20&#1489;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nance%20Main/Appliance/2021/Appliances%20-%202021%20-%201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gosec\data\Finance\Finance%202\Financials%20-%20Audit%20(2)\2021%20Finance\Q4%202021\Social\%23&#1492;&#1508;&#1512;&#1513;&#1493;&#1514;%20Q4%2020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P/Ltd/&#1489;&#1491;&#1497;&#1511;&#1514;%20&#1499;&#1512;&#1496;&#1497;&#1505;&#1497;%20&#1488;&#1513;&#1512;&#1488;&#1497;%2012.202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nance%20Main/PS/2021/12.2021/PS%2012%20202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tes/newportal/FinanceOnly/Finance%20Main/Monthly%20reports/Draft%20Monthly%20Report/monthly%20by%20AC/2021/General/53599.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P/differed%20revenue%2031.12.21%20-%20Barak.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1495;&#1513;&#1497;&#1508;&#1493;&#1514;%20EY%20202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1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06.2020/&#1491;&#1493;&#1495;%20&#1502;&#1488;&#1493;&#1495;&#1491;%20&#1488;&#1500;&#1490;&#1493;&#1505;&#1511;%20-%20&#1513;&#1504;&#1514;%202020%20-%20JUNE%20V3.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lgosec\data\Finance\Finance%20Main\Monthly%20reports\Draft%20Monthly%20Report\monthly%20by%20AC\2020\07.2020\&#1491;&#1493;&#1495;%20&#1502;&#1488;&#1493;&#1495;&#1491;%20&#1488;&#1500;&#1490;&#1493;&#1505;&#1511;%20-%20&#1513;&#1504;&#1514;%202020%20-%20July.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08.2020/&#1491;&#1493;&#1495;%20&#1502;&#1488;&#1493;&#1495;&#1491;%20&#1488;&#1500;&#1490;&#1493;&#1505;&#1511;%20-%20&#1513;&#1504;&#1514;%202020%20-%20August.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09.2020/&#1491;&#1493;&#1495;%20&#1502;&#1488;&#1493;&#1495;&#1491;%20&#1488;&#1500;&#1490;&#1493;&#1505;&#1511;%20-%20&#1513;&#1504;&#1514;%202020%20-%20September%20-%20v4.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0.2020/&#1491;&#1493;&#1495;%20&#1502;&#1488;&#1493;&#1495;&#1491;%20&#1488;&#1500;&#1490;&#1493;&#1505;&#1511;%20-%20&#1513;&#1504;&#1514;%202020%20-%20October.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1.2020/&#1491;&#1493;&#1495;%20&#1502;&#1488;&#1493;&#1495;&#1491;%20&#1488;&#1500;&#1490;&#1493;&#1505;&#1511;%20-%20&#1513;&#1504;&#1514;%202020%20-%20November.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1.2021/&#1491;&#1493;&#1495;%20&#1502;&#1488;&#1493;&#1495;&#1491;%20&#1488;&#1500;&#1490;&#1493;&#1505;&#1511;%20-%20&#1513;&#1504;&#1514;%202021-%20January.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2.2021/&#1491;&#1493;&#1495;%20&#1502;&#1488;&#1493;&#1495;&#1491;%20&#1488;&#1500;&#1490;&#1493;&#1505;&#1511;%20-%20&#1513;&#1504;&#1514;%202021-%20February.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1491;&#1493;&#1495;%20&#1502;&#1488;&#1493;&#1495;&#1491;%20&#1488;&#1500;&#1490;&#1493;&#1505;&#1511;%20-%20&#1513;&#1504;&#1514;%202021-%20March.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4.2021/&#1491;&#1493;&#1495;%20&#1502;&#1488;&#1493;&#1495;&#1491;%20&#1488;&#1500;&#1490;&#1493;&#1505;&#1511;%20-%20&#1513;&#1504;&#1514;%202021%20-%20Apri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5.2021/&#1491;&#1493;&#1495;%20&#1502;&#1488;&#1493;&#1495;&#1491;%20&#1488;&#1500;&#1490;&#1493;&#1505;&#1511;%20-%20&#1513;&#1504;&#1514;%202021%20-%20May.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6.2021/&#1491;&#1493;&#1495;%20&#1502;&#1488;&#1493;&#1495;&#1491;%20&#1488;&#1500;&#1490;&#1493;&#1505;&#1511;%20-%20&#1513;&#1504;&#1514;%202021%20-%20June%20v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5.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General/53599.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Income%20receivables%2012.2021%20-%20Renewals%20-%20new%20proces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nance%20Billing%20and%20Revenues/Subscription/ILS/2018/subscr%2053510%2053550%20ILS%20ALL%20(versio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nance%20Billing%20and%20Revenues/Subscription/2021/Ltd/subscr%20Ltd%20-%2012%202021.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2019\LTD\subscr%2053580%2053581%202019%20-%20LTD%20-%2012%202019v1.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nance%20Billing%20and%20Revenues/Subscription/2020/LTD/subscr%2053580%2053581%202020%20-%20LTD%20-%2012%202020.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3.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lgosec\data\Finance\Finance%20Main\Monthly%20reports\Draft%20Monthly%20Report\monthly%20by%20AC\2020\06.2020\&#1491;&#1493;&#1495;%20&#1502;&#1488;&#1493;&#1495;&#1491;%20&#1488;&#1500;&#1490;&#1493;&#1505;&#1511;%20-%20&#1513;&#1504;&#1514;%202020%20-%20JUNE%20V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nance%20Main/Tax%20General/Tax%20Israel/&#1513;&#1493;&#1502;&#1514;%20&#1504;&#1497;&#1499;&#1493;&#1497;&#1497;&#1501;%202016-2020/&#1490;&#1512;&#1505;&#1514;%20&#1497;&#1512;&#1491;&#1504;&#1492;%2027_06_2021%20&#1506;&#1501;%20&#1511;&#1497;&#1494;&#1493;&#1494;%20&#1502;&#1511;&#1491;&#1502;&#1493;&#1514;%20&#1502;&#1506;&#1493;&#1491;&#1499;&#150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nance%20Main/Financials%20-%20Audit/2021%20Financials/Q2%202021/Max%20Loan%20Q2%20202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MBO%20ACCRUAL.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1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488;&#1500;&#1490;&#1493;&#1505;&#1511;%20&#1502;&#1506;&#1512;&#1499;&#1493;&#1514;%20-%20&#1489;&#1491;&#1497;&#1511;&#1514;%20&#1492;&#1508;&#1511;&#1491;&#1493;&#1514;%20&#1500;&#1489;&#1506;&#1500;%20&#1513;&#1500;&#1497;&#1496;&#1492;%202020.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Reference%20Rates%20-%20India%20-%20July%201st%20-%20March%2031,%202021%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nance%20Main/Financials%20-%20Audit/2021%20Financials/LTD/&#1506;&#1493;&#1491;&#1508;&#1493;&#1514;/&#1506;&#1493;&#1491;&#1508;&#1493;&#1514;%202021.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489;&#1490;&#1497;&#1503;%20&#1513;&#1493;&#1502;&#1514;%20&#1504;&#1497;&#1499;&#1493;&#1497;&#1497;&#1501;%202016-2019%20&#1511;&#1493;&#1489;&#1509;%20&#1502;&#1512;&#1499;&#1494;%20&#1500;&#1491;&#1493;&#1495;%20&#1502;&#1505;.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491;&#1493;&#1495;%20&#1502;&#1488;&#1493;&#1495;&#1491;%20&#1488;&#1500;&#1490;&#1493;&#1505;&#1511;%20-%20&#1513;&#1504;&#1514;%202020%20-%20December%20v15%20-%20&#1492;&#1512;&#1499;&#1489;&#1492;%20&#1513;&#1511;&#1500;&#1497;&#1514;%20with%20India.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496;&#1508;&#1505;&#1497;&#1501;/901&#1488;/&#1504;&#1497;&#1497;&#1512;%20&#1506;&#1489;&#1493;&#1491;&#1492;%20&#1500;&#1495;&#1497;&#1513;&#1493;&#1489;%20&#1496;&#1493;&#1508;&#1505;%20901%20&#1488;.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502;&#1493;&#1508;%20&#1502;&#1493;&#1499;&#1512;%202019%20-%20&#1497;&#1495;&#1491;%20&#1506;&#1501;%20&#1488;&#1497;&#1513;&#1493;&#1512;%20&#1502;&#1491;&#1506;&#1503;%20%202019.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nance%20Main/Financials%20-%20Audit/2020%20Financials/LTD%202020/&#1502;&#1493;&#1508;%20&#1502;&#1493;&#1499;&#1512;%202019%20-%20&#1497;&#1495;&#1491;%20&#1506;&#1501;%20&#1488;&#1497;&#1513;&#1493;&#1512;%20&#1502;&#1491;&#1506;&#1503;%20%20%20%20v12019.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lgosec\data\Finance\Finance%20Billing%20and%20Revenues\AUDIT%20ASC%20606\ASC%20606%20-%20Commission%20-%20Final%20-%20implementation.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20created%20Q1%202019.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20created%20Q2%202019.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20created%20Q3%20201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20created%20Q4%202019.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created%20Q1%202020.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created%20Q2%202020.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3%202020\SALES%20COM%20Q3%202020-%20created%20Q3%202020.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4%202020\SALES%20COM%20Q4%202020-%20created%20Q4%202020%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1%202021/SALES%20COM%20Q1%202021-%20created%20Q1%202021.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SALES%20COM%20Q2%202021-%20created%20Q2%202021.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nance%20Main/Financials%20-%20Audit/2021%20Financials/Q3%202021/SALES%20COM%20Q3%202021-%20created%20Q3%202021.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SALES%20COM%20Q4%202021-%20created%20Q4%202021.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nance%20Main/Financials%20-%20Audit/2020%20Financials/Q4%202020/SALES%20COM%20Q4%202020-%20created%20Q4%202020.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nance%20Main/Financials%20-%20Audit/2021%20Financials/Q1%202021/SALES%20COM%20Q1%202021-%20created%20Q1%202021.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nance%20Main/Financials%20-%20Audit/2021%20Financials/Q2%202021/SALES%20COM%20Q2%202021-%20created%20Q2%202021.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Y:\Finance%20Billing%20and%20Revenues\AUDIT%20ASC%20606\ASC%20606%20-%20Commission%20-%20Final%20-%20implementation.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19%20Financials\Q1%202019\SALES%20COM%20Q1%20V1%20FROM%20SF%20FOR%20AC.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Y:\Finance%20Main\Financials%20-%20Audit\2019%20Financials\Q3%202019\SALES%20COM%20Q3.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Y:\Finance%20Main\Financials%20-%20Audit\2019%20Financials\Q3%202019\SALES%20COM%20Q3%20-%20created%20Q1.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Y:\Finance%20Main\Financials%20-%20Audit\2019%20Financials\Q3%202019\SALES%20COM%20Q3%20-%20created%20Q2.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Y:\Finance%20Main\Financials%20-%20Audit\2019%20Financials\Q3%202019\SALES%20COM%20Q3%20-%20created%20Q3.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Y:\Finance%202\Financials%20-%20Audit%20(2)\2020%20Finance\Q2%202020\SALES%20COM%20Q2%202020-%20created%20Q1%202020.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Finance%202\Financials%20-%20Audit%20(2)\2020%20Finance\Q2%202020\SALES%20COM%20Q2%202020-%20created%20Q2%202020.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3%202021/SALES%20COM%20Q3%202021-%20created%20Q3%202021.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SALES%20COM%20Q4%202021-%20created%20Q4%202021.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nance%20Billing%20and%20Revenues/Subscription/2021/Inc/subscr%20INC%20-%2012%202021.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nance%20Billing%20and%20Revenues/Subscription/2021/AUS/subscr%20AU%2012%202021.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nance%20Billing%20and%20Revenues/Subscription/2021/UK/subscr%20UK%20-%2012%202021.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nance%20Billing%20and%20Revenues/Subscription/2021/FR/subscr%20FR%2012%202021.xlsm"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nance%20Billing%20and%20Revenues/Subscription/2020/INC/subscr%2053580%2053581%202020%20-%20INC%20-%2012%202020.xlsm"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nance%20Billing%20and%20Revenues/Subscription/2020/AU/subscr%2053580%2053581%202020%20-%20AU%2012%202020_Automated.xlsm"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nance%20Billing%20and%20Revenues/Subscription/2020/UK/subscr%2053580%2053581%202020%20-%20UK%2012%202020.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2019\INC\subscr%2053580%2053581%202019%20-%20INC%20-%2012%202019v1.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2019\AU\subscr%2053580%2053581%202019%20-%20AU%2012%202019.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2019\EUROPE\subscr%2053580%2053581%202019%20-%20UK%2012%202019%20v1.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nance%20Billing%20and%20Revenues/Subscription/Europe/2018/SUBSCR%2053510+53550%20Europe%20ALL.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lgosec\data\Finance\Finance%202\Financials%20-%20Audit%20(2)\2021%20Finance\Q4%202021\Options\Altshare\SBC%20Expense%20Report%20Annual%202021.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1%20Financials\Q4%202021\FAS%20123%20Q4%202021.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1%20Financials\UK%202021\99911%20CAPITAL%20FUND.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WP/One-Time%20Bonus%20(Feb%202022%20payroll)%20USD.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Ltd.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MBO%20ACCRUAL.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MBO%20Inc.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Users\barak.smolyar\Algosec%20Systems%20Ltd\Finance%20Only%20-%20Finance%20Billing%20and%20Revenues\Subscription\2021\UK\subscr%20UK%20-%2012%202021.xlsm"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Commissions/Ltd%20comm..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WP/Commissions/Ltd%20Commissions%2012.2021.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WP/One-Time%20Bonus%20&#1500;&#1510;&#1493;&#1512;&#1498;%20&#1495;&#1497;&#1513;&#1493;&#1489;%20&#1505;&#1493;&#1510;&#1497;&#1488;&#1500;&#1497;&#1493;&#1514;.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nance%20Billing%20and%20Revenues/Commission/@%20EMEA%20employees/Sales/Marc-Henri%20Guy%20-%20Euro/2021/Marc%20Henry%20Guy%20Q4%202021.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WP/Commissions/France%20Commissions%2012.2021.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France.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One-Time%20Bonus%20(Feb%202022%20payroll)%20USD.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6.2021/WP/Provision%20for%20comm.%2006.2021.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Inc.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WP/Commissions/Commissions%20Inc%2012.2021.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Commissions/Inc%20Commissions.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UK.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WP/Commissions/UK%20Commissions%2012.2021.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Commissions/UK%20comm..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nance%20Billing%20and%20Revenues/Commission/@%20EMEA%20employees/SE%20EMEA/Jan-Bart%20Schiltz/2021/Commission%20Report%20YTD-Jan-Bart%20Schiltz%20Q3%202021.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Commissions/Australia%20Commissions.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Australia.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WP/Commissions/Australia%20Commissions%2012.2021.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nance%20Main/Financials%20-%20Audit/2020%20Financials/Q4%202020/Accrual%20for%20Q4%20Comm.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WP/Commissions/India%20Commissions%2012.2021.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India/India%20comm..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Commissions/Commissions%20India.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06.2020/&#1491;&#1493;&#1495;%20&#1502;&#1488;&#1493;&#1495;&#1491;%20&#1488;&#1500;&#1490;&#1493;&#1505;&#1511;%20-%20&#1513;&#1504;&#1514;%202020%20-%20JUNE%20V6.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algosec\data\Finance\Finance%20Main\Monthly%20reports\Draft%20Monthly%20Report\monthly%20by%20AC\2020\06.2020\&#1491;&#1493;&#1495;%20&#1502;&#1488;&#1493;&#1495;&#1491;%20&#1488;&#1500;&#1490;&#1493;&#1505;&#1511;%20-%20&#1513;&#1504;&#1514;%202020%20-%20JUNE%20V4.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0%20Financials\Q4%202020\Final\&#1491;&#1493;&#1495;%20&#1502;&#1488;&#1493;&#1495;&#1491;%20&#1488;&#1500;&#1490;&#1493;&#1505;&#1511;%20-%20&#1513;&#1504;&#1514;%202020%20-%20December%20v12.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nance%20Main/Financials%20-%20Audit/2020%20Financials/Q4%202020/Interest%20Founders%20Q4%202020.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WP/&#1512;&#1499;&#1493;&#1513;%20&#1511;&#1489;&#1493;&#1506;%20&#1513;&#1500;&#1488;%20&#1504;&#1512;&#1499;&#1494;%20&#1489;&#1502;&#1494;&#1493;&#1502;&#1503;%2012.2021.xlsx"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LT/LT%20Q4%202021.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nance%20Main/Financials%20-%20Audit/2020%20Financials/UK%202020/FS%20UK%20GAAP%202020.v2_After%20AJE.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UK%202021/&#1492;&#1512;&#1499;&#1489;&#1492;/FS%20UK%20GAAP%202021.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UK%202021/WHT/wht%20UK%202021%20ledger.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ARE/WP%20Resident%20eng%20Q4%202021.xlsx"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nance%20Main/Financials%20-%20Audit/2021%20Financials/UK%202021/99911%20CAPITAL%20FUND.xlsx"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nance%20Main/Financials%20-%20Audit/2021%20Financials/Q3%202021/LT/LT%20Q3%202021.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nance%20Billing%20and%20Revenues/Subscription/2019/EUROPE/subscr%2053580%2053581%202019%20-%20UK%2012%202019%20v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6.2021/&#1491;&#1493;&#1495;%20&#1502;&#1488;&#1493;&#1495;&#1491;%20&#1488;&#1500;&#1490;&#1493;&#1505;&#1511;%20-%20&#1513;&#1504;&#1514;%202021%20-%20June%20v1.xlsx"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WP/Collection/Collection%20UK%20122021.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nance%20Billing%20and%20Revenues/Subscription/2020/UK/subscr%2053580%2053581%202020%20-%20UK%2009%202020%20v1.xlsx"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Europe\2018\SUBSCR%2053510+53550%20Europe%20ALL.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C:\Users\barak.smolyar\AppData\Local\Microsoft\Windows\INetCache\Content.Outlook\KM9DCVJK\WP%20Resident%20eng%20Q4%202021.xlsx"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nance%20Main/Financials%20-%20Audit/2021%20Financials/Q1%202021/AU420600088%20ANALYSIS.xlsx"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nance%20Main/Financials%20-%20Audit/2021%20Financials/Q1%202021/LT%20Q1%202021.xlsx"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nance%20Main/Financials%20-%20Audit/2021%20Financials/Q2%202021/LT%20Q2%202021.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nance%20Billing%20and%20Revenues/Subscription/2019/AU/subscr%2053580%2053581%202019%20-%20AU%2012%202019.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algosec\data\Finance\Finance%20Billing%20and%20Revenues\Subscription\AUD\2018\subscr%2053510%20%2053550%20AUD%201-12.2018.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WP/Collection/Collection%20Australia%20122021.xlsx"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nance%20Main/Financials%20-%20Audit/2020%20Financials/Australia%202020/Algosec%20Australia%20PL%20-%20FY2020%20Financial%20Work%20Papers.xlsx"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1502;&#1497;&#1505;&#1497;&#1501;%20&#1504;&#1491;&#1495;&#1497;&#1501;%20Q4%20202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11.2021/WP/US215000577.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nance%20Billing%20and%20Revenues/Subscription/2019/EUROPE/Cisco%20UK.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08.2020/WP/Orders%20Line%20Items%20possible%20wrong%20dates/USA%20JE.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Interest%20Founders%20Q4%202021.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6.2021/&#1491;&#1493;&#1495;%20&#1502;&#1488;&#1493;&#1495;&#1491;%20&#1488;&#1500;&#1490;&#1493;&#1505;&#1511;%20-%20&#1513;&#1504;&#1514;%202021%20-%20June%20v3.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nance%20Main/Financials%20-%20Audit/2021%20Financials/Q3%202021/FAS%20123%20Q3%202021.xlsx"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nance%20Main/Financials%20-%20Audit/2021%20Financials/Q4%202021/FAS%20123%20Q4%202021.xlsx"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Users\barak.smolyar\AppData\Local\Microsoft\Windows\INetCache\Content.Outlook\KM9DCVJK\LT%20Q1%202021.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nance%20Billing%20and%20Revenues/Subscription/2019/INC/subscr%2053580%2053581%202019%20-%20INC%20-%2012%202019v1.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nance%20Billing%20and%20Revenues/Subscription/INC/2018/subscr%2053550+53510%202018%20-%20Inc%20-%20ALL.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WP/Inc/250-Algosec%202020%20-%20Summary%20of%20Taxes%20Due%20with%20Extension%20with%20GILTI%20calc.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2%20Financials/Q1%202022/Interest%20Founders%20Q1%202022.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Interest%20Founders%20Q4%202021,.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algosec\data\Finance\Finance%20Main\Financials%20-%20Audit\2021%20Financials\Q2%202021\&#1502;&#1497;&#1505;&#1497;&#1501;%20&#1504;&#1491;&#1495;&#1497;&#1501;%20Q2%202021.xlsx"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sites/newportal/FinanceOnly/Finance%20Main/Financials%20-%20Audit/2021%20Financials/Q4%202021/&#1502;&#1497;&#1505;&#1497;&#1501;%20&#1504;&#1491;&#1495;&#1497;&#1501;%20Q4%202021.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s://algosec365-my.sharepoint.com/personal/barak_smolyar_algosec_com/Documents/Desktop/12345.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nance%20Main/Financials%20-%20Audit/2020%20Financials/INC%202020/Draft%202020/900%20-%20M-1%20Adjustments-%20Algosec%202020.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nance%20Main/Financials%20-%20Audit/2021%20Financials/Q3%202021/Interest%20Founders%20Q3%202021.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nance%20Main/Algosec%20France%20SAS/Reports/2021/12.2021/Algosec/VAT/&#1491;&#1497;&#1493;&#1493;&#1495;%20&#1502;&#1506;&#1502;%2012.2021.xlsx"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WP/France/Mark%20Henry%20advance%20breakdown%2031.12.2021.xlsx"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WP/France/Copy%20of%20Holidays%20+%20RTT%2031.12.2021%20Algosec%20Color%20for%20Accrual.xlsx"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nance%20Main/Algosec%20France%20SAS/Reports/2021/12.2021/Algosec/Revenue/Invoices%20of%20December%202021.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C:\Users\barak.smolyar\OneDrive%20-%20Algosec%20Systems%20Ltd\Desktop\Invoices%20of%20December%202021.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nance%20Main/Algosec%20France%20SAS/Reports/2021/12.2021/Algosec/Revenue/December%202021%20-%20Income.xlsx"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nance%20Billing%20and%20Revenues/Subscription/2020/FR/subscr%2053580%202020%20-%20FR%2012%202020.xlsx"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WP/Collection/Collection%20France%20122021.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4.xlsx"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0/12.2020/&#1491;&#1493;&#1495;%20&#1502;&#1488;&#1493;&#1495;&#1491;%20&#1488;&#1500;&#1490;&#1493;&#1505;&#1511;%20-%20&#1513;&#1504;&#1514;%202020%20-%20December%20v9.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nance%20Main/Algosec%20India/Finance/ved%20jain%20reports/2021/March/Ved%20Jain/19.04/Tax%20Accrual%20-%20Mar'21.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3.2021/&#1491;&#1493;&#1495;%20&#1502;&#1488;&#1493;&#1495;&#1491;%20&#1488;&#1500;&#1490;&#1493;&#1505;&#1511;%20-%20&#1513;&#1504;&#1514;%202021-%20March%20-%20v1.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WP/India/IT%20GL%2012.2021.xlsx"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nance%20Billing%20and%20Revenues/Commission/@%20APAC%20employees/Sales/Apoorv/2021/Commission%20Report%20-Apoorv%20Singh%20Q4%202021.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nance%20Billing%20and%20Revenues/Commission/@%20APAC%20employees/SE's/Nitin%20Rajput/CY2021/Commission%20Report%20-Nitin%20Rajput%20Q4.xlsx"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nance%20Billing%20and%20Revenues/Commission/@%20APAC%20employees/SE's/Gurinder%20Pal%20Singh/2021/Commission%20Report%20-Gurinder%20Pal%20Singh%20Q4.xlsx"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nance%20Main/Algosec%20India/Finance/ved%20jain%20reports/2021/March/Ved%20Jain/05.05/Tax%20Accrual%20-%20Mar'21%20v1.xlsx"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nance%20Main/Monthly%20reports/Draft%20Monthly%20Report/monthly%20by%20AC/2021/09.2021/WP/India/&#1514;&#1493;&#1505;&#1508;&#1493;&#1514;%20&#1512;&#1499;&#1493;&#1513;%20&#1511;&#1489;&#1493;&#1506;.xlsx"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WP/India/Fixed%20asset%20India%2012.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017"/>
      <sheetName val="Report data 2017"/>
      <sheetName val="Detailed report"/>
      <sheetName val="Assumptions"/>
      <sheetName val="2017 (granted up to 2016)"/>
      <sheetName val="Report data 2016"/>
    </sheetNames>
    <sheetDataSet>
      <sheetData sheetId="0"/>
      <sheetData sheetId="1">
        <row r="18">
          <cell r="AG18" t="str">
            <v xml:space="preserve">  Per period  </v>
          </cell>
        </row>
        <row r="19">
          <cell r="A19">
            <v>1</v>
          </cell>
          <cell r="B19">
            <v>11</v>
          </cell>
          <cell r="AG19">
            <v>749.97522864512314</v>
          </cell>
        </row>
        <row r="20">
          <cell r="A20">
            <v>1</v>
          </cell>
          <cell r="B20">
            <v>14</v>
          </cell>
          <cell r="AG20">
            <v>261.28042606333332</v>
          </cell>
        </row>
        <row r="21">
          <cell r="A21">
            <v>4</v>
          </cell>
          <cell r="B21">
            <v>11</v>
          </cell>
          <cell r="AG21">
            <v>447.66034975061893</v>
          </cell>
        </row>
        <row r="22">
          <cell r="A22">
            <v>5</v>
          </cell>
          <cell r="B22">
            <v>11</v>
          </cell>
          <cell r="AG22">
            <v>172.45816372749505</v>
          </cell>
        </row>
        <row r="23">
          <cell r="A23">
            <v>2</v>
          </cell>
          <cell r="B23">
            <v>11</v>
          </cell>
          <cell r="AG23">
            <v>893.06638190176318</v>
          </cell>
        </row>
        <row r="24">
          <cell r="A24">
            <v>2</v>
          </cell>
          <cell r="B24">
            <v>11</v>
          </cell>
          <cell r="AG24">
            <v>0</v>
          </cell>
        </row>
        <row r="25">
          <cell r="A25">
            <v>2</v>
          </cell>
          <cell r="B25">
            <v>11</v>
          </cell>
          <cell r="AG25">
            <v>766.71526433609324</v>
          </cell>
        </row>
        <row r="26">
          <cell r="A26">
            <v>5</v>
          </cell>
          <cell r="B26">
            <v>11</v>
          </cell>
          <cell r="AG26">
            <v>0</v>
          </cell>
        </row>
        <row r="27">
          <cell r="A27">
            <v>2</v>
          </cell>
          <cell r="B27">
            <v>11</v>
          </cell>
          <cell r="AG27">
            <v>0</v>
          </cell>
        </row>
        <row r="28">
          <cell r="A28">
            <v>2</v>
          </cell>
          <cell r="B28">
            <v>11</v>
          </cell>
          <cell r="AG28">
            <v>0</v>
          </cell>
        </row>
        <row r="29">
          <cell r="A29">
            <v>1</v>
          </cell>
          <cell r="B29">
            <v>11</v>
          </cell>
          <cell r="AG29">
            <v>105.19737278186366</v>
          </cell>
        </row>
        <row r="30">
          <cell r="A30">
            <v>1</v>
          </cell>
          <cell r="B30">
            <v>12</v>
          </cell>
          <cell r="AG30">
            <v>162.41228542252358</v>
          </cell>
        </row>
        <row r="31">
          <cell r="A31">
            <v>4</v>
          </cell>
          <cell r="B31">
            <v>12</v>
          </cell>
          <cell r="AG31">
            <v>1137.7054093627225</v>
          </cell>
        </row>
        <row r="32">
          <cell r="A32">
            <v>2</v>
          </cell>
          <cell r="B32">
            <v>11</v>
          </cell>
          <cell r="AG32">
            <v>44.751312055171681</v>
          </cell>
        </row>
        <row r="33">
          <cell r="A33">
            <v>2</v>
          </cell>
          <cell r="B33">
            <v>11</v>
          </cell>
          <cell r="AG33">
            <v>1339.5995728526445</v>
          </cell>
        </row>
        <row r="34">
          <cell r="A34">
            <v>2</v>
          </cell>
          <cell r="B34">
            <v>11</v>
          </cell>
          <cell r="AG34">
            <v>0</v>
          </cell>
        </row>
        <row r="35">
          <cell r="A35">
            <v>1</v>
          </cell>
          <cell r="B35">
            <v>12</v>
          </cell>
          <cell r="AG35">
            <v>0</v>
          </cell>
        </row>
        <row r="36">
          <cell r="A36">
            <v>2</v>
          </cell>
          <cell r="B36">
            <v>11</v>
          </cell>
          <cell r="AG36">
            <v>0</v>
          </cell>
        </row>
        <row r="37">
          <cell r="A37">
            <v>6</v>
          </cell>
          <cell r="B37">
            <v>11</v>
          </cell>
          <cell r="AG37">
            <v>0</v>
          </cell>
        </row>
        <row r="38">
          <cell r="A38">
            <v>2</v>
          </cell>
          <cell r="B38">
            <v>11</v>
          </cell>
          <cell r="AG38">
            <v>24.432992635515049</v>
          </cell>
        </row>
        <row r="39">
          <cell r="A39">
            <v>1</v>
          </cell>
          <cell r="B39">
            <v>12</v>
          </cell>
          <cell r="AG39">
            <v>0</v>
          </cell>
        </row>
        <row r="40">
          <cell r="A40">
            <v>1</v>
          </cell>
          <cell r="B40">
            <v>12</v>
          </cell>
          <cell r="AG40">
            <v>0</v>
          </cell>
        </row>
        <row r="41">
          <cell r="A41">
            <v>2</v>
          </cell>
          <cell r="B41">
            <v>11</v>
          </cell>
          <cell r="AG41">
            <v>177.71175547651811</v>
          </cell>
        </row>
        <row r="42">
          <cell r="A42">
            <v>4</v>
          </cell>
          <cell r="B42">
            <v>11</v>
          </cell>
          <cell r="AG42">
            <v>0</v>
          </cell>
        </row>
        <row r="43">
          <cell r="A43">
            <v>2</v>
          </cell>
          <cell r="B43">
            <v>11</v>
          </cell>
          <cell r="AG43">
            <v>186.0560495773824</v>
          </cell>
        </row>
        <row r="44">
          <cell r="A44">
            <v>2</v>
          </cell>
          <cell r="B44">
            <v>12</v>
          </cell>
          <cell r="AG44">
            <v>1437.9142292686474</v>
          </cell>
        </row>
        <row r="45">
          <cell r="A45">
            <v>2</v>
          </cell>
          <cell r="B45">
            <v>12</v>
          </cell>
          <cell r="AG45">
            <v>0</v>
          </cell>
        </row>
        <row r="46">
          <cell r="A46">
            <v>2</v>
          </cell>
          <cell r="B46">
            <v>11</v>
          </cell>
          <cell r="AG46">
            <v>1437.9142292686474</v>
          </cell>
        </row>
        <row r="47">
          <cell r="A47">
            <v>2</v>
          </cell>
          <cell r="B47">
            <v>11</v>
          </cell>
          <cell r="AG47">
            <v>0</v>
          </cell>
        </row>
        <row r="48">
          <cell r="A48">
            <v>2</v>
          </cell>
          <cell r="B48">
            <v>11</v>
          </cell>
          <cell r="AG48">
            <v>0</v>
          </cell>
        </row>
        <row r="49">
          <cell r="A49">
            <v>2</v>
          </cell>
          <cell r="B49">
            <v>11</v>
          </cell>
          <cell r="AG49">
            <v>836.75031247998504</v>
          </cell>
        </row>
        <row r="50">
          <cell r="A50">
            <v>1</v>
          </cell>
          <cell r="B50">
            <v>11</v>
          </cell>
          <cell r="AG50">
            <v>47.775071129960374</v>
          </cell>
        </row>
        <row r="51">
          <cell r="A51">
            <v>4</v>
          </cell>
          <cell r="B51">
            <v>11</v>
          </cell>
          <cell r="AG51">
            <v>0</v>
          </cell>
        </row>
        <row r="52">
          <cell r="A52">
            <v>4</v>
          </cell>
          <cell r="B52">
            <v>11</v>
          </cell>
          <cell r="AG52">
            <v>0</v>
          </cell>
        </row>
        <row r="53">
          <cell r="A53">
            <v>4</v>
          </cell>
          <cell r="B53">
            <v>12</v>
          </cell>
          <cell r="AG53">
            <v>0</v>
          </cell>
        </row>
        <row r="54">
          <cell r="A54">
            <v>4</v>
          </cell>
          <cell r="B54">
            <v>14</v>
          </cell>
          <cell r="AG54">
            <v>710.25179148010477</v>
          </cell>
        </row>
        <row r="55">
          <cell r="A55">
            <v>2</v>
          </cell>
          <cell r="B55">
            <v>11</v>
          </cell>
          <cell r="AG55">
            <v>287.43650070064371</v>
          </cell>
        </row>
        <row r="56">
          <cell r="A56">
            <v>2</v>
          </cell>
          <cell r="B56">
            <v>11</v>
          </cell>
          <cell r="AG56">
            <v>0</v>
          </cell>
        </row>
        <row r="57">
          <cell r="A57">
            <v>6</v>
          </cell>
          <cell r="B57">
            <v>11</v>
          </cell>
          <cell r="AG57">
            <v>0</v>
          </cell>
        </row>
        <row r="58">
          <cell r="A58">
            <v>2</v>
          </cell>
          <cell r="B58">
            <v>11</v>
          </cell>
          <cell r="AG58">
            <v>38.858828683021322</v>
          </cell>
        </row>
        <row r="59">
          <cell r="A59">
            <v>6</v>
          </cell>
          <cell r="B59">
            <v>11</v>
          </cell>
          <cell r="AG59">
            <v>447.66034975061893</v>
          </cell>
        </row>
        <row r="60">
          <cell r="A60">
            <v>1</v>
          </cell>
          <cell r="B60">
            <v>11</v>
          </cell>
          <cell r="AG60">
            <v>149.61263218357868</v>
          </cell>
        </row>
        <row r="61">
          <cell r="A61">
            <v>2</v>
          </cell>
          <cell r="B61">
            <v>11</v>
          </cell>
          <cell r="AG61">
            <v>63.257813198009259</v>
          </cell>
        </row>
        <row r="62">
          <cell r="A62">
            <v>2</v>
          </cell>
          <cell r="B62">
            <v>11</v>
          </cell>
          <cell r="AG62">
            <v>71.0053710898964</v>
          </cell>
        </row>
        <row r="63">
          <cell r="A63">
            <v>2</v>
          </cell>
          <cell r="B63">
            <v>11</v>
          </cell>
          <cell r="AG63">
            <v>8930.4712482090472</v>
          </cell>
        </row>
        <row r="64">
          <cell r="A64">
            <v>2</v>
          </cell>
          <cell r="B64">
            <v>11</v>
          </cell>
          <cell r="AG64">
            <v>0</v>
          </cell>
        </row>
        <row r="65">
          <cell r="A65">
            <v>2</v>
          </cell>
          <cell r="B65">
            <v>11</v>
          </cell>
          <cell r="AG65">
            <v>0</v>
          </cell>
        </row>
        <row r="66">
          <cell r="A66">
            <v>2</v>
          </cell>
          <cell r="B66">
            <v>11</v>
          </cell>
          <cell r="AG66">
            <v>0</v>
          </cell>
        </row>
        <row r="67">
          <cell r="A67">
            <v>1</v>
          </cell>
          <cell r="B67">
            <v>12</v>
          </cell>
          <cell r="AG67">
            <v>507.12256631872611</v>
          </cell>
        </row>
        <row r="68">
          <cell r="A68">
            <v>4</v>
          </cell>
          <cell r="B68">
            <v>12</v>
          </cell>
          <cell r="AG68">
            <v>1758.1793990254309</v>
          </cell>
        </row>
        <row r="69">
          <cell r="A69">
            <v>4</v>
          </cell>
          <cell r="B69">
            <v>11</v>
          </cell>
          <cell r="AG69">
            <v>404.65615883601049</v>
          </cell>
        </row>
        <row r="70">
          <cell r="A70">
            <v>4</v>
          </cell>
          <cell r="B70">
            <v>11</v>
          </cell>
          <cell r="AG70">
            <v>2054.6297522923978</v>
          </cell>
        </row>
        <row r="71">
          <cell r="A71">
            <v>2</v>
          </cell>
          <cell r="B71">
            <v>11</v>
          </cell>
          <cell r="AG71">
            <v>0</v>
          </cell>
        </row>
        <row r="72">
          <cell r="A72">
            <v>1</v>
          </cell>
          <cell r="B72">
            <v>11</v>
          </cell>
          <cell r="AG72">
            <v>89.585849893934096</v>
          </cell>
        </row>
        <row r="73">
          <cell r="A73">
            <v>4</v>
          </cell>
          <cell r="B73">
            <v>11</v>
          </cell>
          <cell r="AG73">
            <v>0</v>
          </cell>
        </row>
        <row r="74">
          <cell r="A74">
            <v>4</v>
          </cell>
          <cell r="B74">
            <v>11</v>
          </cell>
          <cell r="AG74">
            <v>0</v>
          </cell>
        </row>
        <row r="75">
          <cell r="A75">
            <v>1</v>
          </cell>
          <cell r="B75">
            <v>11</v>
          </cell>
          <cell r="AG75">
            <v>66.21411151696941</v>
          </cell>
        </row>
        <row r="76">
          <cell r="A76">
            <v>2</v>
          </cell>
          <cell r="B76">
            <v>11</v>
          </cell>
          <cell r="AG76">
            <v>165.20447371058992</v>
          </cell>
        </row>
        <row r="77">
          <cell r="A77">
            <v>1</v>
          </cell>
          <cell r="B77">
            <v>11</v>
          </cell>
          <cell r="AG77">
            <v>-190.99600538148937</v>
          </cell>
        </row>
        <row r="78">
          <cell r="A78">
            <v>5</v>
          </cell>
          <cell r="B78">
            <v>11</v>
          </cell>
          <cell r="AG78">
            <v>4760.3254345288169</v>
          </cell>
        </row>
        <row r="79">
          <cell r="A79">
            <v>2</v>
          </cell>
          <cell r="B79">
            <v>11</v>
          </cell>
          <cell r="AG79">
            <v>449.83269895984267</v>
          </cell>
        </row>
        <row r="80">
          <cell r="A80">
            <v>2</v>
          </cell>
          <cell r="B80">
            <v>11</v>
          </cell>
          <cell r="AG80">
            <v>353.08376520643446</v>
          </cell>
        </row>
        <row r="81">
          <cell r="A81">
            <v>6</v>
          </cell>
          <cell r="B81">
            <v>11</v>
          </cell>
          <cell r="AG81">
            <v>-1.6453118278121053</v>
          </cell>
        </row>
        <row r="82">
          <cell r="A82">
            <v>6</v>
          </cell>
          <cell r="B82">
            <v>11</v>
          </cell>
          <cell r="AG82">
            <v>1463.6594126053687</v>
          </cell>
        </row>
        <row r="83">
          <cell r="A83">
            <v>2</v>
          </cell>
          <cell r="B83">
            <v>11</v>
          </cell>
          <cell r="AG83">
            <v>0</v>
          </cell>
        </row>
        <row r="84">
          <cell r="A84">
            <v>1</v>
          </cell>
          <cell r="B84">
            <v>11</v>
          </cell>
          <cell r="AG84">
            <v>40.242576105554214</v>
          </cell>
        </row>
        <row r="85">
          <cell r="A85">
            <v>6</v>
          </cell>
          <cell r="B85">
            <v>11</v>
          </cell>
          <cell r="AG85">
            <v>211.33209289743957</v>
          </cell>
        </row>
        <row r="86">
          <cell r="A86">
            <v>2</v>
          </cell>
          <cell r="B86">
            <v>11</v>
          </cell>
          <cell r="AG86">
            <v>574.87300140128741</v>
          </cell>
        </row>
        <row r="87">
          <cell r="A87">
            <v>2</v>
          </cell>
          <cell r="B87">
            <v>11</v>
          </cell>
          <cell r="AG87">
            <v>987.3461868006375</v>
          </cell>
        </row>
        <row r="88">
          <cell r="A88">
            <v>3</v>
          </cell>
          <cell r="B88">
            <v>11</v>
          </cell>
          <cell r="AG88">
            <v>1358.6966894390637</v>
          </cell>
        </row>
        <row r="89">
          <cell r="A89">
            <v>2</v>
          </cell>
          <cell r="B89">
            <v>11</v>
          </cell>
          <cell r="AG89">
            <v>737.68297163606019</v>
          </cell>
        </row>
        <row r="90">
          <cell r="A90">
            <v>2</v>
          </cell>
          <cell r="B90">
            <v>11</v>
          </cell>
          <cell r="AG90">
            <v>262.99343195465912</v>
          </cell>
        </row>
        <row r="91">
          <cell r="A91">
            <v>2</v>
          </cell>
          <cell r="B91">
            <v>11</v>
          </cell>
          <cell r="AG91">
            <v>162.8710771892539</v>
          </cell>
        </row>
        <row r="92">
          <cell r="A92">
            <v>1</v>
          </cell>
          <cell r="B92">
            <v>12</v>
          </cell>
          <cell r="AG92">
            <v>1796.6941039607714</v>
          </cell>
        </row>
        <row r="93">
          <cell r="A93">
            <v>5</v>
          </cell>
          <cell r="B93">
            <v>12</v>
          </cell>
          <cell r="AG93">
            <v>19.710754775002059</v>
          </cell>
        </row>
        <row r="94">
          <cell r="A94">
            <v>2</v>
          </cell>
          <cell r="B94">
            <v>11</v>
          </cell>
          <cell r="AG94">
            <v>272.40752204135606</v>
          </cell>
        </row>
        <row r="95">
          <cell r="A95">
            <v>1</v>
          </cell>
          <cell r="B95">
            <v>11</v>
          </cell>
          <cell r="AG95">
            <v>1972.2202287431746</v>
          </cell>
        </row>
        <row r="96">
          <cell r="A96">
            <v>2</v>
          </cell>
          <cell r="B96">
            <v>11</v>
          </cell>
          <cell r="AG96">
            <v>0</v>
          </cell>
        </row>
        <row r="97">
          <cell r="A97">
            <v>2</v>
          </cell>
          <cell r="B97">
            <v>11</v>
          </cell>
          <cell r="AG97">
            <v>0</v>
          </cell>
        </row>
        <row r="98">
          <cell r="A98">
            <v>4</v>
          </cell>
          <cell r="B98">
            <v>12</v>
          </cell>
          <cell r="AG98">
            <v>0</v>
          </cell>
        </row>
        <row r="99">
          <cell r="A99">
            <v>4</v>
          </cell>
          <cell r="B99">
            <v>12</v>
          </cell>
          <cell r="AG99">
            <v>1716.6132291673332</v>
          </cell>
        </row>
        <row r="100">
          <cell r="A100">
            <v>4</v>
          </cell>
          <cell r="B100">
            <v>12</v>
          </cell>
          <cell r="AG100">
            <v>0</v>
          </cell>
        </row>
        <row r="101">
          <cell r="A101">
            <v>4</v>
          </cell>
          <cell r="B101">
            <v>12</v>
          </cell>
          <cell r="AG101">
            <v>0</v>
          </cell>
        </row>
        <row r="102">
          <cell r="A102">
            <v>4</v>
          </cell>
          <cell r="B102">
            <v>12</v>
          </cell>
          <cell r="AG102">
            <v>0</v>
          </cell>
        </row>
        <row r="103">
          <cell r="A103">
            <v>4</v>
          </cell>
          <cell r="B103">
            <v>12</v>
          </cell>
          <cell r="AG103">
            <v>0</v>
          </cell>
        </row>
        <row r="104">
          <cell r="A104">
            <v>4</v>
          </cell>
          <cell r="B104">
            <v>12</v>
          </cell>
          <cell r="AG104">
            <v>0</v>
          </cell>
        </row>
        <row r="105">
          <cell r="A105">
            <v>4</v>
          </cell>
          <cell r="B105">
            <v>12</v>
          </cell>
          <cell r="AG105">
            <v>495.38428559144631</v>
          </cell>
        </row>
        <row r="106">
          <cell r="A106">
            <v>2</v>
          </cell>
          <cell r="B106">
            <v>11</v>
          </cell>
          <cell r="AG106">
            <v>143.87734894465399</v>
          </cell>
        </row>
        <row r="107">
          <cell r="A107">
            <v>1</v>
          </cell>
          <cell r="B107">
            <v>12</v>
          </cell>
          <cell r="AG107">
            <v>190.58947091425705</v>
          </cell>
        </row>
        <row r="108">
          <cell r="A108">
            <v>4</v>
          </cell>
          <cell r="B108">
            <v>13</v>
          </cell>
          <cell r="AG108">
            <v>0</v>
          </cell>
        </row>
        <row r="109">
          <cell r="A109">
            <v>4</v>
          </cell>
          <cell r="B109">
            <v>12</v>
          </cell>
          <cell r="AG109">
            <v>444.24014498778035</v>
          </cell>
        </row>
        <row r="110">
          <cell r="A110">
            <v>4</v>
          </cell>
          <cell r="B110">
            <v>12</v>
          </cell>
          <cell r="AG110">
            <v>1780.7143365438401</v>
          </cell>
        </row>
        <row r="111">
          <cell r="A111">
            <v>4</v>
          </cell>
          <cell r="B111">
            <v>11</v>
          </cell>
          <cell r="AG111">
            <v>0</v>
          </cell>
        </row>
        <row r="112">
          <cell r="A112">
            <v>6</v>
          </cell>
          <cell r="B112">
            <v>11</v>
          </cell>
          <cell r="AG112">
            <v>0</v>
          </cell>
        </row>
        <row r="113">
          <cell r="A113">
            <v>4</v>
          </cell>
          <cell r="B113">
            <v>11</v>
          </cell>
          <cell r="AG113">
            <v>1696.3368681293705</v>
          </cell>
        </row>
        <row r="114">
          <cell r="A114">
            <v>6</v>
          </cell>
          <cell r="B114">
            <v>11</v>
          </cell>
          <cell r="AG114">
            <v>627.49132832910846</v>
          </cell>
        </row>
        <row r="115">
          <cell r="A115">
            <v>5</v>
          </cell>
          <cell r="B115">
            <v>11</v>
          </cell>
          <cell r="AG115">
            <v>374.60984979311877</v>
          </cell>
        </row>
        <row r="116">
          <cell r="A116">
            <v>4</v>
          </cell>
          <cell r="B116">
            <v>12</v>
          </cell>
          <cell r="AG116">
            <v>0</v>
          </cell>
        </row>
        <row r="117">
          <cell r="A117">
            <v>2</v>
          </cell>
          <cell r="B117">
            <v>11</v>
          </cell>
          <cell r="AG117">
            <v>583.60049193857674</v>
          </cell>
        </row>
        <row r="118">
          <cell r="A118">
            <v>2</v>
          </cell>
          <cell r="B118">
            <v>11</v>
          </cell>
          <cell r="AG118">
            <v>0</v>
          </cell>
        </row>
        <row r="119">
          <cell r="A119">
            <v>2</v>
          </cell>
          <cell r="B119">
            <v>11</v>
          </cell>
          <cell r="AG119">
            <v>0</v>
          </cell>
        </row>
        <row r="120">
          <cell r="A120">
            <v>6</v>
          </cell>
          <cell r="B120">
            <v>11</v>
          </cell>
          <cell r="AG120">
            <v>0</v>
          </cell>
        </row>
        <row r="121">
          <cell r="A121">
            <v>6</v>
          </cell>
          <cell r="B121">
            <v>11</v>
          </cell>
          <cell r="AG121">
            <v>0</v>
          </cell>
        </row>
        <row r="122">
          <cell r="A122">
            <v>6</v>
          </cell>
          <cell r="B122">
            <v>11</v>
          </cell>
          <cell r="AG122">
            <v>0</v>
          </cell>
        </row>
        <row r="123">
          <cell r="A123">
            <v>2</v>
          </cell>
          <cell r="B123">
            <v>11</v>
          </cell>
          <cell r="AG123">
            <v>0</v>
          </cell>
        </row>
        <row r="124">
          <cell r="A124">
            <v>2</v>
          </cell>
          <cell r="B124">
            <v>11</v>
          </cell>
          <cell r="AG124">
            <v>1257.6890940976923</v>
          </cell>
        </row>
        <row r="125">
          <cell r="A125">
            <v>3</v>
          </cell>
          <cell r="B125">
            <v>11</v>
          </cell>
          <cell r="AG125">
            <v>106.67097080353854</v>
          </cell>
        </row>
        <row r="126">
          <cell r="A126">
            <v>4</v>
          </cell>
          <cell r="B126">
            <v>12</v>
          </cell>
          <cell r="AG126">
            <v>0</v>
          </cell>
        </row>
        <row r="127">
          <cell r="A127">
            <v>2</v>
          </cell>
          <cell r="B127">
            <v>11</v>
          </cell>
          <cell r="AG127">
            <v>250.50241267330239</v>
          </cell>
        </row>
        <row r="128">
          <cell r="A128">
            <v>4</v>
          </cell>
          <cell r="B128">
            <v>12</v>
          </cell>
          <cell r="AG128">
            <v>0</v>
          </cell>
        </row>
        <row r="129">
          <cell r="A129">
            <v>4</v>
          </cell>
          <cell r="B129">
            <v>12</v>
          </cell>
          <cell r="AG129">
            <v>0</v>
          </cell>
        </row>
        <row r="130">
          <cell r="A130">
            <v>4</v>
          </cell>
          <cell r="B130">
            <v>13</v>
          </cell>
          <cell r="AG130">
            <v>0</v>
          </cell>
        </row>
        <row r="131">
          <cell r="A131">
            <v>2</v>
          </cell>
          <cell r="B131">
            <v>11</v>
          </cell>
          <cell r="AG131">
            <v>22.743178586540832</v>
          </cell>
        </row>
        <row r="132">
          <cell r="A132">
            <v>5</v>
          </cell>
          <cell r="B132">
            <v>12</v>
          </cell>
          <cell r="AG132">
            <v>0</v>
          </cell>
        </row>
        <row r="133">
          <cell r="A133">
            <v>4</v>
          </cell>
          <cell r="B133">
            <v>11</v>
          </cell>
          <cell r="AG133">
            <v>1204.0724992990872</v>
          </cell>
        </row>
        <row r="134">
          <cell r="A134">
            <v>1</v>
          </cell>
          <cell r="B134">
            <v>11</v>
          </cell>
          <cell r="AG134">
            <v>77.720110046833682</v>
          </cell>
        </row>
        <row r="135">
          <cell r="A135">
            <v>1</v>
          </cell>
          <cell r="B135">
            <v>11</v>
          </cell>
          <cell r="AG135">
            <v>629.6907101331301</v>
          </cell>
        </row>
        <row r="136">
          <cell r="A136">
            <v>3</v>
          </cell>
          <cell r="B136">
            <v>11</v>
          </cell>
          <cell r="AG136">
            <v>0</v>
          </cell>
        </row>
        <row r="137">
          <cell r="A137">
            <v>4</v>
          </cell>
          <cell r="B137">
            <v>12</v>
          </cell>
          <cell r="AG137">
            <v>40.332394435555209</v>
          </cell>
        </row>
        <row r="138">
          <cell r="A138">
            <v>4</v>
          </cell>
          <cell r="B138">
            <v>12</v>
          </cell>
          <cell r="AG138">
            <v>448.17406737336842</v>
          </cell>
        </row>
        <row r="139">
          <cell r="A139">
            <v>2</v>
          </cell>
          <cell r="B139">
            <v>11</v>
          </cell>
          <cell r="AG139">
            <v>184.73183460158634</v>
          </cell>
        </row>
        <row r="140">
          <cell r="A140">
            <v>4</v>
          </cell>
          <cell r="B140">
            <v>11</v>
          </cell>
          <cell r="AG140">
            <v>0</v>
          </cell>
        </row>
        <row r="141">
          <cell r="A141">
            <v>4</v>
          </cell>
          <cell r="B141">
            <v>13</v>
          </cell>
          <cell r="AG141">
            <v>1754.1767976334411</v>
          </cell>
        </row>
        <row r="142">
          <cell r="A142">
            <v>2</v>
          </cell>
          <cell r="B142">
            <v>11</v>
          </cell>
          <cell r="AG142">
            <v>0</v>
          </cell>
        </row>
        <row r="143">
          <cell r="A143">
            <v>2</v>
          </cell>
          <cell r="B143">
            <v>11</v>
          </cell>
          <cell r="AG143">
            <v>184.98368041555304</v>
          </cell>
        </row>
        <row r="144">
          <cell r="A144">
            <v>2</v>
          </cell>
          <cell r="B144">
            <v>11</v>
          </cell>
          <cell r="AG144">
            <v>0</v>
          </cell>
        </row>
        <row r="145">
          <cell r="A145">
            <v>2</v>
          </cell>
          <cell r="B145">
            <v>11</v>
          </cell>
          <cell r="AG145">
            <v>0</v>
          </cell>
        </row>
        <row r="146">
          <cell r="A146">
            <v>1</v>
          </cell>
          <cell r="B146">
            <v>12</v>
          </cell>
          <cell r="AG146">
            <v>303.24238115387777</v>
          </cell>
        </row>
        <row r="147">
          <cell r="A147">
            <v>1</v>
          </cell>
          <cell r="B147">
            <v>12</v>
          </cell>
          <cell r="AG147">
            <v>167.9317009119035</v>
          </cell>
        </row>
        <row r="148">
          <cell r="A148">
            <v>2</v>
          </cell>
          <cell r="B148">
            <v>11</v>
          </cell>
          <cell r="AG148">
            <v>57.010316149535129</v>
          </cell>
        </row>
        <row r="149">
          <cell r="A149">
            <v>1</v>
          </cell>
          <cell r="B149">
            <v>11</v>
          </cell>
          <cell r="AG149">
            <v>0</v>
          </cell>
        </row>
        <row r="150">
          <cell r="A150">
            <v>2</v>
          </cell>
          <cell r="B150">
            <v>11</v>
          </cell>
          <cell r="AG150">
            <v>186.95083561782155</v>
          </cell>
        </row>
        <row r="151">
          <cell r="A151">
            <v>4</v>
          </cell>
          <cell r="B151">
            <v>12</v>
          </cell>
          <cell r="AG151">
            <v>0</v>
          </cell>
        </row>
        <row r="152">
          <cell r="A152">
            <v>2</v>
          </cell>
          <cell r="B152">
            <v>11</v>
          </cell>
          <cell r="AG152">
            <v>842.51435018934922</v>
          </cell>
        </row>
        <row r="153">
          <cell r="A153">
            <v>1</v>
          </cell>
          <cell r="B153">
            <v>11</v>
          </cell>
          <cell r="AG153">
            <v>1454.216261631821</v>
          </cell>
        </row>
        <row r="154">
          <cell r="A154">
            <v>1</v>
          </cell>
          <cell r="B154">
            <v>11</v>
          </cell>
          <cell r="AG154">
            <v>1051.9737278186365</v>
          </cell>
        </row>
        <row r="155">
          <cell r="A155">
            <v>2</v>
          </cell>
          <cell r="B155">
            <v>11</v>
          </cell>
          <cell r="AG155">
            <v>792.07444196902384</v>
          </cell>
        </row>
        <row r="156">
          <cell r="A156">
            <v>1</v>
          </cell>
          <cell r="B156">
            <v>12</v>
          </cell>
          <cell r="AG156">
            <v>448.16854530460148</v>
          </cell>
        </row>
        <row r="157">
          <cell r="A157">
            <v>1</v>
          </cell>
          <cell r="B157">
            <v>12</v>
          </cell>
          <cell r="AG157">
            <v>0</v>
          </cell>
        </row>
        <row r="158">
          <cell r="A158">
            <v>1</v>
          </cell>
          <cell r="B158">
            <v>11</v>
          </cell>
          <cell r="AG158">
            <v>804.71928606130632</v>
          </cell>
        </row>
        <row r="159">
          <cell r="A159">
            <v>3</v>
          </cell>
          <cell r="B159">
            <v>11</v>
          </cell>
          <cell r="AG159">
            <v>5259.8686390931825</v>
          </cell>
        </row>
        <row r="160">
          <cell r="A160">
            <v>3</v>
          </cell>
          <cell r="B160">
            <v>11</v>
          </cell>
          <cell r="AG160">
            <v>8930.4712482090472</v>
          </cell>
        </row>
        <row r="161">
          <cell r="A161">
            <v>3</v>
          </cell>
          <cell r="B161">
            <v>11</v>
          </cell>
          <cell r="AG161">
            <v>11968.771478513168</v>
          </cell>
        </row>
        <row r="162">
          <cell r="A162">
            <v>2</v>
          </cell>
          <cell r="B162">
            <v>11</v>
          </cell>
          <cell r="AG162">
            <v>-25.864307763766437</v>
          </cell>
        </row>
        <row r="163">
          <cell r="A163">
            <v>2</v>
          </cell>
          <cell r="B163">
            <v>11</v>
          </cell>
          <cell r="AG163">
            <v>0</v>
          </cell>
        </row>
        <row r="164">
          <cell r="A164">
            <v>2</v>
          </cell>
          <cell r="B164">
            <v>11</v>
          </cell>
          <cell r="AG164">
            <v>0</v>
          </cell>
        </row>
        <row r="165">
          <cell r="A165">
            <v>2</v>
          </cell>
          <cell r="B165">
            <v>11</v>
          </cell>
          <cell r="AG165">
            <v>0</v>
          </cell>
        </row>
        <row r="166">
          <cell r="A166">
            <v>5</v>
          </cell>
          <cell r="B166">
            <v>11</v>
          </cell>
          <cell r="AG166">
            <v>286.44832722303596</v>
          </cell>
        </row>
        <row r="167">
          <cell r="A167">
            <v>2</v>
          </cell>
          <cell r="B167">
            <v>11</v>
          </cell>
          <cell r="AG167">
            <v>794.81992329406762</v>
          </cell>
        </row>
        <row r="168">
          <cell r="A168">
            <v>2</v>
          </cell>
          <cell r="B168">
            <v>11</v>
          </cell>
          <cell r="AG168">
            <v>0</v>
          </cell>
        </row>
        <row r="169">
          <cell r="A169">
            <v>2</v>
          </cell>
          <cell r="B169">
            <v>11</v>
          </cell>
          <cell r="AG169">
            <v>893.06638190176318</v>
          </cell>
        </row>
        <row r="170">
          <cell r="A170">
            <v>2</v>
          </cell>
          <cell r="B170">
            <v>11</v>
          </cell>
          <cell r="AG170">
            <v>0</v>
          </cell>
        </row>
        <row r="171">
          <cell r="A171">
            <v>2</v>
          </cell>
          <cell r="B171">
            <v>11</v>
          </cell>
          <cell r="AG171">
            <v>0</v>
          </cell>
        </row>
        <row r="172">
          <cell r="A172">
            <v>2</v>
          </cell>
          <cell r="B172">
            <v>11</v>
          </cell>
          <cell r="AG172">
            <v>209.21193529177154</v>
          </cell>
        </row>
        <row r="173">
          <cell r="A173">
            <v>4</v>
          </cell>
          <cell r="B173">
            <v>11</v>
          </cell>
          <cell r="AG173">
            <v>26346.19766958851</v>
          </cell>
        </row>
        <row r="174">
          <cell r="A174">
            <v>1</v>
          </cell>
          <cell r="B174">
            <v>11</v>
          </cell>
          <cell r="AG174">
            <v>265.35352957473492</v>
          </cell>
        </row>
        <row r="175">
          <cell r="A175">
            <v>1</v>
          </cell>
          <cell r="B175">
            <v>11</v>
          </cell>
          <cell r="AG175">
            <v>1051.9737278186365</v>
          </cell>
        </row>
        <row r="176">
          <cell r="A176">
            <v>1</v>
          </cell>
          <cell r="B176">
            <v>11</v>
          </cell>
          <cell r="AG176">
            <v>0</v>
          </cell>
        </row>
        <row r="177">
          <cell r="A177">
            <v>2</v>
          </cell>
          <cell r="B177">
            <v>11</v>
          </cell>
          <cell r="AG177">
            <v>757.62352227420251</v>
          </cell>
        </row>
        <row r="178">
          <cell r="A178">
            <v>4</v>
          </cell>
          <cell r="B178">
            <v>12</v>
          </cell>
          <cell r="AG178">
            <v>1169.6936515354575</v>
          </cell>
        </row>
        <row r="179">
          <cell r="A179">
            <v>2</v>
          </cell>
          <cell r="B179">
            <v>11</v>
          </cell>
          <cell r="AG179">
            <v>17.147758606041862</v>
          </cell>
        </row>
        <row r="180">
          <cell r="A180">
            <v>2</v>
          </cell>
          <cell r="B180">
            <v>11</v>
          </cell>
          <cell r="AG180">
            <v>0</v>
          </cell>
        </row>
        <row r="181">
          <cell r="A181">
            <v>2</v>
          </cell>
          <cell r="B181">
            <v>11</v>
          </cell>
          <cell r="AG181">
            <v>0</v>
          </cell>
        </row>
        <row r="182">
          <cell r="A182">
            <v>2</v>
          </cell>
          <cell r="B182">
            <v>11</v>
          </cell>
          <cell r="AG182">
            <v>0</v>
          </cell>
        </row>
        <row r="183">
          <cell r="A183">
            <v>2</v>
          </cell>
          <cell r="B183">
            <v>11</v>
          </cell>
          <cell r="AG183">
            <v>2232.6274405926906</v>
          </cell>
        </row>
        <row r="184">
          <cell r="A184">
            <v>2</v>
          </cell>
          <cell r="B184">
            <v>11</v>
          </cell>
          <cell r="AG184">
            <v>0</v>
          </cell>
        </row>
        <row r="185">
          <cell r="A185">
            <v>2</v>
          </cell>
          <cell r="B185">
            <v>11</v>
          </cell>
          <cell r="AG185">
            <v>0</v>
          </cell>
        </row>
        <row r="186">
          <cell r="A186">
            <v>4</v>
          </cell>
          <cell r="B186">
            <v>12</v>
          </cell>
          <cell r="AG186">
            <v>1860.941082305485</v>
          </cell>
        </row>
        <row r="187">
          <cell r="A187">
            <v>2</v>
          </cell>
          <cell r="B187">
            <v>11</v>
          </cell>
          <cell r="AG187">
            <v>100.83747071851917</v>
          </cell>
        </row>
        <row r="188">
          <cell r="A188">
            <v>2</v>
          </cell>
          <cell r="B188">
            <v>11</v>
          </cell>
          <cell r="AG188">
            <v>59.379288325589478</v>
          </cell>
        </row>
        <row r="189">
          <cell r="A189">
            <v>1</v>
          </cell>
          <cell r="B189">
            <v>11</v>
          </cell>
          <cell r="AG189">
            <v>54.787816667607281</v>
          </cell>
        </row>
        <row r="190">
          <cell r="A190">
            <v>2</v>
          </cell>
          <cell r="B190">
            <v>11</v>
          </cell>
          <cell r="AG190">
            <v>0</v>
          </cell>
        </row>
        <row r="191">
          <cell r="A191">
            <v>2</v>
          </cell>
          <cell r="B191">
            <v>11</v>
          </cell>
          <cell r="AG191">
            <v>0</v>
          </cell>
        </row>
        <row r="192">
          <cell r="A192">
            <v>1</v>
          </cell>
          <cell r="B192">
            <v>11</v>
          </cell>
          <cell r="AG192">
            <v>2232.6274405926906</v>
          </cell>
        </row>
        <row r="193">
          <cell r="A193">
            <v>1</v>
          </cell>
          <cell r="B193">
            <v>11</v>
          </cell>
          <cell r="AG193">
            <v>0</v>
          </cell>
        </row>
        <row r="194">
          <cell r="A194">
            <v>4</v>
          </cell>
          <cell r="B194">
            <v>12</v>
          </cell>
          <cell r="AG194">
            <v>1793.798164885754</v>
          </cell>
        </row>
        <row r="195">
          <cell r="A195">
            <v>4</v>
          </cell>
          <cell r="B195">
            <v>11</v>
          </cell>
          <cell r="AG195">
            <v>2679.160631543572</v>
          </cell>
        </row>
        <row r="196">
          <cell r="A196">
            <v>4</v>
          </cell>
          <cell r="B196">
            <v>11</v>
          </cell>
          <cell r="AG196">
            <v>0</v>
          </cell>
        </row>
        <row r="197">
          <cell r="A197">
            <v>2</v>
          </cell>
          <cell r="B197">
            <v>11</v>
          </cell>
          <cell r="AG197">
            <v>236.34343084992031</v>
          </cell>
        </row>
        <row r="198">
          <cell r="A198">
            <v>2</v>
          </cell>
          <cell r="B198">
            <v>11</v>
          </cell>
          <cell r="AG198">
            <v>3740.4117204059876</v>
          </cell>
        </row>
        <row r="199">
          <cell r="A199">
            <v>2</v>
          </cell>
          <cell r="B199">
            <v>11</v>
          </cell>
          <cell r="AG199">
            <v>0</v>
          </cell>
        </row>
        <row r="200">
          <cell r="A200">
            <v>2</v>
          </cell>
          <cell r="B200">
            <v>11</v>
          </cell>
          <cell r="AG200">
            <v>289.54744676524115</v>
          </cell>
        </row>
        <row r="201">
          <cell r="A201">
            <v>2</v>
          </cell>
          <cell r="B201">
            <v>11</v>
          </cell>
          <cell r="AG201">
            <v>-9.0949470177292824E-13</v>
          </cell>
        </row>
        <row r="202">
          <cell r="A202">
            <v>2</v>
          </cell>
          <cell r="B202">
            <v>11</v>
          </cell>
          <cell r="AG202">
            <v>0</v>
          </cell>
        </row>
        <row r="203">
          <cell r="A203">
            <v>2</v>
          </cell>
          <cell r="B203">
            <v>11</v>
          </cell>
          <cell r="AG203">
            <v>0</v>
          </cell>
        </row>
        <row r="204">
          <cell r="A204">
            <v>1</v>
          </cell>
          <cell r="B204">
            <v>11</v>
          </cell>
          <cell r="AG204">
            <v>79.464487696189323</v>
          </cell>
        </row>
        <row r="205">
          <cell r="A205">
            <v>6</v>
          </cell>
          <cell r="B205">
            <v>11</v>
          </cell>
          <cell r="AG205">
            <v>0</v>
          </cell>
        </row>
        <row r="206">
          <cell r="A206">
            <v>4</v>
          </cell>
          <cell r="B206">
            <v>11</v>
          </cell>
          <cell r="AG206">
            <v>0</v>
          </cell>
        </row>
        <row r="207">
          <cell r="A207">
            <v>2</v>
          </cell>
          <cell r="B207">
            <v>11</v>
          </cell>
          <cell r="AG207">
            <v>108.80815406556712</v>
          </cell>
        </row>
        <row r="208">
          <cell r="A208">
            <v>6</v>
          </cell>
          <cell r="B208">
            <v>11</v>
          </cell>
          <cell r="AG208">
            <v>311.71639783835451</v>
          </cell>
        </row>
        <row r="209">
          <cell r="A209">
            <v>2</v>
          </cell>
          <cell r="B209">
            <v>11</v>
          </cell>
          <cell r="AG209">
            <v>872.77617739111975</v>
          </cell>
        </row>
        <row r="210">
          <cell r="A210">
            <v>2</v>
          </cell>
          <cell r="B210">
            <v>11</v>
          </cell>
          <cell r="AG210">
            <v>0</v>
          </cell>
        </row>
        <row r="211">
          <cell r="A211">
            <v>2</v>
          </cell>
          <cell r="B211">
            <v>11</v>
          </cell>
          <cell r="AG211">
            <v>0</v>
          </cell>
        </row>
        <row r="212">
          <cell r="A212">
            <v>4</v>
          </cell>
          <cell r="B212">
            <v>12</v>
          </cell>
          <cell r="AG212">
            <v>0</v>
          </cell>
        </row>
        <row r="213">
          <cell r="A213">
            <v>1</v>
          </cell>
          <cell r="B213">
            <v>11</v>
          </cell>
          <cell r="AG213">
            <v>9.267819216646485</v>
          </cell>
        </row>
        <row r="214">
          <cell r="A214">
            <v>4</v>
          </cell>
          <cell r="B214">
            <v>11</v>
          </cell>
          <cell r="AG214">
            <v>0</v>
          </cell>
        </row>
        <row r="215">
          <cell r="A215">
            <v>4</v>
          </cell>
          <cell r="B215">
            <v>11</v>
          </cell>
          <cell r="AG215">
            <v>37380.808667801706</v>
          </cell>
        </row>
        <row r="216">
          <cell r="A216">
            <v>1</v>
          </cell>
          <cell r="B216">
            <v>11</v>
          </cell>
          <cell r="AG216">
            <v>517.53204641424441</v>
          </cell>
        </row>
        <row r="217">
          <cell r="A217">
            <v>1</v>
          </cell>
          <cell r="B217">
            <v>11</v>
          </cell>
          <cell r="AG217">
            <v>0</v>
          </cell>
        </row>
        <row r="218">
          <cell r="A218">
            <v>2</v>
          </cell>
          <cell r="B218">
            <v>11</v>
          </cell>
          <cell r="AG218">
            <v>55.255896542156179</v>
          </cell>
        </row>
        <row r="219">
          <cell r="A219">
            <v>5</v>
          </cell>
          <cell r="B219">
            <v>11</v>
          </cell>
          <cell r="AG219">
            <v>749.43733811353138</v>
          </cell>
        </row>
        <row r="220">
          <cell r="A220">
            <v>2</v>
          </cell>
          <cell r="B220">
            <v>11</v>
          </cell>
          <cell r="AG220">
            <v>0</v>
          </cell>
        </row>
        <row r="221">
          <cell r="A221">
            <v>4</v>
          </cell>
          <cell r="B221">
            <v>12</v>
          </cell>
          <cell r="AG221">
            <v>61.361661663933404</v>
          </cell>
        </row>
        <row r="222">
          <cell r="A222">
            <v>4</v>
          </cell>
          <cell r="B222">
            <v>11</v>
          </cell>
          <cell r="AG222">
            <v>1152.483827432101</v>
          </cell>
        </row>
        <row r="223">
          <cell r="A223">
            <v>4</v>
          </cell>
          <cell r="B223">
            <v>11</v>
          </cell>
          <cell r="AG223">
            <v>0</v>
          </cell>
        </row>
        <row r="224">
          <cell r="A224">
            <v>4</v>
          </cell>
          <cell r="B224">
            <v>11</v>
          </cell>
          <cell r="AG224">
            <v>0</v>
          </cell>
        </row>
        <row r="225">
          <cell r="A225">
            <v>4</v>
          </cell>
          <cell r="B225">
            <v>12</v>
          </cell>
          <cell r="AG225">
            <v>0</v>
          </cell>
        </row>
        <row r="226">
          <cell r="A226">
            <v>4</v>
          </cell>
          <cell r="B226">
            <v>12</v>
          </cell>
          <cell r="AG226">
            <v>1437.9142292686474</v>
          </cell>
        </row>
        <row r="227">
          <cell r="A227">
            <v>4</v>
          </cell>
          <cell r="B227">
            <v>12</v>
          </cell>
          <cell r="AG227">
            <v>0</v>
          </cell>
        </row>
        <row r="228">
          <cell r="A228">
            <v>1</v>
          </cell>
          <cell r="B228">
            <v>11</v>
          </cell>
          <cell r="AG228">
            <v>105.19737278186366</v>
          </cell>
        </row>
        <row r="229">
          <cell r="A229">
            <v>4</v>
          </cell>
          <cell r="B229">
            <v>13</v>
          </cell>
          <cell r="AG229">
            <v>8929.2202187094736</v>
          </cell>
        </row>
        <row r="230">
          <cell r="A230">
            <v>4</v>
          </cell>
          <cell r="B230">
            <v>13</v>
          </cell>
          <cell r="AG230">
            <v>0</v>
          </cell>
        </row>
        <row r="231">
          <cell r="A231">
            <v>2</v>
          </cell>
          <cell r="B231">
            <v>11</v>
          </cell>
          <cell r="AG231">
            <v>409.82362555198938</v>
          </cell>
        </row>
        <row r="232">
          <cell r="A232">
            <v>3</v>
          </cell>
          <cell r="B232">
            <v>11</v>
          </cell>
          <cell r="AG232">
            <v>1169.0309471757614</v>
          </cell>
        </row>
        <row r="233">
          <cell r="A233">
            <v>2</v>
          </cell>
          <cell r="B233">
            <v>11</v>
          </cell>
          <cell r="AG233">
            <v>0</v>
          </cell>
        </row>
        <row r="234">
          <cell r="A234">
            <v>2</v>
          </cell>
          <cell r="B234">
            <v>11</v>
          </cell>
          <cell r="AG234">
            <v>0</v>
          </cell>
        </row>
        <row r="235">
          <cell r="A235">
            <v>2</v>
          </cell>
          <cell r="B235">
            <v>11</v>
          </cell>
          <cell r="AG235">
            <v>0</v>
          </cell>
        </row>
        <row r="236">
          <cell r="A236">
            <v>2</v>
          </cell>
          <cell r="B236">
            <v>11</v>
          </cell>
          <cell r="AG236">
            <v>37.423729239325802</v>
          </cell>
        </row>
        <row r="237">
          <cell r="A237">
            <v>6</v>
          </cell>
          <cell r="B237">
            <v>12</v>
          </cell>
          <cell r="AG237">
            <v>418.01747991710266</v>
          </cell>
        </row>
        <row r="238">
          <cell r="A238">
            <v>1</v>
          </cell>
          <cell r="B238">
            <v>11</v>
          </cell>
          <cell r="AG238">
            <v>105.19737278186366</v>
          </cell>
        </row>
        <row r="239">
          <cell r="A239">
            <v>4</v>
          </cell>
          <cell r="B239">
            <v>13</v>
          </cell>
          <cell r="AG239">
            <v>1492.8184521944809</v>
          </cell>
        </row>
        <row r="240">
          <cell r="A240">
            <v>1</v>
          </cell>
          <cell r="B240">
            <v>11</v>
          </cell>
          <cell r="AG240">
            <v>9.4998163997332092</v>
          </cell>
        </row>
        <row r="241">
          <cell r="A241">
            <v>5</v>
          </cell>
          <cell r="B241">
            <v>11</v>
          </cell>
          <cell r="AG241">
            <v>447.03042945295681</v>
          </cell>
        </row>
        <row r="242">
          <cell r="A242">
            <v>1</v>
          </cell>
          <cell r="B242">
            <v>11</v>
          </cell>
          <cell r="AG242">
            <v>210.39474556372733</v>
          </cell>
        </row>
        <row r="243">
          <cell r="A243">
            <v>1</v>
          </cell>
          <cell r="B243">
            <v>11</v>
          </cell>
          <cell r="AG243">
            <v>149.61263218357868</v>
          </cell>
        </row>
        <row r="244">
          <cell r="A244">
            <v>2</v>
          </cell>
          <cell r="B244">
            <v>11</v>
          </cell>
          <cell r="AG244">
            <v>311.76329952387334</v>
          </cell>
        </row>
        <row r="245">
          <cell r="A245">
            <v>1</v>
          </cell>
          <cell r="B245">
            <v>11</v>
          </cell>
          <cell r="AG245">
            <v>105.19737278186366</v>
          </cell>
        </row>
        <row r="246">
          <cell r="A246">
            <v>4</v>
          </cell>
          <cell r="B246">
            <v>11</v>
          </cell>
          <cell r="AG246">
            <v>0</v>
          </cell>
        </row>
        <row r="247">
          <cell r="A247">
            <v>4</v>
          </cell>
          <cell r="B247">
            <v>11</v>
          </cell>
          <cell r="AG247">
            <v>0</v>
          </cell>
        </row>
        <row r="248">
          <cell r="A248">
            <v>4</v>
          </cell>
          <cell r="B248">
            <v>12</v>
          </cell>
          <cell r="AG248">
            <v>784.76411441535015</v>
          </cell>
        </row>
        <row r="249">
          <cell r="A249">
            <v>4</v>
          </cell>
          <cell r="B249">
            <v>12</v>
          </cell>
          <cell r="AG249">
            <v>0</v>
          </cell>
        </row>
        <row r="250">
          <cell r="A250">
            <v>1</v>
          </cell>
          <cell r="B250">
            <v>11</v>
          </cell>
          <cell r="AG250">
            <v>574.87300140128741</v>
          </cell>
        </row>
        <row r="251">
          <cell r="A251">
            <v>1</v>
          </cell>
          <cell r="B251">
            <v>11</v>
          </cell>
          <cell r="AG251">
            <v>1464.3201062288008</v>
          </cell>
        </row>
        <row r="252">
          <cell r="A252">
            <v>2</v>
          </cell>
          <cell r="B252">
            <v>11</v>
          </cell>
          <cell r="AG252">
            <v>0</v>
          </cell>
        </row>
        <row r="253">
          <cell r="A253">
            <v>6</v>
          </cell>
          <cell r="B253">
            <v>11</v>
          </cell>
          <cell r="AG253">
            <v>18.393015682999991</v>
          </cell>
        </row>
        <row r="254">
          <cell r="A254">
            <v>1</v>
          </cell>
          <cell r="B254">
            <v>11</v>
          </cell>
          <cell r="AG254">
            <v>62.557013731510253</v>
          </cell>
        </row>
        <row r="255">
          <cell r="A255">
            <v>2</v>
          </cell>
          <cell r="B255">
            <v>11</v>
          </cell>
          <cell r="AG255">
            <v>557.96220035841634</v>
          </cell>
        </row>
        <row r="256">
          <cell r="A256">
            <v>4</v>
          </cell>
          <cell r="B256">
            <v>11</v>
          </cell>
          <cell r="AG256">
            <v>862.30950210193089</v>
          </cell>
        </row>
        <row r="257">
          <cell r="A257">
            <v>4</v>
          </cell>
          <cell r="B257">
            <v>11</v>
          </cell>
          <cell r="AG257">
            <v>0</v>
          </cell>
        </row>
        <row r="258">
          <cell r="A258">
            <v>4</v>
          </cell>
          <cell r="B258">
            <v>11</v>
          </cell>
          <cell r="AG258">
            <v>0</v>
          </cell>
        </row>
        <row r="259">
          <cell r="A259">
            <v>4</v>
          </cell>
          <cell r="B259">
            <v>11</v>
          </cell>
          <cell r="AG259">
            <v>0</v>
          </cell>
        </row>
        <row r="260">
          <cell r="A260">
            <v>2</v>
          </cell>
          <cell r="B260">
            <v>11</v>
          </cell>
          <cell r="AG260">
            <v>292.82446379314695</v>
          </cell>
        </row>
        <row r="261">
          <cell r="A261">
            <v>1</v>
          </cell>
          <cell r="B261">
            <v>11</v>
          </cell>
          <cell r="AG261">
            <v>0</v>
          </cell>
        </row>
        <row r="262">
          <cell r="A262">
            <v>6</v>
          </cell>
          <cell r="B262">
            <v>11</v>
          </cell>
          <cell r="AG262">
            <v>7529.7420500091393</v>
          </cell>
        </row>
        <row r="263">
          <cell r="A263">
            <v>6</v>
          </cell>
          <cell r="B263">
            <v>11</v>
          </cell>
          <cell r="AG263">
            <v>0</v>
          </cell>
        </row>
        <row r="264">
          <cell r="A264">
            <v>6</v>
          </cell>
          <cell r="B264">
            <v>11</v>
          </cell>
          <cell r="AG264">
            <v>0</v>
          </cell>
        </row>
        <row r="265">
          <cell r="A265">
            <v>2</v>
          </cell>
          <cell r="B265">
            <v>11</v>
          </cell>
          <cell r="AG265">
            <v>920.38218285440348</v>
          </cell>
        </row>
        <row r="266">
          <cell r="A266">
            <v>2</v>
          </cell>
          <cell r="B266">
            <v>11</v>
          </cell>
          <cell r="AG266">
            <v>525.98686390931823</v>
          </cell>
        </row>
        <row r="267">
          <cell r="A267">
            <v>2</v>
          </cell>
          <cell r="B267">
            <v>11</v>
          </cell>
          <cell r="AG267">
            <v>357.21884992836192</v>
          </cell>
        </row>
        <row r="268">
          <cell r="A268">
            <v>2</v>
          </cell>
          <cell r="B268">
            <v>11</v>
          </cell>
          <cell r="AG268">
            <v>0</v>
          </cell>
        </row>
        <row r="269">
          <cell r="A269">
            <v>2</v>
          </cell>
          <cell r="B269">
            <v>11</v>
          </cell>
          <cell r="AG269">
            <v>72.964585931278719</v>
          </cell>
        </row>
        <row r="270">
          <cell r="A270">
            <v>4</v>
          </cell>
          <cell r="B270">
            <v>12</v>
          </cell>
          <cell r="AG270">
            <v>1477.7165947270282</v>
          </cell>
        </row>
        <row r="271">
          <cell r="A271">
            <v>4</v>
          </cell>
          <cell r="B271">
            <v>11</v>
          </cell>
          <cell r="AG271">
            <v>0</v>
          </cell>
        </row>
        <row r="272">
          <cell r="A272">
            <v>1</v>
          </cell>
          <cell r="B272">
            <v>12</v>
          </cell>
          <cell r="AG272">
            <v>57.010316149535129</v>
          </cell>
        </row>
        <row r="273">
          <cell r="A273">
            <v>4</v>
          </cell>
          <cell r="B273">
            <v>13</v>
          </cell>
          <cell r="AG273">
            <v>618.76155415487995</v>
          </cell>
        </row>
        <row r="274">
          <cell r="A274">
            <v>4</v>
          </cell>
          <cell r="B274">
            <v>12</v>
          </cell>
          <cell r="AG274">
            <v>2997.3104850850059</v>
          </cell>
        </row>
        <row r="275">
          <cell r="A275">
            <v>1</v>
          </cell>
          <cell r="B275">
            <v>12</v>
          </cell>
          <cell r="AG275">
            <v>805.64297989648844</v>
          </cell>
        </row>
        <row r="276">
          <cell r="A276">
            <v>1</v>
          </cell>
          <cell r="B276">
            <v>11</v>
          </cell>
          <cell r="AG276">
            <v>35.217614578636066</v>
          </cell>
        </row>
        <row r="277">
          <cell r="A277">
            <v>4</v>
          </cell>
          <cell r="B277">
            <v>12</v>
          </cell>
          <cell r="AG277">
            <v>3397.2035327160993</v>
          </cell>
        </row>
        <row r="278">
          <cell r="A278">
            <v>4</v>
          </cell>
          <cell r="B278">
            <v>12</v>
          </cell>
          <cell r="AG278">
            <v>0</v>
          </cell>
        </row>
        <row r="279">
          <cell r="A279">
            <v>4</v>
          </cell>
          <cell r="B279">
            <v>12</v>
          </cell>
          <cell r="AG279">
            <v>154.46365361077474</v>
          </cell>
        </row>
        <row r="280">
          <cell r="A280">
            <v>1</v>
          </cell>
          <cell r="B280">
            <v>12</v>
          </cell>
          <cell r="AG280">
            <v>807.59449504697477</v>
          </cell>
        </row>
        <row r="281">
          <cell r="A281">
            <v>5</v>
          </cell>
          <cell r="B281">
            <v>11</v>
          </cell>
          <cell r="AG281">
            <v>23607.041196253573</v>
          </cell>
        </row>
        <row r="282">
          <cell r="A282">
            <v>2</v>
          </cell>
          <cell r="B282">
            <v>11</v>
          </cell>
          <cell r="AG282">
            <v>313.13760964616768</v>
          </cell>
        </row>
        <row r="283">
          <cell r="A283">
            <v>6</v>
          </cell>
          <cell r="B283">
            <v>12</v>
          </cell>
          <cell r="AG283">
            <v>331.07055758484705</v>
          </cell>
        </row>
        <row r="284">
          <cell r="A284">
            <v>6</v>
          </cell>
          <cell r="B284">
            <v>12</v>
          </cell>
          <cell r="AG284">
            <v>227.92764102737118</v>
          </cell>
        </row>
        <row r="285">
          <cell r="A285">
            <v>4</v>
          </cell>
          <cell r="B285">
            <v>12</v>
          </cell>
          <cell r="AG285">
            <v>0</v>
          </cell>
        </row>
        <row r="286">
          <cell r="A286">
            <v>4</v>
          </cell>
          <cell r="B286">
            <v>12</v>
          </cell>
          <cell r="AG286">
            <v>0</v>
          </cell>
        </row>
        <row r="287">
          <cell r="A287">
            <v>5</v>
          </cell>
          <cell r="B287">
            <v>12</v>
          </cell>
          <cell r="AG287">
            <v>3121.630515221419</v>
          </cell>
        </row>
        <row r="288">
          <cell r="A288">
            <v>1</v>
          </cell>
          <cell r="B288">
            <v>12</v>
          </cell>
          <cell r="AG288">
            <v>159.42569230637974</v>
          </cell>
        </row>
        <row r="289">
          <cell r="A289">
            <v>4</v>
          </cell>
          <cell r="B289">
            <v>12</v>
          </cell>
          <cell r="AG289">
            <v>-6.9416450819367688</v>
          </cell>
        </row>
        <row r="290">
          <cell r="A290">
            <v>4</v>
          </cell>
          <cell r="B290">
            <v>12</v>
          </cell>
          <cell r="AG290">
            <v>2532.1024653229215</v>
          </cell>
        </row>
        <row r="291">
          <cell r="A291">
            <v>5</v>
          </cell>
          <cell r="B291">
            <v>11</v>
          </cell>
          <cell r="AG291">
            <v>0</v>
          </cell>
        </row>
        <row r="292">
          <cell r="A292">
            <v>4</v>
          </cell>
          <cell r="B292">
            <v>12</v>
          </cell>
          <cell r="AG292">
            <v>0</v>
          </cell>
        </row>
        <row r="293">
          <cell r="A293">
            <v>4</v>
          </cell>
          <cell r="B293">
            <v>11</v>
          </cell>
          <cell r="AG293">
            <v>0</v>
          </cell>
        </row>
        <row r="294">
          <cell r="A294">
            <v>4</v>
          </cell>
          <cell r="B294">
            <v>12</v>
          </cell>
          <cell r="AG294">
            <v>0</v>
          </cell>
        </row>
        <row r="295">
          <cell r="A295">
            <v>4</v>
          </cell>
          <cell r="B295">
            <v>12</v>
          </cell>
          <cell r="AG295">
            <v>0</v>
          </cell>
        </row>
        <row r="296">
          <cell r="A296">
            <v>4</v>
          </cell>
          <cell r="B296">
            <v>12</v>
          </cell>
          <cell r="AG296">
            <v>141.67829630636598</v>
          </cell>
        </row>
        <row r="297">
          <cell r="A297">
            <v>4</v>
          </cell>
          <cell r="B297">
            <v>11</v>
          </cell>
          <cell r="AG297">
            <v>1051.9737278186365</v>
          </cell>
        </row>
        <row r="298">
          <cell r="A298">
            <v>4</v>
          </cell>
          <cell r="B298">
            <v>11</v>
          </cell>
          <cell r="AG298">
            <v>0</v>
          </cell>
        </row>
        <row r="299">
          <cell r="A299">
            <v>1</v>
          </cell>
          <cell r="B299">
            <v>12</v>
          </cell>
          <cell r="AG299">
            <v>167.9317009119035</v>
          </cell>
        </row>
        <row r="300">
          <cell r="A300">
            <v>1</v>
          </cell>
          <cell r="B300">
            <v>12</v>
          </cell>
          <cell r="AG300">
            <v>37.905297644234722</v>
          </cell>
        </row>
        <row r="301">
          <cell r="A301">
            <v>3</v>
          </cell>
          <cell r="B301">
            <v>11</v>
          </cell>
          <cell r="AG301">
            <v>3572.1884992836185</v>
          </cell>
        </row>
        <row r="302">
          <cell r="A302">
            <v>3</v>
          </cell>
          <cell r="B302">
            <v>11</v>
          </cell>
          <cell r="AG302">
            <v>855.46647361690702</v>
          </cell>
        </row>
        <row r="303">
          <cell r="A303">
            <v>3</v>
          </cell>
          <cell r="B303">
            <v>11</v>
          </cell>
          <cell r="AG303">
            <v>1051.9737278186365</v>
          </cell>
        </row>
        <row r="304">
          <cell r="A304">
            <v>4</v>
          </cell>
          <cell r="B304">
            <v>12</v>
          </cell>
          <cell r="AG304">
            <v>0</v>
          </cell>
        </row>
        <row r="305">
          <cell r="A305">
            <v>4</v>
          </cell>
          <cell r="B305">
            <v>13</v>
          </cell>
          <cell r="AG305">
            <v>1323.1593065027114</v>
          </cell>
        </row>
        <row r="306">
          <cell r="A306">
            <v>5</v>
          </cell>
          <cell r="B306">
            <v>12</v>
          </cell>
          <cell r="AG306">
            <v>0</v>
          </cell>
        </row>
        <row r="307">
          <cell r="A307">
            <v>4</v>
          </cell>
          <cell r="B307">
            <v>13</v>
          </cell>
          <cell r="AG307">
            <v>283.59515404575774</v>
          </cell>
        </row>
        <row r="308">
          <cell r="A308">
            <v>1</v>
          </cell>
          <cell r="B308">
            <v>12</v>
          </cell>
          <cell r="AG308">
            <v>0</v>
          </cell>
        </row>
        <row r="309">
          <cell r="A309">
            <v>4</v>
          </cell>
          <cell r="B309">
            <v>13</v>
          </cell>
          <cell r="AG309">
            <v>2430.5224343867058</v>
          </cell>
        </row>
        <row r="310">
          <cell r="A310">
            <v>2</v>
          </cell>
          <cell r="B310">
            <v>11</v>
          </cell>
          <cell r="AG310">
            <v>2664.8272535587603</v>
          </cell>
        </row>
        <row r="311">
          <cell r="A311">
            <v>4</v>
          </cell>
          <cell r="B311">
            <v>12</v>
          </cell>
          <cell r="AG311">
            <v>0</v>
          </cell>
        </row>
        <row r="312">
          <cell r="A312">
            <v>4</v>
          </cell>
          <cell r="B312">
            <v>12</v>
          </cell>
          <cell r="AG312">
            <v>0</v>
          </cell>
        </row>
        <row r="313">
          <cell r="A313">
            <v>2</v>
          </cell>
          <cell r="B313">
            <v>11</v>
          </cell>
          <cell r="AG313">
            <v>207.81153680513114</v>
          </cell>
        </row>
        <row r="314">
          <cell r="A314">
            <v>2</v>
          </cell>
          <cell r="B314">
            <v>11</v>
          </cell>
          <cell r="AG314">
            <v>1739.387501980264</v>
          </cell>
        </row>
        <row r="315">
          <cell r="A315">
            <v>2</v>
          </cell>
          <cell r="B315">
            <v>11</v>
          </cell>
          <cell r="AG315">
            <v>525.98686390931823</v>
          </cell>
        </row>
        <row r="316">
          <cell r="A316">
            <v>4</v>
          </cell>
          <cell r="B316">
            <v>12</v>
          </cell>
          <cell r="AG316">
            <v>3572.1884992836185</v>
          </cell>
        </row>
        <row r="317">
          <cell r="A317">
            <v>4</v>
          </cell>
          <cell r="B317">
            <v>12</v>
          </cell>
          <cell r="AG317">
            <v>0</v>
          </cell>
        </row>
        <row r="318">
          <cell r="A318">
            <v>4</v>
          </cell>
          <cell r="B318">
            <v>12</v>
          </cell>
          <cell r="AG318">
            <v>116.90473505252662</v>
          </cell>
        </row>
        <row r="319">
          <cell r="A319">
            <v>4</v>
          </cell>
          <cell r="B319">
            <v>12</v>
          </cell>
          <cell r="AG319">
            <v>1051.9737278186365</v>
          </cell>
        </row>
        <row r="320">
          <cell r="A320">
            <v>4</v>
          </cell>
          <cell r="B320">
            <v>11</v>
          </cell>
          <cell r="AG320">
            <v>1500.9064911538615</v>
          </cell>
        </row>
        <row r="321">
          <cell r="A321">
            <v>4</v>
          </cell>
          <cell r="B321">
            <v>11</v>
          </cell>
          <cell r="AG321">
            <v>0</v>
          </cell>
        </row>
        <row r="322">
          <cell r="A322">
            <v>4</v>
          </cell>
          <cell r="B322">
            <v>14</v>
          </cell>
          <cell r="AG322">
            <v>351.83643286016735</v>
          </cell>
        </row>
        <row r="323">
          <cell r="A323">
            <v>4</v>
          </cell>
          <cell r="B323">
            <v>11</v>
          </cell>
          <cell r="AG323">
            <v>324.82457084504716</v>
          </cell>
        </row>
        <row r="324">
          <cell r="A324">
            <v>6</v>
          </cell>
          <cell r="B324">
            <v>12</v>
          </cell>
          <cell r="AG324">
            <v>0</v>
          </cell>
        </row>
        <row r="325">
          <cell r="A325">
            <v>4</v>
          </cell>
          <cell r="B325">
            <v>12</v>
          </cell>
          <cell r="AG325">
            <v>1248.5431966807664</v>
          </cell>
        </row>
        <row r="326">
          <cell r="A326">
            <v>2</v>
          </cell>
          <cell r="B326">
            <v>11</v>
          </cell>
          <cell r="AG326">
            <v>787.73577351035806</v>
          </cell>
        </row>
        <row r="327">
          <cell r="A327">
            <v>2</v>
          </cell>
          <cell r="B327">
            <v>11</v>
          </cell>
          <cell r="AG327">
            <v>262.99343195465912</v>
          </cell>
        </row>
        <row r="328">
          <cell r="A328">
            <v>2</v>
          </cell>
          <cell r="B328">
            <v>11</v>
          </cell>
          <cell r="AG328">
            <v>13.997108341050534</v>
          </cell>
        </row>
        <row r="329">
          <cell r="A329">
            <v>2</v>
          </cell>
          <cell r="B329">
            <v>11</v>
          </cell>
          <cell r="AG329">
            <v>578.66705757712464</v>
          </cell>
        </row>
        <row r="330">
          <cell r="A330">
            <v>2</v>
          </cell>
          <cell r="B330">
            <v>11</v>
          </cell>
          <cell r="AG330">
            <v>0</v>
          </cell>
        </row>
        <row r="331">
          <cell r="A331">
            <v>2</v>
          </cell>
          <cell r="B331">
            <v>11</v>
          </cell>
          <cell r="AG331">
            <v>262.99343195465912</v>
          </cell>
        </row>
        <row r="332">
          <cell r="A332">
            <v>2</v>
          </cell>
          <cell r="B332">
            <v>11</v>
          </cell>
          <cell r="AG332">
            <v>716.00613877471551</v>
          </cell>
        </row>
        <row r="333">
          <cell r="A333">
            <v>2</v>
          </cell>
          <cell r="B333">
            <v>11</v>
          </cell>
          <cell r="AG333">
            <v>87.933821404014267</v>
          </cell>
        </row>
        <row r="334">
          <cell r="A334">
            <v>1</v>
          </cell>
          <cell r="B334">
            <v>11</v>
          </cell>
          <cell r="AG334">
            <v>0</v>
          </cell>
        </row>
        <row r="335">
          <cell r="A335">
            <v>1</v>
          </cell>
          <cell r="B335">
            <v>11</v>
          </cell>
          <cell r="AG335">
            <v>40.453512737163486</v>
          </cell>
        </row>
        <row r="336">
          <cell r="A336">
            <v>2</v>
          </cell>
          <cell r="B336">
            <v>11</v>
          </cell>
          <cell r="AG336">
            <v>0</v>
          </cell>
        </row>
        <row r="337">
          <cell r="A337">
            <v>2</v>
          </cell>
          <cell r="B337">
            <v>11</v>
          </cell>
          <cell r="AG337">
            <v>0</v>
          </cell>
        </row>
        <row r="338">
          <cell r="A338">
            <v>2</v>
          </cell>
          <cell r="B338">
            <v>11</v>
          </cell>
          <cell r="AG338">
            <v>0</v>
          </cell>
        </row>
        <row r="339">
          <cell r="A339">
            <v>2</v>
          </cell>
          <cell r="B339">
            <v>11</v>
          </cell>
          <cell r="AG339">
            <v>186.0560495773824</v>
          </cell>
        </row>
        <row r="340">
          <cell r="A340">
            <v>4</v>
          </cell>
          <cell r="B340">
            <v>11</v>
          </cell>
          <cell r="AG340">
            <v>0</v>
          </cell>
        </row>
        <row r="341">
          <cell r="A341">
            <v>1</v>
          </cell>
          <cell r="B341">
            <v>12</v>
          </cell>
          <cell r="AG341">
            <v>236.81495764706796</v>
          </cell>
        </row>
        <row r="342">
          <cell r="A342">
            <v>6</v>
          </cell>
          <cell r="B342">
            <v>11</v>
          </cell>
          <cell r="AG342">
            <v>267.30564152693296</v>
          </cell>
        </row>
        <row r="343">
          <cell r="A343">
            <v>4</v>
          </cell>
          <cell r="B343">
            <v>13</v>
          </cell>
          <cell r="AG343">
            <v>1792.6344211719024</v>
          </cell>
        </row>
        <row r="344">
          <cell r="A344">
            <v>1</v>
          </cell>
          <cell r="B344">
            <v>11</v>
          </cell>
          <cell r="AG344">
            <v>149.61263218357868</v>
          </cell>
        </row>
        <row r="345">
          <cell r="A345">
            <v>2</v>
          </cell>
          <cell r="B345">
            <v>11</v>
          </cell>
          <cell r="AG345">
            <v>62.863998153340916</v>
          </cell>
        </row>
        <row r="346">
          <cell r="A346">
            <v>4</v>
          </cell>
          <cell r="B346">
            <v>11</v>
          </cell>
          <cell r="AG346">
            <v>0</v>
          </cell>
        </row>
        <row r="347">
          <cell r="A347">
            <v>1</v>
          </cell>
          <cell r="B347">
            <v>12</v>
          </cell>
          <cell r="AG347">
            <v>425.9140874363863</v>
          </cell>
        </row>
        <row r="348">
          <cell r="A348">
            <v>4</v>
          </cell>
          <cell r="B348">
            <v>12</v>
          </cell>
          <cell r="AG348">
            <v>0</v>
          </cell>
        </row>
        <row r="349">
          <cell r="A349">
            <v>6</v>
          </cell>
          <cell r="B349">
            <v>11</v>
          </cell>
          <cell r="AG349">
            <v>311.91809031938794</v>
          </cell>
        </row>
        <row r="350">
          <cell r="A350">
            <v>4</v>
          </cell>
          <cell r="B350">
            <v>12</v>
          </cell>
          <cell r="AG350">
            <v>993.21167275454115</v>
          </cell>
        </row>
        <row r="351">
          <cell r="A351">
            <v>4</v>
          </cell>
          <cell r="B351">
            <v>13</v>
          </cell>
          <cell r="AG351">
            <v>107.3332618781467</v>
          </cell>
        </row>
        <row r="352">
          <cell r="A352">
            <v>4</v>
          </cell>
          <cell r="B352">
            <v>12</v>
          </cell>
          <cell r="AG352">
            <v>477.09547990144785</v>
          </cell>
        </row>
        <row r="353">
          <cell r="A353">
            <v>4</v>
          </cell>
          <cell r="B353">
            <v>13</v>
          </cell>
          <cell r="AG353">
            <v>-875.20486733113228</v>
          </cell>
        </row>
        <row r="354">
          <cell r="A354">
            <v>1</v>
          </cell>
          <cell r="B354">
            <v>12</v>
          </cell>
          <cell r="AG354">
            <v>77.562296991452328</v>
          </cell>
        </row>
        <row r="355">
          <cell r="A355">
            <v>4</v>
          </cell>
          <cell r="B355">
            <v>12</v>
          </cell>
          <cell r="AG355">
            <v>60.324563156937337</v>
          </cell>
        </row>
        <row r="356">
          <cell r="A356">
            <v>4</v>
          </cell>
          <cell r="B356">
            <v>11</v>
          </cell>
          <cell r="AG356">
            <v>1150.4777285680038</v>
          </cell>
        </row>
        <row r="357">
          <cell r="A357">
            <v>4</v>
          </cell>
          <cell r="B357">
            <v>11</v>
          </cell>
          <cell r="AG357">
            <v>0</v>
          </cell>
        </row>
        <row r="358">
          <cell r="A358">
            <v>4</v>
          </cell>
          <cell r="B358">
            <v>11</v>
          </cell>
          <cell r="AG358">
            <v>116.90473505252662</v>
          </cell>
        </row>
        <row r="359">
          <cell r="A359">
            <v>5</v>
          </cell>
          <cell r="B359">
            <v>11</v>
          </cell>
          <cell r="AG359">
            <v>57.010316149535129</v>
          </cell>
        </row>
        <row r="360">
          <cell r="A360">
            <v>1</v>
          </cell>
          <cell r="B360">
            <v>11</v>
          </cell>
          <cell r="AG360">
            <v>105.19737278186366</v>
          </cell>
        </row>
        <row r="361">
          <cell r="A361">
            <v>5</v>
          </cell>
          <cell r="B361">
            <v>11</v>
          </cell>
          <cell r="AG361">
            <v>705.6275095331614</v>
          </cell>
        </row>
        <row r="362">
          <cell r="A362">
            <v>4</v>
          </cell>
          <cell r="B362">
            <v>12</v>
          </cell>
          <cell r="AG362">
            <v>212.92148628707145</v>
          </cell>
        </row>
        <row r="363">
          <cell r="A363">
            <v>2</v>
          </cell>
          <cell r="B363">
            <v>11</v>
          </cell>
          <cell r="AG363">
            <v>419.18512650904995</v>
          </cell>
        </row>
        <row r="364">
          <cell r="A364">
            <v>2</v>
          </cell>
          <cell r="B364">
            <v>11</v>
          </cell>
          <cell r="AG364">
            <v>701.1707896978719</v>
          </cell>
        </row>
        <row r="365">
          <cell r="A365">
            <v>1</v>
          </cell>
          <cell r="B365">
            <v>12</v>
          </cell>
          <cell r="AG365">
            <v>0</v>
          </cell>
        </row>
        <row r="366">
          <cell r="A366">
            <v>4</v>
          </cell>
          <cell r="B366">
            <v>12</v>
          </cell>
          <cell r="AG366">
            <v>1577.9605917279548</v>
          </cell>
        </row>
        <row r="367">
          <cell r="A367">
            <v>4</v>
          </cell>
          <cell r="B367">
            <v>12</v>
          </cell>
          <cell r="AG367">
            <v>3572.1884992836185</v>
          </cell>
        </row>
        <row r="368">
          <cell r="A368">
            <v>4</v>
          </cell>
          <cell r="B368">
            <v>12</v>
          </cell>
          <cell r="AG368">
            <v>492.94097621108449</v>
          </cell>
        </row>
        <row r="369">
          <cell r="A369">
            <v>4</v>
          </cell>
          <cell r="B369">
            <v>11</v>
          </cell>
          <cell r="AG369">
            <v>1150.7995023720273</v>
          </cell>
        </row>
        <row r="370">
          <cell r="A370">
            <v>4</v>
          </cell>
          <cell r="B370">
            <v>12</v>
          </cell>
          <cell r="AG370">
            <v>1706.123652232274</v>
          </cell>
        </row>
        <row r="371">
          <cell r="A371">
            <v>4</v>
          </cell>
          <cell r="B371">
            <v>12</v>
          </cell>
          <cell r="AG371">
            <v>0</v>
          </cell>
        </row>
        <row r="372">
          <cell r="A372">
            <v>2</v>
          </cell>
          <cell r="B372">
            <v>11</v>
          </cell>
          <cell r="AG372">
            <v>1418.9871215431808</v>
          </cell>
        </row>
        <row r="373">
          <cell r="A373">
            <v>4</v>
          </cell>
          <cell r="B373">
            <v>12</v>
          </cell>
          <cell r="AG373">
            <v>574.87300140128741</v>
          </cell>
        </row>
        <row r="374">
          <cell r="A374">
            <v>4</v>
          </cell>
          <cell r="B374">
            <v>12</v>
          </cell>
          <cell r="AG374">
            <v>447.58257660053027</v>
          </cell>
        </row>
        <row r="375">
          <cell r="A375">
            <v>1</v>
          </cell>
          <cell r="B375">
            <v>11</v>
          </cell>
          <cell r="AG375">
            <v>0</v>
          </cell>
        </row>
        <row r="376">
          <cell r="A376">
            <v>2</v>
          </cell>
          <cell r="B376">
            <v>11</v>
          </cell>
          <cell r="AG376">
            <v>578.58555030025002</v>
          </cell>
        </row>
        <row r="377">
          <cell r="A377">
            <v>2</v>
          </cell>
          <cell r="B377">
            <v>11</v>
          </cell>
          <cell r="AG377">
            <v>1257.6890940976923</v>
          </cell>
        </row>
        <row r="378">
          <cell r="A378">
            <v>1</v>
          </cell>
          <cell r="B378">
            <v>12</v>
          </cell>
          <cell r="AG378">
            <v>1522.0830748311917</v>
          </cell>
        </row>
        <row r="379">
          <cell r="A379">
            <v>1</v>
          </cell>
          <cell r="B379">
            <v>11</v>
          </cell>
          <cell r="AG379">
            <v>5259.8686390931825</v>
          </cell>
        </row>
        <row r="380">
          <cell r="A380">
            <v>1</v>
          </cell>
          <cell r="B380">
            <v>11</v>
          </cell>
          <cell r="AG380">
            <v>480.04660529349349</v>
          </cell>
        </row>
        <row r="381">
          <cell r="A381">
            <v>5</v>
          </cell>
          <cell r="B381">
            <v>11</v>
          </cell>
          <cell r="AG381">
            <v>242.73762876853581</v>
          </cell>
        </row>
        <row r="382">
          <cell r="A382">
            <v>2</v>
          </cell>
          <cell r="B382">
            <v>11</v>
          </cell>
          <cell r="AG382">
            <v>744.36770920954018</v>
          </cell>
        </row>
        <row r="383">
          <cell r="A383">
            <v>6</v>
          </cell>
          <cell r="B383">
            <v>11</v>
          </cell>
          <cell r="AG383">
            <v>298.72922483657305</v>
          </cell>
        </row>
        <row r="384">
          <cell r="A384">
            <v>2</v>
          </cell>
          <cell r="B384">
            <v>11</v>
          </cell>
          <cell r="AG384">
            <v>0</v>
          </cell>
        </row>
        <row r="385">
          <cell r="A385">
            <v>2</v>
          </cell>
          <cell r="B385">
            <v>11</v>
          </cell>
          <cell r="AG385">
            <v>0</v>
          </cell>
        </row>
        <row r="386">
          <cell r="A386">
            <v>5</v>
          </cell>
          <cell r="B386">
            <v>11</v>
          </cell>
          <cell r="AG386">
            <v>149.24237665470628</v>
          </cell>
        </row>
        <row r="387">
          <cell r="A387">
            <v>5</v>
          </cell>
          <cell r="B387">
            <v>11</v>
          </cell>
          <cell r="AG387">
            <v>529.05214874972989</v>
          </cell>
        </row>
        <row r="388">
          <cell r="A388">
            <v>1</v>
          </cell>
          <cell r="B388">
            <v>11</v>
          </cell>
          <cell r="AG388">
            <v>1837.8681770022736</v>
          </cell>
        </row>
        <row r="389">
          <cell r="A389">
            <v>1</v>
          </cell>
          <cell r="B389">
            <v>12</v>
          </cell>
          <cell r="AG389">
            <v>159.42569230637974</v>
          </cell>
        </row>
        <row r="390">
          <cell r="A390">
            <v>4</v>
          </cell>
          <cell r="B390">
            <v>12</v>
          </cell>
          <cell r="AG390">
            <v>0</v>
          </cell>
        </row>
        <row r="391">
          <cell r="A391">
            <v>2</v>
          </cell>
          <cell r="B391">
            <v>11</v>
          </cell>
          <cell r="AG391">
            <v>0</v>
          </cell>
        </row>
        <row r="392">
          <cell r="A392">
            <v>2</v>
          </cell>
          <cell r="B392">
            <v>11</v>
          </cell>
          <cell r="AG392">
            <v>0</v>
          </cell>
        </row>
        <row r="393">
          <cell r="A393">
            <v>4</v>
          </cell>
          <cell r="B393">
            <v>13</v>
          </cell>
          <cell r="AG393">
            <v>1477.7165947270282</v>
          </cell>
        </row>
        <row r="394">
          <cell r="A394">
            <v>4</v>
          </cell>
          <cell r="B394">
            <v>13</v>
          </cell>
          <cell r="AG394">
            <v>3384.7513861763546</v>
          </cell>
        </row>
        <row r="395">
          <cell r="A395">
            <v>4</v>
          </cell>
          <cell r="B395">
            <v>12</v>
          </cell>
          <cell r="AG395">
            <v>525.98686390931823</v>
          </cell>
        </row>
        <row r="396">
          <cell r="A396">
            <v>5</v>
          </cell>
          <cell r="B396">
            <v>11</v>
          </cell>
          <cell r="AG396">
            <v>782.99423384995805</v>
          </cell>
        </row>
        <row r="397">
          <cell r="A397">
            <v>4</v>
          </cell>
          <cell r="B397">
            <v>13</v>
          </cell>
          <cell r="AG397">
            <v>2219.8769479192665</v>
          </cell>
        </row>
        <row r="398">
          <cell r="A398">
            <v>2</v>
          </cell>
          <cell r="B398">
            <v>11</v>
          </cell>
          <cell r="AG398">
            <v>21.355799227814654</v>
          </cell>
        </row>
        <row r="399">
          <cell r="A399">
            <v>2</v>
          </cell>
          <cell r="B399">
            <v>11</v>
          </cell>
          <cell r="AG399">
            <v>351.64398976069197</v>
          </cell>
        </row>
        <row r="400">
          <cell r="A400">
            <v>2</v>
          </cell>
          <cell r="B400">
            <v>11</v>
          </cell>
          <cell r="AG400">
            <v>21.175260284113048</v>
          </cell>
        </row>
        <row r="401">
          <cell r="A401">
            <v>4</v>
          </cell>
          <cell r="B401">
            <v>11</v>
          </cell>
          <cell r="AG401">
            <v>555.53021451891027</v>
          </cell>
        </row>
        <row r="402">
          <cell r="A402">
            <v>6</v>
          </cell>
          <cell r="B402">
            <v>11</v>
          </cell>
          <cell r="AG402">
            <v>525.98686390931823</v>
          </cell>
        </row>
        <row r="403">
          <cell r="A403">
            <v>2</v>
          </cell>
          <cell r="B403">
            <v>11</v>
          </cell>
          <cell r="AG403">
            <v>0</v>
          </cell>
        </row>
        <row r="404">
          <cell r="A404">
            <v>2</v>
          </cell>
          <cell r="B404">
            <v>11</v>
          </cell>
          <cell r="AG404">
            <v>0</v>
          </cell>
        </row>
        <row r="405">
          <cell r="A405">
            <v>1</v>
          </cell>
          <cell r="B405">
            <v>11</v>
          </cell>
          <cell r="AG405">
            <v>149.61263218357868</v>
          </cell>
        </row>
        <row r="406">
          <cell r="A406">
            <v>2</v>
          </cell>
          <cell r="B406">
            <v>11</v>
          </cell>
          <cell r="AG406">
            <v>57.010316149535129</v>
          </cell>
        </row>
        <row r="407">
          <cell r="A407">
            <v>2</v>
          </cell>
          <cell r="B407">
            <v>11</v>
          </cell>
          <cell r="AG407">
            <v>0</v>
          </cell>
        </row>
        <row r="408">
          <cell r="A408">
            <v>1</v>
          </cell>
          <cell r="B408">
            <v>11</v>
          </cell>
          <cell r="AG408">
            <v>444.00106354660704</v>
          </cell>
        </row>
        <row r="409">
          <cell r="A409">
            <v>1</v>
          </cell>
          <cell r="B409">
            <v>12</v>
          </cell>
          <cell r="AG409">
            <v>8.4159706558314333</v>
          </cell>
        </row>
        <row r="410">
          <cell r="A410">
            <v>2</v>
          </cell>
          <cell r="B410">
            <v>11</v>
          </cell>
          <cell r="AG410">
            <v>483.97005453979733</v>
          </cell>
        </row>
        <row r="411">
          <cell r="A411">
            <v>2</v>
          </cell>
          <cell r="B411">
            <v>11</v>
          </cell>
          <cell r="AG411">
            <v>53.214417856227591</v>
          </cell>
        </row>
        <row r="412">
          <cell r="A412">
            <v>2</v>
          </cell>
          <cell r="B412">
            <v>11</v>
          </cell>
          <cell r="AG412">
            <v>0</v>
          </cell>
        </row>
        <row r="413">
          <cell r="A413">
            <v>4</v>
          </cell>
          <cell r="B413">
            <v>12</v>
          </cell>
          <cell r="AG413">
            <v>0</v>
          </cell>
        </row>
        <row r="414">
          <cell r="A414">
            <v>4</v>
          </cell>
          <cell r="B414">
            <v>12</v>
          </cell>
          <cell r="AG414">
            <v>0</v>
          </cell>
        </row>
        <row r="415">
          <cell r="A415">
            <v>4</v>
          </cell>
          <cell r="B415">
            <v>12</v>
          </cell>
          <cell r="AG415">
            <v>0</v>
          </cell>
        </row>
        <row r="416">
          <cell r="A416">
            <v>4</v>
          </cell>
          <cell r="B416">
            <v>12</v>
          </cell>
          <cell r="AG416">
            <v>0</v>
          </cell>
        </row>
        <row r="417">
          <cell r="A417">
            <v>2</v>
          </cell>
          <cell r="B417">
            <v>11</v>
          </cell>
          <cell r="AG417">
            <v>894.04222980670102</v>
          </cell>
        </row>
        <row r="418">
          <cell r="A418">
            <v>1</v>
          </cell>
          <cell r="B418">
            <v>12</v>
          </cell>
          <cell r="AG418">
            <v>525.98686390931823</v>
          </cell>
        </row>
        <row r="419">
          <cell r="A419">
            <v>1</v>
          </cell>
          <cell r="B419">
            <v>12</v>
          </cell>
          <cell r="AG419">
            <v>63.418694154595414</v>
          </cell>
        </row>
        <row r="420">
          <cell r="A420">
            <v>3</v>
          </cell>
          <cell r="B420">
            <v>11</v>
          </cell>
          <cell r="AG420">
            <v>0</v>
          </cell>
        </row>
        <row r="421">
          <cell r="A421">
            <v>6</v>
          </cell>
          <cell r="B421">
            <v>11</v>
          </cell>
          <cell r="AG421">
            <v>95.837834791674126</v>
          </cell>
        </row>
        <row r="422">
          <cell r="A422">
            <v>4</v>
          </cell>
          <cell r="B422">
            <v>12</v>
          </cell>
          <cell r="AG422">
            <v>106.13483340385723</v>
          </cell>
        </row>
        <row r="423">
          <cell r="A423">
            <v>5</v>
          </cell>
          <cell r="B423">
            <v>11</v>
          </cell>
          <cell r="AG423">
            <v>988.18014651584826</v>
          </cell>
        </row>
        <row r="424">
          <cell r="A424">
            <v>5</v>
          </cell>
          <cell r="B424">
            <v>12</v>
          </cell>
          <cell r="AG424">
            <v>0</v>
          </cell>
        </row>
        <row r="425">
          <cell r="A425">
            <v>5</v>
          </cell>
          <cell r="B425">
            <v>12</v>
          </cell>
          <cell r="AG425">
            <v>0</v>
          </cell>
        </row>
        <row r="426">
          <cell r="A426">
            <v>5</v>
          </cell>
          <cell r="B426">
            <v>12</v>
          </cell>
          <cell r="AG426">
            <v>0</v>
          </cell>
        </row>
        <row r="427">
          <cell r="A427">
            <v>2</v>
          </cell>
          <cell r="B427">
            <v>11</v>
          </cell>
          <cell r="AG427">
            <v>0</v>
          </cell>
        </row>
        <row r="428">
          <cell r="A428">
            <v>2</v>
          </cell>
          <cell r="B428">
            <v>11</v>
          </cell>
          <cell r="AG428">
            <v>622.81356311052082</v>
          </cell>
        </row>
        <row r="429">
          <cell r="A429">
            <v>2</v>
          </cell>
          <cell r="B429">
            <v>11</v>
          </cell>
          <cell r="AG429">
            <v>0</v>
          </cell>
        </row>
        <row r="430">
          <cell r="A430">
            <v>1</v>
          </cell>
          <cell r="B430">
            <v>14</v>
          </cell>
          <cell r="AG430">
            <v>236.81495764706796</v>
          </cell>
        </row>
        <row r="431">
          <cell r="A431">
            <v>1</v>
          </cell>
          <cell r="B431">
            <v>11</v>
          </cell>
          <cell r="AG431">
            <v>105.19737278186366</v>
          </cell>
        </row>
        <row r="432">
          <cell r="A432">
            <v>4</v>
          </cell>
          <cell r="B432">
            <v>11</v>
          </cell>
          <cell r="AG432">
            <v>1477.7165947270282</v>
          </cell>
        </row>
        <row r="433">
          <cell r="A433">
            <v>4</v>
          </cell>
          <cell r="B433">
            <v>11</v>
          </cell>
          <cell r="AG433">
            <v>1184.7331606527459</v>
          </cell>
        </row>
        <row r="434">
          <cell r="A434">
            <v>2</v>
          </cell>
          <cell r="B434">
            <v>11</v>
          </cell>
          <cell r="AG434">
            <v>704.40838064261038</v>
          </cell>
        </row>
        <row r="435">
          <cell r="A435">
            <v>1</v>
          </cell>
          <cell r="B435">
            <v>11</v>
          </cell>
          <cell r="AG435">
            <v>862.30950210193089</v>
          </cell>
        </row>
        <row r="436">
          <cell r="A436">
            <v>1</v>
          </cell>
          <cell r="B436">
            <v>11</v>
          </cell>
          <cell r="AG436">
            <v>0</v>
          </cell>
        </row>
        <row r="437">
          <cell r="A437">
            <v>4</v>
          </cell>
          <cell r="B437">
            <v>11</v>
          </cell>
          <cell r="AG437">
            <v>0</v>
          </cell>
        </row>
        <row r="438">
          <cell r="A438">
            <v>6</v>
          </cell>
          <cell r="B438">
            <v>11</v>
          </cell>
          <cell r="AG438">
            <v>0</v>
          </cell>
        </row>
        <row r="439">
          <cell r="A439">
            <v>6</v>
          </cell>
          <cell r="B439">
            <v>11</v>
          </cell>
          <cell r="AG439">
            <v>0</v>
          </cell>
        </row>
        <row r="440">
          <cell r="A440">
            <v>2</v>
          </cell>
          <cell r="B440">
            <v>11</v>
          </cell>
          <cell r="AG440">
            <v>806.52676956548123</v>
          </cell>
        </row>
        <row r="441">
          <cell r="A441">
            <v>1</v>
          </cell>
          <cell r="B441">
            <v>11</v>
          </cell>
          <cell r="AG441">
            <v>509.89553872754539</v>
          </cell>
        </row>
        <row r="442">
          <cell r="A442">
            <v>6</v>
          </cell>
          <cell r="B442">
            <v>11</v>
          </cell>
          <cell r="AG442">
            <v>-224.9513290151549</v>
          </cell>
        </row>
        <row r="443">
          <cell r="A443">
            <v>2</v>
          </cell>
          <cell r="B443">
            <v>11</v>
          </cell>
          <cell r="AG443">
            <v>0</v>
          </cell>
        </row>
        <row r="444">
          <cell r="A444">
            <v>2</v>
          </cell>
          <cell r="B444">
            <v>11</v>
          </cell>
          <cell r="AG444">
            <v>0</v>
          </cell>
        </row>
        <row r="445">
          <cell r="A445">
            <v>2</v>
          </cell>
          <cell r="B445">
            <v>11</v>
          </cell>
          <cell r="AG445">
            <v>0</v>
          </cell>
        </row>
        <row r="446">
          <cell r="A446">
            <v>2</v>
          </cell>
          <cell r="B446">
            <v>11</v>
          </cell>
          <cell r="AG446">
            <v>590.23231571060603</v>
          </cell>
        </row>
        <row r="447">
          <cell r="A447">
            <v>6</v>
          </cell>
          <cell r="B447">
            <v>11</v>
          </cell>
          <cell r="AG447">
            <v>0</v>
          </cell>
        </row>
        <row r="448">
          <cell r="A448">
            <v>6</v>
          </cell>
          <cell r="B448">
            <v>11</v>
          </cell>
          <cell r="AG448">
            <v>0</v>
          </cell>
        </row>
        <row r="449">
          <cell r="A449">
            <v>6</v>
          </cell>
          <cell r="B449">
            <v>11</v>
          </cell>
          <cell r="AG449">
            <v>7927.3562695470509</v>
          </cell>
        </row>
        <row r="450">
          <cell r="A450">
            <v>6</v>
          </cell>
          <cell r="B450">
            <v>11</v>
          </cell>
          <cell r="AG450">
            <v>23165.716792859446</v>
          </cell>
        </row>
        <row r="451">
          <cell r="A451">
            <v>6</v>
          </cell>
          <cell r="B451">
            <v>11</v>
          </cell>
          <cell r="AG451">
            <v>0</v>
          </cell>
        </row>
        <row r="452">
          <cell r="A452">
            <v>2</v>
          </cell>
          <cell r="B452">
            <v>11</v>
          </cell>
          <cell r="AG452">
            <v>2223.711412155124</v>
          </cell>
        </row>
        <row r="453">
          <cell r="A453">
            <v>2</v>
          </cell>
          <cell r="B453">
            <v>11</v>
          </cell>
          <cell r="AG453">
            <v>1264.1995574962066</v>
          </cell>
        </row>
        <row r="454">
          <cell r="A454">
            <v>2</v>
          </cell>
          <cell r="B454">
            <v>11</v>
          </cell>
          <cell r="AG454">
            <v>0</v>
          </cell>
        </row>
        <row r="455">
          <cell r="A455">
            <v>6</v>
          </cell>
          <cell r="B455">
            <v>11</v>
          </cell>
          <cell r="AG455">
            <v>0</v>
          </cell>
        </row>
        <row r="456">
          <cell r="A456">
            <v>5</v>
          </cell>
          <cell r="B456">
            <v>11</v>
          </cell>
          <cell r="AG456">
            <v>0</v>
          </cell>
        </row>
        <row r="457">
          <cell r="A457">
            <v>6</v>
          </cell>
          <cell r="B457">
            <v>11</v>
          </cell>
          <cell r="AG457">
            <v>874.0240241911697</v>
          </cell>
        </row>
        <row r="458">
          <cell r="A458">
            <v>2</v>
          </cell>
          <cell r="B458">
            <v>11</v>
          </cell>
          <cell r="AG458">
            <v>221.1359637669849</v>
          </cell>
        </row>
        <row r="459">
          <cell r="A459">
            <v>1</v>
          </cell>
          <cell r="B459">
            <v>11</v>
          </cell>
          <cell r="AG459">
            <v>807.62105705910801</v>
          </cell>
        </row>
        <row r="460">
          <cell r="A460">
            <v>1</v>
          </cell>
          <cell r="B460">
            <v>13</v>
          </cell>
          <cell r="AG460">
            <v>1477.7760582284895</v>
          </cell>
        </row>
        <row r="461">
          <cell r="A461">
            <v>1</v>
          </cell>
          <cell r="B461">
            <v>13</v>
          </cell>
          <cell r="AG461">
            <v>2625.8580332552974</v>
          </cell>
        </row>
        <row r="462">
          <cell r="A462">
            <v>2</v>
          </cell>
          <cell r="B462">
            <v>11</v>
          </cell>
          <cell r="AG462">
            <v>0</v>
          </cell>
        </row>
        <row r="463">
          <cell r="A463">
            <v>3</v>
          </cell>
          <cell r="B463">
            <v>11</v>
          </cell>
          <cell r="AG463">
            <v>213.34194160707708</v>
          </cell>
        </row>
        <row r="464">
          <cell r="A464">
            <v>2</v>
          </cell>
          <cell r="B464">
            <v>11</v>
          </cell>
          <cell r="AG464">
            <v>737.98833603049479</v>
          </cell>
        </row>
        <row r="465">
          <cell r="A465">
            <v>2</v>
          </cell>
          <cell r="B465">
            <v>11</v>
          </cell>
          <cell r="AG465">
            <v>0</v>
          </cell>
        </row>
        <row r="466">
          <cell r="A466">
            <v>2</v>
          </cell>
          <cell r="B466">
            <v>11</v>
          </cell>
          <cell r="AG466">
            <v>1027.5413678508689</v>
          </cell>
        </row>
        <row r="467">
          <cell r="A467">
            <v>2</v>
          </cell>
          <cell r="B467">
            <v>11</v>
          </cell>
          <cell r="AG467">
            <v>236.34343084992031</v>
          </cell>
        </row>
        <row r="468">
          <cell r="A468">
            <v>2</v>
          </cell>
          <cell r="B468">
            <v>11</v>
          </cell>
          <cell r="AG468">
            <v>0</v>
          </cell>
        </row>
        <row r="469">
          <cell r="A469">
            <v>2</v>
          </cell>
          <cell r="B469">
            <v>11</v>
          </cell>
          <cell r="AG469">
            <v>0</v>
          </cell>
        </row>
        <row r="470">
          <cell r="A470">
            <v>6</v>
          </cell>
          <cell r="B470">
            <v>11</v>
          </cell>
          <cell r="AG470">
            <v>58.657086987569649</v>
          </cell>
        </row>
        <row r="471">
          <cell r="A471">
            <v>2</v>
          </cell>
          <cell r="B471">
            <v>11</v>
          </cell>
          <cell r="AG471">
            <v>1060.0521757035822</v>
          </cell>
        </row>
        <row r="472">
          <cell r="A472">
            <v>1</v>
          </cell>
          <cell r="B472">
            <v>11</v>
          </cell>
          <cell r="AG472">
            <v>893.06638190176318</v>
          </cell>
        </row>
        <row r="473">
          <cell r="A473">
            <v>1</v>
          </cell>
          <cell r="B473">
            <v>11</v>
          </cell>
          <cell r="AG473">
            <v>0</v>
          </cell>
        </row>
        <row r="474">
          <cell r="A474">
            <v>3</v>
          </cell>
          <cell r="B474">
            <v>11</v>
          </cell>
          <cell r="AG474">
            <v>394.3726679876591</v>
          </cell>
        </row>
        <row r="475">
          <cell r="A475">
            <v>6</v>
          </cell>
          <cell r="B475">
            <v>11</v>
          </cell>
          <cell r="AG475">
            <v>0</v>
          </cell>
        </row>
        <row r="476">
          <cell r="A476">
            <v>2</v>
          </cell>
          <cell r="B476">
            <v>11</v>
          </cell>
          <cell r="AG476">
            <v>577.34990768581588</v>
          </cell>
        </row>
        <row r="477">
          <cell r="A477">
            <v>6</v>
          </cell>
          <cell r="B477">
            <v>12</v>
          </cell>
          <cell r="AG477">
            <v>0</v>
          </cell>
        </row>
        <row r="478">
          <cell r="A478">
            <v>2</v>
          </cell>
          <cell r="B478">
            <v>11</v>
          </cell>
          <cell r="AG478">
            <v>0</v>
          </cell>
        </row>
        <row r="479">
          <cell r="A479">
            <v>4</v>
          </cell>
          <cell r="B479">
            <v>12</v>
          </cell>
          <cell r="AG479">
            <v>0</v>
          </cell>
        </row>
        <row r="480">
          <cell r="A480">
            <v>4</v>
          </cell>
          <cell r="B480">
            <v>11</v>
          </cell>
          <cell r="AG480">
            <v>0</v>
          </cell>
        </row>
        <row r="481">
          <cell r="A481">
            <v>4</v>
          </cell>
          <cell r="B481">
            <v>12</v>
          </cell>
          <cell r="AG481">
            <v>0</v>
          </cell>
        </row>
        <row r="482">
          <cell r="A482">
            <v>4</v>
          </cell>
          <cell r="B482">
            <v>12</v>
          </cell>
          <cell r="AG482">
            <v>0</v>
          </cell>
        </row>
        <row r="483">
          <cell r="A483">
            <v>2</v>
          </cell>
          <cell r="B483">
            <v>11</v>
          </cell>
          <cell r="AG483">
            <v>43.061940890554446</v>
          </cell>
        </row>
        <row r="484">
          <cell r="A484">
            <v>2</v>
          </cell>
          <cell r="B484">
            <v>11</v>
          </cell>
          <cell r="AG484">
            <v>0</v>
          </cell>
        </row>
        <row r="485">
          <cell r="A485">
            <v>4</v>
          </cell>
          <cell r="B485">
            <v>12</v>
          </cell>
          <cell r="AG485">
            <v>1793.3757128406451</v>
          </cell>
        </row>
        <row r="486">
          <cell r="A486">
            <v>4</v>
          </cell>
          <cell r="B486">
            <v>11</v>
          </cell>
          <cell r="AG486">
            <v>0</v>
          </cell>
        </row>
        <row r="487">
          <cell r="A487">
            <v>4</v>
          </cell>
          <cell r="B487">
            <v>12</v>
          </cell>
          <cell r="AG487">
            <v>14367.824362236617</v>
          </cell>
        </row>
        <row r="488">
          <cell r="A488">
            <v>4</v>
          </cell>
          <cell r="B488">
            <v>12</v>
          </cell>
          <cell r="AG488">
            <v>17241.665631443793</v>
          </cell>
        </row>
        <row r="489">
          <cell r="A489">
            <v>4</v>
          </cell>
          <cell r="B489">
            <v>13</v>
          </cell>
          <cell r="AG489">
            <v>2220.9179217164501</v>
          </cell>
        </row>
        <row r="490">
          <cell r="A490">
            <v>5</v>
          </cell>
          <cell r="B490">
            <v>12</v>
          </cell>
          <cell r="AG490">
            <v>0</v>
          </cell>
        </row>
        <row r="491">
          <cell r="A491">
            <v>1</v>
          </cell>
          <cell r="B491">
            <v>12</v>
          </cell>
          <cell r="AG491">
            <v>210.39474556372733</v>
          </cell>
        </row>
        <row r="492">
          <cell r="A492">
            <v>1</v>
          </cell>
          <cell r="B492">
            <v>12</v>
          </cell>
          <cell r="AG492">
            <v>804.2819691970551</v>
          </cell>
        </row>
        <row r="493">
          <cell r="A493">
            <v>1</v>
          </cell>
          <cell r="B493">
            <v>11</v>
          </cell>
          <cell r="AG493">
            <v>41.250770276991993</v>
          </cell>
        </row>
        <row r="494">
          <cell r="A494">
            <v>6</v>
          </cell>
          <cell r="B494">
            <v>11</v>
          </cell>
          <cell r="AG494">
            <v>0</v>
          </cell>
        </row>
        <row r="495">
          <cell r="A495">
            <v>6</v>
          </cell>
          <cell r="B495">
            <v>11</v>
          </cell>
          <cell r="AG495">
            <v>470.76077524430315</v>
          </cell>
        </row>
        <row r="496">
          <cell r="A496">
            <v>6</v>
          </cell>
          <cell r="B496">
            <v>11</v>
          </cell>
          <cell r="AG496">
            <v>6959.7455119050055</v>
          </cell>
        </row>
        <row r="497">
          <cell r="A497">
            <v>1</v>
          </cell>
          <cell r="B497">
            <v>12</v>
          </cell>
          <cell r="AG497">
            <v>1977.7235769245126</v>
          </cell>
        </row>
        <row r="498">
          <cell r="A498">
            <v>3</v>
          </cell>
          <cell r="B498">
            <v>11</v>
          </cell>
          <cell r="AG498">
            <v>0</v>
          </cell>
        </row>
        <row r="499">
          <cell r="A499">
            <v>4</v>
          </cell>
          <cell r="B499">
            <v>11</v>
          </cell>
          <cell r="AG499">
            <v>1294.275015815688</v>
          </cell>
        </row>
        <row r="500">
          <cell r="A500">
            <v>4</v>
          </cell>
          <cell r="B500">
            <v>13</v>
          </cell>
          <cell r="AG500">
            <v>1134.9044706912657</v>
          </cell>
        </row>
        <row r="501">
          <cell r="A501">
            <v>2</v>
          </cell>
          <cell r="B501">
            <v>11</v>
          </cell>
          <cell r="AG501">
            <v>0</v>
          </cell>
        </row>
        <row r="502">
          <cell r="A502">
            <v>2</v>
          </cell>
          <cell r="B502">
            <v>11</v>
          </cell>
          <cell r="AG502">
            <v>0</v>
          </cell>
        </row>
        <row r="503">
          <cell r="A503">
            <v>2</v>
          </cell>
          <cell r="B503">
            <v>11</v>
          </cell>
          <cell r="AG503">
            <v>210.39474556372733</v>
          </cell>
        </row>
        <row r="504">
          <cell r="A504">
            <v>2</v>
          </cell>
          <cell r="B504">
            <v>11</v>
          </cell>
          <cell r="AG504">
            <v>982.70515025652116</v>
          </cell>
        </row>
        <row r="505">
          <cell r="A505">
            <v>2</v>
          </cell>
          <cell r="B505">
            <v>11</v>
          </cell>
          <cell r="AG505">
            <v>981.78525109933207</v>
          </cell>
        </row>
        <row r="506">
          <cell r="A506">
            <v>6</v>
          </cell>
          <cell r="B506">
            <v>11</v>
          </cell>
          <cell r="AG506">
            <v>1253.4425469380603</v>
          </cell>
        </row>
        <row r="507">
          <cell r="A507">
            <v>6</v>
          </cell>
          <cell r="B507">
            <v>11</v>
          </cell>
          <cell r="AG507">
            <v>12303.121532989717</v>
          </cell>
        </row>
        <row r="508">
          <cell r="A508">
            <v>5</v>
          </cell>
          <cell r="B508">
            <v>12</v>
          </cell>
          <cell r="AG508">
            <v>21.175260284113048</v>
          </cell>
        </row>
        <row r="509">
          <cell r="A509">
            <v>4</v>
          </cell>
          <cell r="B509">
            <v>12</v>
          </cell>
          <cell r="AG509">
            <v>1133.1173876340549</v>
          </cell>
        </row>
        <row r="510">
          <cell r="A510">
            <v>4</v>
          </cell>
          <cell r="B510">
            <v>11</v>
          </cell>
          <cell r="AG510">
            <v>0</v>
          </cell>
        </row>
        <row r="511">
          <cell r="A511">
            <v>4</v>
          </cell>
          <cell r="B511">
            <v>12</v>
          </cell>
          <cell r="AG511">
            <v>0</v>
          </cell>
        </row>
        <row r="512">
          <cell r="A512">
            <v>5</v>
          </cell>
          <cell r="B512">
            <v>12</v>
          </cell>
          <cell r="AG512">
            <v>0</v>
          </cell>
        </row>
        <row r="513">
          <cell r="A513">
            <v>4</v>
          </cell>
          <cell r="B513">
            <v>12</v>
          </cell>
          <cell r="AG513">
            <v>447.05595764720397</v>
          </cell>
        </row>
        <row r="514">
          <cell r="A514">
            <v>4</v>
          </cell>
          <cell r="B514">
            <v>13</v>
          </cell>
          <cell r="AG514">
            <v>1998.9852587268188</v>
          </cell>
        </row>
        <row r="515">
          <cell r="A515">
            <v>1</v>
          </cell>
          <cell r="B515">
            <v>11</v>
          </cell>
          <cell r="AG515">
            <v>105.19737278186366</v>
          </cell>
        </row>
        <row r="516">
          <cell r="A516">
            <v>4</v>
          </cell>
          <cell r="B516">
            <v>13</v>
          </cell>
          <cell r="AG516">
            <v>350.95113453971254</v>
          </cell>
        </row>
        <row r="517">
          <cell r="A517">
            <v>2</v>
          </cell>
          <cell r="B517">
            <v>11</v>
          </cell>
          <cell r="AG517">
            <v>265.35352957473492</v>
          </cell>
        </row>
        <row r="518">
          <cell r="A518">
            <v>2</v>
          </cell>
          <cell r="B518">
            <v>11</v>
          </cell>
          <cell r="AG518">
            <v>893.06638190176318</v>
          </cell>
        </row>
        <row r="519">
          <cell r="A519">
            <v>2</v>
          </cell>
          <cell r="B519">
            <v>11</v>
          </cell>
          <cell r="AG519">
            <v>0</v>
          </cell>
        </row>
        <row r="520">
          <cell r="A520">
            <v>2</v>
          </cell>
          <cell r="B520">
            <v>11</v>
          </cell>
          <cell r="AG520">
            <v>525.98686390931823</v>
          </cell>
        </row>
        <row r="521">
          <cell r="A521">
            <v>6</v>
          </cell>
          <cell r="B521">
            <v>11</v>
          </cell>
          <cell r="AG521">
            <v>447.85975302444979</v>
          </cell>
        </row>
        <row r="522">
          <cell r="A522">
            <v>2</v>
          </cell>
          <cell r="B522">
            <v>11</v>
          </cell>
          <cell r="AG522">
            <v>189.72319325681312</v>
          </cell>
        </row>
        <row r="523">
          <cell r="A523">
            <v>2</v>
          </cell>
          <cell r="B523">
            <v>11</v>
          </cell>
          <cell r="AG523">
            <v>939.11675690211223</v>
          </cell>
        </row>
        <row r="524">
          <cell r="A524">
            <v>2</v>
          </cell>
          <cell r="B524">
            <v>11</v>
          </cell>
          <cell r="AG524">
            <v>981.48466985598611</v>
          </cell>
        </row>
        <row r="525">
          <cell r="A525">
            <v>2</v>
          </cell>
          <cell r="B525">
            <v>11</v>
          </cell>
          <cell r="AG525">
            <v>1164.5963921110865</v>
          </cell>
        </row>
        <row r="526">
          <cell r="A526">
            <v>5</v>
          </cell>
          <cell r="B526">
            <v>11</v>
          </cell>
          <cell r="AG526">
            <v>168.42272927714299</v>
          </cell>
        </row>
        <row r="527">
          <cell r="A527">
            <v>6</v>
          </cell>
          <cell r="B527">
            <v>11</v>
          </cell>
          <cell r="AG527">
            <v>1135.7146125015438</v>
          </cell>
        </row>
        <row r="528">
          <cell r="A528">
            <v>1</v>
          </cell>
          <cell r="B528">
            <v>12</v>
          </cell>
          <cell r="AG528">
            <v>424.00362271455782</v>
          </cell>
        </row>
        <row r="529">
          <cell r="A529">
            <v>2</v>
          </cell>
          <cell r="B529">
            <v>11</v>
          </cell>
          <cell r="AG529">
            <v>2240.9019260621003</v>
          </cell>
        </row>
        <row r="530">
          <cell r="A530">
            <v>1</v>
          </cell>
          <cell r="B530">
            <v>11</v>
          </cell>
          <cell r="AG530">
            <v>63.777388985865819</v>
          </cell>
        </row>
        <row r="531">
          <cell r="A531">
            <v>5</v>
          </cell>
          <cell r="B531">
            <v>12</v>
          </cell>
          <cell r="AG531">
            <v>0</v>
          </cell>
        </row>
        <row r="532">
          <cell r="A532">
            <v>5</v>
          </cell>
          <cell r="B532">
            <v>11</v>
          </cell>
          <cell r="AG532">
            <v>0</v>
          </cell>
        </row>
        <row r="533">
          <cell r="A533">
            <v>4</v>
          </cell>
          <cell r="B533">
            <v>12</v>
          </cell>
          <cell r="AG533">
            <v>0</v>
          </cell>
        </row>
        <row r="534">
          <cell r="A534">
            <v>4</v>
          </cell>
          <cell r="B534">
            <v>13</v>
          </cell>
          <cell r="AG534">
            <v>1477.6754002825987</v>
          </cell>
        </row>
        <row r="535">
          <cell r="A535">
            <v>2</v>
          </cell>
          <cell r="B535">
            <v>12</v>
          </cell>
          <cell r="AG535">
            <v>167.9317009119035</v>
          </cell>
        </row>
        <row r="536">
          <cell r="A536">
            <v>2</v>
          </cell>
          <cell r="B536">
            <v>11</v>
          </cell>
          <cell r="AG536">
            <v>38.12710654192027</v>
          </cell>
        </row>
        <row r="537">
          <cell r="A537">
            <v>2</v>
          </cell>
          <cell r="B537">
            <v>11</v>
          </cell>
          <cell r="AG537">
            <v>1150.4777285680038</v>
          </cell>
        </row>
        <row r="538">
          <cell r="A538">
            <v>2</v>
          </cell>
          <cell r="B538">
            <v>11</v>
          </cell>
          <cell r="AG538">
            <v>0</v>
          </cell>
        </row>
        <row r="539">
          <cell r="A539">
            <v>2</v>
          </cell>
          <cell r="B539">
            <v>11</v>
          </cell>
          <cell r="AG539">
            <v>0</v>
          </cell>
        </row>
        <row r="540">
          <cell r="A540">
            <v>2</v>
          </cell>
          <cell r="B540">
            <v>11</v>
          </cell>
          <cell r="AG540">
            <v>2486.6152260857152</v>
          </cell>
        </row>
        <row r="541">
          <cell r="A541">
            <v>6</v>
          </cell>
          <cell r="B541">
            <v>11</v>
          </cell>
          <cell r="AG541">
            <v>26835.797792802798</v>
          </cell>
        </row>
        <row r="542">
          <cell r="A542">
            <v>2</v>
          </cell>
          <cell r="B542">
            <v>11</v>
          </cell>
          <cell r="AG542">
            <v>0</v>
          </cell>
        </row>
        <row r="543">
          <cell r="A543">
            <v>2</v>
          </cell>
          <cell r="B543">
            <v>11</v>
          </cell>
          <cell r="AG543">
            <v>1124.9628429676845</v>
          </cell>
        </row>
        <row r="544">
          <cell r="A544">
            <v>2</v>
          </cell>
          <cell r="B544">
            <v>11</v>
          </cell>
          <cell r="AG544">
            <v>0</v>
          </cell>
        </row>
        <row r="545">
          <cell r="A545">
            <v>2</v>
          </cell>
          <cell r="B545">
            <v>11</v>
          </cell>
          <cell r="AG545">
            <v>0</v>
          </cell>
        </row>
        <row r="546">
          <cell r="A546">
            <v>1</v>
          </cell>
          <cell r="B546">
            <v>11</v>
          </cell>
          <cell r="AG546">
            <v>223.84430790120098</v>
          </cell>
        </row>
        <row r="547">
          <cell r="A547">
            <v>2</v>
          </cell>
          <cell r="B547">
            <v>11</v>
          </cell>
          <cell r="AG547">
            <v>702.82022274035467</v>
          </cell>
        </row>
        <row r="548">
          <cell r="A548">
            <v>6</v>
          </cell>
          <cell r="B548">
            <v>11</v>
          </cell>
          <cell r="AG548">
            <v>842.44537931250761</v>
          </cell>
        </row>
        <row r="549">
          <cell r="A549">
            <v>2</v>
          </cell>
          <cell r="B549">
            <v>11</v>
          </cell>
          <cell r="AG549">
            <v>1447.4548488218031</v>
          </cell>
        </row>
        <row r="550">
          <cell r="A550">
            <v>1</v>
          </cell>
          <cell r="B550">
            <v>11</v>
          </cell>
          <cell r="AG550">
            <v>44.652258571814237</v>
          </cell>
        </row>
        <row r="551">
          <cell r="A551">
            <v>2</v>
          </cell>
          <cell r="B551">
            <v>11</v>
          </cell>
          <cell r="AG551">
            <v>152.86032926306771</v>
          </cell>
        </row>
        <row r="552">
          <cell r="A552">
            <v>4</v>
          </cell>
          <cell r="B552">
            <v>13</v>
          </cell>
          <cell r="AG552">
            <v>-218.51000636056494</v>
          </cell>
        </row>
        <row r="553">
          <cell r="A553">
            <v>4</v>
          </cell>
          <cell r="B553">
            <v>12</v>
          </cell>
          <cell r="AG553">
            <v>0</v>
          </cell>
        </row>
        <row r="554">
          <cell r="A554">
            <v>4</v>
          </cell>
          <cell r="B554">
            <v>12</v>
          </cell>
          <cell r="AG554">
            <v>8250.1540553983996</v>
          </cell>
        </row>
        <row r="555">
          <cell r="A555">
            <v>1</v>
          </cell>
          <cell r="B555">
            <v>11</v>
          </cell>
          <cell r="AG555">
            <v>71.660139414360458</v>
          </cell>
        </row>
        <row r="556">
          <cell r="A556">
            <v>2</v>
          </cell>
          <cell r="B556">
            <v>11</v>
          </cell>
          <cell r="AG556">
            <v>46.537378194871394</v>
          </cell>
        </row>
        <row r="557">
          <cell r="A557">
            <v>2</v>
          </cell>
          <cell r="B557">
            <v>11</v>
          </cell>
          <cell r="AG557">
            <v>0</v>
          </cell>
        </row>
        <row r="558">
          <cell r="A558">
            <v>3</v>
          </cell>
          <cell r="B558">
            <v>11</v>
          </cell>
          <cell r="AG558">
            <v>902.86227899684036</v>
          </cell>
        </row>
        <row r="559">
          <cell r="A559">
            <v>2</v>
          </cell>
          <cell r="B559">
            <v>11</v>
          </cell>
          <cell r="AG559">
            <v>1725.700021087584</v>
          </cell>
        </row>
        <row r="560">
          <cell r="A560">
            <v>2</v>
          </cell>
          <cell r="B560">
            <v>11</v>
          </cell>
          <cell r="AG560">
            <v>0</v>
          </cell>
        </row>
        <row r="561">
          <cell r="A561">
            <v>2</v>
          </cell>
          <cell r="B561">
            <v>11</v>
          </cell>
          <cell r="AG561">
            <v>1023.1138512978248</v>
          </cell>
        </row>
        <row r="562">
          <cell r="A562">
            <v>2</v>
          </cell>
          <cell r="B562">
            <v>11</v>
          </cell>
          <cell r="AG562">
            <v>448.83157294800014</v>
          </cell>
        </row>
        <row r="563">
          <cell r="A563">
            <v>2</v>
          </cell>
          <cell r="B563">
            <v>11</v>
          </cell>
          <cell r="AG563">
            <v>420.78949112745465</v>
          </cell>
        </row>
        <row r="564">
          <cell r="A564">
            <v>3</v>
          </cell>
          <cell r="B564">
            <v>11</v>
          </cell>
          <cell r="AG564">
            <v>287.43650070064371</v>
          </cell>
        </row>
        <row r="565">
          <cell r="A565">
            <v>3</v>
          </cell>
          <cell r="B565">
            <v>11</v>
          </cell>
          <cell r="AG565">
            <v>0</v>
          </cell>
        </row>
        <row r="566">
          <cell r="A566">
            <v>5</v>
          </cell>
          <cell r="B566">
            <v>12</v>
          </cell>
          <cell r="AG566">
            <v>208.83945625746784</v>
          </cell>
        </row>
        <row r="567">
          <cell r="A567">
            <v>2</v>
          </cell>
          <cell r="B567">
            <v>11</v>
          </cell>
          <cell r="AG567">
            <v>256.57714075325339</v>
          </cell>
        </row>
        <row r="568">
          <cell r="A568">
            <v>4</v>
          </cell>
          <cell r="B568">
            <v>11</v>
          </cell>
          <cell r="AG568">
            <v>845.5551123885698</v>
          </cell>
        </row>
        <row r="569">
          <cell r="A569">
            <v>4</v>
          </cell>
          <cell r="B569">
            <v>13</v>
          </cell>
          <cell r="AG569">
            <v>337.83327514828682</v>
          </cell>
        </row>
        <row r="570">
          <cell r="A570">
            <v>4</v>
          </cell>
          <cell r="B570">
            <v>12</v>
          </cell>
          <cell r="AG570">
            <v>0</v>
          </cell>
        </row>
        <row r="571">
          <cell r="A571">
            <v>4</v>
          </cell>
          <cell r="B571">
            <v>12</v>
          </cell>
          <cell r="AG571">
            <v>0</v>
          </cell>
        </row>
        <row r="572">
          <cell r="A572">
            <v>4</v>
          </cell>
          <cell r="B572">
            <v>12</v>
          </cell>
          <cell r="AG572">
            <v>0</v>
          </cell>
        </row>
        <row r="573">
          <cell r="A573">
            <v>2</v>
          </cell>
          <cell r="B573">
            <v>11</v>
          </cell>
          <cell r="AG573">
            <v>987.14233032702964</v>
          </cell>
        </row>
        <row r="574">
          <cell r="A574">
            <v>2</v>
          </cell>
          <cell r="B574">
            <v>11</v>
          </cell>
          <cell r="AG574">
            <v>0</v>
          </cell>
        </row>
        <row r="575">
          <cell r="A575">
            <v>1</v>
          </cell>
          <cell r="B575">
            <v>12</v>
          </cell>
          <cell r="AG575">
            <v>806.70338154828255</v>
          </cell>
        </row>
        <row r="576">
          <cell r="A576">
            <v>1</v>
          </cell>
          <cell r="B576">
            <v>12</v>
          </cell>
          <cell r="AG576">
            <v>273.50991897749964</v>
          </cell>
        </row>
        <row r="577">
          <cell r="A577">
            <v>4</v>
          </cell>
          <cell r="B577">
            <v>11</v>
          </cell>
          <cell r="AG577">
            <v>0</v>
          </cell>
        </row>
        <row r="578">
          <cell r="A578">
            <v>1</v>
          </cell>
          <cell r="B578">
            <v>11</v>
          </cell>
          <cell r="AG578">
            <v>1745.5254695227941</v>
          </cell>
        </row>
        <row r="579">
          <cell r="A579">
            <v>1</v>
          </cell>
          <cell r="B579">
            <v>11</v>
          </cell>
          <cell r="AG579">
            <v>0</v>
          </cell>
        </row>
        <row r="580">
          <cell r="A580">
            <v>2</v>
          </cell>
          <cell r="B580">
            <v>11</v>
          </cell>
          <cell r="AG580">
            <v>0</v>
          </cell>
        </row>
        <row r="581">
          <cell r="A581">
            <v>2</v>
          </cell>
          <cell r="B581">
            <v>11</v>
          </cell>
          <cell r="AG581">
            <v>127.28979738793788</v>
          </cell>
        </row>
        <row r="582">
          <cell r="A582">
            <v>2</v>
          </cell>
          <cell r="B582">
            <v>11</v>
          </cell>
          <cell r="AG582">
            <v>0</v>
          </cell>
        </row>
        <row r="583">
          <cell r="A583">
            <v>1</v>
          </cell>
          <cell r="B583">
            <v>11</v>
          </cell>
          <cell r="AG583">
            <v>105.19737278186366</v>
          </cell>
        </row>
        <row r="584">
          <cell r="A584">
            <v>4</v>
          </cell>
          <cell r="B584">
            <v>11</v>
          </cell>
          <cell r="AG584">
            <v>537.64101484973821</v>
          </cell>
        </row>
        <row r="585">
          <cell r="A585">
            <v>2</v>
          </cell>
          <cell r="B585">
            <v>11</v>
          </cell>
          <cell r="AG585">
            <v>21.175260284113048</v>
          </cell>
        </row>
        <row r="586">
          <cell r="A586">
            <v>2</v>
          </cell>
          <cell r="B586">
            <v>11</v>
          </cell>
          <cell r="AG586">
            <v>43.421789978776353</v>
          </cell>
        </row>
        <row r="587">
          <cell r="A587">
            <v>2</v>
          </cell>
          <cell r="B587">
            <v>11</v>
          </cell>
          <cell r="AG587">
            <v>105.42968866334876</v>
          </cell>
        </row>
        <row r="588">
          <cell r="A588">
            <v>2</v>
          </cell>
          <cell r="B588">
            <v>11</v>
          </cell>
          <cell r="AG588">
            <v>0</v>
          </cell>
        </row>
        <row r="589">
          <cell r="A589">
            <v>2</v>
          </cell>
          <cell r="B589">
            <v>11</v>
          </cell>
          <cell r="AG589">
            <v>288.67495384290794</v>
          </cell>
        </row>
        <row r="590">
          <cell r="A590">
            <v>4</v>
          </cell>
          <cell r="B590">
            <v>12</v>
          </cell>
          <cell r="AG590">
            <v>5848.4682576772866</v>
          </cell>
        </row>
        <row r="591">
          <cell r="A591">
            <v>4</v>
          </cell>
          <cell r="B591">
            <v>12</v>
          </cell>
          <cell r="AG591">
            <v>4492.9287825104529</v>
          </cell>
        </row>
        <row r="592">
          <cell r="A592">
            <v>2</v>
          </cell>
          <cell r="B592">
            <v>11</v>
          </cell>
          <cell r="AG592">
            <v>522.94528779809116</v>
          </cell>
        </row>
        <row r="593">
          <cell r="A593">
            <v>2</v>
          </cell>
          <cell r="B593">
            <v>11</v>
          </cell>
          <cell r="AG593">
            <v>0</v>
          </cell>
        </row>
        <row r="594">
          <cell r="A594">
            <v>2</v>
          </cell>
          <cell r="B594">
            <v>11</v>
          </cell>
          <cell r="AG594">
            <v>352.625731629553</v>
          </cell>
        </row>
        <row r="595">
          <cell r="A595">
            <v>6</v>
          </cell>
          <cell r="B595">
            <v>11</v>
          </cell>
          <cell r="AG595">
            <v>1800.370525287849</v>
          </cell>
        </row>
        <row r="596">
          <cell r="A596">
            <v>2</v>
          </cell>
          <cell r="B596">
            <v>11</v>
          </cell>
          <cell r="AG596">
            <v>79.372754416788297</v>
          </cell>
        </row>
        <row r="597">
          <cell r="A597">
            <v>2</v>
          </cell>
          <cell r="B597">
            <v>11</v>
          </cell>
          <cell r="AG597">
            <v>0</v>
          </cell>
        </row>
        <row r="598">
          <cell r="A598">
            <v>6</v>
          </cell>
          <cell r="B598">
            <v>11</v>
          </cell>
          <cell r="AG598">
            <v>0</v>
          </cell>
        </row>
        <row r="599">
          <cell r="A599">
            <v>2</v>
          </cell>
          <cell r="B599">
            <v>11</v>
          </cell>
          <cell r="AG599">
            <v>626.27521929233535</v>
          </cell>
        </row>
        <row r="600">
          <cell r="A600">
            <v>2</v>
          </cell>
          <cell r="B600">
            <v>11</v>
          </cell>
          <cell r="AG600">
            <v>574.87300140128741</v>
          </cell>
        </row>
        <row r="601">
          <cell r="A601">
            <v>2</v>
          </cell>
          <cell r="B601">
            <v>11</v>
          </cell>
          <cell r="AG601">
            <v>0</v>
          </cell>
        </row>
        <row r="602">
          <cell r="A602">
            <v>2</v>
          </cell>
          <cell r="B602">
            <v>11</v>
          </cell>
          <cell r="AG602">
            <v>0</v>
          </cell>
        </row>
        <row r="603">
          <cell r="A603">
            <v>6</v>
          </cell>
          <cell r="B603">
            <v>11</v>
          </cell>
          <cell r="AG603">
            <v>1870.2193028327174</v>
          </cell>
        </row>
        <row r="604">
          <cell r="A604">
            <v>6</v>
          </cell>
          <cell r="B604">
            <v>11</v>
          </cell>
          <cell r="AG604">
            <v>0</v>
          </cell>
        </row>
        <row r="605">
          <cell r="A605">
            <v>2</v>
          </cell>
          <cell r="B605">
            <v>11</v>
          </cell>
          <cell r="AG605">
            <v>227.02013557600827</v>
          </cell>
        </row>
        <row r="606">
          <cell r="A606">
            <v>2</v>
          </cell>
          <cell r="B606">
            <v>11</v>
          </cell>
          <cell r="AG606">
            <v>0</v>
          </cell>
        </row>
        <row r="607">
          <cell r="A607">
            <v>4</v>
          </cell>
          <cell r="B607">
            <v>13</v>
          </cell>
          <cell r="AG607">
            <v>1108.3865605869157</v>
          </cell>
        </row>
        <row r="608">
          <cell r="A608">
            <v>2</v>
          </cell>
          <cell r="B608">
            <v>11</v>
          </cell>
          <cell r="AG608">
            <v>152.86032926306771</v>
          </cell>
        </row>
        <row r="609">
          <cell r="A609">
            <v>2</v>
          </cell>
          <cell r="B609">
            <v>11</v>
          </cell>
          <cell r="AG609">
            <v>23.957262932271796</v>
          </cell>
        </row>
        <row r="610">
          <cell r="A610">
            <v>1</v>
          </cell>
          <cell r="B610">
            <v>11</v>
          </cell>
          <cell r="AG610">
            <v>287.43650070064371</v>
          </cell>
        </row>
        <row r="611">
          <cell r="A611">
            <v>1</v>
          </cell>
          <cell r="B611">
            <v>11</v>
          </cell>
          <cell r="AG611">
            <v>631.18423669118192</v>
          </cell>
        </row>
        <row r="612">
          <cell r="A612">
            <v>1</v>
          </cell>
          <cell r="B612">
            <v>11</v>
          </cell>
          <cell r="AG612">
            <v>0</v>
          </cell>
        </row>
        <row r="613">
          <cell r="A613">
            <v>2</v>
          </cell>
          <cell r="B613">
            <v>11</v>
          </cell>
          <cell r="AG613">
            <v>752.88579576793211</v>
          </cell>
        </row>
        <row r="614">
          <cell r="A614">
            <v>2</v>
          </cell>
          <cell r="B614">
            <v>11</v>
          </cell>
          <cell r="AG614">
            <v>981.73699361969602</v>
          </cell>
        </row>
        <row r="615">
          <cell r="A615">
            <v>4</v>
          </cell>
          <cell r="B615">
            <v>11</v>
          </cell>
          <cell r="AG615">
            <v>0</v>
          </cell>
        </row>
        <row r="616">
          <cell r="A616">
            <v>2</v>
          </cell>
          <cell r="B616">
            <v>11</v>
          </cell>
          <cell r="AG616">
            <v>767.4963446237366</v>
          </cell>
        </row>
        <row r="617">
          <cell r="A617">
            <v>2</v>
          </cell>
          <cell r="B617">
            <v>11</v>
          </cell>
          <cell r="AG617">
            <v>0</v>
          </cell>
        </row>
        <row r="618">
          <cell r="A618">
            <v>3</v>
          </cell>
          <cell r="B618">
            <v>11</v>
          </cell>
          <cell r="AG618">
            <v>0</v>
          </cell>
        </row>
        <row r="619">
          <cell r="A619">
            <v>5</v>
          </cell>
          <cell r="B619">
            <v>11</v>
          </cell>
          <cell r="AG619">
            <v>5.289697722418043</v>
          </cell>
        </row>
        <row r="620">
          <cell r="A620">
            <v>2</v>
          </cell>
          <cell r="B620">
            <v>11</v>
          </cell>
          <cell r="AG620">
            <v>22825.598387077625</v>
          </cell>
        </row>
        <row r="621">
          <cell r="A621">
            <v>2</v>
          </cell>
          <cell r="B621">
            <v>11</v>
          </cell>
          <cell r="AG621">
            <v>415.56888734087835</v>
          </cell>
        </row>
        <row r="622">
          <cell r="A622">
            <v>1</v>
          </cell>
          <cell r="B622">
            <v>11</v>
          </cell>
          <cell r="AG622">
            <v>0</v>
          </cell>
        </row>
        <row r="623">
          <cell r="A623">
            <v>1</v>
          </cell>
          <cell r="B623">
            <v>11</v>
          </cell>
          <cell r="AG623">
            <v>21.294782658592322</v>
          </cell>
        </row>
        <row r="624">
          <cell r="A624">
            <v>6</v>
          </cell>
          <cell r="B624">
            <v>11</v>
          </cell>
          <cell r="AG624">
            <v>0</v>
          </cell>
        </row>
        <row r="625">
          <cell r="A625">
            <v>3</v>
          </cell>
          <cell r="B625">
            <v>11</v>
          </cell>
          <cell r="AG625">
            <v>157.87399012044625</v>
          </cell>
        </row>
        <row r="626">
          <cell r="A626">
            <v>1</v>
          </cell>
          <cell r="B626">
            <v>11</v>
          </cell>
          <cell r="AG626">
            <v>1139.1229424158214</v>
          </cell>
        </row>
        <row r="627">
          <cell r="A627">
            <v>2</v>
          </cell>
          <cell r="B627">
            <v>11</v>
          </cell>
          <cell r="AG627">
            <v>872.77617739111975</v>
          </cell>
        </row>
        <row r="628">
          <cell r="A628">
            <v>2</v>
          </cell>
          <cell r="B628">
            <v>11</v>
          </cell>
          <cell r="AG628">
            <v>0</v>
          </cell>
        </row>
        <row r="629">
          <cell r="A629">
            <v>2</v>
          </cell>
          <cell r="B629">
            <v>11</v>
          </cell>
          <cell r="AG629">
            <v>221.1359637669849</v>
          </cell>
        </row>
        <row r="630">
          <cell r="A630">
            <v>2</v>
          </cell>
          <cell r="B630">
            <v>11</v>
          </cell>
          <cell r="AG630">
            <v>0</v>
          </cell>
        </row>
        <row r="631">
          <cell r="A631">
            <v>2</v>
          </cell>
          <cell r="B631">
            <v>11</v>
          </cell>
          <cell r="AG631">
            <v>0</v>
          </cell>
        </row>
        <row r="632">
          <cell r="A632">
            <v>2</v>
          </cell>
          <cell r="B632">
            <v>11</v>
          </cell>
          <cell r="AG632">
            <v>111.1331818777316</v>
          </cell>
        </row>
        <row r="633">
          <cell r="A633">
            <v>6</v>
          </cell>
          <cell r="B633">
            <v>11</v>
          </cell>
          <cell r="AG633">
            <v>674.62569181969684</v>
          </cell>
        </row>
        <row r="634">
          <cell r="A634">
            <v>6</v>
          </cell>
          <cell r="B634">
            <v>11</v>
          </cell>
          <cell r="AG634">
            <v>2399.5798617157479</v>
          </cell>
        </row>
        <row r="635">
          <cell r="A635">
            <v>6</v>
          </cell>
          <cell r="B635">
            <v>11</v>
          </cell>
          <cell r="AG635">
            <v>616.16150914067657</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s PL"/>
      <sheetName val="Schedules BS"/>
      <sheetName val="BS"/>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6"/>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rev rec "/>
      <sheetName val="Q3 מיסים שוטפים 2018"/>
      <sheetName val="העמסת הנה&quot;כ (INC)"/>
      <sheetName val="Balances Sheet (Printing)"/>
      <sheetName val="העמסת הנה&quot;כ (UK)"/>
      <sheetName val="העמסת הנה&quot;כ"/>
      <sheetName val="הפרשות"/>
      <sheetName val="אנליטי"/>
      <sheetName val="יתרות בינחברתיות"/>
      <sheetName val="Revenues"/>
      <sheetName val="Consolidation"/>
      <sheetName val="ביאורים לדוחות הכספיים"/>
      <sheetName val="WP"/>
      <sheetName val="FA"/>
      <sheetName val="תזרים Algosec LTD בש&quot;ח"/>
      <sheetName val="תזרים מאוחד ב-$"/>
      <sheetName val="606-Prepaid Comm&amp;DR SUB"/>
      <sheetName val="מאזן בוחן EUROPE"/>
      <sheetName val="פ.נ. EUROPE"/>
      <sheetName val="rev rec eu"/>
      <sheetName val="FS EU"/>
      <sheetName val=" analytics eu"/>
      <sheetName val="מאזן בוחן Australia"/>
      <sheetName val="Inc Bookkeeping Old"/>
      <sheetName val="New TB INC Old"/>
      <sheetName val="פ.נ. Australia"/>
      <sheetName val="Rev Rec AU"/>
      <sheetName val="FS AU"/>
      <sheetName val="Post-Closing Withdrawl Updated"/>
      <sheetName val="Post-Closing Withdrawl"/>
      <sheetName val="New TB INC"/>
      <sheetName val="rev rec"/>
      <sheetName val="Analytics"/>
      <sheetName val="AJE 12 - INC"/>
      <sheetName val="Tax - Inc"/>
      <sheetName val="Tax exp"/>
      <sheetName val="נתונים לשינוי"/>
    </sheetNames>
    <sheetDataSet>
      <sheetData sheetId="0">
        <row r="61">
          <cell r="Q61">
            <v>-12008213.959999997</v>
          </cell>
        </row>
      </sheetData>
      <sheetData sheetId="1"/>
      <sheetData sheetId="2"/>
      <sheetData sheetId="3"/>
      <sheetData sheetId="4"/>
      <sheetData sheetId="5"/>
      <sheetData sheetId="6"/>
      <sheetData sheetId="7"/>
      <sheetData sheetId="8"/>
      <sheetData sheetId="9"/>
      <sheetData sheetId="10"/>
      <sheetData sheetId="11"/>
      <sheetData sheetId="12"/>
      <sheetData sheetId="13">
        <row r="74">
          <cell r="O74">
            <v>-3513</v>
          </cell>
        </row>
      </sheetData>
      <sheetData sheetId="14"/>
      <sheetData sheetId="15"/>
      <sheetData sheetId="16"/>
      <sheetData sheetId="17"/>
      <sheetData sheetId="18"/>
      <sheetData sheetId="19"/>
      <sheetData sheetId="20"/>
      <sheetData sheetId="21"/>
      <sheetData sheetId="22"/>
      <sheetData sheetId="23">
        <row r="3">
          <cell r="C3" t="str">
            <v>As at March 31, 2019</v>
          </cell>
        </row>
      </sheetData>
      <sheetData sheetId="24"/>
      <sheetData sheetId="25"/>
      <sheetData sheetId="26"/>
      <sheetData sheetId="27"/>
      <sheetData sheetId="28"/>
      <sheetData sheetId="29"/>
      <sheetData sheetId="30">
        <row r="7">
          <cell r="C7">
            <v>682881.59</v>
          </cell>
        </row>
      </sheetData>
      <sheetData sheetId="31"/>
      <sheetData sheetId="32"/>
      <sheetData sheetId="33"/>
      <sheetData sheetId="34"/>
      <sheetData sheetId="35"/>
      <sheetData sheetId="36"/>
      <sheetData sheetId="37"/>
      <sheetData sheetId="38"/>
      <sheetData sheetId="3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אזן בוחן"/>
      <sheetName val="פקודות נוספות"/>
      <sheetName val="דוחות"/>
      <sheetName val="LTD מיסים שוטפים 2017"/>
      <sheetName val="העמסת הנה&quot;כ"/>
      <sheetName val="הפרשות"/>
      <sheetName val="אנליטי"/>
      <sheetName val="יתרות בינחברתיות"/>
      <sheetName val="Consolidation"/>
      <sheetName val="ביאורים לדוחות הכספיים"/>
      <sheetName val="תזרים Algosec LTD בש&quot;ח"/>
      <sheetName val="תזרים מאוחד ב-$"/>
      <sheetName val="מאזן בוחן EUROPE"/>
      <sheetName val="JE EUROPE"/>
      <sheetName val="Inc Bookkeeping Old"/>
      <sheetName val="New TB INC Old"/>
      <sheetName val="מאזן בוחן Australia"/>
      <sheetName val="פ.נ. Australia"/>
      <sheetName val="Revenues"/>
      <sheetName val="Post-Closing Withdrawl"/>
      <sheetName val="New TB INC"/>
      <sheetName val="AJE 12 - INC"/>
      <sheetName val="Tax - Inc"/>
      <sheetName val="Tax exp"/>
      <sheetName val="נתונים לשינוי"/>
    </sheetNames>
    <sheetDataSet>
      <sheetData sheetId="0" refreshError="1"/>
      <sheetData sheetId="1" refreshError="1"/>
      <sheetData sheetId="2">
        <row r="61">
          <cell r="P61">
            <v>-18425059.348342698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rev rec "/>
      <sheetName val="מיסים שוטפים 2018"/>
      <sheetName val="העמסת הנה&quot;כ (UK)"/>
      <sheetName val="העמסת הנה&quot;כ (INC)"/>
      <sheetName val="העמסת הנה&quot;כ"/>
      <sheetName val="הפרשות"/>
      <sheetName val="אנליטי"/>
      <sheetName val="יתרות בינחברתיות"/>
      <sheetName val="Revenues"/>
      <sheetName val="Consolidation"/>
      <sheetName val="WP"/>
      <sheetName val="ביאורים לדוחות הכספיים"/>
      <sheetName val="FA"/>
      <sheetName val="תזרים Algosec LTD בש&quot;ח"/>
      <sheetName val="תזרים מאוחד ב-$"/>
      <sheetName val="מאזן בוחן EUROPE"/>
      <sheetName val="פ.נ. EUROPE"/>
      <sheetName val="rev rec eu"/>
      <sheetName val="FS EU"/>
      <sheetName val=" analytics eu"/>
      <sheetName val="מאזן בוחן Australia"/>
      <sheetName val="Inc Bookkeeping Old"/>
      <sheetName val="New TB INC Old"/>
      <sheetName val="Rev Rec AU"/>
      <sheetName val="פ.נ. Australia"/>
      <sheetName val="FS AU"/>
      <sheetName val="Post-Closing Withdrawl Updated"/>
      <sheetName val="Post-Closing Withdrawl"/>
      <sheetName val="New TB INC"/>
      <sheetName val="rev rec"/>
      <sheetName val="Analytics"/>
      <sheetName val="AJE 12 - INC"/>
      <sheetName val="Tax - Inc"/>
      <sheetName val="Tax exp"/>
      <sheetName val="נתונים לשינוי"/>
      <sheetName val="דוח מאוחד אלגוסק - שנת 2018 - D"/>
    </sheetNames>
    <sheetDataSet>
      <sheetData sheetId="0">
        <row r="61">
          <cell r="P61">
            <v>-33108506.479999974</v>
          </cell>
        </row>
      </sheetData>
      <sheetData sheetId="1">
        <row r="176">
          <cell r="K176">
            <v>4124470.9299999997</v>
          </cell>
        </row>
      </sheetData>
      <sheetData sheetId="2"/>
      <sheetData sheetId="3"/>
      <sheetData sheetId="4"/>
      <sheetData sheetId="5"/>
      <sheetData sheetId="6"/>
      <sheetData sheetId="7"/>
      <sheetData sheetId="8"/>
      <sheetData sheetId="9"/>
      <sheetData sheetId="10"/>
      <sheetData sheetId="11"/>
      <sheetData sheetId="12">
        <row r="5">
          <cell r="O5">
            <v>43465</v>
          </cell>
        </row>
      </sheetData>
      <sheetData sheetId="13">
        <row r="49">
          <cell r="L49">
            <v>353685</v>
          </cell>
        </row>
      </sheetData>
      <sheetData sheetId="14">
        <row r="124">
          <cell r="C124">
            <v>339961.01</v>
          </cell>
        </row>
      </sheetData>
      <sheetData sheetId="15"/>
      <sheetData sheetId="16"/>
      <sheetData sheetId="17">
        <row r="40">
          <cell r="G40">
            <v>178</v>
          </cell>
        </row>
      </sheetData>
      <sheetData sheetId="18">
        <row r="1">
          <cell r="C1"/>
        </row>
      </sheetData>
      <sheetData sheetId="19"/>
      <sheetData sheetId="20"/>
      <sheetData sheetId="21"/>
      <sheetData sheetId="22"/>
      <sheetData sheetId="23"/>
      <sheetData sheetId="24"/>
      <sheetData sheetId="25"/>
      <sheetData sheetId="26"/>
      <sheetData sheetId="27"/>
      <sheetData sheetId="28"/>
      <sheetData sheetId="29"/>
      <sheetData sheetId="30"/>
      <sheetData sheetId="31">
        <row r="381">
          <cell r="J381">
            <v>-424569.84</v>
          </cell>
        </row>
      </sheetData>
      <sheetData sheetId="32"/>
      <sheetData sheetId="33"/>
      <sheetData sheetId="34"/>
      <sheetData sheetId="35"/>
      <sheetData sheetId="36"/>
      <sheetData sheetId="37"/>
      <sheetData sheetId="3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rev rec "/>
      <sheetName val="מיסים שוטפים 2018"/>
      <sheetName val="העמסת הנה&quot;כ (UK)"/>
      <sheetName val="העמסת הנה&quot;כ (INC)"/>
      <sheetName val="העמסת הנה&quot;כ"/>
      <sheetName val="הפרשות"/>
      <sheetName val="אנליטי"/>
      <sheetName val="יתרות בינחברתיות"/>
      <sheetName val="Revenues"/>
      <sheetName val="Consolidation"/>
      <sheetName val="WP"/>
      <sheetName val="ביאורים לדוחות הכספיים"/>
      <sheetName val="FA"/>
      <sheetName val="תזרים Algosec LTD בש&quot;ח"/>
      <sheetName val="תזרים מאוחד ב-$"/>
      <sheetName val="מאזן בוחן EUROPE"/>
      <sheetName val="פ.נ. EUROPE"/>
      <sheetName val="rev rec eu"/>
      <sheetName val="FS EU"/>
      <sheetName val=" analytics eu"/>
      <sheetName val="מאזן בוחן Australia"/>
      <sheetName val="Inc Bookkeeping Old"/>
      <sheetName val="New TB INC Old"/>
      <sheetName val="Rev Rec AU"/>
      <sheetName val="פ.נ. Australia"/>
      <sheetName val="FS AU"/>
      <sheetName val="Post-Closing Withdrawl Updated"/>
      <sheetName val="Post-Closing Withdrawl"/>
      <sheetName val="New TB INC"/>
      <sheetName val="rev rec"/>
      <sheetName val="Analytics"/>
      <sheetName val="AJE 12 - INC"/>
      <sheetName val="Tax - Inc"/>
      <sheetName val="Tax exp"/>
      <sheetName val="נתונים לשינוי"/>
    </sheetNames>
    <sheetDataSet>
      <sheetData sheetId="0">
        <row r="15">
          <cell r="J15">
            <v>3744516</v>
          </cell>
        </row>
        <row r="62">
          <cell r="P62">
            <v>-33108506.479999982</v>
          </cell>
        </row>
      </sheetData>
      <sheetData sheetId="1">
        <row r="125">
          <cell r="J125">
            <v>212297</v>
          </cell>
        </row>
      </sheetData>
      <sheetData sheetId="2" refreshError="1"/>
      <sheetData sheetId="3" refreshError="1"/>
      <sheetData sheetId="4">
        <row r="64">
          <cell r="D64">
            <v>1141567.1153022449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d"/>
    </sheetNames>
    <sheetDataSet>
      <sheetData sheetId="0">
        <row r="5">
          <cell r="C5">
            <v>161505.69127305938</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נמב"/>
      <sheetName val="עודפות"/>
    </sheetNames>
    <sheetDataSet>
      <sheetData sheetId="0">
        <row r="86">
          <cell r="R86">
            <v>992981.08280091686</v>
          </cell>
        </row>
      </sheetData>
      <sheetData sheetId="1">
        <row r="5">
          <cell r="D5">
            <v>67500</v>
          </cell>
          <cell r="F5">
            <v>-29956.78887180821</v>
          </cell>
          <cell r="J5">
            <v>37543.21112819179</v>
          </cell>
        </row>
        <row r="6">
          <cell r="D6"/>
          <cell r="J6"/>
        </row>
        <row r="7">
          <cell r="D7">
            <v>78751</v>
          </cell>
          <cell r="J7">
            <v>78751</v>
          </cell>
        </row>
        <row r="8">
          <cell r="D8"/>
          <cell r="J8"/>
        </row>
        <row r="9">
          <cell r="D9">
            <v>113400</v>
          </cell>
          <cell r="J9">
            <v>113400</v>
          </cell>
        </row>
        <row r="10">
          <cell r="D10"/>
          <cell r="J10"/>
        </row>
        <row r="11">
          <cell r="D11">
            <v>180000</v>
          </cell>
          <cell r="J11">
            <v>180000</v>
          </cell>
        </row>
        <row r="12">
          <cell r="J12"/>
        </row>
        <row r="13">
          <cell r="D13">
            <v>84416</v>
          </cell>
          <cell r="J13">
            <v>84416</v>
          </cell>
        </row>
        <row r="14">
          <cell r="J14"/>
        </row>
        <row r="15">
          <cell r="D15">
            <v>78000</v>
          </cell>
          <cell r="J15">
            <v>78000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2021"/>
      <sheetName val="AR210315-01-USFG"/>
      <sheetName val="AR210602-02-USFG"/>
      <sheetName val="2020"/>
      <sheetName val="AR201124-01-USFG"/>
      <sheetName val="AR200716-02-USFG "/>
      <sheetName val="AR200617-01-USFG "/>
      <sheetName val="AR200511-01-USFG"/>
      <sheetName val="2019"/>
      <sheetName val="AR191202-01-USFG"/>
      <sheetName val="AR191111-02-USFG"/>
      <sheetName val="5800002"/>
      <sheetName val="AR191022-02-USFG"/>
      <sheetName val="AR190730-01-USFG "/>
      <sheetName val="AR190313-01-USFG "/>
      <sheetName val="AR190912-01-USFG"/>
      <sheetName val="2018"/>
      <sheetName val="AR170711-02-USFG "/>
      <sheetName val="AR171122-03-USFG"/>
      <sheetName val="AR180208-01-USFG"/>
      <sheetName val="AR180716-01-USFG"/>
      <sheetName val="AR1800823-01-USFG"/>
      <sheetName val="AR181211-01-USFG"/>
      <sheetName val="Forecast"/>
    </sheetNames>
    <sheetDataSet>
      <sheetData sheetId="0">
        <row r="4">
          <cell r="AA4">
            <v>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חופשה Q1 2018"/>
      <sheetName val="חופשה Q2 2018"/>
      <sheetName val="חופשה Q3 2018"/>
      <sheetName val="חופשה Q4 2018"/>
      <sheetName val="דוח פיצויים 2017"/>
      <sheetName val="חופשה Q1 2019"/>
      <sheetName val="חופשה Q2 2019"/>
      <sheetName val="חופשה Q3 2019"/>
      <sheetName val="חופשה Q4 2019"/>
      <sheetName val="חופשה Q1 2020"/>
      <sheetName val="חופשה Q2 2020"/>
      <sheetName val="עתודה לחופשה Q3 "/>
      <sheetName val="חופשה Q4"/>
      <sheetName val="חופשה Q1 21"/>
      <sheetName val="חופשה Q2 21"/>
      <sheetName val="חופשה Q3 21"/>
      <sheetName val="חופשה Q4 21"/>
      <sheetName val="פיצויים 2021"/>
      <sheetName val="פיצויים Q4 2021"/>
      <sheetName val="פיצויים Q3 2021"/>
      <sheetName val="פיצויים Q2 2021"/>
      <sheetName val="פיצויים Q1 2021"/>
      <sheetName val="Q4 2020 פיצויים"/>
      <sheetName val="פיצויים Q3 2020"/>
      <sheetName val="Q2 2020 פיצויים"/>
      <sheetName val="פיצויים Q1 2020"/>
      <sheetName val="פיצויים Q4 2019"/>
      <sheetName val="פיצויים Q3 2019"/>
      <sheetName val=" 2019 פיצויים Q2"/>
      <sheetName val="31.03.2019"/>
      <sheetName val="פיצויים Q1 2019"/>
      <sheetName val="פיצויים Q4 2018"/>
      <sheetName val="פיצויים Q1 2018"/>
      <sheetName val="פיצויים Q2 2018"/>
      <sheetName val="הפרשות 2016"/>
      <sheetName val="פיצויים 2016"/>
      <sheetName val="חופשה 2016"/>
      <sheetName val="עובדים שעתיים 20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00">
          <cell r="F100">
            <v>38369.709589040838</v>
          </cell>
        </row>
        <row r="121">
          <cell r="F121">
            <v>5367790.4630136993</v>
          </cell>
        </row>
        <row r="122">
          <cell r="F122">
            <v>786662</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8">
          <cell r="C18">
            <v>10406.248399999982</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21"/>
      <sheetName val="הכנה לינואר"/>
    </sheetNames>
    <sheetDataSet>
      <sheetData sheetId="0">
        <row r="7">
          <cell r="K7">
            <v>-34051.500000000007</v>
          </cell>
        </row>
        <row r="8">
          <cell r="K8">
            <v>-9610.2999999999993</v>
          </cell>
        </row>
        <row r="9">
          <cell r="K9">
            <v>-15502.86</v>
          </cell>
        </row>
        <row r="10">
          <cell r="K10">
            <v>-42000</v>
          </cell>
        </row>
        <row r="11">
          <cell r="K11">
            <v>-151212.96</v>
          </cell>
        </row>
        <row r="12">
          <cell r="K12">
            <v>-12000</v>
          </cell>
        </row>
        <row r="13">
          <cell r="K13">
            <v>-18000</v>
          </cell>
        </row>
        <row r="14">
          <cell r="K14">
            <v>-4240</v>
          </cell>
        </row>
        <row r="15">
          <cell r="K15">
            <v>-31999.999999999996</v>
          </cell>
        </row>
        <row r="16">
          <cell r="K16">
            <v>-18000.000000000004</v>
          </cell>
        </row>
        <row r="17">
          <cell r="K17">
            <v>-40625</v>
          </cell>
        </row>
        <row r="18">
          <cell r="K18">
            <v>-74999.999999999985</v>
          </cell>
        </row>
        <row r="19">
          <cell r="K19">
            <v>-9999.9999999999982</v>
          </cell>
        </row>
        <row r="20">
          <cell r="K20">
            <v>-8000.0000000000018</v>
          </cell>
        </row>
        <row r="21">
          <cell r="K21">
            <v>-44104.800000000003</v>
          </cell>
        </row>
        <row r="22">
          <cell r="K22">
            <v>-4097.7599999999975</v>
          </cell>
        </row>
        <row r="23">
          <cell r="K23">
            <v>-25999.999999999993</v>
          </cell>
        </row>
        <row r="24">
          <cell r="K24">
            <v>-56333.000000000015</v>
          </cell>
        </row>
        <row r="25">
          <cell r="K25">
            <v>-6000</v>
          </cell>
        </row>
        <row r="26">
          <cell r="K26">
            <v>-106667</v>
          </cell>
        </row>
        <row r="27">
          <cell r="K27">
            <v>-48000</v>
          </cell>
        </row>
        <row r="28">
          <cell r="K28">
            <v>-10000</v>
          </cell>
        </row>
        <row r="29">
          <cell r="K29">
            <v>-69552.120000000024</v>
          </cell>
        </row>
        <row r="30">
          <cell r="K30">
            <v>-50408.921000000002</v>
          </cell>
        </row>
        <row r="31">
          <cell r="K31">
            <v>-150000</v>
          </cell>
        </row>
        <row r="36">
          <cell r="H36">
            <v>523.08899999999983</v>
          </cell>
        </row>
        <row r="184">
          <cell r="H184">
            <v>235682.91228571429</v>
          </cell>
          <cell r="K184">
            <v>-3396270.7477142862</v>
          </cell>
        </row>
        <row r="193">
          <cell r="K193">
            <v>0</v>
          </cell>
        </row>
        <row r="194">
          <cell r="K194">
            <v>0</v>
          </cell>
        </row>
        <row r="195">
          <cell r="K195">
            <v>-21252</v>
          </cell>
        </row>
        <row r="196">
          <cell r="K196">
            <v>-2491.6000000000004</v>
          </cell>
        </row>
        <row r="197">
          <cell r="K197">
            <v>-1931.04</v>
          </cell>
        </row>
        <row r="198">
          <cell r="K198">
            <v>-5868</v>
          </cell>
        </row>
        <row r="199">
          <cell r="K199">
            <v>-9000.0000000000018</v>
          </cell>
        </row>
        <row r="200">
          <cell r="K200">
            <v>-4955.7544000000053</v>
          </cell>
        </row>
        <row r="201">
          <cell r="K201">
            <v>-3600</v>
          </cell>
        </row>
        <row r="202">
          <cell r="K202">
            <v>-6426</v>
          </cell>
        </row>
        <row r="203">
          <cell r="K203">
            <v>-5400</v>
          </cell>
        </row>
        <row r="204">
          <cell r="K204">
            <v>-35000.000000000007</v>
          </cell>
        </row>
        <row r="205">
          <cell r="K205">
            <v>-16200</v>
          </cell>
        </row>
        <row r="206">
          <cell r="K206">
            <v>-2204.7699999999995</v>
          </cell>
        </row>
        <row r="207">
          <cell r="K207">
            <v>0</v>
          </cell>
        </row>
        <row r="208">
          <cell r="K208">
            <v>-67014.48000000001</v>
          </cell>
        </row>
        <row r="212">
          <cell r="H212">
            <v>43847.495600000002</v>
          </cell>
        </row>
        <row r="220">
          <cell r="K220">
            <v>-734.61000000000058</v>
          </cell>
        </row>
        <row r="221">
          <cell r="K221">
            <v>-11780.6456</v>
          </cell>
        </row>
        <row r="222">
          <cell r="K222">
            <v>-4645</v>
          </cell>
        </row>
        <row r="223">
          <cell r="K223">
            <v>-6400</v>
          </cell>
        </row>
        <row r="224">
          <cell r="K224">
            <v>-20120.400000000001</v>
          </cell>
        </row>
        <row r="225">
          <cell r="K225">
            <v>-4515.0000000000155</v>
          </cell>
        </row>
        <row r="226">
          <cell r="K226">
            <v>-25932.959999999999</v>
          </cell>
        </row>
        <row r="227">
          <cell r="K227">
            <v>-1778.1000000000001</v>
          </cell>
        </row>
        <row r="228">
          <cell r="K228">
            <v>-41040</v>
          </cell>
        </row>
        <row r="229">
          <cell r="K229">
            <v>-10632.03</v>
          </cell>
        </row>
        <row r="230">
          <cell r="K230">
            <v>-13608</v>
          </cell>
        </row>
        <row r="231">
          <cell r="K231">
            <v>-3000</v>
          </cell>
        </row>
        <row r="232">
          <cell r="K232">
            <v>-11075.527599999999</v>
          </cell>
        </row>
        <row r="233">
          <cell r="K233">
            <v>-6196.5000000000027</v>
          </cell>
        </row>
        <row r="234">
          <cell r="K234">
            <v>1.3642420526593924E-12</v>
          </cell>
        </row>
        <row r="235">
          <cell r="K235">
            <v>-55542.159999999996</v>
          </cell>
        </row>
        <row r="236">
          <cell r="K236">
            <v>-30086.9</v>
          </cell>
        </row>
        <row r="237">
          <cell r="K237">
            <v>-63600.000000000087</v>
          </cell>
        </row>
        <row r="239">
          <cell r="K239">
            <v>-38848.799999999996</v>
          </cell>
        </row>
        <row r="240">
          <cell r="K240">
            <v>-7210</v>
          </cell>
        </row>
        <row r="241">
          <cell r="K241">
            <v>35396.9</v>
          </cell>
        </row>
        <row r="242">
          <cell r="K242">
            <v>-35396.899999999965</v>
          </cell>
        </row>
        <row r="243">
          <cell r="K243">
            <v>-42930.000000000029</v>
          </cell>
        </row>
        <row r="244">
          <cell r="K244">
            <v>-2709.0000000000005</v>
          </cell>
        </row>
        <row r="245">
          <cell r="K245">
            <v>-15014.666999999999</v>
          </cell>
        </row>
        <row r="246">
          <cell r="K246">
            <v>-56412.247499999961</v>
          </cell>
        </row>
        <row r="247">
          <cell r="K247">
            <v>-5999.6900000000023</v>
          </cell>
        </row>
        <row r="248">
          <cell r="K248">
            <v>-7225</v>
          </cell>
        </row>
        <row r="251">
          <cell r="K251">
            <v>-24100.000000000004</v>
          </cell>
        </row>
        <row r="252">
          <cell r="K252">
            <v>-12050</v>
          </cell>
        </row>
        <row r="253">
          <cell r="K253">
            <v>-9825.9999999999982</v>
          </cell>
        </row>
        <row r="255">
          <cell r="K255">
            <v>-5030.0999999999995</v>
          </cell>
        </row>
        <row r="256">
          <cell r="K256">
            <v>-4899</v>
          </cell>
        </row>
        <row r="257">
          <cell r="K257">
            <v>-86750.790000000095</v>
          </cell>
        </row>
        <row r="258">
          <cell r="K258">
            <v>-14490.000000000011</v>
          </cell>
        </row>
        <row r="259">
          <cell r="K259">
            <v>-48503.1</v>
          </cell>
        </row>
        <row r="260">
          <cell r="K260">
            <v>-59778</v>
          </cell>
        </row>
        <row r="261">
          <cell r="K261">
            <v>-5953.93</v>
          </cell>
        </row>
        <row r="262">
          <cell r="K262">
            <v>-10324.090000000002</v>
          </cell>
        </row>
        <row r="263">
          <cell r="H263">
            <v>2206.8576000000021</v>
          </cell>
          <cell r="K263">
            <v>-6315.3224</v>
          </cell>
        </row>
        <row r="264">
          <cell r="K264">
            <v>-8280</v>
          </cell>
        </row>
        <row r="265">
          <cell r="K265">
            <v>-25599.999999999993</v>
          </cell>
        </row>
      </sheetData>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99 - Ltd"/>
      <sheetName val="53599 - UK"/>
      <sheetName val="53599 - US"/>
    </sheetNames>
    <sheetDataSet>
      <sheetData sheetId="0">
        <row r="33">
          <cell r="E33">
            <v>24286.084337349399</v>
          </cell>
          <cell r="F33">
            <v>-678.40512048192784</v>
          </cell>
          <cell r="G33">
            <v>-678.40512048192784</v>
          </cell>
          <cell r="H33">
            <v>-678.40512048192784</v>
          </cell>
          <cell r="I33">
            <v>-678.40512048192784</v>
          </cell>
          <cell r="J33">
            <v>-678.40512048192784</v>
          </cell>
          <cell r="K33">
            <v>-678.40512048192784</v>
          </cell>
          <cell r="L33">
            <v>-678.40512048192784</v>
          </cell>
          <cell r="M33">
            <v>-678.40512048192784</v>
          </cell>
          <cell r="N33">
            <v>-678.40512048192784</v>
          </cell>
          <cell r="O33">
            <v>-678.40512048192784</v>
          </cell>
        </row>
        <row r="34">
          <cell r="H34">
            <v>19444.8723404255</v>
          </cell>
          <cell r="I34">
            <v>-782.99645390070918</v>
          </cell>
          <cell r="J34">
            <v>-782.99645390070918</v>
          </cell>
          <cell r="K34">
            <v>-782.99645390070918</v>
          </cell>
          <cell r="L34">
            <v>-782.99645390070918</v>
          </cell>
          <cell r="M34">
            <v>-782.99645390070918</v>
          </cell>
          <cell r="N34">
            <v>-782.99645390070918</v>
          </cell>
          <cell r="O34">
            <v>-782.99645390070918</v>
          </cell>
        </row>
        <row r="46">
          <cell r="C46">
            <v>130894.41172028442</v>
          </cell>
          <cell r="D46">
            <v>4333.003619477131</v>
          </cell>
          <cell r="E46">
            <v>12394.707956826529</v>
          </cell>
          <cell r="F46">
            <v>1429.3058323285386</v>
          </cell>
          <cell r="G46">
            <v>1673.185832328536</v>
          </cell>
          <cell r="H46">
            <v>81942.15172760842</v>
          </cell>
          <cell r="I46">
            <v>-794.05382321383092</v>
          </cell>
          <cell r="J46">
            <v>1302.6906822806745</v>
          </cell>
          <cell r="K46">
            <v>1364.737261228091</v>
          </cell>
          <cell r="L46">
            <v>8851.6911208771689</v>
          </cell>
          <cell r="M46">
            <v>8851.6911208771689</v>
          </cell>
          <cell r="N46">
            <v>8851.6911208771689</v>
          </cell>
          <cell r="O46">
            <v>12681.481120877172</v>
          </cell>
        </row>
      </sheetData>
      <sheetData sheetId="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2021"/>
      <sheetName val="ST"/>
      <sheetName val="LT"/>
    </sheetNames>
    <sheetDataSet>
      <sheetData sheetId="0">
        <row r="14040">
          <cell r="A14040">
            <v>3366606.4727630815</v>
          </cell>
          <cell r="E14040">
            <v>7604526.2155588884</v>
          </cell>
        </row>
        <row r="14047">
          <cell r="B14047">
            <v>8054750.8174395869</v>
          </cell>
        </row>
        <row r="14049">
          <cell r="A14049">
            <v>4131087.1394857708</v>
          </cell>
        </row>
        <row r="14051">
          <cell r="A14051">
            <v>0.33900722741336176</v>
          </cell>
        </row>
        <row r="14056">
          <cell r="A14056">
            <v>9061564.1753046121</v>
          </cell>
          <cell r="B14056">
            <v>17139053.38819325</v>
          </cell>
        </row>
        <row r="14061">
          <cell r="B14061">
            <v>2663255.2703590328</v>
          </cell>
        </row>
        <row r="14063">
          <cell r="A14063">
            <v>2015822.657245521</v>
          </cell>
        </row>
        <row r="14065">
          <cell r="A14065">
            <v>0.43081621815978555</v>
          </cell>
        </row>
        <row r="14070">
          <cell r="A14070">
            <v>654493.46092509758</v>
          </cell>
          <cell r="B14070">
            <v>1033965.9426375562</v>
          </cell>
        </row>
        <row r="14072">
          <cell r="A14072">
            <v>0.387627596816432</v>
          </cell>
        </row>
      </sheetData>
      <sheetData sheetId="1">
        <row r="1">
          <cell r="L1" t="str">
            <v>סכום ב-USD</v>
          </cell>
        </row>
      </sheetData>
      <sheetData sheetId="2">
        <row r="1">
          <cell r="L1" t="str">
            <v>סכום ב-USD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States"/>
      <sheetName val="ניכוי מס זר"/>
      <sheetName val="חוז אוסטרלי"/>
    </sheetNames>
    <sheetDataSet>
      <sheetData sheetId="0">
        <row r="8">
          <cell r="C8">
            <v>169704.11114722717</v>
          </cell>
          <cell r="D8">
            <v>54567.238311005523</v>
          </cell>
        </row>
        <row r="11">
          <cell r="C11">
            <v>75517.354756603832</v>
          </cell>
          <cell r="D11">
            <v>24282.107638779369</v>
          </cell>
        </row>
        <row r="14">
          <cell r="D14">
            <v>12844.785416020302</v>
          </cell>
        </row>
        <row r="20">
          <cell r="C20">
            <v>44361.487209253115</v>
          </cell>
          <cell r="D20">
            <v>14264.143797187497</v>
          </cell>
        </row>
      </sheetData>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ow r="37">
          <cell r="J37">
            <v>-19946064.9359091</v>
          </cell>
          <cell r="K37">
            <v>-6214879.3020567652</v>
          </cell>
        </row>
      </sheetData>
      <sheetData sheetId="1"/>
      <sheetData sheetId="2"/>
      <sheetData sheetId="3"/>
      <sheetData sheetId="4"/>
      <sheetData sheetId="5"/>
      <sheetData sheetId="6"/>
      <sheetData sheetId="7"/>
      <sheetData sheetId="8"/>
      <sheetData sheetId="9"/>
      <sheetData sheetId="10"/>
      <sheetData sheetId="11"/>
      <sheetData sheetId="12">
        <row r="77">
          <cell r="D77">
            <v>1739360.4299999843</v>
          </cell>
        </row>
      </sheetData>
      <sheetData sheetId="13"/>
      <sheetData sheetId="14"/>
      <sheetData sheetId="15"/>
      <sheetData sheetId="16"/>
      <sheetData sheetId="17"/>
      <sheetData sheetId="18"/>
      <sheetData sheetId="19"/>
      <sheetData sheetId="20">
        <row r="310">
          <cell r="J310">
            <v>-67031</v>
          </cell>
        </row>
      </sheetData>
      <sheetData sheetId="21"/>
      <sheetData sheetId="22"/>
      <sheetData sheetId="23"/>
      <sheetData sheetId="24"/>
      <sheetData sheetId="25"/>
      <sheetData sheetId="26">
        <row r="138">
          <cell r="J138">
            <v>-5538</v>
          </cell>
          <cell r="K138">
            <v>-3987</v>
          </cell>
        </row>
      </sheetData>
      <sheetData sheetId="27"/>
      <sheetData sheetId="28"/>
      <sheetData sheetId="29"/>
      <sheetData sheetId="30"/>
      <sheetData sheetId="31">
        <row r="194">
          <cell r="J194">
            <v>473205.64</v>
          </cell>
        </row>
        <row r="394">
          <cell r="J394">
            <v>179606.26</v>
          </cell>
        </row>
      </sheetData>
      <sheetData sheetId="32"/>
      <sheetData sheetId="33"/>
      <sheetData sheetId="34"/>
      <sheetData sheetId="35"/>
      <sheetData sheetId="36"/>
      <sheetData sheetId="37">
        <row r="1">
          <cell r="C1"/>
        </row>
        <row r="294">
          <cell r="E294">
            <v>454390.76999999996</v>
          </cell>
          <cell r="F294">
            <v>0</v>
          </cell>
          <cell r="J294">
            <v>454390.76999999996</v>
          </cell>
          <cell r="K294">
            <v>528889.94999999995</v>
          </cell>
          <cell r="M294">
            <v>528889.94999999995</v>
          </cell>
        </row>
        <row r="297">
          <cell r="J297">
            <v>-574167.67000000016</v>
          </cell>
          <cell r="K297">
            <v>-684859.86</v>
          </cell>
        </row>
        <row r="298">
          <cell r="J298">
            <v>330739.97000000003</v>
          </cell>
          <cell r="K298">
            <v>398067.96</v>
          </cell>
        </row>
        <row r="299">
          <cell r="J299">
            <v>9817.2000000000007</v>
          </cell>
          <cell r="K299">
            <v>11713.9</v>
          </cell>
        </row>
        <row r="300">
          <cell r="J300">
            <v>678243.27</v>
          </cell>
          <cell r="K300">
            <v>815915.59</v>
          </cell>
        </row>
        <row r="301">
          <cell r="J301">
            <v>0</v>
          </cell>
          <cell r="K301">
            <v>0</v>
          </cell>
        </row>
        <row r="302">
          <cell r="J302">
            <v>1652.91</v>
          </cell>
          <cell r="K302">
            <v>1987.45</v>
          </cell>
        </row>
        <row r="303">
          <cell r="J303">
            <v>8318.66</v>
          </cell>
          <cell r="K303">
            <v>9944.6299999999992</v>
          </cell>
        </row>
        <row r="304">
          <cell r="J304">
            <v>-213.57</v>
          </cell>
          <cell r="K304">
            <v>-23879.72</v>
          </cell>
        </row>
      </sheetData>
      <sheetData sheetId="38"/>
      <sheetData sheetId="39"/>
      <sheetData sheetId="40">
        <row r="67">
          <cell r="D67">
            <v>-454390.7699999999</v>
          </cell>
        </row>
      </sheetData>
      <sheetData sheetId="41">
        <row r="62">
          <cell r="K62">
            <v>26042.1</v>
          </cell>
        </row>
      </sheetData>
      <sheetData sheetId="42"/>
      <sheetData sheetId="43">
        <row r="52">
          <cell r="C52">
            <v>80162252.120000005</v>
          </cell>
        </row>
      </sheetData>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rev rec "/>
      <sheetName val="Q2 מיסים שוטפים 2019"/>
      <sheetName val="העמסת הנה&quot;כ (INC)"/>
      <sheetName val="Balances Sheet (Printing)"/>
      <sheetName val="העמסת הנה&quot;כ (UK)"/>
      <sheetName val="העמסת הנה&quot;כ"/>
      <sheetName val="יתרות בינחברתיות"/>
      <sheetName val="Revenues"/>
      <sheetName val="606-Prepaid Comm&amp;DR SUB"/>
      <sheetName val="Consolidation"/>
      <sheetName val="ביאורים לדוחות הכספיים"/>
      <sheetName val="WP"/>
      <sheetName val="FA"/>
      <sheetName val="תזרים Algosec LTD בש&quot;ח"/>
      <sheetName val="תזרים מאוחד ב-$"/>
      <sheetName val="NEW TP EU"/>
      <sheetName val="מאזן בוחן EUROPE"/>
      <sheetName val="פ.נ. EUROPE"/>
      <sheetName val="rev rec eu"/>
      <sheetName val="FS EU (old)"/>
      <sheetName val="FS EU"/>
      <sheetName val=" analytics eu"/>
      <sheetName val="מאזן בוחן Australia"/>
      <sheetName val="NEW TP AUD"/>
      <sheetName val="Rev Rec AU"/>
      <sheetName val="פ.נ. Australia"/>
      <sheetName val="FS AU"/>
      <sheetName val="Post-Closing Withdrawl Updated"/>
      <sheetName val="Post-Closing Withdrawl"/>
      <sheetName val="New TB INC"/>
      <sheetName val="NEW TP INC"/>
      <sheetName val="AJE 12 - INC"/>
      <sheetName val="rev rec"/>
      <sheetName val="Analytics"/>
      <sheetName val="Tax - Inc"/>
      <sheetName val="נתונים לשינוי"/>
    </sheetNames>
    <sheetDataSet>
      <sheetData sheetId="0" refreshError="1"/>
      <sheetData sheetId="1" refreshError="1"/>
      <sheetData sheetId="2">
        <row r="447">
          <cell r="AS447">
            <v>0</v>
          </cell>
        </row>
        <row r="448">
          <cell r="AS448">
            <v>-72322.5</v>
          </cell>
        </row>
        <row r="449">
          <cell r="AS449">
            <v>0</v>
          </cell>
        </row>
        <row r="450">
          <cell r="AS450">
            <v>0</v>
          </cell>
        </row>
        <row r="451">
          <cell r="AS451">
            <v>0</v>
          </cell>
        </row>
        <row r="452">
          <cell r="AS452">
            <v>-16160.519999999982</v>
          </cell>
        </row>
        <row r="453">
          <cell r="AS453">
            <v>-240202.68999999986</v>
          </cell>
        </row>
        <row r="454">
          <cell r="AS454">
            <v>-811.17999999999802</v>
          </cell>
        </row>
        <row r="455">
          <cell r="AS455">
            <v>-236914.30999999994</v>
          </cell>
        </row>
        <row r="456">
          <cell r="AS456">
            <v>0</v>
          </cell>
        </row>
        <row r="457">
          <cell r="AS457">
            <v>-52063.879999999976</v>
          </cell>
        </row>
        <row r="458">
          <cell r="AS458">
            <v>-816.57999999999993</v>
          </cell>
        </row>
        <row r="459">
          <cell r="AS459">
            <v>-6466.4700000000039</v>
          </cell>
        </row>
        <row r="460">
          <cell r="AS460">
            <v>0</v>
          </cell>
        </row>
        <row r="464">
          <cell r="AS464">
            <v>-1800</v>
          </cell>
        </row>
        <row r="465">
          <cell r="AS465">
            <v>0</v>
          </cell>
        </row>
        <row r="466">
          <cell r="AS466">
            <v>-7726.4900000000089</v>
          </cell>
        </row>
        <row r="467">
          <cell r="AS467">
            <v>0</v>
          </cell>
        </row>
        <row r="468">
          <cell r="AS468">
            <v>0</v>
          </cell>
        </row>
        <row r="481">
          <cell r="AR481">
            <v>952328.62000000058</v>
          </cell>
        </row>
        <row r="482">
          <cell r="AR482">
            <v>0</v>
          </cell>
        </row>
        <row r="483">
          <cell r="AR483">
            <v>18074</v>
          </cell>
        </row>
        <row r="484">
          <cell r="AR484">
            <v>4811.8600000000006</v>
          </cell>
        </row>
        <row r="485">
          <cell r="AR485">
            <v>55884.170000000027</v>
          </cell>
        </row>
        <row r="486">
          <cell r="AR486">
            <v>0</v>
          </cell>
        </row>
        <row r="487">
          <cell r="AR487">
            <v>19666</v>
          </cell>
        </row>
        <row r="488">
          <cell r="AR488">
            <v>252417.33000000007</v>
          </cell>
        </row>
        <row r="490">
          <cell r="AR490">
            <v>103756.7281248144</v>
          </cell>
        </row>
        <row r="491">
          <cell r="AR491">
            <v>112055.41257934217</v>
          </cell>
        </row>
        <row r="494">
          <cell r="AR494">
            <v>145858.0500000001</v>
          </cell>
        </row>
        <row r="495">
          <cell r="AR495">
            <v>0</v>
          </cell>
        </row>
        <row r="496">
          <cell r="AR496">
            <v>9278.0000000000036</v>
          </cell>
        </row>
        <row r="497">
          <cell r="AR497">
            <v>18825.317326690696</v>
          </cell>
        </row>
        <row r="498">
          <cell r="AR498">
            <v>7965.0000000000018</v>
          </cell>
        </row>
        <row r="499">
          <cell r="AR499">
            <v>27219</v>
          </cell>
        </row>
        <row r="501">
          <cell r="AR501">
            <v>0</v>
          </cell>
        </row>
        <row r="502">
          <cell r="AR502">
            <v>1728139.4880308483</v>
          </cell>
        </row>
        <row r="503">
          <cell r="AR503">
            <v>0</v>
          </cell>
        </row>
        <row r="504">
          <cell r="AR504">
            <v>0</v>
          </cell>
        </row>
        <row r="505">
          <cell r="AR505">
            <v>0</v>
          </cell>
        </row>
        <row r="506">
          <cell r="AR506">
            <v>0</v>
          </cell>
        </row>
        <row r="507">
          <cell r="AR507">
            <v>0</v>
          </cell>
        </row>
        <row r="508">
          <cell r="AR508">
            <v>0</v>
          </cell>
        </row>
        <row r="509">
          <cell r="AR509">
            <v>0</v>
          </cell>
        </row>
        <row r="510">
          <cell r="AR510">
            <v>19961.990000000013</v>
          </cell>
        </row>
        <row r="512">
          <cell r="AR512">
            <v>312.5</v>
          </cell>
        </row>
        <row r="513">
          <cell r="AR513">
            <v>72490.430000000022</v>
          </cell>
        </row>
        <row r="515">
          <cell r="AR515">
            <v>0</v>
          </cell>
        </row>
        <row r="517">
          <cell r="AR517">
            <v>113.60000000000218</v>
          </cell>
        </row>
        <row r="520">
          <cell r="AR520">
            <v>0</v>
          </cell>
        </row>
        <row r="521">
          <cell r="AR521">
            <v>0</v>
          </cell>
        </row>
        <row r="522">
          <cell r="AR522">
            <v>0</v>
          </cell>
        </row>
        <row r="523">
          <cell r="AR523">
            <v>0</v>
          </cell>
        </row>
        <row r="524">
          <cell r="AR524">
            <v>0</v>
          </cell>
        </row>
        <row r="525">
          <cell r="AR525">
            <v>14302.530000000006</v>
          </cell>
        </row>
        <row r="526">
          <cell r="AR526">
            <v>0</v>
          </cell>
        </row>
        <row r="527">
          <cell r="AR527">
            <v>0</v>
          </cell>
        </row>
        <row r="528">
          <cell r="AR528">
            <v>1120</v>
          </cell>
        </row>
        <row r="529">
          <cell r="AR529">
            <v>0</v>
          </cell>
        </row>
        <row r="530">
          <cell r="AR530">
            <v>108301.05000000021</v>
          </cell>
        </row>
        <row r="531">
          <cell r="AR531">
            <v>0</v>
          </cell>
        </row>
        <row r="532">
          <cell r="AR532">
            <v>0</v>
          </cell>
        </row>
        <row r="533">
          <cell r="AR533">
            <v>0</v>
          </cell>
        </row>
        <row r="534">
          <cell r="AR534">
            <v>0</v>
          </cell>
        </row>
        <row r="535">
          <cell r="AR535">
            <v>0</v>
          </cell>
        </row>
        <row r="539">
          <cell r="AR539">
            <v>0</v>
          </cell>
        </row>
        <row r="540">
          <cell r="AR540">
            <v>0</v>
          </cell>
        </row>
        <row r="541">
          <cell r="AR541">
            <v>0</v>
          </cell>
        </row>
        <row r="542">
          <cell r="AR542">
            <v>0</v>
          </cell>
        </row>
        <row r="548">
          <cell r="AR548">
            <v>0</v>
          </cell>
        </row>
        <row r="549">
          <cell r="AR549">
            <v>244709.14636795712</v>
          </cell>
        </row>
        <row r="550">
          <cell r="AR550">
            <v>244709.14636795712</v>
          </cell>
        </row>
        <row r="551">
          <cell r="AR551">
            <v>0</v>
          </cell>
        </row>
        <row r="552">
          <cell r="AR552">
            <v>2081149.6843988039</v>
          </cell>
        </row>
        <row r="553">
          <cell r="AR553">
            <v>0</v>
          </cell>
        </row>
        <row r="555">
          <cell r="AR555">
            <v>55392.090000000026</v>
          </cell>
        </row>
        <row r="556">
          <cell r="AR556">
            <v>0</v>
          </cell>
        </row>
        <row r="557">
          <cell r="AR557">
            <v>2802.0000000000005</v>
          </cell>
        </row>
        <row r="560">
          <cell r="AR560">
            <v>5833.3300000000017</v>
          </cell>
        </row>
        <row r="561">
          <cell r="AR561">
            <v>89299.480000000054</v>
          </cell>
        </row>
        <row r="562">
          <cell r="AR562">
            <v>0</v>
          </cell>
        </row>
        <row r="563">
          <cell r="AR563">
            <v>3029.0000000000014</v>
          </cell>
        </row>
        <row r="564">
          <cell r="AR564">
            <v>0</v>
          </cell>
        </row>
        <row r="567">
          <cell r="AR567">
            <v>15450</v>
          </cell>
        </row>
        <row r="568">
          <cell r="AR568">
            <v>0</v>
          </cell>
        </row>
        <row r="569">
          <cell r="AR569">
            <v>40985.859999999986</v>
          </cell>
        </row>
        <row r="570">
          <cell r="AR570">
            <v>1355.9999999999995</v>
          </cell>
        </row>
        <row r="572">
          <cell r="AR572">
            <v>10781.374073971383</v>
          </cell>
        </row>
        <row r="574">
          <cell r="AR574">
            <v>0</v>
          </cell>
        </row>
        <row r="575">
          <cell r="AR575">
            <v>0</v>
          </cell>
        </row>
        <row r="576">
          <cell r="AR576">
            <v>353024.1340739716</v>
          </cell>
        </row>
        <row r="577">
          <cell r="AR577">
            <v>0</v>
          </cell>
        </row>
        <row r="578">
          <cell r="AR578">
            <v>0</v>
          </cell>
        </row>
        <row r="579">
          <cell r="AR579">
            <v>0</v>
          </cell>
        </row>
        <row r="580">
          <cell r="AR580">
            <v>0</v>
          </cell>
        </row>
        <row r="581">
          <cell r="AR581">
            <v>0</v>
          </cell>
        </row>
        <row r="582">
          <cell r="AR582">
            <v>0</v>
          </cell>
        </row>
        <row r="583">
          <cell r="AR583">
            <v>0</v>
          </cell>
        </row>
        <row r="585">
          <cell r="AR585">
            <v>469.87000000000012</v>
          </cell>
        </row>
        <row r="586">
          <cell r="AR586">
            <v>3499.4300000000012</v>
          </cell>
        </row>
        <row r="587">
          <cell r="AR587">
            <v>77</v>
          </cell>
        </row>
        <row r="588">
          <cell r="AR588">
            <v>0</v>
          </cell>
        </row>
        <row r="590">
          <cell r="AR590">
            <v>0</v>
          </cell>
        </row>
        <row r="591">
          <cell r="AR591">
            <v>0</v>
          </cell>
        </row>
        <row r="592">
          <cell r="AR592">
            <v>0</v>
          </cell>
        </row>
        <row r="593">
          <cell r="AR593">
            <v>0</v>
          </cell>
        </row>
        <row r="594">
          <cell r="AR594">
            <v>0</v>
          </cell>
        </row>
        <row r="596">
          <cell r="AR596">
            <v>0</v>
          </cell>
        </row>
        <row r="597">
          <cell r="AR597">
            <v>1900</v>
          </cell>
        </row>
        <row r="599">
          <cell r="AR599">
            <v>0</v>
          </cell>
        </row>
        <row r="600">
          <cell r="AR600">
            <v>0</v>
          </cell>
        </row>
        <row r="601">
          <cell r="AR601">
            <v>0</v>
          </cell>
        </row>
        <row r="602">
          <cell r="AR602">
            <v>0</v>
          </cell>
        </row>
        <row r="603">
          <cell r="AR603">
            <v>0</v>
          </cell>
        </row>
        <row r="604">
          <cell r="AR604">
            <v>0</v>
          </cell>
        </row>
        <row r="605">
          <cell r="AR605">
            <v>0</v>
          </cell>
        </row>
        <row r="606">
          <cell r="AR606">
            <v>0</v>
          </cell>
        </row>
        <row r="610">
          <cell r="AR610">
            <v>0</v>
          </cell>
        </row>
        <row r="611">
          <cell r="AR611">
            <v>0</v>
          </cell>
        </row>
        <row r="612">
          <cell r="AR612">
            <v>0</v>
          </cell>
        </row>
        <row r="613">
          <cell r="AR613">
            <v>0</v>
          </cell>
        </row>
        <row r="614">
          <cell r="AR614">
            <v>0</v>
          </cell>
        </row>
        <row r="615">
          <cell r="AR615">
            <v>0</v>
          </cell>
        </row>
        <row r="616">
          <cell r="AR616">
            <v>0</v>
          </cell>
        </row>
        <row r="617">
          <cell r="AR617">
            <v>3054.7200000000012</v>
          </cell>
        </row>
        <row r="618">
          <cell r="AR618">
            <v>3493.6200000000008</v>
          </cell>
        </row>
        <row r="619">
          <cell r="AR619">
            <v>0</v>
          </cell>
        </row>
        <row r="622">
          <cell r="AR622">
            <v>823.12000000000262</v>
          </cell>
        </row>
        <row r="623">
          <cell r="AR623">
            <v>249332.38</v>
          </cell>
        </row>
        <row r="625">
          <cell r="AR625">
            <v>72061</v>
          </cell>
        </row>
        <row r="626">
          <cell r="AR626">
            <v>0</v>
          </cell>
        </row>
        <row r="627">
          <cell r="AR627">
            <v>0</v>
          </cell>
        </row>
        <row r="628">
          <cell r="AR628">
            <v>0</v>
          </cell>
        </row>
        <row r="629">
          <cell r="AR629">
            <v>0</v>
          </cell>
        </row>
        <row r="630">
          <cell r="AR630">
            <v>334711.14000000013</v>
          </cell>
        </row>
        <row r="631">
          <cell r="AR631">
            <v>0</v>
          </cell>
        </row>
        <row r="632">
          <cell r="AR632">
            <v>0</v>
          </cell>
        </row>
        <row r="633">
          <cell r="AR633">
            <v>43281.910382558126</v>
          </cell>
        </row>
        <row r="634">
          <cell r="AR634">
            <v>731017.18445652991</v>
          </cell>
        </row>
        <row r="635">
          <cell r="AR635">
            <v>0</v>
          </cell>
        </row>
        <row r="636">
          <cell r="AR636">
            <v>0</v>
          </cell>
        </row>
        <row r="637">
          <cell r="AR637">
            <v>0</v>
          </cell>
        </row>
        <row r="639">
          <cell r="AR639">
            <v>59039.239999999976</v>
          </cell>
        </row>
        <row r="641">
          <cell r="AR641">
            <v>0</v>
          </cell>
        </row>
        <row r="642">
          <cell r="AR642">
            <v>9773.0000000000091</v>
          </cell>
        </row>
        <row r="643">
          <cell r="AR643">
            <v>0</v>
          </cell>
        </row>
        <row r="644">
          <cell r="AR644">
            <v>38377.125216387765</v>
          </cell>
        </row>
        <row r="646">
          <cell r="AR646">
            <v>0</v>
          </cell>
        </row>
        <row r="647">
          <cell r="AR647">
            <v>10938.26</v>
          </cell>
        </row>
        <row r="648">
          <cell r="AR648">
            <v>0</v>
          </cell>
        </row>
        <row r="649">
          <cell r="AR649">
            <v>0</v>
          </cell>
        </row>
        <row r="650">
          <cell r="AR650">
            <v>0</v>
          </cell>
        </row>
        <row r="651">
          <cell r="AR651">
            <v>68905.080000000045</v>
          </cell>
        </row>
        <row r="652">
          <cell r="AR652">
            <v>0</v>
          </cell>
        </row>
        <row r="655">
          <cell r="AR655">
            <v>58776.109999999957</v>
          </cell>
        </row>
        <row r="656">
          <cell r="AR656">
            <v>0</v>
          </cell>
        </row>
        <row r="657">
          <cell r="AR657">
            <v>2774.9999999999995</v>
          </cell>
        </row>
        <row r="659">
          <cell r="AR659">
            <v>14291.68999999999</v>
          </cell>
        </row>
        <row r="660">
          <cell r="AR660">
            <v>0</v>
          </cell>
        </row>
        <row r="662">
          <cell r="AR662">
            <v>86850</v>
          </cell>
        </row>
        <row r="663">
          <cell r="AR663">
            <v>57627.53</v>
          </cell>
        </row>
        <row r="664">
          <cell r="AR664">
            <v>0</v>
          </cell>
        </row>
        <row r="667">
          <cell r="AR667">
            <v>339642.48599387938</v>
          </cell>
        </row>
        <row r="668">
          <cell r="AR668">
            <v>0</v>
          </cell>
        </row>
        <row r="669">
          <cell r="AR669">
            <v>0</v>
          </cell>
        </row>
        <row r="670">
          <cell r="AR670">
            <v>748557.52121026721</v>
          </cell>
        </row>
        <row r="671">
          <cell r="AR671">
            <v>0</v>
          </cell>
        </row>
        <row r="672">
          <cell r="AR672">
            <v>62683.000000000029</v>
          </cell>
        </row>
        <row r="673">
          <cell r="AR673">
            <v>62683.000000000029</v>
          </cell>
        </row>
        <row r="674">
          <cell r="AR674">
            <v>0</v>
          </cell>
        </row>
        <row r="676">
          <cell r="AR676">
            <v>2523.6200000000003</v>
          </cell>
        </row>
        <row r="677">
          <cell r="AR677">
            <v>-2667</v>
          </cell>
        </row>
        <row r="678">
          <cell r="AR678">
            <v>0</v>
          </cell>
        </row>
        <row r="679">
          <cell r="AR679">
            <v>0</v>
          </cell>
        </row>
        <row r="680">
          <cell r="AR680">
            <v>-143.37999999999738</v>
          </cell>
        </row>
        <row r="681">
          <cell r="AR681">
            <v>0</v>
          </cell>
        </row>
        <row r="682">
          <cell r="AR682">
            <v>88371.890000000014</v>
          </cell>
        </row>
        <row r="683">
          <cell r="AR683">
            <v>9687.929999999993</v>
          </cell>
        </row>
        <row r="684">
          <cell r="AR684">
            <v>125.60000000000582</v>
          </cell>
        </row>
        <row r="685">
          <cell r="AR685">
            <v>4982.0500000000029</v>
          </cell>
        </row>
        <row r="686">
          <cell r="AR686">
            <v>285.54999999999973</v>
          </cell>
        </row>
        <row r="687">
          <cell r="AR687">
            <v>1902.9700000000012</v>
          </cell>
        </row>
        <row r="688">
          <cell r="AR688">
            <v>1439.5699999999997</v>
          </cell>
        </row>
        <row r="689">
          <cell r="AR689">
            <v>10858.029999999997</v>
          </cell>
        </row>
        <row r="690">
          <cell r="AR690">
            <v>626.55000000000018</v>
          </cell>
        </row>
        <row r="691">
          <cell r="AR691">
            <v>966.38000000000011</v>
          </cell>
        </row>
        <row r="692">
          <cell r="AR692">
            <v>3516.3099999999977</v>
          </cell>
        </row>
        <row r="693">
          <cell r="AR693">
            <v>37.460000000000036</v>
          </cell>
        </row>
        <row r="694">
          <cell r="AR694">
            <v>4062.08</v>
          </cell>
        </row>
        <row r="695">
          <cell r="AR695">
            <v>1679.25</v>
          </cell>
        </row>
        <row r="696">
          <cell r="AR696">
            <v>5054.5299999999988</v>
          </cell>
        </row>
        <row r="697">
          <cell r="AR697">
            <v>0</v>
          </cell>
        </row>
        <row r="698">
          <cell r="AR698">
            <v>869.63999999999942</v>
          </cell>
        </row>
        <row r="699">
          <cell r="AR699">
            <v>0</v>
          </cell>
        </row>
        <row r="700">
          <cell r="AR700">
            <v>0</v>
          </cell>
        </row>
        <row r="701">
          <cell r="AR701"/>
        </row>
        <row r="702">
          <cell r="AR702"/>
        </row>
        <row r="703">
          <cell r="AR703"/>
        </row>
        <row r="704">
          <cell r="AR704"/>
        </row>
        <row r="705">
          <cell r="AR705"/>
        </row>
        <row r="706">
          <cell r="AR706"/>
        </row>
        <row r="707">
          <cell r="AR707"/>
        </row>
        <row r="708">
          <cell r="AR708"/>
        </row>
        <row r="709">
          <cell r="AR709"/>
        </row>
        <row r="710">
          <cell r="AR710"/>
        </row>
        <row r="711">
          <cell r="AR711"/>
        </row>
        <row r="712">
          <cell r="AR712"/>
        </row>
        <row r="713">
          <cell r="AR713"/>
        </row>
        <row r="714">
          <cell r="AR714"/>
        </row>
        <row r="715">
          <cell r="AR715"/>
        </row>
        <row r="716">
          <cell r="AR716"/>
        </row>
        <row r="717">
          <cell r="AR717"/>
        </row>
        <row r="718">
          <cell r="AR718"/>
        </row>
        <row r="719">
          <cell r="AR719"/>
        </row>
        <row r="720">
          <cell r="AR720"/>
        </row>
        <row r="721">
          <cell r="AR721"/>
        </row>
        <row r="723">
          <cell r="AR723"/>
        </row>
        <row r="724">
          <cell r="AR724"/>
        </row>
        <row r="725">
          <cell r="AR725"/>
        </row>
        <row r="726">
          <cell r="AR726"/>
        </row>
        <row r="727">
          <cell r="AR727"/>
        </row>
        <row r="728">
          <cell r="AR728"/>
        </row>
        <row r="729">
          <cell r="AR729"/>
        </row>
        <row r="731">
          <cell r="AR731">
            <v>0</v>
          </cell>
        </row>
        <row r="732">
          <cell r="AR732">
            <v>0</v>
          </cell>
        </row>
        <row r="733">
          <cell r="AR733">
            <v>0</v>
          </cell>
        </row>
        <row r="734">
          <cell r="AR734">
            <v>0</v>
          </cell>
        </row>
        <row r="735">
          <cell r="AR735">
            <v>0</v>
          </cell>
        </row>
        <row r="736">
          <cell r="AR736">
            <v>349.89999999999964</v>
          </cell>
        </row>
        <row r="737">
          <cell r="AR737">
            <v>0</v>
          </cell>
        </row>
        <row r="738">
          <cell r="AR738">
            <v>0</v>
          </cell>
        </row>
        <row r="739">
          <cell r="AR739">
            <v>0</v>
          </cell>
        </row>
        <row r="740">
          <cell r="AR740">
            <v>0</v>
          </cell>
        </row>
        <row r="741">
          <cell r="AR741">
            <v>0</v>
          </cell>
        </row>
        <row r="742">
          <cell r="AR742">
            <v>119.94999999999982</v>
          </cell>
        </row>
        <row r="743">
          <cell r="AR743">
            <v>4594.2300000000005</v>
          </cell>
        </row>
        <row r="744">
          <cell r="AR744">
            <v>-3618.75</v>
          </cell>
        </row>
        <row r="745">
          <cell r="AR745">
            <v>0</v>
          </cell>
        </row>
        <row r="746">
          <cell r="AR746">
            <v>0</v>
          </cell>
        </row>
        <row r="747">
          <cell r="AR747">
            <v>0</v>
          </cell>
        </row>
        <row r="748">
          <cell r="AR748">
            <v>0</v>
          </cell>
        </row>
        <row r="749">
          <cell r="AR749">
            <v>0</v>
          </cell>
        </row>
        <row r="750">
          <cell r="AR750">
            <v>0</v>
          </cell>
        </row>
        <row r="751">
          <cell r="AR751">
            <v>0</v>
          </cell>
        </row>
        <row r="752">
          <cell r="AR752">
            <v>0</v>
          </cell>
        </row>
        <row r="753">
          <cell r="AR753">
            <v>0</v>
          </cell>
        </row>
        <row r="754">
          <cell r="AR754">
            <v>0</v>
          </cell>
        </row>
        <row r="757">
          <cell r="AR757">
            <v>589.60999999999956</v>
          </cell>
        </row>
        <row r="758">
          <cell r="AR758">
            <v>0</v>
          </cell>
        </row>
        <row r="759">
          <cell r="AR759">
            <v>24506.559999999987</v>
          </cell>
        </row>
        <row r="760">
          <cell r="AR760">
            <v>4191.66</v>
          </cell>
        </row>
        <row r="761">
          <cell r="AR761">
            <v>659.46</v>
          </cell>
        </row>
        <row r="762">
          <cell r="AR762">
            <v>0</v>
          </cell>
        </row>
        <row r="763">
          <cell r="AR763">
            <v>0</v>
          </cell>
        </row>
        <row r="764">
          <cell r="AR764">
            <v>0</v>
          </cell>
        </row>
        <row r="765">
          <cell r="AR765">
            <v>0</v>
          </cell>
        </row>
        <row r="766">
          <cell r="AR766">
            <v>165900.07000000085</v>
          </cell>
        </row>
        <row r="767">
          <cell r="AR767">
            <v>0</v>
          </cell>
        </row>
        <row r="768">
          <cell r="AR768">
            <v>0</v>
          </cell>
        </row>
        <row r="769">
          <cell r="AR769">
            <v>-362626.21147301001</v>
          </cell>
        </row>
        <row r="770">
          <cell r="AR770">
            <v>-362626.21147301001</v>
          </cell>
        </row>
        <row r="771">
          <cell r="AR771">
            <v>0</v>
          </cell>
        </row>
        <row r="772">
          <cell r="AR772">
            <v>0</v>
          </cell>
        </row>
        <row r="773">
          <cell r="AR773">
            <v>0</v>
          </cell>
        </row>
        <row r="774">
          <cell r="AR774">
            <v>0</v>
          </cell>
        </row>
        <row r="775">
          <cell r="AR775">
            <v>24104.71999999999</v>
          </cell>
        </row>
        <row r="776">
          <cell r="AR776">
            <v>0</v>
          </cell>
        </row>
        <row r="777">
          <cell r="AR777">
            <v>711.09000000000015</v>
          </cell>
        </row>
        <row r="778">
          <cell r="AR778">
            <v>0</v>
          </cell>
        </row>
        <row r="779">
          <cell r="AR779">
            <v>0</v>
          </cell>
        </row>
        <row r="780">
          <cell r="AR780">
            <v>24815.810000000012</v>
          </cell>
        </row>
        <row r="781">
          <cell r="AR781">
            <v>0</v>
          </cell>
        </row>
        <row r="782">
          <cell r="AR782">
            <v>0</v>
          </cell>
        </row>
        <row r="783">
          <cell r="AR783">
            <v>0</v>
          </cell>
        </row>
        <row r="784">
          <cell r="AR784">
            <v>0</v>
          </cell>
        </row>
        <row r="785">
          <cell r="AR785">
            <v>639186.80973725871</v>
          </cell>
        </row>
        <row r="786">
          <cell r="AR786">
            <v>0</v>
          </cell>
        </row>
        <row r="787">
          <cell r="AR787">
            <v>0</v>
          </cell>
        </row>
        <row r="788">
          <cell r="AR788">
            <v>0</v>
          </cell>
        </row>
        <row r="789">
          <cell r="AR789">
            <v>0</v>
          </cell>
        </row>
        <row r="790">
          <cell r="AR790">
            <v>126596.18000000005</v>
          </cell>
        </row>
        <row r="791">
          <cell r="AR791">
            <v>0</v>
          </cell>
        </row>
        <row r="792">
          <cell r="AR792">
            <v>17395</v>
          </cell>
        </row>
        <row r="793">
          <cell r="AR793">
            <v>0</v>
          </cell>
        </row>
        <row r="800">
          <cell r="AR800">
            <v>4751.3342612547349</v>
          </cell>
        </row>
        <row r="801">
          <cell r="AR801">
            <v>-11237</v>
          </cell>
        </row>
        <row r="802">
          <cell r="AR802">
            <v>0</v>
          </cell>
        </row>
        <row r="803">
          <cell r="AR803">
            <v>0</v>
          </cell>
        </row>
        <row r="804">
          <cell r="AR804">
            <v>0</v>
          </cell>
        </row>
        <row r="805">
          <cell r="AR805">
            <v>13536.640000000003</v>
          </cell>
        </row>
        <row r="806">
          <cell r="AR806">
            <v>4395.0000000000009</v>
          </cell>
        </row>
        <row r="807">
          <cell r="AR807">
            <v>113760</v>
          </cell>
        </row>
        <row r="808">
          <cell r="AR808">
            <v>0</v>
          </cell>
        </row>
        <row r="809">
          <cell r="AR809">
            <v>0</v>
          </cell>
        </row>
        <row r="810">
          <cell r="AR810">
            <v>25122.780000000006</v>
          </cell>
        </row>
        <row r="811">
          <cell r="AR811">
            <v>0</v>
          </cell>
        </row>
        <row r="812">
          <cell r="AR812">
            <v>0</v>
          </cell>
        </row>
        <row r="813">
          <cell r="AR813">
            <v>193.68999999999983</v>
          </cell>
        </row>
        <row r="818">
          <cell r="AR818">
            <v>0</v>
          </cell>
        </row>
        <row r="823">
          <cell r="AR823">
            <v>12033</v>
          </cell>
        </row>
        <row r="824">
          <cell r="AR824">
            <v>584</v>
          </cell>
        </row>
        <row r="825">
          <cell r="AR825">
            <v>0</v>
          </cell>
        </row>
        <row r="826">
          <cell r="AR826">
            <v>9000</v>
          </cell>
        </row>
        <row r="827">
          <cell r="AR827">
            <v>1205</v>
          </cell>
        </row>
        <row r="828">
          <cell r="AR828">
            <v>7000</v>
          </cell>
        </row>
        <row r="829">
          <cell r="AR829">
            <v>881.25</v>
          </cell>
        </row>
        <row r="830">
          <cell r="AR830">
            <v>9833</v>
          </cell>
        </row>
        <row r="831">
          <cell r="AR831">
            <v>1123.8899999999994</v>
          </cell>
        </row>
        <row r="832">
          <cell r="AR832">
            <v>0</v>
          </cell>
        </row>
        <row r="833">
          <cell r="AR833">
            <v>0</v>
          </cell>
        </row>
        <row r="845">
          <cell r="AR845">
            <v>2710.9999999999995</v>
          </cell>
        </row>
        <row r="850">
          <cell r="AR850">
            <v>0</v>
          </cell>
        </row>
        <row r="851">
          <cell r="AR851">
            <v>45047</v>
          </cell>
        </row>
        <row r="852">
          <cell r="AR852">
            <v>15651</v>
          </cell>
        </row>
        <row r="853">
          <cell r="AR853">
            <v>-35575</v>
          </cell>
        </row>
        <row r="854">
          <cell r="AR854">
            <v>6473.3697375046177</v>
          </cell>
        </row>
        <row r="855">
          <cell r="AR855">
            <v>4224.95</v>
          </cell>
        </row>
        <row r="856">
          <cell r="AR856">
            <v>0</v>
          </cell>
        </row>
        <row r="857">
          <cell r="AR857">
            <v>430990.94399875915</v>
          </cell>
        </row>
        <row r="858">
          <cell r="AR858">
            <v>0</v>
          </cell>
        </row>
        <row r="859">
          <cell r="AR859">
            <v>0</v>
          </cell>
        </row>
        <row r="860">
          <cell r="AR860">
            <v>0</v>
          </cell>
        </row>
        <row r="861">
          <cell r="AR861">
            <v>0</v>
          </cell>
        </row>
        <row r="862">
          <cell r="AR862">
            <v>0</v>
          </cell>
        </row>
        <row r="863">
          <cell r="AR863">
            <v>0</v>
          </cell>
        </row>
        <row r="864">
          <cell r="AR864">
            <v>0</v>
          </cell>
        </row>
        <row r="865">
          <cell r="AR865">
            <v>0</v>
          </cell>
        </row>
        <row r="866">
          <cell r="AR866">
            <v>0</v>
          </cell>
        </row>
        <row r="867">
          <cell r="AR867">
            <v>0</v>
          </cell>
        </row>
        <row r="868">
          <cell r="AR868">
            <v>0</v>
          </cell>
        </row>
        <row r="869">
          <cell r="AR869">
            <v>0</v>
          </cell>
        </row>
        <row r="870">
          <cell r="AR870">
            <v>0</v>
          </cell>
        </row>
        <row r="871">
          <cell r="AR871">
            <v>0</v>
          </cell>
        </row>
        <row r="872">
          <cell r="AR872">
            <v>0</v>
          </cell>
        </row>
        <row r="873">
          <cell r="AR873">
            <v>20875.329999999994</v>
          </cell>
        </row>
        <row r="874">
          <cell r="AR874">
            <v>8794.6000000000058</v>
          </cell>
        </row>
        <row r="875">
          <cell r="AR875">
            <v>9195.8500000000095</v>
          </cell>
        </row>
        <row r="876">
          <cell r="AR876">
            <v>3970.1299999999974</v>
          </cell>
        </row>
        <row r="881">
          <cell r="AR881">
            <v>8501.9300000000076</v>
          </cell>
        </row>
        <row r="882">
          <cell r="AR882">
            <v>0</v>
          </cell>
        </row>
        <row r="884">
          <cell r="AR884">
            <v>0</v>
          </cell>
        </row>
        <row r="885">
          <cell r="AR885">
            <v>1679.5500000000011</v>
          </cell>
        </row>
        <row r="886">
          <cell r="AR886">
            <v>500</v>
          </cell>
        </row>
        <row r="887">
          <cell r="AR887">
            <v>0</v>
          </cell>
        </row>
        <row r="888">
          <cell r="AR888">
            <v>0</v>
          </cell>
        </row>
        <row r="889">
          <cell r="AR889">
            <v>0</v>
          </cell>
        </row>
        <row r="890">
          <cell r="AR890">
            <v>0</v>
          </cell>
        </row>
        <row r="891">
          <cell r="AR891">
            <v>0</v>
          </cell>
        </row>
        <row r="892">
          <cell r="AR892">
            <v>0</v>
          </cell>
        </row>
        <row r="893">
          <cell r="AR893">
            <v>0</v>
          </cell>
        </row>
        <row r="894">
          <cell r="AR894">
            <v>0</v>
          </cell>
        </row>
        <row r="895">
          <cell r="AR895">
            <v>0</v>
          </cell>
        </row>
        <row r="896">
          <cell r="AR896">
            <v>0</v>
          </cell>
        </row>
        <row r="901">
          <cell r="AR901">
            <v>0</v>
          </cell>
        </row>
        <row r="902">
          <cell r="AR902">
            <v>0</v>
          </cell>
        </row>
        <row r="905">
          <cell r="AR905">
            <v>109.93999999999505</v>
          </cell>
        </row>
        <row r="906">
          <cell r="AR906">
            <v>655.34000000000015</v>
          </cell>
        </row>
        <row r="907">
          <cell r="AR907">
            <v>16865.649999999987</v>
          </cell>
        </row>
        <row r="908">
          <cell r="AR908">
            <v>2565</v>
          </cell>
        </row>
        <row r="913">
          <cell r="AR913">
            <v>378.27999999999969</v>
          </cell>
        </row>
        <row r="914">
          <cell r="AR914">
            <v>120</v>
          </cell>
        </row>
        <row r="915">
          <cell r="AR915">
            <v>113</v>
          </cell>
        </row>
        <row r="917">
          <cell r="AR917">
            <v>71</v>
          </cell>
        </row>
        <row r="918">
          <cell r="AR918">
            <v>0</v>
          </cell>
        </row>
        <row r="920">
          <cell r="AR920">
            <v>0</v>
          </cell>
        </row>
        <row r="921">
          <cell r="AR921">
            <v>0</v>
          </cell>
        </row>
        <row r="923">
          <cell r="AR923">
            <v>0</v>
          </cell>
        </row>
        <row r="924">
          <cell r="AR924">
            <v>0</v>
          </cell>
        </row>
        <row r="925">
          <cell r="AR925">
            <v>0</v>
          </cell>
        </row>
        <row r="926">
          <cell r="AR926">
            <v>0</v>
          </cell>
        </row>
        <row r="954">
          <cell r="AR954"/>
        </row>
        <row r="955">
          <cell r="AR955"/>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92">
          <cell r="AT392">
            <v>-69767.88</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Q2 מיסים שוטפים 2019"/>
      <sheetName val="העמסת הנה&quot;כ"/>
      <sheetName val="Balances Sheet (Printing)"/>
      <sheetName val="Consolidation"/>
      <sheetName val="יתרות בינחברתיות"/>
      <sheetName val="Revenues"/>
      <sheetName val="ביאורים לדוחות הכספיים"/>
      <sheetName val="Accrued expenses"/>
      <sheetName val="FA"/>
      <sheetName val="Prepaid expenses"/>
      <sheetName val="606-Prepaid Comm&amp;DR SUB"/>
      <sheetName val="תזרים Algosec LTD בש&quot;ח"/>
      <sheetName val="תזרים מאוחד ב-$"/>
      <sheetName val="מאזן בוחן EUROPE"/>
      <sheetName val="פ.נ. EUROPE"/>
      <sheetName val="העמסת הנה&quot;כ (UK)"/>
      <sheetName val="NEW TP EU"/>
      <sheetName val="FS EU (old)"/>
      <sheetName val="FS EU"/>
      <sheetName val=" analytics eu"/>
      <sheetName val="מאזן בוחן Australia"/>
      <sheetName val="NEW TP AUD"/>
      <sheetName val="FS AU"/>
      <sheetName val="פ.נ. Australia"/>
      <sheetName val="Tax proforma"/>
      <sheetName val="Post-Closing Withdrawl Updated"/>
      <sheetName val="Post-Closing Withdrawl"/>
      <sheetName val="New TB INC"/>
      <sheetName val="AJE 12 - INC"/>
      <sheetName val="Employee Stock Option Exercised"/>
      <sheetName val="NEW TP INC"/>
      <sheetName val="העמסת הנה&quot;כ (INC)"/>
      <sheetName val="Analytics"/>
      <sheetName val="Tax - Inc"/>
      <sheetName val="מאזן בוחן צרפת"/>
      <sheetName val="פ.נ. צרפת"/>
      <sheetName val="FS France"/>
      <sheetName val="מאזן בוחן הודו"/>
      <sheetName val="פ.נ. הודו"/>
      <sheetName val="FS India"/>
      <sheetName val="נתונים לשינוי"/>
    </sheetNames>
    <sheetDataSet>
      <sheetData sheetId="0"/>
      <sheetData sheetId="1"/>
      <sheetData sheetId="2">
        <row r="377">
          <cell r="AT377">
            <v>-124.56000000000006</v>
          </cell>
        </row>
        <row r="378">
          <cell r="AT378">
            <v>-38181.220000000088</v>
          </cell>
        </row>
        <row r="379">
          <cell r="AT379"/>
        </row>
        <row r="380">
          <cell r="AT380">
            <v>0</v>
          </cell>
        </row>
        <row r="381">
          <cell r="AT381">
            <v>0</v>
          </cell>
        </row>
        <row r="382">
          <cell r="AT382">
            <v>0</v>
          </cell>
        </row>
        <row r="383">
          <cell r="AT383">
            <v>-16131.080000000016</v>
          </cell>
        </row>
        <row r="384">
          <cell r="AT384">
            <v>-236998.59000000005</v>
          </cell>
        </row>
        <row r="385">
          <cell r="AT385"/>
        </row>
        <row r="386">
          <cell r="AT386">
            <v>-811.18000000000029</v>
          </cell>
        </row>
        <row r="387">
          <cell r="AT387">
            <v>-134178.21000000008</v>
          </cell>
        </row>
        <row r="388">
          <cell r="AT388">
            <v>0</v>
          </cell>
        </row>
        <row r="389">
          <cell r="AT389">
            <v>-55232.450000000012</v>
          </cell>
        </row>
        <row r="390">
          <cell r="AT390">
            <v>-968.08999999999992</v>
          </cell>
        </row>
        <row r="391">
          <cell r="AT391"/>
        </row>
        <row r="392">
          <cell r="AT392">
            <v>-6337.699999999998</v>
          </cell>
        </row>
        <row r="393">
          <cell r="AT393">
            <v>0</v>
          </cell>
        </row>
        <row r="394">
          <cell r="AT394"/>
        </row>
        <row r="395">
          <cell r="AT395">
            <v>-14514.55</v>
          </cell>
        </row>
        <row r="396">
          <cell r="AT396">
            <v>0</v>
          </cell>
        </row>
        <row r="397">
          <cell r="AT397"/>
        </row>
        <row r="398">
          <cell r="AT398">
            <v>-37927</v>
          </cell>
        </row>
        <row r="399">
          <cell r="AT399">
            <v>-429.59</v>
          </cell>
        </row>
        <row r="400">
          <cell r="AT400"/>
        </row>
        <row r="401">
          <cell r="AT401">
            <v>124.56000000000006</v>
          </cell>
        </row>
        <row r="414">
          <cell r="AS414">
            <v>984180.4599999995</v>
          </cell>
        </row>
        <row r="415">
          <cell r="AS415">
            <v>14819.84</v>
          </cell>
        </row>
        <row r="416">
          <cell r="AS416">
            <v>18074</v>
          </cell>
        </row>
        <row r="417">
          <cell r="AS417">
            <v>7310.7100000000064</v>
          </cell>
        </row>
        <row r="418">
          <cell r="AS418">
            <v>55575.409999999989</v>
          </cell>
        </row>
        <row r="419">
          <cell r="AS419">
            <v>0</v>
          </cell>
        </row>
        <row r="420">
          <cell r="AS420">
            <v>0</v>
          </cell>
        </row>
        <row r="421">
          <cell r="AS421">
            <v>246467.59999999992</v>
          </cell>
        </row>
        <row r="423">
          <cell r="AS423">
            <v>0.27187518560094759</v>
          </cell>
        </row>
        <row r="424">
          <cell r="AS424">
            <v>-0.41257934216991998</v>
          </cell>
        </row>
        <row r="425">
          <cell r="AS425"/>
        </row>
        <row r="426">
          <cell r="AS426">
            <v>151936.32999999984</v>
          </cell>
        </row>
        <row r="427">
          <cell r="AS427">
            <v>0</v>
          </cell>
        </row>
        <row r="428">
          <cell r="AS428">
            <v>9278</v>
          </cell>
        </row>
        <row r="429">
          <cell r="AS429">
            <v>-0.31732669069606345</v>
          </cell>
        </row>
        <row r="430">
          <cell r="AS430">
            <v>0</v>
          </cell>
        </row>
        <row r="431">
          <cell r="AS431">
            <v>0</v>
          </cell>
        </row>
        <row r="432">
          <cell r="AS432">
            <v>0</v>
          </cell>
        </row>
        <row r="433">
          <cell r="AS433">
            <v>1487641.8919691516</v>
          </cell>
        </row>
        <row r="434">
          <cell r="AS434">
            <v>0</v>
          </cell>
        </row>
        <row r="435">
          <cell r="AS435">
            <v>0</v>
          </cell>
        </row>
        <row r="436">
          <cell r="AS436">
            <v>0</v>
          </cell>
        </row>
        <row r="437">
          <cell r="AS437">
            <v>0</v>
          </cell>
        </row>
        <row r="438">
          <cell r="AS438">
            <v>0</v>
          </cell>
        </row>
        <row r="439">
          <cell r="AS439">
            <v>0</v>
          </cell>
        </row>
        <row r="440">
          <cell r="AS440">
            <v>0</v>
          </cell>
        </row>
        <row r="441">
          <cell r="AS441">
            <v>17591.949999999983</v>
          </cell>
        </row>
        <row r="443">
          <cell r="AS443">
            <v>312.5</v>
          </cell>
        </row>
        <row r="444">
          <cell r="AS444">
            <v>45457.419999999984</v>
          </cell>
        </row>
        <row r="445">
          <cell r="AS445">
            <v>0</v>
          </cell>
        </row>
        <row r="447">
          <cell r="AS447">
            <v>66.18999999999869</v>
          </cell>
        </row>
        <row r="449">
          <cell r="AS449">
            <v>0</v>
          </cell>
        </row>
        <row r="450">
          <cell r="AS450">
            <v>0</v>
          </cell>
        </row>
        <row r="451">
          <cell r="AS451">
            <v>0</v>
          </cell>
        </row>
        <row r="452">
          <cell r="AS452">
            <v>0</v>
          </cell>
        </row>
        <row r="453">
          <cell r="AS453">
            <v>0</v>
          </cell>
        </row>
        <row r="454">
          <cell r="AS454">
            <v>9524.9199999999983</v>
          </cell>
        </row>
        <row r="455">
          <cell r="AS455">
            <v>0</v>
          </cell>
        </row>
        <row r="456">
          <cell r="AS456">
            <v>0</v>
          </cell>
        </row>
        <row r="457">
          <cell r="AS457">
            <v>1351.5199999999991</v>
          </cell>
        </row>
        <row r="458">
          <cell r="AS458">
            <v>0</v>
          </cell>
        </row>
        <row r="459">
          <cell r="AS459">
            <v>74304.500000000073</v>
          </cell>
        </row>
        <row r="460">
          <cell r="AS460">
            <v>0</v>
          </cell>
        </row>
        <row r="461">
          <cell r="AS461">
            <v>0</v>
          </cell>
        </row>
        <row r="462">
          <cell r="AS462">
            <v>0</v>
          </cell>
        </row>
        <row r="463">
          <cell r="AS463">
            <v>0</v>
          </cell>
        </row>
        <row r="464">
          <cell r="AS464">
            <v>0</v>
          </cell>
        </row>
        <row r="465">
          <cell r="AS465">
            <v>0</v>
          </cell>
        </row>
        <row r="466">
          <cell r="AS466">
            <v>0</v>
          </cell>
        </row>
        <row r="467">
          <cell r="AS467">
            <v>0</v>
          </cell>
        </row>
        <row r="468">
          <cell r="AS468">
            <v>0</v>
          </cell>
        </row>
        <row r="469">
          <cell r="AS469">
            <v>0</v>
          </cell>
        </row>
        <row r="470">
          <cell r="AS470">
            <v>154550.11152737658</v>
          </cell>
        </row>
        <row r="471">
          <cell r="AS471">
            <v>154550.11152737658</v>
          </cell>
        </row>
        <row r="472">
          <cell r="AS472">
            <v>0</v>
          </cell>
        </row>
        <row r="473">
          <cell r="AS473">
            <v>1716496.5034965295</v>
          </cell>
        </row>
        <row r="474">
          <cell r="AS474">
            <v>0</v>
          </cell>
        </row>
        <row r="475">
          <cell r="AS475"/>
        </row>
        <row r="476">
          <cell r="AS476">
            <v>56401.40999999996</v>
          </cell>
        </row>
        <row r="477">
          <cell r="AS477">
            <v>0</v>
          </cell>
        </row>
        <row r="478">
          <cell r="AS478">
            <v>2801.9999999999995</v>
          </cell>
        </row>
        <row r="481">
          <cell r="AS481">
            <v>6666.67</v>
          </cell>
        </row>
        <row r="482">
          <cell r="AS482">
            <v>90395.539999999906</v>
          </cell>
        </row>
        <row r="483">
          <cell r="AS483">
            <v>0</v>
          </cell>
        </row>
        <row r="484">
          <cell r="AS484">
            <v>3029.0000000000005</v>
          </cell>
        </row>
        <row r="485">
          <cell r="AS485">
            <v>0</v>
          </cell>
        </row>
        <row r="486">
          <cell r="AS486">
            <v>0</v>
          </cell>
        </row>
        <row r="487">
          <cell r="AS487">
            <v>0</v>
          </cell>
        </row>
        <row r="488">
          <cell r="AS488">
            <v>43722.119999999995</v>
          </cell>
        </row>
        <row r="489">
          <cell r="AS489">
            <v>1356</v>
          </cell>
        </row>
        <row r="490">
          <cell r="AS490">
            <v>-0.37407397138304077</v>
          </cell>
        </row>
        <row r="492">
          <cell r="AS492">
            <v>0</v>
          </cell>
        </row>
        <row r="493">
          <cell r="AS493">
            <v>547396.5</v>
          </cell>
        </row>
        <row r="494">
          <cell r="AS494">
            <v>-353024.1340739716</v>
          </cell>
        </row>
        <row r="495">
          <cell r="AS495">
            <v>0</v>
          </cell>
        </row>
        <row r="496">
          <cell r="AS496">
            <v>0</v>
          </cell>
        </row>
        <row r="497">
          <cell r="AS497">
            <v>0</v>
          </cell>
        </row>
        <row r="498">
          <cell r="AS498">
            <v>0</v>
          </cell>
        </row>
        <row r="499">
          <cell r="AS499">
            <v>0</v>
          </cell>
        </row>
        <row r="500">
          <cell r="AS500">
            <v>0</v>
          </cell>
        </row>
        <row r="501">
          <cell r="AS501">
            <v>0</v>
          </cell>
        </row>
        <row r="502">
          <cell r="AS502">
            <v>825.81999999999994</v>
          </cell>
        </row>
        <row r="503">
          <cell r="AS503">
            <v>4526.4099999999971</v>
          </cell>
        </row>
        <row r="504">
          <cell r="AS504">
            <v>84.000000000000028</v>
          </cell>
        </row>
        <row r="505">
          <cell r="AS505">
            <v>0</v>
          </cell>
        </row>
        <row r="507">
          <cell r="AS507">
            <v>0</v>
          </cell>
        </row>
        <row r="508">
          <cell r="AS508">
            <v>0</v>
          </cell>
        </row>
        <row r="509">
          <cell r="AS509">
            <v>0</v>
          </cell>
        </row>
        <row r="510">
          <cell r="AS510">
            <v>0</v>
          </cell>
        </row>
        <row r="511">
          <cell r="AS511">
            <v>0</v>
          </cell>
        </row>
        <row r="513">
          <cell r="AS513">
            <v>0</v>
          </cell>
        </row>
        <row r="514">
          <cell r="AS514">
            <v>1913.6599999999994</v>
          </cell>
        </row>
        <row r="516">
          <cell r="AS516">
            <v>10000</v>
          </cell>
        </row>
        <row r="517">
          <cell r="AS517">
            <v>0</v>
          </cell>
        </row>
        <row r="518">
          <cell r="AS518">
            <v>0</v>
          </cell>
        </row>
        <row r="519">
          <cell r="AS519">
            <v>0</v>
          </cell>
        </row>
        <row r="520">
          <cell r="AS520">
            <v>0</v>
          </cell>
        </row>
        <row r="521">
          <cell r="AS521">
            <v>0</v>
          </cell>
        </row>
        <row r="522">
          <cell r="AS522">
            <v>0</v>
          </cell>
        </row>
        <row r="523">
          <cell r="AS523">
            <v>0</v>
          </cell>
        </row>
        <row r="524">
          <cell r="AS524">
            <v>0</v>
          </cell>
        </row>
        <row r="525">
          <cell r="AS525">
            <v>0</v>
          </cell>
        </row>
        <row r="526">
          <cell r="AS526">
            <v>0</v>
          </cell>
        </row>
        <row r="527">
          <cell r="AS527">
            <v>0</v>
          </cell>
        </row>
        <row r="528">
          <cell r="AS528">
            <v>0</v>
          </cell>
        </row>
        <row r="529">
          <cell r="AS529">
            <v>0</v>
          </cell>
        </row>
        <row r="530">
          <cell r="AS530">
            <v>0</v>
          </cell>
        </row>
        <row r="531">
          <cell r="AS531">
            <v>3371.0299999999988</v>
          </cell>
        </row>
        <row r="532">
          <cell r="AS532">
            <v>3493.619999999999</v>
          </cell>
        </row>
        <row r="533">
          <cell r="AS533">
            <v>0</v>
          </cell>
        </row>
        <row r="536">
          <cell r="AS536">
            <v>533.31999999999971</v>
          </cell>
        </row>
        <row r="537">
          <cell r="AS537">
            <v>97900.62</v>
          </cell>
        </row>
        <row r="539">
          <cell r="AS539">
            <v>0</v>
          </cell>
        </row>
        <row r="540">
          <cell r="AS540">
            <v>0</v>
          </cell>
        </row>
        <row r="541">
          <cell r="AS541">
            <v>340914.53</v>
          </cell>
        </row>
        <row r="542">
          <cell r="AS542">
            <v>0</v>
          </cell>
        </row>
        <row r="543">
          <cell r="AS543">
            <v>798274.15000000026</v>
          </cell>
        </row>
        <row r="544">
          <cell r="AS544">
            <v>-334711.14000000013</v>
          </cell>
        </row>
        <row r="545">
          <cell r="AS545">
            <v>0</v>
          </cell>
        </row>
        <row r="546">
          <cell r="AS546">
            <v>71378.388275369827</v>
          </cell>
        </row>
        <row r="547">
          <cell r="AS547">
            <v>1373767.1278928118</v>
          </cell>
        </row>
        <row r="548">
          <cell r="AS548">
            <v>-731017.18445652991</v>
          </cell>
        </row>
        <row r="549">
          <cell r="AS549">
            <v>0</v>
          </cell>
        </row>
        <row r="550">
          <cell r="AS550">
            <v>0</v>
          </cell>
        </row>
        <row r="551">
          <cell r="AS551">
            <v>0</v>
          </cell>
        </row>
        <row r="552">
          <cell r="AS552">
            <v>69315.140000000029</v>
          </cell>
        </row>
        <row r="553">
          <cell r="AS553">
            <v>0</v>
          </cell>
        </row>
        <row r="554">
          <cell r="AS554">
            <v>9772.9999999999982</v>
          </cell>
        </row>
        <row r="555">
          <cell r="AS555">
            <v>0</v>
          </cell>
        </row>
        <row r="556">
          <cell r="AS556">
            <v>-0.12521638776524924</v>
          </cell>
        </row>
        <row r="557">
          <cell r="AS557">
            <v>0</v>
          </cell>
        </row>
        <row r="558">
          <cell r="AS558">
            <v>11127.050000000005</v>
          </cell>
        </row>
        <row r="559">
          <cell r="AS559">
            <v>0</v>
          </cell>
        </row>
        <row r="560">
          <cell r="AS560">
            <v>0</v>
          </cell>
        </row>
        <row r="561">
          <cell r="AS561">
            <v>0</v>
          </cell>
        </row>
        <row r="562">
          <cell r="AS562">
            <v>70095.66</v>
          </cell>
        </row>
        <row r="563">
          <cell r="AS563">
            <v>0</v>
          </cell>
        </row>
        <row r="566">
          <cell r="AS566">
            <v>56910.5</v>
          </cell>
        </row>
        <row r="567">
          <cell r="AS567">
            <v>0</v>
          </cell>
        </row>
        <row r="568">
          <cell r="AS568">
            <v>2774.9999999999986</v>
          </cell>
        </row>
        <row r="570">
          <cell r="AS570">
            <v>14694.249999999998</v>
          </cell>
        </row>
        <row r="571">
          <cell r="AS571">
            <v>0</v>
          </cell>
        </row>
        <row r="573">
          <cell r="AS573">
            <v>0</v>
          </cell>
        </row>
        <row r="574">
          <cell r="AS574">
            <v>58608.270000000048</v>
          </cell>
        </row>
        <row r="575">
          <cell r="AS575">
            <v>0</v>
          </cell>
        </row>
        <row r="577">
          <cell r="AS577">
            <v>0.51400612061843276</v>
          </cell>
        </row>
        <row r="578">
          <cell r="AS578">
            <v>0</v>
          </cell>
        </row>
        <row r="579">
          <cell r="AS579">
            <v>0</v>
          </cell>
        </row>
        <row r="580">
          <cell r="AS580">
            <v>294861.25878973305</v>
          </cell>
        </row>
        <row r="581">
          <cell r="AS581">
            <v>0</v>
          </cell>
        </row>
        <row r="582">
          <cell r="AS582">
            <v>67488.25999999998</v>
          </cell>
        </row>
        <row r="583">
          <cell r="AS583">
            <v>67488.25999999998</v>
          </cell>
        </row>
        <row r="584">
          <cell r="AS584">
            <v>0</v>
          </cell>
        </row>
        <row r="586">
          <cell r="AS586">
            <v>2538.5000000000005</v>
          </cell>
        </row>
        <row r="587">
          <cell r="AS587">
            <v>1646.0900000000001</v>
          </cell>
        </row>
        <row r="588">
          <cell r="AS588">
            <v>1340</v>
          </cell>
        </row>
        <row r="589">
          <cell r="AS589">
            <v>0</v>
          </cell>
        </row>
        <row r="590">
          <cell r="AS590">
            <v>5524.5900000000038</v>
          </cell>
        </row>
        <row r="591">
          <cell r="AS591">
            <v>0</v>
          </cell>
        </row>
        <row r="592">
          <cell r="AS592">
            <v>90604.050000000076</v>
          </cell>
        </row>
        <row r="593">
          <cell r="AS593">
            <v>7907.7200000000012</v>
          </cell>
        </row>
        <row r="594">
          <cell r="AS594">
            <v>6766.68</v>
          </cell>
        </row>
        <row r="595">
          <cell r="AS595">
            <v>6866.4600000000009</v>
          </cell>
        </row>
        <row r="596">
          <cell r="AS596">
            <v>293.95999999999981</v>
          </cell>
        </row>
        <row r="597">
          <cell r="AS597">
            <v>863.95000000000073</v>
          </cell>
        </row>
        <row r="598">
          <cell r="AS598">
            <v>-1200.5699999999997</v>
          </cell>
        </row>
        <row r="599">
          <cell r="AS599">
            <v>10264.560000000007</v>
          </cell>
        </row>
        <row r="600">
          <cell r="AS600">
            <v>386.00000000000011</v>
          </cell>
        </row>
        <row r="601">
          <cell r="AS601">
            <v>133.63999999999942</v>
          </cell>
        </row>
        <row r="602">
          <cell r="AS602">
            <v>2692.25</v>
          </cell>
        </row>
        <row r="603">
          <cell r="AS603">
            <v>60.6099999999999</v>
          </cell>
        </row>
        <row r="604">
          <cell r="AS604">
            <v>48.3100000000004</v>
          </cell>
        </row>
        <row r="605">
          <cell r="AS605">
            <v>-1400.5999999999995</v>
          </cell>
        </row>
        <row r="606">
          <cell r="AS606">
            <v>4631.2300000000032</v>
          </cell>
        </row>
        <row r="607">
          <cell r="AS607">
            <v>0</v>
          </cell>
        </row>
        <row r="608">
          <cell r="AS608">
            <v>2223.1800000000003</v>
          </cell>
        </row>
        <row r="609">
          <cell r="AS609">
            <v>0</v>
          </cell>
        </row>
        <row r="610">
          <cell r="AS610">
            <v>0</v>
          </cell>
        </row>
        <row r="611">
          <cell r="AS611"/>
        </row>
        <row r="612">
          <cell r="AS612"/>
        </row>
        <row r="613">
          <cell r="AS613"/>
        </row>
        <row r="614">
          <cell r="AS614"/>
        </row>
        <row r="615">
          <cell r="AS615"/>
        </row>
        <row r="616">
          <cell r="AS616"/>
        </row>
        <row r="617">
          <cell r="AS617"/>
        </row>
        <row r="618">
          <cell r="AS618"/>
        </row>
        <row r="619">
          <cell r="AS619"/>
        </row>
        <row r="620">
          <cell r="AS620"/>
        </row>
        <row r="621">
          <cell r="AS621"/>
        </row>
        <row r="622">
          <cell r="AS622"/>
        </row>
        <row r="623">
          <cell r="AS623"/>
        </row>
        <row r="624">
          <cell r="AS624"/>
        </row>
        <row r="625">
          <cell r="AS625"/>
        </row>
        <row r="626">
          <cell r="AS626"/>
        </row>
        <row r="627">
          <cell r="AS627"/>
        </row>
        <row r="628">
          <cell r="AS628"/>
        </row>
        <row r="629">
          <cell r="AS629"/>
        </row>
        <row r="630">
          <cell r="AS630"/>
        </row>
        <row r="631">
          <cell r="AS631"/>
        </row>
        <row r="633">
          <cell r="AS633"/>
        </row>
        <row r="634">
          <cell r="AS634"/>
        </row>
        <row r="635">
          <cell r="AS635"/>
        </row>
        <row r="636">
          <cell r="AS636"/>
        </row>
        <row r="637">
          <cell r="AS637"/>
        </row>
        <row r="638">
          <cell r="AS638"/>
        </row>
        <row r="639">
          <cell r="AS639"/>
        </row>
        <row r="641">
          <cell r="AS641">
            <v>0</v>
          </cell>
        </row>
        <row r="642">
          <cell r="AS642">
            <v>0</v>
          </cell>
        </row>
        <row r="643">
          <cell r="AS643">
            <v>0</v>
          </cell>
        </row>
        <row r="644">
          <cell r="AS644">
            <v>0</v>
          </cell>
        </row>
        <row r="645">
          <cell r="AS645">
            <v>0</v>
          </cell>
        </row>
        <row r="646">
          <cell r="AS646">
            <v>3200.2700000000004</v>
          </cell>
        </row>
        <row r="647">
          <cell r="AS647">
            <v>0</v>
          </cell>
        </row>
        <row r="648">
          <cell r="AS648">
            <v>0</v>
          </cell>
        </row>
        <row r="649">
          <cell r="AS649">
            <v>0</v>
          </cell>
        </row>
        <row r="650">
          <cell r="AS650">
            <v>0</v>
          </cell>
        </row>
        <row r="651">
          <cell r="AS651">
            <v>0</v>
          </cell>
        </row>
        <row r="652">
          <cell r="AS652">
            <v>156.39000000000033</v>
          </cell>
        </row>
        <row r="653">
          <cell r="AS653">
            <v>3283.6099999999997</v>
          </cell>
        </row>
        <row r="654">
          <cell r="AS654">
            <v>0</v>
          </cell>
        </row>
        <row r="655">
          <cell r="AS655">
            <v>2874.74</v>
          </cell>
        </row>
        <row r="656">
          <cell r="AS656">
            <v>0</v>
          </cell>
        </row>
        <row r="657">
          <cell r="AS657">
            <v>0</v>
          </cell>
        </row>
        <row r="658">
          <cell r="AS658">
            <v>0</v>
          </cell>
        </row>
        <row r="659">
          <cell r="AS659">
            <v>0</v>
          </cell>
        </row>
        <row r="660">
          <cell r="AS660">
            <v>0</v>
          </cell>
        </row>
        <row r="661">
          <cell r="AS661">
            <v>0</v>
          </cell>
        </row>
        <row r="662">
          <cell r="AS662">
            <v>0</v>
          </cell>
        </row>
        <row r="663">
          <cell r="AS663">
            <v>0</v>
          </cell>
        </row>
        <row r="664">
          <cell r="AS664">
            <v>0</v>
          </cell>
        </row>
        <row r="667">
          <cell r="AS667">
            <v>589.6100000000007</v>
          </cell>
        </row>
        <row r="668">
          <cell r="AS668">
            <v>0</v>
          </cell>
        </row>
        <row r="669">
          <cell r="AS669">
            <v>24564.700000000008</v>
          </cell>
        </row>
        <row r="670">
          <cell r="AS670">
            <v>4191.66</v>
          </cell>
        </row>
        <row r="671">
          <cell r="AS671">
            <v>659.4399999999996</v>
          </cell>
        </row>
        <row r="672">
          <cell r="AS672">
            <v>0</v>
          </cell>
        </row>
        <row r="673">
          <cell r="AS673">
            <v>0</v>
          </cell>
        </row>
        <row r="674">
          <cell r="AS674">
            <v>0</v>
          </cell>
        </row>
        <row r="675">
          <cell r="AS675">
            <v>0</v>
          </cell>
        </row>
        <row r="676">
          <cell r="AS676">
            <v>171418.2899999826</v>
          </cell>
        </row>
        <row r="677">
          <cell r="AS677">
            <v>0</v>
          </cell>
        </row>
        <row r="678">
          <cell r="AS678">
            <v>0</v>
          </cell>
        </row>
        <row r="679">
          <cell r="AS679">
            <v>-210842.34867067658</v>
          </cell>
        </row>
        <row r="680">
          <cell r="AS680">
            <v>-210842.34867067658</v>
          </cell>
        </row>
        <row r="681">
          <cell r="AS681">
            <v>0</v>
          </cell>
        </row>
        <row r="682">
          <cell r="AS682">
            <v>0</v>
          </cell>
        </row>
        <row r="683">
          <cell r="AS683">
            <v>0</v>
          </cell>
        </row>
        <row r="684">
          <cell r="AS684">
            <v>0</v>
          </cell>
        </row>
        <row r="685">
          <cell r="AS685">
            <v>24153.759999999991</v>
          </cell>
        </row>
        <row r="686">
          <cell r="AS686">
            <v>6279.6199999999953</v>
          </cell>
        </row>
        <row r="687">
          <cell r="AS687">
            <v>343.30999999999949</v>
          </cell>
        </row>
        <row r="688">
          <cell r="AS688">
            <v>0</v>
          </cell>
        </row>
        <row r="689">
          <cell r="AS689">
            <v>0</v>
          </cell>
        </row>
        <row r="690">
          <cell r="AS690">
            <v>30776.690000000002</v>
          </cell>
        </row>
        <row r="691">
          <cell r="AS691">
            <v>0</v>
          </cell>
        </row>
        <row r="692">
          <cell r="AS692">
            <v>0</v>
          </cell>
        </row>
        <row r="693">
          <cell r="AS693">
            <v>0</v>
          </cell>
        </row>
        <row r="694">
          <cell r="AS694">
            <v>0</v>
          </cell>
        </row>
        <row r="695">
          <cell r="AS695">
            <v>359226.74011903803</v>
          </cell>
        </row>
        <row r="696">
          <cell r="AS696">
            <v>0</v>
          </cell>
        </row>
        <row r="697">
          <cell r="AS697">
            <v>0</v>
          </cell>
        </row>
        <row r="698">
          <cell r="AS698">
            <v>0</v>
          </cell>
        </row>
        <row r="699">
          <cell r="AS699">
            <v>0</v>
          </cell>
        </row>
        <row r="700">
          <cell r="AS700">
            <v>120342.43000000005</v>
          </cell>
        </row>
        <row r="701">
          <cell r="AS701">
            <v>15313.090000000004</v>
          </cell>
        </row>
        <row r="702">
          <cell r="AS702">
            <v>17395</v>
          </cell>
        </row>
        <row r="703">
          <cell r="AS703">
            <v>0</v>
          </cell>
        </row>
        <row r="710">
          <cell r="AS710">
            <v>-0.33426125473488355</v>
          </cell>
        </row>
        <row r="711">
          <cell r="AS711">
            <v>0</v>
          </cell>
        </row>
        <row r="712">
          <cell r="AS712">
            <v>0</v>
          </cell>
        </row>
        <row r="713">
          <cell r="AS713">
            <v>0</v>
          </cell>
        </row>
        <row r="714">
          <cell r="AS714">
            <v>0</v>
          </cell>
        </row>
        <row r="715">
          <cell r="AS715">
            <v>15408.159999999985</v>
          </cell>
        </row>
        <row r="716">
          <cell r="AS716">
            <v>4394.9999999999991</v>
          </cell>
        </row>
        <row r="717">
          <cell r="AS717">
            <v>-113760</v>
          </cell>
        </row>
        <row r="718">
          <cell r="AS718">
            <v>21608.569999999992</v>
          </cell>
        </row>
        <row r="719">
          <cell r="AS719">
            <v>0</v>
          </cell>
        </row>
        <row r="720">
          <cell r="AS720">
            <v>27110.570000000007</v>
          </cell>
        </row>
        <row r="721">
          <cell r="AS721">
            <v>0</v>
          </cell>
        </row>
        <row r="722">
          <cell r="AS722">
            <v>50358.039999999979</v>
          </cell>
        </row>
        <row r="723">
          <cell r="AS723">
            <v>192.66000000000014</v>
          </cell>
        </row>
        <row r="728">
          <cell r="AS728">
            <v>0</v>
          </cell>
        </row>
        <row r="733">
          <cell r="AS733">
            <v>12033</v>
          </cell>
        </row>
        <row r="734">
          <cell r="AS734">
            <v>762</v>
          </cell>
        </row>
        <row r="735">
          <cell r="AS735">
            <v>0</v>
          </cell>
        </row>
        <row r="736">
          <cell r="AS736">
            <v>9000</v>
          </cell>
        </row>
        <row r="737">
          <cell r="AS737">
            <v>176</v>
          </cell>
        </row>
        <row r="738">
          <cell r="AS738">
            <v>7000</v>
          </cell>
        </row>
        <row r="739">
          <cell r="AS739">
            <v>723.70999999999913</v>
          </cell>
        </row>
        <row r="740">
          <cell r="AS740">
            <v>9833</v>
          </cell>
        </row>
        <row r="741">
          <cell r="AS741">
            <v>749.84000000000015</v>
          </cell>
        </row>
        <row r="742">
          <cell r="AS742">
            <v>0</v>
          </cell>
        </row>
        <row r="743">
          <cell r="AS743">
            <v>0</v>
          </cell>
        </row>
        <row r="745">
          <cell r="AS745">
            <v>2711.0000000000005</v>
          </cell>
        </row>
        <row r="750">
          <cell r="AS750">
            <v>0</v>
          </cell>
        </row>
        <row r="751">
          <cell r="AS751">
            <v>0</v>
          </cell>
        </row>
        <row r="752">
          <cell r="AS752">
            <v>0</v>
          </cell>
        </row>
        <row r="753">
          <cell r="AS753">
            <v>0</v>
          </cell>
        </row>
        <row r="754">
          <cell r="AS754">
            <v>-0.36973750461766031</v>
          </cell>
        </row>
        <row r="755">
          <cell r="AS755">
            <v>155.64999999999964</v>
          </cell>
        </row>
        <row r="756">
          <cell r="AS756">
            <v>0</v>
          </cell>
        </row>
        <row r="757">
          <cell r="AS757">
            <v>201507.01600123988</v>
          </cell>
        </row>
        <row r="758">
          <cell r="AS758">
            <v>0</v>
          </cell>
        </row>
        <row r="759">
          <cell r="AS759">
            <v>0</v>
          </cell>
        </row>
        <row r="760">
          <cell r="AS760">
            <v>0</v>
          </cell>
        </row>
        <row r="761">
          <cell r="AS761">
            <v>0</v>
          </cell>
        </row>
        <row r="762">
          <cell r="AS762">
            <v>0</v>
          </cell>
        </row>
        <row r="763">
          <cell r="AS763">
            <v>0</v>
          </cell>
        </row>
        <row r="764">
          <cell r="AS764">
            <v>0</v>
          </cell>
        </row>
        <row r="765">
          <cell r="AS765">
            <v>0</v>
          </cell>
        </row>
        <row r="766">
          <cell r="AS766">
            <v>0</v>
          </cell>
        </row>
        <row r="767">
          <cell r="AS767">
            <v>0</v>
          </cell>
        </row>
        <row r="768">
          <cell r="AS768">
            <v>0</v>
          </cell>
        </row>
        <row r="769">
          <cell r="AS769">
            <v>0</v>
          </cell>
        </row>
        <row r="770">
          <cell r="AS770">
            <v>0</v>
          </cell>
        </row>
        <row r="771">
          <cell r="AS771">
            <v>0</v>
          </cell>
        </row>
        <row r="772">
          <cell r="AS772">
            <v>0</v>
          </cell>
        </row>
        <row r="773">
          <cell r="AS773">
            <v>18240.440000000002</v>
          </cell>
        </row>
        <row r="774">
          <cell r="AS774">
            <v>12600.690000000006</v>
          </cell>
        </row>
        <row r="775">
          <cell r="AS775">
            <v>9323.5599999999977</v>
          </cell>
        </row>
        <row r="776">
          <cell r="AS776">
            <v>3970.13</v>
          </cell>
        </row>
        <row r="777">
          <cell r="AS777">
            <v>558.09999999999127</v>
          </cell>
        </row>
        <row r="778">
          <cell r="AS778">
            <v>0</v>
          </cell>
        </row>
        <row r="780">
          <cell r="AS780">
            <v>0</v>
          </cell>
        </row>
        <row r="781">
          <cell r="AS781">
            <v>-1400.9000000000005</v>
          </cell>
        </row>
        <row r="782">
          <cell r="AS782">
            <v>500</v>
          </cell>
        </row>
        <row r="783">
          <cell r="AS783">
            <v>0</v>
          </cell>
        </row>
        <row r="784">
          <cell r="AS784">
            <v>0</v>
          </cell>
        </row>
        <row r="785">
          <cell r="AS785">
            <v>0</v>
          </cell>
        </row>
        <row r="786">
          <cell r="AS786">
            <v>0</v>
          </cell>
        </row>
        <row r="787">
          <cell r="AS787">
            <v>0</v>
          </cell>
        </row>
        <row r="788">
          <cell r="AS788">
            <v>0</v>
          </cell>
        </row>
        <row r="789">
          <cell r="AS789">
            <v>0</v>
          </cell>
        </row>
        <row r="790">
          <cell r="AS790">
            <v>0</v>
          </cell>
        </row>
        <row r="791">
          <cell r="AS791">
            <v>0</v>
          </cell>
        </row>
        <row r="792">
          <cell r="AS792">
            <v>0</v>
          </cell>
        </row>
        <row r="793">
          <cell r="AS793">
            <v>0</v>
          </cell>
        </row>
        <row r="794">
          <cell r="AS794">
            <v>0</v>
          </cell>
        </row>
        <row r="797">
          <cell r="AS797">
            <v>0</v>
          </cell>
        </row>
        <row r="798">
          <cell r="AS798">
            <v>1610.1999999999985</v>
          </cell>
        </row>
        <row r="799">
          <cell r="AS799">
            <v>17359.450000000019</v>
          </cell>
        </row>
        <row r="800">
          <cell r="AS800">
            <v>2565</v>
          </cell>
        </row>
        <row r="801">
          <cell r="AS801">
            <v>-252.36999999999966</v>
          </cell>
        </row>
        <row r="802">
          <cell r="AS802">
            <v>117</v>
          </cell>
        </row>
        <row r="803">
          <cell r="AS803">
            <v>-528.92999999999984</v>
          </cell>
        </row>
        <row r="804">
          <cell r="AS804">
            <v>50</v>
          </cell>
        </row>
        <row r="805">
          <cell r="AS805">
            <v>0</v>
          </cell>
        </row>
        <row r="807">
          <cell r="AS807">
            <v>190.82999999999993</v>
          </cell>
        </row>
        <row r="808">
          <cell r="AS808">
            <v>0</v>
          </cell>
        </row>
        <row r="809">
          <cell r="AS809">
            <v>0</v>
          </cell>
        </row>
        <row r="810">
          <cell r="AS810">
            <v>0</v>
          </cell>
        </row>
        <row r="811">
          <cell r="AS811">
            <v>0</v>
          </cell>
        </row>
        <row r="812">
          <cell r="AS812">
            <v>0</v>
          </cell>
        </row>
        <row r="813">
          <cell r="AS813">
            <v>3493.6199999999972</v>
          </cell>
        </row>
        <row r="814">
          <cell r="AS814">
            <v>0</v>
          </cell>
        </row>
        <row r="815">
          <cell r="AS815">
            <v>0</v>
          </cell>
        </row>
        <row r="816">
          <cell r="AS816">
            <v>68299.660000000149</v>
          </cell>
        </row>
        <row r="817">
          <cell r="AS817">
            <v>0</v>
          </cell>
        </row>
        <row r="818">
          <cell r="AS818">
            <v>0</v>
          </cell>
        </row>
        <row r="819">
          <cell r="AS819">
            <v>0</v>
          </cell>
        </row>
        <row r="820">
          <cell r="AS820">
            <v>0</v>
          </cell>
        </row>
        <row r="821">
          <cell r="AS821">
            <v>0</v>
          </cell>
        </row>
        <row r="822">
          <cell r="AS822">
            <v>0</v>
          </cell>
        </row>
        <row r="823">
          <cell r="AS823">
            <v>28195.759250488365</v>
          </cell>
        </row>
        <row r="824">
          <cell r="AS824">
            <v>309543.02851941821</v>
          </cell>
        </row>
        <row r="825">
          <cell r="AS825">
            <v>0</v>
          </cell>
        </row>
        <row r="826">
          <cell r="AS826">
            <v>3785866.4385194173</v>
          </cell>
        </row>
        <row r="827">
          <cell r="AS827">
            <v>0</v>
          </cell>
        </row>
        <row r="828">
          <cell r="AS828">
            <v>0</v>
          </cell>
        </row>
        <row r="829">
          <cell r="AS829">
            <v>0</v>
          </cell>
        </row>
        <row r="830">
          <cell r="AS830">
            <v>0</v>
          </cell>
        </row>
        <row r="831">
          <cell r="AS831">
            <v>0</v>
          </cell>
        </row>
        <row r="832">
          <cell r="AS832">
            <v>0</v>
          </cell>
        </row>
        <row r="833">
          <cell r="AS833">
            <v>0</v>
          </cell>
        </row>
        <row r="834">
          <cell r="AS834">
            <v>0</v>
          </cell>
        </row>
        <row r="835">
          <cell r="AS835">
            <v>0</v>
          </cell>
        </row>
        <row r="836">
          <cell r="AS836">
            <v>0</v>
          </cell>
        </row>
        <row r="837">
          <cell r="AS837">
            <v>0</v>
          </cell>
        </row>
        <row r="838">
          <cell r="AS838">
            <v>8525.4599999999991</v>
          </cell>
        </row>
        <row r="839">
          <cell r="AS839">
            <v>-247962.03954547725</v>
          </cell>
        </row>
        <row r="840">
          <cell r="AS840">
            <v>-25.54</v>
          </cell>
        </row>
        <row r="841">
          <cell r="AS841">
            <v>-3313.88</v>
          </cell>
        </row>
        <row r="842">
          <cell r="AS842">
            <v>75547.399999999994</v>
          </cell>
        </row>
      </sheetData>
      <sheetData sheetId="3"/>
      <sheetData sheetId="4"/>
      <sheetData sheetId="5"/>
      <sheetData sheetId="6"/>
      <sheetData sheetId="7">
        <row r="11">
          <cell r="Q11">
            <v>15745</v>
          </cell>
        </row>
      </sheetData>
      <sheetData sheetId="8"/>
      <sheetData sheetId="9"/>
      <sheetData sheetId="10"/>
      <sheetData sheetId="11"/>
      <sheetData sheetId="12"/>
      <sheetData sheetId="13"/>
      <sheetData sheetId="14"/>
      <sheetData sheetId="15"/>
      <sheetData sheetId="16"/>
      <sheetData sheetId="17">
        <row r="327">
          <cell r="AU327">
            <v>-72126.69</v>
          </cell>
        </row>
      </sheetData>
      <sheetData sheetId="18"/>
      <sheetData sheetId="19"/>
      <sheetData sheetId="20"/>
      <sheetData sheetId="21"/>
      <sheetData sheetId="22"/>
      <sheetData sheetId="23"/>
      <sheetData sheetId="24">
        <row r="152">
          <cell r="AS152">
            <v>0</v>
          </cell>
        </row>
      </sheetData>
      <sheetData sheetId="25"/>
      <sheetData sheetId="26"/>
      <sheetData sheetId="27"/>
      <sheetData sheetId="28"/>
      <sheetData sheetId="29"/>
      <sheetData sheetId="30"/>
      <sheetData sheetId="31">
        <row r="366">
          <cell r="AF366">
            <v>-650648.50000000023</v>
          </cell>
        </row>
      </sheetData>
      <sheetData sheetId="32"/>
      <sheetData sheetId="33"/>
      <sheetData sheetId="34"/>
      <sheetData sheetId="35"/>
      <sheetData sheetId="36"/>
      <sheetData sheetId="37"/>
      <sheetData sheetId="38">
        <row r="1">
          <cell r="C1"/>
        </row>
      </sheetData>
      <sheetData sheetId="39"/>
      <sheetData sheetId="40"/>
      <sheetData sheetId="41">
        <row r="149">
          <cell r="K149">
            <v>-340914.53</v>
          </cell>
        </row>
      </sheetData>
      <sheetData sheetId="42"/>
      <sheetData sheetId="43"/>
      <sheetData sheetId="4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Q2 מיסים שוטפים 2019"/>
      <sheetName val="העמסת הנה&quot;כ"/>
      <sheetName val="Balances Sheet (Printing)"/>
      <sheetName val="Consolidation"/>
      <sheetName val="יתרות בינחברתיות"/>
      <sheetName val="Revenues"/>
      <sheetName val="ביאורים לדוחות הכספיים"/>
      <sheetName val="Accrued expenses"/>
      <sheetName val="FA"/>
      <sheetName val="Prepaid expenses"/>
      <sheetName val="Post-Closing Withdrawl Updated"/>
      <sheetName val="Post-Closing Withdrawl"/>
      <sheetName val="נתונים לשינוי"/>
      <sheetName val="606-Prepaid Comm&amp;DR SUB"/>
      <sheetName val="תזרים Algosec LTD בש&quot;ח"/>
      <sheetName val="תזרים מאוחד ב-$"/>
      <sheetName val="מאזן בוחן EUROPE"/>
      <sheetName val="פ.נ. EUROPE"/>
      <sheetName val="העמסת הנה&quot;כ (UK)"/>
      <sheetName val="NEW TP EU"/>
      <sheetName val="FS EU"/>
      <sheetName val="מאזן בוחן Australia"/>
      <sheetName val="פ.נ. Australia"/>
      <sheetName val="AJE 12 - INC"/>
      <sheetName val="TP Australua"/>
      <sheetName val="FS AU"/>
      <sheetName val="Tax proforma"/>
      <sheetName val="New TB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provision"/>
    </sheetNames>
    <sheetDataSet>
      <sheetData sheetId="0"/>
      <sheetData sheetId="1"/>
      <sheetData sheetId="2">
        <row r="364">
          <cell r="AK364">
            <v>-30724.36</v>
          </cell>
        </row>
        <row r="365">
          <cell r="AK365">
            <v>-492824.80999999982</v>
          </cell>
        </row>
        <row r="366">
          <cell r="AK366">
            <v>0</v>
          </cell>
        </row>
        <row r="367">
          <cell r="AK367">
            <v>-33554.739999999991</v>
          </cell>
        </row>
        <row r="368">
          <cell r="AK368">
            <v>0</v>
          </cell>
        </row>
        <row r="369">
          <cell r="AK369">
            <v>0</v>
          </cell>
        </row>
        <row r="370">
          <cell r="AK370">
            <v>-16564.019999999997</v>
          </cell>
        </row>
        <row r="371">
          <cell r="AK371">
            <v>-237120.16</v>
          </cell>
        </row>
        <row r="372">
          <cell r="AK372">
            <v>0</v>
          </cell>
        </row>
        <row r="373">
          <cell r="AK373">
            <v>-811.17999999999984</v>
          </cell>
        </row>
        <row r="374">
          <cell r="AK374">
            <v>-200402.93999999994</v>
          </cell>
        </row>
        <row r="375">
          <cell r="AK375">
            <v>0</v>
          </cell>
        </row>
        <row r="376">
          <cell r="AK376">
            <v>-55113.050000000017</v>
          </cell>
        </row>
        <row r="377">
          <cell r="AK377">
            <v>-876.12000000000035</v>
          </cell>
        </row>
        <row r="378">
          <cell r="AK378">
            <v>0</v>
          </cell>
        </row>
        <row r="379">
          <cell r="AK379">
            <v>-6132.4199999999992</v>
          </cell>
        </row>
        <row r="380">
          <cell r="AK380">
            <v>0</v>
          </cell>
        </row>
        <row r="381">
          <cell r="AK381">
            <v>0</v>
          </cell>
        </row>
        <row r="382">
          <cell r="AK382">
            <v>-9589.1600000000071</v>
          </cell>
        </row>
        <row r="383">
          <cell r="AK383">
            <v>0</v>
          </cell>
        </row>
        <row r="384">
          <cell r="AK384">
            <v>0</v>
          </cell>
        </row>
        <row r="385">
          <cell r="AK385">
            <v>-2310</v>
          </cell>
        </row>
        <row r="386">
          <cell r="AK386">
            <v>-740.36000000000013</v>
          </cell>
        </row>
        <row r="387">
          <cell r="AK387"/>
        </row>
        <row r="388">
          <cell r="AK388">
            <v>-13215.41</v>
          </cell>
        </row>
        <row r="389">
          <cell r="AK389">
            <v>379.3599999999999</v>
          </cell>
        </row>
        <row r="402">
          <cell r="AJ402">
            <v>991728.73999999883</v>
          </cell>
        </row>
        <row r="403">
          <cell r="AJ403">
            <v>10443.779999999999</v>
          </cell>
        </row>
        <row r="404">
          <cell r="AJ404">
            <v>18073.999999999996</v>
          </cell>
        </row>
        <row r="405">
          <cell r="AJ405">
            <v>362.25</v>
          </cell>
        </row>
        <row r="406">
          <cell r="AJ406">
            <v>49243.049999999988</v>
          </cell>
        </row>
        <row r="407">
          <cell r="AJ407">
            <v>44806.66</v>
          </cell>
        </row>
        <row r="408">
          <cell r="AJ408">
            <v>0</v>
          </cell>
        </row>
        <row r="409">
          <cell r="AJ409">
            <v>235088.55999999982</v>
          </cell>
        </row>
        <row r="411">
          <cell r="AJ411">
            <v>0</v>
          </cell>
        </row>
        <row r="412">
          <cell r="AJ412">
            <v>0</v>
          </cell>
        </row>
        <row r="413">
          <cell r="AJ413">
            <v>0</v>
          </cell>
        </row>
        <row r="414">
          <cell r="AJ414">
            <v>166240.04000000004</v>
          </cell>
        </row>
        <row r="415">
          <cell r="AJ415">
            <v>0</v>
          </cell>
        </row>
        <row r="416">
          <cell r="AJ416">
            <v>9278.0000000000073</v>
          </cell>
        </row>
        <row r="417">
          <cell r="AJ417">
            <v>0</v>
          </cell>
        </row>
        <row r="418">
          <cell r="AJ418">
            <v>0</v>
          </cell>
        </row>
        <row r="419">
          <cell r="AJ419">
            <v>0</v>
          </cell>
        </row>
        <row r="420">
          <cell r="AJ420">
            <v>0</v>
          </cell>
        </row>
        <row r="421">
          <cell r="AJ421">
            <v>1525265.0800000008</v>
          </cell>
        </row>
        <row r="422">
          <cell r="AJ422">
            <v>0</v>
          </cell>
        </row>
        <row r="423">
          <cell r="AJ423">
            <v>0</v>
          </cell>
        </row>
        <row r="424">
          <cell r="AJ424">
            <v>0</v>
          </cell>
        </row>
        <row r="425">
          <cell r="AJ425">
            <v>0</v>
          </cell>
        </row>
        <row r="426">
          <cell r="AJ426">
            <v>0</v>
          </cell>
        </row>
        <row r="427">
          <cell r="AJ427">
            <v>0</v>
          </cell>
        </row>
        <row r="428">
          <cell r="AJ428">
            <v>0</v>
          </cell>
        </row>
        <row r="429">
          <cell r="AJ429">
            <v>15276.440000000017</v>
          </cell>
        </row>
        <row r="430">
          <cell r="AJ430">
            <v>312.5</v>
          </cell>
        </row>
        <row r="431">
          <cell r="AJ431">
            <v>103570.24999999994</v>
          </cell>
        </row>
        <row r="432">
          <cell r="AJ432">
            <v>0</v>
          </cell>
        </row>
        <row r="433">
          <cell r="AJ433">
            <v>3289.7400000000007</v>
          </cell>
        </row>
        <row r="435">
          <cell r="AJ435">
            <v>0</v>
          </cell>
        </row>
        <row r="436">
          <cell r="AJ436">
            <v>0</v>
          </cell>
        </row>
        <row r="437">
          <cell r="AJ437">
            <v>0</v>
          </cell>
        </row>
        <row r="438">
          <cell r="AJ438">
            <v>0</v>
          </cell>
        </row>
        <row r="439">
          <cell r="AJ439">
            <v>0</v>
          </cell>
        </row>
        <row r="440">
          <cell r="AJ440">
            <v>10714.290000000005</v>
          </cell>
        </row>
        <row r="441">
          <cell r="AJ441">
            <v>331.72999999999996</v>
          </cell>
        </row>
        <row r="442">
          <cell r="AJ442">
            <v>0</v>
          </cell>
        </row>
        <row r="443">
          <cell r="AJ443">
            <v>1539.7399999999989</v>
          </cell>
        </row>
        <row r="444">
          <cell r="AJ444">
            <v>0</v>
          </cell>
        </row>
        <row r="445">
          <cell r="AJ445">
            <v>135034.68999999994</v>
          </cell>
        </row>
        <row r="446">
          <cell r="AJ446">
            <v>0</v>
          </cell>
        </row>
        <row r="447">
          <cell r="AJ447">
            <v>0</v>
          </cell>
        </row>
        <row r="448">
          <cell r="AJ448">
            <v>0</v>
          </cell>
        </row>
        <row r="449">
          <cell r="AJ449">
            <v>0</v>
          </cell>
        </row>
        <row r="450">
          <cell r="AJ450">
            <v>0</v>
          </cell>
        </row>
        <row r="451">
          <cell r="AJ451">
            <v>0</v>
          </cell>
        </row>
        <row r="452">
          <cell r="AJ452">
            <v>0</v>
          </cell>
        </row>
        <row r="453">
          <cell r="AJ453">
            <v>0</v>
          </cell>
        </row>
        <row r="454">
          <cell r="AJ454">
            <v>0</v>
          </cell>
        </row>
        <row r="455">
          <cell r="AJ455">
            <v>0</v>
          </cell>
        </row>
        <row r="456">
          <cell r="AJ456">
            <v>159544.56959689967</v>
          </cell>
        </row>
        <row r="457">
          <cell r="AJ457">
            <v>159544.56959689967</v>
          </cell>
        </row>
        <row r="458">
          <cell r="AJ458">
            <v>0</v>
          </cell>
        </row>
        <row r="459">
          <cell r="AJ459">
            <v>1819844.3395968992</v>
          </cell>
        </row>
        <row r="460">
          <cell r="AJ460">
            <v>0</v>
          </cell>
        </row>
        <row r="461">
          <cell r="AJ461">
            <v>0</v>
          </cell>
        </row>
        <row r="462">
          <cell r="AJ462">
            <v>57168.050000000047</v>
          </cell>
        </row>
        <row r="463">
          <cell r="AJ463">
            <v>0</v>
          </cell>
        </row>
        <row r="464">
          <cell r="AJ464">
            <v>2801.9999999999995</v>
          </cell>
        </row>
        <row r="467">
          <cell r="AJ467">
            <v>6666.6699999999983</v>
          </cell>
        </row>
        <row r="468">
          <cell r="AJ468">
            <v>101669.54000000008</v>
          </cell>
        </row>
        <row r="469">
          <cell r="AJ469">
            <v>0</v>
          </cell>
        </row>
        <row r="470">
          <cell r="AJ470">
            <v>3028.9999999999986</v>
          </cell>
        </row>
        <row r="471">
          <cell r="AJ471">
            <v>0</v>
          </cell>
        </row>
        <row r="472">
          <cell r="AJ472">
            <v>0</v>
          </cell>
        </row>
        <row r="473">
          <cell r="AJ473">
            <v>0</v>
          </cell>
        </row>
        <row r="474">
          <cell r="AJ474">
            <v>44737.660000000018</v>
          </cell>
        </row>
        <row r="475">
          <cell r="AJ475">
            <v>1356</v>
          </cell>
        </row>
        <row r="476">
          <cell r="AJ476">
            <v>0</v>
          </cell>
        </row>
        <row r="478">
          <cell r="AJ478">
            <v>0</v>
          </cell>
        </row>
        <row r="479">
          <cell r="AJ479">
            <v>217428.9200000001</v>
          </cell>
        </row>
        <row r="480">
          <cell r="AJ480">
            <v>0</v>
          </cell>
        </row>
        <row r="481">
          <cell r="AJ481">
            <v>0</v>
          </cell>
        </row>
        <row r="482">
          <cell r="AJ482">
            <v>0</v>
          </cell>
        </row>
        <row r="483">
          <cell r="AJ483">
            <v>0</v>
          </cell>
        </row>
        <row r="484">
          <cell r="AJ484">
            <v>0</v>
          </cell>
        </row>
        <row r="485">
          <cell r="AJ485">
            <v>0</v>
          </cell>
        </row>
        <row r="486">
          <cell r="AJ486">
            <v>0</v>
          </cell>
        </row>
        <row r="487">
          <cell r="AJ487">
            <v>2658.39</v>
          </cell>
        </row>
        <row r="488">
          <cell r="AJ488">
            <v>87.380000000000109</v>
          </cell>
        </row>
        <row r="489">
          <cell r="AJ489">
            <v>4526.4100000000008</v>
          </cell>
        </row>
        <row r="490">
          <cell r="AJ490">
            <v>84.999999999999972</v>
          </cell>
        </row>
        <row r="491">
          <cell r="AJ491">
            <v>0</v>
          </cell>
        </row>
        <row r="493">
          <cell r="AJ493">
            <v>0</v>
          </cell>
        </row>
        <row r="494">
          <cell r="AJ494">
            <v>0</v>
          </cell>
        </row>
        <row r="495">
          <cell r="AJ495">
            <v>0</v>
          </cell>
        </row>
        <row r="496">
          <cell r="AJ496">
            <v>0</v>
          </cell>
        </row>
        <row r="497">
          <cell r="AJ497">
            <v>0</v>
          </cell>
        </row>
        <row r="499">
          <cell r="AJ499">
            <v>0</v>
          </cell>
        </row>
        <row r="500">
          <cell r="AJ500">
            <v>1913.6599999999999</v>
          </cell>
        </row>
        <row r="502">
          <cell r="AJ502">
            <v>0</v>
          </cell>
        </row>
        <row r="503">
          <cell r="AJ503">
            <v>0</v>
          </cell>
        </row>
        <row r="504">
          <cell r="AJ504">
            <v>0</v>
          </cell>
        </row>
        <row r="505">
          <cell r="AJ505">
            <v>0</v>
          </cell>
        </row>
        <row r="506">
          <cell r="AJ506">
            <v>0</v>
          </cell>
        </row>
        <row r="507">
          <cell r="AJ507">
            <v>0</v>
          </cell>
        </row>
        <row r="508">
          <cell r="AJ508">
            <v>0</v>
          </cell>
        </row>
        <row r="509">
          <cell r="AJ509">
            <v>0</v>
          </cell>
        </row>
        <row r="510">
          <cell r="AJ510">
            <v>0</v>
          </cell>
        </row>
        <row r="511">
          <cell r="AJ511">
            <v>0</v>
          </cell>
        </row>
        <row r="512">
          <cell r="AJ512">
            <v>0</v>
          </cell>
        </row>
        <row r="513">
          <cell r="AJ513">
            <v>0</v>
          </cell>
        </row>
        <row r="514">
          <cell r="AJ514">
            <v>0</v>
          </cell>
        </row>
        <row r="515">
          <cell r="AJ515">
            <v>0</v>
          </cell>
        </row>
        <row r="516">
          <cell r="AJ516">
            <v>0</v>
          </cell>
        </row>
        <row r="517">
          <cell r="AJ517">
            <v>505.92000000000189</v>
          </cell>
        </row>
        <row r="518">
          <cell r="AJ518">
            <v>16682.089999999993</v>
          </cell>
        </row>
        <row r="519">
          <cell r="AJ519">
            <v>0</v>
          </cell>
        </row>
        <row r="522">
          <cell r="AJ522">
            <v>287.05999999999767</v>
          </cell>
        </row>
        <row r="523">
          <cell r="AJ523">
            <v>32428.15999999996</v>
          </cell>
        </row>
        <row r="525">
          <cell r="AJ525">
            <v>0</v>
          </cell>
        </row>
        <row r="526">
          <cell r="AJ526">
            <v>0</v>
          </cell>
        </row>
        <row r="527">
          <cell r="AJ527">
            <v>0</v>
          </cell>
        </row>
        <row r="528">
          <cell r="AJ528">
            <v>0</v>
          </cell>
        </row>
        <row r="529">
          <cell r="AJ529">
            <v>59174.069999999658</v>
          </cell>
        </row>
        <row r="530">
          <cell r="AJ530">
            <v>0</v>
          </cell>
        </row>
        <row r="531">
          <cell r="AJ531">
            <v>0</v>
          </cell>
        </row>
        <row r="532">
          <cell r="AJ532">
            <v>29004.091485650948</v>
          </cell>
        </row>
        <row r="533">
          <cell r="AJ533">
            <v>305607.08148565097</v>
          </cell>
        </row>
        <row r="534">
          <cell r="AJ534">
            <v>0</v>
          </cell>
        </row>
        <row r="535">
          <cell r="AJ535">
            <v>0</v>
          </cell>
        </row>
        <row r="536">
          <cell r="AJ536">
            <v>0</v>
          </cell>
        </row>
        <row r="537">
          <cell r="AJ537">
            <v>0</v>
          </cell>
        </row>
        <row r="538">
          <cell r="AJ538">
            <v>82301.609999999913</v>
          </cell>
        </row>
        <row r="539">
          <cell r="AJ539">
            <v>0</v>
          </cell>
        </row>
        <row r="540">
          <cell r="AJ540">
            <v>13533.859999999995</v>
          </cell>
        </row>
        <row r="541">
          <cell r="AJ541">
            <v>0</v>
          </cell>
        </row>
        <row r="542">
          <cell r="AJ542">
            <v>0</v>
          </cell>
        </row>
        <row r="543">
          <cell r="AJ543">
            <v>0</v>
          </cell>
        </row>
        <row r="544">
          <cell r="AJ544">
            <v>11281.079999999989</v>
          </cell>
        </row>
        <row r="545">
          <cell r="AJ545">
            <v>0</v>
          </cell>
        </row>
        <row r="546">
          <cell r="AJ546">
            <v>0</v>
          </cell>
        </row>
        <row r="547">
          <cell r="AJ547">
            <v>0</v>
          </cell>
        </row>
        <row r="548">
          <cell r="AJ548">
            <v>71056.219999999943</v>
          </cell>
        </row>
        <row r="549">
          <cell r="AJ549">
            <v>0</v>
          </cell>
        </row>
        <row r="552">
          <cell r="AJ552">
            <v>54182.330000000016</v>
          </cell>
        </row>
        <row r="553">
          <cell r="AJ553">
            <v>0</v>
          </cell>
        </row>
        <row r="554">
          <cell r="AJ554">
            <v>2775.0000000000023</v>
          </cell>
        </row>
        <row r="556">
          <cell r="AJ556">
            <v>14726.06000000001</v>
          </cell>
        </row>
        <row r="557">
          <cell r="AJ557">
            <v>0</v>
          </cell>
        </row>
        <row r="559">
          <cell r="AJ559">
            <v>0</v>
          </cell>
        </row>
        <row r="560">
          <cell r="AJ560">
            <v>59410.170000000013</v>
          </cell>
        </row>
        <row r="561">
          <cell r="AJ561">
            <v>0</v>
          </cell>
        </row>
        <row r="563">
          <cell r="AJ563">
            <v>0</v>
          </cell>
        </row>
        <row r="564">
          <cell r="AJ564">
            <v>0</v>
          </cell>
        </row>
        <row r="565">
          <cell r="AJ565">
            <v>0</v>
          </cell>
        </row>
        <row r="566">
          <cell r="AJ566">
            <v>310828.33</v>
          </cell>
        </row>
        <row r="567">
          <cell r="AJ567">
            <v>0</v>
          </cell>
        </row>
        <row r="568">
          <cell r="AJ568">
            <v>68289.790000000008</v>
          </cell>
        </row>
        <row r="569">
          <cell r="AJ569">
            <v>68289.790000000008</v>
          </cell>
        </row>
        <row r="570">
          <cell r="AJ570">
            <v>0</v>
          </cell>
        </row>
        <row r="572">
          <cell r="AJ572">
            <v>3903.4399999999991</v>
          </cell>
        </row>
        <row r="573">
          <cell r="AJ573">
            <v>3333</v>
          </cell>
        </row>
        <row r="574">
          <cell r="AJ574">
            <v>2450.7699999999932</v>
          </cell>
        </row>
        <row r="575">
          <cell r="AJ575">
            <v>0</v>
          </cell>
        </row>
        <row r="576">
          <cell r="AJ576">
            <v>9687.2099999999937</v>
          </cell>
        </row>
        <row r="577">
          <cell r="AJ577">
            <v>0</v>
          </cell>
        </row>
        <row r="578">
          <cell r="AJ578">
            <v>90654.719999999797</v>
          </cell>
        </row>
        <row r="579">
          <cell r="AJ579">
            <v>13286.670000000016</v>
          </cell>
        </row>
        <row r="580">
          <cell r="AJ580">
            <v>6916.5699999999924</v>
          </cell>
        </row>
        <row r="581">
          <cell r="AJ581">
            <v>6299.9699999999966</v>
          </cell>
        </row>
        <row r="582">
          <cell r="AJ582">
            <v>126.97000000000025</v>
          </cell>
        </row>
        <row r="583">
          <cell r="AJ583">
            <v>720.35999999999785</v>
          </cell>
        </row>
        <row r="584">
          <cell r="AJ584">
            <v>118.21999999999935</v>
          </cell>
        </row>
        <row r="585">
          <cell r="AJ585">
            <v>7756.889999999994</v>
          </cell>
        </row>
        <row r="586">
          <cell r="AJ586">
            <v>595.3599999999999</v>
          </cell>
        </row>
        <row r="587">
          <cell r="AJ587">
            <v>133.63999999999976</v>
          </cell>
        </row>
        <row r="588">
          <cell r="AJ588">
            <v>3118.2300000000032</v>
          </cell>
        </row>
        <row r="589">
          <cell r="AJ589">
            <v>84.610000000000014</v>
          </cell>
        </row>
        <row r="590">
          <cell r="AJ590">
            <v>-3.2684965844964609E-13</v>
          </cell>
        </row>
        <row r="591">
          <cell r="AJ591">
            <v>138.32000000000016</v>
          </cell>
        </row>
        <row r="592">
          <cell r="AJ592">
            <v>5055.2099999999991</v>
          </cell>
        </row>
        <row r="593">
          <cell r="AJ593">
            <v>0</v>
          </cell>
        </row>
        <row r="594">
          <cell r="AJ594">
            <v>517.83999999999969</v>
          </cell>
        </row>
        <row r="595">
          <cell r="AJ595">
            <v>0</v>
          </cell>
        </row>
        <row r="596">
          <cell r="AJ596">
            <v>0</v>
          </cell>
        </row>
        <row r="597">
          <cell r="AJ597">
            <v>10739612.35</v>
          </cell>
        </row>
        <row r="598">
          <cell r="AJ598">
            <v>755160.18</v>
          </cell>
        </row>
        <row r="599">
          <cell r="AJ599">
            <v>627475.31000000006</v>
          </cell>
        </row>
        <row r="600">
          <cell r="AJ600">
            <v>869784.67</v>
          </cell>
        </row>
        <row r="601">
          <cell r="AJ601">
            <v>52781.7</v>
          </cell>
        </row>
        <row r="602">
          <cell r="AJ602">
            <v>601293.59</v>
          </cell>
        </row>
        <row r="603">
          <cell r="AJ603">
            <v>198695.84</v>
          </cell>
        </row>
        <row r="604">
          <cell r="AJ604">
            <v>930119</v>
          </cell>
        </row>
        <row r="605">
          <cell r="AJ605">
            <v>73986.36</v>
          </cell>
        </row>
        <row r="606">
          <cell r="AJ606">
            <v>5647.23</v>
          </cell>
        </row>
        <row r="607">
          <cell r="AJ607">
            <v>529.28</v>
          </cell>
        </row>
        <row r="608">
          <cell r="AJ608">
            <v>-134.06</v>
          </cell>
        </row>
        <row r="609">
          <cell r="AJ609">
            <v>0</v>
          </cell>
        </row>
        <row r="610">
          <cell r="AJ610">
            <v>175482.29</v>
          </cell>
        </row>
        <row r="611">
          <cell r="AJ611">
            <v>81818.39</v>
          </cell>
        </row>
        <row r="612">
          <cell r="AJ612">
            <v>323.33999999999997</v>
          </cell>
        </row>
        <row r="613">
          <cell r="AJ613">
            <v>201879.28</v>
          </cell>
        </row>
        <row r="614">
          <cell r="AJ614">
            <v>23749.43</v>
          </cell>
        </row>
        <row r="615">
          <cell r="AJ615">
            <v>65517.72</v>
          </cell>
        </row>
        <row r="616">
          <cell r="AJ616">
            <v>0</v>
          </cell>
        </row>
        <row r="617">
          <cell r="AJ617">
            <v>-175482.29</v>
          </cell>
        </row>
        <row r="618">
          <cell r="AJ618">
            <v>-81818.39</v>
          </cell>
        </row>
        <row r="619">
          <cell r="AJ619">
            <v>-323.33999999999997</v>
          </cell>
        </row>
        <row r="620">
          <cell r="AJ620">
            <v>-201879.28</v>
          </cell>
        </row>
        <row r="621">
          <cell r="AJ621">
            <v>-23749.43</v>
          </cell>
        </row>
        <row r="622">
          <cell r="AJ622">
            <v>-65517.72</v>
          </cell>
        </row>
        <row r="623">
          <cell r="AJ623">
            <v>829.9</v>
          </cell>
        </row>
        <row r="624">
          <cell r="AJ624">
            <v>-5470.54</v>
          </cell>
        </row>
        <row r="625">
          <cell r="AJ625">
            <v>-14849080.810000001</v>
          </cell>
        </row>
        <row r="626">
          <cell r="AJ626">
            <v>0</v>
          </cell>
        </row>
        <row r="627">
          <cell r="AJ627">
            <v>0</v>
          </cell>
        </row>
        <row r="628">
          <cell r="AJ628">
            <v>0</v>
          </cell>
        </row>
        <row r="629">
          <cell r="AJ629">
            <v>0</v>
          </cell>
        </row>
        <row r="630">
          <cell r="AJ630">
            <v>0</v>
          </cell>
        </row>
        <row r="631">
          <cell r="AJ631">
            <v>0</v>
          </cell>
        </row>
        <row r="632">
          <cell r="AJ632">
            <v>416.97999999999956</v>
          </cell>
        </row>
        <row r="633">
          <cell r="AJ633">
            <v>0</v>
          </cell>
        </row>
        <row r="634">
          <cell r="AJ634">
            <v>0</v>
          </cell>
        </row>
        <row r="635">
          <cell r="AJ635">
            <v>0</v>
          </cell>
        </row>
        <row r="636">
          <cell r="AJ636">
            <v>0</v>
          </cell>
        </row>
        <row r="637">
          <cell r="AJ637">
            <v>0</v>
          </cell>
        </row>
        <row r="638">
          <cell r="AJ638">
            <v>3496.04</v>
          </cell>
        </row>
        <row r="639">
          <cell r="AJ639">
            <v>3294.239999999998</v>
          </cell>
        </row>
        <row r="640">
          <cell r="AJ640">
            <v>0</v>
          </cell>
        </row>
        <row r="641">
          <cell r="AJ641">
            <v>0</v>
          </cell>
        </row>
        <row r="642">
          <cell r="AJ642">
            <v>0</v>
          </cell>
        </row>
        <row r="643">
          <cell r="AJ643">
            <v>0</v>
          </cell>
        </row>
        <row r="644">
          <cell r="AJ644">
            <v>0</v>
          </cell>
        </row>
        <row r="645">
          <cell r="AJ645">
            <v>0</v>
          </cell>
        </row>
        <row r="646">
          <cell r="AJ646">
            <v>0</v>
          </cell>
        </row>
        <row r="647">
          <cell r="AJ647">
            <v>0</v>
          </cell>
        </row>
        <row r="648">
          <cell r="AJ648">
            <v>0</v>
          </cell>
        </row>
        <row r="649">
          <cell r="AJ649">
            <v>0</v>
          </cell>
        </row>
        <row r="650">
          <cell r="AJ650">
            <v>0</v>
          </cell>
        </row>
        <row r="653">
          <cell r="AJ653">
            <v>589.61000000000024</v>
          </cell>
        </row>
        <row r="654">
          <cell r="AJ654">
            <v>0</v>
          </cell>
        </row>
        <row r="655">
          <cell r="AJ655">
            <v>24794.749999999996</v>
          </cell>
        </row>
        <row r="656">
          <cell r="AJ656">
            <v>4191.66</v>
          </cell>
        </row>
        <row r="657">
          <cell r="AJ657">
            <v>616.13000000000011</v>
          </cell>
        </row>
        <row r="658">
          <cell r="AJ658">
            <v>0</v>
          </cell>
        </row>
        <row r="659">
          <cell r="AJ659">
            <v>0</v>
          </cell>
        </row>
        <row r="660">
          <cell r="AJ660">
            <v>0</v>
          </cell>
        </row>
        <row r="661">
          <cell r="AJ661">
            <v>0</v>
          </cell>
        </row>
        <row r="662">
          <cell r="AJ662">
            <v>173131.05000000438</v>
          </cell>
        </row>
        <row r="663">
          <cell r="AJ663">
            <v>0</v>
          </cell>
        </row>
        <row r="664">
          <cell r="AJ664">
            <v>0</v>
          </cell>
        </row>
        <row r="665">
          <cell r="AJ665">
            <v>-217665.19785733894</v>
          </cell>
        </row>
        <row r="666">
          <cell r="AJ666">
            <v>-217665.19785733894</v>
          </cell>
        </row>
        <row r="667">
          <cell r="AJ667">
            <v>0</v>
          </cell>
        </row>
        <row r="668">
          <cell r="AJ668">
            <v>0</v>
          </cell>
        </row>
        <row r="669">
          <cell r="AJ669">
            <v>0</v>
          </cell>
        </row>
        <row r="670">
          <cell r="AJ670">
            <v>0</v>
          </cell>
        </row>
        <row r="671">
          <cell r="AJ671">
            <v>25296.25000000004</v>
          </cell>
        </row>
        <row r="672">
          <cell r="AJ672">
            <v>8072.9500000000007</v>
          </cell>
        </row>
        <row r="673">
          <cell r="AJ673">
            <v>151.95999999999998</v>
          </cell>
        </row>
        <row r="674">
          <cell r="AJ674">
            <v>0</v>
          </cell>
        </row>
        <row r="675">
          <cell r="AJ675">
            <v>0</v>
          </cell>
        </row>
        <row r="676">
          <cell r="AJ676">
            <v>33521.159999999989</v>
          </cell>
        </row>
        <row r="677">
          <cell r="AJ677">
            <v>0</v>
          </cell>
        </row>
        <row r="678">
          <cell r="AJ678">
            <v>0</v>
          </cell>
        </row>
        <row r="679">
          <cell r="AJ679">
            <v>0</v>
          </cell>
        </row>
        <row r="680">
          <cell r="AJ680">
            <v>0</v>
          </cell>
        </row>
        <row r="681">
          <cell r="AJ681">
            <v>377792.34214266599</v>
          </cell>
        </row>
        <row r="682">
          <cell r="AJ682">
            <v>0</v>
          </cell>
        </row>
        <row r="683">
          <cell r="AJ683">
            <v>0</v>
          </cell>
        </row>
        <row r="684">
          <cell r="AJ684">
            <v>0</v>
          </cell>
        </row>
        <row r="685">
          <cell r="AJ685">
            <v>0</v>
          </cell>
        </row>
        <row r="686">
          <cell r="AJ686">
            <v>124756.09999999983</v>
          </cell>
        </row>
        <row r="687">
          <cell r="AJ687">
            <v>0</v>
          </cell>
        </row>
        <row r="688">
          <cell r="AJ688">
            <v>17395.000000000011</v>
          </cell>
        </row>
        <row r="689">
          <cell r="AJ689">
            <v>0</v>
          </cell>
        </row>
        <row r="696">
          <cell r="AJ696">
            <v>0</v>
          </cell>
        </row>
        <row r="697">
          <cell r="AJ697">
            <v>0</v>
          </cell>
        </row>
        <row r="698">
          <cell r="AJ698">
            <v>0</v>
          </cell>
        </row>
        <row r="699">
          <cell r="AJ699">
            <v>0</v>
          </cell>
        </row>
        <row r="700">
          <cell r="AJ700">
            <v>0</v>
          </cell>
        </row>
        <row r="701">
          <cell r="AJ701">
            <v>13962.520000000004</v>
          </cell>
        </row>
        <row r="702">
          <cell r="AJ702">
            <v>4394.9999999999991</v>
          </cell>
        </row>
        <row r="703">
          <cell r="AJ703">
            <v>0</v>
          </cell>
        </row>
        <row r="704">
          <cell r="AJ704">
            <v>0</v>
          </cell>
        </row>
        <row r="705">
          <cell r="AJ705">
            <v>0</v>
          </cell>
        </row>
        <row r="706">
          <cell r="AJ706">
            <v>25277.000000000029</v>
          </cell>
        </row>
        <row r="707">
          <cell r="AJ707">
            <v>0</v>
          </cell>
        </row>
        <row r="708">
          <cell r="AJ708">
            <v>1883.5900000000256</v>
          </cell>
        </row>
        <row r="709">
          <cell r="AJ709">
            <v>0</v>
          </cell>
        </row>
        <row r="714">
          <cell r="AJ714">
            <v>0</v>
          </cell>
        </row>
        <row r="719">
          <cell r="AJ719">
            <v>12033</v>
          </cell>
        </row>
        <row r="720">
          <cell r="AJ720">
            <v>3398</v>
          </cell>
        </row>
        <row r="721">
          <cell r="AJ721">
            <v>0</v>
          </cell>
        </row>
        <row r="722">
          <cell r="AJ722">
            <v>12825</v>
          </cell>
        </row>
        <row r="723">
          <cell r="AJ723">
            <v>0</v>
          </cell>
        </row>
        <row r="724">
          <cell r="AJ724">
            <v>7000</v>
          </cell>
        </row>
        <row r="725">
          <cell r="AJ725">
            <v>2337.4600000000009</v>
          </cell>
        </row>
        <row r="726">
          <cell r="AJ726">
            <v>9833</v>
          </cell>
        </row>
        <row r="727">
          <cell r="AJ727">
            <v>596.44000000000051</v>
          </cell>
        </row>
        <row r="728">
          <cell r="AJ728">
            <v>0</v>
          </cell>
        </row>
        <row r="729">
          <cell r="AJ729">
            <v>0</v>
          </cell>
        </row>
        <row r="731">
          <cell r="AJ731">
            <v>2711.0000000000005</v>
          </cell>
        </row>
        <row r="736">
          <cell r="AJ736">
            <v>0</v>
          </cell>
        </row>
        <row r="737">
          <cell r="AJ737">
            <v>0</v>
          </cell>
        </row>
        <row r="738">
          <cell r="AJ738">
            <v>0</v>
          </cell>
        </row>
        <row r="739">
          <cell r="AJ739">
            <v>0</v>
          </cell>
        </row>
        <row r="740">
          <cell r="AJ740">
            <v>0</v>
          </cell>
        </row>
        <row r="741">
          <cell r="AJ741">
            <v>127.05000000000109</v>
          </cell>
        </row>
        <row r="742">
          <cell r="AJ742">
            <v>0</v>
          </cell>
        </row>
        <row r="743">
          <cell r="AJ743">
            <v>240530.16000000027</v>
          </cell>
        </row>
        <row r="744">
          <cell r="AJ744">
            <v>0</v>
          </cell>
        </row>
        <row r="745">
          <cell r="AJ745">
            <v>0</v>
          </cell>
        </row>
        <row r="746">
          <cell r="AJ746">
            <v>0</v>
          </cell>
        </row>
        <row r="747">
          <cell r="AJ747">
            <v>0</v>
          </cell>
        </row>
        <row r="748">
          <cell r="AJ748">
            <v>0</v>
          </cell>
        </row>
        <row r="749">
          <cell r="AJ749">
            <v>0</v>
          </cell>
        </row>
        <row r="750">
          <cell r="AJ750">
            <v>0</v>
          </cell>
        </row>
        <row r="751">
          <cell r="AJ751">
            <v>0</v>
          </cell>
        </row>
        <row r="752">
          <cell r="AJ752">
            <v>0</v>
          </cell>
        </row>
        <row r="753">
          <cell r="AJ753">
            <v>0</v>
          </cell>
        </row>
        <row r="754">
          <cell r="AJ754">
            <v>0</v>
          </cell>
        </row>
        <row r="755">
          <cell r="AJ755">
            <v>0</v>
          </cell>
        </row>
        <row r="756">
          <cell r="AJ756">
            <v>-1.4210854715202004E-13</v>
          </cell>
        </row>
        <row r="757">
          <cell r="AJ757">
            <v>0</v>
          </cell>
        </row>
        <row r="758">
          <cell r="AJ758">
            <v>0</v>
          </cell>
        </row>
        <row r="759">
          <cell r="AJ759">
            <v>20397.290000000008</v>
          </cell>
        </row>
        <row r="760">
          <cell r="AJ760">
            <v>11485.839999999997</v>
          </cell>
        </row>
        <row r="761">
          <cell r="AJ761">
            <v>3074.62</v>
          </cell>
        </row>
        <row r="762">
          <cell r="AJ762">
            <v>3970.130000000001</v>
          </cell>
        </row>
        <row r="763">
          <cell r="AJ763">
            <v>8330.2500000000073</v>
          </cell>
        </row>
        <row r="764">
          <cell r="AJ764">
            <v>0</v>
          </cell>
        </row>
        <row r="766">
          <cell r="AJ766">
            <v>0</v>
          </cell>
        </row>
        <row r="767">
          <cell r="AJ767">
            <v>138.02000000000089</v>
          </cell>
        </row>
        <row r="768">
          <cell r="AJ768">
            <v>500.00000000000011</v>
          </cell>
        </row>
        <row r="769">
          <cell r="AJ769">
            <v>0</v>
          </cell>
        </row>
        <row r="770">
          <cell r="AJ770">
            <v>0</v>
          </cell>
        </row>
        <row r="771">
          <cell r="AJ771">
            <v>0</v>
          </cell>
        </row>
        <row r="772">
          <cell r="AJ772">
            <v>0</v>
          </cell>
        </row>
        <row r="773">
          <cell r="AJ773">
            <v>0</v>
          </cell>
        </row>
        <row r="774">
          <cell r="AJ774">
            <v>0</v>
          </cell>
        </row>
        <row r="775">
          <cell r="AJ775">
            <v>0</v>
          </cell>
        </row>
        <row r="776">
          <cell r="AJ776">
            <v>0</v>
          </cell>
        </row>
        <row r="777">
          <cell r="AJ777">
            <v>0</v>
          </cell>
        </row>
        <row r="778">
          <cell r="AJ778">
            <v>0</v>
          </cell>
        </row>
        <row r="779">
          <cell r="AJ779">
            <v>0</v>
          </cell>
        </row>
        <row r="780">
          <cell r="AJ780">
            <v>0</v>
          </cell>
        </row>
        <row r="783">
          <cell r="AJ783">
            <v>0</v>
          </cell>
        </row>
        <row r="784">
          <cell r="AJ784">
            <v>1026.6200000000003</v>
          </cell>
        </row>
        <row r="785">
          <cell r="AJ785">
            <v>17703.120000000003</v>
          </cell>
        </row>
        <row r="786">
          <cell r="AJ786">
            <v>2565</v>
          </cell>
        </row>
        <row r="787">
          <cell r="AJ787">
            <v>0</v>
          </cell>
        </row>
        <row r="788">
          <cell r="AJ788">
            <v>120</v>
          </cell>
        </row>
        <row r="789">
          <cell r="AJ789">
            <v>113.00000000000017</v>
          </cell>
        </row>
        <row r="790">
          <cell r="AJ790">
            <v>0</v>
          </cell>
        </row>
        <row r="791">
          <cell r="AJ791">
            <v>0</v>
          </cell>
        </row>
        <row r="793">
          <cell r="AJ793">
            <v>82.930000000000064</v>
          </cell>
        </row>
        <row r="794">
          <cell r="AJ794">
            <v>0</v>
          </cell>
        </row>
        <row r="795">
          <cell r="AJ795">
            <v>0</v>
          </cell>
        </row>
        <row r="796">
          <cell r="AJ796">
            <v>0</v>
          </cell>
        </row>
        <row r="797">
          <cell r="AJ797">
            <v>0</v>
          </cell>
        </row>
        <row r="798">
          <cell r="AJ798">
            <v>0</v>
          </cell>
        </row>
        <row r="799">
          <cell r="AJ799">
            <v>0</v>
          </cell>
        </row>
        <row r="800">
          <cell r="AJ800">
            <v>0</v>
          </cell>
        </row>
        <row r="801">
          <cell r="AJ801">
            <v>0</v>
          </cell>
        </row>
        <row r="802">
          <cell r="AJ802">
            <v>69506.820000000065</v>
          </cell>
        </row>
        <row r="803">
          <cell r="AJ803">
            <v>0</v>
          </cell>
        </row>
        <row r="804">
          <cell r="AJ804">
            <v>0</v>
          </cell>
        </row>
        <row r="805">
          <cell r="AJ805">
            <v>0</v>
          </cell>
        </row>
        <row r="806">
          <cell r="AJ806">
            <v>0</v>
          </cell>
        </row>
        <row r="807">
          <cell r="AJ807">
            <v>0</v>
          </cell>
        </row>
        <row r="808">
          <cell r="AJ808">
            <v>0</v>
          </cell>
        </row>
        <row r="809">
          <cell r="AJ809">
            <v>29116.536774787935</v>
          </cell>
        </row>
        <row r="810">
          <cell r="AJ810">
            <v>29116.536774787935</v>
          </cell>
        </row>
        <row r="811">
          <cell r="AJ811">
            <v>0</v>
          </cell>
        </row>
        <row r="812">
          <cell r="AJ812">
            <v>339153.5167747885</v>
          </cell>
        </row>
        <row r="813">
          <cell r="AJ813">
            <v>0</v>
          </cell>
        </row>
        <row r="814">
          <cell r="AJ814">
            <v>0</v>
          </cell>
        </row>
        <row r="815">
          <cell r="AJ815">
            <v>0</v>
          </cell>
        </row>
        <row r="816">
          <cell r="AJ816">
            <v>0</v>
          </cell>
        </row>
        <row r="817">
          <cell r="AJ817">
            <v>0</v>
          </cell>
        </row>
        <row r="818">
          <cell r="AJ818">
            <v>0</v>
          </cell>
        </row>
        <row r="819">
          <cell r="AJ819">
            <v>0</v>
          </cell>
        </row>
        <row r="820">
          <cell r="AJ820">
            <v>0</v>
          </cell>
        </row>
        <row r="821">
          <cell r="AJ821">
            <v>0</v>
          </cell>
        </row>
        <row r="822">
          <cell r="AJ822">
            <v>0</v>
          </cell>
        </row>
        <row r="823">
          <cell r="AJ823">
            <v>0</v>
          </cell>
        </row>
        <row r="824">
          <cell r="AJ824">
            <v>996.4900000000016</v>
          </cell>
        </row>
        <row r="825">
          <cell r="AJ825">
            <v>-110187.26310903742</v>
          </cell>
        </row>
        <row r="826">
          <cell r="AJ826">
            <v>-1.9899999999999984</v>
          </cell>
        </row>
        <row r="827">
          <cell r="AJ827">
            <v>0</v>
          </cell>
        </row>
        <row r="828">
          <cell r="AJ828">
            <v>4858.0800000000017</v>
          </cell>
        </row>
      </sheetData>
      <sheetData sheetId="3"/>
      <sheetData sheetId="4"/>
      <sheetData sheetId="5"/>
      <sheetData sheetId="6"/>
      <sheetData sheetId="7">
        <row r="11">
          <cell r="J11">
            <v>15318060.090000005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302">
          <cell r="AL302">
            <v>0</v>
          </cell>
        </row>
      </sheetData>
      <sheetData sheetId="21"/>
      <sheetData sheetId="22"/>
      <sheetData sheetId="23"/>
      <sheetData sheetId="24"/>
      <sheetData sheetId="25"/>
      <sheetData sheetId="26"/>
      <sheetData sheetId="27"/>
      <sheetData sheetId="28"/>
      <sheetData sheetId="29"/>
      <sheetData sheetId="30"/>
      <sheetData sheetId="31">
        <row r="348">
          <cell r="AG348">
            <v>-66445.639999999665</v>
          </cell>
        </row>
      </sheetData>
      <sheetData sheetId="32"/>
      <sheetData sheetId="33"/>
      <sheetData sheetId="34"/>
      <sheetData sheetId="35"/>
      <sheetData sheetId="36">
        <row r="151">
          <cell r="J151">
            <v>-102611.43</v>
          </cell>
        </row>
      </sheetData>
      <sheetData sheetId="37"/>
      <sheetData sheetId="38"/>
      <sheetData sheetId="39"/>
      <sheetData sheetId="40">
        <row r="151">
          <cell r="R151">
            <v>0</v>
          </cell>
        </row>
      </sheetData>
      <sheetData sheetId="41"/>
      <sheetData sheetId="42"/>
      <sheetData sheetId="4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יתרות בינחברתיות"/>
      <sheetName val="Revenues"/>
      <sheetName val="ביאורים לדוחות הכספיים"/>
      <sheetName val="Accrued expenses"/>
      <sheetName val="FA"/>
      <sheetName val="Consolidation"/>
      <sheetName val="Prepaid expenses"/>
      <sheetName val="Post-Closing Withdrawl Updated"/>
      <sheetName val="Post-Closing Withdrawl"/>
      <sheetName val="נתונים לשינוי"/>
      <sheetName val="FS AU"/>
      <sheetName val="תזרים מאוחד ב-$"/>
      <sheetName val="606-Prepaid Comm&amp;DR SUB"/>
      <sheetName val="תזרים Algosec LTD בש&quot;ח"/>
      <sheetName val="מאזן בוחן EUROPE"/>
      <sheetName val="פ.נ. EUROPE"/>
      <sheetName val="Tax UK"/>
      <sheetName val="העמסת הנה&quot;כ (UK)"/>
      <sheetName val="NEW TP EU"/>
      <sheetName val="FS EU"/>
      <sheetName val="מאזן בוחן Australia"/>
      <sheetName val="פ.נ. Australia"/>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provision"/>
      <sheetName val="India - Allocation"/>
    </sheetNames>
    <sheetDataSet>
      <sheetData sheetId="0"/>
      <sheetData sheetId="1">
        <row r="370">
          <cell r="AL370">
            <v>-745.2000000000013</v>
          </cell>
        </row>
        <row r="371">
          <cell r="AL371">
            <v>-146892.39000000013</v>
          </cell>
        </row>
        <row r="372">
          <cell r="AL372">
            <v>0</v>
          </cell>
        </row>
        <row r="373">
          <cell r="AL373">
            <v>-10653.570000000014</v>
          </cell>
        </row>
        <row r="374">
          <cell r="AL374">
            <v>10653.57</v>
          </cell>
        </row>
        <row r="375">
          <cell r="AL375">
            <v>0</v>
          </cell>
        </row>
        <row r="376">
          <cell r="AL376">
            <v>-16549.739999999991</v>
          </cell>
        </row>
        <row r="377">
          <cell r="AL377">
            <v>-235605.30000000025</v>
          </cell>
        </row>
        <row r="378">
          <cell r="AL378">
            <v>0</v>
          </cell>
        </row>
        <row r="379">
          <cell r="AL379">
            <v>-811.17999999999984</v>
          </cell>
        </row>
        <row r="380">
          <cell r="AL380">
            <v>-321003.89999999973</v>
          </cell>
        </row>
        <row r="381">
          <cell r="AL381">
            <v>0</v>
          </cell>
        </row>
        <row r="382">
          <cell r="AL382">
            <v>-58419.650000000052</v>
          </cell>
        </row>
        <row r="383">
          <cell r="AL383">
            <v>-741.04999999999973</v>
          </cell>
        </row>
        <row r="384">
          <cell r="AL384">
            <v>0</v>
          </cell>
        </row>
        <row r="385">
          <cell r="AL385">
            <v>-6519.3200000000006</v>
          </cell>
        </row>
        <row r="386">
          <cell r="AL386">
            <v>0</v>
          </cell>
        </row>
        <row r="387">
          <cell r="AL387">
            <v>71465.5</v>
          </cell>
        </row>
        <row r="388">
          <cell r="AL388">
            <v>0</v>
          </cell>
        </row>
        <row r="389">
          <cell r="AL389">
            <v>-8646.25</v>
          </cell>
        </row>
        <row r="390">
          <cell r="AL390">
            <v>0</v>
          </cell>
        </row>
        <row r="391">
          <cell r="AL391">
            <v>0</v>
          </cell>
        </row>
        <row r="392">
          <cell r="AL392">
            <v>-18117.729999999996</v>
          </cell>
        </row>
        <row r="393">
          <cell r="AL393">
            <v>-516.41999999999985</v>
          </cell>
        </row>
        <row r="394">
          <cell r="AL394">
            <v>0</v>
          </cell>
        </row>
        <row r="395">
          <cell r="AL395">
            <v>745.14000000000021</v>
          </cell>
        </row>
        <row r="408">
          <cell r="AK408">
            <v>990822.44000000041</v>
          </cell>
        </row>
        <row r="409">
          <cell r="AK409">
            <v>18889.859999999997</v>
          </cell>
        </row>
        <row r="410">
          <cell r="AK410">
            <v>35072.38999999997</v>
          </cell>
        </row>
        <row r="411">
          <cell r="AK411">
            <v>362.25</v>
          </cell>
        </row>
        <row r="412">
          <cell r="AK412">
            <v>44799.84000000004</v>
          </cell>
        </row>
        <row r="413">
          <cell r="AK413">
            <v>0</v>
          </cell>
        </row>
        <row r="414">
          <cell r="AK414">
            <v>0</v>
          </cell>
        </row>
        <row r="415">
          <cell r="AK415">
            <v>246360.33999999997</v>
          </cell>
        </row>
        <row r="417">
          <cell r="AK417">
            <v>93509.549999999988</v>
          </cell>
        </row>
        <row r="418">
          <cell r="AK418">
            <v>18263.352798605076</v>
          </cell>
        </row>
        <row r="419">
          <cell r="AK419">
            <v>0</v>
          </cell>
        </row>
        <row r="420">
          <cell r="AK420">
            <v>136109.26999999979</v>
          </cell>
        </row>
        <row r="421">
          <cell r="AK421">
            <v>17436.79</v>
          </cell>
        </row>
        <row r="422">
          <cell r="AK422">
            <v>9278</v>
          </cell>
        </row>
        <row r="423">
          <cell r="AK423">
            <v>20526.520000000004</v>
          </cell>
        </row>
        <row r="424">
          <cell r="AK424">
            <v>0</v>
          </cell>
        </row>
        <row r="425">
          <cell r="AK425">
            <v>-9318.260000000002</v>
          </cell>
        </row>
        <row r="426">
          <cell r="AK426">
            <v>0</v>
          </cell>
        </row>
        <row r="427">
          <cell r="AK427">
            <v>1622112.3427986053</v>
          </cell>
        </row>
        <row r="428">
          <cell r="AK428">
            <v>0</v>
          </cell>
        </row>
        <row r="429">
          <cell r="AK429">
            <v>0</v>
          </cell>
        </row>
        <row r="430">
          <cell r="AK430">
            <v>0</v>
          </cell>
        </row>
        <row r="431">
          <cell r="AK431">
            <v>-2.8421709430404007E-14</v>
          </cell>
        </row>
        <row r="432">
          <cell r="AK432">
            <v>0</v>
          </cell>
        </row>
        <row r="433">
          <cell r="AK433">
            <v>0</v>
          </cell>
        </row>
        <row r="434">
          <cell r="AK434">
            <v>0</v>
          </cell>
        </row>
        <row r="435">
          <cell r="AK435">
            <v>18186.28</v>
          </cell>
        </row>
        <row r="436">
          <cell r="AK436">
            <v>312.5</v>
          </cell>
        </row>
        <row r="437">
          <cell r="AK437">
            <v>75367.730000000069</v>
          </cell>
        </row>
        <row r="438">
          <cell r="AK438">
            <v>0</v>
          </cell>
        </row>
        <row r="439">
          <cell r="AK439">
            <v>99.679999999995744</v>
          </cell>
        </row>
        <row r="441">
          <cell r="AK441">
            <v>0</v>
          </cell>
        </row>
        <row r="442">
          <cell r="AK442">
            <v>0</v>
          </cell>
        </row>
        <row r="443">
          <cell r="AK443">
            <v>-1.1368683772161603E-13</v>
          </cell>
        </row>
        <row r="444">
          <cell r="AK444">
            <v>-1.1368683772161603E-13</v>
          </cell>
        </row>
        <row r="445">
          <cell r="AK445">
            <v>0</v>
          </cell>
        </row>
        <row r="446">
          <cell r="AK446">
            <v>11478.150000000001</v>
          </cell>
        </row>
        <row r="447">
          <cell r="AK447">
            <v>0</v>
          </cell>
        </row>
        <row r="448">
          <cell r="AK448">
            <v>533.10000000000014</v>
          </cell>
        </row>
        <row r="449">
          <cell r="AK449">
            <v>1747.9099999999999</v>
          </cell>
        </row>
        <row r="450">
          <cell r="AK450">
            <v>0</v>
          </cell>
        </row>
        <row r="451">
          <cell r="AK451">
            <v>107725.34999999999</v>
          </cell>
        </row>
        <row r="452">
          <cell r="AK452">
            <v>0</v>
          </cell>
        </row>
        <row r="453">
          <cell r="AK453">
            <v>0</v>
          </cell>
        </row>
        <row r="454">
          <cell r="AK454">
            <v>0</v>
          </cell>
        </row>
        <row r="455">
          <cell r="AK455">
            <v>0</v>
          </cell>
        </row>
        <row r="456">
          <cell r="AK456">
            <v>0</v>
          </cell>
        </row>
        <row r="457">
          <cell r="AK457">
            <v>0</v>
          </cell>
        </row>
        <row r="458">
          <cell r="AK458">
            <v>0</v>
          </cell>
        </row>
        <row r="459">
          <cell r="AK459">
            <v>0</v>
          </cell>
        </row>
        <row r="460">
          <cell r="AK460">
            <v>0</v>
          </cell>
        </row>
        <row r="461">
          <cell r="AK461">
            <v>0</v>
          </cell>
        </row>
        <row r="462">
          <cell r="AK462">
            <v>258064.09885857441</v>
          </cell>
        </row>
        <row r="463">
          <cell r="AK463">
            <v>258064.09885857441</v>
          </cell>
        </row>
        <row r="464">
          <cell r="AK464">
            <v>0</v>
          </cell>
        </row>
        <row r="465">
          <cell r="AK465">
            <v>1987901.7916571796</v>
          </cell>
        </row>
        <row r="466">
          <cell r="AK466">
            <v>0</v>
          </cell>
        </row>
        <row r="467">
          <cell r="AK467">
            <v>0</v>
          </cell>
        </row>
        <row r="468">
          <cell r="AK468">
            <v>56114.790000000008</v>
          </cell>
        </row>
        <row r="469">
          <cell r="AK469">
            <v>0</v>
          </cell>
        </row>
        <row r="470">
          <cell r="AK470">
            <v>1281.1800000000017</v>
          </cell>
        </row>
        <row r="473">
          <cell r="AK473">
            <v>6666.6700000000019</v>
          </cell>
        </row>
        <row r="474">
          <cell r="AK474">
            <v>111866.60999999991</v>
          </cell>
        </row>
        <row r="475">
          <cell r="AK475">
            <v>0</v>
          </cell>
        </row>
        <row r="476">
          <cell r="AK476">
            <v>23651.11</v>
          </cell>
        </row>
        <row r="477">
          <cell r="AK477">
            <v>0</v>
          </cell>
        </row>
        <row r="478">
          <cell r="AK478">
            <v>0</v>
          </cell>
        </row>
        <row r="479">
          <cell r="AK479">
            <v>0</v>
          </cell>
        </row>
        <row r="480">
          <cell r="AK480">
            <v>43952.049999999988</v>
          </cell>
        </row>
        <row r="481">
          <cell r="AK481">
            <v>4981.9500000000007</v>
          </cell>
        </row>
        <row r="482">
          <cell r="AK482">
            <v>6846.6599999999962</v>
          </cell>
        </row>
        <row r="484">
          <cell r="AK484">
            <v>0</v>
          </cell>
        </row>
        <row r="485">
          <cell r="AK485">
            <v>258423.02999999974</v>
          </cell>
        </row>
        <row r="486">
          <cell r="AK486">
            <v>0</v>
          </cell>
        </row>
        <row r="487">
          <cell r="AK487">
            <v>0</v>
          </cell>
        </row>
        <row r="488">
          <cell r="AK488">
            <v>0</v>
          </cell>
        </row>
        <row r="489">
          <cell r="AK489">
            <v>0</v>
          </cell>
        </row>
        <row r="490">
          <cell r="AK490">
            <v>0</v>
          </cell>
        </row>
        <row r="491">
          <cell r="AK491">
            <v>0</v>
          </cell>
        </row>
        <row r="492">
          <cell r="AK492">
            <v>0</v>
          </cell>
        </row>
        <row r="493">
          <cell r="AK493">
            <v>0</v>
          </cell>
        </row>
        <row r="494">
          <cell r="AK494">
            <v>377.14999999999941</v>
          </cell>
        </row>
        <row r="495">
          <cell r="AK495">
            <v>4437.1500000000078</v>
          </cell>
        </row>
        <row r="496">
          <cell r="AK496">
            <v>85.000000000000028</v>
          </cell>
        </row>
        <row r="497">
          <cell r="AK497">
            <v>0</v>
          </cell>
        </row>
        <row r="499">
          <cell r="AK499">
            <v>0</v>
          </cell>
        </row>
        <row r="500">
          <cell r="AK500">
            <v>0</v>
          </cell>
        </row>
        <row r="501">
          <cell r="AK501">
            <v>0</v>
          </cell>
        </row>
        <row r="502">
          <cell r="AK502">
            <v>0</v>
          </cell>
        </row>
        <row r="503">
          <cell r="AK503">
            <v>0</v>
          </cell>
        </row>
        <row r="505">
          <cell r="AK505">
            <v>0</v>
          </cell>
        </row>
        <row r="506">
          <cell r="AK506">
            <v>1913.6600000000008</v>
          </cell>
        </row>
        <row r="508">
          <cell r="AK508">
            <v>0</v>
          </cell>
        </row>
        <row r="509">
          <cell r="AK509">
            <v>0</v>
          </cell>
        </row>
        <row r="510">
          <cell r="AK510">
            <v>0</v>
          </cell>
        </row>
        <row r="511">
          <cell r="AK511">
            <v>0</v>
          </cell>
        </row>
        <row r="512">
          <cell r="AK512">
            <v>0</v>
          </cell>
        </row>
        <row r="513">
          <cell r="AK513">
            <v>0</v>
          </cell>
        </row>
        <row r="514">
          <cell r="AK514">
            <v>0</v>
          </cell>
        </row>
        <row r="515">
          <cell r="AK515">
            <v>0</v>
          </cell>
        </row>
        <row r="516">
          <cell r="AK516">
            <v>0</v>
          </cell>
        </row>
        <row r="517">
          <cell r="AK517">
            <v>0</v>
          </cell>
        </row>
        <row r="518">
          <cell r="AK518">
            <v>0</v>
          </cell>
        </row>
        <row r="519">
          <cell r="AK519">
            <v>0</v>
          </cell>
        </row>
        <row r="520">
          <cell r="AK520">
            <v>0</v>
          </cell>
        </row>
        <row r="521">
          <cell r="AK521">
            <v>0</v>
          </cell>
        </row>
        <row r="522">
          <cell r="AK522">
            <v>0</v>
          </cell>
        </row>
        <row r="523">
          <cell r="AK523">
            <v>7735.0699999999961</v>
          </cell>
        </row>
        <row r="524">
          <cell r="AK524">
            <v>16682.100000000006</v>
          </cell>
        </row>
        <row r="525">
          <cell r="AK525">
            <v>0</v>
          </cell>
        </row>
        <row r="528">
          <cell r="AK528">
            <v>685.60000000000218</v>
          </cell>
        </row>
        <row r="529">
          <cell r="AK529">
            <v>202333.91999999987</v>
          </cell>
        </row>
        <row r="531">
          <cell r="AK531">
            <v>72061.010000000009</v>
          </cell>
        </row>
        <row r="532">
          <cell r="AK532">
            <v>0</v>
          </cell>
        </row>
        <row r="533">
          <cell r="AK533">
            <v>198982.36</v>
          </cell>
        </row>
        <row r="534">
          <cell r="AK534">
            <v>0</v>
          </cell>
        </row>
        <row r="535">
          <cell r="AK535">
            <v>505293.02000000008</v>
          </cell>
        </row>
        <row r="536">
          <cell r="AK536">
            <v>0</v>
          </cell>
        </row>
        <row r="537">
          <cell r="AK537">
            <v>0</v>
          </cell>
        </row>
        <row r="538">
          <cell r="AK538">
            <v>45828.127260607755</v>
          </cell>
        </row>
        <row r="539">
          <cell r="AK539">
            <v>809544.17726060841</v>
          </cell>
        </row>
        <row r="540">
          <cell r="AK540">
            <v>0</v>
          </cell>
        </row>
        <row r="541">
          <cell r="AK541">
            <v>0</v>
          </cell>
        </row>
        <row r="542">
          <cell r="AK542">
            <v>0</v>
          </cell>
        </row>
        <row r="543">
          <cell r="AK543">
            <v>0</v>
          </cell>
        </row>
        <row r="544">
          <cell r="AK544">
            <v>82204.590000000127</v>
          </cell>
        </row>
        <row r="545">
          <cell r="AK545">
            <v>0</v>
          </cell>
        </row>
        <row r="546">
          <cell r="AK546">
            <v>-26.68999999999869</v>
          </cell>
        </row>
        <row r="547">
          <cell r="AK547">
            <v>0</v>
          </cell>
        </row>
        <row r="548">
          <cell r="AK548">
            <v>40312.520976460335</v>
          </cell>
        </row>
        <row r="549">
          <cell r="AK549">
            <v>0</v>
          </cell>
        </row>
        <row r="550">
          <cell r="AK550">
            <v>11099.100000000015</v>
          </cell>
        </row>
        <row r="551">
          <cell r="AK551">
            <v>0</v>
          </cell>
        </row>
        <row r="552">
          <cell r="AK552">
            <v>0</v>
          </cell>
        </row>
        <row r="553">
          <cell r="AK553">
            <v>0</v>
          </cell>
        </row>
        <row r="554">
          <cell r="AK554">
            <v>69801.22</v>
          </cell>
        </row>
        <row r="555">
          <cell r="AK555">
            <v>0</v>
          </cell>
        </row>
        <row r="558">
          <cell r="AK558">
            <v>53172.040000000066</v>
          </cell>
        </row>
        <row r="559">
          <cell r="AK559">
            <v>0</v>
          </cell>
        </row>
        <row r="560">
          <cell r="AK560">
            <v>3239.7600000000007</v>
          </cell>
        </row>
        <row r="562">
          <cell r="AK562">
            <v>14472.830000000007</v>
          </cell>
        </row>
        <row r="563">
          <cell r="AK563">
            <v>0</v>
          </cell>
        </row>
        <row r="565">
          <cell r="AK565">
            <v>86850</v>
          </cell>
        </row>
        <row r="566">
          <cell r="AK566">
            <v>58133.390000000014</v>
          </cell>
        </row>
        <row r="567">
          <cell r="AK567">
            <v>0</v>
          </cell>
        </row>
        <row r="569">
          <cell r="AK569">
            <v>244560.55000000005</v>
          </cell>
        </row>
        <row r="570">
          <cell r="AK570">
            <v>0</v>
          </cell>
        </row>
        <row r="571">
          <cell r="AK571">
            <v>0</v>
          </cell>
        </row>
        <row r="572">
          <cell r="AK572">
            <v>665728.22097645979</v>
          </cell>
        </row>
        <row r="573">
          <cell r="AK573">
            <v>0</v>
          </cell>
        </row>
        <row r="574">
          <cell r="AK574">
            <v>54074.289999999979</v>
          </cell>
        </row>
        <row r="575">
          <cell r="AK575">
            <v>54074.289999999979</v>
          </cell>
        </row>
        <row r="576">
          <cell r="AK576">
            <v>0</v>
          </cell>
        </row>
        <row r="578">
          <cell r="AK578">
            <v>2430.8199999999983</v>
          </cell>
        </row>
        <row r="579">
          <cell r="AK579">
            <v>17801.859999999997</v>
          </cell>
        </row>
        <row r="580">
          <cell r="AK580">
            <v>669.62000000000285</v>
          </cell>
        </row>
        <row r="581">
          <cell r="AK581">
            <v>0</v>
          </cell>
        </row>
        <row r="582">
          <cell r="AK582">
            <v>20902.299999999996</v>
          </cell>
        </row>
        <row r="583">
          <cell r="AK583">
            <v>0</v>
          </cell>
        </row>
        <row r="584">
          <cell r="AK584">
            <v>90688.290000000212</v>
          </cell>
        </row>
        <row r="585">
          <cell r="AK585">
            <v>13075.579999999998</v>
          </cell>
        </row>
        <row r="586">
          <cell r="AK586">
            <v>14230.999999999993</v>
          </cell>
        </row>
        <row r="587">
          <cell r="AK587">
            <v>5825.5299999999979</v>
          </cell>
        </row>
        <row r="588">
          <cell r="AK588">
            <v>126.89999999999986</v>
          </cell>
        </row>
        <row r="589">
          <cell r="AK589">
            <v>1233.100000000004</v>
          </cell>
        </row>
        <row r="590">
          <cell r="AK590">
            <v>-2057.4999999999991</v>
          </cell>
        </row>
        <row r="591">
          <cell r="AK591">
            <v>16433.030000000006</v>
          </cell>
        </row>
        <row r="592">
          <cell r="AK592">
            <v>154.73000000000013</v>
          </cell>
        </row>
        <row r="593">
          <cell r="AK593">
            <v>133.64000000000044</v>
          </cell>
        </row>
        <row r="594">
          <cell r="AK594">
            <v>2881.929999999993</v>
          </cell>
        </row>
        <row r="595">
          <cell r="AK595">
            <v>78.970000000000027</v>
          </cell>
        </row>
        <row r="596">
          <cell r="AK596">
            <v>445.51000000000022</v>
          </cell>
        </row>
        <row r="597">
          <cell r="AK597">
            <v>-1370.15</v>
          </cell>
        </row>
        <row r="598">
          <cell r="AK598">
            <v>6152.4399999999914</v>
          </cell>
        </row>
        <row r="599">
          <cell r="AK599">
            <v>0</v>
          </cell>
        </row>
        <row r="600">
          <cell r="AK600">
            <v>5134.9799999999987</v>
          </cell>
        </row>
        <row r="601">
          <cell r="AK601">
            <v>0</v>
          </cell>
        </row>
        <row r="602">
          <cell r="AK602">
            <v>0</v>
          </cell>
        </row>
        <row r="603">
          <cell r="AK603">
            <v>1404385.9299999997</v>
          </cell>
        </row>
        <row r="604">
          <cell r="AK604">
            <v>95006.969999999972</v>
          </cell>
        </row>
        <row r="605">
          <cell r="AK605">
            <v>83342.629999999888</v>
          </cell>
        </row>
        <row r="606">
          <cell r="AK606">
            <v>115145.0199999999</v>
          </cell>
        </row>
        <row r="607">
          <cell r="AK607">
            <v>6727.7000000000044</v>
          </cell>
        </row>
        <row r="608">
          <cell r="AK608">
            <v>79809.650000000023</v>
          </cell>
        </row>
        <row r="609">
          <cell r="AK609">
            <v>36326.660000000003</v>
          </cell>
        </row>
        <row r="610">
          <cell r="AK610">
            <v>0</v>
          </cell>
        </row>
        <row r="611">
          <cell r="AK611">
            <v>0</v>
          </cell>
        </row>
        <row r="612">
          <cell r="AK612">
            <v>0</v>
          </cell>
        </row>
        <row r="613">
          <cell r="AK613">
            <v>20.490000000000009</v>
          </cell>
        </row>
        <row r="614">
          <cell r="AK614">
            <v>0</v>
          </cell>
        </row>
        <row r="615">
          <cell r="AK615">
            <v>0</v>
          </cell>
        </row>
        <row r="616">
          <cell r="AK616">
            <v>23224.639999999985</v>
          </cell>
        </row>
        <row r="617">
          <cell r="AK617">
            <v>10885.210000000006</v>
          </cell>
        </row>
        <row r="618">
          <cell r="AK618">
            <v>40.69</v>
          </cell>
        </row>
        <row r="619">
          <cell r="AK619">
            <v>24726.53</v>
          </cell>
        </row>
        <row r="620">
          <cell r="AK620">
            <v>7817.489999999998</v>
          </cell>
        </row>
        <row r="621">
          <cell r="AK621">
            <v>8793.0800000000017</v>
          </cell>
        </row>
        <row r="622">
          <cell r="AK622">
            <v>0</v>
          </cell>
        </row>
        <row r="623">
          <cell r="AK623">
            <v>-23224.639999999985</v>
          </cell>
        </row>
        <row r="624">
          <cell r="AK624">
            <v>-10885.210000000006</v>
          </cell>
        </row>
        <row r="625">
          <cell r="AK625">
            <v>-40.69</v>
          </cell>
        </row>
        <row r="626">
          <cell r="AK626">
            <v>-24726.53</v>
          </cell>
        </row>
        <row r="627">
          <cell r="AK627">
            <v>-7817.489999999998</v>
          </cell>
        </row>
        <row r="628">
          <cell r="AK628">
            <v>-8793.0800000000017</v>
          </cell>
        </row>
        <row r="629">
          <cell r="AK629">
            <v>0</v>
          </cell>
        </row>
        <row r="630">
          <cell r="AK630">
            <v>0</v>
          </cell>
        </row>
        <row r="631">
          <cell r="AK631">
            <v>-1820743.9799999986</v>
          </cell>
        </row>
        <row r="632">
          <cell r="AK632">
            <v>0</v>
          </cell>
        </row>
        <row r="633">
          <cell r="AK633">
            <v>0</v>
          </cell>
        </row>
        <row r="634">
          <cell r="AK634">
            <v>0</v>
          </cell>
        </row>
        <row r="635">
          <cell r="AK635">
            <v>0</v>
          </cell>
        </row>
        <row r="636">
          <cell r="AK636">
            <v>0</v>
          </cell>
        </row>
        <row r="637">
          <cell r="AK637">
            <v>0</v>
          </cell>
        </row>
        <row r="638">
          <cell r="AK638">
            <v>168.68000000000029</v>
          </cell>
        </row>
        <row r="639">
          <cell r="AK639">
            <v>0</v>
          </cell>
        </row>
        <row r="640">
          <cell r="AK640">
            <v>0</v>
          </cell>
        </row>
        <row r="641">
          <cell r="AK641">
            <v>0</v>
          </cell>
        </row>
        <row r="642">
          <cell r="AK642">
            <v>0</v>
          </cell>
        </row>
        <row r="643">
          <cell r="AK643">
            <v>0</v>
          </cell>
        </row>
        <row r="644">
          <cell r="AK644">
            <v>1885.8299999999979</v>
          </cell>
        </row>
        <row r="645">
          <cell r="AK645">
            <v>3294.2399999999989</v>
          </cell>
        </row>
        <row r="646">
          <cell r="AK646">
            <v>0</v>
          </cell>
        </row>
        <row r="647">
          <cell r="AK647">
            <v>0</v>
          </cell>
        </row>
        <row r="648">
          <cell r="AK648">
            <v>0</v>
          </cell>
        </row>
        <row r="649">
          <cell r="AK649">
            <v>0</v>
          </cell>
        </row>
        <row r="650">
          <cell r="AK650">
            <v>0</v>
          </cell>
        </row>
        <row r="651">
          <cell r="AK651">
            <v>0</v>
          </cell>
        </row>
        <row r="652">
          <cell r="AK652">
            <v>0</v>
          </cell>
        </row>
        <row r="653">
          <cell r="AK653">
            <v>0</v>
          </cell>
        </row>
        <row r="654">
          <cell r="AK654">
            <v>0</v>
          </cell>
        </row>
        <row r="655">
          <cell r="AK655">
            <v>0</v>
          </cell>
        </row>
        <row r="656">
          <cell r="AK656">
            <v>0</v>
          </cell>
        </row>
        <row r="658">
          <cell r="AK658">
            <v>589.60999999999979</v>
          </cell>
        </row>
        <row r="659">
          <cell r="AK659">
            <v>0</v>
          </cell>
        </row>
        <row r="660">
          <cell r="AK660">
            <v>24694.180000000004</v>
          </cell>
        </row>
        <row r="661">
          <cell r="AK661">
            <v>4191.66</v>
          </cell>
        </row>
        <row r="662">
          <cell r="AK662">
            <v>616.13000000000011</v>
          </cell>
        </row>
        <row r="663">
          <cell r="AK663">
            <v>0</v>
          </cell>
        </row>
        <row r="664">
          <cell r="AK664">
            <v>0</v>
          </cell>
        </row>
        <row r="665">
          <cell r="AK665">
            <v>0</v>
          </cell>
        </row>
        <row r="666">
          <cell r="AK666">
            <v>0</v>
          </cell>
        </row>
        <row r="667">
          <cell r="AK667">
            <v>188629.38000001354</v>
          </cell>
        </row>
        <row r="668">
          <cell r="AK668">
            <v>0</v>
          </cell>
        </row>
        <row r="669">
          <cell r="AK669">
            <v>0</v>
          </cell>
        </row>
        <row r="670">
          <cell r="AK670">
            <v>-383068.99585376889</v>
          </cell>
        </row>
        <row r="671">
          <cell r="AK671">
            <v>-383068.99585376889</v>
          </cell>
        </row>
        <row r="672">
          <cell r="AK672">
            <v>0</v>
          </cell>
        </row>
        <row r="673">
          <cell r="AK673">
            <v>0</v>
          </cell>
        </row>
        <row r="674">
          <cell r="AK674">
            <v>0</v>
          </cell>
        </row>
        <row r="675">
          <cell r="AK675">
            <v>0</v>
          </cell>
        </row>
        <row r="676">
          <cell r="AK676">
            <v>23405.409999999971</v>
          </cell>
        </row>
        <row r="677">
          <cell r="AK677">
            <v>7140.2599999999948</v>
          </cell>
        </row>
        <row r="678">
          <cell r="AK678">
            <v>245.52000000000038</v>
          </cell>
        </row>
        <row r="679">
          <cell r="AK679">
            <v>0</v>
          </cell>
        </row>
        <row r="680">
          <cell r="AK680">
            <v>0</v>
          </cell>
        </row>
        <row r="681">
          <cell r="AK681">
            <v>30791.190000000002</v>
          </cell>
        </row>
        <row r="682">
          <cell r="AK682">
            <v>0</v>
          </cell>
        </row>
        <row r="683">
          <cell r="AK683">
            <v>0</v>
          </cell>
        </row>
        <row r="684">
          <cell r="AK684">
            <v>0</v>
          </cell>
        </row>
        <row r="685">
          <cell r="AK685">
            <v>0</v>
          </cell>
        </row>
        <row r="686">
          <cell r="AK686">
            <v>577056.38512270537</v>
          </cell>
        </row>
        <row r="687">
          <cell r="AK687">
            <v>0</v>
          </cell>
        </row>
        <row r="688">
          <cell r="AK688">
            <v>0</v>
          </cell>
        </row>
        <row r="689">
          <cell r="AK689">
            <v>0</v>
          </cell>
        </row>
        <row r="690">
          <cell r="AK690">
            <v>0</v>
          </cell>
        </row>
        <row r="691">
          <cell r="AK691">
            <v>142931.42000000013</v>
          </cell>
        </row>
        <row r="692">
          <cell r="AK692">
            <v>0</v>
          </cell>
        </row>
        <row r="693">
          <cell r="AK693">
            <v>-61188.150000000009</v>
          </cell>
        </row>
        <row r="694">
          <cell r="AK694">
            <v>0</v>
          </cell>
        </row>
        <row r="701">
          <cell r="AK701">
            <v>3774.9000000000015</v>
          </cell>
        </row>
        <row r="702">
          <cell r="AK702">
            <v>-2275.8899999999994</v>
          </cell>
        </row>
        <row r="703">
          <cell r="AK703">
            <v>0</v>
          </cell>
        </row>
        <row r="704">
          <cell r="AK704">
            <v>0</v>
          </cell>
        </row>
        <row r="705">
          <cell r="AK705">
            <v>0</v>
          </cell>
        </row>
        <row r="706">
          <cell r="AK706">
            <v>13737.579999999998</v>
          </cell>
        </row>
        <row r="707">
          <cell r="AK707">
            <v>-5822.829999999999</v>
          </cell>
        </row>
        <row r="708">
          <cell r="AK708">
            <v>79165.25</v>
          </cell>
        </row>
        <row r="709">
          <cell r="AK709">
            <v>0</v>
          </cell>
        </row>
        <row r="710">
          <cell r="AK710">
            <v>0</v>
          </cell>
        </row>
        <row r="711">
          <cell r="AK711">
            <v>24342.07999999998</v>
          </cell>
        </row>
        <row r="712">
          <cell r="AK712">
            <v>0</v>
          </cell>
        </row>
        <row r="713">
          <cell r="AK713">
            <v>0</v>
          </cell>
        </row>
        <row r="714">
          <cell r="AK714">
            <v>191.67000000000019</v>
          </cell>
        </row>
        <row r="719">
          <cell r="AK719">
            <v>0</v>
          </cell>
        </row>
        <row r="723">
          <cell r="AK723">
            <v>12033</v>
          </cell>
        </row>
        <row r="724">
          <cell r="AK724">
            <v>8699</v>
          </cell>
        </row>
        <row r="725">
          <cell r="AK725">
            <v>0</v>
          </cell>
        </row>
        <row r="726">
          <cell r="AK726">
            <v>5175</v>
          </cell>
        </row>
        <row r="727">
          <cell r="AK727">
            <v>6311</v>
          </cell>
        </row>
        <row r="728">
          <cell r="AK728">
            <v>7000</v>
          </cell>
        </row>
        <row r="729">
          <cell r="AK729">
            <v>1458.6399999999976</v>
          </cell>
        </row>
        <row r="730">
          <cell r="AK730">
            <v>9833</v>
          </cell>
        </row>
        <row r="731">
          <cell r="AK731">
            <v>4500</v>
          </cell>
        </row>
        <row r="732">
          <cell r="AK732">
            <v>0</v>
          </cell>
        </row>
        <row r="733">
          <cell r="AK733">
            <v>0</v>
          </cell>
        </row>
        <row r="735">
          <cell r="AK735">
            <v>-19561.759999999998</v>
          </cell>
        </row>
        <row r="740">
          <cell r="AK740">
            <v>0</v>
          </cell>
        </row>
        <row r="741">
          <cell r="AK741">
            <v>41560</v>
          </cell>
        </row>
        <row r="742">
          <cell r="AK742">
            <v>12453</v>
          </cell>
        </row>
        <row r="743">
          <cell r="AK743">
            <v>-56801</v>
          </cell>
        </row>
        <row r="744">
          <cell r="AK744">
            <v>7976.5</v>
          </cell>
        </row>
        <row r="745">
          <cell r="AK745">
            <v>-5103.6900000000005</v>
          </cell>
        </row>
        <row r="746">
          <cell r="AK746">
            <v>0</v>
          </cell>
        </row>
        <row r="747">
          <cell r="AK747">
            <v>230388.72000000079</v>
          </cell>
        </row>
        <row r="748">
          <cell r="AK748">
            <v>0</v>
          </cell>
        </row>
        <row r="749">
          <cell r="AK749">
            <v>0</v>
          </cell>
        </row>
        <row r="750">
          <cell r="AK750">
            <v>0</v>
          </cell>
        </row>
        <row r="751">
          <cell r="AK751">
            <v>0</v>
          </cell>
        </row>
        <row r="752">
          <cell r="AK752">
            <v>0</v>
          </cell>
        </row>
        <row r="753">
          <cell r="AK753">
            <v>0</v>
          </cell>
        </row>
        <row r="754">
          <cell r="AK754">
            <v>0</v>
          </cell>
        </row>
        <row r="755">
          <cell r="AK755">
            <v>0</v>
          </cell>
        </row>
        <row r="756">
          <cell r="AK756">
            <v>0</v>
          </cell>
        </row>
        <row r="757">
          <cell r="AK757">
            <v>-2.5579538487363607E-13</v>
          </cell>
        </row>
        <row r="758">
          <cell r="AK758">
            <v>0</v>
          </cell>
        </row>
        <row r="759">
          <cell r="AK759">
            <v>0</v>
          </cell>
        </row>
        <row r="760">
          <cell r="AK760">
            <v>3.1263880373444408E-13</v>
          </cell>
        </row>
        <row r="761">
          <cell r="AK761">
            <v>0</v>
          </cell>
        </row>
        <row r="762">
          <cell r="AK762">
            <v>0</v>
          </cell>
        </row>
        <row r="763">
          <cell r="AK763">
            <v>17738.469999999994</v>
          </cell>
        </row>
        <row r="764">
          <cell r="AK764">
            <v>17618.610000000004</v>
          </cell>
        </row>
        <row r="765">
          <cell r="AK765">
            <v>4178.8099999999922</v>
          </cell>
        </row>
        <row r="766">
          <cell r="AK766">
            <v>3970.1299999999992</v>
          </cell>
        </row>
        <row r="767">
          <cell r="AK767">
            <v>11444.760000000017</v>
          </cell>
        </row>
        <row r="768">
          <cell r="AK768">
            <v>0</v>
          </cell>
        </row>
        <row r="770">
          <cell r="AK770">
            <v>0</v>
          </cell>
        </row>
        <row r="771">
          <cell r="AK771">
            <v>-3431.4600000000014</v>
          </cell>
        </row>
        <row r="772">
          <cell r="AK772">
            <v>1299.9999999999995</v>
          </cell>
        </row>
        <row r="773">
          <cell r="AK773">
            <v>0</v>
          </cell>
        </row>
        <row r="774">
          <cell r="AK774">
            <v>0</v>
          </cell>
        </row>
        <row r="775">
          <cell r="AK775">
            <v>0</v>
          </cell>
        </row>
        <row r="776">
          <cell r="AK776">
            <v>0</v>
          </cell>
        </row>
        <row r="777">
          <cell r="AK777">
            <v>0</v>
          </cell>
        </row>
        <row r="778">
          <cell r="AK778">
            <v>0</v>
          </cell>
        </row>
        <row r="779">
          <cell r="AK779">
            <v>0</v>
          </cell>
        </row>
        <row r="780">
          <cell r="AK780">
            <v>0</v>
          </cell>
        </row>
        <row r="781">
          <cell r="AK781">
            <v>0</v>
          </cell>
        </row>
        <row r="782">
          <cell r="AK782">
            <v>-1280</v>
          </cell>
        </row>
        <row r="783">
          <cell r="AK783">
            <v>0</v>
          </cell>
        </row>
        <row r="784">
          <cell r="AK784">
            <v>0</v>
          </cell>
        </row>
        <row r="787">
          <cell r="AK787">
            <v>0</v>
          </cell>
        </row>
        <row r="788">
          <cell r="AK788">
            <v>2216.1599999999994</v>
          </cell>
        </row>
        <row r="789">
          <cell r="AK789">
            <v>16803.120000000003</v>
          </cell>
        </row>
        <row r="790">
          <cell r="AK790">
            <v>2565</v>
          </cell>
        </row>
        <row r="791">
          <cell r="AK791">
            <v>0</v>
          </cell>
        </row>
        <row r="792">
          <cell r="AK792">
            <v>0</v>
          </cell>
        </row>
        <row r="793">
          <cell r="AK793">
            <v>114.99999999999994</v>
          </cell>
        </row>
        <row r="794">
          <cell r="AK794">
            <v>147</v>
          </cell>
        </row>
        <row r="795">
          <cell r="AK795">
            <v>0</v>
          </cell>
        </row>
        <row r="797">
          <cell r="AK797">
            <v>85.629999999998972</v>
          </cell>
        </row>
        <row r="798">
          <cell r="AK798">
            <v>0</v>
          </cell>
        </row>
        <row r="799">
          <cell r="AK799">
            <v>0</v>
          </cell>
        </row>
        <row r="800">
          <cell r="AK800">
            <v>0</v>
          </cell>
        </row>
        <row r="801">
          <cell r="AK801">
            <v>0</v>
          </cell>
        </row>
        <row r="802">
          <cell r="AK802">
            <v>0</v>
          </cell>
        </row>
        <row r="803">
          <cell r="AK803">
            <v>0</v>
          </cell>
        </row>
        <row r="804">
          <cell r="AK804">
            <v>0</v>
          </cell>
        </row>
        <row r="805">
          <cell r="AK805">
            <v>0</v>
          </cell>
        </row>
        <row r="806">
          <cell r="AK806">
            <v>73471.229999999865</v>
          </cell>
        </row>
        <row r="807">
          <cell r="AK807">
            <v>0</v>
          </cell>
        </row>
        <row r="808">
          <cell r="AK808">
            <v>0</v>
          </cell>
        </row>
        <row r="809">
          <cell r="AK809">
            <v>0</v>
          </cell>
        </row>
        <row r="810">
          <cell r="AK810">
            <v>0</v>
          </cell>
        </row>
        <row r="811">
          <cell r="AK811">
            <v>0</v>
          </cell>
        </row>
        <row r="812">
          <cell r="AK812">
            <v>0</v>
          </cell>
        </row>
        <row r="813">
          <cell r="AK813">
            <v>79176.769734587404</v>
          </cell>
        </row>
        <row r="814">
          <cell r="AK814">
            <v>79176.769734587404</v>
          </cell>
        </row>
        <row r="815">
          <cell r="AK815">
            <v>0</v>
          </cell>
        </row>
        <row r="816">
          <cell r="AK816">
            <v>383036.71973458771</v>
          </cell>
        </row>
        <row r="817">
          <cell r="AK817">
            <v>0</v>
          </cell>
        </row>
        <row r="818">
          <cell r="AK818">
            <v>0</v>
          </cell>
        </row>
        <row r="819">
          <cell r="AK819">
            <v>0</v>
          </cell>
        </row>
        <row r="820">
          <cell r="AK820">
            <v>0</v>
          </cell>
        </row>
        <row r="821">
          <cell r="AK821">
            <v>0</v>
          </cell>
        </row>
        <row r="822">
          <cell r="AK822">
            <v>0</v>
          </cell>
        </row>
        <row r="823">
          <cell r="AK823">
            <v>0</v>
          </cell>
        </row>
        <row r="824">
          <cell r="AK824">
            <v>0</v>
          </cell>
        </row>
        <row r="825">
          <cell r="AK825">
            <v>0</v>
          </cell>
        </row>
        <row r="826">
          <cell r="AK826">
            <v>0</v>
          </cell>
        </row>
        <row r="827">
          <cell r="AK827">
            <v>0</v>
          </cell>
        </row>
        <row r="828">
          <cell r="AK828">
            <v>1313.4699999999993</v>
          </cell>
        </row>
        <row r="829">
          <cell r="AK829">
            <v>-511030.61734548537</v>
          </cell>
        </row>
        <row r="830">
          <cell r="AK830">
            <v>-0.66000000000000369</v>
          </cell>
        </row>
        <row r="831">
          <cell r="AK831">
            <v>0</v>
          </cell>
        </row>
        <row r="832">
          <cell r="AK832">
            <v>4701.3700000000099</v>
          </cell>
        </row>
      </sheetData>
      <sheetData sheetId="2"/>
      <sheetData sheetId="3"/>
      <sheetData sheetId="4"/>
      <sheetData sheetId="5"/>
      <sheetData sheetId="6"/>
      <sheetData sheetId="7"/>
      <sheetData sheetId="8"/>
      <sheetData sheetId="9"/>
      <sheetData sheetId="10"/>
      <sheetData sheetId="11"/>
      <sheetData sheetId="12">
        <row r="77">
          <cell r="N77">
            <v>-125341.20497121767</v>
          </cell>
        </row>
      </sheetData>
      <sheetData sheetId="13"/>
      <sheetData sheetId="14"/>
      <sheetData sheetId="15"/>
      <sheetData sheetId="16"/>
      <sheetData sheetId="17"/>
      <sheetData sheetId="18"/>
      <sheetData sheetId="19"/>
      <sheetData sheetId="20"/>
      <sheetData sheetId="21">
        <row r="299">
          <cell r="AM299">
            <v>-99912.31</v>
          </cell>
        </row>
      </sheetData>
      <sheetData sheetId="22"/>
      <sheetData sheetId="23"/>
      <sheetData sheetId="24"/>
      <sheetData sheetId="25"/>
      <sheetData sheetId="26"/>
      <sheetData sheetId="27">
        <row r="151">
          <cell r="AL151">
            <v>-11761.489999999996</v>
          </cell>
        </row>
      </sheetData>
      <sheetData sheetId="28"/>
      <sheetData sheetId="29"/>
      <sheetData sheetId="30"/>
      <sheetData sheetId="31">
        <row r="356">
          <cell r="AH356">
            <v>-1022481.1500000004</v>
          </cell>
        </row>
      </sheetData>
      <sheetData sheetId="32"/>
      <sheetData sheetId="33"/>
      <sheetData sheetId="34"/>
      <sheetData sheetId="35"/>
      <sheetData sheetId="36"/>
      <sheetData sheetId="37">
        <row r="151">
          <cell r="S151" t="str">
            <v>09.2020</v>
          </cell>
        </row>
      </sheetData>
      <sheetData sheetId="38"/>
      <sheetData sheetId="39"/>
      <sheetData sheetId="40"/>
      <sheetData sheetId="41">
        <row r="155">
          <cell r="S155">
            <v>-198982.24</v>
          </cell>
        </row>
        <row r="156">
          <cell r="S156">
            <v>0</v>
          </cell>
        </row>
      </sheetData>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יתרות בינחברתיות"/>
      <sheetName val="Revenues"/>
      <sheetName val="ביאורים לדוחות הכספיים"/>
      <sheetName val="Accrued expenses"/>
      <sheetName val="FA"/>
      <sheetName val="Consolidation"/>
      <sheetName val="Prepaid expenses"/>
      <sheetName val="Post-Closing Withdrawl Updated"/>
      <sheetName val="Post-Closing Withdrawl"/>
      <sheetName val="נתונים לשינוי"/>
      <sheetName val="תזרים מאוחד ב-$"/>
      <sheetName val="606-Prepaid Comm&amp;DR SUB"/>
      <sheetName val="תזרים Algosec LTD בש&quot;ח"/>
      <sheetName val="מאזן בוחן EUROPE"/>
      <sheetName val="פ.נ. EUROPE"/>
      <sheetName val="Tax UK"/>
      <sheetName val="העמסת הנה&quot;כ (UK)"/>
      <sheetName val="NEW TP EU"/>
      <sheetName val="FS EU"/>
      <sheetName val="מאזן בוחן Australia"/>
      <sheetName val="FS AU"/>
      <sheetName val="פ.נ. Australia"/>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provision"/>
      <sheetName val="India - Allocation"/>
      <sheetName val="כרטסת קוו אשראי"/>
    </sheetNames>
    <sheetDataSet>
      <sheetData sheetId="0" refreshError="1"/>
      <sheetData sheetId="1">
        <row r="387">
          <cell r="AM387">
            <v>-1263.0299999999993</v>
          </cell>
        </row>
        <row r="388">
          <cell r="AM388">
            <v>-245272.64999999991</v>
          </cell>
        </row>
        <row r="389">
          <cell r="AM389">
            <v>0</v>
          </cell>
        </row>
        <row r="390">
          <cell r="AM390">
            <v>-36449.49</v>
          </cell>
        </row>
        <row r="391">
          <cell r="AM391">
            <v>-10653.57</v>
          </cell>
        </row>
        <row r="392">
          <cell r="AM392">
            <v>0</v>
          </cell>
        </row>
        <row r="393">
          <cell r="AM393">
            <v>-16253.890000000021</v>
          </cell>
        </row>
        <row r="394">
          <cell r="AM394">
            <v>-247722.71000000017</v>
          </cell>
        </row>
        <row r="395">
          <cell r="AM395">
            <v>0</v>
          </cell>
        </row>
        <row r="396">
          <cell r="AM396">
            <v>-359.06999999999925</v>
          </cell>
        </row>
        <row r="397">
          <cell r="AM397">
            <v>-72425.180000000633</v>
          </cell>
        </row>
        <row r="398">
          <cell r="AM398">
            <v>0</v>
          </cell>
        </row>
        <row r="399">
          <cell r="AM399">
            <v>-64020.889999999985</v>
          </cell>
        </row>
        <row r="400">
          <cell r="AM400">
            <v>-741.05000000000018</v>
          </cell>
        </row>
        <row r="401">
          <cell r="AM401">
            <v>0</v>
          </cell>
        </row>
        <row r="402">
          <cell r="AM402">
            <v>-6620.2100000000073</v>
          </cell>
        </row>
        <row r="403">
          <cell r="AM403">
            <v>0</v>
          </cell>
        </row>
        <row r="404">
          <cell r="AM404">
            <v>63979.429999999993</v>
          </cell>
        </row>
        <row r="405">
          <cell r="AM405">
            <v>0</v>
          </cell>
        </row>
        <row r="406">
          <cell r="AM406">
            <v>-17355.12</v>
          </cell>
        </row>
        <row r="407">
          <cell r="AM407">
            <v>0</v>
          </cell>
        </row>
        <row r="408">
          <cell r="AM408">
            <v>0</v>
          </cell>
        </row>
        <row r="409">
          <cell r="AM409">
            <v>-8337</v>
          </cell>
        </row>
        <row r="410">
          <cell r="AM410">
            <v>-1168.9100000000001</v>
          </cell>
        </row>
        <row r="411">
          <cell r="AM411">
            <v>0</v>
          </cell>
        </row>
        <row r="412">
          <cell r="AM412">
            <v>-2.2737367544323206E-13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09">
          <cell r="AN309">
            <v>0</v>
          </cell>
        </row>
      </sheetData>
      <sheetData sheetId="21" refreshError="1"/>
      <sheetData sheetId="22" refreshError="1"/>
      <sheetData sheetId="23" refreshError="1"/>
      <sheetData sheetId="24" refreshError="1"/>
      <sheetData sheetId="25" refreshError="1"/>
      <sheetData sheetId="26">
        <row r="149">
          <cell r="AM149">
            <v>-19668.640000000021</v>
          </cell>
        </row>
      </sheetData>
      <sheetData sheetId="27" refreshError="1"/>
      <sheetData sheetId="28" refreshError="1"/>
      <sheetData sheetId="29" refreshError="1"/>
      <sheetData sheetId="30" refreshError="1"/>
      <sheetData sheetId="31">
        <row r="368">
          <cell r="AI368">
            <v>-198274.3599999994</v>
          </cell>
        </row>
      </sheetData>
      <sheetData sheetId="32" refreshError="1"/>
      <sheetData sheetId="33" refreshError="1"/>
      <sheetData sheetId="34" refreshError="1"/>
      <sheetData sheetId="35" refreshError="1"/>
      <sheetData sheetId="36" refreshError="1"/>
      <sheetData sheetId="37">
        <row r="162">
          <cell r="E162">
            <v>-184364.54</v>
          </cell>
        </row>
      </sheetData>
      <sheetData sheetId="38" refreshError="1"/>
      <sheetData sheetId="39" refreshError="1"/>
      <sheetData sheetId="40" refreshError="1"/>
      <sheetData sheetId="41">
        <row r="62">
          <cell r="K62">
            <v>26620.02</v>
          </cell>
        </row>
        <row r="159">
          <cell r="T159">
            <v>0</v>
          </cell>
        </row>
      </sheetData>
      <sheetData sheetId="42" refreshError="1"/>
      <sheetData sheetId="43" refreshError="1"/>
      <sheetData sheetId="44" refreshError="1"/>
      <sheetData sheetId="45" refreshError="1"/>
      <sheetData sheetId="4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יתרות בינחברתיות"/>
      <sheetName val="Revenues"/>
      <sheetName val="ביאורים לדוחות הכספיים"/>
      <sheetName val="Accrued expenses"/>
      <sheetName val="FA"/>
      <sheetName val="Consolidation"/>
      <sheetName val="Prepaid expenses"/>
      <sheetName val="Post-Closing Withdrawl Updated"/>
      <sheetName val="Post-Closing Withdrawl"/>
      <sheetName val="נתונים לשינוי"/>
      <sheetName val="תזרים מאוחד ב-$"/>
      <sheetName val="606-Prepaid Comm&amp;DR SUB"/>
      <sheetName val="תזרים Algosec LTD בש&quot;ח"/>
      <sheetName val="מאזן בוחן EUROPE"/>
      <sheetName val="פ.נ. EUROPE"/>
      <sheetName val="Tax UK"/>
      <sheetName val="העמסת הנה&quot;כ (UK)"/>
      <sheetName val="NEW TP EU"/>
      <sheetName val="FS EU"/>
      <sheetName val="מאזן בוחן Australia"/>
      <sheetName val="FS AU"/>
      <sheetName val="פ.נ. Australia"/>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provision"/>
      <sheetName val="India - Allocation"/>
      <sheetName val="כרטסת קוו אשראי"/>
    </sheetNames>
    <sheetDataSet>
      <sheetData sheetId="0"/>
      <sheetData sheetId="1">
        <row r="321">
          <cell r="J321">
            <v>-27018.86</v>
          </cell>
        </row>
        <row r="400">
          <cell r="AN400">
            <v>-3760.260000000002</v>
          </cell>
        </row>
        <row r="401">
          <cell r="AN401">
            <v>0</v>
          </cell>
        </row>
        <row r="402">
          <cell r="AN402">
            <v>0</v>
          </cell>
        </row>
        <row r="403">
          <cell r="AN403">
            <v>-10422</v>
          </cell>
        </row>
        <row r="404">
          <cell r="AN404">
            <v>0</v>
          </cell>
        </row>
        <row r="405">
          <cell r="AN405">
            <v>0</v>
          </cell>
        </row>
        <row r="406">
          <cell r="AN406">
            <v>-16268.660000000003</v>
          </cell>
        </row>
        <row r="407">
          <cell r="AN407">
            <v>-234029.31000000006</v>
          </cell>
        </row>
        <row r="408">
          <cell r="AN408">
            <v>0</v>
          </cell>
        </row>
        <row r="409">
          <cell r="AN409">
            <v>-201.36999999999898</v>
          </cell>
        </row>
        <row r="410">
          <cell r="AN410">
            <v>-107298.49999999977</v>
          </cell>
        </row>
        <row r="411">
          <cell r="AN411">
            <v>0</v>
          </cell>
        </row>
        <row r="412">
          <cell r="AN412">
            <v>-66170.819999999949</v>
          </cell>
        </row>
        <row r="413">
          <cell r="AN413">
            <v>-795.35000000000036</v>
          </cell>
        </row>
        <row r="414">
          <cell r="AN414">
            <v>0</v>
          </cell>
        </row>
        <row r="415">
          <cell r="AN415">
            <v>-6757.1599999999962</v>
          </cell>
        </row>
        <row r="416">
          <cell r="AN416">
            <v>0</v>
          </cell>
        </row>
        <row r="417">
          <cell r="AN417">
            <v>4332.6200000000099</v>
          </cell>
        </row>
        <row r="418">
          <cell r="AN418">
            <v>0</v>
          </cell>
        </row>
        <row r="419">
          <cell r="AN419">
            <v>0</v>
          </cell>
        </row>
        <row r="420">
          <cell r="AN420">
            <v>0</v>
          </cell>
        </row>
        <row r="421">
          <cell r="AN421">
            <v>0</v>
          </cell>
        </row>
        <row r="422">
          <cell r="AN422">
            <v>-1214</v>
          </cell>
        </row>
        <row r="423">
          <cell r="AN423">
            <v>-350.67000000000007</v>
          </cell>
        </row>
        <row r="424">
          <cell r="AN424">
            <v>0</v>
          </cell>
        </row>
        <row r="425">
          <cell r="AN425">
            <v>2483.0600000000004</v>
          </cell>
        </row>
        <row r="438">
          <cell r="AM438">
            <v>1014561.9700000007</v>
          </cell>
        </row>
        <row r="439">
          <cell r="AM439">
            <v>930.47000000000844</v>
          </cell>
        </row>
        <row r="440">
          <cell r="AM440">
            <v>18074.000000000029</v>
          </cell>
        </row>
        <row r="441">
          <cell r="AM441">
            <v>3454.7700000000041</v>
          </cell>
        </row>
        <row r="442">
          <cell r="AM442">
            <v>60228.349999999977</v>
          </cell>
        </row>
        <row r="443">
          <cell r="AM443">
            <v>0</v>
          </cell>
        </row>
        <row r="444">
          <cell r="AM444">
            <v>0</v>
          </cell>
        </row>
        <row r="445">
          <cell r="AM445">
            <v>231526.41999999946</v>
          </cell>
        </row>
        <row r="447">
          <cell r="AM447">
            <v>0</v>
          </cell>
        </row>
        <row r="448">
          <cell r="AM448">
            <v>0</v>
          </cell>
        </row>
        <row r="449">
          <cell r="AM449">
            <v>0</v>
          </cell>
        </row>
        <row r="450">
          <cell r="AM450">
            <v>151901.44999999972</v>
          </cell>
        </row>
        <row r="451">
          <cell r="AM451">
            <v>0</v>
          </cell>
        </row>
        <row r="452">
          <cell r="AM452">
            <v>9278.0000000000146</v>
          </cell>
        </row>
        <row r="453">
          <cell r="AM453">
            <v>0</v>
          </cell>
        </row>
        <row r="454">
          <cell r="AM454">
            <v>0</v>
          </cell>
        </row>
        <row r="455">
          <cell r="AM455">
            <v>0</v>
          </cell>
        </row>
        <row r="456">
          <cell r="AM456">
            <v>0</v>
          </cell>
        </row>
        <row r="457">
          <cell r="AM457">
            <v>1489955.4300000034</v>
          </cell>
        </row>
        <row r="458">
          <cell r="AM458">
            <v>0</v>
          </cell>
        </row>
        <row r="459">
          <cell r="AM459">
            <v>0</v>
          </cell>
        </row>
        <row r="460">
          <cell r="AM460">
            <v>0</v>
          </cell>
        </row>
        <row r="461">
          <cell r="AM461">
            <v>0</v>
          </cell>
        </row>
        <row r="462">
          <cell r="AM462">
            <v>0</v>
          </cell>
        </row>
        <row r="463">
          <cell r="AM463">
            <v>0</v>
          </cell>
        </row>
        <row r="464">
          <cell r="AM464">
            <v>0</v>
          </cell>
        </row>
        <row r="465">
          <cell r="AM465">
            <v>16641.469999999972</v>
          </cell>
        </row>
        <row r="466">
          <cell r="AM466">
            <v>318.26000000000022</v>
          </cell>
        </row>
        <row r="467">
          <cell r="AM467">
            <v>96656.510000000126</v>
          </cell>
        </row>
        <row r="468">
          <cell r="AM468">
            <v>0</v>
          </cell>
        </row>
        <row r="469">
          <cell r="AM469">
            <v>112.97000000000116</v>
          </cell>
        </row>
        <row r="471">
          <cell r="AM471">
            <v>0</v>
          </cell>
        </row>
        <row r="472">
          <cell r="AM472">
            <v>0</v>
          </cell>
        </row>
        <row r="473">
          <cell r="AM473">
            <v>0</v>
          </cell>
        </row>
        <row r="474">
          <cell r="AM474">
            <v>0</v>
          </cell>
        </row>
        <row r="475">
          <cell r="AM475">
            <v>0</v>
          </cell>
        </row>
        <row r="476">
          <cell r="AM476">
            <v>15041.619999999995</v>
          </cell>
        </row>
        <row r="477">
          <cell r="AM477">
            <v>158.45000000000027</v>
          </cell>
        </row>
        <row r="478">
          <cell r="AM478">
            <v>0</v>
          </cell>
        </row>
        <row r="479">
          <cell r="AM479">
            <v>1611.1899999999987</v>
          </cell>
        </row>
        <row r="480">
          <cell r="AM480">
            <v>0</v>
          </cell>
        </row>
        <row r="481">
          <cell r="AM481">
            <v>130540.46999999974</v>
          </cell>
        </row>
        <row r="482">
          <cell r="AM482">
            <v>0</v>
          </cell>
        </row>
        <row r="483">
          <cell r="AM483">
            <v>0</v>
          </cell>
        </row>
        <row r="484">
          <cell r="AM484">
            <v>0</v>
          </cell>
        </row>
        <row r="485">
          <cell r="AM485">
            <v>0</v>
          </cell>
        </row>
        <row r="486">
          <cell r="AM486">
            <v>0</v>
          </cell>
        </row>
        <row r="487">
          <cell r="AM487">
            <v>0</v>
          </cell>
        </row>
        <row r="488">
          <cell r="AM488">
            <v>0</v>
          </cell>
        </row>
        <row r="489">
          <cell r="AM489">
            <v>0</v>
          </cell>
        </row>
        <row r="490">
          <cell r="AM490">
            <v>0</v>
          </cell>
        </row>
        <row r="491">
          <cell r="AM491">
            <v>0</v>
          </cell>
        </row>
        <row r="492">
          <cell r="AM492">
            <v>184985.51466257684</v>
          </cell>
        </row>
        <row r="493">
          <cell r="AM493">
            <v>184985.51466257684</v>
          </cell>
        </row>
        <row r="494">
          <cell r="AM494">
            <v>0</v>
          </cell>
        </row>
        <row r="495">
          <cell r="AM495">
            <v>1805481.4146625772</v>
          </cell>
        </row>
        <row r="496">
          <cell r="AM496">
            <v>0</v>
          </cell>
        </row>
        <row r="497">
          <cell r="AM497">
            <v>0</v>
          </cell>
        </row>
        <row r="498">
          <cell r="AM498">
            <v>58084.039999999921</v>
          </cell>
        </row>
        <row r="499">
          <cell r="AM499">
            <v>0</v>
          </cell>
        </row>
        <row r="500">
          <cell r="AM500">
            <v>2802</v>
          </cell>
        </row>
        <row r="503">
          <cell r="AM503">
            <v>6666.669999999991</v>
          </cell>
        </row>
        <row r="504">
          <cell r="AM504">
            <v>115201.03000000038</v>
          </cell>
        </row>
        <row r="505">
          <cell r="AM505">
            <v>0</v>
          </cell>
        </row>
        <row r="506">
          <cell r="AM506">
            <v>3029</v>
          </cell>
        </row>
        <row r="507">
          <cell r="AM507">
            <v>0</v>
          </cell>
        </row>
        <row r="508">
          <cell r="AM508">
            <v>0</v>
          </cell>
        </row>
        <row r="509">
          <cell r="AM509">
            <v>0</v>
          </cell>
        </row>
        <row r="510">
          <cell r="AM510">
            <v>45474.300000000047</v>
          </cell>
        </row>
        <row r="511">
          <cell r="AM511">
            <v>1356</v>
          </cell>
        </row>
        <row r="512">
          <cell r="AM512">
            <v>0</v>
          </cell>
        </row>
        <row r="514">
          <cell r="AM514">
            <v>0</v>
          </cell>
        </row>
        <row r="515">
          <cell r="AM515">
            <v>232613.04000000004</v>
          </cell>
        </row>
        <row r="516">
          <cell r="AM516">
            <v>0</v>
          </cell>
        </row>
        <row r="517">
          <cell r="AM517">
            <v>0</v>
          </cell>
        </row>
        <row r="518">
          <cell r="AM518">
            <v>0</v>
          </cell>
        </row>
        <row r="519">
          <cell r="AM519">
            <v>0</v>
          </cell>
        </row>
        <row r="520">
          <cell r="AM520">
            <v>0</v>
          </cell>
        </row>
        <row r="521">
          <cell r="AM521">
            <v>0</v>
          </cell>
        </row>
        <row r="522">
          <cell r="AM522">
            <v>0</v>
          </cell>
        </row>
        <row r="523">
          <cell r="AM523">
            <v>161.22000000000025</v>
          </cell>
        </row>
        <row r="524">
          <cell r="AM524">
            <v>448.44999999999982</v>
          </cell>
        </row>
        <row r="525">
          <cell r="AM525">
            <v>4742.4399999999951</v>
          </cell>
        </row>
        <row r="526">
          <cell r="AM526">
            <v>84</v>
          </cell>
        </row>
        <row r="527">
          <cell r="AM527">
            <v>0</v>
          </cell>
        </row>
        <row r="529">
          <cell r="AM529">
            <v>0</v>
          </cell>
        </row>
        <row r="530">
          <cell r="AM530">
            <v>0</v>
          </cell>
        </row>
        <row r="531">
          <cell r="AM531">
            <v>0</v>
          </cell>
        </row>
        <row r="532">
          <cell r="AM532">
            <v>0</v>
          </cell>
        </row>
        <row r="533">
          <cell r="AM533">
            <v>0</v>
          </cell>
        </row>
        <row r="535">
          <cell r="AM535">
            <v>2532.56</v>
          </cell>
        </row>
        <row r="536">
          <cell r="AM536">
            <v>1913.6599999999999</v>
          </cell>
        </row>
        <row r="538">
          <cell r="AM538">
            <v>0</v>
          </cell>
        </row>
        <row r="539">
          <cell r="AM539">
            <v>0</v>
          </cell>
        </row>
        <row r="540">
          <cell r="AM540">
            <v>0</v>
          </cell>
        </row>
        <row r="541">
          <cell r="AM541">
            <v>0</v>
          </cell>
        </row>
        <row r="542">
          <cell r="AM542">
            <v>0</v>
          </cell>
        </row>
        <row r="543">
          <cell r="AM543">
            <v>0</v>
          </cell>
        </row>
        <row r="544">
          <cell r="AM544">
            <v>0</v>
          </cell>
        </row>
        <row r="545">
          <cell r="AM545">
            <v>0</v>
          </cell>
        </row>
        <row r="546">
          <cell r="AM546">
            <v>0</v>
          </cell>
        </row>
        <row r="547">
          <cell r="AM547">
            <v>0</v>
          </cell>
        </row>
        <row r="548">
          <cell r="AM548">
            <v>0</v>
          </cell>
        </row>
        <row r="549">
          <cell r="AM549">
            <v>0</v>
          </cell>
        </row>
        <row r="550">
          <cell r="AM550">
            <v>0</v>
          </cell>
        </row>
        <row r="551">
          <cell r="AM551">
            <v>0</v>
          </cell>
        </row>
        <row r="552">
          <cell r="AM552">
            <v>0</v>
          </cell>
        </row>
        <row r="553">
          <cell r="AM553">
            <v>7134.3400000000038</v>
          </cell>
        </row>
        <row r="554">
          <cell r="AM554">
            <v>33589.859999999986</v>
          </cell>
        </row>
        <row r="555">
          <cell r="AM555">
            <v>29.16</v>
          </cell>
        </row>
        <row r="558">
          <cell r="AM558">
            <v>430.96000000000276</v>
          </cell>
        </row>
        <row r="559">
          <cell r="AM559">
            <v>31638.130000000354</v>
          </cell>
        </row>
        <row r="561">
          <cell r="AM561">
            <v>0</v>
          </cell>
        </row>
        <row r="562">
          <cell r="AM562">
            <v>0</v>
          </cell>
        </row>
        <row r="563">
          <cell r="AM563">
            <v>800000</v>
          </cell>
        </row>
        <row r="564">
          <cell r="AM564">
            <v>0</v>
          </cell>
        </row>
        <row r="565">
          <cell r="AM565">
            <v>882704.78000000026</v>
          </cell>
        </row>
        <row r="566">
          <cell r="AM566">
            <v>0</v>
          </cell>
        </row>
        <row r="567">
          <cell r="AM567">
            <v>0</v>
          </cell>
        </row>
        <row r="568">
          <cell r="AM568">
            <v>33633.729938650271</v>
          </cell>
        </row>
        <row r="569">
          <cell r="AM569">
            <v>1148951.5499386499</v>
          </cell>
        </row>
        <row r="570">
          <cell r="AM570">
            <v>0</v>
          </cell>
        </row>
        <row r="571">
          <cell r="AM571">
            <v>0</v>
          </cell>
        </row>
        <row r="572">
          <cell r="AM572">
            <v>0</v>
          </cell>
        </row>
        <row r="573">
          <cell r="AM573">
            <v>0</v>
          </cell>
        </row>
        <row r="574">
          <cell r="AM574">
            <v>85107.620000000112</v>
          </cell>
        </row>
        <row r="575">
          <cell r="AM575">
            <v>-1.1368683772161603E-13</v>
          </cell>
        </row>
        <row r="576">
          <cell r="AM576">
            <v>9773</v>
          </cell>
        </row>
        <row r="577">
          <cell r="AM577">
            <v>0</v>
          </cell>
        </row>
        <row r="578">
          <cell r="AM578">
            <v>0</v>
          </cell>
        </row>
        <row r="579">
          <cell r="AM579">
            <v>0</v>
          </cell>
        </row>
        <row r="580">
          <cell r="AM580">
            <v>11460.699999999968</v>
          </cell>
        </row>
        <row r="581">
          <cell r="AM581">
            <v>0</v>
          </cell>
        </row>
        <row r="582">
          <cell r="AM582">
            <v>0</v>
          </cell>
        </row>
        <row r="583">
          <cell r="AM583">
            <v>0</v>
          </cell>
        </row>
        <row r="584">
          <cell r="AM584">
            <v>72235.190000000061</v>
          </cell>
        </row>
        <row r="585">
          <cell r="AM585">
            <v>0</v>
          </cell>
        </row>
        <row r="588">
          <cell r="AM588">
            <v>53785.669999999925</v>
          </cell>
        </row>
        <row r="589">
          <cell r="AM589">
            <v>0</v>
          </cell>
        </row>
        <row r="590">
          <cell r="AM590">
            <v>2774.9999999999964</v>
          </cell>
        </row>
        <row r="592">
          <cell r="AM592">
            <v>14975.209999999992</v>
          </cell>
        </row>
        <row r="593">
          <cell r="AM593">
            <v>0</v>
          </cell>
        </row>
        <row r="595">
          <cell r="AM595">
            <v>0</v>
          </cell>
        </row>
        <row r="596">
          <cell r="AM596">
            <v>60379.999999999884</v>
          </cell>
        </row>
        <row r="597">
          <cell r="AM597">
            <v>0</v>
          </cell>
        </row>
        <row r="599">
          <cell r="AM599">
            <v>0</v>
          </cell>
        </row>
        <row r="600">
          <cell r="AM600">
            <v>0</v>
          </cell>
        </row>
        <row r="601">
          <cell r="AM601">
            <v>0</v>
          </cell>
        </row>
        <row r="602">
          <cell r="AM602">
            <v>312054.3900000006</v>
          </cell>
        </row>
        <row r="603">
          <cell r="AM603">
            <v>0</v>
          </cell>
        </row>
        <row r="604">
          <cell r="AM604">
            <v>68882.90000000014</v>
          </cell>
        </row>
        <row r="605">
          <cell r="AM605">
            <v>68882.90000000014</v>
          </cell>
        </row>
        <row r="606">
          <cell r="AM606">
            <v>0</v>
          </cell>
        </row>
        <row r="608">
          <cell r="AM608">
            <v>2826.2999999999956</v>
          </cell>
        </row>
        <row r="609">
          <cell r="AM609">
            <v>13978.210000000006</v>
          </cell>
        </row>
        <row r="610">
          <cell r="AM610">
            <v>6222.3399999999965</v>
          </cell>
        </row>
        <row r="611">
          <cell r="AM611">
            <v>0</v>
          </cell>
        </row>
        <row r="612">
          <cell r="AM612">
            <v>23026.850000000006</v>
          </cell>
        </row>
        <row r="613">
          <cell r="AM613">
            <v>0</v>
          </cell>
        </row>
        <row r="614">
          <cell r="AM614">
            <v>91698.790000000037</v>
          </cell>
        </row>
        <row r="615">
          <cell r="AM615">
            <v>11753.139999999985</v>
          </cell>
        </row>
        <row r="616">
          <cell r="AM616">
            <v>13972.619999999981</v>
          </cell>
        </row>
        <row r="617">
          <cell r="AM617">
            <v>6896.07</v>
          </cell>
        </row>
        <row r="618">
          <cell r="AM618">
            <v>294.50000000000045</v>
          </cell>
        </row>
        <row r="619">
          <cell r="AM619">
            <v>3996.4199999999946</v>
          </cell>
        </row>
        <row r="620">
          <cell r="AM620">
            <v>184.59999999999945</v>
          </cell>
        </row>
        <row r="621">
          <cell r="AM621">
            <v>11091.339999999997</v>
          </cell>
        </row>
        <row r="622">
          <cell r="AM622">
            <v>590.78000000000065</v>
          </cell>
        </row>
        <row r="623">
          <cell r="AM623">
            <v>133.64000000000078</v>
          </cell>
        </row>
        <row r="624">
          <cell r="AM624">
            <v>2883.4900000000052</v>
          </cell>
        </row>
        <row r="625">
          <cell r="AM625">
            <v>155.5</v>
          </cell>
        </row>
        <row r="626">
          <cell r="AM626">
            <v>1957.38</v>
          </cell>
        </row>
        <row r="627">
          <cell r="AM627">
            <v>275.26000000000045</v>
          </cell>
        </row>
        <row r="628">
          <cell r="AM628">
            <v>37174.739999999991</v>
          </cell>
        </row>
        <row r="629">
          <cell r="AM629">
            <v>0</v>
          </cell>
        </row>
        <row r="630">
          <cell r="AM630">
            <v>1605.1599999999999</v>
          </cell>
        </row>
        <row r="631">
          <cell r="AM631">
            <v>0</v>
          </cell>
        </row>
        <row r="632">
          <cell r="AM632">
            <v>0</v>
          </cell>
        </row>
        <row r="633">
          <cell r="AM633">
            <v>1456166.2599999998</v>
          </cell>
        </row>
        <row r="634">
          <cell r="AM634">
            <v>96624.550000000047</v>
          </cell>
        </row>
        <row r="635">
          <cell r="AM635">
            <v>85198.909999999916</v>
          </cell>
        </row>
        <row r="636">
          <cell r="AM636">
            <v>117867.89999999991</v>
          </cell>
        </row>
        <row r="637">
          <cell r="AM637">
            <v>6915.0500000000029</v>
          </cell>
        </row>
        <row r="638">
          <cell r="AM638">
            <v>81567.709999999963</v>
          </cell>
        </row>
        <row r="639">
          <cell r="AM639">
            <v>1059.8699999999953</v>
          </cell>
        </row>
        <row r="640">
          <cell r="AM640">
            <v>0</v>
          </cell>
        </row>
        <row r="641">
          <cell r="AM641">
            <v>0</v>
          </cell>
        </row>
        <row r="642">
          <cell r="AM642">
            <v>0</v>
          </cell>
        </row>
        <row r="643">
          <cell r="AM643">
            <v>0</v>
          </cell>
        </row>
        <row r="644">
          <cell r="AM644">
            <v>0</v>
          </cell>
        </row>
        <row r="645">
          <cell r="AM645">
            <v>0</v>
          </cell>
        </row>
        <row r="646">
          <cell r="AM646">
            <v>23904.169999999984</v>
          </cell>
        </row>
        <row r="647">
          <cell r="AM647">
            <v>10716.14</v>
          </cell>
        </row>
        <row r="648">
          <cell r="AM648">
            <v>42.319999999999993</v>
          </cell>
        </row>
        <row r="649">
          <cell r="AM649">
            <v>26778.110000000015</v>
          </cell>
        </row>
        <row r="650">
          <cell r="AM650">
            <v>0</v>
          </cell>
        </row>
        <row r="651">
          <cell r="AM651">
            <v>8895.4099999999889</v>
          </cell>
        </row>
        <row r="652">
          <cell r="AM652">
            <v>0</v>
          </cell>
        </row>
        <row r="653">
          <cell r="AM653">
            <v>-23904.169999999984</v>
          </cell>
        </row>
        <row r="654">
          <cell r="AM654">
            <v>-10716.14</v>
          </cell>
        </row>
        <row r="655">
          <cell r="AM655">
            <v>-42.319999999999993</v>
          </cell>
        </row>
        <row r="656">
          <cell r="AM656">
            <v>-26778.110000000015</v>
          </cell>
        </row>
        <row r="657">
          <cell r="AM657">
            <v>0</v>
          </cell>
        </row>
        <row r="658">
          <cell r="AM658">
            <v>-8895.4099999999889</v>
          </cell>
        </row>
        <row r="659">
          <cell r="AM659">
            <v>0</v>
          </cell>
        </row>
        <row r="660">
          <cell r="AM660">
            <v>0</v>
          </cell>
        </row>
        <row r="661">
          <cell r="AM661">
            <v>-1845400.2399999984</v>
          </cell>
        </row>
        <row r="662">
          <cell r="AM662">
            <v>0</v>
          </cell>
        </row>
        <row r="663">
          <cell r="AM663">
            <v>0</v>
          </cell>
        </row>
        <row r="664">
          <cell r="AM664">
            <v>0</v>
          </cell>
        </row>
        <row r="665">
          <cell r="AM665">
            <v>0</v>
          </cell>
        </row>
        <row r="666">
          <cell r="AM666">
            <v>0</v>
          </cell>
        </row>
        <row r="667">
          <cell r="AM667">
            <v>0</v>
          </cell>
        </row>
        <row r="668">
          <cell r="AM668">
            <v>305.32999999999993</v>
          </cell>
        </row>
        <row r="669">
          <cell r="AM669">
            <v>0</v>
          </cell>
        </row>
        <row r="670">
          <cell r="AM670">
            <v>0</v>
          </cell>
        </row>
        <row r="671">
          <cell r="AM671">
            <v>0</v>
          </cell>
        </row>
        <row r="672">
          <cell r="AM672">
            <v>0</v>
          </cell>
        </row>
        <row r="673">
          <cell r="AM673">
            <v>0</v>
          </cell>
        </row>
        <row r="674">
          <cell r="AM674">
            <v>669.95000000000255</v>
          </cell>
        </row>
        <row r="675">
          <cell r="AM675">
            <v>3294.239999999998</v>
          </cell>
        </row>
        <row r="676">
          <cell r="AM676">
            <v>0</v>
          </cell>
        </row>
        <row r="677">
          <cell r="AM677">
            <v>0</v>
          </cell>
        </row>
        <row r="678">
          <cell r="AM678">
            <v>0</v>
          </cell>
        </row>
        <row r="679">
          <cell r="AM679">
            <v>0</v>
          </cell>
        </row>
        <row r="680">
          <cell r="AM680">
            <v>0</v>
          </cell>
        </row>
        <row r="681">
          <cell r="AM681">
            <v>0</v>
          </cell>
        </row>
        <row r="682">
          <cell r="AM682">
            <v>0</v>
          </cell>
        </row>
        <row r="683">
          <cell r="AM683">
            <v>0</v>
          </cell>
        </row>
        <row r="684">
          <cell r="AM684">
            <v>0</v>
          </cell>
        </row>
        <row r="685">
          <cell r="AM685">
            <v>0</v>
          </cell>
        </row>
        <row r="686">
          <cell r="AM686">
            <v>0</v>
          </cell>
        </row>
        <row r="688">
          <cell r="AM688">
            <v>589.60999999999876</v>
          </cell>
        </row>
        <row r="689">
          <cell r="AM689">
            <v>0</v>
          </cell>
        </row>
        <row r="690">
          <cell r="AM690">
            <v>20251.180000000051</v>
          </cell>
        </row>
        <row r="691">
          <cell r="AM691">
            <v>4191.7399999999907</v>
          </cell>
        </row>
        <row r="692">
          <cell r="AM692">
            <v>616.13000000000011</v>
          </cell>
        </row>
        <row r="693">
          <cell r="AM693">
            <v>0</v>
          </cell>
        </row>
        <row r="694">
          <cell r="AM694">
            <v>0</v>
          </cell>
        </row>
        <row r="695">
          <cell r="AM695">
            <v>0</v>
          </cell>
        </row>
        <row r="696">
          <cell r="AM696">
            <v>0</v>
          </cell>
        </row>
        <row r="697">
          <cell r="AM697">
            <v>214581.62000000081</v>
          </cell>
        </row>
        <row r="698">
          <cell r="AM698">
            <v>0</v>
          </cell>
        </row>
        <row r="699">
          <cell r="AM699">
            <v>0</v>
          </cell>
        </row>
        <row r="700">
          <cell r="AM700">
            <v>-252252.97453987738</v>
          </cell>
        </row>
        <row r="701">
          <cell r="AM701">
            <v>-252252.97453987738</v>
          </cell>
        </row>
        <row r="702">
          <cell r="AM702">
            <v>0</v>
          </cell>
        </row>
        <row r="703">
          <cell r="AM703">
            <v>0</v>
          </cell>
        </row>
        <row r="704">
          <cell r="AM704">
            <v>0</v>
          </cell>
        </row>
        <row r="705">
          <cell r="AM705">
            <v>0</v>
          </cell>
        </row>
        <row r="706">
          <cell r="AM706">
            <v>29736.399999999994</v>
          </cell>
        </row>
        <row r="707">
          <cell r="AM707">
            <v>0</v>
          </cell>
        </row>
        <row r="708">
          <cell r="AM708">
            <v>1038.2000000000007</v>
          </cell>
        </row>
        <row r="709">
          <cell r="AM709">
            <v>0</v>
          </cell>
        </row>
        <row r="710">
          <cell r="AM710">
            <v>0</v>
          </cell>
        </row>
        <row r="711">
          <cell r="AM711">
            <v>30774.599999999919</v>
          </cell>
        </row>
        <row r="712">
          <cell r="AM712">
            <v>0</v>
          </cell>
        </row>
        <row r="713">
          <cell r="AM713">
            <v>0</v>
          </cell>
        </row>
        <row r="714">
          <cell r="AM714">
            <v>0</v>
          </cell>
        </row>
        <row r="715">
          <cell r="AM715">
            <v>0</v>
          </cell>
        </row>
        <row r="716">
          <cell r="AM716">
            <v>397067.38546012621</v>
          </cell>
        </row>
        <row r="717">
          <cell r="AM717">
            <v>0</v>
          </cell>
        </row>
        <row r="718">
          <cell r="AM718">
            <v>0</v>
          </cell>
        </row>
        <row r="719">
          <cell r="AM719">
            <v>0</v>
          </cell>
        </row>
        <row r="720">
          <cell r="AM720">
            <v>0</v>
          </cell>
        </row>
        <row r="721">
          <cell r="AM721">
            <v>146982.15999999992</v>
          </cell>
        </row>
        <row r="722">
          <cell r="AM722">
            <v>0</v>
          </cell>
        </row>
        <row r="723">
          <cell r="AM723">
            <v>17395</v>
          </cell>
        </row>
        <row r="724">
          <cell r="AM724">
            <v>20801.86</v>
          </cell>
        </row>
        <row r="731">
          <cell r="AM731">
            <v>0</v>
          </cell>
        </row>
        <row r="732">
          <cell r="AM732">
            <v>0</v>
          </cell>
        </row>
        <row r="733">
          <cell r="AM733">
            <v>0</v>
          </cell>
        </row>
        <row r="734">
          <cell r="AM734">
            <v>0</v>
          </cell>
        </row>
        <row r="735">
          <cell r="AM735">
            <v>0</v>
          </cell>
        </row>
        <row r="736">
          <cell r="AM736">
            <v>14191.049999999988</v>
          </cell>
        </row>
        <row r="737">
          <cell r="AM737">
            <v>4395</v>
          </cell>
        </row>
        <row r="738">
          <cell r="AM738">
            <v>0</v>
          </cell>
        </row>
        <row r="739">
          <cell r="AM739">
            <v>0</v>
          </cell>
        </row>
        <row r="740">
          <cell r="AM740">
            <v>129.38000000000102</v>
          </cell>
        </row>
        <row r="741">
          <cell r="AM741">
            <v>26073.639999999985</v>
          </cell>
        </row>
        <row r="742">
          <cell r="AM742">
            <v>1950.0900000000001</v>
          </cell>
        </row>
        <row r="743">
          <cell r="AM743">
            <v>0</v>
          </cell>
        </row>
        <row r="744">
          <cell r="AM744">
            <v>201.01999999999998</v>
          </cell>
        </row>
        <row r="749">
          <cell r="AM749">
            <v>0</v>
          </cell>
        </row>
        <row r="753">
          <cell r="AM753">
            <v>12033</v>
          </cell>
        </row>
        <row r="754">
          <cell r="AM754">
            <v>2054</v>
          </cell>
        </row>
        <row r="755">
          <cell r="AM755">
            <v>0</v>
          </cell>
        </row>
        <row r="756">
          <cell r="AM756">
            <v>9000</v>
          </cell>
        </row>
        <row r="757">
          <cell r="AM757">
            <v>4818</v>
          </cell>
        </row>
        <row r="758">
          <cell r="AM758">
            <v>7000</v>
          </cell>
        </row>
        <row r="759">
          <cell r="AM759">
            <v>2396.0500000000029</v>
          </cell>
        </row>
        <row r="760">
          <cell r="AM760">
            <v>9833</v>
          </cell>
        </row>
        <row r="761">
          <cell r="AM761">
            <v>346.81000000000131</v>
          </cell>
        </row>
        <row r="762">
          <cell r="AM762">
            <v>0</v>
          </cell>
        </row>
        <row r="763">
          <cell r="AM763">
            <v>0</v>
          </cell>
        </row>
        <row r="765">
          <cell r="AM765">
            <v>2710.9999999999982</v>
          </cell>
        </row>
        <row r="770">
          <cell r="AM770">
            <v>0</v>
          </cell>
        </row>
        <row r="771">
          <cell r="AM771">
            <v>0</v>
          </cell>
        </row>
        <row r="772">
          <cell r="AM772">
            <v>0</v>
          </cell>
        </row>
        <row r="773">
          <cell r="AM773">
            <v>0</v>
          </cell>
        </row>
        <row r="774">
          <cell r="AM774">
            <v>0</v>
          </cell>
        </row>
        <row r="775">
          <cell r="AM775">
            <v>149.31999999999971</v>
          </cell>
        </row>
        <row r="776">
          <cell r="AM776">
            <v>0</v>
          </cell>
        </row>
        <row r="777">
          <cell r="AM777">
            <v>282460.38000000035</v>
          </cell>
        </row>
        <row r="778">
          <cell r="AM778">
            <v>0</v>
          </cell>
        </row>
        <row r="779">
          <cell r="AM779">
            <v>0</v>
          </cell>
        </row>
        <row r="780">
          <cell r="AM780">
            <v>0</v>
          </cell>
        </row>
        <row r="781">
          <cell r="AM781">
            <v>0</v>
          </cell>
        </row>
        <row r="782">
          <cell r="AM782">
            <v>0</v>
          </cell>
        </row>
        <row r="783">
          <cell r="AM783">
            <v>0</v>
          </cell>
        </row>
        <row r="784">
          <cell r="AM784">
            <v>0</v>
          </cell>
        </row>
        <row r="785">
          <cell r="AM785">
            <v>0</v>
          </cell>
        </row>
        <row r="786">
          <cell r="AM786">
            <v>0</v>
          </cell>
        </row>
        <row r="787">
          <cell r="AM787">
            <v>0</v>
          </cell>
        </row>
        <row r="788">
          <cell r="AM788">
            <v>0</v>
          </cell>
        </row>
        <row r="789">
          <cell r="AM789">
            <v>0</v>
          </cell>
        </row>
        <row r="790">
          <cell r="AM790">
            <v>0</v>
          </cell>
        </row>
        <row r="791">
          <cell r="AM791">
            <v>0</v>
          </cell>
        </row>
        <row r="792">
          <cell r="AM792">
            <v>0</v>
          </cell>
        </row>
        <row r="793">
          <cell r="AM793">
            <v>3255.2699999999895</v>
          </cell>
        </row>
        <row r="794">
          <cell r="AM794">
            <v>10831.370000000024</v>
          </cell>
        </row>
        <row r="795">
          <cell r="AM795">
            <v>2890.9900000000198</v>
          </cell>
        </row>
        <row r="796">
          <cell r="AM796">
            <v>4374.2799999999988</v>
          </cell>
        </row>
        <row r="797">
          <cell r="AM797">
            <v>13771.02999999997</v>
          </cell>
        </row>
        <row r="798">
          <cell r="AM798">
            <v>11844.08</v>
          </cell>
        </row>
        <row r="800">
          <cell r="AM800">
            <v>0</v>
          </cell>
        </row>
        <row r="801">
          <cell r="AM801">
            <v>152.89000000000033</v>
          </cell>
        </row>
        <row r="802">
          <cell r="AM802">
            <v>500.00000000000091</v>
          </cell>
        </row>
        <row r="803">
          <cell r="AM803">
            <v>0</v>
          </cell>
        </row>
        <row r="804">
          <cell r="AM804">
            <v>0</v>
          </cell>
        </row>
        <row r="805">
          <cell r="AM805">
            <v>0</v>
          </cell>
        </row>
        <row r="806">
          <cell r="AM806">
            <v>0</v>
          </cell>
        </row>
        <row r="807">
          <cell r="AM807">
            <v>0</v>
          </cell>
        </row>
        <row r="808">
          <cell r="AM808">
            <v>0</v>
          </cell>
        </row>
        <row r="809">
          <cell r="AM809">
            <v>0</v>
          </cell>
        </row>
        <row r="810">
          <cell r="AM810">
            <v>0</v>
          </cell>
        </row>
        <row r="811">
          <cell r="AM811">
            <v>0</v>
          </cell>
        </row>
        <row r="812">
          <cell r="AM812">
            <v>0</v>
          </cell>
        </row>
        <row r="813">
          <cell r="AM813">
            <v>0</v>
          </cell>
        </row>
        <row r="814">
          <cell r="AM814">
            <v>0</v>
          </cell>
        </row>
        <row r="817">
          <cell r="AM817">
            <v>0</v>
          </cell>
        </row>
        <row r="818">
          <cell r="AM818">
            <v>1757.6099999999969</v>
          </cell>
        </row>
        <row r="819">
          <cell r="AM819">
            <v>18291.339999999997</v>
          </cell>
        </row>
        <row r="820">
          <cell r="AM820">
            <v>2565</v>
          </cell>
        </row>
        <row r="821">
          <cell r="AM821">
            <v>1084.8899999999999</v>
          </cell>
        </row>
        <row r="822">
          <cell r="AM822">
            <v>111</v>
          </cell>
        </row>
        <row r="823">
          <cell r="AM823">
            <v>112.00000000000045</v>
          </cell>
        </row>
        <row r="824">
          <cell r="AM824">
            <v>51</v>
          </cell>
        </row>
        <row r="825">
          <cell r="AM825">
            <v>0</v>
          </cell>
        </row>
        <row r="827">
          <cell r="AM827">
            <v>83.25</v>
          </cell>
        </row>
        <row r="828">
          <cell r="AM828">
            <v>0</v>
          </cell>
        </row>
        <row r="829">
          <cell r="AM829">
            <v>0</v>
          </cell>
        </row>
        <row r="830">
          <cell r="AM830">
            <v>0</v>
          </cell>
        </row>
        <row r="831">
          <cell r="AM831">
            <v>0</v>
          </cell>
        </row>
        <row r="832">
          <cell r="AM832">
            <v>0</v>
          </cell>
        </row>
        <row r="833">
          <cell r="AM833">
            <v>0</v>
          </cell>
        </row>
        <row r="834">
          <cell r="AM834">
            <v>0</v>
          </cell>
        </row>
        <row r="835">
          <cell r="AM835">
            <v>0</v>
          </cell>
        </row>
        <row r="836">
          <cell r="AM836">
            <v>71676</v>
          </cell>
        </row>
        <row r="837">
          <cell r="AM837">
            <v>0</v>
          </cell>
        </row>
        <row r="838">
          <cell r="AM838">
            <v>0</v>
          </cell>
        </row>
        <row r="839">
          <cell r="AM839">
            <v>0</v>
          </cell>
        </row>
        <row r="840">
          <cell r="AM840">
            <v>0</v>
          </cell>
        </row>
        <row r="841">
          <cell r="AM841">
            <v>0</v>
          </cell>
        </row>
        <row r="842">
          <cell r="AM842">
            <v>0</v>
          </cell>
        </row>
        <row r="843">
          <cell r="AM843">
            <v>33633.729938650271</v>
          </cell>
        </row>
        <row r="844">
          <cell r="AM844">
            <v>33633.729938650271</v>
          </cell>
        </row>
        <row r="845">
          <cell r="AM845">
            <v>0</v>
          </cell>
        </row>
        <row r="846">
          <cell r="AM846">
            <v>387770.10993864946</v>
          </cell>
        </row>
        <row r="847">
          <cell r="AM847">
            <v>0</v>
          </cell>
        </row>
        <row r="848">
          <cell r="AM848">
            <v>0</v>
          </cell>
        </row>
        <row r="849">
          <cell r="AM849">
            <v>0</v>
          </cell>
        </row>
        <row r="850">
          <cell r="AM850">
            <v>0</v>
          </cell>
        </row>
        <row r="851">
          <cell r="AM851">
            <v>0</v>
          </cell>
        </row>
        <row r="852">
          <cell r="AM852">
            <v>0</v>
          </cell>
        </row>
        <row r="853">
          <cell r="AM853">
            <v>0</v>
          </cell>
        </row>
        <row r="854">
          <cell r="AM854">
            <v>0</v>
          </cell>
        </row>
        <row r="855">
          <cell r="AM855">
            <v>0</v>
          </cell>
        </row>
        <row r="856">
          <cell r="AM856">
            <v>0</v>
          </cell>
        </row>
        <row r="857">
          <cell r="AM857">
            <v>0</v>
          </cell>
        </row>
        <row r="858">
          <cell r="AM858">
            <v>1097.25</v>
          </cell>
        </row>
        <row r="859">
          <cell r="AM859">
            <v>-274607.52485006046</v>
          </cell>
        </row>
        <row r="860">
          <cell r="AM860">
            <v>-0.14999999999999858</v>
          </cell>
        </row>
        <row r="861">
          <cell r="AM861">
            <v>703.54</v>
          </cell>
        </row>
        <row r="862">
          <cell r="AM862">
            <v>4858.0800000000017</v>
          </cell>
        </row>
        <row r="863">
          <cell r="AM863"/>
        </row>
        <row r="864">
          <cell r="AM864"/>
        </row>
      </sheetData>
      <sheetData sheetId="2"/>
      <sheetData sheetId="3"/>
      <sheetData sheetId="4"/>
      <sheetData sheetId="5"/>
      <sheetData sheetId="6"/>
      <sheetData sheetId="7"/>
      <sheetData sheetId="8"/>
      <sheetData sheetId="9"/>
      <sheetData sheetId="10"/>
      <sheetData sheetId="11"/>
      <sheetData sheetId="12">
        <row r="11">
          <cell r="J11">
            <v>15653424.559999999</v>
          </cell>
        </row>
      </sheetData>
      <sheetData sheetId="13"/>
      <sheetData sheetId="14"/>
      <sheetData sheetId="15"/>
      <sheetData sheetId="16"/>
      <sheetData sheetId="17"/>
      <sheetData sheetId="18"/>
      <sheetData sheetId="19"/>
      <sheetData sheetId="20">
        <row r="309">
          <cell r="J309">
            <v>-1309645.07</v>
          </cell>
        </row>
      </sheetData>
      <sheetData sheetId="21"/>
      <sheetData sheetId="22"/>
      <sheetData sheetId="23"/>
      <sheetData sheetId="24"/>
      <sheetData sheetId="25"/>
      <sheetData sheetId="26">
        <row r="150">
          <cell r="AN150">
            <v>-98122.690000000061</v>
          </cell>
        </row>
      </sheetData>
      <sheetData sheetId="27"/>
      <sheetData sheetId="28"/>
      <sheetData sheetId="29"/>
      <sheetData sheetId="30"/>
      <sheetData sheetId="31">
        <row r="383">
          <cell r="AJ383">
            <v>-1606211.2300000004</v>
          </cell>
        </row>
      </sheetData>
      <sheetData sheetId="32"/>
      <sheetData sheetId="33"/>
      <sheetData sheetId="34"/>
      <sheetData sheetId="35"/>
      <sheetData sheetId="36"/>
      <sheetData sheetId="37">
        <row r="163">
          <cell r="U163">
            <v>-24373.72</v>
          </cell>
        </row>
      </sheetData>
      <sheetData sheetId="38"/>
      <sheetData sheetId="39"/>
      <sheetData sheetId="40"/>
      <sheetData sheetId="41">
        <row r="161">
          <cell r="U161">
            <v>-146936.76327126671</v>
          </cell>
        </row>
        <row r="162">
          <cell r="U162">
            <v>0</v>
          </cell>
        </row>
      </sheetData>
      <sheetData sheetId="42"/>
      <sheetData sheetId="43"/>
      <sheetData sheetId="44"/>
      <sheetData sheetId="45"/>
      <sheetData sheetId="4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מאזן בוחן EUROPE"/>
      <sheetName val="פ.נ. EUROPE"/>
      <sheetName val="Tax UK"/>
      <sheetName val="העמסת הנה&quot;כ (UK)"/>
      <sheetName val="NEW TP EU"/>
      <sheetName val="FS EU"/>
      <sheetName val="מאזן בוחן Australia"/>
      <sheetName val="פ.נ. Australia"/>
      <sheetName val="TP Australua"/>
      <sheetName val="FS AU"/>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efreshError="1"/>
      <sheetData sheetId="1">
        <row r="427">
          <cell r="AB427">
            <v>-408.03</v>
          </cell>
        </row>
        <row r="428">
          <cell r="AB428">
            <v>0</v>
          </cell>
        </row>
        <row r="429">
          <cell r="AB429">
            <v>0</v>
          </cell>
        </row>
        <row r="430">
          <cell r="AB430">
            <v>0</v>
          </cell>
        </row>
        <row r="431">
          <cell r="AB431">
            <v>-5186.6899999999996</v>
          </cell>
        </row>
        <row r="432">
          <cell r="AB432">
            <v>0</v>
          </cell>
        </row>
        <row r="433">
          <cell r="AB433">
            <v>-12707.34</v>
          </cell>
        </row>
        <row r="434">
          <cell r="AB434">
            <v>-260275.82</v>
          </cell>
        </row>
        <row r="435">
          <cell r="AB435">
            <v>0</v>
          </cell>
        </row>
        <row r="436">
          <cell r="AB436">
            <v>-141.94999999999999</v>
          </cell>
        </row>
        <row r="437">
          <cell r="AB437">
            <v>-14115.07</v>
          </cell>
        </row>
        <row r="438">
          <cell r="AB438">
            <v>0</v>
          </cell>
        </row>
        <row r="439">
          <cell r="AB439">
            <v>-69845.960000000006</v>
          </cell>
        </row>
        <row r="440">
          <cell r="AB440">
            <v>-360.62</v>
          </cell>
        </row>
        <row r="441">
          <cell r="AB441">
            <v>0</v>
          </cell>
        </row>
        <row r="442">
          <cell r="AB442">
            <v>-8222.4699999999993</v>
          </cell>
        </row>
        <row r="443">
          <cell r="AB443">
            <v>0</v>
          </cell>
        </row>
        <row r="444">
          <cell r="AB444">
            <v>4332.62</v>
          </cell>
        </row>
        <row r="445">
          <cell r="AB445">
            <v>0</v>
          </cell>
        </row>
        <row r="446">
          <cell r="AB446">
            <v>0</v>
          </cell>
        </row>
        <row r="447">
          <cell r="AB447">
            <v>0</v>
          </cell>
        </row>
        <row r="448">
          <cell r="AB448">
            <v>0</v>
          </cell>
        </row>
        <row r="449">
          <cell r="AB449">
            <v>-9248</v>
          </cell>
        </row>
        <row r="450">
          <cell r="AB450">
            <v>0</v>
          </cell>
        </row>
        <row r="451">
          <cell r="AB451">
            <v>0</v>
          </cell>
        </row>
        <row r="452">
          <cell r="AB452">
            <v>407.86</v>
          </cell>
        </row>
        <row r="465">
          <cell r="AB465">
            <v>1041373.41</v>
          </cell>
        </row>
        <row r="466">
          <cell r="AB466">
            <v>97.84</v>
          </cell>
        </row>
        <row r="467">
          <cell r="AB467">
            <v>20054.689999999999</v>
          </cell>
        </row>
        <row r="468">
          <cell r="AB468">
            <v>29885.06</v>
          </cell>
        </row>
        <row r="469">
          <cell r="AB469">
            <v>45016.25</v>
          </cell>
        </row>
        <row r="470">
          <cell r="AB470">
            <v>0</v>
          </cell>
        </row>
        <row r="471">
          <cell r="AB471">
            <v>0</v>
          </cell>
        </row>
        <row r="472">
          <cell r="AB472">
            <v>259540.29</v>
          </cell>
        </row>
        <row r="474">
          <cell r="AB474">
            <v>0</v>
          </cell>
        </row>
        <row r="475">
          <cell r="AB475">
            <v>0</v>
          </cell>
        </row>
        <row r="476">
          <cell r="AB476">
            <v>0</v>
          </cell>
        </row>
        <row r="477">
          <cell r="AB477">
            <v>160378.29999999999</v>
          </cell>
        </row>
        <row r="478">
          <cell r="AB478">
            <v>0</v>
          </cell>
        </row>
        <row r="479">
          <cell r="AB479">
            <v>8872.68</v>
          </cell>
        </row>
        <row r="480">
          <cell r="AB480">
            <v>0</v>
          </cell>
        </row>
        <row r="481">
          <cell r="AB481">
            <v>0</v>
          </cell>
        </row>
        <row r="482">
          <cell r="AB482">
            <v>0</v>
          </cell>
        </row>
        <row r="483">
          <cell r="AB483">
            <v>0</v>
          </cell>
        </row>
        <row r="484">
          <cell r="AB484">
            <v>1565218.52</v>
          </cell>
        </row>
        <row r="485">
          <cell r="AB485">
            <v>0</v>
          </cell>
        </row>
        <row r="486">
          <cell r="AB486">
            <v>0</v>
          </cell>
        </row>
        <row r="487">
          <cell r="AB487">
            <v>0</v>
          </cell>
        </row>
        <row r="488">
          <cell r="AB488">
            <v>0</v>
          </cell>
        </row>
        <row r="489">
          <cell r="AB489">
            <v>0</v>
          </cell>
        </row>
        <row r="490">
          <cell r="AB490">
            <v>0</v>
          </cell>
        </row>
        <row r="491">
          <cell r="AB491">
            <v>0</v>
          </cell>
        </row>
        <row r="492">
          <cell r="AB492">
            <v>33124.67</v>
          </cell>
        </row>
        <row r="493">
          <cell r="AB493">
            <v>341.67</v>
          </cell>
        </row>
        <row r="494">
          <cell r="AB494">
            <v>105185.95</v>
          </cell>
        </row>
        <row r="495">
          <cell r="AB495">
            <v>0</v>
          </cell>
        </row>
        <row r="496">
          <cell r="AB496">
            <v>2352.83</v>
          </cell>
        </row>
        <row r="498">
          <cell r="AB498">
            <v>0</v>
          </cell>
        </row>
        <row r="499">
          <cell r="AB499">
            <v>0</v>
          </cell>
        </row>
        <row r="500">
          <cell r="AB500">
            <v>0</v>
          </cell>
        </row>
        <row r="501">
          <cell r="AB501">
            <v>0</v>
          </cell>
        </row>
        <row r="502">
          <cell r="AB502">
            <v>0</v>
          </cell>
        </row>
        <row r="503">
          <cell r="AB503">
            <v>17659.57</v>
          </cell>
        </row>
        <row r="504">
          <cell r="AB504">
            <v>0</v>
          </cell>
        </row>
        <row r="505">
          <cell r="AB505">
            <v>1728</v>
          </cell>
        </row>
        <row r="506">
          <cell r="AB506">
            <v>1462.5</v>
          </cell>
        </row>
        <row r="507">
          <cell r="AB507">
            <v>0</v>
          </cell>
        </row>
        <row r="508">
          <cell r="AB508">
            <v>161855.18999999997</v>
          </cell>
        </row>
        <row r="509">
          <cell r="AB509">
            <v>0</v>
          </cell>
        </row>
        <row r="510">
          <cell r="AB510">
            <v>0</v>
          </cell>
        </row>
        <row r="511">
          <cell r="AB511">
            <v>0</v>
          </cell>
        </row>
        <row r="512">
          <cell r="AB512">
            <v>0</v>
          </cell>
        </row>
        <row r="513">
          <cell r="AB513">
            <v>0</v>
          </cell>
        </row>
        <row r="514">
          <cell r="AB514">
            <v>0</v>
          </cell>
        </row>
        <row r="515">
          <cell r="AB515">
            <v>0</v>
          </cell>
        </row>
        <row r="516">
          <cell r="AB516">
            <v>0</v>
          </cell>
        </row>
        <row r="517">
          <cell r="AB517">
            <v>0</v>
          </cell>
        </row>
        <row r="518">
          <cell r="AB518">
            <v>0</v>
          </cell>
        </row>
        <row r="519">
          <cell r="AB519">
            <v>132202.69022727275</v>
          </cell>
        </row>
        <row r="520">
          <cell r="AB520">
            <v>132202.69022727275</v>
          </cell>
        </row>
        <row r="521">
          <cell r="AB521">
            <v>0</v>
          </cell>
        </row>
        <row r="522">
          <cell r="AB522">
            <v>1859276.4002272727</v>
          </cell>
        </row>
        <row r="523">
          <cell r="AB523">
            <v>0</v>
          </cell>
        </row>
        <row r="524">
          <cell r="AB524">
            <v>0</v>
          </cell>
        </row>
        <row r="525">
          <cell r="AB525">
            <v>64412.94</v>
          </cell>
        </row>
        <row r="526">
          <cell r="AB526">
            <v>0</v>
          </cell>
        </row>
        <row r="527">
          <cell r="AB527">
            <v>2452.14</v>
          </cell>
        </row>
        <row r="530">
          <cell r="AB530">
            <v>6666.67</v>
          </cell>
        </row>
        <row r="531">
          <cell r="AB531">
            <v>118662.11</v>
          </cell>
        </row>
        <row r="532">
          <cell r="AB532">
            <v>0</v>
          </cell>
        </row>
        <row r="533">
          <cell r="AB533">
            <v>5584.62</v>
          </cell>
        </row>
        <row r="534">
          <cell r="AB534">
            <v>0</v>
          </cell>
        </row>
        <row r="535">
          <cell r="AB535">
            <v>0</v>
          </cell>
        </row>
        <row r="536">
          <cell r="AB536">
            <v>0</v>
          </cell>
        </row>
        <row r="537">
          <cell r="AB537">
            <v>45707.69</v>
          </cell>
        </row>
        <row r="538">
          <cell r="AB538">
            <v>1636.28</v>
          </cell>
        </row>
        <row r="539">
          <cell r="AB539">
            <v>0</v>
          </cell>
        </row>
        <row r="541">
          <cell r="AB541">
            <v>0</v>
          </cell>
        </row>
        <row r="542">
          <cell r="AB542">
            <v>245122.44999999998</v>
          </cell>
        </row>
        <row r="543">
          <cell r="AB543">
            <v>0</v>
          </cell>
        </row>
        <row r="544">
          <cell r="AB544">
            <v>0</v>
          </cell>
        </row>
        <row r="545">
          <cell r="AB545">
            <v>0</v>
          </cell>
        </row>
        <row r="546">
          <cell r="AB546">
            <v>0</v>
          </cell>
        </row>
        <row r="547">
          <cell r="AB547">
            <v>0</v>
          </cell>
        </row>
        <row r="548">
          <cell r="AB548">
            <v>0</v>
          </cell>
        </row>
        <row r="549">
          <cell r="AB549">
            <v>0</v>
          </cell>
        </row>
        <row r="550">
          <cell r="AB550">
            <v>1728</v>
          </cell>
        </row>
        <row r="551">
          <cell r="AB551">
            <v>1651.69</v>
          </cell>
        </row>
        <row r="552">
          <cell r="AB552">
            <v>11133.94</v>
          </cell>
        </row>
        <row r="553">
          <cell r="AB553">
            <v>97</v>
          </cell>
        </row>
        <row r="554">
          <cell r="AB554">
            <v>0</v>
          </cell>
        </row>
        <row r="556">
          <cell r="AB556">
            <v>0</v>
          </cell>
        </row>
        <row r="557">
          <cell r="AB557">
            <v>0</v>
          </cell>
        </row>
        <row r="558">
          <cell r="AB558">
            <v>0</v>
          </cell>
        </row>
        <row r="559">
          <cell r="AB559">
            <v>0</v>
          </cell>
        </row>
        <row r="560">
          <cell r="AB560">
            <v>0</v>
          </cell>
        </row>
        <row r="562">
          <cell r="AB562">
            <v>1728</v>
          </cell>
        </row>
        <row r="563">
          <cell r="AB563">
            <v>1913.66</v>
          </cell>
        </row>
        <row r="565">
          <cell r="AB565">
            <v>0</v>
          </cell>
        </row>
        <row r="566">
          <cell r="AB566">
            <v>0</v>
          </cell>
        </row>
        <row r="567">
          <cell r="AB567">
            <v>0</v>
          </cell>
        </row>
        <row r="568">
          <cell r="AB568">
            <v>0</v>
          </cell>
        </row>
        <row r="569">
          <cell r="AB569">
            <v>0</v>
          </cell>
        </row>
        <row r="570">
          <cell r="AB570">
            <v>0</v>
          </cell>
        </row>
        <row r="571">
          <cell r="AB571">
            <v>0</v>
          </cell>
        </row>
        <row r="572">
          <cell r="AB572">
            <v>0</v>
          </cell>
        </row>
        <row r="573">
          <cell r="AB573">
            <v>0</v>
          </cell>
        </row>
        <row r="574">
          <cell r="AB574">
            <v>0</v>
          </cell>
        </row>
        <row r="575">
          <cell r="AB575">
            <v>0</v>
          </cell>
        </row>
        <row r="576">
          <cell r="AB576">
            <v>0</v>
          </cell>
        </row>
        <row r="577">
          <cell r="AB577">
            <v>0</v>
          </cell>
        </row>
        <row r="578">
          <cell r="AB578">
            <v>0</v>
          </cell>
        </row>
        <row r="579">
          <cell r="AB579">
            <v>0</v>
          </cell>
        </row>
        <row r="580">
          <cell r="AB580">
            <v>2115.4499999999998</v>
          </cell>
        </row>
        <row r="581">
          <cell r="AB581">
            <v>16257.25</v>
          </cell>
        </row>
        <row r="582">
          <cell r="AB582">
            <v>1728</v>
          </cell>
        </row>
        <row r="585">
          <cell r="AB585">
            <v>1899.51</v>
          </cell>
        </row>
        <row r="586">
          <cell r="AB586">
            <v>57208.92</v>
          </cell>
        </row>
        <row r="588">
          <cell r="AB588">
            <v>0</v>
          </cell>
        </row>
        <row r="589">
          <cell r="AB589">
            <v>0</v>
          </cell>
        </row>
        <row r="590">
          <cell r="AB590">
            <v>165419.17363045498</v>
          </cell>
        </row>
        <row r="591">
          <cell r="AB591">
            <v>0</v>
          </cell>
        </row>
        <row r="592">
          <cell r="AB592">
            <v>262880.59363045497</v>
          </cell>
        </row>
        <row r="593">
          <cell r="AB593">
            <v>0</v>
          </cell>
        </row>
        <row r="594">
          <cell r="AB594">
            <v>0</v>
          </cell>
        </row>
        <row r="595">
          <cell r="AB595">
            <v>25011.319772727278</v>
          </cell>
        </row>
        <row r="596">
          <cell r="AB596">
            <v>533014.36340318224</v>
          </cell>
        </row>
        <row r="597">
          <cell r="AB597">
            <v>0</v>
          </cell>
        </row>
        <row r="598">
          <cell r="AB598">
            <v>0</v>
          </cell>
        </row>
        <row r="599">
          <cell r="AB599">
            <v>0</v>
          </cell>
        </row>
        <row r="600">
          <cell r="AB600">
            <v>0</v>
          </cell>
        </row>
        <row r="601">
          <cell r="AB601">
            <v>85550.9</v>
          </cell>
        </row>
        <row r="602">
          <cell r="AB602">
            <v>0</v>
          </cell>
        </row>
        <row r="603">
          <cell r="AB603">
            <v>3672.74</v>
          </cell>
        </row>
        <row r="604">
          <cell r="AB604">
            <v>0</v>
          </cell>
        </row>
        <row r="605">
          <cell r="AB605">
            <v>0</v>
          </cell>
        </row>
        <row r="606">
          <cell r="AB606">
            <v>0</v>
          </cell>
        </row>
        <row r="607">
          <cell r="AB607">
            <v>11519.9</v>
          </cell>
        </row>
        <row r="608">
          <cell r="AB608">
            <v>0</v>
          </cell>
        </row>
        <row r="609">
          <cell r="AB609">
            <v>552.41999999999996</v>
          </cell>
        </row>
        <row r="610">
          <cell r="AB610">
            <v>0</v>
          </cell>
        </row>
        <row r="611">
          <cell r="AB611">
            <v>72655.73</v>
          </cell>
        </row>
        <row r="612">
          <cell r="AB612">
            <v>1669.4</v>
          </cell>
        </row>
        <row r="613">
          <cell r="AB613">
            <v>97.84</v>
          </cell>
        </row>
        <row r="614">
          <cell r="AB614"/>
        </row>
        <row r="615">
          <cell r="AB615">
            <v>53079</v>
          </cell>
        </row>
        <row r="616">
          <cell r="AB616">
            <v>1519.3</v>
          </cell>
        </row>
        <row r="617">
          <cell r="AB617">
            <v>2967.79</v>
          </cell>
        </row>
        <row r="618">
          <cell r="AB618">
            <v>15189</v>
          </cell>
        </row>
        <row r="619">
          <cell r="AB619">
            <v>455.79</v>
          </cell>
        </row>
        <row r="620">
          <cell r="AB620">
            <v>31871.49</v>
          </cell>
        </row>
        <row r="621">
          <cell r="AB621">
            <v>60692.21</v>
          </cell>
        </row>
        <row r="622">
          <cell r="AB622">
            <v>0</v>
          </cell>
        </row>
        <row r="624">
          <cell r="AB624">
            <v>0</v>
          </cell>
        </row>
        <row r="625">
          <cell r="AB625">
            <v>0</v>
          </cell>
        </row>
        <row r="626">
          <cell r="AB626">
            <v>0</v>
          </cell>
        </row>
        <row r="627">
          <cell r="AB627">
            <v>341493.51</v>
          </cell>
        </row>
        <row r="628">
          <cell r="AB628">
            <v>0</v>
          </cell>
        </row>
        <row r="629">
          <cell r="AB629">
            <v>69887.570000000007</v>
          </cell>
        </row>
        <row r="630">
          <cell r="AB630">
            <v>69887.570000000007</v>
          </cell>
        </row>
        <row r="631">
          <cell r="AB631">
            <v>0</v>
          </cell>
        </row>
        <row r="633">
          <cell r="AB633">
            <v>2621.58</v>
          </cell>
        </row>
        <row r="634">
          <cell r="AB634">
            <v>1009.62</v>
          </cell>
        </row>
        <row r="635">
          <cell r="AB635">
            <v>477.53</v>
          </cell>
        </row>
        <row r="636">
          <cell r="AB636">
            <v>0</v>
          </cell>
        </row>
        <row r="637">
          <cell r="AB637">
            <v>4108.7299999999996</v>
          </cell>
        </row>
        <row r="638">
          <cell r="AB638">
            <v>0</v>
          </cell>
        </row>
        <row r="639">
          <cell r="AB639">
            <v>37569</v>
          </cell>
        </row>
        <row r="640">
          <cell r="AB640">
            <v>8929.9699999999993</v>
          </cell>
        </row>
        <row r="641">
          <cell r="AB641">
            <v>9146.0499999999993</v>
          </cell>
        </row>
        <row r="642">
          <cell r="AB642">
            <v>4475.72</v>
          </cell>
        </row>
        <row r="643">
          <cell r="AB643">
            <v>126.74</v>
          </cell>
        </row>
        <row r="644">
          <cell r="AB644">
            <v>2408.34</v>
          </cell>
        </row>
        <row r="645">
          <cell r="AB645">
            <v>-423.34</v>
          </cell>
        </row>
        <row r="646">
          <cell r="AB646">
            <v>4585.6000000000004</v>
          </cell>
        </row>
        <row r="647">
          <cell r="AB647">
            <v>330.49</v>
          </cell>
        </row>
        <row r="648">
          <cell r="AB648">
            <v>2119.25</v>
          </cell>
        </row>
        <row r="649">
          <cell r="AB649">
            <v>0</v>
          </cell>
        </row>
        <row r="650">
          <cell r="AB650">
            <v>56.78</v>
          </cell>
        </row>
        <row r="651">
          <cell r="AB651">
            <v>1614.16</v>
          </cell>
        </row>
        <row r="652">
          <cell r="AB652">
            <v>125.96</v>
          </cell>
        </row>
        <row r="653">
          <cell r="AB653">
            <v>8019.93</v>
          </cell>
        </row>
        <row r="654">
          <cell r="AB654">
            <v>0</v>
          </cell>
        </row>
        <row r="655">
          <cell r="AB655">
            <v>916.95</v>
          </cell>
        </row>
        <row r="656">
          <cell r="AB656">
            <v>0</v>
          </cell>
        </row>
        <row r="657">
          <cell r="AB657">
            <v>0</v>
          </cell>
        </row>
        <row r="658">
          <cell r="AB658">
            <v>1493549.38</v>
          </cell>
        </row>
        <row r="659">
          <cell r="AB659">
            <v>105408.99</v>
          </cell>
        </row>
        <row r="660">
          <cell r="AB660">
            <v>87442.72</v>
          </cell>
        </row>
        <row r="661">
          <cell r="AB661">
            <v>121269.22</v>
          </cell>
        </row>
        <row r="662">
          <cell r="AB662">
            <v>7293.83</v>
          </cell>
        </row>
        <row r="663">
          <cell r="AB663">
            <v>84053.48</v>
          </cell>
        </row>
        <row r="664">
          <cell r="AB664">
            <v>25290.799999999999</v>
          </cell>
        </row>
        <row r="665">
          <cell r="AB665">
            <v>0</v>
          </cell>
        </row>
        <row r="666">
          <cell r="AB666">
            <v>54932.54</v>
          </cell>
        </row>
        <row r="667">
          <cell r="AB667">
            <v>0</v>
          </cell>
        </row>
        <row r="668">
          <cell r="AB668">
            <v>0</v>
          </cell>
        </row>
        <row r="669">
          <cell r="AB669">
            <v>0</v>
          </cell>
        </row>
        <row r="670">
          <cell r="AB670">
            <v>0</v>
          </cell>
        </row>
        <row r="671">
          <cell r="AB671">
            <v>25850.2</v>
          </cell>
        </row>
        <row r="672">
          <cell r="AB672">
            <v>12112.73</v>
          </cell>
        </row>
        <row r="673">
          <cell r="AB673">
            <v>10.64</v>
          </cell>
        </row>
        <row r="674">
          <cell r="AB674">
            <v>29267.4</v>
          </cell>
        </row>
        <row r="675">
          <cell r="AB675">
            <v>395.02</v>
          </cell>
        </row>
        <row r="676">
          <cell r="AB676">
            <v>9645.09</v>
          </cell>
        </row>
        <row r="677">
          <cell r="AB677">
            <v>0</v>
          </cell>
        </row>
        <row r="678">
          <cell r="AB678">
            <v>-25850.2</v>
          </cell>
        </row>
        <row r="679">
          <cell r="AB679">
            <v>-12112.73</v>
          </cell>
        </row>
        <row r="680">
          <cell r="AB680">
            <v>-10.64</v>
          </cell>
        </row>
        <row r="681">
          <cell r="AB681">
            <v>-29267.4</v>
          </cell>
        </row>
        <row r="682">
          <cell r="AB682">
            <v>-395.02</v>
          </cell>
        </row>
        <row r="683">
          <cell r="AB683">
            <v>-9645.09</v>
          </cell>
        </row>
        <row r="684">
          <cell r="AB684">
            <v>-179.17</v>
          </cell>
        </row>
        <row r="685">
          <cell r="AB685">
            <v>-1829.87</v>
          </cell>
        </row>
        <row r="686">
          <cell r="AB686">
            <v>-1977410.79</v>
          </cell>
        </row>
        <row r="687">
          <cell r="AB687">
            <v>0</v>
          </cell>
        </row>
        <row r="688">
          <cell r="AB688">
            <v>0</v>
          </cell>
        </row>
        <row r="689">
          <cell r="AB689">
            <v>0</v>
          </cell>
        </row>
        <row r="690">
          <cell r="AB690">
            <v>0</v>
          </cell>
        </row>
        <row r="691">
          <cell r="AB691">
            <v>0</v>
          </cell>
        </row>
        <row r="692">
          <cell r="AB692">
            <v>0</v>
          </cell>
        </row>
        <row r="693">
          <cell r="AB693">
            <v>678.39</v>
          </cell>
        </row>
        <row r="694">
          <cell r="AB694">
            <v>0</v>
          </cell>
        </row>
        <row r="695">
          <cell r="AB695">
            <v>0</v>
          </cell>
        </row>
        <row r="696">
          <cell r="AB696">
            <v>0</v>
          </cell>
        </row>
        <row r="697">
          <cell r="AB697">
            <v>0</v>
          </cell>
        </row>
        <row r="698">
          <cell r="AB698">
            <v>0</v>
          </cell>
        </row>
        <row r="699">
          <cell r="AB699">
            <v>5426.11</v>
          </cell>
        </row>
        <row r="700">
          <cell r="AB700">
            <v>3287.47</v>
          </cell>
        </row>
        <row r="701">
          <cell r="AB701">
            <v>0</v>
          </cell>
        </row>
        <row r="702">
          <cell r="AB702">
            <v>0</v>
          </cell>
        </row>
        <row r="703">
          <cell r="AB703">
            <v>0</v>
          </cell>
        </row>
        <row r="704">
          <cell r="AB704">
            <v>0</v>
          </cell>
        </row>
        <row r="705">
          <cell r="AB705">
            <v>0</v>
          </cell>
        </row>
        <row r="706">
          <cell r="AB706">
            <v>0</v>
          </cell>
        </row>
        <row r="707">
          <cell r="AB707">
            <v>0</v>
          </cell>
        </row>
        <row r="708">
          <cell r="AB708">
            <v>0</v>
          </cell>
        </row>
        <row r="709">
          <cell r="AB709">
            <v>0</v>
          </cell>
        </row>
        <row r="710">
          <cell r="AB710">
            <v>0</v>
          </cell>
        </row>
        <row r="711">
          <cell r="AB711">
            <v>0</v>
          </cell>
        </row>
        <row r="713">
          <cell r="AB713">
            <v>0</v>
          </cell>
        </row>
        <row r="714">
          <cell r="AB714">
            <v>0</v>
          </cell>
        </row>
        <row r="715">
          <cell r="AB715">
            <v>24819.3</v>
          </cell>
        </row>
        <row r="716">
          <cell r="AB716">
            <v>5075.33</v>
          </cell>
        </row>
        <row r="717">
          <cell r="AB717">
            <v>616.13</v>
          </cell>
        </row>
        <row r="718">
          <cell r="AB718">
            <v>0</v>
          </cell>
        </row>
        <row r="719">
          <cell r="AB719">
            <v>0</v>
          </cell>
        </row>
        <row r="720">
          <cell r="AB720">
            <v>0</v>
          </cell>
        </row>
        <row r="721">
          <cell r="AB721">
            <v>0</v>
          </cell>
        </row>
        <row r="722">
          <cell r="AB722">
            <v>119725.45999999976</v>
          </cell>
        </row>
        <row r="723">
          <cell r="AB723">
            <v>0</v>
          </cell>
        </row>
        <row r="724">
          <cell r="AB724">
            <v>0</v>
          </cell>
        </row>
        <row r="725">
          <cell r="AB725">
            <v>-178652.28409090912</v>
          </cell>
        </row>
        <row r="726">
          <cell r="AB726">
            <v>-178652.28409090912</v>
          </cell>
        </row>
        <row r="727">
          <cell r="AB727">
            <v>0</v>
          </cell>
        </row>
        <row r="728">
          <cell r="AB728">
            <v>0</v>
          </cell>
        </row>
        <row r="729">
          <cell r="AB729">
            <v>0</v>
          </cell>
        </row>
        <row r="730">
          <cell r="AB730">
            <v>0</v>
          </cell>
        </row>
        <row r="731">
          <cell r="AB731">
            <v>28684.94</v>
          </cell>
        </row>
        <row r="732">
          <cell r="AB732">
            <v>0</v>
          </cell>
        </row>
        <row r="733">
          <cell r="AB733">
            <v>6225.27</v>
          </cell>
        </row>
        <row r="734">
          <cell r="AB734">
            <v>0</v>
          </cell>
        </row>
        <row r="735">
          <cell r="AB735">
            <v>0</v>
          </cell>
        </row>
        <row r="736">
          <cell r="AB736">
            <v>34910.21</v>
          </cell>
        </row>
        <row r="737">
          <cell r="AB737">
            <v>0</v>
          </cell>
        </row>
        <row r="738">
          <cell r="AB738">
            <v>0</v>
          </cell>
        </row>
        <row r="739">
          <cell r="AB739">
            <v>0</v>
          </cell>
        </row>
        <row r="740">
          <cell r="AB740">
            <v>0</v>
          </cell>
        </row>
        <row r="741">
          <cell r="AB741">
            <v>391473.19590909069</v>
          </cell>
        </row>
        <row r="742">
          <cell r="AB742">
            <v>0</v>
          </cell>
        </row>
        <row r="743">
          <cell r="AB743">
            <v>0</v>
          </cell>
        </row>
        <row r="744">
          <cell r="AB744">
            <v>0</v>
          </cell>
        </row>
        <row r="745">
          <cell r="AB745">
            <v>0</v>
          </cell>
        </row>
        <row r="746">
          <cell r="AB746">
            <v>149538.13</v>
          </cell>
        </row>
        <row r="747">
          <cell r="AB747">
            <v>23120.02</v>
          </cell>
        </row>
        <row r="748">
          <cell r="AB748">
            <v>5177.45</v>
          </cell>
        </row>
        <row r="749">
          <cell r="AB749">
            <v>0</v>
          </cell>
        </row>
        <row r="751">
          <cell r="AB751">
            <v>0</v>
          </cell>
        </row>
        <row r="752">
          <cell r="AB752">
            <v>0</v>
          </cell>
        </row>
        <row r="753">
          <cell r="AB753">
            <v>0</v>
          </cell>
        </row>
        <row r="754">
          <cell r="AB754">
            <v>0</v>
          </cell>
        </row>
        <row r="755">
          <cell r="AB755">
            <v>0</v>
          </cell>
        </row>
        <row r="756">
          <cell r="AB756">
            <v>18428.14</v>
          </cell>
        </row>
        <row r="757">
          <cell r="AB757">
            <v>1943.18</v>
          </cell>
        </row>
        <row r="758">
          <cell r="AB758">
            <v>-158261.09</v>
          </cell>
        </row>
        <row r="759">
          <cell r="AB759">
            <v>54932.54</v>
          </cell>
        </row>
        <row r="760">
          <cell r="AB760">
            <v>0</v>
          </cell>
        </row>
        <row r="761">
          <cell r="AB761">
            <v>32986.54</v>
          </cell>
        </row>
        <row r="762">
          <cell r="AB762">
            <v>0</v>
          </cell>
        </row>
        <row r="763">
          <cell r="AB763">
            <v>43670.79</v>
          </cell>
        </row>
        <row r="764">
          <cell r="AB764">
            <v>201.88</v>
          </cell>
        </row>
        <row r="768">
          <cell r="AB768">
            <v>0</v>
          </cell>
        </row>
        <row r="769">
          <cell r="AB769">
            <v>12033</v>
          </cell>
        </row>
        <row r="770">
          <cell r="AB770">
            <v>22778</v>
          </cell>
        </row>
        <row r="771">
          <cell r="AB771">
            <v>0</v>
          </cell>
        </row>
        <row r="772">
          <cell r="AB772">
            <v>9000</v>
          </cell>
        </row>
        <row r="773">
          <cell r="AB773">
            <v>22530</v>
          </cell>
        </row>
        <row r="774">
          <cell r="AB774">
            <v>7000</v>
          </cell>
        </row>
        <row r="775">
          <cell r="AB775">
            <v>15557.33</v>
          </cell>
        </row>
        <row r="776">
          <cell r="AB776">
            <v>9833</v>
          </cell>
        </row>
        <row r="777">
          <cell r="AB777">
            <v>1132.94</v>
          </cell>
        </row>
        <row r="778">
          <cell r="AB778">
            <v>0</v>
          </cell>
        </row>
        <row r="779">
          <cell r="AB779">
            <v>0</v>
          </cell>
        </row>
        <row r="780">
          <cell r="AB780">
            <v>752.66</v>
          </cell>
        </row>
        <row r="781">
          <cell r="AB781">
            <v>0</v>
          </cell>
        </row>
        <row r="782">
          <cell r="AB782">
            <v>0</v>
          </cell>
        </row>
        <row r="783">
          <cell r="AB783">
            <v>0</v>
          </cell>
        </row>
        <row r="784">
          <cell r="AB784">
            <v>0</v>
          </cell>
        </row>
        <row r="785">
          <cell r="AB785">
            <v>0</v>
          </cell>
        </row>
        <row r="786">
          <cell r="AB786">
            <v>0</v>
          </cell>
        </row>
        <row r="787">
          <cell r="AB787">
            <v>0</v>
          </cell>
        </row>
        <row r="788">
          <cell r="AB788">
            <v>272354.51</v>
          </cell>
        </row>
        <row r="789">
          <cell r="AB789">
            <v>0</v>
          </cell>
        </row>
        <row r="790">
          <cell r="AB790">
            <v>0</v>
          </cell>
        </row>
        <row r="791">
          <cell r="AB791">
            <v>0</v>
          </cell>
        </row>
        <row r="792">
          <cell r="AB792">
            <v>0</v>
          </cell>
        </row>
        <row r="793">
          <cell r="AB793">
            <v>0</v>
          </cell>
        </row>
        <row r="794">
          <cell r="AB794">
            <v>0</v>
          </cell>
        </row>
        <row r="795">
          <cell r="AB795">
            <v>0</v>
          </cell>
        </row>
        <row r="796">
          <cell r="AB796">
            <v>0</v>
          </cell>
        </row>
        <row r="797">
          <cell r="AB797">
            <v>0</v>
          </cell>
        </row>
        <row r="798">
          <cell r="AB798">
            <v>0</v>
          </cell>
        </row>
        <row r="799">
          <cell r="AB799">
            <v>0</v>
          </cell>
        </row>
        <row r="800">
          <cell r="AB800">
            <v>0</v>
          </cell>
        </row>
        <row r="801">
          <cell r="AB801">
            <v>0</v>
          </cell>
        </row>
        <row r="802">
          <cell r="AB802">
            <v>0</v>
          </cell>
        </row>
        <row r="803">
          <cell r="AB803">
            <v>0</v>
          </cell>
        </row>
        <row r="804">
          <cell r="AB804">
            <v>2494.75</v>
          </cell>
        </row>
        <row r="805">
          <cell r="AB805">
            <v>11495.62</v>
          </cell>
        </row>
        <row r="806">
          <cell r="AB806">
            <v>-171.74</v>
          </cell>
        </row>
        <row r="807">
          <cell r="AB807">
            <v>2989.55</v>
          </cell>
        </row>
        <row r="808">
          <cell r="AB808">
            <v>4374.29</v>
          </cell>
        </row>
        <row r="809">
          <cell r="AB809">
            <v>525.91999999999996</v>
          </cell>
        </row>
        <row r="810">
          <cell r="AB810">
            <v>28125</v>
          </cell>
        </row>
        <row r="812">
          <cell r="AB812">
            <v>0</v>
          </cell>
        </row>
        <row r="813">
          <cell r="AB813">
            <v>-3169.22</v>
          </cell>
        </row>
        <row r="814">
          <cell r="AB814">
            <v>500</v>
          </cell>
        </row>
        <row r="815">
          <cell r="AB815">
            <v>0</v>
          </cell>
        </row>
        <row r="816">
          <cell r="AB816">
            <v>0</v>
          </cell>
        </row>
        <row r="817">
          <cell r="AB817">
            <v>0</v>
          </cell>
        </row>
        <row r="818">
          <cell r="AB818">
            <v>0</v>
          </cell>
        </row>
        <row r="819">
          <cell r="AB819">
            <v>0</v>
          </cell>
        </row>
        <row r="820">
          <cell r="AB820">
            <v>0</v>
          </cell>
        </row>
        <row r="821">
          <cell r="AB821">
            <v>0</v>
          </cell>
        </row>
        <row r="822">
          <cell r="AB822">
            <v>0</v>
          </cell>
        </row>
        <row r="823">
          <cell r="AB823">
            <v>0</v>
          </cell>
        </row>
        <row r="824">
          <cell r="AB824">
            <v>0</v>
          </cell>
        </row>
        <row r="825">
          <cell r="AB825">
            <v>0</v>
          </cell>
        </row>
        <row r="826">
          <cell r="AB826">
            <v>0</v>
          </cell>
        </row>
        <row r="829">
          <cell r="AB829">
            <v>0</v>
          </cell>
        </row>
        <row r="830">
          <cell r="AB830">
            <v>2420.42</v>
          </cell>
        </row>
        <row r="831">
          <cell r="AB831">
            <v>18165.91</v>
          </cell>
        </row>
        <row r="832">
          <cell r="AB832">
            <v>-12.77</v>
          </cell>
        </row>
        <row r="833">
          <cell r="AB833">
            <v>0</v>
          </cell>
        </row>
        <row r="834">
          <cell r="AB834">
            <v>234</v>
          </cell>
        </row>
        <row r="835">
          <cell r="AB835">
            <v>112</v>
          </cell>
        </row>
        <row r="836">
          <cell r="AB836">
            <v>63</v>
          </cell>
        </row>
        <row r="837">
          <cell r="AB837">
            <v>44799.040000000001</v>
          </cell>
        </row>
        <row r="838">
          <cell r="AB838">
            <v>81.72</v>
          </cell>
        </row>
        <row r="839">
          <cell r="AB839">
            <v>0</v>
          </cell>
        </row>
        <row r="840">
          <cell r="AB840">
            <v>0</v>
          </cell>
        </row>
        <row r="841">
          <cell r="AB841">
            <v>0</v>
          </cell>
        </row>
        <row r="842">
          <cell r="AB842">
            <v>0</v>
          </cell>
        </row>
        <row r="843">
          <cell r="AB843">
            <v>0</v>
          </cell>
        </row>
        <row r="844">
          <cell r="AB844">
            <v>0</v>
          </cell>
        </row>
        <row r="845">
          <cell r="AB845">
            <v>0</v>
          </cell>
        </row>
        <row r="846">
          <cell r="AB846">
            <v>0</v>
          </cell>
        </row>
        <row r="847">
          <cell r="AB847">
            <v>113027.48999999999</v>
          </cell>
        </row>
        <row r="848">
          <cell r="AB848">
            <v>0</v>
          </cell>
        </row>
        <row r="849">
          <cell r="AB849">
            <v>0</v>
          </cell>
        </row>
        <row r="850">
          <cell r="AB850">
            <v>0</v>
          </cell>
        </row>
        <row r="851">
          <cell r="AB851">
            <v>0</v>
          </cell>
        </row>
        <row r="852">
          <cell r="AB852">
            <v>0</v>
          </cell>
        </row>
        <row r="853">
          <cell r="AB853">
            <v>0</v>
          </cell>
        </row>
        <row r="854">
          <cell r="AB854">
            <v>21438.274090909097</v>
          </cell>
        </row>
        <row r="855">
          <cell r="AB855">
            <v>21438.274090909097</v>
          </cell>
        </row>
        <row r="856">
          <cell r="AB856">
            <v>0</v>
          </cell>
        </row>
        <row r="857">
          <cell r="AB857">
            <v>406820.27409090911</v>
          </cell>
        </row>
        <row r="858">
          <cell r="AB858">
            <v>0</v>
          </cell>
        </row>
        <row r="859">
          <cell r="AB859">
            <v>0</v>
          </cell>
        </row>
        <row r="860">
          <cell r="AB860">
            <v>0</v>
          </cell>
        </row>
        <row r="861">
          <cell r="AB861">
            <v>0</v>
          </cell>
        </row>
        <row r="862">
          <cell r="AB862">
            <v>0</v>
          </cell>
        </row>
        <row r="863">
          <cell r="AB863">
            <v>0</v>
          </cell>
        </row>
        <row r="864">
          <cell r="AB864">
            <v>0</v>
          </cell>
        </row>
        <row r="865">
          <cell r="AB865">
            <v>0</v>
          </cell>
        </row>
        <row r="866">
          <cell r="AB866">
            <v>0</v>
          </cell>
        </row>
        <row r="867">
          <cell r="AB867">
            <v>0</v>
          </cell>
        </row>
        <row r="868">
          <cell r="AB868">
            <v>0</v>
          </cell>
        </row>
        <row r="869">
          <cell r="AB869">
            <v>1138.4100000000001</v>
          </cell>
        </row>
        <row r="870">
          <cell r="AB870">
            <v>-150569.73953240726</v>
          </cell>
        </row>
        <row r="871">
          <cell r="AB871">
            <v>-0.13</v>
          </cell>
        </row>
        <row r="872">
          <cell r="AB872">
            <v>0</v>
          </cell>
        </row>
        <row r="873">
          <cell r="AB873">
            <v>4544.66</v>
          </cell>
        </row>
        <row r="874">
          <cell r="AB874">
            <v>0</v>
          </cell>
        </row>
        <row r="875">
          <cell r="AB8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26">
          <cell r="AC326">
            <v>0</v>
          </cell>
        </row>
        <row r="327">
          <cell r="AC327">
            <v>-21270.62</v>
          </cell>
        </row>
        <row r="328">
          <cell r="AC328">
            <v>0</v>
          </cell>
        </row>
        <row r="329">
          <cell r="AC329">
            <v>-8028.45</v>
          </cell>
        </row>
        <row r="330">
          <cell r="AC330">
            <v>0</v>
          </cell>
        </row>
        <row r="331">
          <cell r="AC331">
            <v>0</v>
          </cell>
        </row>
        <row r="332">
          <cell r="AC332">
            <v>-7826.7</v>
          </cell>
        </row>
        <row r="333">
          <cell r="AC333">
            <v>9021.98</v>
          </cell>
        </row>
        <row r="334">
          <cell r="AC334">
            <v>-5171.88</v>
          </cell>
        </row>
        <row r="335">
          <cell r="AC335">
            <v>0</v>
          </cell>
        </row>
        <row r="336">
          <cell r="AC336">
            <v>-99120.33</v>
          </cell>
        </row>
        <row r="337">
          <cell r="AC337">
            <v>-549452.52</v>
          </cell>
        </row>
        <row r="338">
          <cell r="AC338">
            <v>0</v>
          </cell>
        </row>
        <row r="339">
          <cell r="AC339">
            <v>0</v>
          </cell>
        </row>
        <row r="340">
          <cell r="AC340">
            <v>-4482.51</v>
          </cell>
        </row>
        <row r="341">
          <cell r="AC341">
            <v>0</v>
          </cell>
        </row>
        <row r="342">
          <cell r="AC342">
            <v>0</v>
          </cell>
        </row>
        <row r="343">
          <cell r="AC343">
            <v>-104165.47</v>
          </cell>
        </row>
        <row r="344">
          <cell r="AC344">
            <v>-2690.73</v>
          </cell>
        </row>
        <row r="345">
          <cell r="AC345">
            <v>0</v>
          </cell>
        </row>
        <row r="346">
          <cell r="AC346">
            <v>0</v>
          </cell>
        </row>
        <row r="347">
          <cell r="AC347">
            <v>-77666.67</v>
          </cell>
        </row>
        <row r="348">
          <cell r="AC348">
            <v>0</v>
          </cell>
        </row>
        <row r="349">
          <cell r="AC349">
            <v>-79499.399999999994</v>
          </cell>
        </row>
        <row r="350">
          <cell r="AC350">
            <v>-14537.64</v>
          </cell>
        </row>
        <row r="351">
          <cell r="AC351">
            <v>-54958.18</v>
          </cell>
        </row>
        <row r="352">
          <cell r="AC352">
            <v>-7452.76</v>
          </cell>
        </row>
        <row r="353">
          <cell r="AC353">
            <v>0</v>
          </cell>
        </row>
        <row r="354">
          <cell r="AC354">
            <v>-44419.85</v>
          </cell>
        </row>
        <row r="355">
          <cell r="AC355">
            <v>0</v>
          </cell>
        </row>
        <row r="356">
          <cell r="AC356">
            <v>0</v>
          </cell>
        </row>
        <row r="361">
          <cell r="AC361">
            <v>30537.43</v>
          </cell>
        </row>
        <row r="362">
          <cell r="AC362">
            <v>0</v>
          </cell>
        </row>
        <row r="363">
          <cell r="AC363">
            <v>1951.82</v>
          </cell>
        </row>
        <row r="364">
          <cell r="AC364">
            <v>181.7</v>
          </cell>
        </row>
        <row r="365">
          <cell r="AC365">
            <v>0</v>
          </cell>
        </row>
        <row r="366">
          <cell r="AC366">
            <v>0</v>
          </cell>
        </row>
        <row r="367">
          <cell r="AC367">
            <v>0</v>
          </cell>
        </row>
        <row r="368">
          <cell r="AC368">
            <v>0</v>
          </cell>
        </row>
        <row r="369">
          <cell r="AC369"/>
        </row>
        <row r="370">
          <cell r="AC370">
            <v>0</v>
          </cell>
        </row>
        <row r="371">
          <cell r="AC371">
            <v>0</v>
          </cell>
        </row>
        <row r="372">
          <cell r="AC372">
            <v>0</v>
          </cell>
        </row>
        <row r="375">
          <cell r="AC375">
            <v>0</v>
          </cell>
        </row>
        <row r="376">
          <cell r="AC376">
            <v>0</v>
          </cell>
        </row>
        <row r="377">
          <cell r="AC377">
            <v>0</v>
          </cell>
        </row>
        <row r="378">
          <cell r="AC378">
            <v>0</v>
          </cell>
        </row>
        <row r="379">
          <cell r="AC379">
            <v>0</v>
          </cell>
        </row>
        <row r="380">
          <cell r="AC380">
            <v>0</v>
          </cell>
        </row>
        <row r="381">
          <cell r="AC381">
            <v>818552.38675000053</v>
          </cell>
        </row>
        <row r="382">
          <cell r="AC382">
            <v>0</v>
          </cell>
        </row>
        <row r="383">
          <cell r="AC383">
            <v>851223.33675000048</v>
          </cell>
        </row>
        <row r="384">
          <cell r="AC384">
            <v>0</v>
          </cell>
        </row>
        <row r="385">
          <cell r="AC385">
            <v>0</v>
          </cell>
        </row>
        <row r="386">
          <cell r="AC386">
            <v>0</v>
          </cell>
        </row>
        <row r="387">
          <cell r="AC387">
            <v>0</v>
          </cell>
        </row>
        <row r="388">
          <cell r="AC388">
            <v>0</v>
          </cell>
        </row>
        <row r="389">
          <cell r="AC389">
            <v>0</v>
          </cell>
        </row>
        <row r="390">
          <cell r="AC390">
            <v>0</v>
          </cell>
        </row>
        <row r="391">
          <cell r="AC391">
            <v>0</v>
          </cell>
        </row>
        <row r="392">
          <cell r="AC392">
            <v>0</v>
          </cell>
        </row>
        <row r="393">
          <cell r="AC393">
            <v>0</v>
          </cell>
        </row>
        <row r="394">
          <cell r="AC394">
            <v>0</v>
          </cell>
        </row>
        <row r="395">
          <cell r="AC395">
            <v>0</v>
          </cell>
        </row>
        <row r="396">
          <cell r="AC396">
            <v>345.07</v>
          </cell>
        </row>
        <row r="397">
          <cell r="AC397">
            <v>128.13999999999999</v>
          </cell>
        </row>
        <row r="398">
          <cell r="AC398">
            <v>0</v>
          </cell>
        </row>
        <row r="399">
          <cell r="AC399">
            <v>0</v>
          </cell>
        </row>
        <row r="400">
          <cell r="AC400">
            <v>473.21</v>
          </cell>
        </row>
        <row r="401">
          <cell r="AC401">
            <v>0</v>
          </cell>
        </row>
        <row r="402">
          <cell r="AC402">
            <v>0</v>
          </cell>
        </row>
        <row r="403">
          <cell r="AC403">
            <v>110.88</v>
          </cell>
        </row>
        <row r="404">
          <cell r="AC404">
            <v>0</v>
          </cell>
        </row>
        <row r="405">
          <cell r="AC405">
            <v>0</v>
          </cell>
        </row>
        <row r="406">
          <cell r="AC406">
            <v>0</v>
          </cell>
        </row>
        <row r="407">
          <cell r="AC407">
            <v>0</v>
          </cell>
        </row>
        <row r="408">
          <cell r="AC408">
            <v>0</v>
          </cell>
        </row>
        <row r="409">
          <cell r="AC409">
            <v>0</v>
          </cell>
        </row>
        <row r="410">
          <cell r="AC410">
            <v>0</v>
          </cell>
        </row>
        <row r="411">
          <cell r="AC411">
            <v>0</v>
          </cell>
        </row>
        <row r="412">
          <cell r="AC412">
            <v>110.88</v>
          </cell>
        </row>
        <row r="413">
          <cell r="AC413">
            <v>0</v>
          </cell>
        </row>
        <row r="414">
          <cell r="AC414">
            <v>0</v>
          </cell>
        </row>
        <row r="415">
          <cell r="AC415">
            <v>584.08999999999992</v>
          </cell>
        </row>
        <row r="416">
          <cell r="AC416">
            <v>0</v>
          </cell>
        </row>
        <row r="417">
          <cell r="AC417">
            <v>0</v>
          </cell>
        </row>
        <row r="418">
          <cell r="AC418">
            <v>0</v>
          </cell>
        </row>
        <row r="419">
          <cell r="AC419">
            <v>0</v>
          </cell>
        </row>
        <row r="420">
          <cell r="AC420">
            <v>4711.3599999999997</v>
          </cell>
        </row>
        <row r="421">
          <cell r="AC421">
            <v>0</v>
          </cell>
        </row>
        <row r="422">
          <cell r="AC422">
            <v>331.31</v>
          </cell>
        </row>
        <row r="424">
          <cell r="AC424">
            <v>2398.6</v>
          </cell>
        </row>
        <row r="425">
          <cell r="AC425">
            <v>-42.34</v>
          </cell>
        </row>
        <row r="426">
          <cell r="AC426">
            <v>0</v>
          </cell>
        </row>
        <row r="427">
          <cell r="AC427">
            <v>0</v>
          </cell>
        </row>
        <row r="428">
          <cell r="AC428">
            <v>7398.93</v>
          </cell>
        </row>
        <row r="429">
          <cell r="AC429">
            <v>0</v>
          </cell>
        </row>
        <row r="430">
          <cell r="AC430">
            <v>0</v>
          </cell>
        </row>
        <row r="431">
          <cell r="AC431">
            <v>0</v>
          </cell>
        </row>
        <row r="432">
          <cell r="AC432">
            <v>0</v>
          </cell>
        </row>
        <row r="433">
          <cell r="AC433">
            <v>0</v>
          </cell>
        </row>
        <row r="434">
          <cell r="AC434">
            <v>0</v>
          </cell>
        </row>
        <row r="435">
          <cell r="AC435">
            <v>0</v>
          </cell>
        </row>
        <row r="436">
          <cell r="AC436">
            <v>66539.98</v>
          </cell>
        </row>
        <row r="437">
          <cell r="AC437">
            <v>641.04</v>
          </cell>
        </row>
        <row r="438">
          <cell r="AC438">
            <v>-206829.72</v>
          </cell>
        </row>
        <row r="440">
          <cell r="AC440">
            <v>69182.39</v>
          </cell>
        </row>
        <row r="441">
          <cell r="AC441">
            <v>0</v>
          </cell>
        </row>
        <row r="442">
          <cell r="AC442">
            <v>11120.83</v>
          </cell>
        </row>
        <row r="443">
          <cell r="AC443">
            <v>0</v>
          </cell>
        </row>
        <row r="444">
          <cell r="AC444">
            <v>0</v>
          </cell>
        </row>
        <row r="445">
          <cell r="AC445">
            <v>115466.03</v>
          </cell>
        </row>
        <row r="446">
          <cell r="AC446">
            <v>3821.62</v>
          </cell>
        </row>
        <row r="447">
          <cell r="AC447">
            <v>0</v>
          </cell>
        </row>
        <row r="448">
          <cell r="AC448">
            <v>125312.47</v>
          </cell>
        </row>
        <row r="449">
          <cell r="AC449">
            <v>15196.8</v>
          </cell>
        </row>
        <row r="450">
          <cell r="AC450">
            <v>10956.06</v>
          </cell>
        </row>
        <row r="451">
          <cell r="AC451">
            <v>0</v>
          </cell>
        </row>
        <row r="452">
          <cell r="AC452">
            <v>0</v>
          </cell>
        </row>
        <row r="453">
          <cell r="AC453">
            <v>0</v>
          </cell>
        </row>
        <row r="454">
          <cell r="AC454">
            <v>0</v>
          </cell>
        </row>
        <row r="455">
          <cell r="AC455">
            <v>0</v>
          </cell>
        </row>
        <row r="456">
          <cell r="AC456">
            <v>0</v>
          </cell>
        </row>
        <row r="457">
          <cell r="AC457">
            <v>0</v>
          </cell>
        </row>
        <row r="458">
          <cell r="AC458">
            <v>0</v>
          </cell>
        </row>
        <row r="459">
          <cell r="AC459">
            <v>0</v>
          </cell>
        </row>
        <row r="460">
          <cell r="AC460">
            <v>0</v>
          </cell>
        </row>
        <row r="461">
          <cell r="AC461">
            <v>0</v>
          </cell>
        </row>
        <row r="463">
          <cell r="AC463">
            <v>725.91</v>
          </cell>
        </row>
        <row r="464">
          <cell r="AC464">
            <v>1365.15</v>
          </cell>
        </row>
        <row r="465">
          <cell r="AC465">
            <v>204.26</v>
          </cell>
        </row>
        <row r="466">
          <cell r="AC466">
            <v>0</v>
          </cell>
        </row>
        <row r="468">
          <cell r="AC468">
            <v>0</v>
          </cell>
        </row>
        <row r="469">
          <cell r="AC469">
            <v>445.12</v>
          </cell>
        </row>
        <row r="470">
          <cell r="AC470">
            <v>0</v>
          </cell>
        </row>
        <row r="471">
          <cell r="AC471">
            <v>0</v>
          </cell>
        </row>
        <row r="472">
          <cell r="AC472">
            <v>0</v>
          </cell>
        </row>
        <row r="473">
          <cell r="AC473">
            <v>0</v>
          </cell>
        </row>
        <row r="474">
          <cell r="AC474">
            <v>185446.11999999997</v>
          </cell>
        </row>
        <row r="475">
          <cell r="AC475">
            <v>0</v>
          </cell>
        </row>
        <row r="476">
          <cell r="AC476">
            <v>0</v>
          </cell>
        </row>
        <row r="477">
          <cell r="AC477">
            <v>0</v>
          </cell>
        </row>
        <row r="478">
          <cell r="AC478">
            <v>192845.04999999996</v>
          </cell>
        </row>
        <row r="479">
          <cell r="AC479">
            <v>0</v>
          </cell>
        </row>
        <row r="480">
          <cell r="AC480">
            <v>0</v>
          </cell>
        </row>
        <row r="481">
          <cell r="AC481">
            <v>0</v>
          </cell>
        </row>
        <row r="482">
          <cell r="AC482">
            <v>0</v>
          </cell>
        </row>
        <row r="483">
          <cell r="AC483">
            <v>0</v>
          </cell>
        </row>
        <row r="484">
          <cell r="AC484">
            <v>0</v>
          </cell>
        </row>
        <row r="485">
          <cell r="AC485">
            <v>0</v>
          </cell>
        </row>
        <row r="486">
          <cell r="AC486">
            <v>0</v>
          </cell>
        </row>
        <row r="487">
          <cell r="AC487">
            <v>0</v>
          </cell>
        </row>
        <row r="488">
          <cell r="AC488">
            <v>0</v>
          </cell>
        </row>
        <row r="489">
          <cell r="AC489">
            <v>276.20999999999998</v>
          </cell>
        </row>
        <row r="490">
          <cell r="AC490">
            <v>0</v>
          </cell>
        </row>
        <row r="491">
          <cell r="AC491">
            <v>144955.5243835923</v>
          </cell>
        </row>
        <row r="492">
          <cell r="AC492">
            <v>0</v>
          </cell>
        </row>
      </sheetData>
      <sheetData sheetId="20" refreshError="1"/>
      <sheetData sheetId="21" refreshError="1"/>
      <sheetData sheetId="22" refreshError="1"/>
      <sheetData sheetId="23" refreshError="1"/>
      <sheetData sheetId="24" refreshError="1"/>
      <sheetData sheetId="25">
        <row r="152">
          <cell r="AC152">
            <v>0</v>
          </cell>
        </row>
      </sheetData>
      <sheetData sheetId="26" refreshError="1"/>
      <sheetData sheetId="27" refreshError="1"/>
      <sheetData sheetId="28" refreshError="1"/>
      <sheetData sheetId="29" refreshError="1"/>
      <sheetData sheetId="30">
        <row r="410">
          <cell r="Z410">
            <v>-206346.14</v>
          </cell>
        </row>
        <row r="411">
          <cell r="Z411">
            <v>0</v>
          </cell>
        </row>
        <row r="412">
          <cell r="Z412">
            <v>0</v>
          </cell>
        </row>
        <row r="413">
          <cell r="Z413">
            <v>-18759.599999999999</v>
          </cell>
        </row>
        <row r="414">
          <cell r="Z414">
            <v>0</v>
          </cell>
        </row>
        <row r="415">
          <cell r="Z415">
            <v>-34121.25</v>
          </cell>
        </row>
        <row r="416">
          <cell r="Z416">
            <v>0</v>
          </cell>
        </row>
        <row r="417">
          <cell r="Z417">
            <v>-1014539.76</v>
          </cell>
        </row>
        <row r="418">
          <cell r="Z418">
            <v>-7369.34</v>
          </cell>
        </row>
        <row r="419">
          <cell r="Z419">
            <v>-13261.14</v>
          </cell>
        </row>
        <row r="420">
          <cell r="Z420">
            <v>0</v>
          </cell>
        </row>
        <row r="421">
          <cell r="Z421">
            <v>-2728.12</v>
          </cell>
        </row>
        <row r="422">
          <cell r="Z422">
            <v>-71181.61</v>
          </cell>
        </row>
        <row r="423">
          <cell r="Z423">
            <v>-499.98</v>
          </cell>
        </row>
        <row r="425">
          <cell r="Z425">
            <v>0</v>
          </cell>
        </row>
        <row r="426">
          <cell r="Z426">
            <v>0</v>
          </cell>
        </row>
        <row r="427">
          <cell r="Z427">
            <v>-2400</v>
          </cell>
        </row>
        <row r="428">
          <cell r="Z428">
            <v>0</v>
          </cell>
        </row>
        <row r="429">
          <cell r="Z429">
            <v>-259771</v>
          </cell>
        </row>
        <row r="430">
          <cell r="Z430">
            <v>0</v>
          </cell>
        </row>
        <row r="431">
          <cell r="Z431">
            <v>0</v>
          </cell>
        </row>
        <row r="432">
          <cell r="Z432">
            <v>-46132.55</v>
          </cell>
        </row>
        <row r="433">
          <cell r="Z433">
            <v>-162766.60999999999</v>
          </cell>
        </row>
        <row r="434">
          <cell r="Z434">
            <v>-8853.06</v>
          </cell>
        </row>
        <row r="435">
          <cell r="Z435">
            <v>-225766</v>
          </cell>
        </row>
        <row r="436">
          <cell r="Z436">
            <v>-892.86</v>
          </cell>
        </row>
        <row r="442">
          <cell r="Z442">
            <v>57643.34</v>
          </cell>
        </row>
        <row r="443">
          <cell r="Z443">
            <v>6074.97</v>
          </cell>
        </row>
        <row r="444">
          <cell r="Z444">
            <v>0</v>
          </cell>
        </row>
        <row r="445">
          <cell r="Z445">
            <v>0</v>
          </cell>
        </row>
        <row r="446">
          <cell r="Z446">
            <v>4329</v>
          </cell>
        </row>
        <row r="447">
          <cell r="Z447">
            <v>4650.68</v>
          </cell>
        </row>
        <row r="448">
          <cell r="Z448">
            <v>464.46</v>
          </cell>
        </row>
        <row r="449">
          <cell r="Z449">
            <v>64.3</v>
          </cell>
        </row>
        <row r="450">
          <cell r="Z450">
            <v>0</v>
          </cell>
        </row>
        <row r="451">
          <cell r="Z451">
            <v>0</v>
          </cell>
        </row>
        <row r="452">
          <cell r="Z452">
            <v>375.2</v>
          </cell>
        </row>
        <row r="453">
          <cell r="Z453">
            <v>11118.58</v>
          </cell>
        </row>
        <row r="454">
          <cell r="Z454">
            <v>213.43</v>
          </cell>
        </row>
        <row r="455">
          <cell r="Z455">
            <v>646.05999999999995</v>
          </cell>
        </row>
        <row r="456">
          <cell r="Z456">
            <v>0</v>
          </cell>
        </row>
        <row r="457">
          <cell r="Z457">
            <v>0</v>
          </cell>
        </row>
        <row r="458">
          <cell r="Z458">
            <v>113</v>
          </cell>
        </row>
        <row r="459">
          <cell r="Z459">
            <v>0</v>
          </cell>
        </row>
        <row r="460">
          <cell r="Z460">
            <v>0</v>
          </cell>
        </row>
        <row r="461">
          <cell r="Z461">
            <v>0</v>
          </cell>
        </row>
        <row r="462">
          <cell r="Z462">
            <v>0</v>
          </cell>
        </row>
        <row r="463">
          <cell r="Z463">
            <v>0</v>
          </cell>
        </row>
        <row r="464">
          <cell r="Z464">
            <v>0</v>
          </cell>
        </row>
        <row r="465">
          <cell r="Z465">
            <v>0</v>
          </cell>
        </row>
        <row r="466">
          <cell r="Z466">
            <v>0</v>
          </cell>
        </row>
        <row r="467">
          <cell r="Z467">
            <v>5890.3672413793101</v>
          </cell>
        </row>
        <row r="468">
          <cell r="Z468">
            <v>0</v>
          </cell>
        </row>
        <row r="469">
          <cell r="Z469">
            <v>93154.17</v>
          </cell>
        </row>
        <row r="470">
          <cell r="Z470">
            <v>0</v>
          </cell>
        </row>
        <row r="471">
          <cell r="Z471">
            <v>12727</v>
          </cell>
        </row>
        <row r="472">
          <cell r="Z472">
            <v>186.15</v>
          </cell>
        </row>
        <row r="473">
          <cell r="Z473">
            <v>763.1</v>
          </cell>
        </row>
        <row r="474">
          <cell r="Z474">
            <v>7746.4</v>
          </cell>
        </row>
        <row r="475">
          <cell r="Z475">
            <v>0</v>
          </cell>
        </row>
        <row r="476">
          <cell r="Z476">
            <v>566.35</v>
          </cell>
        </row>
        <row r="477">
          <cell r="Z477">
            <v>0</v>
          </cell>
        </row>
        <row r="478">
          <cell r="Z478">
            <v>7567.25</v>
          </cell>
        </row>
        <row r="480">
          <cell r="Z480">
            <v>34.15</v>
          </cell>
        </row>
        <row r="481">
          <cell r="Z481">
            <v>0</v>
          </cell>
        </row>
        <row r="482">
          <cell r="Z482">
            <v>0</v>
          </cell>
        </row>
        <row r="483">
          <cell r="Z483">
            <v>0</v>
          </cell>
        </row>
        <row r="484">
          <cell r="Z484">
            <v>0</v>
          </cell>
        </row>
        <row r="485">
          <cell r="Z485">
            <v>0</v>
          </cell>
        </row>
        <row r="486">
          <cell r="Z486">
            <v>0</v>
          </cell>
        </row>
        <row r="487">
          <cell r="Z487">
            <v>0</v>
          </cell>
        </row>
        <row r="488">
          <cell r="Z488">
            <v>173.89</v>
          </cell>
        </row>
        <row r="489">
          <cell r="Z489">
            <v>0</v>
          </cell>
        </row>
        <row r="490">
          <cell r="Z490">
            <v>3262.7503448275856</v>
          </cell>
        </row>
        <row r="491">
          <cell r="Z491">
            <v>0</v>
          </cell>
        </row>
        <row r="492">
          <cell r="Z492">
            <v>9722.5400000000009</v>
          </cell>
        </row>
        <row r="493">
          <cell r="Z493">
            <v>103.15</v>
          </cell>
        </row>
        <row r="494">
          <cell r="Z494">
            <v>27.66</v>
          </cell>
        </row>
        <row r="495">
          <cell r="Z495">
            <v>215.13</v>
          </cell>
        </row>
        <row r="496">
          <cell r="Z496">
            <v>744.03</v>
          </cell>
        </row>
        <row r="497">
          <cell r="Z497">
            <v>0</v>
          </cell>
        </row>
        <row r="498">
          <cell r="Z498">
            <v>0</v>
          </cell>
        </row>
        <row r="499">
          <cell r="Z499">
            <v>16755.84</v>
          </cell>
        </row>
        <row r="500">
          <cell r="Z500">
            <v>3250</v>
          </cell>
        </row>
        <row r="501">
          <cell r="Z501">
            <v>0</v>
          </cell>
        </row>
        <row r="502">
          <cell r="Z502">
            <v>0</v>
          </cell>
        </row>
        <row r="503">
          <cell r="Z503">
            <v>0</v>
          </cell>
        </row>
        <row r="504">
          <cell r="Z504">
            <v>2850</v>
          </cell>
        </row>
        <row r="505">
          <cell r="Z505">
            <v>11</v>
          </cell>
        </row>
        <row r="506">
          <cell r="Z506">
            <v>0</v>
          </cell>
        </row>
        <row r="507">
          <cell r="Z507">
            <v>1357.3</v>
          </cell>
        </row>
        <row r="508">
          <cell r="Z508">
            <v>1940.47</v>
          </cell>
        </row>
        <row r="509">
          <cell r="Z509">
            <v>108.52</v>
          </cell>
        </row>
        <row r="510">
          <cell r="Z510">
            <v>0</v>
          </cell>
        </row>
        <row r="511">
          <cell r="Z511">
            <v>0</v>
          </cell>
        </row>
        <row r="512">
          <cell r="Z512">
            <v>0</v>
          </cell>
        </row>
        <row r="513">
          <cell r="Z513">
            <v>0</v>
          </cell>
        </row>
        <row r="514">
          <cell r="Z514">
            <v>0</v>
          </cell>
        </row>
        <row r="515">
          <cell r="Z515">
            <v>0</v>
          </cell>
        </row>
        <row r="516">
          <cell r="Z516">
            <v>0</v>
          </cell>
        </row>
        <row r="517">
          <cell r="Z517">
            <v>0</v>
          </cell>
        </row>
        <row r="518">
          <cell r="Z518">
            <v>0</v>
          </cell>
        </row>
        <row r="519">
          <cell r="Z519">
            <v>0</v>
          </cell>
        </row>
        <row r="520">
          <cell r="Z520">
            <v>0</v>
          </cell>
        </row>
        <row r="521">
          <cell r="Z521">
            <v>0</v>
          </cell>
        </row>
        <row r="522">
          <cell r="Z522">
            <v>0</v>
          </cell>
        </row>
        <row r="523">
          <cell r="Z523">
            <v>0</v>
          </cell>
        </row>
        <row r="524">
          <cell r="Z524">
            <v>901809.54450000066</v>
          </cell>
        </row>
        <row r="525">
          <cell r="Z525">
            <v>0</v>
          </cell>
        </row>
        <row r="526">
          <cell r="Z526">
            <v>1087.5834482758619</v>
          </cell>
        </row>
        <row r="527">
          <cell r="Z527">
            <v>1157747.3655344835</v>
          </cell>
        </row>
        <row r="528">
          <cell r="Z528">
            <v>0</v>
          </cell>
        </row>
        <row r="529">
          <cell r="Z529">
            <v>0</v>
          </cell>
        </row>
        <row r="530">
          <cell r="Z530">
            <v>0</v>
          </cell>
        </row>
        <row r="531">
          <cell r="Z531">
            <v>35833.339999999997</v>
          </cell>
        </row>
        <row r="532">
          <cell r="Z532">
            <v>3333</v>
          </cell>
        </row>
        <row r="533">
          <cell r="Z533">
            <v>0</v>
          </cell>
        </row>
        <row r="534">
          <cell r="Z534">
            <v>82.4</v>
          </cell>
        </row>
        <row r="535">
          <cell r="Z535">
            <v>91.54</v>
          </cell>
        </row>
        <row r="536">
          <cell r="Z536">
            <v>0</v>
          </cell>
        </row>
        <row r="537">
          <cell r="Z537">
            <v>91.45</v>
          </cell>
        </row>
        <row r="538">
          <cell r="Z538">
            <v>2371.31</v>
          </cell>
        </row>
        <row r="539">
          <cell r="Z539">
            <v>211.98</v>
          </cell>
        </row>
        <row r="540">
          <cell r="Z540">
            <v>32021.11</v>
          </cell>
        </row>
        <row r="541">
          <cell r="Z541">
            <v>1550</v>
          </cell>
        </row>
        <row r="542">
          <cell r="Z542">
            <v>0</v>
          </cell>
        </row>
        <row r="543">
          <cell r="Z543">
            <v>645.38</v>
          </cell>
        </row>
        <row r="544">
          <cell r="Z544">
            <v>0</v>
          </cell>
        </row>
        <row r="545">
          <cell r="Z545">
            <v>2466.17</v>
          </cell>
        </row>
        <row r="546">
          <cell r="Z546">
            <v>3954.64</v>
          </cell>
        </row>
        <row r="547">
          <cell r="Z547">
            <v>0</v>
          </cell>
        </row>
        <row r="548">
          <cell r="Z548">
            <v>0</v>
          </cell>
        </row>
        <row r="549">
          <cell r="Z549">
            <v>0</v>
          </cell>
        </row>
        <row r="550">
          <cell r="Z550">
            <v>201.98</v>
          </cell>
        </row>
        <row r="551">
          <cell r="Z551">
            <v>155.15</v>
          </cell>
        </row>
        <row r="552">
          <cell r="Z552">
            <v>0</v>
          </cell>
        </row>
        <row r="553">
          <cell r="Z553">
            <v>0</v>
          </cell>
        </row>
        <row r="554">
          <cell r="Z554">
            <v>0</v>
          </cell>
        </row>
        <row r="555">
          <cell r="Z555">
            <v>0</v>
          </cell>
        </row>
        <row r="556">
          <cell r="Z556">
            <v>0</v>
          </cell>
        </row>
        <row r="557">
          <cell r="Z557">
            <v>0</v>
          </cell>
        </row>
        <row r="558">
          <cell r="Z558">
            <v>0</v>
          </cell>
        </row>
        <row r="559">
          <cell r="Z559">
            <v>0</v>
          </cell>
        </row>
        <row r="560">
          <cell r="Z560">
            <v>536.28</v>
          </cell>
        </row>
        <row r="561">
          <cell r="Z561">
            <v>0</v>
          </cell>
        </row>
        <row r="562">
          <cell r="Z562">
            <v>0</v>
          </cell>
        </row>
        <row r="563">
          <cell r="Z563">
            <v>0</v>
          </cell>
        </row>
        <row r="564">
          <cell r="Z564">
            <v>0</v>
          </cell>
        </row>
        <row r="565">
          <cell r="Z565">
            <v>0</v>
          </cell>
        </row>
        <row r="566">
          <cell r="Z566">
            <v>0</v>
          </cell>
        </row>
        <row r="567">
          <cell r="Z567">
            <v>2313.9351724137928</v>
          </cell>
        </row>
        <row r="568">
          <cell r="Z568">
            <v>85859.665172413792</v>
          </cell>
        </row>
        <row r="569">
          <cell r="Z569">
            <v>0</v>
          </cell>
        </row>
        <row r="570">
          <cell r="Z570">
            <v>0</v>
          </cell>
        </row>
        <row r="571">
          <cell r="Z571">
            <v>0</v>
          </cell>
        </row>
        <row r="572">
          <cell r="Z572">
            <v>5625</v>
          </cell>
        </row>
        <row r="573">
          <cell r="Z573">
            <v>708</v>
          </cell>
        </row>
        <row r="574">
          <cell r="Z574">
            <v>0</v>
          </cell>
        </row>
        <row r="575">
          <cell r="Z575">
            <v>12.94</v>
          </cell>
        </row>
        <row r="576">
          <cell r="Z576">
            <v>0</v>
          </cell>
        </row>
        <row r="577">
          <cell r="Z577">
            <v>0</v>
          </cell>
        </row>
        <row r="578">
          <cell r="Z578">
            <v>503.01</v>
          </cell>
        </row>
        <row r="579">
          <cell r="Z579">
            <v>33.869999999999997</v>
          </cell>
        </row>
        <row r="580">
          <cell r="Z580">
            <v>636.52</v>
          </cell>
        </row>
        <row r="581">
          <cell r="Z581">
            <v>0</v>
          </cell>
        </row>
        <row r="582">
          <cell r="Z582">
            <v>0</v>
          </cell>
        </row>
        <row r="583">
          <cell r="Z583">
            <v>6250</v>
          </cell>
        </row>
        <row r="584">
          <cell r="Z584">
            <v>0</v>
          </cell>
        </row>
        <row r="585">
          <cell r="Z585">
            <v>708.36</v>
          </cell>
        </row>
        <row r="586">
          <cell r="Z586">
            <v>343.94</v>
          </cell>
        </row>
        <row r="587">
          <cell r="Z587">
            <v>33.869999999999997</v>
          </cell>
        </row>
        <row r="588">
          <cell r="Z588">
            <v>14.38</v>
          </cell>
        </row>
        <row r="589">
          <cell r="Z589">
            <v>135</v>
          </cell>
        </row>
        <row r="590">
          <cell r="Z590">
            <v>0</v>
          </cell>
        </row>
        <row r="591">
          <cell r="Z591">
            <v>10937.5</v>
          </cell>
        </row>
        <row r="592">
          <cell r="Z592">
            <v>0</v>
          </cell>
        </row>
        <row r="593">
          <cell r="Z593">
            <v>625</v>
          </cell>
        </row>
        <row r="594">
          <cell r="Z594">
            <v>1012</v>
          </cell>
        </row>
        <row r="595">
          <cell r="Z595">
            <v>343.94</v>
          </cell>
        </row>
        <row r="596">
          <cell r="Z596">
            <v>33.869999999999997</v>
          </cell>
        </row>
        <row r="597">
          <cell r="Z597">
            <v>13.46</v>
          </cell>
        </row>
        <row r="598">
          <cell r="Z598">
            <v>0</v>
          </cell>
        </row>
        <row r="599">
          <cell r="Z599">
            <v>0</v>
          </cell>
        </row>
        <row r="600">
          <cell r="Z600">
            <v>0</v>
          </cell>
        </row>
        <row r="601">
          <cell r="Z601">
            <v>0</v>
          </cell>
        </row>
        <row r="602">
          <cell r="Z602">
            <v>0</v>
          </cell>
        </row>
        <row r="603">
          <cell r="Z603">
            <v>0</v>
          </cell>
        </row>
        <row r="604">
          <cell r="Z604">
            <v>27970.659999999996</v>
          </cell>
        </row>
        <row r="605">
          <cell r="Z605">
            <v>0</v>
          </cell>
        </row>
        <row r="606">
          <cell r="Z606">
            <v>0</v>
          </cell>
        </row>
        <row r="607">
          <cell r="Z607">
            <v>0</v>
          </cell>
        </row>
        <row r="608">
          <cell r="Z608">
            <v>0</v>
          </cell>
        </row>
        <row r="609">
          <cell r="Z609">
            <v>0</v>
          </cell>
        </row>
        <row r="610">
          <cell r="Z610">
            <v>2697.47</v>
          </cell>
        </row>
        <row r="611">
          <cell r="Z611">
            <v>0</v>
          </cell>
        </row>
        <row r="612">
          <cell r="Z612">
            <v>8.9600000000000009</v>
          </cell>
        </row>
        <row r="613">
          <cell r="Z613">
            <v>0</v>
          </cell>
        </row>
        <row r="614">
          <cell r="Z614">
            <v>0</v>
          </cell>
        </row>
        <row r="615">
          <cell r="Z615">
            <v>0</v>
          </cell>
        </row>
        <row r="616">
          <cell r="Z616">
            <v>2706.43</v>
          </cell>
        </row>
        <row r="617">
          <cell r="Z617">
            <v>0</v>
          </cell>
        </row>
        <row r="618">
          <cell r="Z618">
            <v>0</v>
          </cell>
        </row>
        <row r="619">
          <cell r="Z619">
            <v>0</v>
          </cell>
        </row>
        <row r="620">
          <cell r="Z620">
            <v>0</v>
          </cell>
        </row>
        <row r="621">
          <cell r="Z621">
            <v>0</v>
          </cell>
        </row>
        <row r="622">
          <cell r="Z622">
            <v>0</v>
          </cell>
        </row>
        <row r="623">
          <cell r="Z623">
            <v>0</v>
          </cell>
        </row>
        <row r="624">
          <cell r="Z624">
            <v>0</v>
          </cell>
        </row>
        <row r="625">
          <cell r="Z625">
            <v>0</v>
          </cell>
        </row>
        <row r="626">
          <cell r="Z626">
            <v>0</v>
          </cell>
        </row>
        <row r="627">
          <cell r="Z627">
            <v>0</v>
          </cell>
        </row>
        <row r="628">
          <cell r="Z628">
            <v>0</v>
          </cell>
        </row>
        <row r="629">
          <cell r="Z629">
            <v>0</v>
          </cell>
        </row>
        <row r="630">
          <cell r="Z630">
            <v>0</v>
          </cell>
        </row>
        <row r="631">
          <cell r="Z631">
            <v>119.95</v>
          </cell>
        </row>
        <row r="632">
          <cell r="Z632">
            <v>0</v>
          </cell>
        </row>
        <row r="633">
          <cell r="Z633">
            <v>0</v>
          </cell>
        </row>
        <row r="634">
          <cell r="Z634">
            <v>0</v>
          </cell>
        </row>
        <row r="635">
          <cell r="Z635">
            <v>0</v>
          </cell>
        </row>
        <row r="636">
          <cell r="Z636">
            <v>0</v>
          </cell>
        </row>
        <row r="637">
          <cell r="Z637">
            <v>0</v>
          </cell>
        </row>
        <row r="638">
          <cell r="Z638">
            <v>0</v>
          </cell>
        </row>
        <row r="639">
          <cell r="Z639">
            <v>12733.67</v>
          </cell>
        </row>
        <row r="640">
          <cell r="Z640">
            <v>9337.49</v>
          </cell>
        </row>
        <row r="641">
          <cell r="Z641">
            <v>4817.1499999999996</v>
          </cell>
        </row>
        <row r="642">
          <cell r="Z642">
            <v>57.33</v>
          </cell>
        </row>
        <row r="643">
          <cell r="Z643">
            <v>6000</v>
          </cell>
        </row>
        <row r="644">
          <cell r="Z644">
            <v>0</v>
          </cell>
        </row>
        <row r="645">
          <cell r="Z645">
            <v>0</v>
          </cell>
        </row>
        <row r="646">
          <cell r="Z646">
            <v>0</v>
          </cell>
        </row>
        <row r="647">
          <cell r="Z647">
            <v>33.979999999999997</v>
          </cell>
        </row>
        <row r="648">
          <cell r="Z648">
            <v>0</v>
          </cell>
        </row>
        <row r="649">
          <cell r="Z649">
            <v>276.23</v>
          </cell>
        </row>
        <row r="650">
          <cell r="Z650">
            <v>15.92</v>
          </cell>
        </row>
        <row r="651">
          <cell r="Z651">
            <v>60.23</v>
          </cell>
        </row>
        <row r="652">
          <cell r="Z652">
            <v>865.86</v>
          </cell>
        </row>
        <row r="653">
          <cell r="Z653">
            <v>0</v>
          </cell>
        </row>
        <row r="654">
          <cell r="Z654">
            <v>0</v>
          </cell>
        </row>
        <row r="655">
          <cell r="Z655">
            <v>-4182.13</v>
          </cell>
        </row>
        <row r="656">
          <cell r="Z656">
            <v>-1131.8900000000001</v>
          </cell>
        </row>
        <row r="657">
          <cell r="Z657">
            <v>284.64</v>
          </cell>
        </row>
        <row r="659">
          <cell r="Z659">
            <v>497.5</v>
          </cell>
        </row>
        <row r="660">
          <cell r="Z660">
            <v>1306.3599999999999</v>
          </cell>
        </row>
        <row r="661">
          <cell r="Z661">
            <v>448.71</v>
          </cell>
        </row>
        <row r="662">
          <cell r="Z662">
            <v>477.4</v>
          </cell>
        </row>
        <row r="664">
          <cell r="Z664">
            <v>0</v>
          </cell>
        </row>
        <row r="665">
          <cell r="Z665">
            <v>32018.400000000012</v>
          </cell>
        </row>
        <row r="666">
          <cell r="Z666">
            <v>0</v>
          </cell>
        </row>
        <row r="667">
          <cell r="Z667">
            <v>0</v>
          </cell>
        </row>
        <row r="668">
          <cell r="Z668">
            <v>0</v>
          </cell>
        </row>
        <row r="670">
          <cell r="Z670">
            <v>-28933.023103448271</v>
          </cell>
        </row>
        <row r="671">
          <cell r="Z671">
            <v>0</v>
          </cell>
        </row>
        <row r="672">
          <cell r="Z672">
            <v>33762.466896551734</v>
          </cell>
        </row>
        <row r="673">
          <cell r="Z673">
            <v>0</v>
          </cell>
        </row>
        <row r="674">
          <cell r="Z674">
            <v>0</v>
          </cell>
        </row>
        <row r="675">
          <cell r="Z675">
            <v>0</v>
          </cell>
        </row>
        <row r="676">
          <cell r="Z676">
            <v>0</v>
          </cell>
        </row>
        <row r="677">
          <cell r="Z677">
            <v>37208.339999999997</v>
          </cell>
        </row>
        <row r="679">
          <cell r="Z679">
            <v>20007</v>
          </cell>
        </row>
        <row r="680">
          <cell r="Z680">
            <v>5643</v>
          </cell>
        </row>
        <row r="681">
          <cell r="Z681">
            <v>186.01</v>
          </cell>
        </row>
        <row r="682">
          <cell r="Z682">
            <v>0</v>
          </cell>
        </row>
        <row r="683">
          <cell r="Z683">
            <v>0</v>
          </cell>
        </row>
        <row r="684">
          <cell r="Z684">
            <v>0</v>
          </cell>
        </row>
        <row r="685">
          <cell r="Z685">
            <v>135.47999999999999</v>
          </cell>
        </row>
        <row r="686">
          <cell r="Z686">
            <v>0</v>
          </cell>
        </row>
        <row r="687">
          <cell r="Z687">
            <v>0</v>
          </cell>
        </row>
        <row r="688">
          <cell r="Z688">
            <v>1254.53</v>
          </cell>
        </row>
        <row r="689">
          <cell r="Z689">
            <v>0</v>
          </cell>
        </row>
        <row r="690">
          <cell r="Z690">
            <v>0</v>
          </cell>
        </row>
        <row r="691">
          <cell r="Z691">
            <v>0</v>
          </cell>
        </row>
        <row r="692">
          <cell r="Z692">
            <v>0</v>
          </cell>
        </row>
        <row r="693">
          <cell r="Z693">
            <v>0</v>
          </cell>
        </row>
        <row r="694">
          <cell r="Z694">
            <v>0</v>
          </cell>
        </row>
        <row r="695">
          <cell r="Z695"/>
        </row>
        <row r="696">
          <cell r="Z696">
            <v>12.78</v>
          </cell>
        </row>
        <row r="697">
          <cell r="Z697">
            <v>0</v>
          </cell>
        </row>
        <row r="698">
          <cell r="Z698">
            <v>0</v>
          </cell>
        </row>
        <row r="699">
          <cell r="Z699">
            <v>0</v>
          </cell>
        </row>
        <row r="701">
          <cell r="Z701">
            <v>438.21</v>
          </cell>
        </row>
        <row r="702">
          <cell r="Z702">
            <v>7130</v>
          </cell>
        </row>
        <row r="703">
          <cell r="Z703">
            <v>179.51</v>
          </cell>
        </row>
        <row r="704">
          <cell r="Z704">
            <v>0</v>
          </cell>
        </row>
        <row r="705">
          <cell r="Z705">
            <v>0</v>
          </cell>
        </row>
        <row r="706">
          <cell r="Z706">
            <v>0</v>
          </cell>
        </row>
        <row r="707">
          <cell r="Z707">
            <v>3094.85</v>
          </cell>
        </row>
        <row r="708">
          <cell r="Z708">
            <v>0</v>
          </cell>
        </row>
        <row r="709">
          <cell r="Z709">
            <v>1000</v>
          </cell>
        </row>
        <row r="711">
          <cell r="Z711">
            <v>0</v>
          </cell>
        </row>
        <row r="712">
          <cell r="Z712">
            <v>0</v>
          </cell>
        </row>
        <row r="713">
          <cell r="Z713">
            <v>211.9</v>
          </cell>
        </row>
        <row r="714">
          <cell r="Z714">
            <v>1240</v>
          </cell>
        </row>
        <row r="715">
          <cell r="Z715">
            <v>0</v>
          </cell>
        </row>
        <row r="716">
          <cell r="Z716">
            <v>77933.61</v>
          </cell>
        </row>
        <row r="717">
          <cell r="Z717">
            <v>0</v>
          </cell>
        </row>
        <row r="718">
          <cell r="Z718">
            <v>0</v>
          </cell>
        </row>
        <row r="719">
          <cell r="Z719">
            <v>0</v>
          </cell>
        </row>
        <row r="720">
          <cell r="Z720">
            <v>0</v>
          </cell>
        </row>
        <row r="721">
          <cell r="Z721">
            <v>71666.679999999993</v>
          </cell>
        </row>
        <row r="722">
          <cell r="Z722">
            <v>4994</v>
          </cell>
        </row>
        <row r="723">
          <cell r="Z723">
            <v>-646267</v>
          </cell>
        </row>
        <row r="724">
          <cell r="Z724">
            <v>268902</v>
          </cell>
        </row>
        <row r="725">
          <cell r="Z725">
            <v>0</v>
          </cell>
        </row>
        <row r="726">
          <cell r="Z726">
            <v>0</v>
          </cell>
        </row>
        <row r="727">
          <cell r="Z727">
            <v>0</v>
          </cell>
        </row>
        <row r="728">
          <cell r="Z728">
            <v>892.86</v>
          </cell>
        </row>
        <row r="729">
          <cell r="Z729">
            <v>11061.38</v>
          </cell>
        </row>
        <row r="730">
          <cell r="Z730">
            <v>5983.84</v>
          </cell>
        </row>
        <row r="731">
          <cell r="Z731">
            <v>0</v>
          </cell>
        </row>
        <row r="732">
          <cell r="Z732">
            <v>215.13</v>
          </cell>
        </row>
        <row r="733">
          <cell r="Z733">
            <v>0</v>
          </cell>
        </row>
        <row r="734">
          <cell r="Z734">
            <v>1305.0999999999999</v>
          </cell>
        </row>
        <row r="735">
          <cell r="Z735">
            <v>48.17</v>
          </cell>
        </row>
        <row r="736">
          <cell r="Z736">
            <v>0</v>
          </cell>
        </row>
        <row r="737">
          <cell r="Z737">
            <v>0</v>
          </cell>
        </row>
        <row r="738">
          <cell r="Z738">
            <v>7358.08</v>
          </cell>
        </row>
        <row r="739">
          <cell r="Z739">
            <v>498.61</v>
          </cell>
        </row>
        <row r="740">
          <cell r="Z740">
            <v>0</v>
          </cell>
        </row>
        <row r="741">
          <cell r="Z741">
            <v>25000</v>
          </cell>
        </row>
        <row r="742">
          <cell r="Z742">
            <v>6436.4</v>
          </cell>
        </row>
        <row r="743">
          <cell r="Z743">
            <v>0</v>
          </cell>
        </row>
        <row r="744">
          <cell r="Z744">
            <v>43563</v>
          </cell>
        </row>
        <row r="745">
          <cell r="Z745">
            <v>0</v>
          </cell>
        </row>
        <row r="746">
          <cell r="Z746">
            <v>1940.47</v>
          </cell>
        </row>
        <row r="747">
          <cell r="Z747">
            <v>108.52</v>
          </cell>
        </row>
        <row r="748">
          <cell r="Z748">
            <v>32000</v>
          </cell>
        </row>
        <row r="749">
          <cell r="Z749">
            <v>0</v>
          </cell>
        </row>
        <row r="750">
          <cell r="Z750">
            <v>0</v>
          </cell>
        </row>
        <row r="752">
          <cell r="Z752">
            <v>115352.28</v>
          </cell>
        </row>
        <row r="753">
          <cell r="Z753">
            <v>3333</v>
          </cell>
        </row>
        <row r="754">
          <cell r="Z754">
            <v>179636</v>
          </cell>
        </row>
        <row r="755">
          <cell r="Z755">
            <v>0</v>
          </cell>
        </row>
        <row r="756">
          <cell r="Z756">
            <v>25151.97</v>
          </cell>
        </row>
        <row r="757">
          <cell r="Z757">
            <v>349.16</v>
          </cell>
        </row>
        <row r="758">
          <cell r="Z758">
            <v>0</v>
          </cell>
        </row>
        <row r="759">
          <cell r="Z759">
            <v>8381.27</v>
          </cell>
        </row>
        <row r="760">
          <cell r="Z760">
            <v>535.69000000000005</v>
          </cell>
        </row>
        <row r="761">
          <cell r="Z761">
            <v>0</v>
          </cell>
        </row>
        <row r="762">
          <cell r="Z762">
            <v>0</v>
          </cell>
        </row>
        <row r="764">
          <cell r="Z764">
            <v>0</v>
          </cell>
        </row>
        <row r="765">
          <cell r="Z765">
            <v>0.46</v>
          </cell>
        </row>
        <row r="766">
          <cell r="Z766">
            <v>0</v>
          </cell>
        </row>
        <row r="768">
          <cell r="Z768">
            <v>27661.55</v>
          </cell>
        </row>
        <row r="769">
          <cell r="Z769">
            <v>0</v>
          </cell>
        </row>
        <row r="770">
          <cell r="Z770">
            <v>0</v>
          </cell>
        </row>
        <row r="771">
          <cell r="Z771">
            <v>0</v>
          </cell>
        </row>
        <row r="772">
          <cell r="Z772">
            <v>1250</v>
          </cell>
        </row>
        <row r="773">
          <cell r="Z773">
            <v>0</v>
          </cell>
        </row>
        <row r="774">
          <cell r="Z774">
            <v>0</v>
          </cell>
        </row>
        <row r="775">
          <cell r="Z775">
            <v>331.99</v>
          </cell>
        </row>
        <row r="776">
          <cell r="Z776">
            <v>0</v>
          </cell>
        </row>
        <row r="778">
          <cell r="Z778">
            <v>17083.34</v>
          </cell>
        </row>
        <row r="779">
          <cell r="Z779">
            <v>3991.5</v>
          </cell>
        </row>
        <row r="780">
          <cell r="Z780">
            <v>0</v>
          </cell>
        </row>
        <row r="781">
          <cell r="Z781">
            <v>417</v>
          </cell>
        </row>
        <row r="782">
          <cell r="Z782">
            <v>19355</v>
          </cell>
        </row>
        <row r="783">
          <cell r="Z783">
            <v>3609.63</v>
          </cell>
        </row>
        <row r="784">
          <cell r="Z784">
            <v>0</v>
          </cell>
        </row>
        <row r="785">
          <cell r="Z785">
            <v>178.11</v>
          </cell>
        </row>
        <row r="786">
          <cell r="Z786">
            <v>83.81</v>
          </cell>
        </row>
        <row r="787">
          <cell r="Z787">
            <v>0</v>
          </cell>
        </row>
        <row r="790">
          <cell r="Z790">
            <v>0</v>
          </cell>
        </row>
        <row r="791">
          <cell r="Z791">
            <v>0</v>
          </cell>
        </row>
        <row r="792">
          <cell r="Z792">
            <v>0</v>
          </cell>
        </row>
        <row r="793">
          <cell r="Z793">
            <v>0</v>
          </cell>
        </row>
        <row r="794">
          <cell r="Z794">
            <v>0</v>
          </cell>
        </row>
        <row r="795">
          <cell r="Z795">
            <v>25041.66</v>
          </cell>
        </row>
        <row r="796">
          <cell r="Z796">
            <v>1230</v>
          </cell>
        </row>
        <row r="797">
          <cell r="Z797">
            <v>0</v>
          </cell>
        </row>
        <row r="798">
          <cell r="Z798">
            <v>52714</v>
          </cell>
        </row>
        <row r="799">
          <cell r="Z799">
            <v>0</v>
          </cell>
        </row>
        <row r="800">
          <cell r="Z800">
            <v>6332.47</v>
          </cell>
        </row>
        <row r="801">
          <cell r="Z801">
            <v>13401.14</v>
          </cell>
        </row>
        <row r="802">
          <cell r="Z802">
            <v>13180.91</v>
          </cell>
        </row>
        <row r="803">
          <cell r="Z803">
            <v>13169.43</v>
          </cell>
        </row>
        <row r="804">
          <cell r="Z804">
            <v>3287.69</v>
          </cell>
        </row>
        <row r="805">
          <cell r="Z805">
            <v>0</v>
          </cell>
        </row>
        <row r="807">
          <cell r="Z807">
            <v>0</v>
          </cell>
        </row>
        <row r="808">
          <cell r="Z808">
            <v>0</v>
          </cell>
        </row>
        <row r="809">
          <cell r="Z809">
            <v>0</v>
          </cell>
        </row>
        <row r="810">
          <cell r="Z810">
            <v>0</v>
          </cell>
        </row>
        <row r="811">
          <cell r="Z811">
            <v>1277.78</v>
          </cell>
        </row>
        <row r="812">
          <cell r="Z812">
            <v>2018.06</v>
          </cell>
        </row>
        <row r="814">
          <cell r="Z814">
            <v>766.01</v>
          </cell>
        </row>
        <row r="815">
          <cell r="Z815">
            <v>183.17</v>
          </cell>
        </row>
        <row r="816">
          <cell r="Z816">
            <v>185.16</v>
          </cell>
        </row>
        <row r="817">
          <cell r="Z817">
            <v>47.17</v>
          </cell>
        </row>
        <row r="818">
          <cell r="Z818">
            <v>74.23</v>
          </cell>
        </row>
        <row r="819">
          <cell r="Z819">
            <v>215.13</v>
          </cell>
        </row>
        <row r="820">
          <cell r="Z820">
            <v>215.13</v>
          </cell>
        </row>
        <row r="822">
          <cell r="Z822">
            <v>0</v>
          </cell>
        </row>
        <row r="823">
          <cell r="Z823">
            <v>0</v>
          </cell>
        </row>
        <row r="825">
          <cell r="Z825">
            <v>0</v>
          </cell>
        </row>
        <row r="826">
          <cell r="Z826">
            <v>48750</v>
          </cell>
        </row>
        <row r="827">
          <cell r="Z827">
            <v>2083</v>
          </cell>
        </row>
        <row r="828">
          <cell r="Z828">
            <v>0</v>
          </cell>
        </row>
        <row r="829">
          <cell r="Z829">
            <v>56945</v>
          </cell>
        </row>
        <row r="830">
          <cell r="Z830">
            <v>8385.75</v>
          </cell>
        </row>
        <row r="831">
          <cell r="Z831">
            <v>0</v>
          </cell>
        </row>
        <row r="832">
          <cell r="Z832">
            <v>0</v>
          </cell>
        </row>
        <row r="833">
          <cell r="Z833">
            <v>5620.05</v>
          </cell>
        </row>
        <row r="834">
          <cell r="Z834">
            <v>322.35000000000002</v>
          </cell>
        </row>
        <row r="835">
          <cell r="Z835">
            <v>84.71</v>
          </cell>
        </row>
        <row r="836">
          <cell r="Z836">
            <v>0</v>
          </cell>
        </row>
        <row r="838">
          <cell r="Z838">
            <v>49958.33</v>
          </cell>
        </row>
        <row r="839">
          <cell r="Z839">
            <v>7494.63</v>
          </cell>
        </row>
        <row r="840">
          <cell r="Z840">
            <v>14583</v>
          </cell>
        </row>
        <row r="841">
          <cell r="Z841">
            <v>0</v>
          </cell>
        </row>
        <row r="842">
          <cell r="Z842">
            <v>54.79</v>
          </cell>
        </row>
        <row r="843">
          <cell r="Z843">
            <v>85.4</v>
          </cell>
        </row>
        <row r="844">
          <cell r="Z844">
            <v>0</v>
          </cell>
        </row>
        <row r="845">
          <cell r="Z845">
            <v>4383.95</v>
          </cell>
        </row>
        <row r="846">
          <cell r="Z846">
            <v>41000</v>
          </cell>
        </row>
        <row r="847">
          <cell r="Z847">
            <v>0</v>
          </cell>
        </row>
        <row r="848">
          <cell r="Z848">
            <v>250.91</v>
          </cell>
        </row>
        <row r="850">
          <cell r="Z850">
            <v>14290.19</v>
          </cell>
        </row>
        <row r="851">
          <cell r="Z851">
            <v>2323.7399999999998</v>
          </cell>
        </row>
        <row r="852">
          <cell r="Z852">
            <v>434</v>
          </cell>
        </row>
        <row r="853">
          <cell r="Z853">
            <v>16050.05</v>
          </cell>
        </row>
        <row r="854">
          <cell r="Z854">
            <v>215.13</v>
          </cell>
        </row>
        <row r="855">
          <cell r="Z855">
            <v>0</v>
          </cell>
        </row>
        <row r="859">
          <cell r="Z859">
            <v>0</v>
          </cell>
        </row>
        <row r="860">
          <cell r="Z860">
            <v>0</v>
          </cell>
        </row>
        <row r="861">
          <cell r="Z861">
            <v>0</v>
          </cell>
        </row>
        <row r="862">
          <cell r="Z862">
            <v>0</v>
          </cell>
        </row>
        <row r="863">
          <cell r="Z863">
            <v>0</v>
          </cell>
        </row>
        <row r="864">
          <cell r="Z864">
            <v>0</v>
          </cell>
        </row>
        <row r="865">
          <cell r="Z865">
            <v>0</v>
          </cell>
        </row>
        <row r="866">
          <cell r="Z866">
            <v>0</v>
          </cell>
        </row>
        <row r="867">
          <cell r="Z867">
            <v>0</v>
          </cell>
        </row>
        <row r="868">
          <cell r="Z868">
            <v>0</v>
          </cell>
        </row>
        <row r="869">
          <cell r="Z869">
            <v>1000</v>
          </cell>
        </row>
        <row r="870">
          <cell r="Z870">
            <v>604.65</v>
          </cell>
        </row>
        <row r="871">
          <cell r="Z871">
            <v>0</v>
          </cell>
        </row>
        <row r="872">
          <cell r="Z872">
            <v>0</v>
          </cell>
        </row>
        <row r="873">
          <cell r="Z873">
            <v>0</v>
          </cell>
        </row>
        <row r="874">
          <cell r="Z874">
            <v>0</v>
          </cell>
        </row>
        <row r="875">
          <cell r="Z875">
            <v>0</v>
          </cell>
        </row>
        <row r="876">
          <cell r="Z876">
            <v>0</v>
          </cell>
        </row>
        <row r="877">
          <cell r="Z877">
            <v>0</v>
          </cell>
        </row>
        <row r="878">
          <cell r="Z878">
            <v>0</v>
          </cell>
        </row>
        <row r="879">
          <cell r="Z879">
            <v>0</v>
          </cell>
        </row>
        <row r="880">
          <cell r="Z880">
            <v>0</v>
          </cell>
        </row>
        <row r="881">
          <cell r="Z881">
            <v>0</v>
          </cell>
        </row>
        <row r="882">
          <cell r="Z882">
            <v>0</v>
          </cell>
        </row>
        <row r="883">
          <cell r="Z883">
            <v>0</v>
          </cell>
        </row>
        <row r="884">
          <cell r="Z884">
            <v>0</v>
          </cell>
        </row>
        <row r="886">
          <cell r="Z886">
            <v>0</v>
          </cell>
        </row>
        <row r="887">
          <cell r="Z887">
            <v>0</v>
          </cell>
        </row>
        <row r="888">
          <cell r="Z888">
            <v>0</v>
          </cell>
        </row>
        <row r="889">
          <cell r="Z889">
            <v>0</v>
          </cell>
        </row>
        <row r="890">
          <cell r="Z890">
            <v>0</v>
          </cell>
        </row>
        <row r="891">
          <cell r="Z891">
            <v>0</v>
          </cell>
        </row>
        <row r="892">
          <cell r="Z892">
            <v>0</v>
          </cell>
        </row>
        <row r="897">
          <cell r="Z897">
            <v>0</v>
          </cell>
        </row>
        <row r="898">
          <cell r="Z898">
            <v>0</v>
          </cell>
        </row>
        <row r="899">
          <cell r="Z899">
            <v>0</v>
          </cell>
        </row>
        <row r="900">
          <cell r="Z900">
            <v>0</v>
          </cell>
        </row>
        <row r="901">
          <cell r="Z901">
            <v>0</v>
          </cell>
        </row>
        <row r="902">
          <cell r="Z902">
            <v>0</v>
          </cell>
        </row>
        <row r="903">
          <cell r="Z903">
            <v>0</v>
          </cell>
        </row>
        <row r="904">
          <cell r="Z904">
            <v>0</v>
          </cell>
        </row>
        <row r="910">
          <cell r="Z910">
            <v>0</v>
          </cell>
        </row>
        <row r="911">
          <cell r="Z911">
            <v>0</v>
          </cell>
        </row>
        <row r="912">
          <cell r="Z912">
            <v>0</v>
          </cell>
        </row>
        <row r="913">
          <cell r="Z913">
            <v>0</v>
          </cell>
        </row>
        <row r="914">
          <cell r="Z914">
            <v>0</v>
          </cell>
        </row>
        <row r="915">
          <cell r="Z915">
            <v>0</v>
          </cell>
        </row>
        <row r="916">
          <cell r="Z916">
            <v>0</v>
          </cell>
        </row>
        <row r="917">
          <cell r="Z917">
            <v>0</v>
          </cell>
        </row>
        <row r="918">
          <cell r="Z918">
            <v>16378.386896551721</v>
          </cell>
        </row>
        <row r="919">
          <cell r="Z919">
            <v>0</v>
          </cell>
        </row>
        <row r="920">
          <cell r="Z920">
            <v>667256.42689655151</v>
          </cell>
        </row>
        <row r="921">
          <cell r="Z921">
            <v>0</v>
          </cell>
        </row>
        <row r="925">
          <cell r="Z925">
            <v>0</v>
          </cell>
        </row>
        <row r="926">
          <cell r="Z926">
            <v>745190.03689655149</v>
          </cell>
        </row>
        <row r="929">
          <cell r="Z929">
            <v>0</v>
          </cell>
        </row>
        <row r="930">
          <cell r="Z930">
            <v>0</v>
          </cell>
        </row>
        <row r="931">
          <cell r="Z931">
            <v>0</v>
          </cell>
        </row>
        <row r="947">
          <cell r="Z947">
            <v>0</v>
          </cell>
        </row>
        <row r="948">
          <cell r="Z948">
            <v>0</v>
          </cell>
        </row>
        <row r="949">
          <cell r="Z949">
            <v>0</v>
          </cell>
        </row>
        <row r="955">
          <cell r="Z955">
            <v>0</v>
          </cell>
        </row>
        <row r="956">
          <cell r="Z956">
            <v>0</v>
          </cell>
        </row>
        <row r="957">
          <cell r="Z957">
            <v>0</v>
          </cell>
        </row>
        <row r="958">
          <cell r="Z958">
            <v>0</v>
          </cell>
        </row>
        <row r="959">
          <cell r="Z959">
            <v>1099.21</v>
          </cell>
        </row>
        <row r="960">
          <cell r="Z960">
            <v>5786.71</v>
          </cell>
        </row>
        <row r="961">
          <cell r="Z961">
            <v>-0.43</v>
          </cell>
        </row>
        <row r="962">
          <cell r="Z962">
            <v>0</v>
          </cell>
        </row>
        <row r="963">
          <cell r="Z963">
            <v>-4.66</v>
          </cell>
        </row>
        <row r="964">
          <cell r="Z964">
            <v>0</v>
          </cell>
        </row>
        <row r="965">
          <cell r="Z965">
            <v>-149.36000000000001</v>
          </cell>
        </row>
      </sheetData>
      <sheetData sheetId="31" refreshError="1"/>
      <sheetData sheetId="32" refreshError="1"/>
      <sheetData sheetId="33" refreshError="1"/>
      <sheetData sheetId="34" refreshError="1"/>
      <sheetData sheetId="35" refreshError="1"/>
      <sheetData sheetId="36">
        <row r="166">
          <cell r="W166">
            <v>0</v>
          </cell>
        </row>
        <row r="182">
          <cell r="W182">
            <v>45691.79</v>
          </cell>
        </row>
        <row r="183">
          <cell r="W183">
            <v>0</v>
          </cell>
        </row>
        <row r="184">
          <cell r="W184">
            <v>0</v>
          </cell>
        </row>
        <row r="185">
          <cell r="W185">
            <v>0</v>
          </cell>
        </row>
        <row r="186">
          <cell r="W186">
            <v>0</v>
          </cell>
        </row>
        <row r="187">
          <cell r="W187">
            <v>615.92999999999995</v>
          </cell>
        </row>
        <row r="188">
          <cell r="W188">
            <v>0</v>
          </cell>
        </row>
        <row r="189">
          <cell r="W189">
            <v>0</v>
          </cell>
        </row>
        <row r="190">
          <cell r="W190">
            <v>0</v>
          </cell>
        </row>
        <row r="191">
          <cell r="W191">
            <v>0</v>
          </cell>
        </row>
        <row r="192">
          <cell r="W192">
            <v>0</v>
          </cell>
        </row>
        <row r="193">
          <cell r="W193">
            <v>0</v>
          </cell>
        </row>
        <row r="194">
          <cell r="W194">
            <v>0</v>
          </cell>
        </row>
        <row r="195">
          <cell r="W195">
            <v>46307.72</v>
          </cell>
        </row>
        <row r="196">
          <cell r="W196">
            <v>0</v>
          </cell>
        </row>
        <row r="197">
          <cell r="W197">
            <v>0</v>
          </cell>
        </row>
        <row r="198">
          <cell r="W198">
            <v>0</v>
          </cell>
        </row>
        <row r="199">
          <cell r="W199">
            <v>0</v>
          </cell>
        </row>
        <row r="200">
          <cell r="W200">
            <v>0</v>
          </cell>
        </row>
        <row r="201">
          <cell r="W201">
            <v>0</v>
          </cell>
        </row>
        <row r="202">
          <cell r="W202">
            <v>0</v>
          </cell>
        </row>
        <row r="203">
          <cell r="W203">
            <v>0</v>
          </cell>
        </row>
        <row r="204">
          <cell r="W204">
            <v>0</v>
          </cell>
        </row>
        <row r="205">
          <cell r="W205">
            <v>0</v>
          </cell>
        </row>
        <row r="206">
          <cell r="W206">
            <v>0</v>
          </cell>
        </row>
        <row r="207">
          <cell r="W207">
            <v>0</v>
          </cell>
        </row>
        <row r="208">
          <cell r="W208">
            <v>0</v>
          </cell>
        </row>
        <row r="209">
          <cell r="W209">
            <v>1484.1</v>
          </cell>
        </row>
        <row r="210">
          <cell r="W210">
            <v>1484.1</v>
          </cell>
        </row>
        <row r="211">
          <cell r="W211">
            <v>0</v>
          </cell>
        </row>
        <row r="212">
          <cell r="W212">
            <v>163.79307319093476</v>
          </cell>
        </row>
        <row r="213">
          <cell r="W213">
            <v>0</v>
          </cell>
        </row>
        <row r="214">
          <cell r="W214">
            <v>163.79307319093476</v>
          </cell>
        </row>
        <row r="215">
          <cell r="W215">
            <v>0</v>
          </cell>
        </row>
        <row r="216">
          <cell r="W216">
            <v>0</v>
          </cell>
        </row>
        <row r="217">
          <cell r="W217">
            <v>1647.8930731909347</v>
          </cell>
        </row>
        <row r="218">
          <cell r="W218">
            <v>0</v>
          </cell>
        </row>
        <row r="219">
          <cell r="W219">
            <v>0</v>
          </cell>
        </row>
        <row r="220">
          <cell r="W220">
            <v>0</v>
          </cell>
        </row>
        <row r="221">
          <cell r="W221">
            <v>0</v>
          </cell>
        </row>
        <row r="222">
          <cell r="W222">
            <v>0</v>
          </cell>
        </row>
        <row r="223">
          <cell r="W223">
            <v>0</v>
          </cell>
        </row>
        <row r="224">
          <cell r="W224">
            <v>0</v>
          </cell>
        </row>
        <row r="225">
          <cell r="W225">
            <v>0</v>
          </cell>
        </row>
        <row r="226">
          <cell r="W226">
            <v>0</v>
          </cell>
        </row>
        <row r="227">
          <cell r="W227">
            <v>31301.43</v>
          </cell>
        </row>
        <row r="228">
          <cell r="W228">
            <v>0</v>
          </cell>
        </row>
        <row r="229">
          <cell r="W229">
            <v>53590.21</v>
          </cell>
        </row>
        <row r="230">
          <cell r="W230">
            <v>-10428</v>
          </cell>
        </row>
        <row r="231">
          <cell r="W231">
            <v>0</v>
          </cell>
        </row>
        <row r="232">
          <cell r="W232">
            <v>0</v>
          </cell>
        </row>
        <row r="233">
          <cell r="W233">
            <v>0</v>
          </cell>
        </row>
        <row r="234">
          <cell r="W234">
            <v>0</v>
          </cell>
        </row>
        <row r="235">
          <cell r="W235">
            <v>0</v>
          </cell>
        </row>
        <row r="236">
          <cell r="W236">
            <v>0</v>
          </cell>
        </row>
        <row r="237">
          <cell r="W237">
            <v>0</v>
          </cell>
        </row>
        <row r="238">
          <cell r="W238">
            <v>0</v>
          </cell>
        </row>
        <row r="239">
          <cell r="W239">
            <v>0</v>
          </cell>
        </row>
        <row r="240">
          <cell r="W240">
            <v>74463.64</v>
          </cell>
        </row>
        <row r="241">
          <cell r="W241">
            <v>0</v>
          </cell>
        </row>
        <row r="242">
          <cell r="W242">
            <v>0</v>
          </cell>
        </row>
        <row r="243">
          <cell r="W243">
            <v>0</v>
          </cell>
        </row>
        <row r="244">
          <cell r="W244">
            <v>0</v>
          </cell>
        </row>
        <row r="245">
          <cell r="W245">
            <v>0</v>
          </cell>
        </row>
        <row r="246">
          <cell r="W246">
            <v>26576.14</v>
          </cell>
        </row>
        <row r="247">
          <cell r="W247">
            <v>29298.1</v>
          </cell>
        </row>
        <row r="248">
          <cell r="W248">
            <v>0</v>
          </cell>
        </row>
        <row r="249">
          <cell r="W249">
            <v>-19075.5</v>
          </cell>
        </row>
        <row r="250">
          <cell r="W250">
            <v>0</v>
          </cell>
        </row>
        <row r="251">
          <cell r="W251">
            <v>0</v>
          </cell>
        </row>
        <row r="252">
          <cell r="W252">
            <v>0</v>
          </cell>
        </row>
        <row r="253">
          <cell r="W253">
            <v>0</v>
          </cell>
        </row>
        <row r="254">
          <cell r="W254">
            <v>0</v>
          </cell>
        </row>
        <row r="255">
          <cell r="W255">
            <v>0</v>
          </cell>
        </row>
        <row r="256">
          <cell r="W256">
            <v>36798.74</v>
          </cell>
        </row>
        <row r="257">
          <cell r="W257">
            <v>0</v>
          </cell>
        </row>
        <row r="258">
          <cell r="W258">
            <v>0</v>
          </cell>
        </row>
        <row r="259">
          <cell r="W259">
            <v>0</v>
          </cell>
        </row>
        <row r="260">
          <cell r="W260">
            <v>0</v>
          </cell>
        </row>
        <row r="261">
          <cell r="W261">
            <v>0</v>
          </cell>
        </row>
        <row r="262">
          <cell r="W262">
            <v>32270.59</v>
          </cell>
        </row>
        <row r="263">
          <cell r="W263">
            <v>0</v>
          </cell>
        </row>
        <row r="264">
          <cell r="W264">
            <v>0</v>
          </cell>
        </row>
        <row r="265">
          <cell r="W265">
            <v>0</v>
          </cell>
        </row>
        <row r="266">
          <cell r="W266">
            <v>-10380.27</v>
          </cell>
        </row>
        <row r="267">
          <cell r="W267">
            <v>-82888.31</v>
          </cell>
        </row>
        <row r="268">
          <cell r="W268">
            <v>0</v>
          </cell>
        </row>
        <row r="269">
          <cell r="W269">
            <v>0</v>
          </cell>
        </row>
        <row r="270">
          <cell r="W270">
            <v>0</v>
          </cell>
        </row>
        <row r="271">
          <cell r="W271">
            <v>0</v>
          </cell>
        </row>
        <row r="272">
          <cell r="W272">
            <v>0</v>
          </cell>
        </row>
        <row r="273">
          <cell r="W273">
            <v>-60997.99</v>
          </cell>
        </row>
        <row r="275">
          <cell r="W275">
            <v>50264.390000000007</v>
          </cell>
        </row>
        <row r="279">
          <cell r="W279">
            <v>0</v>
          </cell>
        </row>
        <row r="280">
          <cell r="W280">
            <v>0</v>
          </cell>
        </row>
        <row r="281">
          <cell r="W281">
            <v>0</v>
          </cell>
        </row>
        <row r="282">
          <cell r="W282">
            <v>0</v>
          </cell>
        </row>
        <row r="283">
          <cell r="W283">
            <v>265.39999999999998</v>
          </cell>
        </row>
        <row r="284">
          <cell r="W284">
            <v>13188.73</v>
          </cell>
        </row>
        <row r="285">
          <cell r="W285">
            <v>0</v>
          </cell>
        </row>
        <row r="286">
          <cell r="W286">
            <v>13454.13</v>
          </cell>
        </row>
        <row r="287">
          <cell r="W287">
            <v>0</v>
          </cell>
        </row>
      </sheetData>
      <sheetData sheetId="37" refreshError="1"/>
      <sheetData sheetId="38" refreshError="1"/>
      <sheetData sheetId="39" refreshError="1"/>
      <sheetData sheetId="40">
        <row r="112">
          <cell r="J112">
            <v>3748000</v>
          </cell>
        </row>
        <row r="161">
          <cell r="W161">
            <v>-165419.17363045498</v>
          </cell>
        </row>
        <row r="162">
          <cell r="W162">
            <v>-165419.17363045498</v>
          </cell>
        </row>
        <row r="163">
          <cell r="W163">
            <v>0</v>
          </cell>
        </row>
        <row r="164">
          <cell r="W164">
            <v>0</v>
          </cell>
        </row>
        <row r="165">
          <cell r="W165">
            <v>0</v>
          </cell>
        </row>
        <row r="166">
          <cell r="W166">
            <v>0</v>
          </cell>
        </row>
        <row r="167">
          <cell r="W167">
            <v>0</v>
          </cell>
        </row>
        <row r="168">
          <cell r="W168">
            <v>0</v>
          </cell>
        </row>
        <row r="169">
          <cell r="W169">
            <v>49484.05</v>
          </cell>
        </row>
        <row r="170">
          <cell r="W170">
            <v>0</v>
          </cell>
        </row>
        <row r="171">
          <cell r="W171">
            <v>0</v>
          </cell>
        </row>
        <row r="172">
          <cell r="W172">
            <v>0</v>
          </cell>
        </row>
        <row r="173">
          <cell r="W173">
            <v>0</v>
          </cell>
        </row>
        <row r="174">
          <cell r="W174">
            <v>12101.8</v>
          </cell>
        </row>
        <row r="175">
          <cell r="W175">
            <v>0</v>
          </cell>
        </row>
        <row r="176">
          <cell r="W176">
            <v>872.47</v>
          </cell>
        </row>
        <row r="177">
          <cell r="W177">
            <v>0</v>
          </cell>
        </row>
        <row r="178">
          <cell r="W178">
            <v>6180.4749999999985</v>
          </cell>
        </row>
        <row r="179">
          <cell r="W179">
            <v>0</v>
          </cell>
        </row>
        <row r="180">
          <cell r="W180">
            <v>0</v>
          </cell>
        </row>
        <row r="181">
          <cell r="W181">
            <v>15614.38</v>
          </cell>
        </row>
        <row r="182">
          <cell r="W182">
            <v>0</v>
          </cell>
        </row>
        <row r="183">
          <cell r="W183">
            <v>0</v>
          </cell>
        </row>
        <row r="184">
          <cell r="W184">
            <v>2503.81</v>
          </cell>
        </row>
        <row r="185">
          <cell r="W185">
            <v>246.75</v>
          </cell>
        </row>
        <row r="186">
          <cell r="W186">
            <v>0</v>
          </cell>
        </row>
        <row r="187">
          <cell r="W187">
            <v>1236.0949999999998</v>
          </cell>
        </row>
        <row r="188">
          <cell r="W188">
            <v>0</v>
          </cell>
        </row>
        <row r="189">
          <cell r="W189">
            <v>88239.830000000016</v>
          </cell>
        </row>
        <row r="190">
          <cell r="W190">
            <v>0</v>
          </cell>
        </row>
        <row r="191">
          <cell r="W191">
            <v>0</v>
          </cell>
        </row>
        <row r="192">
          <cell r="W192">
            <v>0</v>
          </cell>
        </row>
        <row r="193">
          <cell r="W193">
            <v>0</v>
          </cell>
        </row>
        <row r="194">
          <cell r="W194">
            <v>0</v>
          </cell>
        </row>
        <row r="195">
          <cell r="W195">
            <v>0</v>
          </cell>
        </row>
        <row r="196">
          <cell r="W196">
            <v>0</v>
          </cell>
        </row>
        <row r="197">
          <cell r="W197">
            <v>0</v>
          </cell>
        </row>
        <row r="198">
          <cell r="W198">
            <v>0</v>
          </cell>
        </row>
        <row r="199">
          <cell r="W199">
            <v>0</v>
          </cell>
        </row>
        <row r="200">
          <cell r="W200">
            <v>0</v>
          </cell>
        </row>
        <row r="201">
          <cell r="W201">
            <v>1166.3699999999999</v>
          </cell>
        </row>
        <row r="202">
          <cell r="W202">
            <v>177.24</v>
          </cell>
        </row>
        <row r="203">
          <cell r="W203">
            <v>352.62</v>
          </cell>
        </row>
        <row r="204">
          <cell r="W204">
            <v>3469.6</v>
          </cell>
        </row>
        <row r="205">
          <cell r="W205">
            <v>5165.83</v>
          </cell>
        </row>
        <row r="206">
          <cell r="W206">
            <v>0</v>
          </cell>
        </row>
        <row r="207">
          <cell r="W207">
            <v>0</v>
          </cell>
        </row>
        <row r="208">
          <cell r="W208">
            <v>5411.94</v>
          </cell>
        </row>
        <row r="209">
          <cell r="W209">
            <v>63.67</v>
          </cell>
        </row>
        <row r="210">
          <cell r="W210">
            <v>1534.54</v>
          </cell>
        </row>
        <row r="211">
          <cell r="W211">
            <v>40.479999999999997</v>
          </cell>
        </row>
        <row r="212">
          <cell r="W212">
            <v>276.14</v>
          </cell>
        </row>
        <row r="213">
          <cell r="W213">
            <v>0</v>
          </cell>
        </row>
        <row r="214">
          <cell r="W214">
            <v>850.76</v>
          </cell>
        </row>
        <row r="215">
          <cell r="W215">
            <v>0</v>
          </cell>
        </row>
        <row r="216">
          <cell r="W216">
            <v>750.15</v>
          </cell>
        </row>
        <row r="217">
          <cell r="W217">
            <v>0</v>
          </cell>
        </row>
        <row r="218">
          <cell r="W218">
            <v>293.8</v>
          </cell>
        </row>
        <row r="219">
          <cell r="W219">
            <v>508.31</v>
          </cell>
        </row>
        <row r="220">
          <cell r="W220">
            <v>158.97</v>
          </cell>
        </row>
        <row r="221">
          <cell r="W221">
            <v>0</v>
          </cell>
        </row>
        <row r="222">
          <cell r="W222">
            <v>-9888.7599999999984</v>
          </cell>
        </row>
        <row r="223">
          <cell r="W223">
            <v>0</v>
          </cell>
        </row>
        <row r="224">
          <cell r="W224">
            <v>0</v>
          </cell>
        </row>
        <row r="225">
          <cell r="W225">
            <v>0</v>
          </cell>
        </row>
        <row r="226">
          <cell r="W226">
            <v>0</v>
          </cell>
        </row>
        <row r="227">
          <cell r="W227">
            <v>5165.83</v>
          </cell>
        </row>
        <row r="228">
          <cell r="W228">
            <v>0</v>
          </cell>
        </row>
        <row r="229">
          <cell r="W229">
            <v>0</v>
          </cell>
        </row>
        <row r="230">
          <cell r="W230">
            <v>0</v>
          </cell>
        </row>
        <row r="231">
          <cell r="W231">
            <v>0</v>
          </cell>
        </row>
        <row r="232">
          <cell r="W232">
            <v>0</v>
          </cell>
        </row>
        <row r="233">
          <cell r="W233">
            <v>0</v>
          </cell>
        </row>
        <row r="234">
          <cell r="W234">
            <v>0</v>
          </cell>
        </row>
        <row r="235">
          <cell r="W235">
            <v>19724.189999999999</v>
          </cell>
        </row>
        <row r="236">
          <cell r="W236">
            <v>0</v>
          </cell>
        </row>
        <row r="237">
          <cell r="W237">
            <v>3755.72</v>
          </cell>
        </row>
        <row r="238">
          <cell r="W238">
            <v>0</v>
          </cell>
        </row>
        <row r="239">
          <cell r="W239">
            <v>0</v>
          </cell>
        </row>
        <row r="240">
          <cell r="W240">
            <v>0</v>
          </cell>
        </row>
        <row r="241">
          <cell r="W241">
            <v>1236.0949999999998</v>
          </cell>
        </row>
        <row r="244">
          <cell r="W244">
            <v>301.88</v>
          </cell>
        </row>
        <row r="245">
          <cell r="W245">
            <v>0</v>
          </cell>
        </row>
        <row r="246">
          <cell r="W246">
            <v>25017.885000000002</v>
          </cell>
        </row>
        <row r="247">
          <cell r="W247">
            <v>0</v>
          </cell>
        </row>
        <row r="248">
          <cell r="W248">
            <v>0</v>
          </cell>
        </row>
        <row r="249">
          <cell r="W249">
            <v>0</v>
          </cell>
        </row>
        <row r="250">
          <cell r="W250">
            <v>0</v>
          </cell>
        </row>
        <row r="251">
          <cell r="W251">
            <v>0</v>
          </cell>
        </row>
        <row r="252">
          <cell r="W252">
            <v>0</v>
          </cell>
        </row>
        <row r="253">
          <cell r="W253">
            <v>12861</v>
          </cell>
        </row>
        <row r="254">
          <cell r="W254">
            <v>56863.93</v>
          </cell>
        </row>
        <row r="255">
          <cell r="W255">
            <v>0</v>
          </cell>
        </row>
        <row r="256">
          <cell r="W256">
            <v>0</v>
          </cell>
        </row>
        <row r="257">
          <cell r="W257">
            <v>-64333.95</v>
          </cell>
        </row>
        <row r="258">
          <cell r="W258">
            <v>2503.81</v>
          </cell>
        </row>
        <row r="259">
          <cell r="W259">
            <v>0</v>
          </cell>
        </row>
        <row r="260">
          <cell r="W260">
            <v>0</v>
          </cell>
        </row>
        <row r="261">
          <cell r="W261">
            <v>0</v>
          </cell>
        </row>
        <row r="262">
          <cell r="W262">
            <v>0</v>
          </cell>
        </row>
        <row r="263">
          <cell r="W263">
            <v>0</v>
          </cell>
        </row>
        <row r="264">
          <cell r="W264">
            <v>427.88</v>
          </cell>
        </row>
        <row r="265">
          <cell r="W265">
            <v>0</v>
          </cell>
        </row>
        <row r="266">
          <cell r="W266">
            <v>0</v>
          </cell>
        </row>
        <row r="267">
          <cell r="W267">
            <v>0</v>
          </cell>
        </row>
        <row r="268">
          <cell r="W268">
            <v>0</v>
          </cell>
        </row>
        <row r="269">
          <cell r="W269">
            <v>6125.26</v>
          </cell>
        </row>
        <row r="270">
          <cell r="W270">
            <v>7470.24</v>
          </cell>
        </row>
        <row r="271">
          <cell r="W271">
            <v>0</v>
          </cell>
        </row>
        <row r="272">
          <cell r="W272">
            <v>0</v>
          </cell>
        </row>
        <row r="273">
          <cell r="W273">
            <v>0</v>
          </cell>
        </row>
        <row r="274">
          <cell r="W274">
            <v>0</v>
          </cell>
        </row>
        <row r="275">
          <cell r="W275">
            <v>123.76</v>
          </cell>
        </row>
        <row r="276">
          <cell r="W276">
            <v>0</v>
          </cell>
        </row>
        <row r="277">
          <cell r="W277">
            <v>0</v>
          </cell>
        </row>
        <row r="278">
          <cell r="W278">
            <v>0</v>
          </cell>
        </row>
        <row r="279">
          <cell r="W279">
            <v>1236.0949999999998</v>
          </cell>
        </row>
        <row r="280">
          <cell r="W280">
            <v>0</v>
          </cell>
        </row>
        <row r="281">
          <cell r="W281">
            <v>23278.024999999994</v>
          </cell>
        </row>
        <row r="282">
          <cell r="W282">
            <v>0</v>
          </cell>
        </row>
        <row r="283">
          <cell r="W283">
            <v>0</v>
          </cell>
        </row>
        <row r="288">
          <cell r="W288">
            <v>29608</v>
          </cell>
        </row>
        <row r="289">
          <cell r="W289">
            <v>0</v>
          </cell>
        </row>
        <row r="291">
          <cell r="W291">
            <v>0</v>
          </cell>
        </row>
        <row r="292">
          <cell r="W292">
            <v>823.58999999999992</v>
          </cell>
        </row>
        <row r="293">
          <cell r="W293">
            <v>0</v>
          </cell>
        </row>
        <row r="294">
          <cell r="W294">
            <v>49119.499999999993</v>
          </cell>
        </row>
        <row r="295">
          <cell r="W295">
            <v>0</v>
          </cell>
        </row>
        <row r="296">
          <cell r="W296">
            <v>0</v>
          </cell>
        </row>
        <row r="297">
          <cell r="W297">
            <v>0</v>
          </cell>
        </row>
        <row r="298">
          <cell r="W298">
            <v>0</v>
          </cell>
        </row>
        <row r="299">
          <cell r="W299">
            <v>0</v>
          </cell>
        </row>
        <row r="300">
          <cell r="W300">
            <v>0</v>
          </cell>
        </row>
        <row r="301">
          <cell r="W301">
            <v>0</v>
          </cell>
        </row>
        <row r="302">
          <cell r="W302">
            <v>0</v>
          </cell>
        </row>
        <row r="303">
          <cell r="W303">
            <v>0</v>
          </cell>
        </row>
        <row r="304">
          <cell r="W304">
            <v>0</v>
          </cell>
        </row>
        <row r="305">
          <cell r="W305">
            <v>0</v>
          </cell>
        </row>
        <row r="306">
          <cell r="W306">
            <v>-2783.71</v>
          </cell>
        </row>
        <row r="307">
          <cell r="W307">
            <v>0.01</v>
          </cell>
        </row>
      </sheetData>
      <sheetData sheetId="41" refreshError="1"/>
      <sheetData sheetId="42" refreshError="1"/>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0"/>
      <sheetName val="העמסת הנה&quot;כ"/>
      <sheetName val="Balances Sheet (Printing)"/>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מאזן בוחן EUROPE"/>
      <sheetName val="פ.נ. EUROPE"/>
      <sheetName val="Tax UK"/>
      <sheetName val="העמסת הנה&quot;כ (UK)"/>
      <sheetName val="NEW TP EU"/>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efreshError="1"/>
      <sheetData sheetId="1">
        <row r="436">
          <cell r="AC436">
            <v>-810.04</v>
          </cell>
        </row>
        <row r="437">
          <cell r="AC437">
            <v>-106571.2</v>
          </cell>
        </row>
        <row r="438">
          <cell r="AC438">
            <v>0</v>
          </cell>
        </row>
        <row r="439">
          <cell r="AC439">
            <v>-4875</v>
          </cell>
        </row>
        <row r="440">
          <cell r="AC440">
            <v>0</v>
          </cell>
        </row>
        <row r="441">
          <cell r="AC441">
            <v>0</v>
          </cell>
        </row>
        <row r="442">
          <cell r="AC442">
            <v>-12676.68</v>
          </cell>
        </row>
        <row r="443">
          <cell r="AC443">
            <v>-246246.49</v>
          </cell>
        </row>
        <row r="444">
          <cell r="AC444">
            <v>0</v>
          </cell>
        </row>
        <row r="445">
          <cell r="AC445">
            <v>-141.94999999999999</v>
          </cell>
        </row>
        <row r="446">
          <cell r="AC446">
            <v>-91495.94</v>
          </cell>
        </row>
        <row r="447">
          <cell r="AC447">
            <v>0</v>
          </cell>
        </row>
        <row r="448">
          <cell r="AC448">
            <v>-70187.279999999984</v>
          </cell>
        </row>
        <row r="449">
          <cell r="AC449">
            <v>-360.62</v>
          </cell>
        </row>
        <row r="450">
          <cell r="AC450">
            <v>0</v>
          </cell>
        </row>
        <row r="451">
          <cell r="AC451">
            <v>-8167.08</v>
          </cell>
        </row>
        <row r="452">
          <cell r="AC452">
            <v>0</v>
          </cell>
        </row>
        <row r="453">
          <cell r="AC453">
            <v>-11891.380000000001</v>
          </cell>
        </row>
        <row r="454">
          <cell r="AC454">
            <v>0</v>
          </cell>
        </row>
        <row r="455">
          <cell r="AC455">
            <v>-4996.8999999999996</v>
          </cell>
        </row>
        <row r="456">
          <cell r="AC456">
            <v>0</v>
          </cell>
        </row>
        <row r="457">
          <cell r="AC457">
            <v>0</v>
          </cell>
        </row>
        <row r="458">
          <cell r="AC458">
            <v>-1950</v>
          </cell>
        </row>
        <row r="459">
          <cell r="AC459">
            <v>0</v>
          </cell>
        </row>
        <row r="460">
          <cell r="AC460">
            <v>0</v>
          </cell>
        </row>
        <row r="461">
          <cell r="AC461">
            <v>810.04000000000008</v>
          </cell>
        </row>
        <row r="462">
          <cell r="AC462">
            <v>-943771.02</v>
          </cell>
        </row>
        <row r="463">
          <cell r="AC463">
            <v>943771.02</v>
          </cell>
        </row>
        <row r="464">
          <cell r="AC464">
            <v>0</v>
          </cell>
        </row>
        <row r="465">
          <cell r="AC465">
            <v>0</v>
          </cell>
        </row>
        <row r="466">
          <cell r="AC466">
            <v>0</v>
          </cell>
        </row>
        <row r="468">
          <cell r="AC468">
            <v>-3518021.5988759231</v>
          </cell>
        </row>
        <row r="474">
          <cell r="AC474">
            <v>1122602.7399999998</v>
          </cell>
        </row>
        <row r="475">
          <cell r="AC475">
            <v>-16475.489999999998</v>
          </cell>
        </row>
        <row r="476">
          <cell r="AC476">
            <v>-15507.339999999998</v>
          </cell>
        </row>
        <row r="477">
          <cell r="AC477">
            <v>8839.9699999999975</v>
          </cell>
        </row>
        <row r="478">
          <cell r="AC478">
            <v>47279.44</v>
          </cell>
        </row>
        <row r="479">
          <cell r="AC479">
            <v>0</v>
          </cell>
        </row>
        <row r="480">
          <cell r="AC480">
            <v>0</v>
          </cell>
        </row>
        <row r="481">
          <cell r="AC481">
            <v>273557.67999999993</v>
          </cell>
        </row>
        <row r="483">
          <cell r="AC483">
            <v>0</v>
          </cell>
        </row>
        <row r="484">
          <cell r="AC484">
            <v>0</v>
          </cell>
        </row>
        <row r="485">
          <cell r="AC485">
            <v>0</v>
          </cell>
        </row>
        <row r="486">
          <cell r="AC486">
            <v>179876.52000000002</v>
          </cell>
        </row>
        <row r="487">
          <cell r="AC487">
            <v>1150.6199999999999</v>
          </cell>
        </row>
        <row r="488">
          <cell r="AC488">
            <v>3892.2199999999993</v>
          </cell>
        </row>
        <row r="489">
          <cell r="AC489">
            <v>0</v>
          </cell>
        </row>
        <row r="490">
          <cell r="AC490">
            <v>0</v>
          </cell>
        </row>
        <row r="491">
          <cell r="AC491">
            <v>0</v>
          </cell>
        </row>
        <row r="492">
          <cell r="AC492">
            <v>0</v>
          </cell>
        </row>
        <row r="493">
          <cell r="AC493">
            <v>1605216.3599999999</v>
          </cell>
        </row>
        <row r="494">
          <cell r="AC494">
            <v>0</v>
          </cell>
        </row>
        <row r="495">
          <cell r="AC495">
            <v>0</v>
          </cell>
        </row>
        <row r="496">
          <cell r="AC496">
            <v>0</v>
          </cell>
        </row>
        <row r="497">
          <cell r="AC497">
            <v>0</v>
          </cell>
        </row>
        <row r="498">
          <cell r="AC498">
            <v>0</v>
          </cell>
        </row>
        <row r="499">
          <cell r="AC499">
            <v>0</v>
          </cell>
        </row>
        <row r="500">
          <cell r="AC500">
            <v>0</v>
          </cell>
        </row>
        <row r="501">
          <cell r="AC501">
            <v>26696.950000000004</v>
          </cell>
        </row>
        <row r="502">
          <cell r="AC502">
            <v>341.67</v>
          </cell>
        </row>
        <row r="503">
          <cell r="AC503">
            <v>84148.26</v>
          </cell>
        </row>
        <row r="504">
          <cell r="AC504">
            <v>0</v>
          </cell>
        </row>
        <row r="505">
          <cell r="AC505">
            <v>1592.4300000000003</v>
          </cell>
        </row>
        <row r="507">
          <cell r="AC507">
            <v>0</v>
          </cell>
        </row>
        <row r="508">
          <cell r="AC508">
            <v>0</v>
          </cell>
        </row>
        <row r="509">
          <cell r="AC509">
            <v>0</v>
          </cell>
        </row>
        <row r="510">
          <cell r="AC510">
            <v>0</v>
          </cell>
        </row>
        <row r="511">
          <cell r="AC511">
            <v>0</v>
          </cell>
        </row>
        <row r="512">
          <cell r="AC512">
            <v>9020.84</v>
          </cell>
        </row>
        <row r="513">
          <cell r="AC513">
            <v>141.05000000000001</v>
          </cell>
        </row>
        <row r="514">
          <cell r="AC514">
            <v>780</v>
          </cell>
        </row>
        <row r="515">
          <cell r="AC515">
            <v>2088.9</v>
          </cell>
        </row>
        <row r="516">
          <cell r="AC516">
            <v>0</v>
          </cell>
        </row>
        <row r="517">
          <cell r="AC517">
            <v>124810.1</v>
          </cell>
        </row>
        <row r="518">
          <cell r="AC518">
            <v>0</v>
          </cell>
        </row>
        <row r="519">
          <cell r="AC519">
            <v>0</v>
          </cell>
        </row>
        <row r="520">
          <cell r="AC520">
            <v>0</v>
          </cell>
        </row>
        <row r="521">
          <cell r="AC521">
            <v>0</v>
          </cell>
        </row>
        <row r="522">
          <cell r="AC522">
            <v>0</v>
          </cell>
        </row>
        <row r="523">
          <cell r="AC523">
            <v>0</v>
          </cell>
        </row>
        <row r="524">
          <cell r="AC524">
            <v>0</v>
          </cell>
        </row>
        <row r="525">
          <cell r="AC525">
            <v>0</v>
          </cell>
        </row>
        <row r="526">
          <cell r="AC526">
            <v>0</v>
          </cell>
        </row>
        <row r="527">
          <cell r="AC527">
            <v>0</v>
          </cell>
        </row>
        <row r="528">
          <cell r="AC528">
            <v>126756.17249999999</v>
          </cell>
        </row>
        <row r="529">
          <cell r="AC529">
            <v>126756.17249999999</v>
          </cell>
        </row>
        <row r="530">
          <cell r="AC530">
            <v>0</v>
          </cell>
        </row>
        <row r="531">
          <cell r="AC531">
            <v>1856782.6325000001</v>
          </cell>
        </row>
        <row r="532">
          <cell r="AC532">
            <v>0</v>
          </cell>
        </row>
        <row r="533">
          <cell r="AC533">
            <v>0</v>
          </cell>
        </row>
        <row r="534">
          <cell r="AC534">
            <v>51950.61</v>
          </cell>
        </row>
        <row r="535">
          <cell r="AC535">
            <v>-43.14</v>
          </cell>
        </row>
        <row r="536">
          <cell r="AC536">
            <v>-3583.6899999999996</v>
          </cell>
        </row>
        <row r="539">
          <cell r="AC539">
            <v>7000</v>
          </cell>
        </row>
        <row r="540">
          <cell r="AC540">
            <v>126815.84999999999</v>
          </cell>
        </row>
        <row r="541">
          <cell r="AC541">
            <v>-61.64</v>
          </cell>
        </row>
        <row r="542">
          <cell r="AC542">
            <v>2449.88</v>
          </cell>
        </row>
        <row r="543">
          <cell r="AC543">
            <v>0</v>
          </cell>
        </row>
        <row r="544">
          <cell r="AC544">
            <v>0</v>
          </cell>
        </row>
        <row r="545">
          <cell r="AC545">
            <v>-24.66</v>
          </cell>
        </row>
        <row r="546">
          <cell r="AC546">
            <v>55314.020000000004</v>
          </cell>
        </row>
        <row r="547">
          <cell r="AC547">
            <v>718.16999999999985</v>
          </cell>
        </row>
        <row r="548">
          <cell r="AC548">
            <v>0</v>
          </cell>
        </row>
        <row r="550">
          <cell r="AC550">
            <v>0</v>
          </cell>
        </row>
        <row r="551">
          <cell r="AC551">
            <v>240535.40000000005</v>
          </cell>
        </row>
        <row r="552">
          <cell r="AC552">
            <v>0</v>
          </cell>
        </row>
        <row r="553">
          <cell r="AC553">
            <v>0</v>
          </cell>
        </row>
        <row r="554">
          <cell r="AC554">
            <v>0</v>
          </cell>
        </row>
        <row r="555">
          <cell r="AC555">
            <v>0</v>
          </cell>
        </row>
        <row r="556">
          <cell r="AC556">
            <v>0</v>
          </cell>
        </row>
        <row r="557">
          <cell r="AC557">
            <v>0</v>
          </cell>
        </row>
        <row r="558">
          <cell r="AC558">
            <v>0</v>
          </cell>
        </row>
        <row r="559">
          <cell r="AC559">
            <v>780</v>
          </cell>
        </row>
        <row r="560">
          <cell r="AC560">
            <v>2320</v>
          </cell>
        </row>
        <row r="561">
          <cell r="AC561">
            <v>2124.08</v>
          </cell>
        </row>
        <row r="562">
          <cell r="AC562">
            <v>86</v>
          </cell>
        </row>
        <row r="563">
          <cell r="AC563">
            <v>4888</v>
          </cell>
        </row>
        <row r="565">
          <cell r="AC565">
            <v>0</v>
          </cell>
        </row>
        <row r="566">
          <cell r="AC566">
            <v>0</v>
          </cell>
        </row>
        <row r="567">
          <cell r="AC567">
            <v>0</v>
          </cell>
        </row>
        <row r="568">
          <cell r="AC568">
            <v>0</v>
          </cell>
        </row>
        <row r="569">
          <cell r="AC569">
            <v>0</v>
          </cell>
        </row>
        <row r="571">
          <cell r="AC571">
            <v>780</v>
          </cell>
        </row>
        <row r="572">
          <cell r="AC572">
            <v>1913.66</v>
          </cell>
        </row>
        <row r="574">
          <cell r="AC574">
            <v>0</v>
          </cell>
        </row>
        <row r="575">
          <cell r="AC575">
            <v>0</v>
          </cell>
        </row>
        <row r="576">
          <cell r="AC576">
            <v>0</v>
          </cell>
        </row>
        <row r="577">
          <cell r="AC577">
            <v>0</v>
          </cell>
        </row>
        <row r="578">
          <cell r="AC578">
            <v>0</v>
          </cell>
        </row>
        <row r="579">
          <cell r="AC579">
            <v>0</v>
          </cell>
        </row>
        <row r="580">
          <cell r="AC580">
            <v>0</v>
          </cell>
        </row>
        <row r="581">
          <cell r="AC581">
            <v>0</v>
          </cell>
        </row>
        <row r="582">
          <cell r="AC582">
            <v>0</v>
          </cell>
        </row>
        <row r="583">
          <cell r="AC583">
            <v>0</v>
          </cell>
        </row>
        <row r="584">
          <cell r="AC584">
            <v>0</v>
          </cell>
        </row>
        <row r="585">
          <cell r="AC585">
            <v>0</v>
          </cell>
        </row>
        <row r="586">
          <cell r="AC586">
            <v>0</v>
          </cell>
        </row>
        <row r="587">
          <cell r="AC587">
            <v>0</v>
          </cell>
        </row>
        <row r="588">
          <cell r="AC588">
            <v>0</v>
          </cell>
        </row>
        <row r="589">
          <cell r="AC589">
            <v>7901.670000000001</v>
          </cell>
        </row>
        <row r="590">
          <cell r="AC590">
            <v>16256.369999999999</v>
          </cell>
        </row>
        <row r="591">
          <cell r="AC591">
            <v>780</v>
          </cell>
        </row>
        <row r="594">
          <cell r="AC594">
            <v>1069.68</v>
          </cell>
        </row>
        <row r="595">
          <cell r="AC595">
            <v>27373.699999999997</v>
          </cell>
        </row>
        <row r="597">
          <cell r="AC597">
            <v>0</v>
          </cell>
        </row>
        <row r="598">
          <cell r="AC598">
            <v>0</v>
          </cell>
        </row>
        <row r="599">
          <cell r="AC599">
            <v>183381.03528319404</v>
          </cell>
        </row>
        <row r="600">
          <cell r="AC600">
            <v>0</v>
          </cell>
        </row>
        <row r="601">
          <cell r="AC601">
            <v>249654.19528319407</v>
          </cell>
        </row>
        <row r="602">
          <cell r="AC602">
            <v>0</v>
          </cell>
        </row>
        <row r="603">
          <cell r="AC603">
            <v>0</v>
          </cell>
        </row>
        <row r="604">
          <cell r="AC604">
            <v>23980.897499999992</v>
          </cell>
        </row>
        <row r="605">
          <cell r="AC605">
            <v>514170.49278319417</v>
          </cell>
        </row>
        <row r="606">
          <cell r="AC606">
            <v>0</v>
          </cell>
        </row>
        <row r="607">
          <cell r="AC607">
            <v>0</v>
          </cell>
        </row>
        <row r="608">
          <cell r="AC608">
            <v>0</v>
          </cell>
        </row>
        <row r="609">
          <cell r="AC609">
            <v>0</v>
          </cell>
        </row>
        <row r="610">
          <cell r="AC610">
            <v>95461.890000000014</v>
          </cell>
        </row>
        <row r="611">
          <cell r="AC611">
            <v>10060.98</v>
          </cell>
        </row>
        <row r="612">
          <cell r="AC612">
            <v>1611.6800000000003</v>
          </cell>
        </row>
        <row r="613">
          <cell r="AC613">
            <v>0</v>
          </cell>
        </row>
        <row r="614">
          <cell r="AC614">
            <v>0</v>
          </cell>
        </row>
        <row r="615">
          <cell r="AC615">
            <v>0</v>
          </cell>
        </row>
        <row r="616">
          <cell r="AC616">
            <v>12626.519999999999</v>
          </cell>
        </row>
        <row r="617">
          <cell r="AC617">
            <v>0</v>
          </cell>
        </row>
        <row r="618">
          <cell r="AC618">
            <v>242.51</v>
          </cell>
        </row>
        <row r="619">
          <cell r="AC619">
            <v>0</v>
          </cell>
        </row>
        <row r="620">
          <cell r="AC620">
            <v>79693.599999999991</v>
          </cell>
        </row>
        <row r="621">
          <cell r="AC621">
            <v>732.23</v>
          </cell>
        </row>
        <row r="622">
          <cell r="AC622">
            <v>-55.480000000000004</v>
          </cell>
        </row>
        <row r="623">
          <cell r="AC623">
            <v>0</v>
          </cell>
        </row>
        <row r="624">
          <cell r="AC624">
            <v>68343.289999999994</v>
          </cell>
        </row>
        <row r="625">
          <cell r="AC625">
            <v>-30.819999999999936</v>
          </cell>
        </row>
        <row r="626">
          <cell r="AC626">
            <v>719.73</v>
          </cell>
        </row>
        <row r="627">
          <cell r="AC627">
            <v>12498.779999999999</v>
          </cell>
        </row>
        <row r="628">
          <cell r="AC628">
            <v>0</v>
          </cell>
        </row>
        <row r="629">
          <cell r="AC629">
            <v>13923.529999999995</v>
          </cell>
        </row>
        <row r="630">
          <cell r="AC630">
            <v>61703.37</v>
          </cell>
        </row>
        <row r="631">
          <cell r="AC631">
            <v>-3109</v>
          </cell>
        </row>
        <row r="633">
          <cell r="AC633">
            <v>0</v>
          </cell>
        </row>
        <row r="634">
          <cell r="AC634">
            <v>0</v>
          </cell>
        </row>
        <row r="635">
          <cell r="AC635">
            <v>0</v>
          </cell>
        </row>
        <row r="636">
          <cell r="AC636">
            <v>354422.80999999994</v>
          </cell>
        </row>
        <row r="637">
          <cell r="AC637">
            <v>0</v>
          </cell>
        </row>
        <row r="638">
          <cell r="AC638">
            <v>69887.570000000007</v>
          </cell>
        </row>
        <row r="639">
          <cell r="AC639">
            <v>69887.570000000007</v>
          </cell>
        </row>
        <row r="640">
          <cell r="AC640">
            <v>0</v>
          </cell>
        </row>
        <row r="642">
          <cell r="AC642">
            <v>100</v>
          </cell>
        </row>
        <row r="643">
          <cell r="AC643">
            <v>3333.33</v>
          </cell>
        </row>
        <row r="644">
          <cell r="AC644">
            <v>0</v>
          </cell>
        </row>
        <row r="645">
          <cell r="AC645">
            <v>0</v>
          </cell>
        </row>
        <row r="646">
          <cell r="AC646">
            <v>3433.33</v>
          </cell>
        </row>
        <row r="647">
          <cell r="AC647">
            <v>0</v>
          </cell>
        </row>
        <row r="648">
          <cell r="AC648">
            <v>37638.759999999995</v>
          </cell>
        </row>
        <row r="649">
          <cell r="AC649">
            <v>8352.56</v>
          </cell>
        </row>
        <row r="650">
          <cell r="AC650">
            <v>9267.93</v>
          </cell>
        </row>
        <row r="651">
          <cell r="AC651">
            <v>4654.5099999999993</v>
          </cell>
        </row>
        <row r="652">
          <cell r="AC652">
            <v>125.88000000000001</v>
          </cell>
        </row>
        <row r="653">
          <cell r="AC653">
            <v>590.98999999999978</v>
          </cell>
        </row>
        <row r="654">
          <cell r="AC654">
            <v>-156.26000000000005</v>
          </cell>
        </row>
        <row r="655">
          <cell r="AC655">
            <v>4634.3599999999988</v>
          </cell>
        </row>
        <row r="656">
          <cell r="AC656">
            <v>247.24</v>
          </cell>
        </row>
        <row r="657">
          <cell r="AC657">
            <v>504.76000000000022</v>
          </cell>
        </row>
        <row r="658">
          <cell r="AC658">
            <v>1425.86</v>
          </cell>
        </row>
        <row r="659">
          <cell r="AC659">
            <v>54.5</v>
          </cell>
        </row>
        <row r="660">
          <cell r="AC660">
            <v>496.93000000000006</v>
          </cell>
        </row>
        <row r="661">
          <cell r="AC661">
            <v>-156.26</v>
          </cell>
        </row>
        <row r="662">
          <cell r="AC662">
            <v>8221.9699999999993</v>
          </cell>
        </row>
        <row r="663">
          <cell r="AC663">
            <v>0</v>
          </cell>
        </row>
        <row r="664">
          <cell r="AC664">
            <v>535</v>
          </cell>
        </row>
        <row r="665">
          <cell r="AC665">
            <v>0</v>
          </cell>
        </row>
        <row r="666">
          <cell r="AC666">
            <v>0</v>
          </cell>
        </row>
        <row r="667">
          <cell r="AC667">
            <v>1599711.5900000003</v>
          </cell>
        </row>
        <row r="668">
          <cell r="AC668">
            <v>129061.27999999998</v>
          </cell>
        </row>
        <row r="669">
          <cell r="AC669">
            <v>92203.959999999992</v>
          </cell>
        </row>
        <row r="670">
          <cell r="AC670">
            <v>127782.01000000001</v>
          </cell>
        </row>
        <row r="671">
          <cell r="AC671">
            <v>7611.59</v>
          </cell>
        </row>
        <row r="672">
          <cell r="AC672">
            <v>88071.340000000011</v>
          </cell>
        </row>
        <row r="673">
          <cell r="AC673">
            <v>58806.709999999992</v>
          </cell>
        </row>
        <row r="674">
          <cell r="AC674">
            <v>944204.27</v>
          </cell>
        </row>
        <row r="675">
          <cell r="AC675">
            <v>0</v>
          </cell>
        </row>
        <row r="676">
          <cell r="AC676">
            <v>0</v>
          </cell>
        </row>
        <row r="677">
          <cell r="AC677">
            <v>0</v>
          </cell>
        </row>
        <row r="678">
          <cell r="AC678">
            <v>0</v>
          </cell>
        </row>
        <row r="679">
          <cell r="AC679">
            <v>0</v>
          </cell>
        </row>
        <row r="680">
          <cell r="AC680">
            <v>28932.62</v>
          </cell>
        </row>
        <row r="681">
          <cell r="AC681">
            <v>14044.21</v>
          </cell>
        </row>
        <row r="682">
          <cell r="AC682">
            <v>10.669999999999998</v>
          </cell>
        </row>
        <row r="683">
          <cell r="AC683">
            <v>29024.089999999997</v>
          </cell>
        </row>
        <row r="684">
          <cell r="AC684">
            <v>45.730000000000018</v>
          </cell>
        </row>
        <row r="685">
          <cell r="AC685">
            <v>11550.91</v>
          </cell>
        </row>
        <row r="686">
          <cell r="AC686">
            <v>0</v>
          </cell>
        </row>
        <row r="687">
          <cell r="AC687">
            <v>-28932.62</v>
          </cell>
        </row>
        <row r="688">
          <cell r="AC688">
            <v>-14044.21</v>
          </cell>
        </row>
        <row r="689">
          <cell r="AC689">
            <v>-10.669999999999998</v>
          </cell>
        </row>
        <row r="690">
          <cell r="AC690">
            <v>-29024.089999999997</v>
          </cell>
        </row>
        <row r="691">
          <cell r="AC691">
            <v>-45.730000000000018</v>
          </cell>
        </row>
        <row r="692">
          <cell r="AC692">
            <v>-11550.91</v>
          </cell>
        </row>
        <row r="693">
          <cell r="AC693">
            <v>0</v>
          </cell>
        </row>
        <row r="694">
          <cell r="AC694">
            <v>0</v>
          </cell>
        </row>
        <row r="695">
          <cell r="AC695">
            <v>-3047453.3499999996</v>
          </cell>
        </row>
        <row r="696">
          <cell r="AC696">
            <v>0</v>
          </cell>
        </row>
        <row r="697">
          <cell r="AC697">
            <v>0</v>
          </cell>
        </row>
        <row r="698">
          <cell r="AC698">
            <v>0</v>
          </cell>
        </row>
        <row r="699">
          <cell r="AC699">
            <v>0</v>
          </cell>
        </row>
        <row r="700">
          <cell r="AC700">
            <v>0</v>
          </cell>
        </row>
        <row r="701">
          <cell r="AC701">
            <v>0</v>
          </cell>
        </row>
        <row r="702">
          <cell r="AC702">
            <v>1012.6</v>
          </cell>
        </row>
        <row r="703">
          <cell r="AC703">
            <v>0</v>
          </cell>
        </row>
        <row r="704">
          <cell r="AC704">
            <v>0</v>
          </cell>
        </row>
        <row r="705">
          <cell r="AC705">
            <v>0</v>
          </cell>
        </row>
        <row r="706">
          <cell r="AC706">
            <v>0</v>
          </cell>
        </row>
        <row r="707">
          <cell r="AC707">
            <v>0</v>
          </cell>
        </row>
        <row r="708">
          <cell r="AC708">
            <v>239.90000000000055</v>
          </cell>
        </row>
        <row r="709">
          <cell r="AC709">
            <v>3298.15</v>
          </cell>
        </row>
        <row r="710">
          <cell r="AC710">
            <v>0</v>
          </cell>
        </row>
        <row r="711">
          <cell r="AC711">
            <v>0</v>
          </cell>
        </row>
        <row r="712">
          <cell r="AC712">
            <v>0</v>
          </cell>
        </row>
        <row r="713">
          <cell r="AC713">
            <v>0</v>
          </cell>
        </row>
        <row r="714">
          <cell r="AC714">
            <v>0</v>
          </cell>
        </row>
        <row r="715">
          <cell r="AC715">
            <v>0</v>
          </cell>
        </row>
        <row r="716">
          <cell r="AC716">
            <v>0</v>
          </cell>
        </row>
        <row r="717">
          <cell r="AC717">
            <v>0</v>
          </cell>
        </row>
        <row r="718">
          <cell r="AC718">
            <v>0</v>
          </cell>
        </row>
        <row r="719">
          <cell r="AC719">
            <v>0</v>
          </cell>
        </row>
        <row r="720">
          <cell r="AC720">
            <v>0</v>
          </cell>
        </row>
        <row r="722">
          <cell r="AC722">
            <v>0</v>
          </cell>
        </row>
        <row r="723">
          <cell r="AC723">
            <v>0</v>
          </cell>
        </row>
        <row r="724">
          <cell r="AC724">
            <v>26528.05</v>
          </cell>
        </row>
        <row r="725">
          <cell r="AC725">
            <v>4812.5</v>
          </cell>
        </row>
        <row r="726">
          <cell r="AC726">
            <v>616.13</v>
          </cell>
        </row>
        <row r="727">
          <cell r="AC727">
            <v>0</v>
          </cell>
        </row>
        <row r="728">
          <cell r="AC728">
            <v>0</v>
          </cell>
        </row>
        <row r="729">
          <cell r="AC729">
            <v>0</v>
          </cell>
        </row>
        <row r="730">
          <cell r="AC730">
            <v>0</v>
          </cell>
        </row>
        <row r="731">
          <cell r="AC731">
            <v>112945.46000000057</v>
          </cell>
        </row>
        <row r="732">
          <cell r="AC732">
            <v>0</v>
          </cell>
        </row>
        <row r="733">
          <cell r="AC733">
            <v>0</v>
          </cell>
        </row>
        <row r="734">
          <cell r="AC734">
            <v>-171292.125</v>
          </cell>
        </row>
        <row r="735">
          <cell r="AC735">
            <v>-171292.125</v>
          </cell>
        </row>
        <row r="736">
          <cell r="AC736">
            <v>0</v>
          </cell>
        </row>
        <row r="737">
          <cell r="AC737">
            <v>0</v>
          </cell>
        </row>
        <row r="738">
          <cell r="AC738">
            <v>0</v>
          </cell>
        </row>
        <row r="739">
          <cell r="AC739">
            <v>0</v>
          </cell>
        </row>
        <row r="740">
          <cell r="AC740">
            <v>26277.13</v>
          </cell>
        </row>
        <row r="741">
          <cell r="AC741">
            <v>284.8</v>
          </cell>
        </row>
        <row r="742">
          <cell r="AC742">
            <v>1522.9899999999998</v>
          </cell>
        </row>
        <row r="743">
          <cell r="AC743">
            <v>43.49</v>
          </cell>
        </row>
        <row r="744">
          <cell r="AC744">
            <v>0</v>
          </cell>
        </row>
        <row r="745">
          <cell r="AC745">
            <v>28128.410000000003</v>
          </cell>
        </row>
        <row r="746">
          <cell r="AC746">
            <v>0</v>
          </cell>
        </row>
        <row r="747">
          <cell r="AC747">
            <v>0</v>
          </cell>
        </row>
        <row r="748">
          <cell r="AC748">
            <v>0</v>
          </cell>
        </row>
        <row r="749">
          <cell r="AC749">
            <v>0</v>
          </cell>
        </row>
        <row r="750">
          <cell r="AC750">
            <v>397525.45500000054</v>
          </cell>
        </row>
        <row r="751">
          <cell r="AC751">
            <v>0</v>
          </cell>
        </row>
        <row r="752">
          <cell r="AC752">
            <v>0</v>
          </cell>
        </row>
        <row r="753">
          <cell r="AC753">
            <v>0</v>
          </cell>
        </row>
        <row r="754">
          <cell r="AC754">
            <v>0</v>
          </cell>
        </row>
        <row r="755">
          <cell r="AC755">
            <v>160655.49</v>
          </cell>
        </row>
        <row r="756">
          <cell r="AC756">
            <v>-3110.4200000000019</v>
          </cell>
        </row>
        <row r="757">
          <cell r="AC757">
            <v>2270.7300000000005</v>
          </cell>
        </row>
        <row r="758">
          <cell r="AC758">
            <v>0</v>
          </cell>
        </row>
        <row r="760">
          <cell r="AC760">
            <v>0</v>
          </cell>
        </row>
        <row r="761">
          <cell r="AC761">
            <v>0</v>
          </cell>
        </row>
        <row r="762">
          <cell r="AC762">
            <v>0</v>
          </cell>
        </row>
        <row r="763">
          <cell r="AC763">
            <v>0</v>
          </cell>
        </row>
        <row r="764">
          <cell r="AC764">
            <v>0</v>
          </cell>
        </row>
        <row r="765">
          <cell r="AC765">
            <v>16899.699999999997</v>
          </cell>
        </row>
        <row r="766">
          <cell r="AC766">
            <v>-15555.24</v>
          </cell>
        </row>
        <row r="767">
          <cell r="AC767">
            <v>0</v>
          </cell>
        </row>
        <row r="768">
          <cell r="AC768">
            <v>0</v>
          </cell>
        </row>
        <row r="769">
          <cell r="AC769">
            <v>0</v>
          </cell>
        </row>
        <row r="770">
          <cell r="AC770">
            <v>28741.71</v>
          </cell>
        </row>
        <row r="771">
          <cell r="AC771">
            <v>13009.29</v>
          </cell>
        </row>
        <row r="772">
          <cell r="AC772">
            <v>41.559999999997672</v>
          </cell>
        </row>
        <row r="773">
          <cell r="AC773">
            <v>202.74</v>
          </cell>
        </row>
        <row r="777">
          <cell r="AC777">
            <v>0</v>
          </cell>
        </row>
        <row r="778">
          <cell r="AC778">
            <v>12866</v>
          </cell>
        </row>
        <row r="779">
          <cell r="AC779">
            <v>0</v>
          </cell>
        </row>
        <row r="780">
          <cell r="AC780">
            <v>2297</v>
          </cell>
        </row>
        <row r="781">
          <cell r="AC781">
            <v>9000</v>
          </cell>
        </row>
        <row r="782">
          <cell r="AC782">
            <v>3297</v>
          </cell>
        </row>
        <row r="783">
          <cell r="AC783">
            <v>7000</v>
          </cell>
        </row>
        <row r="784">
          <cell r="AC784">
            <v>3182.5000000000018</v>
          </cell>
        </row>
        <row r="785">
          <cell r="AC785">
            <v>9833</v>
          </cell>
        </row>
        <row r="786">
          <cell r="AC786">
            <v>0</v>
          </cell>
        </row>
        <row r="787">
          <cell r="AC787">
            <v>2433</v>
          </cell>
        </row>
        <row r="788">
          <cell r="AC788">
            <v>0</v>
          </cell>
        </row>
        <row r="789">
          <cell r="AC789">
            <v>-8279.880000000001</v>
          </cell>
        </row>
        <row r="790">
          <cell r="AC790">
            <v>0</v>
          </cell>
        </row>
        <row r="791">
          <cell r="AC791">
            <v>0</v>
          </cell>
        </row>
        <row r="792">
          <cell r="AC792">
            <v>0</v>
          </cell>
        </row>
        <row r="793">
          <cell r="AC793">
            <v>0</v>
          </cell>
        </row>
        <row r="794">
          <cell r="AC794">
            <v>0</v>
          </cell>
        </row>
        <row r="795">
          <cell r="AC795">
            <v>0</v>
          </cell>
        </row>
        <row r="796">
          <cell r="AC796">
            <v>0</v>
          </cell>
        </row>
        <row r="797">
          <cell r="AC797">
            <v>244784.17999999993</v>
          </cell>
        </row>
        <row r="798">
          <cell r="AC798">
            <v>0</v>
          </cell>
        </row>
        <row r="799">
          <cell r="AC799">
            <v>0</v>
          </cell>
        </row>
        <row r="800">
          <cell r="AC800">
            <v>0</v>
          </cell>
        </row>
        <row r="801">
          <cell r="AC801">
            <v>0</v>
          </cell>
        </row>
        <row r="802">
          <cell r="AC802">
            <v>0</v>
          </cell>
        </row>
        <row r="803">
          <cell r="AC803">
            <v>0</v>
          </cell>
        </row>
        <row r="804">
          <cell r="AC804">
            <v>0</v>
          </cell>
        </row>
        <row r="805">
          <cell r="AC805">
            <v>0</v>
          </cell>
        </row>
        <row r="806">
          <cell r="AC806">
            <v>0</v>
          </cell>
        </row>
        <row r="807">
          <cell r="AC807">
            <v>0</v>
          </cell>
        </row>
        <row r="808">
          <cell r="AC808">
            <v>0</v>
          </cell>
        </row>
        <row r="809">
          <cell r="AC809">
            <v>0</v>
          </cell>
        </row>
        <row r="810">
          <cell r="AC810">
            <v>0</v>
          </cell>
        </row>
        <row r="811">
          <cell r="AC811">
            <v>0</v>
          </cell>
        </row>
        <row r="812">
          <cell r="AC812">
            <v>0</v>
          </cell>
        </row>
        <row r="813">
          <cell r="AC813">
            <v>998.19999999999982</v>
          </cell>
        </row>
        <row r="814">
          <cell r="AC814">
            <v>31154.189999999995</v>
          </cell>
        </row>
        <row r="815">
          <cell r="AC815">
            <v>14480.61</v>
          </cell>
        </row>
        <row r="816">
          <cell r="AC816">
            <v>13376.009999999998</v>
          </cell>
        </row>
        <row r="817">
          <cell r="AC817">
            <v>4374.29</v>
          </cell>
        </row>
        <row r="818">
          <cell r="AC818">
            <v>820.14</v>
          </cell>
        </row>
        <row r="819">
          <cell r="AC819">
            <v>15000</v>
          </cell>
        </row>
        <row r="821">
          <cell r="AC821">
            <v>0</v>
          </cell>
        </row>
        <row r="822">
          <cell r="AC822">
            <v>-1224.2500000000005</v>
          </cell>
        </row>
        <row r="823">
          <cell r="AC823">
            <v>500</v>
          </cell>
        </row>
        <row r="824">
          <cell r="AC824">
            <v>0</v>
          </cell>
        </row>
        <row r="825">
          <cell r="AC825">
            <v>0</v>
          </cell>
        </row>
        <row r="826">
          <cell r="AC826">
            <v>0</v>
          </cell>
        </row>
        <row r="827">
          <cell r="AC827">
            <v>0</v>
          </cell>
        </row>
        <row r="828">
          <cell r="AC828">
            <v>0</v>
          </cell>
        </row>
        <row r="829">
          <cell r="AC829">
            <v>0</v>
          </cell>
        </row>
        <row r="830">
          <cell r="AC830">
            <v>0</v>
          </cell>
        </row>
        <row r="831">
          <cell r="AC831">
            <v>0</v>
          </cell>
        </row>
        <row r="832">
          <cell r="AC832">
            <v>0</v>
          </cell>
        </row>
        <row r="833">
          <cell r="AC833">
            <v>0</v>
          </cell>
        </row>
        <row r="834">
          <cell r="AC834">
            <v>0</v>
          </cell>
        </row>
        <row r="835">
          <cell r="AC835">
            <v>0</v>
          </cell>
        </row>
        <row r="838">
          <cell r="AC838">
            <v>0</v>
          </cell>
        </row>
        <row r="839">
          <cell r="AC839">
            <v>1480.6599999999999</v>
          </cell>
        </row>
        <row r="840">
          <cell r="AC840">
            <v>17710.12</v>
          </cell>
        </row>
        <row r="841">
          <cell r="AC841">
            <v>2765</v>
          </cell>
        </row>
        <row r="842">
          <cell r="AC842">
            <v>5215.2</v>
          </cell>
        </row>
        <row r="843">
          <cell r="AC843">
            <v>0</v>
          </cell>
        </row>
        <row r="844">
          <cell r="AC844">
            <v>106</v>
          </cell>
        </row>
        <row r="845">
          <cell r="AC845">
            <v>111</v>
          </cell>
        </row>
        <row r="846">
          <cell r="AC846">
            <v>80374.78</v>
          </cell>
        </row>
        <row r="847">
          <cell r="AC847">
            <v>83.43</v>
          </cell>
        </row>
        <row r="848">
          <cell r="AC848">
            <v>0</v>
          </cell>
        </row>
        <row r="849">
          <cell r="AC849">
            <v>0</v>
          </cell>
        </row>
        <row r="850">
          <cell r="AC850">
            <v>0</v>
          </cell>
        </row>
        <row r="851">
          <cell r="AC851">
            <v>0</v>
          </cell>
        </row>
        <row r="852">
          <cell r="AC852">
            <v>0</v>
          </cell>
        </row>
        <row r="853">
          <cell r="AC853">
            <v>0</v>
          </cell>
        </row>
        <row r="854">
          <cell r="AC854">
            <v>0</v>
          </cell>
        </row>
        <row r="855">
          <cell r="AC855">
            <v>0</v>
          </cell>
        </row>
        <row r="856">
          <cell r="AC856">
            <v>187325.38000000006</v>
          </cell>
        </row>
        <row r="857">
          <cell r="AC857">
            <v>0</v>
          </cell>
        </row>
        <row r="858">
          <cell r="AC858">
            <v>0</v>
          </cell>
        </row>
        <row r="859">
          <cell r="AC859">
            <v>0</v>
          </cell>
        </row>
        <row r="860">
          <cell r="AC860">
            <v>0</v>
          </cell>
        </row>
        <row r="861">
          <cell r="AC861">
            <v>0</v>
          </cell>
        </row>
        <row r="862">
          <cell r="AC862">
            <v>0</v>
          </cell>
        </row>
        <row r="863">
          <cell r="AC863">
            <v>20555.054999999989</v>
          </cell>
        </row>
        <row r="864">
          <cell r="AC864">
            <v>20555.054999999989</v>
          </cell>
        </row>
        <row r="865">
          <cell r="AC865">
            <v>0</v>
          </cell>
        </row>
        <row r="866">
          <cell r="AC866">
            <v>452664.61500000005</v>
          </cell>
        </row>
        <row r="867">
          <cell r="AC867">
            <v>0</v>
          </cell>
        </row>
        <row r="868">
          <cell r="AC868">
            <v>0</v>
          </cell>
        </row>
        <row r="869">
          <cell r="AC869">
            <v>0</v>
          </cell>
        </row>
        <row r="870">
          <cell r="AC870">
            <v>0</v>
          </cell>
        </row>
        <row r="871">
          <cell r="AC871">
            <v>0</v>
          </cell>
        </row>
        <row r="872">
          <cell r="AC872">
            <v>0</v>
          </cell>
        </row>
        <row r="873">
          <cell r="AC873">
            <v>0</v>
          </cell>
        </row>
        <row r="874">
          <cell r="AC874">
            <v>0</v>
          </cell>
        </row>
        <row r="875">
          <cell r="AC875">
            <v>0</v>
          </cell>
        </row>
        <row r="876">
          <cell r="AC876">
            <v>0</v>
          </cell>
        </row>
        <row r="877">
          <cell r="AC877">
            <v>0</v>
          </cell>
        </row>
        <row r="878">
          <cell r="AC878">
            <v>2663.7</v>
          </cell>
        </row>
        <row r="879">
          <cell r="AC879">
            <v>-428447.4756332637</v>
          </cell>
        </row>
        <row r="880">
          <cell r="AC880">
            <v>-1.999999999999999E-2</v>
          </cell>
        </row>
        <row r="881">
          <cell r="AC881">
            <v>0</v>
          </cell>
        </row>
        <row r="882">
          <cell r="AC882">
            <v>4231.2299999999996</v>
          </cell>
        </row>
        <row r="883">
          <cell r="AC883">
            <v>0</v>
          </cell>
        </row>
        <row r="884">
          <cell r="AC88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326">
          <cell r="AD326">
            <v>-33685.919999999998</v>
          </cell>
        </row>
        <row r="327">
          <cell r="AD327">
            <v>-54981.270000000004</v>
          </cell>
        </row>
        <row r="328">
          <cell r="AD328">
            <v>0</v>
          </cell>
        </row>
        <row r="329">
          <cell r="AD329">
            <v>0</v>
          </cell>
        </row>
        <row r="330">
          <cell r="AD330">
            <v>0</v>
          </cell>
        </row>
        <row r="331">
          <cell r="AD331">
            <v>0</v>
          </cell>
        </row>
        <row r="332">
          <cell r="AD332">
            <v>-9840.61</v>
          </cell>
        </row>
        <row r="333">
          <cell r="AD333">
            <v>9021.98</v>
          </cell>
        </row>
        <row r="334">
          <cell r="AD334">
            <v>-5171.88</v>
          </cell>
        </row>
        <row r="335">
          <cell r="AD335">
            <v>0</v>
          </cell>
        </row>
        <row r="336">
          <cell r="AD336">
            <v>-99136.58</v>
          </cell>
        </row>
        <row r="337">
          <cell r="AD337">
            <v>-549241.34000000008</v>
          </cell>
        </row>
        <row r="338">
          <cell r="AD338">
            <v>0</v>
          </cell>
        </row>
        <row r="339">
          <cell r="AD339">
            <v>0</v>
          </cell>
        </row>
        <row r="340">
          <cell r="AD340">
            <v>-2058.17</v>
          </cell>
        </row>
        <row r="341">
          <cell r="AD341">
            <v>-5800.17</v>
          </cell>
        </row>
        <row r="342">
          <cell r="AD342">
            <v>0</v>
          </cell>
        </row>
        <row r="343">
          <cell r="AD343">
            <v>-56521.369999999995</v>
          </cell>
        </row>
        <row r="344">
          <cell r="AD344">
            <v>-50089.07</v>
          </cell>
        </row>
        <row r="345">
          <cell r="AD345">
            <v>0</v>
          </cell>
        </row>
        <row r="346">
          <cell r="AD346">
            <v>0</v>
          </cell>
        </row>
        <row r="347">
          <cell r="AD347">
            <v>-56926.710000000006</v>
          </cell>
        </row>
        <row r="348">
          <cell r="AD348">
            <v>0</v>
          </cell>
        </row>
        <row r="349">
          <cell r="AD349">
            <v>-79904.41</v>
          </cell>
        </row>
        <row r="350">
          <cell r="AD350">
            <v>-14537.64</v>
          </cell>
        </row>
        <row r="351">
          <cell r="AD351">
            <v>-54958.18</v>
          </cell>
        </row>
        <row r="352">
          <cell r="AD352">
            <v>-7452.76</v>
          </cell>
        </row>
        <row r="353">
          <cell r="AD353">
            <v>0</v>
          </cell>
        </row>
        <row r="354">
          <cell r="AD354">
            <v>0</v>
          </cell>
        </row>
        <row r="355">
          <cell r="AD355">
            <v>0</v>
          </cell>
        </row>
        <row r="356">
          <cell r="AD356">
            <v>0</v>
          </cell>
        </row>
        <row r="361">
          <cell r="AD361">
            <v>38978.560000000005</v>
          </cell>
        </row>
        <row r="362">
          <cell r="AD362">
            <v>0</v>
          </cell>
        </row>
        <row r="363">
          <cell r="AD363">
            <v>-506.43999999999983</v>
          </cell>
        </row>
        <row r="364">
          <cell r="AD364">
            <v>507.27000000000004</v>
          </cell>
        </row>
        <row r="365">
          <cell r="AD365">
            <v>0</v>
          </cell>
        </row>
        <row r="366">
          <cell r="AD366">
            <v>0</v>
          </cell>
        </row>
        <row r="367">
          <cell r="AD367">
            <v>0</v>
          </cell>
        </row>
        <row r="368">
          <cell r="AD368">
            <v>0</v>
          </cell>
        </row>
        <row r="369">
          <cell r="AD369">
            <v>0</v>
          </cell>
        </row>
        <row r="370">
          <cell r="AD370">
            <v>0</v>
          </cell>
        </row>
        <row r="371">
          <cell r="AD371">
            <v>0</v>
          </cell>
        </row>
        <row r="372">
          <cell r="AD372">
            <v>0</v>
          </cell>
        </row>
        <row r="373">
          <cell r="AD373">
            <v>0</v>
          </cell>
        </row>
        <row r="374">
          <cell r="AD374">
            <v>11175.99</v>
          </cell>
        </row>
        <row r="375">
          <cell r="AD375">
            <v>0</v>
          </cell>
        </row>
        <row r="376">
          <cell r="AD376">
            <v>0</v>
          </cell>
        </row>
        <row r="377">
          <cell r="AD377">
            <v>0</v>
          </cell>
        </row>
        <row r="378">
          <cell r="AD378">
            <v>0</v>
          </cell>
        </row>
        <row r="379">
          <cell r="AD379">
            <v>811603.73757470259</v>
          </cell>
        </row>
        <row r="380">
          <cell r="AD380">
            <v>0</v>
          </cell>
        </row>
        <row r="381">
          <cell r="AD381">
            <v>861759.11757470272</v>
          </cell>
        </row>
        <row r="382">
          <cell r="AD382">
            <v>0</v>
          </cell>
        </row>
        <row r="383">
          <cell r="AD383">
            <v>0</v>
          </cell>
        </row>
        <row r="384">
          <cell r="AD384">
            <v>0</v>
          </cell>
        </row>
        <row r="385">
          <cell r="AD385">
            <v>0</v>
          </cell>
        </row>
        <row r="386">
          <cell r="AD386">
            <v>0</v>
          </cell>
        </row>
        <row r="387">
          <cell r="AD387">
            <v>0</v>
          </cell>
        </row>
        <row r="388">
          <cell r="AD388">
            <v>0</v>
          </cell>
        </row>
        <row r="389">
          <cell r="AD389">
            <v>0</v>
          </cell>
        </row>
        <row r="390">
          <cell r="AD390">
            <v>0</v>
          </cell>
        </row>
        <row r="391">
          <cell r="AD391">
            <v>0</v>
          </cell>
        </row>
        <row r="392">
          <cell r="AD392">
            <v>0</v>
          </cell>
        </row>
        <row r="393">
          <cell r="AD393">
            <v>0</v>
          </cell>
        </row>
        <row r="394">
          <cell r="AD394">
            <v>3924.8938617886183</v>
          </cell>
        </row>
        <row r="395">
          <cell r="AD395">
            <v>128.13999999999999</v>
          </cell>
        </row>
        <row r="396">
          <cell r="AD396">
            <v>0</v>
          </cell>
        </row>
        <row r="397">
          <cell r="AD397">
            <v>0</v>
          </cell>
        </row>
        <row r="398">
          <cell r="AD398">
            <v>4053.0338617886182</v>
          </cell>
        </row>
        <row r="399">
          <cell r="AD399">
            <v>0</v>
          </cell>
        </row>
        <row r="400">
          <cell r="AD400">
            <v>0</v>
          </cell>
        </row>
        <row r="401">
          <cell r="AD401">
            <v>135.24</v>
          </cell>
        </row>
        <row r="402">
          <cell r="AD402">
            <v>0</v>
          </cell>
        </row>
        <row r="403">
          <cell r="AD403">
            <v>0</v>
          </cell>
        </row>
        <row r="404">
          <cell r="AD404">
            <v>0</v>
          </cell>
        </row>
        <row r="405">
          <cell r="AD405">
            <v>0</v>
          </cell>
        </row>
        <row r="406">
          <cell r="AD406">
            <v>0</v>
          </cell>
        </row>
        <row r="407">
          <cell r="AD407">
            <v>0</v>
          </cell>
        </row>
        <row r="408">
          <cell r="AD408">
            <v>0</v>
          </cell>
        </row>
        <row r="409">
          <cell r="AD409">
            <v>0</v>
          </cell>
        </row>
        <row r="410">
          <cell r="AD410">
            <v>135.24</v>
          </cell>
        </row>
        <row r="411">
          <cell r="AD411">
            <v>0</v>
          </cell>
        </row>
        <row r="412">
          <cell r="AD412">
            <v>0</v>
          </cell>
        </row>
        <row r="413">
          <cell r="AD413">
            <v>4188.273861788618</v>
          </cell>
        </row>
        <row r="414">
          <cell r="AD414">
            <v>0</v>
          </cell>
        </row>
        <row r="415">
          <cell r="AD415">
            <v>0</v>
          </cell>
        </row>
        <row r="416">
          <cell r="AD416">
            <v>0</v>
          </cell>
        </row>
        <row r="417">
          <cell r="AD417">
            <v>0</v>
          </cell>
        </row>
        <row r="418">
          <cell r="AD418">
            <v>4710.6899999999996</v>
          </cell>
        </row>
        <row r="419">
          <cell r="AD419">
            <v>0</v>
          </cell>
        </row>
        <row r="420">
          <cell r="AD420">
            <v>1566.69</v>
          </cell>
        </row>
        <row r="422">
          <cell r="AD422">
            <v>33.75</v>
          </cell>
        </row>
        <row r="423">
          <cell r="AD423">
            <v>13336.6</v>
          </cell>
        </row>
        <row r="424">
          <cell r="AD424">
            <v>446.99</v>
          </cell>
        </row>
        <row r="425">
          <cell r="AD425">
            <v>0</v>
          </cell>
        </row>
        <row r="426">
          <cell r="AD426">
            <v>20094.72</v>
          </cell>
        </row>
        <row r="427">
          <cell r="AD427">
            <v>0</v>
          </cell>
        </row>
        <row r="428">
          <cell r="AD428">
            <v>0</v>
          </cell>
        </row>
        <row r="429">
          <cell r="AD429">
            <v>0</v>
          </cell>
        </row>
        <row r="430">
          <cell r="AD430">
            <v>0</v>
          </cell>
        </row>
        <row r="431">
          <cell r="AD431">
            <v>0</v>
          </cell>
        </row>
        <row r="432">
          <cell r="AD432">
            <v>0</v>
          </cell>
        </row>
        <row r="433">
          <cell r="AD433">
            <v>0</v>
          </cell>
        </row>
        <row r="434">
          <cell r="AD434">
            <v>50526.260000000009</v>
          </cell>
        </row>
        <row r="435">
          <cell r="AD435">
            <v>758.05</v>
          </cell>
        </row>
        <row r="436">
          <cell r="AD436">
            <v>-192593.11000000002</v>
          </cell>
        </row>
        <row r="437">
          <cell r="AD437">
            <v>-36389.21</v>
          </cell>
        </row>
        <row r="438">
          <cell r="AD438">
            <v>8972.6499999999942</v>
          </cell>
        </row>
        <row r="439">
          <cell r="AD439">
            <v>0</v>
          </cell>
        </row>
        <row r="440">
          <cell r="AD440">
            <v>11110.140000000001</v>
          </cell>
        </row>
        <row r="441">
          <cell r="AD441">
            <v>2288.29</v>
          </cell>
        </row>
        <row r="442">
          <cell r="AD442">
            <v>186584</v>
          </cell>
        </row>
        <row r="443">
          <cell r="AD443">
            <v>97477.81</v>
          </cell>
        </row>
        <row r="444">
          <cell r="AD444">
            <v>-7238.7999999999993</v>
          </cell>
        </row>
        <row r="445">
          <cell r="AD445">
            <v>11313.25</v>
          </cell>
        </row>
        <row r="446">
          <cell r="AD446">
            <v>4774.8399999999965</v>
          </cell>
        </row>
        <row r="447">
          <cell r="AD447">
            <v>15629.43</v>
          </cell>
        </row>
        <row r="448">
          <cell r="AD448">
            <v>0</v>
          </cell>
        </row>
        <row r="449">
          <cell r="AD449">
            <v>3130.75</v>
          </cell>
        </row>
        <row r="450">
          <cell r="AD450">
            <v>-6942.27</v>
          </cell>
        </row>
        <row r="451">
          <cell r="AD451">
            <v>0</v>
          </cell>
        </row>
        <row r="452">
          <cell r="AD452">
            <v>0</v>
          </cell>
        </row>
        <row r="453">
          <cell r="AD453">
            <v>0</v>
          </cell>
        </row>
        <row r="454">
          <cell r="AD454">
            <v>0</v>
          </cell>
        </row>
        <row r="455">
          <cell r="AD455">
            <v>0</v>
          </cell>
        </row>
        <row r="456">
          <cell r="AD456">
            <v>0</v>
          </cell>
        </row>
        <row r="457">
          <cell r="AD457">
            <v>0</v>
          </cell>
        </row>
        <row r="458">
          <cell r="AD458">
            <v>0</v>
          </cell>
        </row>
        <row r="459">
          <cell r="AD459">
            <v>0</v>
          </cell>
        </row>
        <row r="461">
          <cell r="AD461">
            <v>433.41999999999996</v>
          </cell>
        </row>
        <row r="462">
          <cell r="AD462">
            <v>411.05999999999995</v>
          </cell>
        </row>
        <row r="463">
          <cell r="AD463">
            <v>204.10000000000002</v>
          </cell>
        </row>
        <row r="464">
          <cell r="AD464">
            <v>0</v>
          </cell>
        </row>
        <row r="466">
          <cell r="AD466">
            <v>0</v>
          </cell>
        </row>
        <row r="467">
          <cell r="AD467">
            <v>0</v>
          </cell>
        </row>
        <row r="468">
          <cell r="AD468">
            <v>0</v>
          </cell>
        </row>
        <row r="469">
          <cell r="AD469">
            <v>0</v>
          </cell>
        </row>
        <row r="470">
          <cell r="AD470">
            <v>0</v>
          </cell>
        </row>
        <row r="471">
          <cell r="AD471">
            <v>0</v>
          </cell>
        </row>
        <row r="472">
          <cell r="AD472">
            <v>158153.47999999995</v>
          </cell>
        </row>
        <row r="473">
          <cell r="AD473">
            <v>0</v>
          </cell>
        </row>
        <row r="474">
          <cell r="AD474">
            <v>0</v>
          </cell>
        </row>
        <row r="475">
          <cell r="AD475">
            <v>0</v>
          </cell>
        </row>
        <row r="476">
          <cell r="AD476">
            <v>178248.19999999998</v>
          </cell>
        </row>
        <row r="477">
          <cell r="AD477">
            <v>0</v>
          </cell>
        </row>
        <row r="478">
          <cell r="AD478">
            <v>0</v>
          </cell>
        </row>
        <row r="479">
          <cell r="AD479">
            <v>0</v>
          </cell>
        </row>
        <row r="480">
          <cell r="AD480">
            <v>0</v>
          </cell>
        </row>
        <row r="481">
          <cell r="AD481">
            <v>0</v>
          </cell>
        </row>
        <row r="482">
          <cell r="AD482">
            <v>0</v>
          </cell>
        </row>
        <row r="483">
          <cell r="AD483">
            <v>0</v>
          </cell>
        </row>
        <row r="484">
          <cell r="AD484">
            <v>0</v>
          </cell>
        </row>
        <row r="485">
          <cell r="AD485">
            <v>0</v>
          </cell>
        </row>
        <row r="486">
          <cell r="AD486">
            <v>0</v>
          </cell>
        </row>
        <row r="487">
          <cell r="AD487">
            <v>306.41000000000003</v>
          </cell>
        </row>
        <row r="488">
          <cell r="AD488">
            <v>0</v>
          </cell>
        </row>
        <row r="489">
          <cell r="AD489">
            <v>163531.6741176885</v>
          </cell>
        </row>
      </sheetData>
      <sheetData sheetId="19" refreshError="1"/>
      <sheetData sheetId="20" refreshError="1"/>
      <sheetData sheetId="21" refreshError="1"/>
      <sheetData sheetId="22" refreshError="1"/>
      <sheetData sheetId="23" refreshError="1"/>
      <sheetData sheetId="24">
        <row r="151">
          <cell r="AD151">
            <v>0</v>
          </cell>
        </row>
      </sheetData>
      <sheetData sheetId="25" refreshError="1"/>
      <sheetData sheetId="26" refreshError="1"/>
      <sheetData sheetId="27" refreshError="1"/>
      <sheetData sheetId="28" refreshError="1"/>
      <sheetData sheetId="29">
        <row r="417">
          <cell r="AA417">
            <v>-1890</v>
          </cell>
        </row>
        <row r="418">
          <cell r="AA418">
            <v>0</v>
          </cell>
        </row>
        <row r="419">
          <cell r="AA419">
            <v>0</v>
          </cell>
        </row>
        <row r="420">
          <cell r="AA420">
            <v>0</v>
          </cell>
        </row>
        <row r="421">
          <cell r="AA421">
            <v>0</v>
          </cell>
        </row>
        <row r="422">
          <cell r="AA422">
            <v>0</v>
          </cell>
        </row>
        <row r="423">
          <cell r="AA423">
            <v>0</v>
          </cell>
        </row>
        <row r="424">
          <cell r="AA424">
            <v>-1008339.6000000001</v>
          </cell>
        </row>
        <row r="425">
          <cell r="AA425">
            <v>-7369.34</v>
          </cell>
        </row>
        <row r="426">
          <cell r="AA426">
            <v>-13261.14</v>
          </cell>
        </row>
        <row r="427">
          <cell r="AA427">
            <v>0</v>
          </cell>
        </row>
        <row r="428">
          <cell r="AA428">
            <v>-2550.37</v>
          </cell>
        </row>
        <row r="429">
          <cell r="AA429">
            <v>-68260.479999999996</v>
          </cell>
        </row>
        <row r="430">
          <cell r="AA430">
            <v>-2025</v>
          </cell>
        </row>
        <row r="432">
          <cell r="AA432">
            <v>0</v>
          </cell>
        </row>
        <row r="433">
          <cell r="AA433">
            <v>0</v>
          </cell>
        </row>
        <row r="434">
          <cell r="AA434">
            <v>-10065</v>
          </cell>
        </row>
        <row r="435">
          <cell r="AA435">
            <v>0</v>
          </cell>
        </row>
        <row r="436">
          <cell r="AA436">
            <v>-239555</v>
          </cell>
        </row>
        <row r="437">
          <cell r="AA437">
            <v>0</v>
          </cell>
        </row>
        <row r="438">
          <cell r="AA438">
            <v>0</v>
          </cell>
        </row>
        <row r="439">
          <cell r="AA439">
            <v>0</v>
          </cell>
        </row>
        <row r="440">
          <cell r="AA440">
            <v>-168616.09000000003</v>
          </cell>
        </row>
        <row r="441">
          <cell r="AA441">
            <v>-10403.26</v>
          </cell>
        </row>
        <row r="442">
          <cell r="AA442">
            <v>-227204.19</v>
          </cell>
        </row>
        <row r="443">
          <cell r="AA443">
            <v>-892.86</v>
          </cell>
        </row>
        <row r="449">
          <cell r="AA449">
            <v>59552.5</v>
          </cell>
        </row>
        <row r="450">
          <cell r="AA450">
            <v>6335.97</v>
          </cell>
        </row>
        <row r="451">
          <cell r="AA451">
            <v>0</v>
          </cell>
        </row>
        <row r="452">
          <cell r="AA452">
            <v>0</v>
          </cell>
        </row>
        <row r="453">
          <cell r="AA453">
            <v>720.6899999999996</v>
          </cell>
        </row>
        <row r="454">
          <cell r="AA454">
            <v>4994.6499999999996</v>
          </cell>
        </row>
        <row r="455">
          <cell r="AA455">
            <v>7975.24</v>
          </cell>
        </row>
        <row r="456">
          <cell r="AA456">
            <v>867.31</v>
          </cell>
        </row>
        <row r="457">
          <cell r="AA457">
            <v>118.41000000000001</v>
          </cell>
        </row>
        <row r="458">
          <cell r="AA458">
            <v>0</v>
          </cell>
        </row>
        <row r="459">
          <cell r="AA459">
            <v>0</v>
          </cell>
        </row>
        <row r="460">
          <cell r="AA460">
            <v>210.41000000000003</v>
          </cell>
        </row>
        <row r="461">
          <cell r="AA461">
            <v>11072.210000000001</v>
          </cell>
        </row>
        <row r="462">
          <cell r="AA462">
            <v>212.37</v>
          </cell>
        </row>
        <row r="463">
          <cell r="AA463">
            <v>610.34000000000015</v>
          </cell>
        </row>
        <row r="464">
          <cell r="AA464">
            <v>0</v>
          </cell>
        </row>
        <row r="465">
          <cell r="AA465">
            <v>0</v>
          </cell>
        </row>
        <row r="466">
          <cell r="AA466">
            <v>0</v>
          </cell>
        </row>
        <row r="467">
          <cell r="AA467">
            <v>0</v>
          </cell>
        </row>
        <row r="468">
          <cell r="AA468">
            <v>0</v>
          </cell>
        </row>
        <row r="469">
          <cell r="AA469">
            <v>0</v>
          </cell>
        </row>
        <row r="470">
          <cell r="AA470">
            <v>0</v>
          </cell>
        </row>
        <row r="471">
          <cell r="AA471">
            <v>0</v>
          </cell>
        </row>
        <row r="472">
          <cell r="AA472">
            <v>0</v>
          </cell>
        </row>
        <row r="473">
          <cell r="AA473">
            <v>0</v>
          </cell>
        </row>
        <row r="474">
          <cell r="AA474">
            <v>0</v>
          </cell>
        </row>
        <row r="475">
          <cell r="AA475">
            <v>4019.2034482758627</v>
          </cell>
        </row>
        <row r="476">
          <cell r="AA476">
            <v>0</v>
          </cell>
        </row>
        <row r="477">
          <cell r="AA477">
            <v>93483.340000000011</v>
          </cell>
        </row>
        <row r="478">
          <cell r="AA478">
            <v>0</v>
          </cell>
        </row>
        <row r="479">
          <cell r="AA479">
            <v>-4118.93</v>
          </cell>
        </row>
        <row r="480">
          <cell r="AA480">
            <v>3755.4</v>
          </cell>
        </row>
        <row r="481">
          <cell r="AA481">
            <v>0</v>
          </cell>
        </row>
        <row r="482">
          <cell r="AA482">
            <v>576.89</v>
          </cell>
        </row>
        <row r="483">
          <cell r="AA483">
            <v>8819.0700000000015</v>
          </cell>
        </row>
        <row r="484">
          <cell r="AA484">
            <v>0</v>
          </cell>
        </row>
        <row r="485">
          <cell r="AA485">
            <v>604.07000000000005</v>
          </cell>
        </row>
        <row r="486">
          <cell r="AA486">
            <v>0</v>
          </cell>
        </row>
        <row r="487">
          <cell r="AA487">
            <v>14343.55</v>
          </cell>
        </row>
        <row r="489">
          <cell r="AA489">
            <v>0</v>
          </cell>
        </row>
        <row r="490">
          <cell r="AA490">
            <v>0</v>
          </cell>
        </row>
        <row r="491">
          <cell r="AA491">
            <v>0</v>
          </cell>
        </row>
        <row r="492">
          <cell r="AA492">
            <v>0</v>
          </cell>
        </row>
        <row r="493">
          <cell r="AA493">
            <v>0</v>
          </cell>
        </row>
        <row r="494">
          <cell r="AA494">
            <v>0</v>
          </cell>
        </row>
        <row r="495">
          <cell r="AA495">
            <v>0</v>
          </cell>
        </row>
        <row r="496">
          <cell r="AA496">
            <v>0</v>
          </cell>
        </row>
        <row r="497">
          <cell r="AA497">
            <v>196.84000000000003</v>
          </cell>
        </row>
        <row r="498">
          <cell r="AA498">
            <v>0</v>
          </cell>
        </row>
        <row r="499">
          <cell r="AA499">
            <v>2411.522068965518</v>
          </cell>
        </row>
        <row r="500">
          <cell r="AA500">
            <v>0</v>
          </cell>
        </row>
        <row r="501">
          <cell r="AA501">
            <v>10141.529999999999</v>
          </cell>
        </row>
        <row r="502">
          <cell r="AA502">
            <v>190.04999999999998</v>
          </cell>
        </row>
        <row r="503">
          <cell r="AA503">
            <v>39.370000000000005</v>
          </cell>
        </row>
        <row r="504">
          <cell r="AA504">
            <v>213.87</v>
          </cell>
        </row>
        <row r="505">
          <cell r="AA505">
            <v>1064.05</v>
          </cell>
        </row>
        <row r="506">
          <cell r="AA506">
            <v>0</v>
          </cell>
        </row>
        <row r="507">
          <cell r="AA507">
            <v>0</v>
          </cell>
        </row>
        <row r="508">
          <cell r="AA508">
            <v>17255.84</v>
          </cell>
        </row>
        <row r="509">
          <cell r="AA509">
            <v>2266.2399999999998</v>
          </cell>
        </row>
        <row r="510">
          <cell r="AA510">
            <v>0</v>
          </cell>
        </row>
        <row r="511">
          <cell r="AA511">
            <v>0</v>
          </cell>
        </row>
        <row r="512">
          <cell r="AA512">
            <v>0</v>
          </cell>
        </row>
        <row r="513">
          <cell r="AA513">
            <v>6757.17</v>
          </cell>
        </row>
        <row r="514">
          <cell r="AA514">
            <v>17.399999999999999</v>
          </cell>
        </row>
        <row r="515">
          <cell r="AA515">
            <v>0</v>
          </cell>
        </row>
        <row r="516">
          <cell r="AA516">
            <v>2189.83</v>
          </cell>
        </row>
        <row r="517">
          <cell r="AA517">
            <v>1940.47</v>
          </cell>
        </row>
        <row r="518">
          <cell r="AA518">
            <v>108.52</v>
          </cell>
        </row>
        <row r="519">
          <cell r="AA519">
            <v>0</v>
          </cell>
        </row>
        <row r="520">
          <cell r="AA520">
            <v>0</v>
          </cell>
        </row>
        <row r="521">
          <cell r="AA521">
            <v>0</v>
          </cell>
        </row>
        <row r="522">
          <cell r="AA522">
            <v>0</v>
          </cell>
        </row>
        <row r="523">
          <cell r="AA523">
            <v>0</v>
          </cell>
        </row>
        <row r="524">
          <cell r="AA524">
            <v>0</v>
          </cell>
        </row>
        <row r="525">
          <cell r="AA525">
            <v>0</v>
          </cell>
        </row>
        <row r="526">
          <cell r="AA526">
            <v>0</v>
          </cell>
        </row>
        <row r="527">
          <cell r="AA527">
            <v>0</v>
          </cell>
        </row>
        <row r="528">
          <cell r="AA528">
            <v>0</v>
          </cell>
        </row>
        <row r="529">
          <cell r="AA529">
            <v>0</v>
          </cell>
        </row>
        <row r="530">
          <cell r="AA530">
            <v>350</v>
          </cell>
        </row>
        <row r="531">
          <cell r="AA531">
            <v>0</v>
          </cell>
        </row>
        <row r="532">
          <cell r="AA532">
            <v>0</v>
          </cell>
        </row>
        <row r="533">
          <cell r="AA533">
            <v>718478.04174999951</v>
          </cell>
        </row>
        <row r="534">
          <cell r="AA534">
            <v>0</v>
          </cell>
        </row>
        <row r="535">
          <cell r="AA535">
            <v>803.84068965517281</v>
          </cell>
        </row>
        <row r="536">
          <cell r="AA536">
            <v>978577.277956896</v>
          </cell>
        </row>
        <row r="537">
          <cell r="AA537">
            <v>0</v>
          </cell>
        </row>
        <row r="538">
          <cell r="AA538">
            <v>0</v>
          </cell>
        </row>
        <row r="539">
          <cell r="AA539">
            <v>0</v>
          </cell>
        </row>
        <row r="540">
          <cell r="AA540">
            <v>40263.89</v>
          </cell>
        </row>
        <row r="541">
          <cell r="AA541">
            <v>971.72000000000025</v>
          </cell>
        </row>
        <row r="542">
          <cell r="AA542">
            <v>1000</v>
          </cell>
        </row>
        <row r="543">
          <cell r="AA543">
            <v>153.9</v>
          </cell>
        </row>
        <row r="544">
          <cell r="AA544">
            <v>151.61000000000001</v>
          </cell>
        </row>
        <row r="545">
          <cell r="AA545">
            <v>0</v>
          </cell>
        </row>
        <row r="546">
          <cell r="AA546">
            <v>118.66000000000001</v>
          </cell>
        </row>
        <row r="547">
          <cell r="AA547">
            <v>3767.2900000000004</v>
          </cell>
        </row>
        <row r="548">
          <cell r="AA548">
            <v>289.84000000000003</v>
          </cell>
        </row>
        <row r="549">
          <cell r="AA549">
            <v>33214.68</v>
          </cell>
        </row>
        <row r="550">
          <cell r="AA550">
            <v>1693.48</v>
          </cell>
        </row>
        <row r="551">
          <cell r="AA551">
            <v>0</v>
          </cell>
        </row>
        <row r="552">
          <cell r="AA552">
            <v>641.61</v>
          </cell>
        </row>
        <row r="553">
          <cell r="AA553">
            <v>0</v>
          </cell>
        </row>
        <row r="554">
          <cell r="AA554">
            <v>4109.2699999999995</v>
          </cell>
        </row>
        <row r="555">
          <cell r="AA555">
            <v>7156.4500000000007</v>
          </cell>
        </row>
        <row r="556">
          <cell r="AA556">
            <v>0</v>
          </cell>
        </row>
        <row r="557">
          <cell r="AA557">
            <v>0</v>
          </cell>
        </row>
        <row r="558">
          <cell r="AA558">
            <v>0</v>
          </cell>
        </row>
        <row r="559">
          <cell r="AA559">
            <v>706.96</v>
          </cell>
        </row>
        <row r="560">
          <cell r="AA560">
            <v>21000</v>
          </cell>
        </row>
        <row r="561">
          <cell r="AA561">
            <v>0</v>
          </cell>
        </row>
        <row r="562">
          <cell r="AA562">
            <v>0</v>
          </cell>
        </row>
        <row r="563">
          <cell r="AA563">
            <v>0</v>
          </cell>
        </row>
        <row r="564">
          <cell r="AA564">
            <v>0</v>
          </cell>
        </row>
        <row r="565">
          <cell r="AA565">
            <v>0</v>
          </cell>
        </row>
        <row r="566">
          <cell r="AA566">
            <v>0</v>
          </cell>
        </row>
        <row r="567">
          <cell r="AA567">
            <v>0</v>
          </cell>
        </row>
        <row r="568">
          <cell r="AA568">
            <v>0</v>
          </cell>
        </row>
        <row r="569">
          <cell r="AA569">
            <v>0</v>
          </cell>
        </row>
        <row r="570">
          <cell r="AA570">
            <v>0</v>
          </cell>
        </row>
        <row r="571">
          <cell r="AA571">
            <v>0</v>
          </cell>
        </row>
        <row r="572">
          <cell r="AA572">
            <v>0</v>
          </cell>
        </row>
        <row r="573">
          <cell r="AA573">
            <v>0</v>
          </cell>
        </row>
        <row r="574">
          <cell r="AA574">
            <v>0</v>
          </cell>
        </row>
        <row r="575">
          <cell r="AA575">
            <v>0</v>
          </cell>
        </row>
        <row r="576">
          <cell r="AA576">
            <v>1205.7610344827585</v>
          </cell>
        </row>
        <row r="577">
          <cell r="AA577">
            <v>116445.12103448274</v>
          </cell>
        </row>
        <row r="578">
          <cell r="AA578">
            <v>0</v>
          </cell>
        </row>
        <row r="579">
          <cell r="AA579">
            <v>0</v>
          </cell>
        </row>
        <row r="580">
          <cell r="AA580">
            <v>0</v>
          </cell>
        </row>
        <row r="581">
          <cell r="AA581">
            <v>5833.34</v>
          </cell>
        </row>
        <row r="582">
          <cell r="AA582">
            <v>708</v>
          </cell>
        </row>
        <row r="583">
          <cell r="AA583">
            <v>0</v>
          </cell>
        </row>
        <row r="584">
          <cell r="AA584">
            <v>13.410000000000002</v>
          </cell>
        </row>
        <row r="585">
          <cell r="AA585">
            <v>0</v>
          </cell>
        </row>
        <row r="586">
          <cell r="AA586">
            <v>0</v>
          </cell>
        </row>
        <row r="587">
          <cell r="AA587">
            <v>503.01</v>
          </cell>
        </row>
        <row r="588">
          <cell r="AA588">
            <v>33.869999999999997</v>
          </cell>
        </row>
        <row r="589">
          <cell r="AA589">
            <v>635.21</v>
          </cell>
        </row>
        <row r="590">
          <cell r="AA590">
            <v>0</v>
          </cell>
        </row>
        <row r="591">
          <cell r="AA591">
            <v>0</v>
          </cell>
        </row>
        <row r="592">
          <cell r="AA592">
            <v>7083.33</v>
          </cell>
        </row>
        <row r="593">
          <cell r="AA593">
            <v>0</v>
          </cell>
        </row>
        <row r="594">
          <cell r="AA594">
            <v>767.70999999999992</v>
          </cell>
        </row>
        <row r="595">
          <cell r="AA595">
            <v>662.07999999999993</v>
          </cell>
        </row>
        <row r="596">
          <cell r="AA596">
            <v>33.869999999999997</v>
          </cell>
        </row>
        <row r="597">
          <cell r="AA597">
            <v>16.299999999999997</v>
          </cell>
        </row>
        <row r="598">
          <cell r="AA598">
            <v>0</v>
          </cell>
        </row>
        <row r="599">
          <cell r="AA599">
            <v>0</v>
          </cell>
        </row>
        <row r="600">
          <cell r="AA600">
            <v>11395.84</v>
          </cell>
        </row>
        <row r="601">
          <cell r="AA601">
            <v>0</v>
          </cell>
        </row>
        <row r="602">
          <cell r="AA602">
            <v>45.240000000000009</v>
          </cell>
        </row>
        <row r="603">
          <cell r="AA603">
            <v>1530.62</v>
          </cell>
        </row>
        <row r="604">
          <cell r="AA604">
            <v>662.07999999999993</v>
          </cell>
        </row>
        <row r="605">
          <cell r="AA605">
            <v>33.869999999999997</v>
          </cell>
        </row>
        <row r="606">
          <cell r="AA606">
            <v>25.119999999999997</v>
          </cell>
        </row>
        <row r="607">
          <cell r="AA607">
            <v>0</v>
          </cell>
        </row>
        <row r="608">
          <cell r="AA608">
            <v>0</v>
          </cell>
        </row>
        <row r="609">
          <cell r="AA609">
            <v>0</v>
          </cell>
        </row>
        <row r="610">
          <cell r="AA610">
            <v>0</v>
          </cell>
        </row>
        <row r="611">
          <cell r="AA611">
            <v>0</v>
          </cell>
        </row>
        <row r="612">
          <cell r="AA612">
            <v>0</v>
          </cell>
        </row>
        <row r="613">
          <cell r="AA613">
            <v>29982.9</v>
          </cell>
        </row>
        <row r="614">
          <cell r="AA614">
            <v>0</v>
          </cell>
        </row>
        <row r="615">
          <cell r="AA615">
            <v>0</v>
          </cell>
        </row>
        <row r="616">
          <cell r="AA616">
            <v>0</v>
          </cell>
        </row>
        <row r="617">
          <cell r="AA617">
            <v>0</v>
          </cell>
        </row>
        <row r="618">
          <cell r="AA618">
            <v>0</v>
          </cell>
        </row>
        <row r="619">
          <cell r="AA619">
            <v>5121.0599999999995</v>
          </cell>
        </row>
        <row r="620">
          <cell r="AA620">
            <v>0</v>
          </cell>
        </row>
        <row r="621">
          <cell r="AA621">
            <v>17.919999999999998</v>
          </cell>
        </row>
        <row r="622">
          <cell r="AA622">
            <v>0</v>
          </cell>
        </row>
        <row r="623">
          <cell r="AA623">
            <v>375</v>
          </cell>
        </row>
        <row r="624">
          <cell r="AA624">
            <v>0</v>
          </cell>
        </row>
        <row r="625">
          <cell r="AA625">
            <v>5513.98</v>
          </cell>
        </row>
        <row r="626">
          <cell r="AA626">
            <v>0</v>
          </cell>
        </row>
        <row r="627">
          <cell r="AA627">
            <v>0</v>
          </cell>
        </row>
        <row r="628">
          <cell r="AA628">
            <v>0</v>
          </cell>
        </row>
        <row r="629">
          <cell r="AA629">
            <v>0</v>
          </cell>
        </row>
        <row r="630">
          <cell r="AA630">
            <v>0</v>
          </cell>
        </row>
        <row r="631">
          <cell r="AA631">
            <v>0</v>
          </cell>
        </row>
        <row r="632">
          <cell r="AA632">
            <v>0</v>
          </cell>
        </row>
        <row r="633">
          <cell r="AA633">
            <v>0</v>
          </cell>
        </row>
        <row r="634">
          <cell r="AA634">
            <v>0</v>
          </cell>
        </row>
        <row r="635">
          <cell r="AA635">
            <v>0</v>
          </cell>
        </row>
        <row r="636">
          <cell r="AA636">
            <v>0</v>
          </cell>
        </row>
        <row r="637">
          <cell r="AA637">
            <v>0</v>
          </cell>
        </row>
        <row r="638">
          <cell r="AA638">
            <v>0</v>
          </cell>
        </row>
        <row r="639">
          <cell r="AA639">
            <v>0</v>
          </cell>
        </row>
        <row r="640">
          <cell r="AA640">
            <v>0</v>
          </cell>
        </row>
        <row r="641">
          <cell r="AA641">
            <v>0</v>
          </cell>
        </row>
        <row r="642">
          <cell r="AA642">
            <v>0</v>
          </cell>
        </row>
        <row r="643">
          <cell r="AA643">
            <v>0</v>
          </cell>
        </row>
        <row r="644">
          <cell r="AA644">
            <v>0</v>
          </cell>
        </row>
        <row r="645">
          <cell r="AA645">
            <v>0</v>
          </cell>
        </row>
        <row r="646">
          <cell r="AA646">
            <v>0</v>
          </cell>
        </row>
        <row r="647">
          <cell r="AA647">
            <v>0</v>
          </cell>
        </row>
        <row r="648">
          <cell r="AA648">
            <v>12733.67</v>
          </cell>
        </row>
        <row r="649">
          <cell r="AA649">
            <v>9039.2899999999991</v>
          </cell>
        </row>
        <row r="650">
          <cell r="AA650">
            <v>5066.84</v>
          </cell>
        </row>
        <row r="651">
          <cell r="AA651">
            <v>10</v>
          </cell>
        </row>
        <row r="652">
          <cell r="AA652">
            <v>0</v>
          </cell>
        </row>
        <row r="653">
          <cell r="AA653">
            <v>0</v>
          </cell>
        </row>
        <row r="654">
          <cell r="AA654">
            <v>0</v>
          </cell>
        </row>
        <row r="655">
          <cell r="AA655">
            <v>0</v>
          </cell>
        </row>
        <row r="656">
          <cell r="AA656">
            <v>1648.8899999999999</v>
          </cell>
        </row>
        <row r="657">
          <cell r="AA657">
            <v>0</v>
          </cell>
        </row>
        <row r="658">
          <cell r="AA658">
            <v>360</v>
          </cell>
        </row>
        <row r="659">
          <cell r="AA659">
            <v>15.92</v>
          </cell>
        </row>
        <row r="660">
          <cell r="AA660">
            <v>56.920000000000009</v>
          </cell>
        </row>
        <row r="661">
          <cell r="AA661">
            <v>229.05000000000007</v>
          </cell>
        </row>
        <row r="662">
          <cell r="AA662">
            <v>0</v>
          </cell>
        </row>
        <row r="663">
          <cell r="AA663">
            <v>1250</v>
          </cell>
        </row>
        <row r="664">
          <cell r="AA664">
            <v>2119.7400000000002</v>
          </cell>
        </row>
        <row r="665">
          <cell r="AA665">
            <v>902.11000000000013</v>
          </cell>
        </row>
        <row r="666">
          <cell r="AA666">
            <v>390.5</v>
          </cell>
        </row>
        <row r="668">
          <cell r="AA668">
            <v>0</v>
          </cell>
        </row>
        <row r="669">
          <cell r="AA669">
            <v>1306.3599999999999</v>
          </cell>
        </row>
        <row r="670">
          <cell r="AA670">
            <v>441.36000000000007</v>
          </cell>
        </row>
        <row r="671">
          <cell r="AA671">
            <v>703.44999999999993</v>
          </cell>
        </row>
        <row r="673">
          <cell r="AA673">
            <v>0</v>
          </cell>
        </row>
        <row r="674">
          <cell r="AA674">
            <v>36274.100000000006</v>
          </cell>
        </row>
        <row r="675">
          <cell r="AA675">
            <v>0</v>
          </cell>
        </row>
        <row r="676">
          <cell r="AA676">
            <v>0</v>
          </cell>
        </row>
        <row r="677">
          <cell r="AA677">
            <v>0</v>
          </cell>
        </row>
        <row r="680">
          <cell r="AA680">
            <v>-21703.698620689654</v>
          </cell>
        </row>
        <row r="681">
          <cell r="AA681">
            <v>0</v>
          </cell>
        </row>
        <row r="682">
          <cell r="AA682">
            <v>50067.281379310371</v>
          </cell>
        </row>
        <row r="683">
          <cell r="AA683">
            <v>0</v>
          </cell>
        </row>
        <row r="684">
          <cell r="AA684">
            <v>0</v>
          </cell>
        </row>
        <row r="685">
          <cell r="AA685">
            <v>0</v>
          </cell>
        </row>
        <row r="686">
          <cell r="AA686">
            <v>0</v>
          </cell>
        </row>
        <row r="687">
          <cell r="AA687">
            <v>40350</v>
          </cell>
        </row>
        <row r="689">
          <cell r="AA689">
            <v>4187.130000000001</v>
          </cell>
        </row>
        <row r="690">
          <cell r="AA690">
            <v>7304.85</v>
          </cell>
        </row>
        <row r="691">
          <cell r="AA691">
            <v>254.53000000000003</v>
          </cell>
        </row>
        <row r="692">
          <cell r="AA692">
            <v>0</v>
          </cell>
        </row>
        <row r="693">
          <cell r="AA693">
            <v>0</v>
          </cell>
        </row>
        <row r="694">
          <cell r="AA694">
            <v>0</v>
          </cell>
        </row>
        <row r="695">
          <cell r="AA695">
            <v>135.47999999999999</v>
          </cell>
        </row>
        <row r="696">
          <cell r="AA696">
            <v>0</v>
          </cell>
        </row>
        <row r="697">
          <cell r="AA697">
            <v>0</v>
          </cell>
        </row>
        <row r="698">
          <cell r="AA698">
            <v>1254.53</v>
          </cell>
        </row>
        <row r="699">
          <cell r="AA699">
            <v>0</v>
          </cell>
        </row>
        <row r="700">
          <cell r="AA700">
            <v>0</v>
          </cell>
        </row>
        <row r="701">
          <cell r="AA701">
            <v>0</v>
          </cell>
        </row>
        <row r="702">
          <cell r="AA702">
            <v>0</v>
          </cell>
        </row>
        <row r="703">
          <cell r="AA703">
            <v>0</v>
          </cell>
        </row>
        <row r="704">
          <cell r="AA704">
            <v>0</v>
          </cell>
        </row>
        <row r="705">
          <cell r="AA705">
            <v>192</v>
          </cell>
        </row>
        <row r="706">
          <cell r="AA706">
            <v>0</v>
          </cell>
        </row>
        <row r="707">
          <cell r="AA707">
            <v>0</v>
          </cell>
        </row>
        <row r="708">
          <cell r="AA708">
            <v>0</v>
          </cell>
        </row>
        <row r="709">
          <cell r="AA709">
            <v>0</v>
          </cell>
        </row>
        <row r="711">
          <cell r="AA711">
            <v>438.21</v>
          </cell>
        </row>
        <row r="712">
          <cell r="AA712">
            <v>9630</v>
          </cell>
        </row>
        <row r="713">
          <cell r="AA713">
            <v>21027.760000000002</v>
          </cell>
        </row>
        <row r="714">
          <cell r="AA714">
            <v>0</v>
          </cell>
        </row>
        <row r="715">
          <cell r="AA715">
            <v>0</v>
          </cell>
        </row>
        <row r="716">
          <cell r="AA716">
            <v>0</v>
          </cell>
        </row>
        <row r="717">
          <cell r="AA717">
            <v>23424.31</v>
          </cell>
        </row>
        <row r="718">
          <cell r="AA718">
            <v>0</v>
          </cell>
        </row>
        <row r="719">
          <cell r="AA719">
            <v>0</v>
          </cell>
        </row>
        <row r="721">
          <cell r="AA721">
            <v>0</v>
          </cell>
        </row>
        <row r="722">
          <cell r="AA722">
            <v>0</v>
          </cell>
        </row>
        <row r="723">
          <cell r="AA723">
            <v>0</v>
          </cell>
        </row>
        <row r="724">
          <cell r="AA724">
            <v>1240</v>
          </cell>
        </row>
        <row r="725">
          <cell r="AA725">
            <v>0</v>
          </cell>
        </row>
        <row r="726">
          <cell r="AA726">
            <v>109246.8</v>
          </cell>
        </row>
        <row r="727">
          <cell r="AA727">
            <v>0</v>
          </cell>
        </row>
        <row r="728">
          <cell r="AA728">
            <v>0</v>
          </cell>
        </row>
        <row r="729">
          <cell r="AA729">
            <v>0</v>
          </cell>
        </row>
        <row r="730">
          <cell r="AA730">
            <v>0</v>
          </cell>
        </row>
        <row r="731">
          <cell r="AA731">
            <v>68333.330000000016</v>
          </cell>
        </row>
        <row r="732">
          <cell r="AA732">
            <v>-14570.9</v>
          </cell>
        </row>
        <row r="733">
          <cell r="AA733">
            <v>-144097.55000000005</v>
          </cell>
        </row>
        <row r="734">
          <cell r="AA734">
            <v>51800</v>
          </cell>
        </row>
        <row r="735">
          <cell r="AA735">
            <v>-1547.92</v>
          </cell>
        </row>
        <row r="736">
          <cell r="AA736">
            <v>142.15</v>
          </cell>
        </row>
        <row r="737">
          <cell r="AA737">
            <v>0</v>
          </cell>
        </row>
        <row r="738">
          <cell r="AA738">
            <v>506.78000000000009</v>
          </cell>
        </row>
        <row r="739">
          <cell r="AA739">
            <v>11199.74</v>
          </cell>
        </row>
        <row r="740">
          <cell r="AA740">
            <v>0</v>
          </cell>
        </row>
        <row r="741">
          <cell r="AA741">
            <v>0</v>
          </cell>
        </row>
        <row r="742">
          <cell r="AA742">
            <v>213.87</v>
          </cell>
        </row>
        <row r="743">
          <cell r="AA743">
            <v>3723.36</v>
          </cell>
        </row>
        <row r="744">
          <cell r="AA744">
            <v>1142.69</v>
          </cell>
        </row>
        <row r="745">
          <cell r="AA745">
            <v>42.230000000000004</v>
          </cell>
        </row>
        <row r="746">
          <cell r="AA746">
            <v>0</v>
          </cell>
        </row>
        <row r="747">
          <cell r="AA747">
            <v>0</v>
          </cell>
        </row>
        <row r="748">
          <cell r="AA748">
            <v>8842.3799999999992</v>
          </cell>
        </row>
        <row r="749">
          <cell r="AA749">
            <v>498.61</v>
          </cell>
        </row>
        <row r="750">
          <cell r="AA750">
            <v>0</v>
          </cell>
        </row>
        <row r="751">
          <cell r="AA751">
            <v>25000</v>
          </cell>
        </row>
        <row r="752">
          <cell r="AA752">
            <v>2587</v>
          </cell>
        </row>
        <row r="753">
          <cell r="AA753">
            <v>499.79999999999995</v>
          </cell>
        </row>
        <row r="754">
          <cell r="AA754">
            <v>-6177.24</v>
          </cell>
        </row>
        <row r="755">
          <cell r="AA755">
            <v>5939.33</v>
          </cell>
        </row>
        <row r="756">
          <cell r="AA756">
            <v>0</v>
          </cell>
        </row>
        <row r="757">
          <cell r="AA757">
            <v>0</v>
          </cell>
        </row>
        <row r="758">
          <cell r="AA758">
            <v>1940.47</v>
          </cell>
        </row>
        <row r="759">
          <cell r="AA759">
            <v>108.52</v>
          </cell>
        </row>
        <row r="760">
          <cell r="AA760">
            <v>-32000</v>
          </cell>
        </row>
        <row r="761">
          <cell r="AA761">
            <v>484.6</v>
          </cell>
        </row>
        <row r="762">
          <cell r="AA762">
            <v>0</v>
          </cell>
        </row>
        <row r="763">
          <cell r="AA763">
            <v>0</v>
          </cell>
        </row>
        <row r="764">
          <cell r="AA764">
            <v>118250</v>
          </cell>
        </row>
        <row r="765">
          <cell r="AA765">
            <v>14514.79</v>
          </cell>
        </row>
        <row r="766">
          <cell r="AA766">
            <v>14153.670000000013</v>
          </cell>
        </row>
        <row r="767">
          <cell r="AA767">
            <v>-369.84</v>
          </cell>
        </row>
        <row r="768">
          <cell r="AA768">
            <v>14033.86</v>
          </cell>
        </row>
        <row r="769">
          <cell r="AA769">
            <v>296.33999999999997</v>
          </cell>
        </row>
        <row r="770">
          <cell r="AA770">
            <v>0</v>
          </cell>
        </row>
        <row r="771">
          <cell r="AA771">
            <v>9264.73</v>
          </cell>
        </row>
        <row r="772">
          <cell r="AA772">
            <v>535.69000000000005</v>
          </cell>
        </row>
        <row r="773">
          <cell r="AA773">
            <v>32000</v>
          </cell>
        </row>
        <row r="774">
          <cell r="AA774">
            <v>0</v>
          </cell>
        </row>
        <row r="775">
          <cell r="AA775">
            <v>0</v>
          </cell>
        </row>
        <row r="776">
          <cell r="AA776">
            <v>0</v>
          </cell>
        </row>
        <row r="777">
          <cell r="AA777">
            <v>5000</v>
          </cell>
        </row>
        <row r="778">
          <cell r="AA778">
            <v>11320.59</v>
          </cell>
        </row>
        <row r="779">
          <cell r="AA779">
            <v>1280</v>
          </cell>
        </row>
        <row r="780">
          <cell r="AA780">
            <v>0</v>
          </cell>
        </row>
        <row r="781">
          <cell r="AA781">
            <v>0</v>
          </cell>
        </row>
        <row r="782">
          <cell r="AA782">
            <v>0</v>
          </cell>
        </row>
        <row r="783">
          <cell r="AA783">
            <v>2825</v>
          </cell>
        </row>
        <row r="785">
          <cell r="AA785">
            <v>17083.34</v>
          </cell>
        </row>
        <row r="786">
          <cell r="AA786">
            <v>2770.96</v>
          </cell>
        </row>
        <row r="787">
          <cell r="AA787">
            <v>0</v>
          </cell>
        </row>
        <row r="788">
          <cell r="AA788">
            <v>-1463.12</v>
          </cell>
        </row>
        <row r="789">
          <cell r="AA789">
            <v>1790</v>
          </cell>
        </row>
        <row r="790">
          <cell r="AA790">
            <v>1277.33</v>
          </cell>
        </row>
        <row r="791">
          <cell r="AA791">
            <v>300</v>
          </cell>
        </row>
        <row r="792">
          <cell r="AA792">
            <v>106.66999999999996</v>
          </cell>
        </row>
        <row r="793">
          <cell r="AA793">
            <v>61.079999999999984</v>
          </cell>
        </row>
        <row r="794">
          <cell r="AA794">
            <v>0</v>
          </cell>
        </row>
        <row r="797">
          <cell r="AA797">
            <v>0</v>
          </cell>
        </row>
        <row r="798">
          <cell r="AA798">
            <v>0</v>
          </cell>
        </row>
        <row r="799">
          <cell r="AA799">
            <v>0</v>
          </cell>
        </row>
        <row r="800">
          <cell r="AA800">
            <v>0</v>
          </cell>
        </row>
        <row r="801">
          <cell r="AA801">
            <v>0</v>
          </cell>
        </row>
        <row r="802">
          <cell r="AA802">
            <v>25041.66</v>
          </cell>
        </row>
        <row r="803">
          <cell r="AA803">
            <v>-9726.9599999999991</v>
          </cell>
        </row>
        <row r="804">
          <cell r="AA804">
            <v>7086.24</v>
          </cell>
        </row>
        <row r="805">
          <cell r="AA805">
            <v>0</v>
          </cell>
        </row>
        <row r="806">
          <cell r="AA806">
            <v>10502</v>
          </cell>
        </row>
        <row r="807">
          <cell r="AA807">
            <v>0</v>
          </cell>
        </row>
        <row r="809">
          <cell r="AA809">
            <v>3030.9800000000005</v>
          </cell>
        </row>
        <row r="810">
          <cell r="AA810">
            <v>13998.29</v>
          </cell>
        </row>
        <row r="811">
          <cell r="AA811">
            <v>13345.869999999999</v>
          </cell>
        </row>
        <row r="812">
          <cell r="AA812">
            <v>588.44000000000051</v>
          </cell>
        </row>
        <row r="813">
          <cell r="AA813">
            <v>0</v>
          </cell>
        </row>
        <row r="814">
          <cell r="AA814">
            <v>0</v>
          </cell>
        </row>
        <row r="815">
          <cell r="AA815">
            <v>220.54</v>
          </cell>
        </row>
        <row r="816">
          <cell r="AA816">
            <v>0</v>
          </cell>
        </row>
        <row r="817">
          <cell r="AA817">
            <v>3505.47</v>
          </cell>
        </row>
        <row r="818">
          <cell r="AA818">
            <v>0</v>
          </cell>
        </row>
        <row r="819">
          <cell r="AA819">
            <v>0</v>
          </cell>
        </row>
        <row r="820">
          <cell r="AA820">
            <v>1340.3999999999999</v>
          </cell>
        </row>
        <row r="821">
          <cell r="AA821">
            <v>1451.8600000000001</v>
          </cell>
        </row>
        <row r="823">
          <cell r="AA823">
            <v>4497.37</v>
          </cell>
        </row>
        <row r="824">
          <cell r="AA824">
            <v>183.17</v>
          </cell>
        </row>
        <row r="825">
          <cell r="AA825">
            <v>103.63000000000002</v>
          </cell>
        </row>
        <row r="826">
          <cell r="AA826">
            <v>49.459999999999994</v>
          </cell>
        </row>
        <row r="827">
          <cell r="AA827">
            <v>59.309999999999988</v>
          </cell>
        </row>
        <row r="828">
          <cell r="AA828">
            <v>213.87</v>
          </cell>
        </row>
        <row r="829">
          <cell r="AA829">
            <v>213.87</v>
          </cell>
        </row>
        <row r="830">
          <cell r="AA830">
            <v>0</v>
          </cell>
        </row>
        <row r="831">
          <cell r="AA831">
            <v>0</v>
          </cell>
        </row>
        <row r="832">
          <cell r="AA832">
            <v>0</v>
          </cell>
        </row>
        <row r="833">
          <cell r="AA833">
            <v>48750</v>
          </cell>
        </row>
        <row r="834">
          <cell r="AA834">
            <v>-1977.41</v>
          </cell>
        </row>
        <row r="835">
          <cell r="AA835">
            <v>0</v>
          </cell>
        </row>
        <row r="836">
          <cell r="AA836">
            <v>4476</v>
          </cell>
        </row>
        <row r="837">
          <cell r="AA837">
            <v>4904.2199999999993</v>
          </cell>
        </row>
        <row r="838">
          <cell r="AA838">
            <v>0</v>
          </cell>
        </row>
        <row r="839">
          <cell r="AA839">
            <v>418.06</v>
          </cell>
        </row>
        <row r="840">
          <cell r="AA840">
            <v>5620.05</v>
          </cell>
        </row>
        <row r="841">
          <cell r="AA841">
            <v>322.35000000000002</v>
          </cell>
        </row>
        <row r="842">
          <cell r="AA842">
            <v>51.519999999999996</v>
          </cell>
        </row>
        <row r="843">
          <cell r="AA843">
            <v>0</v>
          </cell>
        </row>
        <row r="845">
          <cell r="AA845">
            <v>49958.34</v>
          </cell>
        </row>
        <row r="846">
          <cell r="AA846">
            <v>8494.8299999999981</v>
          </cell>
        </row>
        <row r="847">
          <cell r="AA847">
            <v>-682.85000000000036</v>
          </cell>
        </row>
        <row r="848">
          <cell r="AA848">
            <v>0</v>
          </cell>
        </row>
        <row r="849">
          <cell r="AA849">
            <v>67.430000000000007</v>
          </cell>
        </row>
        <row r="850">
          <cell r="AA850">
            <v>54.06</v>
          </cell>
        </row>
        <row r="851">
          <cell r="AA851">
            <v>0</v>
          </cell>
        </row>
        <row r="852">
          <cell r="AA852">
            <v>4383.95</v>
          </cell>
        </row>
        <row r="853">
          <cell r="AA853">
            <v>-44280</v>
          </cell>
        </row>
        <row r="854">
          <cell r="AA854">
            <v>0</v>
          </cell>
        </row>
        <row r="855">
          <cell r="AA855">
            <v>250.91</v>
          </cell>
        </row>
        <row r="857">
          <cell r="AA857">
            <v>14898.47</v>
          </cell>
        </row>
        <row r="858">
          <cell r="AA858">
            <v>1136.1100000000001</v>
          </cell>
        </row>
        <row r="859">
          <cell r="AA859">
            <v>458.55999999999995</v>
          </cell>
        </row>
        <row r="860">
          <cell r="AA860">
            <v>845.78000000000247</v>
          </cell>
        </row>
        <row r="861">
          <cell r="AA861">
            <v>213.87</v>
          </cell>
        </row>
        <row r="862">
          <cell r="AA862">
            <v>0</v>
          </cell>
        </row>
        <row r="864">
          <cell r="AA864">
            <v>0</v>
          </cell>
        </row>
        <row r="865">
          <cell r="AA865">
            <v>0</v>
          </cell>
        </row>
        <row r="866">
          <cell r="AA866">
            <v>0</v>
          </cell>
        </row>
        <row r="867">
          <cell r="AA867">
            <v>0</v>
          </cell>
        </row>
        <row r="868">
          <cell r="AA868">
            <v>0</v>
          </cell>
        </row>
        <row r="869">
          <cell r="AA869">
            <v>0</v>
          </cell>
        </row>
        <row r="870">
          <cell r="AA870">
            <v>0</v>
          </cell>
        </row>
        <row r="871">
          <cell r="AA871">
            <v>3485</v>
          </cell>
        </row>
        <row r="872">
          <cell r="AA872">
            <v>0</v>
          </cell>
        </row>
        <row r="873">
          <cell r="AA873">
            <v>0</v>
          </cell>
        </row>
        <row r="874">
          <cell r="AA874">
            <v>0</v>
          </cell>
        </row>
        <row r="875">
          <cell r="AA875">
            <v>337.5</v>
          </cell>
        </row>
        <row r="876">
          <cell r="AA876">
            <v>0</v>
          </cell>
        </row>
        <row r="877">
          <cell r="AA877">
            <v>0</v>
          </cell>
        </row>
        <row r="878">
          <cell r="AA878">
            <v>0</v>
          </cell>
        </row>
        <row r="879">
          <cell r="AA879">
            <v>0</v>
          </cell>
        </row>
        <row r="880">
          <cell r="AA880">
            <v>0</v>
          </cell>
        </row>
        <row r="881">
          <cell r="AA881">
            <v>0</v>
          </cell>
        </row>
        <row r="882">
          <cell r="AA882">
            <v>0</v>
          </cell>
        </row>
        <row r="883">
          <cell r="AA883">
            <v>0</v>
          </cell>
        </row>
        <row r="884">
          <cell r="AA884">
            <v>0</v>
          </cell>
        </row>
        <row r="885">
          <cell r="AA885">
            <v>0</v>
          </cell>
        </row>
        <row r="886">
          <cell r="AA886">
            <v>0</v>
          </cell>
        </row>
        <row r="887">
          <cell r="AA887">
            <v>0</v>
          </cell>
        </row>
        <row r="888">
          <cell r="AA888">
            <v>0</v>
          </cell>
        </row>
        <row r="889">
          <cell r="AA889">
            <v>0</v>
          </cell>
        </row>
        <row r="890">
          <cell r="AA890">
            <v>0</v>
          </cell>
        </row>
        <row r="891">
          <cell r="AA891">
            <v>0</v>
          </cell>
        </row>
        <row r="892">
          <cell r="AA892">
            <v>0</v>
          </cell>
        </row>
        <row r="893">
          <cell r="AA893">
            <v>0</v>
          </cell>
        </row>
        <row r="894">
          <cell r="AA894">
            <v>0</v>
          </cell>
        </row>
        <row r="895">
          <cell r="AA895">
            <v>0</v>
          </cell>
        </row>
        <row r="896">
          <cell r="AA896">
            <v>0</v>
          </cell>
        </row>
        <row r="898">
          <cell r="AA898">
            <v>0</v>
          </cell>
        </row>
        <row r="899">
          <cell r="AA899">
            <v>0</v>
          </cell>
        </row>
        <row r="900">
          <cell r="AA900">
            <v>0</v>
          </cell>
        </row>
        <row r="901">
          <cell r="AA901">
            <v>0</v>
          </cell>
        </row>
        <row r="902">
          <cell r="AA902">
            <v>138.16999999999999</v>
          </cell>
        </row>
        <row r="903">
          <cell r="AA903">
            <v>0</v>
          </cell>
        </row>
        <row r="904">
          <cell r="AA904">
            <v>0</v>
          </cell>
        </row>
        <row r="905">
          <cell r="AA905">
            <v>0</v>
          </cell>
        </row>
        <row r="908">
          <cell r="AA908">
            <v>0</v>
          </cell>
        </row>
        <row r="909">
          <cell r="AA909">
            <v>0</v>
          </cell>
        </row>
        <row r="910">
          <cell r="AA910">
            <v>0</v>
          </cell>
        </row>
        <row r="911">
          <cell r="AA911">
            <v>0</v>
          </cell>
        </row>
        <row r="912">
          <cell r="AA912">
            <v>0</v>
          </cell>
        </row>
        <row r="913">
          <cell r="AA913">
            <v>0</v>
          </cell>
        </row>
        <row r="914">
          <cell r="AA914">
            <v>0</v>
          </cell>
        </row>
        <row r="915">
          <cell r="AA915">
            <v>0</v>
          </cell>
        </row>
        <row r="916">
          <cell r="AA916">
            <v>13263.371379310349</v>
          </cell>
        </row>
        <row r="917">
          <cell r="AA917">
            <v>0</v>
          </cell>
        </row>
        <row r="918">
          <cell r="AA918">
            <v>461179.72137931071</v>
          </cell>
        </row>
        <row r="919">
          <cell r="AA919">
            <v>0</v>
          </cell>
        </row>
        <row r="923">
          <cell r="AA923">
            <v>0</v>
          </cell>
        </row>
        <row r="924">
          <cell r="AA924">
            <v>570426.52137931064</v>
          </cell>
        </row>
        <row r="927">
          <cell r="AA927">
            <v>0</v>
          </cell>
        </row>
        <row r="928">
          <cell r="AA928">
            <v>0</v>
          </cell>
        </row>
        <row r="929">
          <cell r="AA929">
            <v>0</v>
          </cell>
        </row>
        <row r="945">
          <cell r="AA945">
            <v>0</v>
          </cell>
        </row>
        <row r="946">
          <cell r="AA946">
            <v>2832</v>
          </cell>
        </row>
        <row r="947">
          <cell r="AA947">
            <v>150</v>
          </cell>
        </row>
        <row r="948">
          <cell r="AA948">
            <v>0</v>
          </cell>
        </row>
        <row r="949">
          <cell r="AA949">
            <v>2982</v>
          </cell>
        </row>
        <row r="950">
          <cell r="AA950">
            <v>0</v>
          </cell>
        </row>
        <row r="951">
          <cell r="AA951">
            <v>0</v>
          </cell>
        </row>
        <row r="952">
          <cell r="AA952">
            <v>1037.1799999999998</v>
          </cell>
        </row>
        <row r="953">
          <cell r="AA953">
            <v>854.14999999999964</v>
          </cell>
        </row>
        <row r="954">
          <cell r="AA954">
            <v>-0.33</v>
          </cell>
        </row>
        <row r="955">
          <cell r="AA955">
            <v>0</v>
          </cell>
        </row>
        <row r="956">
          <cell r="AA956">
            <v>0</v>
          </cell>
        </row>
        <row r="957">
          <cell r="AA957">
            <v>0</v>
          </cell>
        </row>
        <row r="958">
          <cell r="AA958">
            <v>-131.52999999999997</v>
          </cell>
        </row>
      </sheetData>
      <sheetData sheetId="30" refreshError="1"/>
      <sheetData sheetId="31" refreshError="1"/>
      <sheetData sheetId="32" refreshError="1"/>
      <sheetData sheetId="33" refreshError="1"/>
      <sheetData sheetId="34">
        <row r="1">
          <cell r="C1"/>
        </row>
        <row r="182">
          <cell r="X182">
            <v>61373.63</v>
          </cell>
        </row>
        <row r="183">
          <cell r="X183">
            <v>-85.46</v>
          </cell>
        </row>
        <row r="184">
          <cell r="X184">
            <v>-12332</v>
          </cell>
        </row>
        <row r="185">
          <cell r="X185">
            <v>0</v>
          </cell>
        </row>
        <row r="186">
          <cell r="X186">
            <v>0</v>
          </cell>
        </row>
        <row r="187">
          <cell r="X187">
            <v>507.06000000000006</v>
          </cell>
        </row>
        <row r="188">
          <cell r="X188">
            <v>0</v>
          </cell>
        </row>
        <row r="189">
          <cell r="X189">
            <v>0</v>
          </cell>
        </row>
        <row r="190">
          <cell r="X190">
            <v>0</v>
          </cell>
        </row>
        <row r="191">
          <cell r="X191">
            <v>0</v>
          </cell>
        </row>
        <row r="192">
          <cell r="X192">
            <v>0</v>
          </cell>
        </row>
        <row r="193">
          <cell r="X193">
            <v>0</v>
          </cell>
        </row>
        <row r="194">
          <cell r="X194">
            <v>0</v>
          </cell>
        </row>
        <row r="195">
          <cell r="X195">
            <v>49463.229999999996</v>
          </cell>
        </row>
        <row r="196">
          <cell r="X196">
            <v>0</v>
          </cell>
        </row>
        <row r="197">
          <cell r="X197">
            <v>0</v>
          </cell>
        </row>
        <row r="198">
          <cell r="X198">
            <v>0</v>
          </cell>
        </row>
        <row r="199">
          <cell r="X199">
            <v>0</v>
          </cell>
        </row>
        <row r="200">
          <cell r="X200">
            <v>0</v>
          </cell>
        </row>
        <row r="201">
          <cell r="X201">
            <v>0</v>
          </cell>
        </row>
        <row r="202">
          <cell r="X202">
            <v>0</v>
          </cell>
        </row>
        <row r="203">
          <cell r="X203">
            <v>0</v>
          </cell>
        </row>
        <row r="204">
          <cell r="X204">
            <v>0</v>
          </cell>
        </row>
        <row r="205">
          <cell r="X205">
            <v>0</v>
          </cell>
        </row>
        <row r="206">
          <cell r="X206">
            <v>0</v>
          </cell>
        </row>
        <row r="207">
          <cell r="X207">
            <v>0</v>
          </cell>
        </row>
        <row r="208">
          <cell r="X208">
            <v>0</v>
          </cell>
        </row>
        <row r="209">
          <cell r="X209">
            <v>1498.23</v>
          </cell>
        </row>
        <row r="210">
          <cell r="X210">
            <v>1498.23</v>
          </cell>
        </row>
        <row r="211">
          <cell r="X211">
            <v>0</v>
          </cell>
        </row>
        <row r="212">
          <cell r="X212">
            <v>163.79307319093476</v>
          </cell>
        </row>
        <row r="213">
          <cell r="X213">
            <v>0</v>
          </cell>
        </row>
        <row r="214">
          <cell r="X214">
            <v>163.79307319093476</v>
          </cell>
        </row>
        <row r="215">
          <cell r="X215">
            <v>0</v>
          </cell>
        </row>
        <row r="216">
          <cell r="X216">
            <v>0</v>
          </cell>
        </row>
        <row r="217">
          <cell r="X217">
            <v>1662.0230731909348</v>
          </cell>
        </row>
        <row r="218">
          <cell r="X218">
            <v>0</v>
          </cell>
        </row>
        <row r="219">
          <cell r="X219">
            <v>0</v>
          </cell>
        </row>
        <row r="220">
          <cell r="X220">
            <v>0</v>
          </cell>
        </row>
        <row r="221">
          <cell r="X221">
            <v>0</v>
          </cell>
        </row>
        <row r="222">
          <cell r="X222">
            <v>0</v>
          </cell>
        </row>
        <row r="223">
          <cell r="X223">
            <v>0</v>
          </cell>
        </row>
        <row r="224">
          <cell r="X224">
            <v>0</v>
          </cell>
        </row>
        <row r="225">
          <cell r="X225">
            <v>0</v>
          </cell>
        </row>
        <row r="226">
          <cell r="X226">
            <v>0</v>
          </cell>
        </row>
        <row r="227">
          <cell r="X227">
            <v>20061.379999999997</v>
          </cell>
        </row>
        <row r="228">
          <cell r="X228">
            <v>0</v>
          </cell>
        </row>
        <row r="229">
          <cell r="X229">
            <v>0</v>
          </cell>
        </row>
        <row r="230">
          <cell r="X230">
            <v>-892</v>
          </cell>
        </row>
        <row r="231">
          <cell r="X231">
            <v>-8.56</v>
          </cell>
        </row>
        <row r="232">
          <cell r="X232">
            <v>0</v>
          </cell>
        </row>
        <row r="233">
          <cell r="X233">
            <v>0</v>
          </cell>
        </row>
        <row r="234">
          <cell r="X234">
            <v>0</v>
          </cell>
        </row>
        <row r="235">
          <cell r="X235">
            <v>0</v>
          </cell>
        </row>
        <row r="236">
          <cell r="X236">
            <v>0</v>
          </cell>
        </row>
        <row r="237">
          <cell r="X237">
            <v>0</v>
          </cell>
        </row>
        <row r="238">
          <cell r="X238">
            <v>1786.02</v>
          </cell>
        </row>
        <row r="239">
          <cell r="X239">
            <v>0</v>
          </cell>
        </row>
        <row r="240">
          <cell r="X240">
            <v>20946.839999999997</v>
          </cell>
        </row>
        <row r="241">
          <cell r="X241">
            <v>0</v>
          </cell>
        </row>
        <row r="242">
          <cell r="X242">
            <v>0</v>
          </cell>
        </row>
        <row r="243">
          <cell r="X243">
            <v>0</v>
          </cell>
        </row>
        <row r="244">
          <cell r="X244">
            <v>0</v>
          </cell>
        </row>
        <row r="245">
          <cell r="X245">
            <v>0</v>
          </cell>
        </row>
        <row r="246">
          <cell r="X246">
            <v>21177.480000000003</v>
          </cell>
        </row>
        <row r="247">
          <cell r="X247">
            <v>0</v>
          </cell>
        </row>
        <row r="248">
          <cell r="X248">
            <v>-18.66</v>
          </cell>
        </row>
        <row r="249">
          <cell r="X249">
            <v>-3596</v>
          </cell>
        </row>
        <row r="250">
          <cell r="X250">
            <v>-9.98</v>
          </cell>
        </row>
        <row r="251">
          <cell r="X251">
            <v>0</v>
          </cell>
        </row>
        <row r="252">
          <cell r="X252">
            <v>0</v>
          </cell>
        </row>
        <row r="253">
          <cell r="X253">
            <v>0</v>
          </cell>
        </row>
        <row r="254">
          <cell r="X254">
            <v>0</v>
          </cell>
        </row>
        <row r="255">
          <cell r="X255">
            <v>0</v>
          </cell>
        </row>
        <row r="256">
          <cell r="X256">
            <v>17552.839999999997</v>
          </cell>
        </row>
        <row r="257">
          <cell r="X257">
            <v>0</v>
          </cell>
        </row>
        <row r="258">
          <cell r="X258">
            <v>0</v>
          </cell>
        </row>
        <row r="259">
          <cell r="X259">
            <v>0</v>
          </cell>
        </row>
        <row r="260">
          <cell r="X260">
            <v>0</v>
          </cell>
        </row>
        <row r="261">
          <cell r="X261">
            <v>0</v>
          </cell>
        </row>
        <row r="262">
          <cell r="X262">
            <v>29710.820000000003</v>
          </cell>
        </row>
        <row r="263">
          <cell r="X263">
            <v>6143.37</v>
          </cell>
        </row>
        <row r="264">
          <cell r="X264">
            <v>0</v>
          </cell>
        </row>
        <row r="265">
          <cell r="X265">
            <v>3.68</v>
          </cell>
        </row>
        <row r="266">
          <cell r="X266">
            <v>-2649.9300000000003</v>
          </cell>
        </row>
        <row r="267">
          <cell r="X267">
            <v>0</v>
          </cell>
        </row>
        <row r="268">
          <cell r="X268">
            <v>0</v>
          </cell>
        </row>
        <row r="269">
          <cell r="X269">
            <v>0</v>
          </cell>
        </row>
        <row r="270">
          <cell r="X270">
            <v>0</v>
          </cell>
        </row>
        <row r="271">
          <cell r="X271">
            <v>564.67999999999995</v>
          </cell>
        </row>
        <row r="272">
          <cell r="X272">
            <v>0</v>
          </cell>
        </row>
        <row r="273">
          <cell r="X273">
            <v>33772.619999999995</v>
          </cell>
        </row>
        <row r="275">
          <cell r="X275">
            <v>72272.299999999988</v>
          </cell>
        </row>
        <row r="279">
          <cell r="X279">
            <v>0</v>
          </cell>
        </row>
        <row r="280">
          <cell r="X280">
            <v>0</v>
          </cell>
        </row>
        <row r="281">
          <cell r="X281">
            <v>0</v>
          </cell>
        </row>
        <row r="282">
          <cell r="X282">
            <v>0</v>
          </cell>
        </row>
        <row r="283">
          <cell r="X283">
            <v>564.52</v>
          </cell>
        </row>
        <row r="284">
          <cell r="X284">
            <v>-10995.36</v>
          </cell>
        </row>
        <row r="285">
          <cell r="X285">
            <v>0</v>
          </cell>
        </row>
        <row r="286">
          <cell r="X286">
            <v>-10430.84</v>
          </cell>
        </row>
        <row r="287">
          <cell r="X287">
            <v>0</v>
          </cell>
        </row>
      </sheetData>
      <sheetData sheetId="35" refreshError="1"/>
      <sheetData sheetId="36" refreshError="1"/>
      <sheetData sheetId="37" refreshError="1"/>
      <sheetData sheetId="38">
        <row r="160">
          <cell r="X160">
            <v>-183381.03528319404</v>
          </cell>
        </row>
        <row r="161">
          <cell r="X161">
            <v>-183381.03528319404</v>
          </cell>
        </row>
        <row r="162">
          <cell r="X162">
            <v>0</v>
          </cell>
        </row>
        <row r="163">
          <cell r="X163">
            <v>0</v>
          </cell>
        </row>
        <row r="164">
          <cell r="X164">
            <v>0</v>
          </cell>
        </row>
        <row r="165">
          <cell r="X165">
            <v>0</v>
          </cell>
        </row>
        <row r="166">
          <cell r="X166">
            <v>0</v>
          </cell>
        </row>
        <row r="167">
          <cell r="X167">
            <v>0</v>
          </cell>
        </row>
        <row r="168">
          <cell r="X168">
            <v>53608.399999999994</v>
          </cell>
        </row>
        <row r="169">
          <cell r="X169">
            <v>2624.82</v>
          </cell>
        </row>
        <row r="170">
          <cell r="X170">
            <v>0</v>
          </cell>
        </row>
        <row r="171">
          <cell r="X171">
            <v>0</v>
          </cell>
        </row>
        <row r="172">
          <cell r="X172">
            <v>0</v>
          </cell>
        </row>
        <row r="173">
          <cell r="X173">
            <v>11942.95</v>
          </cell>
        </row>
        <row r="174">
          <cell r="X174">
            <v>0</v>
          </cell>
        </row>
        <row r="175">
          <cell r="X175">
            <v>1089.24</v>
          </cell>
        </row>
        <row r="176">
          <cell r="X176">
            <v>0</v>
          </cell>
        </row>
        <row r="177">
          <cell r="X177">
            <v>6814.0011538461549</v>
          </cell>
        </row>
        <row r="178">
          <cell r="X178">
            <v>0</v>
          </cell>
        </row>
        <row r="179">
          <cell r="X179">
            <v>0</v>
          </cell>
        </row>
        <row r="180">
          <cell r="X180">
            <v>17326.020000000004</v>
          </cell>
        </row>
        <row r="181">
          <cell r="X181">
            <v>1483.53</v>
          </cell>
        </row>
        <row r="182">
          <cell r="X182">
            <v>0</v>
          </cell>
        </row>
        <row r="183">
          <cell r="X183">
            <v>0</v>
          </cell>
        </row>
        <row r="184">
          <cell r="X184">
            <v>2882.78</v>
          </cell>
        </row>
        <row r="185">
          <cell r="X185">
            <v>291.41999999999996</v>
          </cell>
        </row>
        <row r="186">
          <cell r="X186">
            <v>0</v>
          </cell>
        </row>
        <row r="187">
          <cell r="X187">
            <v>1900.502692307693</v>
          </cell>
        </row>
        <row r="188">
          <cell r="X188">
            <v>0</v>
          </cell>
        </row>
        <row r="189">
          <cell r="X189">
            <v>99963.663846153853</v>
          </cell>
        </row>
        <row r="190">
          <cell r="X190">
            <v>0</v>
          </cell>
        </row>
        <row r="191">
          <cell r="X191">
            <v>0</v>
          </cell>
        </row>
        <row r="192">
          <cell r="X192">
            <v>0</v>
          </cell>
        </row>
        <row r="193">
          <cell r="X193">
            <v>0</v>
          </cell>
        </row>
        <row r="194">
          <cell r="X194">
            <v>0</v>
          </cell>
        </row>
        <row r="195">
          <cell r="X195">
            <v>0</v>
          </cell>
        </row>
        <row r="196">
          <cell r="X196">
            <v>0</v>
          </cell>
        </row>
        <row r="197">
          <cell r="X197">
            <v>0</v>
          </cell>
        </row>
        <row r="198">
          <cell r="X198">
            <v>0</v>
          </cell>
        </row>
        <row r="199">
          <cell r="X199">
            <v>0</v>
          </cell>
        </row>
        <row r="200">
          <cell r="X200">
            <v>0</v>
          </cell>
        </row>
        <row r="201">
          <cell r="X201">
            <v>407.15000000000009</v>
          </cell>
        </row>
        <row r="202">
          <cell r="X202">
            <v>175.3</v>
          </cell>
        </row>
        <row r="203">
          <cell r="X203">
            <v>315</v>
          </cell>
        </row>
        <row r="204">
          <cell r="X204">
            <v>25.789999999999964</v>
          </cell>
        </row>
        <row r="205">
          <cell r="X205">
            <v>923.23999999999978</v>
          </cell>
        </row>
        <row r="206">
          <cell r="X206">
            <v>0</v>
          </cell>
        </row>
        <row r="207">
          <cell r="X207">
            <v>0</v>
          </cell>
        </row>
        <row r="208">
          <cell r="X208">
            <v>5352.5100000000011</v>
          </cell>
        </row>
        <row r="209">
          <cell r="X209">
            <v>6.789999999999992</v>
          </cell>
        </row>
        <row r="210">
          <cell r="X210">
            <v>1533.58</v>
          </cell>
        </row>
        <row r="211">
          <cell r="X211">
            <v>1388.52</v>
          </cell>
        </row>
        <row r="212">
          <cell r="X212">
            <v>242.89999999999998</v>
          </cell>
        </row>
        <row r="213">
          <cell r="X213">
            <v>0</v>
          </cell>
        </row>
        <row r="214">
          <cell r="X214">
            <v>841.42000000000007</v>
          </cell>
        </row>
        <row r="215">
          <cell r="X215">
            <v>0</v>
          </cell>
        </row>
        <row r="216">
          <cell r="X216">
            <v>928.30000000000007</v>
          </cell>
        </row>
        <row r="217">
          <cell r="X217">
            <v>0</v>
          </cell>
        </row>
        <row r="218">
          <cell r="X218">
            <v>2730.2599999999998</v>
          </cell>
        </row>
        <row r="219">
          <cell r="X219">
            <v>268.66000000000003</v>
          </cell>
        </row>
        <row r="220">
          <cell r="X220">
            <v>118.73999999999998</v>
          </cell>
        </row>
        <row r="221">
          <cell r="X221">
            <v>0</v>
          </cell>
        </row>
        <row r="222">
          <cell r="X222">
            <v>-12963.59461538462</v>
          </cell>
        </row>
        <row r="223">
          <cell r="X223">
            <v>0</v>
          </cell>
        </row>
        <row r="224">
          <cell r="X224">
            <v>448.0853846153841</v>
          </cell>
        </row>
        <row r="225">
          <cell r="X225">
            <v>0</v>
          </cell>
        </row>
        <row r="226">
          <cell r="X226">
            <v>0</v>
          </cell>
        </row>
        <row r="227">
          <cell r="X227">
            <v>1371.3253846153839</v>
          </cell>
        </row>
        <row r="228">
          <cell r="X228">
            <v>0</v>
          </cell>
        </row>
        <row r="229">
          <cell r="X229">
            <v>0</v>
          </cell>
        </row>
        <row r="230">
          <cell r="X230">
            <v>0</v>
          </cell>
        </row>
        <row r="231">
          <cell r="X231">
            <v>0</v>
          </cell>
        </row>
        <row r="232">
          <cell r="X232">
            <v>0</v>
          </cell>
        </row>
        <row r="233">
          <cell r="X233">
            <v>0</v>
          </cell>
        </row>
        <row r="234">
          <cell r="X234">
            <v>0</v>
          </cell>
        </row>
        <row r="235">
          <cell r="X235">
            <v>25087.01</v>
          </cell>
        </row>
        <row r="236">
          <cell r="X236">
            <v>0</v>
          </cell>
        </row>
        <row r="237">
          <cell r="X237">
            <v>3706.43</v>
          </cell>
        </row>
        <row r="238">
          <cell r="X238">
            <v>0</v>
          </cell>
        </row>
        <row r="239">
          <cell r="X239">
            <v>0</v>
          </cell>
        </row>
        <row r="240">
          <cell r="X240">
            <v>0</v>
          </cell>
        </row>
        <row r="241">
          <cell r="X241">
            <v>2796.6734615384621</v>
          </cell>
        </row>
        <row r="242">
          <cell r="X242">
            <v>0</v>
          </cell>
        </row>
        <row r="243">
          <cell r="X243">
            <v>0</v>
          </cell>
        </row>
        <row r="244">
          <cell r="X244">
            <v>777.62</v>
          </cell>
        </row>
        <row r="245">
          <cell r="X245">
            <v>0</v>
          </cell>
        </row>
        <row r="246">
          <cell r="X246">
            <v>32367.733461538461</v>
          </cell>
        </row>
        <row r="247">
          <cell r="X247">
            <v>0</v>
          </cell>
        </row>
        <row r="248">
          <cell r="X248">
            <v>0</v>
          </cell>
        </row>
        <row r="249">
          <cell r="X249">
            <v>0</v>
          </cell>
        </row>
        <row r="250">
          <cell r="X250">
            <v>0</v>
          </cell>
        </row>
        <row r="251">
          <cell r="X251">
            <v>0</v>
          </cell>
        </row>
        <row r="252">
          <cell r="X252">
            <v>0</v>
          </cell>
        </row>
        <row r="253">
          <cell r="X253">
            <v>13110.740000000002</v>
          </cell>
        </row>
        <row r="254">
          <cell r="X254">
            <v>0</v>
          </cell>
        </row>
        <row r="255">
          <cell r="X255">
            <v>0</v>
          </cell>
        </row>
        <row r="256">
          <cell r="X256">
            <v>4.47</v>
          </cell>
        </row>
        <row r="257">
          <cell r="X257">
            <v>0</v>
          </cell>
        </row>
        <row r="258">
          <cell r="X258">
            <v>2470.9600000000005</v>
          </cell>
        </row>
        <row r="259">
          <cell r="X259">
            <v>0</v>
          </cell>
        </row>
        <row r="260">
          <cell r="X260">
            <v>0</v>
          </cell>
        </row>
        <row r="261">
          <cell r="X261">
            <v>0</v>
          </cell>
        </row>
        <row r="262">
          <cell r="X262">
            <v>0</v>
          </cell>
        </row>
        <row r="263">
          <cell r="X263">
            <v>0</v>
          </cell>
        </row>
        <row r="264">
          <cell r="X264">
            <v>0</v>
          </cell>
        </row>
        <row r="265">
          <cell r="X265">
            <v>0</v>
          </cell>
        </row>
        <row r="266">
          <cell r="X266">
            <v>0</v>
          </cell>
        </row>
        <row r="267">
          <cell r="X267">
            <v>0</v>
          </cell>
        </row>
        <row r="268">
          <cell r="X268">
            <v>0</v>
          </cell>
        </row>
        <row r="269">
          <cell r="X269">
            <v>6281.76</v>
          </cell>
        </row>
        <row r="270">
          <cell r="X270">
            <v>0</v>
          </cell>
        </row>
        <row r="271">
          <cell r="X271">
            <v>-3.95</v>
          </cell>
        </row>
        <row r="272">
          <cell r="X272">
            <v>0</v>
          </cell>
        </row>
        <row r="273">
          <cell r="X273">
            <v>0</v>
          </cell>
        </row>
        <row r="274">
          <cell r="X274">
            <v>0</v>
          </cell>
        </row>
        <row r="275">
          <cell r="X275">
            <v>126.46</v>
          </cell>
        </row>
        <row r="276">
          <cell r="X276">
            <v>0</v>
          </cell>
        </row>
        <row r="277">
          <cell r="X277">
            <v>0</v>
          </cell>
        </row>
        <row r="278">
          <cell r="X278">
            <v>0</v>
          </cell>
        </row>
        <row r="279">
          <cell r="X279">
            <v>1452.417307692308</v>
          </cell>
        </row>
        <row r="280">
          <cell r="X280">
            <v>0</v>
          </cell>
        </row>
        <row r="281">
          <cell r="X281">
            <v>23442.857307692313</v>
          </cell>
        </row>
        <row r="282">
          <cell r="X282">
            <v>0</v>
          </cell>
        </row>
        <row r="283">
          <cell r="X283">
            <v>0</v>
          </cell>
        </row>
        <row r="284">
          <cell r="X284">
            <v>0</v>
          </cell>
        </row>
        <row r="285">
          <cell r="X285">
            <v>0</v>
          </cell>
        </row>
        <row r="286">
          <cell r="X286">
            <v>0</v>
          </cell>
        </row>
        <row r="287">
          <cell r="X287">
            <v>0</v>
          </cell>
        </row>
        <row r="288">
          <cell r="X288">
            <v>-28758.02</v>
          </cell>
        </row>
        <row r="289">
          <cell r="X289">
            <v>829.13</v>
          </cell>
        </row>
        <row r="291">
          <cell r="X291">
            <v>0</v>
          </cell>
        </row>
        <row r="292">
          <cell r="X292">
            <v>855.52000000000021</v>
          </cell>
        </row>
        <row r="293">
          <cell r="X293">
            <v>0</v>
          </cell>
        </row>
        <row r="294">
          <cell r="X294">
            <v>56666.110769230778</v>
          </cell>
        </row>
        <row r="295">
          <cell r="X295">
            <v>0</v>
          </cell>
        </row>
        <row r="296">
          <cell r="X296">
            <v>0</v>
          </cell>
        </row>
        <row r="297">
          <cell r="X297">
            <v>0</v>
          </cell>
        </row>
        <row r="298">
          <cell r="X298">
            <v>0</v>
          </cell>
        </row>
        <row r="299">
          <cell r="X299">
            <v>0</v>
          </cell>
        </row>
        <row r="300">
          <cell r="X300">
            <v>0</v>
          </cell>
        </row>
        <row r="301">
          <cell r="X301">
            <v>0</v>
          </cell>
        </row>
        <row r="302">
          <cell r="X302">
            <v>0</v>
          </cell>
        </row>
        <row r="303">
          <cell r="X303">
            <v>0</v>
          </cell>
        </row>
        <row r="304">
          <cell r="X304">
            <v>0</v>
          </cell>
        </row>
        <row r="305">
          <cell r="X305">
            <v>0</v>
          </cell>
        </row>
      </sheetData>
      <sheetData sheetId="39" refreshError="1"/>
      <sheetData sheetId="40" refreshError="1"/>
      <sheetData sheetId="41" refreshError="1"/>
      <sheetData sheetId="42" refreshError="1"/>
      <sheetData sheetId="4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מאזן בוחן EUROPE"/>
      <sheetName val="פ.נ. EUROPE"/>
      <sheetName val="Tax UK"/>
      <sheetName val="העמסת הנה&quot;כ (UK)"/>
      <sheetName val="NEW TP EU"/>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מיסים שוטפים 2020"/>
      <sheetName val="Balances Sheet (Printing)"/>
      <sheetName val="כרטסת קו אשראי"/>
    </sheetNames>
    <sheetDataSet>
      <sheetData sheetId="0"/>
      <sheetData sheetId="1">
        <row r="363">
          <cell r="J363">
            <v>-10010.56</v>
          </cell>
        </row>
        <row r="444">
          <cell r="AD444">
            <v>-1301.0400000000002</v>
          </cell>
        </row>
        <row r="445">
          <cell r="AD445">
            <v>-509019.64999999997</v>
          </cell>
        </row>
        <row r="446">
          <cell r="AD446">
            <v>0</v>
          </cell>
        </row>
        <row r="447">
          <cell r="AD447">
            <v>0</v>
          </cell>
        </row>
        <row r="448">
          <cell r="AD448">
            <v>0</v>
          </cell>
        </row>
        <row r="449">
          <cell r="AD449">
            <v>0</v>
          </cell>
        </row>
        <row r="450">
          <cell r="AD450">
            <v>-12739.009999999998</v>
          </cell>
        </row>
        <row r="451">
          <cell r="AD451">
            <v>-275733.71000000002</v>
          </cell>
        </row>
        <row r="452">
          <cell r="AD452">
            <v>0</v>
          </cell>
        </row>
        <row r="453">
          <cell r="AD453">
            <v>-94.79000000000002</v>
          </cell>
        </row>
        <row r="454">
          <cell r="AD454">
            <v>-164856</v>
          </cell>
        </row>
        <row r="455">
          <cell r="AD455">
            <v>0</v>
          </cell>
        </row>
        <row r="456">
          <cell r="AD456">
            <v>-70708.25</v>
          </cell>
        </row>
        <row r="457">
          <cell r="AD457">
            <v>-360.61999999999989</v>
          </cell>
        </row>
        <row r="458">
          <cell r="AD458">
            <v>0</v>
          </cell>
        </row>
        <row r="459">
          <cell r="AD459">
            <v>-8434.9400000000023</v>
          </cell>
        </row>
        <row r="460">
          <cell r="AD460">
            <v>0</v>
          </cell>
        </row>
        <row r="461">
          <cell r="AD461">
            <v>2107.7100000000009</v>
          </cell>
        </row>
        <row r="462">
          <cell r="AD462">
            <v>0</v>
          </cell>
        </row>
        <row r="463">
          <cell r="AD463">
            <v>-1080</v>
          </cell>
        </row>
        <row r="464">
          <cell r="AD464">
            <v>0</v>
          </cell>
        </row>
        <row r="465">
          <cell r="AD465">
            <v>0</v>
          </cell>
        </row>
        <row r="466">
          <cell r="AD466">
            <v>-2453</v>
          </cell>
        </row>
        <row r="467">
          <cell r="AD467">
            <v>0</v>
          </cell>
        </row>
        <row r="468">
          <cell r="AD468">
            <v>0</v>
          </cell>
        </row>
        <row r="469">
          <cell r="AD469">
            <v>1301.0299999999997</v>
          </cell>
        </row>
        <row r="470">
          <cell r="AD470">
            <v>-251972.35999999987</v>
          </cell>
        </row>
        <row r="471">
          <cell r="AD471">
            <v>251972.35999999987</v>
          </cell>
        </row>
        <row r="472">
          <cell r="AD472">
            <v>0</v>
          </cell>
        </row>
        <row r="473">
          <cell r="AD473">
            <v>-8430932.6400000006</v>
          </cell>
        </row>
        <row r="474">
          <cell r="AD474">
            <v>-669190.78</v>
          </cell>
        </row>
        <row r="476">
          <cell r="AD476">
            <v>5092511.0488759233</v>
          </cell>
        </row>
        <row r="482">
          <cell r="AD482">
            <v>1086627.4700000002</v>
          </cell>
        </row>
        <row r="483">
          <cell r="AD483">
            <v>0</v>
          </cell>
        </row>
        <row r="484">
          <cell r="AD484">
            <v>16133.88</v>
          </cell>
        </row>
        <row r="485">
          <cell r="AD485">
            <v>11126.190000000002</v>
          </cell>
        </row>
        <row r="486">
          <cell r="AD486">
            <v>44678.260000000009</v>
          </cell>
        </row>
        <row r="487">
          <cell r="AD487">
            <v>0</v>
          </cell>
        </row>
        <row r="488">
          <cell r="AD488">
            <v>0</v>
          </cell>
        </row>
        <row r="489">
          <cell r="AD489">
            <v>233259.45000000007</v>
          </cell>
        </row>
        <row r="491">
          <cell r="AD491">
            <v>125863.65</v>
          </cell>
        </row>
        <row r="492">
          <cell r="AD492">
            <v>38832.730000000003</v>
          </cell>
        </row>
        <row r="493">
          <cell r="AD493">
            <v>0</v>
          </cell>
        </row>
        <row r="494">
          <cell r="AD494">
            <v>177414.52000000002</v>
          </cell>
        </row>
        <row r="495">
          <cell r="AD495">
            <v>1799.6400000000003</v>
          </cell>
        </row>
        <row r="496">
          <cell r="AD496">
            <v>11212.72</v>
          </cell>
        </row>
        <row r="497">
          <cell r="AD497">
            <v>23210.76</v>
          </cell>
        </row>
        <row r="498">
          <cell r="AD498">
            <v>0</v>
          </cell>
        </row>
        <row r="499">
          <cell r="AD499">
            <v>15062.85</v>
          </cell>
        </row>
        <row r="500">
          <cell r="AD500">
            <v>0</v>
          </cell>
        </row>
        <row r="501">
          <cell r="AD501">
            <v>1785222.120000001</v>
          </cell>
        </row>
        <row r="502">
          <cell r="AD502">
            <v>0</v>
          </cell>
        </row>
        <row r="503">
          <cell r="AD503">
            <v>0</v>
          </cell>
        </row>
        <row r="504">
          <cell r="AD504">
            <v>0</v>
          </cell>
        </row>
        <row r="505">
          <cell r="AD505">
            <v>0</v>
          </cell>
        </row>
        <row r="506">
          <cell r="AD506">
            <v>0</v>
          </cell>
        </row>
        <row r="507">
          <cell r="AD507">
            <v>0</v>
          </cell>
        </row>
        <row r="508">
          <cell r="AD508">
            <v>0</v>
          </cell>
        </row>
        <row r="509">
          <cell r="AD509">
            <v>37267.120000000003</v>
          </cell>
        </row>
        <row r="510">
          <cell r="AD510">
            <v>341.66999999999996</v>
          </cell>
        </row>
        <row r="511">
          <cell r="AD511">
            <v>117811.9</v>
          </cell>
        </row>
        <row r="512">
          <cell r="AD512">
            <v>0</v>
          </cell>
        </row>
        <row r="513">
          <cell r="AD513">
            <v>883.59000000000015</v>
          </cell>
        </row>
        <row r="515">
          <cell r="AD515">
            <v>0</v>
          </cell>
        </row>
        <row r="516">
          <cell r="AD516">
            <v>0</v>
          </cell>
        </row>
        <row r="517">
          <cell r="AD517">
            <v>0</v>
          </cell>
        </row>
        <row r="518">
          <cell r="AD518">
            <v>0</v>
          </cell>
        </row>
        <row r="519">
          <cell r="AD519">
            <v>0</v>
          </cell>
        </row>
        <row r="520">
          <cell r="AD520">
            <v>12132.759999999998</v>
          </cell>
        </row>
        <row r="521">
          <cell r="AD521">
            <v>0</v>
          </cell>
        </row>
        <row r="522">
          <cell r="AD522">
            <v>0</v>
          </cell>
        </row>
        <row r="525">
          <cell r="AD525">
            <v>2016.0700000000002</v>
          </cell>
        </row>
        <row r="526">
          <cell r="AD526">
            <v>0</v>
          </cell>
        </row>
        <row r="527">
          <cell r="AD527">
            <v>176846.97999999992</v>
          </cell>
        </row>
        <row r="528">
          <cell r="AD528">
            <v>0</v>
          </cell>
        </row>
        <row r="529">
          <cell r="AD529">
            <v>0</v>
          </cell>
        </row>
        <row r="530">
          <cell r="AD530">
            <v>0</v>
          </cell>
        </row>
        <row r="531">
          <cell r="AD531">
            <v>0</v>
          </cell>
        </row>
        <row r="532">
          <cell r="AD532">
            <v>0</v>
          </cell>
        </row>
        <row r="533">
          <cell r="AD533">
            <v>0</v>
          </cell>
        </row>
        <row r="534">
          <cell r="AD534">
            <v>0</v>
          </cell>
        </row>
        <row r="535">
          <cell r="AD535">
            <v>0</v>
          </cell>
        </row>
        <row r="536">
          <cell r="AD536">
            <v>0</v>
          </cell>
        </row>
        <row r="537">
          <cell r="AD537">
            <v>0</v>
          </cell>
        </row>
        <row r="538">
          <cell r="AD538">
            <v>227079.37727272726</v>
          </cell>
        </row>
        <row r="539">
          <cell r="AD539">
            <v>227079.37727272726</v>
          </cell>
        </row>
        <row r="540">
          <cell r="AD540">
            <v>0</v>
          </cell>
        </row>
        <row r="541">
          <cell r="AD541">
            <v>2189148.477272728</v>
          </cell>
        </row>
        <row r="542">
          <cell r="AD542">
            <v>0</v>
          </cell>
        </row>
        <row r="543">
          <cell r="AD543">
            <v>0</v>
          </cell>
        </row>
        <row r="544">
          <cell r="AD544">
            <v>56440.61</v>
          </cell>
        </row>
        <row r="545">
          <cell r="AD545">
            <v>0</v>
          </cell>
        </row>
        <row r="546">
          <cell r="AD546">
            <v>4697.95</v>
          </cell>
        </row>
        <row r="548">
          <cell r="AD548"/>
        </row>
        <row r="549">
          <cell r="AD549">
            <v>6999.9999999999982</v>
          </cell>
        </row>
        <row r="550">
          <cell r="AD550">
            <v>123982.00000000003</v>
          </cell>
        </row>
        <row r="551">
          <cell r="AD551">
            <v>0</v>
          </cell>
        </row>
        <row r="552">
          <cell r="AD552">
            <v>6835.84</v>
          </cell>
        </row>
        <row r="553">
          <cell r="AD553">
            <v>0</v>
          </cell>
        </row>
        <row r="554">
          <cell r="AD554">
            <v>0</v>
          </cell>
        </row>
        <row r="555">
          <cell r="AD555">
            <v>0</v>
          </cell>
        </row>
        <row r="556">
          <cell r="AD556">
            <v>45304.740000000005</v>
          </cell>
        </row>
        <row r="557">
          <cell r="AD557">
            <v>1453.9300000000003</v>
          </cell>
        </row>
        <row r="558">
          <cell r="AD558">
            <v>9704.4500000000007</v>
          </cell>
        </row>
        <row r="559">
          <cell r="AD559">
            <v>0</v>
          </cell>
        </row>
        <row r="560">
          <cell r="AD560">
            <v>271024.42999999988</v>
          </cell>
        </row>
        <row r="561">
          <cell r="AD561">
            <v>0</v>
          </cell>
        </row>
        <row r="562">
          <cell r="AD562">
            <v>0</v>
          </cell>
        </row>
        <row r="563">
          <cell r="AD563">
            <v>0</v>
          </cell>
        </row>
        <row r="564">
          <cell r="AD564">
            <v>0</v>
          </cell>
        </row>
        <row r="565">
          <cell r="AD565">
            <v>0</v>
          </cell>
        </row>
        <row r="566">
          <cell r="AD566">
            <v>0</v>
          </cell>
        </row>
        <row r="567">
          <cell r="AD567">
            <v>0</v>
          </cell>
        </row>
        <row r="568">
          <cell r="AD568">
            <v>8642.18</v>
          </cell>
        </row>
        <row r="569">
          <cell r="AD569">
            <v>609.99999999999955</v>
          </cell>
        </row>
        <row r="570">
          <cell r="AD570">
            <v>2124.08</v>
          </cell>
        </row>
        <row r="571">
          <cell r="AD571">
            <v>83</v>
          </cell>
        </row>
        <row r="572">
          <cell r="AD572">
            <v>0</v>
          </cell>
        </row>
        <row r="574">
          <cell r="AD574">
            <v>0</v>
          </cell>
        </row>
        <row r="575">
          <cell r="AD575">
            <v>0</v>
          </cell>
        </row>
        <row r="576">
          <cell r="AD576">
            <v>0</v>
          </cell>
        </row>
        <row r="577">
          <cell r="AD577">
            <v>0</v>
          </cell>
        </row>
        <row r="578">
          <cell r="AD578">
            <v>0</v>
          </cell>
        </row>
        <row r="580">
          <cell r="AD580">
            <v>0</v>
          </cell>
        </row>
        <row r="581">
          <cell r="AD581">
            <v>1913.6599999999994</v>
          </cell>
        </row>
        <row r="583">
          <cell r="AD583">
            <v>0</v>
          </cell>
        </row>
        <row r="584">
          <cell r="AD584">
            <v>0</v>
          </cell>
        </row>
        <row r="585">
          <cell r="AD585">
            <v>0</v>
          </cell>
        </row>
        <row r="586">
          <cell r="AD586">
            <v>0</v>
          </cell>
        </row>
        <row r="587">
          <cell r="AD587">
            <v>0</v>
          </cell>
        </row>
        <row r="588">
          <cell r="AD588">
            <v>0</v>
          </cell>
        </row>
        <row r="589">
          <cell r="AD589">
            <v>0</v>
          </cell>
        </row>
        <row r="590">
          <cell r="AD590">
            <v>0</v>
          </cell>
        </row>
        <row r="591">
          <cell r="AD591">
            <v>0</v>
          </cell>
        </row>
        <row r="592">
          <cell r="AD592">
            <v>0</v>
          </cell>
        </row>
        <row r="593">
          <cell r="AD593">
            <v>0</v>
          </cell>
        </row>
        <row r="594">
          <cell r="AD594">
            <v>0</v>
          </cell>
        </row>
        <row r="595">
          <cell r="AD595">
            <v>0</v>
          </cell>
        </row>
        <row r="596">
          <cell r="AD596">
            <v>0</v>
          </cell>
        </row>
        <row r="597">
          <cell r="AD597">
            <v>0</v>
          </cell>
        </row>
        <row r="598">
          <cell r="AD598">
            <v>1421.5599999999995</v>
          </cell>
        </row>
        <row r="599">
          <cell r="AD599">
            <v>16326.360000000004</v>
          </cell>
        </row>
        <row r="600">
          <cell r="AD600">
            <v>0</v>
          </cell>
        </row>
        <row r="603">
          <cell r="AD603">
            <v>2060.0499999999997</v>
          </cell>
        </row>
        <row r="604">
          <cell r="AD604">
            <v>170469.30000000002</v>
          </cell>
        </row>
        <row r="606">
          <cell r="AD606">
            <v>54680.57</v>
          </cell>
        </row>
        <row r="607">
          <cell r="AD607">
            <v>0</v>
          </cell>
        </row>
        <row r="608">
          <cell r="AD608">
            <v>281083.80108635098</v>
          </cell>
        </row>
        <row r="609">
          <cell r="AD609">
            <v>0</v>
          </cell>
        </row>
        <row r="610">
          <cell r="AD610">
            <v>539414.56108635105</v>
          </cell>
        </row>
        <row r="611">
          <cell r="AD611">
            <v>0</v>
          </cell>
        </row>
        <row r="612">
          <cell r="AD612">
            <v>0</v>
          </cell>
        </row>
        <row r="613">
          <cell r="AD613">
            <v>46211.662727272735</v>
          </cell>
        </row>
        <row r="614">
          <cell r="AD614">
            <v>856650.65381362336</v>
          </cell>
        </row>
        <row r="615">
          <cell r="AD615">
            <v>0</v>
          </cell>
        </row>
        <row r="616">
          <cell r="AD616">
            <v>0</v>
          </cell>
        </row>
        <row r="617">
          <cell r="AD617">
            <v>0</v>
          </cell>
        </row>
        <row r="618">
          <cell r="AD618">
            <v>0</v>
          </cell>
        </row>
        <row r="619">
          <cell r="AD619">
            <v>91964.91</v>
          </cell>
        </row>
        <row r="620">
          <cell r="AD620">
            <v>1598.08</v>
          </cell>
        </row>
        <row r="621">
          <cell r="AD621">
            <v>19507.559999999998</v>
          </cell>
        </row>
        <row r="622">
          <cell r="AD622">
            <v>0</v>
          </cell>
        </row>
        <row r="623">
          <cell r="AD623">
            <v>57222.71</v>
          </cell>
        </row>
        <row r="624">
          <cell r="AD624">
            <v>0</v>
          </cell>
        </row>
        <row r="625">
          <cell r="AD625">
            <v>12235.450000000004</v>
          </cell>
        </row>
        <row r="626">
          <cell r="AD626">
            <v>0</v>
          </cell>
        </row>
        <row r="627">
          <cell r="AD627">
            <v>-1104.33</v>
          </cell>
        </row>
        <row r="628">
          <cell r="AD628">
            <v>0</v>
          </cell>
        </row>
        <row r="629">
          <cell r="AD629">
            <v>68499.700000000012</v>
          </cell>
        </row>
        <row r="630">
          <cell r="AD630">
            <v>2662.7200000000003</v>
          </cell>
        </row>
        <row r="631">
          <cell r="AD631">
            <v>0</v>
          </cell>
        </row>
        <row r="632">
          <cell r="AD632">
            <v>0</v>
          </cell>
        </row>
        <row r="633">
          <cell r="AD633">
            <v>78643.37000000001</v>
          </cell>
        </row>
        <row r="634">
          <cell r="AD634">
            <v>2999.4</v>
          </cell>
        </row>
        <row r="635">
          <cell r="AD635">
            <v>3767.1200000000003</v>
          </cell>
        </row>
        <row r="636">
          <cell r="AD636">
            <v>11969.71</v>
          </cell>
        </row>
        <row r="637">
          <cell r="AD637">
            <v>0</v>
          </cell>
        </row>
        <row r="638">
          <cell r="AD638">
            <v>24377.19000000001</v>
          </cell>
        </row>
        <row r="639">
          <cell r="AD639">
            <v>61225.86</v>
          </cell>
        </row>
        <row r="640">
          <cell r="AD640">
            <v>0</v>
          </cell>
        </row>
        <row r="642">
          <cell r="AD642">
            <v>274206.53999999998</v>
          </cell>
        </row>
        <row r="643">
          <cell r="AD643">
            <v>0</v>
          </cell>
        </row>
        <row r="644">
          <cell r="AD644">
            <v>0</v>
          </cell>
        </row>
        <row r="645">
          <cell r="AD645">
            <v>709775.99000000011</v>
          </cell>
        </row>
        <row r="646">
          <cell r="AD646">
            <v>0</v>
          </cell>
        </row>
        <row r="647">
          <cell r="AD647">
            <v>-3720.7900000000081</v>
          </cell>
        </row>
        <row r="648">
          <cell r="AD648">
            <v>-3720.7900000000081</v>
          </cell>
        </row>
        <row r="649">
          <cell r="AD649">
            <v>0</v>
          </cell>
        </row>
        <row r="651">
          <cell r="AD651">
            <v>2575.2700000000004</v>
          </cell>
        </row>
        <row r="652">
          <cell r="AD652">
            <v>4961.2</v>
          </cell>
        </row>
        <row r="653">
          <cell r="AD653">
            <v>726.29</v>
          </cell>
        </row>
        <row r="654">
          <cell r="AD654">
            <v>0</v>
          </cell>
        </row>
        <row r="655">
          <cell r="AD655">
            <v>8262.76</v>
          </cell>
        </row>
        <row r="656">
          <cell r="AD656">
            <v>0</v>
          </cell>
        </row>
        <row r="657">
          <cell r="AD657">
            <v>37654.17</v>
          </cell>
        </row>
        <row r="658">
          <cell r="AD658">
            <v>8084.6700000000019</v>
          </cell>
        </row>
        <row r="659">
          <cell r="AD659">
            <v>8392.4000000000015</v>
          </cell>
        </row>
        <row r="660">
          <cell r="AD660">
            <v>5132.5</v>
          </cell>
        </row>
        <row r="661">
          <cell r="AD661">
            <v>123.46999999999997</v>
          </cell>
        </row>
        <row r="662">
          <cell r="AD662">
            <v>1114.5200000000004</v>
          </cell>
        </row>
        <row r="663">
          <cell r="AD663">
            <v>444.61</v>
          </cell>
        </row>
        <row r="664">
          <cell r="AD664">
            <v>27239.78</v>
          </cell>
        </row>
        <row r="665">
          <cell r="AD665">
            <v>134.09000000000003</v>
          </cell>
        </row>
        <row r="666">
          <cell r="AD666">
            <v>161.42999999999984</v>
          </cell>
        </row>
        <row r="667">
          <cell r="AD667">
            <v>3023.0700000000006</v>
          </cell>
        </row>
        <row r="668">
          <cell r="AD668">
            <v>7.9099999999999966</v>
          </cell>
        </row>
        <row r="669">
          <cell r="AD669">
            <v>0</v>
          </cell>
        </row>
        <row r="670">
          <cell r="AD670">
            <v>-1067.99</v>
          </cell>
        </row>
        <row r="671">
          <cell r="AD671">
            <v>7854.840000000002</v>
          </cell>
        </row>
        <row r="672">
          <cell r="AD672">
            <v>0</v>
          </cell>
        </row>
        <row r="673">
          <cell r="AD673">
            <v>1433.82</v>
          </cell>
        </row>
        <row r="674">
          <cell r="AD674">
            <v>0</v>
          </cell>
        </row>
        <row r="675">
          <cell r="AD675">
            <v>0</v>
          </cell>
        </row>
        <row r="676">
          <cell r="AD676">
            <v>1569371.9300000002</v>
          </cell>
        </row>
        <row r="677">
          <cell r="AD677">
            <v>104732.44999999998</v>
          </cell>
        </row>
        <row r="678">
          <cell r="AD678">
            <v>89008.700000000012</v>
          </cell>
        </row>
        <row r="679">
          <cell r="AD679">
            <v>123354.82999999999</v>
          </cell>
        </row>
        <row r="680">
          <cell r="AD680">
            <v>7350.33</v>
          </cell>
        </row>
        <row r="681">
          <cell r="AD681">
            <v>86080.979999999981</v>
          </cell>
        </row>
        <row r="682">
          <cell r="AD682">
            <v>6397.1200000000099</v>
          </cell>
        </row>
        <row r="683">
          <cell r="AD683">
            <v>9028.5</v>
          </cell>
        </row>
        <row r="684">
          <cell r="AD684">
            <v>0</v>
          </cell>
        </row>
        <row r="685">
          <cell r="AD685">
            <v>0</v>
          </cell>
        </row>
        <row r="686">
          <cell r="AD686">
            <v>0</v>
          </cell>
        </row>
        <row r="687">
          <cell r="AD687">
            <v>0</v>
          </cell>
        </row>
        <row r="688">
          <cell r="AD688">
            <v>0</v>
          </cell>
        </row>
        <row r="689">
          <cell r="AD689">
            <v>28375.219999999994</v>
          </cell>
        </row>
        <row r="690">
          <cell r="AD690">
            <v>13919.619999999999</v>
          </cell>
        </row>
        <row r="691">
          <cell r="AD691">
            <v>10.5</v>
          </cell>
        </row>
        <row r="692">
          <cell r="AD692">
            <v>25089.379999999997</v>
          </cell>
        </row>
        <row r="693">
          <cell r="AD693">
            <v>26244.75</v>
          </cell>
        </row>
        <row r="694">
          <cell r="AD694">
            <v>11556.990000000002</v>
          </cell>
        </row>
        <row r="695">
          <cell r="AD695">
            <v>0</v>
          </cell>
        </row>
        <row r="696">
          <cell r="AD696">
            <v>-28375.219999999994</v>
          </cell>
        </row>
        <row r="697">
          <cell r="AD697">
            <v>-13919.619999999999</v>
          </cell>
        </row>
        <row r="698">
          <cell r="AD698">
            <v>-10.5</v>
          </cell>
        </row>
        <row r="699">
          <cell r="AD699">
            <v>-25089.379999999997</v>
          </cell>
        </row>
        <row r="700">
          <cell r="AD700">
            <v>-26244.75</v>
          </cell>
        </row>
        <row r="701">
          <cell r="AD701">
            <v>-11556.990000000002</v>
          </cell>
        </row>
        <row r="702">
          <cell r="AD702">
            <v>0</v>
          </cell>
        </row>
        <row r="703">
          <cell r="AD703">
            <v>0</v>
          </cell>
        </row>
        <row r="704">
          <cell r="AD704">
            <v>-1995377.62</v>
          </cell>
        </row>
        <row r="705">
          <cell r="AD705">
            <v>0</v>
          </cell>
        </row>
        <row r="706">
          <cell r="AD706">
            <v>0</v>
          </cell>
        </row>
        <row r="707">
          <cell r="AD707">
            <v>0</v>
          </cell>
        </row>
        <row r="708">
          <cell r="AD708">
            <v>0</v>
          </cell>
        </row>
        <row r="709">
          <cell r="AD709">
            <v>0</v>
          </cell>
        </row>
        <row r="710">
          <cell r="AD710">
            <v>0</v>
          </cell>
        </row>
        <row r="711">
          <cell r="AD711">
            <v>842.60000000000014</v>
          </cell>
        </row>
        <row r="712">
          <cell r="AD712">
            <v>0</v>
          </cell>
        </row>
        <row r="713">
          <cell r="AD713">
            <v>0</v>
          </cell>
        </row>
        <row r="714">
          <cell r="AD714">
            <v>0</v>
          </cell>
        </row>
        <row r="715">
          <cell r="AD715">
            <v>0</v>
          </cell>
        </row>
        <row r="716">
          <cell r="AD716">
            <v>0</v>
          </cell>
        </row>
        <row r="717">
          <cell r="AD717">
            <v>272.05999999999949</v>
          </cell>
        </row>
        <row r="718">
          <cell r="AD718">
            <v>3298.1500000000005</v>
          </cell>
        </row>
        <row r="719">
          <cell r="AD719">
            <v>0</v>
          </cell>
        </row>
        <row r="720">
          <cell r="AD720">
            <v>6598.68</v>
          </cell>
        </row>
        <row r="721">
          <cell r="AD721">
            <v>0</v>
          </cell>
        </row>
        <row r="722">
          <cell r="AD722">
            <v>0</v>
          </cell>
        </row>
        <row r="723">
          <cell r="AD723">
            <v>0</v>
          </cell>
        </row>
        <row r="724">
          <cell r="AD724">
            <v>0</v>
          </cell>
        </row>
        <row r="725">
          <cell r="AD725">
            <v>0</v>
          </cell>
        </row>
        <row r="726">
          <cell r="AD726">
            <v>0</v>
          </cell>
        </row>
        <row r="727">
          <cell r="AD727">
            <v>0</v>
          </cell>
        </row>
        <row r="728">
          <cell r="AD728">
            <v>0</v>
          </cell>
        </row>
        <row r="729">
          <cell r="AD729">
            <v>0</v>
          </cell>
        </row>
        <row r="731">
          <cell r="AD731">
            <v>2259.21</v>
          </cell>
        </row>
        <row r="732">
          <cell r="AD732">
            <v>0</v>
          </cell>
        </row>
        <row r="733">
          <cell r="AD733">
            <v>31036.200000000004</v>
          </cell>
        </row>
        <row r="734">
          <cell r="AD734">
            <v>4812.5</v>
          </cell>
        </row>
        <row r="735">
          <cell r="AD735">
            <v>616.13000000000011</v>
          </cell>
        </row>
        <row r="736">
          <cell r="AD736">
            <v>0</v>
          </cell>
        </row>
        <row r="737">
          <cell r="AD737">
            <v>0</v>
          </cell>
        </row>
        <row r="738">
          <cell r="AD738">
            <v>0</v>
          </cell>
        </row>
        <row r="739">
          <cell r="AD739">
            <v>0</v>
          </cell>
        </row>
        <row r="740">
          <cell r="AD740">
            <v>149416.03999999887</v>
          </cell>
        </row>
        <row r="741">
          <cell r="AD741">
            <v>0</v>
          </cell>
        </row>
        <row r="742">
          <cell r="AD742">
            <v>0</v>
          </cell>
        </row>
        <row r="743">
          <cell r="AD743">
            <v>-366643.95090909087</v>
          </cell>
        </row>
        <row r="744">
          <cell r="AD744">
            <v>-366643.95090909087</v>
          </cell>
        </row>
        <row r="745">
          <cell r="AD745">
            <v>0</v>
          </cell>
        </row>
        <row r="746">
          <cell r="AD746">
            <v>0</v>
          </cell>
        </row>
        <row r="747">
          <cell r="AD747">
            <v>0</v>
          </cell>
        </row>
        <row r="748">
          <cell r="AD748">
            <v>0</v>
          </cell>
        </row>
        <row r="749">
          <cell r="AD749">
            <v>27050.989999999998</v>
          </cell>
        </row>
        <row r="750">
          <cell r="AD750">
            <v>27503.06</v>
          </cell>
        </row>
        <row r="751">
          <cell r="AD751">
            <v>6586.65</v>
          </cell>
        </row>
        <row r="752">
          <cell r="AD752">
            <v>0</v>
          </cell>
        </row>
        <row r="753">
          <cell r="AD753">
            <v>0</v>
          </cell>
        </row>
        <row r="754">
          <cell r="AD754">
            <v>61140.700000000004</v>
          </cell>
        </row>
        <row r="755">
          <cell r="AD755">
            <v>0</v>
          </cell>
        </row>
        <row r="756">
          <cell r="AD756">
            <v>0</v>
          </cell>
        </row>
        <row r="757">
          <cell r="AD757">
            <v>0</v>
          </cell>
        </row>
        <row r="758">
          <cell r="AD758">
            <v>0</v>
          </cell>
        </row>
        <row r="759">
          <cell r="AD759">
            <v>558230.74909090844</v>
          </cell>
        </row>
        <row r="760">
          <cell r="AD760">
            <v>0</v>
          </cell>
        </row>
        <row r="761">
          <cell r="AD761">
            <v>0</v>
          </cell>
        </row>
        <row r="762">
          <cell r="AD762">
            <v>0</v>
          </cell>
        </row>
        <row r="763">
          <cell r="AD763">
            <v>0</v>
          </cell>
        </row>
        <row r="764">
          <cell r="AD764">
            <v>148936.71000000002</v>
          </cell>
        </row>
        <row r="765">
          <cell r="AD765">
            <v>0</v>
          </cell>
        </row>
        <row r="766">
          <cell r="AD766">
            <v>14024.810000000001</v>
          </cell>
        </row>
        <row r="767">
          <cell r="AD767">
            <v>0</v>
          </cell>
        </row>
        <row r="769">
          <cell r="AD769">
            <v>21059.32</v>
          </cell>
        </row>
        <row r="770">
          <cell r="AD770">
            <v>-13208.47</v>
          </cell>
        </row>
        <row r="771">
          <cell r="AD771">
            <v>0</v>
          </cell>
        </row>
        <row r="772">
          <cell r="AD772">
            <v>0</v>
          </cell>
        </row>
        <row r="773">
          <cell r="AD773">
            <v>0</v>
          </cell>
        </row>
        <row r="774">
          <cell r="AD774">
            <v>16706.960000000006</v>
          </cell>
        </row>
        <row r="775">
          <cell r="AD775">
            <v>3410.41</v>
          </cell>
        </row>
        <row r="776">
          <cell r="AD776">
            <v>118312.04</v>
          </cell>
        </row>
        <row r="778">
          <cell r="AD778">
            <v>0</v>
          </cell>
        </row>
        <row r="779">
          <cell r="AD779">
            <v>0</v>
          </cell>
        </row>
        <row r="780">
          <cell r="AD780">
            <v>26084.58</v>
          </cell>
        </row>
        <row r="781">
          <cell r="AD781">
            <v>0</v>
          </cell>
        </row>
        <row r="782">
          <cell r="AD782">
            <v>0</v>
          </cell>
        </row>
        <row r="783">
          <cell r="AD783">
            <v>194.39</v>
          </cell>
        </row>
        <row r="787">
          <cell r="AD787">
            <v>0</v>
          </cell>
        </row>
        <row r="788">
          <cell r="AD788">
            <v>12866</v>
          </cell>
        </row>
        <row r="789">
          <cell r="AD789">
            <v>6195</v>
          </cell>
        </row>
        <row r="790">
          <cell r="AD790">
            <v>1218</v>
          </cell>
        </row>
        <row r="791">
          <cell r="AD791">
            <v>9000</v>
          </cell>
        </row>
        <row r="792">
          <cell r="AD792">
            <v>2550</v>
          </cell>
        </row>
        <row r="793">
          <cell r="AD793">
            <v>7000</v>
          </cell>
        </row>
        <row r="794">
          <cell r="AD794">
            <v>5330.5099999999984</v>
          </cell>
        </row>
        <row r="795">
          <cell r="AD795">
            <v>9833</v>
          </cell>
        </row>
        <row r="796">
          <cell r="AD796">
            <v>5859.17</v>
          </cell>
        </row>
        <row r="797">
          <cell r="AD797">
            <v>966</v>
          </cell>
        </row>
        <row r="800">
          <cell r="AD800">
            <v>0</v>
          </cell>
        </row>
        <row r="801">
          <cell r="AD801">
            <v>1920.3700000000008</v>
          </cell>
        </row>
        <row r="802">
          <cell r="AD802">
            <v>0</v>
          </cell>
        </row>
        <row r="803">
          <cell r="AD803">
            <v>34586.089999999997</v>
          </cell>
        </row>
        <row r="804">
          <cell r="AD804">
            <v>11293.19</v>
          </cell>
        </row>
        <row r="805">
          <cell r="AD805">
            <v>19541.97</v>
          </cell>
        </row>
        <row r="807">
          <cell r="AD807">
            <v>9977.81</v>
          </cell>
        </row>
        <row r="808">
          <cell r="AD808">
            <v>7049.53</v>
          </cell>
        </row>
        <row r="809">
          <cell r="AD809">
            <v>0</v>
          </cell>
        </row>
        <row r="810">
          <cell r="AD810">
            <v>436813.45000000007</v>
          </cell>
        </row>
        <row r="811">
          <cell r="AD811">
            <v>0</v>
          </cell>
        </row>
        <row r="812">
          <cell r="AD812">
            <v>0</v>
          </cell>
        </row>
        <row r="813">
          <cell r="AD813">
            <v>0</v>
          </cell>
        </row>
        <row r="814">
          <cell r="AD814">
            <v>0</v>
          </cell>
        </row>
        <row r="815">
          <cell r="AD815">
            <v>0</v>
          </cell>
        </row>
        <row r="816">
          <cell r="AD816">
            <v>0</v>
          </cell>
        </row>
        <row r="817">
          <cell r="AD817">
            <v>0</v>
          </cell>
        </row>
        <row r="818">
          <cell r="AD818">
            <v>0</v>
          </cell>
        </row>
        <row r="819">
          <cell r="AD819">
            <v>0</v>
          </cell>
        </row>
        <row r="820">
          <cell r="AD820">
            <v>0</v>
          </cell>
        </row>
        <row r="821">
          <cell r="AD821">
            <v>0</v>
          </cell>
        </row>
        <row r="822">
          <cell r="AD822">
            <v>0</v>
          </cell>
        </row>
        <row r="823">
          <cell r="AD823">
            <v>0</v>
          </cell>
        </row>
        <row r="824">
          <cell r="AD824">
            <v>0</v>
          </cell>
        </row>
        <row r="825">
          <cell r="AD825">
            <v>0</v>
          </cell>
        </row>
        <row r="826">
          <cell r="AD826">
            <v>6455.63</v>
          </cell>
        </row>
        <row r="827">
          <cell r="AD827">
            <v>35422.449999999997</v>
          </cell>
        </row>
        <row r="828">
          <cell r="AD828">
            <v>5542.8099999999995</v>
          </cell>
        </row>
        <row r="829">
          <cell r="AD829">
            <v>12642.010000000002</v>
          </cell>
        </row>
        <row r="830">
          <cell r="AD830">
            <v>4374.2900000000009</v>
          </cell>
        </row>
        <row r="831">
          <cell r="AD831">
            <v>173.25</v>
          </cell>
        </row>
        <row r="832">
          <cell r="AD832">
            <v>15000</v>
          </cell>
        </row>
        <row r="833">
          <cell r="AD833">
            <v>0</v>
          </cell>
        </row>
        <row r="834">
          <cell r="AD834">
            <v>0</v>
          </cell>
        </row>
        <row r="835">
          <cell r="AD835">
            <v>500</v>
          </cell>
        </row>
        <row r="836">
          <cell r="AD836">
            <v>0</v>
          </cell>
        </row>
        <row r="837">
          <cell r="AD837">
            <v>0</v>
          </cell>
        </row>
        <row r="838">
          <cell r="AD838">
            <v>0</v>
          </cell>
        </row>
        <row r="839">
          <cell r="AD839">
            <v>0</v>
          </cell>
        </row>
        <row r="840">
          <cell r="AD840">
            <v>0</v>
          </cell>
        </row>
        <row r="841">
          <cell r="AD841">
            <v>0</v>
          </cell>
        </row>
        <row r="842">
          <cell r="AD842">
            <v>0</v>
          </cell>
        </row>
        <row r="843">
          <cell r="AD843">
            <v>0</v>
          </cell>
        </row>
        <row r="844">
          <cell r="AD844">
            <v>0</v>
          </cell>
        </row>
        <row r="845">
          <cell r="AD845">
            <v>0</v>
          </cell>
        </row>
        <row r="846">
          <cell r="AD846">
            <v>0</v>
          </cell>
        </row>
        <row r="847">
          <cell r="AD847">
            <v>0</v>
          </cell>
        </row>
        <row r="850">
          <cell r="AD850">
            <v>0</v>
          </cell>
        </row>
        <row r="851">
          <cell r="AD851">
            <v>1716.04</v>
          </cell>
        </row>
        <row r="852">
          <cell r="AD852">
            <v>17710.160000000003</v>
          </cell>
        </row>
        <row r="853">
          <cell r="AD853">
            <v>2640.61</v>
          </cell>
        </row>
        <row r="854">
          <cell r="AD854">
            <v>0</v>
          </cell>
        </row>
        <row r="855">
          <cell r="AD855">
            <v>114</v>
          </cell>
        </row>
        <row r="856">
          <cell r="AD856">
            <v>103</v>
          </cell>
        </row>
        <row r="857">
          <cell r="AD857">
            <v>50</v>
          </cell>
        </row>
        <row r="858">
          <cell r="AD858">
            <v>778.65999999998894</v>
          </cell>
        </row>
        <row r="859">
          <cell r="AD859">
            <v>83</v>
          </cell>
        </row>
        <row r="860">
          <cell r="AD860">
            <v>0</v>
          </cell>
        </row>
        <row r="861">
          <cell r="AD861">
            <v>0</v>
          </cell>
        </row>
        <row r="862">
          <cell r="AD862">
            <v>0</v>
          </cell>
        </row>
        <row r="863">
          <cell r="AD863">
            <v>0</v>
          </cell>
        </row>
        <row r="864">
          <cell r="AD864">
            <v>0</v>
          </cell>
        </row>
        <row r="865">
          <cell r="AD865">
            <v>0</v>
          </cell>
        </row>
        <row r="866">
          <cell r="AD866">
            <v>0</v>
          </cell>
        </row>
        <row r="867">
          <cell r="AD867">
            <v>0</v>
          </cell>
        </row>
        <row r="868">
          <cell r="AD868">
            <v>103305.90999999997</v>
          </cell>
        </row>
        <row r="869">
          <cell r="AD869">
            <v>0</v>
          </cell>
        </row>
        <row r="870">
          <cell r="AD870">
            <v>0</v>
          </cell>
        </row>
        <row r="871">
          <cell r="AD871">
            <v>0</v>
          </cell>
        </row>
        <row r="872">
          <cell r="AD872">
            <v>0</v>
          </cell>
        </row>
        <row r="873">
          <cell r="AD873">
            <v>0</v>
          </cell>
        </row>
        <row r="874">
          <cell r="AD874">
            <v>0</v>
          </cell>
        </row>
        <row r="875">
          <cell r="AD875">
            <v>93352.910909090904</v>
          </cell>
        </row>
        <row r="876">
          <cell r="AD876">
            <v>93352.910909090904</v>
          </cell>
        </row>
        <row r="877">
          <cell r="AD877">
            <v>0</v>
          </cell>
        </row>
        <row r="878">
          <cell r="AD878">
            <v>633472.27090909076</v>
          </cell>
        </row>
        <row r="879">
          <cell r="AD879">
            <v>0</v>
          </cell>
        </row>
        <row r="880">
          <cell r="AD880">
            <v>0</v>
          </cell>
        </row>
        <row r="881">
          <cell r="AD881">
            <v>0</v>
          </cell>
        </row>
        <row r="882">
          <cell r="AD882">
            <v>0</v>
          </cell>
        </row>
        <row r="883">
          <cell r="AD883">
            <v>0</v>
          </cell>
        </row>
        <row r="884">
          <cell r="AD884">
            <v>0</v>
          </cell>
        </row>
        <row r="885">
          <cell r="AD885">
            <v>0</v>
          </cell>
        </row>
        <row r="886">
          <cell r="AD886">
            <v>0</v>
          </cell>
        </row>
        <row r="887">
          <cell r="AD887">
            <v>0</v>
          </cell>
        </row>
        <row r="888">
          <cell r="AD888">
            <v>0</v>
          </cell>
        </row>
        <row r="889">
          <cell r="AD889">
            <v>0</v>
          </cell>
        </row>
        <row r="890">
          <cell r="AD890">
            <v>-440.95999999999958</v>
          </cell>
        </row>
        <row r="891">
          <cell r="AD891">
            <v>1017036.0751656709</v>
          </cell>
        </row>
        <row r="892">
          <cell r="AD892">
            <v>-19.68</v>
          </cell>
        </row>
        <row r="893">
          <cell r="AD893">
            <v>0</v>
          </cell>
        </row>
        <row r="894">
          <cell r="AD894">
            <v>5328.2200000000012</v>
          </cell>
        </row>
        <row r="895">
          <cell r="AD895">
            <v>-53.11</v>
          </cell>
        </row>
        <row r="896">
          <cell r="AD896">
            <v>9165.6</v>
          </cell>
        </row>
      </sheetData>
      <sheetData sheetId="2"/>
      <sheetData sheetId="3"/>
      <sheetData sheetId="4"/>
      <sheetData sheetId="5"/>
      <sheetData sheetId="6">
        <row r="54">
          <cell r="C54">
            <v>0.13800000000000001</v>
          </cell>
        </row>
      </sheetData>
      <sheetData sheetId="7"/>
      <sheetData sheetId="8">
        <row r="11">
          <cell r="G11">
            <v>89958</v>
          </cell>
        </row>
      </sheetData>
      <sheetData sheetId="9"/>
      <sheetData sheetId="10">
        <row r="11">
          <cell r="N11">
            <v>17036645.68</v>
          </cell>
        </row>
      </sheetData>
      <sheetData sheetId="11"/>
      <sheetData sheetId="12"/>
      <sheetData sheetId="13"/>
      <sheetData sheetId="14"/>
      <sheetData sheetId="15"/>
      <sheetData sheetId="16"/>
      <sheetData sheetId="17">
        <row r="334">
          <cell r="AE334">
            <v>0</v>
          </cell>
        </row>
        <row r="335">
          <cell r="AE335">
            <v>-231466.59999999998</v>
          </cell>
        </row>
        <row r="336">
          <cell r="AE336">
            <v>0</v>
          </cell>
        </row>
        <row r="337">
          <cell r="AE337">
            <v>0</v>
          </cell>
        </row>
        <row r="338">
          <cell r="AE338">
            <v>0</v>
          </cell>
        </row>
        <row r="339">
          <cell r="AE339">
            <v>0</v>
          </cell>
        </row>
        <row r="340">
          <cell r="AE340">
            <v>-8240.3299999999981</v>
          </cell>
        </row>
        <row r="341">
          <cell r="AE341">
            <v>7138.77</v>
          </cell>
        </row>
        <row r="342">
          <cell r="AE342">
            <v>-5091.1000000000004</v>
          </cell>
        </row>
        <row r="343">
          <cell r="AE343">
            <v>0</v>
          </cell>
        </row>
        <row r="344">
          <cell r="AE344">
            <v>-98332.329999999987</v>
          </cell>
        </row>
        <row r="345">
          <cell r="AE345">
            <v>-591811.44999999995</v>
          </cell>
        </row>
        <row r="346">
          <cell r="AE346">
            <v>-75258.3</v>
          </cell>
        </row>
        <row r="347">
          <cell r="AE347">
            <v>0</v>
          </cell>
        </row>
        <row r="348">
          <cell r="AE348">
            <v>-5023.93</v>
          </cell>
        </row>
        <row r="349">
          <cell r="AE349">
            <v>-12859.01</v>
          </cell>
        </row>
        <row r="350">
          <cell r="AE350">
            <v>0</v>
          </cell>
        </row>
        <row r="351">
          <cell r="AE351">
            <v>-78294.97</v>
          </cell>
        </row>
        <row r="352">
          <cell r="AE352">
            <v>-123351.37000000001</v>
          </cell>
        </row>
        <row r="353">
          <cell r="AE353">
            <v>34283.21</v>
          </cell>
        </row>
        <row r="354">
          <cell r="AE354">
            <v>0</v>
          </cell>
        </row>
        <row r="355">
          <cell r="AE355">
            <v>-1155547.0099999998</v>
          </cell>
        </row>
        <row r="356">
          <cell r="AE356">
            <v>-138953.97</v>
          </cell>
        </row>
        <row r="357">
          <cell r="AE357">
            <v>-82797.66</v>
          </cell>
        </row>
        <row r="358">
          <cell r="AE358">
            <v>-15347.200000000004</v>
          </cell>
        </row>
        <row r="359">
          <cell r="AE359">
            <v>-53679.569999999992</v>
          </cell>
        </row>
        <row r="360">
          <cell r="AE360">
            <v>-7452.7599999999984</v>
          </cell>
        </row>
        <row r="361">
          <cell r="AE361">
            <v>0</v>
          </cell>
        </row>
        <row r="362">
          <cell r="AE362">
            <v>0</v>
          </cell>
        </row>
        <row r="363">
          <cell r="AE363">
            <v>0</v>
          </cell>
        </row>
        <row r="364">
          <cell r="AE364">
            <v>0</v>
          </cell>
        </row>
        <row r="369">
          <cell r="AE369">
            <v>21285.259999999995</v>
          </cell>
        </row>
        <row r="370">
          <cell r="AE370">
            <v>0</v>
          </cell>
        </row>
        <row r="371">
          <cell r="AE371">
            <v>965.07999999999993</v>
          </cell>
        </row>
        <row r="372">
          <cell r="AE372">
            <v>319.02999999999997</v>
          </cell>
        </row>
        <row r="373">
          <cell r="AE373">
            <v>0</v>
          </cell>
        </row>
        <row r="374">
          <cell r="AE374">
            <v>0</v>
          </cell>
        </row>
        <row r="375">
          <cell r="AE375">
            <v>0</v>
          </cell>
        </row>
        <row r="376">
          <cell r="AE376">
            <v>0</v>
          </cell>
        </row>
        <row r="377">
          <cell r="AE377">
            <v>0</v>
          </cell>
        </row>
        <row r="378">
          <cell r="AE378">
            <v>0</v>
          </cell>
        </row>
        <row r="379">
          <cell r="AE379">
            <v>0</v>
          </cell>
        </row>
        <row r="380">
          <cell r="AE380">
            <v>0</v>
          </cell>
        </row>
        <row r="381">
          <cell r="AE381">
            <v>0</v>
          </cell>
        </row>
        <row r="382">
          <cell r="AE382">
            <v>34044.03</v>
          </cell>
        </row>
        <row r="383">
          <cell r="AE383">
            <v>0</v>
          </cell>
        </row>
        <row r="384">
          <cell r="AE384">
            <v>0</v>
          </cell>
        </row>
        <row r="385">
          <cell r="AE385">
            <v>886.56</v>
          </cell>
        </row>
        <row r="386">
          <cell r="AE386">
            <v>0</v>
          </cell>
        </row>
        <row r="387">
          <cell r="AE387">
            <v>2169413.5656752968</v>
          </cell>
        </row>
        <row r="388">
          <cell r="AE388">
            <v>0</v>
          </cell>
        </row>
        <row r="389">
          <cell r="AE389">
            <v>2226913.5256752968</v>
          </cell>
        </row>
        <row r="390">
          <cell r="AE390">
            <v>0</v>
          </cell>
        </row>
        <row r="391">
          <cell r="AE391">
            <v>0</v>
          </cell>
        </row>
        <row r="392">
          <cell r="AE392">
            <v>0</v>
          </cell>
        </row>
        <row r="393">
          <cell r="AE393">
            <v>0</v>
          </cell>
        </row>
        <row r="394">
          <cell r="AE394">
            <v>0</v>
          </cell>
        </row>
        <row r="395">
          <cell r="AE395">
            <v>0</v>
          </cell>
        </row>
        <row r="396">
          <cell r="AE396">
            <v>0</v>
          </cell>
        </row>
        <row r="397">
          <cell r="AE397">
            <v>0</v>
          </cell>
        </row>
        <row r="398">
          <cell r="AE398">
            <v>0</v>
          </cell>
        </row>
        <row r="399">
          <cell r="AE399">
            <v>0</v>
          </cell>
        </row>
        <row r="400">
          <cell r="AE400">
            <v>0</v>
          </cell>
        </row>
        <row r="401">
          <cell r="AE401">
            <v>0</v>
          </cell>
        </row>
        <row r="402">
          <cell r="AE402">
            <v>2034.9961382113815</v>
          </cell>
        </row>
        <row r="403">
          <cell r="AE403">
            <v>128.14000000000004</v>
          </cell>
        </row>
        <row r="404">
          <cell r="AE404">
            <v>0</v>
          </cell>
        </row>
        <row r="405">
          <cell r="AE405">
            <v>0</v>
          </cell>
        </row>
        <row r="406">
          <cell r="AE406">
            <v>2163.1361382113819</v>
          </cell>
        </row>
        <row r="407">
          <cell r="AE407">
            <v>0</v>
          </cell>
        </row>
        <row r="408">
          <cell r="AE408">
            <v>0</v>
          </cell>
        </row>
        <row r="409">
          <cell r="AE409">
            <v>135.67000000000002</v>
          </cell>
        </row>
        <row r="410">
          <cell r="AE410">
            <v>515.91999999999996</v>
          </cell>
        </row>
        <row r="411">
          <cell r="AE411">
            <v>0</v>
          </cell>
        </row>
        <row r="412">
          <cell r="AE412">
            <v>0</v>
          </cell>
        </row>
        <row r="413">
          <cell r="AE413">
            <v>0</v>
          </cell>
        </row>
        <row r="414">
          <cell r="AE414">
            <v>0</v>
          </cell>
        </row>
        <row r="415">
          <cell r="AE415">
            <v>0</v>
          </cell>
        </row>
        <row r="416">
          <cell r="AE416">
            <v>0</v>
          </cell>
        </row>
        <row r="417">
          <cell r="AE417">
            <v>0</v>
          </cell>
        </row>
        <row r="418">
          <cell r="AE418">
            <v>651.59</v>
          </cell>
        </row>
        <row r="419">
          <cell r="AE419">
            <v>0</v>
          </cell>
        </row>
        <row r="420">
          <cell r="AE420">
            <v>0</v>
          </cell>
        </row>
        <row r="421">
          <cell r="AE421">
            <v>2814.726138211382</v>
          </cell>
        </row>
        <row r="422">
          <cell r="AE422">
            <v>0</v>
          </cell>
        </row>
        <row r="423">
          <cell r="AE423">
            <v>0</v>
          </cell>
        </row>
        <row r="424">
          <cell r="AE424">
            <v>0</v>
          </cell>
        </row>
        <row r="425">
          <cell r="AE425">
            <v>0</v>
          </cell>
        </row>
        <row r="426">
          <cell r="AE426">
            <v>4612.9800000000014</v>
          </cell>
        </row>
        <row r="427">
          <cell r="AE427">
            <v>0</v>
          </cell>
        </row>
        <row r="428">
          <cell r="AE428">
            <v>699</v>
          </cell>
        </row>
        <row r="430">
          <cell r="AE430">
            <v>42.5</v>
          </cell>
        </row>
        <row r="431">
          <cell r="AE431">
            <v>21264.119999999995</v>
          </cell>
        </row>
        <row r="432">
          <cell r="AE432">
            <v>0</v>
          </cell>
        </row>
        <row r="433">
          <cell r="AE433">
            <v>0</v>
          </cell>
        </row>
        <row r="434">
          <cell r="AE434">
            <v>26618.599999999991</v>
          </cell>
        </row>
        <row r="435">
          <cell r="AE435">
            <v>0</v>
          </cell>
        </row>
        <row r="436">
          <cell r="AE436">
            <v>0</v>
          </cell>
        </row>
        <row r="437">
          <cell r="AE437">
            <v>0</v>
          </cell>
        </row>
        <row r="438">
          <cell r="AE438">
            <v>0</v>
          </cell>
        </row>
        <row r="439">
          <cell r="AE439">
            <v>0</v>
          </cell>
        </row>
        <row r="440">
          <cell r="AE440">
            <v>0</v>
          </cell>
        </row>
        <row r="441">
          <cell r="AE441">
            <v>0</v>
          </cell>
        </row>
        <row r="442">
          <cell r="AE442">
            <v>51940.279999999984</v>
          </cell>
        </row>
        <row r="443">
          <cell r="AE443">
            <v>8502.3799999999992</v>
          </cell>
        </row>
        <row r="444">
          <cell r="AE444">
            <v>122841.70000000001</v>
          </cell>
        </row>
        <row r="445">
          <cell r="AE445">
            <v>15066.010000000002</v>
          </cell>
        </row>
        <row r="446">
          <cell r="AE446">
            <v>1515.6500000000087</v>
          </cell>
        </row>
        <row r="447">
          <cell r="AE447">
            <v>0</v>
          </cell>
        </row>
        <row r="448">
          <cell r="AE448">
            <v>10931.470000000001</v>
          </cell>
        </row>
        <row r="449">
          <cell r="AE449">
            <v>0</v>
          </cell>
        </row>
        <row r="450">
          <cell r="AE450">
            <v>0</v>
          </cell>
        </row>
        <row r="451">
          <cell r="AE451">
            <v>78476.91</v>
          </cell>
        </row>
        <row r="452">
          <cell r="AE452">
            <v>3498.0499999999993</v>
          </cell>
        </row>
        <row r="453">
          <cell r="AE453">
            <v>0</v>
          </cell>
        </row>
        <row r="454">
          <cell r="AE454">
            <v>2187.2900000000081</v>
          </cell>
        </row>
        <row r="455">
          <cell r="AE455">
            <v>15143.689999999999</v>
          </cell>
        </row>
        <row r="456">
          <cell r="AE456">
            <v>0</v>
          </cell>
        </row>
        <row r="457">
          <cell r="AE457">
            <v>0</v>
          </cell>
        </row>
        <row r="458">
          <cell r="AE458">
            <v>0</v>
          </cell>
        </row>
        <row r="459">
          <cell r="AE459">
            <v>0</v>
          </cell>
        </row>
        <row r="460">
          <cell r="AE460">
            <v>0</v>
          </cell>
        </row>
        <row r="461">
          <cell r="AE461">
            <v>15087.84</v>
          </cell>
        </row>
        <row r="462">
          <cell r="AE462">
            <v>0</v>
          </cell>
        </row>
        <row r="463">
          <cell r="AE463"/>
        </row>
        <row r="464">
          <cell r="AE464">
            <v>22184.63</v>
          </cell>
        </row>
        <row r="465">
          <cell r="AE465">
            <v>26275.32</v>
          </cell>
        </row>
        <row r="466">
          <cell r="AE466">
            <v>14270.38</v>
          </cell>
        </row>
        <row r="467">
          <cell r="AE467">
            <v>0</v>
          </cell>
        </row>
        <row r="468">
          <cell r="AE468">
            <v>0</v>
          </cell>
        </row>
        <row r="470">
          <cell r="AE470">
            <v>975.65999999999985</v>
          </cell>
        </row>
        <row r="471">
          <cell r="AE471">
            <v>444.98999999999978</v>
          </cell>
        </row>
        <row r="472">
          <cell r="AE472">
            <v>583.84</v>
          </cell>
        </row>
        <row r="473">
          <cell r="AE473">
            <v>0</v>
          </cell>
        </row>
        <row r="475">
          <cell r="AE475">
            <v>0</v>
          </cell>
        </row>
        <row r="476">
          <cell r="AE476">
            <v>0</v>
          </cell>
        </row>
        <row r="477">
          <cell r="AE477">
            <v>0</v>
          </cell>
        </row>
        <row r="478">
          <cell r="AE478">
            <v>0</v>
          </cell>
        </row>
        <row r="479">
          <cell r="AE479">
            <v>0</v>
          </cell>
        </row>
        <row r="480">
          <cell r="AE480">
            <v>0</v>
          </cell>
        </row>
        <row r="481">
          <cell r="AE481">
            <v>318840.06999999989</v>
          </cell>
        </row>
        <row r="482">
          <cell r="AE482">
            <v>0</v>
          </cell>
        </row>
        <row r="483">
          <cell r="AE483">
            <v>0</v>
          </cell>
        </row>
        <row r="484">
          <cell r="AE484">
            <v>0</v>
          </cell>
        </row>
        <row r="485">
          <cell r="AE485">
            <v>345458.66999999987</v>
          </cell>
        </row>
        <row r="486">
          <cell r="AE486">
            <v>0</v>
          </cell>
        </row>
        <row r="487">
          <cell r="AE487">
            <v>0</v>
          </cell>
        </row>
        <row r="488">
          <cell r="AE488">
            <v>0</v>
          </cell>
        </row>
        <row r="489">
          <cell r="AE489">
            <v>0</v>
          </cell>
        </row>
        <row r="491">
          <cell r="AE491">
            <v>0</v>
          </cell>
        </row>
        <row r="492">
          <cell r="AE492">
            <v>0</v>
          </cell>
        </row>
        <row r="493">
          <cell r="AE493">
            <v>0</v>
          </cell>
        </row>
        <row r="494">
          <cell r="AE494">
            <v>0</v>
          </cell>
        </row>
        <row r="495">
          <cell r="AE495">
            <v>0</v>
          </cell>
        </row>
        <row r="496">
          <cell r="AE496">
            <v>0</v>
          </cell>
        </row>
        <row r="497">
          <cell r="AE497">
            <v>846.55000000000007</v>
          </cell>
        </row>
        <row r="498">
          <cell r="AE498">
            <v>0</v>
          </cell>
        </row>
        <row r="499">
          <cell r="AE499">
            <v>-153711.12850128079</v>
          </cell>
        </row>
      </sheetData>
      <sheetData sheetId="18"/>
      <sheetData sheetId="19"/>
      <sheetData sheetId="20"/>
      <sheetData sheetId="21"/>
      <sheetData sheetId="22"/>
      <sheetData sheetId="23">
        <row r="151">
          <cell r="AE151">
            <v>-124069.75999999999</v>
          </cell>
        </row>
      </sheetData>
      <sheetData sheetId="24"/>
      <sheetData sheetId="25"/>
      <sheetData sheetId="26"/>
      <sheetData sheetId="27"/>
      <sheetData sheetId="28">
        <row r="424">
          <cell r="AB424">
            <v>-608425.88</v>
          </cell>
        </row>
        <row r="425">
          <cell r="AB425">
            <v>0</v>
          </cell>
        </row>
        <row r="426">
          <cell r="AB426">
            <v>0</v>
          </cell>
        </row>
        <row r="427">
          <cell r="AB427">
            <v>-347964</v>
          </cell>
        </row>
        <row r="428">
          <cell r="AB428">
            <v>0</v>
          </cell>
        </row>
        <row r="429">
          <cell r="AB429">
            <v>95796</v>
          </cell>
        </row>
        <row r="430">
          <cell r="AB430">
            <v>0</v>
          </cell>
        </row>
        <row r="431">
          <cell r="AB431">
            <v>-1016896.4999999998</v>
          </cell>
        </row>
        <row r="432">
          <cell r="AB432">
            <v>-7067.68</v>
          </cell>
        </row>
        <row r="433">
          <cell r="AB433">
            <v>-13046.380000000005</v>
          </cell>
        </row>
        <row r="434">
          <cell r="AB434">
            <v>0</v>
          </cell>
        </row>
        <row r="435">
          <cell r="AB435">
            <v>-2550.37</v>
          </cell>
        </row>
        <row r="436">
          <cell r="AB436">
            <v>-68622.709999999992</v>
          </cell>
        </row>
        <row r="437">
          <cell r="AB437">
            <v>-3082.4599999999996</v>
          </cell>
        </row>
        <row r="439">
          <cell r="AB439">
            <v>0</v>
          </cell>
        </row>
        <row r="440">
          <cell r="AB440">
            <v>0</v>
          </cell>
        </row>
        <row r="441">
          <cell r="AB441">
            <v>-1500</v>
          </cell>
        </row>
        <row r="442">
          <cell r="AB442">
            <v>0</v>
          </cell>
        </row>
        <row r="443">
          <cell r="AB443">
            <v>-277012</v>
          </cell>
        </row>
        <row r="444">
          <cell r="AB444">
            <v>-30394.14</v>
          </cell>
        </row>
        <row r="445">
          <cell r="AB445">
            <v>0</v>
          </cell>
        </row>
        <row r="446">
          <cell r="AB446">
            <v>-267170.13</v>
          </cell>
        </row>
        <row r="447">
          <cell r="AB447">
            <v>-613141.90999999992</v>
          </cell>
        </row>
        <row r="448">
          <cell r="AB448">
            <v>-11671.310000000001</v>
          </cell>
        </row>
        <row r="449">
          <cell r="AB449">
            <v>-229713.22000000003</v>
          </cell>
        </row>
        <row r="450">
          <cell r="AB450">
            <v>-892.8599999999999</v>
          </cell>
        </row>
        <row r="456">
          <cell r="AB456">
            <v>59552.5</v>
          </cell>
        </row>
        <row r="457">
          <cell r="AB457">
            <v>6326.85</v>
          </cell>
        </row>
        <row r="458">
          <cell r="AB458">
            <v>-160</v>
          </cell>
        </row>
        <row r="459">
          <cell r="AB459">
            <v>0</v>
          </cell>
        </row>
        <row r="460">
          <cell r="AB460">
            <v>3092</v>
          </cell>
        </row>
        <row r="461">
          <cell r="AB461">
            <v>1313</v>
          </cell>
        </row>
        <row r="462">
          <cell r="AB462">
            <v>4528.7800000000007</v>
          </cell>
        </row>
        <row r="463">
          <cell r="AB463">
            <v>483.82999999999993</v>
          </cell>
        </row>
        <row r="464">
          <cell r="AB464">
            <v>72.669999999999987</v>
          </cell>
        </row>
        <row r="465">
          <cell r="AB465">
            <v>0</v>
          </cell>
        </row>
        <row r="466">
          <cell r="AB466">
            <v>0</v>
          </cell>
        </row>
        <row r="467">
          <cell r="AB467">
            <v>867.87</v>
          </cell>
        </row>
        <row r="468">
          <cell r="AB468">
            <v>11678.470000000001</v>
          </cell>
        </row>
        <row r="469">
          <cell r="AB469">
            <v>214.07</v>
          </cell>
        </row>
        <row r="470">
          <cell r="AB470">
            <v>646.05999999999995</v>
          </cell>
        </row>
        <row r="471">
          <cell r="AB471">
            <v>0</v>
          </cell>
        </row>
        <row r="472">
          <cell r="AB472">
            <v>0</v>
          </cell>
        </row>
        <row r="473">
          <cell r="AB473">
            <v>0</v>
          </cell>
        </row>
        <row r="474">
          <cell r="AB474">
            <v>5604.93</v>
          </cell>
        </row>
        <row r="475">
          <cell r="AB475">
            <v>0</v>
          </cell>
        </row>
        <row r="476">
          <cell r="AB476">
            <v>0</v>
          </cell>
        </row>
        <row r="477">
          <cell r="AB477">
            <v>0</v>
          </cell>
        </row>
        <row r="478">
          <cell r="AB478">
            <v>0</v>
          </cell>
        </row>
        <row r="479">
          <cell r="AB479">
            <v>0</v>
          </cell>
        </row>
        <row r="480">
          <cell r="AB480">
            <v>0</v>
          </cell>
        </row>
        <row r="481">
          <cell r="AB481">
            <v>0</v>
          </cell>
        </row>
        <row r="482">
          <cell r="AB482">
            <v>9499.0693103448266</v>
          </cell>
        </row>
        <row r="483">
          <cell r="AB483">
            <v>0</v>
          </cell>
        </row>
        <row r="484">
          <cell r="AB484">
            <v>103041.02999999997</v>
          </cell>
        </row>
        <row r="485">
          <cell r="AB485">
            <v>-40</v>
          </cell>
        </row>
        <row r="486">
          <cell r="AB486">
            <v>9193</v>
          </cell>
        </row>
        <row r="487">
          <cell r="AB487">
            <v>987.99999999999955</v>
          </cell>
        </row>
        <row r="488">
          <cell r="AB488">
            <v>2336.54</v>
          </cell>
        </row>
        <row r="489">
          <cell r="AB489">
            <v>204.46000000000004</v>
          </cell>
        </row>
        <row r="490">
          <cell r="AB490">
            <v>8031.23</v>
          </cell>
        </row>
        <row r="491">
          <cell r="AB491">
            <v>0</v>
          </cell>
        </row>
        <row r="492">
          <cell r="AB492">
            <v>566.34999999999991</v>
          </cell>
        </row>
        <row r="493">
          <cell r="AB493">
            <v>0</v>
          </cell>
        </row>
        <row r="494">
          <cell r="AB494">
            <v>7862.760000000002</v>
          </cell>
        </row>
        <row r="495">
          <cell r="AB495">
            <v>66200</v>
          </cell>
        </row>
        <row r="496">
          <cell r="AB496">
            <v>0</v>
          </cell>
        </row>
        <row r="497">
          <cell r="AB497">
            <v>0</v>
          </cell>
        </row>
        <row r="498">
          <cell r="AB498">
            <v>0</v>
          </cell>
        </row>
        <row r="499">
          <cell r="AB499">
            <v>0</v>
          </cell>
        </row>
        <row r="500">
          <cell r="AB500">
            <v>0</v>
          </cell>
        </row>
        <row r="501">
          <cell r="AB501">
            <v>0</v>
          </cell>
        </row>
        <row r="502">
          <cell r="AB502">
            <v>0</v>
          </cell>
        </row>
        <row r="503">
          <cell r="AB503">
            <v>71.75</v>
          </cell>
        </row>
        <row r="504">
          <cell r="AB504">
            <v>0</v>
          </cell>
        </row>
        <row r="505">
          <cell r="AB505">
            <v>5134.8975862068964</v>
          </cell>
        </row>
        <row r="506">
          <cell r="AB506">
            <v>0</v>
          </cell>
        </row>
        <row r="507">
          <cell r="AB507">
            <v>10126.93</v>
          </cell>
        </row>
        <row r="508">
          <cell r="AB508">
            <v>99.300000000000011</v>
          </cell>
        </row>
        <row r="509">
          <cell r="AB509">
            <v>28.810000000000002</v>
          </cell>
        </row>
        <row r="510">
          <cell r="AB510">
            <v>215.67999999999995</v>
          </cell>
        </row>
        <row r="511">
          <cell r="AB511">
            <v>775.07999999999993</v>
          </cell>
        </row>
        <row r="512">
          <cell r="AB512">
            <v>0</v>
          </cell>
        </row>
        <row r="513">
          <cell r="AB513">
            <v>0</v>
          </cell>
        </row>
        <row r="514">
          <cell r="AB514">
            <v>17255.839999999997</v>
          </cell>
        </row>
        <row r="515">
          <cell r="AB515">
            <v>-2250</v>
          </cell>
        </row>
        <row r="516">
          <cell r="AB516">
            <v>-160</v>
          </cell>
        </row>
        <row r="517">
          <cell r="AB517">
            <v>0</v>
          </cell>
        </row>
        <row r="518">
          <cell r="AB518">
            <v>0</v>
          </cell>
        </row>
        <row r="519">
          <cell r="AB519">
            <v>14019.999999999998</v>
          </cell>
        </row>
        <row r="520">
          <cell r="AB520">
            <v>12.240000000000002</v>
          </cell>
        </row>
        <row r="521">
          <cell r="AB521">
            <v>0</v>
          </cell>
        </row>
        <row r="522">
          <cell r="AB522">
            <v>1427.6599999999999</v>
          </cell>
        </row>
        <row r="523">
          <cell r="AB523">
            <v>1940.4699999999998</v>
          </cell>
        </row>
        <row r="524">
          <cell r="AB524">
            <v>108.52000000000001</v>
          </cell>
        </row>
        <row r="525">
          <cell r="AB525">
            <v>0</v>
          </cell>
        </row>
        <row r="526">
          <cell r="AB526">
            <v>0</v>
          </cell>
        </row>
        <row r="527">
          <cell r="AB527">
            <v>0</v>
          </cell>
        </row>
        <row r="528">
          <cell r="AB528">
            <v>0</v>
          </cell>
        </row>
        <row r="529">
          <cell r="AB529">
            <v>0</v>
          </cell>
        </row>
        <row r="530">
          <cell r="AB530">
            <v>0</v>
          </cell>
        </row>
        <row r="531">
          <cell r="AB531">
            <v>0</v>
          </cell>
        </row>
        <row r="532">
          <cell r="AB532">
            <v>0</v>
          </cell>
        </row>
        <row r="533">
          <cell r="AB533">
            <v>0</v>
          </cell>
        </row>
        <row r="534">
          <cell r="AB534">
            <v>0</v>
          </cell>
        </row>
        <row r="535">
          <cell r="AB535">
            <v>0</v>
          </cell>
        </row>
        <row r="536">
          <cell r="AB536">
            <v>165.19000000000005</v>
          </cell>
        </row>
        <row r="537">
          <cell r="AB537">
            <v>0</v>
          </cell>
        </row>
        <row r="538">
          <cell r="AB538">
            <v>0</v>
          </cell>
        </row>
        <row r="539">
          <cell r="AB539">
            <v>1662916.09375</v>
          </cell>
        </row>
        <row r="540">
          <cell r="AB540">
            <v>0</v>
          </cell>
        </row>
        <row r="541">
          <cell r="AB541">
            <v>1711.6358620689653</v>
          </cell>
        </row>
        <row r="542">
          <cell r="AB542">
            <v>2015703.566508621</v>
          </cell>
        </row>
        <row r="543">
          <cell r="AB543">
            <v>0</v>
          </cell>
        </row>
        <row r="544">
          <cell r="AB544">
            <v>0</v>
          </cell>
        </row>
        <row r="545">
          <cell r="AB545">
            <v>0</v>
          </cell>
        </row>
        <row r="546">
          <cell r="AB546">
            <v>46583.340000000011</v>
          </cell>
        </row>
        <row r="547">
          <cell r="AB547">
            <v>2084</v>
          </cell>
        </row>
        <row r="548">
          <cell r="AB548">
            <v>-300</v>
          </cell>
        </row>
        <row r="549">
          <cell r="AB549">
            <v>101.39999999999998</v>
          </cell>
        </row>
        <row r="550">
          <cell r="AB550">
            <v>118.29999999999995</v>
          </cell>
        </row>
        <row r="551">
          <cell r="AB551">
            <v>0</v>
          </cell>
        </row>
        <row r="552">
          <cell r="AB552">
            <v>810.51</v>
          </cell>
        </row>
        <row r="553">
          <cell r="AB553">
            <v>2371.3099999999995</v>
          </cell>
        </row>
        <row r="554">
          <cell r="AB554">
            <v>250.90999999999997</v>
          </cell>
        </row>
        <row r="555">
          <cell r="AB555">
            <v>33166.870000000003</v>
          </cell>
        </row>
        <row r="556">
          <cell r="AB556">
            <v>2824.9999999999995</v>
          </cell>
        </row>
        <row r="557">
          <cell r="AB557">
            <v>0</v>
          </cell>
        </row>
        <row r="558">
          <cell r="AB558">
            <v>920.06999999999994</v>
          </cell>
        </row>
        <row r="559">
          <cell r="AB559">
            <v>-539.97</v>
          </cell>
        </row>
        <row r="560">
          <cell r="AB560">
            <v>3073.45</v>
          </cell>
        </row>
        <row r="561">
          <cell r="AB561">
            <v>4439.3099999999995</v>
          </cell>
        </row>
        <row r="562">
          <cell r="AB562">
            <v>0</v>
          </cell>
        </row>
        <row r="563">
          <cell r="AB563">
            <v>0</v>
          </cell>
        </row>
        <row r="564">
          <cell r="AB564">
            <v>0</v>
          </cell>
        </row>
        <row r="565">
          <cell r="AB565">
            <v>694</v>
          </cell>
        </row>
        <row r="566">
          <cell r="AB566">
            <v>426.29999999999927</v>
          </cell>
        </row>
        <row r="567">
          <cell r="AB567">
            <v>0</v>
          </cell>
        </row>
        <row r="568">
          <cell r="AB568">
            <v>5550.67</v>
          </cell>
        </row>
        <row r="569">
          <cell r="AB569">
            <v>0</v>
          </cell>
        </row>
        <row r="570">
          <cell r="AB570">
            <v>0</v>
          </cell>
        </row>
        <row r="571">
          <cell r="AB571">
            <v>0</v>
          </cell>
        </row>
        <row r="572">
          <cell r="AB572">
            <v>0</v>
          </cell>
        </row>
        <row r="573">
          <cell r="AB573">
            <v>0</v>
          </cell>
        </row>
        <row r="574">
          <cell r="AB574">
            <v>0</v>
          </cell>
        </row>
        <row r="575">
          <cell r="AB575">
            <v>0</v>
          </cell>
        </row>
        <row r="576">
          <cell r="AB576">
            <v>0</v>
          </cell>
        </row>
        <row r="577">
          <cell r="AB577">
            <v>0</v>
          </cell>
        </row>
        <row r="578">
          <cell r="AB578">
            <v>0</v>
          </cell>
        </row>
        <row r="579">
          <cell r="AB579">
            <v>0</v>
          </cell>
        </row>
        <row r="580">
          <cell r="AB580">
            <v>0</v>
          </cell>
        </row>
        <row r="581">
          <cell r="AB581">
            <v>0</v>
          </cell>
        </row>
        <row r="582">
          <cell r="AB582">
            <v>3614.2437931034483</v>
          </cell>
        </row>
        <row r="583">
          <cell r="AB583">
            <v>106189.71379310352</v>
          </cell>
        </row>
        <row r="584">
          <cell r="AB584">
            <v>0</v>
          </cell>
        </row>
        <row r="585">
          <cell r="AB585">
            <v>0</v>
          </cell>
        </row>
        <row r="586">
          <cell r="AB586">
            <v>0</v>
          </cell>
        </row>
        <row r="587">
          <cell r="AB587">
            <v>5833.34</v>
          </cell>
        </row>
        <row r="588">
          <cell r="AB588">
            <v>-1416</v>
          </cell>
        </row>
        <row r="589">
          <cell r="AB589">
            <v>0</v>
          </cell>
        </row>
        <row r="590">
          <cell r="AB590">
            <v>13.409999999999997</v>
          </cell>
        </row>
        <row r="591">
          <cell r="AB591">
            <v>0</v>
          </cell>
        </row>
        <row r="592">
          <cell r="AB592">
            <v>0</v>
          </cell>
        </row>
        <row r="593">
          <cell r="AB593">
            <v>503.01</v>
          </cell>
        </row>
        <row r="594">
          <cell r="AB594">
            <v>33.870000000000005</v>
          </cell>
        </row>
        <row r="595">
          <cell r="AB595">
            <v>626.22</v>
          </cell>
        </row>
        <row r="596">
          <cell r="AB596">
            <v>0</v>
          </cell>
        </row>
        <row r="597">
          <cell r="AB597">
            <v>0</v>
          </cell>
        </row>
        <row r="598">
          <cell r="AB598">
            <v>7083.3399999999983</v>
          </cell>
        </row>
        <row r="599">
          <cell r="AB599">
            <v>0</v>
          </cell>
        </row>
        <row r="600">
          <cell r="AB600">
            <v>762.46000000000026</v>
          </cell>
        </row>
        <row r="601">
          <cell r="AB601">
            <v>503.01</v>
          </cell>
        </row>
        <row r="602">
          <cell r="AB602">
            <v>33.870000000000005</v>
          </cell>
        </row>
        <row r="603">
          <cell r="AB603">
            <v>16.299999999999997</v>
          </cell>
        </row>
        <row r="604">
          <cell r="AB604">
            <v>0</v>
          </cell>
        </row>
        <row r="605">
          <cell r="AB605">
            <v>0</v>
          </cell>
        </row>
        <row r="606">
          <cell r="AB606">
            <v>11395.84</v>
          </cell>
        </row>
        <row r="607">
          <cell r="AB607">
            <v>0</v>
          </cell>
        </row>
        <row r="608">
          <cell r="AB608">
            <v>625</v>
          </cell>
        </row>
        <row r="609">
          <cell r="AB609">
            <v>969.31</v>
          </cell>
        </row>
        <row r="610">
          <cell r="AB610">
            <v>503.01</v>
          </cell>
        </row>
        <row r="611">
          <cell r="AB611">
            <v>33.870000000000005</v>
          </cell>
        </row>
        <row r="612">
          <cell r="AB612">
            <v>16.079999999999998</v>
          </cell>
        </row>
        <row r="613">
          <cell r="AB613">
            <v>0</v>
          </cell>
        </row>
        <row r="614">
          <cell r="AB614">
            <v>0</v>
          </cell>
        </row>
        <row r="615">
          <cell r="AB615">
            <v>0</v>
          </cell>
        </row>
        <row r="616">
          <cell r="AB616">
            <v>0</v>
          </cell>
        </row>
        <row r="617">
          <cell r="AB617">
            <v>400.98</v>
          </cell>
        </row>
        <row r="618">
          <cell r="AB618">
            <v>0</v>
          </cell>
        </row>
        <row r="619">
          <cell r="AB619">
            <v>27936.92</v>
          </cell>
        </row>
        <row r="620">
          <cell r="AB620">
            <v>0</v>
          </cell>
        </row>
        <row r="621">
          <cell r="AB621">
            <v>22414</v>
          </cell>
        </row>
        <row r="622">
          <cell r="AB622">
            <v>22414</v>
          </cell>
        </row>
        <row r="623">
          <cell r="AB623">
            <v>0</v>
          </cell>
        </row>
        <row r="624">
          <cell r="AB624">
            <v>0</v>
          </cell>
        </row>
        <row r="625">
          <cell r="AB625">
            <v>3732.9000000000015</v>
          </cell>
        </row>
        <row r="626">
          <cell r="AB626">
            <v>0</v>
          </cell>
        </row>
        <row r="627">
          <cell r="AB627">
            <v>17.919999999999998</v>
          </cell>
        </row>
        <row r="628">
          <cell r="AB628">
            <v>0</v>
          </cell>
        </row>
        <row r="629">
          <cell r="AB629">
            <v>176</v>
          </cell>
        </row>
        <row r="630">
          <cell r="AB630">
            <v>0</v>
          </cell>
        </row>
        <row r="631">
          <cell r="AB631">
            <v>3926.8199999999997</v>
          </cell>
        </row>
        <row r="632">
          <cell r="AB632">
            <v>0</v>
          </cell>
        </row>
        <row r="633">
          <cell r="AB633">
            <v>0</v>
          </cell>
        </row>
        <row r="634">
          <cell r="AB634">
            <v>0</v>
          </cell>
        </row>
        <row r="635">
          <cell r="AB635">
            <v>0</v>
          </cell>
        </row>
        <row r="636">
          <cell r="AB636">
            <v>0</v>
          </cell>
        </row>
        <row r="637">
          <cell r="AB637">
            <v>0</v>
          </cell>
        </row>
        <row r="638">
          <cell r="AB638">
            <v>0</v>
          </cell>
        </row>
        <row r="639">
          <cell r="AB639">
            <v>0</v>
          </cell>
        </row>
        <row r="640">
          <cell r="AB640">
            <v>0</v>
          </cell>
        </row>
        <row r="641">
          <cell r="AB641">
            <v>0</v>
          </cell>
        </row>
        <row r="642">
          <cell r="AB642">
            <v>0</v>
          </cell>
        </row>
        <row r="643">
          <cell r="AB643">
            <v>0</v>
          </cell>
        </row>
        <row r="644">
          <cell r="AB644">
            <v>0</v>
          </cell>
        </row>
        <row r="645">
          <cell r="AB645">
            <v>0</v>
          </cell>
        </row>
        <row r="646">
          <cell r="AB646">
            <v>338.95</v>
          </cell>
        </row>
        <row r="647">
          <cell r="AB647">
            <v>0</v>
          </cell>
        </row>
        <row r="648">
          <cell r="AB648">
            <v>0</v>
          </cell>
        </row>
        <row r="649">
          <cell r="AB649">
            <v>0</v>
          </cell>
        </row>
        <row r="650">
          <cell r="AB650">
            <v>0</v>
          </cell>
        </row>
        <row r="651">
          <cell r="AB651">
            <v>0</v>
          </cell>
        </row>
        <row r="652">
          <cell r="AB652">
            <v>0</v>
          </cell>
        </row>
        <row r="653">
          <cell r="AB653">
            <v>0</v>
          </cell>
        </row>
        <row r="654">
          <cell r="AB654">
            <v>12913.539999999997</v>
          </cell>
        </row>
        <row r="655">
          <cell r="AB655">
            <v>8887.77</v>
          </cell>
        </row>
        <row r="656">
          <cell r="AB656">
            <v>5014.0300000000007</v>
          </cell>
        </row>
        <row r="657">
          <cell r="AB657">
            <v>206.19</v>
          </cell>
        </row>
        <row r="658">
          <cell r="AB658">
            <v>0</v>
          </cell>
        </row>
        <row r="659">
          <cell r="AB659">
            <v>0</v>
          </cell>
        </row>
        <row r="660">
          <cell r="AB660">
            <v>0</v>
          </cell>
        </row>
        <row r="661">
          <cell r="AB661">
            <v>0</v>
          </cell>
        </row>
        <row r="662">
          <cell r="AB662">
            <v>1154.56</v>
          </cell>
        </row>
        <row r="663">
          <cell r="AB663">
            <v>0</v>
          </cell>
        </row>
        <row r="664">
          <cell r="AB664">
            <v>515</v>
          </cell>
        </row>
        <row r="665">
          <cell r="AB665">
            <v>31.84</v>
          </cell>
        </row>
        <row r="666">
          <cell r="AB666">
            <v>320.13</v>
          </cell>
        </row>
        <row r="667">
          <cell r="AB667">
            <v>-79.6400000000001</v>
          </cell>
        </row>
        <row r="668">
          <cell r="AB668">
            <v>0</v>
          </cell>
        </row>
        <row r="669">
          <cell r="AB669">
            <v>0</v>
          </cell>
        </row>
        <row r="670">
          <cell r="AB670">
            <v>1573.2299999999998</v>
          </cell>
        </row>
        <row r="671">
          <cell r="AB671">
            <v>934.42</v>
          </cell>
        </row>
        <row r="672">
          <cell r="AB672">
            <v>390.50000000000011</v>
          </cell>
        </row>
        <row r="674">
          <cell r="AB674">
            <v>0</v>
          </cell>
        </row>
        <row r="675">
          <cell r="AB675">
            <v>885.35000000000036</v>
          </cell>
        </row>
        <row r="676">
          <cell r="AB676">
            <v>489.90999999999997</v>
          </cell>
        </row>
        <row r="677">
          <cell r="AB677">
            <v>1609.4</v>
          </cell>
        </row>
        <row r="679">
          <cell r="AB679">
            <v>0</v>
          </cell>
        </row>
        <row r="680">
          <cell r="AB680">
            <v>35185.179999999978</v>
          </cell>
        </row>
        <row r="681">
          <cell r="AB681">
            <v>0</v>
          </cell>
        </row>
        <row r="682">
          <cell r="AB682">
            <v>0</v>
          </cell>
        </row>
        <row r="683">
          <cell r="AB683">
            <v>0</v>
          </cell>
        </row>
        <row r="684">
          <cell r="AB684">
            <v>-93965.63</v>
          </cell>
        </row>
        <row r="685">
          <cell r="AB685">
            <v>0</v>
          </cell>
        </row>
        <row r="686">
          <cell r="AB686">
            <v>-43328.908275862079</v>
          </cell>
        </row>
        <row r="687">
          <cell r="AB687">
            <v>0</v>
          </cell>
        </row>
        <row r="688">
          <cell r="AB688">
            <v>46134.011724137876</v>
          </cell>
        </row>
        <row r="689">
          <cell r="AB689">
            <v>0</v>
          </cell>
        </row>
        <row r="690">
          <cell r="AB690">
            <v>0</v>
          </cell>
        </row>
        <row r="691">
          <cell r="AB691">
            <v>0</v>
          </cell>
        </row>
        <row r="692">
          <cell r="AB692">
            <v>0</v>
          </cell>
        </row>
        <row r="693">
          <cell r="AB693">
            <v>35266.67</v>
          </cell>
        </row>
        <row r="695">
          <cell r="AB695">
            <v>-6336</v>
          </cell>
        </row>
        <row r="696">
          <cell r="AB696">
            <v>3975.17</v>
          </cell>
        </row>
        <row r="697">
          <cell r="AB697">
            <v>105.98999999999995</v>
          </cell>
        </row>
        <row r="698">
          <cell r="AB698">
            <v>0</v>
          </cell>
        </row>
        <row r="699">
          <cell r="AB699">
            <v>0</v>
          </cell>
        </row>
        <row r="700">
          <cell r="AB700">
            <v>7038.52</v>
          </cell>
        </row>
        <row r="701">
          <cell r="AB701">
            <v>135.48000000000002</v>
          </cell>
        </row>
        <row r="702">
          <cell r="AB702">
            <v>0</v>
          </cell>
        </row>
        <row r="703">
          <cell r="AB703">
            <v>2356.54</v>
          </cell>
        </row>
        <row r="704">
          <cell r="AB704">
            <v>1254.54</v>
          </cell>
        </row>
        <row r="705">
          <cell r="AB705">
            <v>0</v>
          </cell>
        </row>
        <row r="706">
          <cell r="AB706">
            <v>2014.64</v>
          </cell>
        </row>
        <row r="707">
          <cell r="AB707">
            <v>0</v>
          </cell>
        </row>
        <row r="708">
          <cell r="AB708">
            <v>0</v>
          </cell>
        </row>
        <row r="709">
          <cell r="AB709">
            <v>0</v>
          </cell>
        </row>
        <row r="710">
          <cell r="AB710">
            <v>0</v>
          </cell>
        </row>
        <row r="711">
          <cell r="AB711">
            <v>0</v>
          </cell>
        </row>
        <row r="712">
          <cell r="AB712">
            <v>0</v>
          </cell>
        </row>
        <row r="713">
          <cell r="AB713">
            <v>0</v>
          </cell>
        </row>
        <row r="714">
          <cell r="AB714">
            <v>0</v>
          </cell>
        </row>
        <row r="715">
          <cell r="AB715">
            <v>0</v>
          </cell>
        </row>
        <row r="717">
          <cell r="AB717">
            <v>438.21000000000015</v>
          </cell>
        </row>
        <row r="718">
          <cell r="AB718">
            <v>7130</v>
          </cell>
        </row>
        <row r="719">
          <cell r="AB719">
            <v>4185.2599999999984</v>
          </cell>
        </row>
        <row r="720">
          <cell r="AB720">
            <v>0</v>
          </cell>
        </row>
        <row r="721">
          <cell r="AB721">
            <v>0</v>
          </cell>
        </row>
        <row r="722">
          <cell r="AB722">
            <v>0</v>
          </cell>
        </row>
        <row r="723">
          <cell r="AB723">
            <v>21287.570000000003</v>
          </cell>
        </row>
        <row r="724">
          <cell r="AB724">
            <v>0</v>
          </cell>
        </row>
        <row r="725">
          <cell r="AB725">
            <v>0</v>
          </cell>
        </row>
        <row r="727">
          <cell r="AB727">
            <v>0</v>
          </cell>
        </row>
        <row r="728">
          <cell r="AB728">
            <v>138.61000000000001</v>
          </cell>
        </row>
        <row r="729">
          <cell r="AB729">
            <v>0</v>
          </cell>
        </row>
        <row r="730">
          <cell r="AB730">
            <v>1240</v>
          </cell>
        </row>
        <row r="731">
          <cell r="AB731">
            <v>0</v>
          </cell>
        </row>
        <row r="732">
          <cell r="AB732">
            <v>80231.200000000041</v>
          </cell>
        </row>
        <row r="733">
          <cell r="AB733">
            <v>0</v>
          </cell>
        </row>
        <row r="734">
          <cell r="AB734">
            <v>0</v>
          </cell>
        </row>
        <row r="735">
          <cell r="AB735">
            <v>0</v>
          </cell>
        </row>
        <row r="736">
          <cell r="AB736">
            <v>0</v>
          </cell>
        </row>
        <row r="737">
          <cell r="AB737">
            <v>62916.66</v>
          </cell>
        </row>
        <row r="738">
          <cell r="AB738">
            <v>2512</v>
          </cell>
        </row>
        <row r="739">
          <cell r="AB739">
            <v>339229.42000000004</v>
          </cell>
        </row>
        <row r="741">
          <cell r="AB741">
            <v>19449</v>
          </cell>
        </row>
        <row r="742">
          <cell r="AB742">
            <v>0</v>
          </cell>
        </row>
        <row r="743">
          <cell r="AB743">
            <v>151.15</v>
          </cell>
        </row>
        <row r="744">
          <cell r="AB744">
            <v>0</v>
          </cell>
        </row>
        <row r="745">
          <cell r="AB745">
            <v>250.01</v>
          </cell>
        </row>
        <row r="746">
          <cell r="AB746">
            <v>11183.619999999999</v>
          </cell>
        </row>
        <row r="747">
          <cell r="AB747">
            <v>1741.75</v>
          </cell>
        </row>
        <row r="748">
          <cell r="AB748">
            <v>0</v>
          </cell>
        </row>
        <row r="749">
          <cell r="AB749">
            <v>215.67999999999995</v>
          </cell>
        </row>
        <row r="750">
          <cell r="AB750">
            <v>1394.9999999999995</v>
          </cell>
        </row>
        <row r="751">
          <cell r="AB751">
            <v>969.82999999999993</v>
          </cell>
        </row>
        <row r="752">
          <cell r="AB752">
            <v>36.64</v>
          </cell>
        </row>
        <row r="753">
          <cell r="AB753">
            <v>0</v>
          </cell>
        </row>
        <row r="754">
          <cell r="AB754">
            <v>0</v>
          </cell>
        </row>
        <row r="755">
          <cell r="AB755">
            <v>7544.1500000000015</v>
          </cell>
        </row>
        <row r="756">
          <cell r="AB756">
            <v>423.96000000000004</v>
          </cell>
        </row>
        <row r="757">
          <cell r="AB757">
            <v>0</v>
          </cell>
        </row>
        <row r="758">
          <cell r="AB758">
            <v>25000</v>
          </cell>
        </row>
        <row r="759">
          <cell r="AB759">
            <v>4181</v>
          </cell>
        </row>
        <row r="760">
          <cell r="AB760">
            <v>1250.0000000000002</v>
          </cell>
        </row>
        <row r="761">
          <cell r="AB761">
            <v>0</v>
          </cell>
        </row>
        <row r="762">
          <cell r="AB762">
            <v>417.97999999999956</v>
          </cell>
        </row>
        <row r="763">
          <cell r="AB763">
            <v>0</v>
          </cell>
        </row>
        <row r="764">
          <cell r="AB764">
            <v>0</v>
          </cell>
        </row>
        <row r="765">
          <cell r="AB765">
            <v>1940.4699999999998</v>
          </cell>
        </row>
        <row r="766">
          <cell r="AB766">
            <v>108.52000000000001</v>
          </cell>
        </row>
        <row r="767">
          <cell r="AB767">
            <v>0</v>
          </cell>
        </row>
        <row r="768">
          <cell r="AB768">
            <v>155.33999999999992</v>
          </cell>
        </row>
        <row r="769">
          <cell r="AB769">
            <v>0</v>
          </cell>
        </row>
        <row r="770">
          <cell r="AB770">
            <v>0</v>
          </cell>
        </row>
        <row r="771">
          <cell r="AB771">
            <v>118250.00000000003</v>
          </cell>
        </row>
        <row r="772">
          <cell r="AB772">
            <v>834</v>
          </cell>
        </row>
        <row r="773">
          <cell r="AB773">
            <v>43243.669999999984</v>
          </cell>
        </row>
        <row r="774">
          <cell r="AB774">
            <v>0</v>
          </cell>
        </row>
        <row r="775">
          <cell r="AB775">
            <v>12993.32</v>
          </cell>
        </row>
        <row r="776">
          <cell r="AB776">
            <v>296.32000000000005</v>
          </cell>
        </row>
        <row r="777">
          <cell r="AB777">
            <v>0</v>
          </cell>
        </row>
        <row r="778">
          <cell r="AB778">
            <v>8823</v>
          </cell>
        </row>
        <row r="779">
          <cell r="AB779">
            <v>752.72999999999979</v>
          </cell>
        </row>
        <row r="780">
          <cell r="AB780">
            <v>0</v>
          </cell>
        </row>
        <row r="781">
          <cell r="AB781">
            <v>6306.78</v>
          </cell>
        </row>
        <row r="782">
          <cell r="AB782">
            <v>0</v>
          </cell>
        </row>
        <row r="783">
          <cell r="AB783">
            <v>4888.3</v>
          </cell>
        </row>
        <row r="784">
          <cell r="AB784">
            <v>0</v>
          </cell>
        </row>
        <row r="785">
          <cell r="AB785">
            <v>5253.1699999999983</v>
          </cell>
        </row>
        <row r="786">
          <cell r="AB786">
            <v>0</v>
          </cell>
        </row>
        <row r="787">
          <cell r="AB787">
            <v>0</v>
          </cell>
        </row>
        <row r="788">
          <cell r="AB788">
            <v>0</v>
          </cell>
        </row>
        <row r="789">
          <cell r="AB789">
            <v>4971</v>
          </cell>
        </row>
        <row r="790">
          <cell r="AB790">
            <v>0</v>
          </cell>
        </row>
        <row r="792">
          <cell r="AB792">
            <v>25275.64</v>
          </cell>
        </row>
        <row r="793">
          <cell r="AB793">
            <v>4341.0999999999995</v>
          </cell>
        </row>
        <row r="794">
          <cell r="AB794">
            <v>-800</v>
          </cell>
        </row>
        <row r="795">
          <cell r="AB795">
            <v>12916</v>
          </cell>
        </row>
        <row r="796">
          <cell r="AB796">
            <v>15601</v>
          </cell>
        </row>
        <row r="797">
          <cell r="AB797">
            <v>2443.4799999999996</v>
          </cell>
        </row>
        <row r="798">
          <cell r="AB798">
            <v>76.100000000000023</v>
          </cell>
        </row>
        <row r="799">
          <cell r="AB799">
            <v>142.39000000000004</v>
          </cell>
        </row>
        <row r="800">
          <cell r="AB800">
            <v>110.54000000000002</v>
          </cell>
        </row>
        <row r="801">
          <cell r="AB801">
            <v>0</v>
          </cell>
        </row>
        <row r="804">
          <cell r="AB804">
            <v>43337.17</v>
          </cell>
        </row>
        <row r="805">
          <cell r="AB805">
            <v>45617</v>
          </cell>
        </row>
        <row r="806">
          <cell r="AB806">
            <v>100833.03</v>
          </cell>
        </row>
        <row r="808">
          <cell r="AB808"/>
        </row>
        <row r="809">
          <cell r="AB809">
            <v>116606.31</v>
          </cell>
        </row>
        <row r="810">
          <cell r="AB810">
            <v>0</v>
          </cell>
        </row>
        <row r="811">
          <cell r="AB811">
            <v>25041.659999999996</v>
          </cell>
        </row>
        <row r="812">
          <cell r="AB812">
            <v>2539.9999999999991</v>
          </cell>
        </row>
        <row r="813">
          <cell r="AB813">
            <v>0</v>
          </cell>
        </row>
        <row r="814">
          <cell r="AB814">
            <v>0</v>
          </cell>
        </row>
        <row r="815">
          <cell r="AB815">
            <v>2737</v>
          </cell>
        </row>
        <row r="816">
          <cell r="AB816">
            <v>0</v>
          </cell>
        </row>
        <row r="817">
          <cell r="AB817">
            <v>40453.89</v>
          </cell>
        </row>
        <row r="818">
          <cell r="AB818">
            <v>2027.6799999999985</v>
          </cell>
        </row>
        <row r="819">
          <cell r="AB819">
            <v>13978.150000000001</v>
          </cell>
        </row>
        <row r="820">
          <cell r="AB820">
            <v>0</v>
          </cell>
        </row>
        <row r="821">
          <cell r="AB821">
            <v>2918.7800000000007</v>
          </cell>
        </row>
        <row r="822">
          <cell r="AB822">
            <v>2337.4100000000003</v>
          </cell>
        </row>
        <row r="823">
          <cell r="AB823">
            <v>0</v>
          </cell>
        </row>
        <row r="824">
          <cell r="AB824">
            <v>33.25</v>
          </cell>
        </row>
        <row r="825">
          <cell r="AB825">
            <v>0</v>
          </cell>
        </row>
        <row r="826">
          <cell r="AB826">
            <v>1333.0000000000005</v>
          </cell>
        </row>
        <row r="827">
          <cell r="AB827">
            <v>0</v>
          </cell>
        </row>
        <row r="828">
          <cell r="AB828">
            <v>0</v>
          </cell>
        </row>
        <row r="829">
          <cell r="AB829">
            <v>863.29</v>
          </cell>
        </row>
        <row r="830">
          <cell r="AB830">
            <v>0</v>
          </cell>
        </row>
        <row r="832">
          <cell r="AB832">
            <v>2631.6899999999996</v>
          </cell>
        </row>
        <row r="833">
          <cell r="AB833">
            <v>183.17000000000002</v>
          </cell>
        </row>
        <row r="834">
          <cell r="AB834">
            <v>86.62</v>
          </cell>
        </row>
        <row r="835">
          <cell r="AB835">
            <v>46.129999999999995</v>
          </cell>
        </row>
        <row r="836">
          <cell r="AB836">
            <v>8.1700000000000159</v>
          </cell>
        </row>
        <row r="837">
          <cell r="AB837">
            <v>259.55999999999995</v>
          </cell>
        </row>
        <row r="838">
          <cell r="AB838">
            <v>215.67999999999995</v>
          </cell>
        </row>
        <row r="839">
          <cell r="AB839">
            <v>0</v>
          </cell>
        </row>
        <row r="840">
          <cell r="AB840">
            <v>27105</v>
          </cell>
        </row>
        <row r="841">
          <cell r="AB841">
            <v>703.5</v>
          </cell>
        </row>
        <row r="842">
          <cell r="AB842">
            <v>39090.910000000003</v>
          </cell>
        </row>
        <row r="843">
          <cell r="AB843">
            <v>-1666</v>
          </cell>
        </row>
        <row r="844">
          <cell r="AB844">
            <v>-400</v>
          </cell>
        </row>
        <row r="845">
          <cell r="AB845">
            <v>11586.350000000006</v>
          </cell>
        </row>
        <row r="846">
          <cell r="AB846">
            <v>5087.6000000000004</v>
          </cell>
        </row>
        <row r="847">
          <cell r="AB847">
            <v>0</v>
          </cell>
        </row>
        <row r="848">
          <cell r="AB848">
            <v>0</v>
          </cell>
        </row>
        <row r="849">
          <cell r="AB849">
            <v>5620.0500000000011</v>
          </cell>
        </row>
        <row r="850">
          <cell r="AB850">
            <v>322.34999999999991</v>
          </cell>
        </row>
        <row r="851">
          <cell r="AB851">
            <v>51.920000000000016</v>
          </cell>
        </row>
        <row r="852">
          <cell r="AB852">
            <v>0</v>
          </cell>
        </row>
        <row r="854">
          <cell r="AB854">
            <v>49958.340000000011</v>
          </cell>
        </row>
        <row r="855">
          <cell r="AB855">
            <v>6194.9599999999991</v>
          </cell>
        </row>
        <row r="856">
          <cell r="AB856">
            <v>14709.000000000002</v>
          </cell>
        </row>
        <row r="857">
          <cell r="AB857">
            <v>10266.23</v>
          </cell>
        </row>
        <row r="858">
          <cell r="AB858">
            <v>49.379999999999995</v>
          </cell>
        </row>
        <row r="859">
          <cell r="AB859">
            <v>49.06</v>
          </cell>
        </row>
        <row r="860">
          <cell r="AB860">
            <v>0</v>
          </cell>
        </row>
        <row r="861">
          <cell r="AB861">
            <v>4383.9500000000007</v>
          </cell>
        </row>
        <row r="862">
          <cell r="AB862">
            <v>-2160</v>
          </cell>
        </row>
        <row r="863">
          <cell r="AB863">
            <v>0</v>
          </cell>
        </row>
        <row r="864">
          <cell r="AB864">
            <v>250.91000000000003</v>
          </cell>
        </row>
        <row r="866">
          <cell r="AB866">
            <v>14877.02</v>
          </cell>
        </row>
        <row r="867">
          <cell r="AB867">
            <v>0</v>
          </cell>
        </row>
        <row r="868">
          <cell r="AB868">
            <v>515</v>
          </cell>
        </row>
        <row r="869">
          <cell r="AB869">
            <v>2480.9699999999975</v>
          </cell>
        </row>
        <row r="870">
          <cell r="AB870">
            <v>215.67999999999995</v>
          </cell>
        </row>
        <row r="871">
          <cell r="AB871">
            <v>0</v>
          </cell>
        </row>
        <row r="873">
          <cell r="AB873">
            <v>0</v>
          </cell>
        </row>
        <row r="874">
          <cell r="AB874">
            <v>0</v>
          </cell>
        </row>
        <row r="875">
          <cell r="AB875">
            <v>0</v>
          </cell>
        </row>
        <row r="876">
          <cell r="AB876">
            <v>0</v>
          </cell>
        </row>
        <row r="877">
          <cell r="AB877">
            <v>0</v>
          </cell>
        </row>
        <row r="878">
          <cell r="AB878">
            <v>0</v>
          </cell>
        </row>
        <row r="879">
          <cell r="AB879">
            <v>0</v>
          </cell>
        </row>
        <row r="880">
          <cell r="AB880">
            <v>1742.5</v>
          </cell>
        </row>
        <row r="881">
          <cell r="AB881">
            <v>0</v>
          </cell>
        </row>
        <row r="882">
          <cell r="AB882">
            <v>0</v>
          </cell>
        </row>
        <row r="883">
          <cell r="AB883">
            <v>0</v>
          </cell>
        </row>
        <row r="884">
          <cell r="AB884">
            <v>337.50000000000011</v>
          </cell>
        </row>
        <row r="885">
          <cell r="AB885">
            <v>0</v>
          </cell>
        </row>
        <row r="886">
          <cell r="AB886">
            <v>0</v>
          </cell>
        </row>
        <row r="887">
          <cell r="AB887">
            <v>0</v>
          </cell>
        </row>
        <row r="888">
          <cell r="AB888">
            <v>0</v>
          </cell>
        </row>
        <row r="889">
          <cell r="AB889">
            <v>0</v>
          </cell>
        </row>
        <row r="890">
          <cell r="AB890">
            <v>0</v>
          </cell>
        </row>
        <row r="891">
          <cell r="AB891">
            <v>0</v>
          </cell>
        </row>
        <row r="892">
          <cell r="AB892">
            <v>0</v>
          </cell>
        </row>
        <row r="893">
          <cell r="AB893">
            <v>0</v>
          </cell>
        </row>
        <row r="894">
          <cell r="AB894">
            <v>0</v>
          </cell>
        </row>
        <row r="895">
          <cell r="AB895">
            <v>0</v>
          </cell>
        </row>
        <row r="896">
          <cell r="AB896">
            <v>0</v>
          </cell>
        </row>
        <row r="897">
          <cell r="AB897">
            <v>0</v>
          </cell>
        </row>
        <row r="898">
          <cell r="AB898">
            <v>0</v>
          </cell>
        </row>
        <row r="899">
          <cell r="AB899">
            <v>0</v>
          </cell>
        </row>
        <row r="900">
          <cell r="AB900">
            <v>0</v>
          </cell>
        </row>
        <row r="901">
          <cell r="AB901">
            <v>0</v>
          </cell>
        </row>
        <row r="902">
          <cell r="AB902">
            <v>0</v>
          </cell>
        </row>
        <row r="903">
          <cell r="AB903">
            <v>0</v>
          </cell>
        </row>
        <row r="904">
          <cell r="AB904">
            <v>0</v>
          </cell>
        </row>
        <row r="905">
          <cell r="AB905">
            <v>0</v>
          </cell>
        </row>
        <row r="907">
          <cell r="AB907">
            <v>0</v>
          </cell>
        </row>
        <row r="908">
          <cell r="AB908">
            <v>0</v>
          </cell>
        </row>
        <row r="909">
          <cell r="AB909">
            <v>0</v>
          </cell>
        </row>
        <row r="910">
          <cell r="AB910">
            <v>0</v>
          </cell>
        </row>
        <row r="911">
          <cell r="AB911">
            <v>0</v>
          </cell>
        </row>
        <row r="912">
          <cell r="AB912">
            <v>0</v>
          </cell>
        </row>
        <row r="913">
          <cell r="AB913">
            <v>0</v>
          </cell>
        </row>
        <row r="914">
          <cell r="AB914">
            <v>0</v>
          </cell>
        </row>
        <row r="917">
          <cell r="AB917">
            <v>0</v>
          </cell>
        </row>
        <row r="918">
          <cell r="AB918">
            <v>0</v>
          </cell>
        </row>
        <row r="919">
          <cell r="AB919">
            <v>0</v>
          </cell>
        </row>
        <row r="920">
          <cell r="AB920">
            <v>0</v>
          </cell>
        </row>
        <row r="921">
          <cell r="AB921">
            <v>0</v>
          </cell>
        </row>
        <row r="922">
          <cell r="AB922">
            <v>0</v>
          </cell>
        </row>
        <row r="923">
          <cell r="AB923">
            <v>0</v>
          </cell>
        </row>
        <row r="924">
          <cell r="AB924">
            <v>0</v>
          </cell>
        </row>
        <row r="925">
          <cell r="AB925">
            <v>23369.06172413793</v>
          </cell>
        </row>
        <row r="926">
          <cell r="AB926">
            <v>0</v>
          </cell>
        </row>
        <row r="927">
          <cell r="AB927">
            <v>1199387.8517241378</v>
          </cell>
        </row>
        <row r="928">
          <cell r="AB928">
            <v>0</v>
          </cell>
        </row>
        <row r="929">
          <cell r="AB929">
            <v>0</v>
          </cell>
        </row>
        <row r="930">
          <cell r="AB930">
            <v>1279619.0517241377</v>
          </cell>
        </row>
        <row r="931">
          <cell r="AB931">
            <v>0</v>
          </cell>
        </row>
        <row r="932">
          <cell r="AB932">
            <v>26450.02</v>
          </cell>
        </row>
        <row r="933">
          <cell r="AB933">
            <v>3575.46</v>
          </cell>
        </row>
        <row r="949">
          <cell r="AB949">
            <v>0</v>
          </cell>
        </row>
        <row r="950">
          <cell r="AB950">
            <v>0</v>
          </cell>
        </row>
        <row r="951">
          <cell r="AB951">
            <v>0</v>
          </cell>
        </row>
        <row r="952">
          <cell r="AB952">
            <v>0</v>
          </cell>
        </row>
        <row r="953">
          <cell r="AB953">
            <v>30025.479999999996</v>
          </cell>
        </row>
        <row r="954">
          <cell r="AB954">
            <v>0</v>
          </cell>
        </row>
        <row r="955">
          <cell r="AB955">
            <v>0</v>
          </cell>
        </row>
        <row r="956">
          <cell r="AB956">
            <v>987.55000000000018</v>
          </cell>
        </row>
        <row r="957">
          <cell r="AB957">
            <v>2146.5299999999997</v>
          </cell>
        </row>
        <row r="958">
          <cell r="AB958">
            <v>0.69</v>
          </cell>
        </row>
        <row r="959">
          <cell r="AB959">
            <v>132677.12</v>
          </cell>
        </row>
        <row r="960">
          <cell r="AB960">
            <v>-87.5</v>
          </cell>
        </row>
        <row r="961">
          <cell r="AB961">
            <v>0</v>
          </cell>
        </row>
        <row r="962">
          <cell r="AB962">
            <v>-97.889999999999986</v>
          </cell>
        </row>
      </sheetData>
      <sheetData sheetId="29"/>
      <sheetData sheetId="30"/>
      <sheetData sheetId="31"/>
      <sheetData sheetId="32"/>
      <sheetData sheetId="33">
        <row r="1">
          <cell r="C1"/>
        </row>
        <row r="182">
          <cell r="Y182">
            <v>45164.259999999995</v>
          </cell>
        </row>
        <row r="183">
          <cell r="Y183">
            <v>7312.5</v>
          </cell>
        </row>
        <row r="184">
          <cell r="Y184">
            <v>-4947.4799999999996</v>
          </cell>
        </row>
        <row r="185">
          <cell r="Y185">
            <v>395.49</v>
          </cell>
        </row>
        <row r="186">
          <cell r="Y186">
            <v>0</v>
          </cell>
        </row>
        <row r="187">
          <cell r="Y187">
            <v>348.28999999999996</v>
          </cell>
        </row>
        <row r="188">
          <cell r="Y188">
            <v>0</v>
          </cell>
        </row>
        <row r="189">
          <cell r="Y189">
            <v>0</v>
          </cell>
        </row>
        <row r="190">
          <cell r="Y190">
            <v>406.74</v>
          </cell>
        </row>
        <row r="191">
          <cell r="Y191">
            <v>0</v>
          </cell>
        </row>
        <row r="192">
          <cell r="Y192">
            <v>0</v>
          </cell>
        </row>
        <row r="193">
          <cell r="Y193">
            <v>0</v>
          </cell>
        </row>
        <row r="194">
          <cell r="Y194">
            <v>0</v>
          </cell>
        </row>
        <row r="195">
          <cell r="Y195">
            <v>48679.799999999974</v>
          </cell>
        </row>
        <row r="196">
          <cell r="Y196">
            <v>0</v>
          </cell>
        </row>
        <row r="197">
          <cell r="Y197">
            <v>0</v>
          </cell>
        </row>
        <row r="198">
          <cell r="Y198">
            <v>0</v>
          </cell>
        </row>
        <row r="199">
          <cell r="Y199">
            <v>0</v>
          </cell>
        </row>
        <row r="200">
          <cell r="Y200">
            <v>0</v>
          </cell>
        </row>
        <row r="201">
          <cell r="Y201">
            <v>0</v>
          </cell>
        </row>
        <row r="202">
          <cell r="Y202">
            <v>0</v>
          </cell>
        </row>
        <row r="203">
          <cell r="Y203">
            <v>0</v>
          </cell>
        </row>
        <row r="204">
          <cell r="Y204">
            <v>0</v>
          </cell>
        </row>
        <row r="205">
          <cell r="Y205">
            <v>0</v>
          </cell>
        </row>
        <row r="206">
          <cell r="Y206">
            <v>0</v>
          </cell>
        </row>
        <row r="207">
          <cell r="Y207">
            <v>0</v>
          </cell>
        </row>
        <row r="208">
          <cell r="Y208">
            <v>0</v>
          </cell>
        </row>
        <row r="209">
          <cell r="Y209">
            <v>1437.63</v>
          </cell>
        </row>
        <row r="210">
          <cell r="Y210">
            <v>1437.63</v>
          </cell>
        </row>
        <row r="211">
          <cell r="Y211">
            <v>0</v>
          </cell>
        </row>
        <row r="212">
          <cell r="Y212">
            <v>163.79385361813047</v>
          </cell>
        </row>
        <row r="213">
          <cell r="Y213">
            <v>0</v>
          </cell>
        </row>
        <row r="214">
          <cell r="Y214">
            <v>163.79385361813047</v>
          </cell>
        </row>
        <row r="215">
          <cell r="Y215">
            <v>0</v>
          </cell>
        </row>
        <row r="216">
          <cell r="Y216">
            <v>0</v>
          </cell>
        </row>
        <row r="217">
          <cell r="Y217">
            <v>1601.4238536181306</v>
          </cell>
        </row>
        <row r="218">
          <cell r="Y218">
            <v>0</v>
          </cell>
        </row>
        <row r="219">
          <cell r="Y219">
            <v>0</v>
          </cell>
        </row>
        <row r="220">
          <cell r="Y220">
            <v>0</v>
          </cell>
        </row>
        <row r="221">
          <cell r="Y221">
            <v>0</v>
          </cell>
        </row>
        <row r="222">
          <cell r="Y222">
            <v>0</v>
          </cell>
        </row>
        <row r="223">
          <cell r="Y223">
            <v>0</v>
          </cell>
        </row>
        <row r="224">
          <cell r="Y224">
            <v>0</v>
          </cell>
        </row>
        <row r="225">
          <cell r="Y225">
            <v>0</v>
          </cell>
        </row>
        <row r="226">
          <cell r="Y226">
            <v>0</v>
          </cell>
        </row>
        <row r="227">
          <cell r="Y227">
            <v>16864.680000000008</v>
          </cell>
        </row>
        <row r="228">
          <cell r="Y228">
            <v>0</v>
          </cell>
        </row>
        <row r="229">
          <cell r="Y229">
            <v>0</v>
          </cell>
        </row>
        <row r="230">
          <cell r="Y230">
            <v>19653.559999999998</v>
          </cell>
        </row>
        <row r="231">
          <cell r="Y231">
            <v>1462.5</v>
          </cell>
        </row>
        <row r="232">
          <cell r="Y232">
            <v>0</v>
          </cell>
        </row>
        <row r="233">
          <cell r="Y233">
            <v>0</v>
          </cell>
        </row>
        <row r="234">
          <cell r="Y234">
            <v>5415.17</v>
          </cell>
        </row>
        <row r="235">
          <cell r="Y235">
            <v>0</v>
          </cell>
        </row>
        <row r="236">
          <cell r="Y236">
            <v>0</v>
          </cell>
        </row>
        <row r="237">
          <cell r="Y237">
            <v>0</v>
          </cell>
        </row>
        <row r="238">
          <cell r="Y238">
            <v>0</v>
          </cell>
        </row>
        <row r="239">
          <cell r="Y239">
            <v>0</v>
          </cell>
        </row>
        <row r="240">
          <cell r="Y240">
            <v>43395.910000000018</v>
          </cell>
        </row>
        <row r="241">
          <cell r="Y241">
            <v>0</v>
          </cell>
        </row>
        <row r="242">
          <cell r="Y242">
            <v>0</v>
          </cell>
        </row>
        <row r="243">
          <cell r="Y243">
            <v>0</v>
          </cell>
        </row>
        <row r="244">
          <cell r="Y244">
            <v>0</v>
          </cell>
        </row>
        <row r="245">
          <cell r="Y245">
            <v>0</v>
          </cell>
        </row>
        <row r="246">
          <cell r="Y246">
            <v>13595.509999999995</v>
          </cell>
        </row>
        <row r="247">
          <cell r="Y247">
            <v>0</v>
          </cell>
        </row>
        <row r="248">
          <cell r="Y248">
            <v>0</v>
          </cell>
        </row>
        <row r="249">
          <cell r="Y249">
            <v>8980.42</v>
          </cell>
        </row>
        <row r="250">
          <cell r="Y250">
            <v>1462.5</v>
          </cell>
        </row>
        <row r="251">
          <cell r="Y251">
            <v>0</v>
          </cell>
        </row>
        <row r="252">
          <cell r="Y252">
            <v>0</v>
          </cell>
        </row>
        <row r="253">
          <cell r="Y253">
            <v>0</v>
          </cell>
        </row>
        <row r="254">
          <cell r="Y254">
            <v>0</v>
          </cell>
        </row>
        <row r="255">
          <cell r="Y255">
            <v>0</v>
          </cell>
        </row>
        <row r="256">
          <cell r="Y256">
            <v>24038.43</v>
          </cell>
        </row>
        <row r="257">
          <cell r="Y257">
            <v>0</v>
          </cell>
        </row>
        <row r="258">
          <cell r="Y258">
            <v>0</v>
          </cell>
        </row>
        <row r="259">
          <cell r="Y259">
            <v>0</v>
          </cell>
        </row>
        <row r="260">
          <cell r="Y260">
            <v>0</v>
          </cell>
        </row>
        <row r="261">
          <cell r="Y261">
            <v>0</v>
          </cell>
        </row>
        <row r="262">
          <cell r="Y262">
            <v>23716.849999999991</v>
          </cell>
        </row>
        <row r="263">
          <cell r="Y263">
            <v>0</v>
          </cell>
        </row>
        <row r="264">
          <cell r="Y264">
            <v>4826.25</v>
          </cell>
        </row>
        <row r="265">
          <cell r="Y265">
            <v>0</v>
          </cell>
        </row>
        <row r="266">
          <cell r="Y266">
            <v>5198.4500000000007</v>
          </cell>
        </row>
        <row r="267">
          <cell r="Y267">
            <v>53257.319999999992</v>
          </cell>
        </row>
        <row r="268">
          <cell r="Y268">
            <v>0</v>
          </cell>
        </row>
        <row r="269">
          <cell r="Y269">
            <v>0</v>
          </cell>
        </row>
        <row r="270">
          <cell r="Y270">
            <v>0</v>
          </cell>
        </row>
        <row r="271">
          <cell r="Y271">
            <v>371.65000000000009</v>
          </cell>
        </row>
        <row r="272">
          <cell r="Y272">
            <v>0</v>
          </cell>
        </row>
        <row r="273">
          <cell r="Y273">
            <v>87370.51999999999</v>
          </cell>
        </row>
        <row r="275">
          <cell r="Y275">
            <v>154804.85999999999</v>
          </cell>
        </row>
        <row r="279">
          <cell r="Y279">
            <v>0</v>
          </cell>
        </row>
        <row r="280">
          <cell r="Y280">
            <v>0</v>
          </cell>
        </row>
        <row r="281">
          <cell r="Y281">
            <v>0</v>
          </cell>
        </row>
        <row r="282">
          <cell r="Y282">
            <v>0</v>
          </cell>
        </row>
        <row r="283">
          <cell r="Y283">
            <v>714.29000000000008</v>
          </cell>
        </row>
        <row r="284">
          <cell r="Y284">
            <v>39651.67</v>
          </cell>
        </row>
        <row r="285">
          <cell r="Y285">
            <v>0</v>
          </cell>
        </row>
        <row r="286">
          <cell r="Y286">
            <v>40365.96</v>
          </cell>
        </row>
        <row r="287">
          <cell r="Y287">
            <v>0</v>
          </cell>
        </row>
      </sheetData>
      <sheetData sheetId="34"/>
      <sheetData sheetId="35"/>
      <sheetData sheetId="36"/>
      <sheetData sheetId="37">
        <row r="1">
          <cell r="C1"/>
        </row>
        <row r="162">
          <cell r="Y162">
            <v>-281082.40108635096</v>
          </cell>
        </row>
        <row r="163">
          <cell r="Y163">
            <v>-281082.40108635096</v>
          </cell>
        </row>
        <row r="164">
          <cell r="Y164">
            <v>0</v>
          </cell>
        </row>
        <row r="165">
          <cell r="Y165">
            <v>0</v>
          </cell>
        </row>
        <row r="166">
          <cell r="Y166">
            <v>0</v>
          </cell>
        </row>
        <row r="167">
          <cell r="Y167">
            <v>0</v>
          </cell>
        </row>
        <row r="168">
          <cell r="Y168">
            <v>0</v>
          </cell>
        </row>
        <row r="169">
          <cell r="Y169">
            <v>0</v>
          </cell>
        </row>
        <row r="170">
          <cell r="Y170">
            <v>52242.37999999999</v>
          </cell>
        </row>
        <row r="171">
          <cell r="Y171">
            <v>2915.2599999999998</v>
          </cell>
        </row>
        <row r="172">
          <cell r="Y172">
            <v>2359.15</v>
          </cell>
        </row>
        <row r="173">
          <cell r="Y173">
            <v>0</v>
          </cell>
        </row>
        <row r="174">
          <cell r="Y174">
            <v>4660.28</v>
          </cell>
        </row>
        <row r="175">
          <cell r="Y175">
            <v>12016.160000000003</v>
          </cell>
        </row>
        <row r="176">
          <cell r="Y176">
            <v>0</v>
          </cell>
        </row>
        <row r="177">
          <cell r="Y177">
            <v>929.81</v>
          </cell>
        </row>
        <row r="178">
          <cell r="Y178">
            <v>0</v>
          </cell>
        </row>
        <row r="179">
          <cell r="Y179">
            <v>15689.133846153847</v>
          </cell>
        </row>
        <row r="180">
          <cell r="Y180">
            <v>0</v>
          </cell>
        </row>
        <row r="181">
          <cell r="Y181">
            <v>0</v>
          </cell>
        </row>
        <row r="182">
          <cell r="Y182">
            <v>18400.589999999997</v>
          </cell>
        </row>
        <row r="183">
          <cell r="Y183">
            <v>811.85000000000014</v>
          </cell>
        </row>
        <row r="184">
          <cell r="Y184">
            <v>1540</v>
          </cell>
        </row>
        <row r="185">
          <cell r="Y185">
            <v>0</v>
          </cell>
        </row>
        <row r="186">
          <cell r="Y186">
            <v>2900.4500000000007</v>
          </cell>
        </row>
        <row r="187">
          <cell r="Y187">
            <v>7.1700000000000728</v>
          </cell>
        </row>
        <row r="188">
          <cell r="Y188">
            <v>0</v>
          </cell>
        </row>
        <row r="189">
          <cell r="Y189">
            <v>3556.2523076923076</v>
          </cell>
        </row>
        <row r="190">
          <cell r="Y190">
            <v>0</v>
          </cell>
        </row>
        <row r="191">
          <cell r="Y191">
            <v>118028.48615384605</v>
          </cell>
        </row>
        <row r="192">
          <cell r="Y192">
            <v>0</v>
          </cell>
        </row>
        <row r="193">
          <cell r="Y193">
            <v>0</v>
          </cell>
        </row>
        <row r="194">
          <cell r="Y194">
            <v>0</v>
          </cell>
        </row>
        <row r="195">
          <cell r="Y195">
            <v>0</v>
          </cell>
        </row>
        <row r="196">
          <cell r="Y196">
            <v>0</v>
          </cell>
        </row>
        <row r="197">
          <cell r="Y197">
            <v>0</v>
          </cell>
        </row>
        <row r="198">
          <cell r="Y198">
            <v>0</v>
          </cell>
        </row>
        <row r="199">
          <cell r="Y199">
            <v>0</v>
          </cell>
        </row>
        <row r="200">
          <cell r="Y200">
            <v>0</v>
          </cell>
        </row>
        <row r="201">
          <cell r="Y201">
            <v>0</v>
          </cell>
        </row>
        <row r="202">
          <cell r="Y202">
            <v>0</v>
          </cell>
        </row>
        <row r="203">
          <cell r="Y203">
            <v>1991.52</v>
          </cell>
        </row>
        <row r="204">
          <cell r="Y204">
            <v>176.35999999999996</v>
          </cell>
        </row>
        <row r="205">
          <cell r="Y205">
            <v>398.05000000000007</v>
          </cell>
        </row>
        <row r="206">
          <cell r="Y206">
            <v>1100.1700000000005</v>
          </cell>
        </row>
        <row r="207">
          <cell r="Y207">
            <v>3666.1000000000022</v>
          </cell>
        </row>
        <row r="208">
          <cell r="Y208">
            <v>0</v>
          </cell>
        </row>
        <row r="209">
          <cell r="Y209">
            <v>0</v>
          </cell>
        </row>
        <row r="210">
          <cell r="Y210">
            <v>5385.32</v>
          </cell>
        </row>
        <row r="211">
          <cell r="Y211">
            <v>16.75</v>
          </cell>
        </row>
        <row r="212">
          <cell r="Y212">
            <v>1539.8900000000003</v>
          </cell>
        </row>
        <row r="213">
          <cell r="Y213">
            <v>556.59999999999991</v>
          </cell>
        </row>
        <row r="214">
          <cell r="Y214">
            <v>307.43000000000006</v>
          </cell>
        </row>
        <row r="215">
          <cell r="Y215">
            <v>0</v>
          </cell>
        </row>
        <row r="216">
          <cell r="Y216">
            <v>1010.4199999999998</v>
          </cell>
        </row>
        <row r="217">
          <cell r="Y217">
            <v>0</v>
          </cell>
        </row>
        <row r="218">
          <cell r="J218">
            <v>193363.5</v>
          </cell>
          <cell r="Y218">
            <v>959.81999999999994</v>
          </cell>
        </row>
        <row r="219">
          <cell r="Y219">
            <v>0</v>
          </cell>
        </row>
        <row r="220">
          <cell r="Y220">
            <v>1066</v>
          </cell>
        </row>
        <row r="221">
          <cell r="Y221">
            <v>15131.35</v>
          </cell>
        </row>
        <row r="222">
          <cell r="Y222">
            <v>370.00000000000006</v>
          </cell>
        </row>
        <row r="223">
          <cell r="Y223">
            <v>0</v>
          </cell>
        </row>
        <row r="224">
          <cell r="Y224">
            <v>-26865.905384615384</v>
          </cell>
        </row>
        <row r="225">
          <cell r="Y225">
            <v>0</v>
          </cell>
        </row>
        <row r="226">
          <cell r="Y226">
            <v>-522.32538461538934</v>
          </cell>
        </row>
        <row r="227">
          <cell r="Y227">
            <v>0</v>
          </cell>
        </row>
        <row r="228">
          <cell r="Y228">
            <v>0</v>
          </cell>
        </row>
        <row r="229">
          <cell r="Y229">
            <v>3143.7746153846128</v>
          </cell>
        </row>
        <row r="230">
          <cell r="Y230">
            <v>0</v>
          </cell>
        </row>
        <row r="231">
          <cell r="Y231">
            <v>0</v>
          </cell>
        </row>
        <row r="232">
          <cell r="Y232">
            <v>0</v>
          </cell>
        </row>
        <row r="233">
          <cell r="Y233">
            <v>0</v>
          </cell>
        </row>
        <row r="234">
          <cell r="Y234">
            <v>0</v>
          </cell>
        </row>
        <row r="235">
          <cell r="Y235">
            <v>0</v>
          </cell>
        </row>
        <row r="236">
          <cell r="Y236">
            <v>0</v>
          </cell>
        </row>
        <row r="237">
          <cell r="Y237">
            <v>25346.100000000006</v>
          </cell>
        </row>
        <row r="238">
          <cell r="Y238">
            <v>873.09</v>
          </cell>
        </row>
        <row r="239">
          <cell r="Y239">
            <v>3729.1400000000012</v>
          </cell>
        </row>
        <row r="240">
          <cell r="Y240">
            <v>0</v>
          </cell>
        </row>
        <row r="241">
          <cell r="Y241">
            <v>375.81</v>
          </cell>
        </row>
        <row r="242">
          <cell r="Y242">
            <v>0</v>
          </cell>
        </row>
        <row r="243">
          <cell r="Y243">
            <v>4572.3115384615376</v>
          </cell>
        </row>
        <row r="244">
          <cell r="Y244">
            <v>0</v>
          </cell>
        </row>
        <row r="245">
          <cell r="Y245">
            <v>0</v>
          </cell>
        </row>
        <row r="246">
          <cell r="Y246">
            <v>300.40000000000009</v>
          </cell>
        </row>
        <row r="247">
          <cell r="Y247">
            <v>0</v>
          </cell>
        </row>
        <row r="248">
          <cell r="Y248">
            <v>35196.851538461524</v>
          </cell>
        </row>
        <row r="249">
          <cell r="Y249">
            <v>0</v>
          </cell>
        </row>
        <row r="250">
          <cell r="Y250">
            <v>0</v>
          </cell>
        </row>
        <row r="251">
          <cell r="Y251">
            <v>0</v>
          </cell>
        </row>
        <row r="252">
          <cell r="Y252">
            <v>0</v>
          </cell>
        </row>
        <row r="253">
          <cell r="Y253">
            <v>0</v>
          </cell>
        </row>
        <row r="254">
          <cell r="Y254">
            <v>0</v>
          </cell>
        </row>
        <row r="255">
          <cell r="Y255">
            <v>13524.709999999995</v>
          </cell>
        </row>
        <row r="256">
          <cell r="Y256">
            <v>0</v>
          </cell>
        </row>
        <row r="257">
          <cell r="Y257">
            <v>616.12</v>
          </cell>
        </row>
        <row r="258">
          <cell r="Y258">
            <v>3412.8500000000004</v>
          </cell>
        </row>
        <row r="259">
          <cell r="Y259">
            <v>51366.009999999995</v>
          </cell>
        </row>
        <row r="260">
          <cell r="Y260">
            <v>2486.1099999999997</v>
          </cell>
        </row>
        <row r="261">
          <cell r="Y261">
            <v>0</v>
          </cell>
        </row>
        <row r="262">
          <cell r="Y262">
            <v>0</v>
          </cell>
        </row>
        <row r="263">
          <cell r="Y263">
            <v>1466.3</v>
          </cell>
        </row>
        <row r="264">
          <cell r="Y264">
            <v>0</v>
          </cell>
        </row>
        <row r="265">
          <cell r="Y265">
            <v>0</v>
          </cell>
        </row>
        <row r="266">
          <cell r="Y266">
            <v>262.71000000000004</v>
          </cell>
        </row>
        <row r="267">
          <cell r="Y267">
            <v>0</v>
          </cell>
        </row>
        <row r="268">
          <cell r="Y268">
            <v>0</v>
          </cell>
        </row>
        <row r="269">
          <cell r="Y269">
            <v>0</v>
          </cell>
        </row>
        <row r="270">
          <cell r="Y270">
            <v>0</v>
          </cell>
        </row>
        <row r="271">
          <cell r="Y271">
            <v>6321.489999999998</v>
          </cell>
        </row>
        <row r="272">
          <cell r="Y272">
            <v>0</v>
          </cell>
        </row>
        <row r="273">
          <cell r="Y273">
            <v>1767.8500000000001</v>
          </cell>
        </row>
        <row r="274">
          <cell r="Y274">
            <v>313.19</v>
          </cell>
        </row>
        <row r="275">
          <cell r="Y275">
            <v>0</v>
          </cell>
        </row>
        <row r="276">
          <cell r="Y276">
            <v>0</v>
          </cell>
        </row>
        <row r="277">
          <cell r="Y277">
            <v>127.25000000000003</v>
          </cell>
        </row>
        <row r="278">
          <cell r="Y278">
            <v>0</v>
          </cell>
        </row>
        <row r="279">
          <cell r="Y279">
            <v>0</v>
          </cell>
        </row>
        <row r="280">
          <cell r="Y280">
            <v>0</v>
          </cell>
        </row>
        <row r="281">
          <cell r="Y281">
            <v>3048.2076923076925</v>
          </cell>
        </row>
        <row r="282">
          <cell r="Y282">
            <v>0</v>
          </cell>
        </row>
        <row r="283">
          <cell r="Y283">
            <v>84712.797692307679</v>
          </cell>
        </row>
        <row r="284">
          <cell r="Y284">
            <v>0</v>
          </cell>
        </row>
        <row r="285">
          <cell r="Y285">
            <v>0</v>
          </cell>
        </row>
        <row r="286">
          <cell r="Y286">
            <v>0</v>
          </cell>
        </row>
        <row r="287">
          <cell r="Y287">
            <v>0</v>
          </cell>
        </row>
        <row r="288">
          <cell r="Y288">
            <v>0</v>
          </cell>
        </row>
        <row r="289">
          <cell r="Y289">
            <v>0</v>
          </cell>
        </row>
        <row r="290">
          <cell r="Y290">
            <v>446.98000000000047</v>
          </cell>
        </row>
        <row r="291">
          <cell r="Y291">
            <v>414.34000000000003</v>
          </cell>
        </row>
        <row r="293">
          <cell r="Y293">
            <v>0</v>
          </cell>
        </row>
        <row r="294">
          <cell r="Y294">
            <v>861.32000000000016</v>
          </cell>
        </row>
        <row r="295">
          <cell r="Y295">
            <v>0</v>
          </cell>
        </row>
        <row r="296">
          <cell r="Y296">
            <v>120770.96923076919</v>
          </cell>
        </row>
        <row r="297">
          <cell r="Y297">
            <v>0</v>
          </cell>
        </row>
        <row r="298">
          <cell r="Y298">
            <v>0</v>
          </cell>
        </row>
        <row r="299">
          <cell r="Y299">
            <v>0</v>
          </cell>
        </row>
        <row r="300">
          <cell r="Y300">
            <v>30655.91</v>
          </cell>
        </row>
        <row r="301">
          <cell r="Y301">
            <v>-86.41</v>
          </cell>
        </row>
        <row r="302">
          <cell r="Y302">
            <v>0</v>
          </cell>
        </row>
        <row r="303">
          <cell r="Y303">
            <v>30569.5</v>
          </cell>
        </row>
        <row r="304">
          <cell r="Y304">
            <v>0</v>
          </cell>
        </row>
        <row r="305">
          <cell r="Y305">
            <v>0</v>
          </cell>
        </row>
        <row r="306">
          <cell r="Y306">
            <v>0</v>
          </cell>
        </row>
        <row r="307">
          <cell r="Y307">
            <v>0</v>
          </cell>
        </row>
        <row r="308">
          <cell r="Y308">
            <v>237.31</v>
          </cell>
        </row>
        <row r="309">
          <cell r="Y309">
            <v>0</v>
          </cell>
        </row>
        <row r="310">
          <cell r="Y310">
            <v>0</v>
          </cell>
        </row>
      </sheetData>
      <sheetData sheetId="38"/>
      <sheetData sheetId="39">
        <row r="63">
          <cell r="C63">
            <v>6386847.1900000013</v>
          </cell>
        </row>
      </sheetData>
      <sheetData sheetId="40"/>
      <sheetData sheetId="41"/>
      <sheetData sheetId="42"/>
      <sheetData sheetId="43"/>
      <sheetData sheetId="4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מאזן בוחן EUROPE"/>
      <sheetName val="פ.נ. EUROPE"/>
      <sheetName val="NEW TP EU"/>
      <sheetName val="Tax UK"/>
      <sheetName val="העמסת הנה&quot;כ (UK)"/>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s>
    <sheetDataSet>
      <sheetData sheetId="0"/>
      <sheetData sheetId="1">
        <row r="449">
          <cell r="AE449">
            <v>-923.29999999999973</v>
          </cell>
        </row>
        <row r="450">
          <cell r="AE450">
            <v>-149767.13</v>
          </cell>
        </row>
        <row r="451">
          <cell r="AE451">
            <v>0</v>
          </cell>
        </row>
        <row r="452">
          <cell r="AE452">
            <v>-26170.799999999999</v>
          </cell>
        </row>
        <row r="453">
          <cell r="AE453">
            <v>0</v>
          </cell>
        </row>
        <row r="454">
          <cell r="AE454">
            <v>0</v>
          </cell>
        </row>
        <row r="455">
          <cell r="AE455">
            <v>-16729.25</v>
          </cell>
        </row>
        <row r="456">
          <cell r="AE456">
            <v>-279635</v>
          </cell>
        </row>
        <row r="457">
          <cell r="AE457">
            <v>0</v>
          </cell>
        </row>
        <row r="458">
          <cell r="AE458">
            <v>0</v>
          </cell>
        </row>
        <row r="459">
          <cell r="AE459">
            <v>-218098.37</v>
          </cell>
        </row>
        <row r="460">
          <cell r="AE460">
            <v>-7004.59</v>
          </cell>
        </row>
        <row r="461">
          <cell r="AE461">
            <v>-70460.580000000016</v>
          </cell>
        </row>
        <row r="462">
          <cell r="AE462">
            <v>-476.97</v>
          </cell>
        </row>
        <row r="463">
          <cell r="AE463">
            <v>0</v>
          </cell>
        </row>
        <row r="464">
          <cell r="AE464">
            <v>-7973.3100000000013</v>
          </cell>
        </row>
        <row r="465">
          <cell r="AE465">
            <v>0</v>
          </cell>
        </row>
        <row r="466">
          <cell r="AE466">
            <v>2351.59</v>
          </cell>
        </row>
        <row r="467">
          <cell r="AE467">
            <v>0</v>
          </cell>
        </row>
        <row r="468">
          <cell r="AE468">
            <v>-10986.000000000002</v>
          </cell>
        </row>
        <row r="469">
          <cell r="AE469">
            <v>0</v>
          </cell>
        </row>
        <row r="470">
          <cell r="AE470">
            <v>0</v>
          </cell>
        </row>
        <row r="471">
          <cell r="AE471">
            <v>-8855</v>
          </cell>
        </row>
        <row r="472">
          <cell r="AE472">
            <v>0</v>
          </cell>
        </row>
        <row r="473">
          <cell r="AE473">
            <v>0</v>
          </cell>
        </row>
        <row r="474">
          <cell r="AE474">
            <v>923.30000000000018</v>
          </cell>
        </row>
        <row r="475">
          <cell r="AE475">
            <v>-358619.59000000008</v>
          </cell>
        </row>
        <row r="476">
          <cell r="AE476">
            <v>358619.59000000008</v>
          </cell>
        </row>
        <row r="477">
          <cell r="AE477">
            <v>0</v>
          </cell>
        </row>
        <row r="478">
          <cell r="AE478">
            <v>0</v>
          </cell>
        </row>
        <row r="479">
          <cell r="AE479">
            <v>0</v>
          </cell>
        </row>
        <row r="481">
          <cell r="AE481">
            <v>-1669101.6637950791</v>
          </cell>
        </row>
        <row r="487">
          <cell r="AE487">
            <v>1109688.1100000003</v>
          </cell>
        </row>
        <row r="488">
          <cell r="AE488">
            <v>6262.0899999999983</v>
          </cell>
        </row>
        <row r="489">
          <cell r="AE489">
            <v>22354.87</v>
          </cell>
        </row>
        <row r="490">
          <cell r="AE490">
            <v>16440.050000000003</v>
          </cell>
        </row>
        <row r="491">
          <cell r="AE491">
            <v>56528.949999999983</v>
          </cell>
        </row>
        <row r="492">
          <cell r="AE492">
            <v>0</v>
          </cell>
        </row>
        <row r="493">
          <cell r="AE493">
            <v>0</v>
          </cell>
        </row>
        <row r="494">
          <cell r="AE494">
            <v>0</v>
          </cell>
        </row>
        <row r="495">
          <cell r="AE495">
            <v>7565.2400000000007</v>
          </cell>
        </row>
        <row r="496">
          <cell r="AE496"/>
        </row>
        <row r="497">
          <cell r="AE497"/>
        </row>
        <row r="498">
          <cell r="AE498"/>
        </row>
        <row r="499">
          <cell r="AE499"/>
        </row>
        <row r="500">
          <cell r="AE500">
            <v>0</v>
          </cell>
        </row>
        <row r="501">
          <cell r="AE501">
            <v>0</v>
          </cell>
        </row>
        <row r="502">
          <cell r="AE502">
            <v>0</v>
          </cell>
        </row>
        <row r="503">
          <cell r="AE503">
            <v>177260.85999999993</v>
          </cell>
        </row>
        <row r="504">
          <cell r="AE504">
            <v>0</v>
          </cell>
        </row>
        <row r="505">
          <cell r="AE505">
            <v>9650.0000000000036</v>
          </cell>
        </row>
        <row r="506">
          <cell r="AE506">
            <v>0</v>
          </cell>
        </row>
        <row r="507">
          <cell r="AE507">
            <v>0</v>
          </cell>
        </row>
        <row r="508">
          <cell r="AE508">
            <v>0</v>
          </cell>
        </row>
        <row r="509">
          <cell r="AE509">
            <v>0</v>
          </cell>
        </row>
        <row r="510">
          <cell r="AE510">
            <v>1594992.2000000002</v>
          </cell>
        </row>
        <row r="511">
          <cell r="AE511">
            <v>0</v>
          </cell>
        </row>
        <row r="512">
          <cell r="AE512">
            <v>0</v>
          </cell>
        </row>
        <row r="513">
          <cell r="AE513">
            <v>0</v>
          </cell>
        </row>
        <row r="514">
          <cell r="AE514">
            <v>0</v>
          </cell>
        </row>
        <row r="515">
          <cell r="AE515">
            <v>0</v>
          </cell>
        </row>
        <row r="516">
          <cell r="AE516">
            <v>0</v>
          </cell>
        </row>
        <row r="517">
          <cell r="AE517">
            <v>0</v>
          </cell>
        </row>
        <row r="518">
          <cell r="AE518">
            <v>48911.460000000006</v>
          </cell>
        </row>
        <row r="519">
          <cell r="AE519">
            <v>341.67000000000007</v>
          </cell>
        </row>
        <row r="520">
          <cell r="AE520">
            <v>115193.78000000003</v>
          </cell>
        </row>
        <row r="521">
          <cell r="AE521">
            <v>0</v>
          </cell>
        </row>
        <row r="522">
          <cell r="AE522">
            <v>77</v>
          </cell>
        </row>
        <row r="524">
          <cell r="AE524">
            <v>0</v>
          </cell>
        </row>
        <row r="525">
          <cell r="AE525">
            <v>0</v>
          </cell>
        </row>
        <row r="526">
          <cell r="AE526">
            <v>0</v>
          </cell>
        </row>
        <row r="527">
          <cell r="AE527">
            <v>0</v>
          </cell>
        </row>
        <row r="528">
          <cell r="AE528">
            <v>0</v>
          </cell>
        </row>
        <row r="529">
          <cell r="AE529">
            <v>12338.130000000005</v>
          </cell>
        </row>
        <row r="530">
          <cell r="AE530">
            <v>0</v>
          </cell>
        </row>
        <row r="531">
          <cell r="AE531">
            <v>0</v>
          </cell>
        </row>
        <row r="533">
          <cell r="AE533">
            <v>1810.8599999999997</v>
          </cell>
        </row>
        <row r="534">
          <cell r="AE534">
            <v>0</v>
          </cell>
        </row>
        <row r="535">
          <cell r="AE535">
            <v>172279.03000000014</v>
          </cell>
        </row>
        <row r="536">
          <cell r="AE536">
            <v>0</v>
          </cell>
        </row>
        <row r="537">
          <cell r="AE537">
            <v>0</v>
          </cell>
        </row>
        <row r="538">
          <cell r="AE538">
            <v>0</v>
          </cell>
        </row>
        <row r="539">
          <cell r="AE539">
            <v>0</v>
          </cell>
        </row>
        <row r="540">
          <cell r="AE540">
            <v>0</v>
          </cell>
        </row>
        <row r="541">
          <cell r="AE541">
            <v>0</v>
          </cell>
        </row>
        <row r="542">
          <cell r="AE542">
            <v>0</v>
          </cell>
        </row>
        <row r="543">
          <cell r="AE543">
            <v>0</v>
          </cell>
        </row>
        <row r="544">
          <cell r="AE544">
            <v>0</v>
          </cell>
        </row>
        <row r="545">
          <cell r="AE545">
            <v>0</v>
          </cell>
        </row>
        <row r="546">
          <cell r="AE546">
            <v>121357.53151797468</v>
          </cell>
        </row>
        <row r="547">
          <cell r="AE547">
            <v>121357.53151797468</v>
          </cell>
        </row>
        <row r="548">
          <cell r="AE548">
            <v>0</v>
          </cell>
        </row>
        <row r="549">
          <cell r="AE549">
            <v>1888628.7615179745</v>
          </cell>
        </row>
        <row r="550">
          <cell r="AE550">
            <v>0</v>
          </cell>
        </row>
        <row r="551">
          <cell r="AE551">
            <v>0</v>
          </cell>
        </row>
        <row r="552">
          <cell r="AE552">
            <v>64472.130000000005</v>
          </cell>
        </row>
        <row r="553">
          <cell r="AE553">
            <v>0</v>
          </cell>
        </row>
        <row r="554">
          <cell r="AE554">
            <v>3199.9999999999995</v>
          </cell>
        </row>
        <row r="555">
          <cell r="AE555">
            <v>0</v>
          </cell>
        </row>
        <row r="556">
          <cell r="AE556">
            <v>0</v>
          </cell>
        </row>
        <row r="557">
          <cell r="AE557">
            <v>7000</v>
          </cell>
        </row>
        <row r="558">
          <cell r="AE558"/>
        </row>
        <row r="559">
          <cell r="AE559"/>
        </row>
        <row r="560">
          <cell r="AE560">
            <v>125362.79999999999</v>
          </cell>
        </row>
        <row r="561">
          <cell r="AE561">
            <v>0</v>
          </cell>
        </row>
        <row r="562">
          <cell r="AE562">
            <v>6000</v>
          </cell>
        </row>
        <row r="563">
          <cell r="AE563">
            <v>0</v>
          </cell>
        </row>
        <row r="564">
          <cell r="AE564">
            <v>0</v>
          </cell>
        </row>
        <row r="565">
          <cell r="AE565">
            <v>0</v>
          </cell>
        </row>
        <row r="566">
          <cell r="AE566">
            <v>45374.19</v>
          </cell>
        </row>
        <row r="567">
          <cell r="AE567">
            <v>1575</v>
          </cell>
        </row>
        <row r="568">
          <cell r="AE568">
            <v>0</v>
          </cell>
        </row>
        <row r="569">
          <cell r="AE569">
            <v>0</v>
          </cell>
        </row>
        <row r="570">
          <cell r="AE570">
            <v>256290.57000000007</v>
          </cell>
        </row>
        <row r="571">
          <cell r="AE571">
            <v>0</v>
          </cell>
        </row>
        <row r="572">
          <cell r="AE572">
            <v>0</v>
          </cell>
        </row>
        <row r="573">
          <cell r="AE573">
            <v>0</v>
          </cell>
        </row>
        <row r="574">
          <cell r="AE574">
            <v>0</v>
          </cell>
        </row>
        <row r="575">
          <cell r="AE575">
            <v>0</v>
          </cell>
        </row>
        <row r="576">
          <cell r="AE576">
            <v>0</v>
          </cell>
        </row>
        <row r="577">
          <cell r="AE577">
            <v>0</v>
          </cell>
        </row>
        <row r="578">
          <cell r="AE578">
            <v>0</v>
          </cell>
        </row>
        <row r="579">
          <cell r="AE579">
            <v>430</v>
          </cell>
        </row>
        <row r="580">
          <cell r="AE580">
            <v>6607.35</v>
          </cell>
        </row>
        <row r="581">
          <cell r="AE581">
            <v>90</v>
          </cell>
        </row>
        <row r="582">
          <cell r="AE582">
            <v>0</v>
          </cell>
        </row>
        <row r="584">
          <cell r="AE584">
            <v>0</v>
          </cell>
        </row>
        <row r="585">
          <cell r="AE585">
            <v>0</v>
          </cell>
        </row>
        <row r="586">
          <cell r="AE586">
            <v>0</v>
          </cell>
        </row>
        <row r="587">
          <cell r="AE587">
            <v>0</v>
          </cell>
        </row>
        <row r="588">
          <cell r="AE588">
            <v>0</v>
          </cell>
        </row>
        <row r="590">
          <cell r="AE590">
            <v>0</v>
          </cell>
        </row>
        <row r="591">
          <cell r="AE591">
            <v>1913.6600000000008</v>
          </cell>
        </row>
        <row r="593">
          <cell r="AE593">
            <v>0</v>
          </cell>
        </row>
        <row r="594">
          <cell r="AE594">
            <v>0</v>
          </cell>
        </row>
        <row r="595">
          <cell r="AE595">
            <v>0</v>
          </cell>
        </row>
        <row r="596">
          <cell r="AE596">
            <v>0</v>
          </cell>
        </row>
        <row r="597">
          <cell r="AE597">
            <v>0</v>
          </cell>
        </row>
        <row r="598">
          <cell r="AE598">
            <v>0</v>
          </cell>
        </row>
        <row r="599">
          <cell r="AE599">
            <v>0</v>
          </cell>
        </row>
        <row r="600">
          <cell r="AE600">
            <v>0</v>
          </cell>
        </row>
        <row r="601">
          <cell r="AE601">
            <v>0</v>
          </cell>
        </row>
        <row r="602">
          <cell r="AE602">
            <v>0</v>
          </cell>
        </row>
        <row r="603">
          <cell r="AE603">
            <v>0</v>
          </cell>
        </row>
        <row r="604">
          <cell r="AE604">
            <v>0</v>
          </cell>
        </row>
        <row r="605">
          <cell r="AE605">
            <v>0</v>
          </cell>
        </row>
        <row r="606">
          <cell r="AE606">
            <v>0</v>
          </cell>
        </row>
        <row r="607">
          <cell r="AE607">
            <v>0</v>
          </cell>
        </row>
        <row r="608">
          <cell r="AE608">
            <v>4943.93</v>
          </cell>
        </row>
        <row r="609">
          <cell r="AE609">
            <v>16256.369999999995</v>
          </cell>
        </row>
        <row r="610">
          <cell r="AE610">
            <v>0</v>
          </cell>
        </row>
        <row r="613">
          <cell r="AE613">
            <v>593.13000000000011</v>
          </cell>
        </row>
        <row r="614">
          <cell r="AE614">
            <v>80514.149999999994</v>
          </cell>
        </row>
        <row r="616">
          <cell r="AE616">
            <v>0</v>
          </cell>
        </row>
        <row r="617">
          <cell r="AE617">
            <v>0</v>
          </cell>
        </row>
        <row r="618">
          <cell r="AE618">
            <v>180265.50977715885</v>
          </cell>
        </row>
        <row r="619">
          <cell r="AE619">
            <v>0</v>
          </cell>
        </row>
        <row r="620">
          <cell r="AE620">
            <v>291614.09977715882</v>
          </cell>
        </row>
        <row r="621">
          <cell r="AE621">
            <v>0</v>
          </cell>
        </row>
        <row r="622">
          <cell r="AE622">
            <v>0</v>
          </cell>
        </row>
        <row r="623">
          <cell r="AE623">
            <v>23046.633911652709</v>
          </cell>
        </row>
        <row r="624">
          <cell r="AE624">
            <v>570951.30368881207</v>
          </cell>
        </row>
        <row r="625">
          <cell r="AE625">
            <v>0</v>
          </cell>
        </row>
        <row r="626">
          <cell r="AE626">
            <v>0</v>
          </cell>
        </row>
        <row r="627">
          <cell r="AE627">
            <v>0</v>
          </cell>
        </row>
        <row r="628">
          <cell r="AE628">
            <v>0</v>
          </cell>
        </row>
        <row r="629">
          <cell r="AE629">
            <v>92477.359999999986</v>
          </cell>
        </row>
        <row r="630">
          <cell r="AE630">
            <v>0</v>
          </cell>
        </row>
        <row r="631">
          <cell r="AE631">
            <v>0</v>
          </cell>
        </row>
        <row r="632">
          <cell r="AE632">
            <v>0</v>
          </cell>
        </row>
        <row r="633">
          <cell r="AE633">
            <v>0</v>
          </cell>
        </row>
        <row r="634">
          <cell r="AE634">
            <v>0</v>
          </cell>
        </row>
        <row r="635">
          <cell r="AE635">
            <v>12270.399999999994</v>
          </cell>
        </row>
        <row r="636">
          <cell r="AE636">
            <v>0</v>
          </cell>
        </row>
        <row r="637">
          <cell r="AE637">
            <v>0</v>
          </cell>
        </row>
        <row r="638">
          <cell r="AE638">
            <v>0</v>
          </cell>
        </row>
        <row r="639">
          <cell r="AE639">
            <v>69068.060000000027</v>
          </cell>
        </row>
        <row r="640">
          <cell r="AE640">
            <v>2000</v>
          </cell>
        </row>
        <row r="641">
          <cell r="AE641">
            <v>0</v>
          </cell>
        </row>
        <row r="642">
          <cell r="AE642">
            <v>0</v>
          </cell>
        </row>
        <row r="643">
          <cell r="AE643">
            <v>78645.209999999992</v>
          </cell>
        </row>
        <row r="644">
          <cell r="AE644">
            <v>0</v>
          </cell>
        </row>
        <row r="645">
          <cell r="AE645">
            <v>3232.9999999999991</v>
          </cell>
        </row>
        <row r="646">
          <cell r="AE646">
            <v>12059.130000000005</v>
          </cell>
        </row>
        <row r="647">
          <cell r="AE647">
            <v>0</v>
          </cell>
        </row>
        <row r="648">
          <cell r="AE648">
            <v>38425</v>
          </cell>
        </row>
        <row r="649">
          <cell r="AE649">
            <v>62444.41</v>
          </cell>
        </row>
        <row r="650">
          <cell r="AE650">
            <v>0</v>
          </cell>
        </row>
        <row r="652">
          <cell r="AE652">
            <v>0</v>
          </cell>
        </row>
        <row r="653">
          <cell r="AE653">
            <v>0</v>
          </cell>
        </row>
        <row r="654">
          <cell r="AE654">
            <v>0</v>
          </cell>
        </row>
        <row r="655">
          <cell r="AE655">
            <v>370622.57000000007</v>
          </cell>
        </row>
        <row r="656">
          <cell r="AE656">
            <v>0</v>
          </cell>
        </row>
        <row r="657">
          <cell r="AE657">
            <v>60648.26999999999</v>
          </cell>
        </row>
        <row r="658">
          <cell r="AE658">
            <v>60648.26999999999</v>
          </cell>
        </row>
        <row r="659">
          <cell r="AE659">
            <v>0</v>
          </cell>
        </row>
        <row r="661">
          <cell r="AE661">
            <v>5218.2799999999988</v>
          </cell>
        </row>
        <row r="662">
          <cell r="AE662">
            <v>4333.33</v>
          </cell>
        </row>
        <row r="663">
          <cell r="AE663">
            <v>0</v>
          </cell>
        </row>
        <row r="664">
          <cell r="AE664">
            <v>0</v>
          </cell>
        </row>
        <row r="665">
          <cell r="AE665">
            <v>9551.61</v>
          </cell>
        </row>
        <row r="666">
          <cell r="AE666">
            <v>0</v>
          </cell>
        </row>
        <row r="667">
          <cell r="AE667">
            <v>47526.630000000005</v>
          </cell>
        </row>
        <row r="668">
          <cell r="AE668">
            <v>6914.18</v>
          </cell>
        </row>
        <row r="669">
          <cell r="AE669">
            <v>7467.1799999999967</v>
          </cell>
        </row>
        <row r="670">
          <cell r="AE670">
            <v>5408.510000000002</v>
          </cell>
        </row>
        <row r="671">
          <cell r="AE671">
            <v>124.39000000000004</v>
          </cell>
        </row>
        <row r="672">
          <cell r="AE672">
            <v>706.61999999999989</v>
          </cell>
        </row>
        <row r="673">
          <cell r="AE673">
            <v>776.59</v>
          </cell>
        </row>
        <row r="674">
          <cell r="AE674">
            <v>4845.1399999999994</v>
          </cell>
        </row>
        <row r="675">
          <cell r="AE675">
            <v>519.85</v>
          </cell>
        </row>
        <row r="676">
          <cell r="AE676">
            <v>161.42999999999984</v>
          </cell>
        </row>
        <row r="677">
          <cell r="AE677">
            <v>1539.88</v>
          </cell>
        </row>
        <row r="678">
          <cell r="AE678">
            <v>98.85</v>
          </cell>
        </row>
        <row r="679">
          <cell r="AE679">
            <v>0</v>
          </cell>
        </row>
        <row r="680">
          <cell r="AE680">
            <v>2289.19</v>
          </cell>
        </row>
        <row r="681">
          <cell r="AE681">
            <v>9001.380000000001</v>
          </cell>
        </row>
        <row r="682">
          <cell r="AE682">
            <v>0</v>
          </cell>
        </row>
        <row r="683">
          <cell r="AE683">
            <v>0</v>
          </cell>
        </row>
        <row r="684">
          <cell r="AE684">
            <v>0</v>
          </cell>
        </row>
        <row r="685">
          <cell r="AE685">
            <v>0</v>
          </cell>
        </row>
        <row r="686">
          <cell r="AE686">
            <v>1583612.8699999992</v>
          </cell>
        </row>
        <row r="687">
          <cell r="AE687">
            <v>111646.75</v>
          </cell>
        </row>
        <row r="688">
          <cell r="AE688">
            <v>93114.260000000009</v>
          </cell>
        </row>
        <row r="689">
          <cell r="AE689">
            <v>129183.54999999999</v>
          </cell>
        </row>
        <row r="690">
          <cell r="AE690">
            <v>7772.7099999999991</v>
          </cell>
        </row>
        <row r="691">
          <cell r="AE691">
            <v>89560.830000000016</v>
          </cell>
        </row>
        <row r="692">
          <cell r="AE692">
            <v>23995.690000000002</v>
          </cell>
        </row>
        <row r="693">
          <cell r="AE693">
            <v>3612.8699999999953</v>
          </cell>
        </row>
        <row r="694">
          <cell r="AE694">
            <v>72440.41</v>
          </cell>
        </row>
        <row r="695">
          <cell r="AE695">
            <v>0</v>
          </cell>
        </row>
        <row r="696">
          <cell r="AE696">
            <v>0</v>
          </cell>
        </row>
        <row r="697">
          <cell r="AE697">
            <v>0</v>
          </cell>
        </row>
        <row r="698">
          <cell r="AE698">
            <v>0</v>
          </cell>
        </row>
        <row r="699">
          <cell r="AE699">
            <v>28858.639999999999</v>
          </cell>
        </row>
        <row r="700">
          <cell r="AE700">
            <v>13884.510000000002</v>
          </cell>
        </row>
        <row r="701">
          <cell r="AE701">
            <v>10.780000000000005</v>
          </cell>
        </row>
        <row r="702">
          <cell r="AE702">
            <v>27495.840000000011</v>
          </cell>
        </row>
        <row r="703">
          <cell r="AE703">
            <v>246.38000000000102</v>
          </cell>
        </row>
        <row r="704">
          <cell r="AE704">
            <v>11300.59</v>
          </cell>
        </row>
        <row r="705">
          <cell r="AE705">
            <v>0</v>
          </cell>
        </row>
        <row r="706">
          <cell r="AE706">
            <v>-28858.639999999999</v>
          </cell>
        </row>
        <row r="707">
          <cell r="AE707">
            <v>-13884.510000000002</v>
          </cell>
        </row>
        <row r="708">
          <cell r="AE708">
            <v>-10.780000000000005</v>
          </cell>
        </row>
        <row r="709">
          <cell r="AE709">
            <v>-27495.840000000011</v>
          </cell>
        </row>
        <row r="710">
          <cell r="AE710">
            <v>-246.38000000000102</v>
          </cell>
        </row>
        <row r="711">
          <cell r="AE711">
            <v>-11300.59</v>
          </cell>
        </row>
        <row r="712">
          <cell r="AE712">
            <v>0</v>
          </cell>
        </row>
        <row r="713">
          <cell r="AE713">
            <v>-2375.7600000000002</v>
          </cell>
        </row>
        <row r="714">
          <cell r="AE714">
            <v>-2112569.2300000004</v>
          </cell>
        </row>
        <row r="715">
          <cell r="AE715">
            <v>0</v>
          </cell>
        </row>
        <row r="716">
          <cell r="AE716">
            <v>0</v>
          </cell>
        </row>
        <row r="717">
          <cell r="AE717">
            <v>0</v>
          </cell>
        </row>
        <row r="718">
          <cell r="AE718">
            <v>0</v>
          </cell>
        </row>
        <row r="719">
          <cell r="AE719">
            <v>0</v>
          </cell>
        </row>
        <row r="720">
          <cell r="AE720">
            <v>0</v>
          </cell>
        </row>
        <row r="721">
          <cell r="AE721">
            <v>572.59999999999991</v>
          </cell>
        </row>
        <row r="722">
          <cell r="AE722">
            <v>0</v>
          </cell>
        </row>
        <row r="723">
          <cell r="AE723">
            <v>0</v>
          </cell>
        </row>
        <row r="724">
          <cell r="AE724">
            <v>0</v>
          </cell>
        </row>
        <row r="725">
          <cell r="AE725">
            <v>0</v>
          </cell>
        </row>
        <row r="726">
          <cell r="AE726">
            <v>0</v>
          </cell>
        </row>
        <row r="727">
          <cell r="AE727">
            <v>4828.3999999999996</v>
          </cell>
        </row>
        <row r="728">
          <cell r="AE728">
            <v>3394.2099999999991</v>
          </cell>
        </row>
        <row r="729">
          <cell r="AE729">
            <v>0</v>
          </cell>
        </row>
        <row r="730">
          <cell r="AE730">
            <v>0</v>
          </cell>
        </row>
        <row r="731">
          <cell r="AE731">
            <v>0</v>
          </cell>
        </row>
        <row r="732">
          <cell r="AE732">
            <v>0</v>
          </cell>
        </row>
        <row r="733">
          <cell r="AE733">
            <v>0</v>
          </cell>
        </row>
        <row r="734">
          <cell r="AE734">
            <v>0</v>
          </cell>
        </row>
        <row r="735">
          <cell r="AE735">
            <v>0</v>
          </cell>
        </row>
        <row r="736">
          <cell r="AE736">
            <v>0</v>
          </cell>
        </row>
        <row r="737">
          <cell r="AE737">
            <v>0</v>
          </cell>
        </row>
        <row r="738">
          <cell r="AE738">
            <v>0</v>
          </cell>
        </row>
        <row r="739">
          <cell r="AE739">
            <v>0</v>
          </cell>
        </row>
        <row r="741">
          <cell r="AE741">
            <v>753.07000000000016</v>
          </cell>
        </row>
        <row r="742">
          <cell r="AE742">
            <v>-198.04</v>
          </cell>
        </row>
        <row r="743">
          <cell r="AE743">
            <v>28915.33</v>
          </cell>
        </row>
        <row r="744">
          <cell r="AE744">
            <v>4812.5000000000018</v>
          </cell>
        </row>
        <row r="745">
          <cell r="AE745">
            <v>616.12999999999988</v>
          </cell>
        </row>
        <row r="746">
          <cell r="AE746">
            <v>0</v>
          </cell>
        </row>
        <row r="747">
          <cell r="AE747">
            <v>0</v>
          </cell>
        </row>
        <row r="748">
          <cell r="AE748">
            <v>0</v>
          </cell>
        </row>
        <row r="749">
          <cell r="AE749">
            <v>0</v>
          </cell>
        </row>
        <row r="750">
          <cell r="AE750">
            <v>131068.96999999956</v>
          </cell>
        </row>
        <row r="751">
          <cell r="AE751">
            <v>0</v>
          </cell>
        </row>
        <row r="752">
          <cell r="AE752">
            <v>0</v>
          </cell>
        </row>
        <row r="753">
          <cell r="AE753">
            <v>-165598.40288252092</v>
          </cell>
        </row>
        <row r="754">
          <cell r="AE754">
            <v>-165598.40288252092</v>
          </cell>
        </row>
        <row r="755">
          <cell r="AE755">
            <v>0</v>
          </cell>
        </row>
        <row r="756">
          <cell r="AE756">
            <v>0</v>
          </cell>
        </row>
        <row r="757">
          <cell r="AE757">
            <v>0</v>
          </cell>
        </row>
        <row r="758">
          <cell r="AE758">
            <v>0</v>
          </cell>
        </row>
        <row r="759">
          <cell r="AE759">
            <v>26433.940000000002</v>
          </cell>
        </row>
        <row r="760">
          <cell r="AE760">
            <v>6568.5400000000009</v>
          </cell>
        </row>
        <row r="761">
          <cell r="AE761">
            <v>536.02000000000044</v>
          </cell>
        </row>
        <row r="762">
          <cell r="AE762">
            <v>0</v>
          </cell>
        </row>
        <row r="763">
          <cell r="AE763">
            <v>0</v>
          </cell>
        </row>
        <row r="764">
          <cell r="AE764">
            <v>33538.499999999971</v>
          </cell>
        </row>
        <row r="765">
          <cell r="AE765">
            <v>0</v>
          </cell>
        </row>
        <row r="766">
          <cell r="AE766">
            <v>0</v>
          </cell>
        </row>
        <row r="767">
          <cell r="AE767">
            <v>0</v>
          </cell>
        </row>
        <row r="768">
          <cell r="AE768">
            <v>0</v>
          </cell>
        </row>
        <row r="769">
          <cell r="AE769">
            <v>439831.51711747795</v>
          </cell>
        </row>
        <row r="770">
          <cell r="AE770">
            <v>0</v>
          </cell>
        </row>
        <row r="771">
          <cell r="AE771">
            <v>0</v>
          </cell>
        </row>
        <row r="772">
          <cell r="AE772">
            <v>0</v>
          </cell>
        </row>
        <row r="773">
          <cell r="AE773">
            <v>0</v>
          </cell>
        </row>
        <row r="774">
          <cell r="AE774">
            <v>141300.59000000003</v>
          </cell>
        </row>
        <row r="775">
          <cell r="AE775">
            <v>17733.599999999999</v>
          </cell>
        </row>
        <row r="776">
          <cell r="AE776">
            <v>8125</v>
          </cell>
        </row>
        <row r="777">
          <cell r="AE777">
            <v>4927.62</v>
          </cell>
        </row>
        <row r="778">
          <cell r="AE778">
            <v>0</v>
          </cell>
        </row>
        <row r="779">
          <cell r="AE779">
            <v>0</v>
          </cell>
        </row>
        <row r="780">
          <cell r="AE780">
            <v>0</v>
          </cell>
        </row>
        <row r="781">
          <cell r="AE781">
            <v>0</v>
          </cell>
        </row>
        <row r="782">
          <cell r="AE782">
            <v>0</v>
          </cell>
        </row>
        <row r="783">
          <cell r="AE783">
            <v>22097.009999999995</v>
          </cell>
        </row>
        <row r="784">
          <cell r="AE784">
            <v>2431</v>
          </cell>
        </row>
        <row r="785">
          <cell r="AE785">
            <v>-147729.03999999998</v>
          </cell>
        </row>
        <row r="786">
          <cell r="AE786">
            <v>-5798.04</v>
          </cell>
        </row>
        <row r="787">
          <cell r="AE787">
            <v>72440.41</v>
          </cell>
        </row>
        <row r="788">
          <cell r="AE788">
            <v>0</v>
          </cell>
        </row>
        <row r="789">
          <cell r="AE789">
            <v>29500.080000000002</v>
          </cell>
        </row>
        <row r="790">
          <cell r="AE790">
            <v>0</v>
          </cell>
        </row>
        <row r="791">
          <cell r="AE791">
            <v>64646.51</v>
          </cell>
        </row>
        <row r="792">
          <cell r="AE792">
            <v>199.35000000000002</v>
          </cell>
        </row>
        <row r="793">
          <cell r="AE793">
            <v>14041.69</v>
          </cell>
        </row>
        <row r="794">
          <cell r="AE794">
            <v>12866</v>
          </cell>
        </row>
        <row r="795">
          <cell r="AE795">
            <v>7535</v>
          </cell>
        </row>
        <row r="796">
          <cell r="AE796">
            <v>0</v>
          </cell>
        </row>
        <row r="797">
          <cell r="AE797">
            <v>9000</v>
          </cell>
        </row>
        <row r="798">
          <cell r="AE798">
            <v>1065</v>
          </cell>
        </row>
        <row r="799">
          <cell r="AE799">
            <v>7000</v>
          </cell>
        </row>
        <row r="800">
          <cell r="AE800">
            <v>846.81000000000131</v>
          </cell>
        </row>
        <row r="801">
          <cell r="AE801">
            <v>9833</v>
          </cell>
        </row>
        <row r="802">
          <cell r="AE802">
            <v>3366.3799999999992</v>
          </cell>
        </row>
        <row r="803">
          <cell r="AE803">
            <v>0</v>
          </cell>
        </row>
        <row r="804">
          <cell r="AE804">
            <v>0</v>
          </cell>
        </row>
        <row r="805">
          <cell r="AE805">
            <v>0</v>
          </cell>
        </row>
        <row r="806">
          <cell r="AE806">
            <v>0</v>
          </cell>
        </row>
        <row r="807">
          <cell r="AE807">
            <v>1141</v>
          </cell>
        </row>
        <row r="808">
          <cell r="AE808">
            <v>0</v>
          </cell>
        </row>
        <row r="809">
          <cell r="AE809">
            <v>0</v>
          </cell>
        </row>
        <row r="810">
          <cell r="AE810">
            <v>0</v>
          </cell>
        </row>
        <row r="811">
          <cell r="AE811">
            <v>0</v>
          </cell>
        </row>
        <row r="812">
          <cell r="AE812">
            <v>0</v>
          </cell>
        </row>
        <row r="813">
          <cell r="AE813">
            <v>0</v>
          </cell>
        </row>
        <row r="814">
          <cell r="AE814">
            <v>188.88000000000011</v>
          </cell>
        </row>
        <row r="815">
          <cell r="AE815">
            <v>0</v>
          </cell>
        </row>
        <row r="816">
          <cell r="AE816">
            <v>276757.84999999998</v>
          </cell>
        </row>
        <row r="817">
          <cell r="AE817">
            <v>0</v>
          </cell>
        </row>
        <row r="818">
          <cell r="AE818">
            <v>0</v>
          </cell>
        </row>
        <row r="819">
          <cell r="AE819">
            <v>0</v>
          </cell>
        </row>
        <row r="820">
          <cell r="AE820">
            <v>0</v>
          </cell>
        </row>
        <row r="821">
          <cell r="AE821">
            <v>0</v>
          </cell>
        </row>
        <row r="822">
          <cell r="AE822">
            <v>0</v>
          </cell>
        </row>
        <row r="823">
          <cell r="AE823">
            <v>0</v>
          </cell>
        </row>
        <row r="824">
          <cell r="AE824">
            <v>0</v>
          </cell>
        </row>
        <row r="825">
          <cell r="AE825">
            <v>0</v>
          </cell>
        </row>
        <row r="826">
          <cell r="AE826">
            <v>0</v>
          </cell>
        </row>
        <row r="827">
          <cell r="AE827">
            <v>0</v>
          </cell>
        </row>
        <row r="828">
          <cell r="AE828">
            <v>0</v>
          </cell>
        </row>
        <row r="829">
          <cell r="AE829">
            <v>0</v>
          </cell>
        </row>
        <row r="830">
          <cell r="AE830">
            <v>0</v>
          </cell>
        </row>
        <row r="831">
          <cell r="AE831">
            <v>0</v>
          </cell>
        </row>
        <row r="832">
          <cell r="AE832">
            <v>998.20000000000073</v>
          </cell>
        </row>
        <row r="833">
          <cell r="AE833">
            <v>57915.240000000005</v>
          </cell>
        </row>
        <row r="834">
          <cell r="AE834">
            <v>9879.4500000000007</v>
          </cell>
        </row>
        <row r="835">
          <cell r="AE835">
            <v>4138.4000000000015</v>
          </cell>
        </row>
        <row r="836">
          <cell r="AE836">
            <v>4374.2999999999975</v>
          </cell>
        </row>
        <row r="837">
          <cell r="AE837">
            <v>176.55999999999995</v>
          </cell>
        </row>
        <row r="838">
          <cell r="AE838">
            <v>15000</v>
          </cell>
        </row>
        <row r="839">
          <cell r="AE839">
            <v>0</v>
          </cell>
        </row>
        <row r="840">
          <cell r="AE840">
            <v>0</v>
          </cell>
        </row>
        <row r="841">
          <cell r="AE841">
            <v>652.27</v>
          </cell>
        </row>
        <row r="842">
          <cell r="AE842">
            <v>0</v>
          </cell>
        </row>
        <row r="843">
          <cell r="AE843">
            <v>0</v>
          </cell>
        </row>
        <row r="844">
          <cell r="AE844">
            <v>0</v>
          </cell>
        </row>
        <row r="845">
          <cell r="AE845">
            <v>0</v>
          </cell>
        </row>
        <row r="846">
          <cell r="AE846">
            <v>0</v>
          </cell>
        </row>
        <row r="847">
          <cell r="AE847">
            <v>0</v>
          </cell>
        </row>
        <row r="848">
          <cell r="AE848">
            <v>0</v>
          </cell>
        </row>
        <row r="849">
          <cell r="AE849">
            <v>0</v>
          </cell>
        </row>
        <row r="850">
          <cell r="AE850">
            <v>0</v>
          </cell>
        </row>
        <row r="851">
          <cell r="AE851">
            <v>0</v>
          </cell>
        </row>
        <row r="852">
          <cell r="AE852">
            <v>0</v>
          </cell>
        </row>
        <row r="853">
          <cell r="AE853">
            <v>0</v>
          </cell>
        </row>
        <row r="856">
          <cell r="AE856">
            <v>0</v>
          </cell>
        </row>
        <row r="857">
          <cell r="AE857">
            <v>1154.8000000000002</v>
          </cell>
        </row>
        <row r="858">
          <cell r="AE858">
            <v>16377.929999999993</v>
          </cell>
        </row>
        <row r="859">
          <cell r="AE859">
            <v>2615.1800000000003</v>
          </cell>
        </row>
        <row r="860">
          <cell r="AE860">
            <v>0</v>
          </cell>
        </row>
        <row r="861">
          <cell r="AE861">
            <v>219</v>
          </cell>
        </row>
        <row r="862">
          <cell r="AE862">
            <v>102</v>
          </cell>
        </row>
        <row r="863">
          <cell r="AE863">
            <v>45</v>
          </cell>
        </row>
        <row r="864">
          <cell r="AE864">
            <v>0</v>
          </cell>
        </row>
        <row r="865">
          <cell r="AE865">
            <v>83.619999999999976</v>
          </cell>
        </row>
        <row r="866">
          <cell r="AE866">
            <v>0</v>
          </cell>
        </row>
        <row r="867">
          <cell r="AE867">
            <v>0</v>
          </cell>
        </row>
        <row r="868">
          <cell r="AE868">
            <v>0</v>
          </cell>
        </row>
        <row r="869">
          <cell r="AE869">
            <v>0</v>
          </cell>
        </row>
        <row r="870">
          <cell r="AE870">
            <v>0</v>
          </cell>
        </row>
        <row r="871">
          <cell r="AE871">
            <v>0</v>
          </cell>
        </row>
        <row r="872">
          <cell r="AE872">
            <v>0</v>
          </cell>
        </row>
        <row r="873">
          <cell r="AE873">
            <v>0</v>
          </cell>
        </row>
        <row r="874">
          <cell r="AE874">
            <v>113731.95000000001</v>
          </cell>
        </row>
        <row r="875">
          <cell r="AE875">
            <v>0</v>
          </cell>
        </row>
        <row r="876">
          <cell r="AE876">
            <v>0</v>
          </cell>
        </row>
        <row r="877">
          <cell r="AE877">
            <v>0</v>
          </cell>
        </row>
        <row r="878">
          <cell r="AE878">
            <v>0</v>
          </cell>
        </row>
        <row r="879">
          <cell r="AE879">
            <v>0</v>
          </cell>
        </row>
        <row r="880">
          <cell r="AE880">
            <v>0</v>
          </cell>
        </row>
        <row r="881">
          <cell r="AE881">
            <v>21194.237452893605</v>
          </cell>
        </row>
        <row r="882">
          <cell r="AE882">
            <v>21194.237452893605</v>
          </cell>
        </row>
        <row r="883">
          <cell r="AE883">
            <v>0</v>
          </cell>
        </row>
        <row r="884">
          <cell r="AE884">
            <v>411684.03745289356</v>
          </cell>
        </row>
        <row r="885">
          <cell r="AE885">
            <v>0</v>
          </cell>
        </row>
        <row r="886">
          <cell r="AE886">
            <v>0</v>
          </cell>
        </row>
        <row r="887">
          <cell r="AE887">
            <v>0</v>
          </cell>
        </row>
        <row r="888">
          <cell r="AE888">
            <v>0</v>
          </cell>
        </row>
        <row r="889">
          <cell r="AE889">
            <v>0</v>
          </cell>
        </row>
        <row r="890">
          <cell r="AE890">
            <v>0</v>
          </cell>
        </row>
        <row r="891">
          <cell r="AE891">
            <v>0</v>
          </cell>
        </row>
        <row r="892">
          <cell r="AE892">
            <v>52082</v>
          </cell>
        </row>
        <row r="893">
          <cell r="AE893">
            <v>52082</v>
          </cell>
        </row>
        <row r="894">
          <cell r="AE894">
            <v>0</v>
          </cell>
        </row>
        <row r="895">
          <cell r="AE895">
            <v>0</v>
          </cell>
        </row>
        <row r="896">
          <cell r="AE896">
            <v>721</v>
          </cell>
        </row>
        <row r="897">
          <cell r="AE897">
            <v>-256023.98875522468</v>
          </cell>
        </row>
        <row r="898">
          <cell r="AE898">
            <v>30.47</v>
          </cell>
        </row>
        <row r="899">
          <cell r="AE899">
            <v>-1618.86</v>
          </cell>
        </row>
        <row r="900">
          <cell r="AE900">
            <v>4701.369999999999</v>
          </cell>
        </row>
        <row r="901">
          <cell r="AE901">
            <v>0</v>
          </cell>
        </row>
        <row r="902">
          <cell r="AE90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30">
          <cell r="AF330">
            <v>0</v>
          </cell>
        </row>
        <row r="331">
          <cell r="AF331">
            <v>-65038.600000000035</v>
          </cell>
        </row>
        <row r="332">
          <cell r="AF332">
            <v>0</v>
          </cell>
        </row>
        <row r="333">
          <cell r="AF333">
            <v>0</v>
          </cell>
        </row>
        <row r="334">
          <cell r="AF334">
            <v>0</v>
          </cell>
        </row>
        <row r="335">
          <cell r="AF335">
            <v>0</v>
          </cell>
        </row>
        <row r="336">
          <cell r="AF336">
            <v>-7000.9000000000015</v>
          </cell>
        </row>
        <row r="337">
          <cell r="AF337">
            <v>-9511.5399999999991</v>
          </cell>
        </row>
        <row r="338">
          <cell r="AF338">
            <v>-4898.7799999999988</v>
          </cell>
        </row>
        <row r="339">
          <cell r="AF339">
            <v>0</v>
          </cell>
        </row>
        <row r="340">
          <cell r="AF340">
            <v>-91734.460000000021</v>
          </cell>
        </row>
        <row r="341">
          <cell r="AF341">
            <v>-518475.5299999998</v>
          </cell>
        </row>
        <row r="342">
          <cell r="AF342">
            <v>-25086.099999999991</v>
          </cell>
        </row>
        <row r="343">
          <cell r="AF343">
            <v>0</v>
          </cell>
        </row>
        <row r="344">
          <cell r="AF344">
            <v>-1459.3099999999995</v>
          </cell>
        </row>
        <row r="345">
          <cell r="AF345">
            <v>-1085.369999999999</v>
          </cell>
        </row>
        <row r="346">
          <cell r="AF346">
            <v>0</v>
          </cell>
        </row>
        <row r="347">
          <cell r="AF347">
            <v>-16479.839999999997</v>
          </cell>
        </row>
        <row r="348">
          <cell r="AF348">
            <v>-21763.26999999999</v>
          </cell>
        </row>
        <row r="349">
          <cell r="AF349">
            <v>0</v>
          </cell>
        </row>
        <row r="350">
          <cell r="AF350">
            <v>0</v>
          </cell>
        </row>
        <row r="351">
          <cell r="AF351">
            <v>-15733.920000000391</v>
          </cell>
        </row>
        <row r="352">
          <cell r="AF352">
            <v>0</v>
          </cell>
        </row>
        <row r="353">
          <cell r="AF353">
            <v>-104078.20999999999</v>
          </cell>
        </row>
        <row r="354">
          <cell r="AF354">
            <v>-17432.509999999995</v>
          </cell>
        </row>
        <row r="355">
          <cell r="AF355">
            <v>-8933.6000000000058</v>
          </cell>
        </row>
        <row r="356">
          <cell r="AF356">
            <v>-7452.760000000002</v>
          </cell>
        </row>
        <row r="357">
          <cell r="AF357">
            <v>0</v>
          </cell>
        </row>
        <row r="358">
          <cell r="AF358">
            <v>0</v>
          </cell>
        </row>
        <row r="359">
          <cell r="AF359">
            <v>0</v>
          </cell>
        </row>
        <row r="360">
          <cell r="AF360">
            <v>0</v>
          </cell>
        </row>
        <row r="365">
          <cell r="AF365">
            <v>18143.61</v>
          </cell>
        </row>
        <row r="366">
          <cell r="AF366">
            <v>0</v>
          </cell>
        </row>
        <row r="367">
          <cell r="AF367">
            <v>1638</v>
          </cell>
        </row>
        <row r="368">
          <cell r="AF368">
            <v>76.539999999999964</v>
          </cell>
        </row>
        <row r="369">
          <cell r="AF369">
            <v>0</v>
          </cell>
        </row>
        <row r="370">
          <cell r="AF370">
            <v>0</v>
          </cell>
        </row>
        <row r="371">
          <cell r="AF371">
            <v>0</v>
          </cell>
        </row>
        <row r="372">
          <cell r="AF372">
            <v>0</v>
          </cell>
        </row>
        <row r="373">
          <cell r="AF373">
            <v>0</v>
          </cell>
        </row>
        <row r="374">
          <cell r="AF374">
            <v>0</v>
          </cell>
        </row>
        <row r="375">
          <cell r="AF375">
            <v>0</v>
          </cell>
        </row>
        <row r="376">
          <cell r="AF376">
            <v>0</v>
          </cell>
        </row>
        <row r="377">
          <cell r="AF377">
            <v>0</v>
          </cell>
        </row>
        <row r="378">
          <cell r="AF378">
            <v>20730.170000000006</v>
          </cell>
        </row>
        <row r="379">
          <cell r="AF379">
            <v>0</v>
          </cell>
        </row>
        <row r="380">
          <cell r="AF380">
            <v>0</v>
          </cell>
        </row>
        <row r="381">
          <cell r="AF381">
            <v>0</v>
          </cell>
        </row>
        <row r="382">
          <cell r="AF382">
            <v>0</v>
          </cell>
        </row>
        <row r="383">
          <cell r="AF383">
            <v>653367.27563209413</v>
          </cell>
        </row>
        <row r="384">
          <cell r="AF384">
            <v>0</v>
          </cell>
        </row>
        <row r="385">
          <cell r="AF385">
            <v>693955.59563209442</v>
          </cell>
        </row>
        <row r="386">
          <cell r="AF386">
            <v>0</v>
          </cell>
        </row>
        <row r="387">
          <cell r="AF387">
            <v>0</v>
          </cell>
        </row>
        <row r="388">
          <cell r="AF388">
            <v>0</v>
          </cell>
        </row>
        <row r="389">
          <cell r="AF389">
            <v>0</v>
          </cell>
        </row>
        <row r="390">
          <cell r="AF390">
            <v>0</v>
          </cell>
        </row>
        <row r="391">
          <cell r="AF391">
            <v>0</v>
          </cell>
        </row>
        <row r="392">
          <cell r="AF392">
            <v>0</v>
          </cell>
        </row>
        <row r="393">
          <cell r="AF393">
            <v>0</v>
          </cell>
        </row>
        <row r="394">
          <cell r="AF394">
            <v>0</v>
          </cell>
        </row>
        <row r="395">
          <cell r="AF395">
            <v>0</v>
          </cell>
        </row>
        <row r="396">
          <cell r="AF396">
            <v>0</v>
          </cell>
        </row>
        <row r="397">
          <cell r="AF397">
            <v>0</v>
          </cell>
        </row>
        <row r="398">
          <cell r="AF398">
            <v>2124.0916179037058</v>
          </cell>
        </row>
        <row r="399">
          <cell r="AF399">
            <v>1114.05</v>
          </cell>
        </row>
        <row r="400">
          <cell r="AF400">
            <v>0</v>
          </cell>
        </row>
        <row r="401">
          <cell r="AF401">
            <v>0</v>
          </cell>
        </row>
        <row r="402">
          <cell r="AF402">
            <v>3238.1416179037051</v>
          </cell>
        </row>
        <row r="403">
          <cell r="AF403">
            <v>0</v>
          </cell>
        </row>
        <row r="404">
          <cell r="AF404">
            <v>0</v>
          </cell>
        </row>
        <row r="405">
          <cell r="AF405">
            <v>140.57</v>
          </cell>
        </row>
        <row r="406">
          <cell r="AF406">
            <v>0</v>
          </cell>
        </row>
        <row r="407">
          <cell r="AF407">
            <v>0</v>
          </cell>
        </row>
        <row r="408">
          <cell r="AF408">
            <v>0</v>
          </cell>
        </row>
        <row r="409">
          <cell r="AF409">
            <v>0</v>
          </cell>
        </row>
        <row r="410">
          <cell r="AF410">
            <v>0</v>
          </cell>
        </row>
        <row r="411">
          <cell r="AF411">
            <v>0</v>
          </cell>
        </row>
        <row r="412">
          <cell r="AF412">
            <v>0</v>
          </cell>
        </row>
        <row r="413">
          <cell r="AF413">
            <v>0</v>
          </cell>
        </row>
        <row r="414">
          <cell r="AF414">
            <v>140.56999999999994</v>
          </cell>
        </row>
        <row r="415">
          <cell r="AF415">
            <v>0</v>
          </cell>
        </row>
        <row r="416">
          <cell r="AF416">
            <v>0</v>
          </cell>
        </row>
        <row r="417">
          <cell r="AF417">
            <v>3378.7116179037057</v>
          </cell>
        </row>
        <row r="418">
          <cell r="AF418">
            <v>0</v>
          </cell>
        </row>
        <row r="419">
          <cell r="AF419">
            <v>0</v>
          </cell>
        </row>
        <row r="420">
          <cell r="AF420">
            <v>0</v>
          </cell>
        </row>
        <row r="421">
          <cell r="AF421">
            <v>0</v>
          </cell>
        </row>
        <row r="422">
          <cell r="AF422">
            <v>4621.0899999999983</v>
          </cell>
        </row>
        <row r="423">
          <cell r="AF423">
            <v>0</v>
          </cell>
        </row>
        <row r="424">
          <cell r="AF424">
            <v>676.02</v>
          </cell>
        </row>
        <row r="426">
          <cell r="AF426">
            <v>129.11999999999989</v>
          </cell>
        </row>
        <row r="427">
          <cell r="AF427">
            <v>6597.7000000000044</v>
          </cell>
        </row>
        <row r="428">
          <cell r="AF428">
            <v>268.34000000000003</v>
          </cell>
        </row>
        <row r="429">
          <cell r="AF429">
            <v>0</v>
          </cell>
        </row>
        <row r="430">
          <cell r="AF430">
            <v>12292.270000000011</v>
          </cell>
        </row>
        <row r="431">
          <cell r="AF431">
            <v>0</v>
          </cell>
        </row>
        <row r="432">
          <cell r="AF432">
            <v>0</v>
          </cell>
        </row>
        <row r="433">
          <cell r="AF433">
            <v>0</v>
          </cell>
        </row>
        <row r="434">
          <cell r="AF434">
            <v>0</v>
          </cell>
        </row>
        <row r="435">
          <cell r="AF435">
            <v>0</v>
          </cell>
        </row>
        <row r="436">
          <cell r="AF436">
            <v>0</v>
          </cell>
        </row>
        <row r="437">
          <cell r="AF437">
            <v>0</v>
          </cell>
        </row>
        <row r="438">
          <cell r="AF438">
            <v>60933.48000000001</v>
          </cell>
        </row>
        <row r="439">
          <cell r="AF439">
            <v>3266</v>
          </cell>
        </row>
        <row r="440">
          <cell r="AF440">
            <v>-122841.70000000001</v>
          </cell>
        </row>
        <row r="441">
          <cell r="AF441">
            <v>-15066.010000000002</v>
          </cell>
        </row>
        <row r="442">
          <cell r="AF442">
            <v>63497.889999999985</v>
          </cell>
        </row>
        <row r="443">
          <cell r="AF443">
            <v>15960.91</v>
          </cell>
        </row>
        <row r="444">
          <cell r="AF444">
            <v>11030.89</v>
          </cell>
        </row>
        <row r="445">
          <cell r="AF445">
            <v>0</v>
          </cell>
        </row>
        <row r="446">
          <cell r="AF446">
            <v>6181.820000000007</v>
          </cell>
        </row>
        <row r="447">
          <cell r="AF447">
            <v>78529.340000000026</v>
          </cell>
        </row>
        <row r="448">
          <cell r="AF448">
            <v>3743</v>
          </cell>
        </row>
        <row r="449">
          <cell r="AF449">
            <v>0</v>
          </cell>
        </row>
        <row r="450">
          <cell r="AF450">
            <v>36385.739999999991</v>
          </cell>
        </row>
        <row r="451">
          <cell r="AF451">
            <v>15527.490000000005</v>
          </cell>
        </row>
        <row r="452">
          <cell r="AF452">
            <v>16418.07</v>
          </cell>
        </row>
        <row r="453">
          <cell r="AF453">
            <v>0</v>
          </cell>
        </row>
        <row r="454">
          <cell r="AF454">
            <v>0</v>
          </cell>
        </row>
        <row r="455">
          <cell r="AF455">
            <v>5946.57</v>
          </cell>
        </row>
        <row r="456">
          <cell r="AF456">
            <v>0</v>
          </cell>
        </row>
        <row r="457">
          <cell r="AF457">
            <v>0</v>
          </cell>
        </row>
        <row r="458">
          <cell r="AF458">
            <v>0</v>
          </cell>
        </row>
        <row r="459">
          <cell r="AF459">
            <v>0</v>
          </cell>
        </row>
        <row r="460">
          <cell r="AF460">
            <v>-71086.02</v>
          </cell>
        </row>
        <row r="461">
          <cell r="AF461">
            <v>0</v>
          </cell>
        </row>
        <row r="462">
          <cell r="AF462">
            <v>0</v>
          </cell>
        </row>
        <row r="463">
          <cell r="AF463">
            <v>0</v>
          </cell>
        </row>
        <row r="464">
          <cell r="AF464">
            <v>0</v>
          </cell>
        </row>
        <row r="465">
          <cell r="AF465">
            <v>0</v>
          </cell>
        </row>
        <row r="467">
          <cell r="AF467">
            <v>241.54000000000042</v>
          </cell>
        </row>
        <row r="468">
          <cell r="AF468">
            <v>2974.66</v>
          </cell>
        </row>
        <row r="469">
          <cell r="AF469">
            <v>174.40999999999985</v>
          </cell>
        </row>
        <row r="470">
          <cell r="AF470">
            <v>0</v>
          </cell>
        </row>
        <row r="472">
          <cell r="AF472">
            <v>0</v>
          </cell>
        </row>
        <row r="473">
          <cell r="AF473">
            <v>461.26</v>
          </cell>
        </row>
        <row r="474">
          <cell r="AF474">
            <v>0</v>
          </cell>
        </row>
        <row r="475">
          <cell r="AF475">
            <v>0</v>
          </cell>
        </row>
        <row r="476">
          <cell r="AF476">
            <v>0</v>
          </cell>
        </row>
        <row r="477">
          <cell r="AF477">
            <v>0</v>
          </cell>
        </row>
        <row r="478">
          <cell r="AF478">
            <v>183365.36</v>
          </cell>
        </row>
        <row r="479">
          <cell r="AF479">
            <v>0</v>
          </cell>
        </row>
        <row r="480">
          <cell r="AF480">
            <v>0</v>
          </cell>
        </row>
        <row r="481">
          <cell r="AF481">
            <v>0</v>
          </cell>
        </row>
        <row r="482">
          <cell r="AF482">
            <v>195657.63</v>
          </cell>
        </row>
        <row r="483">
          <cell r="AF483">
            <v>0</v>
          </cell>
        </row>
        <row r="484">
          <cell r="AF484">
            <v>0</v>
          </cell>
        </row>
        <row r="485">
          <cell r="AF485">
            <v>0</v>
          </cell>
        </row>
        <row r="486">
          <cell r="AF486">
            <v>0</v>
          </cell>
        </row>
        <row r="487">
          <cell r="AF487">
            <v>0</v>
          </cell>
        </row>
        <row r="488">
          <cell r="AF488">
            <v>0</v>
          </cell>
        </row>
        <row r="489">
          <cell r="AF489">
            <v>0</v>
          </cell>
        </row>
        <row r="490">
          <cell r="AF490">
            <v>0</v>
          </cell>
        </row>
        <row r="491">
          <cell r="AF491">
            <v>0</v>
          </cell>
        </row>
        <row r="492">
          <cell r="AF492">
            <v>0</v>
          </cell>
        </row>
        <row r="493">
          <cell r="AF493">
            <v>0</v>
          </cell>
        </row>
        <row r="494">
          <cell r="AF494">
            <v>268.6099999999999</v>
          </cell>
        </row>
        <row r="495">
          <cell r="AF495">
            <v>0</v>
          </cell>
        </row>
        <row r="496">
          <cell r="AF496">
            <v>-192893.55237172416</v>
          </cell>
        </row>
      </sheetData>
      <sheetData sheetId="18"/>
      <sheetData sheetId="19"/>
      <sheetData sheetId="20"/>
      <sheetData sheetId="21"/>
      <sheetData sheetId="22"/>
      <sheetData sheetId="23">
        <row r="146">
          <cell r="AF146">
            <v>0</v>
          </cell>
        </row>
      </sheetData>
      <sheetData sheetId="24"/>
      <sheetData sheetId="25"/>
      <sheetData sheetId="26"/>
      <sheetData sheetId="27"/>
      <sheetData sheetId="28">
        <row r="420">
          <cell r="AC420">
            <v>-54577.319999999949</v>
          </cell>
        </row>
        <row r="421">
          <cell r="AC421">
            <v>0</v>
          </cell>
        </row>
        <row r="422">
          <cell r="AC422">
            <v>0</v>
          </cell>
        </row>
        <row r="423">
          <cell r="AC423">
            <v>0</v>
          </cell>
        </row>
        <row r="424">
          <cell r="AC424">
            <v>0</v>
          </cell>
        </row>
        <row r="425">
          <cell r="AC425">
            <v>-95796</v>
          </cell>
        </row>
        <row r="426">
          <cell r="AC426">
            <v>0</v>
          </cell>
        </row>
        <row r="427">
          <cell r="AC427">
            <v>-1033944.1499999999</v>
          </cell>
        </row>
        <row r="428">
          <cell r="AC428">
            <v>-5130.5799999999981</v>
          </cell>
        </row>
        <row r="429">
          <cell r="AC429">
            <v>-11083.349999999999</v>
          </cell>
        </row>
        <row r="430">
          <cell r="AC430">
            <v>0</v>
          </cell>
        </row>
        <row r="431">
          <cell r="AC431">
            <v>-2550.37</v>
          </cell>
        </row>
        <row r="432">
          <cell r="AC432">
            <v>-74054.559999999998</v>
          </cell>
        </row>
        <row r="433">
          <cell r="AC433">
            <v>2182.5199999999995</v>
          </cell>
        </row>
        <row r="435">
          <cell r="AC435">
            <v>0</v>
          </cell>
        </row>
        <row r="436">
          <cell r="AC436">
            <v>0</v>
          </cell>
        </row>
        <row r="437">
          <cell r="AC437">
            <v>-23912.5</v>
          </cell>
        </row>
        <row r="438">
          <cell r="AC438">
            <v>0</v>
          </cell>
        </row>
        <row r="439">
          <cell r="AC439">
            <v>-211512</v>
          </cell>
        </row>
        <row r="440">
          <cell r="AC440">
            <v>0</v>
          </cell>
        </row>
        <row r="441">
          <cell r="AC441">
            <v>0</v>
          </cell>
        </row>
        <row r="442">
          <cell r="AC442">
            <v>-130283.71000000002</v>
          </cell>
        </row>
        <row r="443">
          <cell r="AC443">
            <v>-58990.90000000014</v>
          </cell>
        </row>
        <row r="444">
          <cell r="AC444">
            <v>-15042.249999999996</v>
          </cell>
        </row>
        <row r="445">
          <cell r="AC445">
            <v>-243260.95999999996</v>
          </cell>
        </row>
        <row r="446">
          <cell r="AC446">
            <v>-892.86000000000013</v>
          </cell>
        </row>
        <row r="452">
          <cell r="AC452">
            <v>63529.76999999999</v>
          </cell>
        </row>
        <row r="453">
          <cell r="AC453">
            <v>6387.5400000000009</v>
          </cell>
        </row>
        <row r="454">
          <cell r="AC454">
            <v>0</v>
          </cell>
        </row>
        <row r="455">
          <cell r="AC455">
            <v>0</v>
          </cell>
        </row>
        <row r="456">
          <cell r="AC456">
            <v>3917.0000000000009</v>
          </cell>
        </row>
        <row r="457">
          <cell r="AC457">
            <v>438</v>
          </cell>
        </row>
        <row r="458">
          <cell r="AC458">
            <v>4759.380000000001</v>
          </cell>
        </row>
        <row r="459">
          <cell r="AC459">
            <v>488.55999999999995</v>
          </cell>
        </row>
        <row r="460">
          <cell r="AC460">
            <v>71.300000000000011</v>
          </cell>
        </row>
        <row r="461">
          <cell r="AC461">
            <v>0</v>
          </cell>
        </row>
        <row r="462">
          <cell r="AC462">
            <v>0</v>
          </cell>
        </row>
        <row r="463">
          <cell r="AC463">
            <v>546.52</v>
          </cell>
        </row>
        <row r="464">
          <cell r="AC464">
            <v>11678.470000000001</v>
          </cell>
        </row>
        <row r="465">
          <cell r="AC465">
            <v>213.47000000000003</v>
          </cell>
        </row>
        <row r="466">
          <cell r="AC466">
            <v>646.05999999999995</v>
          </cell>
        </row>
        <row r="467">
          <cell r="AC467">
            <v>0</v>
          </cell>
        </row>
        <row r="468">
          <cell r="AC468">
            <v>0</v>
          </cell>
        </row>
        <row r="469">
          <cell r="AC469">
            <v>21000</v>
          </cell>
        </row>
        <row r="470">
          <cell r="AC470">
            <v>0</v>
          </cell>
        </row>
        <row r="471">
          <cell r="AC471">
            <v>0</v>
          </cell>
        </row>
        <row r="472">
          <cell r="AC472">
            <v>0</v>
          </cell>
        </row>
        <row r="473">
          <cell r="AC473">
            <v>0</v>
          </cell>
        </row>
        <row r="474">
          <cell r="AC474">
            <v>0</v>
          </cell>
        </row>
        <row r="475">
          <cell r="AC475">
            <v>0</v>
          </cell>
        </row>
        <row r="476">
          <cell r="AC476">
            <v>0</v>
          </cell>
        </row>
        <row r="477">
          <cell r="AC477">
            <v>0</v>
          </cell>
        </row>
        <row r="478">
          <cell r="AC478">
            <v>6119.7441379310403</v>
          </cell>
        </row>
        <row r="479">
          <cell r="AC479">
            <v>0</v>
          </cell>
        </row>
        <row r="480">
          <cell r="AC480">
            <v>122367.95000000001</v>
          </cell>
        </row>
        <row r="481">
          <cell r="AC481">
            <v>0</v>
          </cell>
        </row>
        <row r="482">
          <cell r="AC482">
            <v>11267</v>
          </cell>
        </row>
        <row r="483">
          <cell r="AC483">
            <v>329</v>
          </cell>
        </row>
        <row r="484">
          <cell r="AC484">
            <v>0</v>
          </cell>
        </row>
        <row r="485">
          <cell r="AC485">
            <v>387.11999999999989</v>
          </cell>
        </row>
        <row r="486">
          <cell r="AC486">
            <v>8031.23</v>
          </cell>
        </row>
        <row r="487">
          <cell r="AC487">
            <v>0</v>
          </cell>
        </row>
        <row r="488">
          <cell r="AC488">
            <v>566.34999999999991</v>
          </cell>
        </row>
        <row r="489">
          <cell r="AC489">
            <v>0</v>
          </cell>
        </row>
        <row r="490">
          <cell r="AC490">
            <v>9327.0699999999961</v>
          </cell>
        </row>
        <row r="491">
          <cell r="AC491">
            <v>0</v>
          </cell>
        </row>
        <row r="492">
          <cell r="AC492">
            <v>0</v>
          </cell>
        </row>
        <row r="493">
          <cell r="AC493">
            <v>0</v>
          </cell>
        </row>
        <row r="494">
          <cell r="AC494">
            <v>0</v>
          </cell>
        </row>
        <row r="495">
          <cell r="AC495">
            <v>0</v>
          </cell>
        </row>
        <row r="496">
          <cell r="AC496">
            <v>0</v>
          </cell>
        </row>
        <row r="497">
          <cell r="AC497">
            <v>0</v>
          </cell>
        </row>
        <row r="498">
          <cell r="AC498">
            <v>0</v>
          </cell>
        </row>
        <row r="499">
          <cell r="AC499">
            <v>203.09000000000003</v>
          </cell>
        </row>
        <row r="500">
          <cell r="AC500">
            <v>0</v>
          </cell>
        </row>
        <row r="501">
          <cell r="AC501">
            <v>10670.016896551728</v>
          </cell>
        </row>
        <row r="502">
          <cell r="AC502">
            <v>0</v>
          </cell>
        </row>
        <row r="503">
          <cell r="AC503">
            <v>10224.07</v>
          </cell>
        </row>
        <row r="504">
          <cell r="AC504">
            <v>107.92000000000002</v>
          </cell>
        </row>
        <row r="505">
          <cell r="AC505">
            <v>29.090000000000003</v>
          </cell>
        </row>
        <row r="506">
          <cell r="AC506">
            <v>214.98000000000002</v>
          </cell>
        </row>
        <row r="507">
          <cell r="AC507">
            <v>782.60000000000036</v>
          </cell>
        </row>
        <row r="508">
          <cell r="AC508">
            <v>0</v>
          </cell>
        </row>
        <row r="509">
          <cell r="AC509">
            <v>0</v>
          </cell>
        </row>
        <row r="510">
          <cell r="AC510">
            <v>17255.840000000004</v>
          </cell>
        </row>
        <row r="511">
          <cell r="AC511">
            <v>1417</v>
          </cell>
        </row>
        <row r="512">
          <cell r="AC512">
            <v>0</v>
          </cell>
        </row>
        <row r="513">
          <cell r="AC513">
            <v>0</v>
          </cell>
        </row>
        <row r="514">
          <cell r="AC514">
            <v>0</v>
          </cell>
        </row>
        <row r="515">
          <cell r="AC515">
            <v>28942.68</v>
          </cell>
        </row>
        <row r="516">
          <cell r="AC516">
            <v>11.240000000000002</v>
          </cell>
        </row>
        <row r="517">
          <cell r="AC517">
            <v>0</v>
          </cell>
        </row>
        <row r="518">
          <cell r="AC518">
            <v>1274.6599999999999</v>
          </cell>
        </row>
        <row r="519">
          <cell r="AC519">
            <v>1940.4700000000003</v>
          </cell>
        </row>
        <row r="520">
          <cell r="AC520">
            <v>108.51999999999998</v>
          </cell>
        </row>
        <row r="521">
          <cell r="AC521">
            <v>0</v>
          </cell>
        </row>
        <row r="522">
          <cell r="AC522">
            <v>0</v>
          </cell>
        </row>
        <row r="523">
          <cell r="AC523">
            <v>0</v>
          </cell>
        </row>
        <row r="524">
          <cell r="AC524">
            <v>0</v>
          </cell>
        </row>
        <row r="525">
          <cell r="AC525">
            <v>0</v>
          </cell>
        </row>
        <row r="526">
          <cell r="AC526">
            <v>0</v>
          </cell>
        </row>
        <row r="527">
          <cell r="AC527">
            <v>0</v>
          </cell>
        </row>
        <row r="528">
          <cell r="AC528">
            <v>0</v>
          </cell>
        </row>
        <row r="529">
          <cell r="AC529">
            <v>0</v>
          </cell>
        </row>
        <row r="530">
          <cell r="AC530">
            <v>0</v>
          </cell>
        </row>
        <row r="531">
          <cell r="AC531">
            <v>0</v>
          </cell>
        </row>
        <row r="532">
          <cell r="AC532">
            <v>0</v>
          </cell>
        </row>
        <row r="533">
          <cell r="AC533">
            <v>0</v>
          </cell>
        </row>
        <row r="534">
          <cell r="AC534">
            <v>0</v>
          </cell>
        </row>
        <row r="535">
          <cell r="AC535">
            <v>828771.42274999944</v>
          </cell>
        </row>
        <row r="536">
          <cell r="AC536">
            <v>0</v>
          </cell>
        </row>
        <row r="537">
          <cell r="AC537">
            <v>2039.9113793103456</v>
          </cell>
        </row>
        <row r="538">
          <cell r="AC538">
            <v>1176065.0451637912</v>
          </cell>
        </row>
        <row r="539">
          <cell r="AC539">
            <v>0</v>
          </cell>
        </row>
        <row r="540">
          <cell r="AC540">
            <v>0</v>
          </cell>
        </row>
        <row r="541">
          <cell r="AC541">
            <v>0</v>
          </cell>
        </row>
        <row r="542">
          <cell r="AC542">
            <v>46583.34</v>
          </cell>
        </row>
        <row r="543">
          <cell r="AC543">
            <v>2916.9999999999991</v>
          </cell>
        </row>
        <row r="544">
          <cell r="AC544">
            <v>100</v>
          </cell>
        </row>
        <row r="545">
          <cell r="AC545">
            <v>89.889999999999986</v>
          </cell>
        </row>
        <row r="546">
          <cell r="AC546">
            <v>96.12</v>
          </cell>
        </row>
        <row r="547">
          <cell r="AC547">
            <v>0</v>
          </cell>
        </row>
        <row r="548">
          <cell r="AC548">
            <v>0</v>
          </cell>
        </row>
        <row r="549">
          <cell r="AC549">
            <v>2245.5499999999993</v>
          </cell>
        </row>
        <row r="550">
          <cell r="AC550">
            <v>250.90999999999997</v>
          </cell>
        </row>
        <row r="551">
          <cell r="AC551">
            <v>33485</v>
          </cell>
        </row>
        <row r="552">
          <cell r="AC552">
            <v>1975</v>
          </cell>
        </row>
        <row r="553">
          <cell r="AC553">
            <v>0</v>
          </cell>
        </row>
        <row r="554">
          <cell r="AC554">
            <v>644.95000000000027</v>
          </cell>
        </row>
        <row r="555">
          <cell r="AC555">
            <v>0</v>
          </cell>
        </row>
        <row r="556">
          <cell r="AC556">
            <v>828</v>
          </cell>
        </row>
        <row r="557">
          <cell r="AC557">
            <v>3494.4100000000017</v>
          </cell>
        </row>
        <row r="558">
          <cell r="AC558">
            <v>0</v>
          </cell>
        </row>
        <row r="559">
          <cell r="AC559">
            <v>0</v>
          </cell>
        </row>
        <row r="560">
          <cell r="AC560">
            <v>0</v>
          </cell>
        </row>
        <row r="561">
          <cell r="AC561">
            <v>352.59999999999991</v>
          </cell>
        </row>
        <row r="562">
          <cell r="AC562">
            <v>0</v>
          </cell>
        </row>
        <row r="563">
          <cell r="AC563">
            <v>0</v>
          </cell>
        </row>
        <row r="564">
          <cell r="AC564">
            <v>0</v>
          </cell>
        </row>
        <row r="565">
          <cell r="AC565">
            <v>0</v>
          </cell>
        </row>
        <row r="566">
          <cell r="AC566">
            <v>0</v>
          </cell>
        </row>
        <row r="567">
          <cell r="AC567">
            <v>0</v>
          </cell>
        </row>
        <row r="568">
          <cell r="AC568">
            <v>0</v>
          </cell>
        </row>
        <row r="569">
          <cell r="AC569">
            <v>0</v>
          </cell>
        </row>
        <row r="570">
          <cell r="AC570">
            <v>0</v>
          </cell>
        </row>
        <row r="571">
          <cell r="AC571">
            <v>0</v>
          </cell>
        </row>
        <row r="572">
          <cell r="AC572">
            <v>0</v>
          </cell>
        </row>
        <row r="573">
          <cell r="AC573">
            <v>0</v>
          </cell>
        </row>
        <row r="574">
          <cell r="AC574">
            <v>0</v>
          </cell>
        </row>
        <row r="575">
          <cell r="AC575">
            <v>0</v>
          </cell>
        </row>
        <row r="576">
          <cell r="AC576">
            <v>0</v>
          </cell>
        </row>
        <row r="577">
          <cell r="AC577">
            <v>0</v>
          </cell>
        </row>
        <row r="578">
          <cell r="AC578">
            <v>3715.4300689655165</v>
          </cell>
        </row>
        <row r="579">
          <cell r="AC579">
            <v>96778.200068965554</v>
          </cell>
        </row>
        <row r="580">
          <cell r="AC580">
            <v>0</v>
          </cell>
        </row>
        <row r="581">
          <cell r="AC581">
            <v>0</v>
          </cell>
        </row>
        <row r="582">
          <cell r="AC582">
            <v>0</v>
          </cell>
        </row>
        <row r="583">
          <cell r="AC583">
            <v>5833.34</v>
          </cell>
        </row>
        <row r="584">
          <cell r="AC584">
            <v>0</v>
          </cell>
        </row>
        <row r="585">
          <cell r="AC585">
            <v>0</v>
          </cell>
        </row>
        <row r="586">
          <cell r="AC586">
            <v>13.420000000000002</v>
          </cell>
        </row>
        <row r="587">
          <cell r="AC587">
            <v>0</v>
          </cell>
        </row>
        <row r="588">
          <cell r="AC588">
            <v>0</v>
          </cell>
        </row>
        <row r="589">
          <cell r="AC589">
            <v>503.01</v>
          </cell>
        </row>
        <row r="590">
          <cell r="AC590">
            <v>33.86999999999999</v>
          </cell>
        </row>
        <row r="591">
          <cell r="AC591">
            <v>626.20999999999981</v>
          </cell>
        </row>
        <row r="592">
          <cell r="AC592">
            <v>0</v>
          </cell>
        </row>
        <row r="593">
          <cell r="AC593">
            <v>0</v>
          </cell>
        </row>
        <row r="594">
          <cell r="AC594">
            <v>7083.34</v>
          </cell>
        </row>
        <row r="595">
          <cell r="AC595">
            <v>0</v>
          </cell>
        </row>
        <row r="596">
          <cell r="AC596">
            <v>762.48</v>
          </cell>
        </row>
        <row r="597">
          <cell r="AC597">
            <v>503.01</v>
          </cell>
        </row>
        <row r="598">
          <cell r="AC598">
            <v>33.86999999999999</v>
          </cell>
        </row>
        <row r="599">
          <cell r="AC599">
            <v>16.300000000000004</v>
          </cell>
        </row>
        <row r="600">
          <cell r="AC600">
            <v>0</v>
          </cell>
        </row>
        <row r="601">
          <cell r="AC601">
            <v>0</v>
          </cell>
        </row>
        <row r="602">
          <cell r="AC602">
            <v>11395.839999999997</v>
          </cell>
        </row>
        <row r="603">
          <cell r="AC603">
            <v>0</v>
          </cell>
        </row>
        <row r="604">
          <cell r="AC604">
            <v>625</v>
          </cell>
        </row>
        <row r="605">
          <cell r="AC605">
            <v>968.32000000000016</v>
          </cell>
        </row>
        <row r="606">
          <cell r="AC606">
            <v>503.01</v>
          </cell>
        </row>
        <row r="607">
          <cell r="AC607">
            <v>33.86999999999999</v>
          </cell>
        </row>
        <row r="608">
          <cell r="AC608">
            <v>16.079999999999998</v>
          </cell>
        </row>
        <row r="609">
          <cell r="AC609">
            <v>0</v>
          </cell>
        </row>
        <row r="610">
          <cell r="AC610">
            <v>0</v>
          </cell>
        </row>
        <row r="611">
          <cell r="AC611">
            <v>0</v>
          </cell>
        </row>
        <row r="612">
          <cell r="AC612">
            <v>0</v>
          </cell>
        </row>
        <row r="613">
          <cell r="AC613">
            <v>0</v>
          </cell>
        </row>
        <row r="614">
          <cell r="AC614">
            <v>0</v>
          </cell>
        </row>
        <row r="615">
          <cell r="AC615">
            <v>28950.97</v>
          </cell>
        </row>
        <row r="616">
          <cell r="AC616">
            <v>0</v>
          </cell>
        </row>
        <row r="617">
          <cell r="AC617">
            <v>0</v>
          </cell>
        </row>
        <row r="618">
          <cell r="AC618">
            <v>0</v>
          </cell>
        </row>
        <row r="619">
          <cell r="AC619">
            <v>0</v>
          </cell>
        </row>
        <row r="620">
          <cell r="AC620">
            <v>0</v>
          </cell>
        </row>
        <row r="621">
          <cell r="AC621">
            <v>3732.8999999999996</v>
          </cell>
        </row>
        <row r="622">
          <cell r="AC622">
            <v>0</v>
          </cell>
        </row>
        <row r="623">
          <cell r="AC623">
            <v>17.920000000000002</v>
          </cell>
        </row>
        <row r="624">
          <cell r="AC624">
            <v>0</v>
          </cell>
        </row>
        <row r="625">
          <cell r="AC625">
            <v>607.5</v>
          </cell>
        </row>
        <row r="626">
          <cell r="AC626">
            <v>0</v>
          </cell>
        </row>
        <row r="627">
          <cell r="AC627">
            <v>4358.32</v>
          </cell>
        </row>
        <row r="628">
          <cell r="AC628">
            <v>0</v>
          </cell>
        </row>
        <row r="629">
          <cell r="AC629">
            <v>0</v>
          </cell>
        </row>
        <row r="630">
          <cell r="AC630">
            <v>0</v>
          </cell>
        </row>
        <row r="631">
          <cell r="AC631">
            <v>0</v>
          </cell>
        </row>
        <row r="632">
          <cell r="AC632">
            <v>0</v>
          </cell>
        </row>
        <row r="633">
          <cell r="AC633">
            <v>0</v>
          </cell>
        </row>
        <row r="634">
          <cell r="AC634">
            <v>0</v>
          </cell>
        </row>
        <row r="635">
          <cell r="AC635">
            <v>0</v>
          </cell>
        </row>
        <row r="636">
          <cell r="AC636">
            <v>0</v>
          </cell>
        </row>
        <row r="637">
          <cell r="AC637">
            <v>0</v>
          </cell>
        </row>
        <row r="638">
          <cell r="AC638">
            <v>0</v>
          </cell>
        </row>
        <row r="639">
          <cell r="AC639">
            <v>0</v>
          </cell>
        </row>
        <row r="640">
          <cell r="AC640">
            <v>0</v>
          </cell>
        </row>
        <row r="641">
          <cell r="AC641">
            <v>0</v>
          </cell>
        </row>
        <row r="642">
          <cell r="AC642">
            <v>119.95000000000005</v>
          </cell>
        </row>
        <row r="643">
          <cell r="AC643">
            <v>0</v>
          </cell>
        </row>
        <row r="644">
          <cell r="AC644">
            <v>0</v>
          </cell>
        </row>
        <row r="645">
          <cell r="AC645">
            <v>0</v>
          </cell>
        </row>
        <row r="646">
          <cell r="AC646">
            <v>0</v>
          </cell>
        </row>
        <row r="647">
          <cell r="AC647">
            <v>0</v>
          </cell>
        </row>
        <row r="648">
          <cell r="AC648">
            <v>0</v>
          </cell>
        </row>
        <row r="649">
          <cell r="AC649">
            <v>0</v>
          </cell>
        </row>
        <row r="650">
          <cell r="AC650">
            <v>12913.54</v>
          </cell>
        </row>
        <row r="651">
          <cell r="AC651">
            <v>9053.5399999999972</v>
          </cell>
        </row>
        <row r="652">
          <cell r="AC652">
            <v>5233.84</v>
          </cell>
        </row>
        <row r="653">
          <cell r="AC653">
            <v>12.080000000000041</v>
          </cell>
        </row>
        <row r="654">
          <cell r="AC654">
            <v>0</v>
          </cell>
        </row>
        <row r="655">
          <cell r="AC655">
            <v>0</v>
          </cell>
        </row>
        <row r="656">
          <cell r="AC656">
            <v>0</v>
          </cell>
        </row>
        <row r="657">
          <cell r="AC657">
            <v>32.15</v>
          </cell>
        </row>
        <row r="658">
          <cell r="AC658">
            <v>1834.0400000000004</v>
          </cell>
        </row>
        <row r="659">
          <cell r="AC659">
            <v>0</v>
          </cell>
        </row>
        <row r="660">
          <cell r="AC660">
            <v>530.19000000000005</v>
          </cell>
        </row>
        <row r="661">
          <cell r="AC661">
            <v>15.919999999999995</v>
          </cell>
        </row>
        <row r="662">
          <cell r="AC662">
            <v>7.4600000000000364</v>
          </cell>
        </row>
        <row r="663">
          <cell r="AC663">
            <v>865.86000000000013</v>
          </cell>
        </row>
        <row r="664">
          <cell r="AC664">
            <v>0</v>
          </cell>
        </row>
        <row r="665">
          <cell r="AC665">
            <v>416.67000000000007</v>
          </cell>
        </row>
        <row r="666">
          <cell r="AC666">
            <v>1776.4</v>
          </cell>
        </row>
        <row r="667">
          <cell r="AC667">
            <v>681.33</v>
          </cell>
        </row>
        <row r="668">
          <cell r="AC668">
            <v>390.5</v>
          </cell>
        </row>
        <row r="670">
          <cell r="AC670">
            <v>497.5</v>
          </cell>
        </row>
        <row r="671">
          <cell r="AC671">
            <v>1272.56</v>
          </cell>
        </row>
        <row r="672">
          <cell r="AC672">
            <v>489.91000000000008</v>
          </cell>
        </row>
        <row r="673">
          <cell r="AC673">
            <v>736.40000000000009</v>
          </cell>
        </row>
        <row r="675">
          <cell r="AC675">
            <v>0</v>
          </cell>
        </row>
        <row r="676">
          <cell r="AC676">
            <v>36879.840000000026</v>
          </cell>
        </row>
        <row r="677">
          <cell r="AC677">
            <v>0</v>
          </cell>
        </row>
        <row r="678">
          <cell r="AC678">
            <v>0</v>
          </cell>
        </row>
        <row r="679">
          <cell r="AC679">
            <v>0</v>
          </cell>
        </row>
        <row r="680">
          <cell r="AC680">
            <v>-54339.933241379331</v>
          </cell>
        </row>
        <row r="681">
          <cell r="AC681">
            <v>0</v>
          </cell>
        </row>
        <row r="682">
          <cell r="AC682">
            <v>-54339.933241379331</v>
          </cell>
        </row>
        <row r="683">
          <cell r="AC683">
            <v>0</v>
          </cell>
        </row>
        <row r="684">
          <cell r="AC684">
            <v>15849.196758620703</v>
          </cell>
        </row>
        <row r="685">
          <cell r="AC685">
            <v>0</v>
          </cell>
        </row>
        <row r="686">
          <cell r="AC686">
            <v>0</v>
          </cell>
        </row>
        <row r="687">
          <cell r="AC687">
            <v>0</v>
          </cell>
        </row>
        <row r="688">
          <cell r="AC688">
            <v>0</v>
          </cell>
        </row>
        <row r="689">
          <cell r="AC689">
            <v>30183.340000000011</v>
          </cell>
        </row>
        <row r="691">
          <cell r="AC691">
            <v>13444</v>
          </cell>
        </row>
        <row r="692">
          <cell r="AC692">
            <v>3768.3600000000006</v>
          </cell>
        </row>
        <row r="693">
          <cell r="AC693">
            <v>116.13</v>
          </cell>
        </row>
        <row r="694">
          <cell r="AC694">
            <v>0</v>
          </cell>
        </row>
        <row r="695">
          <cell r="AC695">
            <v>0</v>
          </cell>
        </row>
        <row r="696">
          <cell r="AC696">
            <v>0</v>
          </cell>
        </row>
        <row r="697">
          <cell r="AC697">
            <v>101.61000000000001</v>
          </cell>
        </row>
        <row r="698">
          <cell r="AC698">
            <v>46.94</v>
          </cell>
        </row>
        <row r="699">
          <cell r="AC699">
            <v>0</v>
          </cell>
        </row>
        <row r="700">
          <cell r="AC700">
            <v>751.52</v>
          </cell>
        </row>
        <row r="701">
          <cell r="AC701">
            <v>0</v>
          </cell>
        </row>
        <row r="702">
          <cell r="AC702">
            <v>0</v>
          </cell>
        </row>
        <row r="703">
          <cell r="AC703">
            <v>0</v>
          </cell>
        </row>
        <row r="704">
          <cell r="AC704">
            <v>0</v>
          </cell>
        </row>
        <row r="705">
          <cell r="AC705">
            <v>0</v>
          </cell>
        </row>
        <row r="706">
          <cell r="AC706">
            <v>0</v>
          </cell>
        </row>
        <row r="707">
          <cell r="AC707">
            <v>1043</v>
          </cell>
        </row>
        <row r="708">
          <cell r="AC708">
            <v>0</v>
          </cell>
        </row>
        <row r="709">
          <cell r="AC709">
            <v>0</v>
          </cell>
        </row>
        <row r="710">
          <cell r="AC710">
            <v>0</v>
          </cell>
        </row>
        <row r="711">
          <cell r="AC711">
            <v>0</v>
          </cell>
        </row>
        <row r="713">
          <cell r="AC713">
            <v>438.20999999999981</v>
          </cell>
        </row>
        <row r="714">
          <cell r="AC714">
            <v>7130</v>
          </cell>
        </row>
        <row r="715">
          <cell r="AC715">
            <v>4090.8500000000022</v>
          </cell>
        </row>
        <row r="716">
          <cell r="AC716">
            <v>0</v>
          </cell>
        </row>
        <row r="717">
          <cell r="AC717">
            <v>0</v>
          </cell>
        </row>
        <row r="718">
          <cell r="AC718">
            <v>0</v>
          </cell>
        </row>
        <row r="719">
          <cell r="AC719">
            <v>7762.1299999999974</v>
          </cell>
        </row>
        <row r="720">
          <cell r="AC720">
            <v>0</v>
          </cell>
        </row>
        <row r="721">
          <cell r="AC721">
            <v>0</v>
          </cell>
        </row>
        <row r="723">
          <cell r="AC723">
            <v>0</v>
          </cell>
        </row>
        <row r="724">
          <cell r="AC724">
            <v>0</v>
          </cell>
        </row>
        <row r="725">
          <cell r="AC725">
            <v>0</v>
          </cell>
        </row>
        <row r="726">
          <cell r="AC726">
            <v>1240</v>
          </cell>
        </row>
        <row r="727">
          <cell r="AC727">
            <v>0</v>
          </cell>
        </row>
        <row r="728">
          <cell r="AC728">
            <v>70116.089999999967</v>
          </cell>
        </row>
        <row r="729">
          <cell r="AC729">
            <v>0</v>
          </cell>
        </row>
        <row r="730">
          <cell r="AC730">
            <v>0</v>
          </cell>
        </row>
        <row r="731">
          <cell r="AC731">
            <v>0</v>
          </cell>
        </row>
        <row r="732">
          <cell r="AC732">
            <v>0</v>
          </cell>
        </row>
        <row r="733">
          <cell r="AC733">
            <v>62916.66</v>
          </cell>
        </row>
        <row r="734">
          <cell r="AC734">
            <v>4167</v>
          </cell>
        </row>
        <row r="735">
          <cell r="AC735">
            <v>-284441.70999999996</v>
          </cell>
        </row>
        <row r="736">
          <cell r="AC736">
            <v>-22076.84</v>
          </cell>
        </row>
        <row r="737">
          <cell r="AC737">
            <v>45702</v>
          </cell>
        </row>
        <row r="738">
          <cell r="AC738">
            <v>0</v>
          </cell>
        </row>
        <row r="739">
          <cell r="AC739">
            <v>0</v>
          </cell>
        </row>
        <row r="740">
          <cell r="AC740">
            <v>0</v>
          </cell>
        </row>
        <row r="741">
          <cell r="AC741">
            <v>303.15999999999985</v>
          </cell>
        </row>
        <row r="742">
          <cell r="AC742">
            <v>11290.89</v>
          </cell>
        </row>
        <row r="743">
          <cell r="AC743">
            <v>56575.97</v>
          </cell>
        </row>
        <row r="744">
          <cell r="AC744">
            <v>0</v>
          </cell>
        </row>
        <row r="745">
          <cell r="AC745">
            <v>214.98000000000002</v>
          </cell>
        </row>
        <row r="746">
          <cell r="AC746">
            <v>465</v>
          </cell>
        </row>
        <row r="747">
          <cell r="AC747">
            <v>62.849999999999909</v>
          </cell>
        </row>
        <row r="748">
          <cell r="AC748">
            <v>89.529999999999987</v>
          </cell>
        </row>
        <row r="749">
          <cell r="AC749">
            <v>0</v>
          </cell>
        </row>
        <row r="750">
          <cell r="AC750">
            <v>326.67</v>
          </cell>
        </row>
        <row r="751">
          <cell r="AC751">
            <v>6378</v>
          </cell>
        </row>
        <row r="752">
          <cell r="AC752">
            <v>423.96000000000004</v>
          </cell>
        </row>
        <row r="753">
          <cell r="AC753">
            <v>0</v>
          </cell>
        </row>
        <row r="754">
          <cell r="AC754">
            <v>25000</v>
          </cell>
        </row>
        <row r="755">
          <cell r="AC755">
            <v>21278</v>
          </cell>
        </row>
        <row r="756">
          <cell r="AC756">
            <v>1250</v>
          </cell>
        </row>
        <row r="757">
          <cell r="AC757">
            <v>0</v>
          </cell>
        </row>
        <row r="758">
          <cell r="AC758">
            <v>665.89000000000124</v>
          </cell>
        </row>
        <row r="759">
          <cell r="AC759">
            <v>0</v>
          </cell>
        </row>
        <row r="760">
          <cell r="AC760">
            <v>0</v>
          </cell>
        </row>
        <row r="761">
          <cell r="AC761">
            <v>1940.4700000000003</v>
          </cell>
        </row>
        <row r="762">
          <cell r="AC762">
            <v>108.51999999999998</v>
          </cell>
        </row>
        <row r="763">
          <cell r="AC763">
            <v>0</v>
          </cell>
        </row>
        <row r="764">
          <cell r="AC764">
            <v>245.95000000000016</v>
          </cell>
        </row>
        <row r="765">
          <cell r="AC765">
            <v>0</v>
          </cell>
        </row>
        <row r="766">
          <cell r="AC766">
            <v>0</v>
          </cell>
        </row>
        <row r="767">
          <cell r="AC767">
            <v>111158.64999999997</v>
          </cell>
        </row>
        <row r="768">
          <cell r="AC768">
            <v>2500</v>
          </cell>
        </row>
        <row r="769">
          <cell r="AC769">
            <v>63606.670000000013</v>
          </cell>
        </row>
        <row r="770">
          <cell r="AC770">
            <v>0</v>
          </cell>
        </row>
        <row r="771">
          <cell r="AC771">
            <v>14798.200000000004</v>
          </cell>
        </row>
        <row r="772">
          <cell r="AC772">
            <v>376.50999999999988</v>
          </cell>
        </row>
        <row r="773">
          <cell r="AC773">
            <v>0</v>
          </cell>
        </row>
        <row r="774">
          <cell r="AC774">
            <v>8823</v>
          </cell>
        </row>
        <row r="775">
          <cell r="AC775">
            <v>644.21000000000026</v>
          </cell>
        </row>
        <row r="776">
          <cell r="AC776">
            <v>0</v>
          </cell>
        </row>
        <row r="777">
          <cell r="AC777">
            <v>11848.560000000001</v>
          </cell>
        </row>
        <row r="778">
          <cell r="AC778">
            <v>0</v>
          </cell>
        </row>
        <row r="779">
          <cell r="AC779">
            <v>0</v>
          </cell>
        </row>
        <row r="780">
          <cell r="AC780">
            <v>0</v>
          </cell>
        </row>
        <row r="781">
          <cell r="AC781">
            <v>6697.68</v>
          </cell>
        </row>
        <row r="782">
          <cell r="AC782">
            <v>0</v>
          </cell>
        </row>
        <row r="783">
          <cell r="AC783">
            <v>0</v>
          </cell>
        </row>
        <row r="784">
          <cell r="AC784">
            <v>0</v>
          </cell>
        </row>
        <row r="785">
          <cell r="AC785">
            <v>36152</v>
          </cell>
        </row>
        <row r="786">
          <cell r="AC786">
            <v>0</v>
          </cell>
        </row>
        <row r="788">
          <cell r="AC788">
            <v>32083.340000000004</v>
          </cell>
        </row>
        <row r="789">
          <cell r="AC789">
            <v>4016.1100000000006</v>
          </cell>
        </row>
        <row r="790">
          <cell r="AC790">
            <v>0</v>
          </cell>
        </row>
        <row r="791">
          <cell r="AC791">
            <v>7745</v>
          </cell>
        </row>
        <row r="792">
          <cell r="AC792">
            <v>15133</v>
          </cell>
        </row>
        <row r="793">
          <cell r="AC793">
            <v>2443.4800000000005</v>
          </cell>
        </row>
        <row r="794">
          <cell r="AC794">
            <v>300</v>
          </cell>
        </row>
        <row r="795">
          <cell r="AC795"/>
        </row>
        <row r="796">
          <cell r="AC796">
            <v>142.38999999999993</v>
          </cell>
        </row>
        <row r="797">
          <cell r="AC797">
            <v>101.50999999999999</v>
          </cell>
        </row>
        <row r="798">
          <cell r="AC798">
            <v>0</v>
          </cell>
        </row>
        <row r="801">
          <cell r="AC801">
            <v>0</v>
          </cell>
        </row>
        <row r="802">
          <cell r="AC802">
            <v>0</v>
          </cell>
        </row>
        <row r="803">
          <cell r="AC803">
            <v>0</v>
          </cell>
        </row>
        <row r="804">
          <cell r="AC804">
            <v>0</v>
          </cell>
        </row>
        <row r="805">
          <cell r="AC805">
            <v>0</v>
          </cell>
        </row>
        <row r="806">
          <cell r="AC806">
            <v>0</v>
          </cell>
        </row>
        <row r="807">
          <cell r="AC807">
            <v>0</v>
          </cell>
        </row>
        <row r="808">
          <cell r="AC808">
            <v>25041.660000000003</v>
          </cell>
        </row>
        <row r="809">
          <cell r="AC809">
            <v>1667</v>
          </cell>
        </row>
        <row r="810">
          <cell r="AC810">
            <v>0</v>
          </cell>
        </row>
        <row r="811">
          <cell r="AC811">
            <v>0</v>
          </cell>
        </row>
        <row r="812">
          <cell r="AC812">
            <v>5564</v>
          </cell>
        </row>
        <row r="813">
          <cell r="AC813">
            <v>0</v>
          </cell>
        </row>
        <row r="814">
          <cell r="AC814">
            <v>0</v>
          </cell>
        </row>
        <row r="815">
          <cell r="AC815">
            <v>2190.75</v>
          </cell>
        </row>
        <row r="816">
          <cell r="AC816">
            <v>14112.229999999996</v>
          </cell>
        </row>
        <row r="817">
          <cell r="AC817">
            <v>0</v>
          </cell>
        </row>
        <row r="818">
          <cell r="AC818">
            <v>0</v>
          </cell>
        </row>
        <row r="819">
          <cell r="AC819">
            <v>22052.050000000003</v>
          </cell>
        </row>
        <row r="820">
          <cell r="AC820">
            <v>0</v>
          </cell>
        </row>
        <row r="821">
          <cell r="AC821">
            <v>137.26000000000002</v>
          </cell>
        </row>
        <row r="822">
          <cell r="AC822">
            <v>0</v>
          </cell>
        </row>
        <row r="823">
          <cell r="AC823">
            <v>444</v>
          </cell>
        </row>
        <row r="824">
          <cell r="AC824">
            <v>0</v>
          </cell>
        </row>
        <row r="825">
          <cell r="AC825">
            <v>0</v>
          </cell>
        </row>
        <row r="826">
          <cell r="AC826">
            <v>0</v>
          </cell>
        </row>
        <row r="827">
          <cell r="AC827">
            <v>0</v>
          </cell>
        </row>
        <row r="829">
          <cell r="AC829">
            <v>2631.6900000000005</v>
          </cell>
        </row>
        <row r="830">
          <cell r="AC830">
            <v>183.16999999999996</v>
          </cell>
        </row>
        <row r="831">
          <cell r="AC831">
            <v>95.399999999999977</v>
          </cell>
        </row>
        <row r="832">
          <cell r="AC832">
            <v>73.52000000000001</v>
          </cell>
        </row>
        <row r="833">
          <cell r="AC833">
            <v>0</v>
          </cell>
        </row>
        <row r="834">
          <cell r="AC834">
            <v>259.56000000000006</v>
          </cell>
        </row>
        <row r="835">
          <cell r="AC835">
            <v>214.98000000000002</v>
          </cell>
        </row>
        <row r="836">
          <cell r="AC836">
            <v>0</v>
          </cell>
        </row>
        <row r="837">
          <cell r="AC837">
            <v>0</v>
          </cell>
        </row>
        <row r="838">
          <cell r="AC838">
            <v>0</v>
          </cell>
        </row>
        <row r="839">
          <cell r="AC839">
            <v>39100.380000000005</v>
          </cell>
        </row>
        <row r="840">
          <cell r="AC840">
            <v>833.00000000000011</v>
          </cell>
        </row>
        <row r="841">
          <cell r="AC841">
            <v>0</v>
          </cell>
        </row>
        <row r="842">
          <cell r="AC842">
            <v>8346</v>
          </cell>
        </row>
        <row r="843">
          <cell r="AC843">
            <v>3660.3100000000013</v>
          </cell>
        </row>
        <row r="844">
          <cell r="AC844">
            <v>0</v>
          </cell>
        </row>
        <row r="845">
          <cell r="AC845">
            <v>0</v>
          </cell>
        </row>
        <row r="846">
          <cell r="AC846">
            <v>3679.5799999999981</v>
          </cell>
        </row>
        <row r="847">
          <cell r="AC847">
            <v>213.83000000000015</v>
          </cell>
        </row>
        <row r="848">
          <cell r="AC848">
            <v>41.84</v>
          </cell>
        </row>
        <row r="849">
          <cell r="AC849">
            <v>30249.15</v>
          </cell>
        </row>
        <row r="851">
          <cell r="AC851">
            <v>187.06</v>
          </cell>
        </row>
        <row r="852">
          <cell r="AC852">
            <v>256.14999999999998</v>
          </cell>
        </row>
        <row r="855">
          <cell r="AC855">
            <v>49958.34</v>
          </cell>
        </row>
        <row r="856">
          <cell r="AC856">
            <v>6213.5300000000025</v>
          </cell>
        </row>
        <row r="857">
          <cell r="AC857">
            <v>14625</v>
          </cell>
        </row>
        <row r="858">
          <cell r="AC858">
            <v>0</v>
          </cell>
        </row>
        <row r="859">
          <cell r="AC859">
            <v>51.900000000000006</v>
          </cell>
        </row>
        <row r="860">
          <cell r="AC860">
            <v>26.259999999999991</v>
          </cell>
        </row>
        <row r="861">
          <cell r="AC861">
            <v>0</v>
          </cell>
        </row>
        <row r="862">
          <cell r="AC862">
            <v>4383.9499999999989</v>
          </cell>
        </row>
        <row r="863">
          <cell r="AC863">
            <v>0</v>
          </cell>
        </row>
        <row r="864">
          <cell r="AC864">
            <v>0</v>
          </cell>
        </row>
        <row r="865">
          <cell r="AC865">
            <v>250.90999999999997</v>
          </cell>
        </row>
        <row r="867">
          <cell r="AC867">
            <v>15019.730000000003</v>
          </cell>
        </row>
        <row r="868">
          <cell r="AC868">
            <v>0</v>
          </cell>
        </row>
        <row r="869">
          <cell r="AC869">
            <v>461</v>
          </cell>
        </row>
        <row r="870">
          <cell r="AC870">
            <v>12181.740000000002</v>
          </cell>
        </row>
        <row r="871">
          <cell r="AC871">
            <v>214.98000000000002</v>
          </cell>
        </row>
        <row r="872">
          <cell r="AC872">
            <v>0</v>
          </cell>
        </row>
        <row r="874">
          <cell r="AC874">
            <v>0</v>
          </cell>
        </row>
        <row r="875">
          <cell r="AC875">
            <v>0</v>
          </cell>
        </row>
        <row r="876">
          <cell r="AC876">
            <v>0</v>
          </cell>
        </row>
        <row r="877">
          <cell r="AC877">
            <v>0</v>
          </cell>
        </row>
        <row r="878">
          <cell r="AC878">
            <v>0</v>
          </cell>
        </row>
        <row r="879">
          <cell r="AC879">
            <v>0</v>
          </cell>
        </row>
        <row r="880">
          <cell r="AC880">
            <v>0</v>
          </cell>
        </row>
        <row r="881">
          <cell r="AC881">
            <v>1832.4700000000003</v>
          </cell>
        </row>
        <row r="882">
          <cell r="AC882">
            <v>0</v>
          </cell>
        </row>
        <row r="883">
          <cell r="AC883">
            <v>0</v>
          </cell>
        </row>
        <row r="884">
          <cell r="AC884">
            <v>0</v>
          </cell>
        </row>
        <row r="885">
          <cell r="AC885">
            <v>337.5</v>
          </cell>
        </row>
        <row r="886">
          <cell r="AC886">
            <v>0</v>
          </cell>
        </row>
        <row r="887">
          <cell r="AC887">
            <v>525</v>
          </cell>
        </row>
        <row r="888">
          <cell r="AC888">
            <v>0</v>
          </cell>
        </row>
        <row r="889">
          <cell r="AC889">
            <v>129.86000000000001</v>
          </cell>
        </row>
        <row r="890">
          <cell r="AC890">
            <v>0</v>
          </cell>
        </row>
        <row r="891">
          <cell r="AC891">
            <v>0</v>
          </cell>
        </row>
        <row r="892">
          <cell r="AC892">
            <v>0</v>
          </cell>
        </row>
        <row r="893">
          <cell r="AC893">
            <v>0</v>
          </cell>
        </row>
        <row r="894">
          <cell r="AC894">
            <v>0</v>
          </cell>
        </row>
        <row r="895">
          <cell r="AC895">
            <v>134.38999999999999</v>
          </cell>
        </row>
        <row r="896">
          <cell r="AC896">
            <v>86.8</v>
          </cell>
        </row>
        <row r="897">
          <cell r="AC897">
            <v>0</v>
          </cell>
        </row>
        <row r="898">
          <cell r="AC898">
            <v>77.8</v>
          </cell>
        </row>
        <row r="899">
          <cell r="AC899">
            <v>0</v>
          </cell>
        </row>
        <row r="900">
          <cell r="AC900">
            <v>0</v>
          </cell>
        </row>
        <row r="901">
          <cell r="AC901">
            <v>0</v>
          </cell>
        </row>
        <row r="902">
          <cell r="AC902">
            <v>0</v>
          </cell>
        </row>
        <row r="903">
          <cell r="AC903">
            <v>0</v>
          </cell>
        </row>
        <row r="904">
          <cell r="AC904">
            <v>0</v>
          </cell>
        </row>
        <row r="905">
          <cell r="AC905">
            <v>0</v>
          </cell>
        </row>
        <row r="906">
          <cell r="AC906">
            <v>0</v>
          </cell>
        </row>
        <row r="908">
          <cell r="AC908">
            <v>0</v>
          </cell>
        </row>
        <row r="909">
          <cell r="AC909">
            <v>0</v>
          </cell>
        </row>
        <row r="910">
          <cell r="AC910">
            <v>0</v>
          </cell>
        </row>
        <row r="911">
          <cell r="AC911">
            <v>0</v>
          </cell>
        </row>
        <row r="912">
          <cell r="AC912">
            <v>0</v>
          </cell>
        </row>
        <row r="913">
          <cell r="AC913">
            <v>0</v>
          </cell>
        </row>
        <row r="914">
          <cell r="AC914">
            <v>0</v>
          </cell>
        </row>
        <row r="915">
          <cell r="AC915">
            <v>0</v>
          </cell>
        </row>
        <row r="918">
          <cell r="AC918">
            <v>0</v>
          </cell>
        </row>
        <row r="919">
          <cell r="AC919">
            <v>0</v>
          </cell>
        </row>
        <row r="920">
          <cell r="AC920">
            <v>0</v>
          </cell>
        </row>
        <row r="921">
          <cell r="AC921">
            <v>0</v>
          </cell>
        </row>
        <row r="922">
          <cell r="AC922">
            <v>0</v>
          </cell>
        </row>
        <row r="923">
          <cell r="AC923">
            <v>0</v>
          </cell>
        </row>
        <row r="924">
          <cell r="AC924">
            <v>0</v>
          </cell>
        </row>
        <row r="925">
          <cell r="AC925">
            <v>0</v>
          </cell>
        </row>
        <row r="926">
          <cell r="AC926">
            <v>31794.830758620701</v>
          </cell>
        </row>
        <row r="927">
          <cell r="AC927">
            <v>0</v>
          </cell>
        </row>
        <row r="928">
          <cell r="AC928">
            <v>551540.98075861996</v>
          </cell>
        </row>
        <row r="929">
          <cell r="AC929">
            <v>0</v>
          </cell>
        </row>
        <row r="930">
          <cell r="AC930">
            <v>0</v>
          </cell>
        </row>
        <row r="931">
          <cell r="AC931">
            <v>621657.07075862028</v>
          </cell>
        </row>
        <row r="932">
          <cell r="AC932">
            <v>0</v>
          </cell>
        </row>
        <row r="933">
          <cell r="AC933">
            <v>26450.01</v>
          </cell>
        </row>
        <row r="934">
          <cell r="AC934">
            <v>0</v>
          </cell>
        </row>
        <row r="935">
          <cell r="AC935">
            <v>1500</v>
          </cell>
        </row>
        <row r="936">
          <cell r="AC936">
            <v>0</v>
          </cell>
        </row>
        <row r="937">
          <cell r="AC937">
            <v>0</v>
          </cell>
        </row>
        <row r="938">
          <cell r="AC938">
            <v>0</v>
          </cell>
        </row>
        <row r="939">
          <cell r="AC939">
            <v>27950.010000000002</v>
          </cell>
        </row>
        <row r="940">
          <cell r="AC940">
            <v>0</v>
          </cell>
        </row>
        <row r="941">
          <cell r="AC941">
            <v>0</v>
          </cell>
        </row>
        <row r="942">
          <cell r="AC942">
            <v>1139.2999999999997</v>
          </cell>
        </row>
        <row r="943">
          <cell r="AC943">
            <v>3286.7900000000009</v>
          </cell>
        </row>
        <row r="944">
          <cell r="AC944">
            <v>-0.32999999999999996</v>
          </cell>
        </row>
        <row r="945">
          <cell r="AC945">
            <v>0</v>
          </cell>
        </row>
        <row r="946">
          <cell r="AC946">
            <v>-1391.22</v>
          </cell>
        </row>
        <row r="947">
          <cell r="AC947">
            <v>0</v>
          </cell>
        </row>
        <row r="948">
          <cell r="AC948">
            <v>-219.5</v>
          </cell>
        </row>
      </sheetData>
      <sheetData sheetId="29"/>
      <sheetData sheetId="30"/>
      <sheetData sheetId="31"/>
      <sheetData sheetId="32"/>
      <sheetData sheetId="33">
        <row r="167">
          <cell r="Z167">
            <v>-98011.319999999992</v>
          </cell>
        </row>
        <row r="183">
          <cell r="Z183">
            <v>46935.53</v>
          </cell>
        </row>
        <row r="184">
          <cell r="Z184">
            <v>0</v>
          </cell>
        </row>
        <row r="185">
          <cell r="Z185">
            <v>0</v>
          </cell>
        </row>
        <row r="186">
          <cell r="Z186">
            <v>406.63</v>
          </cell>
        </row>
        <row r="187">
          <cell r="Z187">
            <v>0</v>
          </cell>
        </row>
        <row r="188">
          <cell r="Z188">
            <v>142.8900000000001</v>
          </cell>
        </row>
        <row r="189">
          <cell r="Z189">
            <v>0</v>
          </cell>
        </row>
        <row r="190">
          <cell r="Z190">
            <v>0</v>
          </cell>
        </row>
        <row r="191">
          <cell r="Z191">
            <v>0</v>
          </cell>
        </row>
        <row r="192">
          <cell r="Z192">
            <v>0</v>
          </cell>
        </row>
        <row r="193">
          <cell r="Z193">
            <v>0</v>
          </cell>
        </row>
        <row r="194">
          <cell r="Z194">
            <v>101284.083912984</v>
          </cell>
        </row>
        <row r="195">
          <cell r="Z195">
            <v>0</v>
          </cell>
        </row>
        <row r="196">
          <cell r="Z196">
            <v>148769.13391298402</v>
          </cell>
        </row>
        <row r="197">
          <cell r="Z197">
            <v>0</v>
          </cell>
        </row>
        <row r="198">
          <cell r="Z198">
            <v>0</v>
          </cell>
        </row>
        <row r="199">
          <cell r="Z199">
            <v>0</v>
          </cell>
        </row>
        <row r="200">
          <cell r="Z200">
            <v>0</v>
          </cell>
        </row>
        <row r="201">
          <cell r="Z201">
            <v>0</v>
          </cell>
        </row>
        <row r="202">
          <cell r="Z202">
            <v>0</v>
          </cell>
        </row>
        <row r="203">
          <cell r="Z203">
            <v>0</v>
          </cell>
        </row>
        <row r="204">
          <cell r="Z204">
            <v>0</v>
          </cell>
        </row>
        <row r="205">
          <cell r="Z205">
            <v>0</v>
          </cell>
        </row>
        <row r="206">
          <cell r="Z206">
            <v>0</v>
          </cell>
        </row>
        <row r="207">
          <cell r="Z207">
            <v>0</v>
          </cell>
        </row>
        <row r="208">
          <cell r="Z208">
            <v>0</v>
          </cell>
        </row>
        <row r="209">
          <cell r="Z209">
            <v>0</v>
          </cell>
        </row>
        <row r="210">
          <cell r="Z210">
            <v>1481.62</v>
          </cell>
        </row>
        <row r="211">
          <cell r="Z211">
            <v>1481.62</v>
          </cell>
        </row>
        <row r="212">
          <cell r="Z212">
            <v>0</v>
          </cell>
        </row>
        <row r="213">
          <cell r="Z213">
            <v>162.28383701653263</v>
          </cell>
        </row>
        <row r="214">
          <cell r="Z214">
            <v>0</v>
          </cell>
        </row>
        <row r="215">
          <cell r="Z215">
            <v>162.28383701653263</v>
          </cell>
        </row>
        <row r="216">
          <cell r="Z216">
            <v>0</v>
          </cell>
        </row>
        <row r="217">
          <cell r="Z217">
            <v>0</v>
          </cell>
        </row>
        <row r="218">
          <cell r="Z218">
            <v>1643.9038370165326</v>
          </cell>
        </row>
        <row r="219">
          <cell r="Z219">
            <v>0</v>
          </cell>
        </row>
        <row r="220">
          <cell r="Z220">
            <v>0</v>
          </cell>
        </row>
        <row r="221">
          <cell r="Z221">
            <v>0</v>
          </cell>
        </row>
        <row r="222">
          <cell r="Z222">
            <v>0</v>
          </cell>
        </row>
        <row r="223">
          <cell r="Z223">
            <v>0</v>
          </cell>
        </row>
        <row r="224">
          <cell r="Z224">
            <v>0</v>
          </cell>
        </row>
        <row r="225">
          <cell r="Z225">
            <v>0</v>
          </cell>
        </row>
        <row r="226">
          <cell r="Z226">
            <v>0</v>
          </cell>
        </row>
        <row r="227">
          <cell r="Z227">
            <v>0</v>
          </cell>
        </row>
        <row r="228">
          <cell r="Z228">
            <v>27289.61</v>
          </cell>
        </row>
        <row r="229">
          <cell r="Z229">
            <v>0</v>
          </cell>
        </row>
        <row r="230">
          <cell r="Z230">
            <v>29681.480000000003</v>
          </cell>
        </row>
        <row r="231">
          <cell r="Z231">
            <v>-10523.399999999998</v>
          </cell>
        </row>
        <row r="232">
          <cell r="Z232">
            <v>0</v>
          </cell>
        </row>
        <row r="233">
          <cell r="Z233">
            <v>0</v>
          </cell>
        </row>
        <row r="234">
          <cell r="Z234">
            <v>0</v>
          </cell>
        </row>
        <row r="235">
          <cell r="Z235">
            <v>0</v>
          </cell>
        </row>
        <row r="236">
          <cell r="Z236">
            <v>0</v>
          </cell>
        </row>
        <row r="237">
          <cell r="Z237">
            <v>0</v>
          </cell>
        </row>
        <row r="238">
          <cell r="Z238">
            <v>0</v>
          </cell>
        </row>
        <row r="239">
          <cell r="Z239">
            <v>0</v>
          </cell>
        </row>
        <row r="240">
          <cell r="Z240">
            <v>0</v>
          </cell>
        </row>
        <row r="241">
          <cell r="Z241">
            <v>46447.69</v>
          </cell>
        </row>
        <row r="242">
          <cell r="Z242">
            <v>0</v>
          </cell>
        </row>
        <row r="243">
          <cell r="Z243">
            <v>0</v>
          </cell>
        </row>
        <row r="244">
          <cell r="Z244">
            <v>0</v>
          </cell>
        </row>
        <row r="245">
          <cell r="Z245">
            <v>0</v>
          </cell>
        </row>
        <row r="246">
          <cell r="Z246">
            <v>0</v>
          </cell>
        </row>
        <row r="247">
          <cell r="Z247">
            <v>24290.610000000008</v>
          </cell>
        </row>
        <row r="248">
          <cell r="Z248">
            <v>15243.14</v>
          </cell>
        </row>
        <row r="249">
          <cell r="Z249">
            <v>0</v>
          </cell>
        </row>
        <row r="250">
          <cell r="Z250">
            <v>-6615.5199999999986</v>
          </cell>
        </row>
        <row r="251">
          <cell r="Z251">
            <v>0</v>
          </cell>
        </row>
        <row r="252">
          <cell r="Z252">
            <v>0</v>
          </cell>
        </row>
        <row r="253">
          <cell r="Z253">
            <v>0</v>
          </cell>
        </row>
        <row r="254">
          <cell r="Z254">
            <v>0</v>
          </cell>
        </row>
        <row r="255">
          <cell r="Z255">
            <v>0</v>
          </cell>
        </row>
        <row r="256">
          <cell r="Z256">
            <v>0</v>
          </cell>
        </row>
        <row r="257">
          <cell r="Z257">
            <v>32918.23000000001</v>
          </cell>
        </row>
        <row r="258">
          <cell r="Z258">
            <v>0</v>
          </cell>
        </row>
        <row r="259">
          <cell r="Z259">
            <v>0</v>
          </cell>
        </row>
        <row r="260">
          <cell r="Z260">
            <v>0</v>
          </cell>
        </row>
        <row r="261">
          <cell r="Z261">
            <v>0</v>
          </cell>
        </row>
        <row r="262">
          <cell r="Z262">
            <v>0</v>
          </cell>
        </row>
        <row r="263">
          <cell r="Z263">
            <v>28612.03</v>
          </cell>
        </row>
        <row r="264">
          <cell r="Z264">
            <v>12066.130000000001</v>
          </cell>
        </row>
        <row r="265">
          <cell r="Z265">
            <v>0</v>
          </cell>
        </row>
        <row r="266">
          <cell r="Z266">
            <v>0</v>
          </cell>
        </row>
        <row r="267">
          <cell r="Z267">
            <v>-7280.32</v>
          </cell>
        </row>
        <row r="268">
          <cell r="Z268">
            <v>-60875.869999999995</v>
          </cell>
        </row>
        <row r="269">
          <cell r="Z269">
            <v>0</v>
          </cell>
        </row>
        <row r="270">
          <cell r="Z270">
            <v>0</v>
          </cell>
        </row>
        <row r="271">
          <cell r="Z271">
            <v>0</v>
          </cell>
        </row>
        <row r="272">
          <cell r="Z272">
            <v>280.02999999999986</v>
          </cell>
        </row>
        <row r="273">
          <cell r="Z273">
            <v>0</v>
          </cell>
        </row>
        <row r="274">
          <cell r="Z274">
            <v>-27198.000000000022</v>
          </cell>
        </row>
        <row r="276">
          <cell r="Z276">
            <v>52167.919999999984</v>
          </cell>
        </row>
        <row r="280">
          <cell r="Z280">
            <v>0</v>
          </cell>
        </row>
        <row r="281">
          <cell r="Z281">
            <v>0</v>
          </cell>
        </row>
        <row r="282">
          <cell r="Z282">
            <v>0</v>
          </cell>
        </row>
        <row r="283">
          <cell r="Z283">
            <v>0</v>
          </cell>
        </row>
        <row r="284">
          <cell r="Z284">
            <v>860.11999999999989</v>
          </cell>
        </row>
        <row r="285">
          <cell r="Z285">
            <v>-5393.4953253613712</v>
          </cell>
        </row>
        <row r="286">
          <cell r="Z286">
            <v>0</v>
          </cell>
        </row>
        <row r="287">
          <cell r="Z287">
            <v>-4533.3753253613759</v>
          </cell>
        </row>
        <row r="288">
          <cell r="Z288">
            <v>0</v>
          </cell>
        </row>
      </sheetData>
      <sheetData sheetId="34"/>
      <sheetData sheetId="35"/>
      <sheetData sheetId="36"/>
      <sheetData sheetId="37">
        <row r="166">
          <cell r="Z166">
            <v>-180265.50977715896</v>
          </cell>
        </row>
        <row r="167">
          <cell r="Z167">
            <v>-180265.50977715896</v>
          </cell>
        </row>
        <row r="168">
          <cell r="Z168">
            <v>0</v>
          </cell>
        </row>
        <row r="169">
          <cell r="Z169">
            <v>0</v>
          </cell>
        </row>
        <row r="170">
          <cell r="Z170">
            <v>0</v>
          </cell>
        </row>
        <row r="171">
          <cell r="Z171">
            <v>0</v>
          </cell>
        </row>
        <row r="172">
          <cell r="Z172">
            <v>0</v>
          </cell>
        </row>
        <row r="173">
          <cell r="Z173">
            <v>0</v>
          </cell>
        </row>
        <row r="174">
          <cell r="Z174">
            <v>55140.66</v>
          </cell>
        </row>
        <row r="175">
          <cell r="Z175">
            <v>0</v>
          </cell>
        </row>
        <row r="176">
          <cell r="Z176">
            <v>517.56999999999971</v>
          </cell>
        </row>
        <row r="177">
          <cell r="Z177">
            <v>0</v>
          </cell>
        </row>
        <row r="178">
          <cell r="Z178">
            <v>0</v>
          </cell>
        </row>
        <row r="179">
          <cell r="Z179">
            <v>13028.739999999998</v>
          </cell>
        </row>
        <row r="180">
          <cell r="Z180">
            <v>0</v>
          </cell>
        </row>
        <row r="181">
          <cell r="Z181">
            <v>866.57000000000016</v>
          </cell>
        </row>
        <row r="182">
          <cell r="Z182">
            <v>0</v>
          </cell>
        </row>
        <row r="183">
          <cell r="Z183">
            <v>7752.4440000000031</v>
          </cell>
        </row>
        <row r="184">
          <cell r="Z184">
            <v>0</v>
          </cell>
        </row>
        <row r="185">
          <cell r="Z185">
            <v>0</v>
          </cell>
        </row>
        <row r="186">
          <cell r="Z186">
            <v>17694.560000000005</v>
          </cell>
        </row>
        <row r="187">
          <cell r="Z187">
            <v>168.05999999999995</v>
          </cell>
        </row>
        <row r="188">
          <cell r="Z188">
            <v>0</v>
          </cell>
        </row>
        <row r="189">
          <cell r="Z189">
            <v>0</v>
          </cell>
        </row>
        <row r="190">
          <cell r="Z190">
            <v>2850.0399999999991</v>
          </cell>
        </row>
        <row r="191">
          <cell r="Z191">
            <v>0</v>
          </cell>
        </row>
        <row r="192">
          <cell r="Z192">
            <v>0</v>
          </cell>
        </row>
        <row r="193">
          <cell r="Z193">
            <v>1644.4578181818197</v>
          </cell>
        </row>
        <row r="194">
          <cell r="Z194">
            <v>0</v>
          </cell>
        </row>
        <row r="195">
          <cell r="Z195">
            <v>99663.101818181924</v>
          </cell>
        </row>
        <row r="196">
          <cell r="Z196">
            <v>0</v>
          </cell>
        </row>
        <row r="197">
          <cell r="Z197">
            <v>0</v>
          </cell>
        </row>
        <row r="198">
          <cell r="Z198">
            <v>0</v>
          </cell>
        </row>
        <row r="199">
          <cell r="Z199">
            <v>0</v>
          </cell>
        </row>
        <row r="200">
          <cell r="Z200">
            <v>0</v>
          </cell>
        </row>
        <row r="201">
          <cell r="Z201">
            <v>0</v>
          </cell>
        </row>
        <row r="202">
          <cell r="Z202">
            <v>0</v>
          </cell>
        </row>
        <row r="203">
          <cell r="Z203">
            <v>0</v>
          </cell>
        </row>
        <row r="204">
          <cell r="Z204">
            <v>0</v>
          </cell>
        </row>
        <row r="205">
          <cell r="Z205">
            <v>0</v>
          </cell>
        </row>
        <row r="206">
          <cell r="Z206">
            <v>0</v>
          </cell>
        </row>
        <row r="207">
          <cell r="Z207">
            <v>566.94999999999982</v>
          </cell>
        </row>
        <row r="208">
          <cell r="Z208">
            <v>0</v>
          </cell>
        </row>
        <row r="209">
          <cell r="Z209">
            <v>335.69999999999982</v>
          </cell>
        </row>
        <row r="210">
          <cell r="Z210">
            <v>6.8899999999994179</v>
          </cell>
        </row>
        <row r="211">
          <cell r="Z211">
            <v>909.53999999999724</v>
          </cell>
        </row>
        <row r="212">
          <cell r="Z212">
            <v>0</v>
          </cell>
        </row>
        <row r="213">
          <cell r="Z213">
            <v>0</v>
          </cell>
        </row>
        <row r="214">
          <cell r="Z214">
            <v>5323.93</v>
          </cell>
        </row>
        <row r="215">
          <cell r="Z215">
            <v>0</v>
          </cell>
        </row>
        <row r="216">
          <cell r="Z216">
            <v>1502.25</v>
          </cell>
        </row>
        <row r="217">
          <cell r="Z217">
            <v>1025.8000000000002</v>
          </cell>
        </row>
        <row r="218">
          <cell r="Z218">
            <v>269.98</v>
          </cell>
        </row>
        <row r="219">
          <cell r="Z219">
            <v>364.47</v>
          </cell>
        </row>
        <row r="220">
          <cell r="Z220">
            <v>836.93000000000029</v>
          </cell>
        </row>
        <row r="221">
          <cell r="Z221">
            <v>128.24</v>
          </cell>
        </row>
        <row r="222">
          <cell r="Z222">
            <v>1278.0700000000002</v>
          </cell>
        </row>
        <row r="223">
          <cell r="Z223">
            <v>0</v>
          </cell>
        </row>
        <row r="224">
          <cell r="Z224">
            <v>396.08000000000038</v>
          </cell>
        </row>
        <row r="225">
          <cell r="Z225">
            <v>1869.2299999999996</v>
          </cell>
        </row>
        <row r="226">
          <cell r="Z226">
            <v>0</v>
          </cell>
        </row>
        <row r="227">
          <cell r="Z227">
            <v>0</v>
          </cell>
        </row>
        <row r="228">
          <cell r="Z228">
            <v>-12920.740000000005</v>
          </cell>
        </row>
        <row r="229">
          <cell r="Z229">
            <v>0</v>
          </cell>
        </row>
        <row r="230">
          <cell r="Z230">
            <v>74.240000000005239</v>
          </cell>
        </row>
        <row r="231">
          <cell r="Z231">
            <v>0</v>
          </cell>
        </row>
        <row r="232">
          <cell r="Z232">
            <v>0</v>
          </cell>
        </row>
        <row r="233">
          <cell r="Z233">
            <v>983.78000000000247</v>
          </cell>
        </row>
        <row r="234">
          <cell r="Z234">
            <v>0</v>
          </cell>
        </row>
        <row r="235">
          <cell r="Z235">
            <v>0</v>
          </cell>
        </row>
        <row r="236">
          <cell r="Z236">
            <v>0</v>
          </cell>
        </row>
        <row r="237">
          <cell r="Z237">
            <v>0</v>
          </cell>
        </row>
        <row r="238">
          <cell r="Z238">
            <v>0</v>
          </cell>
        </row>
        <row r="239">
          <cell r="Z239">
            <v>0</v>
          </cell>
        </row>
        <row r="240">
          <cell r="Z240">
            <v>0</v>
          </cell>
        </row>
        <row r="241">
          <cell r="Z241">
            <v>24879.599999999991</v>
          </cell>
        </row>
        <row r="242">
          <cell r="Z242">
            <v>322.31000000000006</v>
          </cell>
        </row>
        <row r="243">
          <cell r="Z243">
            <v>3664.33</v>
          </cell>
        </row>
        <row r="244">
          <cell r="Z244">
            <v>0</v>
          </cell>
        </row>
        <row r="245">
          <cell r="Z245">
            <v>0</v>
          </cell>
        </row>
        <row r="246">
          <cell r="Z246">
            <v>0</v>
          </cell>
        </row>
        <row r="247">
          <cell r="Z247">
            <v>2114.3029090909095</v>
          </cell>
        </row>
        <row r="248">
          <cell r="Z248">
            <v>0</v>
          </cell>
        </row>
        <row r="249">
          <cell r="Z249">
            <v>0</v>
          </cell>
        </row>
        <row r="250">
          <cell r="Z250">
            <v>0</v>
          </cell>
        </row>
        <row r="251">
          <cell r="Z251">
            <v>0</v>
          </cell>
        </row>
        <row r="252">
          <cell r="Z252">
            <v>30980.542909090902</v>
          </cell>
        </row>
        <row r="253">
          <cell r="Z253">
            <v>0</v>
          </cell>
        </row>
        <row r="254">
          <cell r="Z254">
            <v>0</v>
          </cell>
        </row>
        <row r="255">
          <cell r="Z255">
            <v>0</v>
          </cell>
        </row>
        <row r="256">
          <cell r="Z256">
            <v>0</v>
          </cell>
        </row>
        <row r="257">
          <cell r="Z257">
            <v>0</v>
          </cell>
        </row>
        <row r="258">
          <cell r="Z258">
            <v>0</v>
          </cell>
        </row>
        <row r="259">
          <cell r="Z259">
            <v>13043.150000000001</v>
          </cell>
        </row>
        <row r="260">
          <cell r="Z260">
            <v>42583.63</v>
          </cell>
        </row>
        <row r="261">
          <cell r="Z261">
            <v>0</v>
          </cell>
        </row>
        <row r="262">
          <cell r="Z262">
            <v>0</v>
          </cell>
        </row>
        <row r="263">
          <cell r="Z263">
            <v>-51366.009999999995</v>
          </cell>
        </row>
        <row r="264">
          <cell r="Z264">
            <v>2442.8900000000003</v>
          </cell>
        </row>
        <row r="265">
          <cell r="Z265">
            <v>0</v>
          </cell>
        </row>
        <row r="266">
          <cell r="Z266">
            <v>0</v>
          </cell>
        </row>
        <row r="267">
          <cell r="Z267">
            <v>0</v>
          </cell>
        </row>
        <row r="268">
          <cell r="Z268">
            <v>0</v>
          </cell>
        </row>
        <row r="269">
          <cell r="Z269">
            <v>0</v>
          </cell>
        </row>
        <row r="270">
          <cell r="Z270">
            <v>125.32999999999993</v>
          </cell>
        </row>
        <row r="271">
          <cell r="Z271">
            <v>0</v>
          </cell>
        </row>
        <row r="272">
          <cell r="Z272">
            <v>0</v>
          </cell>
        </row>
        <row r="273">
          <cell r="Z273">
            <v>0</v>
          </cell>
        </row>
        <row r="274">
          <cell r="Z274">
            <v>0</v>
          </cell>
        </row>
        <row r="275">
          <cell r="Z275">
            <v>6276.5400000000009</v>
          </cell>
        </row>
        <row r="276">
          <cell r="Z276">
            <v>8196.76</v>
          </cell>
        </row>
        <row r="277">
          <cell r="Z277">
            <v>0</v>
          </cell>
        </row>
        <row r="278">
          <cell r="Z278">
            <v>0</v>
          </cell>
        </row>
        <row r="279">
          <cell r="Z279">
            <v>0</v>
          </cell>
        </row>
        <row r="280">
          <cell r="Z280">
            <v>0</v>
          </cell>
        </row>
        <row r="281">
          <cell r="Z281">
            <v>128.5</v>
          </cell>
        </row>
        <row r="282">
          <cell r="Z282">
            <v>0</v>
          </cell>
        </row>
        <row r="283">
          <cell r="Z283">
            <v>0</v>
          </cell>
        </row>
        <row r="284">
          <cell r="Z284">
            <v>0</v>
          </cell>
        </row>
        <row r="285">
          <cell r="Z285">
            <v>1409.535272727273</v>
          </cell>
        </row>
        <row r="286">
          <cell r="Z286">
            <v>0</v>
          </cell>
        </row>
        <row r="287">
          <cell r="Z287">
            <v>22840.325272727292</v>
          </cell>
        </row>
        <row r="288">
          <cell r="Z288">
            <v>0</v>
          </cell>
        </row>
        <row r="289">
          <cell r="Z289">
            <v>0</v>
          </cell>
        </row>
        <row r="290">
          <cell r="Z290">
            <v>0</v>
          </cell>
        </row>
        <row r="291">
          <cell r="Z291">
            <v>0</v>
          </cell>
        </row>
        <row r="292">
          <cell r="Z292">
            <v>0</v>
          </cell>
        </row>
        <row r="293">
          <cell r="Z293">
            <v>0</v>
          </cell>
        </row>
        <row r="294">
          <cell r="Z294">
            <v>441.87999999999988</v>
          </cell>
        </row>
        <row r="295">
          <cell r="Z295">
            <v>407.14999999999986</v>
          </cell>
        </row>
        <row r="297">
          <cell r="Z297">
            <v>0</v>
          </cell>
        </row>
        <row r="298">
          <cell r="Z298">
            <v>849.02999999999975</v>
          </cell>
        </row>
        <row r="299">
          <cell r="Z299">
            <v>0</v>
          </cell>
        </row>
        <row r="300">
          <cell r="Z300">
            <v>54669.898181818251</v>
          </cell>
        </row>
        <row r="301">
          <cell r="Z301">
            <v>0</v>
          </cell>
        </row>
        <row r="302">
          <cell r="Z302">
            <v>0</v>
          </cell>
        </row>
        <row r="303">
          <cell r="Z303">
            <v>0</v>
          </cell>
        </row>
        <row r="304">
          <cell r="Z304">
            <v>0</v>
          </cell>
        </row>
        <row r="305">
          <cell r="Z305">
            <v>0</v>
          </cell>
        </row>
        <row r="306">
          <cell r="Z306">
            <v>0</v>
          </cell>
        </row>
        <row r="307">
          <cell r="Z307">
            <v>0</v>
          </cell>
        </row>
        <row r="308">
          <cell r="Z308">
            <v>0</v>
          </cell>
        </row>
        <row r="309">
          <cell r="Z309">
            <v>0</v>
          </cell>
        </row>
        <row r="310">
          <cell r="Z310">
            <v>0</v>
          </cell>
        </row>
        <row r="311">
          <cell r="Z311">
            <v>0</v>
          </cell>
        </row>
        <row r="312">
          <cell r="Z312">
            <v>0</v>
          </cell>
        </row>
        <row r="313">
          <cell r="Z313">
            <v>0</v>
          </cell>
        </row>
        <row r="314">
          <cell r="Z314">
            <v>0</v>
          </cell>
        </row>
      </sheetData>
      <sheetData sheetId="38"/>
      <sheetData sheetId="39">
        <row r="63">
          <cell r="C63">
            <v>7809117.9936768906</v>
          </cell>
        </row>
      </sheetData>
      <sheetData sheetId="40"/>
      <sheetData sheetId="4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נתונים לשינוי"/>
      <sheetName val="תזרים Algosec LTD בש&quot;ח"/>
      <sheetName val="תזרים מאוחד ב-$"/>
      <sheetName val="מאזן בוחן EUROPE"/>
      <sheetName val="פ.נ. EUROPE"/>
      <sheetName val="NEW TP EU"/>
      <sheetName val="Tax UK"/>
      <sheetName val="העמסת הנה&quot;כ (UK)"/>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Post-Closing Withdrawl"/>
    </sheetNames>
    <sheetDataSet>
      <sheetData sheetId="0"/>
      <sheetData sheetId="1">
        <row r="376">
          <cell r="J376">
            <v>-9984.56</v>
          </cell>
        </row>
        <row r="457">
          <cell r="AF457">
            <v>0</v>
          </cell>
        </row>
        <row r="458">
          <cell r="AF458">
            <v>-239249.26</v>
          </cell>
        </row>
        <row r="459">
          <cell r="AF459">
            <v>0</v>
          </cell>
        </row>
        <row r="460">
          <cell r="AF460">
            <v>0</v>
          </cell>
        </row>
        <row r="461">
          <cell r="AF461">
            <v>88398.040000000008</v>
          </cell>
        </row>
        <row r="462">
          <cell r="AF462">
            <v>0</v>
          </cell>
        </row>
        <row r="463">
          <cell r="AF463">
            <v>-19023.050000000003</v>
          </cell>
        </row>
        <row r="464">
          <cell r="AF464">
            <v>-278370.48</v>
          </cell>
        </row>
        <row r="465">
          <cell r="AF465">
            <v>-27573.94</v>
          </cell>
        </row>
        <row r="466">
          <cell r="AF466">
            <v>0</v>
          </cell>
        </row>
        <row r="467">
          <cell r="AF467">
            <v>0</v>
          </cell>
        </row>
        <row r="468">
          <cell r="AF468">
            <v>-164553.92000000004</v>
          </cell>
        </row>
        <row r="469">
          <cell r="AF469">
            <v>-4413.5399999999991</v>
          </cell>
        </row>
        <row r="470">
          <cell r="AF470">
            <v>-85446.849999999977</v>
          </cell>
        </row>
        <row r="471">
          <cell r="AF471">
            <v>-494.86999999999989</v>
          </cell>
        </row>
        <row r="472">
          <cell r="AF472">
            <v>0</v>
          </cell>
        </row>
        <row r="473">
          <cell r="AF473">
            <v>-7646.07</v>
          </cell>
        </row>
        <row r="474">
          <cell r="AF474">
            <v>0</v>
          </cell>
        </row>
        <row r="475">
          <cell r="AF475">
            <v>2351.59</v>
          </cell>
        </row>
        <row r="476">
          <cell r="AF476">
            <v>0</v>
          </cell>
        </row>
        <row r="477">
          <cell r="AF477">
            <v>-13174.96</v>
          </cell>
        </row>
        <row r="478">
          <cell r="AF478">
            <v>0</v>
          </cell>
        </row>
        <row r="479">
          <cell r="AF479">
            <v>0</v>
          </cell>
        </row>
        <row r="480">
          <cell r="AF480">
            <v>-20826.550000000003</v>
          </cell>
        </row>
        <row r="481">
          <cell r="AF481">
            <v>0</v>
          </cell>
        </row>
        <row r="482">
          <cell r="AF482">
            <v>0</v>
          </cell>
        </row>
        <row r="483">
          <cell r="AF483">
            <v>0</v>
          </cell>
        </row>
        <row r="484">
          <cell r="AF484">
            <v>-387066.56000000006</v>
          </cell>
        </row>
        <row r="485">
          <cell r="AF485">
            <v>387066.56000000006</v>
          </cell>
        </row>
        <row r="486">
          <cell r="AF486">
            <v>0</v>
          </cell>
        </row>
        <row r="487">
          <cell r="AF487">
            <v>0</v>
          </cell>
        </row>
        <row r="488">
          <cell r="AF488">
            <v>0</v>
          </cell>
        </row>
        <row r="490">
          <cell r="AF490">
            <v>-3355426.6762497895</v>
          </cell>
        </row>
        <row r="496">
          <cell r="AF496">
            <v>1108588.3799999999</v>
          </cell>
        </row>
        <row r="497">
          <cell r="AF497">
            <v>0</v>
          </cell>
        </row>
        <row r="498">
          <cell r="AF498">
            <v>18742</v>
          </cell>
        </row>
        <row r="499">
          <cell r="AF499">
            <v>10033.62999999999</v>
          </cell>
        </row>
        <row r="500">
          <cell r="AF500">
            <v>44767.839999999997</v>
          </cell>
        </row>
        <row r="501">
          <cell r="AF501">
            <v>13143.64</v>
          </cell>
        </row>
        <row r="502">
          <cell r="AF502">
            <v>0</v>
          </cell>
        </row>
        <row r="503">
          <cell r="AF503">
            <v>0</v>
          </cell>
        </row>
        <row r="504">
          <cell r="AF504">
            <v>6507.41</v>
          </cell>
        </row>
        <row r="505">
          <cell r="AF505">
            <v>385276</v>
          </cell>
        </row>
        <row r="506">
          <cell r="AF506">
            <v>19461.669999999998</v>
          </cell>
        </row>
        <row r="507">
          <cell r="AF507">
            <v>0</v>
          </cell>
        </row>
        <row r="508">
          <cell r="AF508">
            <v>0</v>
          </cell>
        </row>
        <row r="509">
          <cell r="AF509">
            <v>0</v>
          </cell>
        </row>
        <row r="510">
          <cell r="AF510">
            <v>0</v>
          </cell>
        </row>
        <row r="511">
          <cell r="AF511">
            <v>0</v>
          </cell>
        </row>
        <row r="512">
          <cell r="AF512">
            <v>170393.4800000001</v>
          </cell>
        </row>
        <row r="513">
          <cell r="AF513">
            <v>1537.04</v>
          </cell>
        </row>
        <row r="514">
          <cell r="AF514">
            <v>9650</v>
          </cell>
        </row>
        <row r="515">
          <cell r="AF515">
            <v>0</v>
          </cell>
        </row>
        <row r="516">
          <cell r="AF516">
            <v>0</v>
          </cell>
        </row>
        <row r="517">
          <cell r="AF517">
            <v>0</v>
          </cell>
        </row>
        <row r="518">
          <cell r="AF518">
            <v>0</v>
          </cell>
        </row>
        <row r="519">
          <cell r="AF519">
            <v>1605252.9299999988</v>
          </cell>
        </row>
        <row r="520">
          <cell r="AF520">
            <v>0</v>
          </cell>
        </row>
        <row r="521">
          <cell r="AF521">
            <v>0</v>
          </cell>
        </row>
        <row r="522">
          <cell r="AF522">
            <v>0</v>
          </cell>
        </row>
        <row r="523">
          <cell r="AF523">
            <v>0</v>
          </cell>
        </row>
        <row r="524">
          <cell r="AF524">
            <v>0</v>
          </cell>
        </row>
        <row r="525">
          <cell r="AF525">
            <v>0</v>
          </cell>
        </row>
        <row r="526">
          <cell r="AF526">
            <v>0</v>
          </cell>
        </row>
        <row r="527">
          <cell r="AF527">
            <v>21173.239999999991</v>
          </cell>
        </row>
        <row r="528">
          <cell r="AF528">
            <v>341.66999999999985</v>
          </cell>
        </row>
        <row r="529">
          <cell r="AF529">
            <v>122241.97999999998</v>
          </cell>
        </row>
        <row r="530">
          <cell r="AF530">
            <v>0</v>
          </cell>
        </row>
        <row r="531">
          <cell r="AF531">
            <v>29.960000000000036</v>
          </cell>
        </row>
        <row r="533">
          <cell r="AF533">
            <v>0</v>
          </cell>
        </row>
        <row r="534">
          <cell r="AF534">
            <v>0</v>
          </cell>
        </row>
        <row r="535">
          <cell r="AF535">
            <v>0</v>
          </cell>
        </row>
        <row r="536">
          <cell r="AF536">
            <v>0</v>
          </cell>
        </row>
        <row r="537">
          <cell r="AF537">
            <v>0</v>
          </cell>
        </row>
        <row r="538">
          <cell r="AF538">
            <v>12399.649999999994</v>
          </cell>
        </row>
        <row r="539">
          <cell r="AF539">
            <v>34.539999999999992</v>
          </cell>
        </row>
        <row r="540">
          <cell r="AF540">
            <v>0</v>
          </cell>
        </row>
        <row r="542">
          <cell r="AF542">
            <v>2044.6299999999992</v>
          </cell>
        </row>
        <row r="543">
          <cell r="AF543">
            <v>0</v>
          </cell>
        </row>
        <row r="544">
          <cell r="AF544">
            <v>158265.66999999993</v>
          </cell>
        </row>
        <row r="545">
          <cell r="AF545">
            <v>0</v>
          </cell>
        </row>
        <row r="546">
          <cell r="AF546">
            <v>0</v>
          </cell>
        </row>
        <row r="547">
          <cell r="AF547">
            <v>0</v>
          </cell>
        </row>
        <row r="548">
          <cell r="AF548">
            <v>0</v>
          </cell>
        </row>
        <row r="549">
          <cell r="AF549">
            <v>0</v>
          </cell>
        </row>
        <row r="550">
          <cell r="AF550">
            <v>0</v>
          </cell>
        </row>
        <row r="551">
          <cell r="AF551">
            <v>0</v>
          </cell>
        </row>
        <row r="552">
          <cell r="AF552">
            <v>0</v>
          </cell>
        </row>
        <row r="553">
          <cell r="AF553">
            <v>0</v>
          </cell>
        </row>
        <row r="554">
          <cell r="AF554">
            <v>0</v>
          </cell>
        </row>
        <row r="555">
          <cell r="AF555">
            <v>133274.39760219061</v>
          </cell>
        </row>
        <row r="556">
          <cell r="AF556">
            <v>133274.39760219061</v>
          </cell>
        </row>
        <row r="557">
          <cell r="AF557">
            <v>0</v>
          </cell>
        </row>
        <row r="558">
          <cell r="AF558">
            <v>1896792.9976021908</v>
          </cell>
        </row>
        <row r="559">
          <cell r="AF559">
            <v>0</v>
          </cell>
        </row>
        <row r="560">
          <cell r="AF560">
            <v>0</v>
          </cell>
        </row>
        <row r="561">
          <cell r="AF561">
            <v>79489.699999999983</v>
          </cell>
        </row>
        <row r="562">
          <cell r="AF562">
            <v>0</v>
          </cell>
        </row>
        <row r="563">
          <cell r="AF563">
            <v>3200</v>
          </cell>
        </row>
        <row r="564">
          <cell r="AF564">
            <v>0</v>
          </cell>
        </row>
        <row r="565">
          <cell r="AF565">
            <v>0</v>
          </cell>
        </row>
        <row r="566">
          <cell r="AF566">
            <v>7000</v>
          </cell>
        </row>
        <row r="567">
          <cell r="AF567"/>
        </row>
        <row r="568">
          <cell r="AF568">
            <v>5806.45</v>
          </cell>
        </row>
        <row r="569">
          <cell r="AF569">
            <v>0</v>
          </cell>
        </row>
        <row r="570">
          <cell r="AF570">
            <v>124652.63</v>
          </cell>
        </row>
        <row r="571">
          <cell r="AF571">
            <v>0</v>
          </cell>
        </row>
        <row r="572">
          <cell r="AF572">
            <v>6000</v>
          </cell>
        </row>
        <row r="573">
          <cell r="AF573">
            <v>0</v>
          </cell>
        </row>
        <row r="574">
          <cell r="AF574">
            <v>0</v>
          </cell>
        </row>
        <row r="575">
          <cell r="AF575">
            <v>0</v>
          </cell>
        </row>
        <row r="576">
          <cell r="AF576">
            <v>45306.179999999993</v>
          </cell>
        </row>
        <row r="577">
          <cell r="AF577">
            <v>1575</v>
          </cell>
        </row>
        <row r="578">
          <cell r="AF578">
            <v>0</v>
          </cell>
        </row>
        <row r="579">
          <cell r="AF579">
            <v>0</v>
          </cell>
        </row>
        <row r="580">
          <cell r="AF580">
            <v>273223.50999999966</v>
          </cell>
        </row>
        <row r="581">
          <cell r="AF581">
            <v>0</v>
          </cell>
        </row>
        <row r="582">
          <cell r="AF582">
            <v>0</v>
          </cell>
        </row>
        <row r="583">
          <cell r="AF583">
            <v>0</v>
          </cell>
        </row>
        <row r="584">
          <cell r="AF584">
            <v>0</v>
          </cell>
        </row>
        <row r="585">
          <cell r="AF585">
            <v>0</v>
          </cell>
        </row>
        <row r="586">
          <cell r="AF586">
            <v>0</v>
          </cell>
        </row>
        <row r="587">
          <cell r="AF587">
            <v>0</v>
          </cell>
        </row>
        <row r="588">
          <cell r="AF588">
            <v>0</v>
          </cell>
        </row>
        <row r="589">
          <cell r="AF589">
            <v>5490.670000000001</v>
          </cell>
        </row>
        <row r="590">
          <cell r="AF590">
            <v>6083.84</v>
          </cell>
        </row>
        <row r="591">
          <cell r="AF591">
            <v>90</v>
          </cell>
        </row>
        <row r="592">
          <cell r="AF592"/>
        </row>
        <row r="593">
          <cell r="AF593">
            <v>0</v>
          </cell>
        </row>
        <row r="594">
          <cell r="AF594">
            <v>0</v>
          </cell>
        </row>
        <row r="596">
          <cell r="AF596">
            <v>0</v>
          </cell>
        </row>
        <row r="597">
          <cell r="AF597">
            <v>0</v>
          </cell>
        </row>
        <row r="598">
          <cell r="AF598">
            <v>0</v>
          </cell>
        </row>
        <row r="599">
          <cell r="AF599">
            <v>0</v>
          </cell>
        </row>
        <row r="600">
          <cell r="AF600">
            <v>0</v>
          </cell>
        </row>
        <row r="602">
          <cell r="AF602">
            <v>2064.9399999999996</v>
          </cell>
        </row>
        <row r="603">
          <cell r="AF603">
            <v>0</v>
          </cell>
        </row>
        <row r="605">
          <cell r="AF605">
            <v>0</v>
          </cell>
        </row>
        <row r="606">
          <cell r="AF606">
            <v>0</v>
          </cell>
        </row>
        <row r="607">
          <cell r="AF607">
            <v>0</v>
          </cell>
        </row>
        <row r="608">
          <cell r="AF608">
            <v>0</v>
          </cell>
        </row>
        <row r="609">
          <cell r="AF609">
            <v>0</v>
          </cell>
        </row>
        <row r="610">
          <cell r="AF610">
            <v>0</v>
          </cell>
        </row>
        <row r="611">
          <cell r="AF611">
            <v>0</v>
          </cell>
        </row>
        <row r="612">
          <cell r="AF612">
            <v>0</v>
          </cell>
        </row>
        <row r="613">
          <cell r="AF613">
            <v>0</v>
          </cell>
        </row>
        <row r="614">
          <cell r="AF614">
            <v>0</v>
          </cell>
        </row>
        <row r="615">
          <cell r="AF615">
            <v>0</v>
          </cell>
        </row>
        <row r="616">
          <cell r="AF616">
            <v>0</v>
          </cell>
        </row>
        <row r="617">
          <cell r="AF617">
            <v>0</v>
          </cell>
        </row>
        <row r="618">
          <cell r="AF618">
            <v>0</v>
          </cell>
        </row>
        <row r="619">
          <cell r="AF619">
            <v>12064.29</v>
          </cell>
        </row>
        <row r="620">
          <cell r="AF620">
            <v>17385.230000000003</v>
          </cell>
        </row>
        <row r="621">
          <cell r="AF621">
            <v>0</v>
          </cell>
        </row>
        <row r="624">
          <cell r="AF624">
            <v>1874.6099999999997</v>
          </cell>
        </row>
        <row r="625">
          <cell r="AF625">
            <v>64580</v>
          </cell>
        </row>
        <row r="627">
          <cell r="AF627">
            <v>0</v>
          </cell>
        </row>
        <row r="628">
          <cell r="AF628">
            <v>0</v>
          </cell>
        </row>
        <row r="629">
          <cell r="AF629">
            <v>200661.23491179198</v>
          </cell>
        </row>
        <row r="630">
          <cell r="AF630">
            <v>0</v>
          </cell>
        </row>
        <row r="631">
          <cell r="AF631">
            <v>310327.81491179205</v>
          </cell>
        </row>
        <row r="632">
          <cell r="AF632">
            <v>0</v>
          </cell>
        </row>
        <row r="633">
          <cell r="AF633">
            <v>0</v>
          </cell>
        </row>
        <row r="634">
          <cell r="AF634">
            <v>25207.918811864729</v>
          </cell>
        </row>
        <row r="635">
          <cell r="AF635">
            <v>608759.24372365605</v>
          </cell>
        </row>
        <row r="636">
          <cell r="AF636">
            <v>0</v>
          </cell>
        </row>
        <row r="637">
          <cell r="AF637">
            <v>0</v>
          </cell>
        </row>
        <row r="638">
          <cell r="AF638">
            <v>0</v>
          </cell>
        </row>
        <row r="639">
          <cell r="AF639">
            <v>0</v>
          </cell>
        </row>
        <row r="640">
          <cell r="AF640">
            <v>92283.739999999991</v>
          </cell>
        </row>
        <row r="641">
          <cell r="AF641">
            <v>0</v>
          </cell>
        </row>
        <row r="642">
          <cell r="AF642">
            <v>0</v>
          </cell>
        </row>
        <row r="643">
          <cell r="AF643">
            <v>0</v>
          </cell>
        </row>
        <row r="644">
          <cell r="AF644">
            <v>0</v>
          </cell>
        </row>
        <row r="645">
          <cell r="AF645">
            <v>0</v>
          </cell>
        </row>
        <row r="646">
          <cell r="AF646">
            <v>12247.770000000004</v>
          </cell>
        </row>
        <row r="647">
          <cell r="AF647">
            <v>0</v>
          </cell>
        </row>
        <row r="648">
          <cell r="AF648">
            <v>0</v>
          </cell>
        </row>
        <row r="649">
          <cell r="AF649">
            <v>0</v>
          </cell>
        </row>
        <row r="650">
          <cell r="AF650">
            <v>68929.909999999974</v>
          </cell>
        </row>
        <row r="651">
          <cell r="AF651">
            <v>2000</v>
          </cell>
        </row>
        <row r="652">
          <cell r="AF652">
            <v>0</v>
          </cell>
        </row>
        <row r="653">
          <cell r="AF653">
            <v>0</v>
          </cell>
        </row>
        <row r="654">
          <cell r="AF654">
            <v>74351.679999999993</v>
          </cell>
        </row>
        <row r="655">
          <cell r="AF655">
            <v>0</v>
          </cell>
        </row>
        <row r="656">
          <cell r="AF656">
            <v>3233</v>
          </cell>
        </row>
        <row r="657">
          <cell r="AF657">
            <v>11839.529999999999</v>
          </cell>
        </row>
        <row r="658">
          <cell r="AF658">
            <v>0</v>
          </cell>
        </row>
        <row r="659">
          <cell r="AF659">
            <v>38424.999999999985</v>
          </cell>
        </row>
        <row r="660">
          <cell r="AF660">
            <v>62332.00999999998</v>
          </cell>
        </row>
        <row r="661">
          <cell r="AF661">
            <v>0</v>
          </cell>
        </row>
        <row r="663">
          <cell r="AF663">
            <v>0</v>
          </cell>
        </row>
        <row r="664">
          <cell r="AF664">
            <v>0</v>
          </cell>
        </row>
        <row r="665">
          <cell r="AF665">
            <v>0</v>
          </cell>
        </row>
        <row r="666">
          <cell r="AF666">
            <v>365642.63999999943</v>
          </cell>
        </row>
        <row r="667">
          <cell r="AF667">
            <v>0</v>
          </cell>
        </row>
        <row r="668">
          <cell r="AF668">
            <v>61443.929999999993</v>
          </cell>
        </row>
        <row r="669">
          <cell r="AF669">
            <v>61443.929999999993</v>
          </cell>
        </row>
        <row r="670">
          <cell r="AF670">
            <v>0</v>
          </cell>
        </row>
        <row r="672">
          <cell r="AF672">
            <v>2687.1400000000012</v>
          </cell>
        </row>
        <row r="673">
          <cell r="AF673">
            <v>3583.3300000000017</v>
          </cell>
        </row>
        <row r="674">
          <cell r="AF674">
            <v>0</v>
          </cell>
        </row>
        <row r="675">
          <cell r="AF675">
            <v>0</v>
          </cell>
        </row>
        <row r="676">
          <cell r="AF676">
            <v>6270.4700000000012</v>
          </cell>
        </row>
        <row r="677">
          <cell r="AF677">
            <v>0</v>
          </cell>
        </row>
        <row r="678">
          <cell r="AF678">
            <v>47610.51999999999</v>
          </cell>
        </row>
        <row r="679">
          <cell r="AF679">
            <v>5582.3599999999969</v>
          </cell>
        </row>
        <row r="680">
          <cell r="AF680">
            <v>8767.5600000000049</v>
          </cell>
        </row>
        <row r="681">
          <cell r="AF681">
            <v>5540.9599999999991</v>
          </cell>
        </row>
        <row r="682">
          <cell r="AF682">
            <v>124.63999999999999</v>
          </cell>
        </row>
        <row r="683">
          <cell r="AF683">
            <v>-45.780000000000655</v>
          </cell>
        </row>
        <row r="684">
          <cell r="AF684">
            <v>-341.45000000000005</v>
          </cell>
        </row>
        <row r="685">
          <cell r="AF685">
            <v>5032.0500000000029</v>
          </cell>
        </row>
        <row r="686">
          <cell r="AF686">
            <v>301.13999999999987</v>
          </cell>
        </row>
        <row r="687">
          <cell r="AF687">
            <v>161.43000000000029</v>
          </cell>
        </row>
        <row r="688">
          <cell r="AF688">
            <v>2589.4999999999991</v>
          </cell>
        </row>
        <row r="689">
          <cell r="AF689">
            <v>55.59</v>
          </cell>
        </row>
        <row r="690">
          <cell r="AF690">
            <v>950.29</v>
          </cell>
        </row>
        <row r="691">
          <cell r="AF691">
            <v>-1315.3100000000002</v>
          </cell>
        </row>
        <row r="692">
          <cell r="AF692">
            <v>16373.04</v>
          </cell>
        </row>
        <row r="693">
          <cell r="AF693">
            <v>0</v>
          </cell>
        </row>
        <row r="694">
          <cell r="AF694">
            <v>0</v>
          </cell>
        </row>
        <row r="695">
          <cell r="AF695">
            <v>0</v>
          </cell>
        </row>
        <row r="696">
          <cell r="AF696">
            <v>0</v>
          </cell>
        </row>
        <row r="697">
          <cell r="AF697">
            <v>1582940.0600000005</v>
          </cell>
        </row>
        <row r="698">
          <cell r="AF698">
            <v>103589.92000000004</v>
          </cell>
        </row>
        <row r="699">
          <cell r="AF699">
            <v>92905.010000000009</v>
          </cell>
        </row>
        <row r="700">
          <cell r="AF700">
            <v>129255.45999999996</v>
          </cell>
        </row>
        <row r="701">
          <cell r="AF701">
            <v>9101.14</v>
          </cell>
        </row>
        <row r="702">
          <cell r="AF702">
            <v>89443.900000000023</v>
          </cell>
        </row>
        <row r="703">
          <cell r="AF703">
            <v>4150.0199999999895</v>
          </cell>
        </row>
        <row r="704">
          <cell r="AF704">
            <v>0</v>
          </cell>
        </row>
        <row r="705">
          <cell r="AF705">
            <v>0</v>
          </cell>
        </row>
        <row r="706">
          <cell r="AF706">
            <v>0</v>
          </cell>
        </row>
        <row r="707">
          <cell r="AF707">
            <v>0</v>
          </cell>
        </row>
        <row r="708">
          <cell r="AF708">
            <v>0</v>
          </cell>
        </row>
        <row r="709">
          <cell r="AF709">
            <v>0</v>
          </cell>
        </row>
        <row r="710">
          <cell r="AF710">
            <v>28736.24000000002</v>
          </cell>
        </row>
        <row r="711">
          <cell r="AF711">
            <v>14700.280000000006</v>
          </cell>
        </row>
        <row r="712">
          <cell r="AF712">
            <v>10.759999999999998</v>
          </cell>
        </row>
        <row r="713">
          <cell r="AF713">
            <v>26559.479999999996</v>
          </cell>
        </row>
        <row r="714">
          <cell r="AF714">
            <v>0</v>
          </cell>
        </row>
        <row r="715">
          <cell r="AF715">
            <v>11906.549999999996</v>
          </cell>
        </row>
        <row r="716">
          <cell r="AF716">
            <v>0</v>
          </cell>
        </row>
        <row r="717">
          <cell r="AF717">
            <v>-28736.24000000002</v>
          </cell>
        </row>
        <row r="718">
          <cell r="AF718">
            <v>-14700.280000000006</v>
          </cell>
        </row>
        <row r="719">
          <cell r="AF719">
            <v>-10.759999999999998</v>
          </cell>
        </row>
        <row r="720">
          <cell r="AF720">
            <v>-26559.479999999996</v>
          </cell>
        </row>
        <row r="721">
          <cell r="AF721">
            <v>0</v>
          </cell>
        </row>
        <row r="722">
          <cell r="AF722">
            <v>-11906.549999999996</v>
          </cell>
        </row>
        <row r="723">
          <cell r="AF723">
            <v>0</v>
          </cell>
        </row>
        <row r="724">
          <cell r="AF724">
            <v>0</v>
          </cell>
        </row>
        <row r="725">
          <cell r="AF725">
            <v>-2011384.879999999</v>
          </cell>
        </row>
        <row r="726">
          <cell r="AF726">
            <v>0</v>
          </cell>
        </row>
        <row r="727">
          <cell r="AF727">
            <v>0</v>
          </cell>
        </row>
        <row r="728">
          <cell r="AF728">
            <v>0</v>
          </cell>
        </row>
        <row r="729">
          <cell r="AF729">
            <v>0</v>
          </cell>
        </row>
        <row r="730">
          <cell r="AF730">
            <v>0</v>
          </cell>
        </row>
        <row r="731">
          <cell r="AF731">
            <v>0</v>
          </cell>
        </row>
        <row r="732">
          <cell r="AF732">
            <v>416.21000000000004</v>
          </cell>
        </row>
        <row r="733">
          <cell r="AF733">
            <v>0</v>
          </cell>
        </row>
        <row r="734">
          <cell r="AF734">
            <v>0</v>
          </cell>
        </row>
        <row r="735">
          <cell r="AF735">
            <v>0</v>
          </cell>
        </row>
        <row r="736">
          <cell r="AF736">
            <v>0</v>
          </cell>
        </row>
        <row r="737">
          <cell r="AF737">
            <v>0</v>
          </cell>
        </row>
        <row r="738">
          <cell r="AF738">
            <v>5002.630000000001</v>
          </cell>
        </row>
        <row r="739">
          <cell r="AF739">
            <v>3709.1399999999994</v>
          </cell>
        </row>
        <row r="740">
          <cell r="AF740">
            <v>0</v>
          </cell>
        </row>
        <row r="741">
          <cell r="AF741">
            <v>0</v>
          </cell>
        </row>
        <row r="742">
          <cell r="AF742">
            <v>0</v>
          </cell>
        </row>
        <row r="743">
          <cell r="AF743">
            <v>0</v>
          </cell>
        </row>
        <row r="744">
          <cell r="AF744">
            <v>0</v>
          </cell>
        </row>
        <row r="745">
          <cell r="AF745">
            <v>0</v>
          </cell>
        </row>
        <row r="746">
          <cell r="AF746">
            <v>0</v>
          </cell>
        </row>
        <row r="747">
          <cell r="AF747">
            <v>0</v>
          </cell>
        </row>
        <row r="748">
          <cell r="AF748">
            <v>0</v>
          </cell>
        </row>
        <row r="749">
          <cell r="AF749">
            <v>0</v>
          </cell>
        </row>
        <row r="750">
          <cell r="AF750">
            <v>0</v>
          </cell>
        </row>
        <row r="752">
          <cell r="AF752">
            <v>753.06999999999971</v>
          </cell>
        </row>
        <row r="753">
          <cell r="AF753">
            <v>0</v>
          </cell>
        </row>
        <row r="754">
          <cell r="AF754">
            <v>28716.199999999983</v>
          </cell>
        </row>
        <row r="755">
          <cell r="AF755">
            <v>4812.5</v>
          </cell>
        </row>
        <row r="756">
          <cell r="AF756">
            <v>616.13000000000011</v>
          </cell>
        </row>
        <row r="757">
          <cell r="AF757">
            <v>0</v>
          </cell>
        </row>
        <row r="758">
          <cell r="AF758">
            <v>0</v>
          </cell>
        </row>
        <row r="759">
          <cell r="AF759">
            <v>0</v>
          </cell>
        </row>
        <row r="760">
          <cell r="AF760">
            <v>0</v>
          </cell>
        </row>
        <row r="761">
          <cell r="AF761">
            <v>135413.05000000168</v>
          </cell>
        </row>
        <row r="762">
          <cell r="AF762">
            <v>0</v>
          </cell>
        </row>
        <row r="763">
          <cell r="AF763">
            <v>0</v>
          </cell>
        </row>
        <row r="764">
          <cell r="AF764">
            <v>-179987.32180766016</v>
          </cell>
        </row>
        <row r="765">
          <cell r="AF765">
            <v>-179987.32180766016</v>
          </cell>
        </row>
        <row r="766">
          <cell r="AF766">
            <v>0</v>
          </cell>
        </row>
        <row r="767">
          <cell r="AF767">
            <v>0</v>
          </cell>
        </row>
        <row r="768">
          <cell r="AF768">
            <v>0</v>
          </cell>
        </row>
        <row r="769">
          <cell r="AF769">
            <v>0</v>
          </cell>
        </row>
        <row r="770">
          <cell r="AF770">
            <v>28543.51999999999</v>
          </cell>
        </row>
        <row r="771">
          <cell r="AF771">
            <v>121.04999999999563</v>
          </cell>
        </row>
        <row r="772">
          <cell r="AF772">
            <v>1390.4099999999999</v>
          </cell>
        </row>
        <row r="773">
          <cell r="AF773">
            <v>0</v>
          </cell>
        </row>
        <row r="774">
          <cell r="AF774">
            <v>0</v>
          </cell>
        </row>
        <row r="775">
          <cell r="AF775">
            <v>30054.979999999981</v>
          </cell>
        </row>
        <row r="776">
          <cell r="AF776">
            <v>0</v>
          </cell>
        </row>
        <row r="777">
          <cell r="AF777">
            <v>0</v>
          </cell>
        </row>
        <row r="778">
          <cell r="AF778">
            <v>0</v>
          </cell>
        </row>
        <row r="779">
          <cell r="AF779">
            <v>0</v>
          </cell>
        </row>
        <row r="780">
          <cell r="AF780">
            <v>418837.74819234083</v>
          </cell>
        </row>
        <row r="781">
          <cell r="AF781">
            <v>0</v>
          </cell>
        </row>
        <row r="782">
          <cell r="AF782">
            <v>0</v>
          </cell>
        </row>
        <row r="783">
          <cell r="AF783">
            <v>0</v>
          </cell>
        </row>
        <row r="784">
          <cell r="AF784">
            <v>0</v>
          </cell>
        </row>
        <row r="785">
          <cell r="AF785">
            <v>140225.0199999999</v>
          </cell>
        </row>
        <row r="786">
          <cell r="AF786">
            <v>2612.9700000000012</v>
          </cell>
        </row>
        <row r="787">
          <cell r="AF787">
            <v>8124.9999999999964</v>
          </cell>
        </row>
        <row r="788">
          <cell r="AF788">
            <v>0</v>
          </cell>
        </row>
        <row r="789">
          <cell r="AF789">
            <v>0</v>
          </cell>
        </row>
        <row r="790">
          <cell r="AF790">
            <v>0</v>
          </cell>
        </row>
        <row r="791">
          <cell r="AF791">
            <v>0</v>
          </cell>
        </row>
        <row r="792">
          <cell r="AF792">
            <v>0</v>
          </cell>
        </row>
        <row r="793">
          <cell r="AF793">
            <v>0</v>
          </cell>
        </row>
        <row r="794">
          <cell r="AF794">
            <v>16594.839999999997</v>
          </cell>
        </row>
        <row r="795">
          <cell r="AF795">
            <v>2431</v>
          </cell>
        </row>
        <row r="796">
          <cell r="AF796">
            <v>0</v>
          </cell>
        </row>
        <row r="797">
          <cell r="AF797">
            <v>0</v>
          </cell>
        </row>
        <row r="798">
          <cell r="AF798">
            <v>0</v>
          </cell>
        </row>
        <row r="799">
          <cell r="AF799">
            <v>0</v>
          </cell>
        </row>
        <row r="800">
          <cell r="AF800">
            <v>26196.570000000007</v>
          </cell>
        </row>
        <row r="801">
          <cell r="AF801">
            <v>0</v>
          </cell>
        </row>
        <row r="802">
          <cell r="AF802">
            <v>0</v>
          </cell>
        </row>
        <row r="803">
          <cell r="AF803">
            <v>198.86</v>
          </cell>
        </row>
        <row r="804">
          <cell r="AF804">
            <v>0</v>
          </cell>
        </row>
        <row r="805">
          <cell r="AF805">
            <v>12866</v>
          </cell>
        </row>
        <row r="806">
          <cell r="AF806">
            <v>3507</v>
          </cell>
        </row>
        <row r="807">
          <cell r="AF807">
            <v>0</v>
          </cell>
        </row>
        <row r="808">
          <cell r="AF808">
            <v>9000</v>
          </cell>
        </row>
        <row r="809">
          <cell r="AF809">
            <v>5253</v>
          </cell>
        </row>
        <row r="810">
          <cell r="AF810">
            <v>7000</v>
          </cell>
        </row>
        <row r="811">
          <cell r="AF811">
            <v>2531.1299999999974</v>
          </cell>
        </row>
        <row r="812">
          <cell r="AF812">
            <v>9833</v>
          </cell>
        </row>
        <row r="813">
          <cell r="AF813">
            <v>3289.76</v>
          </cell>
        </row>
        <row r="814">
          <cell r="AF814">
            <v>0</v>
          </cell>
        </row>
        <row r="815">
          <cell r="AF815">
            <v>0</v>
          </cell>
        </row>
        <row r="816">
          <cell r="AF816">
            <v>0</v>
          </cell>
        </row>
        <row r="817">
          <cell r="AF817">
            <v>0</v>
          </cell>
        </row>
        <row r="818">
          <cell r="AF818">
            <v>1141.0000000000005</v>
          </cell>
        </row>
        <row r="819">
          <cell r="AF819">
            <v>0</v>
          </cell>
        </row>
        <row r="820">
          <cell r="AF820">
            <v>0</v>
          </cell>
        </row>
        <row r="821">
          <cell r="AF821">
            <v>0</v>
          </cell>
        </row>
        <row r="822">
          <cell r="AF822">
            <v>0</v>
          </cell>
        </row>
        <row r="823">
          <cell r="AF823">
            <v>0</v>
          </cell>
        </row>
        <row r="824">
          <cell r="AF824">
            <v>0</v>
          </cell>
        </row>
        <row r="825">
          <cell r="AF825">
            <v>-188.88000000000011</v>
          </cell>
        </row>
        <row r="826">
          <cell r="AF826">
            <v>0</v>
          </cell>
        </row>
        <row r="827">
          <cell r="AF827">
            <v>250616.27000000002</v>
          </cell>
        </row>
        <row r="828">
          <cell r="AF828">
            <v>0</v>
          </cell>
        </row>
        <row r="829">
          <cell r="AF829">
            <v>0</v>
          </cell>
        </row>
        <row r="830">
          <cell r="AF830">
            <v>0</v>
          </cell>
        </row>
        <row r="831">
          <cell r="AF831">
            <v>0</v>
          </cell>
        </row>
        <row r="832">
          <cell r="AF832">
            <v>0</v>
          </cell>
        </row>
        <row r="833">
          <cell r="AF833">
            <v>0</v>
          </cell>
        </row>
        <row r="834">
          <cell r="AF834">
            <v>0</v>
          </cell>
        </row>
        <row r="835">
          <cell r="AF835">
            <v>0</v>
          </cell>
        </row>
        <row r="836">
          <cell r="AF836">
            <v>0</v>
          </cell>
        </row>
        <row r="837">
          <cell r="AF837">
            <v>0</v>
          </cell>
        </row>
        <row r="838">
          <cell r="AF838">
            <v>0</v>
          </cell>
        </row>
        <row r="839">
          <cell r="AF839">
            <v>0</v>
          </cell>
        </row>
        <row r="840">
          <cell r="AF840">
            <v>0</v>
          </cell>
        </row>
        <row r="841">
          <cell r="AF841">
            <v>0</v>
          </cell>
        </row>
        <row r="842">
          <cell r="AF842">
            <v>0</v>
          </cell>
        </row>
        <row r="843">
          <cell r="AF843">
            <v>5998.1999999999989</v>
          </cell>
        </row>
        <row r="844">
          <cell r="AF844">
            <v>79049.98000000001</v>
          </cell>
        </row>
        <row r="845">
          <cell r="AF845">
            <v>12199.670000000002</v>
          </cell>
        </row>
        <row r="846">
          <cell r="AF846">
            <v>15770.720000000001</v>
          </cell>
        </row>
        <row r="847">
          <cell r="AF847">
            <v>6941.7000000000007</v>
          </cell>
        </row>
        <row r="848">
          <cell r="AF848">
            <v>9429.7099999999991</v>
          </cell>
        </row>
        <row r="849">
          <cell r="AF849">
            <v>15000</v>
          </cell>
        </row>
        <row r="850">
          <cell r="AF850">
            <v>0</v>
          </cell>
        </row>
        <row r="851">
          <cell r="AF851">
            <v>0</v>
          </cell>
        </row>
        <row r="852">
          <cell r="AF852">
            <v>652.26000000000022</v>
          </cell>
        </row>
        <row r="853">
          <cell r="AF853">
            <v>0</v>
          </cell>
        </row>
        <row r="854">
          <cell r="AF854">
            <v>0</v>
          </cell>
        </row>
        <row r="855">
          <cell r="AF855">
            <v>0</v>
          </cell>
        </row>
        <row r="856">
          <cell r="AF856">
            <v>0</v>
          </cell>
        </row>
        <row r="857">
          <cell r="AF857">
            <v>0</v>
          </cell>
        </row>
        <row r="858">
          <cell r="AF858">
            <v>0</v>
          </cell>
        </row>
        <row r="859">
          <cell r="AF859">
            <v>0</v>
          </cell>
        </row>
        <row r="860">
          <cell r="AF860">
            <v>0</v>
          </cell>
        </row>
        <row r="861">
          <cell r="AF861">
            <v>0</v>
          </cell>
        </row>
        <row r="862">
          <cell r="AF862">
            <v>0</v>
          </cell>
        </row>
        <row r="863">
          <cell r="AF863">
            <v>0</v>
          </cell>
        </row>
        <row r="864">
          <cell r="AF864">
            <v>0</v>
          </cell>
        </row>
        <row r="867">
          <cell r="AF867">
            <v>0</v>
          </cell>
        </row>
        <row r="868">
          <cell r="AF868">
            <v>1971.2199999999993</v>
          </cell>
        </row>
        <row r="869">
          <cell r="AF869">
            <v>16868.040000000008</v>
          </cell>
        </row>
        <row r="870">
          <cell r="AF870">
            <v>2564</v>
          </cell>
        </row>
        <row r="871">
          <cell r="AF871">
            <v>2702.55</v>
          </cell>
        </row>
        <row r="872">
          <cell r="AF872">
            <v>118</v>
          </cell>
        </row>
        <row r="873">
          <cell r="AF873">
            <v>109</v>
          </cell>
        </row>
        <row r="874">
          <cell r="AF874">
            <v>45</v>
          </cell>
        </row>
        <row r="875">
          <cell r="AF875">
            <v>913.80999999999767</v>
          </cell>
        </row>
        <row r="876">
          <cell r="AF876">
            <v>115.99000000000001</v>
          </cell>
        </row>
        <row r="877">
          <cell r="AF877">
            <v>0</v>
          </cell>
        </row>
        <row r="878">
          <cell r="AF878">
            <v>0</v>
          </cell>
        </row>
        <row r="879">
          <cell r="AF879">
            <v>0</v>
          </cell>
        </row>
        <row r="880">
          <cell r="AF880">
            <v>0</v>
          </cell>
        </row>
        <row r="881">
          <cell r="AF881">
            <v>0</v>
          </cell>
        </row>
        <row r="882">
          <cell r="AF882">
            <v>0</v>
          </cell>
        </row>
        <row r="883">
          <cell r="AF883">
            <v>0</v>
          </cell>
        </row>
        <row r="884">
          <cell r="AF884">
            <v>0</v>
          </cell>
        </row>
        <row r="885">
          <cell r="AF885">
            <v>170449.85000000015</v>
          </cell>
        </row>
        <row r="886">
          <cell r="AF886">
            <v>0</v>
          </cell>
        </row>
        <row r="887">
          <cell r="AF887">
            <v>0</v>
          </cell>
        </row>
        <row r="888">
          <cell r="AF888">
            <v>0</v>
          </cell>
        </row>
        <row r="889">
          <cell r="AF889">
            <v>0</v>
          </cell>
        </row>
        <row r="890">
          <cell r="AF890">
            <v>0</v>
          </cell>
        </row>
        <row r="891">
          <cell r="AF891">
            <v>0</v>
          </cell>
        </row>
        <row r="892">
          <cell r="AF892">
            <v>21505.005393604719</v>
          </cell>
        </row>
        <row r="893">
          <cell r="AF893">
            <v>21505.005393604719</v>
          </cell>
        </row>
        <row r="894">
          <cell r="AF894">
            <v>0</v>
          </cell>
        </row>
        <row r="895">
          <cell r="AF895">
            <v>442571.12539360533</v>
          </cell>
        </row>
        <row r="896">
          <cell r="AF896">
            <v>0</v>
          </cell>
        </row>
        <row r="897">
          <cell r="AF897">
            <v>0</v>
          </cell>
        </row>
        <row r="898">
          <cell r="AF898">
            <v>0</v>
          </cell>
        </row>
        <row r="899">
          <cell r="AF899">
            <v>0</v>
          </cell>
        </row>
        <row r="900">
          <cell r="AF900">
            <v>0</v>
          </cell>
        </row>
        <row r="901">
          <cell r="AF901">
            <v>0</v>
          </cell>
        </row>
        <row r="902">
          <cell r="AF902">
            <v>0</v>
          </cell>
        </row>
        <row r="903">
          <cell r="AF903">
            <v>0</v>
          </cell>
        </row>
        <row r="904">
          <cell r="AF904">
            <v>0</v>
          </cell>
        </row>
        <row r="905">
          <cell r="AF905">
            <v>0</v>
          </cell>
        </row>
        <row r="906">
          <cell r="AF906">
            <v>0</v>
          </cell>
        </row>
        <row r="907">
          <cell r="AF907">
            <v>476.99000000000024</v>
          </cell>
        </row>
        <row r="908">
          <cell r="AF908">
            <v>-214624.57192078486</v>
          </cell>
        </row>
        <row r="909">
          <cell r="AF909">
            <v>0.92999999999999972</v>
          </cell>
        </row>
        <row r="910">
          <cell r="AF910">
            <v>-711.87999999999988</v>
          </cell>
        </row>
        <row r="911">
          <cell r="AF911">
            <v>4387.9500000000007</v>
          </cell>
        </row>
        <row r="912">
          <cell r="AF912">
            <v>0</v>
          </cell>
        </row>
        <row r="913">
          <cell r="AF913">
            <v>0</v>
          </cell>
        </row>
      </sheetData>
      <sheetData sheetId="2"/>
      <sheetData sheetId="3"/>
      <sheetData sheetId="4"/>
      <sheetData sheetId="5"/>
      <sheetData sheetId="6"/>
      <sheetData sheetId="7"/>
      <sheetData sheetId="8"/>
      <sheetData sheetId="9"/>
      <sheetData sheetId="10">
        <row r="11">
          <cell r="N11">
            <v>16214054.579999998</v>
          </cell>
        </row>
      </sheetData>
      <sheetData sheetId="11"/>
      <sheetData sheetId="12"/>
      <sheetData sheetId="13"/>
      <sheetData sheetId="14"/>
      <sheetData sheetId="15"/>
      <sheetData sheetId="16">
        <row r="334">
          <cell r="AG334">
            <v>-33886.33</v>
          </cell>
        </row>
        <row r="335">
          <cell r="AG335">
            <v>-317033.96000000002</v>
          </cell>
        </row>
        <row r="336">
          <cell r="AG336">
            <v>0</v>
          </cell>
        </row>
        <row r="337">
          <cell r="AG337">
            <v>0</v>
          </cell>
        </row>
        <row r="338">
          <cell r="AG338">
            <v>0</v>
          </cell>
        </row>
        <row r="339">
          <cell r="AG339">
            <v>0</v>
          </cell>
        </row>
        <row r="340">
          <cell r="AG340">
            <v>-6915.9099999999962</v>
          </cell>
        </row>
        <row r="341">
          <cell r="AG341">
            <v>-9511.5400000000009</v>
          </cell>
        </row>
        <row r="342">
          <cell r="AG342">
            <v>-4898.7799999999988</v>
          </cell>
        </row>
        <row r="343">
          <cell r="AG343">
            <v>0</v>
          </cell>
        </row>
        <row r="344">
          <cell r="AG344">
            <v>-93942.299999999988</v>
          </cell>
        </row>
        <row r="345">
          <cell r="AG345">
            <v>-500400.52</v>
          </cell>
        </row>
        <row r="346">
          <cell r="AG346">
            <v>-25086.100000000006</v>
          </cell>
        </row>
        <row r="347">
          <cell r="AG347">
            <v>0</v>
          </cell>
        </row>
        <row r="348">
          <cell r="AG348">
            <v>-1600</v>
          </cell>
        </row>
        <row r="349">
          <cell r="AG349">
            <v>0</v>
          </cell>
        </row>
        <row r="350">
          <cell r="AG350">
            <v>0</v>
          </cell>
        </row>
        <row r="351">
          <cell r="AG351">
            <v>-27930.329999999987</v>
          </cell>
        </row>
        <row r="352">
          <cell r="AG352">
            <v>-24678.089999999997</v>
          </cell>
        </row>
        <row r="353">
          <cell r="AG353">
            <v>0</v>
          </cell>
        </row>
        <row r="354">
          <cell r="AG354">
            <v>0</v>
          </cell>
        </row>
        <row r="355">
          <cell r="AG355">
            <v>-67799.669999999925</v>
          </cell>
        </row>
        <row r="356">
          <cell r="AG356">
            <v>0</v>
          </cell>
        </row>
        <row r="357">
          <cell r="AG357">
            <v>-99984.270000000019</v>
          </cell>
        </row>
        <row r="358">
          <cell r="AG358">
            <v>-17432.510000000002</v>
          </cell>
        </row>
        <row r="359">
          <cell r="AG359">
            <v>-8933.6000000000058</v>
          </cell>
        </row>
        <row r="360">
          <cell r="AG360">
            <v>-7452.760000000002</v>
          </cell>
        </row>
        <row r="361">
          <cell r="AG361">
            <v>0</v>
          </cell>
        </row>
        <row r="362">
          <cell r="AG362">
            <v>0</v>
          </cell>
        </row>
        <row r="363">
          <cell r="AG363">
            <v>0</v>
          </cell>
        </row>
        <row r="364">
          <cell r="AG364">
            <v>0</v>
          </cell>
        </row>
        <row r="369">
          <cell r="AG369">
            <v>13991.990000000005</v>
          </cell>
        </row>
        <row r="370">
          <cell r="AG370">
            <v>0</v>
          </cell>
        </row>
        <row r="371">
          <cell r="AG371">
            <v>1638</v>
          </cell>
        </row>
        <row r="372">
          <cell r="AG372">
            <v>83.660000000000082</v>
          </cell>
        </row>
        <row r="373">
          <cell r="AG373">
            <v>0</v>
          </cell>
        </row>
        <row r="374">
          <cell r="AG374">
            <v>0</v>
          </cell>
        </row>
        <row r="375">
          <cell r="AG375">
            <v>0</v>
          </cell>
        </row>
        <row r="376">
          <cell r="AG376">
            <v>0</v>
          </cell>
        </row>
        <row r="377">
          <cell r="AG377">
            <v>0</v>
          </cell>
        </row>
        <row r="378">
          <cell r="AG378">
            <v>0</v>
          </cell>
        </row>
        <row r="379">
          <cell r="AG379">
            <v>0</v>
          </cell>
        </row>
        <row r="380">
          <cell r="AG380">
            <v>0</v>
          </cell>
        </row>
        <row r="381">
          <cell r="AG381">
            <v>0</v>
          </cell>
        </row>
        <row r="382">
          <cell r="AG382">
            <v>0</v>
          </cell>
        </row>
        <row r="383">
          <cell r="AG383">
            <v>0</v>
          </cell>
        </row>
        <row r="384">
          <cell r="AG384">
            <v>0</v>
          </cell>
        </row>
        <row r="385">
          <cell r="AG385">
            <v>0</v>
          </cell>
        </row>
        <row r="386">
          <cell r="AG386">
            <v>0</v>
          </cell>
        </row>
        <row r="387">
          <cell r="AG387">
            <v>994834.66133680567</v>
          </cell>
        </row>
        <row r="388">
          <cell r="AG388">
            <v>0</v>
          </cell>
        </row>
        <row r="389">
          <cell r="AG389">
            <v>1010548.3113368051</v>
          </cell>
        </row>
        <row r="390">
          <cell r="AG390">
            <v>0</v>
          </cell>
        </row>
        <row r="391">
          <cell r="AG391">
            <v>0</v>
          </cell>
        </row>
        <row r="392">
          <cell r="AG392">
            <v>0</v>
          </cell>
        </row>
        <row r="393">
          <cell r="AG393">
            <v>0</v>
          </cell>
        </row>
        <row r="394">
          <cell r="AG394">
            <v>0</v>
          </cell>
        </row>
        <row r="395">
          <cell r="AG395">
            <v>0</v>
          </cell>
        </row>
        <row r="396">
          <cell r="AG396">
            <v>0</v>
          </cell>
        </row>
        <row r="397">
          <cell r="AG397">
            <v>0</v>
          </cell>
        </row>
        <row r="398">
          <cell r="AG398">
            <v>0</v>
          </cell>
        </row>
        <row r="399">
          <cell r="AG399">
            <v>0</v>
          </cell>
        </row>
        <row r="400">
          <cell r="AG400">
            <v>0</v>
          </cell>
        </row>
        <row r="401">
          <cell r="AG401">
            <v>0</v>
          </cell>
        </row>
        <row r="402">
          <cell r="AG402">
            <v>3009.2619131957927</v>
          </cell>
        </row>
        <row r="403">
          <cell r="AG403">
            <v>412.23</v>
          </cell>
        </row>
        <row r="404">
          <cell r="AG404">
            <v>-906.55</v>
          </cell>
        </row>
        <row r="405">
          <cell r="AG405">
            <v>0</v>
          </cell>
        </row>
        <row r="406">
          <cell r="AG406">
            <v>2514.9419131957948</v>
          </cell>
        </row>
        <row r="407">
          <cell r="AG407">
            <v>0</v>
          </cell>
        </row>
        <row r="408">
          <cell r="AG408">
            <v>0</v>
          </cell>
        </row>
        <row r="409">
          <cell r="AG409">
            <v>136.44999999999993</v>
          </cell>
        </row>
        <row r="410">
          <cell r="AG410">
            <v>0</v>
          </cell>
        </row>
        <row r="411">
          <cell r="AG411">
            <v>0</v>
          </cell>
        </row>
        <row r="412">
          <cell r="AG412">
            <v>0</v>
          </cell>
        </row>
        <row r="413">
          <cell r="AG413">
            <v>0</v>
          </cell>
        </row>
        <row r="414">
          <cell r="AG414">
            <v>0</v>
          </cell>
        </row>
        <row r="415">
          <cell r="AG415">
            <v>0</v>
          </cell>
        </row>
        <row r="416">
          <cell r="AG416">
            <v>0</v>
          </cell>
        </row>
        <row r="417">
          <cell r="AG417">
            <v>0</v>
          </cell>
        </row>
        <row r="418">
          <cell r="AG418">
            <v>136.45000000000005</v>
          </cell>
        </row>
        <row r="419">
          <cell r="AG419">
            <v>0</v>
          </cell>
        </row>
        <row r="420">
          <cell r="AG420">
            <v>0</v>
          </cell>
        </row>
        <row r="421">
          <cell r="AG421">
            <v>2651.3919131957937</v>
          </cell>
        </row>
        <row r="422">
          <cell r="AG422">
            <v>0</v>
          </cell>
        </row>
        <row r="423">
          <cell r="AG423">
            <v>0</v>
          </cell>
        </row>
        <row r="424">
          <cell r="AG424">
            <v>0</v>
          </cell>
        </row>
        <row r="425">
          <cell r="AG425">
            <v>0</v>
          </cell>
        </row>
        <row r="426">
          <cell r="AG426">
            <v>5381</v>
          </cell>
        </row>
        <row r="427">
          <cell r="AG427">
            <v>0</v>
          </cell>
        </row>
        <row r="428">
          <cell r="AG428">
            <v>1449.0000000000005</v>
          </cell>
        </row>
        <row r="430">
          <cell r="AG430">
            <v>0</v>
          </cell>
        </row>
        <row r="431">
          <cell r="AG431">
            <v>-3582.0200000000041</v>
          </cell>
        </row>
        <row r="432">
          <cell r="AG432">
            <v>459.51999999999987</v>
          </cell>
        </row>
        <row r="433">
          <cell r="AG433">
            <v>0</v>
          </cell>
        </row>
        <row r="434">
          <cell r="AG434">
            <v>3707.5</v>
          </cell>
        </row>
        <row r="435">
          <cell r="AG435">
            <v>0</v>
          </cell>
        </row>
        <row r="436">
          <cell r="AG436">
            <v>0</v>
          </cell>
        </row>
        <row r="437">
          <cell r="AG437">
            <v>0</v>
          </cell>
        </row>
        <row r="438">
          <cell r="AG438">
            <v>0</v>
          </cell>
        </row>
        <row r="439">
          <cell r="AG439">
            <v>0</v>
          </cell>
        </row>
        <row r="440">
          <cell r="AG440">
            <v>0</v>
          </cell>
        </row>
        <row r="441">
          <cell r="AG441">
            <v>0</v>
          </cell>
        </row>
        <row r="442">
          <cell r="AG442">
            <v>71367.780000000028</v>
          </cell>
        </row>
        <row r="443">
          <cell r="AG443">
            <v>3266.0000000000018</v>
          </cell>
        </row>
        <row r="444">
          <cell r="AG444">
            <v>0</v>
          </cell>
        </row>
        <row r="445">
          <cell r="AG445">
            <v>0</v>
          </cell>
        </row>
        <row r="446">
          <cell r="AG446">
            <v>4537.8800000000047</v>
          </cell>
        </row>
        <row r="447">
          <cell r="AG447">
            <v>0</v>
          </cell>
        </row>
        <row r="448">
          <cell r="AG448">
            <v>11232.43</v>
          </cell>
        </row>
        <row r="449">
          <cell r="AG449">
            <v>0</v>
          </cell>
        </row>
        <row r="450">
          <cell r="AG450">
            <v>0</v>
          </cell>
        </row>
        <row r="451">
          <cell r="AG451">
            <v>77318.209999999963</v>
          </cell>
        </row>
        <row r="452">
          <cell r="AG452">
            <v>3743</v>
          </cell>
        </row>
        <row r="453">
          <cell r="AG453">
            <v>0</v>
          </cell>
        </row>
        <row r="454">
          <cell r="AG454">
            <v>3101.4700000000012</v>
          </cell>
        </row>
        <row r="455">
          <cell r="AG455">
            <v>15668.809999999998</v>
          </cell>
        </row>
        <row r="456">
          <cell r="AG456">
            <v>0</v>
          </cell>
        </row>
        <row r="457">
          <cell r="AG457">
            <v>0</v>
          </cell>
        </row>
        <row r="458">
          <cell r="AG458">
            <v>0</v>
          </cell>
        </row>
        <row r="459">
          <cell r="AG459">
            <v>6096.8099999999995</v>
          </cell>
        </row>
        <row r="460">
          <cell r="AG460">
            <v>0</v>
          </cell>
        </row>
        <row r="461">
          <cell r="AG461">
            <v>0</v>
          </cell>
        </row>
        <row r="462">
          <cell r="AG462">
            <v>0</v>
          </cell>
        </row>
        <row r="463">
          <cell r="AG463">
            <v>0</v>
          </cell>
        </row>
        <row r="464">
          <cell r="AG464">
            <v>0</v>
          </cell>
        </row>
        <row r="465">
          <cell r="AG465">
            <v>0</v>
          </cell>
        </row>
        <row r="466">
          <cell r="AG466">
            <v>0</v>
          </cell>
        </row>
        <row r="467">
          <cell r="AG467">
            <v>0</v>
          </cell>
        </row>
        <row r="468">
          <cell r="AG468">
            <v>0</v>
          </cell>
        </row>
        <row r="469">
          <cell r="AG469">
            <v>0</v>
          </cell>
        </row>
        <row r="471">
          <cell r="AG471">
            <v>642.5</v>
          </cell>
        </row>
        <row r="472">
          <cell r="AG472">
            <v>1115.7700000000004</v>
          </cell>
        </row>
        <row r="473">
          <cell r="AG473">
            <v>2226.8100000000004</v>
          </cell>
        </row>
        <row r="474">
          <cell r="AG474">
            <v>0</v>
          </cell>
        </row>
        <row r="476">
          <cell r="AG476">
            <v>0</v>
          </cell>
        </row>
        <row r="477">
          <cell r="AG477">
            <v>0</v>
          </cell>
        </row>
        <row r="478">
          <cell r="AG478">
            <v>0</v>
          </cell>
        </row>
        <row r="479">
          <cell r="AG479">
            <v>0</v>
          </cell>
        </row>
        <row r="480">
          <cell r="AG480">
            <v>0</v>
          </cell>
        </row>
        <row r="481">
          <cell r="AG481">
            <v>0</v>
          </cell>
        </row>
        <row r="482">
          <cell r="AG482">
            <v>200317.47000000009</v>
          </cell>
        </row>
        <row r="483">
          <cell r="AG483">
            <v>0</v>
          </cell>
        </row>
        <row r="484">
          <cell r="AG484">
            <v>0</v>
          </cell>
        </row>
        <row r="485">
          <cell r="AG485">
            <v>0</v>
          </cell>
        </row>
        <row r="486">
          <cell r="AG486">
            <v>204024.96999999997</v>
          </cell>
        </row>
        <row r="487">
          <cell r="AG487">
            <v>0</v>
          </cell>
        </row>
        <row r="488">
          <cell r="AG488">
            <v>0</v>
          </cell>
        </row>
        <row r="489">
          <cell r="AG489">
            <v>0</v>
          </cell>
        </row>
        <row r="490">
          <cell r="AG490">
            <v>0</v>
          </cell>
        </row>
        <row r="491">
          <cell r="AG491">
            <v>0</v>
          </cell>
        </row>
        <row r="492">
          <cell r="AG492">
            <v>0</v>
          </cell>
        </row>
        <row r="493">
          <cell r="AG493">
            <v>0</v>
          </cell>
        </row>
        <row r="494">
          <cell r="AG494">
            <v>0</v>
          </cell>
        </row>
        <row r="495">
          <cell r="AG495">
            <v>0</v>
          </cell>
        </row>
        <row r="496">
          <cell r="AG496">
            <v>0</v>
          </cell>
        </row>
        <row r="497">
          <cell r="AG497">
            <v>0</v>
          </cell>
        </row>
        <row r="498">
          <cell r="AG498">
            <v>378.73000000000025</v>
          </cell>
        </row>
        <row r="499">
          <cell r="AG499">
            <v>0</v>
          </cell>
        </row>
        <row r="500">
          <cell r="AG500">
            <v>60975.536059445993</v>
          </cell>
        </row>
      </sheetData>
      <sheetData sheetId="17"/>
      <sheetData sheetId="18"/>
      <sheetData sheetId="19"/>
      <sheetData sheetId="20"/>
      <sheetData sheetId="21"/>
      <sheetData sheetId="22">
        <row r="147">
          <cell r="AG147">
            <v>0</v>
          </cell>
        </row>
      </sheetData>
      <sheetData sheetId="23"/>
      <sheetData sheetId="24"/>
      <sheetData sheetId="25"/>
      <sheetData sheetId="26"/>
      <sheetData sheetId="27">
        <row r="416">
          <cell r="AD416">
            <v>-1154716.8799999999</v>
          </cell>
        </row>
        <row r="417">
          <cell r="AD417">
            <v>0</v>
          </cell>
        </row>
        <row r="418">
          <cell r="AD418">
            <v>0</v>
          </cell>
        </row>
        <row r="419">
          <cell r="AD419">
            <v>-151326.60000000003</v>
          </cell>
        </row>
        <row r="420">
          <cell r="AD420">
            <v>0</v>
          </cell>
        </row>
        <row r="421">
          <cell r="AD421">
            <v>0</v>
          </cell>
        </row>
        <row r="422">
          <cell r="AD422">
            <v>0</v>
          </cell>
        </row>
        <row r="423">
          <cell r="AD423">
            <v>-1038455.7300000004</v>
          </cell>
        </row>
        <row r="424">
          <cell r="AD424">
            <v>-5063.760000000002</v>
          </cell>
        </row>
        <row r="425">
          <cell r="AD425">
            <v>-7199.7699999999968</v>
          </cell>
        </row>
        <row r="426">
          <cell r="AD426">
            <v>0</v>
          </cell>
        </row>
        <row r="427">
          <cell r="AD427">
            <v>-2550.3700000000008</v>
          </cell>
        </row>
        <row r="428">
          <cell r="AD428">
            <v>-73307.69</v>
          </cell>
        </row>
        <row r="429">
          <cell r="AD429">
            <v>-8500.0499999999993</v>
          </cell>
        </row>
        <row r="430">
          <cell r="AD430">
            <v>0</v>
          </cell>
        </row>
        <row r="431">
          <cell r="AD431">
            <v>0</v>
          </cell>
        </row>
        <row r="432">
          <cell r="AD432">
            <v>-28097.5</v>
          </cell>
        </row>
        <row r="433">
          <cell r="AD433">
            <v>0</v>
          </cell>
        </row>
        <row r="434">
          <cell r="AD434">
            <v>-197840</v>
          </cell>
        </row>
        <row r="435">
          <cell r="AD435">
            <v>0</v>
          </cell>
        </row>
        <row r="436">
          <cell r="AD436">
            <v>0</v>
          </cell>
        </row>
        <row r="437">
          <cell r="AD437">
            <v>0</v>
          </cell>
        </row>
        <row r="438">
          <cell r="AD438">
            <v>-491717.86999999988</v>
          </cell>
        </row>
        <row r="439">
          <cell r="AD439">
            <v>-15042.25</v>
          </cell>
        </row>
        <row r="440">
          <cell r="AD440">
            <v>-248144.66000000003</v>
          </cell>
        </row>
        <row r="441">
          <cell r="AD441">
            <v>-892.86000000000013</v>
          </cell>
        </row>
        <row r="447">
          <cell r="AD447">
            <v>68302.5</v>
          </cell>
        </row>
        <row r="448">
          <cell r="AD448">
            <v>6597.98</v>
          </cell>
        </row>
        <row r="449">
          <cell r="AD449">
            <v>100</v>
          </cell>
        </row>
        <row r="450">
          <cell r="AD450">
            <v>0</v>
          </cell>
        </row>
        <row r="451">
          <cell r="AD451">
            <v>3917</v>
          </cell>
        </row>
        <row r="452">
          <cell r="AD452">
            <v>438</v>
          </cell>
        </row>
        <row r="453">
          <cell r="AD453">
            <v>5154.4399999999987</v>
          </cell>
        </row>
        <row r="454">
          <cell r="AD454">
            <v>504.67000000000007</v>
          </cell>
        </row>
        <row r="455">
          <cell r="AD455">
            <v>73.29000000000002</v>
          </cell>
        </row>
        <row r="456">
          <cell r="AD456">
            <v>0</v>
          </cell>
        </row>
        <row r="457">
          <cell r="AD457">
            <v>0</v>
          </cell>
        </row>
        <row r="458">
          <cell r="AD458">
            <v>0</v>
          </cell>
        </row>
        <row r="459">
          <cell r="AD459">
            <v>11678.469999999994</v>
          </cell>
        </row>
        <row r="460">
          <cell r="AD460">
            <v>215.60000000000002</v>
          </cell>
        </row>
        <row r="461">
          <cell r="AD461">
            <v>646.05999999999995</v>
          </cell>
        </row>
        <row r="462">
          <cell r="AD462">
            <v>0</v>
          </cell>
        </row>
        <row r="463">
          <cell r="AD463">
            <v>0</v>
          </cell>
        </row>
        <row r="464">
          <cell r="AD464">
            <v>0</v>
          </cell>
        </row>
        <row r="465">
          <cell r="AD465">
            <v>0</v>
          </cell>
        </row>
        <row r="466">
          <cell r="AD466">
            <v>0</v>
          </cell>
        </row>
        <row r="467">
          <cell r="AD467">
            <v>0</v>
          </cell>
        </row>
        <row r="468">
          <cell r="AD468">
            <v>0</v>
          </cell>
        </row>
        <row r="469">
          <cell r="AD469">
            <v>0</v>
          </cell>
        </row>
        <row r="470">
          <cell r="AD470">
            <v>0</v>
          </cell>
        </row>
        <row r="471">
          <cell r="AD471">
            <v>0</v>
          </cell>
        </row>
        <row r="472">
          <cell r="AD472">
            <v>0</v>
          </cell>
        </row>
        <row r="473">
          <cell r="AD473">
            <v>3583.2527586206852</v>
          </cell>
        </row>
        <row r="474">
          <cell r="AD474">
            <v>0</v>
          </cell>
        </row>
        <row r="475">
          <cell r="AD475">
            <v>121400</v>
          </cell>
        </row>
        <row r="476">
          <cell r="AD476">
            <v>0</v>
          </cell>
        </row>
        <row r="477">
          <cell r="AD477">
            <v>11267</v>
          </cell>
        </row>
        <row r="478">
          <cell r="AD478">
            <v>329</v>
          </cell>
        </row>
        <row r="479">
          <cell r="AD479">
            <v>0</v>
          </cell>
        </row>
        <row r="480">
          <cell r="AD480">
            <v>2933.8200000000006</v>
          </cell>
        </row>
        <row r="481">
          <cell r="AD481">
            <v>11840</v>
          </cell>
        </row>
        <row r="482">
          <cell r="AD482">
            <v>0</v>
          </cell>
        </row>
        <row r="483">
          <cell r="AD483">
            <v>742.61000000000013</v>
          </cell>
        </row>
        <row r="484">
          <cell r="AD484">
            <v>0</v>
          </cell>
        </row>
        <row r="485">
          <cell r="AD485">
            <v>8917.86</v>
          </cell>
        </row>
        <row r="486">
          <cell r="AD486">
            <v>26000</v>
          </cell>
        </row>
        <row r="487">
          <cell r="AD487">
            <v>0</v>
          </cell>
        </row>
        <row r="488">
          <cell r="AD488">
            <v>0</v>
          </cell>
        </row>
        <row r="489">
          <cell r="AD489">
            <v>0</v>
          </cell>
        </row>
        <row r="490">
          <cell r="AD490">
            <v>0</v>
          </cell>
        </row>
        <row r="491">
          <cell r="AD491">
            <v>0</v>
          </cell>
        </row>
        <row r="492">
          <cell r="AD492">
            <v>0</v>
          </cell>
        </row>
        <row r="493">
          <cell r="AD493">
            <v>0</v>
          </cell>
        </row>
        <row r="494">
          <cell r="AD494">
            <v>90</v>
          </cell>
        </row>
        <row r="495">
          <cell r="AD495">
            <v>0</v>
          </cell>
        </row>
        <row r="496">
          <cell r="AD496">
            <v>6442.5379310344797</v>
          </cell>
        </row>
        <row r="497">
          <cell r="AD497">
            <v>0</v>
          </cell>
        </row>
        <row r="498">
          <cell r="AD498">
            <v>10560.910000000003</v>
          </cell>
        </row>
        <row r="499">
          <cell r="AD499">
            <v>107.48999999999995</v>
          </cell>
        </row>
        <row r="500">
          <cell r="AD500">
            <v>30.039999999999992</v>
          </cell>
        </row>
        <row r="501">
          <cell r="AD501">
            <v>217.04000000000008</v>
          </cell>
        </row>
        <row r="502">
          <cell r="AD502">
            <v>136.08999999999969</v>
          </cell>
        </row>
        <row r="503">
          <cell r="AD503">
            <v>0</v>
          </cell>
        </row>
        <row r="504">
          <cell r="AD504">
            <v>0</v>
          </cell>
        </row>
        <row r="505">
          <cell r="AD505">
            <v>17255.839999999997</v>
          </cell>
        </row>
        <row r="506">
          <cell r="AD506">
            <v>1417</v>
          </cell>
        </row>
        <row r="507">
          <cell r="AD507">
            <v>0</v>
          </cell>
        </row>
        <row r="508">
          <cell r="AD508">
            <v>0</v>
          </cell>
        </row>
        <row r="509">
          <cell r="AD509">
            <v>0</v>
          </cell>
        </row>
        <row r="510">
          <cell r="AD510">
            <v>5200</v>
          </cell>
        </row>
        <row r="511">
          <cell r="AD511">
            <v>11.229999999999997</v>
          </cell>
        </row>
        <row r="512">
          <cell r="AD512">
            <v>0</v>
          </cell>
        </row>
        <row r="513">
          <cell r="AD513">
            <v>1274.6599999999999</v>
          </cell>
        </row>
        <row r="514">
          <cell r="AD514">
            <v>1940.4700000000003</v>
          </cell>
        </row>
        <row r="515">
          <cell r="AD515">
            <v>108.52000000000004</v>
          </cell>
        </row>
        <row r="516">
          <cell r="AD516">
            <v>0</v>
          </cell>
        </row>
        <row r="517">
          <cell r="AD517">
            <v>0</v>
          </cell>
        </row>
        <row r="518">
          <cell r="AD518">
            <v>0</v>
          </cell>
        </row>
        <row r="519">
          <cell r="AD519">
            <v>0</v>
          </cell>
        </row>
        <row r="520">
          <cell r="AD520">
            <v>0</v>
          </cell>
        </row>
        <row r="521">
          <cell r="AD521">
            <v>0</v>
          </cell>
        </row>
        <row r="522">
          <cell r="AD522">
            <v>0</v>
          </cell>
        </row>
        <row r="523">
          <cell r="AD523">
            <v>0</v>
          </cell>
        </row>
        <row r="524">
          <cell r="AD524">
            <v>0</v>
          </cell>
        </row>
        <row r="525">
          <cell r="AD525">
            <v>0</v>
          </cell>
        </row>
        <row r="526">
          <cell r="AD526">
            <v>0</v>
          </cell>
        </row>
        <row r="527">
          <cell r="AD527">
            <v>1208.79</v>
          </cell>
        </row>
        <row r="528">
          <cell r="AD528">
            <v>0</v>
          </cell>
        </row>
        <row r="529">
          <cell r="AD529">
            <v>0</v>
          </cell>
        </row>
        <row r="530">
          <cell r="AD530">
            <v>2282033.7702500029</v>
          </cell>
        </row>
        <row r="531">
          <cell r="AD531">
            <v>0</v>
          </cell>
        </row>
        <row r="532">
          <cell r="AD532">
            <v>1194.417586206896</v>
          </cell>
        </row>
        <row r="533">
          <cell r="AD533">
            <v>2613870.3585258657</v>
          </cell>
        </row>
        <row r="534">
          <cell r="AD534">
            <v>0</v>
          </cell>
        </row>
        <row r="535">
          <cell r="AD535">
            <v>0</v>
          </cell>
        </row>
        <row r="536">
          <cell r="AD536">
            <v>0</v>
          </cell>
        </row>
        <row r="537">
          <cell r="AD537">
            <v>46583.34</v>
          </cell>
        </row>
        <row r="538">
          <cell r="AD538">
            <v>2917</v>
          </cell>
        </row>
        <row r="539">
          <cell r="AD539">
            <v>0</v>
          </cell>
        </row>
        <row r="540">
          <cell r="AD540">
            <v>89.660000000000025</v>
          </cell>
        </row>
        <row r="541">
          <cell r="AD541">
            <v>99.239999999999952</v>
          </cell>
        </row>
        <row r="542">
          <cell r="AD542">
            <v>0</v>
          </cell>
        </row>
        <row r="543">
          <cell r="AD543">
            <v>0</v>
          </cell>
        </row>
        <row r="544">
          <cell r="AD544">
            <v>2107.1100000000006</v>
          </cell>
        </row>
        <row r="545">
          <cell r="AD545">
            <v>318.64999999999998</v>
          </cell>
        </row>
        <row r="546">
          <cell r="AD546">
            <v>34588.169999999984</v>
          </cell>
        </row>
        <row r="547">
          <cell r="AD547">
            <v>1975</v>
          </cell>
        </row>
        <row r="548">
          <cell r="AD548">
            <v>0</v>
          </cell>
        </row>
        <row r="549">
          <cell r="AD549">
            <v>397.64999999999964</v>
          </cell>
        </row>
        <row r="550">
          <cell r="AD550">
            <v>0</v>
          </cell>
        </row>
        <row r="551">
          <cell r="AD551">
            <v>0</v>
          </cell>
        </row>
        <row r="552">
          <cell r="AD552">
            <v>3486.7700000000004</v>
          </cell>
        </row>
        <row r="553">
          <cell r="AD553">
            <v>0</v>
          </cell>
        </row>
        <row r="554">
          <cell r="AD554">
            <v>0</v>
          </cell>
        </row>
        <row r="555">
          <cell r="AD555">
            <v>0</v>
          </cell>
        </row>
        <row r="556">
          <cell r="AD556">
            <v>349.24000000000024</v>
          </cell>
        </row>
        <row r="557">
          <cell r="AD557">
            <v>0</v>
          </cell>
        </row>
        <row r="558">
          <cell r="AD558">
            <v>0</v>
          </cell>
        </row>
        <row r="559">
          <cell r="AD559">
            <v>0</v>
          </cell>
        </row>
        <row r="560">
          <cell r="AD560">
            <v>0</v>
          </cell>
        </row>
        <row r="561">
          <cell r="AD561">
            <v>0</v>
          </cell>
        </row>
        <row r="562">
          <cell r="AD562">
            <v>0</v>
          </cell>
        </row>
        <row r="563">
          <cell r="AD563">
            <v>0</v>
          </cell>
        </row>
        <row r="564">
          <cell r="AD564">
            <v>0</v>
          </cell>
        </row>
        <row r="565">
          <cell r="AD565">
            <v>0</v>
          </cell>
        </row>
        <row r="566">
          <cell r="AD566">
            <v>0</v>
          </cell>
        </row>
        <row r="567">
          <cell r="AD567">
            <v>0</v>
          </cell>
        </row>
        <row r="568">
          <cell r="AD568">
            <v>0</v>
          </cell>
        </row>
        <row r="569">
          <cell r="AD569">
            <v>0</v>
          </cell>
        </row>
        <row r="570">
          <cell r="AD570">
            <v>0</v>
          </cell>
        </row>
        <row r="571">
          <cell r="AD571">
            <v>0</v>
          </cell>
        </row>
        <row r="572">
          <cell r="AD572">
            <v>0</v>
          </cell>
        </row>
        <row r="573">
          <cell r="AD573">
            <v>2393.2253793103446</v>
          </cell>
        </row>
        <row r="574">
          <cell r="AD574">
            <v>95305.055379310274</v>
          </cell>
        </row>
        <row r="575">
          <cell r="AD575">
            <v>0</v>
          </cell>
        </row>
        <row r="576">
          <cell r="AD576">
            <v>0</v>
          </cell>
        </row>
        <row r="577">
          <cell r="AD577">
            <v>0</v>
          </cell>
        </row>
        <row r="578">
          <cell r="AD578">
            <v>5833.34</v>
          </cell>
        </row>
        <row r="579">
          <cell r="AD579">
            <v>0</v>
          </cell>
        </row>
        <row r="580">
          <cell r="AD580">
            <v>0</v>
          </cell>
        </row>
        <row r="581">
          <cell r="AD581">
            <v>13.419999999999995</v>
          </cell>
        </row>
        <row r="582">
          <cell r="AD582">
            <v>0</v>
          </cell>
        </row>
        <row r="583">
          <cell r="AD583">
            <v>0</v>
          </cell>
        </row>
        <row r="584">
          <cell r="AD584">
            <v>503.01000000000022</v>
          </cell>
        </row>
        <row r="585">
          <cell r="AD585">
            <v>33.870000000000005</v>
          </cell>
        </row>
        <row r="586">
          <cell r="AD586">
            <v>626.22000000000025</v>
          </cell>
        </row>
        <row r="587">
          <cell r="AD587">
            <v>0</v>
          </cell>
        </row>
        <row r="588">
          <cell r="AD588">
            <v>0</v>
          </cell>
        </row>
        <row r="589">
          <cell r="AD589">
            <v>7083.34</v>
          </cell>
        </row>
        <row r="590">
          <cell r="AD590">
            <v>0</v>
          </cell>
        </row>
        <row r="591">
          <cell r="AD591">
            <v>762.45999999999958</v>
          </cell>
        </row>
        <row r="592">
          <cell r="AD592">
            <v>503.01000000000022</v>
          </cell>
        </row>
        <row r="593">
          <cell r="AD593">
            <v>33.870000000000005</v>
          </cell>
        </row>
        <row r="594">
          <cell r="AD594">
            <v>16.299999999999997</v>
          </cell>
        </row>
        <row r="595">
          <cell r="AD595">
            <v>0</v>
          </cell>
        </row>
        <row r="596">
          <cell r="AD596">
            <v>0</v>
          </cell>
        </row>
        <row r="597">
          <cell r="AD597">
            <v>11395.840000000004</v>
          </cell>
        </row>
        <row r="598">
          <cell r="AD598">
            <v>0</v>
          </cell>
        </row>
        <row r="599">
          <cell r="AD599">
            <v>624.99999999999977</v>
          </cell>
        </row>
        <row r="600">
          <cell r="AD600">
            <v>968.32999999999993</v>
          </cell>
        </row>
        <row r="601">
          <cell r="AD601">
            <v>503.01000000000022</v>
          </cell>
        </row>
        <row r="602">
          <cell r="AD602">
            <v>33.870000000000005</v>
          </cell>
        </row>
        <row r="603">
          <cell r="AD603">
            <v>16.070000000000007</v>
          </cell>
        </row>
        <row r="604">
          <cell r="AD604">
            <v>0</v>
          </cell>
        </row>
        <row r="605">
          <cell r="AD605">
            <v>0</v>
          </cell>
        </row>
        <row r="606">
          <cell r="AD606">
            <v>0</v>
          </cell>
        </row>
        <row r="607">
          <cell r="AD607">
            <v>0</v>
          </cell>
        </row>
        <row r="608">
          <cell r="AD608">
            <v>0</v>
          </cell>
        </row>
        <row r="609">
          <cell r="AD609">
            <v>0</v>
          </cell>
        </row>
        <row r="610">
          <cell r="AD610">
            <v>28950.960000000006</v>
          </cell>
        </row>
        <row r="611">
          <cell r="AD611">
            <v>0</v>
          </cell>
        </row>
        <row r="612">
          <cell r="AD612">
            <v>0</v>
          </cell>
        </row>
        <row r="613">
          <cell r="AD613">
            <v>0</v>
          </cell>
        </row>
        <row r="614">
          <cell r="AD614">
            <v>0</v>
          </cell>
        </row>
        <row r="615">
          <cell r="AD615">
            <v>0</v>
          </cell>
        </row>
        <row r="616">
          <cell r="AD616">
            <v>2482.8999999999996</v>
          </cell>
        </row>
        <row r="617">
          <cell r="AD617">
            <v>0</v>
          </cell>
        </row>
        <row r="618">
          <cell r="AD618">
            <v>26.879999999999995</v>
          </cell>
        </row>
        <row r="619">
          <cell r="AD619">
            <v>0</v>
          </cell>
        </row>
        <row r="620">
          <cell r="AD620">
            <v>0</v>
          </cell>
        </row>
        <row r="621">
          <cell r="AD621">
            <v>0</v>
          </cell>
        </row>
        <row r="622">
          <cell r="AD622">
            <v>2509.7799999999988</v>
          </cell>
        </row>
        <row r="623">
          <cell r="AD623">
            <v>0</v>
          </cell>
        </row>
        <row r="624">
          <cell r="AD624">
            <v>0</v>
          </cell>
        </row>
        <row r="625">
          <cell r="AD625">
            <v>0</v>
          </cell>
        </row>
        <row r="626">
          <cell r="AD626">
            <v>0</v>
          </cell>
        </row>
        <row r="627">
          <cell r="AD627">
            <v>0</v>
          </cell>
        </row>
        <row r="628">
          <cell r="AD628">
            <v>0</v>
          </cell>
        </row>
        <row r="629">
          <cell r="AD629">
            <v>0</v>
          </cell>
        </row>
        <row r="630">
          <cell r="AD630">
            <v>0</v>
          </cell>
        </row>
        <row r="631">
          <cell r="AD631">
            <v>0</v>
          </cell>
        </row>
        <row r="632">
          <cell r="AD632">
            <v>0</v>
          </cell>
        </row>
        <row r="633">
          <cell r="AD633">
            <v>0</v>
          </cell>
        </row>
        <row r="634">
          <cell r="AD634">
            <v>0</v>
          </cell>
        </row>
        <row r="635">
          <cell r="AD635">
            <v>0</v>
          </cell>
        </row>
        <row r="636">
          <cell r="AD636">
            <v>0</v>
          </cell>
        </row>
        <row r="637">
          <cell r="AD637">
            <v>0</v>
          </cell>
        </row>
        <row r="638">
          <cell r="AD638">
            <v>0</v>
          </cell>
        </row>
        <row r="639">
          <cell r="AD639">
            <v>0</v>
          </cell>
        </row>
        <row r="640">
          <cell r="AD640">
            <v>0</v>
          </cell>
        </row>
        <row r="641">
          <cell r="AD641">
            <v>0</v>
          </cell>
        </row>
        <row r="642">
          <cell r="AD642">
            <v>0</v>
          </cell>
        </row>
        <row r="643">
          <cell r="AD643">
            <v>0</v>
          </cell>
        </row>
        <row r="644">
          <cell r="AD644">
            <v>0</v>
          </cell>
        </row>
        <row r="645">
          <cell r="AD645">
            <v>12913.54</v>
          </cell>
        </row>
        <row r="646">
          <cell r="AD646">
            <v>9212.4700000000012</v>
          </cell>
        </row>
        <row r="647">
          <cell r="AD647">
            <v>5660.0799999999981</v>
          </cell>
        </row>
        <row r="648">
          <cell r="AD648">
            <v>0</v>
          </cell>
        </row>
        <row r="649">
          <cell r="AD649">
            <v>0</v>
          </cell>
        </row>
        <row r="650">
          <cell r="AD650">
            <v>0</v>
          </cell>
        </row>
        <row r="651">
          <cell r="AD651">
            <v>0</v>
          </cell>
        </row>
        <row r="652">
          <cell r="AD652">
            <v>0</v>
          </cell>
        </row>
        <row r="653">
          <cell r="AD653">
            <v>509.82999999999993</v>
          </cell>
        </row>
        <row r="654">
          <cell r="AD654">
            <v>0</v>
          </cell>
        </row>
        <row r="655">
          <cell r="AD655">
            <v>652.61999999999989</v>
          </cell>
        </row>
        <row r="656">
          <cell r="AD656">
            <v>15.920000000000002</v>
          </cell>
        </row>
        <row r="657">
          <cell r="AD657">
            <v>84.730000000000018</v>
          </cell>
        </row>
        <row r="658">
          <cell r="AD658">
            <v>506.11999999999989</v>
          </cell>
        </row>
        <row r="659">
          <cell r="AD659">
            <v>0</v>
          </cell>
        </row>
        <row r="660">
          <cell r="AD660">
            <v>416.67000000000007</v>
          </cell>
        </row>
        <row r="661">
          <cell r="AD661">
            <v>1509.6899999999998</v>
          </cell>
        </row>
        <row r="662">
          <cell r="AD662">
            <v>292.72000000000003</v>
          </cell>
        </row>
        <row r="663">
          <cell r="AD663">
            <v>390.5</v>
          </cell>
        </row>
        <row r="665">
          <cell r="AD665">
            <v>0</v>
          </cell>
        </row>
        <row r="666">
          <cell r="AD666">
            <v>1308.5199999999995</v>
          </cell>
        </row>
        <row r="667">
          <cell r="AD667">
            <v>489.91000000000008</v>
          </cell>
        </row>
        <row r="668">
          <cell r="AD668">
            <v>451.40000000000009</v>
          </cell>
        </row>
        <row r="670">
          <cell r="AD670">
            <v>0</v>
          </cell>
        </row>
        <row r="671">
          <cell r="AD671">
            <v>34414.719999999943</v>
          </cell>
        </row>
        <row r="672">
          <cell r="AD672">
            <v>0</v>
          </cell>
        </row>
        <row r="673">
          <cell r="AD673">
            <v>0</v>
          </cell>
        </row>
        <row r="674">
          <cell r="AD674">
            <v>0</v>
          </cell>
        </row>
        <row r="675">
          <cell r="AD675">
            <v>-31223.752827586199</v>
          </cell>
        </row>
        <row r="676">
          <cell r="AD676">
            <v>0</v>
          </cell>
        </row>
        <row r="677">
          <cell r="AD677">
            <v>-31223.752827586199</v>
          </cell>
        </row>
        <row r="678">
          <cell r="AD678">
            <v>0</v>
          </cell>
        </row>
        <row r="679">
          <cell r="AD679">
            <v>34651.707172413764</v>
          </cell>
        </row>
        <row r="680">
          <cell r="AD680">
            <v>0</v>
          </cell>
        </row>
        <row r="681">
          <cell r="AD681">
            <v>0</v>
          </cell>
        </row>
        <row r="682">
          <cell r="AD682">
            <v>0</v>
          </cell>
        </row>
        <row r="683">
          <cell r="AD683">
            <v>0</v>
          </cell>
        </row>
        <row r="684">
          <cell r="AD684">
            <v>30183.339999999997</v>
          </cell>
        </row>
        <row r="686">
          <cell r="AD686">
            <v>2499.9999999999964</v>
          </cell>
        </row>
        <row r="687">
          <cell r="AD687">
            <v>2531.59</v>
          </cell>
        </row>
        <row r="688">
          <cell r="AD688">
            <v>90.960000000000036</v>
          </cell>
        </row>
        <row r="689">
          <cell r="AD689">
            <v>0</v>
          </cell>
        </row>
        <row r="690">
          <cell r="AD690">
            <v>0</v>
          </cell>
        </row>
        <row r="691">
          <cell r="AD691">
            <v>0</v>
          </cell>
        </row>
        <row r="692">
          <cell r="AD692">
            <v>101.60999999999996</v>
          </cell>
        </row>
        <row r="693">
          <cell r="AD693">
            <v>171.53</v>
          </cell>
        </row>
        <row r="694">
          <cell r="AD694">
            <v>0</v>
          </cell>
        </row>
        <row r="695">
          <cell r="AD695">
            <v>751.52000000000044</v>
          </cell>
        </row>
        <row r="696">
          <cell r="AD696">
            <v>0</v>
          </cell>
        </row>
        <row r="697">
          <cell r="AD697">
            <v>0</v>
          </cell>
        </row>
        <row r="698">
          <cell r="AD698">
            <v>0</v>
          </cell>
        </row>
        <row r="699">
          <cell r="AD699">
            <v>0</v>
          </cell>
        </row>
        <row r="700">
          <cell r="AD700">
            <v>0</v>
          </cell>
        </row>
        <row r="701">
          <cell r="AD701">
            <v>0</v>
          </cell>
        </row>
        <row r="702">
          <cell r="AD702">
            <v>0</v>
          </cell>
        </row>
        <row r="703">
          <cell r="AD703">
            <v>779.88</v>
          </cell>
        </row>
        <row r="704">
          <cell r="AD704">
            <v>0</v>
          </cell>
        </row>
        <row r="705">
          <cell r="AD705">
            <v>0</v>
          </cell>
        </row>
        <row r="706">
          <cell r="AD706">
            <v>0</v>
          </cell>
        </row>
        <row r="708">
          <cell r="AD708">
            <v>438.21000000000026</v>
          </cell>
        </row>
        <row r="709">
          <cell r="AD709">
            <v>7130</v>
          </cell>
        </row>
        <row r="710">
          <cell r="AD710">
            <v>4090.8500000000022</v>
          </cell>
        </row>
        <row r="711">
          <cell r="AD711">
            <v>0</v>
          </cell>
        </row>
        <row r="712">
          <cell r="AD712">
            <v>0</v>
          </cell>
        </row>
        <row r="713">
          <cell r="AD713">
            <v>0</v>
          </cell>
        </row>
        <row r="714">
          <cell r="AD714">
            <v>4537.3099999999977</v>
          </cell>
        </row>
        <row r="715">
          <cell r="AD715">
            <v>0</v>
          </cell>
        </row>
        <row r="716">
          <cell r="AD716">
            <v>0</v>
          </cell>
        </row>
        <row r="718">
          <cell r="AD718">
            <v>0</v>
          </cell>
        </row>
        <row r="719">
          <cell r="AD719">
            <v>0</v>
          </cell>
        </row>
        <row r="720">
          <cell r="AD720">
            <v>0</v>
          </cell>
        </row>
        <row r="721">
          <cell r="AD721">
            <v>1240</v>
          </cell>
        </row>
        <row r="722">
          <cell r="AD722">
            <v>0</v>
          </cell>
        </row>
        <row r="723">
          <cell r="AD723">
            <v>54546.799999999988</v>
          </cell>
        </row>
        <row r="724">
          <cell r="AD724">
            <v>0</v>
          </cell>
        </row>
        <row r="725">
          <cell r="AD725">
            <v>0</v>
          </cell>
        </row>
        <row r="726">
          <cell r="AD726">
            <v>0</v>
          </cell>
        </row>
        <row r="727">
          <cell r="AD727">
            <v>0</v>
          </cell>
        </row>
        <row r="728">
          <cell r="AD728">
            <v>62916.659999999974</v>
          </cell>
        </row>
        <row r="729">
          <cell r="AD729">
            <v>4167</v>
          </cell>
        </row>
        <row r="730">
          <cell r="AD730">
            <v>-124158.02000000002</v>
          </cell>
        </row>
        <row r="731">
          <cell r="AD731">
            <v>-5452.5499999999993</v>
          </cell>
        </row>
        <row r="732">
          <cell r="AD732">
            <v>61511</v>
          </cell>
        </row>
        <row r="733">
          <cell r="AD733">
            <v>0</v>
          </cell>
        </row>
        <row r="734">
          <cell r="AD734">
            <v>0</v>
          </cell>
        </row>
        <row r="735">
          <cell r="AD735">
            <v>249.99999999999994</v>
          </cell>
        </row>
        <row r="736">
          <cell r="AD736">
            <v>4040.7700000000041</v>
          </cell>
        </row>
        <row r="737">
          <cell r="AD737">
            <v>0</v>
          </cell>
        </row>
        <row r="738">
          <cell r="AD738">
            <v>0</v>
          </cell>
        </row>
        <row r="739">
          <cell r="AD739">
            <v>4045.6999999999971</v>
          </cell>
        </row>
        <row r="740">
          <cell r="AD740">
            <v>423.95999999999981</v>
          </cell>
        </row>
        <row r="741">
          <cell r="AD741">
            <v>0</v>
          </cell>
        </row>
        <row r="742">
          <cell r="AD742">
            <v>0</v>
          </cell>
        </row>
        <row r="743">
          <cell r="AD743">
            <v>0</v>
          </cell>
        </row>
        <row r="744">
          <cell r="AD744">
            <v>339.74000000000024</v>
          </cell>
        </row>
        <row r="745">
          <cell r="AD745">
            <v>11662.870000000003</v>
          </cell>
        </row>
        <row r="746">
          <cell r="AD746">
            <v>513.4800000000032</v>
          </cell>
        </row>
        <row r="747">
          <cell r="AD747">
            <v>0</v>
          </cell>
        </row>
        <row r="748">
          <cell r="AD748">
            <v>217.04000000000008</v>
          </cell>
        </row>
        <row r="749">
          <cell r="AD749">
            <v>465</v>
          </cell>
        </row>
        <row r="750">
          <cell r="AD750">
            <v>0</v>
          </cell>
        </row>
        <row r="751">
          <cell r="AD751">
            <v>0</v>
          </cell>
        </row>
        <row r="752">
          <cell r="AD752">
            <v>0</v>
          </cell>
        </row>
        <row r="753">
          <cell r="AD753">
            <v>25000</v>
          </cell>
        </row>
        <row r="754">
          <cell r="AD754">
            <v>18344</v>
          </cell>
        </row>
        <row r="755">
          <cell r="AD755">
            <v>1250</v>
          </cell>
        </row>
        <row r="756">
          <cell r="AD756">
            <v>0</v>
          </cell>
        </row>
        <row r="757">
          <cell r="AD757">
            <v>623.35000000000036</v>
          </cell>
        </row>
        <row r="758">
          <cell r="AD758">
            <v>0</v>
          </cell>
        </row>
        <row r="759">
          <cell r="AD759">
            <v>0</v>
          </cell>
        </row>
        <row r="760">
          <cell r="AD760">
            <v>1940.4700000000003</v>
          </cell>
        </row>
        <row r="761">
          <cell r="AD761">
            <v>108.52000000000004</v>
          </cell>
        </row>
        <row r="762">
          <cell r="AD762">
            <v>0</v>
          </cell>
        </row>
        <row r="763">
          <cell r="AD763">
            <v>230.39999999999986</v>
          </cell>
        </row>
        <row r="764">
          <cell r="AD764">
            <v>0</v>
          </cell>
        </row>
        <row r="765">
          <cell r="AD765">
            <v>0</v>
          </cell>
        </row>
        <row r="766">
          <cell r="AD766">
            <v>102625.00000000006</v>
          </cell>
        </row>
        <row r="767">
          <cell r="AD767">
            <v>2500</v>
          </cell>
        </row>
        <row r="768">
          <cell r="AD768">
            <v>9803</v>
          </cell>
        </row>
        <row r="769">
          <cell r="AD769">
            <v>0</v>
          </cell>
        </row>
        <row r="770">
          <cell r="AD770">
            <v>8493.929999999993</v>
          </cell>
        </row>
        <row r="771">
          <cell r="AD771">
            <v>236.57000000000016</v>
          </cell>
        </row>
        <row r="772">
          <cell r="AD772">
            <v>0</v>
          </cell>
        </row>
        <row r="773">
          <cell r="AD773">
            <v>9308.0999999999985</v>
          </cell>
        </row>
        <row r="774">
          <cell r="AD774">
            <v>644.21</v>
          </cell>
        </row>
        <row r="775">
          <cell r="AD775">
            <v>0</v>
          </cell>
        </row>
        <row r="776">
          <cell r="AD776">
            <v>0</v>
          </cell>
        </row>
        <row r="777">
          <cell r="AD777">
            <v>0</v>
          </cell>
        </row>
        <row r="778">
          <cell r="AD778">
            <v>0</v>
          </cell>
        </row>
        <row r="779">
          <cell r="AD779">
            <v>0</v>
          </cell>
        </row>
        <row r="780">
          <cell r="AD780">
            <v>0</v>
          </cell>
        </row>
        <row r="781">
          <cell r="AD781">
            <v>32083.339999999997</v>
          </cell>
        </row>
        <row r="782">
          <cell r="AD782">
            <v>2602.1400000000012</v>
          </cell>
        </row>
        <row r="783">
          <cell r="AD783">
            <v>0</v>
          </cell>
        </row>
        <row r="784">
          <cell r="AD784">
            <v>4583</v>
          </cell>
        </row>
        <row r="785">
          <cell r="AD785">
            <v>3140</v>
          </cell>
        </row>
        <row r="786">
          <cell r="AD786">
            <v>3879.42</v>
          </cell>
        </row>
        <row r="787">
          <cell r="AD787">
            <v>543.16</v>
          </cell>
        </row>
        <row r="788">
          <cell r="AD788">
            <v>211.98000000000002</v>
          </cell>
        </row>
        <row r="789">
          <cell r="AD789">
            <v>69.199999999999989</v>
          </cell>
        </row>
        <row r="790">
          <cell r="AD790">
            <v>0</v>
          </cell>
        </row>
        <row r="791">
          <cell r="AD791">
            <v>0</v>
          </cell>
        </row>
        <row r="792">
          <cell r="AD792">
            <v>0</v>
          </cell>
        </row>
        <row r="793">
          <cell r="AD793">
            <v>0</v>
          </cell>
        </row>
        <row r="794">
          <cell r="AD794">
            <v>0</v>
          </cell>
        </row>
        <row r="795">
          <cell r="AD795">
            <v>0</v>
          </cell>
        </row>
        <row r="796">
          <cell r="AD796">
            <v>0</v>
          </cell>
        </row>
        <row r="797">
          <cell r="AD797">
            <v>0</v>
          </cell>
        </row>
        <row r="798">
          <cell r="AD798">
            <v>0</v>
          </cell>
        </row>
        <row r="799">
          <cell r="AD799">
            <v>13125</v>
          </cell>
        </row>
        <row r="800">
          <cell r="AD800">
            <v>12500</v>
          </cell>
        </row>
        <row r="801">
          <cell r="AD801">
            <v>2389.85</v>
          </cell>
        </row>
        <row r="802">
          <cell r="AD802">
            <v>97.87</v>
          </cell>
        </row>
        <row r="803">
          <cell r="AD803">
            <v>25041.660000000003</v>
          </cell>
        </row>
        <row r="804">
          <cell r="AD804">
            <v>2631.6900000000005</v>
          </cell>
        </row>
        <row r="805">
          <cell r="AD805">
            <v>183.17000000000007</v>
          </cell>
        </row>
        <row r="806">
          <cell r="AD806">
            <v>125.44</v>
          </cell>
        </row>
        <row r="807">
          <cell r="AD807">
            <v>0</v>
          </cell>
        </row>
        <row r="808">
          <cell r="AD808">
            <v>58.729999999999961</v>
          </cell>
        </row>
        <row r="809">
          <cell r="AD809">
            <v>1667</v>
          </cell>
        </row>
        <row r="810">
          <cell r="AD810">
            <v>0</v>
          </cell>
        </row>
        <row r="811">
          <cell r="AD811">
            <v>2555.83</v>
          </cell>
        </row>
        <row r="812">
          <cell r="AD812">
            <v>18148</v>
          </cell>
        </row>
        <row r="813">
          <cell r="AD813">
            <v>0</v>
          </cell>
        </row>
        <row r="814">
          <cell r="AD814">
            <v>14577.160000000003</v>
          </cell>
        </row>
        <row r="815">
          <cell r="AD815">
            <v>0</v>
          </cell>
        </row>
        <row r="816">
          <cell r="AD816">
            <v>0</v>
          </cell>
        </row>
        <row r="817">
          <cell r="AD817">
            <v>0</v>
          </cell>
        </row>
        <row r="818">
          <cell r="AD818">
            <v>0</v>
          </cell>
        </row>
        <row r="819">
          <cell r="AD819">
            <v>262.86</v>
          </cell>
        </row>
        <row r="820">
          <cell r="AD820">
            <v>217.04000000000008</v>
          </cell>
        </row>
        <row r="821">
          <cell r="AD821">
            <v>0</v>
          </cell>
        </row>
        <row r="822">
          <cell r="AD822">
            <v>0</v>
          </cell>
        </row>
        <row r="823">
          <cell r="AD823">
            <v>3523.9399999999987</v>
          </cell>
        </row>
        <row r="824">
          <cell r="AD824">
            <v>0</v>
          </cell>
        </row>
        <row r="825">
          <cell r="AD825">
            <v>0</v>
          </cell>
        </row>
        <row r="826">
          <cell r="AD826">
            <v>444</v>
          </cell>
        </row>
        <row r="827">
          <cell r="AD827">
            <v>0</v>
          </cell>
        </row>
        <row r="828">
          <cell r="AD828">
            <v>0</v>
          </cell>
        </row>
        <row r="829">
          <cell r="AD829">
            <v>0</v>
          </cell>
        </row>
        <row r="830">
          <cell r="AD830">
            <v>0</v>
          </cell>
        </row>
        <row r="831">
          <cell r="AD831">
            <v>0</v>
          </cell>
        </row>
        <row r="832">
          <cell r="AD832">
            <v>48791.66</v>
          </cell>
        </row>
        <row r="833">
          <cell r="AD833">
            <v>833</v>
          </cell>
        </row>
        <row r="834">
          <cell r="AD834">
            <v>0</v>
          </cell>
        </row>
        <row r="835">
          <cell r="AD835">
            <v>5031</v>
          </cell>
        </row>
        <row r="836">
          <cell r="AD836">
            <v>4502.5399999999972</v>
          </cell>
        </row>
        <row r="837">
          <cell r="AD837">
            <v>0</v>
          </cell>
        </row>
        <row r="838">
          <cell r="AD838">
            <v>50</v>
          </cell>
        </row>
        <row r="839">
          <cell r="AD839">
            <v>3679.5800000000017</v>
          </cell>
        </row>
        <row r="840">
          <cell r="AD840">
            <v>213.82999999999993</v>
          </cell>
        </row>
        <row r="841">
          <cell r="AD841">
            <v>57.079999999999984</v>
          </cell>
        </row>
        <row r="842">
          <cell r="AD842">
            <v>0</v>
          </cell>
        </row>
        <row r="843">
          <cell r="AD843">
            <v>49958.34</v>
          </cell>
        </row>
        <row r="844">
          <cell r="AD844">
            <v>2750.2700000000004</v>
          </cell>
        </row>
        <row r="845">
          <cell r="AD845">
            <v>16523</v>
          </cell>
        </row>
        <row r="846">
          <cell r="AD846">
            <v>14625</v>
          </cell>
        </row>
        <row r="847">
          <cell r="AD847">
            <v>0</v>
          </cell>
        </row>
        <row r="848">
          <cell r="AD848">
            <v>40.110000000000014</v>
          </cell>
        </row>
        <row r="849">
          <cell r="AD849">
            <v>0</v>
          </cell>
        </row>
        <row r="850">
          <cell r="AD850">
            <v>4383.9500000000007</v>
          </cell>
        </row>
        <row r="851">
          <cell r="AD851">
            <v>0</v>
          </cell>
        </row>
        <row r="852">
          <cell r="AD852">
            <v>0</v>
          </cell>
        </row>
        <row r="853">
          <cell r="AD853">
            <v>250.90999999999997</v>
          </cell>
        </row>
        <row r="854">
          <cell r="AD854">
            <v>15514.550000000003</v>
          </cell>
        </row>
        <row r="855">
          <cell r="AD855">
            <v>0</v>
          </cell>
        </row>
        <row r="856">
          <cell r="AD856">
            <v>461</v>
          </cell>
        </row>
        <row r="857">
          <cell r="AD857">
            <v>2583.1200000000026</v>
          </cell>
        </row>
        <row r="858">
          <cell r="AD858">
            <v>217.04000000000008</v>
          </cell>
        </row>
        <row r="859">
          <cell r="AD859">
            <v>0</v>
          </cell>
        </row>
        <row r="860">
          <cell r="AD860">
            <v>0</v>
          </cell>
        </row>
        <row r="861">
          <cell r="AD861">
            <v>0</v>
          </cell>
        </row>
      </sheetData>
      <sheetData sheetId="28"/>
      <sheetData sheetId="29"/>
      <sheetData sheetId="30"/>
      <sheetData sheetId="31"/>
      <sheetData sheetId="32">
        <row r="168">
          <cell r="AA168">
            <v>0</v>
          </cell>
        </row>
        <row r="184">
          <cell r="AA184">
            <v>58270.649999999994</v>
          </cell>
        </row>
        <row r="185">
          <cell r="AA185">
            <v>0</v>
          </cell>
        </row>
        <row r="186">
          <cell r="AA186">
            <v>0</v>
          </cell>
        </row>
        <row r="187">
          <cell r="AA187">
            <v>411.15</v>
          </cell>
        </row>
        <row r="188">
          <cell r="AA188">
            <v>0</v>
          </cell>
        </row>
        <row r="189">
          <cell r="AA189">
            <v>0</v>
          </cell>
        </row>
        <row r="190">
          <cell r="AA190">
            <v>0</v>
          </cell>
        </row>
        <row r="191">
          <cell r="AA191">
            <v>0</v>
          </cell>
        </row>
        <row r="192">
          <cell r="AA192">
            <v>0</v>
          </cell>
        </row>
        <row r="193">
          <cell r="AA193">
            <v>0</v>
          </cell>
        </row>
        <row r="194">
          <cell r="AA194">
            <v>0</v>
          </cell>
        </row>
        <row r="195">
          <cell r="AA195">
            <v>-12418.014087017626</v>
          </cell>
        </row>
        <row r="196">
          <cell r="AA196">
            <v>0</v>
          </cell>
        </row>
        <row r="197">
          <cell r="AA197">
            <v>46263.785912982363</v>
          </cell>
        </row>
        <row r="198">
          <cell r="AA198">
            <v>0</v>
          </cell>
        </row>
        <row r="199">
          <cell r="AA199">
            <v>0</v>
          </cell>
        </row>
        <row r="200">
          <cell r="AA200">
            <v>0</v>
          </cell>
        </row>
        <row r="201">
          <cell r="AA201">
            <v>0</v>
          </cell>
        </row>
        <row r="202">
          <cell r="AA202">
            <v>0</v>
          </cell>
        </row>
        <row r="203">
          <cell r="AA203">
            <v>0</v>
          </cell>
        </row>
        <row r="204">
          <cell r="AA204">
            <v>0</v>
          </cell>
        </row>
        <row r="205">
          <cell r="AA205">
            <v>0</v>
          </cell>
        </row>
        <row r="206">
          <cell r="AA206">
            <v>0</v>
          </cell>
        </row>
        <row r="207">
          <cell r="AA207">
            <v>0</v>
          </cell>
        </row>
        <row r="208">
          <cell r="AA208">
            <v>0</v>
          </cell>
        </row>
        <row r="209">
          <cell r="AA209">
            <v>0</v>
          </cell>
        </row>
        <row r="210">
          <cell r="AA210">
            <v>796.48</v>
          </cell>
        </row>
        <row r="211">
          <cell r="AA211">
            <v>1494.5500000000002</v>
          </cell>
        </row>
        <row r="212">
          <cell r="AA212">
            <v>2291.0300000000007</v>
          </cell>
        </row>
        <row r="213">
          <cell r="AA213">
            <v>0</v>
          </cell>
        </row>
        <row r="214">
          <cell r="AA214">
            <v>162.28383701653252</v>
          </cell>
        </row>
        <row r="215">
          <cell r="AA215">
            <v>0</v>
          </cell>
        </row>
        <row r="216">
          <cell r="AA216">
            <v>162.28383701653252</v>
          </cell>
        </row>
        <row r="217">
          <cell r="AA217">
            <v>0</v>
          </cell>
        </row>
        <row r="218">
          <cell r="AA218">
            <v>0</v>
          </cell>
        </row>
        <row r="219">
          <cell r="AA219">
            <v>2453.3138370165325</v>
          </cell>
        </row>
        <row r="220">
          <cell r="AA220">
            <v>0</v>
          </cell>
        </row>
        <row r="221">
          <cell r="AA221">
            <v>0</v>
          </cell>
        </row>
        <row r="222">
          <cell r="AA222">
            <v>0</v>
          </cell>
        </row>
        <row r="223">
          <cell r="AA223">
            <v>0</v>
          </cell>
        </row>
        <row r="224">
          <cell r="AA224">
            <v>0</v>
          </cell>
        </row>
        <row r="225">
          <cell r="AA225">
            <v>0</v>
          </cell>
        </row>
        <row r="226">
          <cell r="AA226">
            <v>0</v>
          </cell>
        </row>
        <row r="227">
          <cell r="AA227">
            <v>0</v>
          </cell>
        </row>
        <row r="228">
          <cell r="AA228">
            <v>0</v>
          </cell>
        </row>
        <row r="229">
          <cell r="AA229">
            <v>15822.459999999992</v>
          </cell>
        </row>
        <row r="230">
          <cell r="AA230">
            <v>0</v>
          </cell>
        </row>
        <row r="231">
          <cell r="AA231">
            <v>0</v>
          </cell>
        </row>
        <row r="232">
          <cell r="AA232">
            <v>0</v>
          </cell>
        </row>
        <row r="233">
          <cell r="AA233">
            <v>0</v>
          </cell>
        </row>
        <row r="234">
          <cell r="AA234">
            <v>0</v>
          </cell>
        </row>
        <row r="235">
          <cell r="AA235">
            <v>0</v>
          </cell>
        </row>
        <row r="236">
          <cell r="AA236">
            <v>0</v>
          </cell>
        </row>
        <row r="237">
          <cell r="AA237">
            <v>0</v>
          </cell>
        </row>
        <row r="238">
          <cell r="AA238">
            <v>0</v>
          </cell>
        </row>
        <row r="239">
          <cell r="AA239">
            <v>0</v>
          </cell>
        </row>
        <row r="240">
          <cell r="AA240">
            <v>0</v>
          </cell>
        </row>
        <row r="241">
          <cell r="AA241">
            <v>0</v>
          </cell>
        </row>
        <row r="242">
          <cell r="AA242">
            <v>15822.459999999992</v>
          </cell>
        </row>
        <row r="243">
          <cell r="AA243">
            <v>0</v>
          </cell>
        </row>
        <row r="244">
          <cell r="AA244">
            <v>0</v>
          </cell>
        </row>
        <row r="245">
          <cell r="AA245">
            <v>0</v>
          </cell>
        </row>
        <row r="246">
          <cell r="AA246">
            <v>0</v>
          </cell>
        </row>
        <row r="247">
          <cell r="AA247">
            <v>0</v>
          </cell>
        </row>
        <row r="248">
          <cell r="AA248">
            <v>16360.349999999991</v>
          </cell>
        </row>
        <row r="249">
          <cell r="AA249">
            <v>0</v>
          </cell>
        </row>
        <row r="250">
          <cell r="AA250">
            <v>0</v>
          </cell>
        </row>
        <row r="251">
          <cell r="AA251">
            <v>0</v>
          </cell>
        </row>
        <row r="252">
          <cell r="AA252">
            <v>0</v>
          </cell>
        </row>
        <row r="253">
          <cell r="AA253">
            <v>0</v>
          </cell>
        </row>
        <row r="254">
          <cell r="AA254">
            <v>0</v>
          </cell>
        </row>
        <row r="255">
          <cell r="AA255">
            <v>0</v>
          </cell>
        </row>
        <row r="256">
          <cell r="AA256">
            <v>0</v>
          </cell>
        </row>
        <row r="257">
          <cell r="AA257">
            <v>0</v>
          </cell>
        </row>
        <row r="258">
          <cell r="AA258">
            <v>16360.349999999977</v>
          </cell>
        </row>
        <row r="259">
          <cell r="AA259">
            <v>0</v>
          </cell>
        </row>
        <row r="260">
          <cell r="AA260">
            <v>0</v>
          </cell>
        </row>
        <row r="261">
          <cell r="AA261">
            <v>0</v>
          </cell>
        </row>
        <row r="262">
          <cell r="AA262">
            <v>0</v>
          </cell>
        </row>
        <row r="263">
          <cell r="AA263">
            <v>0</v>
          </cell>
        </row>
        <row r="264">
          <cell r="AA264">
            <v>31674.289999999994</v>
          </cell>
        </row>
        <row r="265">
          <cell r="AA265">
            <v>0</v>
          </cell>
        </row>
        <row r="266">
          <cell r="AA266">
            <v>0</v>
          </cell>
        </row>
        <row r="267">
          <cell r="AA267">
            <v>0</v>
          </cell>
        </row>
        <row r="268">
          <cell r="AA268">
            <v>0</v>
          </cell>
        </row>
        <row r="269">
          <cell r="AA269">
            <v>0</v>
          </cell>
        </row>
        <row r="270">
          <cell r="AA270">
            <v>0</v>
          </cell>
        </row>
        <row r="271">
          <cell r="AA271">
            <v>0</v>
          </cell>
        </row>
        <row r="272">
          <cell r="AA272">
            <v>0</v>
          </cell>
        </row>
        <row r="273">
          <cell r="AA273">
            <v>10.610000000000127</v>
          </cell>
        </row>
        <row r="274">
          <cell r="AA274">
            <v>0</v>
          </cell>
        </row>
        <row r="275">
          <cell r="AA275">
            <v>31684.900000000009</v>
          </cell>
        </row>
        <row r="277">
          <cell r="AA277">
            <v>63867.710000000021</v>
          </cell>
        </row>
        <row r="281">
          <cell r="AA281">
            <v>0</v>
          </cell>
        </row>
        <row r="282">
          <cell r="AA282">
            <v>0</v>
          </cell>
        </row>
        <row r="283">
          <cell r="AA283">
            <v>0</v>
          </cell>
        </row>
        <row r="284">
          <cell r="AA284">
            <v>0</v>
          </cell>
        </row>
        <row r="285">
          <cell r="AA285">
            <v>1016.7400000000002</v>
          </cell>
        </row>
        <row r="286">
          <cell r="AA286">
            <v>11160.015001937056</v>
          </cell>
        </row>
        <row r="287">
          <cell r="AA287">
            <v>0</v>
          </cell>
        </row>
        <row r="288">
          <cell r="AA288">
            <v>12176.755001937054</v>
          </cell>
        </row>
        <row r="289">
          <cell r="AA289">
            <v>0</v>
          </cell>
        </row>
      </sheetData>
      <sheetData sheetId="33"/>
      <sheetData sheetId="34"/>
      <sheetData sheetId="35"/>
      <sheetData sheetId="36">
        <row r="1">
          <cell r="C1"/>
        </row>
        <row r="166">
          <cell r="AA166">
            <v>-200661.23491179198</v>
          </cell>
        </row>
        <row r="167">
          <cell r="AA167">
            <v>-200661.23491179198</v>
          </cell>
        </row>
        <row r="168">
          <cell r="AA168">
            <v>0</v>
          </cell>
        </row>
        <row r="169">
          <cell r="AA169">
            <v>0</v>
          </cell>
        </row>
        <row r="170">
          <cell r="AA170">
            <v>0</v>
          </cell>
        </row>
        <row r="171">
          <cell r="AA171">
            <v>0</v>
          </cell>
        </row>
        <row r="172">
          <cell r="AA172">
            <v>0</v>
          </cell>
        </row>
        <row r="173">
          <cell r="AA173">
            <v>0</v>
          </cell>
        </row>
        <row r="174">
          <cell r="AA174">
            <v>60387.81</v>
          </cell>
        </row>
        <row r="175">
          <cell r="AA175">
            <v>0</v>
          </cell>
        </row>
        <row r="176">
          <cell r="AA176">
            <v>491.98</v>
          </cell>
        </row>
        <row r="177">
          <cell r="AA177">
            <v>1497.09</v>
          </cell>
        </row>
        <row r="178">
          <cell r="AA178">
            <v>0</v>
          </cell>
        </row>
        <row r="179">
          <cell r="AA179">
            <v>13720.589999999997</v>
          </cell>
        </row>
        <row r="180">
          <cell r="AA180">
            <v>0</v>
          </cell>
        </row>
        <row r="181">
          <cell r="AA181">
            <v>1940.62</v>
          </cell>
        </row>
        <row r="182">
          <cell r="AA182">
            <v>0</v>
          </cell>
        </row>
        <row r="183">
          <cell r="AA183">
            <v>7110.1907368421016</v>
          </cell>
        </row>
        <row r="184">
          <cell r="AA184">
            <v>0</v>
          </cell>
        </row>
        <row r="185">
          <cell r="AA185">
            <v>0</v>
          </cell>
        </row>
        <row r="186">
          <cell r="AA186">
            <v>18856.369999999995</v>
          </cell>
        </row>
        <row r="187">
          <cell r="AA187">
            <v>47.150000000000091</v>
          </cell>
        </row>
        <row r="188">
          <cell r="AA188">
            <v>0</v>
          </cell>
        </row>
        <row r="189">
          <cell r="AA189">
            <v>1130.31</v>
          </cell>
        </row>
        <row r="190">
          <cell r="AA190">
            <v>3326.2000000000007</v>
          </cell>
        </row>
        <row r="191">
          <cell r="AA191">
            <v>0</v>
          </cell>
        </row>
        <row r="192">
          <cell r="AA192">
            <v>0</v>
          </cell>
        </row>
        <row r="193">
          <cell r="AA193">
            <v>1852.6327081339696</v>
          </cell>
        </row>
        <row r="194">
          <cell r="AA194">
            <v>0</v>
          </cell>
        </row>
        <row r="195">
          <cell r="AA195">
            <v>110360.94344497618</v>
          </cell>
        </row>
        <row r="196">
          <cell r="AA196">
            <v>0</v>
          </cell>
        </row>
        <row r="197">
          <cell r="AA197">
            <v>0</v>
          </cell>
        </row>
        <row r="198">
          <cell r="AA198">
            <v>0</v>
          </cell>
        </row>
        <row r="199">
          <cell r="AA199">
            <v>0</v>
          </cell>
        </row>
        <row r="200">
          <cell r="AA200">
            <v>0</v>
          </cell>
        </row>
        <row r="201">
          <cell r="AA201">
            <v>0</v>
          </cell>
        </row>
        <row r="202">
          <cell r="AA202">
            <v>0</v>
          </cell>
        </row>
        <row r="203">
          <cell r="AA203">
            <v>0</v>
          </cell>
        </row>
        <row r="204">
          <cell r="AA204">
            <v>0</v>
          </cell>
        </row>
        <row r="205">
          <cell r="AA205">
            <v>0</v>
          </cell>
        </row>
        <row r="206">
          <cell r="AA206">
            <v>0</v>
          </cell>
        </row>
        <row r="207">
          <cell r="AA207">
            <v>691.80000000000018</v>
          </cell>
        </row>
        <row r="208">
          <cell r="AA208">
            <v>0</v>
          </cell>
        </row>
        <row r="209">
          <cell r="AA209">
            <v>448.5300000000002</v>
          </cell>
        </row>
        <row r="210">
          <cell r="AA210">
            <v>52.579999999999927</v>
          </cell>
        </row>
        <row r="211">
          <cell r="AA211">
            <v>1192.9099999999999</v>
          </cell>
        </row>
        <row r="212">
          <cell r="AA212">
            <v>0</v>
          </cell>
        </row>
        <row r="213">
          <cell r="AA213">
            <v>0</v>
          </cell>
        </row>
        <row r="214">
          <cell r="AA214">
            <v>5456.9399999999987</v>
          </cell>
        </row>
        <row r="215">
          <cell r="AA215">
            <v>0</v>
          </cell>
        </row>
        <row r="216">
          <cell r="AA216">
            <v>1541.8899999999994</v>
          </cell>
        </row>
        <row r="217">
          <cell r="AA217">
            <v>-132.82999999999993</v>
          </cell>
        </row>
        <row r="218">
          <cell r="AA218">
            <v>320.29999999999995</v>
          </cell>
        </row>
        <row r="219">
          <cell r="AA219">
            <v>0</v>
          </cell>
        </row>
        <row r="220">
          <cell r="AA220">
            <v>861.75999999999976</v>
          </cell>
        </row>
        <row r="221">
          <cell r="AA221">
            <v>0</v>
          </cell>
        </row>
        <row r="222">
          <cell r="AA222">
            <v>1660.8400000000001</v>
          </cell>
        </row>
        <row r="223">
          <cell r="AA223">
            <v>0</v>
          </cell>
        </row>
        <row r="224">
          <cell r="AA224">
            <v>1946.7399999999998</v>
          </cell>
        </row>
        <row r="225">
          <cell r="AA225">
            <v>0</v>
          </cell>
        </row>
        <row r="226">
          <cell r="AA226">
            <v>340.39</v>
          </cell>
        </row>
        <row r="227">
          <cell r="AA227">
            <v>0</v>
          </cell>
        </row>
        <row r="228">
          <cell r="AA228">
            <v>-11996.029999999992</v>
          </cell>
        </row>
        <row r="229">
          <cell r="AA229">
            <v>0</v>
          </cell>
        </row>
        <row r="230">
          <cell r="AA230">
            <v>0</v>
          </cell>
        </row>
        <row r="231">
          <cell r="AA231">
            <v>0</v>
          </cell>
        </row>
        <row r="232">
          <cell r="AA232">
            <v>0</v>
          </cell>
        </row>
        <row r="233">
          <cell r="AA233">
            <v>1192.9099999999999</v>
          </cell>
        </row>
        <row r="234">
          <cell r="AA234">
            <v>0</v>
          </cell>
        </row>
        <row r="235">
          <cell r="AA235">
            <v>0</v>
          </cell>
        </row>
        <row r="236">
          <cell r="AA236">
            <v>0</v>
          </cell>
        </row>
        <row r="237">
          <cell r="AA237">
            <v>0</v>
          </cell>
        </row>
        <row r="238">
          <cell r="AA238">
            <v>0</v>
          </cell>
        </row>
        <row r="239">
          <cell r="AA239">
            <v>0</v>
          </cell>
        </row>
        <row r="240">
          <cell r="AA240">
            <v>0</v>
          </cell>
        </row>
        <row r="241">
          <cell r="AA241">
            <v>25501.200000000012</v>
          </cell>
        </row>
        <row r="242">
          <cell r="AA242">
            <v>1727.0299999999997</v>
          </cell>
        </row>
        <row r="243">
          <cell r="AA243">
            <v>3741.99</v>
          </cell>
        </row>
        <row r="245">
          <cell r="AA245">
            <v>0</v>
          </cell>
        </row>
        <row r="246">
          <cell r="AA246">
            <v>0</v>
          </cell>
        </row>
        <row r="247">
          <cell r="AA247">
            <v>0</v>
          </cell>
        </row>
        <row r="248">
          <cell r="AA248">
            <v>1819.9239330143537</v>
          </cell>
        </row>
        <row r="249">
          <cell r="AA249">
            <v>0</v>
          </cell>
        </row>
        <row r="250">
          <cell r="AA250">
            <v>0</v>
          </cell>
        </row>
        <row r="251">
          <cell r="AA251">
            <v>677.9699999999998</v>
          </cell>
        </row>
        <row r="252">
          <cell r="AA252">
            <v>0</v>
          </cell>
        </row>
        <row r="253">
          <cell r="AA253">
            <v>33781.733933014373</v>
          </cell>
        </row>
        <row r="254">
          <cell r="AA254">
            <v>0</v>
          </cell>
        </row>
        <row r="255">
          <cell r="AA255">
            <v>0</v>
          </cell>
        </row>
        <row r="256">
          <cell r="AA256">
            <v>0</v>
          </cell>
        </row>
        <row r="257">
          <cell r="AA257">
            <v>0</v>
          </cell>
        </row>
        <row r="258">
          <cell r="AA258">
            <v>0</v>
          </cell>
        </row>
        <row r="259">
          <cell r="AA259">
            <v>0</v>
          </cell>
        </row>
        <row r="260">
          <cell r="AA260">
            <v>13369.010000000002</v>
          </cell>
        </row>
        <row r="261">
          <cell r="AA261">
            <v>0</v>
          </cell>
        </row>
        <row r="262">
          <cell r="AA262">
            <v>0</v>
          </cell>
        </row>
        <row r="263">
          <cell r="AA263">
            <v>0</v>
          </cell>
        </row>
        <row r="264">
          <cell r="AA264">
            <v>0</v>
          </cell>
        </row>
        <row r="265">
          <cell r="AA265">
            <v>2494.6499999999996</v>
          </cell>
        </row>
        <row r="267">
          <cell r="AA267">
            <v>0</v>
          </cell>
        </row>
        <row r="268">
          <cell r="AA268">
            <v>0</v>
          </cell>
        </row>
        <row r="269">
          <cell r="AA269">
            <v>0</v>
          </cell>
        </row>
        <row r="270">
          <cell r="AA270">
            <v>0</v>
          </cell>
        </row>
        <row r="271">
          <cell r="AA271">
            <v>0</v>
          </cell>
        </row>
        <row r="272">
          <cell r="AA272">
            <v>397.22000000000014</v>
          </cell>
        </row>
        <row r="273">
          <cell r="AA273">
            <v>0</v>
          </cell>
        </row>
        <row r="274">
          <cell r="AA274">
            <v>0</v>
          </cell>
        </row>
        <row r="275">
          <cell r="AA275">
            <v>0</v>
          </cell>
        </row>
        <row r="276">
          <cell r="AA276">
            <v>0</v>
          </cell>
        </row>
        <row r="277">
          <cell r="AA277">
            <v>6433.3600000000006</v>
          </cell>
        </row>
        <row r="278">
          <cell r="AA278">
            <v>0</v>
          </cell>
        </row>
        <row r="279">
          <cell r="AA279">
            <v>0</v>
          </cell>
        </row>
        <row r="280">
          <cell r="AA280">
            <v>0</v>
          </cell>
        </row>
        <row r="282">
          <cell r="AA282">
            <v>0</v>
          </cell>
        </row>
        <row r="283">
          <cell r="AA283">
            <v>0</v>
          </cell>
        </row>
        <row r="284">
          <cell r="AA284">
            <v>1093.5999999999999</v>
          </cell>
        </row>
        <row r="285">
          <cell r="AA285">
            <v>0</v>
          </cell>
        </row>
        <row r="286">
          <cell r="AA286">
            <v>0</v>
          </cell>
        </row>
        <row r="287">
          <cell r="AA287">
            <v>0</v>
          </cell>
        </row>
        <row r="288">
          <cell r="AA288">
            <v>1213.2826220095694</v>
          </cell>
        </row>
        <row r="289">
          <cell r="AA289">
            <v>0</v>
          </cell>
        </row>
        <row r="290">
          <cell r="AA290">
            <v>26536.002622009517</v>
          </cell>
        </row>
        <row r="291">
          <cell r="AA291">
            <v>0</v>
          </cell>
        </row>
        <row r="292">
          <cell r="AA292">
            <v>0</v>
          </cell>
        </row>
        <row r="293">
          <cell r="AA293">
            <v>0</v>
          </cell>
        </row>
        <row r="294">
          <cell r="AA294">
            <v>0</v>
          </cell>
        </row>
        <row r="295">
          <cell r="AA295">
            <v>0</v>
          </cell>
        </row>
        <row r="296">
          <cell r="AA296">
            <v>0</v>
          </cell>
        </row>
        <row r="297">
          <cell r="AA297">
            <v>452.9200000000003</v>
          </cell>
        </row>
        <row r="298">
          <cell r="AA298">
            <v>415.77</v>
          </cell>
        </row>
        <row r="300">
          <cell r="AA300">
            <v>0</v>
          </cell>
        </row>
        <row r="301">
          <cell r="AA301">
            <v>868.6899999999996</v>
          </cell>
        </row>
        <row r="302">
          <cell r="AA302">
            <v>0</v>
          </cell>
        </row>
        <row r="303">
          <cell r="AA303">
            <v>61186.426555023878</v>
          </cell>
        </row>
        <row r="304">
          <cell r="AA304">
            <v>0</v>
          </cell>
        </row>
        <row r="305">
          <cell r="AA305">
            <v>0</v>
          </cell>
        </row>
        <row r="306">
          <cell r="AA306">
            <v>0</v>
          </cell>
        </row>
        <row r="307">
          <cell r="AA307">
            <v>0</v>
          </cell>
        </row>
        <row r="308">
          <cell r="AA308">
            <v>0</v>
          </cell>
        </row>
        <row r="309">
          <cell r="AA309">
            <v>0</v>
          </cell>
        </row>
        <row r="310">
          <cell r="AA310">
            <v>0</v>
          </cell>
        </row>
        <row r="311">
          <cell r="AA311">
            <v>0</v>
          </cell>
        </row>
        <row r="312">
          <cell r="AA312">
            <v>0</v>
          </cell>
        </row>
        <row r="313">
          <cell r="AA313">
            <v>0</v>
          </cell>
        </row>
        <row r="314">
          <cell r="AA314">
            <v>149.43</v>
          </cell>
        </row>
        <row r="315">
          <cell r="AA315">
            <v>0</v>
          </cell>
        </row>
        <row r="316">
          <cell r="AA316">
            <v>0</v>
          </cell>
        </row>
        <row r="317">
          <cell r="AA317">
            <v>0</v>
          </cell>
        </row>
      </sheetData>
      <sheetData sheetId="37"/>
      <sheetData sheetId="38"/>
      <sheetData sheetId="39"/>
      <sheetData sheetId="40"/>
      <sheetData sheetId="4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נתונים לשינוי"/>
      <sheetName val="תזרים Algosec LTD בש&quot;ח"/>
      <sheetName val="תזרים מאוחד ב-$"/>
      <sheetName val="מאזן בוחן EUROPE"/>
      <sheetName val="פ.נ. EUROPE"/>
      <sheetName val="NEW TP EU"/>
      <sheetName val="Tax UK"/>
      <sheetName val="העמסת הנה&quot;כ (UK)"/>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s>
    <sheetDataSet>
      <sheetData sheetId="0" refreshError="1"/>
      <sheetData sheetId="1">
        <row r="461">
          <cell r="AG461">
            <v>-37153.619999999995</v>
          </cell>
        </row>
        <row r="462">
          <cell r="AG462">
            <v>-173371.80000000005</v>
          </cell>
        </row>
        <row r="463">
          <cell r="AG463">
            <v>0</v>
          </cell>
        </row>
        <row r="464">
          <cell r="AG464">
            <v>0</v>
          </cell>
        </row>
        <row r="465">
          <cell r="AG465">
            <v>0</v>
          </cell>
        </row>
        <row r="466">
          <cell r="AG466">
            <v>0</v>
          </cell>
        </row>
        <row r="467">
          <cell r="AG467">
            <v>-15766.709999999992</v>
          </cell>
        </row>
        <row r="468">
          <cell r="AG468">
            <v>-285986.76</v>
          </cell>
        </row>
        <row r="469">
          <cell r="AG469">
            <v>-1684.2400000000016</v>
          </cell>
        </row>
        <row r="470">
          <cell r="AG470">
            <v>0</v>
          </cell>
        </row>
        <row r="471">
          <cell r="AG471">
            <v>0</v>
          </cell>
        </row>
        <row r="472">
          <cell r="AG472">
            <v>-177605.46999999997</v>
          </cell>
        </row>
        <row r="473">
          <cell r="AG473">
            <v>1384.0499999999993</v>
          </cell>
        </row>
        <row r="474">
          <cell r="AG474">
            <v>-76898.540000000037</v>
          </cell>
        </row>
        <row r="475">
          <cell r="AG475">
            <v>-447.48</v>
          </cell>
        </row>
        <row r="476">
          <cell r="AG476">
            <v>0</v>
          </cell>
        </row>
        <row r="477">
          <cell r="AG477">
            <v>-7513.75</v>
          </cell>
        </row>
        <row r="478">
          <cell r="AG478">
            <v>0</v>
          </cell>
        </row>
        <row r="479">
          <cell r="AG479">
            <v>2351.59</v>
          </cell>
        </row>
        <row r="480">
          <cell r="AG480">
            <v>0</v>
          </cell>
        </row>
        <row r="481">
          <cell r="AG481">
            <v>-1500</v>
          </cell>
        </row>
        <row r="482">
          <cell r="AG482">
            <v>0</v>
          </cell>
        </row>
        <row r="483">
          <cell r="AG483">
            <v>0</v>
          </cell>
        </row>
        <row r="484">
          <cell r="AG484">
            <v>-49264.599999999991</v>
          </cell>
        </row>
        <row r="485">
          <cell r="AG485">
            <v>0</v>
          </cell>
        </row>
        <row r="486">
          <cell r="AG486">
            <v>0</v>
          </cell>
        </row>
        <row r="487">
          <cell r="AG487">
            <v>2153.2900000000004</v>
          </cell>
        </row>
        <row r="488">
          <cell r="AG488">
            <v>-703100.47</v>
          </cell>
        </row>
        <row r="489">
          <cell r="AG489">
            <v>703100.47</v>
          </cell>
        </row>
        <row r="490">
          <cell r="AG490">
            <v>-7163397.5899999999</v>
          </cell>
        </row>
        <row r="491">
          <cell r="AG491">
            <v>-4597026.2999999989</v>
          </cell>
        </row>
        <row r="492">
          <cell r="AG492">
            <v>-3105303.46</v>
          </cell>
        </row>
        <row r="493">
          <cell r="AG493">
            <v>12013598.800044868</v>
          </cell>
        </row>
        <row r="499">
          <cell r="AG499">
            <v>1104316.2599999998</v>
          </cell>
        </row>
        <row r="500">
          <cell r="AG500">
            <v>1226.9899999999998</v>
          </cell>
        </row>
        <row r="501">
          <cell r="AG501">
            <v>18742.000000000007</v>
          </cell>
        </row>
        <row r="502">
          <cell r="AG502">
            <v>926.84000000001106</v>
          </cell>
        </row>
        <row r="503">
          <cell r="AG503">
            <v>64280.030000000028</v>
          </cell>
        </row>
        <row r="504">
          <cell r="AG504">
            <v>0</v>
          </cell>
        </row>
        <row r="505">
          <cell r="AG505">
            <v>0</v>
          </cell>
        </row>
        <row r="506">
          <cell r="AG506">
            <v>0</v>
          </cell>
        </row>
        <row r="507">
          <cell r="AG507">
            <v>10612.11</v>
          </cell>
        </row>
        <row r="508">
          <cell r="AG508">
            <v>439437</v>
          </cell>
        </row>
        <row r="509">
          <cell r="AG509">
            <v>12439.5</v>
          </cell>
        </row>
        <row r="510">
          <cell r="AG510">
            <v>0</v>
          </cell>
        </row>
        <row r="511">
          <cell r="AG511">
            <v>0</v>
          </cell>
        </row>
        <row r="512">
          <cell r="AG512">
            <v>112812.26000000001</v>
          </cell>
        </row>
        <row r="513">
          <cell r="AG513">
            <v>43127.87</v>
          </cell>
        </row>
        <row r="514">
          <cell r="AG514">
            <v>0</v>
          </cell>
        </row>
        <row r="515">
          <cell r="AG515">
            <v>170064.71999999997</v>
          </cell>
        </row>
        <row r="516">
          <cell r="AG516">
            <v>0</v>
          </cell>
        </row>
        <row r="517">
          <cell r="AG517">
            <v>9650</v>
          </cell>
        </row>
        <row r="518">
          <cell r="AG518">
            <v>25822.710000000003</v>
          </cell>
        </row>
        <row r="519">
          <cell r="AG519">
            <v>0</v>
          </cell>
        </row>
        <row r="520">
          <cell r="AG520">
            <v>4373.49</v>
          </cell>
        </row>
        <row r="521">
          <cell r="AG521">
            <v>0</v>
          </cell>
        </row>
        <row r="522">
          <cell r="AG522">
            <v>2017831.7800000003</v>
          </cell>
        </row>
        <row r="523">
          <cell r="AG523">
            <v>0</v>
          </cell>
        </row>
        <row r="524">
          <cell r="AG524">
            <v>0</v>
          </cell>
        </row>
        <row r="525">
          <cell r="AG525">
            <v>0</v>
          </cell>
        </row>
        <row r="526">
          <cell r="AG526">
            <v>0</v>
          </cell>
        </row>
        <row r="527">
          <cell r="AG527">
            <v>0</v>
          </cell>
        </row>
        <row r="528">
          <cell r="AG528">
            <v>0</v>
          </cell>
        </row>
        <row r="529">
          <cell r="AG529">
            <v>0</v>
          </cell>
        </row>
        <row r="530">
          <cell r="AG530">
            <v>22277.359999999986</v>
          </cell>
        </row>
        <row r="531">
          <cell r="AG531">
            <v>341.67000000000007</v>
          </cell>
        </row>
        <row r="532">
          <cell r="AG532">
            <v>132843.22999999998</v>
          </cell>
        </row>
        <row r="533">
          <cell r="AG533">
            <v>0</v>
          </cell>
        </row>
        <row r="534">
          <cell r="AG534">
            <v>28.969999999999345</v>
          </cell>
        </row>
        <row r="536">
          <cell r="AG536">
            <v>0</v>
          </cell>
        </row>
        <row r="537">
          <cell r="AG537">
            <v>0</v>
          </cell>
        </row>
        <row r="538">
          <cell r="AG538">
            <v>0</v>
          </cell>
        </row>
        <row r="539">
          <cell r="AG539">
            <v>0</v>
          </cell>
        </row>
        <row r="540">
          <cell r="AG540">
            <v>0</v>
          </cell>
        </row>
        <row r="541">
          <cell r="AG541">
            <v>12337.180000000008</v>
          </cell>
        </row>
        <row r="542">
          <cell r="AG542">
            <v>34.47999999999999</v>
          </cell>
        </row>
        <row r="543">
          <cell r="AG543">
            <v>0</v>
          </cell>
        </row>
        <row r="545">
          <cell r="AG545">
            <v>2326.8700000000008</v>
          </cell>
        </row>
        <row r="546">
          <cell r="AG546">
            <v>0</v>
          </cell>
        </row>
        <row r="547">
          <cell r="AG547">
            <v>170189.75999999989</v>
          </cell>
        </row>
        <row r="548">
          <cell r="AG548">
            <v>0</v>
          </cell>
        </row>
        <row r="549">
          <cell r="AG549">
            <v>0</v>
          </cell>
        </row>
        <row r="550">
          <cell r="AG550">
            <v>0</v>
          </cell>
        </row>
        <row r="551">
          <cell r="AG551">
            <v>0</v>
          </cell>
        </row>
        <row r="552">
          <cell r="AG552">
            <v>0</v>
          </cell>
        </row>
        <row r="553">
          <cell r="AG553">
            <v>0</v>
          </cell>
        </row>
        <row r="554">
          <cell r="AG554">
            <v>0</v>
          </cell>
        </row>
        <row r="555">
          <cell r="AG555">
            <v>0</v>
          </cell>
        </row>
        <row r="556">
          <cell r="AG556">
            <v>0</v>
          </cell>
        </row>
        <row r="557">
          <cell r="AG557">
            <v>0</v>
          </cell>
        </row>
        <row r="558">
          <cell r="AG558">
            <v>221949.76705596328</v>
          </cell>
        </row>
        <row r="559">
          <cell r="AG559">
            <v>221949.76705596328</v>
          </cell>
        </row>
        <row r="560">
          <cell r="AG560">
            <v>0</v>
          </cell>
        </row>
        <row r="561">
          <cell r="AG561">
            <v>2409971.3070559632</v>
          </cell>
        </row>
        <row r="562">
          <cell r="AG562">
            <v>0</v>
          </cell>
        </row>
        <row r="563">
          <cell r="AG563">
            <v>0</v>
          </cell>
        </row>
        <row r="564">
          <cell r="AG564">
            <v>46152.760000000009</v>
          </cell>
        </row>
        <row r="565">
          <cell r="AG565">
            <v>0</v>
          </cell>
        </row>
        <row r="566">
          <cell r="AG566">
            <v>3200</v>
          </cell>
        </row>
        <row r="567">
          <cell r="AG567">
            <v>-27681.22</v>
          </cell>
        </row>
        <row r="568">
          <cell r="AG568">
            <v>0</v>
          </cell>
        </row>
        <row r="569">
          <cell r="AG569">
            <v>7000</v>
          </cell>
        </row>
        <row r="570">
          <cell r="AG570">
            <v>7000</v>
          </cell>
        </row>
        <row r="571">
          <cell r="AG571">
            <v>2500.0000000000009</v>
          </cell>
        </row>
        <row r="572">
          <cell r="AG572">
            <v>0</v>
          </cell>
        </row>
        <row r="573">
          <cell r="AG573">
            <v>131947.84999999998</v>
          </cell>
        </row>
        <row r="574">
          <cell r="AG574">
            <v>0</v>
          </cell>
        </row>
        <row r="575">
          <cell r="AG575">
            <v>5999.9999999999964</v>
          </cell>
        </row>
        <row r="576">
          <cell r="AG576">
            <v>0</v>
          </cell>
        </row>
        <row r="577">
          <cell r="AG577">
            <v>0</v>
          </cell>
        </row>
        <row r="578">
          <cell r="AG578">
            <v>0</v>
          </cell>
        </row>
        <row r="579">
          <cell r="AG579">
            <v>45210.429999999993</v>
          </cell>
        </row>
        <row r="580">
          <cell r="AG580">
            <v>1574.9999999999991</v>
          </cell>
        </row>
        <row r="581">
          <cell r="AG581">
            <v>13185.419999999998</v>
          </cell>
        </row>
        <row r="582">
          <cell r="AG582">
            <v>0</v>
          </cell>
        </row>
        <row r="583">
          <cell r="AG583">
            <v>232590.24000000069</v>
          </cell>
        </row>
        <row r="584">
          <cell r="AG584">
            <v>0</v>
          </cell>
        </row>
        <row r="585">
          <cell r="AG585">
            <v>0</v>
          </cell>
        </row>
        <row r="586">
          <cell r="AG586">
            <v>0</v>
          </cell>
        </row>
        <row r="587">
          <cell r="AG587">
            <v>0</v>
          </cell>
        </row>
        <row r="588">
          <cell r="AG588">
            <v>0</v>
          </cell>
        </row>
        <row r="589">
          <cell r="AG589">
            <v>0</v>
          </cell>
        </row>
        <row r="590">
          <cell r="AG590">
            <v>0</v>
          </cell>
        </row>
        <row r="591">
          <cell r="AG591">
            <v>0</v>
          </cell>
        </row>
        <row r="592">
          <cell r="AG592">
            <v>2030</v>
          </cell>
        </row>
        <row r="593">
          <cell r="AG593">
            <v>6082.8399999999965</v>
          </cell>
        </row>
        <row r="594">
          <cell r="AG594">
            <v>90</v>
          </cell>
        </row>
        <row r="595">
          <cell r="AG595">
            <v>189.56</v>
          </cell>
        </row>
        <row r="596">
          <cell r="AG596">
            <v>78</v>
          </cell>
        </row>
        <row r="597">
          <cell r="AG597">
            <v>0</v>
          </cell>
        </row>
        <row r="599">
          <cell r="AG599">
            <v>0</v>
          </cell>
        </row>
        <row r="600">
          <cell r="AG600">
            <v>0</v>
          </cell>
        </row>
        <row r="601">
          <cell r="AG601">
            <v>0</v>
          </cell>
        </row>
        <row r="602">
          <cell r="AG602">
            <v>0</v>
          </cell>
        </row>
        <row r="603">
          <cell r="AG603">
            <v>0</v>
          </cell>
        </row>
        <row r="605">
          <cell r="AG605">
            <v>4528.13</v>
          </cell>
        </row>
        <row r="606">
          <cell r="AG606">
            <v>4108.4899999999989</v>
          </cell>
        </row>
        <row r="608">
          <cell r="AG608">
            <v>0</v>
          </cell>
        </row>
        <row r="609">
          <cell r="AG609">
            <v>0</v>
          </cell>
        </row>
        <row r="610">
          <cell r="AG610">
            <v>0</v>
          </cell>
        </row>
        <row r="611">
          <cell r="AG611">
            <v>0</v>
          </cell>
        </row>
        <row r="612">
          <cell r="AG612">
            <v>0</v>
          </cell>
        </row>
        <row r="613">
          <cell r="AG613">
            <v>0</v>
          </cell>
        </row>
        <row r="614">
          <cell r="AG614">
            <v>0</v>
          </cell>
        </row>
        <row r="615">
          <cell r="AG615">
            <v>0</v>
          </cell>
        </row>
        <row r="616">
          <cell r="AG616">
            <v>0</v>
          </cell>
        </row>
        <row r="617">
          <cell r="AG617">
            <v>0</v>
          </cell>
        </row>
        <row r="618">
          <cell r="AG618">
            <v>0</v>
          </cell>
        </row>
        <row r="619">
          <cell r="AG619">
            <v>0</v>
          </cell>
        </row>
        <row r="620">
          <cell r="AG620">
            <v>0</v>
          </cell>
        </row>
        <row r="621">
          <cell r="AG621">
            <v>0</v>
          </cell>
        </row>
        <row r="622">
          <cell r="AG622">
            <v>0</v>
          </cell>
        </row>
        <row r="623">
          <cell r="AG623">
            <v>833.71999999999753</v>
          </cell>
        </row>
        <row r="624">
          <cell r="AG624">
            <v>20206.229999999996</v>
          </cell>
        </row>
        <row r="625">
          <cell r="AG625">
            <v>0</v>
          </cell>
        </row>
        <row r="628">
          <cell r="AG628">
            <v>1653.8999999999996</v>
          </cell>
        </row>
        <row r="629">
          <cell r="AG629">
            <v>36493.19</v>
          </cell>
        </row>
        <row r="631">
          <cell r="AG631">
            <v>54681.57</v>
          </cell>
        </row>
        <row r="632">
          <cell r="AG632">
            <v>0</v>
          </cell>
        </row>
        <row r="633">
          <cell r="AG633">
            <v>281358.80531104922</v>
          </cell>
        </row>
        <row r="634">
          <cell r="AG634">
            <v>0</v>
          </cell>
        </row>
        <row r="635">
          <cell r="AG635">
            <v>412301.43531104922</v>
          </cell>
        </row>
        <row r="636">
          <cell r="AG636">
            <v>0</v>
          </cell>
        </row>
        <row r="637">
          <cell r="AG637">
            <v>0</v>
          </cell>
        </row>
        <row r="638">
          <cell r="AG638">
            <v>43724.136697998358</v>
          </cell>
        </row>
        <row r="639">
          <cell r="AG639">
            <v>688615.81200904865</v>
          </cell>
        </row>
        <row r="640">
          <cell r="AG640">
            <v>0</v>
          </cell>
        </row>
        <row r="641">
          <cell r="AG641">
            <v>0</v>
          </cell>
        </row>
        <row r="642">
          <cell r="AG642">
            <v>0</v>
          </cell>
        </row>
        <row r="643">
          <cell r="AG643">
            <v>0</v>
          </cell>
        </row>
        <row r="644">
          <cell r="AG644">
            <v>92102.760000000068</v>
          </cell>
        </row>
        <row r="645">
          <cell r="AG645">
            <v>100</v>
          </cell>
        </row>
        <row r="646">
          <cell r="AG646">
            <v>27459.480000000003</v>
          </cell>
        </row>
        <row r="647">
          <cell r="AG647">
            <v>8289.84</v>
          </cell>
        </row>
        <row r="648">
          <cell r="AG648">
            <v>11786.400000000001</v>
          </cell>
        </row>
        <row r="649">
          <cell r="AG649">
            <v>0</v>
          </cell>
        </row>
        <row r="650">
          <cell r="AG650">
            <v>12225.150000000001</v>
          </cell>
        </row>
        <row r="651">
          <cell r="AG651">
            <v>0</v>
          </cell>
        </row>
        <row r="652">
          <cell r="AG652">
            <v>0</v>
          </cell>
        </row>
        <row r="653">
          <cell r="AG653">
            <v>0</v>
          </cell>
        </row>
        <row r="654">
          <cell r="AG654">
            <v>78753.679999999993</v>
          </cell>
        </row>
        <row r="655">
          <cell r="AG655">
            <v>2000</v>
          </cell>
        </row>
        <row r="656">
          <cell r="AG656">
            <v>0</v>
          </cell>
        </row>
        <row r="657">
          <cell r="AG657">
            <v>0</v>
          </cell>
        </row>
        <row r="658">
          <cell r="AG658">
            <v>73966.260000000009</v>
          </cell>
        </row>
        <row r="659">
          <cell r="AG659">
            <v>0</v>
          </cell>
        </row>
        <row r="660">
          <cell r="AG660">
            <v>3233</v>
          </cell>
        </row>
        <row r="661">
          <cell r="AG661">
            <v>11464.719999999994</v>
          </cell>
        </row>
        <row r="662">
          <cell r="AG662">
            <v>0</v>
          </cell>
        </row>
        <row r="663">
          <cell r="AG663">
            <v>10965.520000000019</v>
          </cell>
        </row>
        <row r="664">
          <cell r="AG664">
            <v>62198.170000000042</v>
          </cell>
        </row>
        <row r="665">
          <cell r="AG665">
            <v>0</v>
          </cell>
        </row>
        <row r="667">
          <cell r="AG667">
            <v>222258.08000000002</v>
          </cell>
        </row>
        <row r="668">
          <cell r="AG668">
            <v>0</v>
          </cell>
        </row>
        <row r="669">
          <cell r="AG669">
            <v>0</v>
          </cell>
        </row>
        <row r="670">
          <cell r="AG670">
            <v>616803.06000000052</v>
          </cell>
        </row>
        <row r="671">
          <cell r="AG671">
            <v>0</v>
          </cell>
        </row>
        <row r="672">
          <cell r="AG672">
            <v>9346.820000000007</v>
          </cell>
        </row>
        <row r="673">
          <cell r="AG673">
            <v>9346.820000000007</v>
          </cell>
        </row>
        <row r="674">
          <cell r="AG674">
            <v>0</v>
          </cell>
        </row>
        <row r="676">
          <cell r="AG676">
            <v>2764.0299999999988</v>
          </cell>
        </row>
        <row r="677">
          <cell r="AG677">
            <v>12052.119999999999</v>
          </cell>
        </row>
        <row r="678">
          <cell r="AG678">
            <v>2569.1800000000003</v>
          </cell>
        </row>
        <row r="679">
          <cell r="AG679">
            <v>0</v>
          </cell>
        </row>
        <row r="680">
          <cell r="AG680">
            <v>17385.329999999994</v>
          </cell>
        </row>
        <row r="681">
          <cell r="AG681">
            <v>0</v>
          </cell>
        </row>
        <row r="682">
          <cell r="AG682">
            <v>47785.140000000014</v>
          </cell>
        </row>
        <row r="683">
          <cell r="AG683">
            <v>7772.1900000000023</v>
          </cell>
        </row>
        <row r="684">
          <cell r="AG684">
            <v>8811.7099999999991</v>
          </cell>
        </row>
        <row r="685">
          <cell r="AG685">
            <v>3219.25</v>
          </cell>
        </row>
        <row r="686">
          <cell r="AG686">
            <v>126.12</v>
          </cell>
        </row>
        <row r="687">
          <cell r="AG687">
            <v>1802.4700000000003</v>
          </cell>
        </row>
        <row r="688">
          <cell r="AG688">
            <v>-152.94999999999999</v>
          </cell>
        </row>
        <row r="689">
          <cell r="AG689">
            <v>6897.4499999999971</v>
          </cell>
        </row>
        <row r="690">
          <cell r="AG690">
            <v>196.51999999999998</v>
          </cell>
        </row>
        <row r="691">
          <cell r="AG691">
            <v>161.42999999999984</v>
          </cell>
        </row>
        <row r="692">
          <cell r="AG692">
            <v>3870.01</v>
          </cell>
        </row>
        <row r="693">
          <cell r="AG693">
            <v>75.670000000000016</v>
          </cell>
        </row>
        <row r="694">
          <cell r="AG694">
            <v>5744.28</v>
          </cell>
        </row>
        <row r="695">
          <cell r="AG695">
            <v>102.81000000000009</v>
          </cell>
        </row>
        <row r="696">
          <cell r="AG696">
            <v>8906.8099999999977</v>
          </cell>
        </row>
        <row r="697">
          <cell r="AG697">
            <v>0</v>
          </cell>
        </row>
        <row r="698">
          <cell r="AG698">
            <v>49915.86</v>
          </cell>
        </row>
        <row r="699">
          <cell r="AG699">
            <v>0</v>
          </cell>
        </row>
        <row r="700">
          <cell r="AG700">
            <v>0</v>
          </cell>
        </row>
        <row r="701">
          <cell r="AG701">
            <v>1565463.5</v>
          </cell>
        </row>
        <row r="702">
          <cell r="AG702">
            <v>102808.28000000003</v>
          </cell>
        </row>
        <row r="703">
          <cell r="AG703">
            <v>91601.229999999981</v>
          </cell>
        </row>
        <row r="704">
          <cell r="AG704">
            <v>127019.33000000007</v>
          </cell>
        </row>
        <row r="705">
          <cell r="AG705">
            <v>7770.5500000000029</v>
          </cell>
        </row>
        <row r="706">
          <cell r="AG706">
            <v>90049.079999999958</v>
          </cell>
        </row>
        <row r="707">
          <cell r="AG707">
            <v>1326.9900000000052</v>
          </cell>
        </row>
        <row r="708">
          <cell r="AG708">
            <v>0</v>
          </cell>
        </row>
        <row r="709">
          <cell r="AG709">
            <v>0</v>
          </cell>
        </row>
        <row r="710">
          <cell r="AG710">
            <v>0</v>
          </cell>
        </row>
        <row r="711">
          <cell r="AG711">
            <v>0</v>
          </cell>
        </row>
        <row r="712">
          <cell r="AG712">
            <v>0</v>
          </cell>
        </row>
        <row r="713">
          <cell r="AG713">
            <v>0</v>
          </cell>
        </row>
        <row r="714">
          <cell r="AG714">
            <v>30918.099999999977</v>
          </cell>
        </row>
        <row r="715">
          <cell r="AG715">
            <v>14523.309999999998</v>
          </cell>
        </row>
        <row r="716">
          <cell r="AG716">
            <v>10.740000000000002</v>
          </cell>
        </row>
        <row r="717">
          <cell r="AG717">
            <v>27797.239999999991</v>
          </cell>
        </row>
        <row r="718">
          <cell r="AG718">
            <v>153.36999999999898</v>
          </cell>
        </row>
        <row r="719">
          <cell r="AG719">
            <v>12211.349999999999</v>
          </cell>
        </row>
        <row r="720">
          <cell r="AG720">
            <v>0</v>
          </cell>
        </row>
        <row r="721">
          <cell r="AG721">
            <v>-30918.099999999977</v>
          </cell>
        </row>
        <row r="722">
          <cell r="AG722">
            <v>-14523.309999999998</v>
          </cell>
        </row>
        <row r="723">
          <cell r="AG723">
            <v>-10.740000000000002</v>
          </cell>
        </row>
        <row r="724">
          <cell r="AG724">
            <v>-27797.239999999991</v>
          </cell>
        </row>
        <row r="725">
          <cell r="AG725">
            <v>-153.36999999999898</v>
          </cell>
        </row>
        <row r="726">
          <cell r="AG726">
            <v>-12211.349999999999</v>
          </cell>
        </row>
        <row r="727">
          <cell r="AG727">
            <v>0</v>
          </cell>
        </row>
        <row r="728">
          <cell r="AG728">
            <v>0</v>
          </cell>
        </row>
        <row r="729">
          <cell r="AG729">
            <v>-1986036.2000000011</v>
          </cell>
        </row>
        <row r="730">
          <cell r="AG730">
            <v>0</v>
          </cell>
        </row>
        <row r="731">
          <cell r="AG731">
            <v>0</v>
          </cell>
        </row>
        <row r="732">
          <cell r="AG732">
            <v>0</v>
          </cell>
        </row>
        <row r="733">
          <cell r="AG733">
            <v>0</v>
          </cell>
        </row>
        <row r="734">
          <cell r="AG734">
            <v>0</v>
          </cell>
        </row>
        <row r="735">
          <cell r="AG735">
            <v>0</v>
          </cell>
        </row>
        <row r="736">
          <cell r="AG736">
            <v>290</v>
          </cell>
        </row>
        <row r="737">
          <cell r="AG737">
            <v>0</v>
          </cell>
        </row>
        <row r="738">
          <cell r="AG738">
            <v>0</v>
          </cell>
        </row>
        <row r="739">
          <cell r="AG739">
            <v>0</v>
          </cell>
        </row>
        <row r="740">
          <cell r="AG740">
            <v>0</v>
          </cell>
        </row>
        <row r="741">
          <cell r="AG741">
            <v>0</v>
          </cell>
        </row>
        <row r="742">
          <cell r="AG742">
            <v>379.01000000000022</v>
          </cell>
        </row>
        <row r="743">
          <cell r="AG743">
            <v>4078.9900000000016</v>
          </cell>
        </row>
        <row r="744">
          <cell r="AG744">
            <v>0</v>
          </cell>
        </row>
        <row r="745">
          <cell r="AG745">
            <v>0</v>
          </cell>
        </row>
        <row r="746">
          <cell r="AG746">
            <v>0</v>
          </cell>
        </row>
        <row r="747">
          <cell r="AG747">
            <v>0</v>
          </cell>
        </row>
        <row r="748">
          <cell r="AG748">
            <v>0</v>
          </cell>
        </row>
        <row r="749">
          <cell r="AG749">
            <v>0</v>
          </cell>
        </row>
        <row r="750">
          <cell r="AG750">
            <v>0</v>
          </cell>
        </row>
        <row r="751">
          <cell r="AG751">
            <v>0</v>
          </cell>
        </row>
        <row r="752">
          <cell r="AG752">
            <v>0</v>
          </cell>
        </row>
        <row r="753">
          <cell r="AG753">
            <v>0</v>
          </cell>
        </row>
        <row r="754">
          <cell r="AG754">
            <v>0</v>
          </cell>
        </row>
        <row r="756">
          <cell r="AG756">
            <v>753.07000000000016</v>
          </cell>
        </row>
        <row r="757">
          <cell r="AG757">
            <v>0</v>
          </cell>
        </row>
        <row r="758">
          <cell r="AG758">
            <v>29803.020000000019</v>
          </cell>
        </row>
        <row r="759">
          <cell r="AG759">
            <v>4812.5</v>
          </cell>
        </row>
        <row r="760">
          <cell r="AG760">
            <v>616.13000000000011</v>
          </cell>
        </row>
        <row r="761">
          <cell r="AG761">
            <v>49.34</v>
          </cell>
        </row>
        <row r="762">
          <cell r="AG762">
            <v>0</v>
          </cell>
        </row>
        <row r="763">
          <cell r="AG763">
            <v>0</v>
          </cell>
        </row>
        <row r="764">
          <cell r="AG764">
            <v>0</v>
          </cell>
        </row>
        <row r="765">
          <cell r="AG765">
            <v>-135413.05000000168</v>
          </cell>
        </row>
        <row r="766">
          <cell r="AG766">
            <v>321432.64000000106</v>
          </cell>
        </row>
        <row r="767">
          <cell r="AG767">
            <v>0</v>
          </cell>
        </row>
        <row r="768">
          <cell r="AG768">
            <v>179987.32180766016</v>
          </cell>
        </row>
        <row r="769">
          <cell r="AG769">
            <v>-345076.8534775849</v>
          </cell>
        </row>
        <row r="770">
          <cell r="AG770">
            <v>-525064.17528524506</v>
          </cell>
        </row>
        <row r="771">
          <cell r="AG771">
            <v>0</v>
          </cell>
        </row>
        <row r="772">
          <cell r="AG772">
            <v>0</v>
          </cell>
        </row>
        <row r="773">
          <cell r="AG773">
            <v>0</v>
          </cell>
        </row>
        <row r="774">
          <cell r="AG774">
            <v>0</v>
          </cell>
        </row>
        <row r="775">
          <cell r="AG775">
            <v>30442.330000000016</v>
          </cell>
        </row>
        <row r="776">
          <cell r="AG776">
            <v>398.77000000000407</v>
          </cell>
        </row>
        <row r="777">
          <cell r="AG777">
            <v>1432.6100000000006</v>
          </cell>
        </row>
        <row r="778">
          <cell r="AG778">
            <v>543</v>
          </cell>
        </row>
        <row r="779">
          <cell r="AG779">
            <v>0</v>
          </cell>
        </row>
        <row r="780">
          <cell r="AG780">
            <v>32816.71000000005</v>
          </cell>
        </row>
        <row r="781">
          <cell r="AG781">
            <v>0</v>
          </cell>
        </row>
        <row r="782">
          <cell r="AG782">
            <v>0</v>
          </cell>
        </row>
        <row r="783">
          <cell r="AG783">
            <v>0</v>
          </cell>
        </row>
        <row r="784">
          <cell r="AG784">
            <v>0</v>
          </cell>
        </row>
        <row r="785">
          <cell r="AG785">
            <v>517294.65652241558</v>
          </cell>
        </row>
        <row r="786">
          <cell r="AG786">
            <v>0</v>
          </cell>
        </row>
        <row r="787">
          <cell r="AG787">
            <v>0</v>
          </cell>
        </row>
        <row r="788">
          <cell r="AG788">
            <v>0</v>
          </cell>
        </row>
        <row r="789">
          <cell r="AG789">
            <v>0</v>
          </cell>
        </row>
        <row r="790">
          <cell r="AG790">
            <v>139746.63</v>
          </cell>
        </row>
        <row r="791">
          <cell r="AG791">
            <v>0</v>
          </cell>
        </row>
        <row r="792">
          <cell r="AG792">
            <v>8125</v>
          </cell>
        </row>
        <row r="793">
          <cell r="AG793">
            <v>0</v>
          </cell>
        </row>
        <row r="794">
          <cell r="AG794">
            <v>21959.03</v>
          </cell>
        </row>
        <row r="795">
          <cell r="AG795">
            <v>13283.279999999999</v>
          </cell>
        </row>
        <row r="796">
          <cell r="AG796">
            <v>0</v>
          </cell>
        </row>
        <row r="797">
          <cell r="AG797">
            <v>0</v>
          </cell>
        </row>
        <row r="798">
          <cell r="AG798">
            <v>0</v>
          </cell>
        </row>
        <row r="799">
          <cell r="AG799">
            <v>16559.820000000007</v>
          </cell>
        </row>
        <row r="800">
          <cell r="AG800">
            <v>2430.9999999999995</v>
          </cell>
        </row>
        <row r="801">
          <cell r="AG801">
            <v>61922.609999999971</v>
          </cell>
        </row>
        <row r="802">
          <cell r="AG802">
            <v>3517.11</v>
          </cell>
        </row>
        <row r="803">
          <cell r="AG803">
            <v>0</v>
          </cell>
        </row>
        <row r="804">
          <cell r="AG804">
            <v>0</v>
          </cell>
        </row>
        <row r="805">
          <cell r="AG805">
            <v>26214.339999999997</v>
          </cell>
        </row>
        <row r="806">
          <cell r="AG806">
            <v>0</v>
          </cell>
        </row>
        <row r="807">
          <cell r="AG807">
            <v>0</v>
          </cell>
        </row>
        <row r="808">
          <cell r="AG808">
            <v>201.14999999999986</v>
          </cell>
        </row>
        <row r="809">
          <cell r="AG809">
            <v>0</v>
          </cell>
        </row>
        <row r="810">
          <cell r="AG810">
            <v>12866</v>
          </cell>
        </row>
        <row r="811">
          <cell r="AG811">
            <v>12976</v>
          </cell>
        </row>
        <row r="812">
          <cell r="AG812">
            <v>0</v>
          </cell>
        </row>
        <row r="813">
          <cell r="AG813">
            <v>9000</v>
          </cell>
        </row>
        <row r="814">
          <cell r="AG814">
            <v>23534</v>
          </cell>
        </row>
        <row r="815">
          <cell r="AG815">
            <v>7000</v>
          </cell>
        </row>
        <row r="816">
          <cell r="AG816">
            <v>12193.309999999998</v>
          </cell>
        </row>
        <row r="817">
          <cell r="AG817">
            <v>9833</v>
          </cell>
        </row>
        <row r="818">
          <cell r="AG818">
            <v>358.71999999999935</v>
          </cell>
        </row>
        <row r="819">
          <cell r="AG819">
            <v>0</v>
          </cell>
        </row>
        <row r="820">
          <cell r="AG820">
            <v>0</v>
          </cell>
        </row>
        <row r="821">
          <cell r="AG821">
            <v>0</v>
          </cell>
        </row>
        <row r="822">
          <cell r="AG822">
            <v>0</v>
          </cell>
        </row>
        <row r="823">
          <cell r="AG823">
            <v>1141</v>
          </cell>
        </row>
        <row r="824">
          <cell r="AG824">
            <v>0</v>
          </cell>
        </row>
        <row r="825">
          <cell r="AG825">
            <v>31011.08</v>
          </cell>
        </row>
        <row r="826">
          <cell r="AG826">
            <v>11091.69</v>
          </cell>
        </row>
        <row r="827">
          <cell r="AG827">
            <v>18827.269999999997</v>
          </cell>
        </row>
        <row r="828">
          <cell r="AG828">
            <v>-65385.869999999995</v>
          </cell>
        </row>
        <row r="829">
          <cell r="AG829">
            <v>6617.7700000000023</v>
          </cell>
        </row>
        <row r="830">
          <cell r="AG830">
            <v>-287.9399999999996</v>
          </cell>
        </row>
        <row r="831">
          <cell r="AG831">
            <v>0</v>
          </cell>
        </row>
        <row r="832">
          <cell r="AG832">
            <v>384736.00000000047</v>
          </cell>
        </row>
        <row r="833">
          <cell r="AG833">
            <v>0</v>
          </cell>
        </row>
        <row r="834">
          <cell r="AG834">
            <v>0</v>
          </cell>
        </row>
        <row r="835">
          <cell r="AG835">
            <v>0</v>
          </cell>
        </row>
        <row r="836">
          <cell r="AG836">
            <v>0</v>
          </cell>
        </row>
        <row r="837">
          <cell r="AG837">
            <v>0</v>
          </cell>
        </row>
        <row r="838">
          <cell r="AG838">
            <v>0</v>
          </cell>
        </row>
        <row r="839">
          <cell r="AG839">
            <v>0</v>
          </cell>
        </row>
        <row r="840">
          <cell r="AG840">
            <v>0</v>
          </cell>
        </row>
        <row r="841">
          <cell r="AG841">
            <v>0</v>
          </cell>
        </row>
        <row r="842">
          <cell r="AG842">
            <v>0</v>
          </cell>
        </row>
        <row r="843">
          <cell r="AG843">
            <v>0</v>
          </cell>
        </row>
        <row r="844">
          <cell r="AG844">
            <v>0</v>
          </cell>
        </row>
        <row r="845">
          <cell r="AG845">
            <v>0</v>
          </cell>
        </row>
        <row r="846">
          <cell r="AG846">
            <v>0</v>
          </cell>
        </row>
        <row r="847">
          <cell r="AG847">
            <v>0</v>
          </cell>
        </row>
        <row r="848">
          <cell r="AG848">
            <v>53839.56</v>
          </cell>
        </row>
        <row r="849">
          <cell r="AG849">
            <v>51684.429999999964</v>
          </cell>
        </row>
        <row r="850">
          <cell r="AG850">
            <v>-12753.190000000002</v>
          </cell>
        </row>
        <row r="851">
          <cell r="AG851">
            <v>2397.7099999999991</v>
          </cell>
        </row>
        <row r="852">
          <cell r="AG852">
            <v>6941.7100000000028</v>
          </cell>
        </row>
        <row r="853">
          <cell r="AG853">
            <v>5289.18</v>
          </cell>
        </row>
        <row r="854">
          <cell r="AG854">
            <v>0</v>
          </cell>
        </row>
        <row r="855">
          <cell r="AG855">
            <v>0</v>
          </cell>
        </row>
        <row r="856">
          <cell r="AG856">
            <v>0</v>
          </cell>
        </row>
        <row r="857">
          <cell r="AG857">
            <v>195.44999999999982</v>
          </cell>
        </row>
        <row r="858">
          <cell r="AG858">
            <v>0</v>
          </cell>
        </row>
        <row r="859">
          <cell r="AG859">
            <v>0</v>
          </cell>
        </row>
        <row r="860">
          <cell r="AG860">
            <v>0</v>
          </cell>
        </row>
        <row r="861">
          <cell r="AG861">
            <v>0</v>
          </cell>
        </row>
        <row r="862">
          <cell r="AG862">
            <v>0</v>
          </cell>
        </row>
        <row r="863">
          <cell r="AG863">
            <v>0</v>
          </cell>
        </row>
        <row r="864">
          <cell r="AG864">
            <v>0</v>
          </cell>
        </row>
        <row r="865">
          <cell r="AG865">
            <v>0</v>
          </cell>
        </row>
        <row r="866">
          <cell r="AG866">
            <v>0</v>
          </cell>
        </row>
        <row r="867">
          <cell r="AG867">
            <v>0</v>
          </cell>
        </row>
        <row r="868">
          <cell r="AG868">
            <v>0</v>
          </cell>
        </row>
        <row r="869">
          <cell r="AG869">
            <v>0</v>
          </cell>
        </row>
        <row r="872">
          <cell r="AG872">
            <v>0</v>
          </cell>
        </row>
        <row r="873">
          <cell r="AG873">
            <v>1248.4800000000014</v>
          </cell>
        </row>
        <row r="874">
          <cell r="AG874">
            <v>22026.569999999992</v>
          </cell>
        </row>
        <row r="875">
          <cell r="AG875">
            <v>2565</v>
          </cell>
        </row>
        <row r="876">
          <cell r="AG876">
            <v>551.13999999999942</v>
          </cell>
        </row>
        <row r="877">
          <cell r="AG877">
            <v>0</v>
          </cell>
        </row>
        <row r="878">
          <cell r="AG878">
            <v>114</v>
          </cell>
        </row>
        <row r="879">
          <cell r="AG879">
            <v>55</v>
          </cell>
        </row>
        <row r="880">
          <cell r="AG880">
            <v>0</v>
          </cell>
        </row>
        <row r="881">
          <cell r="AG881">
            <v>81.019999999999982</v>
          </cell>
        </row>
        <row r="882">
          <cell r="AG882">
            <v>5000</v>
          </cell>
        </row>
        <row r="883">
          <cell r="AG883">
            <v>0</v>
          </cell>
        </row>
        <row r="884">
          <cell r="AG884">
            <v>0</v>
          </cell>
        </row>
        <row r="885">
          <cell r="AG885">
            <v>0</v>
          </cell>
        </row>
        <row r="886">
          <cell r="AG886">
            <v>0</v>
          </cell>
        </row>
        <row r="887">
          <cell r="AG887">
            <v>0</v>
          </cell>
        </row>
        <row r="888">
          <cell r="AG888">
            <v>0</v>
          </cell>
        </row>
        <row r="889">
          <cell r="AG889">
            <v>0</v>
          </cell>
        </row>
        <row r="890">
          <cell r="AG890">
            <v>139236.05999999994</v>
          </cell>
        </row>
        <row r="891">
          <cell r="AG891">
            <v>0</v>
          </cell>
        </row>
        <row r="892">
          <cell r="AG892">
            <v>0</v>
          </cell>
        </row>
        <row r="893">
          <cell r="AG893">
            <v>0</v>
          </cell>
        </row>
        <row r="894">
          <cell r="AG894">
            <v>0</v>
          </cell>
        </row>
        <row r="895">
          <cell r="AG895">
            <v>0</v>
          </cell>
        </row>
        <row r="896">
          <cell r="AG896">
            <v>0</v>
          </cell>
        </row>
        <row r="897">
          <cell r="AG897">
            <v>79402.949723623315</v>
          </cell>
        </row>
        <row r="898">
          <cell r="AG898">
            <v>79402.949723623315</v>
          </cell>
        </row>
        <row r="899">
          <cell r="AG899">
            <v>0</v>
          </cell>
        </row>
        <row r="900">
          <cell r="AG900">
            <v>603375.00972362328</v>
          </cell>
        </row>
        <row r="901">
          <cell r="AG901">
            <v>0</v>
          </cell>
        </row>
        <row r="902">
          <cell r="AG902">
            <v>0</v>
          </cell>
        </row>
        <row r="903">
          <cell r="AG903">
            <v>0</v>
          </cell>
        </row>
        <row r="904">
          <cell r="AG904">
            <v>0</v>
          </cell>
        </row>
        <row r="905">
          <cell r="AG905">
            <v>0</v>
          </cell>
        </row>
        <row r="906">
          <cell r="AG906">
            <v>0</v>
          </cell>
        </row>
        <row r="907">
          <cell r="AG907">
            <v>0</v>
          </cell>
        </row>
        <row r="908">
          <cell r="AG908">
            <v>46377.03</v>
          </cell>
        </row>
        <row r="909">
          <cell r="AG909">
            <v>46377.03</v>
          </cell>
        </row>
        <row r="910">
          <cell r="AG910">
            <v>0</v>
          </cell>
        </row>
        <row r="911">
          <cell r="AG911">
            <v>0</v>
          </cell>
        </row>
        <row r="912">
          <cell r="AG912">
            <v>1268.9399999999996</v>
          </cell>
        </row>
        <row r="913">
          <cell r="AG913">
            <v>640618.61067600956</v>
          </cell>
        </row>
        <row r="914">
          <cell r="AG914">
            <v>0.85999999999999943</v>
          </cell>
        </row>
        <row r="915">
          <cell r="AG915">
            <v>0</v>
          </cell>
        </row>
        <row r="916">
          <cell r="AG916">
            <v>5171.5099999999984</v>
          </cell>
        </row>
        <row r="917">
          <cell r="AG917">
            <v>-53.7</v>
          </cell>
        </row>
        <row r="918">
          <cell r="AG918">
            <v>-3076.9100000000008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336">
          <cell r="AH336">
            <v>-48195.009999999995</v>
          </cell>
        </row>
        <row r="337">
          <cell r="AH337">
            <v>-119684.59999999998</v>
          </cell>
        </row>
        <row r="338">
          <cell r="AH338">
            <v>0</v>
          </cell>
        </row>
        <row r="339">
          <cell r="AH339">
            <v>0</v>
          </cell>
        </row>
        <row r="340">
          <cell r="AH340">
            <v>0</v>
          </cell>
        </row>
        <row r="341">
          <cell r="AH341">
            <v>0</v>
          </cell>
        </row>
        <row r="342">
          <cell r="AH342">
            <v>-8974.1600000000035</v>
          </cell>
        </row>
        <row r="343">
          <cell r="AH343">
            <v>-9511.5399999999991</v>
          </cell>
        </row>
        <row r="344">
          <cell r="AH344">
            <v>-4898.7800000000025</v>
          </cell>
        </row>
        <row r="345">
          <cell r="AH345">
            <v>0</v>
          </cell>
        </row>
        <row r="346">
          <cell r="AH346">
            <v>-211268.61</v>
          </cell>
        </row>
        <row r="347">
          <cell r="AH347">
            <v>-553190.91000000015</v>
          </cell>
        </row>
        <row r="348">
          <cell r="AH348">
            <v>-25077.350000000006</v>
          </cell>
        </row>
        <row r="349">
          <cell r="AH349">
            <v>0</v>
          </cell>
        </row>
        <row r="350">
          <cell r="AH350">
            <v>-10890.070000000002</v>
          </cell>
        </row>
        <row r="351">
          <cell r="AH351">
            <v>0</v>
          </cell>
        </row>
        <row r="352">
          <cell r="AH352">
            <v>0</v>
          </cell>
        </row>
        <row r="353">
          <cell r="AH353">
            <v>-82238.530000000028</v>
          </cell>
        </row>
        <row r="354">
          <cell r="AH354">
            <v>-14384.899999999994</v>
          </cell>
        </row>
        <row r="355">
          <cell r="AH355">
            <v>66035.989999999991</v>
          </cell>
        </row>
        <row r="356">
          <cell r="AH356">
            <v>0</v>
          </cell>
        </row>
        <row r="357">
          <cell r="AH357">
            <v>-343196.67999999993</v>
          </cell>
        </row>
        <row r="358">
          <cell r="AH358">
            <v>0</v>
          </cell>
        </row>
        <row r="359">
          <cell r="AH359">
            <v>-103224.74999999994</v>
          </cell>
        </row>
        <row r="360">
          <cell r="AH360">
            <v>-17432.509999999995</v>
          </cell>
        </row>
        <row r="361">
          <cell r="AH361">
            <v>-8933.6000000000058</v>
          </cell>
        </row>
        <row r="362">
          <cell r="AH362">
            <v>-7452.7599999999948</v>
          </cell>
        </row>
        <row r="363">
          <cell r="AH363">
            <v>0</v>
          </cell>
        </row>
        <row r="364">
          <cell r="AH364">
            <v>-10221.080000000002</v>
          </cell>
        </row>
        <row r="365">
          <cell r="AH365">
            <v>0</v>
          </cell>
        </row>
        <row r="366">
          <cell r="AH366">
            <v>0</v>
          </cell>
        </row>
        <row r="371">
          <cell r="AH371">
            <v>10612.239999999991</v>
          </cell>
        </row>
        <row r="372">
          <cell r="AH372">
            <v>0</v>
          </cell>
        </row>
        <row r="373">
          <cell r="AH373">
            <v>1638</v>
          </cell>
        </row>
        <row r="374">
          <cell r="AH374">
            <v>82.559999999999945</v>
          </cell>
        </row>
        <row r="375">
          <cell r="AH375">
            <v>0</v>
          </cell>
        </row>
        <row r="376">
          <cell r="AH376">
            <v>0</v>
          </cell>
        </row>
        <row r="377">
          <cell r="AH377">
            <v>0</v>
          </cell>
        </row>
        <row r="378">
          <cell r="AH378">
            <v>0</v>
          </cell>
        </row>
        <row r="379">
          <cell r="AH379">
            <v>0</v>
          </cell>
        </row>
        <row r="380">
          <cell r="AH380">
            <v>0</v>
          </cell>
        </row>
        <row r="381">
          <cell r="AH381">
            <v>0</v>
          </cell>
        </row>
        <row r="382">
          <cell r="AH382">
            <v>0</v>
          </cell>
        </row>
        <row r="383">
          <cell r="AH383">
            <v>0</v>
          </cell>
        </row>
        <row r="384">
          <cell r="AH384">
            <v>16510.550000000003</v>
          </cell>
        </row>
        <row r="385">
          <cell r="AH385">
            <v>0</v>
          </cell>
        </row>
        <row r="386">
          <cell r="AH386">
            <v>0</v>
          </cell>
        </row>
        <row r="387">
          <cell r="AH387">
            <v>957.28</v>
          </cell>
        </row>
        <row r="388">
          <cell r="AH388">
            <v>0</v>
          </cell>
        </row>
        <row r="389">
          <cell r="AH389">
            <v>1088289.9930311004</v>
          </cell>
        </row>
        <row r="390">
          <cell r="AH390">
            <v>0</v>
          </cell>
        </row>
        <row r="391">
          <cell r="AH391">
            <v>1118090.6230311003</v>
          </cell>
        </row>
        <row r="392">
          <cell r="AH392">
            <v>0</v>
          </cell>
        </row>
        <row r="393">
          <cell r="AH393">
            <v>0</v>
          </cell>
        </row>
        <row r="394">
          <cell r="AH394">
            <v>0</v>
          </cell>
        </row>
        <row r="395">
          <cell r="AH395">
            <v>0</v>
          </cell>
        </row>
        <row r="396">
          <cell r="AH396">
            <v>0</v>
          </cell>
        </row>
        <row r="397">
          <cell r="AH397">
            <v>0</v>
          </cell>
        </row>
        <row r="398">
          <cell r="AH398">
            <v>0</v>
          </cell>
        </row>
        <row r="399">
          <cell r="AH399">
            <v>0</v>
          </cell>
        </row>
        <row r="400">
          <cell r="AH400">
            <v>0</v>
          </cell>
        </row>
        <row r="401">
          <cell r="AH401">
            <v>0</v>
          </cell>
        </row>
        <row r="402">
          <cell r="AH402">
            <v>0</v>
          </cell>
        </row>
        <row r="403">
          <cell r="AH403">
            <v>0</v>
          </cell>
        </row>
        <row r="404">
          <cell r="AH404">
            <v>1993.2364689005008</v>
          </cell>
        </row>
        <row r="405">
          <cell r="AH405">
            <v>128.13999999999987</v>
          </cell>
        </row>
        <row r="406">
          <cell r="AH406">
            <v>0</v>
          </cell>
        </row>
        <row r="407">
          <cell r="AH407">
            <v>0</v>
          </cell>
        </row>
        <row r="408">
          <cell r="AH408">
            <v>2121.3764689005002</v>
          </cell>
        </row>
        <row r="409">
          <cell r="AH409">
            <v>0</v>
          </cell>
        </row>
        <row r="410">
          <cell r="AH410">
            <v>0</v>
          </cell>
        </row>
        <row r="411">
          <cell r="AH411">
            <v>136.72000000000003</v>
          </cell>
        </row>
        <row r="412">
          <cell r="AH412">
            <v>903.54000000000008</v>
          </cell>
        </row>
        <row r="413">
          <cell r="AH413">
            <v>0</v>
          </cell>
        </row>
        <row r="414">
          <cell r="AH414">
            <v>0</v>
          </cell>
        </row>
        <row r="415">
          <cell r="AH415">
            <v>0</v>
          </cell>
        </row>
        <row r="416">
          <cell r="AH416">
            <v>0</v>
          </cell>
        </row>
        <row r="417">
          <cell r="AH417">
            <v>0</v>
          </cell>
        </row>
        <row r="418">
          <cell r="AH418">
            <v>0</v>
          </cell>
        </row>
        <row r="419">
          <cell r="AH419">
            <v>0</v>
          </cell>
        </row>
        <row r="420">
          <cell r="AH420">
            <v>1040.2599999999998</v>
          </cell>
        </row>
        <row r="421">
          <cell r="AH421">
            <v>0</v>
          </cell>
        </row>
        <row r="422">
          <cell r="AH422">
            <v>0</v>
          </cell>
        </row>
        <row r="423">
          <cell r="AH423">
            <v>3161.6364689005022</v>
          </cell>
        </row>
        <row r="424">
          <cell r="AH424">
            <v>0</v>
          </cell>
        </row>
        <row r="425">
          <cell r="AH425">
            <v>0</v>
          </cell>
        </row>
        <row r="426">
          <cell r="AH426">
            <v>0</v>
          </cell>
        </row>
        <row r="427">
          <cell r="AH427">
            <v>0</v>
          </cell>
        </row>
        <row r="428">
          <cell r="AH428">
            <v>5314.760000000002</v>
          </cell>
        </row>
        <row r="429">
          <cell r="AH429">
            <v>0</v>
          </cell>
        </row>
        <row r="430">
          <cell r="AH430">
            <v>699</v>
          </cell>
        </row>
        <row r="432">
          <cell r="AH432">
            <v>71.880000000000109</v>
          </cell>
        </row>
        <row r="433">
          <cell r="AH433">
            <v>37189.260000000009</v>
          </cell>
        </row>
        <row r="434">
          <cell r="AH434">
            <v>0</v>
          </cell>
        </row>
        <row r="435">
          <cell r="AH435">
            <v>0</v>
          </cell>
        </row>
        <row r="436">
          <cell r="AH436">
            <v>43274.900000000009</v>
          </cell>
        </row>
        <row r="437">
          <cell r="AH437">
            <v>0</v>
          </cell>
        </row>
        <row r="438">
          <cell r="AH438">
            <v>0</v>
          </cell>
        </row>
        <row r="439">
          <cell r="AH439">
            <v>0</v>
          </cell>
        </row>
        <row r="440">
          <cell r="AH440">
            <v>0</v>
          </cell>
        </row>
        <row r="441">
          <cell r="AH441">
            <v>0</v>
          </cell>
        </row>
        <row r="442">
          <cell r="AH442">
            <v>0</v>
          </cell>
        </row>
        <row r="443">
          <cell r="AH443">
            <v>0</v>
          </cell>
        </row>
        <row r="444">
          <cell r="AH444">
            <v>59759.989999999991</v>
          </cell>
        </row>
        <row r="445">
          <cell r="AH445">
            <v>3266</v>
          </cell>
        </row>
        <row r="446">
          <cell r="AH446">
            <v>117899</v>
          </cell>
        </row>
        <row r="447">
          <cell r="AH447">
            <v>6454</v>
          </cell>
        </row>
        <row r="448">
          <cell r="AH448">
            <v>2900.8600000000151</v>
          </cell>
        </row>
        <row r="449">
          <cell r="AH449">
            <v>0</v>
          </cell>
        </row>
        <row r="450">
          <cell r="AH450">
            <v>10906.260000000002</v>
          </cell>
        </row>
        <row r="451">
          <cell r="AH451">
            <v>0</v>
          </cell>
        </row>
        <row r="452">
          <cell r="AH452">
            <v>0</v>
          </cell>
        </row>
        <row r="453">
          <cell r="AH453">
            <v>70933.87</v>
          </cell>
        </row>
        <row r="454">
          <cell r="AH454">
            <v>3743.0000000000009</v>
          </cell>
        </row>
        <row r="455">
          <cell r="AH455">
            <v>0</v>
          </cell>
        </row>
        <row r="456">
          <cell r="AH456">
            <v>0</v>
          </cell>
        </row>
        <row r="457">
          <cell r="AH457">
            <v>15348.5</v>
          </cell>
        </row>
        <row r="458">
          <cell r="AH458">
            <v>0</v>
          </cell>
        </row>
        <row r="459">
          <cell r="AH459">
            <v>0</v>
          </cell>
        </row>
        <row r="460">
          <cell r="AH460">
            <v>0</v>
          </cell>
        </row>
        <row r="461">
          <cell r="AH461">
            <v>0</v>
          </cell>
        </row>
        <row r="462">
          <cell r="AH462">
            <v>15063.45</v>
          </cell>
        </row>
        <row r="463">
          <cell r="AH463">
            <v>2721.98</v>
          </cell>
        </row>
        <row r="464">
          <cell r="AH464">
            <v>0</v>
          </cell>
        </row>
        <row r="465">
          <cell r="AH465">
            <v>0</v>
          </cell>
        </row>
        <row r="466">
          <cell r="AH466">
            <v>14898.939999999999</v>
          </cell>
        </row>
        <row r="467">
          <cell r="AH467">
            <v>0</v>
          </cell>
        </row>
        <row r="468">
          <cell r="AH468">
            <v>-78405.3</v>
          </cell>
        </row>
        <row r="469">
          <cell r="AH469">
            <v>22049.469999999998</v>
          </cell>
        </row>
        <row r="470">
          <cell r="AH470">
            <v>24042.67</v>
          </cell>
        </row>
        <row r="471">
          <cell r="AH471">
            <v>12683.76</v>
          </cell>
        </row>
        <row r="472">
          <cell r="AH472">
            <v>0</v>
          </cell>
        </row>
        <row r="473">
          <cell r="AH473">
            <v>0</v>
          </cell>
        </row>
        <row r="476">
          <cell r="AH476">
            <v>188.76999999999998</v>
          </cell>
        </row>
        <row r="477">
          <cell r="AH477">
            <v>304.05999999999949</v>
          </cell>
        </row>
        <row r="478">
          <cell r="AH478">
            <v>1536.6499999999996</v>
          </cell>
        </row>
        <row r="479">
          <cell r="AH479">
            <v>835.23</v>
          </cell>
        </row>
        <row r="480">
          <cell r="AH480">
            <v>0</v>
          </cell>
        </row>
        <row r="481">
          <cell r="AH481">
            <v>0</v>
          </cell>
        </row>
        <row r="482">
          <cell r="AH482">
            <v>0</v>
          </cell>
        </row>
        <row r="483">
          <cell r="AH483">
            <v>0</v>
          </cell>
        </row>
        <row r="484">
          <cell r="AH484">
            <v>0</v>
          </cell>
        </row>
        <row r="485">
          <cell r="AH485">
            <v>0</v>
          </cell>
        </row>
        <row r="486">
          <cell r="AH486">
            <v>308082.35999999952</v>
          </cell>
        </row>
        <row r="487">
          <cell r="AH487">
            <v>0</v>
          </cell>
        </row>
        <row r="488">
          <cell r="AH488">
            <v>0</v>
          </cell>
        </row>
        <row r="489">
          <cell r="AH489">
            <v>0</v>
          </cell>
        </row>
        <row r="490">
          <cell r="AH490">
            <v>351357.25999999954</v>
          </cell>
        </row>
        <row r="491">
          <cell r="AH491">
            <v>0</v>
          </cell>
        </row>
        <row r="492">
          <cell r="AH492">
            <v>0</v>
          </cell>
        </row>
        <row r="493">
          <cell r="AH493">
            <v>0</v>
          </cell>
        </row>
        <row r="494">
          <cell r="AH494">
            <v>0</v>
          </cell>
        </row>
        <row r="495">
          <cell r="AH495">
            <v>0</v>
          </cell>
        </row>
        <row r="496">
          <cell r="AH496">
            <v>0</v>
          </cell>
        </row>
        <row r="497">
          <cell r="AH497">
            <v>0</v>
          </cell>
        </row>
        <row r="498">
          <cell r="AH498">
            <v>0</v>
          </cell>
        </row>
        <row r="499">
          <cell r="AH499">
            <v>0</v>
          </cell>
        </row>
        <row r="500">
          <cell r="AH500">
            <v>0</v>
          </cell>
        </row>
        <row r="501">
          <cell r="AH501">
            <v>0</v>
          </cell>
        </row>
        <row r="502">
          <cell r="AH502">
            <v>1008.3299999999999</v>
          </cell>
        </row>
        <row r="503">
          <cell r="AH503">
            <v>0</v>
          </cell>
        </row>
        <row r="504">
          <cell r="AH504">
            <v>16773.156312278159</v>
          </cell>
        </row>
      </sheetData>
      <sheetData sheetId="17" refreshError="1"/>
      <sheetData sheetId="18" refreshError="1"/>
      <sheetData sheetId="19" refreshError="1"/>
      <sheetData sheetId="20" refreshError="1"/>
      <sheetData sheetId="21" refreshError="1"/>
      <sheetData sheetId="22">
        <row r="150">
          <cell r="AH150">
            <v>-188480.83999999997</v>
          </cell>
        </row>
      </sheetData>
      <sheetData sheetId="23" refreshError="1"/>
      <sheetData sheetId="24" refreshError="1"/>
      <sheetData sheetId="25" refreshError="1"/>
      <sheetData sheetId="26" refreshError="1"/>
      <sheetData sheetId="27">
        <row r="423">
          <cell r="AE423">
            <v>-451168.77000000048</v>
          </cell>
        </row>
        <row r="424">
          <cell r="AE424">
            <v>0</v>
          </cell>
        </row>
        <row r="425">
          <cell r="AE425">
            <v>0</v>
          </cell>
        </row>
        <row r="426">
          <cell r="AE426">
            <v>-32423.999999999942</v>
          </cell>
        </row>
        <row r="427">
          <cell r="AE427">
            <v>0</v>
          </cell>
        </row>
        <row r="428">
          <cell r="AE428">
            <v>0</v>
          </cell>
        </row>
        <row r="429">
          <cell r="AE429">
            <v>0</v>
          </cell>
        </row>
        <row r="430">
          <cell r="AE430">
            <v>-1053770.08</v>
          </cell>
        </row>
        <row r="431">
          <cell r="AE431">
            <v>-2989.880000000001</v>
          </cell>
        </row>
        <row r="432">
          <cell r="AE432">
            <v>-6059.7700000000041</v>
          </cell>
        </row>
        <row r="433">
          <cell r="AE433">
            <v>0</v>
          </cell>
        </row>
        <row r="434">
          <cell r="AE434">
            <v>-2548.4400000000005</v>
          </cell>
        </row>
        <row r="435">
          <cell r="AE435">
            <v>-71938</v>
          </cell>
        </row>
        <row r="436">
          <cell r="AE436">
            <v>-6212.5000000000018</v>
          </cell>
        </row>
        <row r="437">
          <cell r="AE437">
            <v>0</v>
          </cell>
        </row>
        <row r="438">
          <cell r="AE438">
            <v>0</v>
          </cell>
        </row>
        <row r="439">
          <cell r="AE439">
            <v>-40910.479999999996</v>
          </cell>
        </row>
        <row r="440">
          <cell r="AE440">
            <v>0</v>
          </cell>
        </row>
        <row r="441">
          <cell r="AE441">
            <v>-271889</v>
          </cell>
        </row>
        <row r="442">
          <cell r="AE442">
            <v>8704</v>
          </cell>
        </row>
        <row r="443">
          <cell r="AE443">
            <v>0</v>
          </cell>
        </row>
        <row r="444">
          <cell r="AE444">
            <v>-622756.46000000008</v>
          </cell>
        </row>
        <row r="445">
          <cell r="AE445">
            <v>-650328.43999999994</v>
          </cell>
        </row>
        <row r="446">
          <cell r="AE446">
            <v>-25127.310000000005</v>
          </cell>
        </row>
        <row r="447">
          <cell r="AE447">
            <v>-261469.72999999998</v>
          </cell>
        </row>
        <row r="448">
          <cell r="AE448">
            <v>-892.85999999999967</v>
          </cell>
        </row>
        <row r="454">
          <cell r="AE454">
            <v>68302.5</v>
          </cell>
        </row>
        <row r="455">
          <cell r="AE455">
            <v>6814.2799999999952</v>
          </cell>
        </row>
        <row r="456">
          <cell r="AE456">
            <v>0</v>
          </cell>
        </row>
        <row r="457">
          <cell r="AE457">
            <v>0</v>
          </cell>
        </row>
        <row r="458">
          <cell r="AE458">
            <v>3916.9999999999982</v>
          </cell>
        </row>
        <row r="459">
          <cell r="AE459">
            <v>438</v>
          </cell>
        </row>
        <row r="460">
          <cell r="AE460">
            <v>5072.7000000000007</v>
          </cell>
        </row>
        <row r="461">
          <cell r="AE461">
            <v>520.96</v>
          </cell>
        </row>
        <row r="462">
          <cell r="AE462">
            <v>73.21999999999997</v>
          </cell>
        </row>
        <row r="463">
          <cell r="AE463">
            <v>0</v>
          </cell>
        </row>
        <row r="464">
          <cell r="AE464">
            <v>0</v>
          </cell>
        </row>
        <row r="465">
          <cell r="AE465">
            <v>0</v>
          </cell>
        </row>
        <row r="466">
          <cell r="AE466">
            <v>13618.940000000002</v>
          </cell>
        </row>
        <row r="467">
          <cell r="AE467">
            <v>226.61999999999989</v>
          </cell>
        </row>
        <row r="468">
          <cell r="AE468">
            <v>754.57999999999993</v>
          </cell>
        </row>
        <row r="469">
          <cell r="AE469">
            <v>0</v>
          </cell>
        </row>
        <row r="470">
          <cell r="AE470">
            <v>0</v>
          </cell>
        </row>
        <row r="471">
          <cell r="AE471">
            <v>0</v>
          </cell>
        </row>
        <row r="472">
          <cell r="AE472">
            <v>8380.0299999999988</v>
          </cell>
        </row>
        <row r="473">
          <cell r="AE473">
            <v>0</v>
          </cell>
        </row>
        <row r="474">
          <cell r="AE474">
            <v>0</v>
          </cell>
        </row>
        <row r="475">
          <cell r="AE475">
            <v>0</v>
          </cell>
        </row>
        <row r="476">
          <cell r="AE476">
            <v>0</v>
          </cell>
        </row>
        <row r="477">
          <cell r="AE477">
            <v>67.760000000000005</v>
          </cell>
        </row>
        <row r="478">
          <cell r="AE478">
            <v>0</v>
          </cell>
        </row>
        <row r="480">
          <cell r="AE480">
            <v>0</v>
          </cell>
        </row>
        <row r="481">
          <cell r="AE481">
            <v>5809.6231034482771</v>
          </cell>
        </row>
        <row r="482">
          <cell r="AE482">
            <v>0</v>
          </cell>
        </row>
        <row r="483">
          <cell r="AE483">
            <v>132233.33999999997</v>
          </cell>
        </row>
        <row r="484">
          <cell r="AE484">
            <v>0</v>
          </cell>
        </row>
        <row r="485">
          <cell r="AE485">
            <v>11267</v>
          </cell>
        </row>
        <row r="486">
          <cell r="AE486">
            <v>329</v>
          </cell>
        </row>
        <row r="487">
          <cell r="AE487">
            <v>701</v>
          </cell>
        </row>
        <row r="488">
          <cell r="AE488">
            <v>2187.5699999999997</v>
          </cell>
        </row>
        <row r="489">
          <cell r="AE489">
            <v>11840</v>
          </cell>
        </row>
        <row r="490">
          <cell r="AE490">
            <v>0</v>
          </cell>
        </row>
        <row r="491">
          <cell r="AE491">
            <v>817.25999999999976</v>
          </cell>
        </row>
        <row r="492">
          <cell r="AE492">
            <v>0</v>
          </cell>
        </row>
        <row r="493">
          <cell r="AE493">
            <v>9812.7799999999988</v>
          </cell>
        </row>
        <row r="494">
          <cell r="AE494">
            <v>105</v>
          </cell>
        </row>
        <row r="495">
          <cell r="AE495">
            <v>0</v>
          </cell>
        </row>
        <row r="496">
          <cell r="AE496">
            <v>0</v>
          </cell>
        </row>
        <row r="497">
          <cell r="AE497">
            <v>0</v>
          </cell>
        </row>
        <row r="498">
          <cell r="AE498">
            <v>0</v>
          </cell>
        </row>
        <row r="499">
          <cell r="AE499">
            <v>0</v>
          </cell>
        </row>
        <row r="500">
          <cell r="AE500">
            <v>0</v>
          </cell>
        </row>
        <row r="501">
          <cell r="AE501">
            <v>0</v>
          </cell>
        </row>
        <row r="502">
          <cell r="AE502">
            <v>0</v>
          </cell>
        </row>
        <row r="503">
          <cell r="AE503">
            <v>0</v>
          </cell>
        </row>
        <row r="504">
          <cell r="AE504">
            <v>10069.455172413793</v>
          </cell>
        </row>
        <row r="505">
          <cell r="AE505">
            <v>0</v>
          </cell>
        </row>
        <row r="506">
          <cell r="AE506">
            <v>10459.899999999994</v>
          </cell>
        </row>
        <row r="507">
          <cell r="AE507">
            <v>107.5</v>
          </cell>
        </row>
        <row r="508">
          <cell r="AE508">
            <v>29.77000000000001</v>
          </cell>
        </row>
        <row r="509">
          <cell r="AE509">
            <v>228.57999999999993</v>
          </cell>
        </row>
        <row r="510">
          <cell r="AE510">
            <v>0</v>
          </cell>
        </row>
        <row r="511">
          <cell r="AE511">
            <v>0</v>
          </cell>
        </row>
        <row r="512">
          <cell r="AE512">
            <v>0</v>
          </cell>
        </row>
        <row r="513">
          <cell r="AE513">
            <v>17255.839999999997</v>
          </cell>
        </row>
        <row r="514">
          <cell r="AE514">
            <v>1417</v>
          </cell>
        </row>
        <row r="515">
          <cell r="AE515">
            <v>0</v>
          </cell>
        </row>
        <row r="516">
          <cell r="AE516">
            <v>0</v>
          </cell>
        </row>
        <row r="517">
          <cell r="AE517">
            <v>0</v>
          </cell>
        </row>
        <row r="518">
          <cell r="AE518">
            <v>8910.0000000000073</v>
          </cell>
        </row>
        <row r="519">
          <cell r="AE519">
            <v>11.239999999999995</v>
          </cell>
        </row>
        <row r="520">
          <cell r="AE520">
            <v>0</v>
          </cell>
        </row>
        <row r="521">
          <cell r="AE521">
            <v>1274.6600000000008</v>
          </cell>
        </row>
        <row r="522">
          <cell r="AE522">
            <v>1940.4699999999993</v>
          </cell>
        </row>
        <row r="523">
          <cell r="AE523">
            <v>108.51999999999998</v>
          </cell>
        </row>
        <row r="524">
          <cell r="AE524">
            <v>0</v>
          </cell>
        </row>
        <row r="525">
          <cell r="AE525">
            <v>0</v>
          </cell>
        </row>
        <row r="526">
          <cell r="AE526">
            <v>0</v>
          </cell>
        </row>
        <row r="527">
          <cell r="AE527">
            <v>0</v>
          </cell>
        </row>
        <row r="528">
          <cell r="AE528">
            <v>0</v>
          </cell>
        </row>
        <row r="529">
          <cell r="AE529">
            <v>0</v>
          </cell>
        </row>
        <row r="530">
          <cell r="AE530">
            <v>0</v>
          </cell>
        </row>
        <row r="531">
          <cell r="AE531">
            <v>0</v>
          </cell>
        </row>
        <row r="532">
          <cell r="AE532">
            <v>0</v>
          </cell>
        </row>
        <row r="533">
          <cell r="AE533">
            <v>0</v>
          </cell>
        </row>
        <row r="534">
          <cell r="AE534">
            <v>0</v>
          </cell>
        </row>
        <row r="535">
          <cell r="AE535">
            <v>0</v>
          </cell>
        </row>
        <row r="536">
          <cell r="AE536">
            <v>0</v>
          </cell>
        </row>
        <row r="537">
          <cell r="AE537">
            <v>0</v>
          </cell>
        </row>
        <row r="538">
          <cell r="AE538">
            <v>1815896.7369999979</v>
          </cell>
        </row>
        <row r="539">
          <cell r="AE539">
            <v>0</v>
          </cell>
        </row>
        <row r="540">
          <cell r="AE540">
            <v>1936.5410344827587</v>
          </cell>
        </row>
        <row r="541">
          <cell r="AE541">
            <v>2153010.3563103434</v>
          </cell>
        </row>
        <row r="542">
          <cell r="AE542">
            <v>0</v>
          </cell>
        </row>
        <row r="543">
          <cell r="AE543">
            <v>0</v>
          </cell>
        </row>
        <row r="544">
          <cell r="AE544">
            <v>0</v>
          </cell>
        </row>
        <row r="545">
          <cell r="AE545">
            <v>46583.340000000026</v>
          </cell>
        </row>
        <row r="546">
          <cell r="AE546">
            <v>2917</v>
          </cell>
        </row>
        <row r="547">
          <cell r="AE547">
            <v>0</v>
          </cell>
        </row>
        <row r="548">
          <cell r="AE548">
            <v>90.220000000000027</v>
          </cell>
        </row>
        <row r="549">
          <cell r="AE549">
            <v>73.150000000000091</v>
          </cell>
        </row>
        <row r="550">
          <cell r="AE550">
            <v>0</v>
          </cell>
        </row>
        <row r="551">
          <cell r="AE551">
            <v>0</v>
          </cell>
        </row>
        <row r="552">
          <cell r="AE552">
            <v>2874.3199999999997</v>
          </cell>
        </row>
        <row r="553">
          <cell r="AE553">
            <v>284.77999999999997</v>
          </cell>
        </row>
        <row r="554">
          <cell r="AE554">
            <v>34257.430000000022</v>
          </cell>
        </row>
        <row r="555">
          <cell r="AE555">
            <v>1975</v>
          </cell>
        </row>
        <row r="556">
          <cell r="AE556">
            <v>0</v>
          </cell>
        </row>
        <row r="557">
          <cell r="AE557">
            <v>685.82999999999993</v>
          </cell>
        </row>
        <row r="558">
          <cell r="AE558">
            <v>0</v>
          </cell>
        </row>
        <row r="559">
          <cell r="AE559">
            <v>0</v>
          </cell>
        </row>
        <row r="560">
          <cell r="AE560">
            <v>3513.5399999999972</v>
          </cell>
        </row>
        <row r="561">
          <cell r="AE561">
            <v>0</v>
          </cell>
        </row>
        <row r="562">
          <cell r="AE562">
            <v>0</v>
          </cell>
        </row>
        <row r="563">
          <cell r="AE563">
            <v>400.48</v>
          </cell>
        </row>
        <row r="564">
          <cell r="AE564">
            <v>0</v>
          </cell>
        </row>
        <row r="565">
          <cell r="AE565">
            <v>0</v>
          </cell>
        </row>
        <row r="566">
          <cell r="AE566">
            <v>0</v>
          </cell>
        </row>
        <row r="567">
          <cell r="AE567">
            <v>7644.0499999999993</v>
          </cell>
        </row>
        <row r="568">
          <cell r="AE568">
            <v>0</v>
          </cell>
        </row>
        <row r="569">
          <cell r="AE569">
            <v>0</v>
          </cell>
        </row>
        <row r="570">
          <cell r="AE570">
            <v>0</v>
          </cell>
        </row>
        <row r="571">
          <cell r="AE571">
            <v>0</v>
          </cell>
        </row>
        <row r="572">
          <cell r="AE572">
            <v>0</v>
          </cell>
        </row>
        <row r="573">
          <cell r="AE573">
            <v>0</v>
          </cell>
        </row>
        <row r="574">
          <cell r="AE574">
            <v>0</v>
          </cell>
        </row>
        <row r="575">
          <cell r="AE575">
            <v>0</v>
          </cell>
        </row>
        <row r="576">
          <cell r="AE576">
            <v>0</v>
          </cell>
        </row>
        <row r="577">
          <cell r="AE577">
            <v>0</v>
          </cell>
        </row>
        <row r="578">
          <cell r="AE578">
            <v>0</v>
          </cell>
        </row>
        <row r="579">
          <cell r="AE579">
            <v>0</v>
          </cell>
        </row>
        <row r="580">
          <cell r="AE580">
            <v>0</v>
          </cell>
        </row>
        <row r="581">
          <cell r="AE581">
            <v>3685.9145517241377</v>
          </cell>
        </row>
        <row r="582">
          <cell r="AE582">
            <v>104985.05455172405</v>
          </cell>
        </row>
        <row r="583">
          <cell r="AE583">
            <v>0</v>
          </cell>
        </row>
        <row r="584">
          <cell r="AE584">
            <v>0</v>
          </cell>
        </row>
        <row r="585">
          <cell r="AE585">
            <v>0</v>
          </cell>
        </row>
        <row r="586">
          <cell r="AE586">
            <v>5833.3399999999965</v>
          </cell>
        </row>
        <row r="587">
          <cell r="AE587">
            <v>0</v>
          </cell>
        </row>
        <row r="588">
          <cell r="AE588">
            <v>0</v>
          </cell>
        </row>
        <row r="589">
          <cell r="AE589">
            <v>13.420000000000002</v>
          </cell>
        </row>
        <row r="590">
          <cell r="AE590">
            <v>0</v>
          </cell>
        </row>
        <row r="591">
          <cell r="AE591">
            <v>0</v>
          </cell>
        </row>
        <row r="592">
          <cell r="AE592">
            <v>503.00999999999976</v>
          </cell>
        </row>
        <row r="593">
          <cell r="AE593">
            <v>33.870000000000005</v>
          </cell>
        </row>
        <row r="594">
          <cell r="AE594">
            <v>626.19999999999982</v>
          </cell>
        </row>
        <row r="595">
          <cell r="AE595">
            <v>0</v>
          </cell>
        </row>
        <row r="596">
          <cell r="AE596">
            <v>0</v>
          </cell>
        </row>
        <row r="597">
          <cell r="AE597">
            <v>7083.3400000000038</v>
          </cell>
        </row>
        <row r="598">
          <cell r="AE598">
            <v>0</v>
          </cell>
        </row>
        <row r="599">
          <cell r="AE599">
            <v>584.79000000000042</v>
          </cell>
        </row>
        <row r="600">
          <cell r="AE600">
            <v>503.00999999999976</v>
          </cell>
        </row>
        <row r="601">
          <cell r="AE601">
            <v>33.870000000000005</v>
          </cell>
        </row>
        <row r="602">
          <cell r="AE602">
            <v>16.299999999999997</v>
          </cell>
        </row>
        <row r="603">
          <cell r="AE603">
            <v>0</v>
          </cell>
        </row>
        <row r="604">
          <cell r="AE604">
            <v>0</v>
          </cell>
        </row>
        <row r="605">
          <cell r="AE605">
            <v>11395.839999999997</v>
          </cell>
        </row>
        <row r="606">
          <cell r="AE606">
            <v>0</v>
          </cell>
        </row>
        <row r="607">
          <cell r="AE607">
            <v>625</v>
          </cell>
        </row>
        <row r="608">
          <cell r="AE608">
            <v>973.82999999999993</v>
          </cell>
        </row>
        <row r="609">
          <cell r="AE609">
            <v>503.00999999999976</v>
          </cell>
        </row>
        <row r="610">
          <cell r="AE610">
            <v>33.870000000000005</v>
          </cell>
        </row>
        <row r="611">
          <cell r="AE611">
            <v>16.149999999999991</v>
          </cell>
        </row>
        <row r="612">
          <cell r="AE612">
            <v>0</v>
          </cell>
        </row>
        <row r="613">
          <cell r="AE613">
            <v>0</v>
          </cell>
        </row>
        <row r="614">
          <cell r="AE614">
            <v>0</v>
          </cell>
        </row>
        <row r="615">
          <cell r="AE615">
            <v>0</v>
          </cell>
        </row>
        <row r="616">
          <cell r="AE616">
            <v>213.44999999999993</v>
          </cell>
        </row>
        <row r="617">
          <cell r="AE617">
            <v>0</v>
          </cell>
        </row>
        <row r="618">
          <cell r="AE618">
            <v>28992.299999999959</v>
          </cell>
        </row>
        <row r="619">
          <cell r="AE619">
            <v>0</v>
          </cell>
        </row>
        <row r="620">
          <cell r="AE620">
            <v>21644</v>
          </cell>
        </row>
        <row r="621">
          <cell r="AE621">
            <v>21644</v>
          </cell>
        </row>
        <row r="622">
          <cell r="AE622">
            <v>0</v>
          </cell>
        </row>
        <row r="623">
          <cell r="AE623">
            <v>0</v>
          </cell>
        </row>
        <row r="624">
          <cell r="AE624">
            <v>2482.9000000000015</v>
          </cell>
        </row>
        <row r="625">
          <cell r="AE625">
            <v>0</v>
          </cell>
        </row>
        <row r="626">
          <cell r="AE626">
            <v>8.960000000000008</v>
          </cell>
        </row>
        <row r="627">
          <cell r="AE627">
            <v>0</v>
          </cell>
        </row>
        <row r="628">
          <cell r="AE628">
            <v>75</v>
          </cell>
        </row>
        <row r="629">
          <cell r="AE629">
            <v>0</v>
          </cell>
        </row>
        <row r="630">
          <cell r="AE630">
            <v>2566.8600000000042</v>
          </cell>
        </row>
        <row r="631">
          <cell r="AE631">
            <v>0</v>
          </cell>
        </row>
        <row r="632">
          <cell r="AE632">
            <v>0</v>
          </cell>
        </row>
        <row r="633">
          <cell r="AE633">
            <v>0</v>
          </cell>
        </row>
        <row r="634">
          <cell r="AE634">
            <v>0</v>
          </cell>
        </row>
        <row r="635">
          <cell r="AE635">
            <v>0</v>
          </cell>
        </row>
        <row r="636">
          <cell r="AE636">
            <v>0</v>
          </cell>
        </row>
        <row r="637">
          <cell r="AE637">
            <v>0</v>
          </cell>
        </row>
        <row r="638">
          <cell r="AE638">
            <v>0</v>
          </cell>
        </row>
        <row r="639">
          <cell r="AE639">
            <v>0</v>
          </cell>
        </row>
        <row r="640">
          <cell r="AE640">
            <v>0</v>
          </cell>
        </row>
        <row r="641">
          <cell r="AE641">
            <v>0</v>
          </cell>
        </row>
        <row r="642">
          <cell r="AE642">
            <v>0</v>
          </cell>
        </row>
        <row r="643">
          <cell r="AE643">
            <v>0</v>
          </cell>
        </row>
        <row r="644">
          <cell r="AE644">
            <v>0</v>
          </cell>
        </row>
        <row r="645">
          <cell r="AE645">
            <v>359.85</v>
          </cell>
        </row>
        <row r="646">
          <cell r="AE646">
            <v>0</v>
          </cell>
        </row>
        <row r="647">
          <cell r="AE647">
            <v>0</v>
          </cell>
        </row>
        <row r="648">
          <cell r="AE648">
            <v>0</v>
          </cell>
        </row>
        <row r="649">
          <cell r="AE649">
            <v>0</v>
          </cell>
        </row>
        <row r="650">
          <cell r="AE650">
            <v>0</v>
          </cell>
        </row>
        <row r="651">
          <cell r="AE651">
            <v>0</v>
          </cell>
        </row>
        <row r="652">
          <cell r="AE652">
            <v>0</v>
          </cell>
        </row>
        <row r="653">
          <cell r="AE653">
            <v>12913.54</v>
          </cell>
        </row>
        <row r="654">
          <cell r="AE654">
            <v>9353.8800000000047</v>
          </cell>
        </row>
        <row r="655">
          <cell r="AE655">
            <v>5613.5600000000013</v>
          </cell>
        </row>
        <row r="656">
          <cell r="AE656">
            <v>0</v>
          </cell>
        </row>
        <row r="657">
          <cell r="AE657">
            <v>0</v>
          </cell>
        </row>
        <row r="658">
          <cell r="AE658">
            <v>0</v>
          </cell>
        </row>
        <row r="659">
          <cell r="AE659">
            <v>0</v>
          </cell>
        </row>
        <row r="660">
          <cell r="AE660">
            <v>0</v>
          </cell>
        </row>
        <row r="661">
          <cell r="AE661">
            <v>1373.83</v>
          </cell>
        </row>
        <row r="662">
          <cell r="AE662">
            <v>0</v>
          </cell>
        </row>
        <row r="663">
          <cell r="AE663">
            <v>643.36999999999989</v>
          </cell>
        </row>
        <row r="664">
          <cell r="AE664">
            <v>15.920000000000002</v>
          </cell>
        </row>
        <row r="665">
          <cell r="AE665">
            <v>157.26999999999998</v>
          </cell>
        </row>
        <row r="666">
          <cell r="AE666">
            <v>-150.98000000000002</v>
          </cell>
        </row>
        <row r="667">
          <cell r="AE667">
            <v>0</v>
          </cell>
        </row>
        <row r="668">
          <cell r="AE668">
            <v>416.67000000000007</v>
          </cell>
        </row>
        <row r="669">
          <cell r="AE669">
            <v>1476.1399999999999</v>
          </cell>
        </row>
        <row r="670">
          <cell r="AE670">
            <v>1374.6</v>
          </cell>
        </row>
        <row r="671">
          <cell r="AE671">
            <v>390.49999999999977</v>
          </cell>
        </row>
        <row r="673">
          <cell r="AE673">
            <v>0</v>
          </cell>
        </row>
        <row r="674">
          <cell r="AE674">
            <v>1297.9500000000007</v>
          </cell>
        </row>
        <row r="675">
          <cell r="AE675">
            <v>489.90999999999985</v>
          </cell>
        </row>
        <row r="676">
          <cell r="AE676">
            <v>336.39999999999964</v>
          </cell>
        </row>
        <row r="678">
          <cell r="AE678">
            <v>0</v>
          </cell>
        </row>
        <row r="679">
          <cell r="AE679">
            <v>36062.410000000091</v>
          </cell>
        </row>
        <row r="680">
          <cell r="AE680">
            <v>0</v>
          </cell>
        </row>
        <row r="681">
          <cell r="AE681">
            <v>0</v>
          </cell>
        </row>
        <row r="682">
          <cell r="AE682">
            <v>0</v>
          </cell>
        </row>
        <row r="683">
          <cell r="AE683">
            <v>-52971.723931034474</v>
          </cell>
        </row>
        <row r="684">
          <cell r="AE684">
            <v>0</v>
          </cell>
        </row>
        <row r="685">
          <cell r="AE685">
            <v>-52971.723931034474</v>
          </cell>
        </row>
        <row r="686">
          <cell r="AE686">
            <v>0</v>
          </cell>
        </row>
        <row r="687">
          <cell r="AE687">
            <v>36293.846068965591</v>
          </cell>
        </row>
        <row r="688">
          <cell r="AE688">
            <v>0</v>
          </cell>
        </row>
        <row r="689">
          <cell r="AE689">
            <v>0</v>
          </cell>
        </row>
        <row r="690">
          <cell r="AE690">
            <v>0</v>
          </cell>
        </row>
        <row r="691">
          <cell r="AE691">
            <v>0</v>
          </cell>
        </row>
        <row r="692">
          <cell r="AE692">
            <v>30183.339999999997</v>
          </cell>
        </row>
        <row r="694">
          <cell r="AE694">
            <v>2500</v>
          </cell>
        </row>
        <row r="695">
          <cell r="AE695">
            <v>2428.0799999999981</v>
          </cell>
        </row>
        <row r="696">
          <cell r="AE696">
            <v>90.960000000000036</v>
          </cell>
        </row>
        <row r="697">
          <cell r="AE697">
            <v>0</v>
          </cell>
        </row>
        <row r="698">
          <cell r="AE698">
            <v>159.15</v>
          </cell>
        </row>
        <row r="699">
          <cell r="AE699">
            <v>0</v>
          </cell>
        </row>
        <row r="700">
          <cell r="AE700">
            <v>101.61000000000001</v>
          </cell>
        </row>
        <row r="701">
          <cell r="AE701">
            <v>0</v>
          </cell>
        </row>
        <row r="702">
          <cell r="AE702">
            <v>709</v>
          </cell>
        </row>
        <row r="703">
          <cell r="AE703">
            <v>751.51999999999953</v>
          </cell>
        </row>
        <row r="704">
          <cell r="AE704">
            <v>0</v>
          </cell>
        </row>
        <row r="705">
          <cell r="AE705">
            <v>1886.8700000000001</v>
          </cell>
        </row>
        <row r="706">
          <cell r="AE706">
            <v>0</v>
          </cell>
        </row>
        <row r="707">
          <cell r="AE707">
            <v>0</v>
          </cell>
        </row>
        <row r="708">
          <cell r="AE708">
            <v>0</v>
          </cell>
        </row>
        <row r="709">
          <cell r="AE709">
            <v>555.79999999999995</v>
          </cell>
        </row>
        <row r="710">
          <cell r="AE710">
            <v>0</v>
          </cell>
        </row>
        <row r="711">
          <cell r="AE711">
            <v>0</v>
          </cell>
        </row>
        <row r="712">
          <cell r="AE712">
            <v>341.58</v>
          </cell>
        </row>
        <row r="713">
          <cell r="AE713">
            <v>0</v>
          </cell>
        </row>
        <row r="714">
          <cell r="AE714">
            <v>0</v>
          </cell>
        </row>
        <row r="716">
          <cell r="AE716">
            <v>129.6899999999996</v>
          </cell>
        </row>
        <row r="717">
          <cell r="AE717">
            <v>7130</v>
          </cell>
        </row>
        <row r="718">
          <cell r="AE718">
            <v>16757.519999999997</v>
          </cell>
        </row>
        <row r="719">
          <cell r="AE719">
            <v>708.33</v>
          </cell>
        </row>
        <row r="720">
          <cell r="AE720">
            <v>0</v>
          </cell>
        </row>
        <row r="721">
          <cell r="AE721">
            <v>0</v>
          </cell>
        </row>
        <row r="722">
          <cell r="AE722">
            <v>3021.3100000000049</v>
          </cell>
        </row>
        <row r="723">
          <cell r="AE723">
            <v>0</v>
          </cell>
        </row>
        <row r="724">
          <cell r="AE724">
            <v>0</v>
          </cell>
        </row>
        <row r="726">
          <cell r="AE726">
            <v>0</v>
          </cell>
        </row>
        <row r="727">
          <cell r="AE727">
            <v>0</v>
          </cell>
        </row>
        <row r="728">
          <cell r="AE728">
            <v>0</v>
          </cell>
        </row>
        <row r="729">
          <cell r="AE729">
            <v>1240</v>
          </cell>
        </row>
        <row r="730">
          <cell r="AE730">
            <v>0</v>
          </cell>
        </row>
        <row r="731">
          <cell r="AE731">
            <v>68694.760000000009</v>
          </cell>
        </row>
        <row r="732">
          <cell r="AE732">
            <v>0</v>
          </cell>
        </row>
        <row r="733">
          <cell r="AE733">
            <v>0</v>
          </cell>
        </row>
        <row r="734">
          <cell r="AE734">
            <v>0</v>
          </cell>
        </row>
        <row r="735">
          <cell r="AE735">
            <v>0</v>
          </cell>
        </row>
        <row r="736">
          <cell r="AE736">
            <v>69144.520000000019</v>
          </cell>
        </row>
        <row r="737">
          <cell r="AE737">
            <v>4167</v>
          </cell>
        </row>
        <row r="738">
          <cell r="AE738">
            <v>420919.22</v>
          </cell>
        </row>
        <row r="739">
          <cell r="AE739">
            <v>0</v>
          </cell>
        </row>
        <row r="740">
          <cell r="AE740">
            <v>54838</v>
          </cell>
        </row>
        <row r="741">
          <cell r="AE741">
            <v>0</v>
          </cell>
        </row>
        <row r="742">
          <cell r="AE742">
            <v>0</v>
          </cell>
        </row>
        <row r="743">
          <cell r="AE743">
            <v>1307.0500000000002</v>
          </cell>
        </row>
        <row r="744">
          <cell r="AE744">
            <v>7002.9700000000012</v>
          </cell>
        </row>
        <row r="745">
          <cell r="AE745">
            <v>0</v>
          </cell>
        </row>
        <row r="746">
          <cell r="AE746">
            <v>0</v>
          </cell>
        </row>
        <row r="747">
          <cell r="AE747">
            <v>6378</v>
          </cell>
        </row>
        <row r="748">
          <cell r="AE748">
            <v>423.96000000000004</v>
          </cell>
        </row>
        <row r="749">
          <cell r="AE749">
            <v>0</v>
          </cell>
        </row>
        <row r="750">
          <cell r="AE750">
            <v>193</v>
          </cell>
        </row>
        <row r="751">
          <cell r="AE751">
            <v>0</v>
          </cell>
        </row>
        <row r="752">
          <cell r="AE752">
            <v>287.83999999999969</v>
          </cell>
        </row>
        <row r="753">
          <cell r="AE753">
            <v>11551.330000000002</v>
          </cell>
        </row>
        <row r="754">
          <cell r="AE754">
            <v>1014.2800000000061</v>
          </cell>
        </row>
        <row r="755">
          <cell r="AE755">
            <v>0</v>
          </cell>
        </row>
        <row r="756">
          <cell r="AE756">
            <v>228.57999999999993</v>
          </cell>
        </row>
        <row r="757">
          <cell r="AE757">
            <v>465</v>
          </cell>
        </row>
        <row r="758">
          <cell r="AE758">
            <v>0</v>
          </cell>
        </row>
        <row r="759">
          <cell r="AE759">
            <v>0</v>
          </cell>
        </row>
        <row r="760">
          <cell r="AE760">
            <v>0</v>
          </cell>
        </row>
        <row r="761">
          <cell r="AE761">
            <v>25000</v>
          </cell>
        </row>
        <row r="762">
          <cell r="AE762">
            <v>6533</v>
          </cell>
        </row>
        <row r="763">
          <cell r="AE763">
            <v>1250</v>
          </cell>
        </row>
        <row r="764">
          <cell r="AE764">
            <v>0</v>
          </cell>
        </row>
        <row r="765">
          <cell r="AE765">
            <v>452.09000000000015</v>
          </cell>
        </row>
        <row r="766">
          <cell r="AE766">
            <v>0</v>
          </cell>
        </row>
        <row r="767">
          <cell r="AE767">
            <v>0</v>
          </cell>
        </row>
        <row r="768">
          <cell r="AE768">
            <v>1940.4699999999993</v>
          </cell>
        </row>
        <row r="769">
          <cell r="AE769">
            <v>108.51999999999998</v>
          </cell>
        </row>
        <row r="770">
          <cell r="AE770">
            <v>27303.1</v>
          </cell>
        </row>
        <row r="771">
          <cell r="AE771">
            <v>167.79999999999995</v>
          </cell>
        </row>
        <row r="772">
          <cell r="AE772">
            <v>0</v>
          </cell>
        </row>
        <row r="773">
          <cell r="AE773">
            <v>0</v>
          </cell>
        </row>
        <row r="774">
          <cell r="AE774">
            <v>102625</v>
          </cell>
        </row>
        <row r="775">
          <cell r="AE775">
            <v>2500</v>
          </cell>
        </row>
        <row r="776">
          <cell r="AE776">
            <v>19255</v>
          </cell>
        </row>
        <row r="777">
          <cell r="AE777">
            <v>0</v>
          </cell>
        </row>
        <row r="778">
          <cell r="AE778">
            <v>8605.1699999999983</v>
          </cell>
        </row>
        <row r="779">
          <cell r="AE779">
            <v>281.15999999999985</v>
          </cell>
        </row>
        <row r="780">
          <cell r="AE780">
            <v>0</v>
          </cell>
        </row>
        <row r="781">
          <cell r="AE781">
            <v>4456.9599999999991</v>
          </cell>
        </row>
        <row r="782">
          <cell r="AE782">
            <v>427.16999999999962</v>
          </cell>
        </row>
        <row r="783">
          <cell r="AE783">
            <v>0</v>
          </cell>
        </row>
        <row r="784">
          <cell r="AE784">
            <v>-11579</v>
          </cell>
        </row>
        <row r="785">
          <cell r="AE785">
            <v>0</v>
          </cell>
        </row>
        <row r="786">
          <cell r="AE786">
            <v>0</v>
          </cell>
        </row>
        <row r="787">
          <cell r="AE787">
            <v>0</v>
          </cell>
        </row>
        <row r="788">
          <cell r="AE788">
            <v>0</v>
          </cell>
        </row>
        <row r="789">
          <cell r="AE789">
            <v>32083.339999999997</v>
          </cell>
        </row>
        <row r="790">
          <cell r="AE790">
            <v>2974.7199999999975</v>
          </cell>
        </row>
        <row r="791">
          <cell r="AE791">
            <v>0</v>
          </cell>
        </row>
        <row r="792">
          <cell r="AE792">
            <v>4583</v>
          </cell>
        </row>
        <row r="793">
          <cell r="AE793">
            <v>8011</v>
          </cell>
        </row>
        <row r="794">
          <cell r="AE794">
            <v>3879.4199999999983</v>
          </cell>
        </row>
        <row r="795">
          <cell r="AE795">
            <v>3026.79</v>
          </cell>
        </row>
        <row r="796">
          <cell r="AE796">
            <v>211.98000000000002</v>
          </cell>
        </row>
        <row r="797">
          <cell r="AE797">
            <v>80.389999999999986</v>
          </cell>
        </row>
        <row r="798">
          <cell r="AE798">
            <v>0</v>
          </cell>
        </row>
        <row r="799">
          <cell r="AE799">
            <v>0</v>
          </cell>
        </row>
        <row r="800">
          <cell r="AE800">
            <v>43328.14</v>
          </cell>
        </row>
        <row r="801">
          <cell r="AE801">
            <v>39214</v>
          </cell>
        </row>
        <row r="802">
          <cell r="AE802">
            <v>98580.09</v>
          </cell>
        </row>
        <row r="803">
          <cell r="AE803">
            <v>-225263.14</v>
          </cell>
        </row>
        <row r="804">
          <cell r="AE804">
            <v>0</v>
          </cell>
        </row>
        <row r="805">
          <cell r="AE805">
            <v>62404.600000000006</v>
          </cell>
        </row>
        <row r="806">
          <cell r="AE806">
            <v>0</v>
          </cell>
        </row>
        <row r="807">
          <cell r="AE807">
            <v>17500</v>
          </cell>
        </row>
        <row r="809">
          <cell r="AE809">
            <v>12500</v>
          </cell>
        </row>
        <row r="810">
          <cell r="AE810">
            <v>1890.5499999999997</v>
          </cell>
        </row>
        <row r="811">
          <cell r="AE811">
            <v>93.919999999999987</v>
          </cell>
        </row>
        <row r="812">
          <cell r="AE812">
            <v>25041.659999999989</v>
          </cell>
        </row>
        <row r="813">
          <cell r="AE813">
            <v>2631.6899999999987</v>
          </cell>
        </row>
        <row r="814">
          <cell r="AE814">
            <v>183.16999999999996</v>
          </cell>
        </row>
        <row r="815">
          <cell r="AE815">
            <v>113.15999999999997</v>
          </cell>
        </row>
        <row r="816">
          <cell r="AE816">
            <v>0</v>
          </cell>
        </row>
        <row r="817">
          <cell r="AE817">
            <v>202.31000000000006</v>
          </cell>
        </row>
        <row r="818">
          <cell r="AE818">
            <v>1667</v>
          </cell>
        </row>
        <row r="819">
          <cell r="AE819">
            <v>0</v>
          </cell>
        </row>
        <row r="820">
          <cell r="AE820">
            <v>1718.7200000000012</v>
          </cell>
        </row>
        <row r="821">
          <cell r="AE821">
            <v>9008</v>
          </cell>
        </row>
        <row r="822">
          <cell r="AE822">
            <v>0</v>
          </cell>
        </row>
        <row r="823">
          <cell r="AE823">
            <v>14437.75</v>
          </cell>
        </row>
        <row r="824">
          <cell r="AE824">
            <v>0</v>
          </cell>
        </row>
        <row r="825">
          <cell r="AE825">
            <v>0</v>
          </cell>
        </row>
        <row r="826">
          <cell r="AE826">
            <v>0</v>
          </cell>
        </row>
        <row r="827">
          <cell r="AE827">
            <v>0</v>
          </cell>
        </row>
        <row r="828">
          <cell r="AE828">
            <v>273.53999999999996</v>
          </cell>
        </row>
        <row r="829">
          <cell r="AE829">
            <v>228.57999999999993</v>
          </cell>
        </row>
        <row r="830">
          <cell r="AE830">
            <v>0</v>
          </cell>
        </row>
        <row r="831">
          <cell r="AE831">
            <v>0</v>
          </cell>
        </row>
        <row r="832">
          <cell r="AE832">
            <v>433.9900000000016</v>
          </cell>
        </row>
        <row r="833">
          <cell r="AE833">
            <v>0</v>
          </cell>
        </row>
        <row r="834">
          <cell r="AE834">
            <v>0</v>
          </cell>
        </row>
        <row r="835">
          <cell r="AE835">
            <v>444</v>
          </cell>
        </row>
        <row r="836">
          <cell r="AE836">
            <v>0</v>
          </cell>
        </row>
        <row r="837">
          <cell r="AE837">
            <v>0</v>
          </cell>
        </row>
        <row r="838">
          <cell r="AE838">
            <v>0</v>
          </cell>
        </row>
        <row r="839">
          <cell r="AE839">
            <v>0</v>
          </cell>
        </row>
        <row r="840">
          <cell r="AE840">
            <v>0</v>
          </cell>
        </row>
        <row r="841">
          <cell r="AE841">
            <v>37240.379999999976</v>
          </cell>
        </row>
        <row r="842">
          <cell r="AE842">
            <v>833</v>
          </cell>
        </row>
        <row r="843">
          <cell r="AE843">
            <v>0</v>
          </cell>
        </row>
        <row r="844">
          <cell r="AE844">
            <v>9847</v>
          </cell>
        </row>
        <row r="845">
          <cell r="AE845">
            <v>3957.8300000000017</v>
          </cell>
        </row>
        <row r="846">
          <cell r="AE846">
            <v>0</v>
          </cell>
        </row>
        <row r="847">
          <cell r="AE847">
            <v>0</v>
          </cell>
        </row>
        <row r="848">
          <cell r="AE848">
            <v>3679.5799999999981</v>
          </cell>
        </row>
        <row r="849">
          <cell r="AE849">
            <v>213.82999999999993</v>
          </cell>
        </row>
        <row r="850">
          <cell r="AE850">
            <v>51.829999999999984</v>
          </cell>
        </row>
        <row r="851">
          <cell r="AE851">
            <v>0</v>
          </cell>
        </row>
        <row r="852">
          <cell r="AE852">
            <v>49958.340000000026</v>
          </cell>
        </row>
        <row r="853">
          <cell r="AE853">
            <v>1797.75</v>
          </cell>
        </row>
        <row r="854">
          <cell r="AE854">
            <v>7538</v>
          </cell>
        </row>
        <row r="855">
          <cell r="AE855">
            <v>14624.999999999993</v>
          </cell>
        </row>
        <row r="856">
          <cell r="AE856">
            <v>-2996</v>
          </cell>
        </row>
        <row r="857">
          <cell r="AE857">
            <v>34.71999999999997</v>
          </cell>
        </row>
        <row r="858">
          <cell r="AE858">
            <v>0</v>
          </cell>
        </row>
        <row r="859">
          <cell r="AE859">
            <v>4383.9500000000007</v>
          </cell>
        </row>
        <row r="860">
          <cell r="AE860">
            <v>0</v>
          </cell>
        </row>
        <row r="861">
          <cell r="AE861">
            <v>0</v>
          </cell>
        </row>
        <row r="862">
          <cell r="AE862">
            <v>250.91000000000008</v>
          </cell>
        </row>
        <row r="863">
          <cell r="AE863">
            <v>15366.169999999998</v>
          </cell>
        </row>
        <row r="864">
          <cell r="AE864">
            <v>0</v>
          </cell>
        </row>
        <row r="865">
          <cell r="AE865">
            <v>461</v>
          </cell>
        </row>
        <row r="866">
          <cell r="AE866">
            <v>2709.6299999999974</v>
          </cell>
        </row>
        <row r="867">
          <cell r="AE867">
            <v>228.57999999999993</v>
          </cell>
        </row>
        <row r="868">
          <cell r="AE868">
            <v>0</v>
          </cell>
        </row>
        <row r="869">
          <cell r="AE869">
            <v>0</v>
          </cell>
        </row>
        <row r="870">
          <cell r="AE870">
            <v>0</v>
          </cell>
        </row>
        <row r="871">
          <cell r="AE871">
            <v>1482.8</v>
          </cell>
        </row>
      </sheetData>
      <sheetData sheetId="28" refreshError="1"/>
      <sheetData sheetId="29" refreshError="1"/>
      <sheetData sheetId="30" refreshError="1"/>
      <sheetData sheetId="31" refreshError="1"/>
      <sheetData sheetId="32">
        <row r="1">
          <cell r="C1"/>
        </row>
        <row r="186">
          <cell r="AB186">
            <v>31535.910000000033</v>
          </cell>
        </row>
        <row r="187">
          <cell r="AB187">
            <v>7406.05</v>
          </cell>
        </row>
        <row r="188">
          <cell r="AB188">
            <v>5280.75</v>
          </cell>
        </row>
        <row r="189">
          <cell r="AB189">
            <v>5774.1200000000008</v>
          </cell>
        </row>
        <row r="190">
          <cell r="AB190">
            <v>0</v>
          </cell>
        </row>
        <row r="191">
          <cell r="AB191">
            <v>370.17999999999984</v>
          </cell>
        </row>
        <row r="192">
          <cell r="AB192">
            <v>0</v>
          </cell>
        </row>
        <row r="193">
          <cell r="AB193">
            <v>0</v>
          </cell>
        </row>
        <row r="194">
          <cell r="AB194">
            <v>388.77</v>
          </cell>
        </row>
        <row r="195">
          <cell r="AB195">
            <v>0</v>
          </cell>
        </row>
        <row r="196">
          <cell r="AB196">
            <v>0</v>
          </cell>
        </row>
        <row r="197">
          <cell r="AB197">
            <v>-88866.069825966377</v>
          </cell>
        </row>
        <row r="198">
          <cell r="AB198">
            <v>0</v>
          </cell>
        </row>
        <row r="199">
          <cell r="AB199">
            <v>-38110.289825966291</v>
          </cell>
        </row>
        <row r="200">
          <cell r="AB200">
            <v>0</v>
          </cell>
        </row>
        <row r="201">
          <cell r="AB201">
            <v>0</v>
          </cell>
        </row>
        <row r="202">
          <cell r="AB202">
            <v>0</v>
          </cell>
        </row>
        <row r="203">
          <cell r="AB203">
            <v>0</v>
          </cell>
        </row>
        <row r="204">
          <cell r="AB204">
            <v>0</v>
          </cell>
        </row>
        <row r="205">
          <cell r="AB205">
            <v>0</v>
          </cell>
        </row>
        <row r="206">
          <cell r="AB206">
            <v>0</v>
          </cell>
        </row>
        <row r="207">
          <cell r="AB207">
            <v>0</v>
          </cell>
        </row>
        <row r="208">
          <cell r="AB208">
            <v>0</v>
          </cell>
        </row>
        <row r="209">
          <cell r="AB209">
            <v>0</v>
          </cell>
        </row>
        <row r="210">
          <cell r="AB210">
            <v>0</v>
          </cell>
        </row>
        <row r="211">
          <cell r="AB211">
            <v>119.38</v>
          </cell>
        </row>
        <row r="212">
          <cell r="AB212">
            <v>0</v>
          </cell>
        </row>
        <row r="213">
          <cell r="AB213">
            <v>1456.0199999999995</v>
          </cell>
        </row>
        <row r="214">
          <cell r="AB214">
            <v>1575.3999999999996</v>
          </cell>
        </row>
        <row r="215">
          <cell r="AB215">
            <v>0</v>
          </cell>
        </row>
        <row r="216">
          <cell r="AB216">
            <v>162.28232596693488</v>
          </cell>
        </row>
        <row r="217">
          <cell r="AB217">
            <v>0</v>
          </cell>
        </row>
        <row r="218">
          <cell r="AB218">
            <v>162.28232596693488</v>
          </cell>
        </row>
        <row r="219">
          <cell r="AB219">
            <v>0</v>
          </cell>
        </row>
        <row r="220">
          <cell r="AB220">
            <v>0</v>
          </cell>
        </row>
        <row r="221">
          <cell r="AB221">
            <v>1737.6823259669345</v>
          </cell>
        </row>
        <row r="222">
          <cell r="AB222">
            <v>0</v>
          </cell>
        </row>
        <row r="223">
          <cell r="AB223">
            <v>0</v>
          </cell>
        </row>
        <row r="224">
          <cell r="AB224">
            <v>0</v>
          </cell>
        </row>
        <row r="225">
          <cell r="AB225">
            <v>0</v>
          </cell>
        </row>
        <row r="226">
          <cell r="AB226">
            <v>0</v>
          </cell>
        </row>
        <row r="227">
          <cell r="AB227">
            <v>0</v>
          </cell>
        </row>
        <row r="228">
          <cell r="AB228">
            <v>0</v>
          </cell>
        </row>
        <row r="229">
          <cell r="AB229">
            <v>0</v>
          </cell>
        </row>
        <row r="230">
          <cell r="AB230">
            <v>0</v>
          </cell>
        </row>
        <row r="231">
          <cell r="AB231">
            <v>15489.270000000004</v>
          </cell>
        </row>
        <row r="232">
          <cell r="AB232">
            <v>1442.15</v>
          </cell>
        </row>
        <row r="233">
          <cell r="AB233">
            <v>0</v>
          </cell>
        </row>
        <row r="234">
          <cell r="AB234">
            <v>18997.55</v>
          </cell>
        </row>
        <row r="235">
          <cell r="AB235">
            <v>1481.21</v>
          </cell>
        </row>
        <row r="236">
          <cell r="AB236">
            <v>0</v>
          </cell>
        </row>
        <row r="237">
          <cell r="AB237">
            <v>0</v>
          </cell>
        </row>
        <row r="238">
          <cell r="AB238">
            <v>5512.4599999999991</v>
          </cell>
        </row>
        <row r="239">
          <cell r="AB239">
            <v>0</v>
          </cell>
        </row>
        <row r="240">
          <cell r="AB240">
            <v>0</v>
          </cell>
        </row>
        <row r="241">
          <cell r="AB241">
            <v>0</v>
          </cell>
        </row>
        <row r="242">
          <cell r="AB242">
            <v>0</v>
          </cell>
        </row>
        <row r="243">
          <cell r="AB243">
            <v>0</v>
          </cell>
        </row>
        <row r="244">
          <cell r="AB244">
            <v>42922.639999999956</v>
          </cell>
        </row>
        <row r="245">
          <cell r="AB245">
            <v>0</v>
          </cell>
        </row>
        <row r="246">
          <cell r="AB246">
            <v>0</v>
          </cell>
        </row>
        <row r="247">
          <cell r="AB247">
            <v>0</v>
          </cell>
        </row>
        <row r="248">
          <cell r="AB248">
            <v>0</v>
          </cell>
        </row>
        <row r="249">
          <cell r="AB249">
            <v>0</v>
          </cell>
        </row>
        <row r="250">
          <cell r="AB250">
            <v>16015.839999999997</v>
          </cell>
        </row>
        <row r="251">
          <cell r="AB251">
            <v>0</v>
          </cell>
        </row>
        <row r="252">
          <cell r="AB252">
            <v>1920.96</v>
          </cell>
        </row>
        <row r="253">
          <cell r="AB253">
            <v>11027.179999999998</v>
          </cell>
        </row>
        <row r="254">
          <cell r="AB254">
            <v>1481.21</v>
          </cell>
        </row>
        <row r="255">
          <cell r="AB255">
            <v>0</v>
          </cell>
        </row>
        <row r="256">
          <cell r="AB256">
            <v>0</v>
          </cell>
        </row>
        <row r="257">
          <cell r="AB257">
            <v>0</v>
          </cell>
        </row>
        <row r="258">
          <cell r="AB258">
            <v>0</v>
          </cell>
        </row>
        <row r="259">
          <cell r="AB259">
            <v>0</v>
          </cell>
        </row>
        <row r="260">
          <cell r="AB260">
            <v>30445.189999999988</v>
          </cell>
        </row>
        <row r="261">
          <cell r="AB261">
            <v>0</v>
          </cell>
        </row>
        <row r="262">
          <cell r="AB262">
            <v>0</v>
          </cell>
        </row>
        <row r="263">
          <cell r="AB263">
            <v>0</v>
          </cell>
        </row>
        <row r="264">
          <cell r="AB264">
            <v>0</v>
          </cell>
        </row>
        <row r="265">
          <cell r="AB265">
            <v>0</v>
          </cell>
        </row>
        <row r="266">
          <cell r="AB266">
            <v>23636.860000000015</v>
          </cell>
        </row>
        <row r="267">
          <cell r="AB267">
            <v>11978.599999999999</v>
          </cell>
        </row>
        <row r="268">
          <cell r="AB268">
            <v>4887.99</v>
          </cell>
        </row>
        <row r="269">
          <cell r="AB269">
            <v>2719.4100000000003</v>
          </cell>
        </row>
        <row r="270">
          <cell r="AB270">
            <v>39391.880000000005</v>
          </cell>
        </row>
        <row r="271">
          <cell r="AB271">
            <v>41429.21</v>
          </cell>
        </row>
        <row r="272">
          <cell r="AB272">
            <v>0</v>
          </cell>
        </row>
        <row r="273">
          <cell r="AB273">
            <v>0</v>
          </cell>
        </row>
        <row r="274">
          <cell r="AB274">
            <v>0</v>
          </cell>
        </row>
        <row r="275">
          <cell r="AB275">
            <v>1686.7099999999998</v>
          </cell>
        </row>
        <row r="276">
          <cell r="AB276">
            <v>0</v>
          </cell>
        </row>
        <row r="277">
          <cell r="AB277">
            <v>125730.66000000002</v>
          </cell>
        </row>
        <row r="279">
          <cell r="AB279">
            <v>199098.48999999993</v>
          </cell>
        </row>
        <row r="283">
          <cell r="AB283">
            <v>0</v>
          </cell>
        </row>
        <row r="284">
          <cell r="AB284">
            <v>0</v>
          </cell>
        </row>
        <row r="285">
          <cell r="AB285">
            <v>0</v>
          </cell>
        </row>
        <row r="286">
          <cell r="AB286">
            <v>0</v>
          </cell>
        </row>
        <row r="287">
          <cell r="AB287">
            <v>1226.5999999999999</v>
          </cell>
        </row>
        <row r="288">
          <cell r="AB288">
            <v>-17556.29967657568</v>
          </cell>
        </row>
        <row r="289">
          <cell r="AB289">
            <v>0</v>
          </cell>
        </row>
        <row r="290">
          <cell r="AB290">
            <v>-16329.699676575678</v>
          </cell>
        </row>
        <row r="291">
          <cell r="AB291">
            <v>0</v>
          </cell>
        </row>
      </sheetData>
      <sheetData sheetId="33" refreshError="1"/>
      <sheetData sheetId="34" refreshError="1"/>
      <sheetData sheetId="35" refreshError="1"/>
      <sheetData sheetId="36">
        <row r="1">
          <cell r="C1"/>
        </row>
        <row r="161">
          <cell r="AB161">
            <v>-281358.80531104899</v>
          </cell>
        </row>
        <row r="162">
          <cell r="AB162">
            <v>-281358.80531104899</v>
          </cell>
        </row>
        <row r="163">
          <cell r="AB163">
            <v>0</v>
          </cell>
        </row>
        <row r="164">
          <cell r="AB164">
            <v>0</v>
          </cell>
        </row>
        <row r="165">
          <cell r="AB165">
            <v>0</v>
          </cell>
        </row>
        <row r="166">
          <cell r="AB166">
            <v>0</v>
          </cell>
        </row>
        <row r="167">
          <cell r="AB167">
            <v>0</v>
          </cell>
        </row>
        <row r="168">
          <cell r="AB168">
            <v>0</v>
          </cell>
        </row>
        <row r="169">
          <cell r="AB169">
            <v>58300.919999999984</v>
          </cell>
        </row>
        <row r="170">
          <cell r="AB170">
            <v>2950.2700000000004</v>
          </cell>
        </row>
        <row r="171">
          <cell r="AB171">
            <v>633.7800000000002</v>
          </cell>
        </row>
        <row r="172">
          <cell r="AB172">
            <v>13.490000000000009</v>
          </cell>
        </row>
        <row r="173">
          <cell r="AB173">
            <v>5994.94</v>
          </cell>
        </row>
        <row r="174">
          <cell r="AB174">
            <v>13561.32</v>
          </cell>
        </row>
        <row r="175">
          <cell r="AB175">
            <v>0</v>
          </cell>
        </row>
        <row r="176">
          <cell r="AB176">
            <v>2268.62</v>
          </cell>
        </row>
        <row r="177">
          <cell r="AB177">
            <v>0</v>
          </cell>
        </row>
        <row r="178">
          <cell r="AB178">
            <v>7380.0052631578947</v>
          </cell>
        </row>
        <row r="179">
          <cell r="AB179">
            <v>0</v>
          </cell>
        </row>
        <row r="180">
          <cell r="AB180">
            <v>0</v>
          </cell>
        </row>
        <row r="181">
          <cell r="AB181">
            <v>19275.460000000006</v>
          </cell>
        </row>
        <row r="182">
          <cell r="AB182">
            <v>585.00999999999976</v>
          </cell>
        </row>
        <row r="183">
          <cell r="AB183">
            <v>1558.5</v>
          </cell>
        </row>
        <row r="184">
          <cell r="AB184">
            <v>0</v>
          </cell>
        </row>
        <row r="185">
          <cell r="AB185">
            <v>3287.5899999999983</v>
          </cell>
        </row>
        <row r="186">
          <cell r="AB186">
            <v>342.16999999999996</v>
          </cell>
        </row>
        <row r="187">
          <cell r="AB187">
            <v>0</v>
          </cell>
        </row>
        <row r="188">
          <cell r="AB188">
            <v>1736.4694736842102</v>
          </cell>
        </row>
        <row r="189">
          <cell r="AB189">
            <v>0</v>
          </cell>
        </row>
        <row r="190">
          <cell r="AB190">
            <v>117888.54473684193</v>
          </cell>
        </row>
        <row r="191">
          <cell r="AB191">
            <v>0</v>
          </cell>
        </row>
        <row r="192">
          <cell r="AB192">
            <v>0</v>
          </cell>
        </row>
        <row r="193">
          <cell r="AB193">
            <v>0</v>
          </cell>
        </row>
        <row r="194">
          <cell r="AB194">
            <v>0</v>
          </cell>
        </row>
        <row r="195">
          <cell r="AB195">
            <v>0</v>
          </cell>
        </row>
        <row r="196">
          <cell r="AB196">
            <v>0</v>
          </cell>
        </row>
        <row r="197">
          <cell r="AB197">
            <v>0</v>
          </cell>
        </row>
        <row r="198">
          <cell r="AB198">
            <v>0</v>
          </cell>
        </row>
        <row r="199">
          <cell r="AB199">
            <v>0</v>
          </cell>
        </row>
        <row r="200">
          <cell r="AB200">
            <v>0</v>
          </cell>
        </row>
        <row r="201">
          <cell r="AB201">
            <v>0</v>
          </cell>
        </row>
        <row r="202">
          <cell r="AB202">
            <v>947.69999999999982</v>
          </cell>
        </row>
        <row r="203">
          <cell r="AB203">
            <v>1365.9</v>
          </cell>
        </row>
        <row r="204">
          <cell r="AB204">
            <v>424.65999999999985</v>
          </cell>
        </row>
        <row r="205">
          <cell r="AB205">
            <v>1099.6500000000005</v>
          </cell>
        </row>
        <row r="206">
          <cell r="AB206">
            <v>3837.9100000000017</v>
          </cell>
        </row>
        <row r="207">
          <cell r="AB207">
            <v>0</v>
          </cell>
        </row>
        <row r="208">
          <cell r="AB208">
            <v>0</v>
          </cell>
        </row>
        <row r="209">
          <cell r="AB209">
            <v>5320.6100000000006</v>
          </cell>
        </row>
        <row r="210">
          <cell r="AB210">
            <v>0</v>
          </cell>
        </row>
        <row r="211">
          <cell r="AB211">
            <v>1508.7800000000007</v>
          </cell>
        </row>
        <row r="212">
          <cell r="AB212">
            <v>2248.7800000000002</v>
          </cell>
        </row>
        <row r="213">
          <cell r="AB213">
            <v>355.76</v>
          </cell>
        </row>
        <row r="214">
          <cell r="AB214">
            <v>0</v>
          </cell>
        </row>
        <row r="215">
          <cell r="AB215">
            <v>832.42000000000007</v>
          </cell>
        </row>
        <row r="216">
          <cell r="AB216">
            <v>0</v>
          </cell>
        </row>
        <row r="217">
          <cell r="AB217">
            <v>1765.7599999999993</v>
          </cell>
        </row>
        <row r="218">
          <cell r="AB218">
            <v>0</v>
          </cell>
        </row>
        <row r="219">
          <cell r="AB219">
            <v>395.84000000000015</v>
          </cell>
        </row>
        <row r="220">
          <cell r="AB220">
            <v>503.11000000000058</v>
          </cell>
        </row>
        <row r="221">
          <cell r="AB221">
            <v>95.489999999999895</v>
          </cell>
        </row>
        <row r="222">
          <cell r="AB222">
            <v>0</v>
          </cell>
        </row>
        <row r="223">
          <cell r="AB223">
            <v>-13026.550000000003</v>
          </cell>
        </row>
        <row r="224">
          <cell r="AB224">
            <v>0</v>
          </cell>
        </row>
        <row r="225">
          <cell r="AB225">
            <v>0</v>
          </cell>
        </row>
        <row r="226">
          <cell r="AB226">
            <v>0</v>
          </cell>
        </row>
        <row r="227">
          <cell r="AB227">
            <v>0</v>
          </cell>
        </row>
        <row r="228">
          <cell r="AB228">
            <v>3837.9100000000017</v>
          </cell>
        </row>
        <row r="229">
          <cell r="AB229">
            <v>0</v>
          </cell>
        </row>
        <row r="230">
          <cell r="AB230">
            <v>0</v>
          </cell>
        </row>
        <row r="231">
          <cell r="AB231">
            <v>0</v>
          </cell>
        </row>
        <row r="232">
          <cell r="AB232">
            <v>0</v>
          </cell>
        </row>
        <row r="233">
          <cell r="AB233">
            <v>0</v>
          </cell>
        </row>
        <row r="234">
          <cell r="AB234">
            <v>0</v>
          </cell>
        </row>
        <row r="235">
          <cell r="AB235">
            <v>0</v>
          </cell>
        </row>
        <row r="236">
          <cell r="AB236">
            <v>25054.399999999994</v>
          </cell>
        </row>
        <row r="237">
          <cell r="AB237">
            <v>0</v>
          </cell>
        </row>
        <row r="238">
          <cell r="AB238">
            <v>4109.489999999998</v>
          </cell>
        </row>
        <row r="239">
          <cell r="AB239">
            <v>313.62</v>
          </cell>
        </row>
        <row r="240">
          <cell r="AB240">
            <v>0</v>
          </cell>
        </row>
        <row r="241">
          <cell r="AB241">
            <v>520.53</v>
          </cell>
        </row>
        <row r="242">
          <cell r="AB242">
            <v>0</v>
          </cell>
        </row>
        <row r="243">
          <cell r="AB243">
            <v>2607.7231578947376</v>
          </cell>
        </row>
        <row r="244">
          <cell r="AB244">
            <v>0</v>
          </cell>
        </row>
        <row r="245">
          <cell r="AB245">
            <v>0</v>
          </cell>
        </row>
        <row r="246">
          <cell r="AB246">
            <v>915.47000000000025</v>
          </cell>
        </row>
        <row r="247">
          <cell r="AB247">
            <v>0</v>
          </cell>
        </row>
        <row r="248">
          <cell r="AB248">
            <v>33207.613157894724</v>
          </cell>
        </row>
        <row r="249">
          <cell r="AB249">
            <v>0</v>
          </cell>
        </row>
        <row r="250">
          <cell r="AB250">
            <v>0</v>
          </cell>
        </row>
        <row r="251">
          <cell r="AB251">
            <v>0</v>
          </cell>
        </row>
        <row r="252">
          <cell r="AB252">
            <v>0</v>
          </cell>
        </row>
        <row r="253">
          <cell r="AB253">
            <v>0</v>
          </cell>
        </row>
        <row r="254">
          <cell r="AB254">
            <v>0</v>
          </cell>
        </row>
        <row r="255">
          <cell r="AB255">
            <v>13034.990000000005</v>
          </cell>
        </row>
        <row r="256">
          <cell r="AB256">
            <v>0</v>
          </cell>
        </row>
        <row r="257">
          <cell r="AB257">
            <v>0</v>
          </cell>
        </row>
        <row r="258">
          <cell r="AB258">
            <v>3453.8299999999995</v>
          </cell>
        </row>
        <row r="259">
          <cell r="AB259">
            <v>55171.429999999993</v>
          </cell>
        </row>
        <row r="260">
          <cell r="AB260">
            <v>2465.7000000000007</v>
          </cell>
        </row>
        <row r="261">
          <cell r="AB261">
            <v>1099.04</v>
          </cell>
        </row>
        <row r="262">
          <cell r="AB262">
            <v>0</v>
          </cell>
        </row>
        <row r="263">
          <cell r="AB263">
            <v>0</v>
          </cell>
        </row>
        <row r="264">
          <cell r="AB264">
            <v>1934.14</v>
          </cell>
        </row>
        <row r="265">
          <cell r="AB265">
            <v>0</v>
          </cell>
        </row>
        <row r="266">
          <cell r="AB266">
            <v>0</v>
          </cell>
        </row>
        <row r="267">
          <cell r="AB267">
            <v>1008.97</v>
          </cell>
        </row>
        <row r="268">
          <cell r="AB268">
            <v>0</v>
          </cell>
        </row>
        <row r="269">
          <cell r="AB269">
            <v>0</v>
          </cell>
        </row>
        <row r="270">
          <cell r="AB270">
            <v>0</v>
          </cell>
        </row>
        <row r="271">
          <cell r="AB271">
            <v>0</v>
          </cell>
        </row>
        <row r="272">
          <cell r="AB272">
            <v>6272.630000000001</v>
          </cell>
        </row>
        <row r="273">
          <cell r="AB273">
            <v>0</v>
          </cell>
        </row>
        <row r="274">
          <cell r="AB274">
            <v>1789.08</v>
          </cell>
        </row>
        <row r="275">
          <cell r="AB275">
            <v>0</v>
          </cell>
        </row>
        <row r="276">
          <cell r="AB276">
            <v>435.84</v>
          </cell>
        </row>
        <row r="277">
          <cell r="AB277">
            <v>0</v>
          </cell>
        </row>
        <row r="278">
          <cell r="AB278">
            <v>0</v>
          </cell>
        </row>
        <row r="279">
          <cell r="AB279">
            <v>132.79999999999995</v>
          </cell>
        </row>
        <row r="280">
          <cell r="AB280">
            <v>0</v>
          </cell>
        </row>
        <row r="281">
          <cell r="AB281">
            <v>0</v>
          </cell>
        </row>
        <row r="282">
          <cell r="AB282">
            <v>0</v>
          </cell>
        </row>
        <row r="283">
          <cell r="AB283">
            <v>1302.3521052631568</v>
          </cell>
        </row>
        <row r="284">
          <cell r="AB284">
            <v>0</v>
          </cell>
        </row>
        <row r="285">
          <cell r="AB285">
            <v>86565.922105263191</v>
          </cell>
        </row>
        <row r="286">
          <cell r="AB286">
            <v>0</v>
          </cell>
        </row>
        <row r="287">
          <cell r="AB287">
            <v>0</v>
          </cell>
        </row>
        <row r="288">
          <cell r="AB288">
            <v>0</v>
          </cell>
        </row>
        <row r="289">
          <cell r="AB289">
            <v>0</v>
          </cell>
        </row>
        <row r="290">
          <cell r="AB290">
            <v>0</v>
          </cell>
        </row>
        <row r="291">
          <cell r="AB291">
            <v>0</v>
          </cell>
        </row>
        <row r="292">
          <cell r="AB292">
            <v>441.60999999999967</v>
          </cell>
        </row>
        <row r="293">
          <cell r="AB293">
            <v>410.94000000000005</v>
          </cell>
        </row>
        <row r="295">
          <cell r="AB295">
            <v>0</v>
          </cell>
        </row>
        <row r="296">
          <cell r="AB296">
            <v>918.75</v>
          </cell>
        </row>
        <row r="297">
          <cell r="AB297">
            <v>0</v>
          </cell>
        </row>
        <row r="298">
          <cell r="AB298">
            <v>120692.28526315792</v>
          </cell>
        </row>
        <row r="299">
          <cell r="AB299">
            <v>0</v>
          </cell>
        </row>
        <row r="300">
          <cell r="AB300">
            <v>0</v>
          </cell>
        </row>
        <row r="301">
          <cell r="AB301">
            <v>0</v>
          </cell>
        </row>
        <row r="302">
          <cell r="AB302">
            <v>30414.030000000002</v>
          </cell>
        </row>
        <row r="303">
          <cell r="AB303">
            <v>-643.36000789999923</v>
          </cell>
        </row>
        <row r="304">
          <cell r="AB304">
            <v>0</v>
          </cell>
        </row>
        <row r="305">
          <cell r="AB305">
            <v>29770.669992100004</v>
          </cell>
        </row>
        <row r="306">
          <cell r="AB306">
            <v>0</v>
          </cell>
        </row>
        <row r="307">
          <cell r="AB307">
            <v>0</v>
          </cell>
        </row>
        <row r="308">
          <cell r="AB308">
            <v>0</v>
          </cell>
        </row>
        <row r="309">
          <cell r="AB309">
            <v>0</v>
          </cell>
        </row>
        <row r="310">
          <cell r="AB310">
            <v>0</v>
          </cell>
        </row>
        <row r="311">
          <cell r="AB311">
            <v>0</v>
          </cell>
        </row>
        <row r="312">
          <cell r="AB312">
            <v>0</v>
          </cell>
        </row>
      </sheetData>
      <sheetData sheetId="37" refreshError="1"/>
      <sheetData sheetId="38" refreshError="1"/>
      <sheetData sheetId="39" refreshError="1"/>
      <sheetData sheetId="4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ow r="37">
          <cell r="J37">
            <v>-8283786.3151188698</v>
          </cell>
        </row>
      </sheetData>
      <sheetData sheetId="1">
        <row r="423">
          <cell r="AO423">
            <v>-16321.279999999999</v>
          </cell>
        </row>
        <row r="424">
          <cell r="AO424">
            <v>-276361.21999999974</v>
          </cell>
        </row>
        <row r="425">
          <cell r="AO425">
            <v>0</v>
          </cell>
        </row>
        <row r="426">
          <cell r="AO426">
            <v>-201.3700000000008</v>
          </cell>
        </row>
        <row r="427">
          <cell r="AO427">
            <v>-203099.09999999986</v>
          </cell>
        </row>
        <row r="428">
          <cell r="AO428">
            <v>-5081.3</v>
          </cell>
        </row>
        <row r="429">
          <cell r="AO429">
            <v>-65886.349999999977</v>
          </cell>
        </row>
        <row r="430">
          <cell r="AO430">
            <v>-590.18000000000029</v>
          </cell>
        </row>
        <row r="431">
          <cell r="AO431">
            <v>0</v>
          </cell>
        </row>
        <row r="432">
          <cell r="AO432">
            <v>-7492.9499999999971</v>
          </cell>
        </row>
        <row r="433">
          <cell r="AO433">
            <v>0</v>
          </cell>
        </row>
        <row r="434">
          <cell r="AO434">
            <v>4332.6199999999953</v>
          </cell>
        </row>
        <row r="435">
          <cell r="AO435">
            <v>0</v>
          </cell>
        </row>
        <row r="436">
          <cell r="AO436">
            <v>-31252.009999999995</v>
          </cell>
        </row>
        <row r="437">
          <cell r="AO437">
            <v>0</v>
          </cell>
        </row>
        <row r="438">
          <cell r="AO438">
            <v>0</v>
          </cell>
        </row>
        <row r="439">
          <cell r="AO439">
            <v>-139111</v>
          </cell>
        </row>
        <row r="440">
          <cell r="AO440">
            <v>-13970.07</v>
          </cell>
        </row>
        <row r="441">
          <cell r="AO441">
            <v>0</v>
          </cell>
        </row>
        <row r="442">
          <cell r="AO442">
            <v>3453.8099999999995</v>
          </cell>
        </row>
        <row r="455">
          <cell r="AO455">
            <v>1046446.9699999988</v>
          </cell>
        </row>
        <row r="456">
          <cell r="AO456">
            <v>28670.609999999993</v>
          </cell>
        </row>
        <row r="457">
          <cell r="AO457">
            <v>24842.960000000021</v>
          </cell>
        </row>
        <row r="458">
          <cell r="AO458">
            <v>9815.4400000000023</v>
          </cell>
        </row>
        <row r="459">
          <cell r="AO459">
            <v>53918.820000000065</v>
          </cell>
        </row>
        <row r="460">
          <cell r="AO460">
            <v>0</v>
          </cell>
        </row>
        <row r="461">
          <cell r="AO461">
            <v>0</v>
          </cell>
        </row>
        <row r="462">
          <cell r="AO462">
            <v>236583.18999999994</v>
          </cell>
        </row>
        <row r="464">
          <cell r="AO464">
            <v>72448.610000000044</v>
          </cell>
        </row>
        <row r="465">
          <cell r="AO465">
            <v>64218.91</v>
          </cell>
        </row>
        <row r="466">
          <cell r="AO466">
            <v>0</v>
          </cell>
        </row>
        <row r="467">
          <cell r="AO467">
            <v>164773.56000000006</v>
          </cell>
        </row>
        <row r="468">
          <cell r="AO468">
            <v>17210.259999999998</v>
          </cell>
        </row>
        <row r="469">
          <cell r="AO469">
            <v>4412.8600000000006</v>
          </cell>
        </row>
        <row r="470">
          <cell r="AO470">
            <v>21083.23000000001</v>
          </cell>
        </row>
        <row r="471">
          <cell r="AO471">
            <v>0</v>
          </cell>
        </row>
        <row r="472">
          <cell r="AO472">
            <v>30538.920000000013</v>
          </cell>
        </row>
        <row r="473">
          <cell r="AO473">
            <v>0</v>
          </cell>
        </row>
        <row r="474">
          <cell r="AO474">
            <v>1774964.3399999999</v>
          </cell>
        </row>
        <row r="475">
          <cell r="AO475">
            <v>0</v>
          </cell>
        </row>
        <row r="476">
          <cell r="AO476">
            <v>0</v>
          </cell>
        </row>
        <row r="477">
          <cell r="AO477">
            <v>0</v>
          </cell>
        </row>
        <row r="478">
          <cell r="AO478">
            <v>0</v>
          </cell>
        </row>
        <row r="479">
          <cell r="AO479">
            <v>0</v>
          </cell>
        </row>
        <row r="480">
          <cell r="AO480">
            <v>0</v>
          </cell>
        </row>
        <row r="481">
          <cell r="AO481">
            <v>0</v>
          </cell>
        </row>
        <row r="482">
          <cell r="AO482">
            <v>28032.829999999987</v>
          </cell>
        </row>
        <row r="483">
          <cell r="AO483">
            <v>341.66999999999962</v>
          </cell>
        </row>
        <row r="484">
          <cell r="AO484">
            <v>94854.12</v>
          </cell>
        </row>
        <row r="485">
          <cell r="AO485">
            <v>0</v>
          </cell>
        </row>
        <row r="486">
          <cell r="AO486">
            <v>6227.68</v>
          </cell>
        </row>
        <row r="488">
          <cell r="AO488">
            <v>0</v>
          </cell>
        </row>
        <row r="489">
          <cell r="AO489">
            <v>0</v>
          </cell>
        </row>
        <row r="490">
          <cell r="AO490">
            <v>0</v>
          </cell>
        </row>
        <row r="491">
          <cell r="AO491">
            <v>0</v>
          </cell>
        </row>
        <row r="492">
          <cell r="AO492">
            <v>0</v>
          </cell>
        </row>
        <row r="493">
          <cell r="AO493">
            <v>13623.200000000012</v>
          </cell>
        </row>
        <row r="494">
          <cell r="AO494">
            <v>0</v>
          </cell>
        </row>
        <row r="495">
          <cell r="AO495">
            <v>7988.9700000000012</v>
          </cell>
        </row>
        <row r="496">
          <cell r="AO496">
            <v>1872.8100000000013</v>
          </cell>
        </row>
        <row r="497">
          <cell r="AO497">
            <v>0</v>
          </cell>
        </row>
        <row r="498">
          <cell r="AO498">
            <v>152941.28000000049</v>
          </cell>
        </row>
        <row r="499">
          <cell r="AO499">
            <v>0</v>
          </cell>
        </row>
        <row r="500">
          <cell r="AO500">
            <v>0</v>
          </cell>
        </row>
        <row r="501">
          <cell r="AO501">
            <v>0</v>
          </cell>
        </row>
        <row r="502">
          <cell r="AO502">
            <v>0</v>
          </cell>
        </row>
        <row r="503">
          <cell r="AO503">
            <v>0</v>
          </cell>
        </row>
        <row r="504">
          <cell r="AO504">
            <v>0</v>
          </cell>
        </row>
        <row r="505">
          <cell r="AO505">
            <v>0</v>
          </cell>
        </row>
        <row r="506">
          <cell r="AO506">
            <v>0</v>
          </cell>
        </row>
        <row r="507">
          <cell r="AO507">
            <v>0</v>
          </cell>
        </row>
        <row r="508">
          <cell r="AO508">
            <v>0</v>
          </cell>
        </row>
        <row r="509">
          <cell r="AO509">
            <v>372572.92693304783</v>
          </cell>
        </row>
        <row r="510">
          <cell r="AO510">
            <v>372572.92693304783</v>
          </cell>
        </row>
        <row r="511">
          <cell r="AO511">
            <v>0</v>
          </cell>
        </row>
        <row r="512">
          <cell r="AO512">
            <v>2300478.5469330475</v>
          </cell>
        </row>
        <row r="513">
          <cell r="AO513">
            <v>0</v>
          </cell>
        </row>
        <row r="514">
          <cell r="AO514">
            <v>0</v>
          </cell>
        </row>
        <row r="515">
          <cell r="AO515">
            <v>59859.099999999977</v>
          </cell>
        </row>
        <row r="516">
          <cell r="AO516">
            <v>2177.29</v>
          </cell>
        </row>
        <row r="517">
          <cell r="AO517">
            <v>125.88999999999942</v>
          </cell>
        </row>
        <row r="520">
          <cell r="AO520">
            <v>6666.6699999999983</v>
          </cell>
        </row>
        <row r="521">
          <cell r="AO521">
            <v>117288.33999999985</v>
          </cell>
        </row>
        <row r="522">
          <cell r="AO522">
            <v>3110.42</v>
          </cell>
        </row>
        <row r="523">
          <cell r="AO523">
            <v>13075.75</v>
          </cell>
        </row>
        <row r="524">
          <cell r="AO524">
            <v>0</v>
          </cell>
        </row>
        <row r="525">
          <cell r="AO525">
            <v>0</v>
          </cell>
        </row>
        <row r="526">
          <cell r="AO526">
            <v>1244.17</v>
          </cell>
        </row>
        <row r="527">
          <cell r="AO527">
            <v>46793.77999999997</v>
          </cell>
        </row>
        <row r="528">
          <cell r="AO528">
            <v>1092.3500000000022</v>
          </cell>
        </row>
        <row r="529">
          <cell r="AO529">
            <v>7014.7199999999939</v>
          </cell>
        </row>
        <row r="531">
          <cell r="AO531">
            <v>0</v>
          </cell>
        </row>
        <row r="532">
          <cell r="AO532">
            <v>275711.62999999989</v>
          </cell>
        </row>
        <row r="533">
          <cell r="AO533">
            <v>0</v>
          </cell>
        </row>
        <row r="534">
          <cell r="AO534">
            <v>0</v>
          </cell>
        </row>
        <row r="535">
          <cell r="AO535">
            <v>0</v>
          </cell>
        </row>
        <row r="536">
          <cell r="AO536">
            <v>0</v>
          </cell>
        </row>
        <row r="537">
          <cell r="AO537">
            <v>0</v>
          </cell>
        </row>
        <row r="538">
          <cell r="AO538">
            <v>0</v>
          </cell>
        </row>
        <row r="539">
          <cell r="AO539">
            <v>0</v>
          </cell>
        </row>
        <row r="540">
          <cell r="AO540">
            <v>6143.0999999999985</v>
          </cell>
        </row>
        <row r="541">
          <cell r="AO541">
            <v>1066.4299999999994</v>
          </cell>
        </row>
        <row r="542">
          <cell r="AO542">
            <v>4691.0600000000049</v>
          </cell>
        </row>
        <row r="543">
          <cell r="AO543">
            <v>90</v>
          </cell>
        </row>
        <row r="544">
          <cell r="AO544">
            <v>0</v>
          </cell>
        </row>
        <row r="546">
          <cell r="AO546">
            <v>0</v>
          </cell>
        </row>
        <row r="547">
          <cell r="AO547">
            <v>0</v>
          </cell>
        </row>
        <row r="548">
          <cell r="AO548">
            <v>0</v>
          </cell>
        </row>
        <row r="549">
          <cell r="AO549">
            <v>0</v>
          </cell>
        </row>
        <row r="550">
          <cell r="AO550">
            <v>0</v>
          </cell>
        </row>
        <row r="552">
          <cell r="AO552">
            <v>6128</v>
          </cell>
        </row>
        <row r="553">
          <cell r="AO553">
            <v>1913.6599999999999</v>
          </cell>
        </row>
        <row r="555">
          <cell r="AO555">
            <v>0</v>
          </cell>
        </row>
        <row r="556">
          <cell r="AO556">
            <v>0</v>
          </cell>
        </row>
        <row r="557">
          <cell r="AO557">
            <v>0</v>
          </cell>
        </row>
        <row r="558">
          <cell r="AO558">
            <v>0</v>
          </cell>
        </row>
        <row r="559">
          <cell r="AO559">
            <v>0</v>
          </cell>
        </row>
        <row r="560">
          <cell r="AO560">
            <v>0</v>
          </cell>
        </row>
        <row r="561">
          <cell r="AO561">
            <v>0</v>
          </cell>
        </row>
        <row r="562">
          <cell r="AO562">
            <v>0</v>
          </cell>
        </row>
        <row r="563">
          <cell r="AO563">
            <v>0</v>
          </cell>
        </row>
        <row r="564">
          <cell r="AO564">
            <v>0</v>
          </cell>
        </row>
        <row r="565">
          <cell r="AO565">
            <v>0</v>
          </cell>
        </row>
        <row r="566">
          <cell r="AO566">
            <v>0</v>
          </cell>
        </row>
        <row r="567">
          <cell r="AO567">
            <v>0</v>
          </cell>
        </row>
        <row r="568">
          <cell r="AO568">
            <v>0</v>
          </cell>
        </row>
        <row r="569">
          <cell r="AO569">
            <v>0</v>
          </cell>
        </row>
        <row r="570">
          <cell r="AO570">
            <v>13853.330000000002</v>
          </cell>
        </row>
        <row r="571">
          <cell r="AO571">
            <v>40951.860000000015</v>
          </cell>
        </row>
        <row r="572">
          <cell r="AO572">
            <v>6128</v>
          </cell>
        </row>
        <row r="575">
          <cell r="AO575">
            <v>2022.3299999999981</v>
          </cell>
        </row>
        <row r="576">
          <cell r="AO576">
            <v>104855.60999999987</v>
          </cell>
        </row>
        <row r="578">
          <cell r="AO578">
            <v>77687.399999999994</v>
          </cell>
        </row>
        <row r="579">
          <cell r="AO579">
            <v>0</v>
          </cell>
        </row>
        <row r="580">
          <cell r="AO580">
            <v>240963.69363974</v>
          </cell>
        </row>
        <row r="581">
          <cell r="AO581">
            <v>0</v>
          </cell>
        </row>
        <row r="582">
          <cell r="AO582">
            <v>506494.47363973968</v>
          </cell>
        </row>
        <row r="583">
          <cell r="AO583">
            <v>0</v>
          </cell>
        </row>
        <row r="584">
          <cell r="AO584">
            <v>0</v>
          </cell>
        </row>
        <row r="585">
          <cell r="AO585">
            <v>81368.475433636282</v>
          </cell>
        </row>
        <row r="586">
          <cell r="AO586">
            <v>863574.57907337602</v>
          </cell>
        </row>
        <row r="587">
          <cell r="AO587">
            <v>0</v>
          </cell>
        </row>
        <row r="588">
          <cell r="AO588">
            <v>0</v>
          </cell>
        </row>
        <row r="589">
          <cell r="AO589">
            <v>0</v>
          </cell>
        </row>
        <row r="590">
          <cell r="AO590">
            <v>0</v>
          </cell>
        </row>
        <row r="591">
          <cell r="AO591">
            <v>88508.859999999986</v>
          </cell>
        </row>
        <row r="592">
          <cell r="AO592">
            <v>12441.68</v>
          </cell>
        </row>
        <row r="593">
          <cell r="AO593">
            <v>-53629.429999999993</v>
          </cell>
        </row>
        <row r="594">
          <cell r="AO594">
            <v>0</v>
          </cell>
        </row>
        <row r="595">
          <cell r="AO595">
            <v>35697.619999999981</v>
          </cell>
        </row>
        <row r="596">
          <cell r="AO596">
            <v>0</v>
          </cell>
        </row>
        <row r="597">
          <cell r="AO597">
            <v>11797.199999999997</v>
          </cell>
        </row>
        <row r="598">
          <cell r="AO598">
            <v>0</v>
          </cell>
        </row>
        <row r="599">
          <cell r="AO599">
            <v>6630.1299999999992</v>
          </cell>
        </row>
        <row r="600">
          <cell r="AO600">
            <v>0</v>
          </cell>
        </row>
        <row r="601">
          <cell r="AO601">
            <v>74478.689999999944</v>
          </cell>
        </row>
        <row r="602">
          <cell r="AO602">
            <v>4354.59</v>
          </cell>
        </row>
        <row r="605">
          <cell r="AO605">
            <v>55335.930000000051</v>
          </cell>
        </row>
        <row r="606">
          <cell r="AO606">
            <v>1555.21</v>
          </cell>
        </row>
        <row r="607">
          <cell r="AO607">
            <v>4625.2599999999984</v>
          </cell>
        </row>
        <row r="609">
          <cell r="AO609">
            <v>15764.540000000008</v>
          </cell>
        </row>
        <row r="610">
          <cell r="AO610">
            <v>4665.6299999999992</v>
          </cell>
        </row>
        <row r="612">
          <cell r="AO612">
            <v>123111.90000000002</v>
          </cell>
        </row>
        <row r="613">
          <cell r="AO613">
            <v>62126.910000000033</v>
          </cell>
        </row>
        <row r="614">
          <cell r="AO614">
            <v>10730.95</v>
          </cell>
        </row>
        <row r="616">
          <cell r="AO616">
            <v>248011.81000000006</v>
          </cell>
        </row>
        <row r="617">
          <cell r="AO617">
            <v>0</v>
          </cell>
        </row>
        <row r="618">
          <cell r="AO618">
            <v>0</v>
          </cell>
        </row>
        <row r="619">
          <cell r="AO619">
            <v>708712</v>
          </cell>
        </row>
        <row r="620">
          <cell r="AO620">
            <v>0</v>
          </cell>
        </row>
        <row r="621">
          <cell r="AO621">
            <v>71932.939999999944</v>
          </cell>
        </row>
        <row r="622">
          <cell r="AO622">
            <v>71932.939999999944</v>
          </cell>
        </row>
        <row r="623">
          <cell r="AO623">
            <v>0</v>
          </cell>
        </row>
        <row r="625">
          <cell r="AO625">
            <v>4477.07</v>
          </cell>
        </row>
        <row r="626">
          <cell r="AO626">
            <v>8224.0599999999977</v>
          </cell>
        </row>
        <row r="627">
          <cell r="AO627">
            <v>412.81999999999971</v>
          </cell>
        </row>
        <row r="628">
          <cell r="AO628">
            <v>0</v>
          </cell>
        </row>
        <row r="629">
          <cell r="AO629">
            <v>13113.950000000012</v>
          </cell>
        </row>
        <row r="630">
          <cell r="AO630">
            <v>0</v>
          </cell>
        </row>
        <row r="631">
          <cell r="AO631">
            <v>91581.09999999986</v>
          </cell>
        </row>
        <row r="632">
          <cell r="AO632">
            <v>6478.429999999993</v>
          </cell>
        </row>
        <row r="633">
          <cell r="AO633">
            <v>14126.630000000005</v>
          </cell>
        </row>
        <row r="634">
          <cell r="AO634">
            <v>6702.5199999999968</v>
          </cell>
        </row>
        <row r="635">
          <cell r="AO635">
            <v>193.23000000000002</v>
          </cell>
        </row>
        <row r="636">
          <cell r="AO636">
            <v>6682.1399999999994</v>
          </cell>
        </row>
        <row r="637">
          <cell r="AO637">
            <v>-2218.1899999999996</v>
          </cell>
        </row>
        <row r="638">
          <cell r="AO638">
            <v>11881.979999999981</v>
          </cell>
        </row>
        <row r="639">
          <cell r="AO639">
            <v>334.01999999999953</v>
          </cell>
        </row>
        <row r="640">
          <cell r="AO640">
            <v>434.06999999999971</v>
          </cell>
        </row>
        <row r="641">
          <cell r="AO641">
            <v>1784.1199999999953</v>
          </cell>
        </row>
        <row r="642">
          <cell r="AO642">
            <v>103.49000000000001</v>
          </cell>
        </row>
        <row r="643">
          <cell r="AO643">
            <v>216.78999999999996</v>
          </cell>
        </row>
        <row r="644">
          <cell r="AO644">
            <v>-4699.47</v>
          </cell>
        </row>
        <row r="645">
          <cell r="AO645">
            <v>11780.069999999992</v>
          </cell>
        </row>
        <row r="646">
          <cell r="AO646">
            <v>0</v>
          </cell>
        </row>
        <row r="647">
          <cell r="AO647">
            <v>3119.0799999999981</v>
          </cell>
        </row>
        <row r="648">
          <cell r="AO648">
            <v>0</v>
          </cell>
        </row>
        <row r="649">
          <cell r="AO649">
            <v>0</v>
          </cell>
        </row>
        <row r="650">
          <cell r="AO650">
            <v>1504278.6899999995</v>
          </cell>
        </row>
        <row r="651">
          <cell r="AO651">
            <v>100938.09999999986</v>
          </cell>
        </row>
        <row r="652">
          <cell r="AO652">
            <v>88532.190000000061</v>
          </cell>
        </row>
        <row r="653">
          <cell r="AO653">
            <v>122815.8600000001</v>
          </cell>
        </row>
        <row r="654">
          <cell r="AO654">
            <v>7414.929999999993</v>
          </cell>
        </row>
        <row r="655">
          <cell r="AO655">
            <v>85054.739999999991</v>
          </cell>
        </row>
        <row r="656">
          <cell r="AO656">
            <v>18765.49000000002</v>
          </cell>
        </row>
        <row r="657">
          <cell r="AO657">
            <v>0</v>
          </cell>
        </row>
        <row r="658">
          <cell r="AO658">
            <v>0</v>
          </cell>
        </row>
        <row r="659">
          <cell r="AO659">
            <v>0</v>
          </cell>
        </row>
        <row r="660">
          <cell r="AO660">
            <v>0</v>
          </cell>
        </row>
        <row r="661">
          <cell r="AO661">
            <v>0</v>
          </cell>
        </row>
        <row r="662">
          <cell r="AO662">
            <v>0</v>
          </cell>
        </row>
        <row r="663">
          <cell r="AO663">
            <v>25438.260000000009</v>
          </cell>
        </row>
        <row r="664">
          <cell r="AO664">
            <v>11523.169999999998</v>
          </cell>
        </row>
        <row r="665">
          <cell r="AO665">
            <v>10.889999999999986</v>
          </cell>
        </row>
        <row r="666">
          <cell r="AO666">
            <v>30839.190000000002</v>
          </cell>
        </row>
        <row r="667">
          <cell r="AO667">
            <v>0</v>
          </cell>
        </row>
        <row r="668">
          <cell r="AO668">
            <v>9341.2100000000064</v>
          </cell>
        </row>
        <row r="669">
          <cell r="AO669">
            <v>0</v>
          </cell>
        </row>
        <row r="670">
          <cell r="AO670">
            <v>-25438.260000000009</v>
          </cell>
        </row>
        <row r="671">
          <cell r="AO671">
            <v>-11523.169999999998</v>
          </cell>
        </row>
        <row r="672">
          <cell r="AO672">
            <v>-10.889999999999986</v>
          </cell>
        </row>
        <row r="673">
          <cell r="AO673">
            <v>-30839.190000000002</v>
          </cell>
        </row>
        <row r="674">
          <cell r="AO674">
            <v>0</v>
          </cell>
        </row>
        <row r="675">
          <cell r="AO675">
            <v>-9341.2100000000064</v>
          </cell>
        </row>
        <row r="676">
          <cell r="AO676">
            <v>-73.579999999999927</v>
          </cell>
        </row>
        <row r="677">
          <cell r="AO677">
            <v>0</v>
          </cell>
        </row>
        <row r="678">
          <cell r="AO678">
            <v>-1927798.7600000016</v>
          </cell>
        </row>
        <row r="679">
          <cell r="AO679">
            <v>0</v>
          </cell>
        </row>
        <row r="680">
          <cell r="AO680">
            <v>0</v>
          </cell>
        </row>
        <row r="681">
          <cell r="AO681">
            <v>0</v>
          </cell>
        </row>
        <row r="682">
          <cell r="AO682">
            <v>0</v>
          </cell>
        </row>
        <row r="683">
          <cell r="AO683">
            <v>0</v>
          </cell>
        </row>
        <row r="684">
          <cell r="AO684">
            <v>0</v>
          </cell>
        </row>
        <row r="685">
          <cell r="AO685">
            <v>3556.0200000000004</v>
          </cell>
        </row>
        <row r="686">
          <cell r="AO686">
            <v>0</v>
          </cell>
        </row>
        <row r="687">
          <cell r="AO687">
            <v>0</v>
          </cell>
        </row>
        <row r="688">
          <cell r="AO688">
            <v>0</v>
          </cell>
        </row>
        <row r="689">
          <cell r="AO689">
            <v>0</v>
          </cell>
        </row>
        <row r="690">
          <cell r="AO690">
            <v>0</v>
          </cell>
        </row>
        <row r="691">
          <cell r="AO691">
            <v>2630.5599999999995</v>
          </cell>
        </row>
        <row r="692">
          <cell r="AO692">
            <v>3369.8899999999994</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1">
          <cell r="AO701">
            <v>0</v>
          </cell>
        </row>
        <row r="702">
          <cell r="AO702">
            <v>0</v>
          </cell>
        </row>
        <row r="703">
          <cell r="AO703">
            <v>0</v>
          </cell>
        </row>
        <row r="705">
          <cell r="AO705">
            <v>589.63000000000011</v>
          </cell>
        </row>
        <row r="706">
          <cell r="AO706">
            <v>0</v>
          </cell>
        </row>
        <row r="707">
          <cell r="AO707">
            <v>25081.789999999979</v>
          </cell>
        </row>
        <row r="708">
          <cell r="AO708">
            <v>4812.5</v>
          </cell>
        </row>
        <row r="709">
          <cell r="AO709">
            <v>616.13000000000011</v>
          </cell>
        </row>
        <row r="710">
          <cell r="AO710">
            <v>0</v>
          </cell>
        </row>
        <row r="711">
          <cell r="AO711">
            <v>0</v>
          </cell>
        </row>
        <row r="712">
          <cell r="AO712">
            <v>0</v>
          </cell>
        </row>
        <row r="713">
          <cell r="AO713">
            <v>0</v>
          </cell>
        </row>
        <row r="714">
          <cell r="AO714">
            <v>189084.18999999436</v>
          </cell>
        </row>
        <row r="715">
          <cell r="AO715">
            <v>0</v>
          </cell>
        </row>
        <row r="716">
          <cell r="AO716">
            <v>0</v>
          </cell>
        </row>
        <row r="717">
          <cell r="AO717">
            <v>-514332.04983964097</v>
          </cell>
        </row>
        <row r="718">
          <cell r="AO718">
            <v>-514332.04983964097</v>
          </cell>
        </row>
        <row r="719">
          <cell r="AO719">
            <v>0</v>
          </cell>
        </row>
        <row r="720">
          <cell r="AO720">
            <v>0</v>
          </cell>
        </row>
        <row r="721">
          <cell r="AO721">
            <v>0</v>
          </cell>
        </row>
        <row r="722">
          <cell r="AO722">
            <v>0</v>
          </cell>
        </row>
        <row r="723">
          <cell r="AO723">
            <v>30109.690000000002</v>
          </cell>
        </row>
        <row r="724">
          <cell r="AO724">
            <v>19780.370000000003</v>
          </cell>
        </row>
        <row r="725">
          <cell r="AO725">
            <v>4603.8099999999995</v>
          </cell>
        </row>
        <row r="726">
          <cell r="AO726">
            <v>-25244.53</v>
          </cell>
        </row>
        <row r="727">
          <cell r="AO727">
            <v>0</v>
          </cell>
        </row>
        <row r="728">
          <cell r="AO728">
            <v>29249.340000000026</v>
          </cell>
        </row>
        <row r="729">
          <cell r="AO729">
            <v>0</v>
          </cell>
        </row>
        <row r="730">
          <cell r="AO730">
            <v>0</v>
          </cell>
        </row>
        <row r="731">
          <cell r="AO731">
            <v>0</v>
          </cell>
        </row>
        <row r="732">
          <cell r="AO732">
            <v>0</v>
          </cell>
        </row>
        <row r="733">
          <cell r="AO733">
            <v>497760.37016035337</v>
          </cell>
        </row>
        <row r="734">
          <cell r="AO734">
            <v>0</v>
          </cell>
        </row>
        <row r="735">
          <cell r="AO735">
            <v>0</v>
          </cell>
        </row>
        <row r="736">
          <cell r="AO736">
            <v>0</v>
          </cell>
        </row>
        <row r="737">
          <cell r="AO737">
            <v>0</v>
          </cell>
        </row>
        <row r="738">
          <cell r="AO738">
            <v>151269.3600000001</v>
          </cell>
        </row>
        <row r="739">
          <cell r="AO739">
            <v>3110.4199999999983</v>
          </cell>
        </row>
        <row r="740">
          <cell r="AO740">
            <v>-50630.030000000006</v>
          </cell>
        </row>
        <row r="741">
          <cell r="AO741">
            <v>0</v>
          </cell>
        </row>
        <row r="743">
          <cell r="AO743">
            <v>0</v>
          </cell>
        </row>
        <row r="744">
          <cell r="AO744">
            <v>0</v>
          </cell>
        </row>
        <row r="745">
          <cell r="AO745">
            <v>0</v>
          </cell>
        </row>
        <row r="746">
          <cell r="AO746">
            <v>0</v>
          </cell>
        </row>
        <row r="747">
          <cell r="AO747">
            <v>0</v>
          </cell>
        </row>
        <row r="748">
          <cell r="AO748">
            <v>26201.72</v>
          </cell>
        </row>
        <row r="749">
          <cell r="AO749">
            <v>19111.059999999998</v>
          </cell>
        </row>
        <row r="750">
          <cell r="AO750">
            <v>0</v>
          </cell>
        </row>
        <row r="751">
          <cell r="AO751">
            <v>0</v>
          </cell>
        </row>
        <row r="752">
          <cell r="AO752">
            <v>0</v>
          </cell>
        </row>
        <row r="753">
          <cell r="AO753">
            <v>14590.050000000017</v>
          </cell>
        </row>
        <row r="754">
          <cell r="AO754">
            <v>-14808.810000000001</v>
          </cell>
        </row>
        <row r="755">
          <cell r="AO755">
            <v>191419.26</v>
          </cell>
        </row>
        <row r="756">
          <cell r="AO756">
            <v>0</v>
          </cell>
        </row>
        <row r="760">
          <cell r="AO760">
            <v>0</v>
          </cell>
        </row>
        <row r="770">
          <cell r="AO770">
            <v>12033</v>
          </cell>
        </row>
        <row r="771">
          <cell r="AO771">
            <v>1561</v>
          </cell>
        </row>
        <row r="772">
          <cell r="AO772">
            <v>0</v>
          </cell>
        </row>
        <row r="773">
          <cell r="AO773">
            <v>9000</v>
          </cell>
        </row>
        <row r="774">
          <cell r="AO774">
            <v>198</v>
          </cell>
        </row>
        <row r="775">
          <cell r="AO775">
            <v>7000</v>
          </cell>
        </row>
        <row r="776">
          <cell r="AO776">
            <v>419.41999999999825</v>
          </cell>
        </row>
        <row r="777">
          <cell r="AO777">
            <v>9833</v>
          </cell>
        </row>
        <row r="778">
          <cell r="AO778">
            <v>941.36999999999898</v>
          </cell>
        </row>
        <row r="779">
          <cell r="AO779">
            <v>0</v>
          </cell>
        </row>
        <row r="780">
          <cell r="AO780">
            <v>0</v>
          </cell>
        </row>
        <row r="781">
          <cell r="AO781">
            <v>0</v>
          </cell>
        </row>
        <row r="782">
          <cell r="AO782">
            <v>1483.8500000000004</v>
          </cell>
        </row>
        <row r="783">
          <cell r="AO783">
            <v>0</v>
          </cell>
        </row>
        <row r="784">
          <cell r="AO784">
            <v>0</v>
          </cell>
        </row>
        <row r="785">
          <cell r="AO785">
            <v>0</v>
          </cell>
        </row>
        <row r="786">
          <cell r="AO786">
            <v>0</v>
          </cell>
        </row>
        <row r="787">
          <cell r="AO787">
            <v>0</v>
          </cell>
        </row>
        <row r="788">
          <cell r="AO788">
            <v>38073.160000000003</v>
          </cell>
        </row>
        <row r="789">
          <cell r="AO789">
            <v>11938.599999999999</v>
          </cell>
        </row>
        <row r="790">
          <cell r="AO790">
            <v>-87733.88</v>
          </cell>
        </row>
        <row r="791">
          <cell r="AO791">
            <v>8969.2799999999988</v>
          </cell>
        </row>
        <row r="792">
          <cell r="AO792">
            <v>4660.59</v>
          </cell>
        </row>
        <row r="793">
          <cell r="AO793">
            <v>0</v>
          </cell>
        </row>
        <row r="794">
          <cell r="AO794">
            <v>385675.12999999989</v>
          </cell>
        </row>
        <row r="795">
          <cell r="AO795">
            <v>0</v>
          </cell>
        </row>
        <row r="796">
          <cell r="AO796">
            <v>0</v>
          </cell>
        </row>
        <row r="797">
          <cell r="AO797">
            <v>0</v>
          </cell>
        </row>
        <row r="798">
          <cell r="AO798">
            <v>0</v>
          </cell>
        </row>
        <row r="799">
          <cell r="AO799">
            <v>0</v>
          </cell>
        </row>
        <row r="800">
          <cell r="AO800">
            <v>0</v>
          </cell>
        </row>
        <row r="801">
          <cell r="AO801">
            <v>0</v>
          </cell>
        </row>
        <row r="802">
          <cell r="AO802">
            <v>0</v>
          </cell>
        </row>
        <row r="803">
          <cell r="AO803">
            <v>0</v>
          </cell>
        </row>
        <row r="804">
          <cell r="AO804">
            <v>0</v>
          </cell>
        </row>
        <row r="805">
          <cell r="AO805">
            <v>208.76999999999953</v>
          </cell>
        </row>
        <row r="806">
          <cell r="AO806">
            <v>0</v>
          </cell>
        </row>
        <row r="807">
          <cell r="AO807">
            <v>0</v>
          </cell>
        </row>
        <row r="808">
          <cell r="AO808">
            <v>0</v>
          </cell>
        </row>
        <row r="809">
          <cell r="AO809">
            <v>0</v>
          </cell>
        </row>
        <row r="810">
          <cell r="AO810">
            <v>8536.4300000000076</v>
          </cell>
        </row>
        <row r="811">
          <cell r="AO811">
            <v>25914.039999999979</v>
          </cell>
        </row>
        <row r="813">
          <cell r="AO813">
            <v>19739.899999999994</v>
          </cell>
        </row>
        <row r="814">
          <cell r="AO814">
            <v>4374.2900000000009</v>
          </cell>
        </row>
        <row r="815">
          <cell r="AO815">
            <v>-2367.9500000000116</v>
          </cell>
        </row>
        <row r="816">
          <cell r="AO816">
            <v>6875.0000000000018</v>
          </cell>
        </row>
        <row r="817">
          <cell r="AO817">
            <v>0</v>
          </cell>
        </row>
        <row r="818">
          <cell r="AO818">
            <v>0</v>
          </cell>
        </row>
        <row r="819">
          <cell r="AO819">
            <v>1172.4899999999998</v>
          </cell>
        </row>
        <row r="820">
          <cell r="AO820">
            <v>500</v>
          </cell>
        </row>
        <row r="821">
          <cell r="AO821">
            <v>0</v>
          </cell>
        </row>
        <row r="822">
          <cell r="AO822">
            <v>0</v>
          </cell>
        </row>
        <row r="823">
          <cell r="AO823">
            <v>0</v>
          </cell>
        </row>
        <row r="824">
          <cell r="AO824">
            <v>0</v>
          </cell>
        </row>
        <row r="825">
          <cell r="AO825">
            <v>0</v>
          </cell>
        </row>
        <row r="826">
          <cell r="AO826">
            <v>0</v>
          </cell>
        </row>
        <row r="827">
          <cell r="AO827">
            <v>0</v>
          </cell>
        </row>
        <row r="830">
          <cell r="AO830">
            <v>0</v>
          </cell>
        </row>
        <row r="831">
          <cell r="AO831">
            <v>0</v>
          </cell>
        </row>
        <row r="837">
          <cell r="AO837">
            <v>18176.679999999993</v>
          </cell>
        </row>
        <row r="838">
          <cell r="AO838">
            <v>7707.77</v>
          </cell>
        </row>
        <row r="839">
          <cell r="AO839">
            <v>0</v>
          </cell>
        </row>
        <row r="840">
          <cell r="AO840">
            <v>0</v>
          </cell>
        </row>
        <row r="841">
          <cell r="AO841">
            <v>120</v>
          </cell>
        </row>
        <row r="842">
          <cell r="AO842">
            <v>72</v>
          </cell>
        </row>
        <row r="843">
          <cell r="AO843">
            <v>-16.919999999983702</v>
          </cell>
        </row>
        <row r="845">
          <cell r="AO845">
            <v>87.5</v>
          </cell>
        </row>
        <row r="846">
          <cell r="AO846">
            <v>1000</v>
          </cell>
        </row>
        <row r="847">
          <cell r="AO847">
            <v>0</v>
          </cell>
        </row>
        <row r="848">
          <cell r="AO848">
            <v>0</v>
          </cell>
        </row>
        <row r="849">
          <cell r="AO849">
            <v>0</v>
          </cell>
        </row>
        <row r="850">
          <cell r="AO850">
            <v>0</v>
          </cell>
        </row>
        <row r="851">
          <cell r="AO851">
            <v>0</v>
          </cell>
        </row>
        <row r="852">
          <cell r="AO852">
            <v>0</v>
          </cell>
        </row>
        <row r="853">
          <cell r="AO853">
            <v>0</v>
          </cell>
        </row>
        <row r="854">
          <cell r="AO854">
            <v>97579.64000000013</v>
          </cell>
        </row>
        <row r="855">
          <cell r="AO855">
            <v>0</v>
          </cell>
        </row>
        <row r="856">
          <cell r="AO856">
            <v>0</v>
          </cell>
        </row>
        <row r="857">
          <cell r="AO857">
            <v>0</v>
          </cell>
        </row>
        <row r="858">
          <cell r="AO858">
            <v>0</v>
          </cell>
        </row>
        <row r="859">
          <cell r="AO859">
            <v>0</v>
          </cell>
        </row>
        <row r="860">
          <cell r="AO860">
            <v>0</v>
          </cell>
        </row>
        <row r="861">
          <cell r="AO861">
            <v>60390.647472956218</v>
          </cell>
        </row>
        <row r="862">
          <cell r="AO862">
            <v>60390.647472956218</v>
          </cell>
        </row>
        <row r="863">
          <cell r="AO863">
            <v>0</v>
          </cell>
        </row>
        <row r="864">
          <cell r="AO864">
            <v>543645.4174729567</v>
          </cell>
        </row>
        <row r="865">
          <cell r="AO865">
            <v>0</v>
          </cell>
        </row>
        <row r="866">
          <cell r="AO866">
            <v>0</v>
          </cell>
        </row>
        <row r="867">
          <cell r="AO867">
            <v>0</v>
          </cell>
        </row>
        <row r="868">
          <cell r="AO868">
            <v>0</v>
          </cell>
        </row>
        <row r="869">
          <cell r="AO869">
            <v>-391559.97</v>
          </cell>
        </row>
        <row r="870">
          <cell r="AO870">
            <v>0</v>
          </cell>
        </row>
        <row r="871">
          <cell r="AO871">
            <v>0</v>
          </cell>
        </row>
        <row r="872">
          <cell r="AO872">
            <v>301471.49975420337</v>
          </cell>
        </row>
        <row r="873">
          <cell r="AO873">
            <v>-90088.470245796605</v>
          </cell>
        </row>
        <row r="874">
          <cell r="AO874">
            <v>0</v>
          </cell>
        </row>
        <row r="875">
          <cell r="AO875">
            <v>0</v>
          </cell>
        </row>
        <row r="876">
          <cell r="AO876">
            <v>1009.1100000000006</v>
          </cell>
        </row>
        <row r="877">
          <cell r="AO877">
            <v>444837.13529332879</v>
          </cell>
        </row>
        <row r="878">
          <cell r="AO878">
            <v>-35.839999999999996</v>
          </cell>
        </row>
        <row r="879">
          <cell r="AO879">
            <v>0</v>
          </cell>
        </row>
        <row r="880">
          <cell r="AO880">
            <v>4858.0800000000017</v>
          </cell>
        </row>
        <row r="882">
          <cell r="AO882">
            <v>0</v>
          </cell>
        </row>
      </sheetData>
      <sheetData sheetId="2"/>
      <sheetData sheetId="3"/>
      <sheetData sheetId="4">
        <row r="38">
          <cell r="D38">
            <v>-970892.97635819856</v>
          </cell>
        </row>
      </sheetData>
      <sheetData sheetId="5"/>
      <sheetData sheetId="6"/>
      <sheetData sheetId="7"/>
      <sheetData sheetId="8"/>
      <sheetData sheetId="9"/>
      <sheetData sheetId="10">
        <row r="74">
          <cell r="O74">
            <v>24353</v>
          </cell>
        </row>
      </sheetData>
      <sheetData sheetId="11"/>
      <sheetData sheetId="12">
        <row r="10">
          <cell r="Q10">
            <v>31701</v>
          </cell>
        </row>
      </sheetData>
      <sheetData sheetId="13"/>
      <sheetData sheetId="14"/>
      <sheetData sheetId="15"/>
      <sheetData sheetId="16">
        <row r="4">
          <cell r="C4" t="str">
            <v>As at December 31, 2020</v>
          </cell>
        </row>
      </sheetData>
      <sheetData sheetId="17"/>
      <sheetData sheetId="18"/>
      <sheetData sheetId="19"/>
      <sheetData sheetId="20">
        <row r="2">
          <cell r="B2" t="str">
            <v xml:space="preserve">Algosec Europe Ltd </v>
          </cell>
        </row>
      </sheetData>
      <sheetData sheetId="21"/>
      <sheetData sheetId="22"/>
      <sheetData sheetId="23"/>
      <sheetData sheetId="24"/>
      <sheetData sheetId="25">
        <row r="42">
          <cell r="D42">
            <v>1376676.07</v>
          </cell>
        </row>
      </sheetData>
      <sheetData sheetId="26">
        <row r="100">
          <cell r="J100">
            <v>-500516.13</v>
          </cell>
        </row>
      </sheetData>
      <sheetData sheetId="27"/>
      <sheetData sheetId="28">
        <row r="43">
          <cell r="D43">
            <v>-238905.73</v>
          </cell>
        </row>
      </sheetData>
      <sheetData sheetId="29"/>
      <sheetData sheetId="30"/>
      <sheetData sheetId="31">
        <row r="394">
          <cell r="J394">
            <v>179606.26</v>
          </cell>
        </row>
      </sheetData>
      <sheetData sheetId="32"/>
      <sheetData sheetId="33"/>
      <sheetData sheetId="34"/>
      <sheetData sheetId="35"/>
      <sheetData sheetId="36"/>
      <sheetData sheetId="37">
        <row r="1">
          <cell r="C1"/>
          <cell r="D1"/>
        </row>
        <row r="2">
          <cell r="C2"/>
          <cell r="D2"/>
        </row>
        <row r="3">
          <cell r="C3"/>
          <cell r="D3"/>
        </row>
        <row r="4">
          <cell r="C4"/>
          <cell r="D4"/>
        </row>
        <row r="5">
          <cell r="C5"/>
          <cell r="D5"/>
        </row>
        <row r="6">
          <cell r="D6"/>
        </row>
        <row r="7">
          <cell r="C7"/>
          <cell r="D7"/>
        </row>
        <row r="8">
          <cell r="C8"/>
          <cell r="D8" t="str">
            <v>Cash &amp; Cash Equivalents</v>
          </cell>
        </row>
        <row r="9">
          <cell r="C9">
            <v>1000001</v>
          </cell>
          <cell r="D9" t="str">
            <v>JPM EUR</v>
          </cell>
        </row>
        <row r="10">
          <cell r="C10"/>
          <cell r="D10" t="str">
            <v>סה"כ מזומנים ביורו</v>
          </cell>
        </row>
        <row r="11">
          <cell r="C11"/>
          <cell r="D11"/>
        </row>
        <row r="12">
          <cell r="C12"/>
        </row>
        <row r="13">
          <cell r="C13"/>
          <cell r="D13"/>
        </row>
        <row r="14">
          <cell r="C14"/>
          <cell r="D14" t="str">
            <v>סה"כ פקדונות ביורו</v>
          </cell>
        </row>
        <row r="15">
          <cell r="C15"/>
          <cell r="D15"/>
        </row>
        <row r="16">
          <cell r="C16"/>
          <cell r="D16"/>
        </row>
        <row r="17">
          <cell r="C17"/>
          <cell r="D17" t="str">
            <v>סה"כ מזומנים במט"ח</v>
          </cell>
        </row>
        <row r="18">
          <cell r="C18"/>
          <cell r="D18"/>
        </row>
        <row r="19">
          <cell r="C19"/>
          <cell r="D19"/>
        </row>
        <row r="20">
          <cell r="C20"/>
          <cell r="D20"/>
        </row>
        <row r="21">
          <cell r="C21"/>
          <cell r="D21" t="str">
            <v>סה"כ פקדונות במט"ח</v>
          </cell>
        </row>
        <row r="22">
          <cell r="C22"/>
          <cell r="D22"/>
        </row>
        <row r="23">
          <cell r="C23"/>
          <cell r="D23"/>
        </row>
        <row r="24">
          <cell r="C24"/>
          <cell r="D24"/>
        </row>
        <row r="25">
          <cell r="C25"/>
          <cell r="D25"/>
        </row>
        <row r="26">
          <cell r="C26"/>
          <cell r="D26"/>
        </row>
        <row r="27">
          <cell r="C27"/>
          <cell r="D27" t="str">
            <v>סה"כ קופות קטנות</v>
          </cell>
        </row>
        <row r="28">
          <cell r="C28"/>
          <cell r="D28"/>
        </row>
        <row r="29">
          <cell r="C29"/>
          <cell r="D29" t="str">
            <v>סה"כ מזומנים</v>
          </cell>
        </row>
        <row r="30">
          <cell r="C30"/>
          <cell r="D30"/>
        </row>
        <row r="31">
          <cell r="C31"/>
          <cell r="D31" t="str">
            <v>לקוחות</v>
          </cell>
        </row>
        <row r="32">
          <cell r="C32"/>
          <cell r="D32"/>
        </row>
        <row r="33">
          <cell r="C33">
            <v>201697</v>
          </cell>
          <cell r="D33" t="str">
            <v>Capgemini Technology Services</v>
          </cell>
        </row>
        <row r="34">
          <cell r="C34">
            <v>204731</v>
          </cell>
          <cell r="D34" t="str">
            <v>Insight Technology Solutions SAS</v>
          </cell>
        </row>
        <row r="35">
          <cell r="C35">
            <v>204940</v>
          </cell>
          <cell r="D35" t="str">
            <v>I-TRACING</v>
          </cell>
        </row>
        <row r="36">
          <cell r="C36">
            <v>225489</v>
          </cell>
          <cell r="D36" t="str">
            <v>SHI International SAS</v>
          </cell>
        </row>
        <row r="37">
          <cell r="C37">
            <v>214943</v>
          </cell>
          <cell r="D37" t="str">
            <v>INTERDATA</v>
          </cell>
        </row>
        <row r="38">
          <cell r="C38">
            <v>203414</v>
          </cell>
          <cell r="D38" t="str">
            <v>Exaprobe</v>
          </cell>
        </row>
        <row r="39">
          <cell r="C39">
            <v>214595</v>
          </cell>
          <cell r="D39" t="str">
            <v>Orange Cyberdefense S.A.S.</v>
          </cell>
        </row>
        <row r="40">
          <cell r="C40"/>
          <cell r="D40" t="str">
            <v>Clients</v>
          </cell>
        </row>
        <row r="41">
          <cell r="C41"/>
          <cell r="D41"/>
        </row>
        <row r="42">
          <cell r="C42"/>
          <cell r="D42" t="str">
            <v>Accounts receivable and debit balances</v>
          </cell>
        </row>
        <row r="43">
          <cell r="C43"/>
          <cell r="D43" t="str">
            <v>Government Institutions</v>
          </cell>
        </row>
        <row r="44">
          <cell r="C44"/>
          <cell r="D44"/>
        </row>
        <row r="45">
          <cell r="C45"/>
          <cell r="D45"/>
        </row>
        <row r="46">
          <cell r="C46"/>
          <cell r="D46"/>
        </row>
        <row r="47">
          <cell r="C47"/>
          <cell r="D47" t="str">
            <v>IC</v>
          </cell>
        </row>
        <row r="50">
          <cell r="C50"/>
          <cell r="D50"/>
        </row>
        <row r="51">
          <cell r="C51"/>
          <cell r="D51" t="str">
            <v>מסים נדחים זמן קצר</v>
          </cell>
        </row>
        <row r="52">
          <cell r="C52"/>
          <cell r="D52"/>
        </row>
        <row r="53">
          <cell r="C53"/>
          <cell r="D53"/>
        </row>
        <row r="54">
          <cell r="C54"/>
          <cell r="D54" t="str">
            <v>הוצאות מראש והכנסות לקבל</v>
          </cell>
        </row>
        <row r="55">
          <cell r="C55"/>
          <cell r="D55"/>
        </row>
        <row r="56">
          <cell r="C56">
            <v>1100999</v>
          </cell>
          <cell r="D56" t="str">
            <v>Prepaid Expenses TP IC</v>
          </cell>
        </row>
        <row r="57">
          <cell r="C57">
            <v>1100001</v>
          </cell>
          <cell r="D57" t="str">
            <v>הוצאות מראש</v>
          </cell>
        </row>
        <row r="58">
          <cell r="C58"/>
          <cell r="D58"/>
        </row>
        <row r="59">
          <cell r="C59"/>
          <cell r="D59" t="str">
            <v>פקדונות לזמן ארוך</v>
          </cell>
        </row>
        <row r="60">
          <cell r="C60"/>
          <cell r="D60"/>
        </row>
        <row r="61">
          <cell r="C61"/>
          <cell r="D61"/>
        </row>
        <row r="62">
          <cell r="C62"/>
          <cell r="D62"/>
        </row>
        <row r="63">
          <cell r="C63"/>
          <cell r="D63"/>
        </row>
        <row r="64">
          <cell r="C64"/>
        </row>
        <row r="65">
          <cell r="C65"/>
          <cell r="D65" t="str">
            <v>Total</v>
          </cell>
        </row>
        <row r="66">
          <cell r="C66"/>
        </row>
        <row r="67">
          <cell r="C67"/>
          <cell r="D67" t="str">
            <v>Fixed assets</v>
          </cell>
        </row>
        <row r="68">
          <cell r="C68"/>
          <cell r="D68" t="str">
            <v>Cost</v>
          </cell>
        </row>
        <row r="69">
          <cell r="C69"/>
          <cell r="D69"/>
        </row>
        <row r="70">
          <cell r="C70"/>
          <cell r="D70"/>
        </row>
        <row r="71">
          <cell r="C71"/>
          <cell r="D71" t="str">
            <v>סה"כ עלות</v>
          </cell>
        </row>
        <row r="72">
          <cell r="C72"/>
          <cell r="D72" t="str">
            <v>פחת נצבר</v>
          </cell>
        </row>
        <row r="73">
          <cell r="C73"/>
          <cell r="D73"/>
        </row>
        <row r="74">
          <cell r="C74"/>
          <cell r="D74"/>
        </row>
        <row r="75">
          <cell r="C75"/>
          <cell r="D75" t="str">
            <v>סך הכל פחת נצבר</v>
          </cell>
        </row>
        <row r="76">
          <cell r="C76"/>
          <cell r="D76"/>
        </row>
        <row r="77">
          <cell r="C77"/>
          <cell r="D77" t="str">
            <v>סך הכל רכוש קבוע</v>
          </cell>
        </row>
        <row r="78">
          <cell r="C78"/>
          <cell r="D78"/>
        </row>
        <row r="79">
          <cell r="C79"/>
          <cell r="D79" t="str">
            <v>רכוש אחר</v>
          </cell>
        </row>
        <row r="80">
          <cell r="C80"/>
        </row>
        <row r="81">
          <cell r="C81">
            <v>1610097</v>
          </cell>
          <cell r="D81" t="str">
            <v>Prepaid Expenses TP LT</v>
          </cell>
        </row>
        <row r="82">
          <cell r="C82"/>
          <cell r="D82"/>
        </row>
        <row r="83">
          <cell r="C83"/>
          <cell r="D83" t="str">
            <v>סך הכל רכוש אחר</v>
          </cell>
        </row>
        <row r="84">
          <cell r="C84"/>
        </row>
        <row r="85">
          <cell r="C85"/>
          <cell r="D85" t="str">
            <v>סך הכל נכסים</v>
          </cell>
        </row>
        <row r="86">
          <cell r="C86"/>
        </row>
        <row r="87">
          <cell r="C87"/>
          <cell r="D87" t="str">
            <v>אשראי מתאגידים בנקאיים</v>
          </cell>
        </row>
        <row r="88">
          <cell r="C88"/>
          <cell r="D88" t="str">
            <v>משיכות יתר</v>
          </cell>
        </row>
        <row r="89">
          <cell r="C89"/>
        </row>
        <row r="90">
          <cell r="C90"/>
          <cell r="D90" t="str">
            <v>סך הכל משיכות יתר</v>
          </cell>
        </row>
        <row r="91">
          <cell r="C91"/>
        </row>
        <row r="92">
          <cell r="C92"/>
          <cell r="D92" t="str">
            <v>ספקים ונותני שרותים</v>
          </cell>
        </row>
        <row r="93">
          <cell r="C93"/>
          <cell r="D93"/>
        </row>
        <row r="94">
          <cell r="C94">
            <v>2110002</v>
          </cell>
          <cell r="D94" t="str">
            <v>NLE-Accounting</v>
          </cell>
        </row>
        <row r="95">
          <cell r="C95">
            <v>2110003</v>
          </cell>
          <cell r="D95" t="str">
            <v>Servyr</v>
          </cell>
        </row>
        <row r="96">
          <cell r="C96"/>
          <cell r="D96"/>
        </row>
        <row r="97">
          <cell r="C97"/>
          <cell r="D97" t="str">
            <v>Suppliers</v>
          </cell>
        </row>
        <row r="98">
          <cell r="C98"/>
          <cell r="D98" t="str">
            <v>Government Institutions</v>
          </cell>
        </row>
        <row r="99">
          <cell r="C99">
            <v>2500001</v>
          </cell>
          <cell r="D99" t="str">
            <v>מע"מ תשומות</v>
          </cell>
        </row>
        <row r="100">
          <cell r="C100">
            <v>2500005</v>
          </cell>
          <cell r="D100" t="str">
            <v>מע"מ חו"ז TVA</v>
          </cell>
        </row>
        <row r="101">
          <cell r="C101">
            <v>2500004</v>
          </cell>
          <cell r="D101" t="str">
            <v>מע"מ לא לקיזוז</v>
          </cell>
        </row>
        <row r="102">
          <cell r="C102">
            <v>2500003</v>
          </cell>
          <cell r="D102" t="str">
            <v>מע"מ עסקאות מדווחות</v>
          </cell>
        </row>
        <row r="103">
          <cell r="C103">
            <v>2500002</v>
          </cell>
          <cell r="D103" t="str">
            <v>מע"מ עסקאות</v>
          </cell>
        </row>
        <row r="104">
          <cell r="C104"/>
          <cell r="D104"/>
        </row>
        <row r="105">
          <cell r="C105"/>
          <cell r="D105" t="str">
            <v>סה"כ מוסדות</v>
          </cell>
        </row>
        <row r="106">
          <cell r="C106"/>
          <cell r="D106"/>
        </row>
        <row r="107">
          <cell r="C107"/>
          <cell r="D107"/>
        </row>
        <row r="108">
          <cell r="C108"/>
          <cell r="D108"/>
        </row>
        <row r="109">
          <cell r="C109"/>
          <cell r="D109"/>
        </row>
        <row r="110">
          <cell r="C110"/>
          <cell r="D110"/>
        </row>
        <row r="111">
          <cell r="C111"/>
          <cell r="D111"/>
        </row>
        <row r="112">
          <cell r="C112"/>
          <cell r="D112"/>
        </row>
        <row r="113">
          <cell r="C113"/>
          <cell r="D113"/>
        </row>
        <row r="114">
          <cell r="C114"/>
          <cell r="D114" t="str">
            <v>Employees</v>
          </cell>
        </row>
        <row r="115">
          <cell r="C115">
            <v>2400210</v>
          </cell>
          <cell r="D115" t="str">
            <v>URSSAF DU BAS RHIN</v>
          </cell>
        </row>
        <row r="116">
          <cell r="C116">
            <v>2400211</v>
          </cell>
          <cell r="D116" t="str">
            <v>HUMANIS - Retraite</v>
          </cell>
        </row>
        <row r="117">
          <cell r="C117">
            <v>2400212</v>
          </cell>
          <cell r="D117" t="str">
            <v>Formation continue</v>
          </cell>
        </row>
        <row r="118">
          <cell r="C118">
            <v>2400213</v>
          </cell>
          <cell r="D118" t="str">
            <v>Taxe apprentissage</v>
          </cell>
        </row>
        <row r="119">
          <cell r="C119">
            <v>2400214</v>
          </cell>
          <cell r="D119" t="str">
            <v>AXA - Health insuranse-Provident</v>
          </cell>
        </row>
        <row r="120">
          <cell r="C120">
            <v>2400217</v>
          </cell>
          <cell r="D120" t="str">
            <v>ADESATT</v>
          </cell>
        </row>
        <row r="121">
          <cell r="C121">
            <v>2400216</v>
          </cell>
          <cell r="D121" t="str">
            <v>Income Tax-DGFIP FRANCE</v>
          </cell>
        </row>
        <row r="122">
          <cell r="C122">
            <v>2400201</v>
          </cell>
          <cell r="D122" t="str">
            <v>Olievier Samson</v>
          </cell>
        </row>
        <row r="123">
          <cell r="C123">
            <v>2400202</v>
          </cell>
          <cell r="D123" t="str">
            <v>Marc Henri GUY</v>
          </cell>
        </row>
        <row r="124">
          <cell r="C124">
            <v>2400203</v>
          </cell>
          <cell r="D124" t="str">
            <v>Laurent Laporte</v>
          </cell>
        </row>
        <row r="125">
          <cell r="C125">
            <v>2400204</v>
          </cell>
          <cell r="D125" t="str">
            <v>Antonio Padila</v>
          </cell>
        </row>
        <row r="126">
          <cell r="C126">
            <v>2400205</v>
          </cell>
          <cell r="D126" t="str">
            <v>Bruno Masson</v>
          </cell>
        </row>
        <row r="127">
          <cell r="C127">
            <v>2400206</v>
          </cell>
          <cell r="D127" t="str">
            <v>Delisle Edouard</v>
          </cell>
        </row>
        <row r="128">
          <cell r="C128">
            <v>2420001</v>
          </cell>
          <cell r="D128" t="str">
            <v>עתודה לחופשה</v>
          </cell>
        </row>
        <row r="129">
          <cell r="C129">
            <v>2400001</v>
          </cell>
          <cell r="D129" t="str">
            <v>Accrued expenses Employees</v>
          </cell>
        </row>
        <row r="130">
          <cell r="C130"/>
          <cell r="D130"/>
        </row>
        <row r="131">
          <cell r="C131"/>
          <cell r="D131"/>
        </row>
        <row r="132">
          <cell r="C132"/>
          <cell r="D132" t="str">
            <v xml:space="preserve"> Other liabilities</v>
          </cell>
        </row>
        <row r="133">
          <cell r="C133">
            <v>2200001</v>
          </cell>
          <cell r="D133" t="str">
            <v>Accrued expenses</v>
          </cell>
        </row>
        <row r="134">
          <cell r="C134"/>
          <cell r="D134"/>
        </row>
        <row r="135">
          <cell r="C135"/>
          <cell r="D135" t="str">
            <v xml:space="preserve"> Other liabilities</v>
          </cell>
        </row>
        <row r="136">
          <cell r="C136">
            <v>53580</v>
          </cell>
          <cell r="D136" t="str">
            <v>הכנסות מראש SUBSCRIPTION חייבות-חדש</v>
          </cell>
        </row>
        <row r="137">
          <cell r="C137">
            <v>53501</v>
          </cell>
          <cell r="D137" t="str">
            <v>הכנסות מראש חייבות מעמ אירו</v>
          </cell>
        </row>
        <row r="138">
          <cell r="C138" t="str">
            <v>53500-1</v>
          </cell>
          <cell r="D138" t="str">
            <v>הכנסות מראש לצורך מאזן בלבד</v>
          </cell>
        </row>
        <row r="139">
          <cell r="C139">
            <v>53516</v>
          </cell>
          <cell r="D139" t="str">
            <v>הכנסות מראש חומרה- APPLIANCE חייבות</v>
          </cell>
        </row>
        <row r="140">
          <cell r="C140"/>
          <cell r="D140"/>
        </row>
        <row r="141">
          <cell r="C141"/>
          <cell r="D141"/>
        </row>
        <row r="142">
          <cell r="C142"/>
          <cell r="D142" t="str">
            <v>סה"כ זכאים ויתרות זכות</v>
          </cell>
        </row>
        <row r="143">
          <cell r="C143"/>
          <cell r="D143"/>
        </row>
        <row r="144">
          <cell r="C144">
            <v>2610001</v>
          </cell>
          <cell r="D144" t="str">
            <v>הכנסות מראש זמן ארוך</v>
          </cell>
        </row>
        <row r="145">
          <cell r="C145"/>
          <cell r="D145"/>
        </row>
        <row r="146">
          <cell r="C146"/>
          <cell r="D146"/>
        </row>
        <row r="147">
          <cell r="C147"/>
          <cell r="D147" t="str">
            <v>יתרות בינחברתיות</v>
          </cell>
        </row>
        <row r="148">
          <cell r="C148"/>
          <cell r="D148"/>
        </row>
        <row r="149">
          <cell r="C149">
            <v>1130010</v>
          </cell>
          <cell r="D149" t="str">
            <v>אלגוסק אירופה</v>
          </cell>
        </row>
        <row r="150">
          <cell r="C150">
            <v>1130013</v>
          </cell>
          <cell r="D150" t="str">
            <v>Algosec Inc</v>
          </cell>
        </row>
        <row r="151">
          <cell r="C151">
            <v>1130008</v>
          </cell>
          <cell r="D151" t="str">
            <v>אלגוסק ישראל</v>
          </cell>
        </row>
        <row r="152">
          <cell r="C152"/>
          <cell r="D152" t="str">
            <v>Intercompany</v>
          </cell>
        </row>
        <row r="153">
          <cell r="C153"/>
          <cell r="D153" t="str">
            <v>Share holders' equity</v>
          </cell>
        </row>
        <row r="154">
          <cell r="C154"/>
          <cell r="D154"/>
        </row>
        <row r="155">
          <cell r="C155">
            <v>3000001</v>
          </cell>
          <cell r="D155" t="str">
            <v>הון המניות</v>
          </cell>
        </row>
        <row r="156">
          <cell r="C156"/>
          <cell r="D156"/>
        </row>
        <row r="157">
          <cell r="C157"/>
          <cell r="D157"/>
        </row>
        <row r="158">
          <cell r="C158"/>
          <cell r="D158"/>
        </row>
        <row r="159">
          <cell r="C159"/>
          <cell r="D159" t="str">
            <v>סה"כ התחייבויות והון</v>
          </cell>
        </row>
        <row r="160">
          <cell r="C160"/>
          <cell r="D160"/>
        </row>
        <row r="161">
          <cell r="C161"/>
          <cell r="D161"/>
        </row>
        <row r="162">
          <cell r="C162"/>
          <cell r="D162"/>
        </row>
        <row r="163">
          <cell r="C163"/>
          <cell r="D163" t="str">
            <v>P&amp;L</v>
          </cell>
        </row>
        <row r="164">
          <cell r="C164"/>
          <cell r="D164" t="str">
            <v>Income</v>
          </cell>
        </row>
        <row r="165">
          <cell r="C165"/>
          <cell r="D165"/>
        </row>
        <row r="166">
          <cell r="C166"/>
          <cell r="D166" t="str">
            <v>Perpetual</v>
          </cell>
        </row>
        <row r="167">
          <cell r="C167">
            <v>80001</v>
          </cell>
          <cell r="D167" t="str">
            <v>הכנסות חייבות ממוצרים</v>
          </cell>
        </row>
        <row r="168">
          <cell r="C168"/>
          <cell r="D168" t="str">
            <v>Appliance</v>
          </cell>
        </row>
        <row r="169">
          <cell r="C169">
            <v>80002</v>
          </cell>
          <cell r="D169" t="str">
            <v>הכנסות חייבות חומרה</v>
          </cell>
        </row>
        <row r="170">
          <cell r="C170"/>
          <cell r="D170" t="str">
            <v>Maintenance (Due perpetual)</v>
          </cell>
        </row>
        <row r="171">
          <cell r="C171">
            <v>80060</v>
          </cell>
          <cell r="D171" t="str">
            <v>הכנסות תחזוקה חייבות מעמ EUR (מועבר מהכ.מראש)</v>
          </cell>
        </row>
        <row r="172">
          <cell r="C172">
            <v>80065</v>
          </cell>
          <cell r="D172" t="str">
            <v>הכנסות תחזוקה חומרה חייבות</v>
          </cell>
        </row>
        <row r="173">
          <cell r="C173"/>
          <cell r="D173" t="str">
            <v>Subscription</v>
          </cell>
        </row>
        <row r="174">
          <cell r="C174">
            <v>80081</v>
          </cell>
          <cell r="D174" t="str">
            <v>הכנסות תמיכה Subscription חייבות</v>
          </cell>
        </row>
        <row r="175">
          <cell r="C175">
            <v>80071</v>
          </cell>
          <cell r="D175" t="str">
            <v>הכנסות מוצר Subscription חייבות</v>
          </cell>
        </row>
        <row r="176">
          <cell r="C176"/>
          <cell r="D176"/>
        </row>
        <row r="177">
          <cell r="C177"/>
          <cell r="D177"/>
        </row>
        <row r="178">
          <cell r="C178"/>
          <cell r="D178" t="str">
            <v>סה"כ הכנסות</v>
          </cell>
        </row>
        <row r="179">
          <cell r="C179"/>
          <cell r="D179"/>
        </row>
        <row r="180">
          <cell r="C180"/>
          <cell r="D180" t="str">
            <v>COGS</v>
          </cell>
        </row>
        <row r="181">
          <cell r="C181"/>
          <cell r="D181"/>
        </row>
        <row r="182">
          <cell r="C182"/>
          <cell r="D182" t="str">
            <v>שכר</v>
          </cell>
        </row>
        <row r="183">
          <cell r="C183">
            <v>5200001</v>
          </cell>
          <cell r="D183" t="str">
            <v>שכר עבודה Delivery</v>
          </cell>
        </row>
        <row r="184">
          <cell r="C184">
            <v>5200003</v>
          </cell>
          <cell r="D184" t="str">
            <v>בונוס Delivery MBO</v>
          </cell>
        </row>
        <row r="185">
          <cell r="C185">
            <v>5200011</v>
          </cell>
          <cell r="D185" t="str">
            <v>הפרשה להוצאות סוציאליות Delivery</v>
          </cell>
        </row>
        <row r="186">
          <cell r="C186"/>
          <cell r="D186"/>
        </row>
        <row r="187">
          <cell r="C187"/>
          <cell r="D187" t="str">
            <v>ישירות</v>
          </cell>
        </row>
        <row r="188">
          <cell r="C188">
            <v>5200029</v>
          </cell>
          <cell r="D188" t="str">
            <v>הוצאות עובדים צרפת DELIVERY</v>
          </cell>
        </row>
        <row r="189">
          <cell r="C189"/>
          <cell r="D189"/>
        </row>
        <row r="190">
          <cell r="C190"/>
          <cell r="D190" t="str">
            <v>אחרות</v>
          </cell>
        </row>
        <row r="191">
          <cell r="C191">
            <v>5100012</v>
          </cell>
          <cell r="D191" t="str">
            <v>Share-Based Payment FAS123 - TS</v>
          </cell>
        </row>
        <row r="192">
          <cell r="C192"/>
          <cell r="D192"/>
        </row>
        <row r="193">
          <cell r="C193"/>
          <cell r="D193"/>
        </row>
        <row r="194">
          <cell r="C194">
            <v>5900001</v>
          </cell>
          <cell r="D194" t="str">
            <v>Transfer Pricing per IC Agreeme-Cost of sales</v>
          </cell>
        </row>
        <row r="195">
          <cell r="C195"/>
          <cell r="D195"/>
        </row>
        <row r="196">
          <cell r="C196"/>
          <cell r="D196" t="str">
            <v>סה"כ עלות המכר</v>
          </cell>
        </row>
        <row r="197">
          <cell r="C197"/>
          <cell r="D197"/>
        </row>
        <row r="198">
          <cell r="C198"/>
          <cell r="D198" t="str">
            <v>General &amp; administrative expenses</v>
          </cell>
        </row>
        <row r="199">
          <cell r="C199"/>
          <cell r="D199" t="str">
            <v>Salaries expenses</v>
          </cell>
        </row>
        <row r="200">
          <cell r="C200"/>
          <cell r="D200"/>
        </row>
        <row r="201">
          <cell r="C201"/>
          <cell r="D201"/>
        </row>
        <row r="202">
          <cell r="C202"/>
          <cell r="D202"/>
        </row>
        <row r="203">
          <cell r="C203"/>
          <cell r="D203"/>
        </row>
        <row r="204">
          <cell r="C204"/>
          <cell r="D204" t="str">
            <v>Depreciation</v>
          </cell>
        </row>
        <row r="205">
          <cell r="C205"/>
          <cell r="D205"/>
        </row>
        <row r="206">
          <cell r="C206"/>
          <cell r="D206"/>
        </row>
        <row r="207">
          <cell r="C207"/>
          <cell r="D207" t="str">
            <v>Professional Expenses</v>
          </cell>
        </row>
        <row r="208">
          <cell r="C208">
            <v>8020013</v>
          </cell>
          <cell r="D208" t="str">
            <v>יעוץ הנה"כ</v>
          </cell>
        </row>
        <row r="209">
          <cell r="C209">
            <v>8410070</v>
          </cell>
          <cell r="D209" t="str">
            <v>משפטיות</v>
          </cell>
        </row>
        <row r="210">
          <cell r="C210">
            <v>8410069</v>
          </cell>
          <cell r="D210" t="str">
            <v>יעוץ הנה"כ , שירותי הנה"ח</v>
          </cell>
        </row>
        <row r="211">
          <cell r="C211"/>
          <cell r="D211"/>
        </row>
        <row r="212">
          <cell r="C212"/>
          <cell r="D212" t="str">
            <v>Over head expenses</v>
          </cell>
        </row>
        <row r="213">
          <cell r="C213">
            <v>8410066</v>
          </cell>
          <cell r="D213" t="str">
            <v>Insurance Expense</v>
          </cell>
        </row>
        <row r="214">
          <cell r="C214"/>
          <cell r="D214"/>
        </row>
        <row r="215">
          <cell r="C215"/>
          <cell r="D215" t="str">
            <v>כלליות</v>
          </cell>
        </row>
        <row r="216">
          <cell r="C216"/>
          <cell r="D216"/>
        </row>
        <row r="217">
          <cell r="C217"/>
          <cell r="D217"/>
        </row>
        <row r="218">
          <cell r="C218"/>
          <cell r="D218" t="str">
            <v>סה"כ הוצאות הנהלה וכלליות</v>
          </cell>
        </row>
        <row r="219">
          <cell r="C219"/>
          <cell r="D219"/>
        </row>
        <row r="220">
          <cell r="C220"/>
          <cell r="D220" t="str">
            <v>S&amp;M</v>
          </cell>
        </row>
        <row r="221">
          <cell r="C221"/>
          <cell r="D221"/>
        </row>
        <row r="222">
          <cell r="C222"/>
          <cell r="D222"/>
        </row>
        <row r="223">
          <cell r="C223"/>
          <cell r="D223" t="str">
            <v>Sales</v>
          </cell>
        </row>
        <row r="224">
          <cell r="C224"/>
          <cell r="D224"/>
        </row>
        <row r="225">
          <cell r="C225"/>
          <cell r="D225"/>
        </row>
        <row r="226">
          <cell r="C226"/>
          <cell r="D226" t="str">
            <v>שכר</v>
          </cell>
        </row>
        <row r="227">
          <cell r="C227"/>
          <cell r="D227"/>
        </row>
        <row r="228">
          <cell r="C228">
            <v>7110001</v>
          </cell>
          <cell r="D228" t="str">
            <v>שכר צרפת מכירות Sales</v>
          </cell>
        </row>
        <row r="229">
          <cell r="C229">
            <v>7110005</v>
          </cell>
          <cell r="D229" t="str">
            <v>שכר צרפת מכירות-בונוס Other</v>
          </cell>
        </row>
        <row r="230">
          <cell r="C230">
            <v>7110004</v>
          </cell>
          <cell r="D230" t="str">
            <v>שכר צרפת-מכירות Sales עמלות</v>
          </cell>
        </row>
        <row r="231">
          <cell r="C231">
            <v>7110002</v>
          </cell>
          <cell r="D231" t="str">
            <v>שכר צרפת מכירות-בונוס MBO</v>
          </cell>
        </row>
        <row r="232">
          <cell r="C232">
            <v>7110021</v>
          </cell>
          <cell r="D232" t="str">
            <v>הפרשה להוצאות סוציאליות Sales</v>
          </cell>
        </row>
        <row r="233">
          <cell r="C233"/>
          <cell r="D233"/>
        </row>
        <row r="234">
          <cell r="C234">
            <v>7110006</v>
          </cell>
          <cell r="D234" t="str">
            <v>Share-Based Payment FAS123 - Sales</v>
          </cell>
        </row>
        <row r="235">
          <cell r="C235"/>
          <cell r="D235"/>
        </row>
        <row r="236">
          <cell r="C236"/>
          <cell r="D236" t="str">
            <v>ישירות</v>
          </cell>
        </row>
        <row r="237">
          <cell r="C237"/>
          <cell r="D237"/>
        </row>
        <row r="238">
          <cell r="C238">
            <v>7120026</v>
          </cell>
          <cell r="D238" t="str">
            <v>הוצאות עובדים צרפת מכירות Sales</v>
          </cell>
        </row>
        <row r="239">
          <cell r="C239"/>
          <cell r="D239"/>
        </row>
        <row r="240">
          <cell r="C240"/>
          <cell r="D240"/>
        </row>
        <row r="241">
          <cell r="C241"/>
          <cell r="D241"/>
        </row>
        <row r="242">
          <cell r="C242"/>
          <cell r="D242" t="str">
            <v>SE</v>
          </cell>
        </row>
        <row r="243">
          <cell r="C243"/>
          <cell r="D243"/>
        </row>
        <row r="244">
          <cell r="C244"/>
          <cell r="D244" t="str">
            <v>שכר</v>
          </cell>
        </row>
        <row r="245">
          <cell r="C245"/>
          <cell r="D245"/>
        </row>
        <row r="246">
          <cell r="C246">
            <v>7140001</v>
          </cell>
          <cell r="D246" t="str">
            <v>שכר SE</v>
          </cell>
        </row>
        <row r="247">
          <cell r="C247">
            <v>7140004</v>
          </cell>
          <cell r="D247" t="str">
            <v>שכר צרפת עמלות מכירה SE</v>
          </cell>
        </row>
        <row r="248">
          <cell r="C248">
            <v>7140003</v>
          </cell>
          <cell r="D248" t="str">
            <v>Other Bonus SE</v>
          </cell>
        </row>
        <row r="249">
          <cell r="C249">
            <v>7140002</v>
          </cell>
          <cell r="D249" t="str">
            <v>בונוס SE MBO</v>
          </cell>
        </row>
        <row r="250">
          <cell r="C250">
            <v>7140011</v>
          </cell>
          <cell r="D250" t="str">
            <v>הפרשה להוצאות סוציאליות SE</v>
          </cell>
        </row>
        <row r="251">
          <cell r="C251"/>
          <cell r="D251" t="str">
            <v>ישירות</v>
          </cell>
        </row>
        <row r="252">
          <cell r="C252"/>
          <cell r="D252"/>
        </row>
        <row r="253">
          <cell r="C253">
            <v>7120022</v>
          </cell>
          <cell r="D253" t="str">
            <v>הוצאות  עובדים צרפת SE</v>
          </cell>
        </row>
        <row r="255">
          <cell r="C255"/>
          <cell r="D255"/>
        </row>
        <row r="256">
          <cell r="C256"/>
          <cell r="D256"/>
        </row>
        <row r="257">
          <cell r="C257"/>
          <cell r="D257" t="str">
            <v>RVP</v>
          </cell>
        </row>
        <row r="258">
          <cell r="C258"/>
          <cell r="D258"/>
        </row>
        <row r="259">
          <cell r="C259"/>
          <cell r="D259" t="str">
            <v>שכר</v>
          </cell>
        </row>
        <row r="260">
          <cell r="C260"/>
          <cell r="D260"/>
        </row>
        <row r="261">
          <cell r="C261">
            <v>7110007</v>
          </cell>
          <cell r="D261" t="str">
            <v>שכר צרפת RVP</v>
          </cell>
        </row>
        <row r="262">
          <cell r="C262">
            <v>7110009</v>
          </cell>
          <cell r="D262" t="str">
            <v>שכר צרפת-RVP עמלות (ברוטו)</v>
          </cell>
        </row>
        <row r="263">
          <cell r="C263">
            <v>7110008</v>
          </cell>
          <cell r="D263" t="str">
            <v>שכר צרפת PVR -בונוס MBO</v>
          </cell>
        </row>
        <row r="264">
          <cell r="C264">
            <v>7110010</v>
          </cell>
          <cell r="D264" t="str">
            <v>שכר צרפת RVP -בונוס One time bonus</v>
          </cell>
        </row>
        <row r="265">
          <cell r="C265">
            <v>7110003</v>
          </cell>
          <cell r="D265" t="str">
            <v>Commission - Sales from provision only</v>
          </cell>
        </row>
        <row r="266">
          <cell r="C266">
            <v>7110017</v>
          </cell>
          <cell r="D266" t="str">
            <v>הפרשה להוצאות סוציאליות RVP</v>
          </cell>
        </row>
        <row r="267">
          <cell r="C267"/>
          <cell r="D267" t="str">
            <v>ישירות</v>
          </cell>
        </row>
        <row r="268">
          <cell r="C268"/>
          <cell r="D268"/>
        </row>
        <row r="269">
          <cell r="C269">
            <v>7120020</v>
          </cell>
          <cell r="D269" t="str">
            <v>הוצאות עובדים צרפת RVP</v>
          </cell>
        </row>
        <row r="270">
          <cell r="C270"/>
          <cell r="D270"/>
        </row>
        <row r="271">
          <cell r="C271"/>
          <cell r="D271"/>
        </row>
        <row r="272">
          <cell r="C272"/>
          <cell r="D272"/>
        </row>
        <row r="273">
          <cell r="C273"/>
          <cell r="D273" t="str">
            <v>Total Sales and Marketing</v>
          </cell>
        </row>
        <row r="274">
          <cell r="C274"/>
        </row>
        <row r="275">
          <cell r="C275"/>
          <cell r="D275"/>
        </row>
        <row r="276">
          <cell r="C276"/>
          <cell r="D276"/>
        </row>
        <row r="277">
          <cell r="C277"/>
          <cell r="D277"/>
        </row>
        <row r="278">
          <cell r="C278"/>
        </row>
        <row r="279">
          <cell r="C279"/>
          <cell r="D279" t="str">
            <v>Financial Expenses</v>
          </cell>
        </row>
        <row r="280">
          <cell r="C280"/>
        </row>
        <row r="281">
          <cell r="C281">
            <v>9010001</v>
          </cell>
          <cell r="D281" t="str">
            <v>הוצאות בנק</v>
          </cell>
        </row>
        <row r="282">
          <cell r="C282">
            <v>9010002</v>
          </cell>
          <cell r="D282" t="str">
            <v>הפרשי שער</v>
          </cell>
        </row>
        <row r="283">
          <cell r="C283"/>
          <cell r="D283"/>
        </row>
        <row r="284">
          <cell r="C284"/>
          <cell r="D284" t="str">
            <v>סה"כ הוצ' מימון</v>
          </cell>
        </row>
        <row r="285">
          <cell r="C285"/>
        </row>
        <row r="286">
          <cell r="C286"/>
        </row>
        <row r="287">
          <cell r="C287"/>
          <cell r="D287" t="str">
            <v>ספ' ביקורת</v>
          </cell>
        </row>
        <row r="288">
          <cell r="C288"/>
          <cell r="D288"/>
        </row>
        <row r="289">
          <cell r="C289"/>
        </row>
        <row r="290">
          <cell r="C290"/>
        </row>
        <row r="291">
          <cell r="C291"/>
        </row>
        <row r="292">
          <cell r="C292"/>
        </row>
        <row r="293">
          <cell r="C293"/>
        </row>
        <row r="294">
          <cell r="C294"/>
          <cell r="D294" t="str">
            <v>Total P&amp;L</v>
          </cell>
        </row>
        <row r="295">
          <cell r="C295"/>
        </row>
        <row r="296">
          <cell r="C296"/>
        </row>
        <row r="297">
          <cell r="C297"/>
          <cell r="D297" t="str">
            <v>Income</v>
          </cell>
        </row>
        <row r="298">
          <cell r="C298"/>
          <cell r="D298" t="str">
            <v>Cogs</v>
          </cell>
        </row>
        <row r="299">
          <cell r="C299"/>
          <cell r="D299" t="str">
            <v>G&amp;A</v>
          </cell>
        </row>
        <row r="300">
          <cell r="C300"/>
          <cell r="D300" t="str">
            <v>Marketing and Sales</v>
          </cell>
        </row>
        <row r="301">
          <cell r="C301"/>
          <cell r="D301" t="str">
            <v>Tax</v>
          </cell>
        </row>
        <row r="302">
          <cell r="C302"/>
          <cell r="D302" t="str">
            <v>Bank charges</v>
          </cell>
        </row>
        <row r="303">
          <cell r="C303"/>
          <cell r="D303" t="str">
            <v>Options</v>
          </cell>
        </row>
        <row r="304">
          <cell r="C304"/>
          <cell r="D304" t="str">
            <v xml:space="preserve">Exchange rates gains </v>
          </cell>
        </row>
        <row r="305">
          <cell r="C305"/>
        </row>
        <row r="306">
          <cell r="C306"/>
          <cell r="D306"/>
        </row>
        <row r="307">
          <cell r="C307"/>
          <cell r="D307"/>
        </row>
        <row r="308">
          <cell r="C308"/>
          <cell r="D308"/>
        </row>
        <row r="309">
          <cell r="C309"/>
          <cell r="D309" t="str">
            <v>Total P&amp;L</v>
          </cell>
        </row>
        <row r="310">
          <cell r="C310"/>
          <cell r="D310" t="str">
            <v>options</v>
          </cell>
        </row>
        <row r="311">
          <cell r="C311"/>
          <cell r="D311" t="str">
            <v>Tax</v>
          </cell>
        </row>
        <row r="312">
          <cell r="C312"/>
          <cell r="D312" t="str">
            <v xml:space="preserve">Exchange rates gains </v>
          </cell>
        </row>
        <row r="313">
          <cell r="C313"/>
        </row>
        <row r="314">
          <cell r="C314"/>
          <cell r="D314" t="str">
            <v>Total P&amp;L not including options,  tax and exchange rates</v>
          </cell>
        </row>
        <row r="315">
          <cell r="C315"/>
        </row>
        <row r="316">
          <cell r="C316"/>
        </row>
        <row r="317">
          <cell r="C317"/>
        </row>
        <row r="318">
          <cell r="C318"/>
        </row>
        <row r="319">
          <cell r="C319"/>
        </row>
        <row r="320">
          <cell r="C320"/>
        </row>
        <row r="321">
          <cell r="C321"/>
        </row>
        <row r="322">
          <cell r="C322"/>
        </row>
        <row r="323">
          <cell r="C323"/>
        </row>
        <row r="324">
          <cell r="C324"/>
        </row>
        <row r="325">
          <cell r="C325"/>
        </row>
        <row r="326">
          <cell r="C326"/>
        </row>
        <row r="327">
          <cell r="C327"/>
        </row>
        <row r="328">
          <cell r="C328"/>
        </row>
        <row r="329">
          <cell r="C329"/>
        </row>
        <row r="330">
          <cell r="C330"/>
        </row>
        <row r="331">
          <cell r="C331"/>
        </row>
        <row r="332">
          <cell r="C332"/>
        </row>
        <row r="333">
          <cell r="C333"/>
        </row>
        <row r="334">
          <cell r="C334"/>
        </row>
        <row r="335">
          <cell r="C335"/>
        </row>
        <row r="336">
          <cell r="C336"/>
        </row>
        <row r="337">
          <cell r="C337"/>
        </row>
        <row r="338">
          <cell r="C338"/>
        </row>
        <row r="339">
          <cell r="C339"/>
        </row>
        <row r="340">
          <cell r="C340"/>
        </row>
        <row r="341">
          <cell r="C341"/>
        </row>
        <row r="342">
          <cell r="C342"/>
        </row>
        <row r="343">
          <cell r="C343"/>
        </row>
        <row r="344">
          <cell r="C344"/>
          <cell r="D344"/>
        </row>
        <row r="345">
          <cell r="C345"/>
          <cell r="D345"/>
        </row>
        <row r="346">
          <cell r="C346"/>
          <cell r="D346"/>
        </row>
        <row r="347">
          <cell r="C347"/>
          <cell r="D347"/>
        </row>
        <row r="348">
          <cell r="C348"/>
          <cell r="D348"/>
        </row>
        <row r="349">
          <cell r="C349"/>
          <cell r="D349"/>
        </row>
        <row r="350">
          <cell r="C350"/>
          <cell r="D350"/>
        </row>
        <row r="351">
          <cell r="C351"/>
          <cell r="D351"/>
        </row>
        <row r="352">
          <cell r="C352"/>
          <cell r="D352"/>
        </row>
        <row r="353">
          <cell r="C353"/>
          <cell r="D353"/>
        </row>
        <row r="354">
          <cell r="C354"/>
          <cell r="D354"/>
        </row>
        <row r="355">
          <cell r="C355"/>
          <cell r="D355"/>
        </row>
        <row r="356">
          <cell r="C356"/>
          <cell r="D356"/>
        </row>
        <row r="357">
          <cell r="C357"/>
          <cell r="D357"/>
        </row>
        <row r="358">
          <cell r="C358"/>
          <cell r="D358"/>
        </row>
        <row r="359">
          <cell r="C359"/>
          <cell r="D359"/>
        </row>
        <row r="360">
          <cell r="C360"/>
          <cell r="D360"/>
        </row>
        <row r="361">
          <cell r="C361"/>
          <cell r="D361"/>
        </row>
        <row r="362">
          <cell r="C362"/>
          <cell r="D362"/>
        </row>
        <row r="363">
          <cell r="C363"/>
          <cell r="D363"/>
        </row>
        <row r="364">
          <cell r="C364"/>
          <cell r="D364"/>
        </row>
        <row r="365">
          <cell r="C365"/>
          <cell r="D365"/>
        </row>
        <row r="366">
          <cell r="C366"/>
          <cell r="D366"/>
        </row>
        <row r="367">
          <cell r="C367"/>
          <cell r="D367"/>
        </row>
        <row r="368">
          <cell r="C368"/>
          <cell r="D368"/>
        </row>
        <row r="369">
          <cell r="C369"/>
          <cell r="D369"/>
        </row>
        <row r="370">
          <cell r="C370"/>
          <cell r="D370"/>
        </row>
        <row r="371">
          <cell r="C371"/>
          <cell r="D371"/>
        </row>
        <row r="372">
          <cell r="C372"/>
          <cell r="D372"/>
        </row>
        <row r="373">
          <cell r="C373"/>
          <cell r="D373"/>
        </row>
        <row r="374">
          <cell r="C374"/>
          <cell r="D374"/>
        </row>
        <row r="375">
          <cell r="C375"/>
          <cell r="D375"/>
        </row>
        <row r="376">
          <cell r="C376"/>
          <cell r="D376"/>
        </row>
        <row r="377">
          <cell r="C377"/>
          <cell r="D377"/>
        </row>
        <row r="378">
          <cell r="C378"/>
          <cell r="D378"/>
        </row>
        <row r="379">
          <cell r="C379"/>
          <cell r="D379"/>
        </row>
        <row r="380">
          <cell r="C380"/>
          <cell r="D380"/>
        </row>
        <row r="381">
          <cell r="C381"/>
          <cell r="D381"/>
        </row>
        <row r="382">
          <cell r="C382"/>
          <cell r="D382"/>
        </row>
        <row r="383">
          <cell r="C383"/>
          <cell r="D383"/>
        </row>
        <row r="384">
          <cell r="C384"/>
          <cell r="D384"/>
        </row>
        <row r="385">
          <cell r="C385"/>
          <cell r="D385"/>
        </row>
        <row r="386">
          <cell r="C386"/>
          <cell r="D386"/>
        </row>
        <row r="387">
          <cell r="C387"/>
          <cell r="D387"/>
        </row>
        <row r="388">
          <cell r="C388"/>
          <cell r="D388"/>
        </row>
        <row r="389">
          <cell r="C389"/>
          <cell r="D389"/>
        </row>
        <row r="390">
          <cell r="C390"/>
          <cell r="D390"/>
        </row>
        <row r="391">
          <cell r="C391"/>
          <cell r="D391"/>
        </row>
        <row r="392">
          <cell r="C392"/>
          <cell r="D392"/>
        </row>
        <row r="393">
          <cell r="C393"/>
          <cell r="D393"/>
        </row>
        <row r="394">
          <cell r="C394"/>
          <cell r="D394"/>
        </row>
        <row r="395">
          <cell r="C395"/>
          <cell r="D395"/>
        </row>
        <row r="396">
          <cell r="C396"/>
          <cell r="D396"/>
        </row>
        <row r="397">
          <cell r="C397"/>
          <cell r="D397"/>
        </row>
        <row r="398">
          <cell r="C398"/>
          <cell r="D398"/>
        </row>
        <row r="399">
          <cell r="C399"/>
          <cell r="D399"/>
        </row>
        <row r="400">
          <cell r="C400"/>
          <cell r="D400"/>
        </row>
        <row r="401">
          <cell r="C401"/>
          <cell r="D401"/>
        </row>
        <row r="402">
          <cell r="C402"/>
          <cell r="D402"/>
        </row>
        <row r="403">
          <cell r="C403"/>
          <cell r="D403"/>
        </row>
        <row r="404">
          <cell r="C404"/>
          <cell r="D404"/>
        </row>
        <row r="405">
          <cell r="C405"/>
          <cell r="D405"/>
        </row>
        <row r="406">
          <cell r="C406"/>
          <cell r="D406"/>
        </row>
        <row r="407">
          <cell r="C407"/>
          <cell r="D407"/>
        </row>
        <row r="408">
          <cell r="C408"/>
          <cell r="D408"/>
        </row>
        <row r="409">
          <cell r="C409"/>
          <cell r="D409"/>
        </row>
        <row r="410">
          <cell r="C410"/>
          <cell r="D410"/>
        </row>
        <row r="411">
          <cell r="C411"/>
          <cell r="D411"/>
        </row>
        <row r="412">
          <cell r="C412"/>
          <cell r="D412"/>
        </row>
        <row r="413">
          <cell r="C413"/>
          <cell r="D413"/>
        </row>
        <row r="414">
          <cell r="C414"/>
          <cell r="D414"/>
        </row>
        <row r="415">
          <cell r="C415"/>
          <cell r="D415"/>
        </row>
        <row r="416">
          <cell r="C416"/>
          <cell r="D416"/>
        </row>
        <row r="417">
          <cell r="C417"/>
          <cell r="D417"/>
        </row>
        <row r="418">
          <cell r="C418"/>
          <cell r="D418"/>
        </row>
        <row r="419">
          <cell r="C419"/>
          <cell r="D419"/>
        </row>
        <row r="420">
          <cell r="C420"/>
          <cell r="D420"/>
        </row>
        <row r="421">
          <cell r="C421"/>
          <cell r="D421"/>
        </row>
        <row r="422">
          <cell r="C422"/>
          <cell r="D422"/>
        </row>
        <row r="423">
          <cell r="C423"/>
          <cell r="D423"/>
        </row>
        <row r="424">
          <cell r="C424"/>
          <cell r="D424"/>
        </row>
        <row r="425">
          <cell r="C425"/>
          <cell r="D425"/>
        </row>
        <row r="426">
          <cell r="C426"/>
          <cell r="D426"/>
        </row>
        <row r="427">
          <cell r="C427"/>
          <cell r="D427"/>
        </row>
        <row r="428">
          <cell r="C428"/>
          <cell r="D428"/>
        </row>
        <row r="429">
          <cell r="C429"/>
          <cell r="D429"/>
        </row>
        <row r="430">
          <cell r="C430"/>
          <cell r="D430"/>
        </row>
        <row r="431">
          <cell r="C431"/>
          <cell r="D431"/>
        </row>
        <row r="432">
          <cell r="C432"/>
          <cell r="D432"/>
        </row>
        <row r="433">
          <cell r="C433"/>
          <cell r="D433"/>
        </row>
        <row r="434">
          <cell r="C434"/>
          <cell r="D434"/>
        </row>
        <row r="435">
          <cell r="C435"/>
          <cell r="D435"/>
        </row>
        <row r="436">
          <cell r="C436"/>
          <cell r="D436"/>
        </row>
        <row r="437">
          <cell r="C437"/>
          <cell r="D437"/>
        </row>
        <row r="438">
          <cell r="C438"/>
          <cell r="D438"/>
        </row>
        <row r="439">
          <cell r="C439"/>
          <cell r="D439"/>
        </row>
        <row r="440">
          <cell r="C440"/>
          <cell r="D440"/>
        </row>
        <row r="441">
          <cell r="C441"/>
          <cell r="D441"/>
        </row>
        <row r="442">
          <cell r="C442"/>
          <cell r="D442"/>
        </row>
        <row r="443">
          <cell r="C443"/>
          <cell r="D443"/>
        </row>
        <row r="444">
          <cell r="C444"/>
          <cell r="D444"/>
        </row>
        <row r="445">
          <cell r="C445"/>
          <cell r="D445"/>
        </row>
        <row r="446">
          <cell r="C446"/>
          <cell r="D446"/>
        </row>
        <row r="447">
          <cell r="C447"/>
          <cell r="D447"/>
        </row>
        <row r="448">
          <cell r="C448"/>
          <cell r="D448"/>
        </row>
        <row r="449">
          <cell r="C449"/>
          <cell r="D449"/>
        </row>
        <row r="450">
          <cell r="C450"/>
          <cell r="D450"/>
        </row>
        <row r="451">
          <cell r="C451"/>
          <cell r="D451"/>
        </row>
        <row r="452">
          <cell r="C452"/>
          <cell r="D452"/>
        </row>
        <row r="453">
          <cell r="C453"/>
          <cell r="D453"/>
        </row>
        <row r="454">
          <cell r="C454"/>
          <cell r="D454"/>
        </row>
        <row r="455">
          <cell r="C455"/>
          <cell r="D455"/>
        </row>
        <row r="456">
          <cell r="C456"/>
          <cell r="D456"/>
        </row>
        <row r="457">
          <cell r="C457"/>
          <cell r="D457"/>
        </row>
        <row r="458">
          <cell r="C458"/>
          <cell r="D458"/>
        </row>
        <row r="459">
          <cell r="C459"/>
          <cell r="D459"/>
        </row>
        <row r="460">
          <cell r="C460"/>
          <cell r="D460"/>
        </row>
        <row r="461">
          <cell r="C461"/>
          <cell r="D461"/>
        </row>
        <row r="462">
          <cell r="C462"/>
          <cell r="D462"/>
        </row>
        <row r="463">
          <cell r="C463"/>
          <cell r="D463"/>
        </row>
        <row r="464">
          <cell r="C464"/>
          <cell r="D464"/>
        </row>
        <row r="465">
          <cell r="C465"/>
          <cell r="D465"/>
        </row>
        <row r="466">
          <cell r="C466"/>
          <cell r="D466"/>
        </row>
        <row r="467">
          <cell r="C467"/>
          <cell r="D467"/>
        </row>
        <row r="468">
          <cell r="C468"/>
          <cell r="D468"/>
        </row>
        <row r="469">
          <cell r="C469"/>
          <cell r="D469"/>
        </row>
        <row r="470">
          <cell r="C470"/>
          <cell r="D470"/>
        </row>
        <row r="471">
          <cell r="C471"/>
          <cell r="D471"/>
        </row>
        <row r="472">
          <cell r="C472"/>
          <cell r="D472"/>
        </row>
        <row r="473">
          <cell r="C473"/>
          <cell r="D473"/>
        </row>
        <row r="474">
          <cell r="C474"/>
          <cell r="D474"/>
        </row>
        <row r="475">
          <cell r="C475"/>
          <cell r="D475"/>
        </row>
        <row r="476">
          <cell r="C476"/>
          <cell r="D476"/>
        </row>
        <row r="477">
          <cell r="C477"/>
          <cell r="D477"/>
        </row>
        <row r="478">
          <cell r="C478"/>
          <cell r="D478"/>
        </row>
        <row r="479">
          <cell r="C479"/>
          <cell r="D479"/>
        </row>
        <row r="480">
          <cell r="C480"/>
          <cell r="D480"/>
        </row>
        <row r="481">
          <cell r="C481"/>
          <cell r="D481"/>
        </row>
        <row r="482">
          <cell r="C482"/>
          <cell r="D482"/>
        </row>
        <row r="483">
          <cell r="C483"/>
          <cell r="D483"/>
        </row>
        <row r="484">
          <cell r="C484"/>
          <cell r="D484"/>
        </row>
        <row r="485">
          <cell r="C485"/>
          <cell r="D485"/>
        </row>
        <row r="486">
          <cell r="C486"/>
          <cell r="D486"/>
        </row>
        <row r="487">
          <cell r="C487"/>
          <cell r="D487"/>
        </row>
        <row r="488">
          <cell r="C488"/>
          <cell r="D488"/>
        </row>
        <row r="489">
          <cell r="C489"/>
          <cell r="D489"/>
        </row>
        <row r="490">
          <cell r="C490"/>
          <cell r="D490"/>
        </row>
        <row r="491">
          <cell r="C491"/>
          <cell r="D491"/>
        </row>
        <row r="492">
          <cell r="C492"/>
          <cell r="D492"/>
        </row>
        <row r="493">
          <cell r="C493"/>
          <cell r="D493"/>
        </row>
        <row r="494">
          <cell r="C494"/>
          <cell r="D494"/>
        </row>
        <row r="495">
          <cell r="C495"/>
          <cell r="D495"/>
        </row>
        <row r="496">
          <cell r="C496"/>
          <cell r="D496"/>
        </row>
        <row r="497">
          <cell r="C497"/>
          <cell r="D497"/>
        </row>
        <row r="498">
          <cell r="C498"/>
          <cell r="D498"/>
        </row>
        <row r="499">
          <cell r="C499"/>
          <cell r="D499"/>
        </row>
        <row r="500">
          <cell r="C500"/>
          <cell r="D500"/>
        </row>
        <row r="501">
          <cell r="C501"/>
          <cell r="D501"/>
        </row>
        <row r="502">
          <cell r="C502"/>
          <cell r="D502"/>
        </row>
        <row r="503">
          <cell r="C503"/>
          <cell r="D503"/>
        </row>
        <row r="504">
          <cell r="C504"/>
          <cell r="D504"/>
        </row>
        <row r="505">
          <cell r="C505"/>
          <cell r="D505"/>
        </row>
        <row r="506">
          <cell r="C506"/>
          <cell r="D506"/>
        </row>
        <row r="507">
          <cell r="C507"/>
          <cell r="D507"/>
        </row>
        <row r="508">
          <cell r="C508"/>
          <cell r="D508"/>
        </row>
        <row r="509">
          <cell r="C509"/>
          <cell r="D509"/>
        </row>
        <row r="510">
          <cell r="C510"/>
          <cell r="D510"/>
        </row>
        <row r="511">
          <cell r="C511"/>
          <cell r="D511"/>
        </row>
        <row r="512">
          <cell r="C512"/>
          <cell r="D512"/>
        </row>
        <row r="513">
          <cell r="C513"/>
          <cell r="D513"/>
        </row>
        <row r="514">
          <cell r="C514"/>
          <cell r="D514"/>
        </row>
        <row r="515">
          <cell r="C515"/>
          <cell r="D515"/>
        </row>
        <row r="516">
          <cell r="C516"/>
          <cell r="D516"/>
        </row>
        <row r="517">
          <cell r="C517"/>
          <cell r="D517"/>
        </row>
        <row r="518">
          <cell r="C518"/>
          <cell r="D518"/>
        </row>
        <row r="519">
          <cell r="C519"/>
          <cell r="D519"/>
        </row>
        <row r="520">
          <cell r="C520"/>
          <cell r="D520"/>
        </row>
        <row r="521">
          <cell r="C521"/>
          <cell r="D521"/>
        </row>
        <row r="522">
          <cell r="C522"/>
          <cell r="D522"/>
        </row>
        <row r="523">
          <cell r="C523"/>
          <cell r="D523"/>
        </row>
        <row r="524">
          <cell r="C524"/>
          <cell r="D524"/>
        </row>
        <row r="525">
          <cell r="C525"/>
          <cell r="D525"/>
        </row>
        <row r="526">
          <cell r="C526"/>
          <cell r="D526"/>
        </row>
        <row r="527">
          <cell r="C527"/>
          <cell r="D527"/>
        </row>
        <row r="528">
          <cell r="C528"/>
          <cell r="D528"/>
        </row>
        <row r="529">
          <cell r="C529"/>
          <cell r="D529"/>
        </row>
        <row r="530">
          <cell r="C530"/>
          <cell r="D530"/>
        </row>
        <row r="531">
          <cell r="C531"/>
          <cell r="D531"/>
        </row>
        <row r="532">
          <cell r="C532"/>
          <cell r="D532"/>
        </row>
        <row r="533">
          <cell r="C533"/>
          <cell r="D533"/>
        </row>
        <row r="534">
          <cell r="C534"/>
          <cell r="D534"/>
        </row>
        <row r="535">
          <cell r="C535"/>
          <cell r="D535"/>
        </row>
        <row r="536">
          <cell r="C536"/>
          <cell r="D536"/>
        </row>
        <row r="537">
          <cell r="C537"/>
          <cell r="D537"/>
        </row>
        <row r="538">
          <cell r="C538"/>
          <cell r="D538"/>
        </row>
        <row r="539">
          <cell r="C539"/>
          <cell r="D539"/>
        </row>
        <row r="540">
          <cell r="C540"/>
          <cell r="D540"/>
        </row>
        <row r="541">
          <cell r="C541"/>
          <cell r="D541"/>
        </row>
        <row r="542">
          <cell r="C542"/>
          <cell r="D542"/>
        </row>
        <row r="543">
          <cell r="C543"/>
          <cell r="D543"/>
        </row>
        <row r="544">
          <cell r="C544"/>
          <cell r="D544"/>
        </row>
        <row r="545">
          <cell r="C545"/>
          <cell r="D545"/>
        </row>
        <row r="546">
          <cell r="C546"/>
          <cell r="D546"/>
        </row>
        <row r="547">
          <cell r="C547"/>
          <cell r="D547"/>
        </row>
        <row r="548">
          <cell r="C548"/>
          <cell r="D548"/>
        </row>
        <row r="549">
          <cell r="C549"/>
          <cell r="D549"/>
        </row>
        <row r="550">
          <cell r="C550"/>
          <cell r="D550"/>
        </row>
        <row r="551">
          <cell r="C551"/>
          <cell r="D551"/>
        </row>
        <row r="552">
          <cell r="C552"/>
          <cell r="D552"/>
        </row>
        <row r="553">
          <cell r="C553"/>
          <cell r="D553"/>
        </row>
        <row r="554">
          <cell r="C554"/>
          <cell r="D554"/>
        </row>
        <row r="555">
          <cell r="C555"/>
          <cell r="D555"/>
        </row>
        <row r="556">
          <cell r="C556"/>
          <cell r="D556"/>
        </row>
        <row r="557">
          <cell r="C557"/>
          <cell r="D557"/>
        </row>
        <row r="558">
          <cell r="C558"/>
          <cell r="D558"/>
        </row>
        <row r="559">
          <cell r="C559"/>
          <cell r="D559"/>
        </row>
        <row r="560">
          <cell r="C560"/>
          <cell r="D560"/>
        </row>
        <row r="561">
          <cell r="C561"/>
          <cell r="D561"/>
        </row>
        <row r="562">
          <cell r="C562"/>
          <cell r="D562"/>
        </row>
        <row r="563">
          <cell r="C563"/>
          <cell r="D563"/>
        </row>
        <row r="564">
          <cell r="C564"/>
          <cell r="D564"/>
        </row>
        <row r="565">
          <cell r="C565"/>
          <cell r="D565"/>
        </row>
        <row r="566">
          <cell r="C566"/>
          <cell r="D566"/>
        </row>
        <row r="567">
          <cell r="C567"/>
          <cell r="D567"/>
        </row>
        <row r="568">
          <cell r="C568"/>
          <cell r="D568"/>
        </row>
        <row r="569">
          <cell r="C569"/>
          <cell r="D569"/>
        </row>
        <row r="570">
          <cell r="C570"/>
          <cell r="D570"/>
        </row>
        <row r="571">
          <cell r="C571"/>
          <cell r="D571"/>
        </row>
        <row r="572">
          <cell r="C572"/>
          <cell r="D572"/>
        </row>
        <row r="573">
          <cell r="C573"/>
          <cell r="D573"/>
        </row>
        <row r="574">
          <cell r="C574"/>
          <cell r="D574"/>
        </row>
        <row r="575">
          <cell r="C575"/>
          <cell r="D575"/>
        </row>
        <row r="576">
          <cell r="C576"/>
          <cell r="D576"/>
        </row>
        <row r="577">
          <cell r="C577"/>
          <cell r="D577"/>
        </row>
        <row r="578">
          <cell r="C578"/>
          <cell r="D578"/>
        </row>
        <row r="579">
          <cell r="C579"/>
          <cell r="D579"/>
        </row>
        <row r="580">
          <cell r="C580"/>
          <cell r="D580"/>
        </row>
        <row r="581">
          <cell r="C581"/>
          <cell r="D581"/>
        </row>
        <row r="582">
          <cell r="C582"/>
          <cell r="D582"/>
        </row>
        <row r="583">
          <cell r="C583"/>
          <cell r="D583"/>
        </row>
        <row r="584">
          <cell r="C584"/>
          <cell r="D584"/>
        </row>
        <row r="585">
          <cell r="C585"/>
          <cell r="D585"/>
        </row>
        <row r="586">
          <cell r="C586"/>
          <cell r="D586"/>
        </row>
        <row r="587">
          <cell r="C587"/>
          <cell r="D587"/>
        </row>
        <row r="588">
          <cell r="C588"/>
          <cell r="D588"/>
        </row>
        <row r="589">
          <cell r="C589"/>
          <cell r="D589"/>
        </row>
        <row r="590">
          <cell r="C590"/>
          <cell r="D590"/>
        </row>
        <row r="591">
          <cell r="C591"/>
          <cell r="D591"/>
        </row>
        <row r="592">
          <cell r="C592"/>
          <cell r="D592"/>
        </row>
        <row r="593">
          <cell r="C593"/>
          <cell r="D593"/>
        </row>
        <row r="594">
          <cell r="C594"/>
          <cell r="D594"/>
        </row>
        <row r="595">
          <cell r="C595"/>
          <cell r="D595"/>
        </row>
        <row r="596">
          <cell r="C596"/>
          <cell r="D596"/>
        </row>
        <row r="597">
          <cell r="C597"/>
          <cell r="D597"/>
        </row>
        <row r="598">
          <cell r="C598"/>
          <cell r="D598"/>
        </row>
        <row r="599">
          <cell r="C599"/>
          <cell r="D599"/>
        </row>
        <row r="600">
          <cell r="C600"/>
          <cell r="D600"/>
        </row>
        <row r="601">
          <cell r="C601"/>
          <cell r="D601"/>
        </row>
        <row r="602">
          <cell r="C602"/>
          <cell r="D602"/>
        </row>
        <row r="603">
          <cell r="C603"/>
          <cell r="D603"/>
        </row>
        <row r="604">
          <cell r="C604"/>
          <cell r="D604"/>
        </row>
        <row r="605">
          <cell r="C605"/>
          <cell r="D605"/>
        </row>
        <row r="606">
          <cell r="C606"/>
          <cell r="D606"/>
        </row>
        <row r="607">
          <cell r="C607"/>
          <cell r="D607"/>
        </row>
        <row r="608">
          <cell r="C608"/>
          <cell r="D608"/>
        </row>
        <row r="609">
          <cell r="C609"/>
          <cell r="D609"/>
        </row>
        <row r="610">
          <cell r="C610"/>
          <cell r="D610"/>
        </row>
        <row r="611">
          <cell r="C611"/>
          <cell r="D611"/>
        </row>
        <row r="612">
          <cell r="C612"/>
          <cell r="D612"/>
        </row>
        <row r="613">
          <cell r="C613"/>
          <cell r="D613"/>
        </row>
        <row r="614">
          <cell r="C614"/>
          <cell r="D614"/>
        </row>
        <row r="615">
          <cell r="C615"/>
          <cell r="D615"/>
        </row>
        <row r="616">
          <cell r="C616"/>
          <cell r="D616"/>
        </row>
        <row r="617">
          <cell r="C617"/>
          <cell r="D617"/>
        </row>
        <row r="618">
          <cell r="C618"/>
          <cell r="D618"/>
        </row>
        <row r="619">
          <cell r="C619"/>
          <cell r="D619"/>
        </row>
        <row r="620">
          <cell r="C620"/>
          <cell r="D620"/>
        </row>
        <row r="621">
          <cell r="C621"/>
          <cell r="D621"/>
        </row>
        <row r="622">
          <cell r="C622"/>
          <cell r="D622"/>
        </row>
        <row r="623">
          <cell r="C623"/>
          <cell r="D623"/>
        </row>
        <row r="624">
          <cell r="C624"/>
          <cell r="D624"/>
        </row>
        <row r="625">
          <cell r="C625"/>
          <cell r="D625"/>
        </row>
        <row r="626">
          <cell r="C626"/>
          <cell r="D626"/>
        </row>
        <row r="627">
          <cell r="C627"/>
          <cell r="D627"/>
        </row>
        <row r="628">
          <cell r="C628"/>
          <cell r="D628"/>
        </row>
        <row r="629">
          <cell r="C629"/>
          <cell r="D629"/>
        </row>
        <row r="630">
          <cell r="C630"/>
          <cell r="D630"/>
        </row>
        <row r="631">
          <cell r="C631"/>
          <cell r="D631"/>
        </row>
        <row r="632">
          <cell r="C632"/>
          <cell r="D632"/>
        </row>
        <row r="633">
          <cell r="C633"/>
          <cell r="D633"/>
        </row>
        <row r="634">
          <cell r="C634"/>
          <cell r="D634"/>
        </row>
        <row r="635">
          <cell r="C635"/>
          <cell r="D635"/>
        </row>
        <row r="636">
          <cell r="C636"/>
          <cell r="D636"/>
        </row>
        <row r="637">
          <cell r="C637"/>
          <cell r="D637"/>
        </row>
        <row r="638">
          <cell r="C638"/>
          <cell r="D638"/>
        </row>
        <row r="639">
          <cell r="C639"/>
          <cell r="D639"/>
        </row>
        <row r="640">
          <cell r="C640"/>
          <cell r="D640"/>
        </row>
      </sheetData>
      <sheetData sheetId="38"/>
      <sheetData sheetId="39"/>
      <sheetData sheetId="40">
        <row r="67">
          <cell r="D67">
            <v>-454390.7699999999</v>
          </cell>
        </row>
      </sheetData>
      <sheetData sheetId="41">
        <row r="9">
          <cell r="C9">
            <v>1000001</v>
          </cell>
        </row>
      </sheetData>
      <sheetData sheetId="42"/>
      <sheetData sheetId="43">
        <row r="44">
          <cell r="C44">
            <v>6790810.5099999998</v>
          </cell>
        </row>
      </sheetData>
      <sheetData sheetId="44"/>
      <sheetData sheetId="45"/>
      <sheetData sheetId="46"/>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99 - Ltd"/>
      <sheetName val="53599 - UK"/>
      <sheetName val="53599 - US"/>
    </sheetNames>
    <sheetDataSet>
      <sheetData sheetId="0" refreshError="1">
        <row r="6">
          <cell r="I6">
            <v>-2448.9546897810196</v>
          </cell>
          <cell r="J6">
            <v>-2448.9546897810196</v>
          </cell>
          <cell r="K6">
            <v>-2448.9546897810196</v>
          </cell>
          <cell r="L6">
            <v>-2448.9546897810196</v>
          </cell>
          <cell r="M6">
            <v>-2448.9546897810196</v>
          </cell>
          <cell r="N6">
            <v>-2448.9546897810196</v>
          </cell>
          <cell r="O6">
            <v>-2448.9546897810196</v>
          </cell>
        </row>
        <row r="7">
          <cell r="H7">
            <v>-27345.711475166798</v>
          </cell>
          <cell r="I7">
            <v>764.71148813936179</v>
          </cell>
          <cell r="J7">
            <v>764.71148813936179</v>
          </cell>
          <cell r="K7">
            <v>764.71148813936179</v>
          </cell>
          <cell r="L7">
            <v>764.71148813936179</v>
          </cell>
          <cell r="M7">
            <v>764.71148813936179</v>
          </cell>
          <cell r="N7">
            <v>764.71148813936179</v>
          </cell>
          <cell r="O7">
            <v>764.71148813936179</v>
          </cell>
        </row>
        <row r="8">
          <cell r="O8">
            <v>3829.7900000000009</v>
          </cell>
        </row>
        <row r="25">
          <cell r="D25">
            <v>8738.3140580736253</v>
          </cell>
          <cell r="E25">
            <v>-7486.0659419263748</v>
          </cell>
          <cell r="F25">
            <v>6513.0213914069609</v>
          </cell>
          <cell r="G25">
            <v>6756.9013914069583</v>
          </cell>
          <cell r="H25">
            <v>6756.9013914069583</v>
          </cell>
          <cell r="I25">
            <v>6756.9013914069583</v>
          </cell>
          <cell r="J25">
            <v>8853.6458969014639</v>
          </cell>
          <cell r="K25">
            <v>8853.6458969014639</v>
          </cell>
          <cell r="L25">
            <v>8853.6458969014639</v>
          </cell>
          <cell r="M25">
            <v>8853.6458969014639</v>
          </cell>
          <cell r="N25">
            <v>8853.6458969014639</v>
          </cell>
          <cell r="O25">
            <v>8853.6458969014639</v>
          </cell>
        </row>
        <row r="26">
          <cell r="D26">
            <v>-4405.3104385964944</v>
          </cell>
          <cell r="E26">
            <v>-4405.3104385964944</v>
          </cell>
          <cell r="F26">
            <v>-4405.3104385964944</v>
          </cell>
          <cell r="G26">
            <v>-4405.3104385964944</v>
          </cell>
          <cell r="H26">
            <v>-4405.3104385964944</v>
          </cell>
          <cell r="I26">
            <v>-4405.3104385964944</v>
          </cell>
          <cell r="J26">
            <v>-4405.3104385964944</v>
          </cell>
          <cell r="K26">
            <v>-4343.2638596490779</v>
          </cell>
          <cell r="L26">
            <v>3143.69</v>
          </cell>
          <cell r="M26">
            <v>3143.69</v>
          </cell>
          <cell r="N26">
            <v>3143.69</v>
          </cell>
          <cell r="O26">
            <v>3143.69</v>
          </cell>
        </row>
      </sheetData>
      <sheetData sheetId="1" refreshError="1">
        <row r="6">
          <cell r="F6">
            <v>0</v>
          </cell>
          <cell r="G6">
            <v>0</v>
          </cell>
          <cell r="H6">
            <v>0</v>
          </cell>
          <cell r="I6">
            <v>0</v>
          </cell>
          <cell r="J6">
            <v>0</v>
          </cell>
          <cell r="K6">
            <v>0</v>
          </cell>
          <cell r="L6">
            <v>0</v>
          </cell>
          <cell r="M6">
            <v>0</v>
          </cell>
          <cell r="N6">
            <v>0</v>
          </cell>
          <cell r="O6">
            <v>0</v>
          </cell>
        </row>
        <row r="7">
          <cell r="I7">
            <v>-8.7541721388888902</v>
          </cell>
          <cell r="J7">
            <v>-283.91516416666673</v>
          </cell>
          <cell r="K7">
            <v>-283.91516416666673</v>
          </cell>
          <cell r="L7">
            <v>-283.91516416666673</v>
          </cell>
          <cell r="M7">
            <v>-283.91516416666673</v>
          </cell>
          <cell r="N7">
            <v>-283.91516416666673</v>
          </cell>
          <cell r="O7">
            <v>-283.91516416666673</v>
          </cell>
        </row>
        <row r="8">
          <cell r="F8">
            <v>75258.293385621218</v>
          </cell>
          <cell r="G8">
            <v>25086.097795207075</v>
          </cell>
          <cell r="H8">
            <v>25086.097795207075</v>
          </cell>
          <cell r="I8">
            <v>25086.097795207075</v>
          </cell>
          <cell r="J8">
            <v>25086.097795207075</v>
          </cell>
          <cell r="K8">
            <v>25086.097795207075</v>
          </cell>
          <cell r="L8">
            <v>25086.097795207075</v>
          </cell>
          <cell r="M8">
            <v>25086.097795207075</v>
          </cell>
          <cell r="N8">
            <v>25086.097795207075</v>
          </cell>
          <cell r="O8">
            <v>25086.097795207075</v>
          </cell>
        </row>
        <row r="9">
          <cell r="F9">
            <v>0</v>
          </cell>
          <cell r="G9">
            <v>0</v>
          </cell>
          <cell r="H9">
            <v>0</v>
          </cell>
          <cell r="I9">
            <v>0</v>
          </cell>
          <cell r="J9">
            <v>0</v>
          </cell>
          <cell r="K9">
            <v>0</v>
          </cell>
          <cell r="L9">
            <v>0</v>
          </cell>
          <cell r="M9">
            <v>0</v>
          </cell>
          <cell r="N9">
            <v>0</v>
          </cell>
          <cell r="O9">
            <v>-454.33</v>
          </cell>
        </row>
        <row r="25">
          <cell r="D25">
            <v>-9021.9770092521503</v>
          </cell>
          <cell r="E25">
            <v>-9021.9770092521503</v>
          </cell>
          <cell r="F25">
            <v>-7138.7670092521512</v>
          </cell>
          <cell r="G25">
            <v>9511.5429907478465</v>
          </cell>
          <cell r="H25">
            <v>9511.5429907478465</v>
          </cell>
          <cell r="I25">
            <v>9511.5429907478465</v>
          </cell>
          <cell r="J25">
            <v>9511.5429907478465</v>
          </cell>
          <cell r="K25">
            <v>9511.5429907478465</v>
          </cell>
          <cell r="L25">
            <v>9511.5429907478465</v>
          </cell>
          <cell r="M25">
            <v>9511.5429907478465</v>
          </cell>
          <cell r="N25">
            <v>9511.5429907478465</v>
          </cell>
          <cell r="O25">
            <v>9511.5429907478465</v>
          </cell>
        </row>
        <row r="51">
          <cell r="P51">
            <v>0</v>
          </cell>
          <cell r="Q51">
            <v>-3884.9096685082873</v>
          </cell>
          <cell r="R51">
            <v>-3884.9096685082873</v>
          </cell>
          <cell r="S51">
            <v>-3884.9096685082873</v>
          </cell>
          <cell r="T51">
            <v>-3884.9096685082873</v>
          </cell>
          <cell r="U51">
            <v>-3884.9096685082873</v>
          </cell>
          <cell r="V51">
            <v>-3884.9096685082873</v>
          </cell>
          <cell r="W51">
            <v>-3884.9096685082873</v>
          </cell>
          <cell r="X51">
            <v>-3884.9096685082873</v>
          </cell>
          <cell r="Y51">
            <v>-3884.9096685082873</v>
          </cell>
          <cell r="Z51">
            <v>-3884.9096685082873</v>
          </cell>
          <cell r="AA51">
            <v>-3884.9096685082873</v>
          </cell>
          <cell r="AB51">
            <v>-3884.9096685082873</v>
          </cell>
          <cell r="AC51">
            <v>-3884.9096685082873</v>
          </cell>
          <cell r="AD51">
            <v>-3884.9096685082873</v>
          </cell>
          <cell r="AE51">
            <v>-3884.9096685082873</v>
          </cell>
          <cell r="AF51">
            <v>-3884.9096685082873</v>
          </cell>
          <cell r="AG51">
            <v>-3884.9096685082873</v>
          </cell>
          <cell r="AH51">
            <v>-3884.9096685082873</v>
          </cell>
          <cell r="AI51">
            <v>-3884.9096685082873</v>
          </cell>
          <cell r="AJ51">
            <v>-3884.9096685082873</v>
          </cell>
          <cell r="AK51">
            <v>-3884.9096685082873</v>
          </cell>
          <cell r="AL51">
            <v>-3884.9096685082873</v>
          </cell>
          <cell r="AM51">
            <v>-3884.9096685082873</v>
          </cell>
          <cell r="AN51">
            <v>-3884.9096685082873</v>
          </cell>
          <cell r="AO51">
            <v>-3884.9096685082873</v>
          </cell>
          <cell r="AP51">
            <v>-3884.9096685082873</v>
          </cell>
          <cell r="AQ51">
            <v>-3884.9096685082873</v>
          </cell>
          <cell r="AR51">
            <v>-3884.9096685082873</v>
          </cell>
          <cell r="AS51">
            <v>-3884.9096685082873</v>
          </cell>
          <cell r="AT51">
            <v>-3884.9096685082873</v>
          </cell>
          <cell r="AU51">
            <v>-3884.9096685082873</v>
          </cell>
          <cell r="AV51">
            <v>-3884.9096685082873</v>
          </cell>
          <cell r="AW51">
            <v>-3884.9096685082873</v>
          </cell>
          <cell r="AX51">
            <v>-3884.9096685082873</v>
          </cell>
          <cell r="AY51">
            <v>-3884.9096685082873</v>
          </cell>
          <cell r="AZ51">
            <v>-3884.9096685082873</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row>
        <row r="58">
          <cell r="P58">
            <v>-32931.855621788258</v>
          </cell>
          <cell r="Q58">
            <v>-36816.765290296542</v>
          </cell>
          <cell r="R58">
            <v>-36816.765290296542</v>
          </cell>
          <cell r="S58">
            <v>-33273.714295783509</v>
          </cell>
          <cell r="T58">
            <v>-33273.714295783509</v>
          </cell>
          <cell r="U58">
            <v>-33756.544295783504</v>
          </cell>
          <cell r="V58">
            <v>-32016.440684672401</v>
          </cell>
          <cell r="W58">
            <v>-32431.480684672402</v>
          </cell>
          <cell r="X58">
            <v>-33215.152367342722</v>
          </cell>
          <cell r="Y58">
            <v>-33215.152367342722</v>
          </cell>
          <cell r="Z58">
            <v>-33215.152367342722</v>
          </cell>
          <cell r="AA58">
            <v>-33385.253944403659</v>
          </cell>
          <cell r="AB58">
            <v>-33168.772645120502</v>
          </cell>
          <cell r="AC58">
            <v>-33168.772645120502</v>
          </cell>
          <cell r="AD58">
            <v>-33168.772645120502</v>
          </cell>
          <cell r="AE58">
            <v>-29346.235910659809</v>
          </cell>
          <cell r="AF58">
            <v>-29346.235910659809</v>
          </cell>
          <cell r="AG58">
            <v>-29346.235910659809</v>
          </cell>
          <cell r="AH58">
            <v>-29346.235910659809</v>
          </cell>
          <cell r="AI58">
            <v>-29346.235910659809</v>
          </cell>
          <cell r="AJ58">
            <v>-29346.235910659809</v>
          </cell>
          <cell r="AK58">
            <v>-29346.235910659809</v>
          </cell>
          <cell r="AL58">
            <v>-5217.1954894111896</v>
          </cell>
          <cell r="AM58">
            <v>-4090.0365383917997</v>
          </cell>
          <cell r="AN58">
            <v>-3600.9945043416205</v>
          </cell>
          <cell r="AO58">
            <v>-3600.9945043416205</v>
          </cell>
          <cell r="AP58">
            <v>-3600.9945043416205</v>
          </cell>
          <cell r="AQ58">
            <v>-3600.9945043416205</v>
          </cell>
          <cell r="AR58">
            <v>-3600.9945043416205</v>
          </cell>
          <cell r="AS58">
            <v>-3609.6186764802842</v>
          </cell>
          <cell r="AT58">
            <v>-3884.9096685082873</v>
          </cell>
          <cell r="AU58">
            <v>-3884.9096685082873</v>
          </cell>
          <cell r="AV58">
            <v>-3884.9096685082873</v>
          </cell>
          <cell r="AW58">
            <v>-3884.9096685082873</v>
          </cell>
          <cell r="AX58">
            <v>-3884.9096685082873</v>
          </cell>
          <cell r="AY58">
            <v>-4339.2396685082877</v>
          </cell>
          <cell r="AZ58">
            <v>-5266.7796685082867</v>
          </cell>
          <cell r="BA58">
            <v>-1381.87</v>
          </cell>
          <cell r="BB58">
            <v>-1381.87</v>
          </cell>
          <cell r="BC58">
            <v>-1381.87</v>
          </cell>
          <cell r="BD58">
            <v>-1381.87</v>
          </cell>
          <cell r="BE58">
            <v>-927.54</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row>
      </sheetData>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Income receibales"/>
      <sheetName val="VSOE"/>
      <sheetName val="Status Open - Hanna note"/>
      <sheetName val="Billing country"/>
      <sheetName val="Preceding"/>
    </sheetNames>
    <sheetDataSet>
      <sheetData sheetId="0"/>
      <sheetData sheetId="1">
        <row r="3137">
          <cell r="AA3137">
            <v>64134.691273059369</v>
          </cell>
        </row>
        <row r="3138">
          <cell r="AA3138">
            <v>12316.674164496306</v>
          </cell>
        </row>
        <row r="3139">
          <cell r="AA3139">
            <v>9427.0564931506851</v>
          </cell>
        </row>
        <row r="3140">
          <cell r="AA3140">
            <v>9658.5374246575338</v>
          </cell>
        </row>
        <row r="3141">
          <cell r="AA3141">
            <v>212.30980821917811</v>
          </cell>
        </row>
      </sheetData>
      <sheetData sheetId="2"/>
      <sheetData sheetId="3"/>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 TER"/>
      <sheetName val="53550 2017 2016"/>
      <sheetName val="subscr only 2018"/>
      <sheetName val="53550 USD PIVOT"/>
      <sheetName val="53550 2018 USD"/>
      <sheetName val="PIVOT 2018 ILS "/>
      <sheetName val="53550 2018 ILS "/>
      <sheetName val="ALL (legacy)"/>
      <sheetName val="ALL"/>
      <sheetName val="2019 ספרי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7">
          <cell r="E7">
            <v>13716.791387027515</v>
          </cell>
        </row>
        <row r="31">
          <cell r="E31">
            <v>141.95191558441553</v>
          </cell>
        </row>
        <row r="32">
          <cell r="E32">
            <v>141.95191558441553</v>
          </cell>
        </row>
        <row r="33">
          <cell r="E33">
            <v>94.787294721407605</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0"/>
      <sheetName val="subscr only"/>
      <sheetName val="ALL Automated"/>
      <sheetName val="Priority Automated"/>
      <sheetName val="ALL (LEGACY)"/>
      <sheetName val="IL218000024 (Colt)"/>
      <sheetName val="IL208000128 (WIPRO)"/>
      <sheetName val="Clients"/>
      <sheetName val="Legacy"/>
      <sheetName val="VSOE"/>
    </sheetNames>
    <sheetDataSet>
      <sheetData sheetId="0" refreshError="1"/>
      <sheetData sheetId="1" refreshError="1"/>
      <sheetData sheetId="2" refreshError="1">
        <row r="83">
          <cell r="I83">
            <v>1317219.9274818869</v>
          </cell>
        </row>
        <row r="96">
          <cell r="I96">
            <v>1596245.1401227426</v>
          </cell>
          <cell r="M96">
            <v>151.10223132969034</v>
          </cell>
          <cell r="N96">
            <v>905.77318420653978</v>
          </cell>
          <cell r="O96">
            <v>3410.1761074767974</v>
          </cell>
          <cell r="P96">
            <v>8039.6124214344682</v>
          </cell>
          <cell r="Q96">
            <v>23348.213340816099</v>
          </cell>
          <cell r="R96">
            <v>15554.875226632055</v>
          </cell>
          <cell r="S96">
            <v>18274.330185320599</v>
          </cell>
          <cell r="T96">
            <v>19704.504075772365</v>
          </cell>
          <cell r="U96">
            <v>21767.156998697461</v>
          </cell>
          <cell r="V96">
            <v>27684.389518004496</v>
          </cell>
          <cell r="W96">
            <v>29042.423120571089</v>
          </cell>
          <cell r="X96">
            <v>18748.208010491424</v>
          </cell>
        </row>
        <row r="101">
          <cell r="K101">
            <v>369928.59268876235</v>
          </cell>
        </row>
        <row r="102">
          <cell r="K102">
            <v>474571.73276774178</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GovTech"/>
      <sheetName val="53580 53581 PRIO"/>
      <sheetName val="subscr only 01-12"/>
      <sheetName val="pricing From October 2018"/>
      <sheetName val="ALL (LEGACY)"/>
      <sheetName val="ALL"/>
      <sheetName val="ST-LT"/>
      <sheetName val="פקודה לפריו"/>
    </sheetNames>
    <sheetDataSet>
      <sheetData sheetId="0" refreshError="1"/>
      <sheetData sheetId="1" refreshError="1"/>
      <sheetData sheetId="2" refreshError="1"/>
      <sheetData sheetId="3" refreshError="1"/>
      <sheetData sheetId="4" refreshError="1"/>
      <sheetData sheetId="5" refreshError="1"/>
      <sheetData sheetId="6">
        <row r="11">
          <cell r="AI11">
            <v>135.07271071800207</v>
          </cell>
        </row>
        <row r="80">
          <cell r="AN80">
            <v>31478.543204950409</v>
          </cell>
          <cell r="AO80">
            <v>31478.543204950409</v>
          </cell>
          <cell r="AP80">
            <v>31406.276915695977</v>
          </cell>
          <cell r="AQ80">
            <v>29226.915721506703</v>
          </cell>
          <cell r="AR80">
            <v>29226.915721506703</v>
          </cell>
          <cell r="AS80">
            <v>29226.915721506703</v>
          </cell>
          <cell r="AT80">
            <v>29226.915721506703</v>
          </cell>
          <cell r="AU80">
            <v>29226.915721506703</v>
          </cell>
          <cell r="AV80">
            <v>29226.915721506703</v>
          </cell>
          <cell r="AW80">
            <v>29226.915721506703</v>
          </cell>
          <cell r="AX80">
            <v>29226.915721506703</v>
          </cell>
          <cell r="AY80">
            <v>29226.915721506703</v>
          </cell>
          <cell r="AZ80">
            <v>29226.915721506703</v>
          </cell>
          <cell r="BA80">
            <v>29226.915721506703</v>
          </cell>
          <cell r="BB80">
            <v>29183.825859755554</v>
          </cell>
          <cell r="BC80">
            <v>28554.320483411466</v>
          </cell>
          <cell r="BD80">
            <v>28481.541759736465</v>
          </cell>
          <cell r="BE80">
            <v>28208.462231496414</v>
          </cell>
          <cell r="BF80">
            <v>27989.245742374136</v>
          </cell>
          <cell r="BG80">
            <v>27883.040836147578</v>
          </cell>
          <cell r="BH80">
            <v>27883.040836147578</v>
          </cell>
          <cell r="BI80">
            <v>27461.3979254199</v>
          </cell>
          <cell r="BJ80">
            <v>14681.280725290848</v>
          </cell>
          <cell r="BK80">
            <v>9812.4903412628082</v>
          </cell>
          <cell r="BL80">
            <v>470.93023255813949</v>
          </cell>
          <cell r="BM80">
            <v>470.93023255813949</v>
          </cell>
          <cell r="BN80">
            <v>470.93023255813949</v>
          </cell>
          <cell r="BO80">
            <v>0</v>
          </cell>
        </row>
      </sheetData>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GovTech"/>
      <sheetName val="53580 53581 PRIO"/>
      <sheetName val="subscr only"/>
      <sheetName val="pricing From October 2018"/>
      <sheetName val="ALL (LEGACY)"/>
      <sheetName val="ALL"/>
      <sheetName val="ST-LT"/>
      <sheetName val="פקודה לפריו תיקון פברואר"/>
      <sheetName val="ALL Automated"/>
      <sheetName val="פקודה לפריו"/>
      <sheetName val="VSO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1">
          <cell r="H61">
            <v>4800</v>
          </cell>
        </row>
        <row r="69">
          <cell r="X69">
            <v>38491.15062561872</v>
          </cell>
          <cell r="Y69">
            <v>38022.994333995914</v>
          </cell>
          <cell r="Z69">
            <v>36167.049263602137</v>
          </cell>
          <cell r="AA69">
            <v>33593.322601139211</v>
          </cell>
          <cell r="AB69">
            <v>33290.143197597143</v>
          </cell>
          <cell r="AC69">
            <v>32553.539220082766</v>
          </cell>
          <cell r="AD69">
            <v>32047.26829242372</v>
          </cell>
          <cell r="AE69">
            <v>31758.079690142051</v>
          </cell>
          <cell r="AF69">
            <v>31328.259432662173</v>
          </cell>
          <cell r="AG69">
            <v>29693.346606323965</v>
          </cell>
          <cell r="AH69">
            <v>28784.033450894141</v>
          </cell>
          <cell r="AI69">
            <v>28194.165206459413</v>
          </cell>
          <cell r="AJ69">
            <v>26738.192752627478</v>
          </cell>
          <cell r="AK69">
            <v>26738.192752627478</v>
          </cell>
          <cell r="AL69">
            <v>26738.192752627478</v>
          </cell>
          <cell r="AM69">
            <v>26738.192752627478</v>
          </cell>
          <cell r="AN69">
            <v>26738.192752627478</v>
          </cell>
          <cell r="AO69">
            <v>26677.363431639827</v>
          </cell>
          <cell r="AP69">
            <v>26642.146456331186</v>
          </cell>
          <cell r="AQ69">
            <v>26642.146456331186</v>
          </cell>
          <cell r="AR69">
            <v>26642.146456331186</v>
          </cell>
          <cell r="AS69">
            <v>26642.146456331186</v>
          </cell>
          <cell r="AT69">
            <v>26642.146456331186</v>
          </cell>
          <cell r="AU69">
            <v>26642.146456331186</v>
          </cell>
          <cell r="AV69">
            <v>26642.146456331186</v>
          </cell>
          <cell r="AW69">
            <v>23220.775285261177</v>
          </cell>
          <cell r="AX69">
            <v>21053.280277580689</v>
          </cell>
          <cell r="AY69">
            <v>21053.280277580689</v>
          </cell>
          <cell r="AZ69">
            <v>20692.636893722676</v>
          </cell>
          <cell r="BA69">
            <v>18533.361878269156</v>
          </cell>
          <cell r="BB69">
            <v>16709.350469778048</v>
          </cell>
          <cell r="BC69">
            <v>15232.795400653624</v>
          </cell>
          <cell r="BD69">
            <v>13364.621457682004</v>
          </cell>
          <cell r="BE69">
            <v>6596.8928939473626</v>
          </cell>
          <cell r="BF69">
            <v>6125.1240447410055</v>
          </cell>
          <cell r="BG69">
            <v>3990.0609782749016</v>
          </cell>
          <cell r="BH69">
            <v>846.45694733042546</v>
          </cell>
          <cell r="BI69">
            <v>846.45694733044729</v>
          </cell>
          <cell r="BJ69">
            <v>846.45694733044729</v>
          </cell>
          <cell r="BK69">
            <v>846.45694733044729</v>
          </cell>
          <cell r="BL69">
            <v>846.45694733044729</v>
          </cell>
          <cell r="BM69">
            <v>846.45694733044729</v>
          </cell>
          <cell r="BN69">
            <v>846.45694733044729</v>
          </cell>
          <cell r="BO69">
            <v>846.45694733044729</v>
          </cell>
          <cell r="BP69">
            <v>846.45694733044729</v>
          </cell>
          <cell r="BQ69">
            <v>846.45694733044729</v>
          </cell>
          <cell r="BR69">
            <v>846.45694733044729</v>
          </cell>
          <cell r="BS69">
            <v>846.45694733044729</v>
          </cell>
          <cell r="BT69">
            <v>846.45694733044729</v>
          </cell>
          <cell r="BU69">
            <v>846.45694733044729</v>
          </cell>
          <cell r="BV69">
            <v>680.73246052692821</v>
          </cell>
          <cell r="BW69">
            <v>503.95967460317462</v>
          </cell>
          <cell r="BX69">
            <v>503.95967460317462</v>
          </cell>
          <cell r="BY69">
            <v>503.95967460317462</v>
          </cell>
          <cell r="BZ69">
            <v>503.95967460317462</v>
          </cell>
          <cell r="CA69">
            <v>503.95967460316803</v>
          </cell>
          <cell r="CB69">
            <v>0</v>
          </cell>
          <cell r="CC69">
            <v>0</v>
          </cell>
          <cell r="CD69">
            <v>0</v>
          </cell>
          <cell r="CE69">
            <v>0</v>
          </cell>
        </row>
      </sheetData>
      <sheetData sheetId="10">
        <row r="3">
          <cell r="O3">
            <v>5081.3008130081298</v>
          </cell>
        </row>
      </sheetData>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sheetData sheetId="1">
        <row r="414">
          <cell r="AO414">
            <v>-918.47000000000116</v>
          </cell>
        </row>
        <row r="452">
          <cell r="AE452">
            <v>916440.87000000011</v>
          </cell>
        </row>
        <row r="453">
          <cell r="AE453">
            <v>-981.76999999999953</v>
          </cell>
        </row>
        <row r="454">
          <cell r="AE454">
            <v>-68281.2</v>
          </cell>
        </row>
        <row r="455">
          <cell r="AE455">
            <v>34469.729999999996</v>
          </cell>
        </row>
        <row r="456">
          <cell r="AE456">
            <v>67572.309999999983</v>
          </cell>
        </row>
        <row r="457">
          <cell r="AE457">
            <v>0</v>
          </cell>
        </row>
        <row r="458">
          <cell r="AE458">
            <v>7050</v>
          </cell>
        </row>
        <row r="459">
          <cell r="AE459">
            <v>243135.09999999998</v>
          </cell>
        </row>
        <row r="461">
          <cell r="AE461">
            <v>69172.27592812918</v>
          </cell>
        </row>
        <row r="462">
          <cell r="AE462">
            <v>100444.21111304496</v>
          </cell>
        </row>
        <row r="464">
          <cell r="AE464">
            <v>146410.38</v>
          </cell>
        </row>
        <row r="465">
          <cell r="AE465">
            <v>0</v>
          </cell>
        </row>
        <row r="466">
          <cell r="AE466">
            <v>9278</v>
          </cell>
        </row>
        <row r="467">
          <cell r="AE467">
            <v>21287.346307133626</v>
          </cell>
        </row>
        <row r="468">
          <cell r="AE468">
            <v>3875.42</v>
          </cell>
        </row>
        <row r="469">
          <cell r="AE469">
            <v>23777.281065918633</v>
          </cell>
        </row>
        <row r="470">
          <cell r="AE470">
            <v>0</v>
          </cell>
        </row>
        <row r="471">
          <cell r="AE471">
            <v>1573649.9544142268</v>
          </cell>
        </row>
        <row r="472">
          <cell r="AE472">
            <v>0</v>
          </cell>
        </row>
        <row r="473">
          <cell r="AE473">
            <v>12.500000000000227</v>
          </cell>
        </row>
        <row r="474">
          <cell r="AE474">
            <v>2060.7399999999998</v>
          </cell>
        </row>
        <row r="475">
          <cell r="AE475">
            <v>863.33999999999992</v>
          </cell>
        </row>
        <row r="476">
          <cell r="AE476">
            <v>870.55</v>
          </cell>
        </row>
        <row r="477">
          <cell r="AE477">
            <v>132.14999999999998</v>
          </cell>
        </row>
        <row r="478">
          <cell r="AE478">
            <v>91.979999999999905</v>
          </cell>
        </row>
        <row r="479">
          <cell r="AE479">
            <v>23159.070000000007</v>
          </cell>
        </row>
        <row r="480">
          <cell r="AE480">
            <v>312.5</v>
          </cell>
        </row>
        <row r="481">
          <cell r="AE481">
            <v>78145.229999999981</v>
          </cell>
        </row>
        <row r="482">
          <cell r="AE482">
            <v>-229.78999999999996</v>
          </cell>
        </row>
        <row r="483">
          <cell r="AE483">
            <v>1997.9699999999993</v>
          </cell>
        </row>
        <row r="485">
          <cell r="AE485">
            <v>0</v>
          </cell>
        </row>
        <row r="486">
          <cell r="AE486">
            <v>3197.95</v>
          </cell>
        </row>
        <row r="487">
          <cell r="AE487">
            <v>1245.7599999999998</v>
          </cell>
        </row>
        <row r="488">
          <cell r="AE488">
            <v>827.38</v>
          </cell>
        </row>
        <row r="489">
          <cell r="AE489">
            <v>93.94</v>
          </cell>
        </row>
        <row r="490">
          <cell r="AE490">
            <v>5861.8099999999986</v>
          </cell>
        </row>
        <row r="491">
          <cell r="AE491">
            <v>393.31999999999988</v>
          </cell>
        </row>
        <row r="492">
          <cell r="AE492">
            <v>0</v>
          </cell>
        </row>
        <row r="493">
          <cell r="AE493">
            <v>1528.9299999999998</v>
          </cell>
        </row>
        <row r="494">
          <cell r="AE494">
            <v>0</v>
          </cell>
        </row>
        <row r="495">
          <cell r="AE495">
            <v>120565.33000000009</v>
          </cell>
        </row>
        <row r="496">
          <cell r="AE496">
            <v>0</v>
          </cell>
        </row>
        <row r="497">
          <cell r="AE497">
            <v>0</v>
          </cell>
        </row>
        <row r="498">
          <cell r="AE498">
            <v>0</v>
          </cell>
        </row>
        <row r="499">
          <cell r="AE499">
            <v>0</v>
          </cell>
        </row>
        <row r="500">
          <cell r="AE500">
            <v>0</v>
          </cell>
        </row>
        <row r="501">
          <cell r="AE501">
            <v>0</v>
          </cell>
        </row>
        <row r="502">
          <cell r="AE502">
            <v>0</v>
          </cell>
        </row>
        <row r="503">
          <cell r="AE503">
            <v>0</v>
          </cell>
        </row>
        <row r="504">
          <cell r="AE504">
            <v>0</v>
          </cell>
        </row>
        <row r="505">
          <cell r="AE505">
            <v>0</v>
          </cell>
        </row>
        <row r="510">
          <cell r="AE510">
            <v>0</v>
          </cell>
        </row>
        <row r="512">
          <cell r="AE512">
            <v>54033.100000000006</v>
          </cell>
        </row>
        <row r="513">
          <cell r="AE513">
            <v>0</v>
          </cell>
        </row>
        <row r="514">
          <cell r="AE514">
            <v>2802.0000000000005</v>
          </cell>
        </row>
        <row r="517">
          <cell r="AE517">
            <v>5925.3300000000017</v>
          </cell>
        </row>
        <row r="518">
          <cell r="AE518">
            <v>86089.76</v>
          </cell>
        </row>
        <row r="519">
          <cell r="AE519">
            <v>0</v>
          </cell>
        </row>
        <row r="520">
          <cell r="AE520">
            <v>3029.0000000000005</v>
          </cell>
        </row>
        <row r="521">
          <cell r="AE521">
            <v>0</v>
          </cell>
        </row>
        <row r="522">
          <cell r="AE522">
            <v>28434.550000000003</v>
          </cell>
        </row>
        <row r="523">
          <cell r="AE523">
            <v>0</v>
          </cell>
        </row>
        <row r="524">
          <cell r="AE524">
            <v>32527.630000000008</v>
          </cell>
        </row>
        <row r="525">
          <cell r="AE525">
            <v>1356</v>
          </cell>
        </row>
        <row r="526">
          <cell r="AE526">
            <v>10900.499179558743</v>
          </cell>
        </row>
        <row r="528">
          <cell r="AE528">
            <v>0</v>
          </cell>
        </row>
        <row r="529">
          <cell r="AE529">
            <v>313982.95643483748</v>
          </cell>
        </row>
        <row r="530">
          <cell r="AE530">
            <v>0</v>
          </cell>
        </row>
        <row r="531">
          <cell r="AE531">
            <v>0</v>
          </cell>
        </row>
        <row r="532">
          <cell r="AE532">
            <v>10.340000000000146</v>
          </cell>
        </row>
        <row r="533">
          <cell r="AE533">
            <v>356.66999999999996</v>
          </cell>
        </row>
        <row r="534">
          <cell r="AE534">
            <v>262.64999999999998</v>
          </cell>
        </row>
        <row r="535">
          <cell r="AE535">
            <v>37.599999999999994</v>
          </cell>
        </row>
        <row r="536">
          <cell r="AE536">
            <v>25.370000000000005</v>
          </cell>
        </row>
        <row r="537">
          <cell r="AE537">
            <v>0</v>
          </cell>
        </row>
        <row r="538">
          <cell r="AE538">
            <v>257.06999999999994</v>
          </cell>
        </row>
        <row r="539">
          <cell r="AE539">
            <v>3117.2300000000005</v>
          </cell>
        </row>
        <row r="540">
          <cell r="AE540">
            <v>0</v>
          </cell>
        </row>
        <row r="541">
          <cell r="AE541">
            <v>0</v>
          </cell>
        </row>
        <row r="543">
          <cell r="AE543">
            <v>0</v>
          </cell>
        </row>
        <row r="544">
          <cell r="AE544">
            <v>0</v>
          </cell>
        </row>
        <row r="545">
          <cell r="AE545">
            <v>0</v>
          </cell>
        </row>
        <row r="546">
          <cell r="AE546">
            <v>0</v>
          </cell>
        </row>
        <row r="547">
          <cell r="AE547">
            <v>0</v>
          </cell>
        </row>
        <row r="549">
          <cell r="AE549">
            <v>0</v>
          </cell>
        </row>
        <row r="550">
          <cell r="AE550">
            <v>1899.9799999999996</v>
          </cell>
        </row>
        <row r="552">
          <cell r="AE552">
            <v>0</v>
          </cell>
        </row>
        <row r="553">
          <cell r="AE553">
            <v>0</v>
          </cell>
        </row>
        <row r="554">
          <cell r="AE554">
            <v>0</v>
          </cell>
        </row>
        <row r="555">
          <cell r="AE555">
            <v>0</v>
          </cell>
        </row>
        <row r="556">
          <cell r="AE556">
            <v>0</v>
          </cell>
        </row>
        <row r="557">
          <cell r="AE557">
            <v>0</v>
          </cell>
        </row>
        <row r="558">
          <cell r="AE558">
            <v>0</v>
          </cell>
        </row>
        <row r="559">
          <cell r="AE559">
            <v>0</v>
          </cell>
        </row>
        <row r="560">
          <cell r="AE560">
            <v>0</v>
          </cell>
        </row>
        <row r="561">
          <cell r="AE561">
            <v>130</v>
          </cell>
        </row>
        <row r="562">
          <cell r="AE562">
            <v>5.1599999999999682</v>
          </cell>
        </row>
        <row r="563">
          <cell r="AE563">
            <v>0</v>
          </cell>
        </row>
        <row r="564">
          <cell r="AE564">
            <v>155.54</v>
          </cell>
        </row>
        <row r="565">
          <cell r="AE565">
            <v>49.650000000000006</v>
          </cell>
        </row>
        <row r="566">
          <cell r="AE566">
            <v>0</v>
          </cell>
        </row>
        <row r="567">
          <cell r="AE567">
            <v>4822.16</v>
          </cell>
        </row>
        <row r="568">
          <cell r="AE568">
            <v>-16519.14</v>
          </cell>
        </row>
        <row r="569">
          <cell r="AE569">
            <v>0</v>
          </cell>
        </row>
        <row r="572">
          <cell r="AE572">
            <v>430.96999999999935</v>
          </cell>
        </row>
        <row r="573">
          <cell r="AE573">
            <v>91541.759999999995</v>
          </cell>
        </row>
        <row r="575">
          <cell r="AE575">
            <v>70060.03</v>
          </cell>
        </row>
        <row r="576">
          <cell r="AE576">
            <v>0</v>
          </cell>
        </row>
        <row r="577">
          <cell r="AE577">
            <v>0</v>
          </cell>
        </row>
        <row r="578">
          <cell r="AE578">
            <v>0</v>
          </cell>
        </row>
        <row r="579">
          <cell r="AE579">
            <v>156643.03999999992</v>
          </cell>
        </row>
        <row r="580">
          <cell r="AE580">
            <v>0</v>
          </cell>
        </row>
        <row r="581">
          <cell r="AE581">
            <v>0</v>
          </cell>
        </row>
        <row r="582">
          <cell r="AE582">
            <v>43814.872059339206</v>
          </cell>
        </row>
        <row r="583">
          <cell r="AE583">
            <v>514440.86849417666</v>
          </cell>
        </row>
        <row r="584">
          <cell r="AE584">
            <v>0</v>
          </cell>
        </row>
        <row r="585">
          <cell r="AE585">
            <v>0</v>
          </cell>
        </row>
        <row r="586">
          <cell r="AE586">
            <v>0</v>
          </cell>
        </row>
        <row r="587">
          <cell r="AE587">
            <v>0</v>
          </cell>
        </row>
        <row r="588">
          <cell r="AE588">
            <v>80845.439999999988</v>
          </cell>
        </row>
        <row r="589">
          <cell r="AE589">
            <v>0</v>
          </cell>
        </row>
        <row r="590">
          <cell r="AE590">
            <v>9773.0000000000018</v>
          </cell>
        </row>
        <row r="591">
          <cell r="AE591">
            <v>0</v>
          </cell>
        </row>
        <row r="592">
          <cell r="AE592">
            <v>14860.971716460532</v>
          </cell>
        </row>
        <row r="593">
          <cell r="AE593">
            <v>0</v>
          </cell>
        </row>
        <row r="594">
          <cell r="AE594">
            <v>10754.839999999998</v>
          </cell>
        </row>
        <row r="595">
          <cell r="AE595">
            <v>0</v>
          </cell>
        </row>
        <row r="596">
          <cell r="AE596">
            <v>0</v>
          </cell>
        </row>
        <row r="597">
          <cell r="AE597">
            <v>0</v>
          </cell>
        </row>
        <row r="598">
          <cell r="AE598">
            <v>66226.649999999994</v>
          </cell>
        </row>
        <row r="599">
          <cell r="AE599">
            <v>0</v>
          </cell>
        </row>
        <row r="602">
          <cell r="AE602">
            <v>57580.359999999986</v>
          </cell>
        </row>
        <row r="603">
          <cell r="AE603">
            <v>-981.77</v>
          </cell>
        </row>
        <row r="604">
          <cell r="AE604">
            <v>2775.0000000000005</v>
          </cell>
        </row>
        <row r="606">
          <cell r="AE606">
            <v>13890.599999999997</v>
          </cell>
        </row>
        <row r="607">
          <cell r="AE607">
            <v>0</v>
          </cell>
        </row>
        <row r="609">
          <cell r="AE609">
            <v>174271.4</v>
          </cell>
        </row>
        <row r="610">
          <cell r="AE610">
            <v>56027.22</v>
          </cell>
        </row>
        <row r="611">
          <cell r="AE611">
            <v>0</v>
          </cell>
        </row>
        <row r="613">
          <cell r="AE613">
            <v>309275.11817773967</v>
          </cell>
        </row>
        <row r="614">
          <cell r="AE614">
            <v>0</v>
          </cell>
        </row>
        <row r="615">
          <cell r="AE615">
            <v>0</v>
          </cell>
        </row>
        <row r="616">
          <cell r="AE616">
            <v>796860.82989420043</v>
          </cell>
        </row>
        <row r="617">
          <cell r="AE617">
            <v>0</v>
          </cell>
        </row>
        <row r="618">
          <cell r="AE618">
            <v>62212.179999999993</v>
          </cell>
        </row>
        <row r="619">
          <cell r="AE619">
            <v>62212.179999999993</v>
          </cell>
        </row>
        <row r="620">
          <cell r="AE620">
            <v>0</v>
          </cell>
        </row>
        <row r="622">
          <cell r="AE622">
            <v>2356.2600000000007</v>
          </cell>
        </row>
        <row r="623">
          <cell r="AE623">
            <v>3333</v>
          </cell>
        </row>
        <row r="624">
          <cell r="AE624">
            <v>8297.7199999999993</v>
          </cell>
        </row>
        <row r="625">
          <cell r="AE625">
            <v>0</v>
          </cell>
        </row>
        <row r="626">
          <cell r="AE626">
            <v>13986.979999999998</v>
          </cell>
        </row>
        <row r="627">
          <cell r="AE627">
            <v>0</v>
          </cell>
        </row>
        <row r="628">
          <cell r="AE628">
            <v>91324.81</v>
          </cell>
        </row>
        <row r="629">
          <cell r="AE629">
            <v>10148.970000000001</v>
          </cell>
        </row>
        <row r="630">
          <cell r="AE630">
            <v>14030.010000000002</v>
          </cell>
        </row>
        <row r="631">
          <cell r="AE631">
            <v>8976.18</v>
          </cell>
        </row>
        <row r="632">
          <cell r="AE632">
            <v>336.13000000000011</v>
          </cell>
        </row>
        <row r="633">
          <cell r="AE633">
            <v>3004.0099999999993</v>
          </cell>
        </row>
        <row r="634">
          <cell r="AE634">
            <v>-5354.57</v>
          </cell>
        </row>
        <row r="635">
          <cell r="AE635">
            <v>13920.619999999997</v>
          </cell>
        </row>
        <row r="636">
          <cell r="AE636">
            <v>143.00999999999988</v>
          </cell>
        </row>
        <row r="637">
          <cell r="AE637">
            <v>550.91999999999996</v>
          </cell>
        </row>
        <row r="638">
          <cell r="AE638">
            <v>4464.1899999999987</v>
          </cell>
        </row>
        <row r="639">
          <cell r="AE639">
            <v>176.16999999999996</v>
          </cell>
        </row>
        <row r="640">
          <cell r="AE640">
            <v>0</v>
          </cell>
        </row>
        <row r="641">
          <cell r="AE641">
            <v>-6247.239999999998</v>
          </cell>
        </row>
        <row r="642">
          <cell r="AE642">
            <v>4362.2700000000004</v>
          </cell>
        </row>
        <row r="643">
          <cell r="AE643">
            <v>0</v>
          </cell>
        </row>
        <row r="644">
          <cell r="AE644">
            <v>2466.09</v>
          </cell>
        </row>
        <row r="645">
          <cell r="AE645">
            <v>0</v>
          </cell>
        </row>
        <row r="646">
          <cell r="AE646">
            <v>0</v>
          </cell>
        </row>
        <row r="676">
          <cell r="AE676">
            <v>0</v>
          </cell>
        </row>
        <row r="677">
          <cell r="AE677">
            <v>0</v>
          </cell>
        </row>
        <row r="678">
          <cell r="AE678">
            <v>0</v>
          </cell>
        </row>
        <row r="679">
          <cell r="AE679">
            <v>0</v>
          </cell>
        </row>
        <row r="680">
          <cell r="AE680">
            <v>0</v>
          </cell>
        </row>
        <row r="681">
          <cell r="AE681">
            <v>0</v>
          </cell>
        </row>
        <row r="682">
          <cell r="AE682">
            <v>154.23999999999978</v>
          </cell>
        </row>
        <row r="683">
          <cell r="AE683">
            <v>0</v>
          </cell>
        </row>
        <row r="684">
          <cell r="AE684">
            <v>0</v>
          </cell>
        </row>
        <row r="685">
          <cell r="AE685">
            <v>0</v>
          </cell>
        </row>
        <row r="686">
          <cell r="AE686">
            <v>0</v>
          </cell>
        </row>
        <row r="687">
          <cell r="AE687">
            <v>0</v>
          </cell>
        </row>
        <row r="688">
          <cell r="AE688">
            <v>959.59999999999991</v>
          </cell>
        </row>
        <row r="689">
          <cell r="AE689">
            <v>2480.3599999999997</v>
          </cell>
        </row>
        <row r="690">
          <cell r="AE690">
            <v>0</v>
          </cell>
        </row>
        <row r="691">
          <cell r="AE691">
            <v>0</v>
          </cell>
        </row>
        <row r="692">
          <cell r="AE692">
            <v>0</v>
          </cell>
        </row>
        <row r="693">
          <cell r="AE693">
            <v>0</v>
          </cell>
        </row>
        <row r="694">
          <cell r="AE694">
            <v>0</v>
          </cell>
        </row>
        <row r="695">
          <cell r="AE695">
            <v>0</v>
          </cell>
        </row>
        <row r="696">
          <cell r="AE696">
            <v>0</v>
          </cell>
        </row>
        <row r="697">
          <cell r="AE697">
            <v>0</v>
          </cell>
        </row>
        <row r="698">
          <cell r="AE698">
            <v>0</v>
          </cell>
        </row>
        <row r="699">
          <cell r="AE699">
            <v>56.45</v>
          </cell>
        </row>
        <row r="700">
          <cell r="AE700">
            <v>21.710000000000008</v>
          </cell>
        </row>
        <row r="702">
          <cell r="AE702">
            <v>530.02999999999986</v>
          </cell>
        </row>
        <row r="703">
          <cell r="AE703">
            <v>0</v>
          </cell>
        </row>
        <row r="704">
          <cell r="AE704">
            <v>25475.369999999992</v>
          </cell>
        </row>
        <row r="705">
          <cell r="AE705">
            <v>4191.66</v>
          </cell>
        </row>
        <row r="706">
          <cell r="AE706">
            <v>659.46</v>
          </cell>
        </row>
        <row r="707">
          <cell r="AE707">
            <v>0</v>
          </cell>
        </row>
        <row r="708">
          <cell r="AE708">
            <v>0</v>
          </cell>
        </row>
        <row r="709">
          <cell r="AE709">
            <v>0</v>
          </cell>
        </row>
        <row r="710">
          <cell r="AE710">
            <v>0</v>
          </cell>
        </row>
        <row r="711">
          <cell r="AE711">
            <v>176875.87000000014</v>
          </cell>
        </row>
        <row r="712">
          <cell r="AE712">
            <v>0</v>
          </cell>
        </row>
        <row r="713">
          <cell r="AE713">
            <v>0</v>
          </cell>
        </row>
        <row r="714">
          <cell r="AE714">
            <v>-399105.17773150955</v>
          </cell>
        </row>
        <row r="715">
          <cell r="AE715">
            <v>-399105.17773150955</v>
          </cell>
        </row>
        <row r="716">
          <cell r="AE716">
            <v>0</v>
          </cell>
        </row>
        <row r="717">
          <cell r="AE717">
            <v>0</v>
          </cell>
        </row>
        <row r="718">
          <cell r="AE718">
            <v>0</v>
          </cell>
        </row>
        <row r="719">
          <cell r="AE719">
            <v>0</v>
          </cell>
        </row>
        <row r="720">
          <cell r="AE720">
            <v>24098.74</v>
          </cell>
        </row>
        <row r="721">
          <cell r="AE721">
            <v>24101.07</v>
          </cell>
        </row>
        <row r="722">
          <cell r="AE722">
            <v>3014</v>
          </cell>
        </row>
        <row r="723">
          <cell r="AE723">
            <v>25244.53</v>
          </cell>
        </row>
        <row r="724">
          <cell r="AE724">
            <v>0</v>
          </cell>
        </row>
        <row r="725">
          <cell r="AE725">
            <v>76458.340000000011</v>
          </cell>
        </row>
        <row r="726">
          <cell r="AE726">
            <v>0</v>
          </cell>
        </row>
        <row r="727">
          <cell r="AE727">
            <v>0</v>
          </cell>
        </row>
        <row r="728">
          <cell r="AE728">
            <v>0</v>
          </cell>
        </row>
        <row r="729">
          <cell r="AE729">
            <v>0</v>
          </cell>
        </row>
        <row r="730">
          <cell r="AE730">
            <v>727289.02216269088</v>
          </cell>
        </row>
        <row r="731">
          <cell r="AE731">
            <v>0</v>
          </cell>
        </row>
        <row r="732">
          <cell r="AE732">
            <v>0</v>
          </cell>
        </row>
        <row r="733">
          <cell r="AE733">
            <v>0</v>
          </cell>
        </row>
        <row r="734">
          <cell r="AE734">
            <v>0</v>
          </cell>
        </row>
        <row r="735">
          <cell r="AE735">
            <v>133142.5</v>
          </cell>
        </row>
        <row r="736">
          <cell r="AE736">
            <v>0</v>
          </cell>
        </row>
        <row r="737">
          <cell r="AE737">
            <v>17395</v>
          </cell>
        </row>
        <row r="738">
          <cell r="AE738">
            <v>0</v>
          </cell>
        </row>
        <row r="745">
          <cell r="AE745">
            <v>9996.620673515461</v>
          </cell>
        </row>
        <row r="746">
          <cell r="AE746">
            <v>18336.720401632061</v>
          </cell>
        </row>
        <row r="747">
          <cell r="AE747">
            <v>0</v>
          </cell>
        </row>
        <row r="748">
          <cell r="AE748">
            <v>0</v>
          </cell>
        </row>
        <row r="749">
          <cell r="AE749">
            <v>0</v>
          </cell>
        </row>
        <row r="750">
          <cell r="AE750">
            <v>13240.670000000002</v>
          </cell>
        </row>
        <row r="751">
          <cell r="AE751">
            <v>4395.0000000000027</v>
          </cell>
        </row>
        <row r="752">
          <cell r="AE752">
            <v>102139.16217081109</v>
          </cell>
        </row>
        <row r="753">
          <cell r="AE753">
            <v>0</v>
          </cell>
        </row>
        <row r="754">
          <cell r="AE754">
            <v>0</v>
          </cell>
        </row>
        <row r="755">
          <cell r="AE755">
            <v>23308.840000000004</v>
          </cell>
        </row>
        <row r="756">
          <cell r="AE756">
            <v>0</v>
          </cell>
        </row>
        <row r="757">
          <cell r="AE757">
            <v>519.96999999997206</v>
          </cell>
        </row>
        <row r="758">
          <cell r="AE758">
            <v>179.71000000000004</v>
          </cell>
        </row>
        <row r="763">
          <cell r="AE763">
            <v>0</v>
          </cell>
        </row>
        <row r="767">
          <cell r="AE767">
            <v>12033</v>
          </cell>
        </row>
        <row r="768">
          <cell r="AE768">
            <v>3305</v>
          </cell>
        </row>
        <row r="769">
          <cell r="AE769">
            <v>0</v>
          </cell>
        </row>
        <row r="770">
          <cell r="AE770">
            <v>9000</v>
          </cell>
        </row>
        <row r="771">
          <cell r="AE771">
            <v>1532</v>
          </cell>
        </row>
        <row r="772">
          <cell r="AE772">
            <v>7000</v>
          </cell>
        </row>
        <row r="773">
          <cell r="AE773">
            <v>1292</v>
          </cell>
        </row>
        <row r="774">
          <cell r="AE774">
            <v>9833</v>
          </cell>
        </row>
        <row r="775">
          <cell r="AE775">
            <v>2254</v>
          </cell>
        </row>
        <row r="776">
          <cell r="AE776">
            <v>0</v>
          </cell>
        </row>
        <row r="777">
          <cell r="AE777">
            <v>0</v>
          </cell>
        </row>
        <row r="779">
          <cell r="AE779">
            <v>2711.0000000000005</v>
          </cell>
        </row>
        <row r="784">
          <cell r="AE784">
            <v>0</v>
          </cell>
        </row>
        <row r="785">
          <cell r="AE785">
            <v>48534.342624284443</v>
          </cell>
        </row>
        <row r="786">
          <cell r="AE786">
            <v>16149.60663914428</v>
          </cell>
        </row>
        <row r="787">
          <cell r="AE787">
            <v>-59885.796351833967</v>
          </cell>
        </row>
        <row r="788">
          <cell r="AE788">
            <v>17207.885814271824</v>
          </cell>
        </row>
        <row r="789">
          <cell r="AE789">
            <v>4818.4830851697379</v>
          </cell>
        </row>
        <row r="790">
          <cell r="AE790">
            <v>0</v>
          </cell>
        </row>
        <row r="791">
          <cell r="AE791">
            <v>501948.01505699474</v>
          </cell>
        </row>
        <row r="792">
          <cell r="AE792">
            <v>0</v>
          </cell>
        </row>
        <row r="793">
          <cell r="AE793">
            <v>0</v>
          </cell>
        </row>
        <row r="794">
          <cell r="AE794">
            <v>0</v>
          </cell>
        </row>
        <row r="795">
          <cell r="AE795">
            <v>0</v>
          </cell>
        </row>
        <row r="796">
          <cell r="AE796">
            <v>0</v>
          </cell>
        </row>
        <row r="797">
          <cell r="AE797">
            <v>0</v>
          </cell>
        </row>
        <row r="798">
          <cell r="AE798">
            <v>0</v>
          </cell>
        </row>
        <row r="799">
          <cell r="AE799">
            <v>0</v>
          </cell>
        </row>
        <row r="800">
          <cell r="AE800">
            <v>688.57999999999993</v>
          </cell>
        </row>
        <row r="801">
          <cell r="AE801">
            <v>3521.4800000000005</v>
          </cell>
        </row>
        <row r="802">
          <cell r="AE802">
            <v>3965.9700000000003</v>
          </cell>
        </row>
        <row r="803">
          <cell r="AE803">
            <v>1292.22</v>
          </cell>
        </row>
        <row r="804">
          <cell r="AE804">
            <v>552.50999999999988</v>
          </cell>
        </row>
        <row r="805">
          <cell r="AE805">
            <v>1357.92</v>
          </cell>
        </row>
        <row r="806">
          <cell r="AE806">
            <v>0</v>
          </cell>
        </row>
        <row r="807">
          <cell r="AE807">
            <v>8370.7000000000007</v>
          </cell>
        </row>
        <row r="808">
          <cell r="AE808">
            <v>11628.779999999999</v>
          </cell>
        </row>
        <row r="810">
          <cell r="AE810">
            <v>11984.469999999998</v>
          </cell>
        </row>
        <row r="811">
          <cell r="AE811">
            <v>4063.7099999999991</v>
          </cell>
        </row>
        <row r="812">
          <cell r="AE812">
            <v>7719.179999999993</v>
          </cell>
        </row>
        <row r="813">
          <cell r="AE813">
            <v>0</v>
          </cell>
        </row>
        <row r="815">
          <cell r="AE815">
            <v>0</v>
          </cell>
        </row>
        <row r="816">
          <cell r="AE816">
            <v>-6246.9599999999991</v>
          </cell>
        </row>
        <row r="817">
          <cell r="AE817">
            <v>500.00000000000011</v>
          </cell>
        </row>
        <row r="818">
          <cell r="AE818">
            <v>0</v>
          </cell>
        </row>
        <row r="819">
          <cell r="AE819">
            <v>0</v>
          </cell>
        </row>
        <row r="820">
          <cell r="AE820">
            <v>0</v>
          </cell>
        </row>
        <row r="821">
          <cell r="AE821">
            <v>0</v>
          </cell>
        </row>
        <row r="822">
          <cell r="AE822">
            <v>0</v>
          </cell>
        </row>
        <row r="823">
          <cell r="AE823">
            <v>0</v>
          </cell>
        </row>
        <row r="824">
          <cell r="AE824">
            <v>0</v>
          </cell>
        </row>
        <row r="825">
          <cell r="AE825">
            <v>0</v>
          </cell>
        </row>
        <row r="826">
          <cell r="AE826">
            <v>0</v>
          </cell>
        </row>
        <row r="827">
          <cell r="AE827">
            <v>0</v>
          </cell>
        </row>
        <row r="828">
          <cell r="AE828">
            <v>0</v>
          </cell>
        </row>
        <row r="829">
          <cell r="AE829">
            <v>130.30000000000018</v>
          </cell>
        </row>
        <row r="832">
          <cell r="AE832">
            <v>8885.0100000000039</v>
          </cell>
        </row>
        <row r="833">
          <cell r="AE833">
            <v>3798.9600000000005</v>
          </cell>
        </row>
        <row r="834">
          <cell r="AE834">
            <v>16340.400000000001</v>
          </cell>
        </row>
        <row r="835">
          <cell r="AE835">
            <v>5208.41</v>
          </cell>
        </row>
        <row r="836">
          <cell r="AE836">
            <v>0</v>
          </cell>
        </row>
        <row r="837">
          <cell r="AE837">
            <v>2385.17</v>
          </cell>
        </row>
        <row r="838">
          <cell r="AE838">
            <v>651.57000000000016</v>
          </cell>
        </row>
        <row r="839">
          <cell r="AE839">
            <v>609</v>
          </cell>
        </row>
        <row r="840">
          <cell r="AE840">
            <v>0</v>
          </cell>
        </row>
        <row r="842">
          <cell r="AE842">
            <v>1611.3100000000002</v>
          </cell>
        </row>
        <row r="843">
          <cell r="AE843">
            <v>0</v>
          </cell>
        </row>
        <row r="844">
          <cell r="AE844">
            <v>0</v>
          </cell>
        </row>
        <row r="845">
          <cell r="AE845">
            <v>0</v>
          </cell>
        </row>
        <row r="846">
          <cell r="AE846">
            <v>0</v>
          </cell>
        </row>
        <row r="847">
          <cell r="AE847">
            <v>0</v>
          </cell>
        </row>
        <row r="848">
          <cell r="AE848">
            <v>-3493.619999999999</v>
          </cell>
        </row>
        <row r="849">
          <cell r="AE849">
            <v>0</v>
          </cell>
        </row>
        <row r="850">
          <cell r="AE850">
            <v>0</v>
          </cell>
        </row>
        <row r="851">
          <cell r="AE851">
            <v>90850.059999999939</v>
          </cell>
        </row>
        <row r="852">
          <cell r="AE852">
            <v>0</v>
          </cell>
        </row>
        <row r="853">
          <cell r="AE853">
            <v>0</v>
          </cell>
        </row>
        <row r="854">
          <cell r="AE854">
            <v>0</v>
          </cell>
        </row>
        <row r="855">
          <cell r="AE855">
            <v>0</v>
          </cell>
        </row>
      </sheetData>
      <sheetData sheetId="2"/>
      <sheetData sheetId="3"/>
      <sheetData sheetId="4"/>
      <sheetData sheetId="5"/>
      <sheetData sheetId="6"/>
      <sheetData sheetId="7">
        <row r="234">
          <cell r="B234">
            <v>20738423.839999996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319">
          <cell r="AP319">
            <v>-40588.419999999984</v>
          </cell>
        </row>
      </sheetData>
      <sheetData sheetId="21"/>
      <sheetData sheetId="22"/>
      <sheetData sheetId="23"/>
      <sheetData sheetId="24"/>
      <sheetData sheetId="25"/>
      <sheetData sheetId="26">
        <row r="148">
          <cell r="AO148">
            <v>-2013784.7599999998</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rev rec "/>
      <sheetName val="Q2 מיסים שוטפים 2019"/>
      <sheetName val="העמסת הנה&quot;כ (INC)"/>
      <sheetName val="Balances Sheet (Printing)"/>
      <sheetName val="העמסת הנה&quot;כ (UK)"/>
      <sheetName val="העמסת הנה&quot;כ"/>
      <sheetName val="יתרות בינחברתיות"/>
      <sheetName val="Revenues"/>
      <sheetName val="606-Prepaid Comm&amp;DR SUB"/>
      <sheetName val="Consolidation"/>
      <sheetName val="ביאורים לדוחות הכספיים"/>
      <sheetName val="WP"/>
      <sheetName val="FA"/>
      <sheetName val="תזרים Algosec LTD בש&quot;ח"/>
      <sheetName val="תזרים מאוחד ב-$"/>
      <sheetName val="NEW TP EU"/>
      <sheetName val="מאזן בוחן EUROPE"/>
      <sheetName val="פ.נ. EUROPE"/>
      <sheetName val="rev rec eu"/>
      <sheetName val="FS EU (old)"/>
      <sheetName val="FS EU"/>
      <sheetName val=" analytics eu"/>
      <sheetName val="מאזן בוחן Australia"/>
      <sheetName val="NEW TP AUD"/>
      <sheetName val="Rev Rec AU"/>
      <sheetName val="פ.נ. Australia"/>
      <sheetName val="FS AU"/>
      <sheetName val="Post-Closing Withdrawl Updated"/>
      <sheetName val="Post-Closing Withdrawl"/>
      <sheetName val="New TB INC"/>
      <sheetName val="NEW TP INC"/>
      <sheetName val="AJE 12 - INC"/>
      <sheetName val="rev rec"/>
      <sheetName val="Analytics"/>
      <sheetName val="Tax - Inc"/>
      <sheetName val="נתונים לשינוי"/>
    </sheetNames>
    <sheetDataSet>
      <sheetData sheetId="0">
        <row r="62">
          <cell r="P62">
            <v>-7606086.2278262526</v>
          </cell>
        </row>
      </sheetData>
      <sheetData sheetId="1"/>
      <sheetData sheetId="2">
        <row r="1">
          <cell r="F1">
            <v>-1.0913936421275139E-11</v>
          </cell>
        </row>
        <row r="929">
          <cell r="AR929">
            <v>3493.6200000000026</v>
          </cell>
        </row>
        <row r="930">
          <cell r="AR930">
            <v>0</v>
          </cell>
        </row>
        <row r="931">
          <cell r="AR931">
            <v>0</v>
          </cell>
        </row>
        <row r="932">
          <cell r="AR932">
            <v>77986.380000000121</v>
          </cell>
        </row>
        <row r="933">
          <cell r="AR933">
            <v>0</v>
          </cell>
        </row>
        <row r="934">
          <cell r="AR934">
            <v>0</v>
          </cell>
        </row>
        <row r="935">
          <cell r="AR935">
            <v>0</v>
          </cell>
        </row>
        <row r="936">
          <cell r="AR936">
            <v>0</v>
          </cell>
        </row>
        <row r="941">
          <cell r="AR941">
            <v>0</v>
          </cell>
        </row>
        <row r="942">
          <cell r="AR942">
            <v>0</v>
          </cell>
        </row>
        <row r="943">
          <cell r="AR943">
            <v>281347.26926892984</v>
          </cell>
        </row>
        <row r="945">
          <cell r="AR945"/>
        </row>
        <row r="946">
          <cell r="AR946"/>
        </row>
        <row r="947">
          <cell r="AR947"/>
        </row>
        <row r="948">
          <cell r="AR948"/>
        </row>
        <row r="949">
          <cell r="AR949"/>
        </row>
        <row r="950">
          <cell r="AR950"/>
        </row>
        <row r="951">
          <cell r="AR951"/>
        </row>
        <row r="952">
          <cell r="AR952"/>
        </row>
        <row r="953">
          <cell r="AR953"/>
        </row>
        <row r="954">
          <cell r="AR954"/>
        </row>
        <row r="955">
          <cell r="AR955"/>
        </row>
        <row r="956">
          <cell r="AR956"/>
        </row>
        <row r="957">
          <cell r="AR957"/>
        </row>
        <row r="959">
          <cell r="AR959"/>
        </row>
        <row r="960">
          <cell r="AR960"/>
        </row>
        <row r="961">
          <cell r="AR961"/>
        </row>
        <row r="962">
          <cell r="AR962"/>
        </row>
      </sheetData>
      <sheetData sheetId="3"/>
      <sheetData sheetId="4"/>
      <sheetData sheetId="5"/>
      <sheetData sheetId="6"/>
      <sheetData sheetId="7"/>
      <sheetData sheetId="8"/>
      <sheetData sheetId="9"/>
      <sheetData sheetId="10"/>
      <sheetData sheetId="11"/>
      <sheetData sheetId="12"/>
      <sheetData sheetId="13">
        <row r="77">
          <cell r="H77">
            <v>-1254840.5745072223</v>
          </cell>
        </row>
      </sheetData>
      <sheetData sheetId="14"/>
      <sheetData sheetId="15"/>
      <sheetData sheetId="16"/>
      <sheetData sheetId="17"/>
      <sheetData sheetId="18"/>
      <sheetData sheetId="19"/>
      <sheetData sheetId="20">
        <row r="2">
          <cell r="B2" t="str">
            <v xml:space="preserve">Algosec Europe Ltd </v>
          </cell>
        </row>
      </sheetData>
      <sheetData sheetId="21"/>
      <sheetData sheetId="22"/>
      <sheetData sheetId="23"/>
      <sheetData sheetId="24"/>
      <sheetData sheetId="25"/>
      <sheetData sheetId="26">
        <row r="6">
          <cell r="D6" t="str">
            <v>סעיף</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row r="3">
          <cell r="D3">
            <v>44012</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גיליון1"/>
    </sheetNames>
    <sheetDataSet>
      <sheetData sheetId="0">
        <row r="31">
          <cell r="N31">
            <v>64283.468251972365</v>
          </cell>
          <cell r="O31">
            <v>43585</v>
          </cell>
          <cell r="P31">
            <v>424340.74132711097</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s>
    <sheetDataSet>
      <sheetData sheetId="0" refreshError="1"/>
      <sheetData sheetId="1">
        <row r="16">
          <cell r="F16">
            <v>54.295081967213122</v>
          </cell>
        </row>
        <row r="17">
          <cell r="F17">
            <v>53.114754098360663</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5">
          <cell r="G5">
            <v>409828</v>
          </cell>
        </row>
        <row r="6">
          <cell r="G6">
            <v>41395.163301849563</v>
          </cell>
        </row>
        <row r="7">
          <cell r="G7">
            <v>23417.46871219348</v>
          </cell>
        </row>
        <row r="8">
          <cell r="G8">
            <v>77075.76300378202</v>
          </cell>
        </row>
        <row r="9">
          <cell r="G9">
            <v>100975.97120536382</v>
          </cell>
        </row>
        <row r="10">
          <cell r="G10">
            <v>64150.019317070917</v>
          </cell>
        </row>
        <row r="11">
          <cell r="G11">
            <v>200897</v>
          </cell>
        </row>
        <row r="14">
          <cell r="G14">
            <v>8188.2292357645856</v>
          </cell>
        </row>
        <row r="15">
          <cell r="G15">
            <v>3533</v>
          </cell>
        </row>
        <row r="16">
          <cell r="G16">
            <v>10947.01234233423</v>
          </cell>
        </row>
        <row r="19">
          <cell r="G19">
            <v>34280.257323448568</v>
          </cell>
        </row>
        <row r="20">
          <cell r="G20">
            <v>18821.186991176884</v>
          </cell>
        </row>
        <row r="22">
          <cell r="B22">
            <v>31447.790594414881</v>
          </cell>
          <cell r="C22">
            <v>76806.885241410113</v>
          </cell>
          <cell r="F22">
            <v>24339.002184833829</v>
          </cell>
          <cell r="G22">
            <v>993509.0714329842</v>
          </cell>
        </row>
        <row r="31">
          <cell r="F31">
            <v>37696.559225053454</v>
          </cell>
        </row>
        <row r="49">
          <cell r="N49">
            <v>5411.0352403089228</v>
          </cell>
          <cell r="O49">
            <v>202.69660236269195</v>
          </cell>
          <cell r="P49">
            <v>3146.5086959628516</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ow r="37">
          <cell r="J37">
            <v>-17221828.8459091</v>
          </cell>
        </row>
      </sheetData>
      <sheetData sheetId="1"/>
      <sheetData sheetId="2">
        <row r="25">
          <cell r="E25">
            <v>6622475.6200000001</v>
          </cell>
        </row>
      </sheetData>
      <sheetData sheetId="3"/>
      <sheetData sheetId="4">
        <row r="4">
          <cell r="H4">
            <v>5748419</v>
          </cell>
          <cell r="J4">
            <v>4572193</v>
          </cell>
        </row>
      </sheetData>
      <sheetData sheetId="5"/>
      <sheetData sheetId="6"/>
      <sheetData sheetId="7"/>
      <sheetData sheetId="8"/>
      <sheetData sheetId="9"/>
      <sheetData sheetId="10"/>
      <sheetData sheetId="11"/>
      <sheetData sheetId="12">
        <row r="35">
          <cell r="C35">
            <v>3608931</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row r="42">
          <cell r="D42">
            <v>1376676.07</v>
          </cell>
        </row>
        <row r="43">
          <cell r="D43">
            <v>54561</v>
          </cell>
        </row>
        <row r="44">
          <cell r="D44">
            <v>269579.90000000241</v>
          </cell>
        </row>
      </sheetData>
      <sheetData sheetId="26">
        <row r="100">
          <cell r="J100">
            <v>-520866.29</v>
          </cell>
        </row>
        <row r="103">
          <cell r="J103">
            <v>-34652</v>
          </cell>
        </row>
      </sheetData>
      <sheetData sheetId="27"/>
      <sheetData sheetId="28">
        <row r="43">
          <cell r="D43">
            <v>-238905.73</v>
          </cell>
        </row>
        <row r="44">
          <cell r="D44">
            <v>99866.230000000403</v>
          </cell>
        </row>
      </sheetData>
      <sheetData sheetId="29"/>
      <sheetData sheetId="30"/>
      <sheetData sheetId="31">
        <row r="396">
          <cell r="M396">
            <v>500113.83000001567</v>
          </cell>
        </row>
      </sheetData>
      <sheetData sheetId="32"/>
      <sheetData sheetId="33"/>
      <sheetData sheetId="34"/>
      <sheetData sheetId="35"/>
      <sheetData sheetId="36"/>
      <sheetData sheetId="37"/>
      <sheetData sheetId="38"/>
      <sheetData sheetId="39"/>
      <sheetData sheetId="40"/>
      <sheetData sheetId="41">
        <row r="1">
          <cell r="C1"/>
        </row>
      </sheetData>
      <sheetData sheetId="42"/>
      <sheetData sheetId="43">
        <row r="63">
          <cell r="C63">
            <v>10437028.51</v>
          </cell>
        </row>
      </sheetData>
      <sheetData sheetId="44"/>
      <sheetData sheetId="45"/>
      <sheetData sheetId="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בדיקת הפקדה לבעל שליטה"/>
      <sheetName val="הפקדות לבעש"/>
    </sheetNames>
    <sheetDataSet>
      <sheetData sheetId="0">
        <row r="47">
          <cell r="E47">
            <v>25223.52</v>
          </cell>
        </row>
      </sheetData>
      <sheetData sheetId="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azavri 2021"/>
      <sheetName val="yazavri 2020"/>
      <sheetName val="Reference Rates (2)"/>
      <sheetName val="Reference Rates"/>
    </sheetNames>
    <sheetDataSet>
      <sheetData sheetId="0"/>
      <sheetData sheetId="1"/>
      <sheetData sheetId="2">
        <row r="15">
          <cell r="K15">
            <v>4.5281581920933095E-2</v>
          </cell>
        </row>
      </sheetData>
      <sheetData sheetId="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חישוב עודפות ruthi"/>
      <sheetName val="מתנות מוכרות ruthi"/>
      <sheetName val="חישוב עודפות"/>
      <sheetName val="דוח שווים 2017"/>
      <sheetName val="8030012"/>
      <sheetName val="8030017"/>
      <sheetName val="8030025"/>
      <sheetName val="8030018"/>
      <sheetName val="8030022"/>
      <sheetName val="8030023"/>
      <sheetName val="דוח שווים"/>
      <sheetName val="תקרות מה 2019"/>
      <sheetName val="8030026"/>
      <sheetName val="TB 2020"/>
      <sheetName val="שווים 1-12.2021"/>
      <sheetName val="שווי 1.2021"/>
      <sheetName val="זקופות 1-10.21"/>
      <sheetName val="זקופות 11.2021"/>
      <sheetName val="שווי שקלולית מול כרטיס ארוחות"/>
    </sheetNames>
    <sheetDataSet>
      <sheetData sheetId="0" refreshError="1"/>
      <sheetData sheetId="1" refreshError="1"/>
      <sheetData sheetId="2">
        <row r="13">
          <cell r="F13">
            <v>149649.81723699998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9 כיבוד "/>
      <sheetName val="2018 כיבוד "/>
      <sheetName val="כיבוד 2017"/>
      <sheetName val="2016 כיבוד"/>
      <sheetName val="מרכז"/>
    </sheetNames>
    <sheetDataSet>
      <sheetData sheetId="0"/>
      <sheetData sheetId="1"/>
      <sheetData sheetId="2"/>
      <sheetData sheetId="3"/>
      <sheetData sheetId="4">
        <row r="31">
          <cell r="R31">
            <v>377286</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תזרים Algosec LTD בש&quot;ח"/>
      <sheetName val="ביאורים לדוחות הכספיים"/>
      <sheetName val="80093"/>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מאוחד ב-$"/>
      <sheetName val="606-Prepaid Comm&amp;DR SUB"/>
      <sheetName val="1130001"/>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efreshError="1"/>
      <sheetData sheetId="1" refreshError="1"/>
      <sheetData sheetId="2" refreshError="1"/>
      <sheetData sheetId="3" refreshError="1"/>
      <sheetData sheetId="4">
        <row r="48">
          <cell r="D48">
            <v>3146824.7773746625</v>
          </cell>
        </row>
        <row r="69">
          <cell r="D69">
            <v>-1183657.2235897435</v>
          </cell>
        </row>
        <row r="79">
          <cell r="D79">
            <v>5193947.6606084006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ivot"/>
      <sheetName val="דוח תנועות"/>
      <sheetName val="Pivot מעודכן"/>
      <sheetName val="דוח תנועות כולל הכנסות חייבות"/>
      <sheetName val="בדיקה"/>
    </sheetNames>
    <sheetDataSet>
      <sheetData sheetId="0">
        <row r="3">
          <cell r="F3">
            <v>6.3969930293737865E-3</v>
          </cell>
        </row>
      </sheetData>
      <sheetData sheetId="1"/>
      <sheetData sheetId="2"/>
      <sheetData sheetId="3"/>
      <sheetData sheetId="4"/>
      <sheetData sheetId="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ופ מוכר (2019)"/>
    </sheetNames>
    <sheetDataSet>
      <sheetData sheetId="0">
        <row r="11">
          <cell r="B11">
            <v>0.88711005989258351</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ופ מוכר (2019)"/>
    </sheetNames>
    <sheetDataSet>
      <sheetData sheetId="0">
        <row r="34">
          <cell r="C34">
            <v>175890.22063357383</v>
          </cell>
        </row>
        <row r="46">
          <cell r="E46">
            <v>2504274.9810992503</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
      <sheetName val="2018"/>
      <sheetName val="2-3 Years "/>
      <sheetName val="Increase Maint"/>
      <sheetName val="Renewals"/>
      <sheetName val="Subscription - New "/>
    </sheetNames>
    <sheetDataSet>
      <sheetData sheetId="0">
        <row r="3">
          <cell r="AC3">
            <v>48534.342624284443</v>
          </cell>
          <cell r="AU3">
            <v>20286.030124284447</v>
          </cell>
          <cell r="AV3">
            <v>10027.662827364446</v>
          </cell>
          <cell r="AW3">
            <v>5962.209777252785</v>
          </cell>
          <cell r="AX3">
            <v>3899.7095219511407</v>
          </cell>
        </row>
        <row r="4">
          <cell r="AU4">
            <v>20005.206930574819</v>
          </cell>
          <cell r="AV4">
            <v>17640.996292664404</v>
          </cell>
          <cell r="AW4">
            <v>13377.227452456067</v>
          </cell>
          <cell r="AX4">
            <v>6324.0633392687514</v>
          </cell>
        </row>
        <row r="5">
          <cell r="AU5">
            <v>7923.880383570664</v>
          </cell>
          <cell r="AV5">
            <v>5240.413314370664</v>
          </cell>
          <cell r="AW5">
            <v>4162.5047632708338</v>
          </cell>
          <cell r="AX5">
            <v>3685.1690953708339</v>
          </cell>
        </row>
        <row r="6">
          <cell r="AU6">
            <v>1455.1845782435898</v>
          </cell>
          <cell r="AV6">
            <v>1054.9437358897435</v>
          </cell>
          <cell r="AW6">
            <v>773.59057628076914</v>
          </cell>
          <cell r="AX6">
            <v>93.691754049999986</v>
          </cell>
        </row>
        <row r="7">
          <cell r="AO7">
            <v>101211.98951667351</v>
          </cell>
          <cell r="AP7">
            <v>88326.567641673508</v>
          </cell>
          <cell r="AQ7">
            <v>75441.145766673508</v>
          </cell>
          <cell r="AR7">
            <v>62555.723891673522</v>
          </cell>
          <cell r="AU7">
            <v>49670.302016673522</v>
          </cell>
          <cell r="AV7">
            <v>33964.016170289251</v>
          </cell>
          <cell r="AW7">
            <v>24275.532569260457</v>
          </cell>
          <cell r="AX7">
            <v>14002.633710640726</v>
          </cell>
          <cell r="CQ7">
            <v>126586.14576667351</v>
          </cell>
          <cell r="CW7">
            <v>113899.06764167351</v>
          </cell>
        </row>
      </sheetData>
      <sheetData sheetId="1"/>
      <sheetData sheetId="2"/>
      <sheetData sheetId="3"/>
      <sheetData sheetId="4"/>
      <sheetData sheetId="5"/>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pricing From October 2018"/>
      <sheetName val="subscr only 01-03 "/>
      <sheetName val="Sheet1"/>
      <sheetName val="pivot per user"/>
      <sheetName val="COMM Q1 2019"/>
      <sheetName val="SUB"/>
      <sheetName val="General"/>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S29">
            <v>2445.6484289262062</v>
          </cell>
          <cell r="AE29">
            <v>2244.1524107142855</v>
          </cell>
          <cell r="AF29">
            <v>2138.2381249999999</v>
          </cell>
          <cell r="AG29">
            <v>2138.2381249999999</v>
          </cell>
          <cell r="AH29">
            <v>2138.2381249999999</v>
          </cell>
          <cell r="AL29">
            <v>2138.2381249999999</v>
          </cell>
          <cell r="AM29">
            <v>0</v>
          </cell>
        </row>
        <row r="30">
          <cell r="AE30">
            <v>3586.2239935064936</v>
          </cell>
          <cell r="AF30">
            <v>2398.5949999999998</v>
          </cell>
          <cell r="AG30">
            <v>2398.5949999999998</v>
          </cell>
          <cell r="AH30">
            <v>2398.5949999999998</v>
          </cell>
          <cell r="AL30">
            <v>2398.5949999999998</v>
          </cell>
          <cell r="AM30">
            <v>0</v>
          </cell>
          <cell r="AN30">
            <v>0</v>
          </cell>
          <cell r="AO30">
            <v>0</v>
          </cell>
        </row>
        <row r="31">
          <cell r="AE31">
            <v>1576.1986038961043</v>
          </cell>
          <cell r="AF31">
            <v>1282.7875000000004</v>
          </cell>
          <cell r="AG31">
            <v>1282.7875000000004</v>
          </cell>
          <cell r="AH31">
            <v>1282.7875000000004</v>
          </cell>
          <cell r="AL31">
            <v>1282.7875000000004</v>
          </cell>
        </row>
        <row r="32">
          <cell r="AE32">
            <v>5721.7992857142854</v>
          </cell>
          <cell r="AF32">
            <v>1040.5725</v>
          </cell>
          <cell r="AG32">
            <v>1040.5725</v>
          </cell>
          <cell r="AH32">
            <v>1040.5725</v>
          </cell>
          <cell r="AL32">
            <v>1040.5725</v>
          </cell>
          <cell r="AM32">
            <v>0</v>
          </cell>
          <cell r="AN32">
            <v>0</v>
          </cell>
          <cell r="AO32">
            <v>0</v>
          </cell>
        </row>
        <row r="33">
          <cell r="S33">
            <v>15562.519434559646</v>
          </cell>
          <cell r="T33">
            <v>15562.519434559646</v>
          </cell>
          <cell r="X33">
            <v>15562.519434559646</v>
          </cell>
          <cell r="Y33">
            <v>13128.374293831168</v>
          </cell>
          <cell r="Z33">
            <v>13128.374293831168</v>
          </cell>
          <cell r="AA33">
            <v>13128.374293831168</v>
          </cell>
          <cell r="AE33">
            <v>13128.374293831168</v>
          </cell>
          <cell r="AF33">
            <v>6860.1931249999998</v>
          </cell>
          <cell r="AG33">
            <v>6860.1931249999998</v>
          </cell>
          <cell r="AH33">
            <v>6860.1931249999998</v>
          </cell>
          <cell r="AI33"/>
          <cell r="AJ33"/>
          <cell r="AK33"/>
          <cell r="AL33">
            <v>6860.1931249999998</v>
          </cell>
          <cell r="AM33">
            <v>0</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pivot per user"/>
      <sheetName val="ALL H1 2019 "/>
      <sheetName val="Q2 for Provision"/>
      <sheetName val="Prov Q2 for Comm"/>
      <sheetName val="SUB"/>
      <sheetName val="comm for AC for Prov "/>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S29">
            <v>1134.0700244230256</v>
          </cell>
          <cell r="AE29">
            <v>1134.0700244230256</v>
          </cell>
          <cell r="AF29">
            <v>1134.0700244230256</v>
          </cell>
          <cell r="AG29">
            <v>1022.8306249999991</v>
          </cell>
          <cell r="AH29">
            <v>1022.8306249999991</v>
          </cell>
          <cell r="AL29">
            <v>1022.8306249999991</v>
          </cell>
          <cell r="AM29">
            <v>1022.8306249999991</v>
          </cell>
          <cell r="AN29">
            <v>0</v>
          </cell>
          <cell r="AO29">
            <v>0</v>
          </cell>
        </row>
        <row r="30">
          <cell r="AE30">
            <v>6761.042975235001</v>
          </cell>
          <cell r="AF30">
            <v>6761.042975235001</v>
          </cell>
          <cell r="AG30">
            <v>4733.3618814554575</v>
          </cell>
          <cell r="AH30">
            <v>4733.3618814554575</v>
          </cell>
          <cell r="AL30">
            <v>4442.3756293036386</v>
          </cell>
          <cell r="AM30">
            <v>4264.0231250000015</v>
          </cell>
          <cell r="AN30">
            <v>0</v>
          </cell>
          <cell r="AO30">
            <v>0</v>
          </cell>
        </row>
        <row r="31">
          <cell r="AE31">
            <v>3061.4828883506839</v>
          </cell>
          <cell r="AF31">
            <v>3061.4828883506839</v>
          </cell>
          <cell r="AG31">
            <v>1568.7581249999998</v>
          </cell>
          <cell r="AH31">
            <v>1568.7581249999998</v>
          </cell>
          <cell r="AL31">
            <v>1568.7581249999998</v>
          </cell>
          <cell r="AM31">
            <v>1568.7581249999998</v>
          </cell>
          <cell r="AN31">
            <v>0</v>
          </cell>
          <cell r="AO31">
            <v>0</v>
          </cell>
        </row>
        <row r="32">
          <cell r="AE32">
            <v>520.3293749999998</v>
          </cell>
          <cell r="AF32">
            <v>520.3293749999998</v>
          </cell>
          <cell r="AG32">
            <v>520.3293749999998</v>
          </cell>
          <cell r="AH32">
            <v>520.3293749999998</v>
          </cell>
          <cell r="AL32">
            <v>520.3293749999998</v>
          </cell>
          <cell r="AM32">
            <v>520.3293749999998</v>
          </cell>
          <cell r="AN32">
            <v>0</v>
          </cell>
          <cell r="AO32">
            <v>0</v>
          </cell>
        </row>
        <row r="33">
          <cell r="Z33">
            <v>11476.92526300871</v>
          </cell>
          <cell r="AA33">
            <v>11476.92526300871</v>
          </cell>
          <cell r="AE33">
            <v>11476.92526300871</v>
          </cell>
          <cell r="AF33">
            <v>11476.92526300871</v>
          </cell>
          <cell r="AG33">
            <v>7845.2800064554558</v>
          </cell>
          <cell r="AH33">
            <v>7845.2800064554558</v>
          </cell>
          <cell r="AI33"/>
          <cell r="AJ33"/>
          <cell r="AK33"/>
          <cell r="AL33">
            <v>7554.2937543036369</v>
          </cell>
          <cell r="AM33">
            <v>7375.9412499999999</v>
          </cell>
          <cell r="AN33">
            <v>0</v>
          </cell>
          <cell r="AO33">
            <v>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check "/>
      <sheetName val="PROVISION Q3"/>
      <sheetName val="1-3Q"/>
      <sheetName val="PIVOT prio 1-3"/>
      <sheetName val="prio 1-3"/>
      <sheetName val="PER STATE"/>
      <sheetName val="606 per user"/>
      <sheetName val="SUB"/>
      <sheetName val="ALL"/>
    </sheetNames>
    <sheetDataSet>
      <sheetData sheetId="0"/>
      <sheetData sheetId="1"/>
      <sheetData sheetId="2"/>
      <sheetData sheetId="3"/>
      <sheetData sheetId="4"/>
      <sheetData sheetId="5"/>
      <sheetData sheetId="6"/>
      <sheetData sheetId="7"/>
      <sheetData sheetId="8"/>
      <sheetData sheetId="9"/>
      <sheetData sheetId="10">
        <row r="29">
          <cell r="S29">
            <v>1869.2810486087285</v>
          </cell>
          <cell r="AE29">
            <v>1354.8989970930247</v>
          </cell>
          <cell r="AF29">
            <v>1354.8989970930247</v>
          </cell>
          <cell r="AG29">
            <v>1354.8989970930247</v>
          </cell>
          <cell r="AH29">
            <v>1334.6406250000014</v>
          </cell>
          <cell r="AL29">
            <v>1334.6406250000014</v>
          </cell>
          <cell r="AM29">
            <v>1334.6406250000014</v>
          </cell>
          <cell r="AN29">
            <v>1334.6406250000014</v>
          </cell>
          <cell r="AO29">
            <v>0</v>
          </cell>
        </row>
        <row r="30">
          <cell r="AE30">
            <v>2786.3657608695635</v>
          </cell>
          <cell r="AF30">
            <v>2786.3657608695635</v>
          </cell>
          <cell r="AG30">
            <v>2786.3657608695635</v>
          </cell>
          <cell r="AH30">
            <v>2366.1112499999981</v>
          </cell>
          <cell r="AL30">
            <v>2366.1112499999981</v>
          </cell>
          <cell r="AM30">
            <v>2366.1112499999981</v>
          </cell>
          <cell r="AN30">
            <v>2366.1112499999981</v>
          </cell>
          <cell r="AO30">
            <v>0</v>
          </cell>
        </row>
        <row r="31">
          <cell r="AE31">
            <v>7247.7119040697671</v>
          </cell>
          <cell r="AF31">
            <v>7247.7119040697671</v>
          </cell>
          <cell r="AG31">
            <v>7247.7119040697671</v>
          </cell>
          <cell r="AH31">
            <v>1057.5356250000009</v>
          </cell>
          <cell r="AL31">
            <v>1057.5356250000009</v>
          </cell>
          <cell r="AM31">
            <v>1057.5356250000009</v>
          </cell>
          <cell r="AN31">
            <v>1057.5356250000009</v>
          </cell>
          <cell r="AO31">
            <v>0</v>
          </cell>
        </row>
        <row r="32">
          <cell r="AE32">
            <v>3016.2077331606215</v>
          </cell>
          <cell r="AF32">
            <v>3016.2077331606215</v>
          </cell>
          <cell r="AG32">
            <v>3016.2077331606215</v>
          </cell>
          <cell r="AH32">
            <v>360.37750000000028</v>
          </cell>
          <cell r="AL32">
            <v>360.37750000000028</v>
          </cell>
          <cell r="AM32">
            <v>360.37750000000028</v>
          </cell>
          <cell r="AN32">
            <v>360.37750000000028</v>
          </cell>
          <cell r="AO32">
            <v>0</v>
          </cell>
        </row>
        <row r="33">
          <cell r="S33">
            <v>22706.027225433558</v>
          </cell>
          <cell r="T33">
            <v>14539.518970141302</v>
          </cell>
          <cell r="X33">
            <v>14511.247773571356</v>
          </cell>
          <cell r="Y33">
            <v>14504.707773571356</v>
          </cell>
          <cell r="Z33">
            <v>14504.707773571356</v>
          </cell>
          <cell r="AA33">
            <v>14405.184395192977</v>
          </cell>
          <cell r="AE33">
            <v>14405.184395192977</v>
          </cell>
          <cell r="AF33">
            <v>14405.184395192977</v>
          </cell>
          <cell r="AG33">
            <v>14405.184395192977</v>
          </cell>
          <cell r="AH33">
            <v>5118.6650000000009</v>
          </cell>
          <cell r="AI33"/>
          <cell r="AJ33"/>
          <cell r="AK33"/>
          <cell r="AL33">
            <v>5118.6650000000009</v>
          </cell>
          <cell r="AM33">
            <v>5118.6650000000009</v>
          </cell>
          <cell r="AN33">
            <v>5118.6650000000009</v>
          </cell>
          <cell r="AO33">
            <v>0</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  (2)"/>
      <sheetName val="DATA YAIR (2)"/>
      <sheetName val="HR KEY"/>
      <sheetName val="General"/>
      <sheetName val="606"/>
      <sheetName val="SUB "/>
      <sheetName val="DATA YAIR"/>
      <sheetName val="ALL"/>
      <sheetName val="PER STAT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9">
          <cell r="S29">
            <v>7003.984518516203</v>
          </cell>
          <cell r="AE29">
            <v>6356.1919864060155</v>
          </cell>
          <cell r="AF29">
            <v>6356.1919864060155</v>
          </cell>
          <cell r="AG29">
            <v>6356.1919864060155</v>
          </cell>
          <cell r="AH29">
            <v>6356.1919864060155</v>
          </cell>
          <cell r="AL29">
            <v>2862.4938070228077</v>
          </cell>
          <cell r="AM29">
            <v>2843.0812499999984</v>
          </cell>
          <cell r="AN29">
            <v>2833.6012499999983</v>
          </cell>
          <cell r="AO29">
            <v>2833.6012499999983</v>
          </cell>
          <cell r="AP29"/>
          <cell r="AQ29"/>
          <cell r="AR29" t="str">
            <v xml:space="preserve">LTD </v>
          </cell>
          <cell r="AS29">
            <v>0</v>
          </cell>
          <cell r="AT29">
            <v>0</v>
          </cell>
          <cell r="AU29">
            <v>0</v>
          </cell>
          <cell r="AV29">
            <v>0</v>
          </cell>
        </row>
        <row r="30">
          <cell r="AE30">
            <v>25746.672100430918</v>
          </cell>
          <cell r="AF30">
            <v>25746.672100430918</v>
          </cell>
          <cell r="AG30">
            <v>25746.672100430918</v>
          </cell>
          <cell r="AH30">
            <v>25746.672100430918</v>
          </cell>
          <cell r="AL30">
            <v>7815.708125000001</v>
          </cell>
          <cell r="AM30">
            <v>7815.708125000001</v>
          </cell>
          <cell r="AN30">
            <v>7815.708125000001</v>
          </cell>
          <cell r="AO30">
            <v>7815.708125000001</v>
          </cell>
          <cell r="AP30"/>
          <cell r="AQ30"/>
          <cell r="AR30" t="str">
            <v xml:space="preserve">INC </v>
          </cell>
          <cell r="AS30">
            <v>0</v>
          </cell>
          <cell r="AT30">
            <v>0</v>
          </cell>
          <cell r="AU30">
            <v>0</v>
          </cell>
          <cell r="AV30">
            <v>0</v>
          </cell>
        </row>
        <row r="31">
          <cell r="AE31">
            <v>12054.217996237789</v>
          </cell>
          <cell r="AF31">
            <v>12050.262426558504</v>
          </cell>
          <cell r="AG31">
            <v>12050.262426558504</v>
          </cell>
          <cell r="AH31">
            <v>12050.262426558504</v>
          </cell>
          <cell r="AL31">
            <v>5607.3468390804574</v>
          </cell>
          <cell r="AM31">
            <v>5593.706839080457</v>
          </cell>
          <cell r="AN31">
            <v>5593.706839080457</v>
          </cell>
          <cell r="AO31">
            <v>5593.706839080457</v>
          </cell>
          <cell r="AP31"/>
          <cell r="AQ31"/>
          <cell r="AR31" t="str">
            <v xml:space="preserve">Europe </v>
          </cell>
          <cell r="AS31">
            <v>199.95933908045976</v>
          </cell>
          <cell r="AT31">
            <v>199.95933908045976</v>
          </cell>
          <cell r="AU31">
            <v>199.95933908045976</v>
          </cell>
          <cell r="AV31">
            <v>199.95933908045976</v>
          </cell>
          <cell r="AW31"/>
          <cell r="AX31"/>
        </row>
        <row r="32">
          <cell r="AE32">
            <v>98.988125000000309</v>
          </cell>
          <cell r="AF32">
            <v>98.988125000000309</v>
          </cell>
          <cell r="AG32">
            <v>98.988125000000309</v>
          </cell>
          <cell r="AH32">
            <v>98.988125000000309</v>
          </cell>
          <cell r="AL32">
            <v>98.988125000000309</v>
          </cell>
          <cell r="AM32">
            <v>98.988125000000309</v>
          </cell>
          <cell r="AN32">
            <v>98.988125000000309</v>
          </cell>
          <cell r="AO32">
            <v>98.988125000000309</v>
          </cell>
          <cell r="AP32"/>
          <cell r="AQ32"/>
          <cell r="AR32" t="str">
            <v xml:space="preserve">AUS </v>
          </cell>
          <cell r="AS32">
            <v>0</v>
          </cell>
          <cell r="AT32">
            <v>0</v>
          </cell>
          <cell r="AU32">
            <v>0</v>
          </cell>
          <cell r="AV32">
            <v>0</v>
          </cell>
        </row>
        <row r="33">
          <cell r="S33">
            <v>59256.515671765635</v>
          </cell>
          <cell r="T33">
            <v>59244.735671765637</v>
          </cell>
          <cell r="X33">
            <v>48712.303826695628</v>
          </cell>
          <cell r="Y33">
            <v>48709.810459186279</v>
          </cell>
          <cell r="Z33">
            <v>48709.810459186279</v>
          </cell>
          <cell r="AA33">
            <v>48708.797718017624</v>
          </cell>
          <cell r="AE33">
            <v>44256.070208074729</v>
          </cell>
          <cell r="AF33">
            <v>44252.11463839544</v>
          </cell>
          <cell r="AG33">
            <v>44252.11463839544</v>
          </cell>
          <cell r="AH33">
            <v>44252.11463839544</v>
          </cell>
          <cell r="AI33"/>
          <cell r="AJ33"/>
          <cell r="AK33"/>
          <cell r="AL33">
            <v>16384.536896103265</v>
          </cell>
          <cell r="AM33">
            <v>16351.484339080456</v>
          </cell>
          <cell r="AN33">
            <v>16342.004339080457</v>
          </cell>
          <cell r="AO33">
            <v>16342.004339080457</v>
          </cell>
          <cell r="AP33"/>
          <cell r="AQ33"/>
          <cell r="AR33"/>
          <cell r="AS33">
            <v>199.95933908045976</v>
          </cell>
          <cell r="AT33">
            <v>199.95933908045976</v>
          </cell>
          <cell r="AU33">
            <v>199.95933908045976</v>
          </cell>
          <cell r="AV33">
            <v>199.95933908045976</v>
          </cell>
          <cell r="AW33"/>
          <cell r="AX33"/>
        </row>
      </sheetData>
      <sheetData sheetId="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606 q1 2020"/>
      <sheetName val="data Yair q1 2020"/>
      <sheetName val="DATA YAIR"/>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S29">
            <v>4556.5202468480093</v>
          </cell>
          <cell r="AE29">
            <v>3846.1973818177275</v>
          </cell>
          <cell r="AF29">
            <v>3846.1973818177275</v>
          </cell>
          <cell r="AG29">
            <v>3846.1973818177275</v>
          </cell>
          <cell r="AH29">
            <v>3846.1973818177275</v>
          </cell>
          <cell r="AL29">
            <v>3827.9689628053229</v>
          </cell>
          <cell r="AM29">
            <v>2657.7224659090912</v>
          </cell>
          <cell r="AN29">
            <v>2657.7224659090912</v>
          </cell>
          <cell r="AO29">
            <v>2657.7224659090912</v>
          </cell>
          <cell r="AP29"/>
          <cell r="AQ29"/>
          <cell r="AR29" t="str">
            <v xml:space="preserve">LTD </v>
          </cell>
          <cell r="AS29">
            <v>2657.7224659090912</v>
          </cell>
          <cell r="AT29">
            <v>58.813090909090917</v>
          </cell>
          <cell r="AU29">
            <v>58.813090909090917</v>
          </cell>
          <cell r="AV29">
            <v>58.813090909090917</v>
          </cell>
          <cell r="AW29"/>
          <cell r="AX29"/>
          <cell r="AY29" t="str">
            <v xml:space="preserve">LTD </v>
          </cell>
          <cell r="AZ29">
            <v>58.813090909090917</v>
          </cell>
          <cell r="BA29">
            <v>0</v>
          </cell>
          <cell r="BB29">
            <v>0</v>
          </cell>
          <cell r="BC29">
            <v>0</v>
          </cell>
        </row>
        <row r="30">
          <cell r="AE30">
            <v>8201.216223637497</v>
          </cell>
          <cell r="AF30">
            <v>7875.4877102748706</v>
          </cell>
          <cell r="AG30">
            <v>7265.6082151951841</v>
          </cell>
          <cell r="AH30">
            <v>7265.6082151951841</v>
          </cell>
          <cell r="AL30">
            <v>7265.6082151951841</v>
          </cell>
          <cell r="AM30">
            <v>4002.3674999999994</v>
          </cell>
          <cell r="AN30">
            <v>4002.3674999999994</v>
          </cell>
          <cell r="AO30">
            <v>4002.3674999999994</v>
          </cell>
          <cell r="AP30"/>
          <cell r="AQ30"/>
          <cell r="AR30" t="str">
            <v xml:space="preserve">INC </v>
          </cell>
          <cell r="AS30">
            <v>4002.3674999999994</v>
          </cell>
          <cell r="AT30">
            <v>0</v>
          </cell>
          <cell r="AU30">
            <v>0</v>
          </cell>
          <cell r="AV30">
            <v>0</v>
          </cell>
        </row>
        <row r="31">
          <cell r="AE31">
            <v>1823.3064961103412</v>
          </cell>
          <cell r="AF31">
            <v>1816.8964961103411</v>
          </cell>
          <cell r="AG31">
            <v>1663.1646691872643</v>
          </cell>
          <cell r="AH31">
            <v>1663.1646691872643</v>
          </cell>
          <cell r="AL31">
            <v>1663.1646691872643</v>
          </cell>
          <cell r="AM31">
            <v>1635.3712499999999</v>
          </cell>
          <cell r="AN31">
            <v>1635.3712499999999</v>
          </cell>
          <cell r="AO31">
            <v>1635.3712499999999</v>
          </cell>
          <cell r="AP31"/>
          <cell r="AQ31"/>
          <cell r="AR31" t="str">
            <v xml:space="preserve">Europe </v>
          </cell>
          <cell r="AS31">
            <v>1635.3712499999999</v>
          </cell>
          <cell r="AT31">
            <v>0</v>
          </cell>
          <cell r="AU31">
            <v>0</v>
          </cell>
          <cell r="AV31">
            <v>0</v>
          </cell>
          <cell r="AW31"/>
          <cell r="AX31"/>
          <cell r="AY31" t="str">
            <v xml:space="preserve">Europe </v>
          </cell>
          <cell r="AZ31">
            <v>0</v>
          </cell>
          <cell r="BA31">
            <v>0</v>
          </cell>
          <cell r="BB31">
            <v>0</v>
          </cell>
          <cell r="BC31">
            <v>0</v>
          </cell>
        </row>
        <row r="32">
          <cell r="AE32">
            <v>88.946249999999992</v>
          </cell>
          <cell r="AF32">
            <v>88.946249999999992</v>
          </cell>
          <cell r="AG32">
            <v>88.946249999999992</v>
          </cell>
          <cell r="AH32">
            <v>88.946249999999992</v>
          </cell>
          <cell r="AL32">
            <v>88.946249999999992</v>
          </cell>
          <cell r="AM32">
            <v>88.946249999999992</v>
          </cell>
          <cell r="AN32">
            <v>88.946249999999992</v>
          </cell>
          <cell r="AO32">
            <v>88.946249999999992</v>
          </cell>
          <cell r="AP32"/>
          <cell r="AQ32"/>
          <cell r="AR32" t="str">
            <v xml:space="preserve">AUS </v>
          </cell>
          <cell r="AS32">
            <v>88.946249999999992</v>
          </cell>
          <cell r="AT32">
            <v>0</v>
          </cell>
          <cell r="AU32">
            <v>0</v>
          </cell>
          <cell r="AV32">
            <v>0</v>
          </cell>
        </row>
        <row r="33">
          <cell r="S33">
            <v>17587.494551464071</v>
          </cell>
          <cell r="T33">
            <v>17557.14963784795</v>
          </cell>
          <cell r="X33">
            <v>17545.958134251006</v>
          </cell>
          <cell r="Y33">
            <v>13966.387750498587</v>
          </cell>
          <cell r="Z33">
            <v>13966.387750498587</v>
          </cell>
          <cell r="AA33">
            <v>13960.206351565568</v>
          </cell>
          <cell r="AE33">
            <v>13959.666351565567</v>
          </cell>
          <cell r="AF33">
            <v>13627.527838202939</v>
          </cell>
          <cell r="AG33">
            <v>12863.916516200177</v>
          </cell>
          <cell r="AH33">
            <v>12863.916516200177</v>
          </cell>
          <cell r="AI33"/>
          <cell r="AJ33"/>
          <cell r="AK33"/>
          <cell r="AL33">
            <v>12845.688097187773</v>
          </cell>
          <cell r="AM33">
            <v>8384.4074659090911</v>
          </cell>
          <cell r="AN33">
            <v>8384.4074659090911</v>
          </cell>
          <cell r="AO33">
            <v>8384.4074659090911</v>
          </cell>
          <cell r="AP33"/>
          <cell r="AQ33"/>
          <cell r="AR33"/>
          <cell r="AS33">
            <v>8384.4074659090911</v>
          </cell>
          <cell r="AT33">
            <v>58.813090909090917</v>
          </cell>
          <cell r="AU33">
            <v>58.813090909090917</v>
          </cell>
          <cell r="AV33">
            <v>58.813090909090917</v>
          </cell>
          <cell r="AW33"/>
          <cell r="AX33"/>
          <cell r="AY33"/>
          <cell r="AZ33">
            <v>58.813090909090917</v>
          </cell>
          <cell r="BA33">
            <v>0</v>
          </cell>
          <cell r="BB33">
            <v>0</v>
          </cell>
          <cell r="BC33">
            <v>0</v>
          </cell>
          <cell r="BD33"/>
          <cell r="BE33"/>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data Yair q1 2020"/>
      <sheetName val="606 q1 2020"/>
      <sheetName val="SUB 2020 H1 2020"/>
      <sheetName val="data Yair H1 2020"/>
      <sheetName val="606 H1 2020"/>
      <sheetName val="DATA YAIR"/>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9">
          <cell r="S29">
            <v>2730.4925834781593</v>
          </cell>
          <cell r="AE29">
            <v>2647.8604852744302</v>
          </cell>
          <cell r="AF29">
            <v>2647.8604852744302</v>
          </cell>
          <cell r="AG29">
            <v>2628.7540963855408</v>
          </cell>
          <cell r="AH29">
            <v>2628.7540963855408</v>
          </cell>
          <cell r="AL29">
            <v>2628.7540963855408</v>
          </cell>
          <cell r="AM29">
            <v>2628.7540963855408</v>
          </cell>
          <cell r="AN29">
            <v>2036.3649999999989</v>
          </cell>
          <cell r="AO29">
            <v>2036.3649999999989</v>
          </cell>
          <cell r="AP29"/>
          <cell r="AQ29"/>
          <cell r="AR29" t="str">
            <v xml:space="preserve">LTD </v>
          </cell>
          <cell r="AS29">
            <v>2036.3649999999989</v>
          </cell>
          <cell r="AT29">
            <v>2036.3649999999989</v>
          </cell>
          <cell r="AU29">
            <v>0</v>
          </cell>
        </row>
        <row r="30">
          <cell r="AE30">
            <v>48582.722361951906</v>
          </cell>
          <cell r="AF30">
            <v>48582.722361951906</v>
          </cell>
          <cell r="AG30">
            <v>47499.979371445574</v>
          </cell>
          <cell r="AH30">
            <v>47499.979371445574</v>
          </cell>
          <cell r="AL30">
            <v>47499.979371445574</v>
          </cell>
          <cell r="AM30">
            <v>47499.979371445574</v>
          </cell>
          <cell r="AN30">
            <v>4892.4906249999976</v>
          </cell>
          <cell r="AO30">
            <v>4892.4906249999976</v>
          </cell>
          <cell r="AP30"/>
          <cell r="AQ30"/>
          <cell r="AR30" t="str">
            <v xml:space="preserve">INC </v>
          </cell>
          <cell r="AS30">
            <v>4892.4906249999976</v>
          </cell>
          <cell r="AT30">
            <v>4892.4906249999976</v>
          </cell>
        </row>
        <row r="31">
          <cell r="AE31">
            <v>3129.428928571429</v>
          </cell>
          <cell r="AF31">
            <v>3129.428928571429</v>
          </cell>
          <cell r="AG31">
            <v>2762.7226785714292</v>
          </cell>
          <cell r="AH31">
            <v>2762.7226785714292</v>
          </cell>
          <cell r="AL31">
            <v>2762.7226785714292</v>
          </cell>
          <cell r="AM31">
            <v>2762.7226785714292</v>
          </cell>
          <cell r="AN31">
            <v>1733.0912500000002</v>
          </cell>
          <cell r="AO31">
            <v>1733.0912500000002</v>
          </cell>
          <cell r="AP31"/>
          <cell r="AQ31"/>
          <cell r="AR31" t="str">
            <v xml:space="preserve">Europe </v>
          </cell>
          <cell r="AS31">
            <v>1733.0912500000002</v>
          </cell>
          <cell r="AT31">
            <v>1733.0912500000002</v>
          </cell>
          <cell r="AU31">
            <v>0</v>
          </cell>
          <cell r="AV31">
            <v>0</v>
          </cell>
        </row>
        <row r="32">
          <cell r="AE32">
            <v>1002.8386860121095</v>
          </cell>
          <cell r="AF32">
            <v>1002.8386860121095</v>
          </cell>
          <cell r="AG32">
            <v>1002.8386860121095</v>
          </cell>
          <cell r="AH32">
            <v>1002.8386860121095</v>
          </cell>
          <cell r="AL32">
            <v>1002.8386860121095</v>
          </cell>
          <cell r="AM32">
            <v>1002.8386860121095</v>
          </cell>
          <cell r="AN32">
            <v>202.23125000000002</v>
          </cell>
          <cell r="AO32">
            <v>202.23125000000002</v>
          </cell>
          <cell r="AP32"/>
          <cell r="AQ32"/>
          <cell r="AR32" t="str">
            <v xml:space="preserve">AUS </v>
          </cell>
          <cell r="AS32">
            <v>202.23125000000002</v>
          </cell>
          <cell r="AT32">
            <v>202.23125000000002</v>
          </cell>
        </row>
        <row r="33">
          <cell r="S33">
            <v>56332.817305871889</v>
          </cell>
          <cell r="T33">
            <v>56332.817305871889</v>
          </cell>
          <cell r="X33">
            <v>56320.909496883127</v>
          </cell>
          <cell r="Y33">
            <v>56320.909496883127</v>
          </cell>
          <cell r="Z33">
            <v>55362.850461809874</v>
          </cell>
          <cell r="AA33">
            <v>55362.850461809874</v>
          </cell>
          <cell r="AE33">
            <v>55362.850461809874</v>
          </cell>
          <cell r="AF33">
            <v>55362.850461809874</v>
          </cell>
          <cell r="AG33">
            <v>53894.294832414656</v>
          </cell>
          <cell r="AH33">
            <v>53894.294832414656</v>
          </cell>
          <cell r="AI33"/>
          <cell r="AJ33"/>
          <cell r="AK33"/>
          <cell r="AL33">
            <v>53894.294832414656</v>
          </cell>
          <cell r="AM33">
            <v>53894.294832414656</v>
          </cell>
          <cell r="AN33">
            <v>8864.1781249999967</v>
          </cell>
          <cell r="AO33">
            <v>8864.1781249999967</v>
          </cell>
          <cell r="AP33"/>
          <cell r="AQ33"/>
          <cell r="AR33"/>
          <cell r="AS33">
            <v>8864.1781249999967</v>
          </cell>
          <cell r="AT33">
            <v>8864.1781249999967</v>
          </cell>
          <cell r="AU33">
            <v>0</v>
          </cell>
          <cell r="AV33">
            <v>0</v>
          </cell>
          <cell r="AW33"/>
          <cell r="AX33"/>
          <cell r="AY33"/>
          <cell r="AZ33">
            <v>0</v>
          </cell>
          <cell r="BA33">
            <v>0</v>
          </cell>
          <cell r="BB33">
            <v>0</v>
          </cell>
          <cell r="BC33">
            <v>0</v>
          </cell>
          <cell r="BD33"/>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data Yair q1 2020"/>
      <sheetName val="606 q1 2020"/>
      <sheetName val="SUB 2020 H1 2020"/>
      <sheetName val="data Yair H1 2020"/>
      <sheetName val="606 H1 2020"/>
      <sheetName val="DATA YAIR"/>
      <sheetName val="ALL"/>
      <sheetName val="SUB 2020 3Q 2020"/>
      <sheetName val="606 3Q 2020"/>
      <sheetName val="COMM Q1-3 Yai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9">
          <cell r="E29">
            <v>64087.670694861816</v>
          </cell>
          <cell r="AE29">
            <v>4395.6577929005334</v>
          </cell>
          <cell r="AF29">
            <v>4355.7915725954572</v>
          </cell>
          <cell r="AG29">
            <v>4355.7915725954572</v>
          </cell>
          <cell r="AH29">
            <v>4355.7915725954572</v>
          </cell>
          <cell r="AL29">
            <v>4355.7915725954572</v>
          </cell>
          <cell r="AM29">
            <v>4355.7915725954572</v>
          </cell>
          <cell r="AN29">
            <v>4355.7915725954572</v>
          </cell>
          <cell r="AO29">
            <v>2509.0187202380971</v>
          </cell>
          <cell r="AP29"/>
          <cell r="AQ29"/>
          <cell r="AR29" t="str">
            <v xml:space="preserve">LTD </v>
          </cell>
          <cell r="AS29">
            <v>2509.0187202380971</v>
          </cell>
          <cell r="AT29">
            <v>2509.0187202380971</v>
          </cell>
          <cell r="AU29">
            <v>2509.0187202380971</v>
          </cell>
          <cell r="AV29">
            <v>88.453095238095244</v>
          </cell>
          <cell r="AW29"/>
          <cell r="AX29"/>
          <cell r="AY29" t="str">
            <v xml:space="preserve">LTD </v>
          </cell>
          <cell r="AZ29">
            <v>88.453095238095244</v>
          </cell>
          <cell r="BA29">
            <v>88.453095238095244</v>
          </cell>
          <cell r="BB29">
            <v>88.453095238095244</v>
          </cell>
          <cell r="BC29">
            <v>0</v>
          </cell>
          <cell r="BD29"/>
          <cell r="BE29"/>
        </row>
        <row r="30">
          <cell r="AE30">
            <v>13250.285391015266</v>
          </cell>
          <cell r="AF30">
            <v>13250.285391015266</v>
          </cell>
          <cell r="AG30">
            <v>13250.285391015266</v>
          </cell>
          <cell r="AH30">
            <v>13250.285391015266</v>
          </cell>
          <cell r="AL30">
            <v>13250.285391015266</v>
          </cell>
          <cell r="AM30">
            <v>13072.822264416398</v>
          </cell>
          <cell r="AN30">
            <v>12993.840701116966</v>
          </cell>
          <cell r="AO30">
            <v>5184.139375000007</v>
          </cell>
          <cell r="AP30"/>
          <cell r="AQ30"/>
          <cell r="AR30" t="str">
            <v xml:space="preserve">INC </v>
          </cell>
          <cell r="AS30">
            <v>5184.139375000007</v>
          </cell>
          <cell r="AT30">
            <v>5184.139375000007</v>
          </cell>
          <cell r="AU30">
            <v>5184.139375000007</v>
          </cell>
          <cell r="AV30">
            <v>0</v>
          </cell>
          <cell r="AW30"/>
          <cell r="AX30"/>
          <cell r="AY30" t="str">
            <v xml:space="preserve">INC </v>
          </cell>
          <cell r="AZ30">
            <v>0</v>
          </cell>
          <cell r="BA30">
            <v>0</v>
          </cell>
          <cell r="BB30">
            <v>0</v>
          </cell>
          <cell r="BC30">
            <v>0</v>
          </cell>
          <cell r="BD30"/>
          <cell r="BE30"/>
        </row>
        <row r="31">
          <cell r="AE31">
            <v>9962.3941700048308</v>
          </cell>
          <cell r="AF31">
            <v>9962.3941700048308</v>
          </cell>
          <cell r="AG31">
            <v>9962.3941700048308</v>
          </cell>
          <cell r="AH31">
            <v>9152.467267464046</v>
          </cell>
          <cell r="AL31">
            <v>9133.0359623824788</v>
          </cell>
          <cell r="AM31">
            <v>9133.0359623824788</v>
          </cell>
          <cell r="AN31">
            <v>9133.0359623824788</v>
          </cell>
          <cell r="AO31">
            <v>2547.0994269380517</v>
          </cell>
          <cell r="AP31"/>
          <cell r="AQ31"/>
          <cell r="AR31" t="str">
            <v xml:space="preserve">Europe </v>
          </cell>
          <cell r="AS31">
            <v>1999.1455729166662</v>
          </cell>
          <cell r="AT31">
            <v>1999.1455729166662</v>
          </cell>
          <cell r="AU31">
            <v>1999.1455729166662</v>
          </cell>
          <cell r="AV31">
            <v>0</v>
          </cell>
          <cell r="AW31"/>
          <cell r="AX31"/>
          <cell r="AY31" t="str">
            <v xml:space="preserve">Europe </v>
          </cell>
          <cell r="AZ31">
            <v>0</v>
          </cell>
          <cell r="BA31">
            <v>0</v>
          </cell>
          <cell r="BB31">
            <v>0</v>
          </cell>
          <cell r="BC31">
            <v>0</v>
          </cell>
        </row>
        <row r="32">
          <cell r="AE32">
            <v>794.04619300911838</v>
          </cell>
          <cell r="AF32">
            <v>794.04619300911838</v>
          </cell>
          <cell r="AG32">
            <v>794.04619300911838</v>
          </cell>
          <cell r="AH32">
            <v>794.04619300911838</v>
          </cell>
          <cell r="AL32">
            <v>794.04619300911838</v>
          </cell>
          <cell r="AM32">
            <v>794.04619300911838</v>
          </cell>
          <cell r="AN32">
            <v>794.04619300911838</v>
          </cell>
          <cell r="AO32">
            <v>661.19047872340411</v>
          </cell>
          <cell r="AP32"/>
          <cell r="AQ32"/>
          <cell r="AR32" t="str">
            <v xml:space="preserve">AUS </v>
          </cell>
          <cell r="AS32">
            <v>661.19047872340411</v>
          </cell>
          <cell r="AT32">
            <v>661.19047872340411</v>
          </cell>
          <cell r="AU32">
            <v>661.19047872340411</v>
          </cell>
          <cell r="AV32">
            <v>0</v>
          </cell>
          <cell r="AW32"/>
          <cell r="AX32"/>
          <cell r="AY32" t="str">
            <v xml:space="preserve">AUS </v>
          </cell>
          <cell r="AZ32">
            <v>0</v>
          </cell>
          <cell r="BA32">
            <v>0</v>
          </cell>
          <cell r="BB32">
            <v>0</v>
          </cell>
          <cell r="BC32">
            <v>0</v>
          </cell>
          <cell r="BD32"/>
          <cell r="BE32"/>
        </row>
        <row r="33">
          <cell r="E33">
            <v>386477.86670767399</v>
          </cell>
          <cell r="T33">
            <v>30256.21186428317</v>
          </cell>
          <cell r="X33">
            <v>30192.099979983352</v>
          </cell>
          <cell r="Y33">
            <v>30192.099979983352</v>
          </cell>
          <cell r="Z33">
            <v>30192.099979983352</v>
          </cell>
          <cell r="AA33">
            <v>28484.035987539901</v>
          </cell>
          <cell r="AE33">
            <v>28402.383546929748</v>
          </cell>
          <cell r="AF33">
            <v>28362.517326624671</v>
          </cell>
          <cell r="AG33">
            <v>28362.517326624671</v>
          </cell>
          <cell r="AH33">
            <v>27552.590424083886</v>
          </cell>
          <cell r="AI33"/>
          <cell r="AJ33"/>
          <cell r="AK33"/>
          <cell r="AL33">
            <v>27533.159119002317</v>
          </cell>
          <cell r="AM33">
            <v>27355.695992403453</v>
          </cell>
          <cell r="AN33">
            <v>27276.714429104017</v>
          </cell>
          <cell r="AO33">
            <v>10901.44800089956</v>
          </cell>
          <cell r="AP33"/>
          <cell r="AQ33"/>
          <cell r="AR33"/>
          <cell r="AS33">
            <v>10353.494146878174</v>
          </cell>
          <cell r="AT33">
            <v>10353.494146878174</v>
          </cell>
          <cell r="AU33">
            <v>10353.494146878174</v>
          </cell>
          <cell r="AV33">
            <v>88.453095238095244</v>
          </cell>
          <cell r="AW33"/>
          <cell r="AX33"/>
          <cell r="AY33"/>
          <cell r="AZ33">
            <v>88.453095238095244</v>
          </cell>
          <cell r="BA33">
            <v>88.453095238095244</v>
          </cell>
          <cell r="BB33">
            <v>88.453095238095244</v>
          </cell>
          <cell r="BC33">
            <v>0</v>
          </cell>
          <cell r="BD33"/>
          <cell r="BE33"/>
        </row>
      </sheetData>
      <sheetData sheetId="12" refreshError="1"/>
      <sheetData sheetId="13" refreshError="1"/>
      <sheetData sheetId="14" refreshError="1"/>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data Yair q1 2020"/>
      <sheetName val="606 q1 2020"/>
      <sheetName val="SUB 2020 H1 2020"/>
      <sheetName val="data Yair H1 2020"/>
      <sheetName val="606 H1 2020"/>
      <sheetName val="DATA YAIR"/>
      <sheetName val="ALL"/>
      <sheetName val="606 3Q 2020"/>
      <sheetName val="COMM Q1-3 Yair"/>
      <sheetName val="Sheet1"/>
      <sheetName val="SUB 2020 3Q 2020"/>
      <sheetName val="SUB 2020 4Q 2020"/>
      <sheetName val="606 4Q 2020"/>
      <sheetName val="COMM 1-4 Yair"/>
      <sheetName val="Additions"/>
      <sheetName val="Q4 2020 GEN"/>
      <sheetName val="SUBSCR 2020 "/>
    </sheetNames>
    <sheetDataSet>
      <sheetData sheetId="0"/>
      <sheetData sheetId="1"/>
      <sheetData sheetId="2"/>
      <sheetData sheetId="3"/>
      <sheetData sheetId="4"/>
      <sheetData sheetId="5"/>
      <sheetData sheetId="6"/>
      <sheetData sheetId="7"/>
      <sheetData sheetId="8"/>
      <sheetData sheetId="9"/>
      <sheetData sheetId="10"/>
      <sheetData sheetId="11">
        <row r="29">
          <cell r="X29">
            <v>7584.5079284766889</v>
          </cell>
        </row>
        <row r="30">
          <cell r="AE30">
            <v>26578.511544876281</v>
          </cell>
          <cell r="AF30">
            <v>26332.489947152339</v>
          </cell>
          <cell r="AG30">
            <v>25809.696751704447</v>
          </cell>
          <cell r="AH30">
            <v>25809.696751704447</v>
          </cell>
          <cell r="AL30">
            <v>25809.696751704447</v>
          </cell>
          <cell r="AM30">
            <v>25808.749557958523</v>
          </cell>
          <cell r="AN30">
            <v>25780.060162741327</v>
          </cell>
          <cell r="AO30">
            <v>25766.339649287715</v>
          </cell>
          <cell r="AP30"/>
          <cell r="AQ30"/>
          <cell r="AR30" t="str">
            <v xml:space="preserve">INC </v>
          </cell>
          <cell r="AS30">
            <v>10980.365624999999</v>
          </cell>
          <cell r="AT30">
            <v>10980.365624999999</v>
          </cell>
          <cell r="AU30">
            <v>10980.365624999999</v>
          </cell>
          <cell r="AV30">
            <v>10980.365624999999</v>
          </cell>
          <cell r="AW30"/>
          <cell r="AX30"/>
          <cell r="AY30" t="str">
            <v xml:space="preserve">INC </v>
          </cell>
          <cell r="AZ30">
            <v>0</v>
          </cell>
          <cell r="BA30">
            <v>0</v>
          </cell>
          <cell r="BB30">
            <v>0</v>
          </cell>
          <cell r="BC30">
            <v>0</v>
          </cell>
          <cell r="BD30"/>
          <cell r="BE30"/>
        </row>
        <row r="31">
          <cell r="AE31">
            <v>4451.4222891071722</v>
          </cell>
          <cell r="AF31">
            <v>4451.4222891071722</v>
          </cell>
          <cell r="AG31">
            <v>4451.4222891071722</v>
          </cell>
          <cell r="AH31">
            <v>4451.4222891071722</v>
          </cell>
          <cell r="AL31">
            <v>4388.9806098136332</v>
          </cell>
          <cell r="AM31">
            <v>4376.9984944819344</v>
          </cell>
          <cell r="AN31">
            <v>4376.9984944819344</v>
          </cell>
          <cell r="AO31">
            <v>4376.9984944819344</v>
          </cell>
          <cell r="AP31"/>
          <cell r="AQ31"/>
          <cell r="AR31" t="str">
            <v xml:space="preserve">Europe </v>
          </cell>
          <cell r="AS31">
            <v>6299.3163925926101</v>
          </cell>
          <cell r="AT31">
            <v>5660.679324972617</v>
          </cell>
          <cell r="AU31">
            <v>4883.2538194444433</v>
          </cell>
          <cell r="AV31">
            <v>4860.8638194444438</v>
          </cell>
          <cell r="AW31"/>
          <cell r="AX31"/>
          <cell r="AY31" t="str">
            <v xml:space="preserve">Europe </v>
          </cell>
          <cell r="AZ31">
            <v>330.90194444444444</v>
          </cell>
          <cell r="BA31">
            <v>330.90194444444444</v>
          </cell>
          <cell r="BB31">
            <v>330.90194444444444</v>
          </cell>
          <cell r="BC31">
            <v>330.90194444444444</v>
          </cell>
        </row>
        <row r="32">
          <cell r="AE32">
            <v>5629.5931222332092</v>
          </cell>
          <cell r="AF32">
            <v>5629.5931222332092</v>
          </cell>
          <cell r="AG32">
            <v>5629.5931222332092</v>
          </cell>
          <cell r="AH32">
            <v>5629.5931222332092</v>
          </cell>
          <cell r="AL32">
            <v>5629.5931222332092</v>
          </cell>
          <cell r="AM32">
            <v>5629.5931222332092</v>
          </cell>
          <cell r="AN32">
            <v>5629.5931222332092</v>
          </cell>
          <cell r="AO32">
            <v>5629.5931222332092</v>
          </cell>
          <cell r="AP32"/>
          <cell r="AQ32"/>
          <cell r="AR32" t="str">
            <v xml:space="preserve">AUS </v>
          </cell>
          <cell r="AS32">
            <v>5629.5931222332092</v>
          </cell>
          <cell r="AT32">
            <v>4780.171492412499</v>
          </cell>
          <cell r="AU32">
            <v>4780.171492412499</v>
          </cell>
          <cell r="AV32">
            <v>4780.171492412499</v>
          </cell>
          <cell r="AW32"/>
          <cell r="AX32"/>
          <cell r="AY32" t="str">
            <v xml:space="preserve">AUS </v>
          </cell>
          <cell r="AZ32">
            <v>0</v>
          </cell>
          <cell r="BA32">
            <v>0</v>
          </cell>
          <cell r="BB32">
            <v>0</v>
          </cell>
          <cell r="BC32">
            <v>0</v>
          </cell>
          <cell r="BD32"/>
          <cell r="BE32"/>
        </row>
        <row r="33">
          <cell r="F33">
            <v>632523.60528137221</v>
          </cell>
          <cell r="X33">
            <v>47102.350791883015</v>
          </cell>
          <cell r="Y33">
            <v>47032.068221070265</v>
          </cell>
          <cell r="Z33">
            <v>47032.068221070265</v>
          </cell>
          <cell r="AA33">
            <v>47006.260833350825</v>
          </cell>
          <cell r="AE33">
            <v>43004.040847760807</v>
          </cell>
          <cell r="AF33">
            <v>42758.019250036865</v>
          </cell>
          <cell r="AG33">
            <v>42235.226054588973</v>
          </cell>
          <cell r="AH33">
            <v>42235.226054588973</v>
          </cell>
          <cell r="AI33"/>
          <cell r="AJ33"/>
          <cell r="AK33"/>
          <cell r="AL33">
            <v>42172.784375295436</v>
          </cell>
          <cell r="AM33">
            <v>42159.855066217817</v>
          </cell>
          <cell r="AN33">
            <v>42131.165671000621</v>
          </cell>
          <cell r="AO33">
            <v>42117.445157547008</v>
          </cell>
          <cell r="AP33"/>
          <cell r="AQ33"/>
          <cell r="AR33"/>
          <cell r="AS33">
            <v>27563.922014825817</v>
          </cell>
          <cell r="AT33">
            <v>26075.863317385112</v>
          </cell>
          <cell r="AU33">
            <v>25298.437811856944</v>
          </cell>
          <cell r="AV33">
            <v>25276.047811856944</v>
          </cell>
          <cell r="AW33"/>
          <cell r="AX33"/>
          <cell r="AY33"/>
          <cell r="AZ33">
            <v>330.90194444444444</v>
          </cell>
          <cell r="BA33">
            <v>330.90194444444444</v>
          </cell>
          <cell r="BB33">
            <v>330.90194444444444</v>
          </cell>
          <cell r="BC33">
            <v>330.90194444444444</v>
          </cell>
          <cell r="BD33"/>
          <cell r="BE33"/>
          <cell r="BG33"/>
        </row>
      </sheetData>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SUB 2020 Q1 2021"/>
      <sheetName val="606 Q1 2021"/>
      <sheetName val="dough"/>
      <sheetName val="Erick"/>
      <sheetName val="jbs"/>
      <sheetName val="jw"/>
      <sheetName val="tony"/>
      <sheetName val="DORIE"/>
      <sheetName val="malcom"/>
      <sheetName val="FAISAL"/>
      <sheetName val="בדיקה מול רוחבי"/>
      <sheetName val="All Comm Q1 21"/>
      <sheetName val="Q1 2021 GEN"/>
      <sheetName val="subscr Q1 21 "/>
    </sheetNames>
    <sheetDataSet>
      <sheetData sheetId="0" refreshError="1"/>
      <sheetData sheetId="1" refreshError="1"/>
      <sheetData sheetId="2">
        <row r="29">
          <cell r="AF29">
            <v>4893.4507658923303</v>
          </cell>
        </row>
        <row r="30">
          <cell r="AE30">
            <v>13399.415004196846</v>
          </cell>
          <cell r="AF30">
            <v>12278.534394320188</v>
          </cell>
          <cell r="AG30">
            <v>12278.534394320188</v>
          </cell>
          <cell r="AH30">
            <v>12278.534394320188</v>
          </cell>
          <cell r="AL30">
            <v>12278.534394320188</v>
          </cell>
          <cell r="AM30">
            <v>9929.9249453640678</v>
          </cell>
          <cell r="AN30">
            <v>9920.3552055847322</v>
          </cell>
          <cell r="AO30">
            <v>9913.0429796045973</v>
          </cell>
          <cell r="AR30" t="str">
            <v xml:space="preserve">INC </v>
          </cell>
          <cell r="AS30">
            <v>9913.0429796045973</v>
          </cell>
          <cell r="AT30">
            <v>2977.0606250000001</v>
          </cell>
          <cell r="AU30">
            <v>2977.0606250000001</v>
          </cell>
          <cell r="AV30">
            <v>2977.0606250000001</v>
          </cell>
          <cell r="AY30" t="str">
            <v xml:space="preserve">INC </v>
          </cell>
          <cell r="AZ30">
            <v>2977.0606250000001</v>
          </cell>
          <cell r="BA30">
            <v>0</v>
          </cell>
          <cell r="BB30">
            <v>0</v>
          </cell>
          <cell r="BC30">
            <v>0</v>
          </cell>
          <cell r="BF30">
            <v>6.2177973159123212E-3</v>
          </cell>
        </row>
        <row r="33">
          <cell r="AA33">
            <v>26362.690614102197</v>
          </cell>
          <cell r="AE33">
            <v>26362.690614102197</v>
          </cell>
          <cell r="AF33">
            <v>22552.757407035628</v>
          </cell>
          <cell r="AG33">
            <v>22552.757407035628</v>
          </cell>
          <cell r="AH33">
            <v>22538.414523919702</v>
          </cell>
          <cell r="AI33"/>
          <cell r="AJ33"/>
          <cell r="AK33"/>
          <cell r="AL33">
            <v>22536.074523919699</v>
          </cell>
          <cell r="AM33">
            <v>20176.785908296915</v>
          </cell>
          <cell r="AN33">
            <v>20167.216168517574</v>
          </cell>
          <cell r="AO33">
            <v>20159.903942537443</v>
          </cell>
          <cell r="AP33"/>
          <cell r="AQ33"/>
          <cell r="AR33"/>
          <cell r="AS33">
            <v>20159.903942537443</v>
          </cell>
          <cell r="AT33">
            <v>9741.4950570077926</v>
          </cell>
          <cell r="AU33">
            <v>9673.1522838004876</v>
          </cell>
          <cell r="AV33">
            <v>9673.1522838004876</v>
          </cell>
          <cell r="AW33"/>
          <cell r="AX33"/>
          <cell r="AY33"/>
          <cell r="AZ33">
            <v>9673.1522838004876</v>
          </cell>
          <cell r="BA33">
            <v>0</v>
          </cell>
          <cell r="BB33">
            <v>0</v>
          </cell>
          <cell r="BC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SUB 2020 H1 2021"/>
      <sheetName val="606 H1 2021"/>
      <sheetName val="subscr H1 21 "/>
      <sheetName val="all comm H1 2021"/>
      <sheetName val="glic"/>
      <sheetName val="cnb optive"/>
      <sheetName val="Andrew Mill"/>
      <sheetName val="Harry "/>
      <sheetName val="CINDY"/>
      <sheetName val="TONY"/>
      <sheetName val="MIKE"/>
      <sheetName val="JBS"/>
      <sheetName val="בדיקה מול רוחבי H1"/>
      <sheetName val="All Comm Q1 21"/>
      <sheetName val="Q1 2021 GEN"/>
    </sheetNames>
    <sheetDataSet>
      <sheetData sheetId="0" refreshError="1"/>
      <sheetData sheetId="1" refreshError="1"/>
      <sheetData sheetId="2">
        <row r="29">
          <cell r="AF29">
            <v>4950.500567269607</v>
          </cell>
        </row>
        <row r="30">
          <cell r="AE30">
            <v>19903.659995990514</v>
          </cell>
          <cell r="AF30">
            <v>19903.659995990514</v>
          </cell>
          <cell r="AG30">
            <v>19692.591335475183</v>
          </cell>
          <cell r="AH30">
            <v>19692.591335475183</v>
          </cell>
          <cell r="AL30">
            <v>19669.898170589244</v>
          </cell>
          <cell r="AM30">
            <v>19653.466588146275</v>
          </cell>
          <cell r="AN30">
            <v>19625.143176658203</v>
          </cell>
          <cell r="AO30">
            <v>19602.512529170817</v>
          </cell>
          <cell r="AP30"/>
          <cell r="AQ30"/>
          <cell r="AR30" t="str">
            <v xml:space="preserve">INC </v>
          </cell>
          <cell r="AS30">
            <v>19371.497227007174</v>
          </cell>
          <cell r="AT30">
            <v>19333.884575925353</v>
          </cell>
          <cell r="AU30">
            <v>3368.1134353448274</v>
          </cell>
          <cell r="AV30">
            <v>3368.1134353448274</v>
          </cell>
          <cell r="AW30"/>
          <cell r="AX30"/>
          <cell r="AY30" t="str">
            <v xml:space="preserve">INC </v>
          </cell>
          <cell r="AZ30">
            <v>3368.1134353448274</v>
          </cell>
          <cell r="BA30">
            <v>3368.1134353448274</v>
          </cell>
          <cell r="BB30">
            <v>49.420310344827584</v>
          </cell>
          <cell r="BC30">
            <v>49.420310344827584</v>
          </cell>
          <cell r="BD30"/>
          <cell r="BE30"/>
          <cell r="BF30" t="str">
            <v xml:space="preserve">INC </v>
          </cell>
          <cell r="BG30">
            <v>49.420310344827584</v>
          </cell>
          <cell r="BH30">
            <v>49.420310344827584</v>
          </cell>
          <cell r="BI30">
            <v>0</v>
          </cell>
          <cell r="BJ30">
            <v>0</v>
          </cell>
        </row>
        <row r="31">
          <cell r="AE31">
            <v>6363.1383334969923</v>
          </cell>
          <cell r="AF31">
            <v>6363.1383334969923</v>
          </cell>
          <cell r="AG31">
            <v>6277.1308418319568</v>
          </cell>
          <cell r="AH31">
            <v>6031.0646543575403</v>
          </cell>
          <cell r="AL31">
            <v>6032.8946543575403</v>
          </cell>
          <cell r="AM31">
            <v>6015.7905891228547</v>
          </cell>
          <cell r="AN31">
            <v>6015.7905891228547</v>
          </cell>
          <cell r="AO31">
            <v>6015.7905891228547</v>
          </cell>
          <cell r="AP31"/>
          <cell r="AQ31"/>
          <cell r="AR31" t="str">
            <v xml:space="preserve">Europe </v>
          </cell>
          <cell r="AS31">
            <v>6015.7905891228547</v>
          </cell>
          <cell r="AT31">
            <v>6015.7905891228547</v>
          </cell>
          <cell r="AU31">
            <v>4481.9831390596955</v>
          </cell>
          <cell r="AV31">
            <v>4474.5631390596955</v>
          </cell>
          <cell r="AW31"/>
          <cell r="AX31"/>
          <cell r="AY31" t="str">
            <v xml:space="preserve">Europe </v>
          </cell>
          <cell r="AZ31">
            <v>4474.5631390596955</v>
          </cell>
          <cell r="BA31">
            <v>4474.5631390596955</v>
          </cell>
          <cell r="BB31">
            <v>0</v>
          </cell>
          <cell r="BC31">
            <v>0</v>
          </cell>
          <cell r="BD31"/>
          <cell r="BE31"/>
          <cell r="BF31" t="str">
            <v xml:space="preserve">Europe </v>
          </cell>
          <cell r="BG31">
            <v>0</v>
          </cell>
          <cell r="BH31">
            <v>0</v>
          </cell>
          <cell r="BI31">
            <v>0</v>
          </cell>
          <cell r="BJ31">
            <v>0</v>
          </cell>
        </row>
        <row r="33">
          <cell r="D33">
            <v>414584.25137843797</v>
          </cell>
          <cell r="Z33">
            <v>31708.318530964782</v>
          </cell>
          <cell r="AA33">
            <v>31392.482462125332</v>
          </cell>
          <cell r="AE33">
            <v>31330.033235969375</v>
          </cell>
          <cell r="AF33">
            <v>31326.055807765344</v>
          </cell>
          <cell r="AG33">
            <v>30914.574939562695</v>
          </cell>
          <cell r="AH33">
            <v>30668.508752088277</v>
          </cell>
          <cell r="AL33">
            <v>30647.64558720234</v>
          </cell>
          <cell r="AM33">
            <v>30614.109939524686</v>
          </cell>
          <cell r="AN33">
            <v>30585.786528036613</v>
          </cell>
          <cell r="AO33">
            <v>30513.238680549228</v>
          </cell>
          <cell r="AS33">
            <v>30282.223378385585</v>
          </cell>
          <cell r="AT33">
            <v>30244.610727303763</v>
          </cell>
          <cell r="AU33">
            <v>11045.380324404523</v>
          </cell>
          <cell r="AV33">
            <v>11037.960324404523</v>
          </cell>
          <cell r="AZ33">
            <v>11037.960324404523</v>
          </cell>
          <cell r="BA33">
            <v>11037.960324404523</v>
          </cell>
          <cell r="BB33">
            <v>49.420310344827584</v>
          </cell>
          <cell r="BC33">
            <v>49.420310344827584</v>
          </cell>
          <cell r="BG33">
            <v>49.420310344827584</v>
          </cell>
          <cell r="BH33">
            <v>49.420310344827584</v>
          </cell>
          <cell r="BI33">
            <v>0</v>
          </cell>
          <cell r="BJ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606 3Q 2021"/>
      <sheetName val="SUB 2021 3Q"/>
      <sheetName val="SUBSCR 3Q 2021"/>
      <sheetName val="subscr H1 21 "/>
      <sheetName val="All comm 3Q 2021"/>
      <sheetName val="SUB 2020 H1 2021"/>
      <sheetName val="all comm H1 2021"/>
      <sheetName val="can tire"/>
      <sheetName val="swift"/>
      <sheetName val="kfw"/>
      <sheetName val="BNZ"/>
      <sheetName val="glic"/>
      <sheetName val="cnb optive"/>
      <sheetName val="בדיקה מול רוחבי H1"/>
      <sheetName val="3Q מול רוחבי"/>
      <sheetName val="All Comm Q1 21"/>
      <sheetName val="Q1 2021 GEN"/>
    </sheetNames>
    <sheetDataSet>
      <sheetData sheetId="0"/>
      <sheetData sheetId="1"/>
      <sheetData sheetId="2">
        <row r="29">
          <cell r="E29">
            <v>62991.125027455644</v>
          </cell>
          <cell r="AE29">
            <v>4747.5455211319713</v>
          </cell>
          <cell r="AF29">
            <v>4739.1751429807118</v>
          </cell>
          <cell r="AG29">
            <v>4739.1751429807118</v>
          </cell>
          <cell r="AH29">
            <v>4617.3270074212669</v>
          </cell>
          <cell r="AL29">
            <v>4617.3270074212669</v>
          </cell>
          <cell r="AM29">
            <v>4617.3270074212669</v>
          </cell>
          <cell r="AN29">
            <v>4617.3270074212669</v>
          </cell>
          <cell r="AO29">
            <v>4544.7257923863026</v>
          </cell>
          <cell r="AR29" t="str">
            <v xml:space="preserve">LTD </v>
          </cell>
          <cell r="AS29">
            <v>4544.7257923863026</v>
          </cell>
          <cell r="AT29">
            <v>4544.7257923863026</v>
          </cell>
          <cell r="AU29">
            <v>4544.7257923863026</v>
          </cell>
          <cell r="AV29">
            <v>1842.368125</v>
          </cell>
          <cell r="AY29" t="str">
            <v xml:space="preserve">LTD </v>
          </cell>
          <cell r="AZ29">
            <v>1842.368125</v>
          </cell>
          <cell r="BA29">
            <v>1842.368125</v>
          </cell>
          <cell r="BB29">
            <v>1842.368125</v>
          </cell>
          <cell r="BC29">
            <v>0</v>
          </cell>
          <cell r="BF29" t="str">
            <v xml:space="preserve">LTD </v>
          </cell>
          <cell r="BG29">
            <v>0</v>
          </cell>
          <cell r="BH29">
            <v>0</v>
          </cell>
          <cell r="BI29">
            <v>0</v>
          </cell>
          <cell r="BJ29">
            <v>0</v>
          </cell>
        </row>
        <row r="30">
          <cell r="AE30">
            <v>32593.669112102063</v>
          </cell>
          <cell r="AF30">
            <v>32593.669112102063</v>
          </cell>
          <cell r="AG30">
            <v>32593.669112102063</v>
          </cell>
          <cell r="AH30">
            <v>32024.660174648234</v>
          </cell>
          <cell r="AL30">
            <v>32017.842362291045</v>
          </cell>
          <cell r="AM30">
            <v>31738.711374224411</v>
          </cell>
          <cell r="AN30">
            <v>31372.77733257927</v>
          </cell>
          <cell r="AO30">
            <v>30827.875348489702</v>
          </cell>
          <cell r="AR30" t="str">
            <v xml:space="preserve">INC </v>
          </cell>
          <cell r="AS30">
            <v>30633.772384689855</v>
          </cell>
          <cell r="AT30">
            <v>30451.248952892409</v>
          </cell>
          <cell r="AU30">
            <v>30367.88634261259</v>
          </cell>
          <cell r="AV30">
            <v>4676.257723039218</v>
          </cell>
          <cell r="AY30" t="str">
            <v xml:space="preserve">INC </v>
          </cell>
          <cell r="AZ30">
            <v>4676.257723039218</v>
          </cell>
          <cell r="BA30">
            <v>4676.257723039218</v>
          </cell>
          <cell r="BB30">
            <v>4676.257723039218</v>
          </cell>
          <cell r="BC30">
            <v>287.05209803921571</v>
          </cell>
          <cell r="BF30" t="str">
            <v xml:space="preserve">INC </v>
          </cell>
          <cell r="BG30">
            <v>287.05209803921571</v>
          </cell>
          <cell r="BH30">
            <v>287.05209803921571</v>
          </cell>
          <cell r="BI30">
            <v>287.05209803921571</v>
          </cell>
          <cell r="BJ30">
            <v>0</v>
          </cell>
        </row>
        <row r="31">
          <cell r="AE31">
            <v>3646.1149446154641</v>
          </cell>
          <cell r="AF31">
            <v>3645.574944615465</v>
          </cell>
          <cell r="AG31">
            <v>3645.574944615465</v>
          </cell>
          <cell r="AH31">
            <v>3128.0720153447564</v>
          </cell>
          <cell r="AL31">
            <v>2618.0695228283566</v>
          </cell>
          <cell r="AM31">
            <v>2594.7316806526978</v>
          </cell>
          <cell r="AN31">
            <v>2594.7316806526978</v>
          </cell>
          <cell r="AO31">
            <v>2469.4631673570912</v>
          </cell>
          <cell r="AR31" t="str">
            <v xml:space="preserve">Europe </v>
          </cell>
          <cell r="AS31">
            <v>2469.4631673570912</v>
          </cell>
          <cell r="AT31">
            <v>2469.4631673570912</v>
          </cell>
          <cell r="AU31">
            <v>2469.4631673570912</v>
          </cell>
          <cell r="AV31">
            <v>-903.39229502085254</v>
          </cell>
          <cell r="AY31" t="str">
            <v xml:space="preserve">Europe </v>
          </cell>
          <cell r="AZ31">
            <v>-1575.8546320685177</v>
          </cell>
          <cell r="BA31">
            <v>-1584.0246320685178</v>
          </cell>
          <cell r="BB31">
            <v>-1584.0246320685178</v>
          </cell>
          <cell r="BC31">
            <v>202.94954079166439</v>
          </cell>
          <cell r="BF31" t="str">
            <v xml:space="preserve">Europe </v>
          </cell>
          <cell r="BG31">
            <v>202.94954079166439</v>
          </cell>
          <cell r="BH31">
            <v>202.94954079166439</v>
          </cell>
          <cell r="BI31">
            <v>202.94954079166439</v>
          </cell>
          <cell r="BJ31">
            <v>212</v>
          </cell>
        </row>
        <row r="32">
          <cell r="AE32">
            <v>5941.9289286769881</v>
          </cell>
          <cell r="AF32">
            <v>5941.9289286769881</v>
          </cell>
          <cell r="AG32">
            <v>5941.9289286769881</v>
          </cell>
          <cell r="AH32">
            <v>5884.2408011049711</v>
          </cell>
          <cell r="AL32">
            <v>5884.2408011049711</v>
          </cell>
          <cell r="AM32">
            <v>5884.2408011049711</v>
          </cell>
          <cell r="AN32">
            <v>5884.2408011049711</v>
          </cell>
          <cell r="AO32">
            <v>5884.2408011049711</v>
          </cell>
          <cell r="AR32" t="str">
            <v xml:space="preserve">AUS </v>
          </cell>
          <cell r="AS32">
            <v>5884.2408011049711</v>
          </cell>
          <cell r="AT32">
            <v>5884.2408011049711</v>
          </cell>
          <cell r="AU32">
            <v>5884.2408011049711</v>
          </cell>
          <cell r="AV32">
            <v>829.2650000000001</v>
          </cell>
          <cell r="AY32" t="str">
            <v xml:space="preserve">AUS </v>
          </cell>
          <cell r="AZ32">
            <v>829.2650000000001</v>
          </cell>
          <cell r="BA32">
            <v>829.2650000000001</v>
          </cell>
          <cell r="BB32">
            <v>829.2650000000001</v>
          </cell>
          <cell r="BC32">
            <v>0</v>
          </cell>
          <cell r="BF32" t="str">
            <v xml:space="preserve">AUS </v>
          </cell>
          <cell r="BG32">
            <v>0</v>
          </cell>
          <cell r="BH32">
            <v>0</v>
          </cell>
          <cell r="BI32">
            <v>0</v>
          </cell>
          <cell r="BJ32">
            <v>0</v>
          </cell>
        </row>
        <row r="33">
          <cell r="E33">
            <v>567617.96018442651</v>
          </cell>
          <cell r="AE33">
            <v>46929.258506526487</v>
          </cell>
          <cell r="AF33">
            <v>46920.348128375226</v>
          </cell>
          <cell r="AG33">
            <v>46920.348128375226</v>
          </cell>
          <cell r="AH33">
            <v>45654.299998519222</v>
          </cell>
          <cell r="AL33">
            <v>45137.479693645641</v>
          </cell>
          <cell r="AM33">
            <v>44835.010863403339</v>
          </cell>
          <cell r="AN33">
            <v>44469.076821758208</v>
          </cell>
          <cell r="AO33">
            <v>43726.305109338064</v>
          </cell>
          <cell r="AS33">
            <v>43532.20214553822</v>
          </cell>
          <cell r="AT33">
            <v>43349.678713740774</v>
          </cell>
          <cell r="AU33">
            <v>43266.316103460951</v>
          </cell>
          <cell r="AV33">
            <v>6444.4985530183658</v>
          </cell>
          <cell r="AZ33">
            <v>5772.0362159707011</v>
          </cell>
          <cell r="BA33">
            <v>5763.866215970701</v>
          </cell>
          <cell r="BB33">
            <v>5763.866215970701</v>
          </cell>
          <cell r="BC33">
            <v>490.0016388308801</v>
          </cell>
          <cell r="BG33">
            <v>490.0016388308801</v>
          </cell>
          <cell r="BH33">
            <v>490.0016388308801</v>
          </cell>
          <cell r="BI33">
            <v>490.0016388308801</v>
          </cell>
          <cell r="BJ33">
            <v>212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606 4Q 2021"/>
      <sheetName val="606 3Q 2021"/>
      <sheetName val="SUB 2021 "/>
      <sheetName val="subscr 2021"/>
      <sheetName val="SUBSCR 3Q 2021"/>
      <sheetName val="subscr H1 21 "/>
      <sheetName val="All comm 2021"/>
      <sheetName val="All comm 3Q 2021"/>
      <sheetName val="SUB 2020 H1 2021"/>
      <sheetName val="all comm H1 2021"/>
      <sheetName val="saib"/>
      <sheetName val="hig"/>
      <sheetName val="bradesco"/>
      <sheetName val="baptis"/>
      <sheetName val="glic"/>
      <sheetName val="cnb optive"/>
      <sheetName val="בדיקה מול רוחבי H1"/>
      <sheetName val="3Q מול רוחבי"/>
      <sheetName val="All Comm Q1 21"/>
      <sheetName val="Q1 2021 GEN"/>
    </sheetNames>
    <sheetDataSet>
      <sheetData sheetId="0"/>
      <sheetData sheetId="1"/>
      <sheetData sheetId="2">
        <row r="29">
          <cell r="F29">
            <v>121933.48495729902</v>
          </cell>
          <cell r="AE29">
            <v>13139.363928040191</v>
          </cell>
          <cell r="AF29">
            <v>13064.066529388732</v>
          </cell>
          <cell r="AG29">
            <v>13030.869111386062</v>
          </cell>
          <cell r="AH29">
            <v>13029.479111386063</v>
          </cell>
          <cell r="AL29">
            <v>12878.711429405292</v>
          </cell>
          <cell r="AM29">
            <v>10042.937412869174</v>
          </cell>
          <cell r="AN29">
            <v>5789.2793797969371</v>
          </cell>
          <cell r="AO29">
            <v>5781.2693797969378</v>
          </cell>
          <cell r="AR29" t="str">
            <v xml:space="preserve">LTD </v>
          </cell>
          <cell r="AS29">
            <v>5120.4078716846998</v>
          </cell>
          <cell r="AT29">
            <v>5120.4078716846998</v>
          </cell>
          <cell r="AU29">
            <v>5120.4078716846998</v>
          </cell>
          <cell r="AV29">
            <v>5120.4078716846998</v>
          </cell>
          <cell r="AY29" t="str">
            <v xml:space="preserve">LTD </v>
          </cell>
          <cell r="AZ29">
            <v>3674.4774999999995</v>
          </cell>
          <cell r="BA29">
            <v>3673.7974999999997</v>
          </cell>
          <cell r="BB29">
            <v>3673.7974999999997</v>
          </cell>
          <cell r="BC29">
            <v>3673.7974999999997</v>
          </cell>
          <cell r="BF29" t="str">
            <v xml:space="preserve">LTD </v>
          </cell>
          <cell r="BG29">
            <v>0</v>
          </cell>
          <cell r="BH29">
            <v>0</v>
          </cell>
          <cell r="BI29">
            <v>0</v>
          </cell>
          <cell r="BJ29">
            <v>0</v>
          </cell>
        </row>
        <row r="30">
          <cell r="AE30">
            <v>41483.126301370197</v>
          </cell>
          <cell r="AF30">
            <v>41482.80630137019</v>
          </cell>
          <cell r="AG30">
            <v>41471.603854040455</v>
          </cell>
          <cell r="AH30">
            <v>41447.983854040453</v>
          </cell>
          <cell r="AL30">
            <v>39729.272003166938</v>
          </cell>
          <cell r="AM30">
            <v>39722.138027981237</v>
          </cell>
          <cell r="AN30">
            <v>39671.323568971522</v>
          </cell>
          <cell r="AO30">
            <v>39635.76210608783</v>
          </cell>
          <cell r="AR30" t="str">
            <v xml:space="preserve">INC </v>
          </cell>
          <cell r="AS30">
            <v>35846.083721105424</v>
          </cell>
          <cell r="AT30">
            <v>35839.109125798277</v>
          </cell>
          <cell r="AU30">
            <v>35839.109125798277</v>
          </cell>
          <cell r="AV30">
            <v>36336.109125798277</v>
          </cell>
          <cell r="AY30" t="str">
            <v xml:space="preserve">INC </v>
          </cell>
          <cell r="AZ30">
            <v>5855.2474999999977</v>
          </cell>
          <cell r="BA30">
            <v>5855.2474999999977</v>
          </cell>
          <cell r="BB30">
            <v>5855.2474999999977</v>
          </cell>
          <cell r="BC30">
            <v>5855.2474999999977</v>
          </cell>
          <cell r="BF30" t="str">
            <v xml:space="preserve">INC </v>
          </cell>
          <cell r="BG30">
            <v>0</v>
          </cell>
          <cell r="BH30">
            <v>0</v>
          </cell>
          <cell r="BI30">
            <v>0</v>
          </cell>
          <cell r="BJ30">
            <v>0</v>
          </cell>
        </row>
        <row r="31">
          <cell r="AE31">
            <v>20117.230827743471</v>
          </cell>
          <cell r="AF31">
            <v>19784.861521274164</v>
          </cell>
          <cell r="AG31">
            <v>19736.905919140019</v>
          </cell>
          <cell r="AH31">
            <v>19704.375570321958</v>
          </cell>
          <cell r="AL31">
            <v>17345.152166152584</v>
          </cell>
          <cell r="AM31">
            <v>17164.743757756325</v>
          </cell>
          <cell r="AN31">
            <v>17164.743757756325</v>
          </cell>
          <cell r="AO31">
            <v>17164.743757756325</v>
          </cell>
          <cell r="AR31" t="str">
            <v xml:space="preserve">Europe </v>
          </cell>
          <cell r="AS31">
            <v>17164.743757756325</v>
          </cell>
          <cell r="AT31">
            <v>17091.634053956295</v>
          </cell>
          <cell r="AU31">
            <v>17062.894202056279</v>
          </cell>
          <cell r="AV31">
            <v>17062.894202056279</v>
          </cell>
          <cell r="AY31" t="str">
            <v xml:space="preserve">Europe </v>
          </cell>
          <cell r="AZ31">
            <v>5012.1991279553013</v>
          </cell>
          <cell r="BA31">
            <v>4169.9946269702004</v>
          </cell>
          <cell r="BB31">
            <v>3447.8556250000001</v>
          </cell>
          <cell r="BC31">
            <v>3447.8556250000001</v>
          </cell>
          <cell r="BF31" t="str">
            <v xml:space="preserve">Europe </v>
          </cell>
          <cell r="BG31">
            <v>0</v>
          </cell>
          <cell r="BH31">
            <v>0</v>
          </cell>
          <cell r="BI31">
            <v>0</v>
          </cell>
          <cell r="BJ31">
            <v>0</v>
          </cell>
        </row>
        <row r="32">
          <cell r="AE32">
            <v>1675.5598632957926</v>
          </cell>
          <cell r="AF32">
            <v>1675.5598632957926</v>
          </cell>
          <cell r="AG32">
            <v>1675.5598632957926</v>
          </cell>
          <cell r="AH32">
            <v>1675.4098632957925</v>
          </cell>
          <cell r="AL32">
            <v>1662.3105901547465</v>
          </cell>
          <cell r="AM32">
            <v>1662.3105901547465</v>
          </cell>
          <cell r="AN32">
            <v>1662.3105901547465</v>
          </cell>
          <cell r="AO32">
            <v>1662.3105901547465</v>
          </cell>
          <cell r="AR32" t="str">
            <v xml:space="preserve">AUS </v>
          </cell>
          <cell r="AS32">
            <v>1662.3105901547465</v>
          </cell>
          <cell r="AT32">
            <v>1662.3105901547465</v>
          </cell>
          <cell r="AU32">
            <v>1662.3105901547465</v>
          </cell>
          <cell r="AV32">
            <v>1662.3105901547465</v>
          </cell>
          <cell r="AY32" t="str">
            <v xml:space="preserve">AUS </v>
          </cell>
          <cell r="AZ32">
            <v>812.41062499999998</v>
          </cell>
          <cell r="BA32">
            <v>812.41062499999998</v>
          </cell>
          <cell r="BB32">
            <v>812.41062499999998</v>
          </cell>
          <cell r="BC32">
            <v>812.41062499999998</v>
          </cell>
          <cell r="BF32" t="str">
            <v xml:space="preserve">AUS </v>
          </cell>
          <cell r="BG32">
            <v>0</v>
          </cell>
          <cell r="BH32">
            <v>0</v>
          </cell>
          <cell r="BI32">
            <v>0</v>
          </cell>
          <cell r="BJ32">
            <v>0</v>
          </cell>
        </row>
        <row r="33">
          <cell r="AE33">
            <v>76415.280920449659</v>
          </cell>
          <cell r="AF33">
            <v>76007.29421532889</v>
          </cell>
          <cell r="AG33">
            <v>75914.938747862339</v>
          </cell>
          <cell r="AH33">
            <v>75857.248399044271</v>
          </cell>
          <cell r="AL33">
            <v>71615.446188879578</v>
          </cell>
          <cell r="AM33">
            <v>68592.129788761493</v>
          </cell>
          <cell r="AN33">
            <v>64287.657296679528</v>
          </cell>
          <cell r="AO33">
            <v>64244.085833795842</v>
          </cell>
          <cell r="AS33">
            <v>59793.545940701195</v>
          </cell>
          <cell r="AT33">
            <v>59713.461641594018</v>
          </cell>
          <cell r="AU33">
            <v>59684.721789694006</v>
          </cell>
          <cell r="AV33">
            <v>60181.721789694006</v>
          </cell>
          <cell r="AZ33">
            <v>15354.334752955299</v>
          </cell>
          <cell r="BA33">
            <v>14511.4502519702</v>
          </cell>
          <cell r="BB33">
            <v>13789.311249999999</v>
          </cell>
          <cell r="BC33">
            <v>13789.311249999999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data Yair q1 2020"/>
      <sheetName val="606 q1 2020"/>
      <sheetName val="SUB 2020 H1 2020"/>
      <sheetName val="data Yair H1 2020"/>
      <sheetName val="606 H1 2020"/>
      <sheetName val="DATA YAIR"/>
      <sheetName val="ALL"/>
      <sheetName val="606 3Q 2020"/>
      <sheetName val="COMM Q1-3 Yair"/>
      <sheetName val="Sheet1"/>
      <sheetName val="SUB 2020 3Q 2020"/>
      <sheetName val="SUB 2020 4Q 2020"/>
      <sheetName val="606 4Q 2020"/>
      <sheetName val="COMM 1-4 Yair"/>
      <sheetName val="Q4 2020 GEN"/>
      <sheetName val="SUBSCR 202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9">
          <cell r="F29">
            <v>99699.606228612887</v>
          </cell>
          <cell r="AE29">
            <v>6344.5138915441476</v>
          </cell>
          <cell r="AF29">
            <v>6344.5138915441476</v>
          </cell>
          <cell r="AG29">
            <v>6344.5138915441476</v>
          </cell>
          <cell r="AH29">
            <v>6344.5138915441476</v>
          </cell>
          <cell r="AL29">
            <v>6344.5138915441476</v>
          </cell>
          <cell r="AM29">
            <v>6344.5138915441476</v>
          </cell>
          <cell r="AN29">
            <v>6344.5138915441476</v>
          </cell>
          <cell r="AO29">
            <v>6344.5138915441476</v>
          </cell>
          <cell r="AP29"/>
          <cell r="AQ29"/>
          <cell r="AR29" t="str">
            <v xml:space="preserve">LTD </v>
          </cell>
          <cell r="AS29">
            <v>4654.6468750000004</v>
          </cell>
          <cell r="AT29">
            <v>4654.6468750000004</v>
          </cell>
          <cell r="AU29">
            <v>4654.6468750000004</v>
          </cell>
          <cell r="AV29">
            <v>4654.6468750000004</v>
          </cell>
          <cell r="AW29"/>
          <cell r="AX29"/>
          <cell r="AY29" t="str">
            <v xml:space="preserve">LTD </v>
          </cell>
          <cell r="AZ29">
            <v>0</v>
          </cell>
          <cell r="BA29">
            <v>0</v>
          </cell>
          <cell r="BB29">
            <v>0</v>
          </cell>
          <cell r="BC29">
            <v>0</v>
          </cell>
          <cell r="BD29"/>
          <cell r="BE29"/>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SUB 2020 Q1 2021"/>
      <sheetName val="606 Q1 2021"/>
      <sheetName val="dough"/>
      <sheetName val="Erick"/>
      <sheetName val="jbs"/>
      <sheetName val="jw"/>
      <sheetName val="tony"/>
      <sheetName val="DORIE"/>
      <sheetName val="malcom"/>
      <sheetName val="FAISAL"/>
      <sheetName val="בדיקה מול רוחבי"/>
      <sheetName val="All Comm Q1 21"/>
      <sheetName val="Q1 2021 GEN"/>
      <sheetName val="subscr Q1 21 "/>
    </sheetNames>
    <sheetDataSet>
      <sheetData sheetId="0"/>
      <sheetData sheetId="1"/>
      <sheetData sheetId="2">
        <row r="29">
          <cell r="C29">
            <v>79785.127051473377</v>
          </cell>
          <cell r="AE29">
            <v>5522.1236101546256</v>
          </cell>
          <cell r="AF29">
            <v>4893.4507658923303</v>
          </cell>
          <cell r="AG29">
            <v>4893.4507658923303</v>
          </cell>
          <cell r="AH29">
            <v>4893.4507658923303</v>
          </cell>
          <cell r="AL29">
            <v>4893.4507658923303</v>
          </cell>
          <cell r="AM29">
            <v>4893.4507658923303</v>
          </cell>
          <cell r="AN29">
            <v>4893.4507658923303</v>
          </cell>
          <cell r="AO29">
            <v>4893.4507658923303</v>
          </cell>
          <cell r="AP29"/>
          <cell r="AQ29"/>
          <cell r="AR29" t="str">
            <v xml:space="preserve">LTD </v>
          </cell>
          <cell r="AS29">
            <v>4893.4507658923303</v>
          </cell>
          <cell r="AT29">
            <v>4688.3940232073046</v>
          </cell>
          <cell r="AU29">
            <v>4620.0512499999995</v>
          </cell>
          <cell r="AV29">
            <v>4620.0512499999995</v>
          </cell>
          <cell r="AW29"/>
          <cell r="AX29"/>
          <cell r="AY29" t="str">
            <v xml:space="preserve">LTD </v>
          </cell>
          <cell r="AZ29">
            <v>4620.0512499999995</v>
          </cell>
          <cell r="BA29">
            <v>0</v>
          </cell>
          <cell r="BB29">
            <v>0</v>
          </cell>
          <cell r="BC29">
            <v>0</v>
          </cell>
        </row>
        <row r="31">
          <cell r="AE31">
            <v>6786.0769577795645</v>
          </cell>
          <cell r="AF31">
            <v>4758.3892950158761</v>
          </cell>
          <cell r="AG31">
            <v>4758.3892950158761</v>
          </cell>
          <cell r="AH31">
            <v>4744.0464118999525</v>
          </cell>
          <cell r="AL31">
            <v>4741.7064118999524</v>
          </cell>
          <cell r="AM31">
            <v>4731.0272452332856</v>
          </cell>
          <cell r="AN31">
            <v>4731.0272452332856</v>
          </cell>
          <cell r="AO31">
            <v>4731.0272452332856</v>
          </cell>
          <cell r="AP31"/>
          <cell r="AQ31"/>
          <cell r="AR31" t="str">
            <v xml:space="preserve">Europe </v>
          </cell>
          <cell r="AS31">
            <v>4731.0272452332856</v>
          </cell>
          <cell r="AT31">
            <v>1503.7704088004875</v>
          </cell>
          <cell r="AU31">
            <v>1503.7704088004875</v>
          </cell>
          <cell r="AV31">
            <v>1503.7704088004875</v>
          </cell>
          <cell r="AW31"/>
          <cell r="AX31"/>
          <cell r="AY31" t="str">
            <v xml:space="preserve">Europe </v>
          </cell>
          <cell r="AZ31">
            <v>1503.7704088004875</v>
          </cell>
          <cell r="BA31">
            <v>0</v>
          </cell>
          <cell r="BB31">
            <v>0</v>
          </cell>
          <cell r="BC31">
            <v>0</v>
          </cell>
        </row>
        <row r="32">
          <cell r="AE32">
            <v>655.07504197116327</v>
          </cell>
          <cell r="AF32">
            <v>622.38295180722889</v>
          </cell>
          <cell r="AG32">
            <v>622.38295180722889</v>
          </cell>
          <cell r="AH32">
            <v>622.38295180722889</v>
          </cell>
          <cell r="AL32">
            <v>622.38295180722889</v>
          </cell>
          <cell r="AM32">
            <v>622.38295180722889</v>
          </cell>
          <cell r="AN32">
            <v>622.38295180722889</v>
          </cell>
          <cell r="AO32">
            <v>622.38295180722889</v>
          </cell>
          <cell r="AP32"/>
          <cell r="AQ32"/>
          <cell r="AR32" t="str">
            <v xml:space="preserve">AUS </v>
          </cell>
          <cell r="AS32">
            <v>622.38295180722889</v>
          </cell>
          <cell r="AT32">
            <v>572.27</v>
          </cell>
          <cell r="AU32">
            <v>572.27</v>
          </cell>
          <cell r="AV32">
            <v>572.27</v>
          </cell>
          <cell r="AW32"/>
          <cell r="AX32"/>
          <cell r="AY32" t="str">
            <v xml:space="preserve">AUS </v>
          </cell>
          <cell r="AZ32">
            <v>572.27</v>
          </cell>
          <cell r="BA32">
            <v>0</v>
          </cell>
          <cell r="BB32">
            <v>0</v>
          </cell>
          <cell r="BC32">
            <v>0</v>
          </cell>
        </row>
        <row r="33">
          <cell r="C33">
            <v>315067.84856771864</v>
          </cell>
          <cell r="Y33">
            <v>26375.022896854942</v>
          </cell>
          <cell r="Z33">
            <v>26362.690614102197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SUB 2020 H1 2021"/>
      <sheetName val="606 H1 2021"/>
      <sheetName val="subscr H1 21 "/>
      <sheetName val="all comm H1 2021"/>
      <sheetName val="glic"/>
      <sheetName val="cnb optive"/>
      <sheetName val="Andrew Mill"/>
      <sheetName val="Harry "/>
      <sheetName val="CINDY"/>
      <sheetName val="TONY"/>
      <sheetName val="MIKE"/>
      <sheetName val="JBS"/>
      <sheetName val="בדיקה מול רוחבי H1"/>
      <sheetName val="All Comm Q1 21"/>
      <sheetName val="Q1 2021 GEN"/>
      <sheetName val="בדיקה מול רוחבי"/>
    </sheetNames>
    <sheetDataSet>
      <sheetData sheetId="0" refreshError="1"/>
      <sheetData sheetId="1" refreshError="1"/>
      <sheetData sheetId="2" refreshError="1">
        <row r="29">
          <cell r="D29">
            <v>70908.474047082869</v>
          </cell>
          <cell r="AE29">
            <v>4954.4779954736359</v>
          </cell>
          <cell r="AF29">
            <v>4950.500567269607</v>
          </cell>
          <cell r="AG29">
            <v>4842.7471372555565</v>
          </cell>
          <cell r="AH29">
            <v>4842.7471372555565</v>
          </cell>
          <cell r="AL29">
            <v>4842.7471372555565</v>
          </cell>
          <cell r="AM29">
            <v>4842.7471372555565</v>
          </cell>
          <cell r="AN29">
            <v>4842.7471372555565</v>
          </cell>
          <cell r="AO29">
            <v>4792.8299372555566</v>
          </cell>
          <cell r="AP29"/>
          <cell r="AQ29"/>
          <cell r="AR29" t="str">
            <v xml:space="preserve">LTD </v>
          </cell>
          <cell r="AS29">
            <v>4792.8299372555566</v>
          </cell>
          <cell r="AT29">
            <v>4792.8299372555566</v>
          </cell>
          <cell r="AU29">
            <v>3093.1781250000004</v>
          </cell>
          <cell r="AV29">
            <v>3093.1781250000004</v>
          </cell>
          <cell r="AW29"/>
          <cell r="AX29"/>
          <cell r="AY29" t="str">
            <v xml:space="preserve">LTD </v>
          </cell>
          <cell r="AZ29">
            <v>3093.1781250000004</v>
          </cell>
          <cell r="BA29">
            <v>3093.1781250000004</v>
          </cell>
          <cell r="BB29">
            <v>0</v>
          </cell>
          <cell r="BC29">
            <v>0</v>
          </cell>
          <cell r="BD29"/>
          <cell r="BE29"/>
          <cell r="BF29" t="str">
            <v xml:space="preserve">LTD </v>
          </cell>
          <cell r="BG29">
            <v>0</v>
          </cell>
          <cell r="BH29">
            <v>0</v>
          </cell>
          <cell r="BI29">
            <v>0</v>
          </cell>
          <cell r="BJ29">
            <v>0</v>
          </cell>
        </row>
        <row r="32">
          <cell r="AE32">
            <v>108.75691100823038</v>
          </cell>
          <cell r="AF32">
            <v>108.75691100823038</v>
          </cell>
          <cell r="AG32">
            <v>102.10562499999992</v>
          </cell>
          <cell r="AH32">
            <v>102.10562499999992</v>
          </cell>
          <cell r="AL32">
            <v>102.10562499999992</v>
          </cell>
          <cell r="AM32">
            <v>102.10562499999992</v>
          </cell>
          <cell r="AN32">
            <v>102.10562499999992</v>
          </cell>
          <cell r="AO32">
            <v>102.10562499999992</v>
          </cell>
          <cell r="AP32"/>
          <cell r="AQ32"/>
          <cell r="AR32" t="str">
            <v xml:space="preserve">AUS </v>
          </cell>
          <cell r="AS32">
            <v>102.10562499999992</v>
          </cell>
          <cell r="AT32">
            <v>102.10562499999992</v>
          </cell>
          <cell r="AU32">
            <v>102.10562499999992</v>
          </cell>
          <cell r="AV32">
            <v>102.10562499999992</v>
          </cell>
          <cell r="AW32"/>
          <cell r="AX32"/>
          <cell r="AY32" t="str">
            <v xml:space="preserve">AUS </v>
          </cell>
          <cell r="AZ32">
            <v>102.10562499999992</v>
          </cell>
          <cell r="BA32">
            <v>102.10562499999992</v>
          </cell>
          <cell r="BB32">
            <v>0</v>
          </cell>
          <cell r="BC32">
            <v>0</v>
          </cell>
          <cell r="BD32"/>
          <cell r="BE32"/>
          <cell r="BF32" t="str">
            <v xml:space="preserve">AUS </v>
          </cell>
          <cell r="BG32">
            <v>0</v>
          </cell>
          <cell r="BH32">
            <v>0</v>
          </cell>
          <cell r="BI32">
            <v>0</v>
          </cell>
          <cell r="BJ32">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
      <sheetName val="2018"/>
      <sheetName val="2-3 Years "/>
      <sheetName val="Increase Maint"/>
      <sheetName val="Renewals"/>
      <sheetName val="Subscription - New "/>
    </sheetNames>
    <sheetDataSet>
      <sheetData sheetId="0">
        <row r="3">
          <cell r="Y3">
            <v>42572.132847031666</v>
          </cell>
        </row>
        <row r="7">
          <cell r="BG7">
            <v>151960.30201667349</v>
          </cell>
          <cell r="BM7">
            <v>151960.30201667349</v>
          </cell>
          <cell r="BS7">
            <v>151960.30201667349</v>
          </cell>
          <cell r="CE7">
            <v>151960.30201667349</v>
          </cell>
          <cell r="CK7">
            <v>139273.22389167349</v>
          </cell>
        </row>
        <row r="112">
          <cell r="P112">
            <v>607841.20806669409</v>
          </cell>
          <cell r="Q112">
            <v>981166.65060025221</v>
          </cell>
        </row>
      </sheetData>
      <sheetData sheetId="1"/>
      <sheetData sheetId="2"/>
      <sheetData sheetId="3"/>
      <sheetData sheetId="4"/>
      <sheetData sheetId="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pricing From October 2018"/>
      <sheetName val="subscr only 01-03 "/>
      <sheetName val="Sheet1"/>
      <sheetName val="pivot per user"/>
      <sheetName val="COMM Q1 2019"/>
      <sheetName val="SUB"/>
      <sheetName val="General"/>
      <sheetName val="ALL"/>
    </sheetNames>
    <sheetDataSet>
      <sheetData sheetId="0"/>
      <sheetData sheetId="1"/>
      <sheetData sheetId="2"/>
      <sheetData sheetId="3"/>
      <sheetData sheetId="4"/>
      <sheetData sheetId="5"/>
      <sheetData sheetId="6"/>
      <sheetData sheetId="7"/>
      <sheetData sheetId="8">
        <row r="29">
          <cell r="C29">
            <v>38871.087907600122</v>
          </cell>
        </row>
        <row r="33">
          <cell r="C33">
            <v>214076.19142164307</v>
          </cell>
        </row>
      </sheetData>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pricing From October 2018"/>
      <sheetName val="subscr only 01-03 "/>
      <sheetName val="Sheet1"/>
      <sheetName val="pivot per user"/>
      <sheetName val="COMM Q1 2019"/>
      <sheetName val="SUB"/>
      <sheetName val="General"/>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2">
          <cell r="L32">
            <v>5798.7001190476185</v>
          </cell>
        </row>
        <row r="33">
          <cell r="K33">
            <v>18179.416057575516</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pricing From October 2018"/>
      <sheetName val="subscr only 01-03 "/>
      <sheetName val="Sheet1"/>
      <sheetName val="pivot per user"/>
      <sheetName val="COMM Q1 2019"/>
      <sheetName val="SUB"/>
      <sheetName val="General"/>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L29">
            <v>2914.3455122595392</v>
          </cell>
        </row>
        <row r="33">
          <cell r="L33">
            <v>18088.837724242185</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pivot per user"/>
      <sheetName val="ALL H1 2019 "/>
      <sheetName val="Q2 for Provision"/>
      <sheetName val="Prov Q2 for Comm"/>
      <sheetName val="SUB"/>
      <sheetName val="comm for AC for Prov "/>
      <sheetName val="ALL"/>
    </sheetNames>
    <sheetDataSet>
      <sheetData sheetId="0" refreshError="1"/>
      <sheetData sheetId="1" refreshError="1"/>
      <sheetData sheetId="2" refreshError="1"/>
      <sheetData sheetId="3" refreshError="1"/>
      <sheetData sheetId="4" refreshError="1"/>
      <sheetData sheetId="5">
        <row r="102">
          <cell r="I102">
            <v>93904.02</v>
          </cell>
        </row>
      </sheetData>
      <sheetData sheetId="6" refreshError="1"/>
      <sheetData sheetId="7" refreshError="1"/>
      <sheetData sheetId="8">
        <row r="29">
          <cell r="L29">
            <v>1844.5932416985968</v>
          </cell>
        </row>
        <row r="33">
          <cell r="D33">
            <v>182639.23330877459</v>
          </cell>
          <cell r="L33">
            <v>15206.257557949877</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check "/>
      <sheetName val="PROVISION Q3"/>
      <sheetName val="1-3Q"/>
      <sheetName val="PIVOT prio 1-3"/>
      <sheetName val="prio 1-3"/>
      <sheetName val="606 per user"/>
      <sheetName val="SUB"/>
      <sheetName val="ALL"/>
    </sheetNames>
    <sheetDataSet>
      <sheetData sheetId="0"/>
      <sheetData sheetId="1"/>
      <sheetData sheetId="2"/>
      <sheetData sheetId="3">
        <row r="19">
          <cell r="X19">
            <v>110835.97840000008</v>
          </cell>
        </row>
      </sheetData>
      <sheetData sheetId="4"/>
      <sheetData sheetId="5"/>
      <sheetData sheetId="6"/>
      <sheetData sheetId="7">
        <row r="140">
          <cell r="G140">
            <v>34211.81</v>
          </cell>
        </row>
      </sheetData>
      <sheetData sheetId="8">
        <row r="6">
          <cell r="B6">
            <v>1736.4</v>
          </cell>
        </row>
      </sheetData>
      <sheetData sheetId="9">
        <row r="29">
          <cell r="E29">
            <v>24140.300525258455</v>
          </cell>
        </row>
        <row r="33">
          <cell r="E33">
            <v>224681.81688833371</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606 q1 2020"/>
      <sheetName val="data Yair q1 2020"/>
      <sheetName val="DATA YAIR"/>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R29">
            <v>4598.7431628282402</v>
          </cell>
        </row>
        <row r="33">
          <cell r="C33">
            <v>212147.21517892269</v>
          </cell>
          <cell r="R33">
            <v>17630.037467444301</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606"/>
      <sheetName val="SUB 2020"/>
      <sheetName val="SUB "/>
      <sheetName val="data Yair q1 2020"/>
      <sheetName val="606 q1 2020"/>
      <sheetName val="SUB 2020 H1 2020"/>
      <sheetName val="data Yair H1 2020"/>
      <sheetName val="606 H1 2020"/>
      <sheetName val="DATA YAIR"/>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9">
          <cell r="D29">
            <v>40173.888660552519</v>
          </cell>
        </row>
        <row r="33">
          <cell r="D33">
            <v>697792.74728240806</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606 3Q 2021"/>
      <sheetName val="SUB 2021 3Q"/>
      <sheetName val="SUBSCR 3Q 2021"/>
      <sheetName val="subscr H1 21 "/>
      <sheetName val="All comm 3Q 2021"/>
      <sheetName val="SUB 2020 H1 2021"/>
      <sheetName val="all comm H1 2021"/>
      <sheetName val="can tire"/>
      <sheetName val="swift"/>
      <sheetName val="kfw"/>
      <sheetName val="BNZ"/>
      <sheetName val="glic"/>
      <sheetName val="cnb optive"/>
      <sheetName val="בדיקה מול רוחבי H1"/>
      <sheetName val="3Q מול רוחבי"/>
      <sheetName val="All Comm Q1 21"/>
      <sheetName val="Q1 2021 GEN"/>
    </sheetNames>
    <sheetDataSet>
      <sheetData sheetId="0" refreshError="1"/>
      <sheetData sheetId="1" refreshError="1"/>
      <sheetData sheetId="2">
        <row r="29">
          <cell r="AF29">
            <v>4739.1751429807118</v>
          </cell>
        </row>
        <row r="33">
          <cell r="AA33">
            <v>46961.484007783074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 KEY"/>
      <sheetName val="General"/>
      <sheetName val="ALL"/>
      <sheetName val="606 4Q 2021"/>
      <sheetName val="606 3Q 2021"/>
      <sheetName val="SUB 2021 "/>
      <sheetName val="subscr 2021"/>
      <sheetName val="SUBSCR 3Q 2021"/>
      <sheetName val="subscr H1 21 "/>
      <sheetName val="All comm 2021"/>
      <sheetName val="All comm 3Q 2021"/>
      <sheetName val="SUB 2020 H1 2021"/>
      <sheetName val="all comm H1 2021"/>
      <sheetName val="saib"/>
      <sheetName val="hig"/>
      <sheetName val="bradesco"/>
      <sheetName val="baptis"/>
      <sheetName val="glic"/>
      <sheetName val="cnb optive"/>
      <sheetName val="בדיקה מול רוחבי H1"/>
      <sheetName val="3Q מול רוחבי"/>
      <sheetName val="All Comm Q1 21"/>
      <sheetName val="Q1 2021 GEN"/>
    </sheetNames>
    <sheetDataSet>
      <sheetData sheetId="0" refreshError="1"/>
      <sheetData sheetId="1" refreshError="1"/>
      <sheetData sheetId="2">
        <row r="29">
          <cell r="AE29">
            <v>13139.363928040191</v>
          </cell>
        </row>
        <row r="33">
          <cell r="F33">
            <v>869751.95640308922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0"/>
      <sheetName val="53590"/>
      <sheetName val="subscr only"/>
      <sheetName val="Priority Automated"/>
      <sheetName val="ALL Automated"/>
      <sheetName val="Legacy"/>
      <sheetName val="profit center"/>
      <sheetName val="BCG_GuidePoint"/>
      <sheetName val="VSOE"/>
    </sheetNames>
    <sheetDataSet>
      <sheetData sheetId="0"/>
      <sheetData sheetId="1"/>
      <sheetData sheetId="2"/>
      <sheetData sheetId="3"/>
      <sheetData sheetId="4">
        <row r="167">
          <cell r="I167">
            <v>7870817.6483194204</v>
          </cell>
        </row>
        <row r="169">
          <cell r="X169">
            <v>867586.48269222071</v>
          </cell>
        </row>
        <row r="172">
          <cell r="K172">
            <v>2222197.9237098657</v>
          </cell>
        </row>
        <row r="173">
          <cell r="K173">
            <v>3282380.4352784939</v>
          </cell>
        </row>
      </sheetData>
      <sheetData sheetId="5"/>
      <sheetData sheetId="6"/>
      <sheetData sheetId="7">
        <row r="8">
          <cell r="B8">
            <v>73549.3</v>
          </cell>
        </row>
      </sheetData>
      <sheetData sheetId="8"/>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פקודה לפריו "/>
      <sheetName val="53580"/>
      <sheetName val="subscr only"/>
      <sheetName val="pricing From October 2018"/>
      <sheetName val="NAB"/>
      <sheetName val="ALL"/>
      <sheetName val="ALL Automated"/>
      <sheetName val="Priority Automated"/>
      <sheetName val="ALL (legacy)"/>
      <sheetName val="VSOE"/>
    </sheetNames>
    <sheetDataSet>
      <sheetData sheetId="0"/>
      <sheetData sheetId="1"/>
      <sheetData sheetId="2"/>
      <sheetData sheetId="3"/>
      <sheetData sheetId="4"/>
      <sheetData sheetId="5"/>
      <sheetData sheetId="6"/>
      <sheetData sheetId="7">
        <row r="23">
          <cell r="I23">
            <v>686171.15348124178</v>
          </cell>
        </row>
        <row r="25">
          <cell r="X25">
            <v>41409.493659484382</v>
          </cell>
        </row>
        <row r="26">
          <cell r="K26">
            <v>169905.78518995745</v>
          </cell>
        </row>
        <row r="27">
          <cell r="K27">
            <v>277761.27766931651</v>
          </cell>
        </row>
      </sheetData>
      <sheetData sheetId="8"/>
      <sheetData sheetId="9"/>
      <sheetData sheetId="10"/>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EUR"/>
      <sheetName val="53581"/>
      <sheetName val="MAERSK"/>
      <sheetName val="subscr only"/>
      <sheetName val="ALL Automated"/>
      <sheetName val="Priority Automated"/>
      <sheetName val="Legacy"/>
      <sheetName val="UK218000427 (SAIB)"/>
      <sheetName val="VSOE"/>
    </sheetNames>
    <sheetDataSet>
      <sheetData sheetId="0" refreshError="1"/>
      <sheetData sheetId="1" refreshError="1"/>
      <sheetData sheetId="2" refreshError="1"/>
      <sheetData sheetId="3" refreshError="1"/>
      <sheetData sheetId="4">
        <row r="94">
          <cell r="I94">
            <v>60224.399671052633</v>
          </cell>
        </row>
        <row r="126">
          <cell r="I126">
            <v>4561961.8621393684</v>
          </cell>
          <cell r="M126">
            <v>1322.9127066471826</v>
          </cell>
          <cell r="N126">
            <v>2205.0165900592146</v>
          </cell>
          <cell r="O126">
            <v>6438.6427101815789</v>
          </cell>
          <cell r="P126">
            <v>29618.403577678338</v>
          </cell>
          <cell r="Q126">
            <v>30241.326745546885</v>
          </cell>
          <cell r="R126">
            <v>31501.962114970385</v>
          </cell>
          <cell r="S126">
            <v>39535.818306355803</v>
          </cell>
          <cell r="T126">
            <v>42799.559214252164</v>
          </cell>
          <cell r="U126">
            <v>49650.534858560197</v>
          </cell>
          <cell r="V126">
            <v>55780.636773793667</v>
          </cell>
          <cell r="W126">
            <v>58618.400728894267</v>
          </cell>
          <cell r="X126">
            <v>68974.428852677782</v>
          </cell>
        </row>
        <row r="130">
          <cell r="J130">
            <v>912429.54353056767</v>
          </cell>
        </row>
        <row r="131">
          <cell r="J131">
            <v>1380657.3711504475</v>
          </cell>
        </row>
      </sheetData>
      <sheetData sheetId="5" refreshError="1"/>
      <sheetData sheetId="6">
        <row r="286">
          <cell r="M286">
            <v>3177.1782407407409</v>
          </cell>
          <cell r="N286">
            <v>5230.3048055555555</v>
          </cell>
          <cell r="O286">
            <v>16107.650021670288</v>
          </cell>
          <cell r="P286">
            <v>90922.126437567131</v>
          </cell>
          <cell r="Q286">
            <v>92448.025642944194</v>
          </cell>
          <cell r="R286">
            <v>93643.107139806758</v>
          </cell>
          <cell r="S286">
            <v>108215.53929373887</v>
          </cell>
          <cell r="T286">
            <v>116017.22925655826</v>
          </cell>
          <cell r="U286">
            <v>128208.93147470543</v>
          </cell>
          <cell r="V286">
            <v>142973.83267766956</v>
          </cell>
          <cell r="W286">
            <v>147890.87530359032</v>
          </cell>
          <cell r="X286">
            <v>174916.85920630326</v>
          </cell>
        </row>
      </sheetData>
      <sheetData sheetId="7">
        <row r="4">
          <cell r="M4">
            <v>312519.40000000002</v>
          </cell>
        </row>
        <row r="14">
          <cell r="E14">
            <v>312519.40000000002</v>
          </cell>
        </row>
      </sheetData>
      <sheetData sheetId="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קודה לפריו "/>
      <sheetName val="53580"/>
      <sheetName val="subscr only"/>
      <sheetName val="pricing From October 2018"/>
      <sheetName val="ALL"/>
      <sheetName val="ALL Automated"/>
      <sheetName val="Priority Automated"/>
      <sheetName val="ALL (legacy)"/>
      <sheetName val="VSOE"/>
    </sheetNames>
    <sheetDataSet>
      <sheetData sheetId="0"/>
      <sheetData sheetId="1"/>
      <sheetData sheetId="2"/>
      <sheetData sheetId="3"/>
      <sheetData sheetId="4"/>
      <sheetData sheetId="5">
        <row r="24">
          <cell r="K24">
            <v>47416.182637558166</v>
          </cell>
        </row>
        <row r="25">
          <cell r="K25">
            <v>75798.540925097797</v>
          </cell>
        </row>
        <row r="45">
          <cell r="I45">
            <v>181946.84666266103</v>
          </cell>
        </row>
        <row r="47">
          <cell r="X47">
            <v>4809.1259743110068</v>
          </cell>
        </row>
      </sheetData>
      <sheetData sheetId="6"/>
      <sheetData sheetId="7"/>
      <sheetData sheetId="8"/>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53580"/>
      <sheetName val="53590 cisco"/>
      <sheetName val="subscr only"/>
      <sheetName val="SF SUBSCR ONLY 01"/>
      <sheetName val="pricing From October 2018"/>
      <sheetName val="ALL (legacy)"/>
      <sheetName val="ALL"/>
      <sheetName val="ST-LT"/>
      <sheetName val="פקודה לפריו"/>
      <sheetName val="ALL Automated"/>
      <sheetName val="Priority Automated"/>
      <sheetName val="VSOE"/>
      <sheetName val="Priority Automate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6">
          <cell r="W86">
            <v>1422.429968805704</v>
          </cell>
        </row>
        <row r="127">
          <cell r="X127">
            <v>142946.71758581651</v>
          </cell>
          <cell r="Y127">
            <v>143128.27851192106</v>
          </cell>
          <cell r="Z127">
            <v>142048.40706781848</v>
          </cell>
          <cell r="AA127">
            <v>141424.34387361756</v>
          </cell>
          <cell r="AB127">
            <v>141033.56370660083</v>
          </cell>
          <cell r="AC127">
            <v>140795.54667944912</v>
          </cell>
          <cell r="AD127">
            <v>140027.8593029964</v>
          </cell>
          <cell r="AE127">
            <v>137474.59770943437</v>
          </cell>
          <cell r="AF127">
            <v>136649.54954044995</v>
          </cell>
          <cell r="AG127">
            <v>135667.74431729285</v>
          </cell>
          <cell r="AH127">
            <v>134999.74321875742</v>
          </cell>
          <cell r="AI127">
            <v>134306.08711374097</v>
          </cell>
          <cell r="AJ127">
            <v>131140.01185878771</v>
          </cell>
          <cell r="AK127">
            <v>130980.80219769329</v>
          </cell>
          <cell r="AL127">
            <v>130904.38461228428</v>
          </cell>
          <cell r="AM127">
            <v>130873.12287279879</v>
          </cell>
          <cell r="AN127">
            <v>130773.86937081018</v>
          </cell>
          <cell r="AO127">
            <v>124016.5570272547</v>
          </cell>
          <cell r="AP127">
            <v>122081.44159360258</v>
          </cell>
          <cell r="AQ127">
            <v>122081.44159360258</v>
          </cell>
          <cell r="AR127">
            <v>122081.44159360258</v>
          </cell>
          <cell r="AS127">
            <v>122081.44159360258</v>
          </cell>
          <cell r="AT127">
            <v>122081.44159360258</v>
          </cell>
          <cell r="AU127">
            <v>122081.44159360258</v>
          </cell>
          <cell r="AV127">
            <v>122081.44159360258</v>
          </cell>
          <cell r="AW127">
            <v>118189.14469075053</v>
          </cell>
          <cell r="AX127">
            <v>117934.98157151659</v>
          </cell>
          <cell r="AY127">
            <v>108914.41348322552</v>
          </cell>
          <cell r="AZ127">
            <v>103116.27411375959</v>
          </cell>
          <cell r="BA127">
            <v>97155.587855761318</v>
          </cell>
          <cell r="BB127">
            <v>37606.239582089736</v>
          </cell>
          <cell r="BC127">
            <v>35664.867650440647</v>
          </cell>
          <cell r="BD127">
            <v>30028.71878379074</v>
          </cell>
          <cell r="BE127">
            <v>20373.409409016185</v>
          </cell>
          <cell r="BF127">
            <v>19084.499374632767</v>
          </cell>
          <cell r="BG127">
            <v>11799.168522748787</v>
          </cell>
          <cell r="BH127">
            <v>1133.7333947772786</v>
          </cell>
          <cell r="BI127">
            <v>0</v>
          </cell>
          <cell r="BJ127">
            <v>0</v>
          </cell>
          <cell r="BK127">
            <v>0</v>
          </cell>
          <cell r="BL127">
            <v>0</v>
          </cell>
          <cell r="BM127">
            <v>0</v>
          </cell>
          <cell r="BN127">
            <v>0</v>
          </cell>
          <cell r="BO127">
            <v>0</v>
          </cell>
          <cell r="BP127">
            <v>0</v>
          </cell>
          <cell r="BQ127">
            <v>0</v>
          </cell>
          <cell r="BR127">
            <v>0</v>
          </cell>
        </row>
      </sheetData>
      <sheetData sheetId="11" refreshError="1"/>
      <sheetData sheetId="12" refreshError="1"/>
      <sheetData sheetId="1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פקודה לפריו "/>
      <sheetName val="53580"/>
      <sheetName val="subscr only"/>
      <sheetName val="pricing From October 2018"/>
      <sheetName val="NAB"/>
      <sheetName val="ALL"/>
      <sheetName val="ALL (legacy)"/>
      <sheetName val="ALL Automated"/>
      <sheetName val="Priority Automated"/>
      <sheetName val="VSOE"/>
      <sheetName val="ST-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8">
          <cell r="H18">
            <v>76451.713103448288</v>
          </cell>
        </row>
        <row r="24">
          <cell r="X24">
            <v>8088.3608716497056</v>
          </cell>
          <cell r="Y24">
            <v>8088.3608716497056</v>
          </cell>
          <cell r="Z24">
            <v>6409.7860226329012</v>
          </cell>
          <cell r="AA24">
            <v>5964.9901211470396</v>
          </cell>
          <cell r="AB24">
            <v>5921.046895340588</v>
          </cell>
          <cell r="AC24">
            <v>5834.5099153770179</v>
          </cell>
          <cell r="AD24">
            <v>5596.5332204771994</v>
          </cell>
          <cell r="AE24">
            <v>5596.5332204771994</v>
          </cell>
          <cell r="AF24">
            <v>5596.5332204771994</v>
          </cell>
          <cell r="AG24">
            <v>5596.5332204771994</v>
          </cell>
          <cell r="AH24">
            <v>4749.0500620072526</v>
          </cell>
          <cell r="AI24">
            <v>4544.695187690314</v>
          </cell>
          <cell r="AJ24">
            <v>4544.695187690314</v>
          </cell>
          <cell r="AK24">
            <v>4544.695187690314</v>
          </cell>
          <cell r="AL24">
            <v>4544.695187690314</v>
          </cell>
          <cell r="AM24">
            <v>4544.695187690314</v>
          </cell>
          <cell r="AN24">
            <v>4544.695187690314</v>
          </cell>
          <cell r="AO24">
            <v>4544.695187690314</v>
          </cell>
          <cell r="AP24">
            <v>4544.695187690314</v>
          </cell>
          <cell r="AQ24">
            <v>4544.695187690314</v>
          </cell>
          <cell r="AR24">
            <v>4544.695187690314</v>
          </cell>
          <cell r="AS24">
            <v>4544.695187690314</v>
          </cell>
          <cell r="AT24">
            <v>4544.695187690314</v>
          </cell>
          <cell r="AU24">
            <v>4544.695187690314</v>
          </cell>
          <cell r="AV24">
            <v>4544.695187690314</v>
          </cell>
          <cell r="AW24">
            <v>4544.695187690314</v>
          </cell>
          <cell r="AX24">
            <v>4544.695187690314</v>
          </cell>
          <cell r="AY24">
            <v>3415.2140662585762</v>
          </cell>
          <cell r="AZ24">
            <v>2264.1093294728016</v>
          </cell>
          <cell r="BA24">
            <v>2264.1093294728016</v>
          </cell>
          <cell r="BB24">
            <v>1921.3681620380858</v>
          </cell>
          <cell r="BC24">
            <v>1839.110281853754</v>
          </cell>
          <cell r="BD24">
            <v>1839.110281853754</v>
          </cell>
          <cell r="BE24">
            <v>1839.110281853754</v>
          </cell>
          <cell r="BF24">
            <v>1839.110281853754</v>
          </cell>
          <cell r="BG24">
            <v>1839.110281853754</v>
          </cell>
          <cell r="BH24">
            <v>1839.110281853754</v>
          </cell>
          <cell r="BI24">
            <v>1095.8297377924796</v>
          </cell>
          <cell r="BJ24">
            <v>246.36625886524823</v>
          </cell>
          <cell r="BK24">
            <v>246.36625886524823</v>
          </cell>
          <cell r="BL24">
            <v>246.36625886524823</v>
          </cell>
          <cell r="BM24">
            <v>246.36625886524823</v>
          </cell>
          <cell r="BN24">
            <v>230.471661519116</v>
          </cell>
          <cell r="BO24">
            <v>0</v>
          </cell>
          <cell r="BP24">
            <v>0</v>
          </cell>
          <cell r="BQ24">
            <v>0</v>
          </cell>
          <cell r="BR24">
            <v>0</v>
          </cell>
          <cell r="BS24">
            <v>0</v>
          </cell>
          <cell r="BT24">
            <v>0</v>
          </cell>
          <cell r="BU24">
            <v>0</v>
          </cell>
        </row>
      </sheetData>
      <sheetData sheetId="9" refreshError="1"/>
      <sheetData sheetId="10" refreshError="1"/>
      <sheetData sheetId="1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EUR"/>
      <sheetName val="53581 "/>
      <sheetName val="53580 GBP"/>
      <sheetName val="Subscription pricing"/>
      <sheetName val="MAERSK"/>
      <sheetName val="subscr only"/>
      <sheetName val="SF SUBSCR ONLY"/>
      <sheetName val="pricing From October 2018"/>
      <sheetName val="ALL (LEGACY)"/>
      <sheetName val="ALL"/>
      <sheetName val="ST-LT"/>
      <sheetName val="פקודה לפריו 53580 "/>
      <sheetName val="פקודה לפריו 53581"/>
      <sheetName val="ALL Automated"/>
      <sheetName val="VSO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93">
          <cell r="H93">
            <v>2398542.0879447516</v>
          </cell>
          <cell r="X93">
            <v>47699.561616263178</v>
          </cell>
          <cell r="Y93">
            <v>47609.454950197527</v>
          </cell>
          <cell r="Z93">
            <v>47323.803377304968</v>
          </cell>
          <cell r="AA93">
            <v>46474.882539444632</v>
          </cell>
          <cell r="AB93">
            <v>45902.10685584569</v>
          </cell>
          <cell r="AC93">
            <v>45817.914897414012</v>
          </cell>
          <cell r="AD93">
            <v>45806.101456553792</v>
          </cell>
          <cell r="AE93">
            <v>44650.38063668317</v>
          </cell>
          <cell r="AF93">
            <v>43542.994499077045</v>
          </cell>
          <cell r="AG93">
            <v>42873.07715239661</v>
          </cell>
          <cell r="AH93">
            <v>41649.392550754157</v>
          </cell>
          <cell r="AI93">
            <v>39628.177724145673</v>
          </cell>
          <cell r="AJ93">
            <v>36660.069362179347</v>
          </cell>
          <cell r="AK93">
            <v>36657.004153245005</v>
          </cell>
          <cell r="AL93">
            <v>36634.333364495986</v>
          </cell>
          <cell r="AM93">
            <v>36556.604945927924</v>
          </cell>
          <cell r="AN93">
            <v>36556.604945927924</v>
          </cell>
          <cell r="AO93">
            <v>32887.936854676904</v>
          </cell>
          <cell r="AP93">
            <v>31518.433199425763</v>
          </cell>
          <cell r="AQ93">
            <v>31518.433199425763</v>
          </cell>
          <cell r="AR93">
            <v>31386.913338314651</v>
          </cell>
          <cell r="AS93">
            <v>31386.913338314651</v>
          </cell>
          <cell r="AT93">
            <v>31327.616003371772</v>
          </cell>
          <cell r="AU93">
            <v>31108.500542704151</v>
          </cell>
          <cell r="AV93">
            <v>30925.24239652621</v>
          </cell>
          <cell r="AW93">
            <v>30787.401079870517</v>
          </cell>
          <cell r="AX93">
            <v>29709.497916006727</v>
          </cell>
          <cell r="AY93">
            <v>29581.347217594033</v>
          </cell>
          <cell r="AZ93">
            <v>28117.682585745595</v>
          </cell>
          <cell r="BA93">
            <v>25395.908392197212</v>
          </cell>
          <cell r="BB93">
            <v>25395.908392197212</v>
          </cell>
          <cell r="BC93">
            <v>25395.908392197212</v>
          </cell>
          <cell r="BD93">
            <v>24756.66360323134</v>
          </cell>
          <cell r="BE93">
            <v>16819.066212973397</v>
          </cell>
          <cell r="BF93">
            <v>13279.361454780852</v>
          </cell>
          <cell r="BG93">
            <v>10027.249160130152</v>
          </cell>
          <cell r="BH93">
            <v>6626.9600246496493</v>
          </cell>
          <cell r="BI93">
            <v>6576.2976363413045</v>
          </cell>
          <cell r="BJ93">
            <v>6576.2976363413045</v>
          </cell>
          <cell r="BK93">
            <v>6576.2976363413045</v>
          </cell>
          <cell r="BL93">
            <v>6576.2976363413045</v>
          </cell>
          <cell r="BM93">
            <v>6348.4671934427579</v>
          </cell>
          <cell r="BN93">
            <v>1318.7406057720939</v>
          </cell>
          <cell r="BO93">
            <v>1193.5079629629629</v>
          </cell>
          <cell r="BP93">
            <v>1193.5079629629629</v>
          </cell>
          <cell r="BQ93">
            <v>1193.5079629629629</v>
          </cell>
          <cell r="BR93">
            <v>1193.5079629629629</v>
          </cell>
          <cell r="BS93">
            <v>1193.5079629629629</v>
          </cell>
          <cell r="BT93">
            <v>1193.5079629629629</v>
          </cell>
          <cell r="BU93">
            <v>1193.5079629629629</v>
          </cell>
          <cell r="BV93">
            <v>1193.5079629629629</v>
          </cell>
          <cell r="BW93">
            <v>1193.5079629629629</v>
          </cell>
          <cell r="BX93">
            <v>1193.5079629629629</v>
          </cell>
          <cell r="BY93">
            <v>1193.5079629629629</v>
          </cell>
          <cell r="BZ93">
            <v>1193.5079629629629</v>
          </cell>
          <cell r="CA93">
            <v>1193.5079629629629</v>
          </cell>
          <cell r="CB93">
            <v>1193.5079629629629</v>
          </cell>
          <cell r="CC93">
            <v>1193.5079629629629</v>
          </cell>
          <cell r="CD93">
            <v>1193.5079629630054</v>
          </cell>
          <cell r="CE93">
            <v>0</v>
          </cell>
        </row>
      </sheetData>
      <sheetData sheetId="10" refreshError="1"/>
      <sheetData sheetId="11" refreshError="1"/>
      <sheetData sheetId="12" refreshError="1"/>
      <sheetData sheetId="13">
        <row r="99">
          <cell r="W99">
            <v>39034.076227871185</v>
          </cell>
        </row>
      </sheetData>
      <sheetData sheetId="1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53580 PRIO"/>
      <sheetName val="subscr only 01-12"/>
      <sheetName val="SF SUBSCR ONLY 01"/>
      <sheetName val="pricing From October 2018"/>
      <sheetName val="ALL (legacy)"/>
      <sheetName val="ALL"/>
      <sheetName val="ST-LT"/>
      <sheetName val="פקודה לפריו"/>
    </sheetNames>
    <sheetDataSet>
      <sheetData sheetId="0" refreshError="1"/>
      <sheetData sheetId="1" refreshError="1"/>
      <sheetData sheetId="2" refreshError="1"/>
      <sheetData sheetId="3" refreshError="1"/>
      <sheetData sheetId="4" refreshError="1"/>
      <sheetData sheetId="5" refreshError="1"/>
      <sheetData sheetId="6">
        <row r="99">
          <cell r="AK99">
            <v>93612.593478544033</v>
          </cell>
          <cell r="AZ99">
            <v>79135.799157544956</v>
          </cell>
          <cell r="BA99">
            <v>76143.877388837471</v>
          </cell>
          <cell r="BB99">
            <v>75094.321631710569</v>
          </cell>
          <cell r="BC99">
            <v>73639.218259276546</v>
          </cell>
          <cell r="BD99">
            <v>73639.224522733581</v>
          </cell>
          <cell r="BE99">
            <v>54221.095357547812</v>
          </cell>
          <cell r="BF99">
            <v>51122.123471777311</v>
          </cell>
          <cell r="BG99">
            <v>50182.064535358426</v>
          </cell>
          <cell r="BH99">
            <v>49461.963067382734</v>
          </cell>
          <cell r="BI99">
            <v>49005.709849757674</v>
          </cell>
          <cell r="BJ99">
            <v>31400.747191328646</v>
          </cell>
          <cell r="BK99">
            <v>1156.9325488878007</v>
          </cell>
        </row>
      </sheetData>
      <sheetData sheetId="7" refreshError="1"/>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פקודה לפריו "/>
      <sheetName val="53580 53581 PRIO"/>
      <sheetName val="subscr only 01-12"/>
      <sheetName val="pricing From October 2018"/>
      <sheetName val="NAB"/>
      <sheetName val="ALL (legacy)"/>
      <sheetName val="ALL"/>
      <sheetName val="ST-L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7">
          <cell r="AK17">
            <v>19217.17437137727</v>
          </cell>
          <cell r="AZ17">
            <v>18501.884048796626</v>
          </cell>
          <cell r="BA17">
            <v>18501.884048796626</v>
          </cell>
          <cell r="BB17">
            <v>18161.034816845779</v>
          </cell>
          <cell r="BC17">
            <v>14976.802501177577</v>
          </cell>
          <cell r="BD17">
            <v>14976.802501177577</v>
          </cell>
          <cell r="BE17">
            <v>0</v>
          </cell>
        </row>
      </sheetData>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
      <sheetName val="53580 GBP"/>
      <sheetName val="Subscription pricing"/>
      <sheetName val="subscr only 01-12"/>
      <sheetName val="SF SUBSCR ONLY"/>
      <sheetName val="pricing From October 2018"/>
      <sheetName val="ALL (LEGACY)"/>
      <sheetName val="ALL"/>
      <sheetName val="ST-LT"/>
      <sheetName val="פקודה לפריו53580 "/>
      <sheetName val="פקודה לפריו 53581"/>
      <sheetName val="SUBSCR 2019 NEW "/>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01">
          <cell r="O101">
            <v>6.0905107526881714</v>
          </cell>
          <cell r="AZ101">
            <v>42379.261758822293</v>
          </cell>
          <cell r="BA101">
            <v>42379.261758822293</v>
          </cell>
          <cell r="BB101">
            <v>41279.855687742835</v>
          </cell>
          <cell r="BC101">
            <v>38522.695005575544</v>
          </cell>
          <cell r="BD101">
            <v>38522.695005575544</v>
          </cell>
          <cell r="BE101">
            <v>37547.855371837562</v>
          </cell>
          <cell r="BF101">
            <v>28747.654675947684</v>
          </cell>
          <cell r="BG101">
            <v>28674.032815482569</v>
          </cell>
          <cell r="BH101">
            <v>26459.515838738382</v>
          </cell>
          <cell r="BI101">
            <v>9804.3096819389139</v>
          </cell>
          <cell r="BJ101">
            <v>6971.8168051428602</v>
          </cell>
          <cell r="BK101">
            <v>2420.9782264651976</v>
          </cell>
          <cell r="BL101">
            <v>535.41742720306513</v>
          </cell>
          <cell r="BM101">
            <v>535.41742720306513</v>
          </cell>
          <cell r="BN101">
            <v>535.41742720306513</v>
          </cell>
          <cell r="BO101">
            <v>535.41742720306513</v>
          </cell>
          <cell r="BP101">
            <v>535.41742720306513</v>
          </cell>
          <cell r="BQ101">
            <v>535.41742720306513</v>
          </cell>
          <cell r="BR101">
            <v>535.41742720306513</v>
          </cell>
          <cell r="BS101">
            <v>535.41742720306513</v>
          </cell>
          <cell r="BT101">
            <v>535.41742720306513</v>
          </cell>
          <cell r="BU101">
            <v>535.41742720306513</v>
          </cell>
          <cell r="BV101">
            <v>535.41742720306513</v>
          </cell>
          <cell r="BW101">
            <v>535.41742720306513</v>
          </cell>
          <cell r="BX101">
            <v>535.41742720306513</v>
          </cell>
          <cell r="BY101">
            <v>535.41742720306513</v>
          </cell>
          <cell r="BZ101">
            <v>535.41742720306513</v>
          </cell>
          <cell r="CA101">
            <v>535.41742720306513</v>
          </cell>
          <cell r="CB101">
            <v>535.41742720306513</v>
          </cell>
          <cell r="CC101">
            <v>535.41742720306513</v>
          </cell>
          <cell r="CD101">
            <v>535.41742720306513</v>
          </cell>
          <cell r="CE101">
            <v>535.41742720306513</v>
          </cell>
          <cell r="CF101">
            <v>535.41742720306513</v>
          </cell>
          <cell r="CG101">
            <v>535.41742720306513</v>
          </cell>
          <cell r="CH101">
            <v>535.41742720306513</v>
          </cell>
          <cell r="CI101">
            <v>449.05977765418368</v>
          </cell>
        </row>
      </sheetData>
      <sheetData sheetId="8" refreshError="1"/>
      <sheetData sheetId="9" refreshError="1"/>
      <sheetData sheetId="10" refreshError="1"/>
      <sheetData sheetId="1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 NEW "/>
      <sheetName val="PIVOT 53510 2016 2017 "/>
      <sheetName val="pivot 2017 2016 53550"/>
      <sheetName val="pivot53550 פתוחים"/>
      <sheetName val="53510 pivot"/>
      <sheetName val="53510 ledger usd"/>
      <sheetName val="subscr only detailed 2018 "/>
      <sheetName val="all +ter"/>
      <sheetName val="Subscription pricing"/>
      <sheetName val="pivot 53550 2018 "/>
      <sheetName val="all legacy"/>
      <sheetName val="all"/>
      <sheetName val="2019 ספרים"/>
      <sheetName val="53550"/>
      <sheetName val="pivot GBP"/>
      <sheetName val="53510 1-7 2018 GBP"/>
      <sheetName val="PIVOT EURO cr"/>
      <sheetName val="53550 1-7.2018 euro"/>
      <sheetName val="pivot 20.09.18"/>
      <sheetName val="53510 20.09.18"/>
      <sheetName val="53510 PIVOT cr"/>
      <sheetName val="53510 USD"/>
      <sheetName val="pivot 53550 20.09.18"/>
      <sheetName val="53550 20.09.18"/>
      <sheetName val="53550 PIVOT cr"/>
      <sheetName val="53550 USD "/>
      <sheetName val="Sheet1"/>
    </sheetNames>
    <sheetDataSet>
      <sheetData sheetId="0" refreshError="1"/>
      <sheetData sheetId="1"/>
      <sheetData sheetId="2"/>
      <sheetData sheetId="3"/>
      <sheetData sheetId="4"/>
      <sheetData sheetId="5"/>
      <sheetData sheetId="6"/>
      <sheetData sheetId="7">
        <row r="4">
          <cell r="H4">
            <v>5213.4500000000007</v>
          </cell>
        </row>
      </sheetData>
      <sheetData sheetId="8"/>
      <sheetData sheetId="9"/>
      <sheetData sheetId="10">
        <row r="68">
          <cell r="BH68">
            <v>211917.98486111109</v>
          </cell>
        </row>
      </sheetData>
      <sheetData sheetId="11">
        <row r="68">
          <cell r="BH68">
            <v>73018.632676218724</v>
          </cell>
        </row>
        <row r="327">
          <cell r="CR327">
            <v>3991.8649980506771</v>
          </cell>
          <cell r="CS327">
            <v>3991.8649980506771</v>
          </cell>
          <cell r="CT327">
            <v>3991.8649980506771</v>
          </cell>
          <cell r="CU327">
            <v>3991.8649980506771</v>
          </cell>
          <cell r="CV327">
            <v>3991.8649980506771</v>
          </cell>
          <cell r="CW327">
            <v>3991.8649980506771</v>
          </cell>
          <cell r="CX327">
            <v>3991.8649980506771</v>
          </cell>
          <cell r="CY327">
            <v>3991.8649980506771</v>
          </cell>
          <cell r="CZ327">
            <v>3991.8649980506771</v>
          </cell>
          <cell r="DA327">
            <v>3991.8649980506771</v>
          </cell>
          <cell r="DB327">
            <v>3991.8649980506771</v>
          </cell>
          <cell r="DC327">
            <v>248.75454753820031</v>
          </cell>
        </row>
      </sheetData>
      <sheetData sheetId="12">
        <row r="7">
          <cell r="E7">
            <v>16217.447236424385</v>
          </cell>
        </row>
        <row r="31">
          <cell r="E31">
            <v>7452.7641647173423</v>
          </cell>
        </row>
        <row r="32">
          <cell r="E32">
            <v>7452.7641647173423</v>
          </cell>
        </row>
        <row r="33">
          <cell r="E33">
            <v>7452.7641647173423</v>
          </cell>
        </row>
        <row r="34">
          <cell r="E34">
            <v>7452.7641647173423</v>
          </cell>
        </row>
        <row r="35">
          <cell r="E35">
            <v>7452.7641647173423</v>
          </cell>
        </row>
        <row r="36">
          <cell r="E36">
            <v>7452.7641647173423</v>
          </cell>
        </row>
        <row r="37">
          <cell r="E37">
            <v>7452.7641647173423</v>
          </cell>
        </row>
        <row r="38">
          <cell r="E38">
            <v>7452.7641647173423</v>
          </cell>
        </row>
        <row r="39">
          <cell r="E39">
            <v>7452.7641647173423</v>
          </cell>
        </row>
        <row r="40">
          <cell r="E40">
            <v>7452.7641647173423</v>
          </cell>
        </row>
        <row r="41">
          <cell r="E41">
            <v>7452.7641647173423</v>
          </cell>
        </row>
        <row r="42">
          <cell r="E42">
            <v>7452.7641647173423</v>
          </cell>
        </row>
        <row r="86">
          <cell r="E86">
            <v>54958.180541125548</v>
          </cell>
        </row>
        <row r="87">
          <cell r="E87">
            <v>54958.180541125548</v>
          </cell>
        </row>
        <row r="88">
          <cell r="E88">
            <v>53679.566616394368</v>
          </cell>
        </row>
        <row r="89">
          <cell r="E89">
            <v>8933.5976839826853</v>
          </cell>
        </row>
        <row r="90">
          <cell r="E90">
            <v>8933.5976839826853</v>
          </cell>
        </row>
        <row r="91">
          <cell r="E91">
            <v>8933.5976839826853</v>
          </cell>
        </row>
        <row r="92">
          <cell r="E92">
            <v>8933.5976839826853</v>
          </cell>
        </row>
        <row r="93">
          <cell r="E93">
            <v>8933.5976839826853</v>
          </cell>
        </row>
        <row r="94">
          <cell r="E94">
            <v>8826.2152164502186</v>
          </cell>
        </row>
        <row r="95">
          <cell r="E95">
            <v>4908.5239826839843</v>
          </cell>
        </row>
        <row r="96">
          <cell r="E96">
            <v>4908.5721969696988</v>
          </cell>
        </row>
        <row r="97">
          <cell r="E97">
            <v>3539</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mp;S Valuation Records"/>
      <sheetName val="Expense Amortization"/>
      <sheetName val="Department &amp; Entity"/>
      <sheetName val="Expense Post Forfeitures"/>
    </sheetNames>
    <sheetDataSet>
      <sheetData sheetId="0"/>
      <sheetData sheetId="1">
        <row r="1190">
          <cell r="X1190">
            <v>11837802.540000027</v>
          </cell>
        </row>
      </sheetData>
      <sheetData sheetId="2"/>
      <sheetData sheetId="3"/>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artment &amp; Entity"/>
    </sheetNames>
    <sheetDataSet>
      <sheetData sheetId="0">
        <row r="19">
          <cell r="C19">
            <v>17232.500000000004</v>
          </cell>
          <cell r="H19">
            <v>550590.36</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VE EE capital fund"/>
      <sheetName val="99911"/>
    </sheetNames>
    <sheetDataSet>
      <sheetData sheetId="0"/>
      <sheetData sheetId="1">
        <row r="16">
          <cell r="D16">
            <v>12752.050000000003</v>
          </cell>
        </row>
        <row r="17">
          <cell r="D17">
            <v>-93551.540000000008</v>
          </cell>
        </row>
      </sheetData>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Time Bonus "/>
    </sheetNames>
    <sheetDataSet>
      <sheetData sheetId="0">
        <row r="7">
          <cell r="G7">
            <v>25688</v>
          </cell>
        </row>
        <row r="21">
          <cell r="C21">
            <v>16647.689999999999</v>
          </cell>
          <cell r="G21">
            <v>424929.09999999992</v>
          </cell>
        </row>
        <row r="34">
          <cell r="C34">
            <v>5707.05</v>
          </cell>
        </row>
        <row r="46">
          <cell r="C46">
            <v>10940.64</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2020&amp;2021 On-Hold"/>
      <sheetName val=" EMEA Summary data 21"/>
      <sheetName val=" APAC Summary data 21"/>
      <sheetName val=" NA Summary data 21"/>
    </sheetNames>
    <sheetDataSet>
      <sheetData sheetId="0">
        <row r="7">
          <cell r="E7">
            <v>9524.083213356811</v>
          </cell>
        </row>
        <row r="16">
          <cell r="E16">
            <v>28945.270374372361</v>
          </cell>
        </row>
        <row r="24">
          <cell r="E24">
            <v>77399.037927999991</v>
          </cell>
        </row>
      </sheetData>
      <sheetData sheetId="1"/>
      <sheetData sheetId="2"/>
      <sheetData sheetId="3"/>
      <sheetData sheetId="4"/>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2">
          <cell r="E22">
            <v>371086.72144498455</v>
          </cell>
          <cell r="H22">
            <v>1534886.0301236808</v>
          </cell>
        </row>
      </sheetData>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4">
          <cell r="B24">
            <v>361737.25150278024</v>
          </cell>
        </row>
      </sheetData>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EUR"/>
      <sheetName val="53581"/>
      <sheetName val="MAERSK"/>
      <sheetName val="subscr only"/>
      <sheetName val="ALL Automated"/>
      <sheetName val="Priority Automated"/>
      <sheetName val="Legacy"/>
      <sheetName val="UK218000427 (SAIB)"/>
      <sheetName val="VSOE"/>
    </sheetNames>
    <sheetDataSet>
      <sheetData sheetId="0"/>
      <sheetData sheetId="1"/>
      <sheetData sheetId="2"/>
      <sheetData sheetId="3"/>
      <sheetData sheetId="4"/>
      <sheetData sheetId="5">
        <row r="405">
          <cell r="R405">
            <v>148553.44055727552</v>
          </cell>
        </row>
        <row r="406">
          <cell r="R406">
            <v>2995.0290434934586</v>
          </cell>
        </row>
        <row r="407">
          <cell r="R407">
            <v>3094.8633449432405</v>
          </cell>
        </row>
        <row r="408">
          <cell r="R408">
            <v>3094.8633449432405</v>
          </cell>
        </row>
        <row r="409">
          <cell r="R409">
            <v>3094.8633449432405</v>
          </cell>
        </row>
        <row r="410">
          <cell r="R410">
            <v>3094.8633449432405</v>
          </cell>
        </row>
        <row r="411">
          <cell r="R411">
            <v>3094.8633449432405</v>
          </cell>
        </row>
        <row r="412">
          <cell r="R412">
            <v>3094.8633449432405</v>
          </cell>
        </row>
        <row r="413">
          <cell r="R413">
            <v>3094.8633449432405</v>
          </cell>
        </row>
        <row r="414">
          <cell r="R414">
            <v>3094.8633449432405</v>
          </cell>
        </row>
        <row r="415">
          <cell r="R415">
            <v>3094.8633449432405</v>
          </cell>
        </row>
        <row r="416">
          <cell r="R416">
            <v>3094.8633449432405</v>
          </cell>
        </row>
        <row r="417">
          <cell r="R417">
            <v>3094.8633449432405</v>
          </cell>
        </row>
        <row r="418">
          <cell r="R418">
            <v>3094.8633449432405</v>
          </cell>
        </row>
        <row r="419">
          <cell r="R419">
            <v>3094.8633449432405</v>
          </cell>
        </row>
        <row r="420">
          <cell r="R420">
            <v>3094.8633449432405</v>
          </cell>
        </row>
        <row r="421">
          <cell r="R421">
            <v>3094.8633449432405</v>
          </cell>
        </row>
        <row r="422">
          <cell r="R422">
            <v>3094.8633449432405</v>
          </cell>
        </row>
        <row r="423">
          <cell r="R423">
            <v>3094.8633449432405</v>
          </cell>
        </row>
        <row r="424">
          <cell r="R424">
            <v>3094.8633449432405</v>
          </cell>
        </row>
        <row r="425">
          <cell r="R425">
            <v>3094.8633449432405</v>
          </cell>
        </row>
        <row r="426">
          <cell r="R426">
            <v>3094.8633449432405</v>
          </cell>
        </row>
        <row r="427">
          <cell r="R427">
            <v>3094.8633449432405</v>
          </cell>
        </row>
        <row r="428">
          <cell r="R428">
            <v>3094.8633449432405</v>
          </cell>
        </row>
        <row r="429">
          <cell r="R429">
            <v>3094.8633449432405</v>
          </cell>
        </row>
        <row r="430">
          <cell r="R430">
            <v>3094.8633449432405</v>
          </cell>
        </row>
        <row r="431">
          <cell r="R431">
            <v>3094.8633449432405</v>
          </cell>
        </row>
        <row r="432">
          <cell r="R432">
            <v>3094.8633449432405</v>
          </cell>
        </row>
        <row r="433">
          <cell r="R433">
            <v>3094.8633449432405</v>
          </cell>
        </row>
        <row r="434">
          <cell r="R434">
            <v>3094.8633449432405</v>
          </cell>
        </row>
        <row r="435">
          <cell r="R435">
            <v>3094.8633449432405</v>
          </cell>
        </row>
        <row r="436">
          <cell r="R436">
            <v>3094.8633449432405</v>
          </cell>
        </row>
        <row r="437">
          <cell r="R437">
            <v>3094.8633449432405</v>
          </cell>
        </row>
        <row r="438">
          <cell r="R438">
            <v>3094.8633449432405</v>
          </cell>
        </row>
        <row r="439">
          <cell r="R439">
            <v>3094.8633449432405</v>
          </cell>
        </row>
        <row r="440">
          <cell r="R440">
            <v>3094.8633449432405</v>
          </cell>
        </row>
        <row r="441">
          <cell r="R441">
            <v>3094.8633449432405</v>
          </cell>
        </row>
        <row r="442">
          <cell r="R442">
            <v>3050.5533262176323</v>
          </cell>
        </row>
      </sheetData>
      <sheetData sheetId="6"/>
      <sheetData sheetId="7"/>
      <sheetData sheetId="8"/>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EMEA Summary data 21"/>
      <sheetName val=" APAC Summary data 21"/>
      <sheetName val=" NA Summary data 21"/>
      <sheetName val="Ltd"/>
    </sheetNames>
    <sheetDataSet>
      <sheetData sheetId="0"/>
      <sheetData sheetId="1"/>
      <sheetData sheetId="2"/>
      <sheetData sheetId="3">
        <row r="4">
          <cell r="D4">
            <v>70550.048047219781</v>
          </cell>
        </row>
        <row r="12">
          <cell r="D12">
            <v>147729.03269121979</v>
          </cell>
        </row>
      </sheetData>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NA Summary data 21"/>
      <sheetName val=" EMEA Summary data 21"/>
      <sheetName val=" APAC Summary data 21"/>
      <sheetName val="By Name - only 2021 opps"/>
      <sheetName val="By Name - only 2021 opps (2)"/>
      <sheetName val="Sheet1"/>
      <sheetName val=""/>
    </sheetNames>
    <sheetDataSet>
      <sheetData sheetId="0">
        <row r="8">
          <cell r="G8">
            <v>144437.62905916001</v>
          </cell>
        </row>
        <row r="12">
          <cell r="G12">
            <v>45342.316730465558</v>
          </cell>
        </row>
        <row r="17">
          <cell r="G17">
            <v>32725.141290429296</v>
          </cell>
        </row>
        <row r="23">
          <cell r="O23">
            <v>1632.36</v>
          </cell>
        </row>
        <row r="34">
          <cell r="G34">
            <v>29135.326540280003</v>
          </cell>
        </row>
        <row r="41">
          <cell r="G41">
            <v>10130.283490401163</v>
          </cell>
        </row>
      </sheetData>
      <sheetData sheetId="1"/>
      <sheetData sheetId="2"/>
      <sheetData sheetId="3"/>
      <sheetData sheetId="4"/>
      <sheetData sheetId="5"/>
      <sheetData sheetId="6" refreshError="1"/>
      <sheetData sheetId="7"/>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Time Bonus "/>
      <sheetName val="Israel one time bonus"/>
    </sheetNames>
    <sheetDataSet>
      <sheetData sheetId="0" refreshError="1"/>
      <sheetData sheetId="1">
        <row r="27">
          <cell r="I27">
            <v>43538.333333333328</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Comm. Report "/>
    </sheetNames>
    <sheetDataSet>
      <sheetData sheetId="0">
        <row r="155">
          <cell r="Q155">
            <v>7539.87</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EMEA Summary data 21"/>
    </sheetNames>
    <sheetDataSet>
      <sheetData sheetId="0">
        <row r="46">
          <cell r="H46">
            <v>37255.781672835801</v>
          </cell>
        </row>
        <row r="50">
          <cell r="H50">
            <v>113990.95977399178</v>
          </cell>
          <cell r="I50">
            <v>57489.343705076542</v>
          </cell>
        </row>
        <row r="52">
          <cell r="I52">
            <v>3166.7453999999998</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EMEA Summary data 21"/>
    </sheetNames>
    <sheetDataSet>
      <sheetData sheetId="0">
        <row r="6">
          <cell r="J6">
            <v>27455.57</v>
          </cell>
        </row>
        <row r="10">
          <cell r="J10">
            <v>22020.382398844005</v>
          </cell>
        </row>
        <row r="23">
          <cell r="J23">
            <v>11229.035760000002</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Time Bonus "/>
    </sheetNames>
    <sheetDataSet>
      <sheetData sheetId="0">
        <row r="12">
          <cell r="C12">
            <v>16647.689999999999</v>
          </cell>
        </row>
        <row r="21">
          <cell r="D21">
            <v>18262.560000000001</v>
          </cell>
          <cell r="E21">
            <v>18900</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EMEA Summary data 21"/>
      <sheetName val=" NA Summary data 21"/>
      <sheetName val=" APAC Summary data 21"/>
      <sheetName val="2020&amp;2021 On-Hold (2)"/>
      <sheetName val="Commission in USD"/>
      <sheetName val=" NA Summary data 19"/>
      <sheetName val=" EMEA Summary data19"/>
      <sheetName val=" APAC Summary data 19"/>
    </sheetNames>
    <sheetDataSet>
      <sheetData sheetId="0">
        <row r="1">
          <cell r="H1">
            <v>3.26</v>
          </cell>
        </row>
        <row r="61">
          <cell r="F61">
            <v>1458022.0397099999</v>
          </cell>
        </row>
        <row r="62">
          <cell r="F62">
            <v>1085913.9203699999</v>
          </cell>
        </row>
        <row r="63">
          <cell r="F63">
            <v>156094.31174800018</v>
          </cell>
        </row>
        <row r="64">
          <cell r="F64">
            <v>261380.63294291642</v>
          </cell>
        </row>
        <row r="65">
          <cell r="F65">
            <v>377774.99049821193</v>
          </cell>
        </row>
        <row r="66">
          <cell r="F66">
            <v>274591.63866157597</v>
          </cell>
        </row>
        <row r="70">
          <cell r="F70">
            <v>51592.113599999997</v>
          </cell>
        </row>
        <row r="71">
          <cell r="F71">
            <v>22608.612999999998</v>
          </cell>
        </row>
        <row r="72">
          <cell r="F72">
            <v>182573.81579999998</v>
          </cell>
        </row>
        <row r="73">
          <cell r="F73">
            <v>219118.22959999999</v>
          </cell>
        </row>
        <row r="83">
          <cell r="G83">
            <v>6225.8481470725956</v>
          </cell>
        </row>
        <row r="84">
          <cell r="G84">
            <v>3575.0492507249269</v>
          </cell>
        </row>
        <row r="87">
          <cell r="G87">
            <v>569.87700909754915</v>
          </cell>
        </row>
        <row r="88">
          <cell r="G88">
            <v>8380.0644478384966</v>
          </cell>
        </row>
        <row r="89">
          <cell r="G89">
            <v>3690.4817584168923</v>
          </cell>
        </row>
        <row r="92">
          <cell r="G92">
            <v>16611.03610863935</v>
          </cell>
        </row>
        <row r="95">
          <cell r="G95">
            <v>3182.8676856000002</v>
          </cell>
        </row>
        <row r="96">
          <cell r="G96">
            <v>8571.57</v>
          </cell>
        </row>
        <row r="97">
          <cell r="G97">
            <v>3352</v>
          </cell>
        </row>
        <row r="98">
          <cell r="G98">
            <v>7198.8139707288374</v>
          </cell>
        </row>
        <row r="101">
          <cell r="G101">
            <v>0</v>
          </cell>
        </row>
        <row r="102">
          <cell r="G102">
            <v>2581.1283460364562</v>
          </cell>
        </row>
        <row r="105">
          <cell r="G105">
            <v>9534.210555813801</v>
          </cell>
        </row>
        <row r="108">
          <cell r="G108">
            <v>9649.0470814795153</v>
          </cell>
        </row>
        <row r="111">
          <cell r="G111">
            <v>0</v>
          </cell>
        </row>
        <row r="114">
          <cell r="G114">
            <v>1954.5343869668197</v>
          </cell>
        </row>
        <row r="124">
          <cell r="F124">
            <v>5004.8303544015689</v>
          </cell>
        </row>
        <row r="125">
          <cell r="F125">
            <v>7083</v>
          </cell>
        </row>
        <row r="127">
          <cell r="F127" t="str">
            <v>Accrual</v>
          </cell>
        </row>
        <row r="128">
          <cell r="F128">
            <v>40248.754218512906</v>
          </cell>
        </row>
        <row r="129">
          <cell r="F129">
            <v>7320.9387726210707</v>
          </cell>
        </row>
        <row r="130">
          <cell r="F130">
            <v>14220.670743652663</v>
          </cell>
        </row>
        <row r="132">
          <cell r="F132" t="str">
            <v>Accrual</v>
          </cell>
        </row>
        <row r="133">
          <cell r="F133">
            <v>29501.05999999999</v>
          </cell>
        </row>
        <row r="134">
          <cell r="F134">
            <v>2887.5599999999977</v>
          </cell>
        </row>
        <row r="135">
          <cell r="F135">
            <v>1158.4300000000003</v>
          </cell>
        </row>
        <row r="136">
          <cell r="F136">
            <v>983.96800000000076</v>
          </cell>
        </row>
        <row r="137">
          <cell r="F137">
            <v>2351.2339259999972</v>
          </cell>
        </row>
        <row r="138">
          <cell r="F138">
            <v>2245.3959200000008</v>
          </cell>
        </row>
        <row r="139">
          <cell r="F139">
            <v>2422.7036189999999</v>
          </cell>
        </row>
        <row r="140">
          <cell r="F140">
            <v>104.11999999999989</v>
          </cell>
        </row>
        <row r="141">
          <cell r="F141">
            <v>0</v>
          </cell>
        </row>
        <row r="142">
          <cell r="F142">
            <v>15245.090000000004</v>
          </cell>
        </row>
        <row r="143">
          <cell r="F143">
            <v>10360.910000000002</v>
          </cell>
        </row>
        <row r="144">
          <cell r="F144">
            <v>11143.614615948507</v>
          </cell>
        </row>
        <row r="146">
          <cell r="F146" t="str">
            <v>Accrual</v>
          </cell>
        </row>
        <row r="147">
          <cell r="F147">
            <v>13371.05</v>
          </cell>
        </row>
        <row r="148">
          <cell r="F148">
            <v>31770.159999999996</v>
          </cell>
        </row>
        <row r="149">
          <cell r="F149">
            <v>2065.7799999999984</v>
          </cell>
        </row>
        <row r="150">
          <cell r="F150">
            <v>3045.7116500000011</v>
          </cell>
        </row>
        <row r="151">
          <cell r="F151">
            <v>0</v>
          </cell>
        </row>
        <row r="152">
          <cell r="F152">
            <v>2819.16</v>
          </cell>
        </row>
        <row r="153">
          <cell r="F153">
            <v>141.67553599999883</v>
          </cell>
        </row>
        <row r="154">
          <cell r="F154">
            <v>1509.7299999999996</v>
          </cell>
        </row>
        <row r="155">
          <cell r="F155">
            <v>0</v>
          </cell>
        </row>
        <row r="156">
          <cell r="F156">
            <v>2975</v>
          </cell>
        </row>
        <row r="158">
          <cell r="F158" t="str">
            <v>Accrual</v>
          </cell>
        </row>
        <row r="159">
          <cell r="F159">
            <v>7017.9711771800139</v>
          </cell>
        </row>
        <row r="160">
          <cell r="F160">
            <v>11970.095276121428</v>
          </cell>
        </row>
        <row r="161">
          <cell r="F161">
            <v>10050</v>
          </cell>
        </row>
        <row r="162">
          <cell r="F162">
            <v>5052</v>
          </cell>
        </row>
        <row r="163">
          <cell r="F163">
            <v>16750</v>
          </cell>
        </row>
        <row r="164">
          <cell r="F164">
            <v>0</v>
          </cell>
        </row>
        <row r="165">
          <cell r="F165">
            <v>6308.2261730000009</v>
          </cell>
        </row>
        <row r="166">
          <cell r="F166">
            <v>4250</v>
          </cell>
        </row>
        <row r="167">
          <cell r="F167">
            <v>25800</v>
          </cell>
        </row>
        <row r="171">
          <cell r="F171">
            <v>18954.329999999998</v>
          </cell>
        </row>
        <row r="172">
          <cell r="F172">
            <v>8608.2599999999984</v>
          </cell>
        </row>
        <row r="173">
          <cell r="F173">
            <v>12428.73</v>
          </cell>
        </row>
        <row r="174">
          <cell r="F174">
            <v>37141</v>
          </cell>
        </row>
        <row r="175">
          <cell r="F175">
            <v>1169.68</v>
          </cell>
        </row>
        <row r="176">
          <cell r="F176">
            <v>44018.600000000006</v>
          </cell>
        </row>
        <row r="177">
          <cell r="F177">
            <v>1419.78</v>
          </cell>
        </row>
      </sheetData>
      <sheetData sheetId="1"/>
      <sheetData sheetId="2"/>
      <sheetData sheetId="3"/>
      <sheetData sheetId="4">
        <row r="64">
          <cell r="C64" t="str">
            <v>Kyle Wickert</v>
          </cell>
        </row>
        <row r="93">
          <cell r="G93">
            <v>1679.25</v>
          </cell>
        </row>
        <row r="94">
          <cell r="G94">
            <v>5953.69</v>
          </cell>
        </row>
        <row r="105">
          <cell r="G105">
            <v>135</v>
          </cell>
        </row>
        <row r="106">
          <cell r="G106">
            <v>480</v>
          </cell>
        </row>
      </sheetData>
      <sheetData sheetId="5"/>
      <sheetData sheetId="6"/>
      <sheetData sheetId="7"/>
      <sheetData sheetId="8"/>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NA Summary data 21"/>
      <sheetName val="2020&amp;2021 On-Hold"/>
    </sheetNames>
    <sheetDataSet>
      <sheetData sheetId="0">
        <row r="7">
          <cell r="D7">
            <v>13433.954566700009</v>
          </cell>
        </row>
        <row r="15">
          <cell r="D15">
            <v>36335.940556410322</v>
          </cell>
          <cell r="E15">
            <v>179871.26</v>
          </cell>
        </row>
        <row r="32">
          <cell r="D32">
            <v>33862.720122999955</v>
          </cell>
          <cell r="E32">
            <v>13263.282999999999</v>
          </cell>
        </row>
        <row r="46">
          <cell r="D46">
            <v>20014.047979999999</v>
          </cell>
          <cell r="E46">
            <v>24557</v>
          </cell>
        </row>
        <row r="57">
          <cell r="D57">
            <v>72283.65211499999</v>
          </cell>
          <cell r="E57">
            <v>2549.06</v>
          </cell>
        </row>
      </sheetData>
      <sheetData sheetId="1" refreshError="1"/>
      <sheetData sheetId="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NA Summary data 21 (2)"/>
      <sheetName val="By Name - only 2021 opps"/>
      <sheetName val="2020&amp;2021 On-Hold"/>
    </sheetNames>
    <sheetDataSet>
      <sheetData sheetId="0">
        <row r="31">
          <cell r="H31">
            <v>9738</v>
          </cell>
        </row>
        <row r="41">
          <cell r="H41">
            <v>6750</v>
          </cell>
        </row>
        <row r="51">
          <cell r="H51">
            <v>434354.20297498431</v>
          </cell>
        </row>
        <row r="64">
          <cell r="H64">
            <v>95846.835804776871</v>
          </cell>
        </row>
        <row r="127">
          <cell r="H127">
            <v>548332.58966302546</v>
          </cell>
        </row>
        <row r="147">
          <cell r="H147">
            <v>16605.329699999998</v>
          </cell>
        </row>
      </sheetData>
      <sheetData sheetId="1"/>
      <sheetData sheetId="2"/>
      <sheetData sheetId="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NA Summary data 21"/>
    </sheetNames>
    <sheetDataSet>
      <sheetData sheetId="0">
        <row r="77">
          <cell r="M77">
            <v>275960.11061936052</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EMEA Summary data 21"/>
      <sheetName val="2020&amp;2021 On-Hold"/>
    </sheetNames>
    <sheetDataSet>
      <sheetData sheetId="0">
        <row r="6">
          <cell r="G6" t="str">
            <v>On-Hold - GBP</v>
          </cell>
        </row>
        <row r="13">
          <cell r="J13">
            <v>9439.2220301878097</v>
          </cell>
        </row>
        <row r="16">
          <cell r="J16">
            <v>8625.6444290816908</v>
          </cell>
        </row>
        <row r="17">
          <cell r="J17">
            <v>5649.413987786611</v>
          </cell>
        </row>
        <row r="42">
          <cell r="J42">
            <v>4493.7920036870601</v>
          </cell>
        </row>
        <row r="45">
          <cell r="G45">
            <v>28208.072450743173</v>
          </cell>
          <cell r="H45">
            <v>212450.15147840293</v>
          </cell>
        </row>
      </sheetData>
      <sheetData sheetId="1" refreshError="1"/>
      <sheetData sheetId="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EMEA Summary data 21"/>
      <sheetName val=" APAC Summary data 21"/>
      <sheetName val="By Name - only 2021 opps"/>
    </sheetNames>
    <sheetDataSet>
      <sheetData sheetId="0">
        <row r="57">
          <cell r="G57">
            <v>369247.97700892971</v>
          </cell>
          <cell r="K57">
            <v>14483.911393919729</v>
          </cell>
        </row>
        <row r="66">
          <cell r="G66">
            <v>52458.82087031001</v>
          </cell>
        </row>
        <row r="123">
          <cell r="G123">
            <v>114502.63495858914</v>
          </cell>
          <cell r="K123">
            <v>3053.6378019719969</v>
          </cell>
        </row>
        <row r="132">
          <cell r="G132">
            <v>72417.335956793802</v>
          </cell>
        </row>
      </sheetData>
      <sheetData sheetId="1"/>
      <sheetData sheetId="2"/>
      <sheetData sheetId="3"/>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EMEA Summary data 21"/>
    </sheetNames>
    <sheetDataSet>
      <sheetData sheetId="0">
        <row r="32">
          <cell r="I32">
            <v>5117.5700799964234</v>
          </cell>
        </row>
        <row r="44">
          <cell r="K44">
            <v>89287.804940792776</v>
          </cell>
        </row>
      </sheetData>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Comm. Report "/>
    </sheetNames>
    <sheetDataSet>
      <sheetData sheetId="0">
        <row r="79">
          <cell r="O79">
            <v>35785.462500745802</v>
          </cell>
        </row>
      </sheetData>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PAC Summary data 21"/>
    </sheetNames>
    <sheetDataSet>
      <sheetData sheetId="0">
        <row r="32">
          <cell r="H32">
            <v>51071.930706895982</v>
          </cell>
        </row>
        <row r="33">
          <cell r="H33">
            <v>8307.31</v>
          </cell>
        </row>
      </sheetData>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PAC Summary data 21"/>
      <sheetName val="2020&amp;2021 On-Hold"/>
    </sheetNames>
    <sheetDataSet>
      <sheetData sheetId="0">
        <row r="35">
          <cell r="G35">
            <v>144235</v>
          </cell>
        </row>
        <row r="36">
          <cell r="G36">
            <v>78206.180000000022</v>
          </cell>
        </row>
        <row r="38">
          <cell r="G38">
            <v>144235</v>
          </cell>
        </row>
      </sheetData>
      <sheetData sheetId="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APAC Summary data 21"/>
      <sheetName val="Sheet1"/>
      <sheetName val="Sheet2"/>
      <sheetName val="Sheet3"/>
      <sheetName val="Sheet4"/>
      <sheetName val="By Name - only 2021 opps"/>
    </sheetNames>
    <sheetDataSet>
      <sheetData sheetId="0">
        <row r="20">
          <cell r="G20">
            <v>128579.32345882496</v>
          </cell>
          <cell r="K20">
            <v>12857.932345882495</v>
          </cell>
        </row>
        <row r="44">
          <cell r="G44">
            <v>77322.451119999998</v>
          </cell>
        </row>
      </sheetData>
      <sheetData sheetId="1"/>
      <sheetData sheetId="2"/>
      <sheetData sheetId="3"/>
      <sheetData sheetId="4"/>
      <sheetData sheetId="5"/>
      <sheetData sheetId="6"/>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COMM Q1-3"/>
      <sheetName val="Sheet3"/>
      <sheetName val="COMM Q1-3 (2)"/>
      <sheetName val="COMM 1-4.2020"/>
      <sheetName val="Sheet1"/>
    </sheetNames>
    <sheetDataSet>
      <sheetData sheetId="0">
        <row r="27">
          <cell r="B27">
            <v>624003.90436548437</v>
          </cell>
        </row>
        <row r="52">
          <cell r="D52">
            <v>263231</v>
          </cell>
        </row>
      </sheetData>
      <sheetData sheetId="1"/>
      <sheetData sheetId="2"/>
      <sheetData sheetId="3"/>
      <sheetData sheetId="4"/>
      <sheetData sheetId="5"/>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 APAC Summary data 21"/>
      <sheetName val="By Name - only 2021 opps"/>
    </sheetNames>
    <sheetDataSet>
      <sheetData sheetId="0">
        <row r="18">
          <cell r="G18">
            <v>7466062.0592987211</v>
          </cell>
        </row>
        <row r="40">
          <cell r="G40">
            <v>1826040.8867607997</v>
          </cell>
        </row>
      </sheetData>
      <sheetData sheetId="1"/>
      <sheetData sheetId="2"/>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PAC Summary data 21"/>
    </sheetNames>
    <sheetDataSet>
      <sheetData sheetId="0">
        <row r="32">
          <cell r="I32">
            <v>607221.59307698952</v>
          </cell>
        </row>
        <row r="33">
          <cell r="I33">
            <v>3154624.5013919999</v>
          </cell>
        </row>
      </sheetData>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PAC Summary data 21"/>
    </sheetNames>
    <sheetDataSet>
      <sheetData sheetId="0">
        <row r="14">
          <cell r="J14">
            <v>1848741.7572780005</v>
          </cell>
        </row>
        <row r="15">
          <cell r="J15">
            <v>88667.778458000132</v>
          </cell>
        </row>
        <row r="16">
          <cell r="J16">
            <v>635724.69353600009</v>
          </cell>
        </row>
        <row r="20">
          <cell r="J20">
            <v>378102.76394775056</v>
          </cell>
        </row>
        <row r="23">
          <cell r="J23">
            <v>347025.4906611992</v>
          </cell>
        </row>
        <row r="25">
          <cell r="J25">
            <v>390716.02049122989</v>
          </cell>
        </row>
      </sheetData>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rev rec "/>
      <sheetName val="Q2 מיסים שוטפים 2019"/>
      <sheetName val="העמסת הנה&quot;כ (INC)"/>
      <sheetName val="Balances Sheet (Printing)"/>
      <sheetName val="העמסת הנה&quot;כ (UK)"/>
      <sheetName val="העמסת הנה&quot;כ"/>
      <sheetName val="יתרות בינחברתיות"/>
      <sheetName val="Revenues"/>
      <sheetName val="606-Prepaid Comm&amp;DR SUB"/>
      <sheetName val="Consolidation"/>
      <sheetName val="ביאורים לדוחות הכספיים"/>
      <sheetName val="WP"/>
      <sheetName val="FA"/>
      <sheetName val="תזרים Algosec LTD בש&quot;ח"/>
      <sheetName val="תזרים מאוחד ב-$"/>
      <sheetName val="NEW TP EU"/>
      <sheetName val="מאזן בוחן EUROPE"/>
      <sheetName val="פ.נ. EUROPE"/>
      <sheetName val="rev rec eu"/>
      <sheetName val="FS EU (old)"/>
      <sheetName val="FS EU"/>
      <sheetName val=" analytics eu"/>
      <sheetName val="מאזן בוחן Australia"/>
      <sheetName val="NEW TP AUD"/>
      <sheetName val="Rev Rec AU"/>
      <sheetName val="פ.נ. Australia"/>
      <sheetName val="FS AU"/>
      <sheetName val="Post-Closing Withdrawl Updated"/>
      <sheetName val="Post-Closing Withdrawl"/>
      <sheetName val="New TB INC"/>
      <sheetName val="NEW TP INC"/>
      <sheetName val="AJE 12 - INC"/>
      <sheetName val="rev rec"/>
      <sheetName val="Analytics"/>
      <sheetName val="Tax - Inc"/>
      <sheetName val="נתונים לשינו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O10">
            <v>26031</v>
          </cell>
        </row>
        <row r="11">
          <cell r="O11">
            <v>14787</v>
          </cell>
        </row>
        <row r="13">
          <cell r="O13">
            <v>3335</v>
          </cell>
        </row>
        <row r="18">
          <cell r="O18">
            <v>438</v>
          </cell>
        </row>
        <row r="19">
          <cell r="O19">
            <v>1509</v>
          </cell>
        </row>
        <row r="20">
          <cell r="O20">
            <v>309</v>
          </cell>
        </row>
        <row r="21">
          <cell r="O21">
            <v>93</v>
          </cell>
        </row>
        <row r="25">
          <cell r="O25">
            <v>2510</v>
          </cell>
        </row>
        <row r="32">
          <cell r="O32">
            <v>1415</v>
          </cell>
        </row>
        <row r="33">
          <cell r="O33">
            <v>7293</v>
          </cell>
        </row>
        <row r="34">
          <cell r="O34">
            <v>11552</v>
          </cell>
        </row>
        <row r="35">
          <cell r="O35">
            <v>23816</v>
          </cell>
        </row>
        <row r="36">
          <cell r="O36"/>
        </row>
        <row r="40">
          <cell r="O40">
            <v>1619</v>
          </cell>
        </row>
        <row r="41">
          <cell r="O41">
            <v>0</v>
          </cell>
        </row>
        <row r="42">
          <cell r="O42">
            <v>0</v>
          </cell>
        </row>
        <row r="43">
          <cell r="O43">
            <v>12077</v>
          </cell>
        </row>
        <row r="48">
          <cell r="O48">
            <v>4</v>
          </cell>
        </row>
        <row r="49">
          <cell r="O49">
            <v>9593</v>
          </cell>
        </row>
        <row r="50">
          <cell r="O50">
            <v>-10503</v>
          </cell>
        </row>
        <row r="51">
          <cell r="O51">
            <v>-5952</v>
          </cell>
        </row>
        <row r="52">
          <cell r="O52">
            <v>-1902</v>
          </cell>
        </row>
        <row r="64">
          <cell r="O64">
            <v>31000</v>
          </cell>
        </row>
        <row r="65">
          <cell r="O65">
            <v>5639</v>
          </cell>
        </row>
        <row r="66">
          <cell r="O66">
            <v>25361</v>
          </cell>
        </row>
        <row r="68">
          <cell r="O68">
            <v>11332</v>
          </cell>
        </row>
        <row r="69">
          <cell r="O69">
            <v>11766</v>
          </cell>
        </row>
        <row r="70">
          <cell r="O70">
            <v>2989</v>
          </cell>
        </row>
        <row r="71">
          <cell r="O71">
            <v>26087</v>
          </cell>
        </row>
        <row r="73">
          <cell r="O73">
            <v>-726</v>
          </cell>
        </row>
        <row r="74">
          <cell r="O74">
            <v>939</v>
          </cell>
        </row>
        <row r="75">
          <cell r="O75">
            <v>-1665</v>
          </cell>
        </row>
        <row r="76">
          <cell r="O76">
            <v>237</v>
          </cell>
        </row>
        <row r="77">
          <cell r="O77">
            <v>-1902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יסים שוטפים 2020"/>
      <sheetName val="מאזן בוחן"/>
      <sheetName val="פקודות נוספות"/>
      <sheetName val="rev rec "/>
      <sheetName val="Q2 מיסים שוטפים 2019"/>
      <sheetName val="העמסת הנה&quot;כ (INC)"/>
      <sheetName val="Balances Sheet (Printing)"/>
      <sheetName val="העמסת הנה&quot;כ (UK)"/>
      <sheetName val="העמסת הנה&quot;כ"/>
      <sheetName val="יתרות בינחברתיות"/>
      <sheetName val="Revenues"/>
      <sheetName val="606-Prepaid Comm&amp;DR SUB"/>
      <sheetName val="Consolidation"/>
      <sheetName val="ביאורים לדוחות הכספיים"/>
      <sheetName val="WP"/>
      <sheetName val="FA"/>
      <sheetName val="תזרים Algosec LTD בש&quot;ח"/>
      <sheetName val="תזרים מאוחד ב-$"/>
      <sheetName val="NEW TP EU"/>
      <sheetName val="מאזן בוחן EUROPE"/>
      <sheetName val="פ.נ. EUROPE"/>
      <sheetName val="rev rec eu"/>
      <sheetName val="FS EU (old)"/>
      <sheetName val="FS EU"/>
      <sheetName val=" analytics eu"/>
      <sheetName val="מאזן בוחן Australia"/>
      <sheetName val="NEW TP AUD"/>
      <sheetName val="Rev Rec AU"/>
      <sheetName val="פ.נ. Australia"/>
      <sheetName val="FS AU"/>
      <sheetName val="Post-Closing Withdrawl Updated"/>
      <sheetName val="Post-Closing Withdrawl"/>
      <sheetName val="New TB INC"/>
      <sheetName val="NEW TP INC"/>
      <sheetName val="AJE 12 - INC"/>
      <sheetName val="rev rec"/>
      <sheetName val="Analytics"/>
      <sheetName val="Tax - Inc"/>
      <sheetName val="נתונים לשינו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O10">
            <v>26031</v>
          </cell>
        </row>
        <row r="12">
          <cell r="O12">
            <v>0</v>
          </cell>
        </row>
        <row r="14">
          <cell r="O14">
            <v>0</v>
          </cell>
        </row>
        <row r="67">
          <cell r="O67">
            <v>0.81809677419354843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8">
          <cell r="C8">
            <v>44012</v>
          </cell>
        </row>
      </sheetData>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sheetData sheetId="1">
        <row r="758">
          <cell r="J758">
            <v>1072250.54</v>
          </cell>
        </row>
      </sheetData>
      <sheetData sheetId="2"/>
      <sheetData sheetId="3"/>
      <sheetData sheetId="4"/>
      <sheetData sheetId="5"/>
      <sheetData sheetId="6"/>
      <sheetData sheetId="7">
        <row r="170">
          <cell r="B170">
            <v>-9290163.8164830003</v>
          </cell>
        </row>
      </sheetData>
      <sheetData sheetId="8"/>
      <sheetData sheetId="9"/>
      <sheetData sheetId="10">
        <row r="103">
          <cell r="P103">
            <v>86400</v>
          </cell>
        </row>
      </sheetData>
      <sheetData sheetId="11">
        <row r="24">
          <cell r="D24">
            <v>-13780</v>
          </cell>
        </row>
      </sheetData>
      <sheetData sheetId="12">
        <row r="51">
          <cell r="C51">
            <v>-7135536.9899999993</v>
          </cell>
          <cell r="D51">
            <v>-11054577.26</v>
          </cell>
          <cell r="E51">
            <v>1586253.49</v>
          </cell>
          <cell r="F51">
            <v>-253433.28</v>
          </cell>
          <cell r="G51">
            <v>0</v>
          </cell>
          <cell r="H51">
            <v>0</v>
          </cell>
        </row>
        <row r="52">
          <cell r="C52">
            <v>920656.68794323108</v>
          </cell>
          <cell r="D52">
            <v>1739360.4299999843</v>
          </cell>
          <cell r="E52">
            <v>745213.31000000029</v>
          </cell>
          <cell r="F52">
            <v>75875.869999999428</v>
          </cell>
          <cell r="G52">
            <v>102989.65999999989</v>
          </cell>
          <cell r="H52">
            <v>-528889.94999999995</v>
          </cell>
        </row>
      </sheetData>
      <sheetData sheetId="13"/>
      <sheetData sheetId="14"/>
      <sheetData sheetId="15"/>
      <sheetData sheetId="16"/>
      <sheetData sheetId="17"/>
      <sheetData sheetId="18">
        <row r="20">
          <cell r="P20">
            <v>-26354.95</v>
          </cell>
        </row>
      </sheetData>
      <sheetData sheetId="19"/>
      <sheetData sheetId="20"/>
      <sheetData sheetId="21"/>
      <sheetData sheetId="22"/>
      <sheetData sheetId="23"/>
      <sheetData sheetId="24"/>
      <sheetData sheetId="25"/>
      <sheetData sheetId="26">
        <row r="13">
          <cell r="J13">
            <v>1372898.1900000002</v>
          </cell>
        </row>
      </sheetData>
      <sheetData sheetId="27"/>
      <sheetData sheetId="28">
        <row r="45">
          <cell r="D45">
            <v>-133501.49999999959</v>
          </cell>
        </row>
      </sheetData>
      <sheetData sheetId="29"/>
      <sheetData sheetId="30">
        <row r="12">
          <cell r="C12">
            <v>34652</v>
          </cell>
        </row>
      </sheetData>
      <sheetData sheetId="31">
        <row r="194">
          <cell r="J194">
            <v>473205.64</v>
          </cell>
        </row>
      </sheetData>
      <sheetData sheetId="32"/>
      <sheetData sheetId="33"/>
      <sheetData sheetId="34"/>
      <sheetData sheetId="35"/>
      <sheetData sheetId="36">
        <row r="31">
          <cell r="F31">
            <v>1071173.5983287608</v>
          </cell>
        </row>
      </sheetData>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2020"/>
      <sheetName val="3M Payment"/>
      <sheetName val="9010007"/>
      <sheetName val="CI Summary"/>
      <sheetName val="December 19"/>
      <sheetName val="March 20"/>
      <sheetName val="June 20"/>
    </sheetNames>
    <sheetDataSet>
      <sheetData sheetId="0">
        <row r="15">
          <cell r="C15">
            <v>54525.04</v>
          </cell>
        </row>
        <row r="20">
          <cell r="C20">
            <v>590958.175599562</v>
          </cell>
        </row>
      </sheetData>
      <sheetData sheetId="1">
        <row r="17">
          <cell r="B17">
            <v>10905008</v>
          </cell>
        </row>
        <row r="54">
          <cell r="C54">
            <v>3000000.0028576269</v>
          </cell>
        </row>
      </sheetData>
      <sheetData sheetId="2" refreshError="1"/>
      <sheetData sheetId="3" refreshError="1"/>
      <sheetData sheetId="4" refreshError="1"/>
      <sheetData sheetId="5" refreshError="1"/>
      <sheetData sheetId="6"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ספקים פתוחים"/>
      <sheetName val="FA GL ILS"/>
      <sheetName val="FA GL USD"/>
    </sheetNames>
    <sheetDataSet>
      <sheetData sheetId="0">
        <row r="270">
          <cell r="O270">
            <v>60912.65</v>
          </cell>
        </row>
      </sheetData>
      <sheetData sheetId="1" refreshError="1"/>
      <sheetData sheetId="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REPORT 2018 "/>
      <sheetName val="LT REPORT 2019"/>
      <sheetName val="LT Dec 2020 "/>
      <sheetName val="pivot Q1 21"/>
      <sheetName val="March 21"/>
      <sheetName val="pivot Q2 21 "/>
      <sheetName val="LT June 21"/>
      <sheetName val="all"/>
      <sheetName val="other Method "/>
      <sheetName val="LT Sept 2021"/>
      <sheetName val="Method 3"/>
      <sheetName val="PIVOT Q4"/>
      <sheetName val="LT Dec 2021"/>
      <sheetName val="LT DEC 2021 help"/>
      <sheetName val="LT REPORT 18042021"/>
      <sheetName val="Sheet1"/>
    </sheetNames>
    <sheetDataSet>
      <sheetData sheetId="0"/>
      <sheetData sheetId="1"/>
      <sheetData sheetId="2"/>
      <sheetData sheetId="3"/>
      <sheetData sheetId="4"/>
      <sheetData sheetId="5"/>
      <sheetData sheetId="6"/>
      <sheetData sheetId="7"/>
      <sheetData sheetId="8"/>
      <sheetData sheetId="9"/>
      <sheetData sheetId="10"/>
      <sheetData sheetId="11">
        <row r="7">
          <cell r="K7">
            <v>153269.15648000001</v>
          </cell>
        </row>
        <row r="10">
          <cell r="K10">
            <v>-24816.749040000002</v>
          </cell>
        </row>
        <row r="17">
          <cell r="D17">
            <v>75050.126879999996</v>
          </cell>
        </row>
        <row r="18">
          <cell r="D18">
            <v>2005.6000000000031</v>
          </cell>
        </row>
        <row r="19">
          <cell r="D19">
            <v>152777.59944000002</v>
          </cell>
        </row>
        <row r="20">
          <cell r="D20">
            <v>179279.76032</v>
          </cell>
        </row>
      </sheetData>
      <sheetData sheetId="12"/>
      <sheetData sheetId="13"/>
      <sheetData sheetId="14"/>
      <sheetData sheetId="15"/>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EU 2020"/>
      <sheetName val="TB EUROPE"/>
      <sheetName val="פ.נ. EUROPE"/>
      <sheetName val="tax comp"/>
      <sheetName val="Retained earning adj"/>
      <sheetName val="P&amp;L UK 2019 - Draft"/>
      <sheetName val="Balance UK 2019 - Draft"/>
      <sheetName val="LC Journals"/>
      <sheetName val="FS EU"/>
      <sheetName val="EU 2019"/>
    </sheetNames>
    <sheetDataSet>
      <sheetData sheetId="0"/>
      <sheetData sheetId="1">
        <row r="198">
          <cell r="J198">
            <v>4446.8100000000004</v>
          </cell>
        </row>
        <row r="294">
          <cell r="J294">
            <v>-21339.592474270394</v>
          </cell>
        </row>
        <row r="295">
          <cell r="J295">
            <v>-60717.675003486838</v>
          </cell>
        </row>
        <row r="296">
          <cell r="J296">
            <v>21934.81</v>
          </cell>
        </row>
      </sheetData>
      <sheetData sheetId="2"/>
      <sheetData sheetId="3"/>
      <sheetData sheetId="4"/>
      <sheetData sheetId="5"/>
      <sheetData sheetId="6"/>
      <sheetData sheetId="7"/>
      <sheetData sheetId="8"/>
      <sheetData sheetId="9"/>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EU 2020"/>
      <sheetName val="TB EUROPE"/>
      <sheetName val="פ.נ. EUROPE"/>
      <sheetName val="tax comp"/>
      <sheetName val="התאמה של עודפים יתרת פתיחה"/>
      <sheetName val="P&amp;L UK 2019 - Draft"/>
      <sheetName val="Balance UK 2019 - Draft"/>
      <sheetName val="LC Journals"/>
      <sheetName val="FS EU"/>
      <sheetName val="EU 2019"/>
    </sheetNames>
    <sheetDataSet>
      <sheetData sheetId="0"/>
      <sheetData sheetId="1"/>
      <sheetData sheetId="2"/>
      <sheetData sheetId="3">
        <row r="58">
          <cell r="H58">
            <v>15261.544537372452</v>
          </cell>
        </row>
      </sheetData>
      <sheetData sheetId="4"/>
      <sheetData sheetId="5"/>
      <sheetData sheetId="6"/>
      <sheetData sheetId="7"/>
      <sheetData sheetId="8"/>
      <sheetData sheetId="9"/>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45">
          <cell r="E45">
            <v>1308.0152424999999</v>
          </cell>
        </row>
      </sheetData>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0153 2020 Q1"/>
      <sheetName val="80153 2019"/>
      <sheetName val="priority"/>
      <sheetName val="res eng INC"/>
      <sheetName val="RES ENG EUROPE"/>
      <sheetName val="Res ENG AU "/>
      <sheetName val="invoices 4Q 21 "/>
      <sheetName val="53513 INC "/>
      <sheetName val="53513 inc BEFORE"/>
      <sheetName val="update for Q4 2021 "/>
      <sheetName val="All Time - Only RE Projects"/>
      <sheetName val="All Time - Only RE Projects Q2"/>
      <sheetName val="All Time - Only RE Projects Q3"/>
    </sheetNames>
    <sheetDataSet>
      <sheetData sheetId="0"/>
      <sheetData sheetId="1"/>
      <sheetData sheetId="2">
        <row r="17">
          <cell r="E17">
            <v>252882.82629107981</v>
          </cell>
        </row>
        <row r="37">
          <cell r="F37">
            <v>73586.457278000002</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VE EE capital fund"/>
      <sheetName val="99911"/>
    </sheetNames>
    <sheetDataSet>
      <sheetData sheetId="0"/>
      <sheetData sheetId="1">
        <row r="17">
          <cell r="D17">
            <v>-93551.540000000008</v>
          </cell>
        </row>
        <row r="20">
          <cell r="D20">
            <v>107809.81000000003</v>
          </cell>
        </row>
      </sheetData>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REPORT 2018 "/>
      <sheetName val="LT REPORT 2019"/>
      <sheetName val="LT Dec 2020 "/>
      <sheetName val="pivot Q1 21"/>
      <sheetName val="March 21"/>
      <sheetName val="pivot Q2 21 "/>
      <sheetName val="LT June 21"/>
      <sheetName val="all"/>
      <sheetName val="other Method "/>
      <sheetName val="Method 3"/>
      <sheetName val="PIVOT Q3"/>
      <sheetName val="LT Sept 2021"/>
      <sheetName val="LT REPORT 18042021"/>
      <sheetName val="Sheet1"/>
    </sheetNames>
    <sheetDataSet>
      <sheetData sheetId="0"/>
      <sheetData sheetId="1"/>
      <sheetData sheetId="2"/>
      <sheetData sheetId="3"/>
      <sheetData sheetId="4"/>
      <sheetData sheetId="5"/>
      <sheetData sheetId="6"/>
      <sheetData sheetId="7"/>
      <sheetData sheetId="8"/>
      <sheetData sheetId="9"/>
      <sheetData sheetId="10">
        <row r="6">
          <cell r="K6">
            <v>47069.440000000002</v>
          </cell>
        </row>
        <row r="7">
          <cell r="K7">
            <v>-2886.5536799999982</v>
          </cell>
        </row>
        <row r="10">
          <cell r="K10">
            <v>16584.684720000008</v>
          </cell>
        </row>
        <row r="15">
          <cell r="K15">
            <v>243955.96440000006</v>
          </cell>
        </row>
      </sheetData>
      <sheetData sheetId="11"/>
      <sheetData sheetId="12"/>
      <sheetData sheetId="13"/>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
      <sheetName val="53580 GBP"/>
      <sheetName val="Subscription pricing"/>
      <sheetName val="subscr only 01-12"/>
      <sheetName val="SF SUBSCR ONLY"/>
      <sheetName val="pricing From October 2018"/>
      <sheetName val="ALL (LEGACY)"/>
      <sheetName val="ALL"/>
      <sheetName val="ST-LT"/>
      <sheetName val="פקודה לפריו53580 "/>
      <sheetName val="פקודה לפריו 53581"/>
      <sheetName val="SUBSCR 2019 NEW "/>
    </sheetNames>
    <sheetDataSet>
      <sheetData sheetId="0" refreshError="1"/>
      <sheetData sheetId="1" refreshError="1"/>
      <sheetData sheetId="2" refreshError="1"/>
      <sheetData sheetId="3">
        <row r="1">
          <cell r="C1" t="str">
            <v>Opportunity Name</v>
          </cell>
        </row>
      </sheetData>
      <sheetData sheetId="4" refreshError="1"/>
      <sheetData sheetId="5" refreshError="1"/>
      <sheetData sheetId="6" refreshError="1">
        <row r="10">
          <cell r="A10" t="str">
            <v>UK419600002</v>
          </cell>
        </row>
        <row r="194">
          <cell r="AN194">
            <v>86919.120472487703</v>
          </cell>
          <cell r="AO194">
            <v>85505.060862272658</v>
          </cell>
          <cell r="AP194">
            <v>85343.778523562971</v>
          </cell>
          <cell r="AQ194">
            <v>83001.47669560599</v>
          </cell>
          <cell r="AR194">
            <v>83001.47669560599</v>
          </cell>
          <cell r="AS194">
            <v>83001.47669560599</v>
          </cell>
          <cell r="AT194">
            <v>83001.47669560599</v>
          </cell>
          <cell r="AU194">
            <v>81735.469921412441</v>
          </cell>
          <cell r="AV194">
            <v>80691.965028939318</v>
          </cell>
          <cell r="AW194">
            <v>80691.965028939318</v>
          </cell>
          <cell r="AX194">
            <v>80692.493308853853</v>
          </cell>
          <cell r="AY194">
            <v>80601.536245324562</v>
          </cell>
        </row>
      </sheetData>
      <sheetData sheetId="7">
        <row r="7">
          <cell r="BX7">
            <v>45322</v>
          </cell>
        </row>
        <row r="101">
          <cell r="AN101">
            <v>45079.692796246381</v>
          </cell>
          <cell r="AO101">
            <v>44451.725382766352</v>
          </cell>
          <cell r="AP101">
            <v>44380.146243159434</v>
          </cell>
          <cell r="AQ101">
            <v>43340.074273494829</v>
          </cell>
          <cell r="AR101">
            <v>43340.074273494829</v>
          </cell>
          <cell r="AS101">
            <v>43340.074273494829</v>
          </cell>
          <cell r="AT101">
            <v>43340.074273494829</v>
          </cell>
          <cell r="AU101">
            <v>42833.014765924061</v>
          </cell>
          <cell r="AV101">
            <v>42415.43639934517</v>
          </cell>
          <cell r="AW101">
            <v>42415.43639934517</v>
          </cell>
          <cell r="AX101">
            <v>42415.43639934517</v>
          </cell>
          <cell r="AY101">
            <v>42379.261758822293</v>
          </cell>
        </row>
      </sheetData>
      <sheetData sheetId="8" refreshError="1"/>
      <sheetData sheetId="9" refreshError="1"/>
      <sheetData sheetId="10" refreshError="1"/>
      <sheetData sheetId="1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נתונים לשינוי"/>
      <sheetName val="תזרים Algosec LTD בש&quot;ח"/>
      <sheetName val="תזרים מאוחד ב-$"/>
      <sheetName val="מאזן בוחן EUROPE"/>
      <sheetName val="פ.נ. EUROPE"/>
      <sheetName val="NEW TP EU"/>
      <sheetName val="Tax UK"/>
      <sheetName val="העמסת הנה&quot;כ (UK)"/>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s>
    <sheetDataSet>
      <sheetData sheetId="0"/>
      <sheetData sheetId="1"/>
      <sheetData sheetId="2"/>
      <sheetData sheetId="3"/>
      <sheetData sheetId="4"/>
      <sheetData sheetId="5"/>
      <sheetData sheetId="6"/>
      <sheetData sheetId="7"/>
      <sheetData sheetId="8">
        <row r="97">
          <cell r="H97">
            <v>68156.87</v>
          </cell>
        </row>
      </sheetData>
      <sheetData sheetId="9"/>
      <sheetData sheetId="10"/>
      <sheetData sheetId="11"/>
      <sheetData sheetId="12"/>
      <sheetData sheetId="13"/>
      <sheetData sheetId="14"/>
      <sheetData sheetId="15"/>
      <sheetData sheetId="16">
        <row r="1">
          <cell r="C1"/>
        </row>
        <row r="2">
          <cell r="C2"/>
        </row>
        <row r="3">
          <cell r="C3"/>
        </row>
        <row r="4">
          <cell r="C4"/>
        </row>
        <row r="5">
          <cell r="C5"/>
        </row>
        <row r="6">
          <cell r="D6" t="str">
            <v>סעיף</v>
          </cell>
        </row>
        <row r="7">
          <cell r="C7"/>
        </row>
        <row r="8">
          <cell r="C8"/>
          <cell r="D8" t="str">
            <v>Cash &amp; Cash Equivalents</v>
          </cell>
        </row>
        <row r="9">
          <cell r="C9">
            <v>1000018</v>
          </cell>
          <cell r="D9" t="str">
            <v>ברקליס דולר חדש</v>
          </cell>
        </row>
        <row r="10">
          <cell r="C10"/>
          <cell r="D10" t="str">
            <v>סה"כ מזומנים בליש"ט</v>
          </cell>
        </row>
        <row r="11">
          <cell r="C11"/>
        </row>
        <row r="12">
          <cell r="C12"/>
        </row>
        <row r="13">
          <cell r="C13"/>
        </row>
        <row r="14">
          <cell r="C14"/>
          <cell r="D14" t="str">
            <v>סה"כ פקדונות בליש"ט</v>
          </cell>
        </row>
        <row r="15">
          <cell r="C15"/>
        </row>
        <row r="16">
          <cell r="C16">
            <v>1000017</v>
          </cell>
          <cell r="D16" t="str">
            <v>ברקליס יורו חדש</v>
          </cell>
        </row>
        <row r="17">
          <cell r="C17">
            <v>1000019</v>
          </cell>
          <cell r="D17" t="str">
            <v>ברקליס דולר אוסטרלי חדש</v>
          </cell>
        </row>
        <row r="18">
          <cell r="C18">
            <v>1000016</v>
          </cell>
          <cell r="D18" t="str">
            <v>ברקליס ל"ש חדש</v>
          </cell>
        </row>
        <row r="19">
          <cell r="C19"/>
        </row>
        <row r="20">
          <cell r="C20"/>
          <cell r="D20" t="str">
            <v>סה"כ מזומנים במט"ח</v>
          </cell>
        </row>
        <row r="21">
          <cell r="C21"/>
        </row>
        <row r="22">
          <cell r="C22"/>
        </row>
        <row r="23">
          <cell r="C23"/>
        </row>
        <row r="24">
          <cell r="C24"/>
          <cell r="D24" t="str">
            <v>סה"כ פקדונות במט"ח</v>
          </cell>
        </row>
        <row r="25">
          <cell r="C25"/>
        </row>
        <row r="26">
          <cell r="C26"/>
        </row>
        <row r="27">
          <cell r="C27"/>
        </row>
        <row r="28">
          <cell r="C28"/>
        </row>
        <row r="29">
          <cell r="C29"/>
        </row>
        <row r="30">
          <cell r="C30"/>
          <cell r="D30" t="str">
            <v>סה"כ קופות קטנות</v>
          </cell>
        </row>
        <row r="31">
          <cell r="C31"/>
        </row>
        <row r="32">
          <cell r="C32"/>
          <cell r="D32" t="str">
            <v>סה"כ מזומנים</v>
          </cell>
        </row>
        <row r="33">
          <cell r="C33"/>
        </row>
        <row r="34">
          <cell r="C34"/>
          <cell r="D34" t="str">
            <v>לקוחות</v>
          </cell>
        </row>
        <row r="35">
          <cell r="C35"/>
        </row>
        <row r="36">
          <cell r="C36">
            <v>216811</v>
          </cell>
          <cell r="D36" t="str">
            <v>Redington Gulf FZE</v>
          </cell>
        </row>
        <row r="37">
          <cell r="C37">
            <v>203270</v>
          </cell>
          <cell r="D37" t="str">
            <v>POST Telecom S.A.</v>
          </cell>
        </row>
        <row r="38">
          <cell r="C38">
            <v>206031</v>
          </cell>
          <cell r="D38" t="str">
            <v>Orange Cyberdefense Belgium NV</v>
          </cell>
        </row>
        <row r="39">
          <cell r="C39">
            <v>206809</v>
          </cell>
          <cell r="D39" t="str">
            <v>Orange Business Services Switzerland AG</v>
          </cell>
        </row>
        <row r="40">
          <cell r="C40">
            <v>215725</v>
          </cell>
          <cell r="D40" t="str">
            <v>AXA Insurance S.A</v>
          </cell>
        </row>
        <row r="41">
          <cell r="C41">
            <v>231281</v>
          </cell>
          <cell r="D41" t="str">
            <v>AXIANSeu Digital Solutions, S.A</v>
          </cell>
        </row>
        <row r="42">
          <cell r="C42">
            <v>221294</v>
          </cell>
          <cell r="D42" t="str">
            <v>Tata Consultancy Services Ltd</v>
          </cell>
        </row>
        <row r="43">
          <cell r="C43">
            <v>203122</v>
          </cell>
          <cell r="D43" t="str">
            <v>EGUARDIAN LANKA PVT LTD</v>
          </cell>
        </row>
        <row r="44">
          <cell r="C44">
            <v>200810</v>
          </cell>
          <cell r="D44" t="str">
            <v>Worldline BE (NV/SA)</v>
          </cell>
        </row>
        <row r="45">
          <cell r="C45">
            <v>226880</v>
          </cell>
          <cell r="D45" t="str">
            <v>Bytes Software Services Ltd</v>
          </cell>
        </row>
        <row r="46">
          <cell r="C46">
            <v>208333</v>
          </cell>
          <cell r="D46" t="str">
            <v>SoftwareONE Deutschland GmbH</v>
          </cell>
        </row>
        <row r="47">
          <cell r="C47">
            <v>204709</v>
          </cell>
          <cell r="D47" t="str">
            <v>Inmarsat Global Ltd</v>
          </cell>
        </row>
        <row r="48">
          <cell r="C48">
            <v>202859</v>
          </cell>
          <cell r="D48" t="str">
            <v>NTT Netherlands B.V.</v>
          </cell>
        </row>
        <row r="49">
          <cell r="C49">
            <v>209295</v>
          </cell>
          <cell r="D49" t="str">
            <v>T-Systems International GmbH</v>
          </cell>
        </row>
        <row r="50">
          <cell r="C50">
            <v>215777</v>
          </cell>
          <cell r="D50" t="str">
            <v>Stemmer GmbH</v>
          </cell>
        </row>
        <row r="51">
          <cell r="C51">
            <v>230039</v>
          </cell>
          <cell r="D51" t="str">
            <v>S&amp;T Romania SRL</v>
          </cell>
        </row>
        <row r="52">
          <cell r="C52">
            <v>231012</v>
          </cell>
          <cell r="D52" t="str">
            <v>Orange Cyberdefense Belgium NV</v>
          </cell>
        </row>
        <row r="53">
          <cell r="C53">
            <v>210205</v>
          </cell>
          <cell r="D53" t="str">
            <v>Zuken NetWave, Inc.</v>
          </cell>
        </row>
        <row r="54">
          <cell r="C54">
            <v>214981</v>
          </cell>
          <cell r="D54" t="str">
            <v>Moscow Exchange (MoEx)</v>
          </cell>
        </row>
        <row r="55">
          <cell r="C55">
            <v>228765</v>
          </cell>
          <cell r="D55" t="str">
            <v>EGUARDIAN Bangladesh Pvt Ltd,</v>
          </cell>
        </row>
        <row r="56">
          <cell r="C56">
            <v>204646</v>
          </cell>
          <cell r="D56" t="str">
            <v>InfoGuard AG</v>
          </cell>
        </row>
        <row r="57">
          <cell r="C57">
            <v>228883</v>
          </cell>
          <cell r="D57" t="str">
            <v>Proximus Luxembourg S.A.</v>
          </cell>
        </row>
        <row r="58">
          <cell r="C58">
            <v>201542</v>
          </cell>
          <cell r="D58" t="str">
            <v>British Telecommunications PLC</v>
          </cell>
        </row>
        <row r="59">
          <cell r="C59">
            <v>202835</v>
          </cell>
          <cell r="D59" t="str">
            <v>Diligenta Limited</v>
          </cell>
        </row>
        <row r="60">
          <cell r="C60">
            <v>208313</v>
          </cell>
          <cell r="D60" t="str">
            <v>Softcat plc</v>
          </cell>
        </row>
        <row r="61">
          <cell r="C61">
            <v>214139</v>
          </cell>
          <cell r="D61" t="str">
            <v>Tata Consultancy Services Ltd. - Internal</v>
          </cell>
        </row>
        <row r="62">
          <cell r="C62">
            <v>228650</v>
          </cell>
          <cell r="D62" t="str">
            <v>Credence Security UK</v>
          </cell>
        </row>
        <row r="63">
          <cell r="C63">
            <v>207831</v>
          </cell>
          <cell r="D63" t="str">
            <v>Satisnet Limited</v>
          </cell>
        </row>
        <row r="64">
          <cell r="C64">
            <v>219220</v>
          </cell>
          <cell r="D64" t="str">
            <v>NTT United Kingdom Limited</v>
          </cell>
        </row>
        <row r="65">
          <cell r="C65">
            <v>228207</v>
          </cell>
          <cell r="D65" t="str">
            <v>Amdocs Management Limited</v>
          </cell>
        </row>
        <row r="66">
          <cell r="C66">
            <v>205459</v>
          </cell>
          <cell r="D66" t="str">
            <v>Licencias Online Chile (LOL)</v>
          </cell>
        </row>
        <row r="67">
          <cell r="C67" t="str">
            <v>219220-1</v>
          </cell>
          <cell r="D67" t="str">
            <v>NTT United Kingdom Limited</v>
          </cell>
        </row>
        <row r="68">
          <cell r="C68">
            <v>206178</v>
          </cell>
          <cell r="D68" t="str">
            <v>NAPS - Napredni poslovni sustavi d.o.o.</v>
          </cell>
        </row>
        <row r="69">
          <cell r="C69">
            <v>217196</v>
          </cell>
          <cell r="D69" t="str">
            <v>AXA Insurance (Gulf) B.S.C.</v>
          </cell>
        </row>
        <row r="70">
          <cell r="C70">
            <v>225982</v>
          </cell>
          <cell r="D70" t="str">
            <v>Sogeti Nederland B.V.</v>
          </cell>
        </row>
        <row r="71">
          <cell r="C71">
            <v>230010</v>
          </cell>
          <cell r="D71" t="str">
            <v>Orange Cyberdefense Belgium nv</v>
          </cell>
        </row>
        <row r="72">
          <cell r="C72">
            <v>200213</v>
          </cell>
          <cell r="D72" t="str">
            <v>Advanced Network Security Ltd</v>
          </cell>
        </row>
        <row r="73">
          <cell r="C73">
            <v>220629</v>
          </cell>
          <cell r="D73" t="str">
            <v>Smart Solutions Grp Ltd</v>
          </cell>
        </row>
        <row r="74">
          <cell r="C74">
            <v>207866</v>
          </cell>
          <cell r="D74" t="str">
            <v>Specialist Computer Centres plc</v>
          </cell>
        </row>
        <row r="75">
          <cell r="C75">
            <v>222999</v>
          </cell>
          <cell r="D75" t="str">
            <v>National Bank of Belgium</v>
          </cell>
        </row>
        <row r="76">
          <cell r="C76">
            <v>201623</v>
          </cell>
          <cell r="D76" t="str">
            <v>Cable Onda TIGO</v>
          </cell>
        </row>
        <row r="77">
          <cell r="C77">
            <v>200672</v>
          </cell>
          <cell r="D77" t="str">
            <v>ARROWECS PORTUGAL, Unipessoal Lda</v>
          </cell>
        </row>
        <row r="78">
          <cell r="C78">
            <v>200778</v>
          </cell>
          <cell r="D78" t="str">
            <v>Atea A/S</v>
          </cell>
        </row>
        <row r="79">
          <cell r="C79">
            <v>204212</v>
          </cell>
          <cell r="D79" t="str">
            <v>Helse Vest IKT AS</v>
          </cell>
        </row>
        <row r="80">
          <cell r="C80">
            <v>206783</v>
          </cell>
          <cell r="D80" t="str">
            <v>Open Networks GmbH</v>
          </cell>
        </row>
        <row r="81">
          <cell r="C81">
            <v>228406</v>
          </cell>
          <cell r="D81" t="str">
            <v>Scai Solution Group SpA</v>
          </cell>
        </row>
        <row r="82">
          <cell r="C82">
            <v>229785</v>
          </cell>
          <cell r="D82" t="str">
            <v>Worldline Sweden AB</v>
          </cell>
        </row>
        <row r="83">
          <cell r="C83">
            <v>230026</v>
          </cell>
          <cell r="D83" t="str">
            <v>Equens Worldline Poland</v>
          </cell>
        </row>
        <row r="84">
          <cell r="C84">
            <v>231285</v>
          </cell>
          <cell r="D84" t="str">
            <v>Logicalis Puerto Rico</v>
          </cell>
        </row>
        <row r="85">
          <cell r="C85">
            <v>216463</v>
          </cell>
          <cell r="D85" t="str">
            <v>INLINE GROUP JSC</v>
          </cell>
        </row>
        <row r="86">
          <cell r="C86">
            <v>228910</v>
          </cell>
          <cell r="D86" t="str">
            <v>Fortis Distribution Ltd.</v>
          </cell>
        </row>
        <row r="87">
          <cell r="C87">
            <v>200721</v>
          </cell>
          <cell r="D87" t="str">
            <v>Assertiva S.A</v>
          </cell>
        </row>
        <row r="88">
          <cell r="C88">
            <v>202864</v>
          </cell>
          <cell r="D88" t="str">
            <v>Dimension Data (Pty) Ltd.</v>
          </cell>
        </row>
        <row r="89">
          <cell r="C89">
            <v>205458</v>
          </cell>
          <cell r="D89" t="str">
            <v>LicenciasOnLine SA</v>
          </cell>
        </row>
        <row r="90">
          <cell r="C90">
            <v>206136</v>
          </cell>
          <cell r="D90" t="str">
            <v>Muk Distribution LLC</v>
          </cell>
        </row>
        <row r="91">
          <cell r="C91">
            <v>225616</v>
          </cell>
          <cell r="D91" t="str">
            <v>Licenciasonline S.A</v>
          </cell>
        </row>
        <row r="92">
          <cell r="C92">
            <v>200904</v>
          </cell>
          <cell r="D92" t="str">
            <v>AXA Life Insurance Co., Ltd.</v>
          </cell>
        </row>
        <row r="93">
          <cell r="C93">
            <v>222035</v>
          </cell>
          <cell r="D93" t="str">
            <v>ITSDI - I.T. Security Distribution Inc.</v>
          </cell>
        </row>
        <row r="94">
          <cell r="C94">
            <v>205874</v>
          </cell>
          <cell r="D94" t="str">
            <v>METRONOM GmbH</v>
          </cell>
        </row>
        <row r="95">
          <cell r="C95">
            <v>206060</v>
          </cell>
          <cell r="D95" t="str">
            <v>MONT LLC</v>
          </cell>
        </row>
        <row r="96">
          <cell r="C96">
            <v>223854</v>
          </cell>
          <cell r="D96" t="str">
            <v>TDC NetDesign (USD)</v>
          </cell>
        </row>
        <row r="97">
          <cell r="C97">
            <v>202862</v>
          </cell>
          <cell r="D97" t="str">
            <v>Dimension Data SA (Switzerland)</v>
          </cell>
        </row>
        <row r="98">
          <cell r="C98">
            <v>204650</v>
          </cell>
          <cell r="D98" t="str">
            <v>Infoprive Services Limited</v>
          </cell>
        </row>
        <row r="99">
          <cell r="C99">
            <v>204959</v>
          </cell>
          <cell r="D99" t="str">
            <v>ITWAY Turkey</v>
          </cell>
        </row>
        <row r="100">
          <cell r="C100">
            <v>206625</v>
          </cell>
          <cell r="D100" t="str">
            <v>Numeric technologies limited</v>
          </cell>
        </row>
        <row r="101">
          <cell r="C101">
            <v>207951</v>
          </cell>
          <cell r="D101" t="str">
            <v>Secure Source Distribution</v>
          </cell>
        </row>
        <row r="102">
          <cell r="C102">
            <v>217546</v>
          </cell>
          <cell r="D102" t="str">
            <v>TechLab Security Sdn Bhd</v>
          </cell>
        </row>
        <row r="103">
          <cell r="C103">
            <v>209226</v>
          </cell>
          <cell r="D103" t="str">
            <v>Exclusive Networks Malaysia Sdn</v>
          </cell>
        </row>
        <row r="104">
          <cell r="C104">
            <v>209950</v>
          </cell>
          <cell r="D104" t="str">
            <v>PT Westcon Solutions</v>
          </cell>
        </row>
        <row r="105">
          <cell r="C105">
            <v>226255</v>
          </cell>
          <cell r="D105" t="str">
            <v>SoftwareONE AB</v>
          </cell>
        </row>
        <row r="106">
          <cell r="C106">
            <v>203164</v>
          </cell>
          <cell r="D106" t="str">
            <v>Elite Value Added Distribution FZCO</v>
          </cell>
        </row>
        <row r="107">
          <cell r="C107">
            <v>221165</v>
          </cell>
          <cell r="D107" t="str">
            <v>Ethnos IT Solutions Ltd</v>
          </cell>
        </row>
        <row r="108">
          <cell r="C108">
            <v>20100</v>
          </cell>
          <cell r="D108" t="str">
            <v>לקוחות שונים דולר</v>
          </cell>
        </row>
        <row r="109">
          <cell r="C109">
            <v>206806</v>
          </cell>
          <cell r="D109" t="str">
            <v>Orange Business Services</v>
          </cell>
        </row>
        <row r="110">
          <cell r="C110">
            <v>208343</v>
          </cell>
          <cell r="D110" t="str">
            <v>SOGETI Luxembourg SA</v>
          </cell>
        </row>
        <row r="111">
          <cell r="C111">
            <v>206023</v>
          </cell>
          <cell r="D111" t="str">
            <v>Mnemonic AB</v>
          </cell>
        </row>
        <row r="112">
          <cell r="C112">
            <v>214104</v>
          </cell>
          <cell r="D112" t="str">
            <v>Proximus PLC</v>
          </cell>
        </row>
        <row r="113">
          <cell r="C113">
            <v>228914</v>
          </cell>
          <cell r="D113" t="str">
            <v>SHI Global IT Solutions Ireland Ltd</v>
          </cell>
        </row>
        <row r="114">
          <cell r="C114">
            <v>200174</v>
          </cell>
          <cell r="D114" t="str">
            <v>Orange Cyberdefense Denmark A/S</v>
          </cell>
        </row>
        <row r="115">
          <cell r="C115">
            <v>200900</v>
          </cell>
          <cell r="D115" t="str">
            <v>AXA Group Operations SAS</v>
          </cell>
        </row>
        <row r="116">
          <cell r="C116">
            <v>201548</v>
          </cell>
          <cell r="D116" t="str">
            <v>BT Nederland N.V.</v>
          </cell>
        </row>
        <row r="117">
          <cell r="C117">
            <v>206518</v>
          </cell>
          <cell r="D117" t="str">
            <v>Viria Security Oy</v>
          </cell>
        </row>
        <row r="118">
          <cell r="C118">
            <v>219791</v>
          </cell>
          <cell r="D118" t="str">
            <v>HSH Nordbank AG- Portavis</v>
          </cell>
        </row>
        <row r="119">
          <cell r="C119">
            <v>225560</v>
          </cell>
          <cell r="D119" t="str">
            <v>AXA Group Operations Belgium NV/SA</v>
          </cell>
        </row>
        <row r="120">
          <cell r="C120">
            <v>226587</v>
          </cell>
          <cell r="D120" t="str">
            <v>Seculonia GmbH</v>
          </cell>
        </row>
        <row r="121">
          <cell r="C121">
            <v>229225</v>
          </cell>
          <cell r="D121" t="str">
            <v>Atea Finland Oy</v>
          </cell>
        </row>
        <row r="122">
          <cell r="C122">
            <v>208918</v>
          </cell>
          <cell r="D122" t="str">
            <v>Telenet BV</v>
          </cell>
        </row>
        <row r="123">
          <cell r="C123">
            <v>217583</v>
          </cell>
          <cell r="D123" t="str">
            <v>SpotIT</v>
          </cell>
        </row>
        <row r="124">
          <cell r="C124">
            <v>214124</v>
          </cell>
          <cell r="D124" t="str">
            <v>AXA Sigorta</v>
          </cell>
        </row>
        <row r="125">
          <cell r="C125">
            <v>200666</v>
          </cell>
          <cell r="D125" t="str">
            <v>Arrow ECS Internet Security S.L.</v>
          </cell>
        </row>
        <row r="126">
          <cell r="C126">
            <v>215607</v>
          </cell>
          <cell r="D126" t="str">
            <v>AXA Assurance Maroc</v>
          </cell>
        </row>
        <row r="127">
          <cell r="C127">
            <v>200864</v>
          </cell>
          <cell r="D127" t="str">
            <v>AVANTEC AG</v>
          </cell>
        </row>
        <row r="128">
          <cell r="C128">
            <v>206239</v>
          </cell>
          <cell r="D128" t="str">
            <v>Navixia</v>
          </cell>
        </row>
        <row r="129">
          <cell r="C129">
            <v>201546</v>
          </cell>
          <cell r="D129" t="str">
            <v>BT Netherlands N.V.</v>
          </cell>
        </row>
        <row r="130">
          <cell r="C130">
            <v>210011</v>
          </cell>
          <cell r="D130" t="str">
            <v>Diebold Nixdorf Global IT Operations GmbH</v>
          </cell>
        </row>
        <row r="131">
          <cell r="C131">
            <v>211983</v>
          </cell>
          <cell r="D131" t="str">
            <v>KTM AG</v>
          </cell>
        </row>
        <row r="132">
          <cell r="C132">
            <v>200175</v>
          </cell>
          <cell r="D132" t="str">
            <v>Orange Cyberdefense Sweden AB</v>
          </cell>
        </row>
        <row r="133">
          <cell r="C133">
            <v>209678</v>
          </cell>
          <cell r="D133" t="str">
            <v>Verizon France</v>
          </cell>
        </row>
        <row r="134">
          <cell r="C134">
            <v>202603</v>
          </cell>
          <cell r="D134" t="str">
            <v>Dartalis</v>
          </cell>
        </row>
        <row r="135">
          <cell r="C135">
            <v>202540</v>
          </cell>
          <cell r="D135" t="str">
            <v>Telia Cygate Oy</v>
          </cell>
        </row>
        <row r="136">
          <cell r="C136">
            <v>203290</v>
          </cell>
          <cell r="D136" t="str">
            <v>Ericsson Nikola Tesla d.d</v>
          </cell>
        </row>
        <row r="137">
          <cell r="C137">
            <v>202841</v>
          </cell>
          <cell r="D137" t="str">
            <v>Dimension Data Belgium nv/sa</v>
          </cell>
        </row>
        <row r="138">
          <cell r="C138">
            <v>204694</v>
          </cell>
          <cell r="D138" t="str">
            <v>Ingecom</v>
          </cell>
        </row>
        <row r="139">
          <cell r="C139">
            <v>204731</v>
          </cell>
          <cell r="D139" t="str">
            <v>Insight Technology Solutions SAS</v>
          </cell>
        </row>
        <row r="140">
          <cell r="C140">
            <v>202627</v>
          </cell>
          <cell r="D140" t="str">
            <v>DATAKOM GmbH</v>
          </cell>
        </row>
        <row r="141">
          <cell r="C141">
            <v>204940</v>
          </cell>
          <cell r="D141" t="str">
            <v>I-TRACING</v>
          </cell>
        </row>
        <row r="142">
          <cell r="C142">
            <v>206021</v>
          </cell>
          <cell r="D142" t="str">
            <v>Mnemonic as</v>
          </cell>
        </row>
        <row r="143">
          <cell r="C143">
            <v>202609</v>
          </cell>
          <cell r="D143" t="str">
            <v>Data Equipment AS</v>
          </cell>
        </row>
        <row r="144">
          <cell r="C144">
            <v>206361</v>
          </cell>
          <cell r="D144" t="str">
            <v>Network Research Belgium (NRB)</v>
          </cell>
        </row>
        <row r="145">
          <cell r="C145">
            <v>206516</v>
          </cell>
          <cell r="D145" t="str">
            <v>Nordea</v>
          </cell>
        </row>
        <row r="146">
          <cell r="C146">
            <v>217363</v>
          </cell>
          <cell r="D146" t="str">
            <v>Compta</v>
          </cell>
        </row>
        <row r="147">
          <cell r="C147">
            <v>206260</v>
          </cell>
          <cell r="D147" t="str">
            <v>SecureLink UK Ltd.</v>
          </cell>
        </row>
        <row r="148">
          <cell r="C148">
            <v>206813</v>
          </cell>
          <cell r="D148" t="str">
            <v>Orange Business Services Network</v>
          </cell>
        </row>
        <row r="149">
          <cell r="C149">
            <v>205431</v>
          </cell>
          <cell r="D149" t="str">
            <v>Conscia Danmark A/S</v>
          </cell>
        </row>
        <row r="150">
          <cell r="C150">
            <v>206367</v>
          </cell>
          <cell r="D150" t="str">
            <v>Networkers AG</v>
          </cell>
        </row>
        <row r="151">
          <cell r="C151">
            <v>206758</v>
          </cell>
          <cell r="D151" t="str">
            <v>On2IT Security</v>
          </cell>
        </row>
        <row r="152">
          <cell r="C152">
            <v>207958</v>
          </cell>
          <cell r="D152" t="str">
            <v>SecureLink Belgium NV</v>
          </cell>
        </row>
        <row r="153">
          <cell r="C153">
            <v>202348</v>
          </cell>
          <cell r="D153" t="str">
            <v>Controlware GmbH</v>
          </cell>
        </row>
        <row r="154">
          <cell r="C154">
            <v>202319</v>
          </cell>
          <cell r="D154" t="str">
            <v>SPIE ICS AG</v>
          </cell>
        </row>
        <row r="155">
          <cell r="C155">
            <v>20107</v>
          </cell>
          <cell r="D155" t="str">
            <v>לקוחות שונים</v>
          </cell>
        </row>
        <row r="156">
          <cell r="C156">
            <v>221408</v>
          </cell>
          <cell r="D156" t="str">
            <v>Accenture SAS</v>
          </cell>
        </row>
        <row r="157">
          <cell r="C157">
            <v>225619</v>
          </cell>
          <cell r="D157" t="str">
            <v>Cuebid AB</v>
          </cell>
        </row>
        <row r="158">
          <cell r="C158">
            <v>206315</v>
          </cell>
          <cell r="D158" t="str">
            <v>TDCNetdesign A/S</v>
          </cell>
        </row>
        <row r="159">
          <cell r="C159">
            <v>216169</v>
          </cell>
          <cell r="D159" t="str">
            <v>Arrow ECS B.V</v>
          </cell>
        </row>
        <row r="160">
          <cell r="C160">
            <v>224666</v>
          </cell>
          <cell r="D160" t="str">
            <v>Capgemini Belgium NV/SA</v>
          </cell>
        </row>
        <row r="161">
          <cell r="C161">
            <v>209094</v>
          </cell>
          <cell r="D161" t="str">
            <v>Tieto Finland Oy</v>
          </cell>
        </row>
        <row r="162">
          <cell r="C162">
            <v>227448</v>
          </cell>
          <cell r="D162" t="str">
            <v>SpectraMI DMCC</v>
          </cell>
        </row>
        <row r="163">
          <cell r="C163">
            <v>200914</v>
          </cell>
          <cell r="D163" t="str">
            <v>Axial Systems</v>
          </cell>
        </row>
        <row r="164">
          <cell r="C164">
            <v>204916</v>
          </cell>
          <cell r="D164" t="str">
            <v>ITC Secure Networking</v>
          </cell>
        </row>
        <row r="165">
          <cell r="C165"/>
        </row>
        <row r="166">
          <cell r="C166">
            <v>2090001</v>
          </cell>
          <cell r="D166" t="str">
            <v xml:space="preserve">הכנסות מראש (קיטון מהלקוחות) לקוחות בזכות </v>
          </cell>
        </row>
        <row r="167">
          <cell r="C167">
            <v>2500204</v>
          </cell>
          <cell r="D167" t="str">
            <v>הפרשה לחובות מסופקים</v>
          </cell>
        </row>
        <row r="168">
          <cell r="C168"/>
        </row>
        <row r="169">
          <cell r="C169"/>
          <cell r="D169" t="str">
            <v>סה"כ לקוחות</v>
          </cell>
        </row>
        <row r="170">
          <cell r="C170"/>
        </row>
        <row r="171">
          <cell r="C171"/>
          <cell r="D171" t="str">
            <v>חייבים אחרים</v>
          </cell>
        </row>
        <row r="172">
          <cell r="C172"/>
          <cell r="D172" t="str">
            <v>Government Institutions</v>
          </cell>
        </row>
        <row r="173">
          <cell r="C173"/>
        </row>
        <row r="174">
          <cell r="C174"/>
        </row>
        <row r="175">
          <cell r="C175"/>
          <cell r="D175" t="str">
            <v>סה"כ מוסדת</v>
          </cell>
        </row>
        <row r="176">
          <cell r="C176"/>
          <cell r="D176" t="str">
            <v>יתרות בינחברתיות</v>
          </cell>
        </row>
        <row r="177">
          <cell r="C177">
            <v>1130002</v>
          </cell>
          <cell r="D177" t="str">
            <v>Algosec Israel</v>
          </cell>
        </row>
        <row r="178">
          <cell r="C178">
            <v>1130003</v>
          </cell>
          <cell r="D178" t="str">
            <v>Algosec INC</v>
          </cell>
        </row>
        <row r="179">
          <cell r="C179">
            <v>1130010</v>
          </cell>
          <cell r="D179" t="str">
            <v>אלגוסק צרפת</v>
          </cell>
        </row>
        <row r="180">
          <cell r="C180">
            <v>1130011</v>
          </cell>
          <cell r="D180" t="str">
            <v>אלגוסק הודו</v>
          </cell>
        </row>
        <row r="181">
          <cell r="C181" t="str">
            <v>1130011-1</v>
          </cell>
          <cell r="D181" t="str">
            <v>אלגוסק הודו-השקעה (UK)</v>
          </cell>
        </row>
        <row r="182">
          <cell r="C182" t="str">
            <v>1130010-1</v>
          </cell>
          <cell r="D182" t="str">
            <v>אלגוסק צרפת-השקעה</v>
          </cell>
        </row>
        <row r="183">
          <cell r="C183"/>
        </row>
        <row r="184">
          <cell r="C184"/>
          <cell r="D184" t="str">
            <v>סה"כ יתרות בינחברתיות</v>
          </cell>
        </row>
        <row r="185">
          <cell r="C185"/>
          <cell r="D185" t="str">
            <v>מסים נדחים זמן קצר</v>
          </cell>
        </row>
        <row r="186">
          <cell r="C186"/>
        </row>
        <row r="187">
          <cell r="C187"/>
        </row>
        <row r="188">
          <cell r="C188"/>
          <cell r="D188" t="str">
            <v>הוצאות מראש והכנסות לקבל</v>
          </cell>
        </row>
        <row r="189">
          <cell r="C189">
            <v>1100001</v>
          </cell>
          <cell r="D189" t="str">
            <v>Prepaid Expenses</v>
          </cell>
        </row>
        <row r="190">
          <cell r="C190">
            <v>1100008</v>
          </cell>
          <cell r="D190" t="str">
            <v>income receivable</v>
          </cell>
        </row>
        <row r="191">
          <cell r="C191">
            <v>1100999</v>
          </cell>
          <cell r="D191" t="str">
            <v>Prepaid Expenses TP IC</v>
          </cell>
        </row>
        <row r="192">
          <cell r="C192">
            <v>1100099</v>
          </cell>
          <cell r="D192" t="str">
            <v>Prepaid Comm - 606</v>
          </cell>
        </row>
        <row r="193">
          <cell r="C193"/>
        </row>
        <row r="194">
          <cell r="C194"/>
          <cell r="D194" t="str">
            <v>פקדונות לזמן ארוך</v>
          </cell>
        </row>
        <row r="195">
          <cell r="C195">
            <v>1510001</v>
          </cell>
          <cell r="D195" t="str">
            <v>Rent Deposit</v>
          </cell>
        </row>
        <row r="196">
          <cell r="C196">
            <v>1150001</v>
          </cell>
          <cell r="D196" t="str">
            <v>הכנסות לקבל</v>
          </cell>
        </row>
        <row r="197">
          <cell r="C197"/>
        </row>
        <row r="198">
          <cell r="C198"/>
        </row>
        <row r="199">
          <cell r="C199"/>
        </row>
        <row r="200">
          <cell r="C200"/>
        </row>
        <row r="201">
          <cell r="C201"/>
          <cell r="D201" t="str">
            <v>Total</v>
          </cell>
        </row>
        <row r="202">
          <cell r="C202"/>
        </row>
        <row r="203">
          <cell r="C203"/>
          <cell r="D203" t="str">
            <v>Fixed assets</v>
          </cell>
        </row>
        <row r="204">
          <cell r="C204"/>
          <cell r="D204" t="str">
            <v>Cost</v>
          </cell>
        </row>
        <row r="205">
          <cell r="C205">
            <v>1400001</v>
          </cell>
          <cell r="D205" t="str">
            <v>מחשבים ותוכנות</v>
          </cell>
        </row>
        <row r="206">
          <cell r="C206"/>
        </row>
        <row r="207">
          <cell r="C207"/>
          <cell r="D207" t="str">
            <v>סה"כ עלות</v>
          </cell>
        </row>
        <row r="208">
          <cell r="C208"/>
          <cell r="D208" t="str">
            <v>פחת נצבר</v>
          </cell>
        </row>
        <row r="209">
          <cell r="C209">
            <v>1490001</v>
          </cell>
          <cell r="D209" t="str">
            <v>מחשבים פחת נצבר</v>
          </cell>
        </row>
        <row r="210">
          <cell r="C210"/>
        </row>
        <row r="211">
          <cell r="C211"/>
          <cell r="D211" t="str">
            <v>סך הכל פחת נצבר</v>
          </cell>
        </row>
        <row r="212">
          <cell r="C212"/>
        </row>
        <row r="213">
          <cell r="C213"/>
          <cell r="D213" t="str">
            <v>סך הכל רכוש קבוע</v>
          </cell>
        </row>
        <row r="214">
          <cell r="C214"/>
        </row>
        <row r="215">
          <cell r="C215"/>
          <cell r="D215" t="str">
            <v>רכוש אחר</v>
          </cell>
        </row>
        <row r="216">
          <cell r="C216"/>
        </row>
        <row r="217">
          <cell r="C217">
            <v>1620001</v>
          </cell>
          <cell r="D217" t="str">
            <v xml:space="preserve">DEFERRED TAX - SHARE BASED COMP </v>
          </cell>
        </row>
        <row r="218">
          <cell r="C218">
            <v>1610005</v>
          </cell>
          <cell r="D218" t="str">
            <v xml:space="preserve">Prepaid Comm 606 - Long term </v>
          </cell>
        </row>
        <row r="219">
          <cell r="C219">
            <v>1610097</v>
          </cell>
          <cell r="D219" t="str">
            <v xml:space="preserve">Prepaid TP - Long term </v>
          </cell>
        </row>
        <row r="220">
          <cell r="D220" t="str">
            <v>סך הכל רכוש אחר</v>
          </cell>
        </row>
        <row r="222">
          <cell r="D222" t="str">
            <v>סך הכל נכסים</v>
          </cell>
        </row>
        <row r="224">
          <cell r="D224" t="str">
            <v>אשראי מתאגידים בנקאיים</v>
          </cell>
        </row>
        <row r="225">
          <cell r="D225" t="str">
            <v>משיכות יתר</v>
          </cell>
        </row>
        <row r="227">
          <cell r="D227" t="str">
            <v>סך הכל משיכות יתר</v>
          </cell>
        </row>
        <row r="229">
          <cell r="D229" t="str">
            <v>ספקים ונותני שרותים</v>
          </cell>
        </row>
        <row r="230">
          <cell r="C230"/>
        </row>
        <row r="231">
          <cell r="C231"/>
        </row>
        <row r="232">
          <cell r="C232">
            <v>2150055</v>
          </cell>
          <cell r="D232" t="str">
            <v>HIRERIGHT</v>
          </cell>
        </row>
        <row r="233">
          <cell r="C233">
            <v>2110018</v>
          </cell>
          <cell r="D233" t="str">
            <v>Payrollplus</v>
          </cell>
        </row>
        <row r="234">
          <cell r="C234">
            <v>2130025</v>
          </cell>
          <cell r="D234" t="str">
            <v>Ingecom</v>
          </cell>
        </row>
        <row r="235">
          <cell r="C235">
            <v>2160078</v>
          </cell>
          <cell r="D235" t="str">
            <v>GES-Global Experience Specialists</v>
          </cell>
        </row>
        <row r="236">
          <cell r="C236">
            <v>2130022</v>
          </cell>
          <cell r="D236" t="str">
            <v>DG Consultants</v>
          </cell>
        </row>
        <row r="237">
          <cell r="C237">
            <v>2130023</v>
          </cell>
          <cell r="D237" t="str">
            <v>Ubiqus</v>
          </cell>
        </row>
        <row r="238">
          <cell r="C238">
            <v>2170084</v>
          </cell>
          <cell r="D238" t="str">
            <v>DATAKOM</v>
          </cell>
        </row>
        <row r="239">
          <cell r="C239">
            <v>2170104</v>
          </cell>
          <cell r="D239" t="str">
            <v>OtraCosa</v>
          </cell>
        </row>
        <row r="240">
          <cell r="C240">
            <v>2170106</v>
          </cell>
          <cell r="D240" t="str">
            <v>Dutch It Channel B.V</v>
          </cell>
        </row>
        <row r="241">
          <cell r="C241">
            <v>2130002</v>
          </cell>
          <cell r="D241" t="str">
            <v>Vanduworldwide</v>
          </cell>
        </row>
        <row r="242">
          <cell r="C242">
            <v>2140000</v>
          </cell>
          <cell r="D242" t="str">
            <v>Nest- Pension</v>
          </cell>
        </row>
        <row r="243">
          <cell r="C243">
            <v>2150043</v>
          </cell>
          <cell r="D243" t="str">
            <v>Dale Levy &amp;CO</v>
          </cell>
        </row>
        <row r="244">
          <cell r="C244">
            <v>2140031</v>
          </cell>
          <cell r="D244" t="str">
            <v>Reed Exhibitions</v>
          </cell>
        </row>
        <row r="245">
          <cell r="C245">
            <v>2170105</v>
          </cell>
          <cell r="D245" t="str">
            <v>ISMG - Information Security Media Group GBP</v>
          </cell>
        </row>
        <row r="246">
          <cell r="C246">
            <v>2130001</v>
          </cell>
          <cell r="D246" t="str">
            <v>Badura Steuerberatungsgesellschaft mbH</v>
          </cell>
        </row>
        <row r="247">
          <cell r="C247">
            <v>2130043</v>
          </cell>
          <cell r="D247" t="str">
            <v>Orange Cyberdefense</v>
          </cell>
        </row>
        <row r="248">
          <cell r="C248">
            <v>2130044</v>
          </cell>
          <cell r="D248" t="str">
            <v>Griffity GmbH</v>
          </cell>
        </row>
        <row r="249">
          <cell r="C249">
            <v>2140001</v>
          </cell>
          <cell r="D249" t="str">
            <v>Rag London Ltd. - Client Account</v>
          </cell>
        </row>
        <row r="250">
          <cell r="C250">
            <v>2160065</v>
          </cell>
          <cell r="D250" t="str">
            <v>ספקים שונים - GBP</v>
          </cell>
        </row>
        <row r="251">
          <cell r="C251">
            <v>2170101</v>
          </cell>
          <cell r="D251" t="str">
            <v>Kuppingercole Analysts LG-USD</v>
          </cell>
        </row>
        <row r="252">
          <cell r="C252">
            <v>2150053</v>
          </cell>
          <cell r="D252" t="str">
            <v>Hewlett Packard -EUR</v>
          </cell>
        </row>
        <row r="253">
          <cell r="C253">
            <v>2150054</v>
          </cell>
          <cell r="D253" t="str">
            <v>LANDMARK</v>
          </cell>
        </row>
        <row r="254">
          <cell r="C254">
            <v>2110008</v>
          </cell>
          <cell r="D254" t="str">
            <v>Mikkel Borve Consulting</v>
          </cell>
        </row>
        <row r="255">
          <cell r="C255">
            <v>2110011</v>
          </cell>
          <cell r="D255" t="str">
            <v>Secure Vibes</v>
          </cell>
        </row>
        <row r="256">
          <cell r="C256">
            <v>2110015</v>
          </cell>
          <cell r="D256" t="str">
            <v>AURENAV SWEDEN AB</v>
          </cell>
        </row>
        <row r="257">
          <cell r="C257">
            <v>2170088</v>
          </cell>
          <cell r="D257" t="str">
            <v>Goose4Numbers</v>
          </cell>
        </row>
        <row r="258">
          <cell r="C258">
            <v>2160073</v>
          </cell>
          <cell r="D258" t="str">
            <v>Twenty Three Aps</v>
          </cell>
        </row>
        <row r="259">
          <cell r="C259">
            <v>2150056</v>
          </cell>
          <cell r="D259" t="str">
            <v>Kafka Kommunikation</v>
          </cell>
        </row>
        <row r="260">
          <cell r="C260">
            <v>2170081</v>
          </cell>
          <cell r="D260" t="str">
            <v>ספקים שונים -EUR</v>
          </cell>
        </row>
        <row r="261">
          <cell r="C261">
            <v>2140003</v>
          </cell>
          <cell r="D261" t="str">
            <v>Beaumont Business Centres</v>
          </cell>
        </row>
        <row r="262">
          <cell r="C262">
            <v>2150052</v>
          </cell>
          <cell r="D262" t="str">
            <v>Seehaus</v>
          </cell>
        </row>
        <row r="264">
          <cell r="C264">
            <v>2200001</v>
          </cell>
          <cell r="D264" t="str">
            <v>Accrued expenses</v>
          </cell>
        </row>
        <row r="265">
          <cell r="C265"/>
        </row>
        <row r="266">
          <cell r="C266"/>
          <cell r="D266" t="str">
            <v>סה"כ ספקים</v>
          </cell>
        </row>
        <row r="267">
          <cell r="C267"/>
          <cell r="D267" t="str">
            <v>Government Institutions</v>
          </cell>
        </row>
        <row r="268">
          <cell r="C268">
            <v>2500001</v>
          </cell>
          <cell r="D268" t="str">
            <v>Input VAT</v>
          </cell>
        </row>
        <row r="269">
          <cell r="C269">
            <v>2500005</v>
          </cell>
          <cell r="D269" t="str">
            <v>HMRC VAT</v>
          </cell>
        </row>
        <row r="270">
          <cell r="C270">
            <v>2500002</v>
          </cell>
          <cell r="D270" t="str">
            <v>מע"מ עסקאות</v>
          </cell>
        </row>
        <row r="271">
          <cell r="C271">
            <v>21010</v>
          </cell>
          <cell r="D271" t="str">
            <v>חו"ז מס הכנסה</v>
          </cell>
        </row>
        <row r="272">
          <cell r="C272">
            <v>2500006</v>
          </cell>
          <cell r="D272" t="str">
            <v>wht 2017</v>
          </cell>
        </row>
        <row r="273">
          <cell r="C273">
            <v>2500010</v>
          </cell>
          <cell r="D273" t="str">
            <v>Withholding Tax from Customers NO WHT</v>
          </cell>
        </row>
        <row r="274">
          <cell r="C274">
            <v>2500031</v>
          </cell>
          <cell r="D274" t="str">
            <v>TAX PAYMENT 2017</v>
          </cell>
        </row>
        <row r="275">
          <cell r="C275">
            <v>2500050</v>
          </cell>
          <cell r="D275" t="str">
            <v>tax to pay 2018</v>
          </cell>
        </row>
        <row r="276">
          <cell r="C276">
            <v>2500040</v>
          </cell>
          <cell r="D276" t="str">
            <v>ניכוי מס במקור מלקוחות 2018</v>
          </cell>
        </row>
        <row r="277">
          <cell r="C277">
            <v>2500099</v>
          </cell>
          <cell r="D277" t="str">
            <v>Withholding Tax - sepcial UK</v>
          </cell>
        </row>
        <row r="278">
          <cell r="C278">
            <v>2000060</v>
          </cell>
          <cell r="D278" t="str">
            <v>תשלום ע"ח מס אנגליה</v>
          </cell>
        </row>
        <row r="279">
          <cell r="C279">
            <v>2000070</v>
          </cell>
          <cell r="D279" t="str">
            <v>תשלום ע"ח מס אנגליה 2019</v>
          </cell>
        </row>
        <row r="280">
          <cell r="C280">
            <v>2500051</v>
          </cell>
          <cell r="D280" t="str">
            <v>הפרשה למס אנגליה 2019</v>
          </cell>
        </row>
        <row r="281">
          <cell r="C281">
            <v>2500042</v>
          </cell>
          <cell r="D281" t="str">
            <v>Withholding Tax - sepcial UK 2019</v>
          </cell>
        </row>
        <row r="282">
          <cell r="C282">
            <v>2500041</v>
          </cell>
          <cell r="D282" t="str">
            <v>ניכוי מס במקור מלקוחות 2019</v>
          </cell>
        </row>
        <row r="283">
          <cell r="C283">
            <v>2500054</v>
          </cell>
          <cell r="D283" t="str">
            <v>הפרשה למס אנגליה 2020</v>
          </cell>
        </row>
        <row r="284">
          <cell r="C284">
            <v>2050043</v>
          </cell>
          <cell r="D284" t="str">
            <v>Withholding Tax-sepcial UK-2020</v>
          </cell>
        </row>
        <row r="285">
          <cell r="C285">
            <v>2500045</v>
          </cell>
          <cell r="D285" t="str">
            <v>ניכוי מס במקור מלקוחות 2020</v>
          </cell>
        </row>
        <row r="286">
          <cell r="C286">
            <v>2500046</v>
          </cell>
          <cell r="D286" t="str">
            <v>ניכוי מס במקור מלקוחות 2021</v>
          </cell>
        </row>
        <row r="287">
          <cell r="C287"/>
          <cell r="D287" t="str">
            <v>סה"כ מוסדות</v>
          </cell>
        </row>
        <row r="288">
          <cell r="C288"/>
        </row>
        <row r="289">
          <cell r="C289"/>
          <cell r="D289" t="str">
            <v>Employees</v>
          </cell>
        </row>
        <row r="290">
          <cell r="C290">
            <v>2400001</v>
          </cell>
          <cell r="D290" t="str">
            <v>Accrued expenses Employees</v>
          </cell>
        </row>
        <row r="291">
          <cell r="C291">
            <v>2400030</v>
          </cell>
          <cell r="D291" t="str">
            <v>Barmer</v>
          </cell>
        </row>
        <row r="292">
          <cell r="C292">
            <v>2400021</v>
          </cell>
          <cell r="D292" t="str">
            <v>AOK Bayern Krankenkasse</v>
          </cell>
        </row>
        <row r="293">
          <cell r="C293">
            <v>2400220</v>
          </cell>
          <cell r="D293" t="str">
            <v>BELASTIN סוציאליות הולנד</v>
          </cell>
        </row>
        <row r="294">
          <cell r="C294">
            <v>2400215</v>
          </cell>
          <cell r="D294" t="str">
            <v>SKATTEVERKET</v>
          </cell>
        </row>
        <row r="295">
          <cell r="C295"/>
          <cell r="D295" t="str">
            <v>זכאים</v>
          </cell>
        </row>
        <row r="296">
          <cell r="C296">
            <v>2160000</v>
          </cell>
          <cell r="D296" t="str">
            <v>מיון לקוחות בזכות לזכאים</v>
          </cell>
        </row>
        <row r="297">
          <cell r="C297"/>
        </row>
        <row r="298">
          <cell r="C298"/>
        </row>
        <row r="299">
          <cell r="C299"/>
          <cell r="D299" t="str">
            <v xml:space="preserve"> Other liabilities</v>
          </cell>
        </row>
        <row r="300">
          <cell r="C300">
            <v>53501</v>
          </cell>
          <cell r="D300" t="str">
            <v>Deferred Revenues Local Currency</v>
          </cell>
        </row>
        <row r="301">
          <cell r="C301">
            <v>53502</v>
          </cell>
          <cell r="D301" t="str">
            <v>Deferred Revenue Foreign exchange</v>
          </cell>
        </row>
        <row r="302">
          <cell r="C302">
            <v>53515</v>
          </cell>
          <cell r="D302" t="str">
            <v>Deferred Revenue Appliance Maintenance</v>
          </cell>
        </row>
        <row r="303">
          <cell r="C303">
            <v>53516</v>
          </cell>
          <cell r="D303" t="str">
            <v>הכנסות מראש חומרה- APPLIANCE חייבות</v>
          </cell>
        </row>
        <row r="304">
          <cell r="C304">
            <v>53513</v>
          </cell>
          <cell r="D304" t="str">
            <v>Prepaid Income PS Local Currency</v>
          </cell>
        </row>
        <row r="305">
          <cell r="C305">
            <v>53514</v>
          </cell>
          <cell r="D305" t="str">
            <v>Deferred Revenues PS</v>
          </cell>
        </row>
        <row r="306">
          <cell r="C306">
            <v>53550</v>
          </cell>
          <cell r="D306" t="str">
            <v>Deferred Revenues Subscription</v>
          </cell>
        </row>
        <row r="307">
          <cell r="C307">
            <v>53510</v>
          </cell>
          <cell r="D307" t="str">
            <v>Deferred Revenues Subscription Local Currency</v>
          </cell>
        </row>
        <row r="308">
          <cell r="C308">
            <v>53599</v>
          </cell>
          <cell r="D308" t="str">
            <v>Sorting from Income</v>
          </cell>
        </row>
        <row r="309">
          <cell r="C309">
            <v>53580</v>
          </cell>
          <cell r="D309" t="str">
            <v>הכנסות מראש SUBSCRIPTION חייבות-חדש</v>
          </cell>
        </row>
        <row r="310">
          <cell r="C310">
            <v>53581</v>
          </cell>
          <cell r="D310" t="str">
            <v>הכנסות מראש מטח Subsription פטורות חדש</v>
          </cell>
        </row>
        <row r="311">
          <cell r="C311"/>
        </row>
        <row r="312">
          <cell r="C312" t="str">
            <v>53500-1</v>
          </cell>
          <cell r="D312" t="str">
            <v>הכנסות מראש לצורך מאזן בלבד</v>
          </cell>
        </row>
        <row r="313">
          <cell r="C313"/>
        </row>
        <row r="314">
          <cell r="C314"/>
        </row>
        <row r="315">
          <cell r="C315"/>
        </row>
        <row r="316">
          <cell r="C316"/>
          <cell r="D316" t="str">
            <v>סה"כ זכאים ויתרות זכות</v>
          </cell>
        </row>
        <row r="317">
          <cell r="C317"/>
        </row>
        <row r="318">
          <cell r="C318">
            <v>53600</v>
          </cell>
          <cell r="D318" t="str">
            <v>הכנסות מראש זמן ארוך</v>
          </cell>
        </row>
        <row r="319">
          <cell r="C319"/>
        </row>
        <row r="320">
          <cell r="C320"/>
          <cell r="D320" t="str">
            <v>הלואה לזמן ארןך</v>
          </cell>
        </row>
        <row r="321">
          <cell r="C321"/>
        </row>
        <row r="322">
          <cell r="C322"/>
        </row>
        <row r="323">
          <cell r="C323"/>
          <cell r="D323" t="str">
            <v>Share holders' equity</v>
          </cell>
        </row>
        <row r="324">
          <cell r="C324">
            <v>3000001</v>
          </cell>
          <cell r="D324" t="str">
            <v>share capital</v>
          </cell>
        </row>
        <row r="325">
          <cell r="C325">
            <v>99911</v>
          </cell>
          <cell r="D325" t="str">
            <v>Capital fund and share-based payment</v>
          </cell>
        </row>
        <row r="326">
          <cell r="C326">
            <v>3030099</v>
          </cell>
          <cell r="D326" t="str">
            <v>Special retained earnings</v>
          </cell>
        </row>
        <row r="327">
          <cell r="C327">
            <v>3030098</v>
          </cell>
          <cell r="D327" t="str">
            <v>Special retained earnings - share based comp to ret earnings</v>
          </cell>
        </row>
        <row r="328">
          <cell r="C328">
            <v>3030001</v>
          </cell>
          <cell r="D328" t="str">
            <v>Retained Earnings</v>
          </cell>
        </row>
        <row r="329">
          <cell r="C329"/>
        </row>
        <row r="330">
          <cell r="C330"/>
        </row>
        <row r="331">
          <cell r="C331"/>
          <cell r="D331" t="str">
            <v>סה"כ התחייבויות והון</v>
          </cell>
        </row>
        <row r="332">
          <cell r="C332"/>
        </row>
        <row r="333">
          <cell r="C333"/>
          <cell r="D333" t="str">
            <v>P&amp;L</v>
          </cell>
        </row>
        <row r="334">
          <cell r="C334"/>
          <cell r="D334" t="str">
            <v>Income</v>
          </cell>
        </row>
        <row r="335">
          <cell r="C335"/>
          <cell r="D335" t="str">
            <v>Perpetual</v>
          </cell>
        </row>
        <row r="336">
          <cell r="C336">
            <v>80001</v>
          </cell>
          <cell r="D336" t="str">
            <v>Product Software Revenues Local Currency</v>
          </cell>
        </row>
        <row r="337">
          <cell r="C337">
            <v>80101</v>
          </cell>
          <cell r="D337" t="str">
            <v>Product Software Revenues Foreign Currency</v>
          </cell>
        </row>
        <row r="338">
          <cell r="C338"/>
          <cell r="D338" t="str">
            <v>Appliance</v>
          </cell>
        </row>
        <row r="339">
          <cell r="C339">
            <v>80103</v>
          </cell>
          <cell r="D339" t="str">
            <v>Product Hardware Revenues Foreign Currency</v>
          </cell>
        </row>
        <row r="340">
          <cell r="C340">
            <v>80002</v>
          </cell>
          <cell r="D340" t="str">
            <v>Revenues Hardware Local Currency</v>
          </cell>
        </row>
        <row r="341">
          <cell r="D341" t="str">
            <v>Maintenance (Due appliance)</v>
          </cell>
        </row>
        <row r="342">
          <cell r="C342">
            <v>80064</v>
          </cell>
          <cell r="D342" t="str">
            <v>Maintenance Revenues Appliance Foreign Currency</v>
          </cell>
        </row>
        <row r="343">
          <cell r="C343" t="str">
            <v>80064-1</v>
          </cell>
          <cell r="D343" t="str">
            <v>הכנסות תחזוקה חומרה מט"ח פטורות-מאזן בלבד</v>
          </cell>
        </row>
        <row r="344">
          <cell r="C344">
            <v>80065</v>
          </cell>
          <cell r="D344" t="str">
            <v>הכנסות תחזוקה חומרה חייבות</v>
          </cell>
        </row>
        <row r="345">
          <cell r="D345" t="str">
            <v>Maintenance (Due perpetual)</v>
          </cell>
        </row>
        <row r="346">
          <cell r="C346">
            <v>80060</v>
          </cell>
          <cell r="D346" t="str">
            <v>Maintenance Revenues Local Currency</v>
          </cell>
        </row>
        <row r="347">
          <cell r="C347">
            <v>80061</v>
          </cell>
          <cell r="D347" t="str">
            <v>Maintenance Revenues Foreign Currency</v>
          </cell>
        </row>
        <row r="348">
          <cell r="C348" t="str">
            <v>80102-9</v>
          </cell>
          <cell r="D348" t="str">
            <v>Maintenance Revenues Euro and Dollar-for Bal2014</v>
          </cell>
        </row>
        <row r="349">
          <cell r="C349"/>
          <cell r="D349" t="str">
            <v>Training</v>
          </cell>
        </row>
        <row r="350">
          <cell r="C350">
            <v>80150</v>
          </cell>
          <cell r="D350" t="str">
            <v>הכנסות TRAINING -פטורות ממע"מ</v>
          </cell>
        </row>
        <row r="351">
          <cell r="C351">
            <v>80151</v>
          </cell>
          <cell r="D351" t="str">
            <v>הכנסות TRAINING ל"ש</v>
          </cell>
        </row>
        <row r="352">
          <cell r="C352"/>
          <cell r="D352" t="str">
            <v>PS - Professional services</v>
          </cell>
        </row>
        <row r="353">
          <cell r="C353">
            <v>80152</v>
          </cell>
          <cell r="D353" t="str">
            <v>PS Revenues Foreign Currency</v>
          </cell>
        </row>
        <row r="354">
          <cell r="C354">
            <v>80153</v>
          </cell>
          <cell r="D354" t="str">
            <v>PS Revenues Local Currency</v>
          </cell>
        </row>
        <row r="355">
          <cell r="C355" t="str">
            <v>80153-1</v>
          </cell>
          <cell r="D355" t="str">
            <v>מיון הכנסות PS-מאזן בלבד</v>
          </cell>
        </row>
        <row r="356">
          <cell r="C356"/>
          <cell r="D356" t="str">
            <v>Subscription</v>
          </cell>
        </row>
        <row r="357">
          <cell r="C357">
            <v>80070</v>
          </cell>
          <cell r="D357" t="str">
            <v>הכנסות מוצר SUBSCRIPTION פטורות</v>
          </cell>
        </row>
        <row r="358">
          <cell r="C358">
            <v>80071</v>
          </cell>
          <cell r="D358" t="str">
            <v>הכנסות מוצר  SUBSCIPTION חייבות</v>
          </cell>
        </row>
        <row r="359">
          <cell r="C359">
            <v>80080</v>
          </cell>
          <cell r="D359" t="str">
            <v>הכנסות תמיכה SUBSCRIPTION פטורות</v>
          </cell>
        </row>
        <row r="360">
          <cell r="C360">
            <v>80081</v>
          </cell>
          <cell r="D360" t="str">
            <v>הכנסות תמיכה SUBSCIPTION חייבות</v>
          </cell>
        </row>
        <row r="361">
          <cell r="C361">
            <v>80062</v>
          </cell>
          <cell r="D361" t="str">
            <v>Subscription Revenues Foreign Currency</v>
          </cell>
        </row>
        <row r="362">
          <cell r="C362">
            <v>80063</v>
          </cell>
          <cell r="D362" t="str">
            <v>Maintenance Revenues Subscription Local Currency</v>
          </cell>
        </row>
        <row r="363">
          <cell r="C363"/>
          <cell r="D363" t="str">
            <v>Others</v>
          </cell>
        </row>
        <row r="364">
          <cell r="C364" t="str">
            <v>80103-1</v>
          </cell>
          <cell r="D364" t="str">
            <v>Sort income</v>
          </cell>
        </row>
        <row r="365">
          <cell r="C365">
            <v>80105</v>
          </cell>
          <cell r="D365" t="str">
            <v>הכנסות פטורות מוצרים לצורך מאזן בלבד</v>
          </cell>
        </row>
        <row r="366">
          <cell r="C366"/>
        </row>
        <row r="367">
          <cell r="C367"/>
          <cell r="D367" t="str">
            <v>סה"כ הכנסות</v>
          </cell>
        </row>
        <row r="368">
          <cell r="C368"/>
        </row>
        <row r="369">
          <cell r="C369"/>
          <cell r="D369" t="str">
            <v>COGS</v>
          </cell>
        </row>
        <row r="370">
          <cell r="C370"/>
        </row>
        <row r="371">
          <cell r="C371">
            <v>5200001</v>
          </cell>
          <cell r="D371" t="str">
            <v>שכר עבודה שירותים מקצועיים</v>
          </cell>
        </row>
        <row r="372">
          <cell r="C372">
            <v>5200002</v>
          </cell>
          <cell r="D372" t="str">
            <v>בונוס Delivery</v>
          </cell>
        </row>
        <row r="373">
          <cell r="C373">
            <v>5200003</v>
          </cell>
          <cell r="D373" t="str">
            <v>MBO - Professional  Services</v>
          </cell>
        </row>
        <row r="374">
          <cell r="C374">
            <v>5200029</v>
          </cell>
          <cell r="D374" t="str">
            <v>הוצאות עובדים אירופה-DELIVERY</v>
          </cell>
        </row>
        <row r="375">
          <cell r="C375">
            <v>5210099</v>
          </cell>
          <cell r="D375" t="str">
            <v>החזר הוצ.טיסה -מיון מחשבוניות ללקוחות PS</v>
          </cell>
        </row>
        <row r="376">
          <cell r="C376">
            <v>5210006</v>
          </cell>
          <cell r="D376" t="str">
            <v>הדרכות Delivery-PS</v>
          </cell>
        </row>
        <row r="377">
          <cell r="C377">
            <v>5200020</v>
          </cell>
          <cell r="D377" t="str">
            <v>השמה - PS</v>
          </cell>
        </row>
        <row r="378">
          <cell r="C378">
            <v>5209999</v>
          </cell>
          <cell r="D378" t="str">
            <v>העמסת הנה"כ לעלות המכר</v>
          </cell>
        </row>
        <row r="379">
          <cell r="C379"/>
        </row>
        <row r="380">
          <cell r="C380">
            <v>5300003</v>
          </cell>
          <cell r="D380" t="str">
            <v>MBO - Project Management</v>
          </cell>
        </row>
        <row r="381">
          <cell r="C381">
            <v>5300005</v>
          </cell>
          <cell r="D381" t="str">
            <v>בונוס ניהול מוצר</v>
          </cell>
        </row>
        <row r="382">
          <cell r="C382">
            <v>5300021</v>
          </cell>
          <cell r="D382" t="str">
            <v>France MBO - Project Management</v>
          </cell>
        </row>
        <row r="383">
          <cell r="C383">
            <v>5300023</v>
          </cell>
          <cell r="D383" t="str">
            <v>בונוס אחר - עובדי אנגליה PM</v>
          </cell>
        </row>
        <row r="384">
          <cell r="C384">
            <v>5420004</v>
          </cell>
          <cell r="D384" t="str">
            <v>יועצים Training</v>
          </cell>
        </row>
        <row r="385">
          <cell r="C385">
            <v>5800001</v>
          </cell>
          <cell r="D385" t="str">
            <v>Import / export shipments</v>
          </cell>
        </row>
        <row r="386">
          <cell r="C386"/>
        </row>
        <row r="387">
          <cell r="C387" t="str">
            <v>5100013-1</v>
          </cell>
          <cell r="D387" t="str">
            <v>תשלום מבוסס מניות עלות המכר</v>
          </cell>
        </row>
        <row r="388">
          <cell r="C388"/>
        </row>
        <row r="389">
          <cell r="C389">
            <v>5900001</v>
          </cell>
          <cell r="D389" t="str">
            <v>Transfer Pricing per IC Agreeme-Cost of sales</v>
          </cell>
        </row>
        <row r="390">
          <cell r="C390"/>
        </row>
        <row r="391">
          <cell r="C391"/>
          <cell r="D391" t="str">
            <v>סה"כ עלות המכר</v>
          </cell>
        </row>
        <row r="392">
          <cell r="C392"/>
        </row>
        <row r="393">
          <cell r="C393"/>
          <cell r="D393" t="str">
            <v>General &amp; administrative expenses</v>
          </cell>
        </row>
        <row r="394">
          <cell r="C394"/>
          <cell r="D394" t="str">
            <v>Salaries expenses</v>
          </cell>
        </row>
        <row r="395">
          <cell r="C395"/>
        </row>
        <row r="396">
          <cell r="C396"/>
        </row>
        <row r="397">
          <cell r="C397"/>
        </row>
        <row r="398">
          <cell r="C398"/>
        </row>
        <row r="399">
          <cell r="C399"/>
        </row>
        <row r="400">
          <cell r="D400" t="str">
            <v>Depreciation</v>
          </cell>
        </row>
        <row r="401">
          <cell r="C401"/>
        </row>
        <row r="402">
          <cell r="C402"/>
        </row>
        <row r="403">
          <cell r="D403" t="str">
            <v>Professional Expenses</v>
          </cell>
        </row>
        <row r="404">
          <cell r="C404">
            <v>8410069</v>
          </cell>
          <cell r="D404" t="str">
            <v>G &amp; A Consultants, Accounting Services</v>
          </cell>
        </row>
        <row r="405">
          <cell r="C405">
            <v>8410070</v>
          </cell>
          <cell r="D405" t="str">
            <v>Legal Fees</v>
          </cell>
        </row>
        <row r="406">
          <cell r="C406">
            <v>8410027</v>
          </cell>
          <cell r="D406" t="str">
            <v>החזר מע"מ יורואט</v>
          </cell>
        </row>
        <row r="407">
          <cell r="C407"/>
        </row>
        <row r="408">
          <cell r="C408"/>
        </row>
        <row r="409">
          <cell r="C409"/>
          <cell r="D409" t="str">
            <v>Over head expenses</v>
          </cell>
        </row>
        <row r="410">
          <cell r="C410">
            <v>8030001</v>
          </cell>
          <cell r="D410" t="str">
            <v>Rent</v>
          </cell>
        </row>
        <row r="411">
          <cell r="C411">
            <v>8030006</v>
          </cell>
          <cell r="D411" t="str">
            <v>Offices Exp.</v>
          </cell>
        </row>
        <row r="412">
          <cell r="C412">
            <v>8030020</v>
          </cell>
          <cell r="D412" t="str">
            <v>Depreciation Expense</v>
          </cell>
        </row>
        <row r="413">
          <cell r="C413">
            <v>8030002</v>
          </cell>
          <cell r="D413" t="str">
            <v>הוצאות מס מוכרות אירופה (ללא UK)</v>
          </cell>
        </row>
        <row r="414">
          <cell r="C414">
            <v>8030024</v>
          </cell>
          <cell r="D414" t="str">
            <v>Postages and Delivery</v>
          </cell>
        </row>
        <row r="415">
          <cell r="C415">
            <v>8030100</v>
          </cell>
          <cell r="D415" t="str">
            <v>Expenses of doubtful debts</v>
          </cell>
        </row>
        <row r="416">
          <cell r="C416">
            <v>8030101</v>
          </cell>
          <cell r="D416" t="str">
            <v>חובות אבודים</v>
          </cell>
        </row>
        <row r="417">
          <cell r="C417" t="str">
            <v>NEW1</v>
          </cell>
          <cell r="D417" t="str">
            <v>Tax expenses (Sweden)</v>
          </cell>
        </row>
        <row r="418">
          <cell r="C418">
            <v>93100</v>
          </cell>
          <cell r="D418" t="str">
            <v>העמסת הוצאות הנה"כ למחלקות אחרות</v>
          </cell>
        </row>
        <row r="419">
          <cell r="C419"/>
        </row>
        <row r="420">
          <cell r="C420"/>
          <cell r="D420" t="str">
            <v>כלליות</v>
          </cell>
        </row>
        <row r="421">
          <cell r="C421"/>
        </row>
        <row r="422">
          <cell r="C422"/>
        </row>
        <row r="423">
          <cell r="C423"/>
          <cell r="D423" t="str">
            <v>סה"כ הוצאות הנהלה וכלליות</v>
          </cell>
        </row>
        <row r="424">
          <cell r="C424"/>
        </row>
        <row r="425">
          <cell r="C425"/>
        </row>
        <row r="426">
          <cell r="D426" t="str">
            <v>Marketing expenses</v>
          </cell>
        </row>
        <row r="427">
          <cell r="C427"/>
          <cell r="D427" t="str">
            <v>Marketing</v>
          </cell>
        </row>
        <row r="428">
          <cell r="C428">
            <v>7020027</v>
          </cell>
          <cell r="D428" t="str">
            <v>Marketing Communications</v>
          </cell>
        </row>
        <row r="429">
          <cell r="C429">
            <v>7020038</v>
          </cell>
          <cell r="D429" t="str">
            <v>Marketing Demand Generation</v>
          </cell>
        </row>
        <row r="430">
          <cell r="C430">
            <v>7020026</v>
          </cell>
          <cell r="D430" t="str">
            <v>Marketing Operations &amp; Programs</v>
          </cell>
        </row>
        <row r="431">
          <cell r="C431">
            <v>7020034</v>
          </cell>
          <cell r="D431" t="str">
            <v>Exhibitions and Events</v>
          </cell>
        </row>
        <row r="432">
          <cell r="C432">
            <v>7020039</v>
          </cell>
          <cell r="D432" t="str">
            <v>הוצאות שיווק ופרסום EMEA</v>
          </cell>
        </row>
        <row r="433">
          <cell r="C433">
            <v>7020037</v>
          </cell>
          <cell r="D433" t="str">
            <v>Event &amp; Field Marketing</v>
          </cell>
        </row>
        <row r="434">
          <cell r="C434">
            <v>7010010</v>
          </cell>
          <cell r="D434" t="str">
            <v>השמה עובדים ועובדים זמניים-שיווק</v>
          </cell>
        </row>
        <row r="435">
          <cell r="C435"/>
        </row>
        <row r="436">
          <cell r="C436"/>
        </row>
        <row r="437">
          <cell r="C437"/>
        </row>
        <row r="438">
          <cell r="C438"/>
          <cell r="D438" t="str">
            <v>Depreciation</v>
          </cell>
        </row>
        <row r="439">
          <cell r="C439"/>
        </row>
        <row r="440">
          <cell r="C440"/>
        </row>
        <row r="441">
          <cell r="C441"/>
        </row>
        <row r="442">
          <cell r="C442"/>
          <cell r="D442" t="str">
            <v>Sales expenses</v>
          </cell>
        </row>
        <row r="443">
          <cell r="C443"/>
          <cell r="D443" t="str">
            <v>שכר</v>
          </cell>
        </row>
        <row r="444">
          <cell r="C444">
            <v>7110001</v>
          </cell>
          <cell r="D444" t="str">
            <v>Gross Salary - Sales</v>
          </cell>
        </row>
        <row r="445">
          <cell r="C445">
            <v>7110002</v>
          </cell>
          <cell r="D445" t="str">
            <v>MBO - Sales</v>
          </cell>
        </row>
        <row r="446">
          <cell r="C446">
            <v>7110003</v>
          </cell>
          <cell r="D446" t="str">
            <v>Commission - Sales from provision only</v>
          </cell>
        </row>
        <row r="447">
          <cell r="C447">
            <v>7110013</v>
          </cell>
          <cell r="D447" t="str">
            <v>Social security from provision only</v>
          </cell>
        </row>
        <row r="448">
          <cell r="C448">
            <v>7110004</v>
          </cell>
          <cell r="D448" t="str">
            <v>Commission Sales</v>
          </cell>
        </row>
        <row r="449">
          <cell r="C449">
            <v>7110030</v>
          </cell>
          <cell r="D449" t="str">
            <v>Recruiting Sales</v>
          </cell>
        </row>
        <row r="450">
          <cell r="C450">
            <v>7110050</v>
          </cell>
          <cell r="D450" t="str">
            <v>Consulting - Mikkel Børve</v>
          </cell>
        </row>
        <row r="451">
          <cell r="C451">
            <v>7110051</v>
          </cell>
          <cell r="D451" t="str">
            <v>MBO - Mikkel Børve</v>
          </cell>
        </row>
        <row r="452">
          <cell r="C452">
            <v>7110052</v>
          </cell>
          <cell r="D452" t="str">
            <v>Commission - Mikkel Børve</v>
          </cell>
        </row>
        <row r="453">
          <cell r="C453">
            <v>7140001</v>
          </cell>
          <cell r="D453" t="str">
            <v>Gross Salary - SE</v>
          </cell>
        </row>
        <row r="454">
          <cell r="C454">
            <v>7140002</v>
          </cell>
          <cell r="D454" t="str">
            <v>MBO - SE</v>
          </cell>
        </row>
        <row r="455">
          <cell r="C455">
            <v>7140003</v>
          </cell>
          <cell r="D455" t="str">
            <v>Other Bonus SE</v>
          </cell>
        </row>
        <row r="456">
          <cell r="C456">
            <v>7140004</v>
          </cell>
          <cell r="D456" t="str">
            <v>Commissions SE</v>
          </cell>
        </row>
        <row r="457">
          <cell r="C457">
            <v>7140032</v>
          </cell>
          <cell r="D457" t="str">
            <v>Consulting - Secure Vibes, Jan Bart</v>
          </cell>
        </row>
        <row r="458">
          <cell r="C458">
            <v>7140033</v>
          </cell>
          <cell r="D458" t="str">
            <v>Commission - Secure Vibes, Jan Bart</v>
          </cell>
        </row>
        <row r="459">
          <cell r="C459">
            <v>7140034</v>
          </cell>
          <cell r="D459" t="str">
            <v>בונוס Secure Vibes-Jan Bart MBO</v>
          </cell>
        </row>
        <row r="460">
          <cell r="C460">
            <v>7110005</v>
          </cell>
          <cell r="D460" t="str">
            <v>שכר אירופה מכירות-בונוס Other</v>
          </cell>
        </row>
        <row r="461">
          <cell r="C461">
            <v>7110042</v>
          </cell>
          <cell r="D461" t="str">
            <v>יעוץ Fabio Tessera</v>
          </cell>
        </row>
        <row r="462">
          <cell r="C462">
            <v>7110045</v>
          </cell>
          <cell r="D462" t="str">
            <v>יעוץ Payrollplus</v>
          </cell>
        </row>
        <row r="463">
          <cell r="C463">
            <v>7110046</v>
          </cell>
          <cell r="D463" t="str">
            <v>עמלות Payrollplus</v>
          </cell>
        </row>
        <row r="464">
          <cell r="C464">
            <v>7140042</v>
          </cell>
          <cell r="D464" t="str">
            <v>השמה SE</v>
          </cell>
        </row>
        <row r="465">
          <cell r="C465"/>
        </row>
        <row r="466">
          <cell r="C466">
            <v>7110006</v>
          </cell>
          <cell r="D466" t="str">
            <v>תשלום מבוסס מניות מכירות</v>
          </cell>
        </row>
        <row r="467">
          <cell r="C467"/>
        </row>
        <row r="468">
          <cell r="C468">
            <v>7110077</v>
          </cell>
          <cell r="D468" t="str">
            <v>Comm 606 - 2021</v>
          </cell>
        </row>
        <row r="469">
          <cell r="C469">
            <v>7110066</v>
          </cell>
          <cell r="D469" t="str">
            <v>Comm 606 - 2020</v>
          </cell>
        </row>
        <row r="470">
          <cell r="C470">
            <v>7110055</v>
          </cell>
          <cell r="D470" t="str">
            <v>Comm 606 - 2019</v>
          </cell>
        </row>
        <row r="471">
          <cell r="C471">
            <v>7110044</v>
          </cell>
          <cell r="D471" t="str">
            <v>Comm 606</v>
          </cell>
        </row>
        <row r="472">
          <cell r="C472"/>
        </row>
        <row r="473">
          <cell r="C473"/>
          <cell r="D473" t="str">
            <v>ישירות</v>
          </cell>
        </row>
        <row r="474">
          <cell r="C474">
            <v>7120013</v>
          </cell>
          <cell r="D474" t="str">
            <v>Training exp. EMEA (Trasys)</v>
          </cell>
        </row>
        <row r="475">
          <cell r="C475">
            <v>7120030</v>
          </cell>
          <cell r="D475" t="str">
            <v>החזר הוצאות Nicklas Kolni</v>
          </cell>
        </row>
        <row r="476">
          <cell r="C476">
            <v>7120022</v>
          </cell>
          <cell r="D476" t="str">
            <v>Employees exp. UK</v>
          </cell>
        </row>
        <row r="477">
          <cell r="C477">
            <v>7120026</v>
          </cell>
          <cell r="D477" t="str">
            <v>הוצאות עובדים גרמניה וצרפת מכירות</v>
          </cell>
        </row>
        <row r="478">
          <cell r="C478">
            <v>7120032</v>
          </cell>
          <cell r="D478" t="str">
            <v>Exp. return Mikkel Børve</v>
          </cell>
        </row>
        <row r="479">
          <cell r="C479">
            <v>7120033</v>
          </cell>
          <cell r="D479" t="str">
            <v>החזר הוצאות Joachim Malmquist</v>
          </cell>
        </row>
        <row r="480">
          <cell r="C480">
            <v>7120040</v>
          </cell>
          <cell r="D480" t="str">
            <v>Sales Commision to Vendors</v>
          </cell>
        </row>
        <row r="481">
          <cell r="C481">
            <v>7120074</v>
          </cell>
          <cell r="D481" t="str">
            <v>Exp. return Secure Vibes-Jan Bart</v>
          </cell>
        </row>
        <row r="482">
          <cell r="C482"/>
        </row>
        <row r="483">
          <cell r="C483">
            <v>7159999</v>
          </cell>
          <cell r="D483" t="str">
            <v>העמסות הנה"ב על ממח' מכירות  SE</v>
          </cell>
        </row>
        <row r="484">
          <cell r="C484">
            <v>7129999</v>
          </cell>
          <cell r="D484" t="str">
            <v xml:space="preserve">העמסות הנה"ב על ממח' מכירות </v>
          </cell>
        </row>
        <row r="485">
          <cell r="C485"/>
        </row>
        <row r="490">
          <cell r="D490" t="str">
            <v>Total Sales and Marketing</v>
          </cell>
        </row>
        <row r="492">
          <cell r="D492" t="str">
            <v>Taxes</v>
          </cell>
        </row>
        <row r="493">
          <cell r="C493">
            <v>9100001</v>
          </cell>
          <cell r="D493" t="str">
            <v>Tax on Income</v>
          </cell>
        </row>
        <row r="494">
          <cell r="C494">
            <v>9100003</v>
          </cell>
          <cell r="D494" t="str">
            <v xml:space="preserve">deferred tax </v>
          </cell>
        </row>
        <row r="495">
          <cell r="C495">
            <v>9100007</v>
          </cell>
          <cell r="D495" t="str">
            <v>Tax exp. Due WHT deduction</v>
          </cell>
        </row>
        <row r="496">
          <cell r="C496">
            <v>9100004</v>
          </cell>
          <cell r="D496" t="str">
            <v>הוצ' (הכנסות) מס שנים קודמות</v>
          </cell>
        </row>
        <row r="497">
          <cell r="C497"/>
        </row>
        <row r="498">
          <cell r="D498" t="str">
            <v>סה"כ הוצאות מס</v>
          </cell>
        </row>
        <row r="500">
          <cell r="C500"/>
          <cell r="D500" t="str">
            <v>Financial Expenses</v>
          </cell>
        </row>
        <row r="502">
          <cell r="C502">
            <v>9010001</v>
          </cell>
          <cell r="D502" t="str">
            <v>Bank Charges</v>
          </cell>
        </row>
        <row r="503">
          <cell r="C503" t="str">
            <v>9010002-1</v>
          </cell>
          <cell r="D503" t="str">
            <v>Exchange Rate previous year</v>
          </cell>
        </row>
        <row r="504">
          <cell r="C504">
            <v>9010002</v>
          </cell>
          <cell r="D504" t="str">
            <v>Exchange Rate</v>
          </cell>
        </row>
        <row r="505">
          <cell r="C505"/>
        </row>
        <row r="506">
          <cell r="D506" t="str">
            <v>סה"כ הוצ' מימון</v>
          </cell>
        </row>
        <row r="507">
          <cell r="C507"/>
        </row>
        <row r="508">
          <cell r="C508"/>
        </row>
        <row r="509">
          <cell r="C509"/>
          <cell r="D509" t="str">
            <v>ספ' ביקורת</v>
          </cell>
        </row>
        <row r="510">
          <cell r="C510"/>
        </row>
        <row r="512">
          <cell r="C512"/>
        </row>
        <row r="513">
          <cell r="C513"/>
          <cell r="D513" t="str">
            <v>Total P&amp;L</v>
          </cell>
        </row>
        <row r="514">
          <cell r="C514"/>
        </row>
        <row r="515">
          <cell r="C515"/>
        </row>
        <row r="516">
          <cell r="C516"/>
          <cell r="D516" t="str">
            <v>Income</v>
          </cell>
        </row>
        <row r="517">
          <cell r="C517"/>
          <cell r="D517" t="str">
            <v>Cogs</v>
          </cell>
        </row>
        <row r="518">
          <cell r="C518"/>
          <cell r="D518" t="str">
            <v xml:space="preserve">Intercompany </v>
          </cell>
        </row>
        <row r="519">
          <cell r="C519"/>
          <cell r="D519" t="str">
            <v>G&amp;A</v>
          </cell>
        </row>
        <row r="520">
          <cell r="C520"/>
          <cell r="D520" t="str">
            <v>Marketing and Sales</v>
          </cell>
        </row>
        <row r="521">
          <cell r="C521"/>
          <cell r="D521" t="str">
            <v>Tax</v>
          </cell>
        </row>
        <row r="522">
          <cell r="C522"/>
          <cell r="D522" t="str">
            <v>Bank charges</v>
          </cell>
        </row>
        <row r="523">
          <cell r="C523"/>
          <cell r="D523" t="str">
            <v xml:space="preserve">Exchange rates gains </v>
          </cell>
        </row>
        <row r="524">
          <cell r="C524"/>
        </row>
        <row r="525">
          <cell r="C525"/>
          <cell r="D525" t="str">
            <v>Total P&amp;L</v>
          </cell>
        </row>
        <row r="526">
          <cell r="C526"/>
        </row>
        <row r="527">
          <cell r="C527"/>
          <cell r="D527" t="str">
            <v>Total P&amp;L</v>
          </cell>
        </row>
        <row r="528">
          <cell r="C528"/>
          <cell r="D528" t="str">
            <v>Tax</v>
          </cell>
        </row>
        <row r="529">
          <cell r="C529"/>
          <cell r="D529" t="str">
            <v xml:space="preserve">Exchange rates gains </v>
          </cell>
        </row>
        <row r="530">
          <cell r="C530"/>
        </row>
        <row r="531">
          <cell r="C531"/>
          <cell r="D531" t="str">
            <v>Total P&amp;L not including options,  tax and exchange rates</v>
          </cell>
        </row>
        <row r="532">
          <cell r="C532"/>
        </row>
        <row r="533">
          <cell r="C533"/>
        </row>
        <row r="534">
          <cell r="C534"/>
        </row>
        <row r="535">
          <cell r="C535"/>
        </row>
        <row r="536">
          <cell r="C536"/>
        </row>
        <row r="537">
          <cell r="C537"/>
        </row>
        <row r="538">
          <cell r="C538"/>
        </row>
        <row r="539">
          <cell r="C539"/>
        </row>
        <row r="540">
          <cell r="C540"/>
        </row>
        <row r="541">
          <cell r="C541"/>
        </row>
        <row r="542">
          <cell r="C542"/>
        </row>
        <row r="543">
          <cell r="C543"/>
        </row>
        <row r="544">
          <cell r="C544"/>
        </row>
        <row r="545">
          <cell r="C545"/>
        </row>
        <row r="546">
          <cell r="C546"/>
        </row>
        <row r="547">
          <cell r="C547"/>
        </row>
        <row r="548">
          <cell r="C548"/>
        </row>
        <row r="549">
          <cell r="C549"/>
        </row>
        <row r="550">
          <cell r="C550"/>
        </row>
        <row r="551">
          <cell r="C551"/>
        </row>
        <row r="552">
          <cell r="C552"/>
        </row>
        <row r="553">
          <cell r="C553"/>
        </row>
        <row r="554">
          <cell r="C554"/>
        </row>
        <row r="555">
          <cell r="C555"/>
        </row>
        <row r="556">
          <cell r="C556"/>
        </row>
        <row r="557">
          <cell r="C557"/>
        </row>
        <row r="558">
          <cell r="C558"/>
        </row>
        <row r="559">
          <cell r="C559"/>
        </row>
        <row r="560">
          <cell r="C560"/>
        </row>
        <row r="561">
          <cell r="C561"/>
        </row>
        <row r="562">
          <cell r="C562"/>
        </row>
        <row r="563">
          <cell r="C563"/>
        </row>
        <row r="564">
          <cell r="C564"/>
        </row>
        <row r="565">
          <cell r="C565"/>
        </row>
        <row r="566">
          <cell r="C566"/>
        </row>
        <row r="567">
          <cell r="C567"/>
        </row>
        <row r="568">
          <cell r="C568"/>
        </row>
        <row r="569">
          <cell r="C569"/>
        </row>
        <row r="570">
          <cell r="C570"/>
        </row>
        <row r="571">
          <cell r="C571"/>
        </row>
        <row r="572">
          <cell r="C572"/>
        </row>
        <row r="573">
          <cell r="C573"/>
        </row>
        <row r="574">
          <cell r="C574"/>
        </row>
        <row r="575">
          <cell r="C575"/>
        </row>
        <row r="576">
          <cell r="C576"/>
        </row>
        <row r="577">
          <cell r="C577"/>
        </row>
        <row r="578">
          <cell r="C578"/>
        </row>
        <row r="579">
          <cell r="C579"/>
        </row>
        <row r="580">
          <cell r="C580"/>
        </row>
        <row r="581">
          <cell r="C581"/>
        </row>
        <row r="582">
          <cell r="C582"/>
        </row>
        <row r="583">
          <cell r="C583"/>
        </row>
        <row r="584">
          <cell r="C584"/>
        </row>
        <row r="585">
          <cell r="C585"/>
        </row>
        <row r="586">
          <cell r="C586"/>
        </row>
        <row r="587">
          <cell r="C587"/>
        </row>
        <row r="588">
          <cell r="C588"/>
        </row>
        <row r="589">
          <cell r="C589"/>
        </row>
        <row r="590">
          <cell r="C590"/>
        </row>
        <row r="591">
          <cell r="C591"/>
        </row>
        <row r="592">
          <cell r="C592"/>
        </row>
        <row r="593">
          <cell r="C593"/>
        </row>
        <row r="594">
          <cell r="C594"/>
        </row>
        <row r="595">
          <cell r="C595"/>
        </row>
        <row r="596">
          <cell r="C596"/>
        </row>
        <row r="597">
          <cell r="C597"/>
        </row>
        <row r="598">
          <cell r="C598"/>
        </row>
        <row r="599">
          <cell r="C599"/>
        </row>
        <row r="600">
          <cell r="C600"/>
        </row>
        <row r="601">
          <cell r="C601"/>
        </row>
        <row r="602">
          <cell r="C602"/>
        </row>
        <row r="603">
          <cell r="C603"/>
        </row>
        <row r="604">
          <cell r="C604"/>
        </row>
        <row r="605">
          <cell r="C605"/>
        </row>
        <row r="606">
          <cell r="C606"/>
        </row>
        <row r="607">
          <cell r="C607"/>
        </row>
        <row r="608">
          <cell r="C608"/>
        </row>
        <row r="609">
          <cell r="C609"/>
        </row>
        <row r="610">
          <cell r="C610"/>
        </row>
        <row r="611">
          <cell r="C611"/>
        </row>
        <row r="612">
          <cell r="C612"/>
        </row>
        <row r="613">
          <cell r="C613"/>
        </row>
        <row r="614">
          <cell r="C614"/>
        </row>
        <row r="615">
          <cell r="C615"/>
        </row>
        <row r="616">
          <cell r="C616"/>
        </row>
        <row r="617">
          <cell r="C617"/>
        </row>
        <row r="618">
          <cell r="C618"/>
        </row>
        <row r="619">
          <cell r="C619"/>
        </row>
        <row r="620">
          <cell r="C620"/>
        </row>
        <row r="621">
          <cell r="C621"/>
        </row>
        <row r="622">
          <cell r="C622"/>
        </row>
        <row r="623">
          <cell r="C623"/>
        </row>
        <row r="624">
          <cell r="C624"/>
        </row>
        <row r="625">
          <cell r="C625"/>
        </row>
        <row r="626">
          <cell r="C626"/>
        </row>
        <row r="627">
          <cell r="C627"/>
        </row>
        <row r="628">
          <cell r="C628"/>
        </row>
        <row r="629">
          <cell r="C629"/>
        </row>
        <row r="630">
          <cell r="C630"/>
        </row>
        <row r="631">
          <cell r="C631"/>
        </row>
        <row r="632">
          <cell r="C632"/>
        </row>
        <row r="633">
          <cell r="C633"/>
        </row>
        <row r="634">
          <cell r="C634"/>
        </row>
        <row r="635">
          <cell r="C635"/>
        </row>
        <row r="636">
          <cell r="C636"/>
        </row>
        <row r="637">
          <cell r="C637"/>
        </row>
        <row r="638">
          <cell r="C638"/>
        </row>
        <row r="639">
          <cell r="C639"/>
        </row>
        <row r="640">
          <cell r="C640"/>
        </row>
        <row r="641">
          <cell r="C641"/>
        </row>
        <row r="642">
          <cell r="C642"/>
        </row>
        <row r="643">
          <cell r="C643"/>
        </row>
        <row r="644">
          <cell r="C644"/>
        </row>
        <row r="645">
          <cell r="C645"/>
        </row>
        <row r="646">
          <cell r="C646"/>
        </row>
        <row r="647">
          <cell r="C647"/>
        </row>
        <row r="648">
          <cell r="C648"/>
        </row>
        <row r="649">
          <cell r="C649"/>
        </row>
        <row r="650">
          <cell r="C650"/>
        </row>
        <row r="651">
          <cell r="C651"/>
        </row>
        <row r="652">
          <cell r="C652"/>
        </row>
        <row r="653">
          <cell r="C653"/>
        </row>
        <row r="654">
          <cell r="C654"/>
        </row>
        <row r="655">
          <cell r="C655"/>
        </row>
        <row r="656">
          <cell r="C656"/>
        </row>
        <row r="657">
          <cell r="C657"/>
        </row>
        <row r="658">
          <cell r="C658"/>
        </row>
        <row r="659">
          <cell r="C659"/>
        </row>
        <row r="660">
          <cell r="C660"/>
        </row>
        <row r="661">
          <cell r="C661"/>
        </row>
        <row r="662">
          <cell r="C662"/>
        </row>
        <row r="663">
          <cell r="C663"/>
        </row>
        <row r="664">
          <cell r="C664"/>
        </row>
        <row r="665">
          <cell r="C665"/>
        </row>
        <row r="666">
          <cell r="C666"/>
        </row>
        <row r="667">
          <cell r="C667"/>
        </row>
        <row r="668">
          <cell r="C668"/>
        </row>
        <row r="669">
          <cell r="C669"/>
        </row>
        <row r="670">
          <cell r="C670"/>
        </row>
        <row r="671">
          <cell r="C671"/>
        </row>
        <row r="672">
          <cell r="C672"/>
        </row>
        <row r="673">
          <cell r="C673"/>
        </row>
        <row r="674">
          <cell r="C674"/>
        </row>
        <row r="675">
          <cell r="C675"/>
        </row>
        <row r="676">
          <cell r="C676"/>
        </row>
        <row r="677">
          <cell r="C677"/>
        </row>
        <row r="678">
          <cell r="C678"/>
        </row>
        <row r="679">
          <cell r="C679"/>
        </row>
        <row r="680">
          <cell r="C680"/>
        </row>
        <row r="681">
          <cell r="C681"/>
        </row>
        <row r="682">
          <cell r="C682"/>
        </row>
        <row r="683">
          <cell r="C683"/>
        </row>
        <row r="684">
          <cell r="C684"/>
        </row>
        <row r="685">
          <cell r="C685"/>
        </row>
        <row r="686">
          <cell r="C686"/>
        </row>
        <row r="687">
          <cell r="C687"/>
        </row>
        <row r="688">
          <cell r="C688"/>
        </row>
        <row r="689">
          <cell r="C689"/>
        </row>
        <row r="690">
          <cell r="C690"/>
        </row>
        <row r="691">
          <cell r="C691"/>
        </row>
        <row r="692">
          <cell r="C692"/>
        </row>
        <row r="693">
          <cell r="C693"/>
        </row>
        <row r="694">
          <cell r="C694"/>
        </row>
      </sheetData>
      <sheetData sheetId="17"/>
      <sheetData sheetId="18"/>
      <sheetData sheetId="19"/>
      <sheetData sheetId="20"/>
      <sheetData sheetId="21"/>
      <sheetData sheetId="22"/>
      <sheetData sheetId="23"/>
      <sheetData sheetId="24"/>
      <sheetData sheetId="25"/>
      <sheetData sheetId="26"/>
      <sheetData sheetId="27">
        <row r="761">
          <cell r="C761">
            <v>7111021</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1-12.2021"/>
      <sheetName val="1130002"/>
    </sheetNames>
    <sheetDataSet>
      <sheetData sheetId="0">
        <row r="5">
          <cell r="B5">
            <v>12350255.520000001</v>
          </cell>
          <cell r="C5">
            <v>17017814.729999986</v>
          </cell>
        </row>
      </sheetData>
      <sheetData sheetId="1" refreshError="1"/>
      <sheetData sheetId="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3581 EUR"/>
      <sheetName val="53581 "/>
      <sheetName val="53580 GBP"/>
      <sheetName val="Subscription pricing"/>
      <sheetName val="MAERSK"/>
      <sheetName val="subscr only 09"/>
      <sheetName val="SF SUBSCR ONLY"/>
      <sheetName val="pricing From October 2018"/>
      <sheetName val="ALL (LEGACY)"/>
      <sheetName val="ALL"/>
      <sheetName val="ST-LT"/>
      <sheetName val="פקודה לפריו 53580 "/>
      <sheetName val="פקודה לפריו 53581"/>
    </sheetNames>
    <sheetDataSet>
      <sheetData sheetId="0"/>
      <sheetData sheetId="1"/>
      <sheetData sheetId="2"/>
      <sheetData sheetId="3"/>
      <sheetData sheetId="4"/>
      <sheetData sheetId="5"/>
      <sheetData sheetId="6"/>
      <sheetData sheetId="7"/>
      <sheetData sheetId="8">
        <row r="119">
          <cell r="H119">
            <v>6626.8070833333331</v>
          </cell>
          <cell r="T119">
            <v>89345.588757530262</v>
          </cell>
          <cell r="U119">
            <v>88985.089203958836</v>
          </cell>
          <cell r="V119">
            <v>88307.212924196923</v>
          </cell>
          <cell r="W119">
            <v>85398.977257530278</v>
          </cell>
          <cell r="X119">
            <v>83240.947305917362</v>
          </cell>
          <cell r="Y119">
            <v>82875.993757530261</v>
          </cell>
          <cell r="Z119">
            <v>82829.659080110912</v>
          </cell>
          <cell r="AA119">
            <v>81394.180585487251</v>
          </cell>
          <cell r="AB119">
            <v>78061.786313085831</v>
          </cell>
          <cell r="AC119">
            <v>75291.575370433493</v>
          </cell>
          <cell r="AD119">
            <v>74941.952090863604</v>
          </cell>
          <cell r="AE119">
            <v>74941.952090863604</v>
          </cell>
        </row>
      </sheetData>
      <sheetData sheetId="9">
        <row r="17">
          <cell r="U17">
            <v>-237.8542510121456</v>
          </cell>
        </row>
      </sheetData>
      <sheetData sheetId="10"/>
      <sheetData sheetId="11"/>
      <sheetData sheetId="12"/>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53510 2016 2017 "/>
      <sheetName val="pivot 2017 2016 53550"/>
      <sheetName val="pivot53550 פתוחים"/>
      <sheetName val="53510 pivot"/>
      <sheetName val="53510 ledger usd"/>
      <sheetName val="subscr only detailed 2018 "/>
      <sheetName val="all +ter"/>
      <sheetName val="Subscription pricing"/>
      <sheetName val="pivot 53550 2018 "/>
      <sheetName val="all legacy"/>
      <sheetName val="all"/>
      <sheetName val="2019 ספרים"/>
      <sheetName val="53550"/>
      <sheetName val="pivot GBP"/>
      <sheetName val="53510 1-7 2018 GBP"/>
      <sheetName val="PIVOT EURO cr"/>
      <sheetName val="53550 1-7.2018 euro"/>
      <sheetName val="pivot 20.09.18"/>
      <sheetName val="53510 20.09.18"/>
      <sheetName val="53510 PIVOT cr"/>
      <sheetName val="53510 USD"/>
      <sheetName val="pivot 53550 20.09.18"/>
      <sheetName val="53550 20.09.18"/>
      <sheetName val="53550 PIVOT cr"/>
      <sheetName val="53550 USD "/>
      <sheetName val="Sheet1"/>
      <sheetName val="SUBSCR NEW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70">
          <cell r="AX70">
            <v>1364152.0488872887</v>
          </cell>
        </row>
        <row r="148">
          <cell r="AX148">
            <v>474487.70281362021</v>
          </cell>
        </row>
        <row r="416">
          <cell r="H416">
            <v>65554.578000000009</v>
          </cell>
        </row>
      </sheetData>
      <sheetData sheetId="10" refreshError="1"/>
      <sheetData sheetId="11">
        <row r="7">
          <cell r="D7">
            <v>11552.21584461153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0153 2020 Q1"/>
      <sheetName val="80153 2019"/>
      <sheetName val="priority"/>
      <sheetName val="res eng INC"/>
      <sheetName val="RES ENG EUROPE"/>
      <sheetName val="Res ENG AU "/>
      <sheetName val="invoices 4Q 21 "/>
      <sheetName val="53513 INC "/>
      <sheetName val="53513 inc BEFORE"/>
      <sheetName val="update for Q4 2021 "/>
      <sheetName val="All Time - Only RE Projects"/>
      <sheetName val="All Time - Only RE Projects Q2"/>
      <sheetName val="All Time - Only RE Projects Q3"/>
    </sheetNames>
    <sheetDataSet>
      <sheetData sheetId="0" refreshError="1"/>
      <sheetData sheetId="1" refreshError="1"/>
      <sheetData sheetId="2">
        <row r="43">
          <cell r="E43">
            <v>40000</v>
          </cell>
        </row>
        <row r="47">
          <cell r="E47">
            <v>18750</v>
          </cell>
        </row>
        <row r="50">
          <cell r="E50">
            <v>26000.000000000007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0060 USD"/>
      <sheetName val="80060 AUD"/>
      <sheetName val="AU420600088 תיקון"/>
      <sheetName val="פקודת תיקון 2021 2022"/>
      <sheetName val="AU420600088"/>
      <sheetName val="true up2Y"/>
      <sheetName val="maint 2020"/>
    </sheetNames>
    <sheetDataSet>
      <sheetData sheetId="0"/>
      <sheetData sheetId="1"/>
      <sheetData sheetId="2">
        <row r="30">
          <cell r="R30">
            <v>-41274.903614457842</v>
          </cell>
        </row>
      </sheetData>
      <sheetData sheetId="3">
        <row r="3">
          <cell r="N3">
            <v>-31096.07752786795</v>
          </cell>
        </row>
        <row r="4">
          <cell r="N4">
            <v>-31096.07752786795</v>
          </cell>
        </row>
        <row r="5">
          <cell r="N5">
            <v>-31096.07752786795</v>
          </cell>
        </row>
        <row r="6">
          <cell r="N6">
            <v>-31096.07752786795</v>
          </cell>
        </row>
        <row r="7">
          <cell r="N7">
            <v>-31096.07752786795</v>
          </cell>
        </row>
        <row r="8">
          <cell r="N8">
            <v>-31096.07752786795</v>
          </cell>
        </row>
        <row r="9">
          <cell r="N9">
            <v>-31096.07752786795</v>
          </cell>
        </row>
        <row r="10">
          <cell r="N10">
            <v>-31096.07752786795</v>
          </cell>
        </row>
        <row r="11">
          <cell r="N11">
            <v>-31096.07752786795</v>
          </cell>
        </row>
        <row r="12">
          <cell r="N12">
            <v>-31096.07752786795</v>
          </cell>
        </row>
        <row r="13">
          <cell r="N13">
            <v>-31096.07752786795</v>
          </cell>
        </row>
        <row r="14">
          <cell r="N14">
            <v>9145.8840263844468</v>
          </cell>
        </row>
      </sheetData>
      <sheetData sheetId="4"/>
      <sheetData sheetId="5"/>
      <sheetData sheetId="6"/>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REPORT 2018 "/>
      <sheetName val="LT REPORT 2019"/>
      <sheetName val="LT Dec 2020 "/>
      <sheetName val="pivot Q1 21"/>
      <sheetName val="March 21"/>
      <sheetName val="all"/>
      <sheetName val="other Method "/>
      <sheetName val="Method 3"/>
      <sheetName val="LT REPORT 18042021"/>
      <sheetName val="Sheet1"/>
    </sheetNames>
    <sheetDataSet>
      <sheetData sheetId="0"/>
      <sheetData sheetId="1"/>
      <sheetData sheetId="2"/>
      <sheetData sheetId="3">
        <row r="10">
          <cell r="K10">
            <v>-58337.580000000031</v>
          </cell>
        </row>
      </sheetData>
      <sheetData sheetId="4"/>
      <sheetData sheetId="5"/>
      <sheetData sheetId="6"/>
      <sheetData sheetId="7"/>
      <sheetData sheetId="8"/>
      <sheetData sheetId="9"/>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REPORT 2018 "/>
      <sheetName val="LT REPORT 2019"/>
      <sheetName val="LT Dec 2020 "/>
      <sheetName val="pivot Q1 21"/>
      <sheetName val="March 21"/>
      <sheetName val="pivot Q2 21 "/>
      <sheetName val="LT June 21"/>
      <sheetName val="all"/>
      <sheetName val="other Method "/>
      <sheetName val="Method 3"/>
      <sheetName val="LT REPORT 18042021"/>
      <sheetName val="Sheet1"/>
    </sheetNames>
    <sheetDataSet>
      <sheetData sheetId="0" refreshError="1"/>
      <sheetData sheetId="1" refreshError="1"/>
      <sheetData sheetId="2" refreshError="1"/>
      <sheetData sheetId="3" refreshError="1"/>
      <sheetData sheetId="4" refreshError="1"/>
      <sheetData sheetId="5">
        <row r="4">
          <cell r="K4">
            <v>-8704.0523999999914</v>
          </cell>
        </row>
        <row r="6">
          <cell r="K6">
            <v>8704.0523999999914</v>
          </cell>
        </row>
        <row r="10">
          <cell r="K10">
            <v>-4420.9777599999879</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פקודה לפריו "/>
      <sheetName val="53580 53581 PRIO"/>
      <sheetName val="subscr only 01-12"/>
      <sheetName val="pricing From October 2018"/>
      <sheetName val="NAB"/>
      <sheetName val="ALL (legacy)"/>
      <sheetName val="ALL"/>
      <sheetName val="ST-L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5">
          <cell r="B15" t="str">
            <v>SMB</v>
          </cell>
        </row>
        <row r="17">
          <cell r="AN17">
            <v>18501.884048796626</v>
          </cell>
          <cell r="AO17">
            <v>18501.884048796626</v>
          </cell>
          <cell r="AP17">
            <v>18501.884048796626</v>
          </cell>
          <cell r="AQ17">
            <v>18501.884048796626</v>
          </cell>
          <cell r="AR17">
            <v>18501.884048796626</v>
          </cell>
          <cell r="AS17">
            <v>18501.884048796626</v>
          </cell>
          <cell r="AT17">
            <v>18501.884048796626</v>
          </cell>
          <cell r="AU17">
            <v>18501.884048796626</v>
          </cell>
          <cell r="AV17">
            <v>18501.884048796626</v>
          </cell>
          <cell r="AW17">
            <v>18501.884048796626</v>
          </cell>
          <cell r="AX17">
            <v>18501.884048796626</v>
          </cell>
          <cell r="AY17">
            <v>18501.884048796626</v>
          </cell>
        </row>
      </sheetData>
      <sheetData sheetId="8"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 1-12.2018 subscr + TER"/>
      <sheetName val="PIVOT 53510 2018 2 CURR"/>
      <sheetName val="53510 2018 (2 CURR)"/>
      <sheetName val="53550 2018 (2 CURR)"/>
      <sheetName val="Subscription pricing"/>
      <sheetName val="subscr only detailed 2018 "/>
      <sheetName val="AUD 1-12.2018 subscr  (legacy)"/>
      <sheetName val="AUD 1-12.2018 subscr "/>
      <sheetName val="ספרים 2019"/>
      <sheetName val="pivot 20.09.18"/>
      <sheetName val="53510 200918"/>
      <sheetName val="pivot"/>
      <sheetName val="1-7.2018 53510 aud"/>
      <sheetName val="AUD 1-9.2018 subscr"/>
    </sheetNames>
    <sheetDataSet>
      <sheetData sheetId="0"/>
      <sheetData sheetId="1"/>
      <sheetData sheetId="2"/>
      <sheetData sheetId="3"/>
      <sheetData sheetId="4"/>
      <sheetData sheetId="5"/>
      <sheetData sheetId="6"/>
      <sheetData sheetId="7">
        <row r="29">
          <cell r="AQ29">
            <v>2156.3022619047624</v>
          </cell>
        </row>
      </sheetData>
      <sheetData sheetId="8">
        <row r="28">
          <cell r="J28">
            <v>2156.3022619047624</v>
          </cell>
        </row>
        <row r="32">
          <cell r="J32">
            <v>2156.3022619047624</v>
          </cell>
        </row>
        <row r="33">
          <cell r="J33">
            <v>2156.3022619047624</v>
          </cell>
        </row>
        <row r="34">
          <cell r="J34">
            <v>2156.3022619047624</v>
          </cell>
        </row>
        <row r="35">
          <cell r="J35">
            <v>2156.3022619047624</v>
          </cell>
        </row>
        <row r="36">
          <cell r="J36">
            <v>619.83880952380969</v>
          </cell>
        </row>
        <row r="37">
          <cell r="J37">
            <v>619.83880952380969</v>
          </cell>
        </row>
        <row r="38">
          <cell r="J38">
            <v>619.83880952380969</v>
          </cell>
        </row>
        <row r="39">
          <cell r="J39">
            <v>619.83880952380969</v>
          </cell>
        </row>
        <row r="40">
          <cell r="J40">
            <v>557.85492857142867</v>
          </cell>
        </row>
      </sheetData>
      <sheetData sheetId="9"/>
      <sheetData sheetId="10"/>
      <sheetData sheetId="11"/>
      <sheetData sheetId="12"/>
      <sheetData sheetId="13"/>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pivot"/>
      <sheetName val="1000013 AUD"/>
      <sheetName val="1130005"/>
      <sheetName val="1130005 usd"/>
    </sheetNames>
    <sheetDataSet>
      <sheetData sheetId="0">
        <row r="3">
          <cell r="B3">
            <v>6844547.0799999991</v>
          </cell>
          <cell r="C3">
            <v>9099311.4199999999</v>
          </cell>
        </row>
      </sheetData>
      <sheetData sheetId="1"/>
      <sheetData sheetId="2"/>
      <sheetData sheetId="3"/>
      <sheetData sheetId="4"/>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0 Tax Summary"/>
      <sheetName val="Balance Sheet"/>
      <sheetName val="Profit &amp; Loss"/>
    </sheetNames>
    <sheetDataSet>
      <sheetData sheetId="0">
        <row r="17">
          <cell r="C17">
            <v>4648.54</v>
          </cell>
        </row>
        <row r="18">
          <cell r="C18">
            <v>5110</v>
          </cell>
        </row>
      </sheetData>
      <sheetData sheetId="1" refreshError="1"/>
      <sheetData sheetId="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D מיסים שוטפים 2015"/>
      <sheetName val="מסים נדחים LTD"/>
      <sheetName val="מופ מוכר"/>
      <sheetName val="הכנסות נדחות-פריסה"/>
      <sheetName val="Deferred Rev per tax"/>
      <sheetName val="מסים נדחים INC"/>
      <sheetName val="UK "/>
    </sheetNames>
    <sheetDataSet>
      <sheetData sheetId="0" refreshError="1"/>
      <sheetData sheetId="1" refreshError="1"/>
      <sheetData sheetId="2" refreshError="1"/>
      <sheetData sheetId="3" refreshError="1"/>
      <sheetData sheetId="4" refreshError="1"/>
      <sheetData sheetId="5">
        <row r="14">
          <cell r="C14">
            <v>45550.342413352286</v>
          </cell>
        </row>
      </sheetData>
      <sheetData sheetId="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SOE"/>
      <sheetName val="US215000577"/>
      <sheetName val="US215000577 - JE"/>
    </sheetNames>
    <sheetDataSet>
      <sheetData sheetId="0"/>
      <sheetData sheetId="1"/>
      <sheetData sheetId="2">
        <row r="2">
          <cell r="N2">
            <v>80533.810000000056</v>
          </cell>
        </row>
        <row r="3">
          <cell r="N3">
            <v>2237.069166666668</v>
          </cell>
        </row>
        <row r="4">
          <cell r="N4">
            <v>2237.069166666668</v>
          </cell>
        </row>
        <row r="5">
          <cell r="N5">
            <v>2237.069166666668</v>
          </cell>
        </row>
        <row r="6">
          <cell r="N6">
            <v>2237.069166666668</v>
          </cell>
        </row>
        <row r="7">
          <cell r="N7">
            <v>2237.069166666668</v>
          </cell>
        </row>
        <row r="8">
          <cell r="N8">
            <v>2237.069166666668</v>
          </cell>
        </row>
        <row r="9">
          <cell r="N9">
            <v>2237.069166666668</v>
          </cell>
        </row>
        <row r="10">
          <cell r="N10">
            <v>2237.069166666668</v>
          </cell>
        </row>
        <row r="11">
          <cell r="N11">
            <v>2237.069166666668</v>
          </cell>
        </row>
        <row r="12">
          <cell r="N12">
            <v>2237.069166666668</v>
          </cell>
        </row>
        <row r="13">
          <cell r="N13">
            <v>2237.069166666668</v>
          </cell>
        </row>
        <row r="14">
          <cell r="N14">
            <v>2237.069166666668</v>
          </cell>
        </row>
        <row r="15">
          <cell r="N15">
            <v>2237.069166666668</v>
          </cell>
        </row>
        <row r="16">
          <cell r="N16">
            <v>2237.069166666668</v>
          </cell>
        </row>
        <row r="17">
          <cell r="N17">
            <v>2237.069166666668</v>
          </cell>
        </row>
        <row r="18">
          <cell r="N18">
            <v>2237.069166666668</v>
          </cell>
        </row>
        <row r="19">
          <cell r="N19">
            <v>2237.069166666668</v>
          </cell>
        </row>
        <row r="20">
          <cell r="N20">
            <v>2237.069166666668</v>
          </cell>
        </row>
        <row r="21">
          <cell r="N21">
            <v>2237.069166666668</v>
          </cell>
        </row>
        <row r="22">
          <cell r="N22">
            <v>2237.069166666668</v>
          </cell>
        </row>
        <row r="23">
          <cell r="N23">
            <v>2237.069166666668</v>
          </cell>
        </row>
        <row r="24">
          <cell r="N24">
            <v>2237.069166666668</v>
          </cell>
        </row>
        <row r="25">
          <cell r="N25">
            <v>2237.069166666668</v>
          </cell>
        </row>
        <row r="26">
          <cell r="N26">
            <v>2237.069166666668</v>
          </cell>
        </row>
        <row r="27">
          <cell r="N27">
            <v>2237.069166666668</v>
          </cell>
        </row>
        <row r="28">
          <cell r="N28">
            <v>2237.069166666668</v>
          </cell>
        </row>
        <row r="29">
          <cell r="N29">
            <v>2237.069166666668</v>
          </cell>
        </row>
        <row r="30">
          <cell r="N30">
            <v>2237.069166666668</v>
          </cell>
        </row>
        <row r="31">
          <cell r="N31">
            <v>2237.069166666668</v>
          </cell>
        </row>
        <row r="32">
          <cell r="N32">
            <v>2237.069166666668</v>
          </cell>
        </row>
        <row r="33">
          <cell r="N33">
            <v>2237.069166666668</v>
          </cell>
        </row>
        <row r="34">
          <cell r="N34">
            <v>2237.069166666668</v>
          </cell>
        </row>
        <row r="35">
          <cell r="N35">
            <v>2237.069166666668</v>
          </cell>
        </row>
        <row r="36">
          <cell r="N36">
            <v>2237.069166666668</v>
          </cell>
        </row>
        <row r="37">
          <cell r="N37">
            <v>2237.069166666668</v>
          </cell>
        </row>
        <row r="38">
          <cell r="N38">
            <v>2236.9691666666677</v>
          </cell>
        </row>
      </sheetData>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Entry to Book in 2019"/>
      <sheetName val="subscription only"/>
    </sheetNames>
    <sheetDataSet>
      <sheetData sheetId="0">
        <row r="15">
          <cell r="AE15">
            <v>8373.1296209548782</v>
          </cell>
          <cell r="AN15">
            <v>3643.9586999022486</v>
          </cell>
          <cell r="AO15">
            <v>3643.9586999022486</v>
          </cell>
          <cell r="AP15">
            <v>3643.9586999022486</v>
          </cell>
          <cell r="AQ15">
            <v>3643.9586999022486</v>
          </cell>
          <cell r="AR15">
            <v>3643.9586999022486</v>
          </cell>
          <cell r="AS15">
            <v>3643.9586999022486</v>
          </cell>
          <cell r="AT15">
            <v>3643.9586999022486</v>
          </cell>
          <cell r="AU15">
            <v>3643.9586999022486</v>
          </cell>
          <cell r="AV15">
            <v>3643.9586999022486</v>
          </cell>
          <cell r="AW15">
            <v>3643.9586999022486</v>
          </cell>
          <cell r="AX15">
            <v>3643.9586999022486</v>
          </cell>
          <cell r="AY15">
            <v>3643.9586999022486</v>
          </cell>
          <cell r="AZ15">
            <v>3643.9586999022486</v>
          </cell>
          <cell r="BA15">
            <v>3643.9586999022486</v>
          </cell>
          <cell r="BB15">
            <v>3643.9586999022486</v>
          </cell>
          <cell r="BC15">
            <v>3643.9586999022486</v>
          </cell>
          <cell r="BD15">
            <v>3643.9586999022486</v>
          </cell>
          <cell r="BE15">
            <v>3643.9586999022486</v>
          </cell>
          <cell r="BF15">
            <v>3643.9586999022486</v>
          </cell>
          <cell r="BG15">
            <v>3643.9586999022486</v>
          </cell>
          <cell r="BH15">
            <v>3643.9586999022486</v>
          </cell>
          <cell r="BI15">
            <v>3643.9586999022486</v>
          </cell>
          <cell r="BJ15">
            <v>3522.4934099055067</v>
          </cell>
          <cell r="BK15">
            <v>0</v>
          </cell>
          <cell r="BL15">
            <v>0</v>
          </cell>
          <cell r="BM15">
            <v>0</v>
          </cell>
        </row>
      </sheetData>
      <sheetData sheetId="1">
        <row r="5">
          <cell r="D5">
            <v>298239.63</v>
          </cell>
        </row>
      </sheetData>
      <sheetData sheetId="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pricing From October 2018"/>
      <sheetName val="פקודה לפריו תיקון פברואר"/>
      <sheetName val="Pivot"/>
      <sheetName val="JE"/>
      <sheetName val="ALL"/>
      <sheetName val="US419600250"/>
      <sheetName val="US419600040"/>
      <sheetName val="US419600154"/>
      <sheetName val="US419600313"/>
      <sheetName val="US419600126"/>
      <sheetName val="US419600475"/>
      <sheetName val="US205000174"/>
      <sheetName val="US205000167"/>
      <sheetName val="US205000229"/>
    </sheetNames>
    <sheetDataSet>
      <sheetData sheetId="0"/>
      <sheetData sheetId="1"/>
      <sheetData sheetId="2"/>
      <sheetData sheetId="3">
        <row r="8">
          <cell r="G8">
            <v>-95975.405000000028</v>
          </cell>
        </row>
        <row r="15">
          <cell r="G15">
            <v>13261.147066544565</v>
          </cell>
        </row>
        <row r="16">
          <cell r="G16">
            <v>13261.147066544565</v>
          </cell>
        </row>
        <row r="17">
          <cell r="G17">
            <v>13046.387066544565</v>
          </cell>
        </row>
        <row r="19">
          <cell r="G19">
            <v>11083.354822954811</v>
          </cell>
        </row>
        <row r="20">
          <cell r="G20">
            <v>7199.7738888888898</v>
          </cell>
        </row>
        <row r="21">
          <cell r="G21">
            <v>6059.7738888888889</v>
          </cell>
        </row>
        <row r="23">
          <cell r="G23">
            <v>6059.7738888888889</v>
          </cell>
        </row>
        <row r="24">
          <cell r="G24">
            <v>6059.7738888888889</v>
          </cell>
        </row>
        <row r="25">
          <cell r="G25">
            <v>6059.7738888888889</v>
          </cell>
        </row>
        <row r="27">
          <cell r="G27">
            <v>6059.7738888888889</v>
          </cell>
        </row>
        <row r="28">
          <cell r="G28">
            <v>6059.7738888888889</v>
          </cell>
        </row>
        <row r="29">
          <cell r="G29">
            <v>6059.7738888888889</v>
          </cell>
        </row>
        <row r="32">
          <cell r="G32">
            <v>6059.7738888888889</v>
          </cell>
        </row>
        <row r="33">
          <cell r="G33">
            <v>6059.7738888888889</v>
          </cell>
        </row>
        <row r="34">
          <cell r="G34">
            <v>6059.7738888888889</v>
          </cell>
        </row>
        <row r="36">
          <cell r="G36">
            <v>6123.3938888888888</v>
          </cell>
        </row>
        <row r="37">
          <cell r="G37">
            <v>7996.0238888889025</v>
          </cell>
        </row>
        <row r="38">
          <cell r="G38">
            <v>7415.4238888888876</v>
          </cell>
        </row>
        <row r="40">
          <cell r="G40">
            <v>7415.4238888888876</v>
          </cell>
        </row>
        <row r="41">
          <cell r="G41">
            <v>7414.93805555565</v>
          </cell>
        </row>
        <row r="42">
          <cell r="G42">
            <v>4186.999722222221</v>
          </cell>
        </row>
        <row r="44">
          <cell r="G44">
            <v>4186.9197222222083</v>
          </cell>
        </row>
        <row r="45">
          <cell r="G45">
            <v>3407.2797222222216</v>
          </cell>
        </row>
        <row r="46">
          <cell r="G46">
            <v>3406.7972222222525</v>
          </cell>
        </row>
      </sheetData>
      <sheetData sheetId="4">
        <row r="2">
          <cell r="N2">
            <v>20985</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2021"/>
      <sheetName val="Liab. to Founders"/>
      <sheetName val="3M Payment"/>
      <sheetName val="1.75M Payment -August"/>
      <sheetName val="1.75M Payment - October"/>
      <sheetName val="9010007"/>
      <sheetName val="CI Summary"/>
      <sheetName val="December 19"/>
      <sheetName val="March 20"/>
      <sheetName val="June 20"/>
    </sheetNames>
    <sheetDataSet>
      <sheetData sheetId="0">
        <row r="29">
          <cell r="C29">
            <v>28748.378241737435</v>
          </cell>
        </row>
        <row r="30">
          <cell r="C30">
            <v>28748.378241737435</v>
          </cell>
        </row>
        <row r="31">
          <cell r="B31">
            <v>5749675.6483474877</v>
          </cell>
          <cell r="C31">
            <v>28748.378241737435</v>
          </cell>
        </row>
      </sheetData>
      <sheetData sheetId="1"/>
      <sheetData sheetId="2"/>
      <sheetData sheetId="3"/>
      <sheetData sheetId="4">
        <row r="39">
          <cell r="D39">
            <v>3095465.3516525114</v>
          </cell>
        </row>
      </sheetData>
      <sheetData sheetId="5"/>
      <sheetData sheetId="6"/>
      <sheetData sheetId="7"/>
      <sheetData sheetId="8"/>
      <sheetData sheetId="9"/>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נתונים לשינוי"/>
      <sheetName val="תזרים Algosec LTD בש&quot;ח"/>
      <sheetName val="תזרים מאוחד ב-$"/>
      <sheetName val="מאזן בוחן EUROPE"/>
      <sheetName val="פ.נ. EUROPE"/>
      <sheetName val="NEW TP EU"/>
      <sheetName val="Tax UK"/>
      <sheetName val="העמסת הנה&quot;כ (UK)"/>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411">
          <cell r="J411">
            <v>-10421440.99</v>
          </cell>
        </row>
        <row r="875">
          <cell r="AD875">
            <v>0</v>
          </cell>
          <cell r="AE875">
            <v>0</v>
          </cell>
        </row>
        <row r="876">
          <cell r="AD876">
            <v>0</v>
          </cell>
          <cell r="AE876">
            <v>0</v>
          </cell>
        </row>
        <row r="877">
          <cell r="AD877">
            <v>0</v>
          </cell>
          <cell r="AE877">
            <v>0</v>
          </cell>
        </row>
        <row r="878">
          <cell r="AD878">
            <v>0</v>
          </cell>
          <cell r="AE878">
            <v>0</v>
          </cell>
        </row>
        <row r="879">
          <cell r="AD879">
            <v>0</v>
          </cell>
          <cell r="AE879">
            <v>0</v>
          </cell>
        </row>
        <row r="880">
          <cell r="AD880">
            <v>0</v>
          </cell>
          <cell r="AE880">
            <v>0</v>
          </cell>
        </row>
        <row r="881">
          <cell r="AD881">
            <v>3484.9999999999991</v>
          </cell>
          <cell r="AE881">
            <v>0</v>
          </cell>
        </row>
        <row r="882">
          <cell r="AD882">
            <v>0</v>
          </cell>
          <cell r="AE882">
            <v>0</v>
          </cell>
        </row>
        <row r="883">
          <cell r="AD883">
            <v>0</v>
          </cell>
          <cell r="AE883">
            <v>0</v>
          </cell>
        </row>
        <row r="884">
          <cell r="AD884">
            <v>0</v>
          </cell>
          <cell r="AE884">
            <v>0</v>
          </cell>
        </row>
        <row r="885">
          <cell r="AD885">
            <v>675</v>
          </cell>
          <cell r="AE885">
            <v>0</v>
          </cell>
        </row>
        <row r="886">
          <cell r="AD886">
            <v>0</v>
          </cell>
          <cell r="AE886">
            <v>0</v>
          </cell>
        </row>
        <row r="887">
          <cell r="AD887">
            <v>0</v>
          </cell>
          <cell r="AE887">
            <v>0</v>
          </cell>
        </row>
        <row r="888">
          <cell r="AD888">
            <v>828.99</v>
          </cell>
          <cell r="AE888">
            <v>0</v>
          </cell>
        </row>
        <row r="889">
          <cell r="AD889">
            <v>0</v>
          </cell>
          <cell r="AE889">
            <v>0</v>
          </cell>
        </row>
        <row r="890">
          <cell r="AD890">
            <v>0</v>
          </cell>
          <cell r="AE890">
            <v>0</v>
          </cell>
        </row>
        <row r="891">
          <cell r="AD891">
            <v>0</v>
          </cell>
          <cell r="AE891">
            <v>0</v>
          </cell>
        </row>
        <row r="892">
          <cell r="AD892">
            <v>0</v>
          </cell>
          <cell r="AE892">
            <v>0</v>
          </cell>
        </row>
        <row r="893">
          <cell r="AD893">
            <v>0</v>
          </cell>
          <cell r="AE893">
            <v>0</v>
          </cell>
        </row>
        <row r="894">
          <cell r="AD894">
            <v>0</v>
          </cell>
          <cell r="AE894">
            <v>0</v>
          </cell>
        </row>
        <row r="895">
          <cell r="AD895">
            <v>0</v>
          </cell>
          <cell r="AE895">
            <v>0</v>
          </cell>
        </row>
        <row r="896">
          <cell r="AD896">
            <v>0</v>
          </cell>
          <cell r="AE896">
            <v>0</v>
          </cell>
        </row>
        <row r="897">
          <cell r="AD897">
            <v>292.64999999999998</v>
          </cell>
          <cell r="AE897">
            <v>0</v>
          </cell>
        </row>
        <row r="898">
          <cell r="AD898">
            <v>0</v>
          </cell>
          <cell r="AE898">
            <v>0</v>
          </cell>
        </row>
        <row r="899">
          <cell r="AD899">
            <v>0</v>
          </cell>
          <cell r="AE899">
            <v>0</v>
          </cell>
        </row>
        <row r="900">
          <cell r="AD900">
            <v>0</v>
          </cell>
          <cell r="AE900">
            <v>0</v>
          </cell>
        </row>
        <row r="901">
          <cell r="AD901">
            <v>0</v>
          </cell>
          <cell r="AE901">
            <v>0</v>
          </cell>
        </row>
        <row r="902">
          <cell r="AD902">
            <v>0</v>
          </cell>
          <cell r="AE902">
            <v>0</v>
          </cell>
        </row>
        <row r="903">
          <cell r="AD903">
            <v>0</v>
          </cell>
          <cell r="AE903">
            <v>0</v>
          </cell>
        </row>
        <row r="904">
          <cell r="AD904">
            <v>0</v>
          </cell>
          <cell r="AE904">
            <v>0</v>
          </cell>
        </row>
        <row r="905">
          <cell r="AD905">
            <v>0</v>
          </cell>
          <cell r="AE905">
            <v>0</v>
          </cell>
        </row>
        <row r="906">
          <cell r="AD906">
            <v>0</v>
          </cell>
          <cell r="AE906">
            <v>0</v>
          </cell>
        </row>
        <row r="907">
          <cell r="AD907">
            <v>0</v>
          </cell>
          <cell r="AE907">
            <v>0</v>
          </cell>
        </row>
        <row r="908">
          <cell r="AE908">
            <v>0</v>
          </cell>
        </row>
        <row r="909">
          <cell r="AD909">
            <v>0</v>
          </cell>
          <cell r="AE909">
            <v>0</v>
          </cell>
        </row>
        <row r="910">
          <cell r="AD910">
            <v>0</v>
          </cell>
          <cell r="AE910">
            <v>0</v>
          </cell>
        </row>
        <row r="911">
          <cell r="AD911">
            <v>0</v>
          </cell>
          <cell r="AE911">
            <v>0</v>
          </cell>
        </row>
        <row r="912">
          <cell r="AD912">
            <v>0</v>
          </cell>
          <cell r="AE912">
            <v>0</v>
          </cell>
        </row>
        <row r="913">
          <cell r="AD913">
            <v>0</v>
          </cell>
          <cell r="AE913">
            <v>0</v>
          </cell>
        </row>
        <row r="914">
          <cell r="AD914">
            <v>0</v>
          </cell>
          <cell r="AE914">
            <v>0</v>
          </cell>
        </row>
        <row r="915">
          <cell r="AD915">
            <v>0</v>
          </cell>
          <cell r="AE915">
            <v>0</v>
          </cell>
        </row>
        <row r="916">
          <cell r="AD916">
            <v>0</v>
          </cell>
          <cell r="AE916">
            <v>0</v>
          </cell>
        </row>
        <row r="917">
          <cell r="AD917">
            <v>0</v>
          </cell>
          <cell r="AE917">
            <v>0</v>
          </cell>
        </row>
        <row r="918">
          <cell r="AD918">
            <v>0</v>
          </cell>
          <cell r="AE918">
            <v>0</v>
          </cell>
        </row>
        <row r="919">
          <cell r="AD919">
            <v>0</v>
          </cell>
          <cell r="AE919">
            <v>0</v>
          </cell>
        </row>
        <row r="920">
          <cell r="AD920">
            <v>0</v>
          </cell>
          <cell r="AE920">
            <v>0</v>
          </cell>
        </row>
        <row r="921">
          <cell r="AD921">
            <v>0</v>
          </cell>
          <cell r="AE921">
            <v>0</v>
          </cell>
        </row>
        <row r="922">
          <cell r="AD922">
            <v>0</v>
          </cell>
          <cell r="AE922">
            <v>0</v>
          </cell>
        </row>
        <row r="923">
          <cell r="AD923">
            <v>0</v>
          </cell>
          <cell r="AE923">
            <v>0</v>
          </cell>
        </row>
        <row r="924">
          <cell r="AD924">
            <v>0</v>
          </cell>
          <cell r="AE924">
            <v>0</v>
          </cell>
        </row>
        <row r="925">
          <cell r="AD925">
            <v>0</v>
          </cell>
          <cell r="AE925">
            <v>0</v>
          </cell>
        </row>
        <row r="926">
          <cell r="AD926">
            <v>0</v>
          </cell>
          <cell r="AE926">
            <v>0</v>
          </cell>
        </row>
        <row r="927">
          <cell r="AD927">
            <v>49080.505034482776</v>
          </cell>
          <cell r="AE927">
            <v>0</v>
          </cell>
        </row>
        <row r="928">
          <cell r="AD928">
            <v>0</v>
          </cell>
          <cell r="AE928">
            <v>0</v>
          </cell>
        </row>
        <row r="929">
          <cell r="AD929">
            <v>1659172.6450344832</v>
          </cell>
          <cell r="AE929">
            <v>0</v>
          </cell>
        </row>
        <row r="930">
          <cell r="AD930">
            <v>0</v>
          </cell>
          <cell r="AE930">
            <v>0</v>
          </cell>
        </row>
        <row r="931">
          <cell r="AD931">
            <v>0</v>
          </cell>
          <cell r="AE931">
            <v>0</v>
          </cell>
        </row>
        <row r="932">
          <cell r="AD932">
            <v>1782414.2050344828</v>
          </cell>
          <cell r="AE932">
            <v>0</v>
          </cell>
        </row>
        <row r="933">
          <cell r="AD933">
            <v>0</v>
          </cell>
          <cell r="AE933">
            <v>0</v>
          </cell>
        </row>
        <row r="934">
          <cell r="AD934">
            <v>55.200000000004366</v>
          </cell>
          <cell r="AE934">
            <v>0</v>
          </cell>
        </row>
        <row r="935">
          <cell r="AD935">
            <v>1231</v>
          </cell>
          <cell r="AE935">
            <v>0</v>
          </cell>
        </row>
        <row r="936">
          <cell r="AD936">
            <v>2000</v>
          </cell>
          <cell r="AE936">
            <v>0</v>
          </cell>
        </row>
        <row r="937">
          <cell r="AE937">
            <v>1800</v>
          </cell>
        </row>
        <row r="938">
          <cell r="AE938">
            <v>13600</v>
          </cell>
        </row>
        <row r="939">
          <cell r="AE939">
            <v>8248.61</v>
          </cell>
        </row>
        <row r="940">
          <cell r="AD940">
            <v>8960</v>
          </cell>
          <cell r="AE940">
            <v>0</v>
          </cell>
        </row>
        <row r="941">
          <cell r="AD941">
            <v>0</v>
          </cell>
          <cell r="AE941">
            <v>0</v>
          </cell>
        </row>
        <row r="942">
          <cell r="AD942">
            <v>0</v>
          </cell>
          <cell r="AE942">
            <v>0</v>
          </cell>
        </row>
        <row r="943">
          <cell r="AD943">
            <v>35894.810000000005</v>
          </cell>
          <cell r="AE943">
            <v>0</v>
          </cell>
        </row>
        <row r="944">
          <cell r="AD944">
            <v>0</v>
          </cell>
          <cell r="AE944">
            <v>0</v>
          </cell>
        </row>
        <row r="945">
          <cell r="AD945">
            <v>0</v>
          </cell>
          <cell r="AE945">
            <v>0</v>
          </cell>
        </row>
        <row r="946">
          <cell r="AD946">
            <v>1968.7300000000005</v>
          </cell>
          <cell r="AE946">
            <v>0</v>
          </cell>
        </row>
        <row r="947">
          <cell r="AD947">
            <v>3210.4799999999996</v>
          </cell>
          <cell r="AE947">
            <v>0</v>
          </cell>
        </row>
        <row r="948">
          <cell r="AD948">
            <v>1.31</v>
          </cell>
          <cell r="AE948">
            <v>0</v>
          </cell>
        </row>
        <row r="949">
          <cell r="AD949">
            <v>132677.12</v>
          </cell>
          <cell r="AE949">
            <v>0</v>
          </cell>
        </row>
        <row r="950">
          <cell r="AD950">
            <v>-17.779999999999973</v>
          </cell>
          <cell r="AE950">
            <v>0</v>
          </cell>
        </row>
        <row r="951">
          <cell r="AD951">
            <v>0</v>
          </cell>
          <cell r="AE951">
            <v>0</v>
          </cell>
        </row>
        <row r="952">
          <cell r="AD952">
            <v>-182.26999999999998</v>
          </cell>
          <cell r="AE952">
            <v>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artment &amp; Entity (2)"/>
    </sheetNames>
    <sheetDataSet>
      <sheetData sheetId="0">
        <row r="3">
          <cell r="B3">
            <v>312.45034500000003</v>
          </cell>
        </row>
        <row r="14">
          <cell r="C14">
            <v>12641.775478</v>
          </cell>
          <cell r="H14">
            <v>546210.91596400004</v>
          </cell>
        </row>
      </sheetData>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artment &amp; Entity"/>
    </sheetNames>
    <sheetDataSet>
      <sheetData sheetId="0">
        <row r="7">
          <cell r="G7">
            <v>312.45</v>
          </cell>
        </row>
        <row r="19">
          <cell r="B19">
            <v>14384.38</v>
          </cell>
          <cell r="D19">
            <v>6292.1200000000008</v>
          </cell>
          <cell r="E19">
            <v>76688.659999999974</v>
          </cell>
          <cell r="F19">
            <v>8537.3100000000013</v>
          </cell>
          <cell r="G19">
            <v>427455.39</v>
          </cell>
        </row>
      </sheetData>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REPORT 2018 "/>
      <sheetName val="LT REPORT 2019"/>
      <sheetName val="LT Dec 2020 "/>
      <sheetName val="pivot Q1 21"/>
      <sheetName val="March 21"/>
      <sheetName val="all"/>
      <sheetName val="other Method "/>
      <sheetName val="Method 3"/>
      <sheetName val="LT REPORT 18042021"/>
      <sheetName val="Sheet1"/>
    </sheetNames>
    <sheetDataSet>
      <sheetData sheetId="0" refreshError="1"/>
      <sheetData sheetId="1" refreshError="1"/>
      <sheetData sheetId="2" refreshError="1"/>
      <sheetData sheetId="3" refreshError="1">
        <row r="5">
          <cell r="K5">
            <v>-6872</v>
          </cell>
        </row>
        <row r="6">
          <cell r="K6">
            <v>37266.14032000002</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53580 PRIO"/>
      <sheetName val="subscr only 01-12"/>
      <sheetName val="SF SUBSCR ONLY 01"/>
      <sheetName val="pricing From October 2018"/>
      <sheetName val="ALL (legacy)"/>
      <sheetName val="ALL"/>
      <sheetName val="ST-LT"/>
      <sheetName val="פקודה לפריו"/>
    </sheetNames>
    <sheetDataSet>
      <sheetData sheetId="0" refreshError="1"/>
      <sheetData sheetId="1" refreshError="1"/>
      <sheetData sheetId="2">
        <row r="1">
          <cell r="C1" t="str">
            <v>Opportunity Name</v>
          </cell>
        </row>
      </sheetData>
      <sheetData sheetId="3" refreshError="1"/>
      <sheetData sheetId="4" refreshError="1"/>
      <sheetData sheetId="5" refreshError="1"/>
      <sheetData sheetId="6">
        <row r="64">
          <cell r="G64">
            <v>0.23</v>
          </cell>
        </row>
        <row r="99">
          <cell r="AN99">
            <v>85489.122255835551</v>
          </cell>
          <cell r="AO99">
            <v>85489.122255835551</v>
          </cell>
          <cell r="AP99">
            <v>85489.122255835551</v>
          </cell>
          <cell r="AQ99">
            <v>85489.122255835551</v>
          </cell>
          <cell r="AR99">
            <v>85489.122255835551</v>
          </cell>
          <cell r="AS99">
            <v>85489.122255835551</v>
          </cell>
          <cell r="AT99">
            <v>85489.122255835551</v>
          </cell>
          <cell r="AU99">
            <v>85489.122255835551</v>
          </cell>
          <cell r="AV99">
            <v>85489.122255835551</v>
          </cell>
          <cell r="AW99">
            <v>85489.122255835551</v>
          </cell>
          <cell r="AX99">
            <v>85489.122255835551</v>
          </cell>
          <cell r="AY99">
            <v>82619.879566284959</v>
          </cell>
        </row>
      </sheetData>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PIVOT CREDIT 53510 2018 "/>
      <sheetName val="subscr only detailed 2018 "/>
      <sheetName val="pivot"/>
      <sheetName val="pivot 53510 20.09.18"/>
      <sheetName val="53510 20.09.18"/>
      <sheetName val="PIVOT DEBIT"/>
      <sheetName val="53510 inc 1-7.2018"/>
      <sheetName val="ALL (LEGACY)"/>
      <sheetName val="ALL"/>
      <sheetName val="ספרים 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E2"/>
        </row>
        <row r="31">
          <cell r="E31">
            <v>892.86095238095254</v>
          </cell>
        </row>
        <row r="32">
          <cell r="E32">
            <v>892.86095238095254</v>
          </cell>
        </row>
        <row r="33">
          <cell r="E33">
            <v>892.86095238095254</v>
          </cell>
        </row>
        <row r="34">
          <cell r="E34">
            <v>892.86095238095254</v>
          </cell>
        </row>
        <row r="35">
          <cell r="E35">
            <v>892.86095238095254</v>
          </cell>
        </row>
        <row r="36">
          <cell r="E36">
            <v>892.86095238095254</v>
          </cell>
        </row>
        <row r="37">
          <cell r="E37">
            <v>892.86095238095254</v>
          </cell>
        </row>
        <row r="38">
          <cell r="E38">
            <v>892.86095238095254</v>
          </cell>
        </row>
        <row r="39">
          <cell r="E39">
            <v>892.86095238095254</v>
          </cell>
        </row>
        <row r="40">
          <cell r="E40">
            <v>892.86095238095254</v>
          </cell>
        </row>
        <row r="41">
          <cell r="E41">
            <v>625</v>
          </cell>
        </row>
        <row r="42">
          <cell r="E42"/>
        </row>
      </sheetData>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deral Income Calc + Tax Due "/>
      <sheetName val="GILTI"/>
      <sheetName val="State Summary"/>
      <sheetName val="Extension Summary for filing"/>
      <sheetName val="Processing Summary "/>
    </sheetNames>
    <sheetDataSet>
      <sheetData sheetId="0">
        <row r="46">
          <cell r="C46">
            <v>93549.99</v>
          </cell>
        </row>
        <row r="47">
          <cell r="C47">
            <v>26450.01</v>
          </cell>
        </row>
        <row r="51">
          <cell r="C51">
            <v>26450.014999999999</v>
          </cell>
        </row>
      </sheetData>
      <sheetData sheetId="1" refreshError="1"/>
      <sheetData sheetId="2" refreshError="1"/>
      <sheetData sheetId="3" refreshError="1"/>
      <sheetData sheetId="4"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1-2022"/>
      <sheetName val="2M Payment - March 31, 2022"/>
      <sheetName val="Liab. to Founders"/>
      <sheetName val="3M Payment"/>
      <sheetName val="1.75M Payment -August"/>
      <sheetName val="1.75M Payment - October"/>
      <sheetName val="9010007"/>
      <sheetName val="CI Summary"/>
      <sheetName val="December 19"/>
      <sheetName val="March 20"/>
      <sheetName val="June 20"/>
    </sheetNames>
    <sheetDataSet>
      <sheetData sheetId="0" refreshError="1"/>
      <sheetData sheetId="1" refreshError="1"/>
      <sheetData sheetId="2" refreshError="1"/>
      <sheetData sheetId="3" refreshError="1"/>
      <sheetData sheetId="4" refreshError="1"/>
      <sheetData sheetId="5">
        <row r="39">
          <cell r="D39">
            <v>3095465.3516525114</v>
          </cell>
        </row>
      </sheetData>
      <sheetData sheetId="6" refreshError="1"/>
      <sheetData sheetId="7" refreshError="1"/>
      <sheetData sheetId="8" refreshError="1"/>
      <sheetData sheetId="9" refreshError="1"/>
      <sheetData sheetId="1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2021"/>
      <sheetName val="Liab. to Founders"/>
      <sheetName val="3M Payment"/>
      <sheetName val="1.75M Payment -August"/>
      <sheetName val="1.75M Payment - October"/>
      <sheetName val="9010007"/>
      <sheetName val="CI Summary"/>
      <sheetName val="December 19"/>
      <sheetName val="March 20"/>
      <sheetName val="June 20"/>
    </sheetNames>
    <sheetDataSet>
      <sheetData sheetId="0"/>
      <sheetData sheetId="1"/>
      <sheetData sheetId="2"/>
      <sheetData sheetId="3"/>
      <sheetData sheetId="4">
        <row r="39">
          <cell r="D39">
            <v>3095465.3516525114</v>
          </cell>
        </row>
      </sheetData>
      <sheetData sheetId="5"/>
      <sheetData sheetId="6"/>
      <sheetData sheetId="7"/>
      <sheetData sheetId="8"/>
      <sheetData sheetId="9"/>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D מיסים שוטפים 2015"/>
      <sheetName val="מסים נדחים LTD"/>
      <sheetName val="מופ מוכר"/>
      <sheetName val="הכנסות נדחות-פריסה"/>
      <sheetName val="Deferred Rev per tax"/>
      <sheetName val="מסים נדחים INC"/>
      <sheetName val="UK "/>
    </sheetNames>
    <sheetDataSet>
      <sheetData sheetId="0"/>
      <sheetData sheetId="1"/>
      <sheetData sheetId="2"/>
      <sheetData sheetId="3"/>
      <sheetData sheetId="4">
        <row r="316">
          <cell r="C316">
            <v>250378.21992484108</v>
          </cell>
        </row>
      </sheetData>
      <sheetData sheetId="5">
        <row r="14">
          <cell r="C14">
            <v>47174.056113352279</v>
          </cell>
        </row>
      </sheetData>
      <sheetData sheetId="6"/>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D מיסים שוטפים 2015"/>
      <sheetName val="מסים נדחים LTD"/>
      <sheetName val="מופ מוכר"/>
      <sheetName val="הכנסות נדחות-פריסה"/>
      <sheetName val="Deferred Rev per tax"/>
      <sheetName val="מסים נדחים INC"/>
      <sheetName val="UK "/>
    </sheetNames>
    <sheetDataSet>
      <sheetData sheetId="0" refreshError="1"/>
      <sheetData sheetId="1" refreshError="1"/>
      <sheetData sheetId="2" refreshError="1"/>
      <sheetData sheetId="3" refreshError="1"/>
      <sheetData sheetId="4">
        <row r="316">
          <cell r="C316">
            <v>250378.21992484108</v>
          </cell>
        </row>
      </sheetData>
      <sheetData sheetId="5" refreshError="1"/>
      <sheetData sheetId="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M-1 Adjustments"/>
      <sheetName val="(b) Accrued Bonuses"/>
      <sheetName val="(c) Accrued Commissions"/>
      <sheetName val="(d) Accrued Expenses"/>
      <sheetName val="(e) Accrued Vacation"/>
      <sheetName val="(f) Deferred Rev"/>
      <sheetName val="(g) Depreciation"/>
      <sheetName val="(h) Misc"/>
      <sheetName val="(i) Taxes"/>
      <sheetName val="(j) Tax payments"/>
    </sheetNames>
    <sheetDataSet>
      <sheetData sheetId="0"/>
      <sheetData sheetId="1"/>
      <sheetData sheetId="2"/>
      <sheetData sheetId="3">
        <row r="16">
          <cell r="B16">
            <v>-35766.399999999994</v>
          </cell>
        </row>
      </sheetData>
      <sheetData sheetId="4"/>
      <sheetData sheetId="5"/>
      <sheetData sheetId="6"/>
      <sheetData sheetId="7">
        <row r="10">
          <cell r="B10">
            <v>2500</v>
          </cell>
        </row>
      </sheetData>
      <sheetData sheetId="8"/>
      <sheetData sheetId="9"/>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M-1 Adjustments"/>
      <sheetName val="(b) Accrued Bonuses"/>
      <sheetName val="(c) Accrued Commissions"/>
      <sheetName val="(d) Accrued Expenses"/>
      <sheetName val="(e) Accrued Vacation"/>
      <sheetName val="(f) Deferred Rev"/>
      <sheetName val="(g) Depreciation"/>
      <sheetName val="(h) Misc"/>
      <sheetName val="(i) Taxes"/>
      <sheetName val="(j) Tax payments"/>
    </sheetNames>
    <sheetDataSet>
      <sheetData sheetId="0">
        <row r="20">
          <cell r="C20">
            <v>310934.4800000001</v>
          </cell>
        </row>
      </sheetData>
      <sheetData sheetId="1"/>
      <sheetData sheetId="2"/>
      <sheetData sheetId="3"/>
      <sheetData sheetId="4">
        <row r="12">
          <cell r="B12">
            <v>-13208.400000000001</v>
          </cell>
        </row>
        <row r="13">
          <cell r="B13">
            <v>51617.037692307691</v>
          </cell>
        </row>
      </sheetData>
      <sheetData sheetId="5"/>
      <sheetData sheetId="6"/>
      <sheetData sheetId="7"/>
      <sheetData sheetId="8"/>
      <sheetData sheetId="9"/>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2021"/>
      <sheetName val="Liab. to Founders"/>
      <sheetName val="3M Payment"/>
      <sheetName val="1.75M Payment -August"/>
      <sheetName val="1.75M Payment - October"/>
      <sheetName val="9010007"/>
      <sheetName val="CI Summary"/>
      <sheetName val="December 19"/>
      <sheetName val="March 20"/>
      <sheetName val="June 20"/>
    </sheetNames>
    <sheetDataSet>
      <sheetData sheetId="0">
        <row r="31">
          <cell r="C31">
            <v>381708.4780249077</v>
          </cell>
        </row>
      </sheetData>
      <sheetData sheetId="1">
        <row r="19">
          <cell r="C19">
            <v>9133.3124027419344</v>
          </cell>
        </row>
      </sheetData>
      <sheetData sheetId="2"/>
      <sheetData sheetId="3">
        <row r="26">
          <cell r="C26">
            <v>315806.32015819702</v>
          </cell>
        </row>
      </sheetData>
      <sheetData sheetId="4">
        <row r="8">
          <cell r="B8">
            <v>7410947.3201581966</v>
          </cell>
        </row>
        <row r="22">
          <cell r="C22">
            <v>88728.328189291293</v>
          </cell>
        </row>
      </sheetData>
      <sheetData sheetId="5"/>
      <sheetData sheetId="6"/>
      <sheetData sheetId="7"/>
      <sheetData sheetId="8"/>
      <sheetData sheetId="9"/>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Bank"/>
      <sheetName val="1130010"/>
    </sheetNames>
    <sheetDataSet>
      <sheetData sheetId="0">
        <row r="251">
          <cell r="F251">
            <v>12855.32</v>
          </cell>
        </row>
      </sheetData>
      <sheetData sheetId="1" refreshError="1"/>
      <sheetData sheetId="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5">
          <cell r="C5">
            <v>15000</v>
          </cell>
        </row>
        <row r="17">
          <cell r="C17">
            <v>0</v>
          </cell>
        </row>
      </sheetData>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s>
    <sheetDataSet>
      <sheetData sheetId="0">
        <row r="5">
          <cell r="O5">
            <v>63496.639999999999</v>
          </cell>
        </row>
        <row r="19">
          <cell r="O19">
            <v>162688.63</v>
          </cell>
          <cell r="U19">
            <v>12954.599999999999</v>
          </cell>
        </row>
      </sheetData>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80060"/>
      <sheetName val="בדיקת הכנסות בספרים 80060"/>
      <sheetName val="Pivot 80065"/>
      <sheetName val="בדיקת הכנסות בספרים 80065"/>
      <sheetName val="FR421600036"/>
      <sheetName val="FR421600035"/>
      <sheetName val="FR421600054"/>
      <sheetName val="FR421600053"/>
      <sheetName val="FR421600052"/>
      <sheetName val="FR421600051"/>
      <sheetName val="FR421600050"/>
      <sheetName val="FR421600049"/>
      <sheetName val="FR421600048"/>
      <sheetName val="FR421600047"/>
      <sheetName val="FR421600046"/>
      <sheetName val="FR421600045"/>
      <sheetName val="FR421600044"/>
      <sheetName val="FR421600043"/>
      <sheetName val="FR421600042"/>
      <sheetName val="FR421600041"/>
      <sheetName val="FR421600040"/>
      <sheetName val="FR421600039"/>
      <sheetName val="FR421600038"/>
      <sheetName val="FR421600037"/>
      <sheetName val="FR421600033"/>
      <sheetName val="FR421600032"/>
      <sheetName val="FR421600031"/>
      <sheetName val="FR421600030"/>
      <sheetName val="FR421600029"/>
      <sheetName val="FR421600028"/>
      <sheetName val="FR421600027"/>
      <sheetName val="FR421600025"/>
      <sheetName val="FR420600022"/>
      <sheetName val="FR420600021"/>
      <sheetName val="FR420600020"/>
      <sheetName val="FR421600024"/>
      <sheetName val="FR421600023"/>
      <sheetName val="FR421600022"/>
      <sheetName val="FR421600021"/>
      <sheetName val="FR421600020"/>
      <sheetName val="FR421600017"/>
      <sheetName val="FR421600016"/>
      <sheetName val="FR421600013"/>
      <sheetName val="FR421600012"/>
      <sheetName val="FR421600011"/>
      <sheetName val="FR421600010"/>
      <sheetName val="FR421600009"/>
      <sheetName val="FR421600008"/>
      <sheetName val="FR421600005"/>
      <sheetName val="FR421600004"/>
      <sheetName val="FR421600003"/>
      <sheetName val="FR420600019"/>
      <sheetName val="FR420600018"/>
      <sheetName val="FR420600017"/>
      <sheetName val="FR420600016"/>
      <sheetName val="FR420600015"/>
      <sheetName val="FR420600006 A"/>
      <sheetName val="FR420600014"/>
      <sheetName val="FR420600013"/>
      <sheetName val="FR420600011"/>
      <sheetName val="FR420600010"/>
      <sheetName val="FR420600009"/>
      <sheetName val="FR420600012"/>
      <sheetName val="FR420600009 A"/>
      <sheetName val="FR420600005"/>
      <sheetName val="FR420600004"/>
      <sheetName val="All invoices"/>
      <sheetName val="FR421600002"/>
      <sheetName val="FR421600001"/>
      <sheetName val="FR421600018"/>
      <sheetName val="FR421600019"/>
      <sheetName val="FR421600026"/>
      <sheetName val="GENERAL "/>
      <sheetName val="FR420600006"/>
      <sheetName val="FR420600003"/>
    </sheetNames>
    <sheetDataSet>
      <sheetData sheetId="0">
        <row r="4">
          <cell r="C4">
            <v>-111310.82000000002</v>
          </cell>
        </row>
        <row r="7">
          <cell r="C7">
            <v>-60284.749999999993</v>
          </cell>
        </row>
        <row r="8">
          <cell r="C8">
            <v>-103258.73999999999</v>
          </cell>
        </row>
        <row r="9">
          <cell r="C9">
            <v>-103258.73999999999</v>
          </cell>
        </row>
        <row r="11">
          <cell r="C11">
            <v>-94369.74</v>
          </cell>
        </row>
        <row r="12">
          <cell r="C12">
            <v>-94662.29</v>
          </cell>
        </row>
        <row r="13">
          <cell r="C13">
            <v>-104458.48999999999</v>
          </cell>
        </row>
        <row r="15">
          <cell r="C15">
            <v>-108099.44999999997</v>
          </cell>
        </row>
        <row r="16">
          <cell r="C16">
            <v>-105259.11999999998</v>
          </cell>
        </row>
        <row r="17">
          <cell r="C17">
            <v>-105044.84999999998</v>
          </cell>
        </row>
        <row r="19">
          <cell r="C19">
            <v>-109514.49999999997</v>
          </cell>
        </row>
        <row r="20">
          <cell r="C20">
            <v>-109232.19999999998</v>
          </cell>
        </row>
        <row r="21">
          <cell r="C21">
            <v>-124604.99999999999</v>
          </cell>
        </row>
        <row r="39">
          <cell r="C39">
            <v>2587353.174149069</v>
          </cell>
        </row>
      </sheetData>
      <sheetData sheetId="1"/>
      <sheetData sheetId="2">
        <row r="7">
          <cell r="C7">
            <v>-96.53</v>
          </cell>
        </row>
        <row r="8">
          <cell r="C8">
            <v>-223.46999999999997</v>
          </cell>
        </row>
        <row r="9">
          <cell r="C9">
            <v>-872.68000000000006</v>
          </cell>
        </row>
        <row r="14">
          <cell r="C14">
            <v>-4650.1399999999994</v>
          </cell>
        </row>
        <row r="15">
          <cell r="C15">
            <v>-4471.5600000000004</v>
          </cell>
        </row>
        <row r="16">
          <cell r="C16">
            <v>-4487.6000000000004</v>
          </cell>
        </row>
        <row r="18">
          <cell r="C18">
            <v>-1595.88</v>
          </cell>
        </row>
        <row r="19">
          <cell r="C19">
            <v>-1408.51</v>
          </cell>
        </row>
        <row r="20">
          <cell r="C20">
            <v>-1404.6799999999998</v>
          </cell>
        </row>
        <row r="33">
          <cell r="C33">
            <v>36534.479999999996</v>
          </cell>
        </row>
      </sheetData>
      <sheetData sheetId="3"/>
      <sheetData sheetId="4"/>
      <sheetData sheetId="5"/>
      <sheetData sheetId="6">
        <row r="18">
          <cell r="F18">
            <v>49979.56</v>
          </cell>
        </row>
      </sheetData>
      <sheetData sheetId="7"/>
      <sheetData sheetId="8"/>
      <sheetData sheetId="9">
        <row r="5">
          <cell r="F5">
            <v>4104</v>
          </cell>
        </row>
      </sheetData>
      <sheetData sheetId="10"/>
      <sheetData sheetId="11"/>
      <sheetData sheetId="12">
        <row r="31">
          <cell r="F31">
            <v>29472</v>
          </cell>
        </row>
      </sheetData>
      <sheetData sheetId="13"/>
      <sheetData sheetId="14">
        <row r="5">
          <cell r="F5">
            <v>281175.3</v>
          </cell>
        </row>
      </sheetData>
      <sheetData sheetId="15"/>
      <sheetData sheetId="16">
        <row r="18">
          <cell r="F18">
            <v>60480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80060"/>
      <sheetName val="בדיקת הכנסות בספרים 80060"/>
      <sheetName val="Pivot 80065"/>
      <sheetName val="בדיקת הכנסות בספרים 80065"/>
      <sheetName val="FR421600036"/>
      <sheetName val="FR421600035"/>
      <sheetName val="FR421600043"/>
      <sheetName val="FR421600042"/>
      <sheetName val="FR421600041"/>
      <sheetName val="FR421600040"/>
      <sheetName val="FR421600039"/>
      <sheetName val="FR421600038"/>
      <sheetName val="FR421600037"/>
      <sheetName val="FR421600033"/>
      <sheetName val="FR421600032"/>
      <sheetName val="FR421600031"/>
      <sheetName val="FR421600030"/>
      <sheetName val="FR421600029"/>
      <sheetName val="FR421600028"/>
      <sheetName val="FR421600027"/>
      <sheetName val="FR421600025"/>
      <sheetName val="FR420600022"/>
      <sheetName val="FR420600021"/>
      <sheetName val="FR420600020"/>
      <sheetName val="FR421600024"/>
      <sheetName val="FR421600023"/>
      <sheetName val="FR421600022"/>
      <sheetName val="FR421600021"/>
      <sheetName val="FR421600020"/>
      <sheetName val="FR421600017"/>
      <sheetName val="FR421600016"/>
      <sheetName val="FR421600013"/>
      <sheetName val="FR421600012"/>
      <sheetName val="FR421600011"/>
      <sheetName val="FR421600010"/>
      <sheetName val="FR421600009"/>
      <sheetName val="FR421600008"/>
      <sheetName val="FR421600005"/>
      <sheetName val="FR421600004"/>
      <sheetName val="FR421600003"/>
      <sheetName val="FR420600019"/>
      <sheetName val="FR420600018"/>
      <sheetName val="FR420600017"/>
      <sheetName val="FR420600016"/>
      <sheetName val="FR420600015"/>
      <sheetName val="FR420600006 A"/>
      <sheetName val="FR420600014"/>
      <sheetName val="FR420600013"/>
      <sheetName val="FR420600011"/>
      <sheetName val="FR420600010"/>
      <sheetName val="FR420600009"/>
      <sheetName val="FR420600012"/>
      <sheetName val="FR420600009 A"/>
      <sheetName val="FR420600005"/>
      <sheetName val="FR420600004"/>
      <sheetName val="All invoices"/>
      <sheetName val="FR421600002"/>
      <sheetName val="FR421600001"/>
      <sheetName val="FR421600018"/>
      <sheetName val="FR421600019"/>
      <sheetName val="FR421600026"/>
      <sheetName val="GENERAL "/>
      <sheetName val="FR420600006"/>
      <sheetName val="FR420600003"/>
    </sheetNames>
    <sheetDataSet>
      <sheetData sheetId="0"/>
      <sheetData sheetId="1"/>
      <sheetData sheetId="2"/>
      <sheetData sheetId="3"/>
      <sheetData sheetId="4"/>
      <sheetData sheetId="5"/>
      <sheetData sheetId="6"/>
      <sheetData sheetId="7">
        <row r="5">
          <cell r="F5">
            <v>47061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80060"/>
      <sheetName val="בדיקת הכנסות בספרים 80060"/>
      <sheetName val="Pivot 80065"/>
      <sheetName val="בדיקת הכנסות בספרים 80065"/>
      <sheetName val="FR421600036"/>
      <sheetName val="FR421600035"/>
      <sheetName val="FR421600054"/>
      <sheetName val="FR421600053"/>
      <sheetName val="FR421600052"/>
      <sheetName val="FR421600051"/>
      <sheetName val="FR421600050"/>
      <sheetName val="FR421600049"/>
      <sheetName val="FR421600048"/>
      <sheetName val="FR421600047"/>
      <sheetName val="FR421600046"/>
      <sheetName val="FR421600045"/>
      <sheetName val="FR421600044"/>
      <sheetName val="FR421600043"/>
      <sheetName val="FR421600042"/>
      <sheetName val="FR421600041"/>
      <sheetName val="FR421600040"/>
      <sheetName val="FR421600039"/>
      <sheetName val="FR421600038"/>
      <sheetName val="FR421600037"/>
      <sheetName val="FR421600033"/>
      <sheetName val="FR421600032"/>
      <sheetName val="FR421600031"/>
      <sheetName val="FR421600030"/>
      <sheetName val="FR421600029"/>
      <sheetName val="FR421600028"/>
      <sheetName val="FR421600027"/>
      <sheetName val="FR421600025"/>
      <sheetName val="FR420600022"/>
      <sheetName val="FR420600021"/>
      <sheetName val="FR420600020"/>
      <sheetName val="FR421600024"/>
      <sheetName val="FR421600023"/>
      <sheetName val="FR421600022"/>
      <sheetName val="FR421600021"/>
      <sheetName val="FR421600020"/>
      <sheetName val="FR421600017"/>
      <sheetName val="FR421600016"/>
      <sheetName val="FR421600013"/>
      <sheetName val="FR421600012"/>
      <sheetName val="FR421600011"/>
      <sheetName val="FR421600010"/>
      <sheetName val="FR421600009"/>
      <sheetName val="FR421600008"/>
      <sheetName val="FR421600005"/>
      <sheetName val="FR421600004"/>
      <sheetName val="FR421600003"/>
      <sheetName val="FR420600019"/>
      <sheetName val="FR420600018"/>
      <sheetName val="FR420600017"/>
      <sheetName val="FR420600016"/>
      <sheetName val="FR420600015"/>
      <sheetName val="FR420600006 A"/>
      <sheetName val="FR420600014"/>
      <sheetName val="FR420600013"/>
      <sheetName val="FR420600011"/>
      <sheetName val="FR420600010"/>
      <sheetName val="FR420600009"/>
      <sheetName val="FR420600012"/>
      <sheetName val="FR420600009 A"/>
      <sheetName val="FR420600005"/>
      <sheetName val="FR420600004"/>
      <sheetName val="All invoices"/>
      <sheetName val="FR421600002"/>
      <sheetName val="FR421600001"/>
      <sheetName val="FR421600018"/>
      <sheetName val="FR421600019"/>
      <sheetName val="FR421600026"/>
      <sheetName val="GENERAL "/>
      <sheetName val="FR420600006"/>
      <sheetName val="FR420600003"/>
    </sheetNames>
    <sheetDataSet>
      <sheetData sheetId="0"/>
      <sheetData sheetId="1"/>
      <sheetData sheetId="2">
        <row r="14">
          <cell r="C14">
            <v>-4650.1399999999994</v>
          </cell>
        </row>
        <row r="15">
          <cell r="C15">
            <v>-4471.5600000000004</v>
          </cell>
        </row>
        <row r="16">
          <cell r="C16">
            <v>-4487.6000000000004</v>
          </cell>
        </row>
        <row r="18">
          <cell r="C18">
            <v>-1595.88</v>
          </cell>
        </row>
        <row r="19">
          <cell r="C19">
            <v>-1408.51</v>
          </cell>
        </row>
        <row r="20">
          <cell r="C20">
            <v>-1404.6799999999998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scription pricing"/>
      <sheetName val="פקודה לפריו "/>
      <sheetName val="53580"/>
      <sheetName val="subscr only"/>
      <sheetName val="pricing From October 2018"/>
      <sheetName val="ALL (legacy)"/>
      <sheetName val="ALL"/>
      <sheetName val="ALL Automated"/>
    </sheetNames>
    <sheetDataSet>
      <sheetData sheetId="0"/>
      <sheetData sheetId="1"/>
      <sheetData sheetId="2"/>
      <sheetData sheetId="3"/>
      <sheetData sheetId="4"/>
      <sheetData sheetId="5"/>
      <sheetData sheetId="6">
        <row r="18">
          <cell r="H18">
            <v>24695.121951219513</v>
          </cell>
        </row>
      </sheetData>
      <sheetData sheetId="7">
        <row r="18">
          <cell r="H18">
            <v>24695.121951219513</v>
          </cell>
          <cell r="X18">
            <v>473.32317073170731</v>
          </cell>
          <cell r="Y18">
            <v>473.32317073170731</v>
          </cell>
          <cell r="Z18">
            <v>473.32317073170731</v>
          </cell>
          <cell r="AA18">
            <v>473.32317073170731</v>
          </cell>
          <cell r="AB18">
            <v>473.32317073170731</v>
          </cell>
          <cell r="AC18">
            <v>473.32317073170731</v>
          </cell>
          <cell r="AD18">
            <v>473.32317073170731</v>
          </cell>
          <cell r="AE18">
            <v>473.32317073170731</v>
          </cell>
          <cell r="AF18">
            <v>473.32317073170731</v>
          </cell>
          <cell r="AG18">
            <v>252.21282454760026</v>
          </cell>
          <cell r="AH18">
            <v>0</v>
          </cell>
          <cell r="AI18">
            <v>0</v>
          </cell>
        </row>
      </sheetData>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1000001"/>
      <sheetName val="1130010"/>
    </sheetNames>
    <sheetDataSet>
      <sheetData sheetId="0">
        <row r="3">
          <cell r="B3">
            <v>3833718.6200000006</v>
          </cell>
          <cell r="C3">
            <v>4571579.2100000009</v>
          </cell>
        </row>
      </sheetData>
      <sheetData sheetId="1" refreshError="1"/>
      <sheetData sheetId="2"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00">
          <cell r="J100">
            <v>-497678.18</v>
          </cell>
        </row>
      </sheetData>
      <sheetData sheetId="27"/>
      <sheetData sheetId="28">
        <row r="43">
          <cell r="C43">
            <v>-257421.08</v>
          </cell>
        </row>
      </sheetData>
      <sheetData sheetId="29"/>
      <sheetData sheetId="30"/>
      <sheetData sheetId="31">
        <row r="404">
          <cell r="AK404">
            <v>-732633.40000000037</v>
          </cell>
        </row>
      </sheetData>
      <sheetData sheetId="32"/>
      <sheetData sheetId="33"/>
      <sheetData sheetId="34"/>
      <sheetData sheetId="35"/>
      <sheetData sheetId="36"/>
      <sheetData sheetId="37">
        <row r="169">
          <cell r="V169">
            <v>0</v>
          </cell>
        </row>
      </sheetData>
      <sheetData sheetId="38"/>
      <sheetData sheetId="39"/>
      <sheetData sheetId="40"/>
      <sheetData sheetId="41">
        <row r="160">
          <cell r="V160">
            <v>-240963.81512372661</v>
          </cell>
        </row>
        <row r="161">
          <cell r="V161">
            <v>0</v>
          </cell>
        </row>
      </sheetData>
      <sheetData sheetId="42"/>
      <sheetData sheetId="43"/>
      <sheetData sheetId="44"/>
      <sheetData sheetId="45"/>
      <sheetData sheetId="46"/>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Q2 מיסים שוטפים 2019"/>
      <sheetName val="מיסים שוטפים 2020"/>
      <sheetName val="העמסת הנה&quot;כ"/>
      <sheetName val="Balances Sheet (Printing)"/>
      <sheetName val="ביאורים לדוחות הכספיים"/>
      <sheetName val="יתרות בינחברתיות"/>
      <sheetName val="Revenues"/>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606-Prepaid Comm&amp;DR SUB"/>
      <sheetName val="מאזן בוחן EUROPE"/>
      <sheetName val="פ.נ. EUROPE"/>
      <sheetName val="Tax UK"/>
      <sheetName val="העמסת הנה&quot;כ (UK)"/>
      <sheetName val="NEW TP EU"/>
      <sheetName val="FS EU"/>
      <sheetName val="מאזן בוחן Australia"/>
      <sheetName val="פ.נ. Australia"/>
      <sheetName val="FS AU"/>
      <sheetName val="TP Australua"/>
      <sheetName val="Tax proforma"/>
      <sheetName val="New TB INC"/>
      <sheetName val="AJE 12 - INC"/>
      <sheetName val="Employee Stock Option Exercised"/>
      <sheetName val="NEW TP INC"/>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 val="כרטסת קו אשראי"/>
    </sheetNames>
    <sheetDataSet>
      <sheetData sheetId="0">
        <row r="37">
          <cell r="J37">
            <v>-17398155.531683121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210">
          <cell r="J210">
            <v>79437.149999999994</v>
          </cell>
        </row>
        <row r="215">
          <cell r="J215">
            <v>160947</v>
          </cell>
        </row>
      </sheetData>
      <sheetData sheetId="42"/>
      <sheetData sheetId="43"/>
      <sheetData sheetId="44"/>
      <sheetData sheetId="45"/>
      <sheetData sheetId="46"/>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 computation"/>
      <sheetName val="MAT"/>
      <sheetName val="Deferred tax"/>
      <sheetName val="P&amp;L-Apr to Mar'21"/>
      <sheetName val="FAR 20-21 upto Mar'21"/>
      <sheetName val="Sheet2"/>
      <sheetName val="Fixed Assets IT-31.03.2021"/>
      <sheetName val="Prov for Tax 31.03.2021"/>
    </sheetNames>
    <sheetDataSet>
      <sheetData sheetId="0">
        <row r="25">
          <cell r="C25">
            <v>215619.33</v>
          </cell>
        </row>
      </sheetData>
      <sheetData sheetId="1"/>
      <sheetData sheetId="2"/>
      <sheetData sheetId="3"/>
      <sheetData sheetId="4"/>
      <sheetData sheetId="5"/>
      <sheetData sheetId="6"/>
      <sheetData sheetId="7"/>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פקודות נוספות"/>
      <sheetName val="מיסים שוטפים 2021"/>
      <sheetName val="העמסת הנה&quot;כ"/>
      <sheetName val="606-Prepaid Comm&amp;DR SUB"/>
      <sheetName val="ביאורים לדוחות הכספיים"/>
      <sheetName val="יתרות בינחברתיות"/>
      <sheetName val="Accrued expenses"/>
      <sheetName val="FA"/>
      <sheetName val="Consolidation"/>
      <sheetName val="Prepaid expenses"/>
      <sheetName val="Post-Closing Withdrawl Updated"/>
      <sheetName val="Post-Closing Withdrawl"/>
      <sheetName val="נתונים לשינוי"/>
      <sheetName val="תזרים Algosec LTD בש&quot;ח"/>
      <sheetName val="תזרים מאוחד ב-$"/>
      <sheetName val="מאזן בוחן EUROPE"/>
      <sheetName val="פ.נ. EUROPE"/>
      <sheetName val="Tax UK"/>
      <sheetName val="העמסת הנה&quot;כ (UK)"/>
      <sheetName val="NEW TP EU"/>
      <sheetName val="FS EU"/>
      <sheetName val="מאזן בוחן Australia"/>
      <sheetName val="פ.נ. Australia"/>
      <sheetName val="TP Australua"/>
      <sheetName val="FS AU"/>
      <sheetName val="Tax proforma"/>
      <sheetName val="New TB INC"/>
      <sheetName val="AJE 12 - INC"/>
      <sheetName val="Employee Stock Option Exercised"/>
      <sheetName val="העמסת הנה&quot;כ (INC)"/>
      <sheetName val="Tax - Inc"/>
      <sheetName val="מאזן בוחן צרפת"/>
      <sheetName val="פ.נ. צרפת"/>
      <sheetName val="TP France"/>
      <sheetName val="FS France"/>
      <sheetName val="מאזן בוחן הודו"/>
      <sheetName val="פ.נ. הודו"/>
      <sheetName val="FS India"/>
      <sheetName val="Tax"/>
      <sheetName val="India - Allocation"/>
    </sheetNames>
    <sheetDataSet>
      <sheetData sheetId="0"/>
      <sheetData sheetId="1">
        <row r="470">
          <cell r="K470">
            <v>2518.9299999999998</v>
          </cell>
        </row>
      </sheetData>
      <sheetData sheetId="2"/>
      <sheetData sheetId="3"/>
      <sheetData sheetId="4"/>
      <sheetData sheetId="5"/>
      <sheetData sheetId="6"/>
      <sheetData sheetId="7"/>
      <sheetData sheetId="8"/>
      <sheetData sheetId="9"/>
      <sheetData sheetId="10">
        <row r="77">
          <cell r="N77">
            <v>-1695612.179048327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C1"/>
        </row>
        <row r="319">
          <cell r="J319">
            <v>46153210.880000003</v>
          </cell>
        </row>
        <row r="321">
          <cell r="J321">
            <v>22441156.16</v>
          </cell>
        </row>
        <row r="322">
          <cell r="J322">
            <v>6785515.2700000005</v>
          </cell>
        </row>
        <row r="323">
          <cell r="J323">
            <v>9627867.3300000001</v>
          </cell>
        </row>
        <row r="324">
          <cell r="J324">
            <v>893684.70000000007</v>
          </cell>
        </row>
        <row r="325">
          <cell r="J325">
            <v>18140.23</v>
          </cell>
        </row>
        <row r="326">
          <cell r="J326">
            <v>-758.88</v>
          </cell>
        </row>
        <row r="331">
          <cell r="J331">
            <v>46153210.879999995</v>
          </cell>
        </row>
      </sheetData>
      <sheetData sheetId="38"/>
      <sheetData sheetId="39">
        <row r="52">
          <cell r="C52">
            <v>46153210.880000003</v>
          </cell>
        </row>
      </sheetData>
      <sheetData sheetId="40"/>
      <sheetData sheetId="4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2">
          <cell r="F12">
            <v>75992</v>
          </cell>
        </row>
        <row r="14">
          <cell r="F14">
            <v>166695</v>
          </cell>
        </row>
        <row r="17">
          <cell r="F17">
            <v>18250</v>
          </cell>
        </row>
        <row r="18">
          <cell r="F18">
            <v>6100</v>
          </cell>
        </row>
        <row r="21">
          <cell r="F21">
            <v>25000</v>
          </cell>
        </row>
        <row r="23">
          <cell r="F23">
            <v>11550</v>
          </cell>
        </row>
        <row r="24">
          <cell r="F24">
            <v>3250</v>
          </cell>
        </row>
        <row r="25">
          <cell r="F25">
            <v>26694.9</v>
          </cell>
        </row>
        <row r="26">
          <cell r="F26">
            <v>72500</v>
          </cell>
        </row>
        <row r="31">
          <cell r="F31">
            <v>406031.9</v>
          </cell>
        </row>
      </sheetData>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Comm. Report "/>
    </sheetNames>
    <sheetDataSet>
      <sheetData sheetId="0">
        <row r="183">
          <cell r="P183">
            <v>1119.75</v>
          </cell>
        </row>
        <row r="184">
          <cell r="P184">
            <v>346.60500000000002</v>
          </cell>
        </row>
        <row r="186">
          <cell r="P186">
            <v>2359.8553733333324</v>
          </cell>
        </row>
      </sheetData>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Comm. Report "/>
    </sheetNames>
    <sheetDataSet>
      <sheetData sheetId="0">
        <row r="314">
          <cell r="P314">
            <v>138.85</v>
          </cell>
        </row>
        <row r="315">
          <cell r="P315">
            <v>42.979019999999998</v>
          </cell>
        </row>
        <row r="319">
          <cell r="P319">
            <v>329.01256040000101</v>
          </cell>
        </row>
      </sheetData>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Comm. Report "/>
    </sheetNames>
    <sheetDataSet>
      <sheetData sheetId="0">
        <row r="104">
          <cell r="P104">
            <v>291.13499999999999</v>
          </cell>
        </row>
        <row r="105">
          <cell r="Q105">
            <v>180.2346</v>
          </cell>
        </row>
      </sheetData>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 computation"/>
      <sheetName val="Deferred tax"/>
      <sheetName val="MAT"/>
      <sheetName val="P&amp;L-Apr to mar'21 Final"/>
      <sheetName val="FAR 20-21 upto Mar'21"/>
      <sheetName val="Sheet2"/>
      <sheetName val="Fixed Assets IT-31.03.2021"/>
      <sheetName val="Prov for Tax 31.03.2021"/>
    </sheetNames>
    <sheetDataSet>
      <sheetData sheetId="0">
        <row r="30">
          <cell r="D30">
            <v>717638</v>
          </cell>
        </row>
      </sheetData>
      <sheetData sheetId="1">
        <row r="15">
          <cell r="J15">
            <v>2172981.33</v>
          </cell>
        </row>
      </sheetData>
      <sheetData sheetId="2"/>
      <sheetData sheetId="3"/>
      <sheetData sheetId="4"/>
      <sheetData sheetId="5"/>
      <sheetData sheetId="6"/>
      <sheetData sheetId="7"/>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55">
          <cell r="F55">
            <v>2102500</v>
          </cell>
        </row>
      </sheetData>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5">
          <cell r="L5">
            <v>548000</v>
          </cell>
        </row>
        <row r="6">
          <cell r="L6">
            <v>72500</v>
          </cell>
        </row>
        <row r="9">
          <cell r="L9">
            <v>548000</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5.bin"/><Relationship Id="rId6" Type="http://schemas.openxmlformats.org/officeDocument/2006/relationships/comments" Target="../comments4.xml"/><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7.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fbil.org.in/" TargetMode="External"/><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5" Type="http://schemas.openxmlformats.org/officeDocument/2006/relationships/drawing" Target="../drawings/drawing7.xml"/><Relationship Id="rId4"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1.bin"/><Relationship Id="rId4"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4.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35.bin"/><Relationship Id="rId4" Type="http://schemas.openxmlformats.org/officeDocument/2006/relationships/comments" Target="../comments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36.bin"/><Relationship Id="rId4" Type="http://schemas.openxmlformats.org/officeDocument/2006/relationships/comments" Target="../comments10.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8.bin"/></Relationships>
</file>

<file path=xl/worksheets/_rels/sheet27.xml.rels><?xml version="1.0" encoding="UTF-8" standalone="yes"?>
<Relationships xmlns="http://schemas.openxmlformats.org/package/2006/relationships"><Relationship Id="rId1" Type="http://schemas.openxmlformats.org/officeDocument/2006/relationships/hyperlink" Target="https://www.ato.gov.au/Rates/Changes-to-company-tax-rates/?page=1" TargetMode="Externa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39.bin"/><Relationship Id="rId4" Type="http://schemas.openxmlformats.org/officeDocument/2006/relationships/comments" Target="../comments11.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40.bin"/><Relationship Id="rId4" Type="http://schemas.openxmlformats.org/officeDocument/2006/relationships/comments" Target="../comments12.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4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5.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0.xml"/><Relationship Id="rId1" Type="http://schemas.openxmlformats.org/officeDocument/2006/relationships/printerSettings" Target="../printerSettings/printerSettings46.bin"/><Relationship Id="rId4" Type="http://schemas.openxmlformats.org/officeDocument/2006/relationships/comments" Target="../comments16.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8.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4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transitionEntry="1" codeName="Sheet8">
    <pageSetUpPr fitToPage="1"/>
  </sheetPr>
  <dimension ref="A1:Y218"/>
  <sheetViews>
    <sheetView rightToLeft="1" topLeftCell="A24" zoomScale="70" zoomScaleNormal="70" workbookViewId="0">
      <selection activeCell="Q64" sqref="Q64"/>
    </sheetView>
  </sheetViews>
  <sheetFormatPr defaultColWidth="9.83203125" defaultRowHeight="12.75"/>
  <cols>
    <col min="1" max="1" width="25.83203125" style="137" customWidth="1"/>
    <col min="2" max="2" width="8.83203125" style="491" bestFit="1" customWidth="1"/>
    <col min="3" max="3" width="19.5" style="141" customWidth="1"/>
    <col min="4" max="4" width="18.1640625" style="141" bestFit="1" customWidth="1"/>
    <col min="5" max="5" width="8" style="1378" customWidth="1"/>
    <col min="6" max="7" width="19.33203125" style="141" hidden="1" customWidth="1"/>
    <col min="8" max="8" width="42.1640625" style="141" customWidth="1"/>
    <col min="9" max="9" width="8.83203125" style="493" customWidth="1"/>
    <col min="10" max="10" width="18.1640625" style="141" customWidth="1"/>
    <col min="11" max="11" width="18.33203125" style="141" bestFit="1" customWidth="1"/>
    <col min="12" max="12" width="18.33203125" style="141" hidden="1" customWidth="1"/>
    <col min="13" max="13" width="16.6640625" style="141" hidden="1" customWidth="1"/>
    <col min="14" max="14" width="42.5" style="141" customWidth="1"/>
    <col min="15" max="15" width="10.1640625" style="493" customWidth="1"/>
    <col min="16" max="17" width="19.33203125" style="141" customWidth="1"/>
    <col min="18" max="18" width="9.83203125" style="141" hidden="1" customWidth="1"/>
    <col min="19" max="19" width="16.1640625" style="141" hidden="1" customWidth="1"/>
    <col min="20" max="20" width="28.1640625" style="141" hidden="1" customWidth="1"/>
    <col min="21" max="21" width="13.5" style="141" bestFit="1" customWidth="1"/>
    <col min="22" max="22" width="11.83203125" style="141" bestFit="1" customWidth="1"/>
    <col min="23" max="23" width="11.83203125" style="137" bestFit="1" customWidth="1"/>
    <col min="24" max="24" width="10.6640625" style="137" bestFit="1" customWidth="1"/>
    <col min="25" max="16384" width="9.83203125" style="137"/>
  </cols>
  <sheetData>
    <row r="1" spans="1:25" ht="17.100000000000001" customHeight="1">
      <c r="A1" s="4306" t="s">
        <v>279</v>
      </c>
      <c r="B1" s="4307"/>
      <c r="C1" s="4307"/>
      <c r="D1" s="4307"/>
      <c r="E1" s="4307"/>
      <c r="F1" s="1132"/>
      <c r="G1" s="1132"/>
      <c r="H1" s="4306" t="s">
        <v>279</v>
      </c>
      <c r="I1" s="4307"/>
      <c r="J1" s="4307"/>
      <c r="K1" s="502"/>
      <c r="L1" s="528"/>
      <c r="M1" s="528"/>
      <c r="N1" s="4306" t="s">
        <v>279</v>
      </c>
      <c r="O1" s="4307"/>
      <c r="P1" s="4307"/>
      <c r="Q1" s="4308"/>
    </row>
    <row r="2" spans="1:25" ht="17.100000000000001" customHeight="1">
      <c r="F2" s="502"/>
      <c r="G2" s="502"/>
      <c r="H2" s="145"/>
      <c r="L2" s="419"/>
      <c r="M2" s="419"/>
      <c r="N2" s="145"/>
      <c r="O2" s="2042"/>
      <c r="P2" s="2102"/>
      <c r="Q2" s="2103"/>
    </row>
    <row r="3" spans="1:25" ht="17.100000000000001" customHeight="1">
      <c r="A3" s="2043"/>
      <c r="B3" s="2008"/>
      <c r="E3" s="2104"/>
      <c r="F3" s="2102"/>
      <c r="G3" s="2102"/>
      <c r="H3" s="145"/>
      <c r="I3" s="2105"/>
      <c r="J3" s="2102"/>
      <c r="K3" s="2102"/>
      <c r="L3" s="52"/>
      <c r="M3" s="52"/>
      <c r="N3" s="2044"/>
      <c r="O3" s="2045"/>
      <c r="P3" s="502" t="s">
        <v>1</v>
      </c>
      <c r="Q3" s="2106"/>
    </row>
    <row r="4" spans="1:25" ht="17.100000000000001" customHeight="1">
      <c r="A4" s="2046"/>
      <c r="B4" s="2008"/>
      <c r="E4" s="2047"/>
      <c r="F4" s="502"/>
      <c r="G4" s="502"/>
      <c r="H4" s="145"/>
      <c r="I4" s="2048"/>
      <c r="J4" s="502" t="s">
        <v>2</v>
      </c>
      <c r="K4" s="502"/>
      <c r="L4" s="52"/>
      <c r="M4" s="52"/>
      <c r="N4" s="2049"/>
      <c r="O4" s="2042"/>
      <c r="P4" s="63"/>
      <c r="Q4" s="2050"/>
    </row>
    <row r="5" spans="1:25" ht="17.100000000000001" customHeight="1">
      <c r="A5" s="1466"/>
      <c r="B5" s="2008"/>
      <c r="C5" s="2107">
        <f>'נתונים לשינוי'!$C$1</f>
        <v>44561</v>
      </c>
      <c r="D5" s="2107"/>
      <c r="E5" s="2108"/>
      <c r="F5" s="2107" t="str">
        <f>L5</f>
        <v>דצמבר 2007</v>
      </c>
      <c r="G5" s="2107" t="str">
        <f>F5</f>
        <v>דצמבר 2007</v>
      </c>
      <c r="H5" s="145"/>
      <c r="I5" s="559"/>
      <c r="J5" s="2107"/>
      <c r="K5" s="2107"/>
      <c r="L5" s="2109" t="s">
        <v>216</v>
      </c>
      <c r="M5" s="2109" t="s">
        <v>216</v>
      </c>
      <c r="N5" s="2051"/>
      <c r="O5" s="559"/>
      <c r="P5" s="505"/>
      <c r="Q5" s="2110"/>
      <c r="T5" s="141" t="s">
        <v>208</v>
      </c>
      <c r="W5" s="141"/>
    </row>
    <row r="6" spans="1:25" ht="17.100000000000001" customHeight="1">
      <c r="A6" s="1466"/>
      <c r="B6" s="2008"/>
      <c r="C6" s="50" t="s">
        <v>3</v>
      </c>
      <c r="D6" s="50"/>
      <c r="E6" s="2052"/>
      <c r="F6" s="50" t="s">
        <v>3</v>
      </c>
      <c r="G6" s="50" t="s">
        <v>4</v>
      </c>
      <c r="H6" s="145"/>
      <c r="I6" s="2053"/>
      <c r="J6" s="50" t="s">
        <v>3</v>
      </c>
      <c r="K6" s="50"/>
      <c r="L6" s="50" t="s">
        <v>3</v>
      </c>
      <c r="M6" s="50" t="s">
        <v>4</v>
      </c>
      <c r="N6" s="2054"/>
      <c r="O6" s="2055"/>
      <c r="P6" s="714" t="s">
        <v>146</v>
      </c>
      <c r="Q6" s="1558" t="s">
        <v>146</v>
      </c>
      <c r="S6" s="1936" t="s">
        <v>204</v>
      </c>
      <c r="T6" s="1936" t="s">
        <v>205</v>
      </c>
      <c r="W6" s="141"/>
    </row>
    <row r="7" spans="1:25" ht="17.100000000000001" customHeight="1" thickBot="1">
      <c r="A7" s="2111" t="s">
        <v>5</v>
      </c>
      <c r="B7" s="2112"/>
      <c r="C7" s="714" t="s">
        <v>146</v>
      </c>
      <c r="D7" s="714" t="s">
        <v>146</v>
      </c>
      <c r="E7" s="2056"/>
      <c r="F7" s="52"/>
      <c r="G7" s="52"/>
      <c r="H7" s="2054" t="s">
        <v>6</v>
      </c>
      <c r="I7" s="2113"/>
      <c r="J7" s="714" t="s">
        <v>146</v>
      </c>
      <c r="K7" s="714" t="s">
        <v>146</v>
      </c>
      <c r="L7" s="52"/>
      <c r="M7" s="52"/>
      <c r="N7" s="2054"/>
      <c r="O7" s="2055"/>
      <c r="P7" s="381" t="s">
        <v>147</v>
      </c>
      <c r="Q7" s="2057" t="s">
        <v>4</v>
      </c>
      <c r="S7" s="2057" t="s">
        <v>4</v>
      </c>
      <c r="T7" s="2057" t="s">
        <v>4</v>
      </c>
      <c r="W7" s="141"/>
    </row>
    <row r="8" spans="1:25" ht="17.100000000000001" customHeight="1">
      <c r="A8" s="2114" t="s">
        <v>7</v>
      </c>
      <c r="B8" s="2115"/>
      <c r="C8" s="381" t="s">
        <v>147</v>
      </c>
      <c r="D8" s="381" t="s">
        <v>4</v>
      </c>
      <c r="E8" s="2058"/>
      <c r="F8" s="272"/>
      <c r="G8" s="272"/>
      <c r="H8" s="2054" t="s">
        <v>8</v>
      </c>
      <c r="I8" s="2113"/>
      <c r="J8" s="381" t="s">
        <v>147</v>
      </c>
      <c r="K8" s="381" t="s">
        <v>4</v>
      </c>
      <c r="L8" s="52"/>
      <c r="M8" s="52"/>
      <c r="N8" s="1091" t="s">
        <v>211</v>
      </c>
      <c r="O8" s="2059"/>
      <c r="P8" s="1132"/>
      <c r="Q8" s="1092"/>
      <c r="R8" s="2060" t="e">
        <f>P8/Q8</f>
        <v>#DIV/0!</v>
      </c>
      <c r="W8" s="141"/>
    </row>
    <row r="9" spans="1:25" ht="18" customHeight="1">
      <c r="A9" s="2076" t="s">
        <v>10</v>
      </c>
      <c r="B9" s="2061">
        <f t="shared" ref="B9:B42" si="0">IF(C9=0,"",C9/D9)</f>
        <v>3.1099992430914067</v>
      </c>
      <c r="C9" s="141">
        <f>ROUND(('מאזן בוחן'!J10),0)</f>
        <v>5177110</v>
      </c>
      <c r="D9" s="141">
        <f>ROUND(('מאזן בוחן'!K10),0)</f>
        <v>1664666</v>
      </c>
      <c r="E9" s="1176"/>
      <c r="F9" s="52"/>
      <c r="G9" s="52"/>
      <c r="H9" s="145" t="s">
        <v>11</v>
      </c>
      <c r="I9" s="2053"/>
      <c r="J9" s="2062">
        <f>-ROUND('מאזן בוחן'!J195,0)</f>
        <v>0</v>
      </c>
      <c r="K9" s="2062"/>
      <c r="L9" s="2063">
        <v>275737.65000000002</v>
      </c>
      <c r="M9" s="2063">
        <v>62440.591032608696</v>
      </c>
      <c r="N9" s="145" t="s">
        <v>201</v>
      </c>
      <c r="O9" s="559"/>
      <c r="P9" s="52"/>
      <c r="Q9" s="565"/>
      <c r="R9" s="2060" t="e">
        <f>P10/Q9</f>
        <v>#DIV/0!</v>
      </c>
      <c r="W9" s="141"/>
    </row>
    <row r="10" spans="1:25" ht="17.100000000000001" customHeight="1">
      <c r="A10" s="2076" t="s">
        <v>12</v>
      </c>
      <c r="B10" s="2061">
        <f t="shared" si="0"/>
        <v>3.1099999701179741</v>
      </c>
      <c r="C10" s="141">
        <f>ROUND(('מאזן בוחן'!J22),0)</f>
        <v>12489113</v>
      </c>
      <c r="D10" s="141">
        <f>ROUND(('מאזן בוחן'!K22),0)</f>
        <v>4015792</v>
      </c>
      <c r="E10" s="1176"/>
      <c r="H10" s="145" t="s">
        <v>13</v>
      </c>
      <c r="I10" s="2053"/>
      <c r="J10" s="2064">
        <f>ROUND((0),0)</f>
        <v>0</v>
      </c>
      <c r="K10" s="1319">
        <f>ROUND((0),0)</f>
        <v>0</v>
      </c>
      <c r="L10" s="2065">
        <v>0</v>
      </c>
      <c r="M10" s="2065">
        <v>0</v>
      </c>
      <c r="N10" s="145" t="s">
        <v>202</v>
      </c>
      <c r="O10" s="559"/>
      <c r="P10" s="1319"/>
      <c r="Q10" s="2066"/>
      <c r="R10" s="2060" t="e">
        <f>#REF!/Q10</f>
        <v>#REF!</v>
      </c>
      <c r="S10" s="141" t="s">
        <v>210</v>
      </c>
      <c r="W10" s="141"/>
    </row>
    <row r="11" spans="1:25" ht="17.100000000000001" customHeight="1" thickBot="1">
      <c r="A11" s="2076" t="s">
        <v>14</v>
      </c>
      <c r="B11" s="2061" t="str">
        <f t="shared" si="0"/>
        <v/>
      </c>
      <c r="C11" s="141">
        <f>ROUND(('מאזן בוחן'!J14),0)</f>
        <v>0</v>
      </c>
      <c r="D11" s="141">
        <f>ROUND(('מאזן בוחן'!K14),0)</f>
        <v>0</v>
      </c>
      <c r="E11" s="1176"/>
      <c r="H11" s="145"/>
      <c r="I11" s="2053"/>
      <c r="J11" s="2067">
        <f>SUM(J9:J10)</f>
        <v>0</v>
      </c>
      <c r="K11" s="2068">
        <f>SUM(K9:K10)</f>
        <v>0</v>
      </c>
      <c r="L11" s="2065">
        <v>275737.65000000002</v>
      </c>
      <c r="M11" s="2065">
        <v>62440.591032608696</v>
      </c>
      <c r="N11" s="149" t="s">
        <v>203</v>
      </c>
      <c r="O11" s="2069"/>
      <c r="P11" s="150">
        <f>SUM(P8:P10)</f>
        <v>0</v>
      </c>
      <c r="Q11" s="1097">
        <f>SUM(Q8:Q10)</f>
        <v>0</v>
      </c>
      <c r="W11" s="141"/>
    </row>
    <row r="12" spans="1:25" ht="17.100000000000001" customHeight="1">
      <c r="A12" s="2076" t="s">
        <v>16</v>
      </c>
      <c r="B12" s="2061" t="str">
        <f t="shared" si="0"/>
        <v/>
      </c>
      <c r="C12" s="52">
        <v>0</v>
      </c>
      <c r="D12" s="52">
        <v>0</v>
      </c>
      <c r="E12" s="1176"/>
      <c r="F12" s="1319"/>
      <c r="G12" s="1319"/>
      <c r="H12" s="2081" t="s">
        <v>18</v>
      </c>
      <c r="I12" s="2070"/>
      <c r="J12" s="52"/>
      <c r="K12" s="52"/>
      <c r="L12" s="52"/>
      <c r="M12" s="52"/>
      <c r="N12" s="2081" t="s">
        <v>9</v>
      </c>
      <c r="O12" s="2070">
        <f t="shared" ref="O12:O24" si="1">IF(P12=0,"",P12/Q12)</f>
        <v>3.2708073227712977</v>
      </c>
      <c r="P12" s="50">
        <f>-'מאזן בוחן'!J564</f>
        <v>141573948.94999999</v>
      </c>
      <c r="Q12" s="2071">
        <f>-'מאזן בוחן'!K564</f>
        <v>43284099.299999997</v>
      </c>
      <c r="S12" s="141">
        <f>Q12/12</f>
        <v>3607008.2749999999</v>
      </c>
      <c r="T12" s="2072">
        <f>S12*12</f>
        <v>43284099.299999997</v>
      </c>
      <c r="U12" s="519"/>
      <c r="W12" s="141"/>
      <c r="X12" s="140"/>
    </row>
    <row r="13" spans="1:25" ht="17.100000000000001" customHeight="1">
      <c r="A13" s="2076" t="s">
        <v>165</v>
      </c>
      <c r="B13" s="2061" t="str">
        <f t="shared" si="0"/>
        <v/>
      </c>
      <c r="C13" s="1319">
        <f>ROUND(('מאזן בוחן'!J29),0)</f>
        <v>0</v>
      </c>
      <c r="D13" s="1319">
        <f>ROUND(('מאזן בוחן'!K29),0)</f>
        <v>0</v>
      </c>
      <c r="E13" s="1176"/>
      <c r="F13" s="2073"/>
      <c r="G13" s="2073"/>
      <c r="H13" s="2076" t="s">
        <v>217</v>
      </c>
      <c r="I13" s="2070">
        <f t="shared" ref="I13:I19" si="2">IF(J13=0,"",J13/K13)</f>
        <v>3.1099992806146708</v>
      </c>
      <c r="J13" s="52">
        <f>ROUND((-SUM('מאזן בוחן'!J199:J447)),0)</f>
        <v>7089940</v>
      </c>
      <c r="K13" s="52">
        <f>ROUND((-SUM('מאזן בוחן'!K199:K447)),0)</f>
        <v>2279724</v>
      </c>
      <c r="L13" s="52"/>
      <c r="M13" s="52"/>
      <c r="N13" s="2054"/>
      <c r="O13" s="2070" t="str">
        <f t="shared" si="1"/>
        <v/>
      </c>
      <c r="P13" s="50"/>
      <c r="Q13" s="2071"/>
      <c r="S13" s="141">
        <f>Q13/10</f>
        <v>0</v>
      </c>
      <c r="W13" s="141"/>
      <c r="X13" s="140"/>
    </row>
    <row r="14" spans="1:25" ht="17.100000000000001" customHeight="1">
      <c r="A14" s="2114"/>
      <c r="B14" s="2061">
        <f t="shared" si="0"/>
        <v>3.1099997570618427</v>
      </c>
      <c r="C14" s="2074">
        <f>SUM(C9:C13)</f>
        <v>17666223</v>
      </c>
      <c r="D14" s="2074">
        <f>SUM(D9:D13)</f>
        <v>5680458</v>
      </c>
      <c r="E14" s="1176"/>
      <c r="F14" s="272"/>
      <c r="G14" s="272"/>
      <c r="H14" s="2076" t="s">
        <v>419</v>
      </c>
      <c r="I14" s="2070">
        <f t="shared" si="2"/>
        <v>3.1099996597301049</v>
      </c>
      <c r="J14" s="52">
        <f>ROUND((-'מאזן בוחן'!J464),0)</f>
        <v>3564523</v>
      </c>
      <c r="K14" s="52">
        <f>ROUND((-'מאזן בוחן'!K464),0)</f>
        <v>1146149</v>
      </c>
      <c r="L14" s="52">
        <v>444746</v>
      </c>
      <c r="M14" s="52">
        <v>100712</v>
      </c>
      <c r="N14" s="2081" t="s">
        <v>212</v>
      </c>
      <c r="O14" s="2070" t="str">
        <f t="shared" si="1"/>
        <v/>
      </c>
      <c r="P14" s="454"/>
      <c r="Q14" s="565"/>
      <c r="S14" s="141">
        <f>Q14/10</f>
        <v>0</v>
      </c>
      <c r="W14" s="141"/>
      <c r="X14" s="140"/>
    </row>
    <row r="15" spans="1:25" ht="17.100000000000001" customHeight="1">
      <c r="B15" s="2061" t="str">
        <f t="shared" si="0"/>
        <v/>
      </c>
      <c r="E15" s="1176"/>
      <c r="F15" s="272"/>
      <c r="G15" s="272"/>
      <c r="H15" s="2076" t="s">
        <v>420</v>
      </c>
      <c r="I15" s="2070">
        <f t="shared" si="2"/>
        <v>3.1099993291074317</v>
      </c>
      <c r="J15" s="52">
        <f>ROUND((-'מאזן בוחן'!J468),0)</f>
        <v>5748162</v>
      </c>
      <c r="K15" s="52">
        <f>ROUND((-'מאזן בוחן'!K468),0)</f>
        <v>1848284</v>
      </c>
      <c r="L15" s="2075">
        <v>250806</v>
      </c>
      <c r="M15" s="2075">
        <v>56795</v>
      </c>
      <c r="N15" s="2076" t="s">
        <v>15</v>
      </c>
      <c r="O15" s="2070">
        <f t="shared" si="1"/>
        <v>3.2291752459540142</v>
      </c>
      <c r="P15" s="52">
        <f>ROUND('מאזן בוחן'!J595,0)</f>
        <v>65829395</v>
      </c>
      <c r="Q15" s="565">
        <f>ROUND('מאזן בוחן'!K595,0)</f>
        <v>20385823</v>
      </c>
      <c r="S15" s="141">
        <f>Q15/12</f>
        <v>1698818.5833333333</v>
      </c>
      <c r="T15" s="141">
        <f>S15*12</f>
        <v>20385823</v>
      </c>
      <c r="U15" s="519"/>
      <c r="W15" s="141"/>
      <c r="Y15" s="2077"/>
    </row>
    <row r="16" spans="1:25" ht="17.100000000000001" customHeight="1">
      <c r="A16" s="2114"/>
      <c r="B16" s="2061" t="str">
        <f t="shared" si="0"/>
        <v/>
      </c>
      <c r="C16" s="272"/>
      <c r="D16" s="272"/>
      <c r="E16" s="1176"/>
      <c r="F16" s="272"/>
      <c r="G16" s="272"/>
      <c r="H16" s="2076" t="s">
        <v>1504</v>
      </c>
      <c r="I16" s="2070" t="str">
        <f t="shared" si="2"/>
        <v/>
      </c>
      <c r="J16" s="52">
        <f>ROUND((-'מאזן בוחן'!J492),0)+ROUND((-'מאזן בוחן'!J491),0)</f>
        <v>0</v>
      </c>
      <c r="K16" s="52">
        <f>ROUND((-'מאזן בוחן'!K492),0)+ROUND((-'מאזן בוחן'!K491),0)</f>
        <v>0</v>
      </c>
      <c r="L16" s="2075"/>
      <c r="M16" s="2075"/>
      <c r="N16" s="2076" t="s">
        <v>161</v>
      </c>
      <c r="O16" s="2070">
        <f t="shared" si="1"/>
        <v>3.2331617135109383</v>
      </c>
      <c r="P16" s="52">
        <f>ROUND('מאזן בוחן'!J618,0)</f>
        <v>7058380</v>
      </c>
      <c r="Q16" s="565">
        <f>ROUND('מאזן בוחן'!K618,0)</f>
        <v>2183120</v>
      </c>
      <c r="S16" s="141">
        <f t="shared" ref="S16:S22" si="3">Q16/12</f>
        <v>181926.66666666666</v>
      </c>
      <c r="T16" s="141">
        <f t="shared" ref="T16:T22" si="4">S16*12</f>
        <v>2183120</v>
      </c>
      <c r="U16" s="519"/>
      <c r="W16" s="141"/>
      <c r="Y16" s="2077"/>
    </row>
    <row r="17" spans="1:25" ht="17.100000000000001" customHeight="1">
      <c r="A17" s="2116"/>
      <c r="B17" s="2061" t="str">
        <f t="shared" si="0"/>
        <v/>
      </c>
      <c r="C17" s="454"/>
      <c r="D17" s="454"/>
      <c r="E17" s="1176"/>
      <c r="F17" s="454"/>
      <c r="G17" s="454"/>
      <c r="H17" s="2076" t="s">
        <v>418</v>
      </c>
      <c r="I17" s="2070">
        <f t="shared" si="2"/>
        <v>3.1099996315066889</v>
      </c>
      <c r="J17" s="52">
        <f>ROUND((-'מאזן בוחן'!J474),0)</f>
        <v>8524170</v>
      </c>
      <c r="K17" s="52">
        <f>ROUND((-'מאזן בוחן'!K474),0)</f>
        <v>2740891</v>
      </c>
      <c r="L17" s="52">
        <v>249122.97</v>
      </c>
      <c r="M17" s="52">
        <v>56413.716032608689</v>
      </c>
      <c r="N17" s="2076" t="s">
        <v>166</v>
      </c>
      <c r="O17" s="2070" t="str">
        <f t="shared" si="1"/>
        <v/>
      </c>
      <c r="P17" s="52">
        <f>ROUND(('מאזן בוחן'!J623),0)</f>
        <v>0</v>
      </c>
      <c r="Q17" s="565">
        <f>ROUND(('מאזן בוחן'!K623),0)</f>
        <v>0</v>
      </c>
      <c r="S17" s="141">
        <f t="shared" si="3"/>
        <v>0</v>
      </c>
      <c r="T17" s="141">
        <f t="shared" si="4"/>
        <v>0</v>
      </c>
      <c r="U17" s="519"/>
      <c r="W17" s="141"/>
      <c r="Y17" s="2077"/>
    </row>
    <row r="18" spans="1:25" ht="17.100000000000001" customHeight="1">
      <c r="A18" s="2116" t="s">
        <v>23</v>
      </c>
      <c r="B18" s="2061" t="str">
        <f t="shared" si="0"/>
        <v/>
      </c>
      <c r="C18" s="52"/>
      <c r="D18" s="52"/>
      <c r="E18" s="1176"/>
      <c r="F18" s="52"/>
      <c r="G18" s="52"/>
      <c r="H18" s="2076" t="s">
        <v>151</v>
      </c>
      <c r="I18" s="2070">
        <f t="shared" si="2"/>
        <v>3.1100014962797045</v>
      </c>
      <c r="J18" s="52">
        <f>ROUND((-SUM('מאזן בוחן'!J449:J456)),0)</f>
        <v>1371803</v>
      </c>
      <c r="K18" s="52">
        <f>ROUND((-SUM('מאזן בוחן'!K449:K456)),0)</f>
        <v>441094</v>
      </c>
      <c r="L18" s="52">
        <v>0</v>
      </c>
      <c r="M18" s="52">
        <v>0</v>
      </c>
      <c r="N18" s="2076" t="s">
        <v>20</v>
      </c>
      <c r="O18" s="2070" t="str">
        <f t="shared" si="1"/>
        <v/>
      </c>
      <c r="P18" s="52">
        <v>0</v>
      </c>
      <c r="Q18" s="565">
        <v>0</v>
      </c>
      <c r="S18" s="141">
        <f t="shared" si="3"/>
        <v>0</v>
      </c>
      <c r="T18" s="141">
        <f t="shared" si="4"/>
        <v>0</v>
      </c>
      <c r="U18" s="519"/>
      <c r="W18" s="141"/>
      <c r="Y18" s="2077"/>
    </row>
    <row r="19" spans="1:25" ht="16.5" customHeight="1">
      <c r="A19" s="2076" t="s">
        <v>149</v>
      </c>
      <c r="B19" s="2061">
        <f t="shared" si="0"/>
        <v>3.1100000118438986</v>
      </c>
      <c r="C19" s="52">
        <f>'מאזן בוחן'!J75</f>
        <v>13916869.699999999</v>
      </c>
      <c r="D19" s="52">
        <f>'מאזן בוחן'!K75</f>
        <v>4474877.7</v>
      </c>
      <c r="E19" s="1176"/>
      <c r="F19" s="52"/>
      <c r="G19" s="52"/>
      <c r="H19" s="2076" t="s">
        <v>471</v>
      </c>
      <c r="I19" s="2070" t="str">
        <f t="shared" si="2"/>
        <v/>
      </c>
      <c r="L19" s="2078">
        <f>ROUND((-'מאזן בוחן'!L505-'מאזן בוחן'!L456),0)</f>
        <v>0</v>
      </c>
      <c r="M19" s="2078">
        <f>ROUND((-'מאזן בוחן'!M505-'מאזן בוחן'!M456),0)</f>
        <v>14641424</v>
      </c>
      <c r="N19" s="2076" t="s">
        <v>162</v>
      </c>
      <c r="O19" s="2070" t="str">
        <f t="shared" si="1"/>
        <v/>
      </c>
      <c r="P19" s="52">
        <f>ROUND(('מאזן בוחן'!J627),0)</f>
        <v>0</v>
      </c>
      <c r="Q19" s="565">
        <f>ROUND(('מאזן בוחן'!K627),0)</f>
        <v>0</v>
      </c>
      <c r="S19" s="141">
        <f t="shared" si="3"/>
        <v>0</v>
      </c>
      <c r="T19" s="141">
        <f t="shared" si="4"/>
        <v>0</v>
      </c>
      <c r="U19" s="519"/>
      <c r="W19" s="141"/>
      <c r="Y19" s="2077"/>
    </row>
    <row r="20" spans="1:25" ht="16.5" customHeight="1">
      <c r="A20" s="2076"/>
      <c r="B20" s="2061"/>
      <c r="C20" s="52"/>
      <c r="D20" s="52"/>
      <c r="E20" s="1176"/>
      <c r="F20" s="52"/>
      <c r="G20" s="52"/>
      <c r="H20" s="2076" t="s">
        <v>2004</v>
      </c>
      <c r="I20" s="2070"/>
      <c r="J20" s="419">
        <f>-ROUND(SUM('מאזן בוחן'!J490),0)</f>
        <v>35665055</v>
      </c>
      <c r="K20" s="419">
        <f>-ROUND(SUM('מאזן בוחן'!K490),0)</f>
        <v>11467863</v>
      </c>
      <c r="L20" s="419"/>
      <c r="M20" s="419"/>
      <c r="N20" s="2076"/>
      <c r="O20" s="2070"/>
      <c r="P20" s="52"/>
      <c r="Q20" s="565"/>
      <c r="U20" s="519"/>
      <c r="W20" s="141"/>
      <c r="Y20" s="2077"/>
    </row>
    <row r="21" spans="1:25" ht="17.100000000000001" customHeight="1">
      <c r="A21" s="2076" t="s">
        <v>24</v>
      </c>
      <c r="B21" s="2061">
        <f t="shared" si="0"/>
        <v>3.1235921223829362</v>
      </c>
      <c r="C21" s="52">
        <f>ROUND(('מאזן בוחן'!J123),0)</f>
        <v>1970996</v>
      </c>
      <c r="D21" s="52">
        <f>ROUND((ROUND('מאזן בוחן'!K123,0)),0)</f>
        <v>631003</v>
      </c>
      <c r="E21" s="1176"/>
      <c r="F21" s="52"/>
      <c r="G21" s="52"/>
      <c r="H21" s="2076" t="s">
        <v>167</v>
      </c>
      <c r="I21" s="2042"/>
      <c r="J21" s="2078">
        <f>-ROUND(SUM('מאזן בוחן'!J476:J486),0)</f>
        <v>14833943</v>
      </c>
      <c r="K21" s="2078">
        <f>-ROUND(SUM('מאזן בוחן'!K476:K486),0)</f>
        <v>4237920</v>
      </c>
      <c r="L21" s="2079">
        <v>1737091.97</v>
      </c>
      <c r="M21" s="2079">
        <v>393362.7160326087</v>
      </c>
      <c r="N21" s="2076" t="s">
        <v>21</v>
      </c>
      <c r="O21" s="2070" t="str">
        <f t="shared" si="1"/>
        <v/>
      </c>
      <c r="P21" s="52">
        <v>0</v>
      </c>
      <c r="Q21" s="565">
        <v>0</v>
      </c>
      <c r="S21" s="141">
        <f t="shared" si="3"/>
        <v>0</v>
      </c>
      <c r="T21" s="141">
        <f t="shared" si="4"/>
        <v>0</v>
      </c>
      <c r="U21" s="519"/>
      <c r="W21" s="141"/>
      <c r="Y21" s="2077"/>
    </row>
    <row r="22" spans="1:25" ht="17.100000000000001" customHeight="1">
      <c r="A22" s="2076" t="s">
        <v>228</v>
      </c>
      <c r="B22" s="2061" t="str">
        <f t="shared" si="0"/>
        <v/>
      </c>
      <c r="C22" s="52">
        <f>ROUND(('מאזן בוחן'!J126),0)</f>
        <v>0</v>
      </c>
      <c r="D22" s="52">
        <f>ROUND((ROUND('מאזן בוחן'!K126,0)),0)</f>
        <v>0</v>
      </c>
      <c r="E22" s="1176"/>
      <c r="F22" s="52"/>
      <c r="G22" s="52"/>
      <c r="H22" s="2076"/>
      <c r="I22" s="2070">
        <f>IF(J22=0,"",J22/K22)</f>
        <v>3.1784551934500254</v>
      </c>
      <c r="J22" s="2080">
        <f>SUM(J13:J21)</f>
        <v>76797596</v>
      </c>
      <c r="K22" s="2080">
        <f>SUM(K13:K21)</f>
        <v>24161925</v>
      </c>
      <c r="L22" s="2079"/>
      <c r="M22" s="2079"/>
      <c r="N22" s="2076" t="s">
        <v>22</v>
      </c>
      <c r="O22" s="2070">
        <f t="shared" si="1"/>
        <v>3.313031010875342</v>
      </c>
      <c r="P22" s="52">
        <f>'מאזן בוחן'!J629</f>
        <v>6956062.0089417985</v>
      </c>
      <c r="Q22" s="565">
        <f>'מאזן בוחן'!K629</f>
        <v>2099606.6701784129</v>
      </c>
      <c r="S22" s="141">
        <f t="shared" si="3"/>
        <v>174967.22251486775</v>
      </c>
      <c r="T22" s="141">
        <f t="shared" si="4"/>
        <v>2099606.6701784129</v>
      </c>
      <c r="U22" s="519"/>
      <c r="W22" s="141"/>
      <c r="Y22" s="2077"/>
    </row>
    <row r="23" spans="1:25" ht="17.100000000000001" customHeight="1">
      <c r="A23" s="2076" t="s">
        <v>25</v>
      </c>
      <c r="B23" s="2061">
        <f t="shared" si="0"/>
        <v>3.301084667646708</v>
      </c>
      <c r="C23" s="52">
        <f>ROUND(('מאזן בוחן'!J141),0)</f>
        <v>2658720</v>
      </c>
      <c r="D23" s="52">
        <f>ROUND(('מאזן בוחן'!K141),0)</f>
        <v>805408</v>
      </c>
      <c r="E23" s="1176"/>
      <c r="F23" s="52"/>
      <c r="G23" s="52"/>
      <c r="H23" s="2076"/>
      <c r="I23" s="2070" t="str">
        <f t="shared" ref="I23:I40" si="5">IF(J23=0,"",J23/K23)</f>
        <v/>
      </c>
      <c r="J23" s="52"/>
      <c r="K23" s="52"/>
      <c r="L23" s="52"/>
      <c r="M23" s="52"/>
      <c r="N23" s="2081"/>
      <c r="O23" s="2070">
        <f t="shared" si="1"/>
        <v>3.2366652306870027</v>
      </c>
      <c r="P23" s="94">
        <f>SUM(P15:P22)</f>
        <v>79843837.008941799</v>
      </c>
      <c r="Q23" s="2082">
        <f>SUM(Q15:Q22)</f>
        <v>24668549.670178413</v>
      </c>
      <c r="S23" s="2082">
        <f>SUM(S15:S22)</f>
        <v>2055712.4725148678</v>
      </c>
      <c r="T23" s="2082">
        <f>SUM(T15:T22)</f>
        <v>24668549.670178413</v>
      </c>
      <c r="U23" s="519"/>
      <c r="X23" s="647"/>
      <c r="Y23" s="2077"/>
    </row>
    <row r="24" spans="1:25" ht="17.100000000000001" customHeight="1" thickBot="1">
      <c r="A24" s="2076" t="s">
        <v>153</v>
      </c>
      <c r="B24" s="2061" t="str">
        <f t="shared" si="0"/>
        <v/>
      </c>
      <c r="C24" s="52"/>
      <c r="D24" s="52"/>
      <c r="E24" s="1176"/>
      <c r="F24" s="52"/>
      <c r="G24" s="52"/>
      <c r="H24" s="2117" t="s">
        <v>27</v>
      </c>
      <c r="I24" s="2070">
        <f t="shared" si="5"/>
        <v>3.1784551934500254</v>
      </c>
      <c r="J24" s="2083">
        <f>J22+J11</f>
        <v>76797596</v>
      </c>
      <c r="K24" s="2083">
        <f>K22+K11</f>
        <v>24161925</v>
      </c>
      <c r="L24" s="2083">
        <v>2012829.62</v>
      </c>
      <c r="M24" s="2083">
        <v>455803.30706521741</v>
      </c>
      <c r="N24" s="2081" t="s">
        <v>297</v>
      </c>
      <c r="O24" s="2070" t="str">
        <f t="shared" si="1"/>
        <v/>
      </c>
      <c r="P24" s="52"/>
      <c r="Q24" s="565"/>
      <c r="S24" s="141">
        <f>Q24/10</f>
        <v>0</v>
      </c>
      <c r="U24" s="519"/>
      <c r="W24" s="141"/>
    </row>
    <row r="25" spans="1:25" ht="17.100000000000001" customHeight="1">
      <c r="A25" s="2076" t="s">
        <v>1928</v>
      </c>
      <c r="B25" s="2061">
        <f t="shared" si="0"/>
        <v>3.1099999992633558</v>
      </c>
      <c r="C25" s="141">
        <f>('מאזן בוחן'!J501+'מאזן בוחן'!J503)</f>
        <v>-16043023.880000001</v>
      </c>
      <c r="D25" s="141">
        <f>('מאזן בוחן'!K501+'מאזן בוחן'!K503)</f>
        <v>-5158528.58</v>
      </c>
      <c r="E25" s="141"/>
      <c r="H25" s="2076"/>
      <c r="I25" s="2070" t="str">
        <f t="shared" si="5"/>
        <v/>
      </c>
      <c r="J25" s="52"/>
      <c r="K25" s="52"/>
      <c r="L25" s="52"/>
      <c r="M25" s="52"/>
      <c r="N25" s="145" t="s">
        <v>198</v>
      </c>
      <c r="O25" s="2070">
        <f>IF(P31=0,"",P31/Q31)</f>
        <v>3.2756523733092378</v>
      </c>
      <c r="P25" s="52">
        <f>'מאזן בוחן'!J659</f>
        <v>9664382.5199999996</v>
      </c>
      <c r="Q25" s="565">
        <f>'מאזן בוחן'!K659</f>
        <v>2988267.8899999997</v>
      </c>
      <c r="S25" s="141">
        <f>Q25/12</f>
        <v>249022.32416666663</v>
      </c>
      <c r="T25" s="141">
        <f>S25*12</f>
        <v>2988267.8899999997</v>
      </c>
      <c r="U25" s="519"/>
      <c r="W25" s="141"/>
    </row>
    <row r="26" spans="1:25" ht="17.100000000000001" customHeight="1">
      <c r="A26" s="2076" t="s">
        <v>1929</v>
      </c>
      <c r="B26" s="2061">
        <f t="shared" si="0"/>
        <v>3.110029503603124</v>
      </c>
      <c r="C26" s="141">
        <f>'מאזן בוחן'!J502+'מאזן בוחן'!J504+'מאזן בוחן'!J498+'מאזן בוחן'!J499+'מאזן בוחן'!J500+'מאזן בוחן'!J496+'מאזן בוחן'!J497</f>
        <v>52520370.490000002</v>
      </c>
      <c r="D26" s="141">
        <f>'מאזן בוחן'!K502+'מאזן בוחן'!K504+'מאזן בוחן'!K498+'מאזן בוחן'!K499+'מאזן בוחן'!K500+'מאזן בוחן'!K496+'מאזן בוחן'!K497</f>
        <v>16887418.73</v>
      </c>
      <c r="E26" s="1176"/>
      <c r="F26" s="1319"/>
      <c r="G26" s="1319"/>
      <c r="H26" s="2076" t="s">
        <v>218</v>
      </c>
      <c r="I26" s="2070">
        <f t="shared" si="5"/>
        <v>3.1100003980269744</v>
      </c>
      <c r="J26" s="52">
        <f>-'מאזן בוחן'!J488</f>
        <v>10470146</v>
      </c>
      <c r="K26" s="52">
        <f>-'מאזן בוחן'!K488</f>
        <v>3366606</v>
      </c>
      <c r="L26" s="52"/>
      <c r="M26" s="52"/>
      <c r="N26" s="145" t="s">
        <v>200</v>
      </c>
      <c r="O26" s="559"/>
      <c r="P26" s="52">
        <f>+SUM('מאזן בוחן'!J710:J710)</f>
        <v>0</v>
      </c>
      <c r="Q26" s="565">
        <f>+SUM('מאזן בוחן'!K710:K710)</f>
        <v>0</v>
      </c>
      <c r="S26" s="141">
        <f>Q26/12</f>
        <v>0</v>
      </c>
      <c r="T26" s="2072">
        <f>S26*12</f>
        <v>0</v>
      </c>
      <c r="U26" s="519"/>
      <c r="W26" s="141"/>
    </row>
    <row r="27" spans="1:25" ht="17.100000000000001" customHeight="1">
      <c r="A27" s="1076"/>
      <c r="B27" s="2061">
        <f t="shared" si="0"/>
        <v>3.1192389134988843</v>
      </c>
      <c r="C27" s="2079">
        <f>SUM(C19:C26)</f>
        <v>55023932.310000002</v>
      </c>
      <c r="D27" s="2079">
        <f>SUM(D19:D26)</f>
        <v>17640178.850000001</v>
      </c>
      <c r="E27" s="1176"/>
      <c r="F27" s="2079"/>
      <c r="G27" s="2079"/>
      <c r="H27" s="2076" t="s">
        <v>1924</v>
      </c>
      <c r="I27" s="2070">
        <f t="shared" si="5"/>
        <v>3.1100000001446664</v>
      </c>
      <c r="J27" s="52">
        <f>-'מאזן בוחן'!J494</f>
        <v>21497740.960000001</v>
      </c>
      <c r="K27" s="52">
        <f>-'מאזן בוחן'!K494</f>
        <v>6912456.9000000004</v>
      </c>
      <c r="L27" s="52">
        <v>8258008.3200000012</v>
      </c>
      <c r="M27" s="52">
        <v>1870020</v>
      </c>
      <c r="N27" s="145" t="s">
        <v>234</v>
      </c>
      <c r="O27" s="559"/>
      <c r="P27" s="52">
        <f>'מאזן בוחן'!J706</f>
        <v>9389680.8499999996</v>
      </c>
      <c r="Q27" s="565">
        <f>'מאזן בוחן'!K706</f>
        <v>2876821.84</v>
      </c>
      <c r="S27" s="141">
        <f>Q29/12</f>
        <v>186308.53083333327</v>
      </c>
      <c r="T27" s="141">
        <f>S27*12</f>
        <v>2235702.3699999992</v>
      </c>
      <c r="U27" s="519"/>
      <c r="W27" s="141"/>
    </row>
    <row r="28" spans="1:25" ht="17.100000000000001" customHeight="1">
      <c r="A28" s="61"/>
      <c r="B28" s="2061"/>
      <c r="C28" s="2079"/>
      <c r="D28" s="2079"/>
      <c r="E28" s="1176"/>
      <c r="F28" s="2079"/>
      <c r="G28" s="2079"/>
      <c r="H28" s="2076" t="s">
        <v>5050</v>
      </c>
      <c r="I28" s="2070"/>
      <c r="J28" s="52">
        <f>-'מאזן בוחן'!J507</f>
        <v>245221.46590383101</v>
      </c>
      <c r="K28" s="52">
        <f>-'מאזן בוחן'!K507</f>
        <v>78849.345949784896</v>
      </c>
      <c r="L28" s="52"/>
      <c r="M28" s="52"/>
      <c r="N28" s="145"/>
      <c r="O28" s="559"/>
      <c r="P28" s="52"/>
      <c r="Q28" s="565"/>
      <c r="U28" s="519"/>
      <c r="W28" s="141"/>
    </row>
    <row r="29" spans="1:25" ht="17.100000000000001" customHeight="1">
      <c r="B29" s="2061" t="str">
        <f t="shared" si="0"/>
        <v/>
      </c>
      <c r="F29" s="2079"/>
      <c r="G29" s="2079"/>
      <c r="H29" s="2076" t="s">
        <v>318</v>
      </c>
      <c r="I29" s="2070">
        <f t="shared" si="5"/>
        <v>3.1099990845769763</v>
      </c>
      <c r="J29" s="52">
        <f>ROUND((-'מאזן בוחן'!J508),0)</f>
        <v>5367790</v>
      </c>
      <c r="K29" s="52">
        <f>ROUND((-'מאזן בוחן'!K508),0)</f>
        <v>1725978</v>
      </c>
      <c r="L29" s="52"/>
      <c r="M29" s="52"/>
      <c r="N29" s="145" t="s">
        <v>161</v>
      </c>
      <c r="O29" s="559"/>
      <c r="P29" s="52">
        <f>'מאזן בוחן'!J708-P27</f>
        <v>7470489.339999998</v>
      </c>
      <c r="Q29" s="565">
        <f>'מאזן בוחן'!K708-Q27</f>
        <v>2235702.3699999992</v>
      </c>
      <c r="S29" s="2084">
        <f>SUM(S25:S27)</f>
        <v>435330.85499999986</v>
      </c>
      <c r="T29" s="2084">
        <f>SUM(T25:T27)</f>
        <v>5223970.2599999988</v>
      </c>
      <c r="U29" s="519"/>
      <c r="W29" s="141"/>
    </row>
    <row r="30" spans="1:25" ht="17.100000000000001" customHeight="1" thickBot="1">
      <c r="A30" s="1076"/>
      <c r="B30" s="2061" t="str">
        <f t="shared" si="0"/>
        <v/>
      </c>
      <c r="C30" s="52"/>
      <c r="D30" s="52"/>
      <c r="E30" s="1176"/>
      <c r="F30" s="52"/>
      <c r="G30" s="52"/>
      <c r="H30" s="2081" t="s">
        <v>281</v>
      </c>
      <c r="I30" s="2070">
        <f t="shared" si="5"/>
        <v>3.1099999802216005</v>
      </c>
      <c r="J30" s="2083">
        <f>SUM(J26:J29)</f>
        <v>37580898.425903827</v>
      </c>
      <c r="K30" s="2083">
        <f>SUM(K26:K29)</f>
        <v>12083890.245949786</v>
      </c>
      <c r="L30" s="2083">
        <f>SUM(L26:L29)</f>
        <v>8258008.3200000012</v>
      </c>
      <c r="M30" s="2083">
        <f>SUM(M26:M29)</f>
        <v>1870020</v>
      </c>
      <c r="N30" s="2076" t="s">
        <v>22</v>
      </c>
      <c r="O30" s="559"/>
      <c r="P30" s="52">
        <f>'מאזן בוחן'!J711</f>
        <v>1101733.7038095235</v>
      </c>
      <c r="Q30" s="565">
        <f>'מאזן בוחן'!K711</f>
        <v>333035.20075840689</v>
      </c>
      <c r="S30" s="52"/>
      <c r="T30" s="52"/>
      <c r="U30" s="519"/>
      <c r="W30" s="141"/>
    </row>
    <row r="31" spans="1:25" ht="17.100000000000001" customHeight="1" thickBot="1">
      <c r="A31" s="2114" t="s">
        <v>31</v>
      </c>
      <c r="B31" s="2061">
        <f t="shared" si="0"/>
        <v>3.1169884329295234</v>
      </c>
      <c r="C31" s="2083">
        <f>C27+C14</f>
        <v>72690155.310000002</v>
      </c>
      <c r="D31" s="2083">
        <f>D27+D14</f>
        <v>23320636.850000001</v>
      </c>
      <c r="E31" s="1176"/>
      <c r="F31" s="2083"/>
      <c r="G31" s="2083"/>
      <c r="H31" s="2081" t="s">
        <v>183</v>
      </c>
      <c r="I31" s="2070" t="str">
        <f t="shared" si="5"/>
        <v/>
      </c>
      <c r="J31" s="52"/>
      <c r="K31" s="52"/>
      <c r="L31" s="52"/>
      <c r="M31" s="52"/>
      <c r="N31" s="145"/>
      <c r="O31" s="559"/>
      <c r="P31" s="94">
        <f>SUM(P25:P30)</f>
        <v>27626286.413809516</v>
      </c>
      <c r="Q31" s="2082">
        <f>SUM(Q25:Q30)</f>
        <v>8433827.3007584065</v>
      </c>
      <c r="S31" s="141">
        <f>Q32/10</f>
        <v>0</v>
      </c>
      <c r="U31" s="519"/>
      <c r="W31" s="141"/>
    </row>
    <row r="32" spans="1:25" ht="17.100000000000001" customHeight="1">
      <c r="A32" s="1466"/>
      <c r="B32" s="2061" t="str">
        <f t="shared" si="0"/>
        <v/>
      </c>
      <c r="C32" s="52"/>
      <c r="D32" s="52"/>
      <c r="E32" s="1176"/>
      <c r="F32" s="52"/>
      <c r="G32" s="52"/>
      <c r="H32" s="145" t="s">
        <v>32</v>
      </c>
      <c r="I32" s="2070" t="str">
        <f t="shared" si="5"/>
        <v/>
      </c>
      <c r="J32" s="52"/>
      <c r="K32" s="52"/>
      <c r="L32" s="52">
        <v>0</v>
      </c>
      <c r="M32" s="52">
        <v>0</v>
      </c>
      <c r="N32" s="2117"/>
      <c r="O32" s="2070"/>
      <c r="P32" s="52"/>
      <c r="Q32" s="565"/>
      <c r="S32" s="141">
        <f>Q33/10</f>
        <v>0</v>
      </c>
      <c r="U32" s="519"/>
      <c r="W32" s="141"/>
    </row>
    <row r="33" spans="1:23" ht="17.100000000000001" customHeight="1">
      <c r="A33" s="2081" t="s">
        <v>33</v>
      </c>
      <c r="B33" s="2061">
        <f t="shared" si="0"/>
        <v>3.1129797428897086</v>
      </c>
      <c r="C33" s="50">
        <f>ROUND(('מאזן בוחן'!J153),0)-C37-C38</f>
        <v>543695.07999999996</v>
      </c>
      <c r="D33" s="2085">
        <f>ROUND(('מאזן בוחן'!K153),0)-D37-D38</f>
        <v>174654.22999999998</v>
      </c>
      <c r="E33" s="1176"/>
      <c r="F33" s="50"/>
      <c r="G33" s="50"/>
      <c r="H33" s="145"/>
      <c r="I33" s="2070" t="str">
        <f t="shared" si="5"/>
        <v/>
      </c>
      <c r="J33" s="52"/>
      <c r="K33" s="52"/>
      <c r="L33" s="52">
        <v>0</v>
      </c>
      <c r="M33" s="52">
        <v>0</v>
      </c>
      <c r="N33" s="2081" t="s">
        <v>26</v>
      </c>
      <c r="O33" s="2070" t="str">
        <f>IF(P33=0,"",P33/Q33)</f>
        <v/>
      </c>
      <c r="P33" s="52"/>
      <c r="Q33" s="565"/>
      <c r="S33" s="141">
        <f t="shared" ref="S33:S43" si="6">Q34/12</f>
        <v>12746.25</v>
      </c>
      <c r="T33" s="141">
        <f>S33*12</f>
        <v>152955</v>
      </c>
      <c r="U33" s="519"/>
      <c r="W33" s="141"/>
    </row>
    <row r="34" spans="1:23" ht="17.100000000000001" customHeight="1">
      <c r="A34" s="1076"/>
      <c r="B34" s="2061" t="str">
        <f t="shared" si="0"/>
        <v/>
      </c>
      <c r="C34" s="52"/>
      <c r="D34" s="52"/>
      <c r="E34" s="1176"/>
      <c r="F34" s="52"/>
      <c r="G34" s="52"/>
      <c r="H34" s="145" t="s">
        <v>277</v>
      </c>
      <c r="I34" s="2070" t="str">
        <f t="shared" si="5"/>
        <v/>
      </c>
      <c r="J34" s="52"/>
      <c r="K34" s="52"/>
      <c r="L34" s="52">
        <v>0</v>
      </c>
      <c r="M34" s="52">
        <v>0</v>
      </c>
      <c r="N34" s="2076" t="s">
        <v>28</v>
      </c>
      <c r="O34" s="2070">
        <f>IF(P34=0,"",P34/Q34)</f>
        <v>3.2092380111797589</v>
      </c>
      <c r="P34" s="52">
        <f>ROUND(('מאזן בוחן'!J755),0)</f>
        <v>490869</v>
      </c>
      <c r="Q34" s="565">
        <f>ROUND(('מאזן בוחן'!K755),0)</f>
        <v>152955</v>
      </c>
      <c r="S34" s="141">
        <f t="shared" si="6"/>
        <v>64103.444166666661</v>
      </c>
      <c r="T34" s="141">
        <f t="shared" ref="T34:T43" si="7">S34*12</f>
        <v>769241.33</v>
      </c>
      <c r="U34" s="519"/>
      <c r="W34" s="647"/>
    </row>
    <row r="35" spans="1:23" ht="17.100000000000001" customHeight="1">
      <c r="A35" s="2116" t="s">
        <v>36</v>
      </c>
      <c r="B35" s="2061">
        <f t="shared" si="0"/>
        <v>3.5267314792574123</v>
      </c>
      <c r="C35" s="50">
        <f>ROUND(('מאזן בוחן'!J182),0)</f>
        <v>5696814</v>
      </c>
      <c r="D35" s="50">
        <f>ROUND(('מאזן בוחן'!K182),0)</f>
        <v>1615324</v>
      </c>
      <c r="E35" s="1176"/>
      <c r="F35" s="50"/>
      <c r="G35" s="50"/>
      <c r="H35" s="145"/>
      <c r="I35" s="2070" t="str">
        <f t="shared" si="5"/>
        <v/>
      </c>
      <c r="L35" s="52">
        <v>-6541461.2800000012</v>
      </c>
      <c r="M35" s="52">
        <v>-1471612.0489130437</v>
      </c>
      <c r="N35" s="2076" t="s">
        <v>35</v>
      </c>
      <c r="O35" s="2070">
        <f t="shared" ref="O35:O45" si="8">IF(P35=0,"",P35/Q35)</f>
        <v>3.2516064886945166</v>
      </c>
      <c r="P35" s="52">
        <f>SUM('מאזן בוחן'!$J$759:$J$762)</f>
        <v>2501270.0999999996</v>
      </c>
      <c r="Q35" s="565">
        <f>SUM('מאזן בוחן'!$K$759:$K$762)</f>
        <v>769241.33</v>
      </c>
      <c r="S35" s="141">
        <f t="shared" si="6"/>
        <v>463809.66666666669</v>
      </c>
      <c r="T35" s="141">
        <f t="shared" si="7"/>
        <v>5565716</v>
      </c>
      <c r="U35" s="519"/>
      <c r="W35" s="647"/>
    </row>
    <row r="36" spans="1:23" ht="17.100000000000001" customHeight="1">
      <c r="A36" s="1076"/>
      <c r="B36" s="2061" t="str">
        <f t="shared" si="0"/>
        <v/>
      </c>
      <c r="C36" s="52"/>
      <c r="D36" s="52"/>
      <c r="E36" s="1176"/>
      <c r="F36" s="52"/>
      <c r="G36" s="52"/>
      <c r="H36" s="145" t="s">
        <v>270</v>
      </c>
      <c r="I36" s="2070">
        <f t="shared" si="5"/>
        <v>3.2094038613638043</v>
      </c>
      <c r="J36" s="52">
        <f>-SUM('מאזן בוחן'!J523)</f>
        <v>-19946062.630000003</v>
      </c>
      <c r="K36" s="52">
        <f>-SUM('מאזן בוחן'!K523)</f>
        <v>-6214880.8600000003</v>
      </c>
      <c r="L36" s="52">
        <f>E40-L24-L30-L32-L34-L35-L27-L33</f>
        <v>-11987384.98</v>
      </c>
      <c r="M36" s="52">
        <f>F40-M24-M30-M32-M34-M35-M27-M33</f>
        <v>-2724231.2581521738</v>
      </c>
      <c r="N36" s="2076" t="s">
        <v>29</v>
      </c>
      <c r="O36" s="2070">
        <f t="shared" si="8"/>
        <v>3.2355772375018774</v>
      </c>
      <c r="P36" s="52">
        <f>ROUND(('מאזן בוחן'!J746),0)</f>
        <v>18008304</v>
      </c>
      <c r="Q36" s="565">
        <f>ROUND(('מאזן בוחן'!K746),0)</f>
        <v>5565716</v>
      </c>
      <c r="S36" s="141">
        <f t="shared" si="6"/>
        <v>0</v>
      </c>
      <c r="T36" s="141">
        <f t="shared" si="7"/>
        <v>0</v>
      </c>
      <c r="U36" s="519"/>
      <c r="W36" s="647"/>
    </row>
    <row r="37" spans="1:23" ht="17.100000000000001" customHeight="1">
      <c r="A37" s="2116" t="s">
        <v>514</v>
      </c>
      <c r="B37" s="2061">
        <f t="shared" si="0"/>
        <v>3.1100000086975093</v>
      </c>
      <c r="C37" s="50">
        <f>'מאזן בוחן'!J148</f>
        <v>786662</v>
      </c>
      <c r="D37" s="50">
        <f>'מאזן בוחן'!K148</f>
        <v>252945.98</v>
      </c>
      <c r="E37" s="1176"/>
      <c r="F37" s="2063"/>
      <c r="G37" s="2063"/>
      <c r="H37" s="145" t="s">
        <v>197</v>
      </c>
      <c r="I37" s="2086">
        <f t="shared" si="5"/>
        <v>3.1247894343379032</v>
      </c>
      <c r="J37" s="52">
        <f>P65</f>
        <v>-13597398.785004366</v>
      </c>
      <c r="K37" s="52">
        <f>Q65</f>
        <v>-4351460.8170343656</v>
      </c>
      <c r="L37" s="272"/>
      <c r="M37" s="272"/>
      <c r="N37" s="2076" t="s">
        <v>21</v>
      </c>
      <c r="O37" s="2070" t="str">
        <f t="shared" si="8"/>
        <v/>
      </c>
      <c r="P37" s="52">
        <f>ROUND(('מאזן בוחן'!J859),0)</f>
        <v>0</v>
      </c>
      <c r="Q37" s="565">
        <f>ROUND(('מאזן בוחן'!K859),0)</f>
        <v>0</v>
      </c>
      <c r="S37" s="141">
        <f t="shared" si="6"/>
        <v>55628.135000000002</v>
      </c>
      <c r="T37" s="141">
        <f t="shared" si="7"/>
        <v>667537.62</v>
      </c>
      <c r="U37" s="519"/>
      <c r="W37" s="647"/>
    </row>
    <row r="38" spans="1:23" ht="17.100000000000001" customHeight="1" thickBot="1">
      <c r="A38" s="2116" t="s">
        <v>2179</v>
      </c>
      <c r="B38" s="2061">
        <f t="shared" si="0"/>
        <v>3.4963225158322113</v>
      </c>
      <c r="C38" s="50">
        <f>'מאזן בוחן'!J149</f>
        <v>25997.919999999998</v>
      </c>
      <c r="D38" s="50">
        <f>'מאזן בוחן'!K149</f>
        <v>7435.79</v>
      </c>
      <c r="E38" s="1176"/>
      <c r="F38" s="52"/>
      <c r="G38" s="52"/>
      <c r="H38" s="2081"/>
      <c r="I38" s="2070">
        <f>IF(J38=0,"",J38/K38)</f>
        <v>3.1745577078876881</v>
      </c>
      <c r="J38" s="2087">
        <f>SUM(J32:J37)</f>
        <v>-33543461.415004369</v>
      </c>
      <c r="K38" s="2087">
        <f>SUM(K32:K37)</f>
        <v>-10566341.677034367</v>
      </c>
      <c r="L38" s="272"/>
      <c r="M38" s="272"/>
      <c r="N38" s="2076" t="s">
        <v>30</v>
      </c>
      <c r="O38" s="2070">
        <f t="shared" si="8"/>
        <v>3.2195802238082103</v>
      </c>
      <c r="P38" s="52">
        <f>'מאזן בוחן'!J866-P40</f>
        <v>2149190.92</v>
      </c>
      <c r="Q38" s="565">
        <f>'מאזן בוחן'!K866-Q40</f>
        <v>667537.62</v>
      </c>
      <c r="S38" s="141">
        <f t="shared" si="6"/>
        <v>1367.5866666666668</v>
      </c>
      <c r="T38" s="141">
        <f t="shared" si="7"/>
        <v>16411.04</v>
      </c>
      <c r="U38" s="519"/>
      <c r="W38" s="647"/>
    </row>
    <row r="39" spans="1:23" ht="42" customHeight="1">
      <c r="A39" s="2118" t="s">
        <v>1914</v>
      </c>
      <c r="B39" s="2061">
        <f t="shared" si="0"/>
        <v>3.5390288416964637</v>
      </c>
      <c r="C39" s="454">
        <f>ROUND(('מאזן בוחן'!J188),0)</f>
        <v>1091709</v>
      </c>
      <c r="D39" s="454">
        <f>ROUND(('מאזן בוחן'!K188),0)</f>
        <v>308477</v>
      </c>
      <c r="E39" s="1176"/>
      <c r="F39" s="454"/>
      <c r="G39" s="454"/>
      <c r="H39" s="2081"/>
      <c r="I39" s="2070" t="str">
        <f t="shared" si="5"/>
        <v/>
      </c>
      <c r="J39" s="272"/>
      <c r="K39" s="272"/>
      <c r="L39" s="272"/>
      <c r="M39" s="272"/>
      <c r="N39" s="2076" t="s">
        <v>17</v>
      </c>
      <c r="O39" s="2070">
        <f t="shared" si="8"/>
        <v>3.1945745059423412</v>
      </c>
      <c r="P39" s="52">
        <f>SUM('מאזן בוחן'!J817:J836)</f>
        <v>52426.29</v>
      </c>
      <c r="Q39" s="565">
        <f>SUM('מאזן בוחן'!K817:K836)</f>
        <v>16411.04</v>
      </c>
      <c r="S39" s="141">
        <f t="shared" si="6"/>
        <v>0</v>
      </c>
      <c r="T39" s="141">
        <f t="shared" si="7"/>
        <v>0</v>
      </c>
      <c r="U39" s="519"/>
      <c r="W39" s="647"/>
    </row>
    <row r="40" spans="1:23" ht="17.100000000000001" customHeight="1" thickBot="1">
      <c r="A40" s="2119" t="s">
        <v>39</v>
      </c>
      <c r="B40" s="2061">
        <f t="shared" si="0"/>
        <v>3.1478461662484567</v>
      </c>
      <c r="C40" s="53">
        <f>C35+C31+C37+C39+C33+C38</f>
        <v>80835033.310000002</v>
      </c>
      <c r="D40" s="53">
        <f>D35+D31+D37+D39+D33+D38</f>
        <v>25679473.850000001</v>
      </c>
      <c r="E40" s="1176"/>
      <c r="F40" s="53"/>
      <c r="G40" s="53"/>
      <c r="H40" s="2120" t="s">
        <v>40</v>
      </c>
      <c r="I40" s="2070">
        <f t="shared" si="5"/>
        <v>3.1478461890569642</v>
      </c>
      <c r="J40" s="53">
        <f>J24+J30+J38</f>
        <v>80835033.010899454</v>
      </c>
      <c r="K40" s="53">
        <f>K24+K30+K38</f>
        <v>25679473.568915423</v>
      </c>
      <c r="L40" s="53">
        <v>3743484.66</v>
      </c>
      <c r="M40" s="53">
        <v>857406.25815217395</v>
      </c>
      <c r="N40" s="2076" t="s">
        <v>148</v>
      </c>
      <c r="O40" s="2070" t="str">
        <f t="shared" si="8"/>
        <v/>
      </c>
      <c r="P40" s="52">
        <f>ROUND(('מאזן בוחן'!J865),0)</f>
        <v>0</v>
      </c>
      <c r="Q40" s="565">
        <f>ROUND(('מאזן בוחן'!K865),0)</f>
        <v>0</v>
      </c>
      <c r="S40" s="141">
        <f t="shared" si="6"/>
        <v>0</v>
      </c>
      <c r="T40" s="141">
        <f t="shared" si="7"/>
        <v>0</v>
      </c>
      <c r="U40" s="519"/>
      <c r="W40" s="647"/>
    </row>
    <row r="41" spans="1:23" ht="17.100000000000001" customHeight="1" thickBot="1">
      <c r="A41" s="2088"/>
      <c r="B41" s="2089" t="str">
        <f t="shared" si="0"/>
        <v/>
      </c>
      <c r="C41" s="1132"/>
      <c r="D41" s="1132"/>
      <c r="E41" s="2090"/>
      <c r="F41" s="1132"/>
      <c r="G41" s="1092"/>
      <c r="H41" s="2076"/>
      <c r="I41" s="2042"/>
      <c r="J41" s="956">
        <f>J40-C40</f>
        <v>-0.29910054802894592</v>
      </c>
      <c r="K41" s="956">
        <f>K40-D40</f>
        <v>-0.2810845784842968</v>
      </c>
      <c r="L41" s="52">
        <v>0</v>
      </c>
      <c r="M41" s="141">
        <v>0</v>
      </c>
      <c r="N41" s="2076"/>
      <c r="O41" s="2070" t="str">
        <f t="shared" si="8"/>
        <v/>
      </c>
      <c r="P41" s="52"/>
      <c r="Q41" s="565"/>
      <c r="S41" s="141">
        <f t="shared" si="6"/>
        <v>42947.5</v>
      </c>
      <c r="T41" s="141">
        <f t="shared" si="7"/>
        <v>515370</v>
      </c>
      <c r="U41" s="519"/>
      <c r="W41" s="647"/>
    </row>
    <row r="42" spans="1:23" ht="17.100000000000001" customHeight="1" thickBot="1">
      <c r="A42" s="2091"/>
      <c r="B42" s="2089" t="str">
        <f t="shared" si="0"/>
        <v/>
      </c>
      <c r="C42" s="150"/>
      <c r="D42" s="150"/>
      <c r="E42" s="2092"/>
      <c r="F42" s="150"/>
      <c r="G42" s="1097"/>
      <c r="H42" s="2093"/>
      <c r="I42" s="2094"/>
      <c r="J42" s="150"/>
      <c r="K42" s="150"/>
      <c r="L42" s="150"/>
      <c r="M42" s="150"/>
      <c r="N42" s="2076" t="s">
        <v>19</v>
      </c>
      <c r="O42" s="2070">
        <f t="shared" si="8"/>
        <v>3.6682111880784678</v>
      </c>
      <c r="P42" s="52">
        <f>ROUND(('מאזן בוחן'!J749),0)</f>
        <v>1890486</v>
      </c>
      <c r="Q42" s="565">
        <f>ROUND(('מאזן בוחן'!K749),0)</f>
        <v>515370</v>
      </c>
      <c r="S42" s="141">
        <f t="shared" si="6"/>
        <v>84083.809166667008</v>
      </c>
      <c r="T42" s="141">
        <f t="shared" si="7"/>
        <v>1009005.7100000042</v>
      </c>
      <c r="U42" s="519"/>
      <c r="W42" s="647"/>
    </row>
    <row r="43" spans="1:23">
      <c r="H43" s="461"/>
      <c r="I43" s="2095"/>
      <c r="N43" s="2076" t="s">
        <v>34</v>
      </c>
      <c r="O43" s="2070">
        <f t="shared" si="8"/>
        <v>3.2621294878499638</v>
      </c>
      <c r="P43" s="52">
        <f>'מאזן בוחן'!J852-P35-P39</f>
        <v>3291507.2800000021</v>
      </c>
      <c r="Q43" s="565">
        <f>'מאזן בוחן'!K852-Q35-Q39</f>
        <v>1009005.710000004</v>
      </c>
      <c r="S43" s="141">
        <f t="shared" si="6"/>
        <v>-247467.56915435402</v>
      </c>
      <c r="T43" s="141">
        <f t="shared" si="7"/>
        <v>-2969610.8298522481</v>
      </c>
      <c r="U43" s="519"/>
      <c r="W43" s="647"/>
    </row>
    <row r="44" spans="1:23" ht="17.100000000000001" customHeight="1">
      <c r="H44" s="461"/>
      <c r="I44" s="2095"/>
      <c r="N44" s="2076" t="s">
        <v>37</v>
      </c>
      <c r="O44" s="2070">
        <f t="shared" si="8"/>
        <v>3.3076231016235558</v>
      </c>
      <c r="P44" s="272">
        <f>'מאזן בוחן'!J855</f>
        <v>-9822353.3836507946</v>
      </c>
      <c r="Q44" s="2096">
        <f>'מאזן בוחן'!K855</f>
        <v>-2969610.8298522481</v>
      </c>
      <c r="S44" s="2082">
        <f>SUM(S33:S43)</f>
        <v>477218.82251231303</v>
      </c>
      <c r="T44" s="2082">
        <f>SUM(T33:T43)</f>
        <v>5726625.8701477572</v>
      </c>
      <c r="U44" s="519"/>
      <c r="W44" s="647"/>
    </row>
    <row r="45" spans="1:23" ht="17.100000000000001" customHeight="1">
      <c r="C45" s="32"/>
      <c r="N45" s="2076"/>
      <c r="O45" s="2070">
        <f t="shared" si="8"/>
        <v>3.2412978649625463</v>
      </c>
      <c r="P45" s="94">
        <f>SUM(P34:P44)</f>
        <v>18561700.206349209</v>
      </c>
      <c r="Q45" s="2082">
        <f>SUM(Q34:Q44)</f>
        <v>5726625.8701477572</v>
      </c>
      <c r="S45" s="141">
        <f>Q46/10</f>
        <v>0</v>
      </c>
      <c r="U45" s="519"/>
    </row>
    <row r="46" spans="1:23" ht="17.100000000000001" customHeight="1">
      <c r="C46" s="32"/>
      <c r="N46" s="145"/>
      <c r="O46" s="2053"/>
      <c r="P46" s="52"/>
      <c r="Q46" s="565"/>
      <c r="S46" s="141">
        <f>Q47/10</f>
        <v>0</v>
      </c>
      <c r="U46" s="519"/>
    </row>
    <row r="47" spans="1:23" ht="17.100000000000001" customHeight="1">
      <c r="C47" s="32"/>
      <c r="N47" s="2081" t="s">
        <v>1253</v>
      </c>
      <c r="O47" s="2070" t="str">
        <f t="shared" ref="O47:O59" si="9">IF(P47=0,"",P47/Q47)</f>
        <v/>
      </c>
      <c r="P47" s="272"/>
      <c r="Q47" s="2096"/>
      <c r="S47" s="141">
        <f t="shared" ref="S47:S54" si="10">Q48/12</f>
        <v>316766.75</v>
      </c>
      <c r="T47" s="2072">
        <f t="shared" ref="T47:T54" si="11">S47*12</f>
        <v>3801201</v>
      </c>
      <c r="U47" s="519"/>
    </row>
    <row r="48" spans="1:23" ht="17.100000000000001" customHeight="1">
      <c r="C48" s="32"/>
      <c r="H48" s="1575"/>
      <c r="I48" s="2121"/>
      <c r="N48" s="2076" t="s">
        <v>29</v>
      </c>
      <c r="O48" s="2070">
        <f t="shared" si="9"/>
        <v>3.246844615688568</v>
      </c>
      <c r="P48" s="52">
        <f>ROUND(('מאזן בוחן'!J919),0)-P49</f>
        <v>12341909</v>
      </c>
      <c r="Q48" s="565">
        <f>ROUND(('מאזן בוחן'!K919),0)-Q49</f>
        <v>3801201</v>
      </c>
      <c r="S48" s="141">
        <f t="shared" si="10"/>
        <v>0</v>
      </c>
      <c r="T48" s="141">
        <f t="shared" si="11"/>
        <v>0</v>
      </c>
      <c r="U48" s="519"/>
      <c r="V48" s="394"/>
    </row>
    <row r="49" spans="3:22" ht="17.100000000000001" customHeight="1">
      <c r="C49" s="32"/>
      <c r="H49" s="461"/>
      <c r="I49" s="2095"/>
      <c r="N49" s="145" t="s">
        <v>168</v>
      </c>
      <c r="O49" s="2070" t="str">
        <f t="shared" si="9"/>
        <v/>
      </c>
      <c r="P49" s="52"/>
      <c r="Q49" s="565"/>
      <c r="S49" s="141">
        <f t="shared" si="10"/>
        <v>0</v>
      </c>
      <c r="T49" s="141">
        <f t="shared" si="11"/>
        <v>0</v>
      </c>
      <c r="U49" s="519"/>
    </row>
    <row r="50" spans="3:22" ht="17.100000000000001" customHeight="1">
      <c r="C50" s="32"/>
      <c r="H50" s="461"/>
      <c r="I50" s="2095"/>
      <c r="N50" s="2076" t="s">
        <v>21</v>
      </c>
      <c r="O50" s="2070" t="str">
        <f t="shared" si="9"/>
        <v/>
      </c>
      <c r="P50" s="52">
        <f>'מאזן בוחן'!J981</f>
        <v>0</v>
      </c>
      <c r="Q50" s="565">
        <f>'מאזן בוחן'!K981</f>
        <v>0</v>
      </c>
      <c r="S50" s="141">
        <f t="shared" si="10"/>
        <v>14075.228333333333</v>
      </c>
      <c r="T50" s="2072">
        <f t="shared" si="11"/>
        <v>168902.74</v>
      </c>
      <c r="U50" s="519"/>
      <c r="V50" s="394"/>
    </row>
    <row r="51" spans="3:22" ht="17.100000000000001" customHeight="1">
      <c r="C51" s="32"/>
      <c r="H51" s="1514"/>
      <c r="I51" s="2097"/>
      <c r="N51" s="2076" t="s">
        <v>17</v>
      </c>
      <c r="O51" s="2070">
        <f t="shared" si="9"/>
        <v>3.236091137420269</v>
      </c>
      <c r="P51" s="52">
        <f>SUM('מאזן בוחן'!J928:J932,'מאזן בוחן'!J951:J956,'מאזן בוחן'!J967:J975)</f>
        <v>546584.65999999992</v>
      </c>
      <c r="Q51" s="565">
        <f>SUM('מאזן בוחן'!K928:K932,'מאזן בוחן'!K951:K956,'מאזן בוחן'!K967:K975)</f>
        <v>168902.74</v>
      </c>
      <c r="S51" s="141">
        <f t="shared" si="10"/>
        <v>154327.65833333335</v>
      </c>
      <c r="T51" s="141">
        <f t="shared" si="11"/>
        <v>1851931.9000000004</v>
      </c>
      <c r="U51" s="519"/>
      <c r="V51" s="394"/>
    </row>
    <row r="52" spans="3:22" ht="17.100000000000001" customHeight="1">
      <c r="C52" s="32"/>
      <c r="H52" s="1514"/>
      <c r="I52" s="2097"/>
      <c r="N52" s="2076" t="s">
        <v>161</v>
      </c>
      <c r="O52" s="2070">
        <f t="shared" si="9"/>
        <v>3.2432187436265885</v>
      </c>
      <c r="P52" s="52">
        <f>'מאזן בוחן'!J977-P51-P53</f>
        <v>6006220.2500000009</v>
      </c>
      <c r="Q52" s="565">
        <f>'מאזן בוחן'!K977-Q51-Q53</f>
        <v>1851931.9000000001</v>
      </c>
      <c r="S52" s="141">
        <f t="shared" si="10"/>
        <v>19350.006666666664</v>
      </c>
      <c r="T52" s="2072">
        <f t="shared" si="11"/>
        <v>232200.07999999996</v>
      </c>
      <c r="U52" s="519"/>
    </row>
    <row r="53" spans="3:22" ht="17.100000000000001" customHeight="1">
      <c r="C53" s="32"/>
      <c r="H53" s="461"/>
      <c r="I53" s="2095"/>
      <c r="N53" s="2076" t="s">
        <v>41</v>
      </c>
      <c r="O53" s="2070">
        <f t="shared" si="9"/>
        <v>3.1899499345564397</v>
      </c>
      <c r="P53" s="52">
        <f>'מאזן בוחן'!J933+'מאזן בוחן'!J942</f>
        <v>740706.63</v>
      </c>
      <c r="Q53" s="565">
        <f>'מאזן בוחן'!K933+'מאזן בוחן'!K942</f>
        <v>232200.08</v>
      </c>
      <c r="S53" s="141">
        <f t="shared" si="10"/>
        <v>0</v>
      </c>
      <c r="T53" s="141">
        <f t="shared" si="11"/>
        <v>0</v>
      </c>
      <c r="U53" s="519"/>
      <c r="V53" s="394"/>
    </row>
    <row r="54" spans="3:22" ht="17.100000000000001" customHeight="1">
      <c r="C54" s="32"/>
      <c r="H54" s="251"/>
      <c r="I54" s="1563"/>
      <c r="N54" s="2076" t="s">
        <v>19</v>
      </c>
      <c r="O54" s="2070" t="str">
        <f t="shared" si="9"/>
        <v/>
      </c>
      <c r="P54" s="52">
        <f>'מאזן בוחן'!J922</f>
        <v>0</v>
      </c>
      <c r="Q54" s="565">
        <f>'מאזן בוחן'!K922</f>
        <v>0</v>
      </c>
      <c r="S54" s="141">
        <f t="shared" si="10"/>
        <v>44747.416666666664</v>
      </c>
      <c r="T54" s="141">
        <f t="shared" si="11"/>
        <v>536969</v>
      </c>
      <c r="U54" s="519"/>
    </row>
    <row r="55" spans="3:22" ht="17.100000000000001" customHeight="1">
      <c r="C55" s="32"/>
      <c r="H55" s="251"/>
      <c r="I55" s="1563"/>
      <c r="N55" s="2076" t="s">
        <v>42</v>
      </c>
      <c r="O55" s="2070">
        <f t="shared" si="9"/>
        <v>3.2861450102333656</v>
      </c>
      <c r="P55" s="1319">
        <f>ROUND(('מאזן בוחן'!J985),0)</f>
        <v>1764558</v>
      </c>
      <c r="Q55" s="2066">
        <f>ROUND(('מאזן בוחן'!K985),0)</f>
        <v>536969</v>
      </c>
      <c r="S55" s="2082">
        <f>SUM(S47:S54)</f>
        <v>549267.06000000006</v>
      </c>
      <c r="T55" s="2082">
        <f>SUM(T47:T54)</f>
        <v>6591204.7200000007</v>
      </c>
      <c r="U55" s="519"/>
      <c r="V55" s="394"/>
    </row>
    <row r="56" spans="3:22" ht="17.100000000000001" customHeight="1">
      <c r="N56" s="2081"/>
      <c r="O56" s="2070">
        <f t="shared" si="9"/>
        <v>3.2467476658804184</v>
      </c>
      <c r="P56" s="94">
        <f>SUM(P48:P55)</f>
        <v>21399978.539999999</v>
      </c>
      <c r="Q56" s="2082">
        <f>SUM(Q48:Q55)</f>
        <v>6591204.7200000007</v>
      </c>
      <c r="S56" s="141">
        <f>Q57/10</f>
        <v>0</v>
      </c>
      <c r="U56" s="519"/>
    </row>
    <row r="57" spans="3:22" ht="17.100000000000001" customHeight="1">
      <c r="N57" s="145"/>
      <c r="O57" s="2070" t="str">
        <f t="shared" si="9"/>
        <v/>
      </c>
      <c r="P57" s="52"/>
      <c r="Q57" s="565"/>
      <c r="S57" s="2096">
        <f>S12-S23-S29-S44-S55</f>
        <v>89479.064972819062</v>
      </c>
      <c r="T57" s="2096">
        <f>T12-T23-T29-T44-T55</f>
        <v>1073748.7796738278</v>
      </c>
      <c r="U57" s="519"/>
    </row>
    <row r="58" spans="3:22" ht="17.100000000000001" customHeight="1">
      <c r="N58" s="1553" t="s">
        <v>206</v>
      </c>
      <c r="O58" s="2070">
        <f t="shared" si="9"/>
        <v>2.742301654751472</v>
      </c>
      <c r="P58" s="272">
        <f>P12-P23-P31-P45-P56</f>
        <v>-5857853.2191005349</v>
      </c>
      <c r="Q58" s="2096">
        <f>Q12-Q23-Q31-Q45-Q56</f>
        <v>-2136108.2610845808</v>
      </c>
      <c r="S58" s="141">
        <f>Q59/10</f>
        <v>0</v>
      </c>
      <c r="U58" s="519"/>
    </row>
    <row r="59" spans="3:22" ht="17.100000000000001" customHeight="1">
      <c r="N59" s="2076"/>
      <c r="O59" s="2070" t="str">
        <f t="shared" si="9"/>
        <v/>
      </c>
      <c r="P59" s="52"/>
      <c r="Q59" s="2096"/>
      <c r="S59" s="141">
        <f>Q60/12</f>
        <v>122406.49666666666</v>
      </c>
      <c r="U59" s="519"/>
    </row>
    <row r="60" spans="3:22" ht="17.100000000000001" customHeight="1">
      <c r="N60" s="2081" t="s">
        <v>43</v>
      </c>
      <c r="O60" s="2070"/>
      <c r="P60" s="52">
        <f>ROUND(('מאזן בוחן'!J1007),0)-P62</f>
        <v>5381126.2599999998</v>
      </c>
      <c r="Q60" s="565">
        <f>ROUND(('מאזן בוחן'!K1007),0)-Q62+2</f>
        <v>1468877.96</v>
      </c>
      <c r="S60" s="141">
        <f>Q61/10</f>
        <v>0</v>
      </c>
      <c r="U60" s="519"/>
    </row>
    <row r="61" spans="3:22" ht="17.100000000000001" customHeight="1">
      <c r="N61" s="2081" t="s">
        <v>44</v>
      </c>
      <c r="O61" s="2070" t="str">
        <f>IF(P61=0,"",P61/Q61)</f>
        <v/>
      </c>
      <c r="P61" s="52"/>
      <c r="Q61" s="565"/>
      <c r="S61" s="141">
        <f>Q62/10</f>
        <v>398.80399999999997</v>
      </c>
      <c r="U61" s="519"/>
    </row>
    <row r="62" spans="3:22" ht="17.100000000000001" customHeight="1">
      <c r="N62" s="2122" t="s">
        <v>189</v>
      </c>
      <c r="O62" s="559"/>
      <c r="P62" s="1319">
        <f>'מאזן בוחן'!J1005</f>
        <v>20327.740000000002</v>
      </c>
      <c r="Q62" s="2066">
        <f>'מאזן בוחן'!K1005</f>
        <v>3988.04</v>
      </c>
      <c r="S62" s="2096">
        <f>S57-S59-S61</f>
        <v>-33326.235693847593</v>
      </c>
      <c r="T62" s="2096">
        <f>T57-T59-T61</f>
        <v>1073748.7796738278</v>
      </c>
      <c r="U62" s="519"/>
    </row>
    <row r="63" spans="3:22" ht="17.100000000000001" customHeight="1">
      <c r="N63" s="2122" t="s">
        <v>207</v>
      </c>
      <c r="O63" s="2070"/>
      <c r="P63" s="272">
        <f>P58-P60-P62</f>
        <v>-11259307.219100535</v>
      </c>
      <c r="Q63" s="2096">
        <f>Q58-Q60-Q62</f>
        <v>-3608974.2610845808</v>
      </c>
      <c r="S63" s="141">
        <f>Q64/12</f>
        <v>61873.879662482068</v>
      </c>
      <c r="T63" s="141" t="e">
        <f>T62*#REF!</f>
        <v>#REF!</v>
      </c>
      <c r="U63" s="519"/>
    </row>
    <row r="64" spans="3:22" ht="17.100000000000001" customHeight="1" thickBot="1">
      <c r="N64" s="2122" t="s">
        <v>181</v>
      </c>
      <c r="O64" s="2042"/>
      <c r="P64" s="52">
        <f>'מאזן בוחן'!J996</f>
        <v>2338091.5659038308</v>
      </c>
      <c r="Q64" s="565">
        <f>'מאזן בוחן'!K996</f>
        <v>742486.55594978482</v>
      </c>
      <c r="S64" s="2098">
        <f>S62-S63</f>
        <v>-95200.115356329654</v>
      </c>
      <c r="T64" s="2098" t="e">
        <f>T62-T63</f>
        <v>#REF!</v>
      </c>
      <c r="U64" s="519"/>
    </row>
    <row r="65" spans="14:21" ht="17.100000000000001" customHeight="1" thickTop="1" thickBot="1">
      <c r="N65" s="2122" t="s">
        <v>185</v>
      </c>
      <c r="O65" s="2042"/>
      <c r="P65" s="2099">
        <f>P63-P64</f>
        <v>-13597398.785004366</v>
      </c>
      <c r="Q65" s="2098">
        <f>Q63-Q64</f>
        <v>-4351460.8170343656</v>
      </c>
      <c r="U65" s="519"/>
    </row>
    <row r="66" spans="14:21" ht="17.100000000000001" customHeight="1" thickTop="1" thickBot="1">
      <c r="N66" s="149"/>
      <c r="O66" s="2069"/>
      <c r="P66" s="150"/>
      <c r="Q66" s="1097"/>
    </row>
    <row r="67" spans="14:21" ht="17.100000000000001" customHeight="1">
      <c r="N67" s="52"/>
      <c r="O67" s="559"/>
      <c r="P67" s="2100"/>
      <c r="Q67" s="2100"/>
    </row>
    <row r="68" spans="14:21" ht="17.100000000000001" customHeight="1">
      <c r="N68" s="52"/>
      <c r="O68" s="2101"/>
      <c r="P68" s="52"/>
      <c r="Q68" s="52"/>
    </row>
    <row r="69" spans="14:21" ht="17.100000000000001" customHeight="1">
      <c r="N69" s="52"/>
      <c r="O69" s="2042"/>
      <c r="P69" s="52"/>
      <c r="Q69" s="52"/>
    </row>
    <row r="70" spans="14:21" ht="17.100000000000001" customHeight="1">
      <c r="N70" s="52"/>
      <c r="O70" s="2101"/>
      <c r="P70" s="52"/>
      <c r="Q70" s="52"/>
    </row>
    <row r="71" spans="14:21" ht="17.100000000000001" customHeight="1">
      <c r="N71" s="52"/>
      <c r="O71" s="559"/>
      <c r="P71" s="52"/>
      <c r="Q71" s="52"/>
    </row>
    <row r="72" spans="14:21" ht="17.100000000000001" customHeight="1">
      <c r="N72" s="52"/>
      <c r="O72" s="559"/>
      <c r="P72" s="52"/>
      <c r="Q72" s="52"/>
    </row>
    <row r="73" spans="14:21" ht="17.100000000000001" customHeight="1">
      <c r="N73" s="52"/>
      <c r="O73" s="559"/>
      <c r="P73" s="52"/>
      <c r="Q73" s="52"/>
    </row>
    <row r="74" spans="14:21" ht="17.100000000000001" customHeight="1">
      <c r="N74" s="52"/>
      <c r="O74" s="559"/>
      <c r="P74" s="52"/>
      <c r="Q74" s="52"/>
    </row>
    <row r="75" spans="14:21" ht="17.100000000000001" customHeight="1">
      <c r="N75" s="52"/>
      <c r="O75" s="559"/>
      <c r="P75" s="52"/>
      <c r="Q75" s="52"/>
    </row>
    <row r="76" spans="14:21" ht="17.100000000000001" customHeight="1">
      <c r="N76" s="52"/>
      <c r="O76" s="559"/>
      <c r="P76" s="52"/>
    </row>
    <row r="77" spans="14:21" ht="17.100000000000001" customHeight="1">
      <c r="N77" s="52"/>
      <c r="O77" s="559"/>
      <c r="P77" s="52"/>
    </row>
    <row r="78" spans="14:21" ht="17.100000000000001" customHeight="1">
      <c r="N78" s="52"/>
      <c r="O78" s="559"/>
      <c r="P78" s="52"/>
      <c r="Q78" s="52"/>
    </row>
    <row r="79" spans="14:21" ht="17.100000000000001" customHeight="1">
      <c r="N79" s="52"/>
      <c r="O79" s="559"/>
      <c r="P79" s="52"/>
      <c r="Q79" s="52"/>
    </row>
    <row r="80" spans="14:21" ht="17.100000000000001" customHeight="1">
      <c r="N80" s="52"/>
      <c r="O80" s="559"/>
      <c r="Q80" s="52"/>
    </row>
    <row r="81" spans="14:15" ht="17.100000000000001" customHeight="1">
      <c r="N81" s="52"/>
      <c r="O81" s="559"/>
    </row>
    <row r="82" spans="14:15" ht="17.100000000000001" customHeight="1">
      <c r="N82" s="52"/>
      <c r="O82" s="559"/>
    </row>
    <row r="83" spans="14:15" ht="17.100000000000001" customHeight="1">
      <c r="N83" s="52"/>
      <c r="O83" s="559"/>
    </row>
    <row r="84" spans="14:15" ht="17.100000000000001" customHeight="1">
      <c r="N84" s="52"/>
      <c r="O84" s="559"/>
    </row>
    <row r="85" spans="14:15" ht="17.100000000000001" customHeight="1">
      <c r="N85" s="52"/>
      <c r="O85" s="559"/>
    </row>
    <row r="86" spans="14:15" ht="17.100000000000001" customHeight="1">
      <c r="N86" s="52"/>
      <c r="O86" s="559"/>
    </row>
    <row r="87" spans="14:15" ht="17.100000000000001" customHeight="1">
      <c r="N87" s="52"/>
      <c r="O87" s="559"/>
    </row>
    <row r="88" spans="14:15" ht="17.100000000000001" customHeight="1">
      <c r="N88" s="52"/>
      <c r="O88" s="559"/>
    </row>
    <row r="89" spans="14:15" ht="17.100000000000001" customHeight="1">
      <c r="N89" s="52"/>
      <c r="O89" s="559"/>
    </row>
    <row r="90" spans="14:15" ht="17.100000000000001" customHeight="1">
      <c r="N90" s="52"/>
      <c r="O90" s="559"/>
    </row>
    <row r="91" spans="14:15" ht="17.100000000000001" customHeight="1">
      <c r="N91" s="52"/>
      <c r="O91" s="559"/>
    </row>
    <row r="92" spans="14:15" ht="17.100000000000001" customHeight="1"/>
    <row r="93" spans="14:15" ht="17.100000000000001" customHeight="1"/>
    <row r="94" spans="14:15" ht="17.100000000000001" customHeight="1"/>
    <row r="95" spans="14:15" ht="17.100000000000001" customHeight="1"/>
    <row r="96" spans="14:15" ht="17.100000000000001" customHeight="1"/>
    <row r="97" ht="17.100000000000001" customHeight="1"/>
    <row r="98" ht="17.100000000000001" customHeight="1"/>
    <row r="99" ht="17.100000000000001" customHeight="1"/>
    <row r="100" ht="17.100000000000001" customHeight="1"/>
    <row r="101" ht="17.100000000000001" customHeight="1"/>
    <row r="102" ht="17.100000000000001" customHeight="1"/>
    <row r="103" ht="17.100000000000001" customHeight="1"/>
    <row r="104" ht="17.100000000000001" customHeight="1"/>
    <row r="105" ht="17.100000000000001" customHeight="1"/>
    <row r="106" ht="17.100000000000001" customHeight="1"/>
    <row r="107" ht="17.100000000000001" customHeight="1"/>
    <row r="108" ht="17.100000000000001" customHeight="1"/>
    <row r="109" ht="17.100000000000001" customHeight="1"/>
    <row r="110" ht="17.100000000000001" customHeight="1"/>
    <row r="111" ht="17.100000000000001" customHeight="1"/>
    <row r="112" ht="17.100000000000001"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sheetData>
  <customSheetViews>
    <customSheetView guid="{AE4A63B3-88A2-451A-9F53-7674162F018D}" fitToPage="1" hiddenColumns="1" topLeftCell="I24">
      <selection activeCell="J34" sqref="J34"/>
      <colBreaks count="2" manualBreakCount="2">
        <brk id="7" max="1048575" man="1"/>
        <brk id="13" max="1048575" man="1"/>
      </colBreaks>
      <pageMargins left="1.2204724409448819" right="0.51181102362204722" top="0.51181102362204722" bottom="0.55118110236220474" header="0.51181102362204722" footer="0.51181102362204722"/>
      <printOptions horizontalCentered="1" verticalCentered="1" gridLines="1"/>
      <pageSetup paperSize="9" scale="69" orientation="portrait" horizontalDpi="300" verticalDpi="300" r:id="rId1"/>
      <headerFooter alignWithMargins="0"/>
    </customSheetView>
    <customSheetView guid="{6C6AF7F1-37F2-45B8-A395-4149314EE5A8}" fitToPage="1" hiddenColumns="1" topLeftCell="I24">
      <selection activeCell="J34" sqref="J34"/>
      <colBreaks count="2" manualBreakCount="2">
        <brk id="7" max="1048575" man="1"/>
        <brk id="13" max="1048575" man="1"/>
      </colBreaks>
      <pageMargins left="1.2204724409448819" right="0.51181102362204722" top="0.51181102362204722" bottom="0.55118110236220474" header="0.51181102362204722" footer="0.51181102362204722"/>
      <printOptions horizontalCentered="1" verticalCentered="1" gridLines="1"/>
      <pageSetup paperSize="9" scale="69" orientation="portrait" horizontalDpi="300" verticalDpi="300" r:id="rId2"/>
      <headerFooter alignWithMargins="0"/>
    </customSheetView>
  </customSheetViews>
  <mergeCells count="3">
    <mergeCell ref="H1:J1"/>
    <mergeCell ref="N1:Q1"/>
    <mergeCell ref="A1:E1"/>
  </mergeCells>
  <phoneticPr fontId="0" type="noConversion"/>
  <printOptions horizontalCentered="1" verticalCentered="1" gridLines="1" gridLinesSet="0"/>
  <pageMargins left="1.2204724409448819" right="0.51181102362204722" top="0.51181102362204722" bottom="0.55118110236220474" header="0.51181102362204722" footer="0.51181102362204722"/>
  <pageSetup paperSize="9" scale="34" orientation="portrait" verticalDpi="300" r:id="rId3"/>
  <headerFooter alignWithMargins="0"/>
  <colBreaks count="2" manualBreakCount="2">
    <brk id="7" max="1048575" man="1"/>
    <brk id="13" max="1048575" man="1"/>
  </col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transitionEntry="1" codeName="Sheet2">
    <tabColor theme="8" tint="0.39997558519241921"/>
  </sheetPr>
  <dimension ref="A1:BG1019"/>
  <sheetViews>
    <sheetView rightToLeft="1" zoomScale="85" zoomScaleNormal="85" zoomScaleSheetLayoutView="85" workbookViewId="0">
      <pane xSplit="4" ySplit="7" topLeftCell="E963" activePane="bottomRight" state="frozen"/>
      <selection pane="topRight" activeCell="E1" sqref="E1"/>
      <selection pane="bottomLeft" activeCell="A8" sqref="A8"/>
      <selection pane="bottomRight" activeCell="K996" sqref="K996"/>
    </sheetView>
  </sheetViews>
  <sheetFormatPr defaultColWidth="9.83203125" defaultRowHeight="12.75" outlineLevelCol="2"/>
  <cols>
    <col min="1" max="1" width="6.83203125" style="402" customWidth="1"/>
    <col min="2" max="2" width="44.5" style="583" customWidth="1"/>
    <col min="3" max="3" width="16.83203125" style="421" customWidth="1"/>
    <col min="4" max="4" width="52.5" style="1517" customWidth="1"/>
    <col min="5" max="5" width="14" style="49" customWidth="1" outlineLevel="1"/>
    <col min="6" max="6" width="16.1640625" style="49" customWidth="1" outlineLevel="2"/>
    <col min="7" max="7" width="6.6640625" style="49" customWidth="1" outlineLevel="2"/>
    <col min="8" max="8" width="7.83203125" style="49" customWidth="1" outlineLevel="2"/>
    <col min="9" max="9" width="6.6640625" style="49" customWidth="1" outlineLevel="2"/>
    <col min="10" max="10" width="16" style="49" customWidth="1"/>
    <col min="11" max="11" width="16" style="1199" customWidth="1"/>
    <col min="12" max="12" width="13.5" style="141" customWidth="1"/>
    <col min="13" max="13" width="16.1640625" style="49" customWidth="1"/>
    <col min="14" max="14" width="10" style="1104" customWidth="1"/>
    <col min="15" max="15" width="82.83203125" style="1528" customWidth="1"/>
    <col min="16" max="18" width="11.5" style="137" bestFit="1" customWidth="1"/>
    <col min="19" max="19" width="14.5" style="137" customWidth="1"/>
    <col min="20" max="20" width="12" style="137" bestFit="1" customWidth="1"/>
    <col min="21" max="23" width="16.5" style="137" customWidth="1"/>
    <col min="24" max="24" width="10.5" style="137" bestFit="1" customWidth="1"/>
    <col min="25" max="25" width="10.5" style="137" customWidth="1"/>
    <col min="26" max="26" width="13" style="137" customWidth="1"/>
    <col min="27" max="27" width="24.6640625" style="137" bestFit="1" customWidth="1"/>
    <col min="28" max="45" width="24.6640625" style="137" customWidth="1"/>
    <col min="46" max="46" width="36.1640625" style="137" customWidth="1"/>
    <col min="47" max="47" width="24.6640625" style="137" customWidth="1"/>
    <col min="48" max="48" width="42.5" style="137" customWidth="1"/>
    <col min="49" max="50" width="24.6640625" style="137" customWidth="1"/>
    <col min="51" max="51" width="96.83203125" style="52" bestFit="1" customWidth="1"/>
    <col min="52" max="52" width="59" style="52" bestFit="1" customWidth="1"/>
    <col min="53" max="53" width="38.1640625" style="52" bestFit="1" customWidth="1"/>
    <col min="54" max="54" width="14.83203125" style="52" customWidth="1"/>
    <col min="55" max="55" width="14.1640625" style="52" customWidth="1"/>
    <col min="56" max="56" width="20.5" style="52" customWidth="1"/>
    <col min="57" max="57" width="22.1640625" style="52" customWidth="1"/>
    <col min="58" max="58" width="13.1640625" style="52" customWidth="1"/>
    <col min="59" max="59" width="26.5" style="52" customWidth="1"/>
    <col min="60" max="60" width="21.1640625" style="52" customWidth="1"/>
    <col min="61" max="61" width="18.83203125" style="52" customWidth="1"/>
    <col min="62" max="62" width="17.33203125" style="52" customWidth="1"/>
    <col min="63" max="63" width="17.5" style="52" customWidth="1"/>
    <col min="64" max="64" width="17.6640625" style="52" customWidth="1"/>
    <col min="65" max="16384" width="9.83203125" style="52"/>
  </cols>
  <sheetData>
    <row r="1" spans="1:54" ht="13.5" thickBot="1">
      <c r="A1" s="395"/>
      <c r="C1" s="396"/>
      <c r="D1" s="397"/>
      <c r="E1" s="170">
        <f>E1010</f>
        <v>1.3969838619232178E-8</v>
      </c>
      <c r="F1" s="170">
        <f>F1010/2</f>
        <v>0</v>
      </c>
      <c r="G1" s="170">
        <f>G1010/2</f>
        <v>0</v>
      </c>
      <c r="H1" s="170">
        <f>H1010/2</f>
        <v>0</v>
      </c>
      <c r="I1" s="170">
        <f>I1010/2</f>
        <v>0</v>
      </c>
      <c r="J1" s="171">
        <f>J1010</f>
        <v>1.9557774066925049E-8</v>
      </c>
      <c r="K1" s="171">
        <f>K1010</f>
        <v>-4.1909515857696533E-9</v>
      </c>
      <c r="L1" s="439"/>
      <c r="M1" s="171">
        <f>M1010</f>
        <v>0</v>
      </c>
      <c r="N1" s="1106"/>
      <c r="O1" s="3280"/>
      <c r="P1" s="52"/>
      <c r="Q1" s="52"/>
    </row>
    <row r="2" spans="1:54" ht="13.5" thickBot="1">
      <c r="B2" s="1157" t="s">
        <v>279</v>
      </c>
      <c r="C2" s="2781"/>
      <c r="D2" s="1156"/>
      <c r="E2" s="1471"/>
      <c r="F2" s="1472"/>
      <c r="G2" s="1472"/>
      <c r="H2" s="1472"/>
      <c r="I2" s="1472"/>
      <c r="J2" s="1472"/>
      <c r="K2" s="1473"/>
      <c r="L2" s="137"/>
      <c r="M2" s="1689" t="s">
        <v>2425</v>
      </c>
      <c r="N2" s="4122">
        <f>'נתונים לשינוי'!B7</f>
        <v>3.11</v>
      </c>
      <c r="O2" s="445"/>
      <c r="P2" s="63"/>
      <c r="Q2" s="63"/>
      <c r="R2" s="63"/>
      <c r="S2" s="52"/>
    </row>
    <row r="3" spans="1:54" ht="13.5" thickBot="1">
      <c r="B3" s="1144"/>
      <c r="C3" s="2030"/>
      <c r="D3" s="1146"/>
      <c r="E3" s="4311">
        <f>'נתונים לשינוי'!C1</f>
        <v>44561</v>
      </c>
      <c r="F3" s="4312"/>
      <c r="G3" s="4313"/>
      <c r="H3" s="4314"/>
      <c r="I3" s="4314"/>
      <c r="J3" s="4314"/>
      <c r="K3" s="4315"/>
      <c r="L3" s="137"/>
      <c r="M3" s="541" t="s">
        <v>604</v>
      </c>
      <c r="N3" s="4123">
        <f>'נתונים לשינוי'!D8</f>
        <v>3.2292999999999998</v>
      </c>
      <c r="O3" s="401"/>
      <c r="P3" s="500"/>
      <c r="Q3" s="52"/>
      <c r="R3" s="63"/>
      <c r="S3" s="52"/>
      <c r="AA3" s="405"/>
      <c r="AB3" s="405"/>
      <c r="AC3" s="405"/>
      <c r="AD3" s="405"/>
      <c r="AE3" s="405"/>
      <c r="AF3" s="405"/>
      <c r="AG3" s="405"/>
      <c r="AH3" s="405"/>
      <c r="AI3" s="405"/>
      <c r="AJ3" s="405"/>
      <c r="AK3" s="405"/>
      <c r="AL3" s="405"/>
      <c r="AM3" s="405"/>
      <c r="AN3" s="405"/>
      <c r="AO3" s="405"/>
      <c r="AP3" s="405"/>
      <c r="AQ3" s="405"/>
      <c r="AR3" s="405"/>
      <c r="AS3" s="405"/>
      <c r="AT3" s="405"/>
      <c r="AU3" s="405"/>
      <c r="AV3" s="405"/>
      <c r="AW3" s="405"/>
      <c r="AX3" s="405"/>
      <c r="AY3" s="63"/>
      <c r="AZ3" s="63"/>
      <c r="BA3" s="63"/>
      <c r="BB3" s="63"/>
    </row>
    <row r="4" spans="1:54" ht="13.5" thickBot="1">
      <c r="A4" s="406"/>
      <c r="B4" s="3720"/>
      <c r="C4" s="2782"/>
      <c r="D4" s="1474"/>
      <c r="E4" s="86" t="s">
        <v>2460</v>
      </c>
      <c r="F4" s="408"/>
      <c r="G4" s="409"/>
      <c r="H4" s="408"/>
      <c r="I4" s="409"/>
      <c r="J4" s="86" t="s">
        <v>2460</v>
      </c>
      <c r="K4" s="95" t="s">
        <v>294</v>
      </c>
      <c r="L4" s="410"/>
      <c r="M4" s="86" t="s">
        <v>294</v>
      </c>
      <c r="N4" s="3279" t="s">
        <v>2461</v>
      </c>
      <c r="O4" s="3282"/>
      <c r="P4" s="501"/>
      <c r="Q4" s="52"/>
      <c r="R4" s="52"/>
      <c r="S4" s="63"/>
    </row>
    <row r="5" spans="1:54">
      <c r="A5" s="406"/>
      <c r="B5" s="3721"/>
      <c r="C5" s="412"/>
      <c r="D5" s="1475"/>
      <c r="E5" s="1476" t="s">
        <v>46</v>
      </c>
      <c r="F5" s="1476" t="s">
        <v>47</v>
      </c>
      <c r="G5" s="1476" t="s">
        <v>47</v>
      </c>
      <c r="H5" s="1476" t="s">
        <v>47</v>
      </c>
      <c r="I5" s="1476" t="s">
        <v>47</v>
      </c>
      <c r="J5" s="1476" t="s">
        <v>48</v>
      </c>
      <c r="K5" s="1477" t="s">
        <v>48</v>
      </c>
      <c r="L5" s="1625"/>
      <c r="M5" s="1476" t="s">
        <v>46</v>
      </c>
      <c r="O5" s="3283"/>
      <c r="P5" s="502"/>
      <c r="Q5" s="52"/>
      <c r="R5" s="52"/>
      <c r="S5" s="419"/>
      <c r="BA5" s="418"/>
    </row>
    <row r="6" spans="1:54">
      <c r="A6" s="406"/>
      <c r="B6" s="3664"/>
      <c r="D6" s="1478" t="s">
        <v>50</v>
      </c>
      <c r="E6" s="1479" t="s">
        <v>51</v>
      </c>
      <c r="F6" s="1479" t="s">
        <v>52</v>
      </c>
      <c r="G6" s="1479" t="s">
        <v>52</v>
      </c>
      <c r="H6" s="1479" t="s">
        <v>52</v>
      </c>
      <c r="I6" s="1479" t="s">
        <v>52</v>
      </c>
      <c r="J6" s="1479" t="s">
        <v>3</v>
      </c>
      <c r="K6" s="1480" t="s">
        <v>53</v>
      </c>
      <c r="L6" s="1625"/>
      <c r="M6" s="1479" t="s">
        <v>51</v>
      </c>
      <c r="O6" s="210"/>
      <c r="P6" s="52"/>
      <c r="Q6" s="52"/>
      <c r="R6" s="52"/>
      <c r="S6" s="63"/>
      <c r="BA6" s="418"/>
    </row>
    <row r="7" spans="1:54" ht="13.5" thickBot="1">
      <c r="B7" s="3665"/>
      <c r="C7" s="1481"/>
      <c r="D7" s="1482"/>
      <c r="E7" s="1483" t="s">
        <v>54</v>
      </c>
      <c r="F7" s="1483" t="s">
        <v>177</v>
      </c>
      <c r="G7" s="1483" t="s">
        <v>177</v>
      </c>
      <c r="H7" s="1483" t="s">
        <v>55</v>
      </c>
      <c r="I7" s="1483" t="s">
        <v>56</v>
      </c>
      <c r="J7" s="1483" t="s">
        <v>177</v>
      </c>
      <c r="K7" s="1483" t="s">
        <v>177</v>
      </c>
      <c r="L7" s="444"/>
      <c r="M7" s="1483" t="s">
        <v>54</v>
      </c>
      <c r="O7" s="3284"/>
      <c r="P7" s="272"/>
      <c r="Q7" s="503"/>
      <c r="R7" s="428"/>
      <c r="S7" s="52"/>
      <c r="AB7" s="2027" t="s">
        <v>3210</v>
      </c>
      <c r="AC7" s="2027" t="s">
        <v>3307</v>
      </c>
      <c r="AD7" s="2027" t="s">
        <v>3384</v>
      </c>
      <c r="AE7" s="2027" t="s">
        <v>3564</v>
      </c>
      <c r="AF7" s="2027" t="s">
        <v>3633</v>
      </c>
      <c r="AG7" s="2027" t="s">
        <v>3721</v>
      </c>
      <c r="AH7" s="2027" t="s">
        <v>3888</v>
      </c>
      <c r="AI7" s="2027" t="s">
        <v>3994</v>
      </c>
      <c r="AJ7" s="2027" t="s">
        <v>3556</v>
      </c>
      <c r="AK7" s="2027" t="s">
        <v>3557</v>
      </c>
      <c r="AL7" s="2027" t="s">
        <v>3558</v>
      </c>
      <c r="AM7" s="2027" t="s">
        <v>3559</v>
      </c>
      <c r="AN7" s="2027"/>
      <c r="AO7" s="2027"/>
      <c r="AP7" s="2027"/>
      <c r="AQ7" s="2027"/>
      <c r="BA7" s="418"/>
    </row>
    <row r="8" spans="1:54" ht="13.5" thickBot="1">
      <c r="B8" s="3722"/>
      <c r="C8" s="1484"/>
      <c r="D8" s="58" t="s">
        <v>58</v>
      </c>
      <c r="E8" s="1485"/>
      <c r="J8" s="1578"/>
      <c r="K8" s="1578"/>
      <c r="L8" s="444"/>
      <c r="M8" s="1578"/>
      <c r="O8" s="432"/>
      <c r="P8" s="54"/>
      <c r="Q8" s="52"/>
      <c r="R8" s="502"/>
      <c r="S8" s="52"/>
      <c r="BA8" s="418"/>
    </row>
    <row r="9" spans="1:54">
      <c r="B9" s="3659" t="s">
        <v>340</v>
      </c>
      <c r="C9" s="1119">
        <v>1000020</v>
      </c>
      <c r="D9" s="48" t="s">
        <v>564</v>
      </c>
      <c r="E9" s="79">
        <f>VLOOKUP(C9,'פקודות נוספות'!$D$274:$F$797,3,0)</f>
        <v>5177110.03</v>
      </c>
      <c r="F9" s="1565">
        <f>SUMIF('פקודות נוספות'!C:C,C:C,'פקודות נוספות'!E:E)</f>
        <v>0</v>
      </c>
      <c r="G9" s="1202"/>
      <c r="H9" s="1202"/>
      <c r="I9" s="1202"/>
      <c r="J9" s="474">
        <f>SUM(E9:I9)</f>
        <v>5177110.03</v>
      </c>
      <c r="K9" s="474">
        <f>M9+SUMIF('פקודות נוספות'!C:C,'מאזן בוחן'!C9,'פקודות נוספות'!F:F)</f>
        <v>1664665.6000000001</v>
      </c>
      <c r="L9" s="439"/>
      <c r="M9" s="474">
        <f>VLOOKUP(C9,'פקודות נוספות'!$D$273:$G$797,4,0)</f>
        <v>1664665.6000000001</v>
      </c>
      <c r="N9" s="1104">
        <f t="shared" ref="N9:N19" si="0">IF(K9=0,"-",J9/K9)</f>
        <v>3.1100000084100974</v>
      </c>
      <c r="O9" s="3281"/>
      <c r="P9" s="63"/>
      <c r="Q9" s="435"/>
      <c r="R9" s="435"/>
      <c r="S9" s="52"/>
      <c r="BA9" s="418"/>
    </row>
    <row r="10" spans="1:54" ht="13.5" thickBot="1">
      <c r="B10" s="3768"/>
      <c r="C10" s="1486"/>
      <c r="D10" s="53" t="s">
        <v>61</v>
      </c>
      <c r="E10" s="1487">
        <f t="shared" ref="E10:M10" si="1">SUM(E9:E9)</f>
        <v>5177110.03</v>
      </c>
      <c r="F10" s="1487">
        <f t="shared" si="1"/>
        <v>0</v>
      </c>
      <c r="G10" s="1487">
        <f t="shared" si="1"/>
        <v>0</v>
      </c>
      <c r="H10" s="1487">
        <f t="shared" si="1"/>
        <v>0</v>
      </c>
      <c r="I10" s="1487">
        <f t="shared" si="1"/>
        <v>0</v>
      </c>
      <c r="J10" s="1487">
        <f t="shared" si="1"/>
        <v>5177110.03</v>
      </c>
      <c r="K10" s="1487">
        <f t="shared" si="1"/>
        <v>1664665.6000000001</v>
      </c>
      <c r="L10" s="439"/>
      <c r="M10" s="436">
        <f t="shared" si="1"/>
        <v>1664665.6000000001</v>
      </c>
      <c r="N10" s="1104">
        <f t="shared" si="0"/>
        <v>3.1100000084100974</v>
      </c>
      <c r="O10" s="445"/>
      <c r="P10" s="63"/>
      <c r="Q10" s="435"/>
      <c r="R10" s="435"/>
      <c r="S10" s="52"/>
      <c r="BA10" s="418"/>
    </row>
    <row r="11" spans="1:54">
      <c r="B11" s="3659"/>
      <c r="C11" s="1488"/>
      <c r="D11" s="48"/>
      <c r="E11" s="79"/>
      <c r="F11" s="1565"/>
      <c r="G11" s="1202"/>
      <c r="H11" s="1202"/>
      <c r="I11" s="1202"/>
      <c r="J11" s="474"/>
      <c r="K11" s="474"/>
      <c r="L11" s="439"/>
      <c r="M11" s="474"/>
      <c r="O11" s="445"/>
      <c r="P11" s="63"/>
      <c r="Q11" s="435"/>
      <c r="R11" s="435"/>
      <c r="S11" s="52"/>
      <c r="BA11" s="418"/>
    </row>
    <row r="12" spans="1:54">
      <c r="B12" s="3668"/>
      <c r="D12" s="61"/>
      <c r="E12" s="79"/>
      <c r="F12" s="1565"/>
      <c r="G12" s="1202"/>
      <c r="H12" s="1202"/>
      <c r="I12" s="1202"/>
      <c r="K12" s="49"/>
      <c r="L12" s="439"/>
      <c r="O12" s="432"/>
    </row>
    <row r="13" spans="1:54">
      <c r="B13" s="3659"/>
      <c r="C13" s="1489"/>
      <c r="D13" s="45"/>
      <c r="E13" s="79"/>
      <c r="F13" s="1565"/>
      <c r="G13" s="1202"/>
      <c r="H13" s="1202"/>
      <c r="I13" s="1202"/>
      <c r="J13" s="474"/>
      <c r="K13" s="474"/>
      <c r="L13" s="439"/>
      <c r="M13" s="474"/>
      <c r="O13" s="1490"/>
      <c r="P13" s="63"/>
      <c r="Q13" s="435"/>
      <c r="R13" s="435"/>
      <c r="S13" s="52"/>
      <c r="BA13" s="418"/>
    </row>
    <row r="14" spans="1:54" ht="13.5" thickBot="1">
      <c r="B14" s="3768"/>
      <c r="C14" s="1486"/>
      <c r="D14" s="53" t="s">
        <v>62</v>
      </c>
      <c r="E14" s="436">
        <f t="shared" ref="E14:M14" si="2">SUM(E11:E13)</f>
        <v>0</v>
      </c>
      <c r="F14" s="1566">
        <f t="shared" si="2"/>
        <v>0</v>
      </c>
      <c r="G14" s="1567">
        <f t="shared" si="2"/>
        <v>0</v>
      </c>
      <c r="H14" s="1567">
        <f t="shared" si="2"/>
        <v>0</v>
      </c>
      <c r="I14" s="1567">
        <f t="shared" si="2"/>
        <v>0</v>
      </c>
      <c r="J14" s="1564">
        <f t="shared" si="2"/>
        <v>0</v>
      </c>
      <c r="K14" s="1564">
        <f t="shared" si="2"/>
        <v>0</v>
      </c>
      <c r="L14" s="1213"/>
      <c r="M14" s="1564">
        <f t="shared" si="2"/>
        <v>0</v>
      </c>
      <c r="O14" s="445"/>
      <c r="P14" s="63"/>
      <c r="Q14" s="435"/>
      <c r="R14" s="435"/>
      <c r="S14" s="52"/>
      <c r="BA14" s="418"/>
    </row>
    <row r="15" spans="1:54" ht="13.5" thickBot="1">
      <c r="B15" s="3659" t="s">
        <v>340</v>
      </c>
      <c r="C15" s="585">
        <v>1000021</v>
      </c>
      <c r="D15" s="45" t="s">
        <v>565</v>
      </c>
      <c r="E15" s="171">
        <f>IFERROR(VLOOKUP(C15,'פקודות נוספות'!$D$274:$F$797,3,0),0)</f>
        <v>7928898.9699999997</v>
      </c>
      <c r="F15" s="1565">
        <f>SUMIF('פקודות נוספות'!C:C,C:C,'פקודות נוספות'!E:E)</f>
        <v>0</v>
      </c>
      <c r="G15" s="747"/>
      <c r="H15" s="747"/>
      <c r="I15" s="1202"/>
      <c r="J15" s="474">
        <f t="shared" ref="J15:J20" si="3">SUM(E15:I15)</f>
        <v>7928898.9699999997</v>
      </c>
      <c r="K15" s="474">
        <f>M15+SUMIF('פקודות נוספות'!C:C,'מאזן בוחן'!C15,'פקודות נוספות'!F:F)</f>
        <v>2549485.2000000002</v>
      </c>
      <c r="L15" s="439"/>
      <c r="M15" s="474">
        <f>IFERROR(VLOOKUP(C15,'פקודות נוספות'!$D$273:$G$797,4,0),0)</f>
        <v>2549485.2000000002</v>
      </c>
      <c r="N15" s="1104">
        <f t="shared" si="0"/>
        <v>3.1099999992155274</v>
      </c>
      <c r="O15" s="1114"/>
      <c r="P15" s="63"/>
      <c r="Q15" s="435"/>
      <c r="R15" s="435"/>
      <c r="S15" s="52"/>
      <c r="BA15" s="418"/>
    </row>
    <row r="16" spans="1:54" ht="13.5" thickBot="1">
      <c r="B16" s="3659" t="s">
        <v>340</v>
      </c>
      <c r="C16" s="585">
        <v>1000024</v>
      </c>
      <c r="D16" s="45" t="s">
        <v>4451</v>
      </c>
      <c r="E16" s="171">
        <f>IFERROR(VLOOKUP(C16,'פקודות נוספות'!$D$274:$F$797,3,0),0)</f>
        <v>2942170</v>
      </c>
      <c r="F16" s="1565">
        <f>SUMIF('פקודות נוספות'!C:C,C:C,'פקודות נוספות'!E:E)</f>
        <v>0</v>
      </c>
      <c r="G16" s="747"/>
      <c r="H16" s="747"/>
      <c r="I16" s="1202"/>
      <c r="J16" s="474">
        <f t="shared" si="3"/>
        <v>2942170</v>
      </c>
      <c r="K16" s="474">
        <f>M16+SUMIF('פקודות נוספות'!C:C,'מאזן בוחן'!C16,'פקודות נוספות'!F:F)</f>
        <v>946035.37</v>
      </c>
      <c r="L16" s="956">
        <f>J16/'נתונים לשינוי'!$C$20-700000</f>
        <v>0</v>
      </c>
      <c r="M16" s="474">
        <f>IFERROR(VLOOKUP(C16,'פקודות נוספות'!$D$273:$G$797,4,0),0)</f>
        <v>946035.37</v>
      </c>
      <c r="N16" s="2791">
        <f t="shared" ref="N16" si="4">IF(K16=0,"-",J16/K16)</f>
        <v>3.10999999926007</v>
      </c>
      <c r="O16" s="1114"/>
      <c r="P16" s="63"/>
      <c r="Q16" s="435"/>
      <c r="R16" s="435"/>
      <c r="S16" s="52"/>
      <c r="BA16" s="418"/>
    </row>
    <row r="17" spans="2:53" ht="13.5" thickBot="1">
      <c r="B17" s="3659" t="s">
        <v>340</v>
      </c>
      <c r="C17" s="585">
        <v>1000022</v>
      </c>
      <c r="D17" s="45" t="s">
        <v>341</v>
      </c>
      <c r="E17" s="171">
        <f>IFERROR(VLOOKUP(C17,'פקודות נוספות'!$D$274:$F$797,3,0),0)</f>
        <v>1092819.26</v>
      </c>
      <c r="F17" s="1565">
        <f>SUMIF('פקודות נוספות'!C:C,C:C,'פקודות נוספות'!E:E)</f>
        <v>0</v>
      </c>
      <c r="G17" s="747"/>
      <c r="H17" s="747"/>
      <c r="I17" s="1202"/>
      <c r="J17" s="474">
        <f t="shared" si="3"/>
        <v>1092819.26</v>
      </c>
      <c r="K17" s="474">
        <f>M17+SUMIF('פקודות נוספות'!C:C,'מאזן בוחן'!C17,'פקודות נוספות'!F:F)</f>
        <v>351388.83</v>
      </c>
      <c r="L17" s="439"/>
      <c r="M17" s="474">
        <f>IFERROR(VLOOKUP(C17,'פקודות נוספות'!$D$273:$G$797,4,0),0)</f>
        <v>351388.83</v>
      </c>
      <c r="N17" s="2791">
        <f t="shared" si="0"/>
        <v>3.1099999963003944</v>
      </c>
      <c r="O17" s="1114"/>
      <c r="P17" s="63"/>
      <c r="Q17" s="435"/>
      <c r="R17" s="435"/>
      <c r="S17" s="52"/>
      <c r="BA17" s="418"/>
    </row>
    <row r="18" spans="2:53" ht="13.5" thickBot="1">
      <c r="B18" s="3659" t="s">
        <v>340</v>
      </c>
      <c r="C18" s="585">
        <v>1000023</v>
      </c>
      <c r="D18" s="45" t="s">
        <v>566</v>
      </c>
      <c r="E18" s="171">
        <f>IFERROR(VLOOKUP(C18,'פקודות נוספות'!$D$274:$F$797,3,0),0)</f>
        <v>524796.36</v>
      </c>
      <c r="F18" s="1565">
        <f>SUMIF('פקודות נוספות'!C:C,C:C,'פקודות נוספות'!E:E)</f>
        <v>0</v>
      </c>
      <c r="G18" s="747"/>
      <c r="H18" s="747"/>
      <c r="I18" s="1202"/>
      <c r="J18" s="474">
        <f t="shared" si="3"/>
        <v>524796.36</v>
      </c>
      <c r="K18" s="474">
        <f>M18+SUMIF('פקודות נוספות'!C:C,'מאזן בוחן'!C18,'פקודות נוספות'!F:F)</f>
        <v>168744.81</v>
      </c>
      <c r="L18" s="956">
        <f>J18/'נתונים לשינוי'!$C$21-149094</f>
        <v>0.11062814283650368</v>
      </c>
      <c r="M18" s="474">
        <f>IFERROR(VLOOKUP(C18,'פקודות נוספות'!$D$273:$G$797,4,0),0)</f>
        <v>168744.81</v>
      </c>
      <c r="N18" s="2791">
        <f t="shared" si="0"/>
        <v>3.1100000053334975</v>
      </c>
      <c r="O18" s="399"/>
      <c r="P18" s="63"/>
      <c r="Q18" s="435"/>
      <c r="R18" s="435"/>
      <c r="S18" s="52"/>
      <c r="BA18" s="418"/>
    </row>
    <row r="19" spans="2:53" ht="13.5" thickBot="1">
      <c r="B19" s="3659" t="s">
        <v>340</v>
      </c>
      <c r="C19" s="585">
        <v>10010</v>
      </c>
      <c r="D19" s="45" t="s">
        <v>1983</v>
      </c>
      <c r="E19" s="171">
        <f>IFERROR(VLOOKUP(C19,'פקודות נוספות'!$D$274:$F$797,3,0),0)</f>
        <v>0</v>
      </c>
      <c r="F19" s="1565">
        <f>SUMIF('פקודות נוספות'!C:C,C:C,'פקודות נוספות'!E:E)</f>
        <v>0</v>
      </c>
      <c r="G19" s="747"/>
      <c r="H19" s="747"/>
      <c r="I19" s="1202"/>
      <c r="J19" s="474">
        <f t="shared" si="3"/>
        <v>0</v>
      </c>
      <c r="K19" s="474">
        <f>M19+SUMIF('פקודות נוספות'!C:C,'מאזן בוחן'!C19,'פקודות נוספות'!F:F)</f>
        <v>0</v>
      </c>
      <c r="L19" s="956">
        <f>K19/'נתונים לשינוי'!C23*'נתונים לשינוי'!C22-0</f>
        <v>0</v>
      </c>
      <c r="M19" s="474">
        <f>IFERROR(VLOOKUP(C19,'פקודות נוספות'!$D$273:$G$797,4,0),0)</f>
        <v>0</v>
      </c>
      <c r="N19" s="2791" t="str">
        <f t="shared" si="0"/>
        <v>-</v>
      </c>
      <c r="O19" s="399"/>
      <c r="P19" s="63"/>
      <c r="Q19" s="435"/>
      <c r="R19" s="435"/>
      <c r="S19" s="52"/>
      <c r="BA19" s="418"/>
    </row>
    <row r="20" spans="2:53" ht="13.5" thickBot="1">
      <c r="B20" s="3669" t="s">
        <v>340</v>
      </c>
      <c r="C20" s="585">
        <v>1000030</v>
      </c>
      <c r="D20" s="45" t="s">
        <v>567</v>
      </c>
      <c r="E20" s="171">
        <f>IFERROR(VLOOKUP(C20,'פקודות נוספות'!$D$274:$F$797,3,0),0)</f>
        <v>428.02</v>
      </c>
      <c r="F20" s="1565">
        <f>SUMIF('פקודות נוספות'!C:C,C:C,'פקודות נוספות'!E:E)</f>
        <v>0</v>
      </c>
      <c r="G20" s="747"/>
      <c r="H20" s="747"/>
      <c r="I20" s="1202"/>
      <c r="J20" s="1577">
        <f t="shared" si="3"/>
        <v>428.02</v>
      </c>
      <c r="K20" s="474">
        <f>M20+SUMIF('פקודות נוספות'!C:C,'מאזן בוחן'!C20,'פקודות נוספות'!F:F)</f>
        <v>137.63</v>
      </c>
      <c r="L20" s="956">
        <f>428-J20</f>
        <v>-1.999999999998181E-2</v>
      </c>
      <c r="M20" s="474">
        <f>IFERROR(VLOOKUP(C20,'פקודות נוספות'!$D$273:$G$797,4,0),0)</f>
        <v>137.63</v>
      </c>
      <c r="N20" s="2791">
        <f>IF(K20=0,"-",J20/K20)</f>
        <v>3.1099324275230691</v>
      </c>
      <c r="O20" s="1114"/>
      <c r="P20" s="63"/>
      <c r="Q20" s="435"/>
      <c r="R20" s="435"/>
      <c r="S20" s="52"/>
      <c r="BA20" s="418"/>
    </row>
    <row r="21" spans="2:53">
      <c r="B21" s="3669"/>
      <c r="C21" s="1491"/>
      <c r="D21" s="45"/>
      <c r="E21" s="79"/>
      <c r="F21" s="1565"/>
      <c r="G21" s="747"/>
      <c r="H21" s="747"/>
      <c r="I21" s="1202"/>
      <c r="J21" s="474"/>
      <c r="K21" s="474"/>
      <c r="L21" s="439"/>
      <c r="M21" s="474"/>
      <c r="O21" s="445"/>
      <c r="P21" s="63"/>
      <c r="Q21" s="435"/>
      <c r="R21" s="435"/>
      <c r="S21" s="52"/>
      <c r="BA21" s="418"/>
    </row>
    <row r="22" spans="2:53" ht="13.5" thickBot="1">
      <c r="B22" s="3766"/>
      <c r="C22" s="1486"/>
      <c r="D22" s="53" t="s">
        <v>63</v>
      </c>
      <c r="E22" s="1487">
        <f t="shared" ref="E22:M22" si="5">SUM(E15:E21)</f>
        <v>12489112.609999998</v>
      </c>
      <c r="F22" s="1487">
        <f t="shared" si="5"/>
        <v>0</v>
      </c>
      <c r="G22" s="1487">
        <f t="shared" si="5"/>
        <v>0</v>
      </c>
      <c r="H22" s="1487">
        <f t="shared" si="5"/>
        <v>0</v>
      </c>
      <c r="I22" s="1487">
        <f t="shared" si="5"/>
        <v>0</v>
      </c>
      <c r="J22" s="1487">
        <f t="shared" si="5"/>
        <v>12489112.609999998</v>
      </c>
      <c r="K22" s="1487">
        <f t="shared" si="5"/>
        <v>4015791.8400000003</v>
      </c>
      <c r="L22" s="439"/>
      <c r="M22" s="436">
        <f t="shared" si="5"/>
        <v>4015791.8400000003</v>
      </c>
      <c r="O22" s="445"/>
      <c r="P22" s="63"/>
      <c r="Q22" s="435"/>
      <c r="R22" s="435"/>
      <c r="S22" s="52"/>
      <c r="BA22" s="418"/>
    </row>
    <row r="23" spans="2:53">
      <c r="B23" s="3767"/>
      <c r="C23" s="1484"/>
      <c r="D23" s="54"/>
      <c r="E23" s="443"/>
      <c r="F23" s="1568"/>
      <c r="G23" s="1569"/>
      <c r="H23" s="1569"/>
      <c r="I23" s="1569"/>
      <c r="J23" s="1479"/>
      <c r="K23" s="1479"/>
      <c r="L23" s="439"/>
      <c r="M23" s="1479"/>
      <c r="O23" s="445"/>
      <c r="P23" s="63"/>
      <c r="Q23" s="435"/>
      <c r="R23" s="435"/>
      <c r="S23" s="52"/>
      <c r="BA23" s="418"/>
    </row>
    <row r="24" spans="2:53">
      <c r="B24" s="3659"/>
      <c r="C24" s="1489"/>
      <c r="D24" s="45"/>
      <c r="E24" s="79"/>
      <c r="F24" s="1565"/>
      <c r="G24" s="1202"/>
      <c r="H24" s="747"/>
      <c r="I24" s="1569"/>
      <c r="J24" s="47"/>
      <c r="K24" s="474"/>
      <c r="L24" s="439"/>
      <c r="M24" s="47"/>
      <c r="O24" s="445"/>
      <c r="P24" s="63"/>
      <c r="Q24" s="435"/>
      <c r="R24" s="435"/>
      <c r="S24" s="52"/>
      <c r="BA24" s="418"/>
    </row>
    <row r="25" spans="2:53">
      <c r="B25" s="3659"/>
      <c r="C25" s="1489"/>
      <c r="D25" s="45"/>
      <c r="E25" s="79"/>
      <c r="F25" s="1565"/>
      <c r="G25" s="1202"/>
      <c r="H25" s="747"/>
      <c r="I25" s="1202"/>
      <c r="J25" s="474"/>
      <c r="K25" s="474"/>
      <c r="L25" s="439"/>
      <c r="M25" s="474"/>
      <c r="O25" s="445"/>
      <c r="P25" s="63"/>
      <c r="Q25" s="435"/>
      <c r="R25" s="435"/>
      <c r="S25" s="52"/>
      <c r="BA25" s="418"/>
    </row>
    <row r="26" spans="2:53" ht="13.5" thickBot="1">
      <c r="B26" s="3768"/>
      <c r="C26" s="1486"/>
      <c r="D26" s="53" t="s">
        <v>64</v>
      </c>
      <c r="E26" s="436">
        <f t="shared" ref="E26:M26" si="6">SUM(E24:E25)</f>
        <v>0</v>
      </c>
      <c r="F26" s="1566">
        <f t="shared" si="6"/>
        <v>0</v>
      </c>
      <c r="G26" s="1567">
        <f t="shared" si="6"/>
        <v>0</v>
      </c>
      <c r="H26" s="1567">
        <f t="shared" si="6"/>
        <v>0</v>
      </c>
      <c r="I26" s="1567">
        <f t="shared" si="6"/>
        <v>0</v>
      </c>
      <c r="J26" s="1487">
        <f t="shared" si="6"/>
        <v>0</v>
      </c>
      <c r="K26" s="1487">
        <f t="shared" si="6"/>
        <v>0</v>
      </c>
      <c r="L26" s="439"/>
      <c r="M26" s="1487">
        <f t="shared" si="6"/>
        <v>0</v>
      </c>
      <c r="O26" s="445"/>
      <c r="P26" s="63"/>
      <c r="Q26" s="435"/>
      <c r="R26" s="435"/>
      <c r="S26" s="52"/>
      <c r="BA26" s="418"/>
    </row>
    <row r="27" spans="2:53">
      <c r="B27" s="3664"/>
      <c r="C27" s="1484"/>
      <c r="D27" s="54"/>
      <c r="E27" s="443"/>
      <c r="F27" s="1568"/>
      <c r="G27" s="1569"/>
      <c r="H27" s="1569"/>
      <c r="I27" s="1569"/>
      <c r="J27" s="1479"/>
      <c r="K27" s="1479"/>
      <c r="L27" s="439"/>
      <c r="M27" s="1479"/>
      <c r="O27" s="445"/>
      <c r="P27" s="63"/>
      <c r="Q27" s="435"/>
      <c r="R27" s="435"/>
      <c r="S27" s="52"/>
      <c r="BA27" s="418"/>
    </row>
    <row r="28" spans="2:53">
      <c r="B28" s="3674"/>
      <c r="C28" s="1492"/>
      <c r="D28" s="1493"/>
      <c r="E28" s="1152"/>
      <c r="F28" s="1565"/>
      <c r="G28" s="747"/>
      <c r="H28" s="747"/>
      <c r="I28" s="747"/>
      <c r="J28" s="474"/>
      <c r="K28" s="474"/>
      <c r="L28" s="439"/>
      <c r="M28" s="474"/>
      <c r="O28" s="445"/>
      <c r="P28" s="63"/>
      <c r="Q28" s="435"/>
      <c r="R28" s="435"/>
      <c r="S28" s="52"/>
      <c r="BA28" s="418"/>
    </row>
    <row r="29" spans="2:53" ht="13.5" thickBot="1">
      <c r="B29" s="3766"/>
      <c r="C29" s="1486"/>
      <c r="D29" s="53" t="s">
        <v>165</v>
      </c>
      <c r="E29" s="436">
        <f t="shared" ref="E29:K29" si="7">SUM(E28:E28)</f>
        <v>0</v>
      </c>
      <c r="F29" s="1566">
        <f t="shared" si="7"/>
        <v>0</v>
      </c>
      <c r="G29" s="1567">
        <f t="shared" si="7"/>
        <v>0</v>
      </c>
      <c r="H29" s="1567">
        <f t="shared" si="7"/>
        <v>0</v>
      </c>
      <c r="I29" s="1567">
        <f t="shared" si="7"/>
        <v>0</v>
      </c>
      <c r="J29" s="1487">
        <f t="shared" si="7"/>
        <v>0</v>
      </c>
      <c r="K29" s="1487">
        <f t="shared" si="7"/>
        <v>0</v>
      </c>
      <c r="L29" s="439"/>
      <c r="M29" s="1487">
        <f>SUM(M28:M28)</f>
        <v>0</v>
      </c>
      <c r="O29" s="445"/>
      <c r="P29" s="63"/>
      <c r="Q29" s="435"/>
      <c r="R29" s="435"/>
      <c r="S29" s="52"/>
      <c r="BA29" s="418"/>
    </row>
    <row r="30" spans="2:53">
      <c r="B30" s="3768"/>
      <c r="C30" s="1494"/>
      <c r="D30" s="54"/>
      <c r="E30" s="443"/>
      <c r="F30" s="1568"/>
      <c r="G30" s="1569"/>
      <c r="H30" s="1569"/>
      <c r="I30" s="1569"/>
      <c r="J30" s="474"/>
      <c r="K30" s="474"/>
      <c r="L30" s="439"/>
      <c r="M30" s="474"/>
      <c r="O30" s="445"/>
      <c r="P30" s="63"/>
      <c r="Q30" s="435"/>
      <c r="R30" s="435"/>
      <c r="S30" s="52"/>
      <c r="BA30" s="418"/>
    </row>
    <row r="31" spans="2:53">
      <c r="B31" s="3664"/>
      <c r="C31" s="1576"/>
      <c r="D31" s="62" t="s">
        <v>463</v>
      </c>
      <c r="E31" s="1351">
        <f>E29+E26+E22+E14+E10</f>
        <v>17666222.639999997</v>
      </c>
      <c r="F31" s="1206">
        <f t="shared" ref="F31:K31" si="8">F29+F26+F22+F14+F10</f>
        <v>0</v>
      </c>
      <c r="G31" s="1206">
        <f t="shared" si="8"/>
        <v>0</v>
      </c>
      <c r="H31" s="1206">
        <f t="shared" si="8"/>
        <v>0</v>
      </c>
      <c r="I31" s="1206">
        <f t="shared" si="8"/>
        <v>0</v>
      </c>
      <c r="J31" s="1351">
        <f t="shared" si="8"/>
        <v>17666222.639999997</v>
      </c>
      <c r="K31" s="1351">
        <f t="shared" si="8"/>
        <v>5680457.4400000004</v>
      </c>
      <c r="L31" s="1443"/>
      <c r="M31" s="1351">
        <f>M29+M26+M22+M14+M10</f>
        <v>5680457.4400000004</v>
      </c>
      <c r="O31" s="445"/>
      <c r="P31" s="63"/>
      <c r="Q31" s="435"/>
      <c r="R31" s="435"/>
      <c r="S31" s="52"/>
      <c r="BA31" s="418"/>
    </row>
    <row r="32" spans="2:53" ht="13.5" thickBot="1">
      <c r="B32" s="3769"/>
      <c r="C32" s="407"/>
      <c r="D32" s="55"/>
      <c r="E32" s="448"/>
      <c r="F32" s="747"/>
      <c r="G32" s="747"/>
      <c r="H32" s="747"/>
      <c r="I32" s="747"/>
      <c r="J32" s="47"/>
      <c r="K32" s="47"/>
      <c r="L32" s="439"/>
      <c r="M32" s="47"/>
      <c r="O32" s="2433"/>
      <c r="P32" s="63"/>
      <c r="Q32" s="435"/>
      <c r="R32" s="435"/>
      <c r="S32" s="52"/>
      <c r="BA32" s="418"/>
    </row>
    <row r="33" spans="1:53" ht="13.5" thickBot="1">
      <c r="B33" s="3668"/>
      <c r="C33" s="1484"/>
      <c r="D33" s="58" t="s">
        <v>149</v>
      </c>
      <c r="E33" s="448"/>
      <c r="F33" s="747"/>
      <c r="G33" s="747"/>
      <c r="H33" s="747"/>
      <c r="I33" s="747"/>
      <c r="J33" s="47"/>
      <c r="K33" s="47"/>
      <c r="L33" s="439"/>
      <c r="M33" s="47"/>
      <c r="O33" s="2433"/>
      <c r="P33" s="63"/>
      <c r="Q33" s="435"/>
      <c r="R33" s="435"/>
      <c r="S33" s="52"/>
      <c r="BA33" s="418"/>
    </row>
    <row r="34" spans="1:53">
      <c r="B34" s="3668"/>
      <c r="C34" s="1484"/>
      <c r="D34" s="50"/>
      <c r="E34" s="448"/>
      <c r="F34" s="747"/>
      <c r="G34" s="747"/>
      <c r="H34" s="747"/>
      <c r="I34" s="747"/>
      <c r="J34" s="47"/>
      <c r="K34" s="47"/>
      <c r="L34" s="439"/>
      <c r="M34" s="47"/>
      <c r="O34" s="2433"/>
      <c r="P34" s="63"/>
      <c r="Q34" s="435"/>
      <c r="R34" s="435"/>
      <c r="S34" s="52"/>
      <c r="BA34" s="418"/>
    </row>
    <row r="35" spans="1:53">
      <c r="A35" s="52"/>
      <c r="B35" s="3659" t="s">
        <v>571</v>
      </c>
      <c r="C35" s="705">
        <v>207978</v>
      </c>
      <c r="D35" s="1493" t="s">
        <v>2734</v>
      </c>
      <c r="E35" s="171">
        <f>IFERROR(VLOOKUP(C35,'פקודות נוספות'!$D$274:$F$797,3,0),0)</f>
        <v>0</v>
      </c>
      <c r="F35" s="1325">
        <f>SUMIF('פקודות נוספות'!C:C,C:C,'פקודות נוספות'!E:E)</f>
        <v>0</v>
      </c>
      <c r="J35" s="474">
        <f t="shared" ref="J35:J53" si="9">SUM(E35:I35)</f>
        <v>0</v>
      </c>
      <c r="K35" s="474">
        <f>M35+SUMIF('פקודות נוספות'!C:C,'מאזן בוחן'!C35,'פקודות נוספות'!F:F)</f>
        <v>0</v>
      </c>
      <c r="L35" s="439"/>
      <c r="M35" s="474">
        <f>IFERROR(VLOOKUP(C35,'פקודות נוספות'!$D$273:$G$797,4,0),0)</f>
        <v>0</v>
      </c>
      <c r="N35" s="1570" t="str">
        <f t="shared" ref="N35:N53" si="10">IF(K35=0,"-",J35/K35)</f>
        <v>-</v>
      </c>
      <c r="O35" s="2433"/>
      <c r="P35" s="63"/>
      <c r="Q35" s="435"/>
      <c r="R35" s="435"/>
      <c r="S35" s="52"/>
      <c r="BA35" s="418"/>
    </row>
    <row r="36" spans="1:53">
      <c r="A36" s="52"/>
      <c r="B36" s="3659" t="s">
        <v>571</v>
      </c>
      <c r="C36" s="705">
        <v>201267</v>
      </c>
      <c r="D36" s="1493" t="s">
        <v>4658</v>
      </c>
      <c r="E36" s="171">
        <f>IFERROR(VLOOKUP(C36,'פקודות נוספות'!$D$274:$F$797,3,0),0)</f>
        <v>267932.14</v>
      </c>
      <c r="F36" s="1325">
        <f>SUMIF('פקודות נוספות'!C:C,C:C,'פקודות נוספות'!E:E)</f>
        <v>0</v>
      </c>
      <c r="J36" s="474">
        <f t="shared" ref="J36:J40" si="11">SUM(E36:I36)</f>
        <v>267932.14</v>
      </c>
      <c r="K36" s="474">
        <f>M36+SUMIF('פקודות נוספות'!C:C,'מאזן בוחן'!C36,'פקודות נוספות'!F:F)</f>
        <v>86151.81</v>
      </c>
      <c r="L36" s="439"/>
      <c r="M36" s="474">
        <f>IFERROR(VLOOKUP(C36,'פקודות נוספות'!$D$273:$G$797,4,0),0)</f>
        <v>86151.81</v>
      </c>
      <c r="N36" s="1570">
        <f t="shared" ref="N36:N40" si="12">IF(K36=0,"-",J36/K36)</f>
        <v>3.1100001265208475</v>
      </c>
      <c r="O36" s="2433"/>
      <c r="P36" s="63"/>
      <c r="Q36" s="435"/>
      <c r="R36" s="435"/>
      <c r="S36" s="52"/>
      <c r="BA36" s="418"/>
    </row>
    <row r="37" spans="1:53">
      <c r="A37" s="52"/>
      <c r="B37" s="3659" t="s">
        <v>571</v>
      </c>
      <c r="C37" s="705">
        <v>209280</v>
      </c>
      <c r="D37" s="1493" t="s">
        <v>4659</v>
      </c>
      <c r="E37" s="171">
        <f>IFERROR(VLOOKUP(C37,'פקודות נוספות'!$D$274:$F$797,3,0),0)</f>
        <v>82957.7</v>
      </c>
      <c r="F37" s="1325">
        <f>SUMIF('פקודות נוספות'!C:C,C:C,'פקודות נוספות'!E:E)</f>
        <v>0</v>
      </c>
      <c r="J37" s="474">
        <f t="shared" si="11"/>
        <v>82957.7</v>
      </c>
      <c r="K37" s="474">
        <f>M37+SUMIF('פקודות נוספות'!C:C,'מאזן בוחן'!C37,'פקודות נוספות'!F:F)</f>
        <v>26674.5</v>
      </c>
      <c r="L37" s="439"/>
      <c r="M37" s="474">
        <f>IFERROR(VLOOKUP(C37,'פקודות נוספות'!$D$273:$G$797,4,0),0)</f>
        <v>26674.5</v>
      </c>
      <c r="N37" s="1570">
        <f t="shared" si="12"/>
        <v>3.1100001874449381</v>
      </c>
      <c r="O37" s="2433"/>
      <c r="P37" s="63"/>
      <c r="Q37" s="435"/>
      <c r="R37" s="435"/>
      <c r="S37" s="52"/>
      <c r="BA37" s="418"/>
    </row>
    <row r="38" spans="1:53">
      <c r="A38" s="52"/>
      <c r="B38" s="3659" t="s">
        <v>571</v>
      </c>
      <c r="C38" s="705">
        <v>226550</v>
      </c>
      <c r="D38" s="1493" t="s">
        <v>4660</v>
      </c>
      <c r="E38" s="171">
        <f>IFERROR(VLOOKUP(C38,'פקודות נוספות'!$D$274:$F$797,3,0),0)</f>
        <v>99271.2</v>
      </c>
      <c r="F38" s="1325">
        <f>SUMIF('פקודות נוספות'!C:C,C:C,'פקודות נוספות'!E:E)</f>
        <v>0</v>
      </c>
      <c r="J38" s="474">
        <f t="shared" si="11"/>
        <v>99271.2</v>
      </c>
      <c r="K38" s="474">
        <f>M38+SUMIF('פקודות נוספות'!C:C,'מאזן בוחן'!C38,'פקודות נוספות'!F:F)</f>
        <v>31920</v>
      </c>
      <c r="L38" s="439"/>
      <c r="M38" s="474">
        <f>IFERROR(VLOOKUP(C38,'פקודות נוספות'!$D$273:$G$797,4,0),0)</f>
        <v>31920</v>
      </c>
      <c r="N38" s="1570">
        <f t="shared" si="12"/>
        <v>3.11</v>
      </c>
      <c r="O38" s="2433"/>
      <c r="P38" s="63"/>
      <c r="Q38" s="435"/>
      <c r="R38" s="435"/>
      <c r="S38" s="52"/>
      <c r="BA38" s="418"/>
    </row>
    <row r="39" spans="1:53">
      <c r="A39" s="52"/>
      <c r="B39" s="3659" t="s">
        <v>572</v>
      </c>
      <c r="C39" s="705">
        <v>206364</v>
      </c>
      <c r="D39" s="1493" t="s">
        <v>4661</v>
      </c>
      <c r="E39" s="171">
        <f>IFERROR(VLOOKUP(C39,'פקודות נוספות'!$D$274:$F$797,3,0),0)</f>
        <v>30135.9</v>
      </c>
      <c r="F39" s="1325">
        <f>SUMIF('פקודות נוספות'!C:C,C:C,'פקודות נוספות'!E:E)</f>
        <v>0</v>
      </c>
      <c r="J39" s="474">
        <f t="shared" si="11"/>
        <v>30135.9</v>
      </c>
      <c r="K39" s="474">
        <f>M39+SUMIF('פקודות נוספות'!C:C,'מאזן בוחן'!C39,'פקודות נוספות'!F:F)</f>
        <v>9690</v>
      </c>
      <c r="L39" s="439"/>
      <c r="M39" s="474">
        <f>IFERROR(VLOOKUP(C39,'פקודות נוספות'!$D$273:$G$797,4,0),0)</f>
        <v>9690</v>
      </c>
      <c r="N39" s="1570">
        <f t="shared" si="12"/>
        <v>3.1100000000000003</v>
      </c>
      <c r="O39" s="2433"/>
      <c r="P39" s="63"/>
      <c r="Q39" s="435"/>
      <c r="R39" s="435"/>
      <c r="S39" s="52"/>
      <c r="BA39" s="418"/>
    </row>
    <row r="40" spans="1:53">
      <c r="A40" s="52"/>
      <c r="B40" s="3659" t="s">
        <v>572</v>
      </c>
      <c r="C40" s="705">
        <v>231045</v>
      </c>
      <c r="D40" s="1493" t="s">
        <v>4662</v>
      </c>
      <c r="E40" s="171">
        <f>IFERROR(VLOOKUP(C40,'פקודות נוספות'!$D$274:$F$797,3,0),0)</f>
        <v>1754002.68</v>
      </c>
      <c r="F40" s="1325">
        <f>SUMIF('פקודות נוספות'!C:C,C:C,'פקודות נוספות'!E:E)</f>
        <v>0</v>
      </c>
      <c r="J40" s="474">
        <f t="shared" si="11"/>
        <v>1754002.68</v>
      </c>
      <c r="K40" s="474">
        <f>M40+SUMIF('פקודות נוספות'!C:C,'מאזן בוחן'!C40,'פקודות נוספות'!F:F)</f>
        <v>563988</v>
      </c>
      <c r="L40" s="439"/>
      <c r="M40" s="474">
        <f>IFERROR(VLOOKUP(C40,'פקודות נוספות'!$D$273:$G$797,4,0),0)</f>
        <v>563988</v>
      </c>
      <c r="N40" s="1570">
        <f t="shared" si="12"/>
        <v>3.11</v>
      </c>
      <c r="O40" s="2433"/>
      <c r="P40" s="63"/>
      <c r="Q40" s="435"/>
      <c r="R40" s="435"/>
      <c r="S40" s="52"/>
      <c r="BA40" s="418"/>
    </row>
    <row r="41" spans="1:53">
      <c r="A41" s="52"/>
      <c r="B41" s="3659" t="s">
        <v>571</v>
      </c>
      <c r="C41" s="705">
        <v>201599</v>
      </c>
      <c r="D41" s="1493" t="s">
        <v>4452</v>
      </c>
      <c r="E41" s="171">
        <f>IFERROR(VLOOKUP(C41,'פקודות נוספות'!$D$274:$F$797,3,0),0)</f>
        <v>23153.27</v>
      </c>
      <c r="F41" s="1325">
        <f>SUMIF('פקודות נוספות'!C:C,C:C,'פקודות נוספות'!E:E)</f>
        <v>0</v>
      </c>
      <c r="J41" s="474">
        <f t="shared" ref="J41:J44" si="13">SUM(E41:I41)</f>
        <v>23153.27</v>
      </c>
      <c r="K41" s="474">
        <f>M41+SUMIF('פקודות נוספות'!C:C,'מאזן בוחן'!C41,'פקודות נוספות'!F:F)</f>
        <v>7444.78</v>
      </c>
      <c r="L41" s="439"/>
      <c r="M41" s="474">
        <f>IFERROR(VLOOKUP(C41,'פקודות נוספות'!$D$273:$G$797,4,0),0)</f>
        <v>7444.78</v>
      </c>
      <c r="N41" s="1570">
        <f t="shared" ref="N41:N44" si="14">IF(K41=0,"-",J41/K41)</f>
        <v>3.1100005641536757</v>
      </c>
      <c r="O41" s="2433"/>
      <c r="P41" s="63"/>
      <c r="Q41" s="435"/>
      <c r="R41" s="435"/>
      <c r="S41" s="52"/>
      <c r="BA41" s="418"/>
    </row>
    <row r="42" spans="1:53">
      <c r="A42" s="52"/>
      <c r="B42" s="3659" t="s">
        <v>571</v>
      </c>
      <c r="C42" s="705">
        <v>217664</v>
      </c>
      <c r="D42" s="1493" t="s">
        <v>4453</v>
      </c>
      <c r="E42" s="171">
        <f>IFERROR(VLOOKUP(C42,'פקודות נוספות'!$D$274:$F$797,3,0),0)</f>
        <v>22330.62</v>
      </c>
      <c r="F42" s="1325">
        <f>SUMIF('פקודות נוספות'!C:C,C:C,'פקודות נוספות'!E:E)</f>
        <v>0</v>
      </c>
      <c r="J42" s="474">
        <f t="shared" si="13"/>
        <v>22330.62</v>
      </c>
      <c r="K42" s="474">
        <f>M42+SUMIF('פקודות נוספות'!C:C,'מאזן בוחן'!C42,'פקודות נוספות'!F:F)</f>
        <v>7180.26</v>
      </c>
      <c r="L42" s="439"/>
      <c r="M42" s="474">
        <f>IFERROR(VLOOKUP(C42,'פקודות נוספות'!$D$273:$G$797,4,0),0)</f>
        <v>7180.26</v>
      </c>
      <c r="N42" s="1570">
        <f t="shared" si="14"/>
        <v>3.1100015876862397</v>
      </c>
      <c r="O42" s="2433"/>
      <c r="P42" s="63"/>
      <c r="Q42" s="435"/>
      <c r="R42" s="435"/>
      <c r="S42" s="52"/>
      <c r="BA42" s="418"/>
    </row>
    <row r="43" spans="1:53" ht="25.5">
      <c r="A43" s="52"/>
      <c r="B43" s="3659" t="s">
        <v>571</v>
      </c>
      <c r="C43" s="705">
        <v>232189</v>
      </c>
      <c r="D43" s="1493" t="s">
        <v>4454</v>
      </c>
      <c r="E43" s="171">
        <f>IFERROR(VLOOKUP(C43,'פקודות נוספות'!$D$274:$F$797,3,0),0)</f>
        <v>429804.55</v>
      </c>
      <c r="F43" s="1325">
        <f>SUMIF('פקודות נוספות'!C:C,C:C,'פקודות נוספות'!E:E)</f>
        <v>0</v>
      </c>
      <c r="J43" s="474">
        <f t="shared" si="13"/>
        <v>429804.55</v>
      </c>
      <c r="K43" s="474">
        <f>M43+SUMIF('פקודות נוספות'!C:C,'מאזן בוחן'!C43,'פקודות נוספות'!F:F)</f>
        <v>138200.82</v>
      </c>
      <c r="L43" s="439"/>
      <c r="M43" s="474">
        <f>IFERROR(VLOOKUP(C43,'פקודות נוספות'!$D$273:$G$797,4,0),0)</f>
        <v>138200.82</v>
      </c>
      <c r="N43" s="1570">
        <f t="shared" si="14"/>
        <v>3.1099999985528304</v>
      </c>
      <c r="O43" s="3765" t="s">
        <v>4723</v>
      </c>
      <c r="P43" s="63"/>
      <c r="Q43" s="435"/>
      <c r="R43" s="435"/>
      <c r="S43" s="52"/>
      <c r="BA43" s="418"/>
    </row>
    <row r="44" spans="1:53">
      <c r="A44" s="52"/>
      <c r="B44" s="3659" t="s">
        <v>572</v>
      </c>
      <c r="C44" s="705">
        <v>206331</v>
      </c>
      <c r="D44" s="1493" t="s">
        <v>432</v>
      </c>
      <c r="E44" s="171">
        <f>IFERROR(VLOOKUP(C44,'פקודות נוספות'!$D$274:$F$797,3,0),0)</f>
        <v>29382.38</v>
      </c>
      <c r="F44" s="1325">
        <f>SUMIF('פקודות נוספות'!C:C,C:C,'פקודות נוספות'!E:E)</f>
        <v>0</v>
      </c>
      <c r="J44" s="474">
        <f t="shared" si="13"/>
        <v>29382.38</v>
      </c>
      <c r="K44" s="474">
        <f>M44+SUMIF('פקודות נוספות'!C:C,'מאזן בוחן'!C44,'פקודות נוספות'!F:F)</f>
        <v>9447.7099999999991</v>
      </c>
      <c r="L44" s="439"/>
      <c r="M44" s="474">
        <f>IFERROR(VLOOKUP(C44,'פקודות נוספות'!$D$273:$G$797,4,0),0)</f>
        <v>9447.7099999999991</v>
      </c>
      <c r="N44" s="1570">
        <f t="shared" si="14"/>
        <v>3.1100002011069354</v>
      </c>
      <c r="O44" s="2433"/>
      <c r="P44" s="63"/>
      <c r="Q44" s="435"/>
      <c r="R44" s="435"/>
      <c r="S44" s="52"/>
      <c r="BA44" s="418"/>
    </row>
    <row r="45" spans="1:53">
      <c r="A45" s="52"/>
      <c r="B45" s="3659" t="s">
        <v>571</v>
      </c>
      <c r="C45" s="705">
        <v>232025</v>
      </c>
      <c r="D45" s="1493" t="s">
        <v>4179</v>
      </c>
      <c r="E45" s="171">
        <f>IFERROR(VLOOKUP(C45,'פקודות נוספות'!$D$274:$F$797,3,0),0)</f>
        <v>67919.199999999997</v>
      </c>
      <c r="F45" s="1325">
        <f>SUMIF('פקודות נוספות'!C:C,C:C,'פקודות נוספות'!E:E)</f>
        <v>0</v>
      </c>
      <c r="J45" s="474">
        <f>SUM(E45:I45)</f>
        <v>67919.199999999997</v>
      </c>
      <c r="K45" s="474">
        <f>M45+SUMIF('פקודות נוספות'!C:C,'מאזן בוחן'!C45,'פקודות נוספות'!F:F)</f>
        <v>21838.97</v>
      </c>
      <c r="L45" s="439"/>
      <c r="M45" s="474">
        <f>IFERROR(VLOOKUP(C45,'פקודות נוספות'!$D$273:$G$797,4,0),0)</f>
        <v>21838.97</v>
      </c>
      <c r="N45" s="1570">
        <f>IF(K45=0,"-",J45/K45)</f>
        <v>3.1100001511060271</v>
      </c>
      <c r="O45" s="2433"/>
      <c r="P45" s="63"/>
      <c r="Q45" s="435"/>
      <c r="R45" s="435"/>
      <c r="S45" s="52"/>
      <c r="BA45" s="418"/>
    </row>
    <row r="46" spans="1:53">
      <c r="A46" s="52"/>
      <c r="B46" s="3659" t="s">
        <v>572</v>
      </c>
      <c r="C46" s="705">
        <v>202339</v>
      </c>
      <c r="D46" s="1493" t="s">
        <v>4180</v>
      </c>
      <c r="E46" s="171">
        <f>IFERROR(VLOOKUP(C46,'פקודות נוספות'!$D$274:$F$797,3,0),0)</f>
        <v>35507.800000000003</v>
      </c>
      <c r="F46" s="1325">
        <f>SUMIF('פקודות נוספות'!C:C,C:C,'פקודות נוספות'!E:E)</f>
        <v>0</v>
      </c>
      <c r="J46" s="474">
        <f>SUM(E46:I46)</f>
        <v>35507.800000000003</v>
      </c>
      <c r="K46" s="474">
        <f>M46+SUMIF('פקודות נוספות'!C:C,'מאזן בוחן'!C46,'פקודות נוספות'!F:F)</f>
        <v>11417.3</v>
      </c>
      <c r="L46" s="439"/>
      <c r="M46" s="474">
        <f>IFERROR(VLOOKUP(C46,'פקודות נוספות'!$D$273:$G$797,4,0),0)</f>
        <v>11417.3</v>
      </c>
      <c r="N46" s="1570">
        <f>IF(K46=0,"-",J46/K46)</f>
        <v>3.1099997372408543</v>
      </c>
      <c r="O46" s="2433"/>
      <c r="P46" s="63"/>
      <c r="Q46" s="435"/>
      <c r="R46" s="435"/>
      <c r="S46" s="52"/>
      <c r="BA46" s="418"/>
    </row>
    <row r="47" spans="1:53">
      <c r="A47" s="52"/>
      <c r="B47" s="3659" t="s">
        <v>572</v>
      </c>
      <c r="C47" s="705">
        <v>209952</v>
      </c>
      <c r="D47" s="1493" t="s">
        <v>4039</v>
      </c>
      <c r="E47" s="171">
        <f>IFERROR(VLOOKUP(C47,'פקודות נוספות'!$D$274:$F$797,3,0),0)</f>
        <v>0</v>
      </c>
      <c r="F47" s="1325">
        <f>SUMIF('פקודות נוספות'!C:C,C:C,'פקודות נוספות'!E:E)</f>
        <v>0</v>
      </c>
      <c r="J47" s="474">
        <f>SUM(E47:I47)</f>
        <v>0</v>
      </c>
      <c r="K47" s="474">
        <f>M47+SUMIF('פקודות נוספות'!C:C,'מאזן בוחן'!C47,'פקודות נוספות'!F:F)</f>
        <v>0</v>
      </c>
      <c r="L47" s="439"/>
      <c r="M47" s="474">
        <f>IFERROR(VLOOKUP(C47,'פקודות נוספות'!$D$273:$G$797,4,0),0)</f>
        <v>0</v>
      </c>
      <c r="N47" s="1570" t="str">
        <f>IF(K47=0,"-",J47/K47)</f>
        <v>-</v>
      </c>
      <c r="O47" s="2433"/>
      <c r="P47" s="63"/>
      <c r="Q47" s="435"/>
      <c r="R47" s="435"/>
      <c r="S47" s="52"/>
      <c r="BA47" s="418"/>
    </row>
    <row r="48" spans="1:53">
      <c r="A48" s="52"/>
      <c r="B48" s="3659" t="s">
        <v>572</v>
      </c>
      <c r="C48" s="705">
        <v>202629</v>
      </c>
      <c r="D48" s="1493" t="s">
        <v>3679</v>
      </c>
      <c r="E48" s="171">
        <f>IFERROR(VLOOKUP(C48,'פקודות נוספות'!$D$274:$F$797,3,0),0)</f>
        <v>0</v>
      </c>
      <c r="F48" s="1325">
        <f>SUMIF('פקודות נוספות'!C:C,C:C,'פקודות נוספות'!E:E)</f>
        <v>0</v>
      </c>
      <c r="J48" s="474">
        <f t="shared" si="9"/>
        <v>0</v>
      </c>
      <c r="K48" s="474">
        <f>M48+SUMIF('פקודות נוספות'!C:C,'מאזן בוחן'!C48,'פקודות נוספות'!F:F)</f>
        <v>0</v>
      </c>
      <c r="L48" s="439"/>
      <c r="M48" s="474">
        <f>IFERROR(VLOOKUP(C48,'פקודות נוספות'!$D$273:$G$797,4,0),0)</f>
        <v>0</v>
      </c>
      <c r="N48" s="1570" t="str">
        <f t="shared" si="10"/>
        <v>-</v>
      </c>
      <c r="O48" s="2433"/>
      <c r="P48" s="63"/>
      <c r="Q48" s="435"/>
      <c r="R48" s="435"/>
      <c r="S48" s="52"/>
      <c r="BA48" s="418"/>
    </row>
    <row r="49" spans="1:53">
      <c r="A49" s="52"/>
      <c r="B49" s="3659" t="s">
        <v>572</v>
      </c>
      <c r="C49" s="705">
        <v>209224</v>
      </c>
      <c r="D49" s="1493" t="s">
        <v>3569</v>
      </c>
      <c r="E49" s="171">
        <f>IFERROR(VLOOKUP(C49,'פקודות נוספות'!$D$274:$F$797,3,0),0)</f>
        <v>178617.63</v>
      </c>
      <c r="F49" s="1325">
        <f>SUMIF('פקודות נוספות'!C:C,C:C,'פקודות נוספות'!E:E)</f>
        <v>0</v>
      </c>
      <c r="J49" s="474">
        <f t="shared" si="9"/>
        <v>178617.63</v>
      </c>
      <c r="K49" s="474">
        <f>M49+SUMIF('פקודות נוספות'!C:C,'מאזן בוחן'!C49,'פקודות נוספות'!F:F)</f>
        <v>57433.32</v>
      </c>
      <c r="L49" s="439"/>
      <c r="M49" s="474">
        <f>IFERROR(VLOOKUP(C49,'פקודות נוספות'!$D$273:$G$797,4,0),0)</f>
        <v>57433.32</v>
      </c>
      <c r="N49" s="1570">
        <f t="shared" si="10"/>
        <v>3.1100000835751791</v>
      </c>
      <c r="O49" s="2433"/>
      <c r="P49" s="63"/>
      <c r="Q49" s="435"/>
      <c r="R49" s="435"/>
      <c r="S49" s="52"/>
      <c r="BA49" s="418"/>
    </row>
    <row r="50" spans="1:53">
      <c r="A50" s="52"/>
      <c r="B50" s="3659" t="s">
        <v>571</v>
      </c>
      <c r="C50" s="705">
        <v>208844</v>
      </c>
      <c r="D50" s="1493" t="s">
        <v>3436</v>
      </c>
      <c r="E50" s="171">
        <f>IFERROR(VLOOKUP(C50,'פקודות נוספות'!$D$274:$F$797,3,0),0)</f>
        <v>0</v>
      </c>
      <c r="F50" s="1325">
        <f>SUMIF('פקודות נוספות'!C:C,C:C,'פקודות נוספות'!E:E)</f>
        <v>0</v>
      </c>
      <c r="J50" s="474">
        <f t="shared" si="9"/>
        <v>0</v>
      </c>
      <c r="K50" s="474">
        <f>M50+SUMIF('פקודות נוספות'!C:C,'מאזן בוחן'!C50,'פקודות נוספות'!F:F)</f>
        <v>0</v>
      </c>
      <c r="L50" s="439"/>
      <c r="M50" s="474">
        <f>IFERROR(VLOOKUP(C50,'פקודות נוספות'!$D$273:$G$797,4,0),0)</f>
        <v>0</v>
      </c>
      <c r="N50" s="1570" t="str">
        <f t="shared" si="10"/>
        <v>-</v>
      </c>
      <c r="O50" s="3186"/>
      <c r="P50" s="63"/>
      <c r="Q50" s="435"/>
      <c r="R50" s="435"/>
      <c r="S50" s="52"/>
      <c r="BA50" s="418"/>
    </row>
    <row r="51" spans="1:53">
      <c r="A51" s="52"/>
      <c r="B51" s="3659" t="s">
        <v>572</v>
      </c>
      <c r="C51" s="705">
        <v>205457</v>
      </c>
      <c r="D51" s="1493" t="s">
        <v>3437</v>
      </c>
      <c r="E51" s="171">
        <f>IFERROR(VLOOKUP(C51,'פקודות נוספות'!$D$274:$F$797,3,0),0)</f>
        <v>23004.67</v>
      </c>
      <c r="F51" s="1325">
        <f>SUMIF('פקודות נוספות'!C:C,C:C,'פקודות נוספות'!E:E)</f>
        <v>0</v>
      </c>
      <c r="J51" s="474">
        <f t="shared" si="9"/>
        <v>23004.67</v>
      </c>
      <c r="K51" s="474">
        <f>M51+SUMIF('פקודות נוספות'!C:C,'מאזן בוחן'!C51,'פקודות נוספות'!F:F)</f>
        <v>7397</v>
      </c>
      <c r="L51" s="439"/>
      <c r="M51" s="474">
        <f>IFERROR(VLOOKUP(C51,'פקודות נוספות'!$D$273:$G$797,4,0),0)</f>
        <v>7397</v>
      </c>
      <c r="N51" s="1570">
        <f t="shared" si="10"/>
        <v>3.11</v>
      </c>
      <c r="O51" s="3186"/>
      <c r="P51" s="63"/>
      <c r="Q51" s="435"/>
      <c r="R51" s="435"/>
      <c r="S51" s="52"/>
      <c r="BA51" s="418"/>
    </row>
    <row r="52" spans="1:53">
      <c r="A52" s="52"/>
      <c r="B52" s="3659" t="s">
        <v>571</v>
      </c>
      <c r="C52" s="705">
        <v>228871</v>
      </c>
      <c r="D52" s="1493" t="s">
        <v>3906</v>
      </c>
      <c r="E52" s="171">
        <f>IFERROR(VLOOKUP(C52,'פקודות נוספות'!$D$274:$F$797,3,0),0)</f>
        <v>0</v>
      </c>
      <c r="F52" s="1325">
        <f>SUMIF('פקודות נוספות'!C:C,C:C,'פקודות נוספות'!E:E)</f>
        <v>0</v>
      </c>
      <c r="J52" s="474">
        <f t="shared" si="9"/>
        <v>0</v>
      </c>
      <c r="K52" s="474">
        <f>M52+SUMIF('פקודות נוספות'!C:C,'מאזן בוחן'!C52,'פקודות נוספות'!F:F)</f>
        <v>0</v>
      </c>
      <c r="L52" s="439"/>
      <c r="M52" s="474">
        <f>IFERROR(VLOOKUP(C52,'פקודות נוספות'!$D$273:$G$797,4,0),0)</f>
        <v>0</v>
      </c>
      <c r="N52" s="1570" t="str">
        <f t="shared" si="10"/>
        <v>-</v>
      </c>
      <c r="O52" s="2433"/>
      <c r="P52" s="63"/>
      <c r="Q52" s="435"/>
      <c r="R52" s="435"/>
      <c r="S52" s="52"/>
      <c r="BA52" s="418"/>
    </row>
    <row r="53" spans="1:53">
      <c r="A53" s="52"/>
      <c r="B53" s="3659" t="s">
        <v>572</v>
      </c>
      <c r="C53" s="705">
        <v>205984</v>
      </c>
      <c r="D53" s="1493" t="s">
        <v>3362</v>
      </c>
      <c r="E53" s="171">
        <f>IFERROR(VLOOKUP(C53,'פקודות נוספות'!$D$274:$F$797,3,0),0)</f>
        <v>0</v>
      </c>
      <c r="F53" s="1325">
        <f>SUMIF('פקודות נוספות'!C:C,C:C,'פקודות נוספות'!E:E)</f>
        <v>0</v>
      </c>
      <c r="J53" s="474">
        <f t="shared" si="9"/>
        <v>0</v>
      </c>
      <c r="K53" s="474">
        <f>M53+SUMIF('פקודות נוספות'!C:C,'מאזן בוחן'!C53,'פקודות נוספות'!F:F)</f>
        <v>0</v>
      </c>
      <c r="L53" s="439"/>
      <c r="M53" s="474">
        <f>IFERROR(VLOOKUP(C53,'פקודות נוספות'!$D$273:$G$797,4,0),0)</f>
        <v>0</v>
      </c>
      <c r="N53" s="1570" t="str">
        <f t="shared" si="10"/>
        <v>-</v>
      </c>
      <c r="O53" s="2433"/>
      <c r="P53" s="63"/>
      <c r="Q53" s="435"/>
      <c r="R53" s="435"/>
      <c r="S53" s="52"/>
      <c r="BA53" s="418"/>
    </row>
    <row r="54" spans="1:53">
      <c r="A54" s="52"/>
      <c r="B54" s="3659" t="s">
        <v>571</v>
      </c>
      <c r="C54" s="705">
        <v>202129</v>
      </c>
      <c r="D54" s="1493" t="s">
        <v>3118</v>
      </c>
      <c r="E54" s="171">
        <f>IFERROR(VLOOKUP(C54,'פקודות נוספות'!$D$274:$F$797,3,0),0)</f>
        <v>0</v>
      </c>
      <c r="F54" s="1325">
        <f>SUMIF('פקודות נוספות'!C:C,C:C,'פקודות נוספות'!E:E)</f>
        <v>0</v>
      </c>
      <c r="J54" s="474">
        <f t="shared" ref="J54:J60" si="15">SUM(E54:I54)</f>
        <v>0</v>
      </c>
      <c r="K54" s="474">
        <f>M54+SUMIF('פקודות נוספות'!C:C,'מאזן בוחן'!C54,'פקודות נוספות'!F:F)</f>
        <v>0</v>
      </c>
      <c r="L54" s="439"/>
      <c r="M54" s="474">
        <f>IFERROR(VLOOKUP(C54,'פקודות נוספות'!$D$273:$G$797,4,0),0)</f>
        <v>0</v>
      </c>
      <c r="N54" s="1570" t="str">
        <f t="shared" ref="N54:N60" si="16">IF(K54=0,"-",J54/K54)</f>
        <v>-</v>
      </c>
      <c r="O54" s="2433"/>
      <c r="P54" s="63"/>
      <c r="Q54" s="435"/>
      <c r="R54" s="435"/>
      <c r="S54" s="52"/>
      <c r="BA54" s="418"/>
    </row>
    <row r="55" spans="1:53">
      <c r="A55" s="52"/>
      <c r="B55" s="3659" t="s">
        <v>571</v>
      </c>
      <c r="C55" s="705">
        <v>206964</v>
      </c>
      <c r="D55" s="1493" t="s">
        <v>3119</v>
      </c>
      <c r="E55" s="171">
        <f>IFERROR(VLOOKUP(C55,'פקודות נוספות'!$D$274:$F$797,3,0),0)</f>
        <v>0</v>
      </c>
      <c r="F55" s="1325">
        <f>SUMIF('פקודות נוספות'!C:C,C:C,'פקודות נוספות'!E:E)</f>
        <v>0</v>
      </c>
      <c r="J55" s="474">
        <f t="shared" si="15"/>
        <v>0</v>
      </c>
      <c r="K55" s="474">
        <f>M55+SUMIF('פקודות נוספות'!C:C,'מאזן בוחן'!C55,'פקודות נוספות'!F:F)</f>
        <v>0</v>
      </c>
      <c r="L55" s="439"/>
      <c r="M55" s="474">
        <f>IFERROR(VLOOKUP(C55,'פקודות נוספות'!$D$273:$G$797,4,0),0)</f>
        <v>0</v>
      </c>
      <c r="N55" s="1570" t="str">
        <f t="shared" si="16"/>
        <v>-</v>
      </c>
      <c r="O55" s="2433"/>
      <c r="P55" s="63"/>
      <c r="Q55" s="435"/>
      <c r="R55" s="435"/>
      <c r="S55" s="52"/>
      <c r="BA55" s="418"/>
    </row>
    <row r="56" spans="1:53">
      <c r="A56" s="52"/>
      <c r="B56" s="3659" t="s">
        <v>571</v>
      </c>
      <c r="C56" s="705">
        <v>207734</v>
      </c>
      <c r="D56" s="1493" t="s">
        <v>3120</v>
      </c>
      <c r="E56" s="171">
        <f>IFERROR(VLOOKUP(C56,'פקודות נוספות'!$D$274:$F$797,3,0),0)</f>
        <v>7146.82</v>
      </c>
      <c r="F56" s="1325">
        <f>SUMIF('פקודות נוספות'!C:C,C:C,'פקודות נוספות'!E:E)</f>
        <v>0</v>
      </c>
      <c r="J56" s="474">
        <f t="shared" si="15"/>
        <v>7146.82</v>
      </c>
      <c r="K56" s="474">
        <f>M56+SUMIF('פקודות נוספות'!C:C,'מאזן בוחן'!C56,'פקודות נוספות'!F:F)</f>
        <v>2298.0100000000002</v>
      </c>
      <c r="L56" s="439"/>
      <c r="M56" s="474">
        <f>IFERROR(VLOOKUP(C56,'פקודות נוספות'!$D$273:$G$797,4,0),0)</f>
        <v>2298.0100000000002</v>
      </c>
      <c r="N56" s="1570">
        <f t="shared" si="16"/>
        <v>3.1100038729161312</v>
      </c>
      <c r="O56" s="2433"/>
      <c r="P56" s="63"/>
      <c r="Q56" s="435"/>
      <c r="R56" s="435"/>
      <c r="S56" s="52"/>
      <c r="BA56" s="418"/>
    </row>
    <row r="57" spans="1:53">
      <c r="A57" s="52"/>
      <c r="B57" s="3659" t="s">
        <v>571</v>
      </c>
      <c r="C57" s="705">
        <v>221716</v>
      </c>
      <c r="D57" s="1493" t="s">
        <v>3121</v>
      </c>
      <c r="E57" s="171">
        <f>IFERROR(VLOOKUP(C57,'פקודות נוספות'!$D$274:$F$797,3,0),0)</f>
        <v>293490.11</v>
      </c>
      <c r="F57" s="1325">
        <f>SUMIF('פקודות נוספות'!C:C,C:C,'פקודות נוספות'!E:E)</f>
        <v>0</v>
      </c>
      <c r="J57" s="474">
        <f t="shared" si="15"/>
        <v>293490.11</v>
      </c>
      <c r="K57" s="474">
        <f>M57+SUMIF('פקודות נוספות'!C:C,'מאזן בוחן'!C57,'פקודות נוספות'!F:F)</f>
        <v>94369.81</v>
      </c>
      <c r="L57" s="439"/>
      <c r="M57" s="474">
        <f>IFERROR(VLOOKUP(C57,'פקודות נוספות'!$D$273:$G$797,4,0),0)</f>
        <v>94369.81</v>
      </c>
      <c r="N57" s="1570">
        <f t="shared" si="16"/>
        <v>3.1100000095369484</v>
      </c>
      <c r="O57" s="3597" t="s">
        <v>4538</v>
      </c>
      <c r="P57" s="63"/>
      <c r="Q57" s="435"/>
      <c r="R57" s="435"/>
      <c r="S57" s="52"/>
      <c r="BA57" s="418"/>
    </row>
    <row r="58" spans="1:53">
      <c r="A58" s="52"/>
      <c r="B58" s="3659" t="s">
        <v>571</v>
      </c>
      <c r="C58" s="705">
        <v>228747</v>
      </c>
      <c r="D58" s="1493" t="s">
        <v>3122</v>
      </c>
      <c r="E58" s="171">
        <f>IFERROR(VLOOKUP(C58,'פקודות נוספות'!$D$274:$F$797,3,0),0)</f>
        <v>512643.75</v>
      </c>
      <c r="F58" s="1325">
        <f>SUMIF('פקודות נוספות'!C:C,C:C,'פקודות נוספות'!E:E)</f>
        <v>0</v>
      </c>
      <c r="J58" s="474">
        <f t="shared" si="15"/>
        <v>512643.75</v>
      </c>
      <c r="K58" s="474">
        <f>M58+SUMIF('פקודות נוספות'!C:C,'מאזן בוחן'!C58,'פקודות נוספות'!F:F)</f>
        <v>164837.22</v>
      </c>
      <c r="L58" s="439"/>
      <c r="M58" s="474">
        <f>IFERROR(VLOOKUP(C58,'פקודות נוספות'!$D$273:$G$797,4,0),0)</f>
        <v>164837.22</v>
      </c>
      <c r="N58" s="1570">
        <f t="shared" si="16"/>
        <v>3.1099999745203175</v>
      </c>
      <c r="O58" s="3403" t="s">
        <v>4197</v>
      </c>
      <c r="P58" s="63"/>
      <c r="Q58" s="435"/>
      <c r="R58" s="435"/>
      <c r="S58" s="52"/>
      <c r="BA58" s="418"/>
    </row>
    <row r="59" spans="1:53">
      <c r="A59" s="52"/>
      <c r="B59" s="3659" t="s">
        <v>572</v>
      </c>
      <c r="C59" s="705">
        <v>221670</v>
      </c>
      <c r="D59" s="1493" t="s">
        <v>3123</v>
      </c>
      <c r="E59" s="171">
        <f>IFERROR(VLOOKUP(C59,'פקודות נוספות'!$D$274:$F$797,3,0),0)</f>
        <v>0</v>
      </c>
      <c r="F59" s="1325">
        <f>SUMIF('פקודות נוספות'!C:C,C:C,'פקודות נוספות'!E:E)</f>
        <v>0</v>
      </c>
      <c r="J59" s="474">
        <f t="shared" si="15"/>
        <v>0</v>
      </c>
      <c r="K59" s="474">
        <f>M59+SUMIF('פקודות נוספות'!C:C,'מאזן בוחן'!C59,'פקודות נוספות'!F:F)</f>
        <v>0</v>
      </c>
      <c r="L59" s="439"/>
      <c r="M59" s="474">
        <f>IFERROR(VLOOKUP(C59,'פקודות נוספות'!$D$273:$G$797,4,0),0)</f>
        <v>0</v>
      </c>
      <c r="N59" s="1570" t="str">
        <f t="shared" si="16"/>
        <v>-</v>
      </c>
      <c r="O59" s="2433"/>
      <c r="P59" s="63"/>
      <c r="Q59" s="435"/>
      <c r="R59" s="435"/>
      <c r="S59" s="52"/>
      <c r="BA59" s="418"/>
    </row>
    <row r="60" spans="1:53">
      <c r="A60" s="52"/>
      <c r="B60" s="3659" t="s">
        <v>572</v>
      </c>
      <c r="C60" s="705">
        <v>226481</v>
      </c>
      <c r="D60" s="1493" t="s">
        <v>3124</v>
      </c>
      <c r="E60" s="171">
        <f>IFERROR(VLOOKUP(C60,'פקודות נוספות'!$D$274:$F$797,3,0),0)</f>
        <v>0</v>
      </c>
      <c r="F60" s="1325">
        <f>SUMIF('פקודות נוספות'!C:C,C:C,'פקודות נוספות'!E:E)</f>
        <v>0</v>
      </c>
      <c r="J60" s="474">
        <f t="shared" si="15"/>
        <v>0</v>
      </c>
      <c r="K60" s="474">
        <f>M60+SUMIF('פקודות נוספות'!C:C,'מאזן בוחן'!C60,'פקודות נוספות'!F:F)</f>
        <v>0</v>
      </c>
      <c r="L60" s="439"/>
      <c r="M60" s="474">
        <f>IFERROR(VLOOKUP(C60,'פקודות נוספות'!$D$273:$G$797,4,0),0)</f>
        <v>0</v>
      </c>
      <c r="N60" s="1570" t="str">
        <f t="shared" si="16"/>
        <v>-</v>
      </c>
      <c r="O60" s="3117"/>
      <c r="P60" s="63"/>
      <c r="Q60" s="435"/>
      <c r="R60" s="435"/>
      <c r="S60" s="52"/>
      <c r="BA60" s="418"/>
    </row>
    <row r="61" spans="1:53">
      <c r="A61" s="52"/>
      <c r="B61" s="3659" t="s">
        <v>571</v>
      </c>
      <c r="C61" s="705">
        <v>200022</v>
      </c>
      <c r="D61" s="1493" t="s">
        <v>3009</v>
      </c>
      <c r="E61" s="171">
        <f>IFERROR(VLOOKUP(C61,'פקודות נוספות'!$D$274:$F$797,3,0),0)</f>
        <v>591176.61</v>
      </c>
      <c r="F61" s="1325">
        <f>SUMIF('פקודות נוספות'!C:C,C:C,'פקודות נוספות'!E:E)</f>
        <v>0</v>
      </c>
      <c r="J61" s="474">
        <f t="shared" ref="J61:J65" si="17">SUM(E61:I61)</f>
        <v>591176.61</v>
      </c>
      <c r="K61" s="474">
        <f>M61+SUMIF('פקודות נוספות'!C:C,'מאזן בוחן'!C61,'פקודות נוספות'!F:F)</f>
        <v>190088.94</v>
      </c>
      <c r="L61" s="439"/>
      <c r="M61" s="171">
        <f>IFERROR(VLOOKUP(C61,'פקודות נוספות'!$D$273:$G$797,4,0),0)</f>
        <v>190088.94</v>
      </c>
      <c r="N61" s="1570">
        <f t="shared" ref="N61:N69" si="18">IF(K61=0,"-",J61/K61)</f>
        <v>3.1100000347205889</v>
      </c>
      <c r="O61" s="2433"/>
      <c r="P61" s="63"/>
      <c r="Q61" s="435"/>
      <c r="R61" s="435"/>
      <c r="S61" s="52"/>
      <c r="BA61" s="418"/>
    </row>
    <row r="62" spans="1:53">
      <c r="A62" s="52"/>
      <c r="B62" s="3659" t="s">
        <v>572</v>
      </c>
      <c r="C62" s="705">
        <v>212681</v>
      </c>
      <c r="D62" s="1493" t="s">
        <v>2902</v>
      </c>
      <c r="E62" s="171">
        <f>IFERROR(VLOOKUP(C62,'פקודות נוספות'!$D$274:$F$797,3,0),0)</f>
        <v>663666.26</v>
      </c>
      <c r="F62" s="1325">
        <f>SUMIF('פקודות נוספות'!C:C,C:C,'פקודות נוספות'!E:E)</f>
        <v>0</v>
      </c>
      <c r="G62" s="1325"/>
      <c r="H62" s="1325"/>
      <c r="I62" s="1325"/>
      <c r="J62" s="171">
        <f t="shared" si="17"/>
        <v>663666.26</v>
      </c>
      <c r="K62" s="171">
        <f>M62+SUMIF('פקודות נוספות'!C:C,'מאזן בוחן'!C62,'פקודות נוספות'!F:F)</f>
        <v>213397.51</v>
      </c>
      <c r="L62" s="1213"/>
      <c r="M62" s="171">
        <f>IFERROR(VLOOKUP(C62,'פקודות נוספות'!$D$273:$G$797,4,0),0)</f>
        <v>213397.51</v>
      </c>
      <c r="N62" s="1570">
        <f t="shared" si="18"/>
        <v>3.1100000182757519</v>
      </c>
      <c r="O62" s="2433"/>
      <c r="P62" s="63"/>
      <c r="Q62" s="435"/>
      <c r="R62" s="435"/>
      <c r="S62" s="52"/>
      <c r="BA62" s="418"/>
    </row>
    <row r="63" spans="1:53">
      <c r="A63" s="52"/>
      <c r="B63" s="3659" t="s">
        <v>572</v>
      </c>
      <c r="C63" s="705">
        <v>202272</v>
      </c>
      <c r="D63" s="1493" t="s">
        <v>573</v>
      </c>
      <c r="E63" s="171">
        <f>IFERROR(VLOOKUP(C63,'פקודות נוספות'!$D$274:$F$797,3,0),0)</f>
        <v>231213.29</v>
      </c>
      <c r="F63" s="1325">
        <f>SUMIF('פקודות נוספות'!C:C,C:C,'פקודות נוספות'!E:E)</f>
        <v>0</v>
      </c>
      <c r="J63" s="171">
        <f t="shared" si="17"/>
        <v>231213.29</v>
      </c>
      <c r="K63" s="171">
        <f>M63+SUMIF('פקודות נוספות'!C:C,'מאזן בוחן'!C63,'פקודות נוספות'!F:F)</f>
        <v>74345.11</v>
      </c>
      <c r="L63" s="439"/>
      <c r="M63" s="171">
        <f>IFERROR(VLOOKUP(C63,'פקודות נוספות'!$D$273:$G$797,4,0),0)</f>
        <v>74345.11</v>
      </c>
      <c r="N63" s="1570">
        <f t="shared" si="18"/>
        <v>3.109999971753354</v>
      </c>
      <c r="O63" s="3086"/>
      <c r="P63" s="63"/>
      <c r="Q63" s="435"/>
      <c r="R63" s="435"/>
      <c r="S63" s="52"/>
      <c r="BA63" s="418"/>
    </row>
    <row r="64" spans="1:53">
      <c r="A64" s="52"/>
      <c r="B64" s="3659" t="s">
        <v>572</v>
      </c>
      <c r="C64" s="705">
        <v>204961</v>
      </c>
      <c r="D64" s="1493" t="s">
        <v>551</v>
      </c>
      <c r="E64" s="171">
        <f>VLOOKUP(C64,'פקודות נוספות'!$D$274:$F$797,3,0)</f>
        <v>352948.68</v>
      </c>
      <c r="F64" s="1326">
        <f>SUMIF('פקודות נוספות'!C:C,C:C,'פקודות נוספות'!E:E)</f>
        <v>0</v>
      </c>
      <c r="G64" s="47"/>
      <c r="H64" s="47"/>
      <c r="I64" s="47"/>
      <c r="J64" s="171">
        <f t="shared" si="17"/>
        <v>352948.68</v>
      </c>
      <c r="K64" s="171">
        <f>M64+SUMIF('פקודות נוספות'!C:C,'מאזן בוחן'!C64,'פקודות נוספות'!F:F)</f>
        <v>113488.32000000001</v>
      </c>
      <c r="L64" s="439"/>
      <c r="M64" s="171">
        <f>VLOOKUP(C64,'פקודות נוספות'!$D$273:$G$797,4,0)</f>
        <v>113488.32000000001</v>
      </c>
      <c r="N64" s="2791">
        <f t="shared" si="18"/>
        <v>3.1100000422951011</v>
      </c>
      <c r="O64" s="2433" t="s">
        <v>2620</v>
      </c>
      <c r="P64" s="63"/>
      <c r="Q64" s="435"/>
      <c r="R64" s="435"/>
      <c r="S64" s="52"/>
      <c r="BA64" s="418"/>
    </row>
    <row r="65" spans="1:53">
      <c r="A65" s="52"/>
      <c r="B65" s="3659" t="s">
        <v>572</v>
      </c>
      <c r="C65" s="705">
        <v>205455</v>
      </c>
      <c r="D65" s="1496" t="s">
        <v>999</v>
      </c>
      <c r="E65" s="171">
        <f>VLOOKUP(C65,'פקודות נוספות'!$D$274:$F$797,3,0)</f>
        <v>211069.32</v>
      </c>
      <c r="F65" s="1326">
        <f>SUMIF('פקודות נוספות'!C:C,C:C,'פקודות נוספות'!E:E)</f>
        <v>0</v>
      </c>
      <c r="G65" s="47"/>
      <c r="H65" s="47"/>
      <c r="I65" s="47"/>
      <c r="J65" s="171">
        <f t="shared" si="17"/>
        <v>211069.32</v>
      </c>
      <c r="K65" s="171">
        <f>M65+SUMIF('פקודות נוספות'!C:C,'מאזן בוחן'!C65,'פקודות נוספות'!F:F)</f>
        <v>67867.95</v>
      </c>
      <c r="L65" s="439"/>
      <c r="M65" s="171">
        <f>VLOOKUP(C65,'פקודות נוספות'!$D$273:$G$797,4,0)</f>
        <v>67867.95</v>
      </c>
      <c r="N65" s="2791">
        <f t="shared" si="18"/>
        <v>3.1099999336947706</v>
      </c>
      <c r="O65" s="2433"/>
      <c r="P65" s="63"/>
      <c r="Q65" s="435"/>
      <c r="R65" s="435"/>
      <c r="S65" s="52"/>
      <c r="BA65" s="418"/>
    </row>
    <row r="66" spans="1:53">
      <c r="A66" s="52"/>
      <c r="B66" s="3659" t="s">
        <v>572</v>
      </c>
      <c r="C66" s="705">
        <v>222011</v>
      </c>
      <c r="D66" s="1496" t="s">
        <v>1574</v>
      </c>
      <c r="E66" s="171">
        <f>IFERROR(VLOOKUP(C66,'פקודות נוספות'!$D$274:$F$797,3,0),0)</f>
        <v>217620.94</v>
      </c>
      <c r="F66" s="1325">
        <f>SUMIF('פקודות נוספות'!C:C,C:C,'פקודות נוספות'!E:E)</f>
        <v>0</v>
      </c>
      <c r="J66" s="171">
        <f t="shared" ref="J66:J73" si="19">SUM(E66:I66)</f>
        <v>217620.94</v>
      </c>
      <c r="K66" s="171">
        <f>M66+SUMIF('פקודות נוספות'!C:C,'מאזן בוחן'!C66,'פקודות נוספות'!F:F)</f>
        <v>69974.58</v>
      </c>
      <c r="L66" s="439"/>
      <c r="M66" s="171">
        <f>IFERROR(VLOOKUP(C66,'פקודות נוספות'!$D$273:$G$797,4,0),0)</f>
        <v>69974.58</v>
      </c>
      <c r="N66" s="1570">
        <f t="shared" si="18"/>
        <v>3.1099999456945651</v>
      </c>
      <c r="O66" s="3331" t="s">
        <v>4054</v>
      </c>
      <c r="P66" s="63"/>
      <c r="Q66" s="435"/>
      <c r="R66" s="435"/>
      <c r="S66" s="52"/>
      <c r="BA66" s="418"/>
    </row>
    <row r="67" spans="1:53" s="1417" customFormat="1">
      <c r="A67" s="1591"/>
      <c r="B67" s="3743" t="s">
        <v>572</v>
      </c>
      <c r="C67" s="1742">
        <v>203122</v>
      </c>
      <c r="D67" s="1743" t="s">
        <v>1262</v>
      </c>
      <c r="E67" s="171">
        <f>IFERROR(VLOOKUP(C67,'פקודות נוספות'!$D$274:$F$797,3,0),0)</f>
        <v>3200.81</v>
      </c>
      <c r="F67" s="1688">
        <f>SUMIF('פקודות נוספות'!C:C,C:C,'פקודות נוספות'!E:E)</f>
        <v>0</v>
      </c>
      <c r="G67" s="1642"/>
      <c r="H67" s="1642"/>
      <c r="I67" s="1642"/>
      <c r="J67" s="171">
        <f t="shared" si="19"/>
        <v>3200.81</v>
      </c>
      <c r="K67" s="171">
        <f>M67+SUMIF('פקודות נוספות'!C:C,'מאזן בוחן'!C67,'פקודות נוספות'!F:F)</f>
        <v>1029.2</v>
      </c>
      <c r="L67" s="1416"/>
      <c r="M67" s="171">
        <f>IFERROR(VLOOKUP(C67,'פקודות נוספות'!$D$273:$G$797,4,0),0)</f>
        <v>1029.2</v>
      </c>
      <c r="N67" s="1744">
        <f t="shared" si="18"/>
        <v>3.1099980567431014</v>
      </c>
      <c r="O67" s="2433" t="s">
        <v>2620</v>
      </c>
      <c r="P67" s="1593"/>
      <c r="Q67" s="1598"/>
      <c r="R67" s="1598"/>
      <c r="T67" s="1600"/>
      <c r="U67" s="1600"/>
      <c r="V67" s="1600"/>
      <c r="W67" s="1600"/>
      <c r="X67" s="1600"/>
      <c r="Y67" s="1600"/>
      <c r="Z67" s="1600"/>
      <c r="AA67" s="1600"/>
      <c r="AB67" s="1600"/>
      <c r="AC67" s="1600"/>
      <c r="AD67" s="1600"/>
      <c r="AE67" s="1600"/>
      <c r="AF67" s="1600"/>
      <c r="AG67" s="1600"/>
      <c r="AH67" s="1600"/>
      <c r="AI67" s="1600"/>
      <c r="AJ67" s="1600"/>
      <c r="AK67" s="1600"/>
      <c r="AL67" s="1600"/>
      <c r="AM67" s="1600"/>
      <c r="AN67" s="1600"/>
      <c r="AO67" s="1600"/>
      <c r="AP67" s="1600"/>
      <c r="AQ67" s="1600"/>
      <c r="AR67" s="1600"/>
      <c r="AS67" s="1600"/>
      <c r="AT67" s="1600"/>
      <c r="AU67" s="1600"/>
      <c r="AV67" s="1600"/>
      <c r="AW67" s="1600"/>
      <c r="AX67" s="1600"/>
      <c r="BA67" s="1597"/>
    </row>
    <row r="68" spans="1:53" s="2444" customFormat="1">
      <c r="A68" s="2434"/>
      <c r="B68" s="3770" t="s">
        <v>572</v>
      </c>
      <c r="C68" s="2435">
        <v>209223</v>
      </c>
      <c r="D68" s="2436" t="s">
        <v>1000</v>
      </c>
      <c r="E68" s="2437">
        <f>IFERROR(VLOOKUP(C68,'פקודות נוספות'!$D$274:$F$797,3,0),0)</f>
        <v>2554788.4300000002</v>
      </c>
      <c r="F68" s="2438">
        <f>SUMIF('פקודות נוספות'!C:C,C:C,'פקודות נוספות'!E:E)</f>
        <v>0</v>
      </c>
      <c r="G68" s="2439"/>
      <c r="H68" s="2439"/>
      <c r="I68" s="2439"/>
      <c r="J68" s="2440">
        <f t="shared" si="19"/>
        <v>2554788.4300000002</v>
      </c>
      <c r="K68" s="2440">
        <f>M68+SUMIF('פקודות נוספות'!C:C,'מאזן בוחן'!C68,'פקודות נוספות'!F:F)</f>
        <v>821475.38</v>
      </c>
      <c r="L68" s="2441"/>
      <c r="M68" s="171">
        <f>IFERROR(VLOOKUP(C68,'פקודות נוספות'!$D$273:$G$797,4,0),0)</f>
        <v>821475.38</v>
      </c>
      <c r="N68" s="2442">
        <f t="shared" si="18"/>
        <v>3.1099999978088206</v>
      </c>
      <c r="O68" s="3331" t="s">
        <v>4055</v>
      </c>
      <c r="P68" s="2445"/>
      <c r="Q68" s="2447"/>
      <c r="R68" s="2447"/>
      <c r="T68" s="2443"/>
      <c r="U68" s="2443"/>
      <c r="V68" s="2443"/>
      <c r="W68" s="2443"/>
      <c r="X68" s="2443"/>
      <c r="Y68" s="2443"/>
      <c r="Z68" s="2443"/>
      <c r="AA68" s="2443"/>
      <c r="AB68" s="2443"/>
      <c r="AC68" s="2443"/>
      <c r="AD68" s="2443"/>
      <c r="AE68" s="2443"/>
      <c r="AF68" s="2443"/>
      <c r="AG68" s="2443"/>
      <c r="AH68" s="2443"/>
      <c r="AI68" s="2443"/>
      <c r="AJ68" s="2443"/>
      <c r="AK68" s="2443"/>
      <c r="AL68" s="2443"/>
      <c r="AM68" s="2443"/>
      <c r="AN68" s="2443"/>
      <c r="AO68" s="2443"/>
      <c r="AP68" s="2443"/>
      <c r="AQ68" s="2443"/>
      <c r="AR68" s="2443"/>
      <c r="AS68" s="2443"/>
      <c r="AT68" s="2443"/>
      <c r="AU68" s="2443"/>
      <c r="AV68" s="2443"/>
      <c r="AW68" s="2443"/>
      <c r="AX68" s="2443"/>
      <c r="BA68" s="2446"/>
    </row>
    <row r="69" spans="1:53">
      <c r="B69" s="3659" t="s">
        <v>572</v>
      </c>
      <c r="C69" s="705">
        <v>207238</v>
      </c>
      <c r="D69" s="1493" t="s">
        <v>2462</v>
      </c>
      <c r="E69" s="171">
        <f>IFERROR(VLOOKUP(C69,'פקודות נוספות'!$D$274:$F$797,3,0),0)</f>
        <v>4731602.24</v>
      </c>
      <c r="F69" s="1325">
        <f>SUMIF('פקודות נוספות'!C:C,C:C,'פקודות נוספות'!E:E)</f>
        <v>0</v>
      </c>
      <c r="J69" s="474">
        <f t="shared" si="19"/>
        <v>4731602.24</v>
      </c>
      <c r="K69" s="474">
        <f>M69+SUMIF('פקודות נוספות'!C:C,'מאזן בוחן'!C69,'פקודות נוספות'!F:F)</f>
        <v>1521415.51</v>
      </c>
      <c r="L69" s="439"/>
      <c r="M69" s="171">
        <f>IFERROR(VLOOKUP(C69,'פקודות נוספות'!$D$273:$G$797,4,0),0)</f>
        <v>1521415.51</v>
      </c>
      <c r="N69" s="1570">
        <f t="shared" si="18"/>
        <v>3.1100000025634023</v>
      </c>
      <c r="O69" s="2971" t="s">
        <v>3373</v>
      </c>
      <c r="P69" s="63"/>
      <c r="Q69" s="435"/>
      <c r="R69" s="435"/>
      <c r="S69" s="52"/>
      <c r="BA69" s="418"/>
    </row>
    <row r="70" spans="1:53" ht="13.5" thickBot="1">
      <c r="B70" s="3659"/>
      <c r="C70" s="1492"/>
      <c r="D70" s="1493"/>
      <c r="E70" s="171"/>
      <c r="F70" s="171"/>
      <c r="J70" s="474"/>
      <c r="K70" s="474"/>
      <c r="L70" s="439"/>
      <c r="M70" s="474"/>
      <c r="N70" s="1570"/>
      <c r="O70" s="2433"/>
      <c r="P70" s="63"/>
      <c r="Q70" s="435"/>
      <c r="R70" s="435"/>
      <c r="S70" s="52"/>
      <c r="BA70" s="418"/>
    </row>
    <row r="71" spans="1:53" ht="13.5" thickBot="1">
      <c r="B71" s="3659" t="s">
        <v>1435</v>
      </c>
      <c r="C71" s="705">
        <v>1150001</v>
      </c>
      <c r="D71" s="1493" t="s">
        <v>2046</v>
      </c>
      <c r="E71" s="78">
        <f>IFERROR(VLOOKUP(C71,'פקודות נוספות'!$D$274:$F$797,3,0),0)</f>
        <v>502282.7</v>
      </c>
      <c r="F71" s="171">
        <f>SUMIF('פקודות נוספות'!C:C,C:C,'פקודות נוספות'!E:E)</f>
        <v>0</v>
      </c>
      <c r="J71" s="2546">
        <f>SUM(E71:I71)</f>
        <v>502282.7</v>
      </c>
      <c r="K71" s="2546">
        <f>M71+SUMIF('פקודות נוספות'!C:C,'מאזן בוחן'!C71,'פקודות נוספות'!F:F)</f>
        <v>161505.69</v>
      </c>
      <c r="L71" s="956">
        <f>SUM([10]Ltd!$C$5)-K71</f>
        <v>1.2730593734886497E-3</v>
      </c>
      <c r="M71" s="1577">
        <f>IFERROR(VLOOKUP(C71,'פקודות נוספות'!$D$273:$G$797,4,0),0)</f>
        <v>161505.69</v>
      </c>
      <c r="N71" s="1570">
        <f>IF(K71=0,"-",J71/K71)</f>
        <v>3.1100000253861024</v>
      </c>
      <c r="O71" s="2433"/>
      <c r="P71" s="63"/>
      <c r="Q71" s="435"/>
      <c r="R71" s="435"/>
      <c r="S71" s="52"/>
      <c r="BA71" s="418"/>
    </row>
    <row r="72" spans="1:53" ht="13.5" thickBot="1">
      <c r="B72" s="3659" t="s">
        <v>1435</v>
      </c>
      <c r="C72" s="705">
        <v>2500204</v>
      </c>
      <c r="D72" s="966" t="s">
        <v>1436</v>
      </c>
      <c r="E72" s="522">
        <f>IFERROR(VLOOKUP(C72,'פקודות נוספות'!$D$274:$F$797,3,0),0)</f>
        <v>0</v>
      </c>
      <c r="F72" s="522">
        <f>SUMIF('פקודות נוספות'!C:C,C:C,'פקודות נוספות'!E:E)</f>
        <v>0</v>
      </c>
      <c r="J72" s="2546">
        <f t="shared" si="19"/>
        <v>0</v>
      </c>
      <c r="K72" s="2546">
        <f>M72+SUMIF('פקודות נוספות'!C:C,'מאזן בוחן'!C72,'פקודות נוספות'!F:F)</f>
        <v>0</v>
      </c>
      <c r="L72" s="1213"/>
      <c r="M72" s="1577">
        <f>IFERROR(VLOOKUP(C72,'פקודות נוספות'!$D$273:$G$797,4,0),0)</f>
        <v>0</v>
      </c>
      <c r="N72" s="1570" t="str">
        <f>IF(K72=0,"-",J72/K72)</f>
        <v>-</v>
      </c>
      <c r="O72" s="2433"/>
      <c r="P72" s="63"/>
      <c r="Q72" s="435"/>
      <c r="R72" s="435"/>
      <c r="S72" s="52"/>
      <c r="BA72" s="418"/>
    </row>
    <row r="73" spans="1:53" ht="13.5" thickBot="1">
      <c r="B73" s="3659" t="s">
        <v>1435</v>
      </c>
      <c r="C73" s="705">
        <v>2090001</v>
      </c>
      <c r="D73" s="966" t="s">
        <v>1488</v>
      </c>
      <c r="E73" s="522">
        <f>IFERROR(VLOOKUP(C73,'פקודות נוספות'!$D$274:$F$797,3,0),0)</f>
        <v>0</v>
      </c>
      <c r="F73" s="474">
        <f>SUMIF('פקודות נוספות'!C:C,C:C,'פקודות נוספות'!E:E)</f>
        <v>0</v>
      </c>
      <c r="J73" s="474">
        <f t="shared" si="19"/>
        <v>0</v>
      </c>
      <c r="K73" s="474">
        <f>M73+SUMIF('פקודות נוספות'!C:C,'מאזן בוחן'!C73,'פקודות נוספות'!F:F)</f>
        <v>0</v>
      </c>
      <c r="L73" s="956"/>
      <c r="M73" s="474">
        <f>IFERROR(VLOOKUP(C73,'פקודות נוספות'!$D$273:$G$797,4,0),0)</f>
        <v>0</v>
      </c>
      <c r="N73" s="1621" t="str">
        <f>IF(K73=0,"-",J73/K73)</f>
        <v>-</v>
      </c>
      <c r="O73" s="2433"/>
      <c r="P73" s="63"/>
      <c r="Q73" s="435"/>
      <c r="R73" s="435"/>
      <c r="S73" s="52"/>
      <c r="BA73" s="418"/>
    </row>
    <row r="74" spans="1:53">
      <c r="B74" s="3668"/>
      <c r="C74" s="156"/>
      <c r="D74" s="45"/>
      <c r="E74" s="79"/>
      <c r="F74" s="42"/>
      <c r="G74" s="47"/>
      <c r="H74" s="47"/>
      <c r="I74" s="47"/>
      <c r="J74" s="474"/>
      <c r="K74" s="474"/>
      <c r="L74" s="439"/>
      <c r="M74" s="474"/>
      <c r="N74" s="1570"/>
      <c r="O74" s="2433"/>
      <c r="P74" s="504"/>
      <c r="Q74" s="435"/>
      <c r="R74" s="435"/>
      <c r="S74" s="52"/>
      <c r="BA74" s="418"/>
    </row>
    <row r="75" spans="1:53">
      <c r="B75" s="3669"/>
      <c r="C75" s="1587"/>
      <c r="D75" s="746" t="s">
        <v>150</v>
      </c>
      <c r="E75" s="1351">
        <f t="shared" ref="E75:K75" si="20">SUM(E35:E74)</f>
        <v>13916869.699999999</v>
      </c>
      <c r="F75" s="1351">
        <f t="shared" si="20"/>
        <v>0</v>
      </c>
      <c r="G75" s="1351">
        <f t="shared" si="20"/>
        <v>0</v>
      </c>
      <c r="H75" s="1351">
        <f t="shared" si="20"/>
        <v>0</v>
      </c>
      <c r="I75" s="1351">
        <f t="shared" si="20"/>
        <v>0</v>
      </c>
      <c r="J75" s="1351">
        <f t="shared" si="20"/>
        <v>13916869.699999999</v>
      </c>
      <c r="K75" s="1351">
        <f t="shared" si="20"/>
        <v>4474877.7</v>
      </c>
      <c r="L75" s="1443"/>
      <c r="M75" s="1351">
        <f>SUM(M35:M74)</f>
        <v>4474877.7</v>
      </c>
      <c r="N75" s="1570"/>
      <c r="O75" s="2433"/>
      <c r="P75" s="506"/>
      <c r="Q75" s="435"/>
      <c r="R75" s="435"/>
      <c r="S75" s="52"/>
      <c r="BA75" s="418"/>
    </row>
    <row r="76" spans="1:53" ht="13.5" thickBot="1">
      <c r="B76" s="3668"/>
      <c r="C76" s="154"/>
      <c r="D76" s="55"/>
      <c r="E76" s="448"/>
      <c r="F76" s="47"/>
      <c r="G76" s="47"/>
      <c r="H76" s="47"/>
      <c r="I76" s="47"/>
      <c r="J76" s="47"/>
      <c r="K76" s="1547"/>
      <c r="L76" s="439"/>
      <c r="M76" s="47"/>
      <c r="N76" s="1570"/>
      <c r="O76" s="2433"/>
      <c r="P76" s="506"/>
      <c r="Q76" s="435"/>
      <c r="R76" s="435"/>
      <c r="S76" s="52"/>
      <c r="BA76" s="418"/>
    </row>
    <row r="77" spans="1:53" ht="13.5" thickBot="1">
      <c r="B77" s="3668"/>
      <c r="C77" s="154"/>
      <c r="D77" s="58" t="s">
        <v>65</v>
      </c>
      <c r="E77" s="448"/>
      <c r="F77" s="47"/>
      <c r="G77" s="47"/>
      <c r="H77" s="47"/>
      <c r="I77" s="47"/>
      <c r="J77" s="47"/>
      <c r="K77" s="47"/>
      <c r="L77" s="439"/>
      <c r="M77" s="47"/>
      <c r="N77" s="1570"/>
      <c r="O77" s="2433"/>
      <c r="P77" s="506"/>
      <c r="Q77" s="435"/>
      <c r="R77" s="435"/>
      <c r="S77" s="52"/>
      <c r="BA77" s="418"/>
    </row>
    <row r="78" spans="1:53">
      <c r="A78" s="52"/>
      <c r="B78" s="3668"/>
      <c r="C78" s="407"/>
      <c r="D78" s="59" t="s">
        <v>66</v>
      </c>
      <c r="E78" s="78"/>
      <c r="F78" s="1498"/>
      <c r="H78" s="1498"/>
      <c r="I78" s="474"/>
      <c r="J78" s="1199"/>
      <c r="K78" s="49"/>
      <c r="L78" s="439"/>
      <c r="M78" s="1199"/>
      <c r="N78" s="1570"/>
      <c r="O78" s="401"/>
      <c r="P78" s="506"/>
      <c r="Q78" s="435"/>
      <c r="R78" s="435"/>
      <c r="S78" s="52"/>
      <c r="BA78" s="418"/>
    </row>
    <row r="79" spans="1:53">
      <c r="A79" s="52"/>
      <c r="B79" s="3769" t="s">
        <v>1044</v>
      </c>
      <c r="C79" s="1428">
        <v>2500001</v>
      </c>
      <c r="D79" s="203" t="s">
        <v>342</v>
      </c>
      <c r="E79" s="474">
        <f>IFERROR(VLOOKUP(C79,'פקודות נוספות'!$D$274:$H$808,3,0),0)</f>
        <v>57528.99</v>
      </c>
      <c r="F79" s="1326">
        <f>SUMIF('פקודות נוספות'!C:C,C:C,'פקודות נוספות'!E:E)</f>
        <v>0</v>
      </c>
      <c r="I79" s="1498"/>
      <c r="J79" s="474">
        <f>SUM(E79:I79)</f>
        <v>57528.99</v>
      </c>
      <c r="K79" s="474">
        <f>M79+SUMIF('פקודות נוספות'!C:C,'מאזן בוחן'!C79,'פקודות נוספות'!F:F)</f>
        <v>18498.07</v>
      </c>
      <c r="L79" s="439"/>
      <c r="M79" s="474">
        <f>VLOOKUP(C79,'פקודות נוספות'!$D$273:$G$797,4,0)</f>
        <v>18498.07</v>
      </c>
      <c r="N79" s="1570">
        <f t="shared" ref="N79:N92" si="21">IF(K79=0,"-",J79/K79)</f>
        <v>3.1099995837403576</v>
      </c>
      <c r="O79" s="1114" t="s">
        <v>2466</v>
      </c>
      <c r="P79" s="506"/>
      <c r="Q79" s="435"/>
      <c r="R79" s="435"/>
      <c r="S79" s="52"/>
      <c r="BA79" s="418"/>
    </row>
    <row r="80" spans="1:53">
      <c r="A80" s="52"/>
      <c r="B80" s="3669" t="s">
        <v>1044</v>
      </c>
      <c r="C80" s="585">
        <v>2500002</v>
      </c>
      <c r="D80" s="203" t="s">
        <v>632</v>
      </c>
      <c r="E80" s="474">
        <f>IFERROR(VLOOKUP(C80,'פקודות נוספות'!$D$274:$H$808,3,0),0)</f>
        <v>0</v>
      </c>
      <c r="F80" s="1326">
        <f>SUMIF('פקודות נוספות'!C:C,C:C,'פקודות נוספות'!E:E)</f>
        <v>0</v>
      </c>
      <c r="I80" s="1498"/>
      <c r="J80" s="474">
        <f t="shared" ref="J80:J103" si="22">SUM(E80:I80)</f>
        <v>0</v>
      </c>
      <c r="K80" s="474">
        <f>M80+SUMIF('פקודות נוספות'!C:C,'מאזן בוחן'!C80,'פקודות נוספות'!F:F)</f>
        <v>0</v>
      </c>
      <c r="L80" s="439"/>
      <c r="M80" s="474">
        <f>IFERROR(VLOOKUP(C80,'פקודות נוספות'!$D$273:$G$797,4,0),0)</f>
        <v>0</v>
      </c>
      <c r="N80" s="1570" t="str">
        <f t="shared" si="21"/>
        <v>-</v>
      </c>
      <c r="O80" s="1114" t="s">
        <v>2466</v>
      </c>
      <c r="P80" s="63"/>
      <c r="Q80" s="435"/>
      <c r="R80" s="435"/>
      <c r="S80" s="63"/>
      <c r="BA80" s="418"/>
    </row>
    <row r="81" spans="1:53">
      <c r="A81" s="52"/>
      <c r="B81" s="3669" t="s">
        <v>1044</v>
      </c>
      <c r="C81" s="585" t="s">
        <v>1463</v>
      </c>
      <c r="D81" s="203" t="s">
        <v>1464</v>
      </c>
      <c r="E81" s="474">
        <f>IFERROR(VLOOKUP(C81,'פקודות נוספות'!$D$274:$H$808,3,0),0)</f>
        <v>0</v>
      </c>
      <c r="F81" s="1326">
        <f>SUMIF('פקודות נוספות'!C:C,C:C,'פקודות נוספות'!E:E)</f>
        <v>0</v>
      </c>
      <c r="I81" s="1498"/>
      <c r="J81" s="1577">
        <f>SUM(E81:I81)</f>
        <v>0</v>
      </c>
      <c r="K81" s="1577">
        <f>M81+SUMIF('פקודות נוספות'!C:C,'מאזן בוחן'!C81,'פקודות נוספות'!F:F)</f>
        <v>0</v>
      </c>
      <c r="L81" s="439"/>
      <c r="M81" s="1577">
        <f>IFERROR(VLOOKUP(C81,'פקודות נוספות'!$D$273:$G$797,4,0),0)</f>
        <v>0</v>
      </c>
      <c r="N81" s="1570" t="str">
        <f t="shared" si="21"/>
        <v>-</v>
      </c>
      <c r="O81" s="1114"/>
      <c r="P81" s="63"/>
      <c r="Q81" s="435"/>
      <c r="R81" s="435"/>
      <c r="S81" s="63"/>
      <c r="BA81" s="418"/>
    </row>
    <row r="82" spans="1:53">
      <c r="A82" s="52"/>
      <c r="B82" s="3669" t="s">
        <v>1044</v>
      </c>
      <c r="C82" s="585">
        <v>2500005</v>
      </c>
      <c r="D82" s="203" t="s">
        <v>3282</v>
      </c>
      <c r="E82" s="474">
        <f>IFERROR(VLOOKUP(C82,'פקודות נוספות'!$D$274:$H$808,3,0),0)</f>
        <v>0</v>
      </c>
      <c r="F82" s="1326">
        <f>SUMIF('פקודות נוספות'!C:C,C:C,'פקודות נוספות'!E:E)</f>
        <v>0</v>
      </c>
      <c r="I82" s="1498"/>
      <c r="J82" s="1577">
        <f>SUM(E82:I82)</f>
        <v>0</v>
      </c>
      <c r="K82" s="474">
        <f>M82+SUMIF('פקודות נוספות'!C:C,'מאזן בוחן'!C82,'פקודות נוספות'!F:F)</f>
        <v>0</v>
      </c>
      <c r="L82" s="439"/>
      <c r="M82" s="1577">
        <f>IFERROR(VLOOKUP(C82,'פקודות נוספות'!$D$273:$G$797,4,0),0)</f>
        <v>0</v>
      </c>
      <c r="N82" s="1570" t="str">
        <f>IF(K82=0,"-",J82/K82)</f>
        <v>-</v>
      </c>
      <c r="O82" s="1114"/>
      <c r="P82" s="63"/>
      <c r="Q82" s="435"/>
      <c r="R82" s="435"/>
      <c r="S82" s="63"/>
      <c r="BA82" s="418"/>
    </row>
    <row r="83" spans="1:53">
      <c r="A83" s="52"/>
      <c r="B83" s="3669" t="s">
        <v>1044</v>
      </c>
      <c r="C83" s="585">
        <v>2500003</v>
      </c>
      <c r="D83" s="203" t="s">
        <v>1045</v>
      </c>
      <c r="E83" s="474">
        <f>IFERROR(VLOOKUP(C83,'פקודות נוספות'!$D$274:$H$808,3,0),0)</f>
        <v>-1186.6600000000001</v>
      </c>
      <c r="F83" s="1326">
        <f>SUMIF('פקודות נוספות'!C:C,C:C,'פקודות נוספות'!E:E)</f>
        <v>0</v>
      </c>
      <c r="I83" s="1498"/>
      <c r="J83" s="474">
        <f t="shared" si="22"/>
        <v>-1186.6600000000001</v>
      </c>
      <c r="K83" s="474">
        <f>M83+SUMIF('פקודות נוספות'!C:C,'מאזן בוחן'!C83,'פקודות נוספות'!F:F)</f>
        <v>-381.56</v>
      </c>
      <c r="L83" s="439"/>
      <c r="M83" s="474">
        <f>IFERROR(VLOOKUP(C83,'פקודות נוספות'!$D$273:$G$797,4,0),0)</f>
        <v>-381.56</v>
      </c>
      <c r="N83" s="1570">
        <f t="shared" si="21"/>
        <v>3.1100220148862565</v>
      </c>
      <c r="O83" s="1114"/>
      <c r="P83" s="63"/>
      <c r="Q83" s="435"/>
      <c r="R83" s="435"/>
      <c r="S83" s="63"/>
      <c r="BA83" s="418"/>
    </row>
    <row r="84" spans="1:53" ht="13.5" thickBot="1">
      <c r="A84" s="52"/>
      <c r="B84" s="3796" t="s">
        <v>1044</v>
      </c>
      <c r="C84" s="1313">
        <v>2500004</v>
      </c>
      <c r="D84" s="486" t="s">
        <v>343</v>
      </c>
      <c r="E84" s="599">
        <f>VLOOKUP(C84,'פקודות נוספות'!$D$274:$H$808,3,0)</f>
        <v>797939.14</v>
      </c>
      <c r="F84" s="1585">
        <f>SUMIF('פקודות נוספות'!C:C,C:C,'פקודות נוספות'!E:E)</f>
        <v>0</v>
      </c>
      <c r="G84" s="1499"/>
      <c r="H84" s="1499"/>
      <c r="I84" s="1500"/>
      <c r="J84" s="1501">
        <f t="shared" si="22"/>
        <v>797939.14</v>
      </c>
      <c r="K84" s="1501">
        <f>M84+SUMIF('פקודות נוספות'!C:C,'מאזן בוחן'!C84,'פקודות נוספות'!F:F)</f>
        <v>256572.07</v>
      </c>
      <c r="L84" s="439"/>
      <c r="M84" s="1624">
        <f>VLOOKUP(C84,'פקודות נוספות'!$D$273:$G$797,4,0)</f>
        <v>256572.07</v>
      </c>
      <c r="N84" s="1570">
        <f t="shared" si="21"/>
        <v>3.1100000089643429</v>
      </c>
      <c r="O84" s="3404" t="s">
        <v>2466</v>
      </c>
      <c r="P84" s="63"/>
      <c r="Q84" s="435"/>
      <c r="R84" s="435"/>
      <c r="S84" s="63"/>
      <c r="BA84" s="418"/>
    </row>
    <row r="85" spans="1:53">
      <c r="A85" s="52"/>
      <c r="B85" s="3519" t="s">
        <v>1044</v>
      </c>
      <c r="C85" s="585">
        <v>2500007</v>
      </c>
      <c r="D85" s="203" t="s">
        <v>433</v>
      </c>
      <c r="E85" s="474">
        <f>VLOOKUP(C85,'פקודות נוספות'!$D$274:$F$797,3,0)</f>
        <v>19981.240000000002</v>
      </c>
      <c r="F85" s="1326">
        <f>SUMIF('פקודות נוספות'!C:C,C:C,'פקודות נוספות'!E:E)</f>
        <v>0</v>
      </c>
      <c r="I85" s="1498"/>
      <c r="J85" s="474">
        <f t="shared" si="22"/>
        <v>19981.240000000002</v>
      </c>
      <c r="K85" s="474">
        <f>M85+SUMIF('פקודות נוספות'!C:C,'מאזן בוחן'!C85,'פקודות נוספות'!F:F)</f>
        <v>6424.84</v>
      </c>
      <c r="L85" s="439"/>
      <c r="M85" s="474">
        <f>VLOOKUP(C85,'פקודות נוספות'!$D$273:$G$797,4,0)</f>
        <v>6424.84</v>
      </c>
      <c r="N85" s="1570">
        <f t="shared" si="21"/>
        <v>3.1099980699908483</v>
      </c>
      <c r="O85" s="2683" t="s">
        <v>3179</v>
      </c>
      <c r="P85" s="63"/>
      <c r="Q85" s="435"/>
      <c r="R85" s="435"/>
      <c r="S85" s="63"/>
      <c r="BA85" s="418"/>
    </row>
    <row r="86" spans="1:53">
      <c r="A86" s="52"/>
      <c r="B86" s="3519" t="s">
        <v>1044</v>
      </c>
      <c r="C86" s="585">
        <v>2500027</v>
      </c>
      <c r="D86" s="203" t="s">
        <v>435</v>
      </c>
      <c r="E86" s="474">
        <f>VLOOKUP(C86,'פקודות נוספות'!$D$274:$F$797,3,0)</f>
        <v>269741</v>
      </c>
      <c r="F86" s="1326">
        <f>SUMIF('פקודות נוספות'!C:C,C:C,'פקודות נוספות'!E:E)</f>
        <v>0</v>
      </c>
      <c r="I86" s="1498"/>
      <c r="J86" s="474">
        <f>SUM(E86:I86)</f>
        <v>269741</v>
      </c>
      <c r="K86" s="474">
        <f>M86+SUMIF('פקודות נוספות'!C:C,'מאזן בוחן'!C86,'פקודות נוספות'!F:F)</f>
        <v>86733.440000000002</v>
      </c>
      <c r="L86" s="439"/>
      <c r="M86" s="474">
        <f>VLOOKUP(C86,'פקודות נוספות'!$D$273:$G$797,4,0)</f>
        <v>86733.440000000002</v>
      </c>
      <c r="N86" s="1570">
        <f t="shared" si="21"/>
        <v>3.1100000184473253</v>
      </c>
      <c r="O86" s="2684">
        <f>SUM(J85:J91)</f>
        <v>0.27000000001862645</v>
      </c>
      <c r="P86" s="63"/>
      <c r="Q86" s="435"/>
      <c r="R86" s="435"/>
      <c r="S86" s="63"/>
      <c r="BA86" s="418"/>
    </row>
    <row r="87" spans="1:53">
      <c r="A87" s="52"/>
      <c r="B87" s="3519" t="s">
        <v>1044</v>
      </c>
      <c r="C87" s="585">
        <v>2500023</v>
      </c>
      <c r="D87" s="203" t="s">
        <v>434</v>
      </c>
      <c r="E87" s="474">
        <f>VLOOKUP(C87,'פקודות נוספות'!$D$274:$F$797,3,0)</f>
        <v>574795.76</v>
      </c>
      <c r="F87" s="1326">
        <f>SUMIF('פקודות נוספות'!C:C,C:C,'פקודות נוספות'!E:E)</f>
        <v>0</v>
      </c>
      <c r="I87" s="1498"/>
      <c r="J87" s="474">
        <f t="shared" si="22"/>
        <v>574795.76</v>
      </c>
      <c r="K87" s="474">
        <f>M87+SUMIF('פקודות נוספות'!C:C,'מאזן בוחן'!C87,'פקודות נוספות'!F:F)</f>
        <v>184821.79</v>
      </c>
      <c r="L87" s="439"/>
      <c r="M87" s="474">
        <f>VLOOKUP(C87,'פקודות נוספות'!$D$273:$G$797,4,0)</f>
        <v>184821.79</v>
      </c>
      <c r="N87" s="1570">
        <f t="shared" si="21"/>
        <v>3.1099999626667394</v>
      </c>
      <c r="O87" s="2684"/>
      <c r="P87" s="63"/>
      <c r="Q87" s="435"/>
      <c r="R87" s="435"/>
      <c r="S87" s="63"/>
      <c r="BA87" s="418"/>
    </row>
    <row r="88" spans="1:53">
      <c r="A88" s="52"/>
      <c r="B88" s="3519" t="s">
        <v>1044</v>
      </c>
      <c r="C88" s="585">
        <v>2500117</v>
      </c>
      <c r="D88" s="203" t="s">
        <v>1443</v>
      </c>
      <c r="E88" s="474">
        <f>VLOOKUP(C88,'פקודות נוספות'!$D$274:$F$797,3,0)</f>
        <v>-192540</v>
      </c>
      <c r="F88" s="1326">
        <f>SUMIF('פקודות נוספות'!C:C,C:C,'פקודות נוספות'!E:E)</f>
        <v>0</v>
      </c>
      <c r="I88" s="1498"/>
      <c r="J88" s="474">
        <f>SUM(E88:I88)</f>
        <v>-192540</v>
      </c>
      <c r="K88" s="474">
        <f>M88+SUMIF('פקודות נוספות'!C:C,'מאזן בוחן'!C88,'פקודות נוספות'!F:F)</f>
        <v>-61909.97</v>
      </c>
      <c r="L88" s="439"/>
      <c r="M88" s="474">
        <f>VLOOKUP(C88,'פקודות נוספות'!$D$273:$G$797,4,0)</f>
        <v>-61909.97</v>
      </c>
      <c r="N88" s="1570">
        <f t="shared" si="21"/>
        <v>3.1099998917783354</v>
      </c>
      <c r="O88" s="2684">
        <f>[11]עודפות!$J$5</f>
        <v>37543.21112819179</v>
      </c>
      <c r="P88" s="63"/>
      <c r="Q88" s="435"/>
      <c r="R88" s="435"/>
      <c r="S88" s="63"/>
      <c r="BA88" s="418"/>
    </row>
    <row r="89" spans="1:53">
      <c r="A89" s="52"/>
      <c r="B89" s="3519" t="s">
        <v>1044</v>
      </c>
      <c r="C89" s="585">
        <v>2502015</v>
      </c>
      <c r="D89" s="203" t="s">
        <v>1790</v>
      </c>
      <c r="E89" s="474">
        <f>VLOOKUP(C89,'פקודות נוספות'!$D$274:$F$797,3,0)</f>
        <v>-550036.73</v>
      </c>
      <c r="F89" s="747">
        <f>SUMIF('פקודות נוספות'!C:C,C:C,'פקודות נוספות'!E:E)</f>
        <v>0</v>
      </c>
      <c r="I89" s="1498"/>
      <c r="J89" s="474">
        <f>SUM(E89:I89)</f>
        <v>-550036.73</v>
      </c>
      <c r="K89" s="474">
        <f>M89+SUMIF('פקודות נוספות'!C:C,'מאזן בוחן'!C89,'פקודות נוספות'!F:F)</f>
        <v>-176860.68</v>
      </c>
      <c r="L89" s="439"/>
      <c r="M89" s="474">
        <f>VLOOKUP(C89,'פקודות נוספות'!$D$273:$G$797,4,0)</f>
        <v>-176860.68</v>
      </c>
      <c r="N89" s="1570">
        <f t="shared" si="21"/>
        <v>3.1100000859433536</v>
      </c>
      <c r="O89" s="2684"/>
      <c r="P89" s="63"/>
      <c r="Q89" s="435"/>
      <c r="R89" s="435"/>
      <c r="S89" s="63"/>
      <c r="BA89" s="418"/>
    </row>
    <row r="90" spans="1:53" ht="13.5" thickBot="1">
      <c r="A90" s="52"/>
      <c r="B90" s="3519" t="s">
        <v>1044</v>
      </c>
      <c r="C90" s="585" t="s">
        <v>1440</v>
      </c>
      <c r="D90" s="203" t="s">
        <v>1441</v>
      </c>
      <c r="E90" s="474">
        <f>VLOOKUP(C90,'פקודות נוספות'!$D$274:$F$797,3,0)</f>
        <v>-189441</v>
      </c>
      <c r="F90" s="747">
        <f>SUMIF('פקודות נוספות'!C:C,C:C,'פקודות נוספות'!E:E)</f>
        <v>0</v>
      </c>
      <c r="I90" s="1498"/>
      <c r="J90" s="474">
        <f>SUM(E90:I90)</f>
        <v>-189441</v>
      </c>
      <c r="K90" s="474">
        <f>M90+SUMIF('פקודות נוספות'!C:C,'מאזן בוחן'!C90,'פקודות נוספות'!F:F)</f>
        <v>-60913.5</v>
      </c>
      <c r="L90" s="439"/>
      <c r="M90" s="474">
        <f>VLOOKUP(C90,'פקודות נוספות'!$D$273:$G$797,4,0)</f>
        <v>-60913.5</v>
      </c>
      <c r="N90" s="1570">
        <f t="shared" si="21"/>
        <v>3.1100002462508312</v>
      </c>
      <c r="O90" s="2795"/>
      <c r="P90" s="63"/>
      <c r="Q90" s="435"/>
      <c r="R90" s="435"/>
      <c r="S90" s="63"/>
      <c r="BA90" s="418"/>
    </row>
    <row r="91" spans="1:53" ht="13.5" thickBot="1">
      <c r="A91" s="52"/>
      <c r="B91" s="3598" t="s">
        <v>1044</v>
      </c>
      <c r="C91" s="1313">
        <v>2500028</v>
      </c>
      <c r="D91" s="486" t="s">
        <v>436</v>
      </c>
      <c r="E91" s="599">
        <f>VLOOKUP(C91,'פקודות נוספות'!$D$274:$F$797,3,0)</f>
        <v>67500</v>
      </c>
      <c r="F91" s="2796">
        <f>SUMIF('פקודות נוספות'!C:C,C:C,'פקודות נוספות'!E:E)</f>
        <v>0</v>
      </c>
      <c r="G91" s="1499"/>
      <c r="H91" s="1499"/>
      <c r="I91" s="1500"/>
      <c r="J91" s="1501">
        <f>SUM(E91:I91)</f>
        <v>67500</v>
      </c>
      <c r="K91" s="1501">
        <f>M91+SUMIF('פקודות נוספות'!C:C,'מאזן בוחן'!C91,'פקודות נוספות'!F:F)</f>
        <v>21704.18</v>
      </c>
      <c r="L91" s="439"/>
      <c r="M91" s="1624">
        <f>VLOOKUP(C91,'פקודות נוספות'!$D$273:$G$797,4,0)</f>
        <v>21704.18</v>
      </c>
      <c r="N91" s="1570">
        <f t="shared" si="21"/>
        <v>3.110000009214815</v>
      </c>
      <c r="O91" s="1114"/>
      <c r="P91" s="63"/>
      <c r="Q91" s="435"/>
      <c r="R91" s="435"/>
      <c r="S91" s="63"/>
      <c r="BA91" s="418"/>
    </row>
    <row r="92" spans="1:53">
      <c r="A92" s="52"/>
      <c r="B92" s="3519" t="s">
        <v>1044</v>
      </c>
      <c r="C92" s="585">
        <v>2500024</v>
      </c>
      <c r="D92" s="203" t="s">
        <v>552</v>
      </c>
      <c r="E92" s="474">
        <f>IFERROR(VLOOKUP(C92,'פקודות נוספות'!$D$274:$F$797,3,0),0)</f>
        <v>803750.86</v>
      </c>
      <c r="F92" s="747">
        <f>SUMIF('פקודות נוספות'!C:C,C:C,'פקודות נוספות'!E:E)</f>
        <v>0</v>
      </c>
      <c r="I92" s="1498"/>
      <c r="J92" s="474">
        <f t="shared" si="22"/>
        <v>803750.86</v>
      </c>
      <c r="K92" s="1318">
        <f>M92+SUMIF('פקודות נוספות'!C:C,'מאזן בוחן'!C92,'פקודות נוספות'!F:F)</f>
        <v>258440.79</v>
      </c>
      <c r="L92" s="439"/>
      <c r="M92" s="474">
        <f>IFERROR(VLOOKUP(C92,'פקודות נוספות'!$D$273:$G$797,4,0),0)</f>
        <v>258440.79</v>
      </c>
      <c r="N92" s="1570">
        <f t="shared" si="21"/>
        <v>3.1100000119950102</v>
      </c>
      <c r="O92" s="2683" t="s">
        <v>3179</v>
      </c>
      <c r="P92" s="63"/>
      <c r="Q92" s="435"/>
      <c r="R92" s="435"/>
      <c r="S92" s="63"/>
      <c r="BA92" s="418"/>
    </row>
    <row r="93" spans="1:53">
      <c r="A93" s="52"/>
      <c r="B93" s="3519" t="s">
        <v>1044</v>
      </c>
      <c r="C93" s="585">
        <v>2500029</v>
      </c>
      <c r="D93" s="203" t="s">
        <v>553</v>
      </c>
      <c r="E93" s="474">
        <f>VLOOKUP(C93,'פקודות נוספות'!$D$274:$F$797,3,0)</f>
        <v>106032</v>
      </c>
      <c r="F93" s="747">
        <f>SUMIF('פקודות נוספות'!C:C,C:C,'פקודות נוספות'!E:E)</f>
        <v>0</v>
      </c>
      <c r="I93" s="1498"/>
      <c r="J93" s="474">
        <f t="shared" si="22"/>
        <v>106032</v>
      </c>
      <c r="K93" s="171">
        <f>M93+SUMIF('פקודות נוספות'!C:C,'מאזן בוחן'!C93,'פקודות נוספות'!F:F)</f>
        <v>34093.89</v>
      </c>
      <c r="L93" s="439"/>
      <c r="M93" s="474">
        <f>VLOOKUP(C93,'פקודות נוספות'!$D$273:$G$797,4,0)</f>
        <v>34093.89</v>
      </c>
      <c r="N93" s="1570">
        <v>3.4670003573856376</v>
      </c>
      <c r="O93" s="2684">
        <f>SUM(J92:J97)</f>
        <v>-0.14000000001396984</v>
      </c>
      <c r="P93" s="63"/>
      <c r="Q93" s="435"/>
      <c r="R93" s="435"/>
      <c r="S93" s="63"/>
      <c r="BA93" s="418"/>
    </row>
    <row r="94" spans="1:53">
      <c r="A94" s="52"/>
      <c r="B94" s="3519" t="s">
        <v>1044</v>
      </c>
      <c r="C94" s="585">
        <v>2500116</v>
      </c>
      <c r="D94" s="203" t="s">
        <v>1442</v>
      </c>
      <c r="E94" s="474">
        <f>VLOOKUP(C94,'פקודות נוספות'!$D$274:$F$797,3,0)</f>
        <v>-106032</v>
      </c>
      <c r="F94" s="747">
        <f>SUMIF('פקודות נוספות'!C:C,C:C,'פקודות נוספות'!E:E)</f>
        <v>0</v>
      </c>
      <c r="I94" s="1498"/>
      <c r="J94" s="474">
        <f>SUM(E94:I94)</f>
        <v>-106032</v>
      </c>
      <c r="K94" s="171">
        <f>M94+SUMIF('פקודות נוספות'!C:C,'מאזן בוחן'!C94,'פקודות נוספות'!F:F)</f>
        <v>-34093.89</v>
      </c>
      <c r="L94" s="439"/>
      <c r="M94" s="474">
        <f>VLOOKUP(C94,'פקודות נוספות'!$D$273:$G$797,4,0)</f>
        <v>-34093.89</v>
      </c>
      <c r="N94" s="1570">
        <v>4.4670003573856398</v>
      </c>
      <c r="O94" s="2684"/>
      <c r="P94" s="63"/>
      <c r="Q94" s="435"/>
      <c r="R94" s="435"/>
      <c r="S94" s="63"/>
      <c r="BA94" s="418"/>
    </row>
    <row r="95" spans="1:53">
      <c r="A95" s="52"/>
      <c r="B95" s="3519" t="s">
        <v>1044</v>
      </c>
      <c r="C95" s="585">
        <v>2502016</v>
      </c>
      <c r="D95" s="203" t="s">
        <v>1791</v>
      </c>
      <c r="E95" s="474">
        <f>VLOOKUP(C95,'פקודות נוספות'!$D$274:$F$797,3,0)</f>
        <v>-774608</v>
      </c>
      <c r="F95" s="1723">
        <f>SUMIF('פקודות נוספות'!C:C,C:C,'פקודות נוספות'!E:E)</f>
        <v>0</v>
      </c>
      <c r="I95" s="1498"/>
      <c r="J95" s="474">
        <f>SUM(E95:I95)</f>
        <v>-774608</v>
      </c>
      <c r="K95" s="474">
        <f>M95+SUMIF('פקודות נוספות'!C:C,'מאזן בוחן'!C95,'פקודות נוספות'!F:F)</f>
        <v>-249070.1</v>
      </c>
      <c r="L95" s="439"/>
      <c r="M95" s="474">
        <f>VLOOKUP(C95,'פקודות נוספות'!$D$273:$G$797,4,0)</f>
        <v>-249070.1</v>
      </c>
      <c r="N95" s="1570">
        <v>5.4670003573856398</v>
      </c>
      <c r="O95" s="2684">
        <f>[11]עודפות!$J$7</f>
        <v>78751</v>
      </c>
      <c r="P95" s="63"/>
      <c r="Q95" s="435"/>
      <c r="R95" s="435"/>
      <c r="S95" s="63"/>
      <c r="BA95" s="418"/>
    </row>
    <row r="96" spans="1:53">
      <c r="A96" s="52"/>
      <c r="B96" s="3519" t="s">
        <v>1044</v>
      </c>
      <c r="C96" s="585">
        <v>2500030</v>
      </c>
      <c r="D96" s="203" t="s">
        <v>554</v>
      </c>
      <c r="E96" s="474">
        <f>VLOOKUP(C96,'פקודות נוספות'!$D$274:$F$797,3,0)</f>
        <v>78751</v>
      </c>
      <c r="F96" s="747">
        <v>0</v>
      </c>
      <c r="I96" s="1498"/>
      <c r="J96" s="474">
        <f t="shared" si="22"/>
        <v>78751</v>
      </c>
      <c r="K96" s="171">
        <f>M96+SUMIF('פקודות נוספות'!C:C,'מאזן בוחן'!C96,'פקודות נוספות'!F:F)</f>
        <v>25321.86</v>
      </c>
      <c r="L96" s="439"/>
      <c r="M96" s="474">
        <f>VLOOKUP(C96,'פקודות נוספות'!$D$273:$G$797,4,0)</f>
        <v>25321.86</v>
      </c>
      <c r="N96" s="1570">
        <v>3.4670000814459518</v>
      </c>
      <c r="O96" s="2684"/>
      <c r="P96" s="63"/>
      <c r="Q96" s="435"/>
      <c r="R96" s="435"/>
      <c r="S96" s="63"/>
      <c r="BA96" s="418"/>
    </row>
    <row r="97" spans="1:53" ht="13.5" thickBot="1">
      <c r="A97" s="52"/>
      <c r="B97" s="3598" t="s">
        <v>1044</v>
      </c>
      <c r="C97" s="1313">
        <v>2500037</v>
      </c>
      <c r="D97" s="486" t="s">
        <v>603</v>
      </c>
      <c r="E97" s="599">
        <f>VLOOKUP(C97,'פקודות נוספות'!$D$274:$F$797,3,0)</f>
        <v>-107894</v>
      </c>
      <c r="F97" s="2796">
        <v>0</v>
      </c>
      <c r="G97" s="1499"/>
      <c r="H97" s="1499"/>
      <c r="I97" s="1500"/>
      <c r="J97" s="1501">
        <f t="shared" si="22"/>
        <v>-107894</v>
      </c>
      <c r="K97" s="599">
        <f>M97+SUMIF('פקודות נוספות'!C:C,'מאזן בוחן'!C97,'פקודות נוספות'!F:F)</f>
        <v>-34692.6</v>
      </c>
      <c r="L97" s="439"/>
      <c r="M97" s="1624">
        <f>VLOOKUP(C97,'פקודות נוספות'!$D$273:$G$797,4,0)</f>
        <v>-34692.6</v>
      </c>
      <c r="N97" s="1570">
        <v>3.4669999043381265</v>
      </c>
      <c r="O97" s="2795"/>
      <c r="P97" s="63"/>
      <c r="Q97" s="435"/>
      <c r="R97" s="435"/>
      <c r="S97" s="63"/>
      <c r="BA97" s="418"/>
    </row>
    <row r="98" spans="1:53">
      <c r="A98" s="52"/>
      <c r="B98" s="3519" t="s">
        <v>1044</v>
      </c>
      <c r="C98" s="585">
        <v>2500025</v>
      </c>
      <c r="D98" s="203" t="s">
        <v>1046</v>
      </c>
      <c r="E98" s="474">
        <f>IFERROR(VLOOKUP(C98,'פקודות נוספות'!$D$274:$F$797,3,0),0)</f>
        <v>1250940.81</v>
      </c>
      <c r="F98" s="747">
        <f>SUMIF('פקודות נוספות'!C:C,C:C,'פקודות נוספות'!E:E)</f>
        <v>0</v>
      </c>
      <c r="I98" s="1498"/>
      <c r="J98" s="474">
        <f t="shared" si="22"/>
        <v>1250940.81</v>
      </c>
      <c r="K98" s="474">
        <f>M98+SUMIF('פקודות נוספות'!C:C,'מאזן בוחן'!C98,'פקודות נוספות'!F:F)</f>
        <v>402231.77</v>
      </c>
      <c r="L98" s="439"/>
      <c r="M98" s="474">
        <f>IFERROR(VLOOKUP(C98,'פקודות נוספות'!$D$273:$G$797,4,0),0)</f>
        <v>402231.77</v>
      </c>
      <c r="N98" s="1570">
        <f t="shared" ref="N98:N111" si="23">IF(K98=0,"-",J98/K98)</f>
        <v>3.1100000131764829</v>
      </c>
      <c r="O98" s="2683" t="s">
        <v>3178</v>
      </c>
      <c r="P98" s="63"/>
      <c r="Q98" s="435"/>
      <c r="R98" s="435"/>
      <c r="S98" s="63"/>
      <c r="BA98" s="418"/>
    </row>
    <row r="99" spans="1:53">
      <c r="A99" s="52"/>
      <c r="B99" s="3519" t="s">
        <v>1044</v>
      </c>
      <c r="C99" s="585">
        <v>2500016</v>
      </c>
      <c r="D99" s="203" t="s">
        <v>295</v>
      </c>
      <c r="E99" s="474">
        <f>VLOOKUP(C99,'פקודות נוספות'!$D$274:$F$797,3,0)</f>
        <v>-0.35</v>
      </c>
      <c r="F99" s="747">
        <f>SUMIF('פקודות נוספות'!C:C,C:C,'פקודות נוספות'!E:E)</f>
        <v>0</v>
      </c>
      <c r="G99" s="1325"/>
      <c r="H99" s="1325"/>
      <c r="I99" s="1586"/>
      <c r="J99" s="474">
        <f>SUM(E99:I99)</f>
        <v>-0.35</v>
      </c>
      <c r="K99" s="1577">
        <f>M99+SUMIF('פקודות נוספות'!C:C,'מאזן בוחן'!C99,'פקודות נוספות'!F:F)</f>
        <v>0.31</v>
      </c>
      <c r="L99" s="1213"/>
      <c r="M99" s="1577">
        <f>VLOOKUP(C99,'פקודות נוספות'!$D$273:$G$797,4,0)</f>
        <v>0.31</v>
      </c>
      <c r="N99" s="1570">
        <f t="shared" si="23"/>
        <v>-1.129032258064516</v>
      </c>
      <c r="O99" s="2684">
        <f>SUM(J98:J103)</f>
        <v>0.4599999999627471</v>
      </c>
      <c r="P99" s="63"/>
      <c r="Q99" s="435"/>
      <c r="R99" s="435"/>
      <c r="S99" s="63"/>
      <c r="BA99" s="418"/>
    </row>
    <row r="100" spans="1:53">
      <c r="A100" s="52"/>
      <c r="B100" s="3519" t="s">
        <v>1044</v>
      </c>
      <c r="C100" s="585">
        <v>2500118</v>
      </c>
      <c r="D100" s="203" t="s">
        <v>1911</v>
      </c>
      <c r="E100" s="474">
        <f>VLOOKUP(C100,'פקודות נוספות'!$D$274:$F$797,3,0)</f>
        <v>-598426</v>
      </c>
      <c r="F100" s="747">
        <f>SUMIF('פקודות נוספות'!C:C,C:C,'פקודות נוספות'!E:E)</f>
        <v>0</v>
      </c>
      <c r="I100" s="1498"/>
      <c r="J100" s="474">
        <f>SUM(E100:I100)</f>
        <v>-598426</v>
      </c>
      <c r="K100" s="474">
        <f>M100+SUMIF('פקודות נוספות'!C:C,'מאזן בוחן'!C100,'פקודות נוספות'!F:F)</f>
        <v>-192419.94</v>
      </c>
      <c r="L100" s="439"/>
      <c r="M100" s="474">
        <f>VLOOKUP(C100,'פקודות נוספות'!$D$273:$G$797,4,0)</f>
        <v>-192419.94</v>
      </c>
      <c r="N100" s="1570">
        <f t="shared" si="23"/>
        <v>3.1099999303606478</v>
      </c>
      <c r="O100" s="2684"/>
      <c r="P100" s="63"/>
      <c r="Q100" s="435"/>
      <c r="R100" s="435"/>
      <c r="S100" s="63"/>
      <c r="BA100" s="418"/>
    </row>
    <row r="101" spans="1:53">
      <c r="A101" s="52"/>
      <c r="B101" s="3519" t="s">
        <v>1044</v>
      </c>
      <c r="C101" s="585">
        <v>2502017</v>
      </c>
      <c r="D101" s="203" t="s">
        <v>1792</v>
      </c>
      <c r="E101" s="474">
        <f>VLOOKUP(C101,'פקודות נוספות'!$D$274:$F$797,3,0)</f>
        <v>-1364340</v>
      </c>
      <c r="F101" s="747">
        <f>SUMIF('פקודות נוספות'!C:C,C:C,'פקודות נוספות'!E:E)</f>
        <v>0</v>
      </c>
      <c r="I101" s="1498"/>
      <c r="J101" s="474">
        <f>SUM(E101:I101)</f>
        <v>-1364340</v>
      </c>
      <c r="K101" s="474">
        <f>M101+SUMIF('פקודות נוספות'!C:C,'מאזן בוחן'!C101,'פקודות נוספות'!F:F)</f>
        <v>-438694.53</v>
      </c>
      <c r="L101" s="439"/>
      <c r="M101" s="474">
        <f>VLOOKUP(C101,'פקודות נוספות'!$D$273:$G$797,4,0)</f>
        <v>-438694.53</v>
      </c>
      <c r="N101" s="1570">
        <f t="shared" si="23"/>
        <v>3.1100000266700385</v>
      </c>
      <c r="O101" s="2684">
        <f>[11]עודפות!$J$9</f>
        <v>113400</v>
      </c>
      <c r="P101" s="63"/>
      <c r="Q101" s="435"/>
      <c r="R101" s="435"/>
      <c r="S101" s="63"/>
      <c r="BA101" s="418"/>
    </row>
    <row r="102" spans="1:53">
      <c r="A102" s="52"/>
      <c r="B102" s="3519" t="s">
        <v>1044</v>
      </c>
      <c r="C102" s="585">
        <v>2500031</v>
      </c>
      <c r="D102" s="203" t="s">
        <v>1047</v>
      </c>
      <c r="E102" s="474">
        <f>VLOOKUP(C102,'פקודות נוספות'!$D$274:$F$797,3,0)</f>
        <v>598426</v>
      </c>
      <c r="F102" s="747">
        <f>SUMIF('פקודות נוספות'!C:C,C:C,'פקודות נוספות'!E:E)</f>
        <v>0</v>
      </c>
      <c r="I102" s="1498"/>
      <c r="J102" s="474">
        <f t="shared" si="22"/>
        <v>598426</v>
      </c>
      <c r="K102" s="474">
        <f>M102+SUMIF('פקודות נוספות'!C:C,'מאזן בוחן'!C102,'פקודות נוספות'!F:F)</f>
        <v>192419.94</v>
      </c>
      <c r="L102" s="439"/>
      <c r="M102" s="474">
        <f>VLOOKUP(C102,'פקודות נוספות'!$D$273:$G$797,4,0)</f>
        <v>192419.94</v>
      </c>
      <c r="N102" s="1570">
        <f t="shared" si="23"/>
        <v>3.1099999303606478</v>
      </c>
      <c r="O102" s="2684"/>
      <c r="P102" s="63"/>
      <c r="Q102" s="435"/>
      <c r="R102" s="435"/>
      <c r="S102" s="63"/>
      <c r="BA102" s="418"/>
    </row>
    <row r="103" spans="1:53" ht="13.5" thickBot="1">
      <c r="A103" s="52"/>
      <c r="B103" s="3599" t="s">
        <v>1044</v>
      </c>
      <c r="C103" s="1427">
        <v>2500032</v>
      </c>
      <c r="D103" s="486" t="s">
        <v>1048</v>
      </c>
      <c r="E103" s="474">
        <f>VLOOKUP(C103,'פקודות נוספות'!$D$274:$F$797,3,0)</f>
        <v>113400</v>
      </c>
      <c r="F103" s="2796">
        <f>SUMIF('פקודות נוספות'!C:C,C:C,'פקודות נוספות'!E:E)</f>
        <v>0</v>
      </c>
      <c r="G103" s="1499"/>
      <c r="H103" s="1499"/>
      <c r="I103" s="1500"/>
      <c r="J103" s="1501">
        <f t="shared" si="22"/>
        <v>113400</v>
      </c>
      <c r="K103" s="1501">
        <f>M103+SUMIF('פקודות נוספות'!C:C,'מאזן בוחן'!C103,'פקודות נוספות'!F:F)</f>
        <v>36463.019999999997</v>
      </c>
      <c r="L103" s="439"/>
      <c r="M103" s="1624">
        <f>VLOOKUP(C103,'פקודות נוספות'!$D$273:$G$797,4,0)</f>
        <v>36463.019999999997</v>
      </c>
      <c r="N103" s="1570">
        <f t="shared" si="23"/>
        <v>3.1100002139153591</v>
      </c>
      <c r="O103" s="2795"/>
      <c r="P103" s="63"/>
      <c r="Q103" s="435"/>
      <c r="R103" s="435"/>
      <c r="S103" s="63"/>
      <c r="BA103" s="418"/>
    </row>
    <row r="104" spans="1:53">
      <c r="A104" s="52"/>
      <c r="B104" s="3519" t="s">
        <v>1044</v>
      </c>
      <c r="C104" s="585">
        <v>2500038</v>
      </c>
      <c r="D104" s="203" t="s">
        <v>1273</v>
      </c>
      <c r="E104" s="1318">
        <f>IFERROR(VLOOKUP(C104,'פקודות נוספות'!$D$274:$F$797,3,0),0)</f>
        <v>243521</v>
      </c>
      <c r="F104" s="747">
        <f>SUMIF('פקודות נוספות'!C:C,C:C,'פקודות נוספות'!E:E)</f>
        <v>0</v>
      </c>
      <c r="I104" s="1498"/>
      <c r="J104" s="474">
        <f t="shared" ref="J104:J111" si="24">SUM(E104:I104)</f>
        <v>243521</v>
      </c>
      <c r="K104" s="474">
        <f>M104+SUMIF('פקודות נוספות'!C:C,'מאזן בוחן'!C104,'פקודות נוספות'!F:F)</f>
        <v>78302.570000000007</v>
      </c>
      <c r="L104" s="439"/>
      <c r="M104" s="474">
        <f>IFERROR(VLOOKUP(C104,'פקודות נוספות'!$D$273:$G$797,4,0),0)</f>
        <v>78302.570000000007</v>
      </c>
      <c r="N104" s="1570">
        <f t="shared" si="23"/>
        <v>3.110000093228102</v>
      </c>
      <c r="O104" s="2792" t="s">
        <v>3177</v>
      </c>
      <c r="P104" s="63"/>
      <c r="Q104" s="435"/>
      <c r="R104" s="435"/>
      <c r="S104" s="63"/>
      <c r="BA104" s="418"/>
    </row>
    <row r="105" spans="1:53">
      <c r="A105" s="52"/>
      <c r="B105" s="3519" t="s">
        <v>1044</v>
      </c>
      <c r="C105" s="585">
        <v>2500119</v>
      </c>
      <c r="D105" s="203" t="s">
        <v>2161</v>
      </c>
      <c r="E105" s="474">
        <f>VLOOKUP(C105,'פקודות נוספות'!$D$274:$F$797,3,0)</f>
        <v>-243521</v>
      </c>
      <c r="F105" s="747">
        <f>SUMIF('פקודות נוספות'!C:C,C:C,'פקודות נוספות'!E:E)</f>
        <v>0</v>
      </c>
      <c r="I105" s="1498"/>
      <c r="J105" s="474">
        <f t="shared" si="24"/>
        <v>-243521</v>
      </c>
      <c r="K105" s="474">
        <f>M105+SUMIF('פקודות נוספות'!C:C,'מאזן בוחן'!C105,'פקודות נוספות'!F:F)</f>
        <v>-78302.570000000007</v>
      </c>
      <c r="L105" s="439"/>
      <c r="M105" s="474">
        <f>VLOOKUP(C105,'פקודות נוספות'!$D$273:$G$797,4,0)</f>
        <v>-78302.570000000007</v>
      </c>
      <c r="N105" s="1570">
        <f t="shared" si="23"/>
        <v>3.110000093228102</v>
      </c>
      <c r="O105" s="2684">
        <f>SUM(J104:J108)-O106</f>
        <v>-180000.19999999995</v>
      </c>
      <c r="P105" s="63"/>
      <c r="Q105" s="435"/>
      <c r="R105" s="435"/>
      <c r="S105" s="63"/>
      <c r="BA105" s="418"/>
    </row>
    <row r="106" spans="1:53">
      <c r="A106" s="52"/>
      <c r="B106" s="3519" t="s">
        <v>1044</v>
      </c>
      <c r="C106" s="585">
        <v>2502018</v>
      </c>
      <c r="D106" s="203" t="s">
        <v>1793</v>
      </c>
      <c r="E106" s="474">
        <f>VLOOKUP(C106,'פקודות נוספות'!$D$274:$F$797,3,0)</f>
        <v>-1268905.22</v>
      </c>
      <c r="F106" s="747">
        <f>SUMIF('פקודות נוספות'!C:C,C:C,'פקודות נוספות'!E:E)</f>
        <v>0</v>
      </c>
      <c r="I106" s="1498"/>
      <c r="J106" s="474">
        <f t="shared" si="24"/>
        <v>-1268905.22</v>
      </c>
      <c r="K106" s="474">
        <f>M106+SUMIF('פקודות נוספות'!C:C,'מאזן בוחן'!C106,'פקודות נוספות'!F:F)</f>
        <v>-408008.11</v>
      </c>
      <c r="L106" s="439"/>
      <c r="M106" s="474">
        <f>VLOOKUP(C106,'פקודות נוספות'!$D$273:$G$797,4,0)</f>
        <v>-408008.11</v>
      </c>
      <c r="N106" s="1570">
        <f t="shared" si="23"/>
        <v>3.1099999948530437</v>
      </c>
      <c r="O106" s="2793">
        <f>J108</f>
        <v>180000</v>
      </c>
      <c r="P106" s="63"/>
      <c r="Q106" s="435"/>
      <c r="R106" s="435"/>
      <c r="S106" s="63"/>
      <c r="BA106" s="418"/>
    </row>
    <row r="107" spans="1:53">
      <c r="A107" s="52"/>
      <c r="B107" s="3519" t="s">
        <v>1044</v>
      </c>
      <c r="C107" s="585">
        <v>2500040</v>
      </c>
      <c r="D107" s="203" t="s">
        <v>1274</v>
      </c>
      <c r="E107" s="474">
        <f>VLOOKUP(C107,'פקודות נוספות'!$D$274:$F$797,3,0)</f>
        <v>1088905.02</v>
      </c>
      <c r="F107" s="747">
        <f>SUMIF('פקודות נוספות'!C:C,C:C,'פקודות נוספות'!E:E)</f>
        <v>0</v>
      </c>
      <c r="I107" s="1498"/>
      <c r="J107" s="474">
        <f t="shared" si="24"/>
        <v>1088905.02</v>
      </c>
      <c r="K107" s="474">
        <f>M107+SUMIF('פקודות נוספות'!C:C,'מאזן בוחן'!C107,'פקודות נוספות'!F:F)</f>
        <v>350130.23</v>
      </c>
      <c r="L107" s="439"/>
      <c r="M107" s="474">
        <f>VLOOKUP(C107,'פקודות נוספות'!$D$273:$G$797,4,0)</f>
        <v>350130.23</v>
      </c>
      <c r="N107" s="1570">
        <f t="shared" si="23"/>
        <v>3.1100000134235768</v>
      </c>
      <c r="O107" s="2794">
        <f>SUM(O105:O106)</f>
        <v>-0.19999999995343387</v>
      </c>
      <c r="P107" s="63"/>
      <c r="Q107" s="435"/>
      <c r="R107" s="435"/>
      <c r="S107" s="63"/>
      <c r="BA107" s="418"/>
    </row>
    <row r="108" spans="1:53" ht="13.5" thickBot="1">
      <c r="A108" s="52"/>
      <c r="B108" s="3598" t="s">
        <v>1044</v>
      </c>
      <c r="C108" s="1491">
        <v>2500033</v>
      </c>
      <c r="D108" s="486" t="s">
        <v>1660</v>
      </c>
      <c r="E108" s="474">
        <f>VLOOKUP(C108,'פקודות נוספות'!$D$274:$F$797,3,0)</f>
        <v>180000</v>
      </c>
      <c r="F108" s="2796">
        <f>SUMIF('פקודות נוספות'!C:C,C:C,'פקודות נוספות'!E:E)</f>
        <v>0</v>
      </c>
      <c r="G108" s="1499"/>
      <c r="H108" s="1499"/>
      <c r="I108" s="1500"/>
      <c r="J108" s="1501">
        <f t="shared" si="24"/>
        <v>180000</v>
      </c>
      <c r="K108" s="1501">
        <f>M108+SUMIF('פקודות נוספות'!C:C,'מאזן בוחן'!C108,'פקודות נוספות'!F:F)</f>
        <v>57877.81</v>
      </c>
      <c r="L108" s="750"/>
      <c r="M108" s="1624">
        <f>VLOOKUP(C108,'פקודות נוספות'!$D$273:$G$797,4,0)</f>
        <v>57877.81</v>
      </c>
      <c r="N108" s="2791">
        <f t="shared" si="23"/>
        <v>3.1100001883277892</v>
      </c>
      <c r="O108" s="2684">
        <f>+[11]עודפות!$J$11</f>
        <v>180000</v>
      </c>
      <c r="P108" s="63"/>
      <c r="Q108" s="435"/>
      <c r="R108" s="435"/>
      <c r="S108" s="63"/>
      <c r="BA108" s="418"/>
    </row>
    <row r="109" spans="1:53">
      <c r="A109" s="52"/>
      <c r="B109" s="3520" t="s">
        <v>1044</v>
      </c>
      <c r="C109" s="1489">
        <v>2500041</v>
      </c>
      <c r="D109" s="203" t="s">
        <v>1720</v>
      </c>
      <c r="E109" s="1318">
        <f>IFERROR(VLOOKUP(C109,'פקודות נוספות'!$D$274:$F$797,3,0),0)</f>
        <v>985319.1</v>
      </c>
      <c r="F109" s="747">
        <f>SUMIF('פקודות נוספות'!C:C,C:C,'פקודות נוספות'!E:E)</f>
        <v>0</v>
      </c>
      <c r="I109" s="1498"/>
      <c r="J109" s="474">
        <f t="shared" si="24"/>
        <v>985319.1</v>
      </c>
      <c r="K109" s="474">
        <f>M109+SUMIF('פקודות נוספות'!C:C,'מאזן בוחן'!C109,'פקודות נוספות'!F:F)</f>
        <v>316822.86</v>
      </c>
      <c r="L109" s="439"/>
      <c r="M109" s="474">
        <f>IFERROR(VLOOKUP(C109,'פקודות נוספות'!$D$273:$G$797,4,0),0)</f>
        <v>316822.86</v>
      </c>
      <c r="N109" s="2791">
        <f t="shared" si="23"/>
        <v>3.1100000170442246</v>
      </c>
      <c r="O109" s="2792" t="s">
        <v>3181</v>
      </c>
      <c r="P109" s="63"/>
      <c r="Q109" s="435"/>
      <c r="R109" s="435"/>
      <c r="S109" s="63"/>
      <c r="BA109" s="418"/>
    </row>
    <row r="110" spans="1:53">
      <c r="A110" s="52"/>
      <c r="B110" s="3520" t="s">
        <v>1044</v>
      </c>
      <c r="C110" s="1489">
        <v>2500042</v>
      </c>
      <c r="D110" s="203" t="s">
        <v>1754</v>
      </c>
      <c r="E110" s="474">
        <f>VLOOKUP(C110,'פקודות נוספות'!$D$274:$F$797,3,0)</f>
        <v>2980</v>
      </c>
      <c r="F110" s="747">
        <f>SUMIF('פקודות נוספות'!C:C,C:C,'פקודות נוספות'!E:E)</f>
        <v>0</v>
      </c>
      <c r="I110" s="1498"/>
      <c r="J110" s="474">
        <f t="shared" si="24"/>
        <v>2980</v>
      </c>
      <c r="K110" s="474">
        <f>M110+SUMIF('פקודות נוספות'!C:C,'מאזן בוחן'!C110,'פקודות נוספות'!F:F)</f>
        <v>862.27</v>
      </c>
      <c r="L110" s="439"/>
      <c r="M110" s="474">
        <f>VLOOKUP(C110,'פקודות נוספות'!$D$273:$G$797,4,0)</f>
        <v>862.27</v>
      </c>
      <c r="N110" s="1570">
        <f t="shared" si="23"/>
        <v>3.4559940621846987</v>
      </c>
      <c r="O110" s="2684">
        <f>[11]עודפות!$J$13</f>
        <v>84416</v>
      </c>
      <c r="P110" s="63"/>
      <c r="Q110" s="435"/>
      <c r="R110" s="435"/>
      <c r="S110" s="63"/>
      <c r="BA110" s="418"/>
    </row>
    <row r="111" spans="1:53">
      <c r="A111" s="52"/>
      <c r="B111" s="3519" t="s">
        <v>1044</v>
      </c>
      <c r="C111" s="585">
        <v>2500043</v>
      </c>
      <c r="D111" s="203" t="s">
        <v>2160</v>
      </c>
      <c r="E111" s="474">
        <f>VLOOKUP(C111,'פקודות נוספות'!$D$274:$F$797,3,0)</f>
        <v>84416</v>
      </c>
      <c r="F111" s="747">
        <f>SUMIF('פקודות נוספות'!C:C,C:C,'פקודות נוספות'!E:E)</f>
        <v>0</v>
      </c>
      <c r="I111" s="1498"/>
      <c r="J111" s="474">
        <f t="shared" si="24"/>
        <v>84416</v>
      </c>
      <c r="K111" s="474">
        <f>M111+SUMIF('פקודות נוספות'!C:C,'מאזן בוחן'!C111,'פקודות נוספות'!F:F)</f>
        <v>27143.41</v>
      </c>
      <c r="L111" s="439"/>
      <c r="M111" s="474">
        <f>VLOOKUP(C111,'פקודות נוספות'!$D$273:$G$797,4,0)</f>
        <v>27143.41</v>
      </c>
      <c r="N111" s="1570">
        <f t="shared" si="23"/>
        <v>3.1099998121090904</v>
      </c>
      <c r="O111" s="2793">
        <f>[11]נמב!$R$86</f>
        <v>992981.08280091686</v>
      </c>
      <c r="P111" s="63"/>
      <c r="Q111" s="435"/>
      <c r="R111" s="435"/>
      <c r="S111" s="63"/>
      <c r="BA111" s="418"/>
    </row>
    <row r="112" spans="1:53">
      <c r="B112" s="3598" t="s">
        <v>1044</v>
      </c>
      <c r="C112" s="1313">
        <v>2502019</v>
      </c>
      <c r="D112" s="486" t="s">
        <v>3180</v>
      </c>
      <c r="E112" s="2600">
        <f>IFERROR(VLOOKUP(C112,'פקודות נוספות'!$D$274:$F$797,3,0),0)</f>
        <v>-1072714.8400000001</v>
      </c>
      <c r="F112" s="2600">
        <f>SUMIF('פקודות נוספות'!C:C,C:C,'פקודות נוספות'!E:E)</f>
        <v>0</v>
      </c>
      <c r="G112" s="2734"/>
      <c r="H112" s="2734"/>
      <c r="I112" s="2858"/>
      <c r="J112" s="2600">
        <f t="shared" ref="J112:J122" si="25">SUM(E112:I112)</f>
        <v>-1072714.8400000001</v>
      </c>
      <c r="K112" s="599">
        <f>M112+SUMIF('פקודות נוספות'!C:C,'מאזן בוחן'!C112,'פקודות נוספות'!F:F)</f>
        <v>-344924.39</v>
      </c>
      <c r="L112" s="439"/>
      <c r="M112" s="1624">
        <f>VLOOKUP(C112,'פקודות נוספות'!$D$273:$G$797,4,0)</f>
        <v>-344924.39</v>
      </c>
      <c r="N112" s="2859">
        <f t="shared" ref="N112:N122" si="26">IF(K112=0,"-",J112/K112)</f>
        <v>3.1099999626004995</v>
      </c>
      <c r="O112" s="2794">
        <f>SUM(O110:O111)</f>
        <v>1077397.0828009169</v>
      </c>
      <c r="P112" s="63"/>
      <c r="Q112" s="435"/>
      <c r="R112" s="435"/>
      <c r="S112" s="63"/>
      <c r="BA112" s="418"/>
    </row>
    <row r="113" spans="1:53">
      <c r="B113" s="3520" t="s">
        <v>1044</v>
      </c>
      <c r="C113" s="585">
        <v>2500044</v>
      </c>
      <c r="D113" s="203" t="s">
        <v>3026</v>
      </c>
      <c r="E113" s="171">
        <f>IFERROR(VLOOKUP(C113,'פקודות נוספות'!$D$274:$F$797,3,0),0)</f>
        <v>78000</v>
      </c>
      <c r="F113" s="747">
        <f>SUMIF('פקודות נוספות'!C:C,C:C,'פקודות נוספות'!E:E)</f>
        <v>0</v>
      </c>
      <c r="I113" s="1498"/>
      <c r="J113" s="474">
        <f t="shared" si="25"/>
        <v>78000</v>
      </c>
      <c r="K113" s="474">
        <f>M113+SUMIF('פקודות נוספות'!C:C,'מאזן בוחן'!C113,'פקודות נוספות'!F:F)</f>
        <v>25080.39</v>
      </c>
      <c r="L113" s="1580"/>
      <c r="M113" s="1318">
        <f>IFERROR(VLOOKUP(C113,'פקודות נוספות'!$D$273:$G$797,4,0),0)</f>
        <v>25080.39</v>
      </c>
      <c r="N113" s="1621">
        <f t="shared" si="26"/>
        <v>3.1099994856539315</v>
      </c>
      <c r="O113" s="2684">
        <f>SUM(J109:J112)</f>
        <v>0.26000000000931323</v>
      </c>
      <c r="P113" s="63"/>
      <c r="Q113" s="435"/>
      <c r="R113" s="435"/>
      <c r="S113" s="63"/>
      <c r="BA113" s="418"/>
    </row>
    <row r="114" spans="1:53">
      <c r="B114" s="3520" t="s">
        <v>1044</v>
      </c>
      <c r="C114" s="585">
        <v>2500047</v>
      </c>
      <c r="D114" s="203" t="s">
        <v>3382</v>
      </c>
      <c r="E114" s="79">
        <f>IFERROR(VLOOKUP(C114,'פקודות נוספות'!$D$274:$F$797,3,0),0)</f>
        <v>196207.05</v>
      </c>
      <c r="F114" s="747">
        <f>SUMIF('פקודות נוספות'!C:C,C:C,'פקודות נוספות'!E:E)</f>
        <v>0</v>
      </c>
      <c r="I114" s="1498"/>
      <c r="J114" s="474">
        <f t="shared" si="25"/>
        <v>196207.05</v>
      </c>
      <c r="K114" s="474">
        <f>M114+SUMIF('פקודות נוספות'!C:C,'מאזן בוחן'!C114,'פקודות נוספות'!F:F)</f>
        <v>60427.18</v>
      </c>
      <c r="L114" s="439"/>
      <c r="M114" s="474">
        <f>IFERROR(VLOOKUP(C114,'פקודות נוספות'!$D$273:$G$797,4,0),0)</f>
        <v>60427.18</v>
      </c>
      <c r="N114" s="1621">
        <f t="shared" si="26"/>
        <v>3.2469999427409983</v>
      </c>
      <c r="O114" s="3485" t="s">
        <v>4351</v>
      </c>
      <c r="P114" s="63"/>
      <c r="Q114" s="435"/>
      <c r="R114" s="435"/>
      <c r="S114" s="63"/>
      <c r="BA114" s="418"/>
    </row>
    <row r="115" spans="1:53">
      <c r="B115" s="3520" t="s">
        <v>1044</v>
      </c>
      <c r="C115" s="585">
        <v>2500045</v>
      </c>
      <c r="D115" s="203" t="s">
        <v>2116</v>
      </c>
      <c r="E115" s="474">
        <f>IFERROR(VLOOKUP(C115,'פקודות נוספות'!$D$274:$F$797,3,0),0)</f>
        <v>1173839.53</v>
      </c>
      <c r="F115" s="747">
        <f>SUMIF('פקודות נוספות'!C:C,C:C,'פקודות נוספות'!E:E)</f>
        <v>0</v>
      </c>
      <c r="I115" s="1498"/>
      <c r="J115" s="474">
        <f t="shared" si="25"/>
        <v>1173839.53</v>
      </c>
      <c r="K115" s="474">
        <f>M115+SUMIF('פקודות נוספות'!C:C,'מאזן בוחן'!C115,'פקודות נוספות'!F:F)</f>
        <v>377440.36</v>
      </c>
      <c r="L115" s="439"/>
      <c r="M115" s="474">
        <f>IFERROR(VLOOKUP(C115,'פקודות נוספות'!$D$273:$G$797,4,0),0)</f>
        <v>377440.36</v>
      </c>
      <c r="N115" s="1621">
        <f t="shared" si="26"/>
        <v>3.1100000275540221</v>
      </c>
      <c r="O115" s="3101"/>
      <c r="P115" s="63"/>
      <c r="Q115" s="435"/>
      <c r="R115" s="435"/>
      <c r="S115" s="63"/>
      <c r="BA115" s="418"/>
    </row>
    <row r="116" spans="1:53">
      <c r="B116" s="3520" t="s">
        <v>1044</v>
      </c>
      <c r="C116" s="1489">
        <v>2500054</v>
      </c>
      <c r="D116" s="203" t="s">
        <v>3153</v>
      </c>
      <c r="E116" s="474">
        <f>IFERROR(VLOOKUP(C116,'פקודות נוספות'!$D$274:$F$797,3,0),0)</f>
        <v>0</v>
      </c>
      <c r="F116" s="1723">
        <f>SUMIF('פקודות נוספות'!C:C,C:C,'פקודות נוספות'!E:E)</f>
        <v>0</v>
      </c>
      <c r="I116" s="1498"/>
      <c r="J116" s="474">
        <f t="shared" si="25"/>
        <v>0</v>
      </c>
      <c r="K116" s="474">
        <f>M116+SUMIF('פקודות נוספות'!C:C,'מאזן בוחן'!C116,'פקודות נוספות'!F:F)</f>
        <v>0</v>
      </c>
      <c r="L116" s="439"/>
      <c r="M116" s="474">
        <f>IFERROR(VLOOKUP(C116,'פקודות נוספות'!$D$273:$G$797,4,0),0)</f>
        <v>0</v>
      </c>
      <c r="N116" s="1621" t="str">
        <f t="shared" si="26"/>
        <v>-</v>
      </c>
      <c r="O116" s="3102"/>
      <c r="P116" s="63"/>
      <c r="Q116" s="435"/>
      <c r="R116" s="435"/>
      <c r="S116" s="63"/>
      <c r="BA116" s="418"/>
    </row>
    <row r="117" spans="1:53">
      <c r="B117" s="3519" t="s">
        <v>1044</v>
      </c>
      <c r="C117" s="1313">
        <v>2502020</v>
      </c>
      <c r="D117" s="486" t="s">
        <v>3154</v>
      </c>
      <c r="E117" s="2600">
        <f>IFERROR(VLOOKUP(C117,'פקודות נוספות'!$D$274:$H$808,3,0),0)</f>
        <v>-1251840</v>
      </c>
      <c r="F117" s="2860">
        <f>SUMIF('פקודות נוספות'!C:C,C:C,'פקודות נוספות'!E:E)</f>
        <v>0</v>
      </c>
      <c r="G117" s="2734"/>
      <c r="H117" s="2734"/>
      <c r="I117" s="2858"/>
      <c r="J117" s="2600">
        <f t="shared" si="25"/>
        <v>-1251840</v>
      </c>
      <c r="K117" s="2600">
        <f>M117+SUMIF('פקודות נוספות'!C:C,'מאזן בוחן'!C117,'פקודות נוספות'!F:F)</f>
        <v>-402520.9</v>
      </c>
      <c r="L117" s="750"/>
      <c r="M117" s="599">
        <f>IFERROR(VLOOKUP(C117,'פקודות נוספות'!$D$273:$G$797,4,0),0)</f>
        <v>-402520.9</v>
      </c>
      <c r="N117" s="1621">
        <f t="shared" si="26"/>
        <v>3.1100000024843428</v>
      </c>
      <c r="O117" s="3103"/>
      <c r="P117" s="63"/>
      <c r="Q117" s="435"/>
      <c r="R117" s="435"/>
      <c r="S117" s="63"/>
      <c r="BA117" s="418"/>
    </row>
    <row r="118" spans="1:53">
      <c r="B118" s="4232" t="s">
        <v>1044</v>
      </c>
      <c r="C118" s="585">
        <v>2500046</v>
      </c>
      <c r="D118" s="203" t="s">
        <v>3283</v>
      </c>
      <c r="E118" s="474">
        <f>IFERROR(VLOOKUP(C118,'פקודות נוספות'!$D$274:$F$797,3,0),0)</f>
        <v>1708397.1</v>
      </c>
      <c r="F118" s="747">
        <f>SUMIF('פקודות נוספות'!C:C,C:C,'פקודות נוספות'!E:E)</f>
        <v>0</v>
      </c>
      <c r="I118" s="1498"/>
      <c r="J118" s="474">
        <f t="shared" si="25"/>
        <v>1708397.1</v>
      </c>
      <c r="K118" s="474">
        <f>M118+SUMIF('פקודות נוספות'!C:C,'מאזן בוחן'!C118,'פקודות נוספות'!F:F)</f>
        <v>549323.82999999996</v>
      </c>
      <c r="L118" s="1580"/>
      <c r="M118" s="1318">
        <f>IFERROR(VLOOKUP(C118,'פקודות נוספות'!$D$273:$G$797,4,0),0)</f>
        <v>549323.82999999996</v>
      </c>
      <c r="N118" s="1621">
        <f t="shared" si="26"/>
        <v>3.1099999794292561</v>
      </c>
      <c r="O118" s="3103"/>
      <c r="P118" s="63"/>
      <c r="Q118" s="435"/>
      <c r="R118" s="435"/>
      <c r="S118" s="63"/>
      <c r="BA118" s="418"/>
    </row>
    <row r="119" spans="1:53">
      <c r="B119" s="3659" t="s">
        <v>1044</v>
      </c>
      <c r="C119" s="585">
        <v>2500039</v>
      </c>
      <c r="D119" s="203" t="s">
        <v>4467</v>
      </c>
      <c r="E119" s="474">
        <f>IFERROR(VLOOKUP(C119,'פקודות נוספות'!$D$274:$H$808,3,0),0)</f>
        <v>0</v>
      </c>
      <c r="F119" s="1723">
        <f>SUMIF('פקודות נוספות'!C:C,C:C,'פקודות נוספות'!E:E)</f>
        <v>0</v>
      </c>
      <c r="I119" s="1498"/>
      <c r="J119" s="474">
        <f t="shared" ref="J119" si="27">SUM(E119:I119)</f>
        <v>0</v>
      </c>
      <c r="K119" s="474">
        <f>M119+SUMIF('פקודות נוספות'!C:C,'מאזן בוחן'!C119,'פקודות נוספות'!F:F)</f>
        <v>0</v>
      </c>
      <c r="L119" s="439"/>
      <c r="M119" s="474">
        <f>IFERROR(VLOOKUP(C119,'פקודות נוספות'!$D$273:$G$797,4,0),0)</f>
        <v>0</v>
      </c>
      <c r="N119" s="1621" t="str">
        <f t="shared" ref="N119" si="28">IF(K119=0,"-",J119/K119)</f>
        <v>-</v>
      </c>
      <c r="O119" s="3103"/>
      <c r="P119" s="63"/>
      <c r="Q119" s="435"/>
      <c r="R119" s="435"/>
      <c r="S119" s="63"/>
      <c r="BA119" s="418"/>
    </row>
    <row r="120" spans="1:53">
      <c r="B120" s="3659" t="s">
        <v>1044</v>
      </c>
      <c r="C120" s="585">
        <v>2500079</v>
      </c>
      <c r="D120" s="203" t="s">
        <v>4681</v>
      </c>
      <c r="E120" s="474">
        <f>IFERROR(VLOOKUP(C120,'פקודות נוספות'!$D$274:$H$808,3,0),0)</f>
        <v>68000</v>
      </c>
      <c r="F120" s="1723">
        <f>SUMIF('פקודות נוספות'!C:C,C:C,'פקודות נוספות'!E:E)</f>
        <v>0</v>
      </c>
      <c r="I120" s="1498"/>
      <c r="J120" s="474">
        <f t="shared" ref="J120" si="29">SUM(E120:I120)</f>
        <v>68000</v>
      </c>
      <c r="K120" s="474">
        <f>M120+SUMIF('פקודות נוספות'!C:C,'מאזן בוחן'!C120,'פקודות נוספות'!F:F)</f>
        <v>21864.95</v>
      </c>
      <c r="L120" s="439"/>
      <c r="M120" s="474">
        <f>IFERROR(VLOOKUP(C120,'פקודות נוספות'!$D$273:$G$797,4,0),0)</f>
        <v>21864.95</v>
      </c>
      <c r="N120" s="1621">
        <f t="shared" ref="N120" si="30">IF(K120=0,"-",J120/K120)</f>
        <v>3.1100002515441378</v>
      </c>
      <c r="O120" s="3103"/>
      <c r="P120" s="63"/>
      <c r="Q120" s="435"/>
      <c r="R120" s="435"/>
      <c r="S120" s="63"/>
      <c r="BA120" s="418"/>
    </row>
    <row r="121" spans="1:53">
      <c r="B121" s="3659" t="s">
        <v>1044</v>
      </c>
      <c r="C121" s="585">
        <v>2500048</v>
      </c>
      <c r="D121" s="203" t="s">
        <v>3643</v>
      </c>
      <c r="E121" s="474">
        <f>IFERROR(VLOOKUP(C121,'פקודות נוספות'!$D$274:$H$808,3,0),0)</f>
        <v>920507</v>
      </c>
      <c r="F121" s="1723">
        <f>SUMIF('פקודות נוספות'!C:C,C:C,'פקודות נוספות'!E:E)</f>
        <v>0</v>
      </c>
      <c r="I121" s="1498"/>
      <c r="J121" s="474">
        <f t="shared" si="25"/>
        <v>920507</v>
      </c>
      <c r="K121" s="474">
        <f>M121+SUMIF('פקודות נוספות'!C:C,'מאזן בוחן'!C121,'פקודות נוספות'!F:F)</f>
        <v>295982.96000000002</v>
      </c>
      <c r="L121" s="439"/>
      <c r="M121" s="474">
        <f>IFERROR(VLOOKUP(C121,'פקודות נוספות'!$D$273:$G$797,4,0),0)</f>
        <v>295982.96000000002</v>
      </c>
      <c r="N121" s="1621">
        <f t="shared" si="26"/>
        <v>3.1099999810799916</v>
      </c>
      <c r="O121" s="3118" t="s">
        <v>3693</v>
      </c>
      <c r="P121" s="63"/>
      <c r="Q121" s="435"/>
      <c r="R121" s="435"/>
      <c r="S121" s="63"/>
      <c r="BA121" s="418"/>
    </row>
    <row r="122" spans="1:53">
      <c r="B122" s="3659" t="s">
        <v>1044</v>
      </c>
      <c r="C122" s="585">
        <v>2502021</v>
      </c>
      <c r="D122" s="203" t="s">
        <v>3623</v>
      </c>
      <c r="E122" s="474">
        <f>IFERROR(VLOOKUP(C122,'פקודות נוספות'!$D$274:$H$808,3,0),0)</f>
        <v>-1776397.1</v>
      </c>
      <c r="F122" s="474">
        <f>SUMIF('פקודות נוספות'!C:C,C:C,'פקודות נוספות'!E:E)</f>
        <v>0</v>
      </c>
      <c r="I122" s="1498"/>
      <c r="J122" s="474">
        <f t="shared" si="25"/>
        <v>-1776397.1</v>
      </c>
      <c r="K122" s="474">
        <f>M122+SUMIF('פקודות נוספות'!C:C,'מאזן בוחן'!C122,'פקודות נוספות'!F:F)</f>
        <v>-571188.78</v>
      </c>
      <c r="L122" s="439"/>
      <c r="M122" s="474">
        <f>IFERROR(VLOOKUP(C122,'פקודות נוספות'!$D$273:$G$797,4,0),0)</f>
        <v>-571188.78</v>
      </c>
      <c r="N122" s="1621">
        <f t="shared" si="26"/>
        <v>3.1099999898457389</v>
      </c>
      <c r="O122" s="3101" t="s">
        <v>3845</v>
      </c>
      <c r="P122" s="63"/>
      <c r="Q122" s="435"/>
      <c r="R122" s="435"/>
      <c r="S122" s="63"/>
      <c r="BA122" s="418"/>
    </row>
    <row r="123" spans="1:53">
      <c r="B123" s="3659"/>
      <c r="C123" s="1161"/>
      <c r="D123" s="2735"/>
      <c r="E123" s="1623">
        <f t="shared" ref="E123:K123" si="31">SUM(E79:E122)</f>
        <v>1970995.7000000002</v>
      </c>
      <c r="F123" s="1351">
        <f t="shared" si="31"/>
        <v>0</v>
      </c>
      <c r="G123" s="1351">
        <f t="shared" si="31"/>
        <v>0</v>
      </c>
      <c r="H123" s="1351">
        <f t="shared" si="31"/>
        <v>0</v>
      </c>
      <c r="I123" s="1351">
        <f t="shared" si="31"/>
        <v>0</v>
      </c>
      <c r="J123" s="1351">
        <f t="shared" si="31"/>
        <v>1970995.7000000002</v>
      </c>
      <c r="K123" s="1351">
        <f t="shared" si="31"/>
        <v>631003.27</v>
      </c>
      <c r="L123" s="1443"/>
      <c r="M123" s="1351">
        <f>SUM(M79:M122)</f>
        <v>631003.27</v>
      </c>
      <c r="N123" s="1570">
        <f t="shared" ref="N123:N159" si="32">IF(K123=0,"-",J123/K123)</f>
        <v>3.1235903103956977</v>
      </c>
      <c r="O123" s="3101"/>
      <c r="P123" s="63"/>
      <c r="Q123" s="435"/>
      <c r="R123" s="435"/>
      <c r="S123" s="63"/>
      <c r="BA123" s="418"/>
    </row>
    <row r="124" spans="1:53">
      <c r="B124" s="3659"/>
      <c r="C124" s="1160"/>
      <c r="D124" s="59" t="s">
        <v>228</v>
      </c>
      <c r="E124" s="79"/>
      <c r="F124" s="1503"/>
      <c r="G124" s="1503"/>
      <c r="H124" s="1503"/>
      <c r="I124" s="1503"/>
      <c r="J124" s="474"/>
      <c r="K124" s="474"/>
      <c r="L124" s="439"/>
      <c r="M124" s="474"/>
      <c r="N124" s="1570" t="str">
        <f t="shared" si="32"/>
        <v>-</v>
      </c>
      <c r="O124" s="3103"/>
      <c r="P124" s="506"/>
      <c r="Q124" s="457"/>
      <c r="R124" s="52"/>
      <c r="S124" s="52"/>
      <c r="BA124" s="418"/>
    </row>
    <row r="125" spans="1:53">
      <c r="B125" s="3659"/>
      <c r="C125" s="156"/>
      <c r="D125" s="45"/>
      <c r="E125" s="1385"/>
      <c r="F125" s="1325"/>
      <c r="G125" s="1325"/>
      <c r="H125" s="1325"/>
      <c r="I125" s="1325"/>
      <c r="J125" s="1577"/>
      <c r="K125" s="1577"/>
      <c r="L125" s="1213"/>
      <c r="M125" s="1577"/>
      <c r="N125" s="1570" t="str">
        <f t="shared" si="32"/>
        <v>-</v>
      </c>
      <c r="O125" s="3101"/>
      <c r="P125" s="52"/>
      <c r="Q125" s="454"/>
      <c r="R125" s="52"/>
      <c r="S125" s="52"/>
      <c r="T125" s="51"/>
      <c r="U125" s="51"/>
      <c r="V125" s="51"/>
      <c r="W125" s="51"/>
      <c r="X125" s="51"/>
      <c r="Y125" s="51"/>
      <c r="Z125" s="51"/>
    </row>
    <row r="126" spans="1:53">
      <c r="B126" s="3659"/>
      <c r="C126" s="1163"/>
      <c r="D126" s="60"/>
      <c r="E126" s="1351">
        <f t="shared" ref="E126:M126" si="33">SUM(E125:E125)</f>
        <v>0</v>
      </c>
      <c r="F126" s="1206">
        <f t="shared" si="33"/>
        <v>0</v>
      </c>
      <c r="G126" s="1206">
        <f t="shared" si="33"/>
        <v>0</v>
      </c>
      <c r="H126" s="1206">
        <f t="shared" si="33"/>
        <v>0</v>
      </c>
      <c r="I126" s="1206">
        <f t="shared" si="33"/>
        <v>0</v>
      </c>
      <c r="J126" s="1351">
        <f t="shared" si="33"/>
        <v>0</v>
      </c>
      <c r="K126" s="1351">
        <f t="shared" si="33"/>
        <v>0</v>
      </c>
      <c r="L126" s="1443"/>
      <c r="M126" s="1351">
        <f t="shared" si="33"/>
        <v>0</v>
      </c>
      <c r="N126" s="1570" t="str">
        <f t="shared" si="32"/>
        <v>-</v>
      </c>
      <c r="O126" s="3101"/>
      <c r="P126" s="506"/>
      <c r="Q126" s="457"/>
      <c r="R126" s="52"/>
      <c r="S126" s="52"/>
      <c r="BA126" s="418"/>
    </row>
    <row r="127" spans="1:53">
      <c r="B127" s="3659"/>
      <c r="C127" s="407"/>
      <c r="D127" s="59" t="s">
        <v>153</v>
      </c>
      <c r="E127" s="1213"/>
      <c r="F127" s="1325"/>
      <c r="G127" s="1325"/>
      <c r="H127" s="1325"/>
      <c r="I127" s="1325"/>
      <c r="J127" s="1325"/>
      <c r="K127" s="1325"/>
      <c r="L127" s="1213"/>
      <c r="M127" s="1325"/>
      <c r="N127" s="1570" t="str">
        <f t="shared" si="32"/>
        <v>-</v>
      </c>
      <c r="O127" s="3101"/>
      <c r="P127" s="63"/>
      <c r="Q127" s="435"/>
      <c r="R127" s="435"/>
      <c r="S127" s="52"/>
    </row>
    <row r="128" spans="1:53" s="1417" customFormat="1">
      <c r="A128" s="1591"/>
      <c r="B128" s="3659" t="s">
        <v>569</v>
      </c>
      <c r="C128" s="1336">
        <v>1120001</v>
      </c>
      <c r="D128" s="1745" t="s">
        <v>346</v>
      </c>
      <c r="E128" s="2020">
        <f>VLOOKUP(C128,'פקודות נוספות'!$D$274:$F$797,3,0)</f>
        <v>0.01</v>
      </c>
      <c r="F128" s="1747">
        <f>SUMIF('פקודות נוספות'!C:C,C:C,'פקודות נוספות'!E:E)</f>
        <v>0</v>
      </c>
      <c r="G128" s="1747"/>
      <c r="H128" s="1747"/>
      <c r="I128" s="1747"/>
      <c r="J128" s="2547">
        <f>SUM(E128:I128)</f>
        <v>0.01</v>
      </c>
      <c r="K128" s="1643">
        <f>M128+SUMIF('פקודות נוספות'!C:C,'מאזן בוחן'!C128,'פקודות נוספות'!F:F)</f>
        <v>0</v>
      </c>
      <c r="L128" s="1746"/>
      <c r="M128" s="1643">
        <f>VLOOKUP(C128,'פקודות נוספות'!$D$273:$G$797,4,0)</f>
        <v>0</v>
      </c>
      <c r="N128" s="1744" t="str">
        <f t="shared" si="32"/>
        <v>-</v>
      </c>
      <c r="O128" s="3104" t="s">
        <v>4764</v>
      </c>
      <c r="P128" s="1593"/>
      <c r="Q128" s="1598"/>
      <c r="R128" s="1598"/>
      <c r="T128" s="1600"/>
      <c r="U128" s="1600"/>
      <c r="V128" s="1600"/>
      <c r="W128" s="1600"/>
      <c r="X128" s="1600"/>
      <c r="Y128" s="1600"/>
      <c r="Z128" s="1600"/>
      <c r="AA128" s="1600"/>
      <c r="AB128" s="1600"/>
      <c r="AC128" s="1600"/>
      <c r="AD128" s="1600"/>
      <c r="AE128" s="1600"/>
      <c r="AF128" s="1600"/>
      <c r="AG128" s="1600"/>
      <c r="AH128" s="1600"/>
      <c r="AI128" s="1600"/>
      <c r="AJ128" s="1600"/>
      <c r="AK128" s="1600"/>
      <c r="AL128" s="1600"/>
      <c r="AM128" s="1600"/>
      <c r="AN128" s="1600"/>
      <c r="AO128" s="1600"/>
      <c r="AP128" s="1600"/>
      <c r="AQ128" s="1600"/>
      <c r="AR128" s="1600"/>
      <c r="AS128" s="1600"/>
      <c r="AT128" s="1600"/>
      <c r="AU128" s="1600"/>
      <c r="AV128" s="1600"/>
      <c r="AW128" s="1600"/>
      <c r="AX128" s="1600"/>
    </row>
    <row r="129" spans="1:50">
      <c r="A129" s="52"/>
      <c r="B129" s="3659"/>
      <c r="C129" s="1161"/>
      <c r="D129" s="1579"/>
      <c r="E129" s="1351">
        <f t="shared" ref="E129:M129" si="34">SUM(E128:E128)</f>
        <v>0.01</v>
      </c>
      <c r="F129" s="1206">
        <f t="shared" si="34"/>
        <v>0</v>
      </c>
      <c r="G129" s="1206">
        <f t="shared" si="34"/>
        <v>0</v>
      </c>
      <c r="H129" s="1206">
        <f t="shared" si="34"/>
        <v>0</v>
      </c>
      <c r="I129" s="1206">
        <f t="shared" si="34"/>
        <v>0</v>
      </c>
      <c r="J129" s="1351">
        <f t="shared" si="34"/>
        <v>0.01</v>
      </c>
      <c r="K129" s="1351">
        <f t="shared" si="34"/>
        <v>0</v>
      </c>
      <c r="L129" s="1443"/>
      <c r="M129" s="1351">
        <f t="shared" si="34"/>
        <v>0</v>
      </c>
      <c r="N129" s="1570" t="str">
        <f t="shared" si="32"/>
        <v>-</v>
      </c>
      <c r="O129" s="3101"/>
      <c r="P129" s="63"/>
      <c r="Q129" s="435"/>
      <c r="R129" s="435"/>
      <c r="S129" s="52"/>
    </row>
    <row r="130" spans="1:50">
      <c r="A130" s="52"/>
      <c r="B130" s="3659"/>
      <c r="C130" s="407"/>
      <c r="D130" s="50" t="s">
        <v>227</v>
      </c>
      <c r="E130" s="1629"/>
      <c r="F130" s="1630"/>
      <c r="G130" s="1630"/>
      <c r="H130" s="1630"/>
      <c r="I130" s="1630"/>
      <c r="J130" s="1631"/>
      <c r="K130" s="1588"/>
      <c r="L130" s="1626"/>
      <c r="M130" s="1589"/>
      <c r="N130" s="1410" t="str">
        <f t="shared" si="32"/>
        <v>-</v>
      </c>
      <c r="O130" s="3101"/>
      <c r="P130" s="50"/>
      <c r="Q130" s="50"/>
      <c r="R130" s="435"/>
      <c r="S130" s="52"/>
    </row>
    <row r="131" spans="1:50">
      <c r="A131" s="52"/>
      <c r="B131" s="3659"/>
      <c r="C131" s="156"/>
      <c r="D131" s="48"/>
      <c r="E131" s="79"/>
      <c r="F131" s="1202"/>
      <c r="G131" s="1202"/>
      <c r="H131" s="1202"/>
      <c r="I131" s="1202"/>
      <c r="J131" s="1628"/>
      <c r="K131" s="1577"/>
      <c r="L131" s="1213"/>
      <c r="M131" s="1577"/>
      <c r="N131" s="1570" t="str">
        <f t="shared" si="32"/>
        <v>-</v>
      </c>
      <c r="O131" s="3101"/>
    </row>
    <row r="132" spans="1:50">
      <c r="A132" s="52"/>
      <c r="B132" s="3659"/>
      <c r="C132" s="1160"/>
      <c r="D132" s="48"/>
      <c r="E132" s="1213"/>
      <c r="F132" s="1325"/>
      <c r="G132" s="1325"/>
      <c r="H132" s="1325"/>
      <c r="I132" s="1325"/>
      <c r="J132" s="1577"/>
      <c r="K132" s="1577"/>
      <c r="L132" s="1213"/>
      <c r="M132" s="1577"/>
      <c r="N132" s="1570" t="str">
        <f t="shared" si="32"/>
        <v>-</v>
      </c>
      <c r="O132" s="3101"/>
    </row>
    <row r="133" spans="1:50">
      <c r="A133" s="52"/>
      <c r="B133" s="3659"/>
      <c r="C133" s="1161"/>
      <c r="D133" s="57"/>
      <c r="E133" s="1351">
        <f t="shared" ref="E133:M133" si="35">SUM(E131:E132)</f>
        <v>0</v>
      </c>
      <c r="F133" s="1206">
        <f t="shared" si="35"/>
        <v>0</v>
      </c>
      <c r="G133" s="1206">
        <f t="shared" si="35"/>
        <v>0</v>
      </c>
      <c r="H133" s="1206">
        <f t="shared" si="35"/>
        <v>0</v>
      </c>
      <c r="I133" s="1206">
        <f t="shared" si="35"/>
        <v>0</v>
      </c>
      <c r="J133" s="1351">
        <f t="shared" si="35"/>
        <v>0</v>
      </c>
      <c r="K133" s="1351">
        <f t="shared" si="35"/>
        <v>0</v>
      </c>
      <c r="L133" s="1669"/>
      <c r="M133" s="1351">
        <f t="shared" si="35"/>
        <v>0</v>
      </c>
      <c r="N133" s="1570" t="str">
        <f t="shared" si="32"/>
        <v>-</v>
      </c>
      <c r="O133" s="3101"/>
    </row>
    <row r="134" spans="1:50" ht="13.5" thickBot="1">
      <c r="A134" s="52"/>
      <c r="B134" s="3668"/>
      <c r="C134" s="407"/>
      <c r="D134" s="59" t="s">
        <v>280</v>
      </c>
      <c r="E134" s="78"/>
      <c r="F134" s="1325"/>
      <c r="J134" s="474"/>
      <c r="L134" s="439"/>
      <c r="M134" s="474"/>
      <c r="N134" s="1570" t="str">
        <f t="shared" si="32"/>
        <v>-</v>
      </c>
      <c r="O134" s="3105"/>
      <c r="P134" s="50"/>
      <c r="Q134" s="50"/>
      <c r="R134" s="435"/>
      <c r="S134" s="52"/>
    </row>
    <row r="135" spans="1:50" ht="13.5" thickBot="1">
      <c r="A135" s="52"/>
      <c r="B135" s="3659" t="s">
        <v>568</v>
      </c>
      <c r="C135" s="705">
        <v>1100001</v>
      </c>
      <c r="D135" s="601" t="s">
        <v>25</v>
      </c>
      <c r="E135" s="79">
        <f>IFERROR(VLOOKUP(C135,'פקודות נוספות'!$D$274:$F$797,3,0),0)</f>
        <v>1746205.1</v>
      </c>
      <c r="F135" s="474">
        <f>SUMIF('פקודות נוספות'!C:C,C:C,'פקודות נוספות'!E:E)</f>
        <v>0</v>
      </c>
      <c r="J135" s="474">
        <f>SUM(E135:I135)</f>
        <v>1746205.1</v>
      </c>
      <c r="K135" s="474">
        <f>M135+SUMIF('פקודות נוספות'!C:C,'מאזן בוחן'!C135,'פקודות נוספות'!F:F)</f>
        <v>538632.67000000004</v>
      </c>
      <c r="L135" s="2241">
        <f>-'Prepaid expenses'!$C$137+J135</f>
        <v>-6.28642737865448E-9</v>
      </c>
      <c r="M135" s="474">
        <f>IFERROR(VLOOKUP(C135,'פקודות נוספות'!$D$273:$G$797,4,0),0)</f>
        <v>538632.67000000004</v>
      </c>
      <c r="N135" s="1621">
        <f t="shared" si="32"/>
        <v>3.2419219948169871</v>
      </c>
      <c r="O135" s="3106" t="s">
        <v>2621</v>
      </c>
    </row>
    <row r="136" spans="1:50" ht="13.5" thickBot="1">
      <c r="A136" s="52"/>
      <c r="B136" s="3659" t="s">
        <v>568</v>
      </c>
      <c r="C136" s="705">
        <v>1100005</v>
      </c>
      <c r="D136" s="601" t="s">
        <v>1495</v>
      </c>
      <c r="E136" s="79">
        <f>IFERROR(VLOOKUP(C136,'פקודות נוספות'!$D$274:$F$797,3,0),0)</f>
        <v>89214.94</v>
      </c>
      <c r="F136" s="474">
        <f>SUMIF('פקודות נוספות'!C:C,C:C,'פקודות נוספות'!E:E)</f>
        <v>0</v>
      </c>
      <c r="J136" s="474">
        <f>SUM(E136:I136)</f>
        <v>89214.94</v>
      </c>
      <c r="K136" s="474">
        <f>M136+SUMIF('פקודות נוספות'!C:C,'מאזן בוחן'!C136,'פקודות נוספות'!F:F)</f>
        <v>3125.36</v>
      </c>
      <c r="L136" s="2241">
        <f>SUM([12]Total!$AA$4)-K136</f>
        <v>124.63999999999987</v>
      </c>
      <c r="M136" s="474">
        <f>IFERROR(VLOOKUP(C136,'פקודות נוספות'!$D$273:$G$797,4,0),0)</f>
        <v>3125.36</v>
      </c>
      <c r="N136" s="1621">
        <f>IF(K136=0,"-",J136/K136)</f>
        <v>28.54549235928021</v>
      </c>
      <c r="O136" s="3107"/>
    </row>
    <row r="137" spans="1:50" ht="13.5" thickBot="1">
      <c r="A137" s="52"/>
      <c r="B137" s="3659" t="s">
        <v>568</v>
      </c>
      <c r="C137" s="705">
        <v>1100002</v>
      </c>
      <c r="D137" s="601" t="s">
        <v>994</v>
      </c>
      <c r="E137" s="79">
        <f>IFERROR(VLOOKUP(C137,'פקודות נוספות'!$D$274:$F$797,3,0),0)</f>
        <v>0</v>
      </c>
      <c r="F137" s="474">
        <f>SUMIF('פקודות נוספות'!C:C,C:C,'פקודות נוספות'!E:E)</f>
        <v>0</v>
      </c>
      <c r="J137" s="2789">
        <f>SUM(E137:I137)</f>
        <v>0</v>
      </c>
      <c r="K137" s="2789">
        <f>M137+SUMIF('פקודות נוספות'!C:C,'מאזן בוחן'!C137,'פקודות נוספות'!F:F)</f>
        <v>0</v>
      </c>
      <c r="L137" s="439"/>
      <c r="M137" s="474">
        <f>IFERROR(VLOOKUP(C137,'פקודות נוספות'!$D$273:$G$797,4,0),0)</f>
        <v>0</v>
      </c>
      <c r="N137" s="1621" t="str">
        <f>IF(K137=0,"-",J137/K137)</f>
        <v>-</v>
      </c>
      <c r="O137" s="3108"/>
    </row>
    <row r="138" spans="1:50" ht="13.5" thickBot="1">
      <c r="A138" s="52"/>
      <c r="B138" s="3659" t="s">
        <v>568</v>
      </c>
      <c r="C138" s="705">
        <v>1100099</v>
      </c>
      <c r="D138" s="1110" t="s">
        <v>1807</v>
      </c>
      <c r="E138" s="79">
        <f>IFERROR(VLOOKUP(C138,'פקודות נוספות'!$D$274:$F$797,3,0),0)</f>
        <v>823299.57</v>
      </c>
      <c r="F138" s="474">
        <f>SUMIF('פקודות נוספות'!C:C,C:C,'פקודות נוספות'!E:E)</f>
        <v>0</v>
      </c>
      <c r="J138" s="474">
        <f>SUM(E138:I138)</f>
        <v>823299.57</v>
      </c>
      <c r="K138" s="474">
        <f>M138+SUMIF('פקודות נוספות'!C:C,'מאזן בוחן'!C138,'פקודות נוספות'!F:F)</f>
        <v>263650.31</v>
      </c>
      <c r="L138" s="2241">
        <f>SUM('606-Prepaid Comm&amp;DR SUB'!$B$57)-'מאזן בוחן'!K138</f>
        <v>1.1329045722959563</v>
      </c>
      <c r="M138" s="474">
        <f>IFERROR(VLOOKUP(C138,'פקודות נוספות'!$D$273:$G$797,4,0),0)</f>
        <v>263650.31</v>
      </c>
      <c r="N138" s="1621">
        <f>IF(K138=0,"-",J138/K138)</f>
        <v>3.1226952473524494</v>
      </c>
      <c r="O138" s="3102"/>
    </row>
    <row r="139" spans="1:50" ht="13.5" thickBot="1">
      <c r="A139" s="52"/>
      <c r="B139" s="3668"/>
      <c r="E139" s="439"/>
      <c r="L139" s="49"/>
      <c r="O139" s="3109"/>
    </row>
    <row r="140" spans="1:50">
      <c r="A140" s="52"/>
      <c r="B140" s="3659"/>
      <c r="C140" s="705"/>
      <c r="D140" s="1504"/>
      <c r="E140" s="79"/>
      <c r="F140" s="1624"/>
      <c r="G140" s="1325"/>
      <c r="H140" s="1325"/>
      <c r="I140" s="1325"/>
      <c r="J140" s="1577"/>
      <c r="K140" s="1577"/>
      <c r="L140" s="1213"/>
      <c r="M140" s="474"/>
      <c r="N140" s="2791"/>
      <c r="O140" s="3114"/>
    </row>
    <row r="141" spans="1:50">
      <c r="A141" s="52"/>
      <c r="B141" s="3659"/>
      <c r="C141" s="1161"/>
      <c r="D141" s="57"/>
      <c r="E141" s="3364">
        <f t="shared" ref="E141:K141" si="36">SUM(E135:E140)</f>
        <v>2658719.61</v>
      </c>
      <c r="F141" s="2261">
        <f t="shared" si="36"/>
        <v>0</v>
      </c>
      <c r="G141" s="1206">
        <f t="shared" si="36"/>
        <v>0</v>
      </c>
      <c r="H141" s="1206">
        <f t="shared" si="36"/>
        <v>0</v>
      </c>
      <c r="I141" s="1206">
        <f t="shared" si="36"/>
        <v>0</v>
      </c>
      <c r="J141" s="1351">
        <f t="shared" si="36"/>
        <v>2658719.61</v>
      </c>
      <c r="K141" s="1351">
        <f t="shared" si="36"/>
        <v>805408.34000000008</v>
      </c>
      <c r="L141" s="79"/>
      <c r="M141" s="1623">
        <f>SUM(M135:M140)</f>
        <v>805408.34000000008</v>
      </c>
      <c r="N141" s="1570">
        <f t="shared" si="32"/>
        <v>3.3010827898802235</v>
      </c>
      <c r="O141" s="3115"/>
    </row>
    <row r="142" spans="1:50">
      <c r="A142" s="52"/>
      <c r="B142" s="3664"/>
      <c r="C142" s="154"/>
      <c r="D142" s="50" t="s">
        <v>1015</v>
      </c>
      <c r="E142" s="463"/>
      <c r="F142" s="2260"/>
      <c r="G142" s="1503"/>
      <c r="H142" s="1503"/>
      <c r="I142" s="1503"/>
      <c r="J142" s="1503"/>
      <c r="K142" s="1503"/>
      <c r="L142" s="439"/>
      <c r="M142" s="1503"/>
      <c r="N142" s="1570"/>
      <c r="O142" s="3115"/>
      <c r="P142" s="141"/>
      <c r="Q142" s="141"/>
      <c r="R142" s="141"/>
      <c r="S142" s="141"/>
      <c r="T142" s="141"/>
      <c r="U142" s="141"/>
      <c r="V142" s="141"/>
      <c r="W142" s="141"/>
      <c r="X142" s="141"/>
      <c r="Y142" s="141"/>
      <c r="Z142" s="141"/>
      <c r="AA142" s="141"/>
      <c r="AB142" s="141"/>
      <c r="AC142" s="141"/>
      <c r="AD142" s="141"/>
      <c r="AE142" s="141"/>
      <c r="AF142" s="141"/>
      <c r="AG142" s="141"/>
      <c r="AH142" s="141"/>
      <c r="AI142" s="141"/>
      <c r="AJ142" s="141"/>
      <c r="AK142" s="141"/>
      <c r="AL142" s="141"/>
      <c r="AM142" s="141"/>
      <c r="AN142" s="141"/>
      <c r="AO142" s="141"/>
      <c r="AP142" s="141"/>
      <c r="AQ142" s="141"/>
      <c r="AR142" s="141"/>
      <c r="AS142" s="141"/>
      <c r="AT142" s="141"/>
      <c r="AU142" s="141"/>
      <c r="AV142" s="141"/>
      <c r="AW142" s="141"/>
      <c r="AX142" s="141"/>
    </row>
    <row r="143" spans="1:50">
      <c r="A143" s="52"/>
      <c r="B143" s="3659"/>
      <c r="C143" s="156"/>
      <c r="D143" s="45"/>
      <c r="E143" s="79"/>
      <c r="F143" s="1495"/>
      <c r="G143" s="1503"/>
      <c r="H143" s="1503"/>
      <c r="I143" s="1503"/>
      <c r="J143" s="474"/>
      <c r="K143" s="474"/>
      <c r="L143" s="439"/>
      <c r="M143" s="474"/>
      <c r="N143" s="1570"/>
      <c r="O143" s="3112"/>
      <c r="P143" s="141"/>
      <c r="Q143" s="141"/>
      <c r="R143" s="141"/>
      <c r="S143" s="141"/>
      <c r="T143" s="141"/>
      <c r="U143" s="141"/>
      <c r="V143" s="141"/>
      <c r="W143" s="141"/>
      <c r="X143" s="141"/>
      <c r="Y143" s="141"/>
      <c r="Z143" s="141"/>
      <c r="AA143" s="141"/>
      <c r="AB143" s="141"/>
      <c r="AC143" s="141"/>
      <c r="AD143" s="141"/>
      <c r="AE143" s="141"/>
      <c r="AF143" s="141"/>
      <c r="AG143" s="141"/>
      <c r="AH143" s="141"/>
      <c r="AI143" s="141"/>
      <c r="AJ143" s="141"/>
      <c r="AK143" s="141"/>
      <c r="AL143" s="141"/>
      <c r="AM143" s="141"/>
      <c r="AN143" s="141"/>
      <c r="AO143" s="141"/>
      <c r="AP143" s="141"/>
      <c r="AQ143" s="141"/>
      <c r="AR143" s="141"/>
      <c r="AS143" s="141"/>
      <c r="AT143" s="141"/>
      <c r="AU143" s="141"/>
      <c r="AV143" s="141"/>
      <c r="AW143" s="141"/>
      <c r="AX143" s="141"/>
    </row>
    <row r="144" spans="1:50" ht="13.5" thickBot="1">
      <c r="A144" s="52"/>
      <c r="B144" s="3659" t="s">
        <v>1013</v>
      </c>
      <c r="C144" s="585">
        <v>1510003</v>
      </c>
      <c r="D144" s="45" t="s">
        <v>344</v>
      </c>
      <c r="E144" s="1152">
        <f>VLOOKUP(C144,'פקודות נוספות'!$D$274:$F$797,3,0)</f>
        <v>5000</v>
      </c>
      <c r="F144" s="1385">
        <f>SUMIF('פקודות נוספות'!C:C,C:C,'פקודות נוספות'!E:E)</f>
        <v>0</v>
      </c>
      <c r="G144" s="1503"/>
      <c r="H144" s="1503"/>
      <c r="I144" s="1503"/>
      <c r="J144" s="474">
        <f>SUM(E144:I144)</f>
        <v>5000</v>
      </c>
      <c r="K144" s="474">
        <f>M144+SUMIF('פקודות נוספות'!C:C,'מאזן בוחן'!C144,'פקודות נוספות'!F:F)</f>
        <v>1440.51</v>
      </c>
      <c r="L144" s="439"/>
      <c r="M144" s="474">
        <f>IFERROR(VLOOKUP(C144,'פקודות נוספות'!$D$273:$G$797,4,0),0)</f>
        <v>1440.51</v>
      </c>
      <c r="N144" s="1104">
        <f t="shared" si="32"/>
        <v>3.4709929122324734</v>
      </c>
      <c r="O144" s="3116"/>
      <c r="P144" s="141"/>
      <c r="Q144" s="141"/>
      <c r="R144" s="141"/>
      <c r="S144" s="141"/>
      <c r="T144" s="141"/>
      <c r="U144" s="141"/>
      <c r="V144" s="141"/>
      <c r="W144" s="141"/>
      <c r="X144" s="141"/>
      <c r="Y144" s="141"/>
      <c r="Z144" s="141"/>
      <c r="AA144" s="141"/>
      <c r="AB144" s="141"/>
      <c r="AC144" s="141"/>
      <c r="AD144" s="141"/>
      <c r="AE144" s="141"/>
      <c r="AF144" s="141"/>
      <c r="AG144" s="141"/>
      <c r="AH144" s="141"/>
      <c r="AI144" s="141"/>
      <c r="AJ144" s="141"/>
      <c r="AK144" s="141"/>
      <c r="AL144" s="141"/>
      <c r="AM144" s="141"/>
      <c r="AN144" s="141"/>
      <c r="AO144" s="141"/>
      <c r="AP144" s="141"/>
      <c r="AQ144" s="141"/>
      <c r="AR144" s="141"/>
      <c r="AS144" s="141"/>
      <c r="AT144" s="141"/>
      <c r="AU144" s="141"/>
      <c r="AV144" s="141"/>
      <c r="AW144" s="141"/>
      <c r="AX144" s="141"/>
    </row>
    <row r="145" spans="1:50">
      <c r="A145" s="1505"/>
      <c r="B145" s="3659" t="s">
        <v>1013</v>
      </c>
      <c r="C145" s="585">
        <v>1510004</v>
      </c>
      <c r="D145" s="45" t="s">
        <v>313</v>
      </c>
      <c r="E145" s="448">
        <f>VLOOKUP(C145,'פקודות נוספות'!$D$274:$F$797,3,0)</f>
        <v>234413</v>
      </c>
      <c r="F145" s="1326">
        <f>SUMIF('פקודות נוספות'!C:C,C:C,'פקודות נוספות'!E:E)</f>
        <v>0</v>
      </c>
      <c r="G145" s="1503"/>
      <c r="H145" s="1503"/>
      <c r="I145" s="1503"/>
      <c r="J145" s="474">
        <f>SUM(E145:I145)</f>
        <v>234413</v>
      </c>
      <c r="K145" s="474">
        <f>M145+SUMIF('פקודות נוספות'!C:C,'מאזן בוחן'!C145,'פקודות נוספות'!F:F)</f>
        <v>75373.95</v>
      </c>
      <c r="L145" s="439"/>
      <c r="M145" s="474">
        <f>IFERROR(VLOOKUP(C145,'פקודות נוספות'!$D$273:$G$797,4,0),0)</f>
        <v>75373.95</v>
      </c>
      <c r="N145" s="1104">
        <f t="shared" si="32"/>
        <v>3.1100002056413389</v>
      </c>
      <c r="O145" s="4316" t="s">
        <v>2522</v>
      </c>
      <c r="P145" s="141"/>
      <c r="Q145" s="141"/>
      <c r="R145" s="141"/>
      <c r="S145" s="141"/>
      <c r="T145" s="141"/>
      <c r="U145" s="141"/>
      <c r="V145" s="141"/>
      <c r="W145" s="141"/>
      <c r="X145" s="141"/>
      <c r="Y145" s="141"/>
      <c r="Z145" s="141"/>
      <c r="AA145" s="141"/>
      <c r="AB145" s="141"/>
      <c r="AC145" s="141"/>
      <c r="AD145" s="141"/>
      <c r="AE145" s="141"/>
      <c r="AF145" s="141"/>
      <c r="AG145" s="141"/>
      <c r="AH145" s="141"/>
      <c r="AI145" s="141"/>
      <c r="AJ145" s="141"/>
      <c r="AK145" s="141"/>
      <c r="AL145" s="141"/>
      <c r="AM145" s="141"/>
      <c r="AN145" s="141"/>
      <c r="AO145" s="141"/>
      <c r="AP145" s="141"/>
      <c r="AQ145" s="141"/>
      <c r="AR145" s="141"/>
      <c r="AS145" s="141"/>
      <c r="AT145" s="141"/>
      <c r="AU145" s="141"/>
      <c r="AV145" s="141"/>
      <c r="AW145" s="141"/>
      <c r="AX145" s="141"/>
    </row>
    <row r="146" spans="1:50" ht="13.5" thickBot="1">
      <c r="A146" s="1505"/>
      <c r="B146" s="3659" t="s">
        <v>1013</v>
      </c>
      <c r="C146" s="585">
        <v>1510005</v>
      </c>
      <c r="D146" s="45" t="s">
        <v>314</v>
      </c>
      <c r="E146" s="171">
        <f>VLOOKUP(C146,'פקודות נוספות'!$D$274:$F$797,3,0)</f>
        <v>-234413</v>
      </c>
      <c r="F146" s="1326">
        <f>SUMIF('פקודות נוספות'!C:C,C:C,'פקודות נוספות'!E:E)</f>
        <v>0</v>
      </c>
      <c r="G146" s="1503"/>
      <c r="H146" s="1503"/>
      <c r="I146" s="1503"/>
      <c r="J146" s="474">
        <f t="shared" ref="J146:J151" si="37">SUM(E146:I146)</f>
        <v>-234413</v>
      </c>
      <c r="K146" s="474">
        <f>M146+SUMIF('פקודות נוספות'!C:C,'מאזן בוחן'!C146,'פקודות נוספות'!F:F)</f>
        <v>-75373.95</v>
      </c>
      <c r="L146" s="439"/>
      <c r="M146" s="474">
        <f>IFERROR(VLOOKUP(C146,'פקודות נוספות'!$D$273:$G$797,4,0),0)</f>
        <v>-75373.95</v>
      </c>
      <c r="N146" s="1104">
        <f>IF(K146=0,"-",J146/K146)</f>
        <v>3.1100002056413389</v>
      </c>
      <c r="O146" s="4317"/>
      <c r="P146" s="141"/>
      <c r="Q146" s="141"/>
      <c r="R146" s="141"/>
      <c r="S146" s="141"/>
      <c r="T146" s="141"/>
      <c r="U146" s="141"/>
      <c r="V146" s="141"/>
      <c r="W146" s="141"/>
      <c r="X146" s="141"/>
      <c r="Y146" s="141"/>
      <c r="Z146" s="141"/>
      <c r="AA146" s="141"/>
      <c r="AB146" s="141"/>
      <c r="AC146" s="141"/>
      <c r="AD146" s="141"/>
      <c r="AE146" s="141"/>
      <c r="AF146" s="141"/>
      <c r="AG146" s="141"/>
      <c r="AH146" s="141"/>
      <c r="AI146" s="141"/>
      <c r="AJ146" s="141"/>
      <c r="AK146" s="141"/>
      <c r="AL146" s="141"/>
      <c r="AM146" s="141"/>
      <c r="AN146" s="141"/>
      <c r="AO146" s="141"/>
      <c r="AP146" s="141"/>
      <c r="AQ146" s="141"/>
      <c r="AR146" s="141"/>
      <c r="AS146" s="141"/>
      <c r="AT146" s="141"/>
      <c r="AU146" s="141"/>
      <c r="AV146" s="141"/>
      <c r="AW146" s="141"/>
      <c r="AX146" s="141"/>
    </row>
    <row r="147" spans="1:50" ht="13.5" thickBot="1">
      <c r="A147" s="52"/>
      <c r="B147" s="3659" t="s">
        <v>1013</v>
      </c>
      <c r="C147" s="585">
        <v>1510001</v>
      </c>
      <c r="D147" s="203" t="s">
        <v>1014</v>
      </c>
      <c r="E147" s="474">
        <f>IFERROR(VLOOKUP(C147,'פקודות נוספות'!$D$274:$F$797,3,0),0)</f>
        <v>538695.43999999994</v>
      </c>
      <c r="F147" s="171">
        <f>SUMIF('פקודות נוספות'!C:C,C:C,'פקודות נוספות'!E:E)</f>
        <v>0</v>
      </c>
      <c r="J147" s="474">
        <f t="shared" si="37"/>
        <v>538695.43999999994</v>
      </c>
      <c r="K147" s="474">
        <f>M147+SUMIF('פקודות נוספות'!C:C,'מאזן בוחן'!C147,'פקודות נוספות'!F:F)</f>
        <v>173213.96784565918</v>
      </c>
      <c r="L147" s="439"/>
      <c r="M147" s="474">
        <f>IFERROR(VLOOKUP(C147,'פקודות נוספות'!$D$273:$G$797,4,0),0)</f>
        <v>173213.97</v>
      </c>
      <c r="N147" s="1570">
        <f>IF(K147=0,"-",J147/K147)</f>
        <v>3.1099999999999994</v>
      </c>
      <c r="O147" s="2792" t="s">
        <v>3381</v>
      </c>
      <c r="P147" s="141"/>
      <c r="Q147" s="141"/>
      <c r="R147" s="141"/>
      <c r="S147" s="141"/>
      <c r="T147" s="141"/>
      <c r="U147" s="141"/>
      <c r="V147" s="141"/>
      <c r="W147" s="141"/>
      <c r="X147" s="141"/>
      <c r="Y147" s="141"/>
      <c r="Z147" s="141"/>
      <c r="AA147" s="141"/>
      <c r="AB147" s="141"/>
      <c r="AC147" s="141"/>
      <c r="AD147" s="141"/>
      <c r="AE147" s="141"/>
      <c r="AF147" s="141"/>
      <c r="AG147" s="141"/>
      <c r="AH147" s="141"/>
      <c r="AI147" s="141"/>
      <c r="AJ147" s="141"/>
      <c r="AK147" s="141"/>
      <c r="AL147" s="141"/>
      <c r="AM147" s="141"/>
      <c r="AN147" s="141"/>
      <c r="AO147" s="141"/>
      <c r="AP147" s="141"/>
      <c r="AQ147" s="141"/>
      <c r="AR147" s="141"/>
      <c r="AS147" s="141"/>
      <c r="AT147" s="141"/>
      <c r="AU147" s="141"/>
      <c r="AV147" s="141"/>
      <c r="AW147" s="141"/>
      <c r="AX147" s="141"/>
    </row>
    <row r="148" spans="1:50" ht="13.5" thickBot="1">
      <c r="A148" s="52"/>
      <c r="B148" s="3659" t="s">
        <v>1049</v>
      </c>
      <c r="C148" s="585">
        <v>2600002</v>
      </c>
      <c r="D148" s="203" t="s">
        <v>1444</v>
      </c>
      <c r="E148" s="474">
        <f>IFERROR(VLOOKUP(C148,'פקודות נוספות'!$D$274:$F$797,3,0),0)</f>
        <v>786662</v>
      </c>
      <c r="F148" s="171">
        <f>SUMIF('פקודות נוספות'!C:C,C:C,'פקודות נוספות'!E:E)</f>
        <v>0</v>
      </c>
      <c r="J148" s="474">
        <f t="shared" si="37"/>
        <v>786662</v>
      </c>
      <c r="K148" s="474">
        <f>M148+SUMIF('פקודות נוספות'!C:C,'מאזן בוחן'!C148,'פקודות נוספות'!F:F)</f>
        <v>252945.98</v>
      </c>
      <c r="L148" s="956">
        <f>SUM('[13]פיצויים 2021'!$F$122)-J148</f>
        <v>0</v>
      </c>
      <c r="M148" s="474">
        <f>IFERROR(VLOOKUP(C148,'פקודות נוספות'!$D$273:$G$797,4,0),0)</f>
        <v>252945.98</v>
      </c>
      <c r="N148" s="1104">
        <f>IF(K148=0,"-",J148/K148)</f>
        <v>3.1100000086975093</v>
      </c>
      <c r="O148" s="3110" t="s">
        <v>1532</v>
      </c>
      <c r="P148" s="141"/>
      <c r="Q148" s="141"/>
      <c r="R148" s="141"/>
      <c r="S148" s="141"/>
      <c r="T148" s="141"/>
      <c r="U148" s="141"/>
      <c r="V148" s="141"/>
      <c r="W148" s="141"/>
      <c r="X148" s="141"/>
      <c r="Y148" s="141"/>
      <c r="Z148" s="141"/>
      <c r="AA148" s="141"/>
      <c r="AB148" s="141"/>
      <c r="AC148" s="141"/>
      <c r="AD148" s="141"/>
      <c r="AE148" s="141"/>
      <c r="AF148" s="141"/>
      <c r="AG148" s="141"/>
      <c r="AH148" s="141"/>
      <c r="AI148" s="141"/>
      <c r="AJ148" s="141"/>
      <c r="AK148" s="141"/>
      <c r="AL148" s="141"/>
      <c r="AM148" s="141"/>
      <c r="AN148" s="141"/>
      <c r="AO148" s="141"/>
      <c r="AP148" s="141"/>
      <c r="AQ148" s="141"/>
      <c r="AR148" s="141"/>
      <c r="AS148" s="141"/>
      <c r="AT148" s="141"/>
      <c r="AU148" s="141"/>
      <c r="AV148" s="141"/>
      <c r="AW148" s="141"/>
      <c r="AX148" s="141"/>
    </row>
    <row r="149" spans="1:50" ht="13.5" thickBot="1">
      <c r="A149" s="52"/>
      <c r="B149" s="3659" t="s">
        <v>568</v>
      </c>
      <c r="C149" s="585">
        <v>2600003</v>
      </c>
      <c r="D149" s="203" t="s">
        <v>2179</v>
      </c>
      <c r="E149" s="474">
        <f>IFERROR(VLOOKUP(C149,'פקודות נוספות'!$D$274:$F$797,3,0),0)</f>
        <v>25997.919999999998</v>
      </c>
      <c r="F149" s="474">
        <f>SUMIF('פקודות נוספות'!C:C,C:C,'פקודות נוספות'!E:E)</f>
        <v>0</v>
      </c>
      <c r="J149" s="474">
        <f t="shared" si="37"/>
        <v>25997.919999999998</v>
      </c>
      <c r="K149" s="474">
        <f>M149+SUMIF('פקודות נוספות'!C:C,'מאזן בוחן'!C149,'פקודות נוספות'!F:F)</f>
        <v>7435.79</v>
      </c>
      <c r="L149" s="956">
        <f>-'Prepaid expenses'!C138+J149</f>
        <v>0</v>
      </c>
      <c r="M149" s="474">
        <f>IFERROR(VLOOKUP(C149,'פקודות נוספות'!$D$273:$G$797,4,0),0)</f>
        <v>7435.79</v>
      </c>
      <c r="N149" s="1104">
        <f>IF(K149=0,"-",J149/K149)</f>
        <v>3.4963225158322113</v>
      </c>
      <c r="O149" s="3111"/>
      <c r="P149" s="141"/>
      <c r="Q149" s="141"/>
      <c r="R149" s="141"/>
      <c r="S149" s="141"/>
      <c r="T149" s="141"/>
      <c r="U149" s="141"/>
      <c r="V149" s="141"/>
      <c r="W149" s="141"/>
      <c r="X149" s="141"/>
      <c r="Y149" s="141"/>
      <c r="Z149" s="141"/>
      <c r="AA149" s="141"/>
      <c r="AB149" s="141"/>
      <c r="AC149" s="141"/>
      <c r="AD149" s="141"/>
      <c r="AE149" s="141"/>
      <c r="AF149" s="141"/>
      <c r="AG149" s="141"/>
      <c r="AH149" s="141"/>
      <c r="AI149" s="141"/>
      <c r="AJ149" s="141"/>
      <c r="AK149" s="141"/>
      <c r="AL149" s="141"/>
      <c r="AM149" s="141"/>
      <c r="AN149" s="141"/>
      <c r="AO149" s="141"/>
      <c r="AP149" s="141"/>
      <c r="AQ149" s="141"/>
      <c r="AR149" s="141"/>
      <c r="AS149" s="141"/>
      <c r="AT149" s="141"/>
      <c r="AU149" s="141"/>
      <c r="AV149" s="141"/>
      <c r="AW149" s="141"/>
      <c r="AX149" s="141"/>
    </row>
    <row r="150" spans="1:50" ht="13.5" thickBot="1">
      <c r="A150" s="52"/>
      <c r="B150" s="3659"/>
      <c r="C150" s="1489"/>
      <c r="D150" s="203"/>
      <c r="E150" s="474"/>
      <c r="F150" s="1325"/>
      <c r="J150" s="474"/>
      <c r="K150" s="474"/>
      <c r="L150" s="439"/>
      <c r="M150" s="474"/>
      <c r="O150" s="3111"/>
      <c r="P150" s="141"/>
      <c r="Q150" s="141"/>
      <c r="R150" s="141"/>
      <c r="S150" s="141"/>
      <c r="T150" s="141"/>
      <c r="U150" s="141"/>
      <c r="V150" s="141"/>
      <c r="W150" s="141"/>
      <c r="X150" s="141"/>
      <c r="Y150" s="141"/>
      <c r="Z150" s="141"/>
      <c r="AA150" s="141"/>
      <c r="AB150" s="141"/>
      <c r="AC150" s="141"/>
      <c r="AD150" s="141"/>
      <c r="AE150" s="141"/>
      <c r="AF150" s="141"/>
      <c r="AG150" s="141"/>
      <c r="AH150" s="141"/>
      <c r="AI150" s="141"/>
      <c r="AJ150" s="141"/>
      <c r="AK150" s="141"/>
      <c r="AL150" s="141"/>
      <c r="AM150" s="141"/>
      <c r="AN150" s="141"/>
      <c r="AO150" s="141"/>
      <c r="AP150" s="141"/>
      <c r="AQ150" s="141"/>
      <c r="AR150" s="141"/>
      <c r="AS150" s="141"/>
      <c r="AT150" s="141"/>
      <c r="AU150" s="141"/>
      <c r="AV150" s="141"/>
      <c r="AW150" s="141"/>
      <c r="AX150" s="141"/>
    </row>
    <row r="151" spans="1:50" ht="13.5" thickBot="1">
      <c r="A151" s="52"/>
      <c r="B151" s="3659" t="s">
        <v>1016</v>
      </c>
      <c r="C151" s="585">
        <v>1610002</v>
      </c>
      <c r="D151" s="203" t="s">
        <v>1017</v>
      </c>
      <c r="E151" s="474">
        <f>IFERROR(VLOOKUP(C151,'פקודות נוספות'!$D$274:$F$797,3,0),0)</f>
        <v>0</v>
      </c>
      <c r="F151" s="1326">
        <f>SUMIF('פקודות נוספות'!C:C,C:C,'פקודות נוספות'!E:E)</f>
        <v>0</v>
      </c>
      <c r="G151" s="1503"/>
      <c r="H151" s="1503"/>
      <c r="I151" s="1503"/>
      <c r="J151" s="474">
        <f t="shared" si="37"/>
        <v>0</v>
      </c>
      <c r="K151" s="474">
        <f>M151+SUMIF('פקודות נוספות'!C:C,'מאזן בוחן'!C151,'פקודות נוספות'!F:F)</f>
        <v>0</v>
      </c>
      <c r="L151" s="956">
        <f>K151-SUM(0)</f>
        <v>0</v>
      </c>
      <c r="M151" s="474">
        <f>IFERROR(VLOOKUP(C151,'פקודות נוספות'!$D$273:$G$797,4,0),0)</f>
        <v>0</v>
      </c>
      <c r="N151" s="1104" t="str">
        <f>IF(K151=0,"-",J151/K151)</f>
        <v>-</v>
      </c>
      <c r="O151" s="3111" t="s">
        <v>4094</v>
      </c>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c r="AR151" s="141"/>
      <c r="AS151" s="141"/>
      <c r="AT151" s="141"/>
      <c r="AU151" s="141"/>
      <c r="AV151" s="141"/>
      <c r="AW151" s="141"/>
      <c r="AX151" s="141"/>
    </row>
    <row r="152" spans="1:50">
      <c r="A152" s="52"/>
      <c r="B152" s="3664"/>
      <c r="C152" s="156"/>
      <c r="D152" s="45"/>
      <c r="E152" s="79"/>
      <c r="F152" s="1495"/>
      <c r="G152" s="1503"/>
      <c r="H152" s="1503"/>
      <c r="I152" s="1503"/>
      <c r="J152" s="474"/>
      <c r="K152" s="474"/>
      <c r="L152" s="439"/>
      <c r="M152" s="474"/>
      <c r="O152" s="3112"/>
      <c r="P152" s="141"/>
      <c r="Q152" s="141"/>
      <c r="R152" s="141"/>
      <c r="S152" s="141"/>
      <c r="T152" s="141"/>
      <c r="U152" s="141"/>
      <c r="V152" s="141"/>
      <c r="W152" s="141"/>
      <c r="X152" s="141"/>
      <c r="Y152" s="141"/>
      <c r="Z152" s="141"/>
      <c r="AA152" s="141"/>
      <c r="AB152" s="141"/>
      <c r="AC152" s="141"/>
      <c r="AD152" s="141"/>
      <c r="AE152" s="141"/>
      <c r="AF152" s="141"/>
      <c r="AG152" s="141"/>
      <c r="AH152" s="141"/>
      <c r="AI152" s="141"/>
      <c r="AJ152" s="141"/>
      <c r="AK152" s="141"/>
      <c r="AL152" s="141"/>
      <c r="AM152" s="141"/>
      <c r="AN152" s="141"/>
      <c r="AO152" s="141"/>
      <c r="AP152" s="141"/>
      <c r="AQ152" s="141"/>
      <c r="AR152" s="141"/>
      <c r="AS152" s="141"/>
      <c r="AT152" s="141"/>
      <c r="AU152" s="141"/>
      <c r="AV152" s="141"/>
      <c r="AW152" s="141"/>
      <c r="AX152" s="141"/>
    </row>
    <row r="153" spans="1:50">
      <c r="A153" s="52"/>
      <c r="B153" s="3664"/>
      <c r="C153" s="1161"/>
      <c r="D153" s="57"/>
      <c r="E153" s="1351">
        <f t="shared" ref="E153:K153" si="38">SUM(E143:E152)</f>
        <v>1356355.3599999999</v>
      </c>
      <c r="F153" s="1351">
        <f t="shared" si="38"/>
        <v>0</v>
      </c>
      <c r="G153" s="1351">
        <f t="shared" si="38"/>
        <v>0</v>
      </c>
      <c r="H153" s="1351">
        <f t="shared" si="38"/>
        <v>0</v>
      </c>
      <c r="I153" s="1351">
        <f t="shared" si="38"/>
        <v>0</v>
      </c>
      <c r="J153" s="1351">
        <f t="shared" si="38"/>
        <v>1356355.3599999999</v>
      </c>
      <c r="K153" s="1351">
        <f t="shared" si="38"/>
        <v>435036.24784565921</v>
      </c>
      <c r="L153" s="1443"/>
      <c r="M153" s="1351">
        <f>SUM(M143:M152)</f>
        <v>435036.24999999994</v>
      </c>
      <c r="N153" s="1104">
        <f t="shared" si="32"/>
        <v>3.1177984977500159</v>
      </c>
      <c r="O153" s="3112"/>
    </row>
    <row r="154" spans="1:50">
      <c r="A154" s="52"/>
      <c r="B154" s="3664"/>
      <c r="D154" s="61"/>
      <c r="E154" s="78"/>
      <c r="I154" s="474"/>
      <c r="J154" s="474"/>
      <c r="L154" s="439"/>
      <c r="M154" s="1199"/>
      <c r="O154" s="3112"/>
    </row>
    <row r="155" spans="1:50">
      <c r="A155" s="52"/>
      <c r="B155" s="3664"/>
      <c r="C155" s="1161"/>
      <c r="D155" s="57" t="s">
        <v>67</v>
      </c>
      <c r="E155" s="1351">
        <f t="shared" ref="E155:K155" si="39">E141+E129+E123+E126+E75+E153+E133</f>
        <v>19902940.379999999</v>
      </c>
      <c r="F155" s="1351">
        <f t="shared" si="39"/>
        <v>0</v>
      </c>
      <c r="G155" s="1351">
        <f t="shared" si="39"/>
        <v>0</v>
      </c>
      <c r="H155" s="1351">
        <f t="shared" si="39"/>
        <v>0</v>
      </c>
      <c r="I155" s="1351">
        <f t="shared" si="39"/>
        <v>0</v>
      </c>
      <c r="J155" s="1351">
        <f t="shared" si="39"/>
        <v>19902940.379999999</v>
      </c>
      <c r="K155" s="1351">
        <f t="shared" si="39"/>
        <v>6346325.5578456596</v>
      </c>
      <c r="L155" s="1443"/>
      <c r="M155" s="1351">
        <f>M141+M129+M123+M126+M75+M153+M133</f>
        <v>6346325.5600000005</v>
      </c>
      <c r="N155" s="1104">
        <f t="shared" si="32"/>
        <v>3.1361360520490384</v>
      </c>
      <c r="O155" s="3112"/>
    </row>
    <row r="156" spans="1:50" ht="13.5" thickBot="1">
      <c r="A156" s="52"/>
      <c r="B156" s="3664"/>
      <c r="D156" s="3088"/>
      <c r="E156" s="1628"/>
      <c r="F156" s="1644"/>
      <c r="G156" s="474"/>
      <c r="H156" s="474"/>
      <c r="I156" s="474"/>
      <c r="J156" s="474"/>
      <c r="K156" s="474"/>
      <c r="L156" s="439"/>
      <c r="M156" s="474"/>
      <c r="O156" s="3112"/>
    </row>
    <row r="157" spans="1:50" ht="13.5" thickBot="1">
      <c r="A157" s="52"/>
      <c r="B157" s="3664"/>
      <c r="C157" s="154"/>
      <c r="D157" s="3089" t="s">
        <v>68</v>
      </c>
      <c r="E157" s="1628"/>
      <c r="F157" s="439"/>
      <c r="J157" s="474"/>
      <c r="L157" s="439"/>
      <c r="M157" s="474"/>
      <c r="O157" s="3112"/>
    </row>
    <row r="158" spans="1:50" ht="13.5" thickBot="1">
      <c r="A158" s="52"/>
      <c r="B158" s="3664"/>
      <c r="C158" s="407"/>
      <c r="D158" s="1647" t="s">
        <v>69</v>
      </c>
      <c r="E158" s="1628"/>
      <c r="J158" s="474"/>
      <c r="L158" s="439"/>
      <c r="M158" s="474"/>
      <c r="O158" s="3113"/>
    </row>
    <row r="159" spans="1:50">
      <c r="A159" s="52"/>
      <c r="B159" s="3659" t="s">
        <v>1001</v>
      </c>
      <c r="C159" s="585">
        <v>1400001</v>
      </c>
      <c r="D159" s="1649" t="s">
        <v>347</v>
      </c>
      <c r="E159" s="474">
        <f>IFERROR(VLOOKUP(C159,'פקודות נוספות'!$D$274:$F$797,3,0),0)</f>
        <v>11115980.779999999</v>
      </c>
      <c r="F159" s="49">
        <f>SUMIF('פקודות נוספות'!C:C,C:C,'פקודות נוספות'!E:E)</f>
        <v>0</v>
      </c>
      <c r="J159" s="474">
        <f t="shared" ref="J159:J164" si="40">SUM(E159:I159)</f>
        <v>11115980.779999999</v>
      </c>
      <c r="K159" s="474">
        <f>M159+SUMIF('פקודות נוספות'!C:C,'מאזן בוחן'!C159,'פקודות נוספות'!F:F)</f>
        <v>3095069.88</v>
      </c>
      <c r="L159" s="439"/>
      <c r="M159" s="474">
        <f>IFERROR(VLOOKUP(C159,'פקודות נוספות'!$D$273:$G$797,4,0),0)</f>
        <v>3095069.88</v>
      </c>
      <c r="N159" s="1104">
        <f t="shared" si="32"/>
        <v>3.5915120533562881</v>
      </c>
      <c r="O159" s="4321" t="s">
        <v>3290</v>
      </c>
    </row>
    <row r="160" spans="1:50">
      <c r="A160" s="52"/>
      <c r="B160" s="3668" t="s">
        <v>1001</v>
      </c>
      <c r="C160" s="585">
        <v>1400002</v>
      </c>
      <c r="D160" s="1649" t="s">
        <v>1438</v>
      </c>
      <c r="E160" s="474">
        <f>IFERROR(VLOOKUP(C160,'פקודות נוספות'!$D$274:$F$797,3,0),0)</f>
        <v>2319883.5499999998</v>
      </c>
      <c r="F160" s="49">
        <f>SUMIF('פקודות נוספות'!C:C,C:C,'פקודות נוספות'!E:E)</f>
        <v>0</v>
      </c>
      <c r="J160" s="474">
        <f t="shared" si="40"/>
        <v>2319883.5499999998</v>
      </c>
      <c r="K160" s="474">
        <f>M160+SUMIF('פקודות נוספות'!C:C,'מאזן בוחן'!C160,'פקודות נוספות'!F:F)</f>
        <v>671303.01</v>
      </c>
      <c r="L160" s="439"/>
      <c r="M160" s="474">
        <f>IFERROR(VLOOKUP(C160,'פקודות נוספות'!$D$273:$G$797,4,0),0)</f>
        <v>671303.01</v>
      </c>
      <c r="N160" s="1104">
        <f t="shared" ref="N160:N167" si="41">IF(K160=0,"-",J160/K160)</f>
        <v>3.4557919679222051</v>
      </c>
      <c r="O160" s="432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row>
    <row r="161" spans="2:15" s="52" customFormat="1">
      <c r="B161" s="3659" t="s">
        <v>1002</v>
      </c>
      <c r="C161" s="1119">
        <v>1410001</v>
      </c>
      <c r="D161" s="1649" t="s">
        <v>1003</v>
      </c>
      <c r="E161" s="474">
        <f>IFERROR(VLOOKUP(C161,'פקודות נוספות'!$D$274:$F$797,3,0),0)</f>
        <v>754015.49</v>
      </c>
      <c r="F161" s="49">
        <f>SUMIF('פקודות נוספות'!C:C,C:C,'פקודות נוספות'!E:E)</f>
        <v>0</v>
      </c>
      <c r="G161" s="49"/>
      <c r="H161" s="49"/>
      <c r="I161" s="49"/>
      <c r="J161" s="474">
        <f t="shared" si="40"/>
        <v>754015.49</v>
      </c>
      <c r="K161" s="474">
        <f>M161+SUMIF('פקודות נוספות'!C:C,'מאזן בוחן'!C161,'פקודות נוספות'!F:F)</f>
        <v>209293.15</v>
      </c>
      <c r="L161" s="439"/>
      <c r="M161" s="474">
        <f>IFERROR(VLOOKUP(C161,'פקודות נוספות'!$D$273:$G$797,4,0),0)</f>
        <v>209293.15</v>
      </c>
      <c r="N161" s="1104">
        <f t="shared" si="41"/>
        <v>3.6026763895521663</v>
      </c>
      <c r="O161" s="4322"/>
    </row>
    <row r="162" spans="2:15" s="52" customFormat="1">
      <c r="B162" s="3659" t="s">
        <v>1004</v>
      </c>
      <c r="C162" s="585">
        <v>1420001</v>
      </c>
      <c r="D162" s="1649" t="s">
        <v>1005</v>
      </c>
      <c r="E162" s="474">
        <f>IFERROR(VLOOKUP(C162,'פקודות נוספות'!$D$274:$F$797,3,0),0)</f>
        <v>1323858.8400000001</v>
      </c>
      <c r="F162" s="49">
        <f>SUMIF('פקודות נוספות'!C:C,C:C,'פקודות נוספות'!E:E)</f>
        <v>0</v>
      </c>
      <c r="G162" s="49"/>
      <c r="H162" s="49"/>
      <c r="I162" s="49"/>
      <c r="J162" s="474">
        <f t="shared" si="40"/>
        <v>1323858.8400000001</v>
      </c>
      <c r="K162" s="474">
        <f>M162+SUMIF('פקודות נוספות'!C:C,'מאזן בוחן'!C162,'פקודות נוספות'!F:F)</f>
        <v>365555.69</v>
      </c>
      <c r="L162" s="439"/>
      <c r="M162" s="474">
        <f>IFERROR(VLOOKUP(C162,'פקודות נוספות'!$D$273:$G$797,4,0),0)</f>
        <v>365555.69</v>
      </c>
      <c r="N162" s="1104">
        <f t="shared" si="41"/>
        <v>3.6214970145862044</v>
      </c>
      <c r="O162" s="4322"/>
    </row>
    <row r="163" spans="2:15" s="52" customFormat="1">
      <c r="B163" s="3659" t="s">
        <v>1004</v>
      </c>
      <c r="C163" s="1119">
        <v>1420003</v>
      </c>
      <c r="D163" s="1649" t="s">
        <v>190</v>
      </c>
      <c r="E163" s="474">
        <f>IFERROR(VLOOKUP(C163,'פקודות נוספות'!$D$274:$F$797,3,0),0)</f>
        <v>14336.4</v>
      </c>
      <c r="F163" s="49">
        <f>SUMIF('פקודות נוספות'!C:C,C:C,'פקודות נוספות'!E:E)</f>
        <v>0</v>
      </c>
      <c r="G163" s="49"/>
      <c r="H163" s="49"/>
      <c r="I163" s="49"/>
      <c r="J163" s="474">
        <f t="shared" si="40"/>
        <v>14336.4</v>
      </c>
      <c r="K163" s="474">
        <f>M163+SUMIF('פקודות נוספות'!C:C,'מאזן בוחן'!C163,'פקודות נוספות'!F:F)</f>
        <v>3741.56</v>
      </c>
      <c r="L163" s="439"/>
      <c r="M163" s="474">
        <f>IFERROR(VLOOKUP(C163,'פקודות נוספות'!$D$273:$G$797,4,0),0)</f>
        <v>3741.56</v>
      </c>
      <c r="N163" s="1104">
        <f t="shared" si="41"/>
        <v>3.8316637979880048</v>
      </c>
      <c r="O163" s="4322"/>
    </row>
    <row r="164" spans="2:15" s="52" customFormat="1">
      <c r="B164" s="3659" t="s">
        <v>1006</v>
      </c>
      <c r="C164" s="585">
        <v>1430001</v>
      </c>
      <c r="D164" s="203" t="s">
        <v>170</v>
      </c>
      <c r="E164" s="474">
        <f>IFERROR(VLOOKUP(C164,'פקודות נוספות'!$D$274:$F$797,3,0),0)</f>
        <v>1843756.79</v>
      </c>
      <c r="F164" s="49">
        <f>SUMIF('פקודות נוספות'!C:C,C:C,'פקודות נוספות'!E:E)</f>
        <v>0</v>
      </c>
      <c r="G164" s="49"/>
      <c r="H164" s="49"/>
      <c r="I164" s="49"/>
      <c r="J164" s="474">
        <f t="shared" si="40"/>
        <v>1843756.79</v>
      </c>
      <c r="K164" s="474">
        <f>M164+SUMIF('פקודות נוספות'!C:C,'מאזן בוחן'!C164,'פקודות נוספות'!F:F)</f>
        <v>515171.71</v>
      </c>
      <c r="L164" s="439"/>
      <c r="M164" s="474">
        <f>IFERROR(VLOOKUP(C164,'פקודות נוספות'!$D$273:$G$797,4,0),0)</f>
        <v>515171.71</v>
      </c>
      <c r="N164" s="1104">
        <f t="shared" si="41"/>
        <v>3.5789169983732219</v>
      </c>
      <c r="O164" s="4322"/>
    </row>
    <row r="165" spans="2:15" s="52" customFormat="1">
      <c r="B165" s="3659" t="s">
        <v>1002</v>
      </c>
      <c r="C165" s="585">
        <v>1410002</v>
      </c>
      <c r="D165" s="203" t="s">
        <v>2903</v>
      </c>
      <c r="E165" s="474">
        <f>IFERROR(VLOOKUP(C165,'פקודות נוספות'!$D$274:$F$797,3,0),0)</f>
        <v>42685.59</v>
      </c>
      <c r="F165" s="49">
        <f>SUMIF('פקודות נוספות'!C:C,C:C,'פקודות נוספות'!E:E)</f>
        <v>0</v>
      </c>
      <c r="G165" s="49"/>
      <c r="H165" s="49"/>
      <c r="I165" s="49"/>
      <c r="J165" s="474">
        <f>SUM(E165:I165)</f>
        <v>42685.59</v>
      </c>
      <c r="K165" s="474">
        <f>M165+SUMIF('פקודות נוספות'!C:C,'מאזן בוחן'!C165,'פקודות נוספות'!F:F)</f>
        <v>12905.03</v>
      </c>
      <c r="L165" s="439"/>
      <c r="M165" s="474">
        <f>IFERROR(VLOOKUP(C165,'פקודות נוספות'!$D$273:$G$797,4,0),0)</f>
        <v>12905.03</v>
      </c>
      <c r="N165" s="1104">
        <f>IF(K165=0,"-",J165/K165)</f>
        <v>3.3076707299401855</v>
      </c>
      <c r="O165" s="4322"/>
    </row>
    <row r="166" spans="2:15" s="52" customFormat="1">
      <c r="B166" s="3659" t="s">
        <v>1004</v>
      </c>
      <c r="C166" s="585">
        <v>1420002</v>
      </c>
      <c r="D166" s="203" t="s">
        <v>2904</v>
      </c>
      <c r="E166" s="474">
        <f>IFERROR(VLOOKUP(C166,'פקודות נוספות'!$D$274:$F$797,3,0),0)</f>
        <v>49953.81</v>
      </c>
      <c r="F166" s="49">
        <f>SUMIF('פקודות נוספות'!C:C,C:C,'פקודות נוספות'!E:E)</f>
        <v>0</v>
      </c>
      <c r="G166" s="49"/>
      <c r="H166" s="49"/>
      <c r="I166" s="49"/>
      <c r="J166" s="474">
        <f>SUM(E166:I166)</f>
        <v>49953.81</v>
      </c>
      <c r="K166" s="474">
        <f>M166+SUMIF('פקודות נוספות'!C:C,'מאזן בוחן'!C166,'פקודות נוספות'!F:F)</f>
        <v>15123.69</v>
      </c>
      <c r="L166" s="439"/>
      <c r="M166" s="474">
        <f>IFERROR(VLOOKUP(C166,'פקודות נוספות'!$D$273:$G$797,4,0),0)</f>
        <v>15123.69</v>
      </c>
      <c r="N166" s="1104">
        <f>IF(K166=0,"-",J166/K166)</f>
        <v>3.303017319185992</v>
      </c>
      <c r="O166" s="4322"/>
    </row>
    <row r="167" spans="2:15" s="52" customFormat="1" ht="13.5" thickBot="1">
      <c r="B167" s="3659" t="s">
        <v>1001</v>
      </c>
      <c r="C167" s="585">
        <v>1400003</v>
      </c>
      <c r="D167" s="203" t="s">
        <v>1717</v>
      </c>
      <c r="E167" s="474">
        <f>IFERROR(VLOOKUP(C167,'פקודות נוספות'!$D$274:$F$797,3,0),0)</f>
        <v>4995289</v>
      </c>
      <c r="F167" s="49">
        <f>SUMIF('פקודות נוספות'!C:C,C:C,'פקודות נוספות'!E:E)</f>
        <v>0</v>
      </c>
      <c r="G167" s="49"/>
      <c r="H167" s="49"/>
      <c r="I167" s="49"/>
      <c r="J167" s="474">
        <f>SUM(E167:I167)</f>
        <v>4995289</v>
      </c>
      <c r="K167" s="474">
        <f>M167+SUMIF('פקודות נוספות'!C:C,'מאזן בוחן'!C167,'פקודות נוספות'!F:F)</f>
        <v>1332159.1599999999</v>
      </c>
      <c r="L167" s="439"/>
      <c r="M167" s="474">
        <f>IFERROR(VLOOKUP(C167,'פקודות נוספות'!$D$273:$G$797,4,0),0)</f>
        <v>1332159.1599999999</v>
      </c>
      <c r="N167" s="1104">
        <f t="shared" si="41"/>
        <v>3.7497689089943278</v>
      </c>
      <c r="O167" s="4323"/>
    </row>
    <row r="168" spans="2:15" s="52" customFormat="1">
      <c r="B168" s="3659"/>
      <c r="C168" s="1160"/>
      <c r="D168" s="1649"/>
      <c r="E168" s="1202"/>
      <c r="F168" s="49"/>
      <c r="G168" s="49"/>
      <c r="H168" s="49"/>
      <c r="I168" s="49"/>
      <c r="J168" s="474"/>
      <c r="K168" s="1199"/>
      <c r="L168" s="439"/>
      <c r="M168" s="474"/>
      <c r="N168" s="1104"/>
      <c r="O168" s="445"/>
    </row>
    <row r="169" spans="2:15" s="52" customFormat="1">
      <c r="B169" s="3664"/>
      <c r="C169" s="1164"/>
      <c r="D169" s="1932" t="s">
        <v>70</v>
      </c>
      <c r="E169" s="1623">
        <f t="shared" ref="E169:K169" si="42">SUM(E159:E168)</f>
        <v>22459760.249999996</v>
      </c>
      <c r="F169" s="1351">
        <f t="shared" si="42"/>
        <v>0</v>
      </c>
      <c r="G169" s="1351">
        <f t="shared" si="42"/>
        <v>0</v>
      </c>
      <c r="H169" s="1351">
        <f t="shared" si="42"/>
        <v>0</v>
      </c>
      <c r="I169" s="1351">
        <f t="shared" si="42"/>
        <v>0</v>
      </c>
      <c r="J169" s="1351">
        <f t="shared" si="42"/>
        <v>22459760.249999996</v>
      </c>
      <c r="K169" s="1351">
        <f t="shared" si="42"/>
        <v>6220322.8799999999</v>
      </c>
      <c r="L169" s="1443"/>
      <c r="M169" s="1351">
        <f>SUM(M159:M168)</f>
        <v>6220322.8799999999</v>
      </c>
      <c r="N169" s="1104"/>
      <c r="O169" s="445"/>
    </row>
    <row r="170" spans="2:15" s="52" customFormat="1" ht="13.5" thickBot="1">
      <c r="B170" s="3668"/>
      <c r="C170" s="407"/>
      <c r="D170" s="1647" t="s">
        <v>71</v>
      </c>
      <c r="E170" s="1202"/>
      <c r="F170" s="49"/>
      <c r="G170" s="49"/>
      <c r="H170" s="49"/>
      <c r="I170" s="47"/>
      <c r="J170" s="49"/>
      <c r="K170" s="1199"/>
      <c r="L170" s="439"/>
      <c r="M170" s="49"/>
      <c r="N170" s="1104"/>
      <c r="O170" s="445"/>
    </row>
    <row r="171" spans="2:15" s="52" customFormat="1">
      <c r="B171" s="3659" t="s">
        <v>1007</v>
      </c>
      <c r="C171" s="1119">
        <v>1490001</v>
      </c>
      <c r="D171" s="1649" t="s">
        <v>1008</v>
      </c>
      <c r="E171" s="474">
        <f>IFERROR(VLOOKUP(C171,'פקודות נוספות'!$D$274:$F$797,3,0),0)</f>
        <v>-9946766</v>
      </c>
      <c r="F171" s="49">
        <f>SUMIF('פקודות נוספות'!C:C,C:C,'פקודות נוספות'!E:E)</f>
        <v>0</v>
      </c>
      <c r="G171" s="49"/>
      <c r="H171" s="49"/>
      <c r="I171" s="47"/>
      <c r="J171" s="474">
        <f t="shared" ref="J171:J179" si="43">SUM(E171:I171)</f>
        <v>-9946766</v>
      </c>
      <c r="K171" s="474">
        <f>M171+SUMIF('פקודות נוספות'!C:C,'מאזן בוחן'!C171,'פקודות נוספות'!F:F)</f>
        <v>-2743428.89</v>
      </c>
      <c r="L171" s="439"/>
      <c r="M171" s="474">
        <f>IFERROR(VLOOKUP(C171,'פקודות נוספות'!$D$273:$G$797,4,0),0)</f>
        <v>-2743428.89</v>
      </c>
      <c r="N171" s="1104">
        <f t="shared" ref="N171:N180" si="44">IF(K171=0,"-",J171/K171)</f>
        <v>3.6256693352820966</v>
      </c>
      <c r="O171" s="4318" t="s">
        <v>3290</v>
      </c>
    </row>
    <row r="172" spans="2:15" s="52" customFormat="1">
      <c r="B172" s="3659" t="s">
        <v>1007</v>
      </c>
      <c r="C172" s="585">
        <v>1490002</v>
      </c>
      <c r="D172" s="1649" t="s">
        <v>1009</v>
      </c>
      <c r="E172" s="474">
        <f>IFERROR(VLOOKUP(C172,'פקודות נוספות'!$D$274:$F$797,3,0),0)</f>
        <v>-466062</v>
      </c>
      <c r="F172" s="49">
        <f>SUMIF('פקודות נוספות'!C:C,C:C,'פקודות נוספות'!E:E)</f>
        <v>0</v>
      </c>
      <c r="G172" s="49"/>
      <c r="H172" s="49"/>
      <c r="I172" s="47"/>
      <c r="J172" s="474">
        <f t="shared" si="43"/>
        <v>-466062</v>
      </c>
      <c r="K172" s="474">
        <f>M172+SUMIF('פקודות נוספות'!C:C,'מאזן בוחן'!C172,'פקודות נוספות'!F:F)</f>
        <v>-126929.16</v>
      </c>
      <c r="L172" s="439"/>
      <c r="M172" s="474">
        <f>IFERROR(VLOOKUP(C172,'פקודות נוספות'!$D$273:$G$797,4,0),0)</f>
        <v>-126929.16</v>
      </c>
      <c r="N172" s="1104">
        <f t="shared" si="44"/>
        <v>3.6718276556781748</v>
      </c>
      <c r="O172" s="4319"/>
    </row>
    <row r="173" spans="2:15" s="52" customFormat="1">
      <c r="B173" s="3659" t="s">
        <v>1007</v>
      </c>
      <c r="C173" s="1119">
        <v>1490003</v>
      </c>
      <c r="D173" s="1649" t="s">
        <v>1010</v>
      </c>
      <c r="E173" s="474">
        <f>IFERROR(VLOOKUP(C173,'פקודות נוספות'!$D$274:$F$797,3,0),0)</f>
        <v>-555718</v>
      </c>
      <c r="F173" s="49">
        <f>SUMIF('פקודות נוספות'!C:C,C:C,'פקודות נוספות'!E:E)</f>
        <v>0</v>
      </c>
      <c r="G173" s="49"/>
      <c r="H173" s="49"/>
      <c r="I173" s="47"/>
      <c r="J173" s="474">
        <f t="shared" si="43"/>
        <v>-555718</v>
      </c>
      <c r="K173" s="474">
        <f>M173+SUMIF('פקודות נוספות'!C:C,'מאזן בוחן'!C173,'פקודות נוספות'!F:F)</f>
        <v>-152379.14000000001</v>
      </c>
      <c r="L173" s="439"/>
      <c r="M173" s="474">
        <f>IFERROR(VLOOKUP(C173,'פקודות נוספות'!$D$273:$G$797,4,0),0)</f>
        <v>-152379.14000000001</v>
      </c>
      <c r="N173" s="1104">
        <f t="shared" si="44"/>
        <v>3.6469427508253425</v>
      </c>
      <c r="O173" s="4319"/>
    </row>
    <row r="174" spans="2:15" s="52" customFormat="1">
      <c r="B174" s="3659" t="s">
        <v>1007</v>
      </c>
      <c r="C174" s="1119">
        <v>1490004</v>
      </c>
      <c r="D174" s="1649" t="s">
        <v>1011</v>
      </c>
      <c r="E174" s="474">
        <f>IFERROR(VLOOKUP(C174,'פקודות נוספות'!$D$274:$F$797,3,0),0)</f>
        <v>-1380404</v>
      </c>
      <c r="F174" s="49">
        <f>SUMIF('פקודות נוספות'!C:C,C:C,'פקודות נוספות'!E:E)</f>
        <v>0</v>
      </c>
      <c r="G174" s="49"/>
      <c r="H174" s="49"/>
      <c r="I174" s="47"/>
      <c r="J174" s="474">
        <f t="shared" si="43"/>
        <v>-1380404</v>
      </c>
      <c r="K174" s="474">
        <f>M174+SUMIF('פקודות נוספות'!C:C,'מאזן בוחן'!C174,'פקודות נוספות'!F:F)</f>
        <v>-382655</v>
      </c>
      <c r="L174" s="439"/>
      <c r="M174" s="474">
        <f>IFERROR(VLOOKUP(C174,'פקודות נוספות'!$D$273:$G$797,4,0),0)</f>
        <v>-382655</v>
      </c>
      <c r="N174" s="1104">
        <f t="shared" si="44"/>
        <v>3.607437508983288</v>
      </c>
      <c r="O174" s="4319"/>
    </row>
    <row r="175" spans="2:15" s="52" customFormat="1">
      <c r="B175" s="3659" t="s">
        <v>1007</v>
      </c>
      <c r="C175" s="1119">
        <v>1490008</v>
      </c>
      <c r="D175" s="1649" t="s">
        <v>1806</v>
      </c>
      <c r="E175" s="474">
        <f>IFERROR(VLOOKUP(C175,'פקודות נוספות'!$D$274:$F$797,3,0),0)</f>
        <v>-2997174</v>
      </c>
      <c r="F175" s="49">
        <f>SUMIF('פקודות נוספות'!C:C,C:C,'פקודות נוספות'!E:E)</f>
        <v>0</v>
      </c>
      <c r="G175" s="49"/>
      <c r="H175" s="49"/>
      <c r="I175" s="47"/>
      <c r="J175" s="474">
        <f>SUM(E175:I175)</f>
        <v>-2997174</v>
      </c>
      <c r="K175" s="474">
        <f>M175+SUMIF('פקודות נוספות'!C:C,'מאזן בוחן'!C175,'פקודות נוספות'!F:F)</f>
        <v>-799672.99</v>
      </c>
      <c r="L175" s="439"/>
      <c r="M175" s="474">
        <f>IFERROR(VLOOKUP(C175,'פקודות נוספות'!$D$273:$G$797,4,0),0)</f>
        <v>-799672.99</v>
      </c>
      <c r="N175" s="1104">
        <f t="shared" si="44"/>
        <v>3.747999541662649</v>
      </c>
      <c r="O175" s="4319"/>
    </row>
    <row r="176" spans="2:15" s="52" customFormat="1">
      <c r="B176" s="3659" t="s">
        <v>1007</v>
      </c>
      <c r="C176" s="1119">
        <v>1490007</v>
      </c>
      <c r="D176" s="1649" t="s">
        <v>1496</v>
      </c>
      <c r="E176" s="474">
        <f>IFERROR(VLOOKUP(C176,'פקודות נוספות'!$D$274:$F$797,3,0),0)</f>
        <v>-1394332</v>
      </c>
      <c r="F176" s="49">
        <f>SUMIF('פקודות נוספות'!C:C,C:C,'פקודות נוספות'!E:E)</f>
        <v>0</v>
      </c>
      <c r="G176" s="49"/>
      <c r="H176" s="49"/>
      <c r="I176" s="47"/>
      <c r="J176" s="474">
        <f t="shared" si="43"/>
        <v>-1394332</v>
      </c>
      <c r="K176" s="474">
        <f>M176+SUMIF('פקודות נוספות'!C:C,'מאזן בוחן'!C176,'פקודות נוספות'!F:F)</f>
        <v>-393987</v>
      </c>
      <c r="L176" s="439"/>
      <c r="M176" s="474">
        <f>IFERROR(VLOOKUP(C176,'פקודות נוספות'!$D$273:$G$797,4,0),0)</f>
        <v>-393987</v>
      </c>
      <c r="N176" s="1104">
        <f t="shared" si="44"/>
        <v>3.5390304756248301</v>
      </c>
      <c r="O176" s="4319"/>
    </row>
    <row r="177" spans="1:50">
      <c r="A177" s="52"/>
      <c r="B177" s="3659" t="s">
        <v>1007</v>
      </c>
      <c r="C177" s="1119">
        <v>1490006</v>
      </c>
      <c r="D177" s="1649" t="s">
        <v>3273</v>
      </c>
      <c r="E177" s="474">
        <f>IFERROR(VLOOKUP(C177,'פקודות נוספות'!$D$274:$F$797,3,0),0)</f>
        <v>-2584</v>
      </c>
      <c r="F177" s="49">
        <f>SUMIF('פקודות נוספות'!C:C,C:C,'פקודות נוספות'!E:E)</f>
        <v>0</v>
      </c>
      <c r="I177" s="47"/>
      <c r="J177" s="474">
        <f>SUM(E177:I177)</f>
        <v>-2584</v>
      </c>
      <c r="K177" s="474">
        <f>M177+SUMIF('פקודות נוספות'!C:C,'מאזן בוחן'!C177,'פקודות נוספות'!F:F)</f>
        <v>-787.74</v>
      </c>
      <c r="L177" s="439"/>
      <c r="M177" s="474">
        <f>IFERROR(VLOOKUP(C177,'פקודות נוספות'!$D$273:$G$797,4,0),0)</f>
        <v>-787.74</v>
      </c>
      <c r="N177" s="1104">
        <f>IF(K177=0,"-",J177/K177)</f>
        <v>3.2802701398938736</v>
      </c>
      <c r="O177" s="4319"/>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row>
    <row r="178" spans="1:50">
      <c r="A178" s="52"/>
      <c r="B178" s="3659" t="s">
        <v>1007</v>
      </c>
      <c r="C178" s="1119">
        <v>1490009</v>
      </c>
      <c r="D178" s="1649" t="s">
        <v>3275</v>
      </c>
      <c r="E178" s="474">
        <f>IFERROR(VLOOKUP(C178,'פקודות נוספות'!$D$274:$F$797,3,0),0)</f>
        <v>-5569</v>
      </c>
      <c r="F178" s="49">
        <f>SUMIF('פקודות נוספות'!C:C,C:C,'פקודות נוספות'!E:E)</f>
        <v>0</v>
      </c>
      <c r="I178" s="47"/>
      <c r="J178" s="474">
        <f>SUM(E178:I178)</f>
        <v>-5569</v>
      </c>
      <c r="K178" s="474">
        <f>M178+SUMIF('פקודות נוספות'!C:C,'מאזן בוחן'!C178,'פקודות נוספות'!F:F)</f>
        <v>-1418</v>
      </c>
      <c r="L178" s="439"/>
      <c r="M178" s="474">
        <f>IFERROR(VLOOKUP(C178,'פקודות נוספות'!$D$273:$G$797,4,0),0)</f>
        <v>-1418</v>
      </c>
      <c r="N178" s="1104">
        <f>IF(K178=0,"-",J178/K178)</f>
        <v>3.9273624823695346</v>
      </c>
      <c r="O178" s="4319"/>
    </row>
    <row r="179" spans="1:50" ht="13.5" thickBot="1">
      <c r="A179" s="52"/>
      <c r="B179" s="3659" t="s">
        <v>1007</v>
      </c>
      <c r="C179" s="585">
        <v>1490005</v>
      </c>
      <c r="D179" s="203" t="s">
        <v>1012</v>
      </c>
      <c r="E179" s="474">
        <f>IFERROR(VLOOKUP(C179,'פקודות נוספות'!$D$274:$F$797,3,0),0)</f>
        <v>-14337</v>
      </c>
      <c r="F179" s="49">
        <f>SUMIF('פקודות נוספות'!C:C,C:C,'פקודות נוספות'!E:E)</f>
        <v>0</v>
      </c>
      <c r="I179" s="47"/>
      <c r="J179" s="474">
        <f t="shared" si="43"/>
        <v>-14337</v>
      </c>
      <c r="K179" s="474">
        <f>M179+SUMIF('פקודות נוספות'!C:C,'מאזן בוחן'!C179,'פקודות נוספות'!F:F)</f>
        <v>-3740.52</v>
      </c>
      <c r="L179" s="439"/>
      <c r="M179" s="474">
        <f>IFERROR(VLOOKUP(C179,'פקודות נוספות'!$D$273:$G$797,4,0),0)</f>
        <v>-3740.52</v>
      </c>
      <c r="N179" s="1104">
        <f t="shared" si="44"/>
        <v>3.8328895447691766</v>
      </c>
      <c r="O179" s="4320"/>
    </row>
    <row r="180" spans="1:50">
      <c r="A180" s="52"/>
      <c r="B180" s="3664"/>
      <c r="C180" s="1164"/>
      <c r="D180" s="1932" t="s">
        <v>72</v>
      </c>
      <c r="E180" s="1623">
        <f t="shared" ref="E180:K180" si="45">SUM(E171:E179)</f>
        <v>-16762946</v>
      </c>
      <c r="F180" s="1351">
        <f t="shared" si="45"/>
        <v>0</v>
      </c>
      <c r="G180" s="1351">
        <f t="shared" si="45"/>
        <v>0</v>
      </c>
      <c r="H180" s="1351">
        <f t="shared" si="45"/>
        <v>0</v>
      </c>
      <c r="I180" s="1351">
        <f t="shared" si="45"/>
        <v>0</v>
      </c>
      <c r="J180" s="1351">
        <f t="shared" si="45"/>
        <v>-16762946</v>
      </c>
      <c r="K180" s="1351">
        <f t="shared" si="45"/>
        <v>-4604998.4400000004</v>
      </c>
      <c r="L180" s="1443"/>
      <c r="M180" s="1351">
        <f>SUM(M171:M179)</f>
        <v>-4604998.4400000004</v>
      </c>
      <c r="N180" s="1104">
        <f t="shared" si="44"/>
        <v>3.6401632309782062</v>
      </c>
      <c r="O180" s="835" t="s">
        <v>2470</v>
      </c>
    </row>
    <row r="181" spans="1:50">
      <c r="A181" s="52"/>
      <c r="B181" s="3664"/>
      <c r="C181" s="407"/>
      <c r="D181" s="169"/>
      <c r="E181" s="474"/>
      <c r="F181" s="474"/>
      <c r="G181" s="474"/>
      <c r="H181" s="474"/>
      <c r="I181" s="474"/>
      <c r="J181" s="474"/>
      <c r="L181" s="439"/>
      <c r="M181" s="1199"/>
      <c r="O181" s="445"/>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1"/>
      <c r="AL181" s="141"/>
      <c r="AM181" s="141"/>
      <c r="AN181" s="141"/>
      <c r="AO181" s="141"/>
      <c r="AP181" s="141"/>
      <c r="AQ181" s="141"/>
      <c r="AR181" s="141"/>
      <c r="AS181" s="141"/>
      <c r="AT181" s="141"/>
      <c r="AU181" s="141"/>
      <c r="AV181" s="141"/>
      <c r="AW181" s="141"/>
      <c r="AX181" s="141"/>
    </row>
    <row r="182" spans="1:50">
      <c r="A182" s="52"/>
      <c r="B182" s="3664"/>
      <c r="C182" s="1161"/>
      <c r="D182" s="2735" t="s">
        <v>73</v>
      </c>
      <c r="E182" s="1623">
        <f t="shared" ref="E182:K182" si="46">E169+E180</f>
        <v>5696814.2499999963</v>
      </c>
      <c r="F182" s="1351">
        <f t="shared" si="46"/>
        <v>0</v>
      </c>
      <c r="G182" s="1351">
        <f t="shared" si="46"/>
        <v>0</v>
      </c>
      <c r="H182" s="1351">
        <f t="shared" si="46"/>
        <v>0</v>
      </c>
      <c r="I182" s="1351">
        <f t="shared" si="46"/>
        <v>0</v>
      </c>
      <c r="J182" s="1351">
        <f t="shared" si="46"/>
        <v>5696814.2499999963</v>
      </c>
      <c r="K182" s="1351">
        <f t="shared" si="46"/>
        <v>1615324.4399999995</v>
      </c>
      <c r="L182" s="1443"/>
      <c r="M182" s="1351">
        <f>M169+M180</f>
        <v>1615324.4399999995</v>
      </c>
      <c r="O182" s="445"/>
    </row>
    <row r="183" spans="1:50" ht="13.5" thickBot="1">
      <c r="A183" s="52"/>
      <c r="B183" s="3664"/>
      <c r="C183" s="407"/>
      <c r="D183" s="3090"/>
      <c r="E183" s="3087"/>
      <c r="F183" s="1508"/>
      <c r="G183" s="1508"/>
      <c r="J183" s="1508"/>
      <c r="K183" s="474"/>
      <c r="L183" s="439"/>
      <c r="M183" s="1508"/>
      <c r="O183" s="445"/>
    </row>
    <row r="184" spans="1:50" ht="13.5" thickBot="1">
      <c r="A184" s="52"/>
      <c r="B184" s="3664"/>
      <c r="C184" s="407"/>
      <c r="D184" s="3091" t="s">
        <v>38</v>
      </c>
      <c r="E184" s="1628"/>
      <c r="J184" s="474"/>
      <c r="K184" s="474"/>
      <c r="L184" s="439"/>
      <c r="M184" s="474"/>
      <c r="O184" s="445"/>
    </row>
    <row r="185" spans="1:50" ht="13.5" thickBot="1">
      <c r="A185" s="52"/>
      <c r="B185" s="3664"/>
      <c r="D185" s="61"/>
      <c r="E185" s="79"/>
      <c r="G185" s="474"/>
      <c r="J185" s="474"/>
      <c r="K185" s="474"/>
      <c r="L185" s="439"/>
      <c r="M185" s="474"/>
      <c r="O185" s="445"/>
      <c r="P185" s="52"/>
    </row>
    <row r="186" spans="1:50" ht="13.5" thickBot="1">
      <c r="A186" s="52"/>
      <c r="B186" s="3668" t="s">
        <v>1016</v>
      </c>
      <c r="C186" s="585">
        <v>1610005</v>
      </c>
      <c r="D186" s="63" t="s">
        <v>1887</v>
      </c>
      <c r="E186" s="79">
        <f>IFERROR(VLOOKUP(C186,'פקודות נוספות'!$D$274:$F$797,3,0),0)</f>
        <v>1091708.8400000001</v>
      </c>
      <c r="F186" s="49">
        <f>SUMIF('פקודות נוספות'!C:C,C:C,'פקודות נוספות'!E:E)</f>
        <v>0</v>
      </c>
      <c r="I186" s="47"/>
      <c r="J186" s="474">
        <f>SUM(E186:I186)</f>
        <v>1091708.8400000001</v>
      </c>
      <c r="K186" s="170">
        <f>M186+SUMIF('פקודות נוספות'!C:C,'מאזן בוחן'!C186,'פקודות נוספות'!F:F)</f>
        <v>308476.88</v>
      </c>
      <c r="L186" s="956">
        <f>SUM('606-Prepaid Comm&amp;DR SUB'!$B$58)-'מאזן בוחן'!K186</f>
        <v>4.3423580937087536E-3</v>
      </c>
      <c r="M186" s="474">
        <f>IFERROR(VLOOKUP(C186,'פקודות נוספות'!$D$273:$G$797,4,0),0)</f>
        <v>308476.88</v>
      </c>
      <c r="N186" s="1104">
        <f>IF(K186=0,"-",J186/K186)</f>
        <v>3.5390296997298472</v>
      </c>
      <c r="O186" s="2448" t="s">
        <v>1913</v>
      </c>
      <c r="P186" s="52"/>
    </row>
    <row r="187" spans="1:50">
      <c r="A187" s="52"/>
      <c r="B187" s="3668" t="s">
        <v>1018</v>
      </c>
      <c r="C187" s="585">
        <v>1620001</v>
      </c>
      <c r="D187" s="45" t="s">
        <v>345</v>
      </c>
      <c r="E187" s="79">
        <f>IFERROR(VLOOKUP(C187,'פקודות נוספות'!$D$274:$F$797,3,0),0)</f>
        <v>0</v>
      </c>
      <c r="F187" s="1326">
        <f>SUMIF('פקודות נוספות'!C:C,C:C,'פקודות נוספות'!E:E)</f>
        <v>0</v>
      </c>
      <c r="G187" s="2289"/>
      <c r="H187" s="2289"/>
      <c r="I187" s="2289"/>
      <c r="J187" s="1577">
        <f>SUM(E187:I187)</f>
        <v>0</v>
      </c>
      <c r="K187" s="1577">
        <f>M187+SUMIF('פקודות נוספות'!C:C,'מאזן בוחן'!C187,'פקודות נוספות'!F:F)</f>
        <v>0</v>
      </c>
      <c r="L187" s="1213"/>
      <c r="M187" s="474">
        <f>IFERROR(VLOOKUP(C187,'פקודות נוספות'!$D$273:$G$797,4,0),0)</f>
        <v>0</v>
      </c>
      <c r="N187" s="1104" t="str">
        <f>IF(K187=0,"-",J187/K187)</f>
        <v>-</v>
      </c>
      <c r="O187" s="1510" t="s">
        <v>1789</v>
      </c>
      <c r="P187" s="141"/>
      <c r="Q187" s="141"/>
      <c r="R187" s="141"/>
      <c r="S187" s="141"/>
      <c r="T187" s="141"/>
      <c r="U187" s="141"/>
      <c r="V187" s="141"/>
      <c r="W187" s="141"/>
      <c r="X187" s="141"/>
      <c r="Y187" s="141"/>
      <c r="Z187" s="141"/>
      <c r="AA187" s="141"/>
      <c r="AB187" s="141"/>
      <c r="AC187" s="141"/>
      <c r="AD187" s="141"/>
      <c r="AE187" s="141"/>
      <c r="AF187" s="141"/>
      <c r="AG187" s="141"/>
      <c r="AH187" s="141"/>
      <c r="AI187" s="141"/>
      <c r="AJ187" s="141"/>
      <c r="AK187" s="141"/>
      <c r="AL187" s="141"/>
      <c r="AM187" s="141"/>
      <c r="AN187" s="141"/>
      <c r="AO187" s="141"/>
      <c r="AP187" s="141"/>
      <c r="AQ187" s="141"/>
      <c r="AR187" s="141"/>
      <c r="AS187" s="141"/>
      <c r="AT187" s="141"/>
      <c r="AU187" s="141"/>
      <c r="AV187" s="141"/>
      <c r="AW187" s="141"/>
      <c r="AX187" s="141"/>
    </row>
    <row r="188" spans="1:50">
      <c r="A188" s="52"/>
      <c r="B188" s="3664"/>
      <c r="C188" s="1161"/>
      <c r="D188" s="65" t="s">
        <v>74</v>
      </c>
      <c r="E188" s="1351">
        <f t="shared" ref="E188:K188" si="47">SUM(E185:E187)</f>
        <v>1091708.8400000001</v>
      </c>
      <c r="F188" s="1351">
        <f t="shared" si="47"/>
        <v>0</v>
      </c>
      <c r="G188" s="1351">
        <f t="shared" si="47"/>
        <v>0</v>
      </c>
      <c r="H188" s="1351">
        <f t="shared" si="47"/>
        <v>0</v>
      </c>
      <c r="I188" s="1351">
        <f t="shared" si="47"/>
        <v>0</v>
      </c>
      <c r="J188" s="1351">
        <f t="shared" si="47"/>
        <v>1091708.8400000001</v>
      </c>
      <c r="K188" s="1351">
        <f t="shared" si="47"/>
        <v>308476.88</v>
      </c>
      <c r="L188" s="1443"/>
      <c r="M188" s="1351">
        <f>SUM(M185:M187)</f>
        <v>308476.88</v>
      </c>
      <c r="N188" s="1104">
        <f>IF(K188=0,"-",J188/K188)</f>
        <v>3.5390296997298472</v>
      </c>
      <c r="O188" s="210"/>
      <c r="P188" s="52"/>
    </row>
    <row r="189" spans="1:50">
      <c r="A189" s="52"/>
      <c r="B189" s="3664"/>
      <c r="C189" s="407"/>
      <c r="D189" s="61"/>
      <c r="L189" s="439"/>
      <c r="M189" s="79"/>
      <c r="O189" s="210"/>
      <c r="P189" s="52"/>
    </row>
    <row r="190" spans="1:50">
      <c r="A190" s="52"/>
      <c r="B190" s="3664"/>
      <c r="C190" s="1161"/>
      <c r="D190" s="57" t="s">
        <v>75</v>
      </c>
      <c r="E190" s="1351">
        <f t="shared" ref="E190:K190" si="48">+E182+E155+E31+E188</f>
        <v>44357686.109999999</v>
      </c>
      <c r="F190" s="1351">
        <f t="shared" si="48"/>
        <v>0</v>
      </c>
      <c r="G190" s="1351">
        <f t="shared" si="48"/>
        <v>0</v>
      </c>
      <c r="H190" s="1351">
        <f t="shared" si="48"/>
        <v>0</v>
      </c>
      <c r="I190" s="1351">
        <f t="shared" si="48"/>
        <v>0</v>
      </c>
      <c r="J190" s="1351">
        <f t="shared" si="48"/>
        <v>44357686.109999999</v>
      </c>
      <c r="K190" s="1351">
        <f t="shared" si="48"/>
        <v>13950584.317845659</v>
      </c>
      <c r="L190" s="1443"/>
      <c r="M190" s="1351">
        <f>+M182+M155+M31+M188</f>
        <v>13950584.320000002</v>
      </c>
      <c r="O190" s="210"/>
      <c r="P190" s="52"/>
    </row>
    <row r="191" spans="1:50" ht="13.5" thickBot="1">
      <c r="A191" s="52"/>
      <c r="B191" s="3664"/>
      <c r="C191" s="154"/>
      <c r="D191" s="61"/>
      <c r="E191" s="78"/>
      <c r="J191" s="474"/>
      <c r="K191" s="474"/>
      <c r="L191" s="439"/>
      <c r="M191" s="474"/>
      <c r="O191" s="210"/>
      <c r="P191" s="52"/>
    </row>
    <row r="192" spans="1:50" ht="13.5" thickBot="1">
      <c r="A192" s="52"/>
      <c r="B192" s="3664"/>
      <c r="C192" s="1165"/>
      <c r="D192" s="58" t="s">
        <v>8</v>
      </c>
      <c r="E192" s="78"/>
      <c r="J192" s="474"/>
      <c r="K192" s="1200"/>
      <c r="L192" s="439"/>
      <c r="M192" s="474"/>
      <c r="O192" s="210"/>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row>
    <row r="193" spans="1:50">
      <c r="A193" s="52"/>
      <c r="B193" s="3664"/>
      <c r="C193" s="407"/>
      <c r="D193" s="59" t="s">
        <v>11</v>
      </c>
      <c r="E193" s="78"/>
      <c r="J193" s="474"/>
      <c r="K193" s="1200"/>
      <c r="L193" s="439"/>
      <c r="M193" s="474"/>
      <c r="O193" s="210"/>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row>
    <row r="194" spans="1:50">
      <c r="B194" s="3664"/>
      <c r="D194" s="61"/>
      <c r="E194" s="78"/>
      <c r="J194" s="474"/>
      <c r="K194" s="474"/>
      <c r="L194" s="439"/>
      <c r="M194" s="474"/>
      <c r="O194" s="210"/>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row>
    <row r="195" spans="1:50">
      <c r="B195" s="3664"/>
      <c r="C195" s="1161"/>
      <c r="D195" s="57" t="s">
        <v>76</v>
      </c>
      <c r="E195" s="1206">
        <f t="shared" ref="E195:M195" si="49">SUM(E194:E194)</f>
        <v>0</v>
      </c>
      <c r="F195" s="1206">
        <f t="shared" si="49"/>
        <v>0</v>
      </c>
      <c r="G195" s="1206">
        <f t="shared" si="49"/>
        <v>0</v>
      </c>
      <c r="H195" s="1206">
        <f t="shared" si="49"/>
        <v>0</v>
      </c>
      <c r="I195" s="1206">
        <f t="shared" si="49"/>
        <v>0</v>
      </c>
      <c r="J195" s="1206">
        <f t="shared" si="49"/>
        <v>0</v>
      </c>
      <c r="K195" s="1206">
        <f t="shared" si="49"/>
        <v>0</v>
      </c>
      <c r="L195" s="517"/>
      <c r="M195" s="1206">
        <f t="shared" si="49"/>
        <v>0</v>
      </c>
      <c r="O195" s="210"/>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row>
    <row r="196" spans="1:50" ht="13.5" thickBot="1">
      <c r="B196" s="3664"/>
      <c r="C196" s="407"/>
      <c r="D196" s="61"/>
      <c r="E196" s="79"/>
      <c r="K196" s="49"/>
      <c r="L196" s="439"/>
      <c r="O196" s="210"/>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row>
    <row r="197" spans="1:50" ht="13.5" thickBot="1">
      <c r="B197" s="3664"/>
      <c r="C197" s="154"/>
      <c r="D197" s="58" t="s">
        <v>184</v>
      </c>
      <c r="E197" s="78"/>
      <c r="J197" s="474"/>
      <c r="K197" s="474"/>
      <c r="L197" s="439"/>
      <c r="M197" s="474"/>
      <c r="O197" s="210"/>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row>
    <row r="198" spans="1:50">
      <c r="A198" s="406"/>
      <c r="B198" s="3664"/>
      <c r="C198" s="156"/>
      <c r="D198" s="45"/>
      <c r="E198" s="79"/>
      <c r="J198" s="474"/>
      <c r="K198" s="474"/>
      <c r="L198" s="439"/>
      <c r="M198" s="474"/>
      <c r="O198" s="1114"/>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row>
    <row r="199" spans="1:50">
      <c r="B199" s="3659" t="s">
        <v>1025</v>
      </c>
      <c r="C199" s="705">
        <v>2100003</v>
      </c>
      <c r="D199" s="601" t="s">
        <v>1785</v>
      </c>
      <c r="E199" s="474">
        <f>IFERROR(VLOOKUP(C199,'פקודות נוספות'!$D$274:$F$797,3,0),0)</f>
        <v>-21991.02</v>
      </c>
      <c r="F199" s="49">
        <f>SUMIF('פקודות נוספות'!C:C,C:C,'פקודות נוספות'!E:E)</f>
        <v>0</v>
      </c>
      <c r="J199" s="474">
        <f>SUM(E199:I199)</f>
        <v>-21991.02</v>
      </c>
      <c r="K199" s="474">
        <f>M199+SUMIF('פקודות נוספות'!C:C,'מאזן בוחן'!C199,'פקודות נוספות'!F:F)</f>
        <v>-7071.07</v>
      </c>
      <c r="L199" s="439"/>
      <c r="M199" s="474">
        <f>IFERROR(VLOOKUP(C199,'פקודות נוספות'!$D$273:$G$797,4,0),0)</f>
        <v>-7071.07</v>
      </c>
      <c r="N199" s="1104">
        <f>IF(K199=0,"-",J199/K199)</f>
        <v>3.1099989110558943</v>
      </c>
      <c r="O199" s="1114"/>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row>
    <row r="200" spans="1:50">
      <c r="B200" s="3659" t="s">
        <v>1025</v>
      </c>
      <c r="C200" s="705">
        <v>2100329</v>
      </c>
      <c r="D200" s="601" t="s">
        <v>4663</v>
      </c>
      <c r="E200" s="474">
        <f>IFERROR(VLOOKUP(C200,'פקודות נוספות'!$D$274:$F$797,3,0),0)</f>
        <v>-13474.5</v>
      </c>
      <c r="F200" s="49">
        <f>SUMIF('פקודות נוספות'!C:C,C:C,'פקודות נוספות'!E:E)</f>
        <v>0</v>
      </c>
      <c r="J200" s="474">
        <f t="shared" ref="J200:J221" si="50">SUM(E200:I200)</f>
        <v>-13474.5</v>
      </c>
      <c r="K200" s="474">
        <f>M200+SUMIF('פקודות נוספות'!C:C,'מאזן בוחן'!C200,'פקודות נוספות'!F:F)</f>
        <v>-4332.6400000000003</v>
      </c>
      <c r="L200" s="439"/>
      <c r="M200" s="474">
        <f>IFERROR(VLOOKUP(C200,'פקודות נוספות'!$D$273:$G$797,4,0),0)</f>
        <v>-4332.6400000000003</v>
      </c>
      <c r="N200" s="1104">
        <f t="shared" ref="N200:N221" si="51">IF(K200=0,"-",J200/K200)</f>
        <v>3.1099975996159381</v>
      </c>
      <c r="O200" s="1114"/>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row>
    <row r="201" spans="1:50">
      <c r="B201" s="3659" t="s">
        <v>1025</v>
      </c>
      <c r="C201" s="705">
        <v>2150076</v>
      </c>
      <c r="D201" s="601" t="s">
        <v>4664</v>
      </c>
      <c r="E201" s="474">
        <f>IFERROR(VLOOKUP(C201,'פקודות נוספות'!$D$274:$F$797,3,0),0)</f>
        <v>-28080</v>
      </c>
      <c r="F201" s="49">
        <f>SUMIF('פקודות נוספות'!C:C,C:C,'פקודות נוספות'!E:E)</f>
        <v>0</v>
      </c>
      <c r="J201" s="474">
        <f t="shared" si="50"/>
        <v>-28080</v>
      </c>
      <c r="K201" s="474">
        <f>M201+SUMIF('פקודות נוספות'!C:C,'מאזן בוחן'!C201,'פקודות נוספות'!F:F)</f>
        <v>-9028.94</v>
      </c>
      <c r="L201" s="439"/>
      <c r="M201" s="474">
        <f>IFERROR(VLOOKUP(C201,'פקודות נוספות'!$D$273:$G$797,4,0),0)</f>
        <v>-9028.94</v>
      </c>
      <c r="N201" s="1104">
        <f t="shared" si="51"/>
        <v>3.1099996234330938</v>
      </c>
      <c r="O201" s="1114"/>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row>
    <row r="202" spans="1:50">
      <c r="B202" s="3659" t="s">
        <v>1025</v>
      </c>
      <c r="C202" s="705">
        <v>2170223</v>
      </c>
      <c r="D202" s="601" t="s">
        <v>4665</v>
      </c>
      <c r="E202" s="474">
        <f>IFERROR(VLOOKUP(C202,'פקודות נוספות'!$D$274:$F$797,3,0),0)</f>
        <v>-758</v>
      </c>
      <c r="F202" s="49">
        <f>SUMIF('פקודות נוספות'!C:C,C:C,'פקודות נוספות'!E:E)</f>
        <v>0</v>
      </c>
      <c r="J202" s="474">
        <f t="shared" si="50"/>
        <v>-758</v>
      </c>
      <c r="K202" s="474">
        <f>M202+SUMIF('פקודות נוספות'!C:C,'מאזן בוחן'!C202,'פקודות נוספות'!F:F)</f>
        <v>-243.73</v>
      </c>
      <c r="L202" s="439"/>
      <c r="M202" s="474">
        <f>IFERROR(VLOOKUP(C202,'פקודות נוספות'!$D$273:$G$797,4,0),0)</f>
        <v>-243.73</v>
      </c>
      <c r="N202" s="1104">
        <f t="shared" si="51"/>
        <v>3.109998769129775</v>
      </c>
      <c r="O202" s="1114"/>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row>
    <row r="203" spans="1:50">
      <c r="B203" s="3659" t="s">
        <v>1025</v>
      </c>
      <c r="C203" s="705">
        <v>2170320</v>
      </c>
      <c r="D203" s="601" t="s">
        <v>4666</v>
      </c>
      <c r="E203" s="474">
        <f>IFERROR(VLOOKUP(C203,'פקודות נוספות'!$D$274:$F$797,3,0),0)</f>
        <v>-3042</v>
      </c>
      <c r="F203" s="49">
        <f>SUMIF('פקודות נוספות'!C:C,C:C,'פקודות נוספות'!E:E)</f>
        <v>0</v>
      </c>
      <c r="J203" s="474">
        <f t="shared" si="50"/>
        <v>-3042</v>
      </c>
      <c r="K203" s="474">
        <f>M203+SUMIF('פקודות נוספות'!C:C,'מאזן בוחן'!C203,'פקודות נוספות'!F:F)</f>
        <v>-978.14</v>
      </c>
      <c r="L203" s="439"/>
      <c r="M203" s="474">
        <f>IFERROR(VLOOKUP(C203,'פקודות נוספות'!$D$273:$G$797,4,0),0)</f>
        <v>-978.14</v>
      </c>
      <c r="N203" s="1104">
        <f t="shared" si="51"/>
        <v>3.1099842558324986</v>
      </c>
      <c r="O203" s="1114"/>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row>
    <row r="204" spans="1:50">
      <c r="B204" s="3659" t="s">
        <v>1025</v>
      </c>
      <c r="C204" s="705">
        <v>2170412</v>
      </c>
      <c r="D204" s="601" t="s">
        <v>4667</v>
      </c>
      <c r="E204" s="474">
        <f>IFERROR(VLOOKUP(C204,'פקודות נוספות'!$D$274:$F$797,3,0),0)</f>
        <v>-5031</v>
      </c>
      <c r="F204" s="49">
        <f>SUMIF('פקודות נוספות'!C:C,C:C,'פקודות נוספות'!E:E)</f>
        <v>0</v>
      </c>
      <c r="J204" s="474">
        <f t="shared" si="50"/>
        <v>-5031</v>
      </c>
      <c r="K204" s="474">
        <f>M204+SUMIF('פקודות נוספות'!C:C,'מאזן בוחן'!C204,'פקודות נוספות'!F:F)</f>
        <v>-1617.68</v>
      </c>
      <c r="L204" s="439"/>
      <c r="M204" s="474">
        <f>IFERROR(VLOOKUP(C204,'פקודות נוספות'!$D$273:$G$797,4,0),0)</f>
        <v>-1617.68</v>
      </c>
      <c r="N204" s="1104">
        <f t="shared" si="51"/>
        <v>3.1100093961722961</v>
      </c>
      <c r="O204" s="1114"/>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row>
    <row r="205" spans="1:50">
      <c r="B205" s="3659" t="s">
        <v>1025</v>
      </c>
      <c r="C205" s="705">
        <v>2170461</v>
      </c>
      <c r="D205" s="601" t="s">
        <v>4759</v>
      </c>
      <c r="E205" s="474">
        <f>IFERROR(VLOOKUP(C205,'פקודות נוספות'!$D$274:$F$797,3,0),0)</f>
        <v>-162779.76</v>
      </c>
      <c r="F205" s="49">
        <f>SUMIF('פקודות נוספות'!C:C,C:C,'פקודות נוספות'!E:E)</f>
        <v>0</v>
      </c>
      <c r="J205" s="474">
        <f t="shared" si="50"/>
        <v>-162779.76</v>
      </c>
      <c r="K205" s="474">
        <f>M205+SUMIF('פקודות נוספות'!C:C,'מאזן בוחן'!C205,'פקודות נוספות'!F:F)</f>
        <v>-52340.76</v>
      </c>
      <c r="L205" s="439"/>
      <c r="M205" s="474">
        <f>IFERROR(VLOOKUP(C205,'פקודות נוספות'!$D$273:$G$797,4,0),0)</f>
        <v>-52340.76</v>
      </c>
      <c r="N205" s="1104">
        <f t="shared" si="51"/>
        <v>3.1099999312199516</v>
      </c>
      <c r="O205" s="1114"/>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row>
    <row r="206" spans="1:50">
      <c r="B206" s="3659" t="s">
        <v>1025</v>
      </c>
      <c r="C206" s="705">
        <v>2170463</v>
      </c>
      <c r="D206" s="601" t="s">
        <v>4668</v>
      </c>
      <c r="E206" s="474">
        <f>IFERROR(VLOOKUP(C206,'פקודות נוספות'!$D$274:$F$797,3,0),0)</f>
        <v>-94126.5</v>
      </c>
      <c r="F206" s="49">
        <f>SUMIF('פקודות נוספות'!C:C,C:C,'פקודות נוספות'!E:E)</f>
        <v>0</v>
      </c>
      <c r="J206" s="474">
        <f t="shared" si="50"/>
        <v>-94126.5</v>
      </c>
      <c r="K206" s="474">
        <f>M206+SUMIF('פקודות נוספות'!C:C,'מאזן בוחן'!C206,'פקודות נוספות'!F:F)</f>
        <v>-30265.759999999998</v>
      </c>
      <c r="L206" s="439"/>
      <c r="M206" s="474">
        <f>IFERROR(VLOOKUP(C206,'פקודות נוספות'!$D$273:$G$797,4,0),0)</f>
        <v>-30265.759999999998</v>
      </c>
      <c r="N206" s="1104">
        <f t="shared" si="51"/>
        <v>3.1099995506473324</v>
      </c>
      <c r="O206" s="1114"/>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row>
    <row r="207" spans="1:50">
      <c r="B207" s="3659" t="s">
        <v>1025</v>
      </c>
      <c r="C207" s="705">
        <v>2170464</v>
      </c>
      <c r="D207" s="601" t="s">
        <v>4669</v>
      </c>
      <c r="E207" s="474">
        <f>IFERROR(VLOOKUP(C207,'פקודות נוספות'!$D$274:$F$797,3,0),0)</f>
        <v>-9454.4</v>
      </c>
      <c r="F207" s="49">
        <f>SUMIF('פקודות נוספות'!C:C,C:C,'פקודות נוספות'!E:E)</f>
        <v>0</v>
      </c>
      <c r="J207" s="474">
        <f t="shared" si="50"/>
        <v>-9454.4</v>
      </c>
      <c r="K207" s="474">
        <f>M207+SUMIF('פקודות נוספות'!C:C,'מאזן בוחן'!C207,'פקודות נוספות'!F:F)</f>
        <v>-3040</v>
      </c>
      <c r="L207" s="439"/>
      <c r="M207" s="474">
        <f>IFERROR(VLOOKUP(C207,'פקודות נוספות'!$D$273:$G$797,4,0),0)</f>
        <v>-3040</v>
      </c>
      <c r="N207" s="1104">
        <f t="shared" si="51"/>
        <v>3.11</v>
      </c>
      <c r="O207" s="1114"/>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row>
    <row r="208" spans="1:50">
      <c r="B208" s="3659" t="s">
        <v>1025</v>
      </c>
      <c r="C208" s="705">
        <v>2170466</v>
      </c>
      <c r="D208" s="601" t="s">
        <v>4670</v>
      </c>
      <c r="E208" s="474">
        <f>IFERROR(VLOOKUP(C208,'פקודות נוספות'!$D$274:$F$797,3,0),0)</f>
        <v>-18660</v>
      </c>
      <c r="F208" s="49">
        <f>SUMIF('פקודות נוספות'!C:C,C:C,'פקודות נוספות'!E:E)</f>
        <v>0</v>
      </c>
      <c r="J208" s="474">
        <f t="shared" si="50"/>
        <v>-18660</v>
      </c>
      <c r="K208" s="474">
        <f>M208+SUMIF('פקודות נוספות'!C:C,'מאזן בוחן'!C208,'פקודות נוספות'!F:F)</f>
        <v>-6000</v>
      </c>
      <c r="L208" s="439"/>
      <c r="M208" s="474">
        <f>IFERROR(VLOOKUP(C208,'פקודות נוספות'!$D$273:$G$797,4,0),0)</f>
        <v>-6000</v>
      </c>
      <c r="N208" s="1104">
        <f t="shared" si="51"/>
        <v>3.11</v>
      </c>
      <c r="O208" s="1114"/>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row>
    <row r="209" spans="2:50">
      <c r="B209" s="3659" t="s">
        <v>1025</v>
      </c>
      <c r="C209" s="705">
        <v>2170467</v>
      </c>
      <c r="D209" s="601" t="s">
        <v>4671</v>
      </c>
      <c r="E209" s="474">
        <f>IFERROR(VLOOKUP(C209,'פקודות נוספות'!$D$274:$F$797,3,0),0)</f>
        <v>-4212</v>
      </c>
      <c r="F209" s="49">
        <f>SUMIF('פקודות נוספות'!C:C,C:C,'פקודות נוספות'!E:E)</f>
        <v>0</v>
      </c>
      <c r="J209" s="474">
        <f t="shared" si="50"/>
        <v>-4212</v>
      </c>
      <c r="K209" s="474">
        <f>M209+SUMIF('פקודות נוספות'!C:C,'מאזן בוחן'!C209,'פקודות נוספות'!F:F)</f>
        <v>-1354.34</v>
      </c>
      <c r="L209" s="439"/>
      <c r="M209" s="474">
        <f>IFERROR(VLOOKUP(C209,'פקודות נוספות'!$D$273:$G$797,4,0),0)</f>
        <v>-1354.34</v>
      </c>
      <c r="N209" s="1104">
        <f t="shared" si="51"/>
        <v>3.1100019197542714</v>
      </c>
      <c r="O209" s="1114"/>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row>
    <row r="210" spans="2:50">
      <c r="B210" s="3659" t="s">
        <v>1025</v>
      </c>
      <c r="C210" s="705">
        <v>2170468</v>
      </c>
      <c r="D210" s="601" t="s">
        <v>4672</v>
      </c>
      <c r="E210" s="474">
        <f>IFERROR(VLOOKUP(C210,'פקודות נוספות'!$D$274:$F$797,3,0),0)</f>
        <v>-1990</v>
      </c>
      <c r="F210" s="49">
        <f>SUMIF('פקודות נוספות'!C:C,C:C,'פקודות נוספות'!E:E)</f>
        <v>0</v>
      </c>
      <c r="J210" s="474">
        <f t="shared" si="50"/>
        <v>-1990</v>
      </c>
      <c r="K210" s="474">
        <f>M210+SUMIF('פקודות נוספות'!C:C,'מאזן בוחן'!C210,'פקודות נוספות'!F:F)</f>
        <v>-639.87</v>
      </c>
      <c r="L210" s="439"/>
      <c r="M210" s="474">
        <f>IFERROR(VLOOKUP(C210,'פקודות נוספות'!$D$273:$G$797,4,0),0)</f>
        <v>-639.87</v>
      </c>
      <c r="N210" s="1104">
        <f t="shared" si="51"/>
        <v>3.1100067201150234</v>
      </c>
      <c r="O210" s="1114"/>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row>
    <row r="211" spans="2:50">
      <c r="B211" s="3659" t="s">
        <v>1025</v>
      </c>
      <c r="C211" s="705">
        <v>2170473</v>
      </c>
      <c r="D211" s="601" t="s">
        <v>4760</v>
      </c>
      <c r="E211" s="474">
        <f>IFERROR(VLOOKUP(C211,'פקודות נוספות'!$D$274:$F$797,3,0),0)</f>
        <v>-44460</v>
      </c>
      <c r="F211" s="49">
        <f>SUMIF('פקודות נוספות'!C:C,C:C,'פקודות נוספות'!E:E)</f>
        <v>0</v>
      </c>
      <c r="J211" s="474">
        <f t="shared" si="50"/>
        <v>-44460</v>
      </c>
      <c r="K211" s="474">
        <f>M211+SUMIF('פקודות נוספות'!C:C,'מאזן בוחן'!C211,'פקודות נוספות'!F:F)</f>
        <v>-14295.82</v>
      </c>
      <c r="L211" s="439"/>
      <c r="M211" s="474">
        <f>IFERROR(VLOOKUP(C211,'פקודות נוספות'!$D$273:$G$797,4,0),0)</f>
        <v>-14295.82</v>
      </c>
      <c r="N211" s="1104">
        <f t="shared" si="51"/>
        <v>3.1099999860098966</v>
      </c>
      <c r="O211" s="1114"/>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row>
    <row r="212" spans="2:50">
      <c r="B212" s="3659" t="s">
        <v>1025</v>
      </c>
      <c r="C212" s="705">
        <v>2170488</v>
      </c>
      <c r="D212" s="601" t="s">
        <v>4673</v>
      </c>
      <c r="E212" s="474">
        <f>IFERROR(VLOOKUP(C212,'פקודות נוספות'!$D$274:$F$797,3,0),0)</f>
        <v>-27772.880000000001</v>
      </c>
      <c r="F212" s="49">
        <f>SUMIF('פקודות נוספות'!C:C,C:C,'פקודות נוספות'!E:E)</f>
        <v>0</v>
      </c>
      <c r="J212" s="474">
        <f t="shared" si="50"/>
        <v>-27772.880000000001</v>
      </c>
      <c r="K212" s="474">
        <f>M212+SUMIF('פקודות נוספות'!C:C,'מאזן בוחן'!C212,'פקודות נוספות'!F:F)</f>
        <v>-8930.19</v>
      </c>
      <c r="L212" s="439"/>
      <c r="M212" s="474">
        <f>IFERROR(VLOOKUP(C212,'פקודות נוספות'!$D$273:$G$797,4,0),0)</f>
        <v>-8930.19</v>
      </c>
      <c r="N212" s="1104">
        <f t="shared" si="51"/>
        <v>3.1099987794212662</v>
      </c>
      <c r="O212" s="1114"/>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row>
    <row r="213" spans="2:50">
      <c r="B213" s="3659" t="s">
        <v>1025</v>
      </c>
      <c r="C213" s="705">
        <v>2170494</v>
      </c>
      <c r="D213" s="601" t="s">
        <v>4674</v>
      </c>
      <c r="E213" s="474">
        <f>IFERROR(VLOOKUP(C213,'פקודות נוספות'!$D$274:$F$797,3,0),0)</f>
        <v>-544</v>
      </c>
      <c r="F213" s="49">
        <f>SUMIF('פקודות נוספות'!C:C,C:C,'פקודות נוספות'!E:E)</f>
        <v>0</v>
      </c>
      <c r="J213" s="474">
        <f t="shared" si="50"/>
        <v>-544</v>
      </c>
      <c r="K213" s="474">
        <f>M213+SUMIF('פקודות נוספות'!C:C,'מאזן בוחן'!C213,'פקודות נוספות'!F:F)</f>
        <v>-174.92</v>
      </c>
      <c r="L213" s="439"/>
      <c r="M213" s="474">
        <f>IFERROR(VLOOKUP(C213,'פקודות נוספות'!$D$273:$G$797,4,0),0)</f>
        <v>-174.92</v>
      </c>
      <c r="N213" s="1104">
        <f t="shared" si="51"/>
        <v>3.1099931397210154</v>
      </c>
      <c r="O213" s="1114"/>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row>
    <row r="214" spans="2:50">
      <c r="B214" s="3659" t="s">
        <v>1025</v>
      </c>
      <c r="C214" s="705">
        <v>2170496</v>
      </c>
      <c r="D214" s="601" t="s">
        <v>4675</v>
      </c>
      <c r="E214" s="474">
        <f>IFERROR(VLOOKUP(C214,'פקודות נוספות'!$D$274:$F$797,3,0),0)</f>
        <v>-37548.89</v>
      </c>
      <c r="F214" s="49">
        <f>SUMIF('פקודות נוספות'!C:C,C:C,'פקודות נוספות'!E:E)</f>
        <v>0</v>
      </c>
      <c r="J214" s="474">
        <f t="shared" si="50"/>
        <v>-37548.89</v>
      </c>
      <c r="K214" s="474">
        <f>M214+SUMIF('פקודות נוספות'!C:C,'מאזן בוחן'!C214,'פקודות נוספות'!F:F)</f>
        <v>-12073.6</v>
      </c>
      <c r="L214" s="439"/>
      <c r="M214" s="474">
        <f>IFERROR(VLOOKUP(C214,'פקודות נוספות'!$D$273:$G$797,4,0),0)</f>
        <v>-12073.6</v>
      </c>
      <c r="N214" s="1104">
        <f t="shared" si="51"/>
        <v>3.1099995030479723</v>
      </c>
      <c r="O214" s="1114"/>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row>
    <row r="215" spans="2:50">
      <c r="B215" s="3659" t="s">
        <v>1025</v>
      </c>
      <c r="C215" s="705">
        <v>2170498</v>
      </c>
      <c r="D215" s="601" t="s">
        <v>4676</v>
      </c>
      <c r="E215" s="474">
        <f>IFERROR(VLOOKUP(C215,'פקודות נוספות'!$D$274:$F$797,3,0),0)</f>
        <v>-1146.5999999999999</v>
      </c>
      <c r="F215" s="49">
        <f>SUMIF('פקודות נוספות'!C:C,C:C,'פקודות נוספות'!E:E)</f>
        <v>0</v>
      </c>
      <c r="J215" s="474">
        <f t="shared" si="50"/>
        <v>-1146.5999999999999</v>
      </c>
      <c r="K215" s="474">
        <f>M215+SUMIF('פקודות נוספות'!C:C,'מאזן בוחן'!C215,'פקודות נוספות'!F:F)</f>
        <v>-368.68</v>
      </c>
      <c r="L215" s="439"/>
      <c r="M215" s="474">
        <f>IFERROR(VLOOKUP(C215,'פקודות נוספות'!$D$273:$G$797,4,0),0)</f>
        <v>-368.68</v>
      </c>
      <c r="N215" s="1104">
        <f t="shared" si="51"/>
        <v>3.1100141043723553</v>
      </c>
      <c r="O215" s="1114"/>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row>
    <row r="216" spans="2:50">
      <c r="B216" s="3659" t="s">
        <v>1025</v>
      </c>
      <c r="C216" s="705">
        <v>2170502</v>
      </c>
      <c r="D216" s="601" t="s">
        <v>4677</v>
      </c>
      <c r="E216" s="474">
        <f>IFERROR(VLOOKUP(C216,'פקודות נוספות'!$D$274:$F$797,3,0),0)</f>
        <v>-1457</v>
      </c>
      <c r="F216" s="49">
        <f>SUMIF('פקודות נוספות'!C:C,C:C,'פקודות נוספות'!E:E)</f>
        <v>0</v>
      </c>
      <c r="J216" s="474">
        <f t="shared" si="50"/>
        <v>-1457</v>
      </c>
      <c r="K216" s="474">
        <f>M216+SUMIF('פקודות נוספות'!C:C,'מאזן בוחן'!C216,'פקודות נוספות'!F:F)</f>
        <v>-468.49</v>
      </c>
      <c r="L216" s="439"/>
      <c r="M216" s="474">
        <f>IFERROR(VLOOKUP(C216,'פקודות נוספות'!$D$273:$G$797,4,0),0)</f>
        <v>-468.49</v>
      </c>
      <c r="N216" s="1104">
        <f t="shared" si="51"/>
        <v>3.109991675382612</v>
      </c>
      <c r="O216" s="1114"/>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row>
    <row r="217" spans="2:50">
      <c r="B217" s="3659" t="s">
        <v>1025</v>
      </c>
      <c r="C217" s="705">
        <v>2170503</v>
      </c>
      <c r="D217" s="601" t="s">
        <v>4678</v>
      </c>
      <c r="E217" s="474">
        <f>IFERROR(VLOOKUP(C217,'פקודות נוספות'!$D$274:$F$797,3,0),0)</f>
        <v>0</v>
      </c>
      <c r="F217" s="49">
        <f>SUMIF('פקודות נוספות'!C:C,C:C,'פקודות נוספות'!E:E)</f>
        <v>0</v>
      </c>
      <c r="J217" s="474">
        <f t="shared" si="50"/>
        <v>0</v>
      </c>
      <c r="K217" s="474">
        <f>M217+SUMIF('פקודות נוספות'!C:C,'מאזן בוחן'!C217,'פקודות נוספות'!F:F)</f>
        <v>0</v>
      </c>
      <c r="L217" s="439"/>
      <c r="M217" s="474">
        <f>IFERROR(VLOOKUP(C217,'פקודות נוספות'!$D$273:$G$797,4,0),0)</f>
        <v>0</v>
      </c>
      <c r="N217" s="1104" t="str">
        <f t="shared" si="51"/>
        <v>-</v>
      </c>
      <c r="O217" s="1114"/>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row>
    <row r="218" spans="2:50">
      <c r="B218" s="3659" t="s">
        <v>1025</v>
      </c>
      <c r="C218" s="705">
        <v>2170505</v>
      </c>
      <c r="D218" s="601" t="s">
        <v>4761</v>
      </c>
      <c r="E218" s="474">
        <f>IFERROR(VLOOKUP(C218,'פקודות נוספות'!$D$274:$F$797,3,0),0)</f>
        <v>-89431.97</v>
      </c>
      <c r="F218" s="49">
        <f>SUMIF('פקודות נוספות'!C:C,C:C,'פקודות נוספות'!E:E)</f>
        <v>0</v>
      </c>
      <c r="J218" s="474">
        <f t="shared" si="50"/>
        <v>-89431.97</v>
      </c>
      <c r="K218" s="474">
        <f>M218+SUMIF('פקודות נוספות'!C:C,'מאזן בוחן'!C218,'פקודות נוספות'!F:F)</f>
        <v>-28756.26</v>
      </c>
      <c r="L218" s="439"/>
      <c r="M218" s="474">
        <f>IFERROR(VLOOKUP(C218,'פקודות נוספות'!$D$273:$G$797,4,0),0)</f>
        <v>-28756.26</v>
      </c>
      <c r="N218" s="1104">
        <f t="shared" si="51"/>
        <v>3.1100000486850519</v>
      </c>
      <c r="O218" s="1114"/>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row>
    <row r="219" spans="2:50">
      <c r="B219" s="3659" t="s">
        <v>1033</v>
      </c>
      <c r="C219" s="705">
        <v>2170358</v>
      </c>
      <c r="D219" s="601" t="s">
        <v>2057</v>
      </c>
      <c r="E219" s="474">
        <f>IFERROR(VLOOKUP(C219,'פקודות נוספות'!$D$274:$F$797,3,0),0)</f>
        <v>-36946.800000000003</v>
      </c>
      <c r="F219" s="49">
        <f>SUMIF('פקודות נוספות'!C:C,C:C,'פקודות נוספות'!E:E)</f>
        <v>0</v>
      </c>
      <c r="J219" s="474">
        <f t="shared" si="50"/>
        <v>-36946.800000000003</v>
      </c>
      <c r="K219" s="474">
        <f>M219+SUMIF('פקודות נוספות'!C:C,'מאזן בוחן'!C219,'פקודות נוספות'!F:F)</f>
        <v>-11880</v>
      </c>
      <c r="L219" s="439"/>
      <c r="M219" s="474">
        <f>IFERROR(VLOOKUP(C219,'פקודות נוספות'!$D$273:$G$797,4,0),0)</f>
        <v>-11880</v>
      </c>
      <c r="N219" s="1104">
        <f t="shared" si="51"/>
        <v>3.1100000000000003</v>
      </c>
      <c r="O219" s="1114"/>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row>
    <row r="220" spans="2:50">
      <c r="B220" s="3659" t="s">
        <v>1033</v>
      </c>
      <c r="C220" s="705">
        <v>2170492</v>
      </c>
      <c r="D220" s="601" t="s">
        <v>4679</v>
      </c>
      <c r="E220" s="474">
        <f>IFERROR(VLOOKUP(C220,'פקודות נוספות'!$D$274:$F$797,3,0),0)</f>
        <v>-3660.47</v>
      </c>
      <c r="F220" s="49">
        <f>SUMIF('פקודות נוספות'!C:C,C:C,'פקודות נוספות'!E:E)</f>
        <v>0</v>
      </c>
      <c r="J220" s="474">
        <f t="shared" si="50"/>
        <v>-3660.47</v>
      </c>
      <c r="K220" s="474">
        <f>M220+SUMIF('פקודות נוספות'!C:C,'מאזן בוחן'!C220,'פקודות נוספות'!F:F)</f>
        <v>-1177</v>
      </c>
      <c r="L220" s="439"/>
      <c r="M220" s="474">
        <f>IFERROR(VLOOKUP(C220,'פקודות נוספות'!$D$273:$G$797,4,0),0)</f>
        <v>-1177</v>
      </c>
      <c r="N220" s="1104">
        <f t="shared" si="51"/>
        <v>3.11</v>
      </c>
      <c r="O220" s="1114"/>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row>
    <row r="221" spans="2:50">
      <c r="B221" s="3659" t="s">
        <v>1033</v>
      </c>
      <c r="C221" s="705">
        <v>2170493</v>
      </c>
      <c r="D221" s="601" t="s">
        <v>4680</v>
      </c>
      <c r="E221" s="474">
        <f>IFERROR(VLOOKUP(C221,'פקודות נוספות'!$D$274:$F$797,3,0),0)</f>
        <v>-62200</v>
      </c>
      <c r="F221" s="49">
        <f>SUMIF('פקודות נוספות'!C:C,C:C,'פקודות נוספות'!E:E)</f>
        <v>0</v>
      </c>
      <c r="J221" s="474">
        <f t="shared" si="50"/>
        <v>-62200</v>
      </c>
      <c r="K221" s="474">
        <f>M221+SUMIF('פקודות נוספות'!C:C,'מאזן בוחן'!C221,'פקודות נוספות'!F:F)</f>
        <v>-20000</v>
      </c>
      <c r="L221" s="439"/>
      <c r="M221" s="474">
        <f>IFERROR(VLOOKUP(C221,'פקודות נוספות'!$D$273:$G$797,4,0),0)</f>
        <v>-20000</v>
      </c>
      <c r="N221" s="1104">
        <f t="shared" si="51"/>
        <v>3.11</v>
      </c>
      <c r="O221" s="1114"/>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row>
    <row r="222" spans="2:50">
      <c r="B222" s="3659" t="s">
        <v>1025</v>
      </c>
      <c r="C222" s="705">
        <v>2170486</v>
      </c>
      <c r="D222" s="601" t="s">
        <v>4539</v>
      </c>
      <c r="E222" s="474">
        <f>IFERROR(VLOOKUP(C222,'פקודות נוספות'!$D$274:$F$797,3,0),0)</f>
        <v>0</v>
      </c>
      <c r="F222" s="49">
        <f>SUMIF('פקודות נוספות'!C:C,C:C,'פקודות נוספות'!E:E)</f>
        <v>0</v>
      </c>
      <c r="J222" s="474">
        <f t="shared" ref="J222:J223" si="52">SUM(E222:I222)</f>
        <v>0</v>
      </c>
      <c r="K222" s="474">
        <f>M222+SUMIF('פקודות נוספות'!C:C,'מאזן בוחן'!C222,'פקודות נוספות'!F:F)</f>
        <v>0</v>
      </c>
      <c r="L222" s="439"/>
      <c r="M222" s="474">
        <f>IFERROR(VLOOKUP(C222,'פקודות נוספות'!$D$273:$G$797,4,0),0)</f>
        <v>0</v>
      </c>
      <c r="N222" s="1104" t="str">
        <f t="shared" ref="N222:N223" si="53">IF(K222=0,"-",J222/K222)</f>
        <v>-</v>
      </c>
      <c r="O222" s="1114"/>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row>
    <row r="223" spans="2:50">
      <c r="B223" s="3659" t="s">
        <v>1033</v>
      </c>
      <c r="C223" s="705">
        <v>2170389</v>
      </c>
      <c r="D223" s="601" t="s">
        <v>4540</v>
      </c>
      <c r="E223" s="474">
        <f>IFERROR(VLOOKUP(C223,'פקודות נוספות'!$D$274:$F$797,3,0),0)</f>
        <v>-214590</v>
      </c>
      <c r="F223" s="49">
        <f>SUMIF('פקודות נוספות'!C:C,C:C,'פקודות נוספות'!E:E)</f>
        <v>0</v>
      </c>
      <c r="J223" s="474">
        <f t="shared" si="52"/>
        <v>-214590</v>
      </c>
      <c r="K223" s="474">
        <f>M223+SUMIF('פקודות נוספות'!C:C,'מאזן בוחן'!C223,'פקודות נוספות'!F:F)</f>
        <v>-69000</v>
      </c>
      <c r="L223" s="439"/>
      <c r="M223" s="474">
        <f>IFERROR(VLOOKUP(C223,'פקודות נוספות'!$D$273:$G$797,4,0),0)</f>
        <v>-69000</v>
      </c>
      <c r="N223" s="1104">
        <f t="shared" si="53"/>
        <v>3.11</v>
      </c>
      <c r="O223" s="1114"/>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row>
    <row r="224" spans="2:50">
      <c r="B224" s="3659" t="s">
        <v>1025</v>
      </c>
      <c r="C224" s="705">
        <v>2170469</v>
      </c>
      <c r="D224" s="601" t="s">
        <v>4458</v>
      </c>
      <c r="E224" s="474">
        <f>IFERROR(VLOOKUP(C224,'פקודות נוספות'!$D$274:$F$797,3,0),0)</f>
        <v>0</v>
      </c>
      <c r="F224" s="49">
        <f>SUMIF('פקודות נוספות'!C:C,C:C,'פקודות נוספות'!E:E)</f>
        <v>0</v>
      </c>
      <c r="J224" s="474">
        <f t="shared" ref="J224:J235" si="54">SUM(E224:I224)</f>
        <v>0</v>
      </c>
      <c r="K224" s="474">
        <f>M224+SUMIF('פקודות נוספות'!C:C,'מאזן בוחן'!C224,'פקודות נוספות'!F:F)</f>
        <v>0</v>
      </c>
      <c r="L224" s="439"/>
      <c r="M224" s="474">
        <f>IFERROR(VLOOKUP(C224,'פקודות נוספות'!$D$273:$G$797,4,0),0)</f>
        <v>0</v>
      </c>
      <c r="N224" s="1104" t="str">
        <f t="shared" ref="N224:N235" si="55">IF(K224=0,"-",J224/K224)</f>
        <v>-</v>
      </c>
      <c r="O224" s="1114"/>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row>
    <row r="225" spans="2:50">
      <c r="B225" s="3659" t="s">
        <v>1025</v>
      </c>
      <c r="C225" s="705">
        <v>2170470</v>
      </c>
      <c r="D225" s="601" t="s">
        <v>4535</v>
      </c>
      <c r="E225" s="474">
        <f>IFERROR(VLOOKUP(C225,'פקודות נוספות'!$D$274:$F$797,3,0),0)</f>
        <v>0</v>
      </c>
      <c r="F225" s="49">
        <f>SUMIF('פקודות נוספות'!C:C,C:C,'פקודות נוספות'!E:E)</f>
        <v>0</v>
      </c>
      <c r="J225" s="474">
        <f t="shared" si="54"/>
        <v>0</v>
      </c>
      <c r="K225" s="474">
        <f>M225+SUMIF('פקודות נוספות'!C:C,'מאזן בוחן'!C225,'פקודות נוספות'!F:F)</f>
        <v>0</v>
      </c>
      <c r="L225" s="439"/>
      <c r="M225" s="474">
        <f>IFERROR(VLOOKUP(C225,'פקודות נוספות'!$D$273:$G$797,4,0),0)</f>
        <v>0</v>
      </c>
      <c r="N225" s="1104" t="str">
        <f t="shared" si="55"/>
        <v>-</v>
      </c>
      <c r="O225" s="1114"/>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row>
    <row r="226" spans="2:50">
      <c r="B226" s="3659" t="s">
        <v>1025</v>
      </c>
      <c r="C226" s="705">
        <v>2170475</v>
      </c>
      <c r="D226" s="601" t="s">
        <v>4459</v>
      </c>
      <c r="E226" s="474">
        <f>IFERROR(VLOOKUP(C226,'פקודות נוספות'!$D$274:$F$797,3,0),0)</f>
        <v>0</v>
      </c>
      <c r="F226" s="49">
        <f>SUMIF('פקודות נוספות'!C:C,C:C,'פקודות נוספות'!E:E)</f>
        <v>0</v>
      </c>
      <c r="J226" s="474">
        <f t="shared" si="54"/>
        <v>0</v>
      </c>
      <c r="K226" s="474">
        <f>M226+SUMIF('פקודות נוספות'!C:C,'מאזן בוחן'!C226,'פקודות נוספות'!F:F)</f>
        <v>0</v>
      </c>
      <c r="L226" s="439"/>
      <c r="M226" s="474">
        <f>IFERROR(VLOOKUP(C226,'פקודות נוספות'!$D$273:$G$797,4,0),0)</f>
        <v>0</v>
      </c>
      <c r="N226" s="1104" t="str">
        <f t="shared" si="55"/>
        <v>-</v>
      </c>
      <c r="O226" s="1114"/>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row>
    <row r="227" spans="2:50">
      <c r="B227" s="3659" t="s">
        <v>1025</v>
      </c>
      <c r="C227" s="705">
        <v>2170478</v>
      </c>
      <c r="D227" s="601" t="s">
        <v>4460</v>
      </c>
      <c r="E227" s="474">
        <f>IFERROR(VLOOKUP(C227,'פקודות נוספות'!$D$274:$F$797,3,0),0)</f>
        <v>0</v>
      </c>
      <c r="F227" s="49">
        <f>SUMIF('פקודות נוספות'!C:C,C:C,'פקודות נוספות'!E:E)</f>
        <v>0</v>
      </c>
      <c r="J227" s="474">
        <f t="shared" si="54"/>
        <v>0</v>
      </c>
      <c r="K227" s="474">
        <f>M227+SUMIF('פקודות נוספות'!C:C,'מאזן בוחן'!C227,'פקודות נוספות'!F:F)</f>
        <v>0</v>
      </c>
      <c r="L227" s="439"/>
      <c r="M227" s="474">
        <f>IFERROR(VLOOKUP(C227,'פקודות נוספות'!$D$273:$G$797,4,0),0)</f>
        <v>0</v>
      </c>
      <c r="N227" s="1104" t="str">
        <f t="shared" si="55"/>
        <v>-</v>
      </c>
      <c r="O227" s="1114"/>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row>
    <row r="228" spans="2:50">
      <c r="B228" s="3659" t="s">
        <v>1025</v>
      </c>
      <c r="C228" s="705">
        <v>2170479</v>
      </c>
      <c r="D228" s="601" t="s">
        <v>4461</v>
      </c>
      <c r="E228" s="474">
        <f>IFERROR(VLOOKUP(C228,'פקודות נוספות'!$D$274:$F$797,3,0),0)</f>
        <v>-18205</v>
      </c>
      <c r="F228" s="49">
        <f>SUMIF('פקודות נוספות'!C:C,C:C,'פקודות נוספות'!E:E)</f>
        <v>0</v>
      </c>
      <c r="J228" s="474">
        <f t="shared" si="54"/>
        <v>-18205</v>
      </c>
      <c r="K228" s="474">
        <f>M228+SUMIF('פקודות נוספות'!C:C,'מאזן בוחן'!C228,'פקודות נוספות'!F:F)</f>
        <v>-5853.7</v>
      </c>
      <c r="L228" s="439"/>
      <c r="M228" s="474">
        <f>IFERROR(VLOOKUP(C228,'פקודות נוספות'!$D$273:$G$797,4,0),0)</f>
        <v>-5853.7</v>
      </c>
      <c r="N228" s="1104">
        <f t="shared" si="55"/>
        <v>3.1099988041751372</v>
      </c>
      <c r="O228" s="1114"/>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row>
    <row r="229" spans="2:50">
      <c r="B229" s="3659" t="s">
        <v>1025</v>
      </c>
      <c r="C229" s="705">
        <v>2170480</v>
      </c>
      <c r="D229" s="601" t="s">
        <v>4462</v>
      </c>
      <c r="E229" s="474">
        <f>IFERROR(VLOOKUP(C229,'פקודות נוספות'!$D$274:$F$797,3,0),0)</f>
        <v>0</v>
      </c>
      <c r="F229" s="49">
        <f>SUMIF('פקודות נוספות'!C:C,C:C,'פקודות נוספות'!E:E)</f>
        <v>0</v>
      </c>
      <c r="J229" s="474">
        <f t="shared" si="54"/>
        <v>0</v>
      </c>
      <c r="K229" s="474">
        <f>M229+SUMIF('פקודות נוספות'!C:C,'מאזן בוחן'!C229,'פקודות נוספות'!F:F)</f>
        <v>0</v>
      </c>
      <c r="L229" s="439"/>
      <c r="M229" s="474">
        <f>IFERROR(VLOOKUP(C229,'פקודות נוספות'!$D$273:$G$797,4,0),0)</f>
        <v>0</v>
      </c>
      <c r="N229" s="1104" t="str">
        <f t="shared" si="55"/>
        <v>-</v>
      </c>
      <c r="O229" s="1114"/>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row>
    <row r="230" spans="2:50">
      <c r="B230" s="3659" t="s">
        <v>1025</v>
      </c>
      <c r="C230" s="705">
        <v>2170481</v>
      </c>
      <c r="D230" s="601" t="s">
        <v>4463</v>
      </c>
      <c r="E230" s="474">
        <f>IFERROR(VLOOKUP(C230,'פקודות נוספות'!$D$274:$F$797,3,0),0)</f>
        <v>0</v>
      </c>
      <c r="F230" s="49">
        <f>SUMIF('פקודות נוספות'!C:C,C:C,'פקודות נוספות'!E:E)</f>
        <v>0</v>
      </c>
      <c r="J230" s="474">
        <f t="shared" si="54"/>
        <v>0</v>
      </c>
      <c r="K230" s="474">
        <f>M230+SUMIF('פקודות נוספות'!C:C,'מאזן בוחן'!C230,'פקודות נוספות'!F:F)</f>
        <v>0</v>
      </c>
      <c r="L230" s="439"/>
      <c r="M230" s="474">
        <f>IFERROR(VLOOKUP(C230,'פקודות נוספות'!$D$273:$G$797,4,0),0)</f>
        <v>0</v>
      </c>
      <c r="N230" s="1104" t="str">
        <f t="shared" si="55"/>
        <v>-</v>
      </c>
      <c r="O230" s="1114"/>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row>
    <row r="231" spans="2:50">
      <c r="B231" s="3659" t="s">
        <v>1025</v>
      </c>
      <c r="C231" s="705">
        <v>2170485</v>
      </c>
      <c r="D231" s="601" t="s">
        <v>4464</v>
      </c>
      <c r="E231" s="474">
        <f>IFERROR(VLOOKUP(C231,'פקודות נוספות'!$D$274:$F$797,3,0),0)</f>
        <v>0</v>
      </c>
      <c r="F231" s="49">
        <f>SUMIF('פקודות נוספות'!C:C,C:C,'פקודות נוספות'!E:E)</f>
        <v>0</v>
      </c>
      <c r="J231" s="474">
        <f t="shared" si="54"/>
        <v>0</v>
      </c>
      <c r="K231" s="474">
        <f>M231+SUMIF('פקודות נוספות'!C:C,'מאזן בוחן'!C231,'פקודות נוספות'!F:F)</f>
        <v>0</v>
      </c>
      <c r="L231" s="439"/>
      <c r="M231" s="474">
        <f>IFERROR(VLOOKUP(C231,'פקודות נוספות'!$D$273:$G$797,4,0),0)</f>
        <v>0</v>
      </c>
      <c r="N231" s="1104" t="str">
        <f t="shared" si="55"/>
        <v>-</v>
      </c>
      <c r="O231" s="1114"/>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row>
    <row r="232" spans="2:50">
      <c r="B232" s="3659" t="s">
        <v>1033</v>
      </c>
      <c r="C232" s="705">
        <v>2170315</v>
      </c>
      <c r="D232" s="601" t="s">
        <v>4536</v>
      </c>
      <c r="E232" s="474">
        <f>IFERROR(VLOOKUP(C232,'פקודות נוספות'!$D$274:$F$797,3,0),0)</f>
        <v>0</v>
      </c>
      <c r="F232" s="49">
        <f>SUMIF('פקודות נוספות'!C:C,C:C,'פקודות נוספות'!E:E)</f>
        <v>0</v>
      </c>
      <c r="J232" s="474">
        <f t="shared" si="54"/>
        <v>0</v>
      </c>
      <c r="K232" s="474">
        <f>M232+SUMIF('פקודות נוספות'!C:C,'מאזן בוחן'!C232,'פקודות נוספות'!F:F)</f>
        <v>0</v>
      </c>
      <c r="L232" s="439"/>
      <c r="M232" s="474">
        <f>IFERROR(VLOOKUP(C232,'פקודות נוספות'!$D$273:$G$797,4,0),0)</f>
        <v>0</v>
      </c>
      <c r="N232" s="1104" t="str">
        <f t="shared" si="55"/>
        <v>-</v>
      </c>
      <c r="O232" s="1114"/>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row>
    <row r="233" spans="2:50">
      <c r="B233" s="3659" t="s">
        <v>1033</v>
      </c>
      <c r="C233" s="705">
        <v>2170431</v>
      </c>
      <c r="D233" s="601" t="s">
        <v>4537</v>
      </c>
      <c r="E233" s="474">
        <f>IFERROR(VLOOKUP(C233,'פקודות נוספות'!$D$274:$F$797,3,0),0)</f>
        <v>0</v>
      </c>
      <c r="F233" s="49">
        <f>SUMIF('פקודות נוספות'!C:C,C:C,'פקודות נוספות'!E:E)</f>
        <v>0</v>
      </c>
      <c r="J233" s="474">
        <f t="shared" si="54"/>
        <v>0</v>
      </c>
      <c r="K233" s="474">
        <f>M233+SUMIF('פקודות נוספות'!C:C,'מאזן בוחן'!C233,'פקודות נוספות'!F:F)</f>
        <v>0</v>
      </c>
      <c r="L233" s="439"/>
      <c r="M233" s="474">
        <f>IFERROR(VLOOKUP(C233,'פקודות נוספות'!$D$273:$G$797,4,0),0)</f>
        <v>0</v>
      </c>
      <c r="N233" s="1104" t="str">
        <f t="shared" si="55"/>
        <v>-</v>
      </c>
      <c r="O233" s="1114"/>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row>
    <row r="234" spans="2:50">
      <c r="B234" s="3659" t="s">
        <v>1033</v>
      </c>
      <c r="C234" s="705">
        <v>2170474</v>
      </c>
      <c r="D234" s="601" t="s">
        <v>4465</v>
      </c>
      <c r="E234" s="474">
        <f>IFERROR(VLOOKUP(C234,'פקודות נוספות'!$D$274:$F$797,3,0),0)</f>
        <v>0</v>
      </c>
      <c r="F234" s="49">
        <f>SUMIF('פקודות נוספות'!C:C,C:C,'פקודות נוספות'!E:E)</f>
        <v>0</v>
      </c>
      <c r="J234" s="474">
        <f t="shared" si="54"/>
        <v>0</v>
      </c>
      <c r="K234" s="474">
        <f>M234+SUMIF('פקודות נוספות'!C:C,'מאזן בוחן'!C234,'פקודות נוספות'!F:F)</f>
        <v>0</v>
      </c>
      <c r="L234" s="439"/>
      <c r="M234" s="474">
        <f>IFERROR(VLOOKUP(C234,'פקודות נוספות'!$D$273:$G$797,4,0),0)</f>
        <v>0</v>
      </c>
      <c r="N234" s="1104" t="str">
        <f t="shared" si="55"/>
        <v>-</v>
      </c>
      <c r="O234" s="1114"/>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row>
    <row r="235" spans="2:50">
      <c r="B235" s="3659" t="s">
        <v>1033</v>
      </c>
      <c r="C235" s="705">
        <v>2170491</v>
      </c>
      <c r="D235" s="601" t="s">
        <v>4466</v>
      </c>
      <c r="E235" s="474">
        <f>IFERROR(VLOOKUP(C235,'פקודות נוספות'!$D$274:$F$797,3,0),0)</f>
        <v>0</v>
      </c>
      <c r="F235" s="49">
        <f>SUMIF('פקודות נוספות'!C:C,C:C,'פקודות נוספות'!E:E)</f>
        <v>0</v>
      </c>
      <c r="J235" s="474">
        <f t="shared" si="54"/>
        <v>0</v>
      </c>
      <c r="K235" s="474">
        <f>M235+SUMIF('פקודות נוספות'!C:C,'מאזן בוחן'!C235,'פקודות נוספות'!F:F)</f>
        <v>0</v>
      </c>
      <c r="L235" s="439"/>
      <c r="M235" s="474">
        <f>IFERROR(VLOOKUP(C235,'פקודות נוספות'!$D$273:$G$797,4,0),0)</f>
        <v>0</v>
      </c>
      <c r="N235" s="1104" t="str">
        <f t="shared" si="55"/>
        <v>-</v>
      </c>
      <c r="O235" s="1114"/>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row>
    <row r="236" spans="2:50">
      <c r="B236" s="3659" t="s">
        <v>1025</v>
      </c>
      <c r="C236" s="705">
        <v>2170310</v>
      </c>
      <c r="D236" s="601" t="s">
        <v>4455</v>
      </c>
      <c r="E236" s="474">
        <f>IFERROR(VLOOKUP(C236,'פקודות נוספות'!$D$274:$F$797,3,0),0)</f>
        <v>0</v>
      </c>
      <c r="F236" s="49">
        <f>SUMIF('פקודות נוספות'!C:C,C:C,'פקודות נוספות'!E:E)</f>
        <v>0</v>
      </c>
      <c r="J236" s="474">
        <f t="shared" ref="J236:J238" si="56">SUM(E236:I236)</f>
        <v>0</v>
      </c>
      <c r="K236" s="474">
        <f>M236+SUMIF('פקודות נוספות'!C:C,'מאזן בוחן'!C236,'פקודות נוספות'!F:F)</f>
        <v>0</v>
      </c>
      <c r="L236" s="439"/>
      <c r="M236" s="474">
        <f>IFERROR(VLOOKUP(C236,'פקודות נוספות'!$D$273:$G$797,4,0),0)</f>
        <v>0</v>
      </c>
      <c r="N236" s="1104" t="str">
        <f t="shared" ref="N236:N238" si="57">IF(K236=0,"-",J236/K236)</f>
        <v>-</v>
      </c>
      <c r="O236" s="1114"/>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row>
    <row r="237" spans="2:50">
      <c r="B237" s="3659" t="s">
        <v>1025</v>
      </c>
      <c r="C237" s="705">
        <v>2170374</v>
      </c>
      <c r="D237" s="601" t="s">
        <v>4456</v>
      </c>
      <c r="E237" s="474">
        <f>IFERROR(VLOOKUP(C237,'פקודות נוספות'!$D$274:$F$797,3,0),0)</f>
        <v>-874.1</v>
      </c>
      <c r="F237" s="49">
        <f>SUMIF('פקודות נוספות'!C:C,C:C,'פקודות נוספות'!E:E)</f>
        <v>0</v>
      </c>
      <c r="J237" s="474">
        <f t="shared" ref="J237" si="58">SUM(E237:I237)</f>
        <v>-874.1</v>
      </c>
      <c r="K237" s="474">
        <f>M237+SUMIF('פקודות נוספות'!C:C,'מאזן בוחן'!C237,'פקודות נוספות'!F:F)</f>
        <v>-281.06</v>
      </c>
      <c r="L237" s="439"/>
      <c r="M237" s="474">
        <f>IFERROR(VLOOKUP(C237,'פקודות נוספות'!$D$273:$G$797,4,0),0)</f>
        <v>-281.06</v>
      </c>
      <c r="N237" s="1104">
        <f t="shared" ref="N237" si="59">IF(K237=0,"-",J237/K237)</f>
        <v>3.1100120970611256</v>
      </c>
      <c r="O237" s="1114"/>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row>
    <row r="238" spans="2:50">
      <c r="B238" s="3659" t="s">
        <v>1025</v>
      </c>
      <c r="C238" s="705">
        <v>2170430</v>
      </c>
      <c r="D238" s="601" t="s">
        <v>4457</v>
      </c>
      <c r="E238" s="474">
        <f>IFERROR(VLOOKUP(C238,'פקודות נוספות'!$D$274:$F$797,3,0),0)</f>
        <v>-8804.25</v>
      </c>
      <c r="F238" s="49">
        <f>SUMIF('פקודות נוספות'!C:C,C:C,'פקודות נוספות'!E:E)</f>
        <v>0</v>
      </c>
      <c r="J238" s="474">
        <f t="shared" si="56"/>
        <v>-8804.25</v>
      </c>
      <c r="K238" s="474">
        <f>M238+SUMIF('פקודות נוספות'!C:C,'מאזן בוחן'!C238,'פקודות נוספות'!F:F)</f>
        <v>-2830.95</v>
      </c>
      <c r="L238" s="439"/>
      <c r="M238" s="474">
        <f>IFERROR(VLOOKUP(C238,'פקודות נוספות'!$D$273:$G$797,4,0),0)</f>
        <v>-2830.95</v>
      </c>
      <c r="N238" s="1104">
        <f t="shared" si="57"/>
        <v>3.1099984104275951</v>
      </c>
      <c r="O238" s="1114"/>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row>
    <row r="239" spans="2:50">
      <c r="B239" s="3659" t="s">
        <v>1025</v>
      </c>
      <c r="C239" s="705">
        <v>2170457</v>
      </c>
      <c r="D239" s="601" t="s">
        <v>4343</v>
      </c>
      <c r="E239" s="474">
        <f>IFERROR(VLOOKUP(C239,'פקודות נוספות'!$D$274:$F$797,3,0),0)</f>
        <v>0</v>
      </c>
      <c r="F239" s="49">
        <f>SUMIF('פקודות נוספות'!C:C,C:C,'פקודות נוספות'!E:E)</f>
        <v>0</v>
      </c>
      <c r="J239" s="474">
        <f t="shared" ref="J239:J244" si="60">SUM(E239:I239)</f>
        <v>0</v>
      </c>
      <c r="K239" s="474">
        <f>M239+SUMIF('פקודות נוספות'!C:C,'מאזן בוחן'!C239,'פקודות נוספות'!F:F)</f>
        <v>0</v>
      </c>
      <c r="L239" s="439"/>
      <c r="M239" s="474">
        <f>IFERROR(VLOOKUP(C239,'פקודות נוספות'!$D$273:$G$797,4,0),0)</f>
        <v>0</v>
      </c>
      <c r="N239" s="1104" t="str">
        <f t="shared" ref="N239:N244" si="61">IF(K239=0,"-",J239/K239)</f>
        <v>-</v>
      </c>
      <c r="O239" s="1114"/>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row>
    <row r="240" spans="2:50">
      <c r="B240" s="3659" t="s">
        <v>1025</v>
      </c>
      <c r="C240" s="705">
        <v>2170458</v>
      </c>
      <c r="D240" s="601" t="s">
        <v>4344</v>
      </c>
      <c r="E240" s="474">
        <f>IFERROR(VLOOKUP(C240,'פקודות נוספות'!$D$274:$F$797,3,0),0)</f>
        <v>0</v>
      </c>
      <c r="F240" s="49">
        <f>SUMIF('פקודות נוספות'!C:C,C:C,'פקודות נוספות'!E:E)</f>
        <v>0</v>
      </c>
      <c r="J240" s="474">
        <f t="shared" si="60"/>
        <v>0</v>
      </c>
      <c r="K240" s="474">
        <f>M240+SUMIF('פקודות נוספות'!C:C,'מאזן בוחן'!C240,'פקודות נוספות'!F:F)</f>
        <v>0</v>
      </c>
      <c r="L240" s="439"/>
      <c r="M240" s="474">
        <f>IFERROR(VLOOKUP(C240,'פקודות נוספות'!$D$273:$G$797,4,0),0)</f>
        <v>0</v>
      </c>
      <c r="N240" s="1104" t="str">
        <f t="shared" si="61"/>
        <v>-</v>
      </c>
      <c r="O240" s="1114"/>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row>
    <row r="241" spans="1:50">
      <c r="B241" s="3659" t="s">
        <v>1025</v>
      </c>
      <c r="C241" s="705">
        <v>2170459</v>
      </c>
      <c r="D241" s="601" t="s">
        <v>4281</v>
      </c>
      <c r="E241" s="474">
        <f>IFERROR(VLOOKUP(C241,'פקודות נוספות'!$D$274:$F$797,3,0),0)</f>
        <v>-233</v>
      </c>
      <c r="F241" s="49">
        <f>SUMIF('פקודות נוספות'!C:C,C:C,'פקודות נוספות'!E:E)</f>
        <v>0</v>
      </c>
      <c r="J241" s="474">
        <f t="shared" si="60"/>
        <v>-233</v>
      </c>
      <c r="K241" s="474">
        <f>M241+SUMIF('פקודות נוספות'!C:C,'מאזן בוחן'!C241,'פקודות נוספות'!F:F)</f>
        <v>-74.92</v>
      </c>
      <c r="L241" s="439"/>
      <c r="M241" s="474">
        <f>IFERROR(VLOOKUP(C241,'פקודות נוספות'!$D$273:$G$797,4,0),0)</f>
        <v>-74.92</v>
      </c>
      <c r="N241" s="1104">
        <f t="shared" si="61"/>
        <v>3.1099839829151095</v>
      </c>
      <c r="O241" s="1114"/>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row>
    <row r="242" spans="1:50">
      <c r="B242" s="3659" t="s">
        <v>1025</v>
      </c>
      <c r="C242" s="705">
        <v>2170465</v>
      </c>
      <c r="D242" s="601" t="s">
        <v>4282</v>
      </c>
      <c r="E242" s="474">
        <f>IFERROR(VLOOKUP(C242,'פקודות נוספות'!$D$274:$F$797,3,0),0)</f>
        <v>0</v>
      </c>
      <c r="F242" s="49">
        <f>SUMIF('פקודות נוספות'!C:C,C:C,'פקודות נוספות'!E:E)</f>
        <v>0</v>
      </c>
      <c r="J242" s="474">
        <f t="shared" si="60"/>
        <v>0</v>
      </c>
      <c r="K242" s="474">
        <f>M242+SUMIF('פקודות נוספות'!C:C,'מאזן בוחן'!C242,'פקודות נוספות'!F:F)</f>
        <v>0</v>
      </c>
      <c r="L242" s="439"/>
      <c r="M242" s="474">
        <f>IFERROR(VLOOKUP(C242,'פקודות נוספות'!$D$273:$G$797,4,0),0)</f>
        <v>0</v>
      </c>
      <c r="N242" s="1104" t="str">
        <f t="shared" si="61"/>
        <v>-</v>
      </c>
      <c r="O242" s="1114"/>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row>
    <row r="243" spans="1:50">
      <c r="B243" s="3659" t="s">
        <v>1025</v>
      </c>
      <c r="C243" s="705">
        <v>2170482</v>
      </c>
      <c r="D243" s="601" t="s">
        <v>4349</v>
      </c>
      <c r="E243" s="474">
        <f>IFERROR(VLOOKUP(C243,'פקודות נוספות'!$D$274:$F$797,3,0),0)</f>
        <v>0</v>
      </c>
      <c r="F243" s="49">
        <f>SUMIF('פקודות נוספות'!C:C,C:C,'פקודות נוספות'!E:E)</f>
        <v>0</v>
      </c>
      <c r="J243" s="474">
        <f t="shared" si="60"/>
        <v>0</v>
      </c>
      <c r="K243" s="474">
        <f>M243+SUMIF('פקודות נוספות'!C:C,'מאזן בוחן'!C243,'פקודות נוספות'!F:F)</f>
        <v>0</v>
      </c>
      <c r="L243" s="439"/>
      <c r="M243" s="474">
        <f>IFERROR(VLOOKUP(C243,'פקודות נוספות'!$D$273:$G$797,4,0),0)</f>
        <v>0</v>
      </c>
      <c r="N243" s="1104" t="str">
        <f t="shared" si="61"/>
        <v>-</v>
      </c>
      <c r="O243" s="1114"/>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row>
    <row r="244" spans="1:50">
      <c r="B244" s="3659" t="s">
        <v>1025</v>
      </c>
      <c r="C244" s="705">
        <v>2170483</v>
      </c>
      <c r="D244" s="601" t="s">
        <v>4350</v>
      </c>
      <c r="E244" s="474">
        <f>IFERROR(VLOOKUP(C244,'פקודות נוספות'!$D$274:$F$797,3,0),0)</f>
        <v>-67392</v>
      </c>
      <c r="F244" s="49">
        <f>SUMIF('פקודות נוספות'!C:C,C:C,'פקודות נוספות'!E:E)</f>
        <v>0</v>
      </c>
      <c r="J244" s="474">
        <f t="shared" si="60"/>
        <v>-67392</v>
      </c>
      <c r="K244" s="474">
        <f>M244+SUMIF('פקודות נוספות'!C:C,'מאזן בוחן'!C244,'פקודות נוספות'!F:F)</f>
        <v>-21669.45</v>
      </c>
      <c r="L244" s="439"/>
      <c r="M244" s="474">
        <f>IFERROR(VLOOKUP(C244,'פקודות נוספות'!$D$273:$G$797,4,0),0)</f>
        <v>-21669.45</v>
      </c>
      <c r="N244" s="1104">
        <f t="shared" si="61"/>
        <v>3.1100004845531379</v>
      </c>
      <c r="O244" s="1114"/>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row>
    <row r="245" spans="1:50">
      <c r="B245" s="3659" t="s">
        <v>1032</v>
      </c>
      <c r="C245" s="705">
        <v>2120242</v>
      </c>
      <c r="D245" s="601" t="s">
        <v>4283</v>
      </c>
      <c r="E245" s="474">
        <f>IFERROR(VLOOKUP(C245,'פקודות נוספות'!$D$274:$F$797,3,0),0)</f>
        <v>0</v>
      </c>
      <c r="F245" s="49">
        <f>SUMIF('פקודות נוספות'!C:C,C:C,'פקודות נוספות'!E:E)</f>
        <v>0</v>
      </c>
      <c r="J245" s="474">
        <f t="shared" ref="J245:J249" si="62">SUM(E245:I245)</f>
        <v>0</v>
      </c>
      <c r="K245" s="474">
        <f>M245+SUMIF('פקודות נוספות'!C:C,'מאזן בוחן'!C245,'פקודות נוספות'!F:F)</f>
        <v>0</v>
      </c>
      <c r="L245" s="439"/>
      <c r="M245" s="474">
        <f>IFERROR(VLOOKUP(C245,'פקודות נוספות'!$D$273:$G$797,4,0),0)</f>
        <v>0</v>
      </c>
      <c r="N245" s="1104" t="str">
        <f t="shared" ref="N245:N249" si="63">IF(K245=0,"-",J245/K245)</f>
        <v>-</v>
      </c>
      <c r="O245" s="1114"/>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row>
    <row r="246" spans="1:50">
      <c r="B246" s="3659" t="s">
        <v>1033</v>
      </c>
      <c r="C246" s="705">
        <v>2120160</v>
      </c>
      <c r="D246" s="601" t="s">
        <v>4284</v>
      </c>
      <c r="E246" s="474">
        <f>IFERROR(VLOOKUP(C246,'פקודות נוספות'!$D$274:$F$797,3,0),0)</f>
        <v>0</v>
      </c>
      <c r="F246" s="49">
        <f>SUMIF('פקודות נוספות'!C:C,C:C,'פקודות נוספות'!E:E)</f>
        <v>0</v>
      </c>
      <c r="J246" s="474">
        <f t="shared" si="62"/>
        <v>0</v>
      </c>
      <c r="K246" s="474">
        <f>M246+SUMIF('פקודות נוספות'!C:C,'מאזן בוחן'!C246,'פקודות נוספות'!F:F)</f>
        <v>0</v>
      </c>
      <c r="L246" s="439"/>
      <c r="M246" s="474">
        <f>IFERROR(VLOOKUP(C246,'פקודות נוספות'!$D$273:$G$797,4,0),0)</f>
        <v>0</v>
      </c>
      <c r="N246" s="1104" t="str">
        <f t="shared" si="63"/>
        <v>-</v>
      </c>
      <c r="O246" s="1114"/>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row>
    <row r="247" spans="1:50">
      <c r="B247" s="3659" t="s">
        <v>1033</v>
      </c>
      <c r="C247" s="705">
        <v>2120187</v>
      </c>
      <c r="D247" s="601" t="s">
        <v>440</v>
      </c>
      <c r="E247" s="474">
        <f>IFERROR(VLOOKUP(C247,'פקודות נוספות'!$D$274:$F$797,3,0),0)</f>
        <v>0</v>
      </c>
      <c r="F247" s="49">
        <f>SUMIF('פקודות נוספות'!C:C,C:C,'פקודות נוספות'!E:E)</f>
        <v>0</v>
      </c>
      <c r="J247" s="474">
        <f t="shared" si="62"/>
        <v>0</v>
      </c>
      <c r="K247" s="474">
        <f>M247+SUMIF('פקודות נוספות'!C:C,'מאזן בוחן'!C247,'פקודות נוספות'!F:F)</f>
        <v>0</v>
      </c>
      <c r="L247" s="439"/>
      <c r="M247" s="474">
        <f>IFERROR(VLOOKUP(C247,'פקודות נוספות'!$D$273:$G$797,4,0),0)</f>
        <v>0</v>
      </c>
      <c r="N247" s="1104" t="str">
        <f t="shared" si="63"/>
        <v>-</v>
      </c>
      <c r="O247" s="1114"/>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row>
    <row r="248" spans="1:50">
      <c r="B248" s="3659" t="s">
        <v>1033</v>
      </c>
      <c r="C248" s="705">
        <v>2170303</v>
      </c>
      <c r="D248" s="601" t="s">
        <v>4285</v>
      </c>
      <c r="E248" s="474">
        <f>IFERROR(VLOOKUP(C248,'פקודות נוספות'!$D$274:$F$797,3,0),0)</f>
        <v>0</v>
      </c>
      <c r="F248" s="49">
        <f>SUMIF('פקודות נוספות'!C:C,C:C,'פקודות נוספות'!E:E)</f>
        <v>0</v>
      </c>
      <c r="J248" s="474">
        <f t="shared" si="62"/>
        <v>0</v>
      </c>
      <c r="K248" s="474">
        <f>M248+SUMIF('פקודות נוספות'!C:C,'מאזן בוחן'!C248,'פקודות נוספות'!F:F)</f>
        <v>0</v>
      </c>
      <c r="L248" s="439"/>
      <c r="M248" s="474">
        <f>IFERROR(VLOOKUP(C248,'פקודות נוספות'!$D$273:$G$797,4,0),0)</f>
        <v>0</v>
      </c>
      <c r="N248" s="1104" t="str">
        <f t="shared" si="63"/>
        <v>-</v>
      </c>
      <c r="O248" s="1114"/>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row>
    <row r="249" spans="1:50">
      <c r="B249" s="3659" t="s">
        <v>1033</v>
      </c>
      <c r="C249" s="705">
        <v>2170427</v>
      </c>
      <c r="D249" s="601" t="s">
        <v>4236</v>
      </c>
      <c r="E249" s="474">
        <f>IFERROR(VLOOKUP(C249,'פקודות נוספות'!$D$274:$F$797,3,0),0)</f>
        <v>0</v>
      </c>
      <c r="F249" s="49">
        <f>SUMIF('פקודות נוספות'!C:C,C:C,'פקודות נוספות'!E:E)</f>
        <v>0</v>
      </c>
      <c r="J249" s="474">
        <f t="shared" si="62"/>
        <v>0</v>
      </c>
      <c r="K249" s="474">
        <f>M249+SUMIF('פקודות נוספות'!C:C,'מאזן בוחן'!C249,'פקודות נוספות'!F:F)</f>
        <v>0</v>
      </c>
      <c r="L249" s="439"/>
      <c r="M249" s="474">
        <f>IFERROR(VLOOKUP(C249,'פקודות נוספות'!$D$273:$G$797,4,0),0)</f>
        <v>0</v>
      </c>
      <c r="N249" s="1104" t="str">
        <f t="shared" si="63"/>
        <v>-</v>
      </c>
      <c r="O249" s="1114"/>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row>
    <row r="250" spans="1:50">
      <c r="B250" s="3659" t="s">
        <v>1025</v>
      </c>
      <c r="C250" s="705">
        <v>2170411</v>
      </c>
      <c r="D250" s="601" t="s">
        <v>4280</v>
      </c>
      <c r="E250" s="474">
        <f>IFERROR(VLOOKUP(C250,'פקודות נוספות'!$D$274:$F$797,3,0),0)</f>
        <v>0</v>
      </c>
      <c r="F250" s="49">
        <f>SUMIF('פקודות נוספות'!C:C,C:C,'פקודות נוספות'!E:E)</f>
        <v>0</v>
      </c>
      <c r="J250" s="474">
        <f t="shared" ref="J250" si="64">SUM(E250:I250)</f>
        <v>0</v>
      </c>
      <c r="K250" s="474">
        <f>M250+SUMIF('פקודות נוספות'!C:C,'מאזן בוחן'!C250,'פקודות נוספות'!F:F)</f>
        <v>0</v>
      </c>
      <c r="L250" s="439"/>
      <c r="M250" s="474">
        <f>IFERROR(VLOOKUP(C250,'פקודות נוספות'!$D$273:$G$797,4,0),0)</f>
        <v>0</v>
      </c>
      <c r="N250" s="1104" t="str">
        <f t="shared" ref="N250" si="65">IF(K250=0,"-",J250/K250)</f>
        <v>-</v>
      </c>
      <c r="O250" s="1114"/>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row>
    <row r="251" spans="1:50">
      <c r="B251" s="3659" t="s">
        <v>1025</v>
      </c>
      <c r="C251" s="705">
        <v>2100577</v>
      </c>
      <c r="D251" s="601" t="s">
        <v>4279</v>
      </c>
      <c r="E251" s="474">
        <f>IFERROR(VLOOKUP(C251,'פקודות נוספות'!$D$274:$F$797,3,0),0)</f>
        <v>0</v>
      </c>
      <c r="F251" s="49">
        <f>SUMIF('פקודות נוספות'!C:C,C:C,'פקודות נוספות'!E:E)</f>
        <v>0</v>
      </c>
      <c r="J251" s="474">
        <f t="shared" ref="J251" si="66">SUM(E251:I251)</f>
        <v>0</v>
      </c>
      <c r="K251" s="474">
        <f>M251+SUMIF('פקודות נוספות'!C:C,'מאזן בוחן'!C251,'פקודות נוספות'!F:F)</f>
        <v>0</v>
      </c>
      <c r="L251" s="439"/>
      <c r="M251" s="474">
        <f>IFERROR(VLOOKUP(C251,'פקודות נוספות'!$D$273:$G$797,4,0),0)</f>
        <v>0</v>
      </c>
      <c r="N251" s="1104" t="str">
        <f t="shared" ref="N251" si="67">IF(K251=0,"-",J251/K251)</f>
        <v>-</v>
      </c>
      <c r="O251" s="1114"/>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row>
    <row r="252" spans="1:50">
      <c r="B252" s="3659" t="s">
        <v>1033</v>
      </c>
      <c r="C252" s="705">
        <v>2170440</v>
      </c>
      <c r="D252" s="601" t="s">
        <v>4286</v>
      </c>
      <c r="E252" s="474">
        <f>IFERROR(VLOOKUP(C252,'פקודות נוספות'!$D$274:$F$797,3,0),0)</f>
        <v>0</v>
      </c>
      <c r="F252" s="49">
        <f>SUMIF('פקודות נוספות'!C:C,C:C,'פקודות נוספות'!E:E)</f>
        <v>0</v>
      </c>
      <c r="J252" s="474">
        <f t="shared" ref="J252" si="68">SUM(E252:I252)</f>
        <v>0</v>
      </c>
      <c r="K252" s="474">
        <f>M252+SUMIF('פקודות נוספות'!C:C,'מאזן בוחן'!C252,'פקודות נוספות'!F:F)</f>
        <v>0</v>
      </c>
      <c r="L252" s="439"/>
      <c r="M252" s="474">
        <f>IFERROR(VLOOKUP(C252,'פקודות נוספות'!$D$273:$G$797,4,0),0)</f>
        <v>0</v>
      </c>
      <c r="N252" s="1104" t="str">
        <f t="shared" ref="N252" si="69">IF(K252=0,"-",J252/K252)</f>
        <v>-</v>
      </c>
      <c r="O252" s="1114"/>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row>
    <row r="253" spans="1:50">
      <c r="B253" s="3659" t="s">
        <v>1025</v>
      </c>
      <c r="C253" s="705">
        <v>2100323</v>
      </c>
      <c r="D253" s="601" t="s">
        <v>4181</v>
      </c>
      <c r="E253" s="474">
        <f>IFERROR(VLOOKUP(C253,'פקודות נוספות'!$D$274:$F$797,3,0),0)</f>
        <v>-249176.58</v>
      </c>
      <c r="F253" s="49">
        <f>SUMIF('פקודות נוספות'!C:C,C:C,'פקודות נוספות'!E:E)</f>
        <v>0</v>
      </c>
      <c r="J253" s="474">
        <f t="shared" ref="J253:J259" si="70">SUM(E253:I253)</f>
        <v>-249176.58</v>
      </c>
      <c r="K253" s="474">
        <f>M253+SUMIF('פקודות נוספות'!C:C,'מאזן בוחן'!C253,'פקודות נוספות'!F:F)</f>
        <v>-80121.09</v>
      </c>
      <c r="L253" s="439"/>
      <c r="M253" s="474">
        <f>IFERROR(VLOOKUP(C253,'פקודות נוספות'!$D$273:$G$797,4,0),0)</f>
        <v>-80121.09</v>
      </c>
      <c r="N253" s="1104">
        <f t="shared" ref="N253:N259" si="71">IF(K253=0,"-",J253/K253)</f>
        <v>3.109999876437028</v>
      </c>
      <c r="O253" s="1114"/>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row>
    <row r="254" spans="1:50">
      <c r="A254" s="52"/>
      <c r="B254" s="3659" t="s">
        <v>1025</v>
      </c>
      <c r="C254" s="705">
        <v>2170239</v>
      </c>
      <c r="D254" s="601" t="s">
        <v>4182</v>
      </c>
      <c r="E254" s="474">
        <f>IFERROR(VLOOKUP(C254,'פקודות נוספות'!$D$274:$F$797,3,0),0)</f>
        <v>0</v>
      </c>
      <c r="F254" s="49">
        <f>SUMIF('פקודות נוספות'!C:C,C:C,'פקודות נוספות'!E:E)</f>
        <v>0</v>
      </c>
      <c r="J254" s="474">
        <f t="shared" si="70"/>
        <v>0</v>
      </c>
      <c r="K254" s="474">
        <f>M254+SUMIF('פקודות נוספות'!C:C,'מאזן בוחן'!C254,'פקודות נוספות'!F:F)</f>
        <v>0</v>
      </c>
      <c r="L254" s="439"/>
      <c r="M254" s="474">
        <f>IFERROR(VLOOKUP(C254,'פקודות נוספות'!$D$273:$G$797,4,0),0)</f>
        <v>0</v>
      </c>
      <c r="N254" s="1104" t="str">
        <f t="shared" si="71"/>
        <v>-</v>
      </c>
      <c r="O254" s="1114"/>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row>
    <row r="255" spans="1:50">
      <c r="A255" s="52"/>
      <c r="B255" s="3659" t="s">
        <v>1025</v>
      </c>
      <c r="C255" s="705">
        <v>2170249</v>
      </c>
      <c r="D255" s="601" t="s">
        <v>4183</v>
      </c>
      <c r="E255" s="474">
        <f>IFERROR(VLOOKUP(C255,'פקודות נוספות'!$D$274:$F$797,3,0),0)</f>
        <v>0</v>
      </c>
      <c r="F255" s="49">
        <f>SUMIF('פקודות נוספות'!C:C,C:C,'פקודות נוספות'!E:E)</f>
        <v>0</v>
      </c>
      <c r="J255" s="474">
        <f t="shared" si="70"/>
        <v>0</v>
      </c>
      <c r="K255" s="474">
        <f>M255+SUMIF('פקודות נוספות'!C:C,'מאזן בוחן'!C255,'פקודות נוספות'!F:F)</f>
        <v>0</v>
      </c>
      <c r="L255" s="439"/>
      <c r="M255" s="474">
        <f>IFERROR(VLOOKUP(C255,'פקודות נוספות'!$D$273:$G$797,4,0),0)</f>
        <v>0</v>
      </c>
      <c r="N255" s="1104" t="str">
        <f t="shared" si="71"/>
        <v>-</v>
      </c>
      <c r="O255" s="1114"/>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row>
    <row r="256" spans="1:50">
      <c r="A256" s="52"/>
      <c r="B256" s="3659" t="s">
        <v>1025</v>
      </c>
      <c r="C256" s="705">
        <v>2170351</v>
      </c>
      <c r="D256" s="601" t="s">
        <v>4184</v>
      </c>
      <c r="E256" s="474">
        <f>IFERROR(VLOOKUP(C256,'פקודות נוספות'!$D$274:$F$797,3,0),0)</f>
        <v>0</v>
      </c>
      <c r="F256" s="49">
        <f>SUMIF('פקודות נוספות'!C:C,C:C,'פקודות נוספות'!E:E)</f>
        <v>0</v>
      </c>
      <c r="J256" s="474">
        <f t="shared" si="70"/>
        <v>0</v>
      </c>
      <c r="K256" s="474">
        <f>M256+SUMIF('פקודות נוספות'!C:C,'מאזן בוחן'!C256,'פקודות נוספות'!F:F)</f>
        <v>0</v>
      </c>
      <c r="L256" s="439"/>
      <c r="M256" s="474">
        <f>IFERROR(VLOOKUP(C256,'פקודות נוספות'!$D$273:$G$797,4,0),0)</f>
        <v>0</v>
      </c>
      <c r="N256" s="1104" t="str">
        <f t="shared" si="71"/>
        <v>-</v>
      </c>
      <c r="O256" s="1114"/>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row>
    <row r="257" spans="2:16" s="52" customFormat="1">
      <c r="B257" s="3659" t="s">
        <v>1025</v>
      </c>
      <c r="C257" s="705">
        <v>2170445</v>
      </c>
      <c r="D257" s="601" t="s">
        <v>4185</v>
      </c>
      <c r="E257" s="474">
        <f>IFERROR(VLOOKUP(C257,'פקודות נוספות'!$D$274:$F$797,3,0),0)</f>
        <v>0</v>
      </c>
      <c r="F257" s="49">
        <f>SUMIF('פקודות נוספות'!C:C,C:C,'פקודות נוספות'!E:E)</f>
        <v>0</v>
      </c>
      <c r="G257" s="49"/>
      <c r="H257" s="49"/>
      <c r="I257" s="49"/>
      <c r="J257" s="474">
        <f t="shared" si="70"/>
        <v>0</v>
      </c>
      <c r="K257" s="474">
        <f>M257+SUMIF('פקודות נוספות'!C:C,'מאזן בוחן'!C257,'פקודות נוספות'!F:F)</f>
        <v>0</v>
      </c>
      <c r="L257" s="439"/>
      <c r="M257" s="474">
        <f>IFERROR(VLOOKUP(C257,'פקודות נוספות'!$D$273:$G$797,4,0),0)</f>
        <v>0</v>
      </c>
      <c r="N257" s="1104" t="str">
        <f t="shared" si="71"/>
        <v>-</v>
      </c>
      <c r="O257" s="1114"/>
      <c r="P257" s="137"/>
    </row>
    <row r="258" spans="2:16" s="52" customFormat="1">
      <c r="B258" s="3659" t="s">
        <v>1025</v>
      </c>
      <c r="C258" s="705">
        <v>2170449</v>
      </c>
      <c r="D258" s="601" t="s">
        <v>4186</v>
      </c>
      <c r="E258" s="474">
        <f>IFERROR(VLOOKUP(C258,'פקודות נוספות'!$D$274:$F$797,3,0),0)</f>
        <v>0</v>
      </c>
      <c r="F258" s="49">
        <f>SUMIF('פקודות נוספות'!C:C,C:C,'פקודות נוספות'!E:E)</f>
        <v>0</v>
      </c>
      <c r="G258" s="49"/>
      <c r="H258" s="49"/>
      <c r="I258" s="49"/>
      <c r="J258" s="474">
        <f t="shared" si="70"/>
        <v>0</v>
      </c>
      <c r="K258" s="474">
        <f>M258+SUMIF('פקודות נוספות'!C:C,'מאזן בוחן'!C258,'פקודות נוספות'!F:F)</f>
        <v>0</v>
      </c>
      <c r="L258" s="439"/>
      <c r="M258" s="474">
        <f>IFERROR(VLOOKUP(C258,'פקודות נוספות'!$D$273:$G$797,4,0),0)</f>
        <v>0</v>
      </c>
      <c r="N258" s="1104" t="str">
        <f t="shared" si="71"/>
        <v>-</v>
      </c>
      <c r="O258" s="1114"/>
      <c r="P258" s="137"/>
    </row>
    <row r="259" spans="2:16" s="52" customFormat="1">
      <c r="B259" s="3659" t="s">
        <v>1033</v>
      </c>
      <c r="C259" s="705">
        <v>2120069</v>
      </c>
      <c r="D259" s="601" t="s">
        <v>4187</v>
      </c>
      <c r="E259" s="474">
        <f>IFERROR(VLOOKUP(C259,'פקודות נוספות'!$D$274:$F$797,3,0),0)</f>
        <v>0</v>
      </c>
      <c r="F259" s="49">
        <f>SUMIF('פקודות נוספות'!C:C,C:C,'פקודות נוספות'!E:E)</f>
        <v>0</v>
      </c>
      <c r="G259" s="49"/>
      <c r="H259" s="49"/>
      <c r="I259" s="49"/>
      <c r="J259" s="474">
        <f t="shared" si="70"/>
        <v>0</v>
      </c>
      <c r="K259" s="474">
        <f>M259+SUMIF('פקודות נוספות'!C:C,'מאזן בוחן'!C259,'פקודות נוספות'!F:F)</f>
        <v>0</v>
      </c>
      <c r="L259" s="439"/>
      <c r="M259" s="474">
        <f>IFERROR(VLOOKUP(C259,'פקודות נוספות'!$D$273:$G$797,4,0),0)</f>
        <v>0</v>
      </c>
      <c r="N259" s="1104" t="str">
        <f t="shared" si="71"/>
        <v>-</v>
      </c>
      <c r="O259" s="1114"/>
      <c r="P259" s="137"/>
    </row>
    <row r="260" spans="2:16" s="52" customFormat="1">
      <c r="B260" s="3659" t="s">
        <v>1033</v>
      </c>
      <c r="C260" s="705">
        <v>2170448</v>
      </c>
      <c r="D260" s="601" t="s">
        <v>4188</v>
      </c>
      <c r="E260" s="474">
        <f>IFERROR(VLOOKUP(C260,'פקודות נוספות'!$D$274:$F$797,3,0),0)</f>
        <v>-24996.62</v>
      </c>
      <c r="F260" s="49">
        <f>SUMIF('פקודות נוספות'!C:C,C:C,'פקודות נוספות'!E:E)</f>
        <v>0</v>
      </c>
      <c r="G260" s="49"/>
      <c r="H260" s="49"/>
      <c r="I260" s="49"/>
      <c r="J260" s="474">
        <f t="shared" ref="J260:J273" si="72">SUM(E260:I260)</f>
        <v>-24996.62</v>
      </c>
      <c r="K260" s="474">
        <f>M260+SUMIF('פקודות נוספות'!C:C,'מאזן בוחן'!C260,'פקודות נוספות'!F:F)</f>
        <v>-8037.5</v>
      </c>
      <c r="L260" s="439"/>
      <c r="M260" s="474">
        <f>IFERROR(VLOOKUP(C260,'פקודות נוספות'!$D$273:$G$797,4,0),0)</f>
        <v>-8037.5</v>
      </c>
      <c r="N260" s="1104">
        <f t="shared" ref="N260:N273" si="73">IF(K260=0,"-",J260/K260)</f>
        <v>3.1099993779160187</v>
      </c>
      <c r="O260" s="1114"/>
      <c r="P260" s="137"/>
    </row>
    <row r="261" spans="2:16" s="52" customFormat="1">
      <c r="B261" s="3659" t="s">
        <v>1025</v>
      </c>
      <c r="C261" s="705">
        <v>2170426</v>
      </c>
      <c r="D261" s="601" t="s">
        <v>4040</v>
      </c>
      <c r="E261" s="474">
        <f>IFERROR(VLOOKUP(C261,'פקודות נוספות'!$D$274:$F$797,3,0),0)</f>
        <v>0</v>
      </c>
      <c r="F261" s="49">
        <f>SUMIF('פקודות נוספות'!C:C,C:C,'פקודות נוספות'!E:E)</f>
        <v>0</v>
      </c>
      <c r="G261" s="49"/>
      <c r="H261" s="49"/>
      <c r="I261" s="49"/>
      <c r="J261" s="474">
        <f t="shared" si="72"/>
        <v>0</v>
      </c>
      <c r="K261" s="474">
        <f>M261+SUMIF('פקודות נוספות'!C:C,'מאזן בוחן'!C261,'פקודות נוספות'!F:F)</f>
        <v>0</v>
      </c>
      <c r="L261" s="439"/>
      <c r="M261" s="474">
        <f>IFERROR(VLOOKUP(C261,'פקודות נוספות'!$D$273:$G$797,4,0),0)</f>
        <v>0</v>
      </c>
      <c r="N261" s="1104" t="str">
        <f t="shared" si="73"/>
        <v>-</v>
      </c>
      <c r="O261" s="1114"/>
      <c r="P261" s="137"/>
    </row>
    <row r="262" spans="2:16" s="52" customFormat="1">
      <c r="B262" s="3659" t="s">
        <v>1025</v>
      </c>
      <c r="C262" s="705">
        <v>2170434</v>
      </c>
      <c r="D262" s="601" t="s">
        <v>4041</v>
      </c>
      <c r="E262" s="474">
        <f>IFERROR(VLOOKUP(C262,'פקודות נוספות'!$D$274:$F$797,3,0),0)</f>
        <v>-203.65</v>
      </c>
      <c r="F262" s="49">
        <f>SUMIF('פקודות נוספות'!C:C,C:C,'פקודות נוספות'!E:E)</f>
        <v>0</v>
      </c>
      <c r="G262" s="49"/>
      <c r="H262" s="49"/>
      <c r="I262" s="49"/>
      <c r="J262" s="474">
        <f t="shared" si="72"/>
        <v>-203.65</v>
      </c>
      <c r="K262" s="474">
        <f>M262+SUMIF('פקודות נוספות'!C:C,'מאזן בוחן'!C262,'פקודות נוספות'!F:F)</f>
        <v>-65.48</v>
      </c>
      <c r="L262" s="439"/>
      <c r="M262" s="474">
        <f>IFERROR(VLOOKUP(C262,'פקודות נוספות'!$D$273:$G$797,4,0),0)</f>
        <v>-65.48</v>
      </c>
      <c r="N262" s="1104">
        <f t="shared" si="73"/>
        <v>3.1101099572388513</v>
      </c>
      <c r="O262" s="1114"/>
      <c r="P262" s="137"/>
    </row>
    <row r="263" spans="2:16" s="52" customFormat="1">
      <c r="B263" s="3659" t="s">
        <v>1025</v>
      </c>
      <c r="C263" s="705">
        <v>2170441</v>
      </c>
      <c r="D263" s="601" t="s">
        <v>4048</v>
      </c>
      <c r="E263" s="474">
        <f>IFERROR(VLOOKUP(C263,'פקודות נוספות'!$D$274:$F$797,3,0),0)</f>
        <v>0</v>
      </c>
      <c r="F263" s="49">
        <f>SUMIF('פקודות נוספות'!C:C,C:C,'פקודות נוספות'!E:E)</f>
        <v>0</v>
      </c>
      <c r="G263" s="49"/>
      <c r="H263" s="49"/>
      <c r="I263" s="49"/>
      <c r="J263" s="474">
        <f t="shared" si="72"/>
        <v>0</v>
      </c>
      <c r="K263" s="474">
        <f>M263+SUMIF('פקודות נוספות'!C:C,'מאזן בוחן'!C263,'פקודות נוספות'!F:F)</f>
        <v>0</v>
      </c>
      <c r="L263" s="439"/>
      <c r="M263" s="474">
        <f>IFERROR(VLOOKUP(C263,'פקודות נוספות'!$D$273:$G$797,4,0),0)</f>
        <v>0</v>
      </c>
      <c r="N263" s="1104" t="str">
        <f t="shared" si="73"/>
        <v>-</v>
      </c>
      <c r="O263" s="1114"/>
      <c r="P263" s="137"/>
    </row>
    <row r="264" spans="2:16" s="52" customFormat="1">
      <c r="B264" s="3659" t="s">
        <v>1025</v>
      </c>
      <c r="C264" s="705">
        <v>2170442</v>
      </c>
      <c r="D264" s="601" t="s">
        <v>4042</v>
      </c>
      <c r="E264" s="474">
        <f>IFERROR(VLOOKUP(C264,'פקודות נוספות'!$D$274:$F$797,3,0),0)</f>
        <v>-3335</v>
      </c>
      <c r="F264" s="49">
        <f>SUMIF('פקודות נוספות'!C:C,C:C,'פקודות נוספות'!E:E)</f>
        <v>0</v>
      </c>
      <c r="G264" s="49"/>
      <c r="H264" s="49"/>
      <c r="I264" s="49"/>
      <c r="J264" s="474">
        <f t="shared" si="72"/>
        <v>-3335</v>
      </c>
      <c r="K264" s="474">
        <f>M264+SUMIF('פקודות נוספות'!C:C,'מאזן בוחן'!C264,'פקודות נוספות'!F:F)</f>
        <v>-1072.3499999999999</v>
      </c>
      <c r="L264" s="439"/>
      <c r="M264" s="474">
        <f>IFERROR(VLOOKUP(C264,'פקודות נוספות'!$D$273:$G$797,4,0),0)</f>
        <v>-1072.3499999999999</v>
      </c>
      <c r="N264" s="1104">
        <f t="shared" si="73"/>
        <v>3.109992073483471</v>
      </c>
      <c r="O264" s="1114"/>
      <c r="P264" s="137"/>
    </row>
    <row r="265" spans="2:16" s="52" customFormat="1">
      <c r="B265" s="3659" t="s">
        <v>1025</v>
      </c>
      <c r="C265" s="705">
        <v>2170443</v>
      </c>
      <c r="D265" s="601" t="s">
        <v>4043</v>
      </c>
      <c r="E265" s="474">
        <f>IFERROR(VLOOKUP(C265,'פקודות נוספות'!$D$274:$F$797,3,0),0)</f>
        <v>0</v>
      </c>
      <c r="F265" s="49">
        <f>SUMIF('פקודות נוספות'!C:C,C:C,'פקודות נוספות'!E:E)</f>
        <v>0</v>
      </c>
      <c r="G265" s="49"/>
      <c r="H265" s="49"/>
      <c r="I265" s="49"/>
      <c r="J265" s="474">
        <f t="shared" si="72"/>
        <v>0</v>
      </c>
      <c r="K265" s="474">
        <f>M265+SUMIF('פקודות נוספות'!C:C,'מאזן בוחן'!C265,'פקודות נוספות'!F:F)</f>
        <v>0</v>
      </c>
      <c r="L265" s="439"/>
      <c r="M265" s="474">
        <f>IFERROR(VLOOKUP(C265,'פקודות נוספות'!$D$273:$G$797,4,0),0)</f>
        <v>0</v>
      </c>
      <c r="N265" s="1104" t="str">
        <f t="shared" si="73"/>
        <v>-</v>
      </c>
      <c r="O265" s="1114"/>
      <c r="P265" s="137"/>
    </row>
    <row r="266" spans="2:16" s="52" customFormat="1">
      <c r="B266" s="3659" t="s">
        <v>1025</v>
      </c>
      <c r="C266" s="705">
        <v>2170450</v>
      </c>
      <c r="D266" s="601" t="s">
        <v>4044</v>
      </c>
      <c r="E266" s="474">
        <f>IFERROR(VLOOKUP(C266,'פקודות נוספות'!$D$274:$F$797,3,0),0)</f>
        <v>-92487</v>
      </c>
      <c r="F266" s="49">
        <f>SUMIF('פקודות נוספות'!C:C,C:C,'פקודות נוספות'!E:E)</f>
        <v>0</v>
      </c>
      <c r="G266" s="49"/>
      <c r="H266" s="49"/>
      <c r="I266" s="49"/>
      <c r="J266" s="474">
        <f t="shared" si="72"/>
        <v>-92487</v>
      </c>
      <c r="K266" s="474">
        <f>M266+SUMIF('פקודות נוספות'!C:C,'מאזן בוחן'!C266,'פקודות נוספות'!F:F)</f>
        <v>-29738.59</v>
      </c>
      <c r="L266" s="439"/>
      <c r="M266" s="474">
        <f>IFERROR(VLOOKUP(C266,'פקודות נוספות'!$D$273:$G$797,4,0),0)</f>
        <v>-29738.59</v>
      </c>
      <c r="N266" s="1104">
        <f t="shared" si="73"/>
        <v>3.1099994989675031</v>
      </c>
      <c r="O266" s="1114"/>
      <c r="P266" s="137"/>
    </row>
    <row r="267" spans="2:16" s="52" customFormat="1">
      <c r="B267" s="3659" t="s">
        <v>1025</v>
      </c>
      <c r="C267" s="705">
        <v>2170454</v>
      </c>
      <c r="D267" s="601" t="s">
        <v>4049</v>
      </c>
      <c r="E267" s="474">
        <f>IFERROR(VLOOKUP(C267,'פקודות נוספות'!$D$274:$F$797,3,0),0)</f>
        <v>0</v>
      </c>
      <c r="F267" s="49">
        <f>SUMIF('פקודות נוספות'!C:C,C:C,'פקודות נוספות'!E:E)</f>
        <v>0</v>
      </c>
      <c r="G267" s="49"/>
      <c r="H267" s="49"/>
      <c r="I267" s="49"/>
      <c r="J267" s="474">
        <f t="shared" si="72"/>
        <v>0</v>
      </c>
      <c r="K267" s="474">
        <f>M267+SUMIF('פקודות נוספות'!C:C,'מאזן בוחן'!C267,'פקודות נוספות'!F:F)</f>
        <v>0</v>
      </c>
      <c r="L267" s="439"/>
      <c r="M267" s="474">
        <f>IFERROR(VLOOKUP(C267,'פקודות נוספות'!$D$273:$G$797,4,0),0)</f>
        <v>0</v>
      </c>
      <c r="N267" s="1104" t="str">
        <f t="shared" si="73"/>
        <v>-</v>
      </c>
      <c r="O267" s="1114"/>
      <c r="P267" s="137"/>
    </row>
    <row r="268" spans="2:16" s="52" customFormat="1">
      <c r="B268" s="3659" t="s">
        <v>1033</v>
      </c>
      <c r="C268" s="705">
        <v>2120027</v>
      </c>
      <c r="D268" s="601" t="s">
        <v>2616</v>
      </c>
      <c r="E268" s="474">
        <f>IFERROR(VLOOKUP(C268,'פקודות נוספות'!$D$274:$F$797,3,0),0)</f>
        <v>0</v>
      </c>
      <c r="F268" s="49">
        <f>SUMIF('פקודות נוספות'!C:C,C:C,'פקודות נוספות'!E:E)</f>
        <v>0</v>
      </c>
      <c r="G268" s="49"/>
      <c r="H268" s="49"/>
      <c r="I268" s="49"/>
      <c r="J268" s="474">
        <f t="shared" si="72"/>
        <v>0</v>
      </c>
      <c r="K268" s="474">
        <f>M268+SUMIF('פקודות נוספות'!C:C,'מאזן בוחן'!C268,'פקודות נוספות'!F:F)</f>
        <v>0</v>
      </c>
      <c r="L268" s="439"/>
      <c r="M268" s="474">
        <f>IFERROR(VLOOKUP(C268,'פקודות נוספות'!$D$273:$G$797,4,0),0)</f>
        <v>0</v>
      </c>
      <c r="N268" s="1104" t="str">
        <f t="shared" si="73"/>
        <v>-</v>
      </c>
      <c r="O268" s="1114"/>
      <c r="P268" s="137"/>
    </row>
    <row r="269" spans="2:16" s="52" customFormat="1">
      <c r="B269" s="3659" t="s">
        <v>1033</v>
      </c>
      <c r="C269" s="705">
        <v>2120053</v>
      </c>
      <c r="D269" s="601" t="s">
        <v>439</v>
      </c>
      <c r="E269" s="474">
        <f>IFERROR(VLOOKUP(C269,'פקודות נוספות'!$D$274:$F$797,3,0),0)</f>
        <v>0</v>
      </c>
      <c r="F269" s="49">
        <f>SUMIF('פקודות נוספות'!C:C,C:C,'פקודות נוספות'!E:E)</f>
        <v>0</v>
      </c>
      <c r="G269" s="49"/>
      <c r="H269" s="49"/>
      <c r="I269" s="49"/>
      <c r="J269" s="474">
        <f t="shared" si="72"/>
        <v>0</v>
      </c>
      <c r="K269" s="474">
        <f>M269+SUMIF('פקודות נוספות'!C:C,'מאזן בוחן'!C269,'פקודות נוספות'!F:F)</f>
        <v>0</v>
      </c>
      <c r="L269" s="439"/>
      <c r="M269" s="474">
        <f>IFERROR(VLOOKUP(C269,'פקודות נוספות'!$D$273:$G$797,4,0),0)</f>
        <v>0</v>
      </c>
      <c r="N269" s="1104" t="str">
        <f t="shared" si="73"/>
        <v>-</v>
      </c>
      <c r="O269" s="1114"/>
      <c r="P269" s="137"/>
    </row>
    <row r="270" spans="2:16" s="52" customFormat="1">
      <c r="B270" s="3659" t="s">
        <v>1033</v>
      </c>
      <c r="C270" s="705">
        <v>2120088</v>
      </c>
      <c r="D270" s="601" t="s">
        <v>432</v>
      </c>
      <c r="E270" s="474">
        <f>IFERROR(VLOOKUP(C270,'פקודות נוספות'!$D$274:$F$797,3,0),0)</f>
        <v>-6220</v>
      </c>
      <c r="F270" s="49">
        <f>SUMIF('פקודות נוספות'!C:C,C:C,'פקודות נוספות'!E:E)</f>
        <v>0</v>
      </c>
      <c r="G270" s="49"/>
      <c r="H270" s="49"/>
      <c r="I270" s="49"/>
      <c r="J270" s="474">
        <f t="shared" si="72"/>
        <v>-6220</v>
      </c>
      <c r="K270" s="474">
        <f>M270+SUMIF('פקודות נוספות'!C:C,'מאזן בוחן'!C270,'פקודות נוספות'!F:F)</f>
        <v>-2000</v>
      </c>
      <c r="L270" s="439"/>
      <c r="M270" s="474">
        <f>IFERROR(VLOOKUP(C270,'פקודות נוספות'!$D$273:$G$797,4,0),0)</f>
        <v>-2000</v>
      </c>
      <c r="N270" s="1104">
        <f t="shared" si="73"/>
        <v>3.11</v>
      </c>
      <c r="O270" s="1114"/>
      <c r="P270" s="137"/>
    </row>
    <row r="271" spans="2:16" s="52" customFormat="1">
      <c r="B271" s="3659" t="s">
        <v>1033</v>
      </c>
      <c r="C271" s="705">
        <v>2170345</v>
      </c>
      <c r="D271" s="601" t="s">
        <v>4045</v>
      </c>
      <c r="E271" s="474">
        <f>IFERROR(VLOOKUP(C271,'פקודות נוספות'!$D$274:$F$797,3,0),0)</f>
        <v>0</v>
      </c>
      <c r="F271" s="49">
        <f>SUMIF('פקודות נוספות'!C:C,C:C,'פקודות נוספות'!E:E)</f>
        <v>0</v>
      </c>
      <c r="G271" s="49"/>
      <c r="H271" s="49"/>
      <c r="I271" s="49"/>
      <c r="J271" s="474">
        <f t="shared" si="72"/>
        <v>0</v>
      </c>
      <c r="K271" s="474">
        <f>M271+SUMIF('פקודות נוספות'!C:C,'מאזן בוחן'!C271,'פקודות נוספות'!F:F)</f>
        <v>0</v>
      </c>
      <c r="L271" s="439"/>
      <c r="M271" s="474">
        <f>IFERROR(VLOOKUP(C271,'פקודות נוספות'!$D$273:$G$797,4,0),0)</f>
        <v>0</v>
      </c>
      <c r="N271" s="1104" t="str">
        <f t="shared" si="73"/>
        <v>-</v>
      </c>
      <c r="O271" s="1114"/>
      <c r="P271" s="137"/>
    </row>
    <row r="272" spans="2:16" s="52" customFormat="1">
      <c r="B272" s="3659" t="s">
        <v>1033</v>
      </c>
      <c r="C272" s="705">
        <v>2170447</v>
      </c>
      <c r="D272" s="601" t="s">
        <v>4046</v>
      </c>
      <c r="E272" s="474">
        <f>IFERROR(VLOOKUP(C272,'פקודות נוספות'!$D$274:$F$797,3,0),0)</f>
        <v>-1542.93</v>
      </c>
      <c r="F272" s="49">
        <f>SUMIF('פקודות נוספות'!C:C,C:C,'פקודות נוספות'!E:E)</f>
        <v>0</v>
      </c>
      <c r="G272" s="49"/>
      <c r="H272" s="49"/>
      <c r="I272" s="49"/>
      <c r="J272" s="474">
        <f t="shared" si="72"/>
        <v>-1542.93</v>
      </c>
      <c r="K272" s="474">
        <f>M272+SUMIF('פקודות נוספות'!C:C,'מאזן בוחן'!C272,'פקודות נוספות'!F:F)</f>
        <v>-496.12</v>
      </c>
      <c r="L272" s="439"/>
      <c r="M272" s="474">
        <f>IFERROR(VLOOKUP(C272,'פקודות נוספות'!$D$273:$G$797,4,0),0)</f>
        <v>-496.12</v>
      </c>
      <c r="N272" s="1104">
        <f t="shared" si="73"/>
        <v>3.1099935499475935</v>
      </c>
      <c r="O272" s="1114"/>
      <c r="P272" s="137"/>
    </row>
    <row r="273" spans="2:16" s="52" customFormat="1">
      <c r="B273" s="3659" t="s">
        <v>1033</v>
      </c>
      <c r="C273" s="705">
        <v>2170451</v>
      </c>
      <c r="D273" s="601" t="s">
        <v>4047</v>
      </c>
      <c r="E273" s="474">
        <f>IFERROR(VLOOKUP(C273,'פקודות נוספות'!$D$274:$F$797,3,0),0)</f>
        <v>-10263</v>
      </c>
      <c r="F273" s="49">
        <f>SUMIF('פקודות נוספות'!C:C,C:C,'פקודות נוספות'!E:E)</f>
        <v>0</v>
      </c>
      <c r="G273" s="49"/>
      <c r="H273" s="49"/>
      <c r="I273" s="49"/>
      <c r="J273" s="474">
        <f t="shared" si="72"/>
        <v>-10263</v>
      </c>
      <c r="K273" s="474">
        <f>M273+SUMIF('פקודות נוספות'!C:C,'מאזן בוחן'!C273,'פקודות נוספות'!F:F)</f>
        <v>-3300</v>
      </c>
      <c r="L273" s="439"/>
      <c r="M273" s="474">
        <f>IFERROR(VLOOKUP(C273,'פקודות נוספות'!$D$273:$G$797,4,0),0)</f>
        <v>-3300</v>
      </c>
      <c r="N273" s="1104">
        <f t="shared" si="73"/>
        <v>3.11</v>
      </c>
      <c r="O273" s="1114"/>
      <c r="P273" s="137"/>
    </row>
    <row r="274" spans="2:16" s="52" customFormat="1">
      <c r="B274" s="3659" t="s">
        <v>1025</v>
      </c>
      <c r="C274" s="705">
        <v>2100213</v>
      </c>
      <c r="D274" s="601" t="s">
        <v>3969</v>
      </c>
      <c r="E274" s="474">
        <f>IFERROR(VLOOKUP(C274,'פקודות נוספות'!$D$274:$F$797,3,0),0)</f>
        <v>-37440</v>
      </c>
      <c r="F274" s="49">
        <f>SUMIF('פקודות נוספות'!C:C,C:C,'פקודות נוספות'!E:E)</f>
        <v>0</v>
      </c>
      <c r="G274" s="49"/>
      <c r="H274" s="49"/>
      <c r="I274" s="49"/>
      <c r="J274" s="474">
        <f t="shared" ref="J274:J282" si="74">SUM(E274:I274)</f>
        <v>-37440</v>
      </c>
      <c r="K274" s="474">
        <f>M274+SUMIF('פקודות נוספות'!C:C,'מאזן בוחן'!C274,'פקודות נוספות'!F:F)</f>
        <v>-12038.59</v>
      </c>
      <c r="L274" s="439"/>
      <c r="M274" s="474">
        <f>IFERROR(VLOOKUP(C274,'פקודות נוספות'!$D$273:$G$797,4,0),0)</f>
        <v>-12038.59</v>
      </c>
      <c r="N274" s="1104">
        <f t="shared" ref="N274:N282" si="75">IF(K274=0,"-",J274/K274)</f>
        <v>3.1099987623135266</v>
      </c>
      <c r="O274" s="1114"/>
      <c r="P274" s="137"/>
    </row>
    <row r="275" spans="2:16" s="52" customFormat="1">
      <c r="B275" s="3659" t="s">
        <v>1025</v>
      </c>
      <c r="C275" s="705">
        <v>2100531</v>
      </c>
      <c r="D275" s="601" t="s">
        <v>3970</v>
      </c>
      <c r="E275" s="474">
        <f>IFERROR(VLOOKUP(C275,'פקודות נוספות'!$D$274:$F$797,3,0),0)</f>
        <v>0</v>
      </c>
      <c r="F275" s="49">
        <f>SUMIF('פקודות נוספות'!C:C,C:C,'פקודות נוספות'!E:E)</f>
        <v>0</v>
      </c>
      <c r="G275" s="49"/>
      <c r="H275" s="49"/>
      <c r="I275" s="49"/>
      <c r="J275" s="474">
        <f t="shared" si="74"/>
        <v>0</v>
      </c>
      <c r="K275" s="474">
        <f>M275+SUMIF('פקודות נוספות'!C:C,'מאזן בוחן'!C275,'פקודות נוספות'!F:F)</f>
        <v>0</v>
      </c>
      <c r="L275" s="439"/>
      <c r="M275" s="474">
        <f>IFERROR(VLOOKUP(C275,'פקודות נוספות'!$D$273:$G$797,4,0),0)</f>
        <v>0</v>
      </c>
      <c r="N275" s="1104" t="str">
        <f t="shared" si="75"/>
        <v>-</v>
      </c>
      <c r="O275" s="1114"/>
      <c r="P275" s="137"/>
    </row>
    <row r="276" spans="2:16" s="52" customFormat="1">
      <c r="B276" s="3659" t="s">
        <v>1025</v>
      </c>
      <c r="C276" s="705">
        <v>2100472</v>
      </c>
      <c r="D276" s="601" t="s">
        <v>3797</v>
      </c>
      <c r="E276" s="474">
        <f>IFERROR(VLOOKUP(C276,'פקודות נוספות'!$D$274:$F$797,3,0),0)</f>
        <v>0</v>
      </c>
      <c r="F276" s="49">
        <f>SUMIF('פקודות נוספות'!C:C,C:C,'פקודות נוספות'!E:E)</f>
        <v>0</v>
      </c>
      <c r="G276" s="49"/>
      <c r="H276" s="49"/>
      <c r="I276" s="49"/>
      <c r="J276" s="474">
        <f t="shared" si="74"/>
        <v>0</v>
      </c>
      <c r="K276" s="474">
        <f>M276+SUMIF('פקודות נוספות'!C:C,'מאזן בוחן'!C276,'פקודות נוספות'!F:F)</f>
        <v>0</v>
      </c>
      <c r="L276" s="439"/>
      <c r="M276" s="474">
        <f>IFERROR(VLOOKUP(C276,'פקודות נוספות'!$D$273:$G$797,4,0),0)</f>
        <v>0</v>
      </c>
      <c r="N276" s="1104" t="str">
        <f t="shared" si="75"/>
        <v>-</v>
      </c>
      <c r="O276" s="1114"/>
      <c r="P276" s="137"/>
    </row>
    <row r="277" spans="2:16" s="52" customFormat="1">
      <c r="B277" s="3659" t="s">
        <v>1025</v>
      </c>
      <c r="C277" s="705">
        <v>2170397</v>
      </c>
      <c r="D277" s="601" t="s">
        <v>3798</v>
      </c>
      <c r="E277" s="474">
        <f>IFERROR(VLOOKUP(C277,'פקודות נוספות'!$D$274:$F$797,3,0),0)</f>
        <v>0</v>
      </c>
      <c r="F277" s="49">
        <f>SUMIF('פקודות נוספות'!C:C,C:C,'פקודות נוספות'!E:E)</f>
        <v>0</v>
      </c>
      <c r="G277" s="49"/>
      <c r="H277" s="49"/>
      <c r="I277" s="49"/>
      <c r="J277" s="474">
        <f t="shared" si="74"/>
        <v>0</v>
      </c>
      <c r="K277" s="474">
        <f>M277+SUMIF('פקודות נוספות'!C:C,'מאזן בוחן'!C277,'פקודות נוספות'!F:F)</f>
        <v>0</v>
      </c>
      <c r="L277" s="439"/>
      <c r="M277" s="474">
        <f>IFERROR(VLOOKUP(C277,'פקודות נוספות'!$D$273:$G$797,4,0),0)</f>
        <v>0</v>
      </c>
      <c r="N277" s="1104" t="str">
        <f t="shared" si="75"/>
        <v>-</v>
      </c>
      <c r="O277" s="1114"/>
      <c r="P277" s="137"/>
    </row>
    <row r="278" spans="2:16" s="52" customFormat="1">
      <c r="B278" s="3659" t="s">
        <v>1025</v>
      </c>
      <c r="C278" s="705">
        <v>2170418</v>
      </c>
      <c r="D278" s="601" t="s">
        <v>3799</v>
      </c>
      <c r="E278" s="474">
        <f>IFERROR(VLOOKUP(C278,'פקודות נוספות'!$D$274:$F$797,3,0),0)</f>
        <v>-4335</v>
      </c>
      <c r="F278" s="49">
        <f>SUMIF('פקודות נוספות'!C:C,C:C,'פקודות נוספות'!E:E)</f>
        <v>0</v>
      </c>
      <c r="G278" s="49"/>
      <c r="H278" s="49"/>
      <c r="I278" s="49"/>
      <c r="J278" s="474">
        <f t="shared" si="74"/>
        <v>-4335</v>
      </c>
      <c r="K278" s="474">
        <f>M278+SUMIF('פקודות נוספות'!C:C,'מאזן בוחן'!C278,'פקודות נוספות'!F:F)</f>
        <v>-1393.89</v>
      </c>
      <c r="L278" s="439"/>
      <c r="M278" s="474">
        <f>IFERROR(VLOOKUP(C278,'פקודות נוספות'!$D$273:$G$797,4,0),0)</f>
        <v>-1393.89</v>
      </c>
      <c r="N278" s="1104">
        <f t="shared" si="75"/>
        <v>3.1100015065751241</v>
      </c>
      <c r="O278" s="1114"/>
      <c r="P278" s="137"/>
    </row>
    <row r="279" spans="2:16" s="52" customFormat="1">
      <c r="B279" s="3659" t="s">
        <v>1025</v>
      </c>
      <c r="C279" s="705">
        <v>2170421</v>
      </c>
      <c r="D279" s="601" t="s">
        <v>3800</v>
      </c>
      <c r="E279" s="474">
        <f>IFERROR(VLOOKUP(C279,'פקודות נוספות'!$D$274:$F$797,3,0),0)</f>
        <v>0</v>
      </c>
      <c r="F279" s="49">
        <f>SUMIF('פקודות נוספות'!C:C,C:C,'פקודות נוספות'!E:E)</f>
        <v>0</v>
      </c>
      <c r="G279" s="49"/>
      <c r="H279" s="49"/>
      <c r="I279" s="49"/>
      <c r="J279" s="474">
        <f t="shared" si="74"/>
        <v>0</v>
      </c>
      <c r="K279" s="474">
        <f>M279+SUMIF('פקודות נוספות'!C:C,'מאזן בוחן'!C279,'פקודות נוספות'!F:F)</f>
        <v>0</v>
      </c>
      <c r="L279" s="439"/>
      <c r="M279" s="474">
        <f>IFERROR(VLOOKUP(C279,'פקודות נוספות'!$D$273:$G$797,4,0),0)</f>
        <v>0</v>
      </c>
      <c r="N279" s="1104" t="str">
        <f t="shared" si="75"/>
        <v>-</v>
      </c>
      <c r="O279" s="1114"/>
      <c r="P279" s="137"/>
    </row>
    <row r="280" spans="2:16" s="52" customFormat="1">
      <c r="B280" s="3659" t="s">
        <v>1025</v>
      </c>
      <c r="C280" s="705">
        <v>2170422</v>
      </c>
      <c r="D280" s="601" t="s">
        <v>3801</v>
      </c>
      <c r="E280" s="474">
        <f>IFERROR(VLOOKUP(C280,'פקודות נוספות'!$D$274:$F$797,3,0),0)</f>
        <v>0</v>
      </c>
      <c r="F280" s="49">
        <f>SUMIF('פקודות נוספות'!C:C,C:C,'פקודות נוספות'!E:E)</f>
        <v>0</v>
      </c>
      <c r="G280" s="49"/>
      <c r="H280" s="49"/>
      <c r="I280" s="49"/>
      <c r="J280" s="474">
        <f t="shared" si="74"/>
        <v>0</v>
      </c>
      <c r="K280" s="474">
        <f>M280+SUMIF('פקודות נוספות'!C:C,'מאזן בוחן'!C280,'פקודות נוספות'!F:F)</f>
        <v>0</v>
      </c>
      <c r="L280" s="439"/>
      <c r="M280" s="474">
        <f>IFERROR(VLOOKUP(C280,'פקודות נוספות'!$D$273:$G$797,4,0),0)</f>
        <v>0</v>
      </c>
      <c r="N280" s="1104" t="str">
        <f t="shared" si="75"/>
        <v>-</v>
      </c>
      <c r="O280" s="1114"/>
      <c r="P280" s="137"/>
    </row>
    <row r="281" spans="2:16" s="52" customFormat="1">
      <c r="B281" s="3659" t="s">
        <v>1033</v>
      </c>
      <c r="C281" s="705">
        <v>2120031</v>
      </c>
      <c r="D281" s="601" t="s">
        <v>3501</v>
      </c>
      <c r="E281" s="474">
        <f>IFERROR(VLOOKUP(C281,'פקודות נוספות'!$D$274:$F$797,3,0),0)</f>
        <v>0</v>
      </c>
      <c r="F281" s="49">
        <f>SUMIF('פקודות נוספות'!C:C,C:C,'פקודות נוספות'!E:E)</f>
        <v>0</v>
      </c>
      <c r="G281" s="49"/>
      <c r="H281" s="49"/>
      <c r="I281" s="49"/>
      <c r="J281" s="474">
        <f t="shared" si="74"/>
        <v>0</v>
      </c>
      <c r="K281" s="474">
        <f>M281+SUMIF('פקודות נוספות'!C:C,'מאזן בוחן'!C281,'פקודות נוספות'!F:F)</f>
        <v>0</v>
      </c>
      <c r="L281" s="439"/>
      <c r="M281" s="474">
        <f>IFERROR(VLOOKUP(C281,'פקודות נוספות'!$D$273:$G$797,4,0),0)</f>
        <v>0</v>
      </c>
      <c r="N281" s="1104" t="str">
        <f t="shared" si="75"/>
        <v>-</v>
      </c>
      <c r="O281" s="1114"/>
      <c r="P281" s="137"/>
    </row>
    <row r="282" spans="2:16" s="52" customFormat="1">
      <c r="B282" s="3659" t="s">
        <v>1033</v>
      </c>
      <c r="C282" s="705">
        <v>2170423</v>
      </c>
      <c r="D282" s="601" t="s">
        <v>3803</v>
      </c>
      <c r="E282" s="474">
        <f>IFERROR(VLOOKUP(C282,'פקודות נוספות'!$D$274:$F$797,3,0),0)</f>
        <v>0</v>
      </c>
      <c r="F282" s="49">
        <f>SUMIF('פקודות נוספות'!C:C,C:C,'פקודות נוספות'!E:E)</f>
        <v>0</v>
      </c>
      <c r="G282" s="49"/>
      <c r="H282" s="49"/>
      <c r="I282" s="49"/>
      <c r="J282" s="474">
        <f t="shared" si="74"/>
        <v>0</v>
      </c>
      <c r="K282" s="474">
        <f>M282+SUMIF('פקודות נוספות'!C:C,'מאזן בוחן'!C282,'פקודות נוספות'!F:F)</f>
        <v>0</v>
      </c>
      <c r="L282" s="439"/>
      <c r="M282" s="474">
        <f>IFERROR(VLOOKUP(C282,'פקודות נוספות'!$D$273:$G$797,4,0),0)</f>
        <v>0</v>
      </c>
      <c r="N282" s="1104" t="str">
        <f t="shared" si="75"/>
        <v>-</v>
      </c>
      <c r="O282" s="1114"/>
      <c r="P282" s="137"/>
    </row>
    <row r="283" spans="2:16" s="52" customFormat="1">
      <c r="B283" s="3659" t="s">
        <v>1025</v>
      </c>
      <c r="C283" s="705">
        <v>2150208</v>
      </c>
      <c r="D283" s="601" t="s">
        <v>1910</v>
      </c>
      <c r="E283" s="474">
        <f>IFERROR(VLOOKUP(C283,'פקודות נוספות'!$D$274:$F$797,3,0),0)</f>
        <v>0</v>
      </c>
      <c r="F283" s="49">
        <f>SUMIF('פקודות נוספות'!C:C,C:C,'פקודות נוספות'!E:E)</f>
        <v>0</v>
      </c>
      <c r="G283" s="49"/>
      <c r="H283" s="49"/>
      <c r="I283" s="49"/>
      <c r="J283" s="474">
        <f t="shared" ref="J283:J293" si="76">SUM(E283:I283)</f>
        <v>0</v>
      </c>
      <c r="K283" s="474">
        <f>M283+SUMIF('פקודות נוספות'!C:C,'מאזן בוחן'!C283,'פקודות נוספות'!F:F)</f>
        <v>0</v>
      </c>
      <c r="L283" s="439"/>
      <c r="M283" s="474">
        <f>IFERROR(VLOOKUP(C283,'פקודות נוספות'!$D$273:$G$797,4,0),0)</f>
        <v>0</v>
      </c>
      <c r="N283" s="1104" t="str">
        <f t="shared" ref="N283:N293" si="77">IF(K283=0,"-",J283/K283)</f>
        <v>-</v>
      </c>
      <c r="O283" s="1114"/>
      <c r="P283" s="137"/>
    </row>
    <row r="284" spans="2:16" s="52" customFormat="1">
      <c r="B284" s="3659" t="s">
        <v>1025</v>
      </c>
      <c r="C284" s="705">
        <v>2170405</v>
      </c>
      <c r="D284" s="601" t="s">
        <v>3681</v>
      </c>
      <c r="E284" s="474">
        <f>IFERROR(VLOOKUP(C284,'פקודות נוספות'!$D$274:$F$797,3,0),0)</f>
        <v>0</v>
      </c>
      <c r="F284" s="49">
        <f>SUMIF('פקודות נוספות'!C:C,C:C,'פקודות נוספות'!E:E)</f>
        <v>0</v>
      </c>
      <c r="G284" s="49"/>
      <c r="H284" s="49"/>
      <c r="I284" s="49"/>
      <c r="J284" s="474">
        <f t="shared" si="76"/>
        <v>0</v>
      </c>
      <c r="K284" s="474">
        <f>M284+SUMIF('פקודות נוספות'!C:C,'מאזן בוחן'!C284,'פקודות נוספות'!F:F)</f>
        <v>0</v>
      </c>
      <c r="L284" s="439"/>
      <c r="M284" s="474">
        <f>IFERROR(VLOOKUP(C284,'פקודות נוספות'!$D$273:$G$797,4,0),0)</f>
        <v>0</v>
      </c>
      <c r="N284" s="1104" t="str">
        <f t="shared" si="77"/>
        <v>-</v>
      </c>
      <c r="O284" s="1114"/>
      <c r="P284" s="137"/>
    </row>
    <row r="285" spans="2:16" s="52" customFormat="1">
      <c r="B285" s="3659" t="s">
        <v>1025</v>
      </c>
      <c r="C285" s="705">
        <v>2170416</v>
      </c>
      <c r="D285" s="601" t="s">
        <v>3682</v>
      </c>
      <c r="E285" s="474">
        <f>IFERROR(VLOOKUP(C285,'פקודות נוספות'!$D$274:$F$797,3,0),0)</f>
        <v>-11165.54</v>
      </c>
      <c r="F285" s="49">
        <f>SUMIF('פקודות נוספות'!C:C,C:C,'פקודות נוספות'!E:E)</f>
        <v>0</v>
      </c>
      <c r="G285" s="49"/>
      <c r="H285" s="49"/>
      <c r="I285" s="49"/>
      <c r="J285" s="474">
        <f t="shared" si="76"/>
        <v>-11165.54</v>
      </c>
      <c r="K285" s="474">
        <f>M285+SUMIF('פקודות נוספות'!C:C,'מאזן בוחן'!C285,'פקודות נוספות'!F:F)</f>
        <v>-3590.21</v>
      </c>
      <c r="L285" s="439"/>
      <c r="M285" s="474">
        <f>IFERROR(VLOOKUP(C285,'פקודות נוספות'!$D$273:$G$797,4,0),0)</f>
        <v>-3590.21</v>
      </c>
      <c r="N285" s="1104">
        <f t="shared" si="77"/>
        <v>3.1099963511883706</v>
      </c>
      <c r="O285" s="1114"/>
      <c r="P285" s="137"/>
    </row>
    <row r="286" spans="2:16" s="52" customFormat="1">
      <c r="B286" s="3659" t="s">
        <v>1025</v>
      </c>
      <c r="C286" s="705">
        <v>2170420</v>
      </c>
      <c r="D286" s="601" t="s">
        <v>3683</v>
      </c>
      <c r="E286" s="474">
        <f>IFERROR(VLOOKUP(C286,'פקודות נוספות'!$D$274:$F$797,3,0),0)</f>
        <v>-2326.5</v>
      </c>
      <c r="F286" s="49">
        <f>SUMIF('פקודות נוספות'!C:C,C:C,'פקודות נוספות'!E:E)</f>
        <v>0</v>
      </c>
      <c r="G286" s="49"/>
      <c r="H286" s="49"/>
      <c r="I286" s="49"/>
      <c r="J286" s="474">
        <f t="shared" si="76"/>
        <v>-2326.5</v>
      </c>
      <c r="K286" s="474">
        <f>M286+SUMIF('פקודות נוספות'!C:C,'מאזן בוחן'!C286,'פקודות נוספות'!F:F)</f>
        <v>-748.07</v>
      </c>
      <c r="L286" s="439"/>
      <c r="M286" s="474">
        <f>IFERROR(VLOOKUP(C286,'פקודות נוספות'!$D$273:$G$797,4,0),0)</f>
        <v>-748.07</v>
      </c>
      <c r="N286" s="1104">
        <f t="shared" si="77"/>
        <v>3.1100030745785818</v>
      </c>
      <c r="O286" s="1114"/>
      <c r="P286" s="137"/>
    </row>
    <row r="287" spans="2:16" s="52" customFormat="1">
      <c r="B287" s="3659" t="s">
        <v>1033</v>
      </c>
      <c r="C287" s="705">
        <v>2120083</v>
      </c>
      <c r="D287" s="601" t="s">
        <v>3690</v>
      </c>
      <c r="E287" s="474">
        <f>IFERROR(VLOOKUP(C287,'פקודות נוספות'!$D$274:$F$797,3,0),0)</f>
        <v>-20768.580000000002</v>
      </c>
      <c r="F287" s="49">
        <f>SUMIF('פקודות נוספות'!C:C,C:C,'פקודות נוספות'!E:E)</f>
        <v>0</v>
      </c>
      <c r="G287" s="49"/>
      <c r="H287" s="49"/>
      <c r="I287" s="49"/>
      <c r="J287" s="474">
        <f t="shared" si="76"/>
        <v>-20768.580000000002</v>
      </c>
      <c r="K287" s="474">
        <f>M287+SUMIF('פקודות נוספות'!C:C,'מאזן בוחן'!C287,'פקודות נוספות'!F:F)</f>
        <v>-6678</v>
      </c>
      <c r="L287" s="439"/>
      <c r="M287" s="474">
        <f>IFERROR(VLOOKUP(C287,'פקודות נוספות'!$D$273:$G$797,4,0),0)</f>
        <v>-6678</v>
      </c>
      <c r="N287" s="1104">
        <f t="shared" si="77"/>
        <v>3.1100000000000003</v>
      </c>
      <c r="O287" s="1114"/>
      <c r="P287" s="137"/>
    </row>
    <row r="288" spans="2:16" s="52" customFormat="1">
      <c r="B288" s="3659" t="s">
        <v>1033</v>
      </c>
      <c r="C288" s="705">
        <v>2120162</v>
      </c>
      <c r="D288" s="601" t="s">
        <v>3502</v>
      </c>
      <c r="E288" s="474">
        <f>IFERROR(VLOOKUP(C288,'פקודות נוספות'!$D$274:$F$797,3,0),0)</f>
        <v>0</v>
      </c>
      <c r="F288" s="49">
        <f>SUMIF('פקודות נוספות'!C:C,C:C,'פקודות נוספות'!E:E)</f>
        <v>0</v>
      </c>
      <c r="G288" s="49"/>
      <c r="H288" s="49"/>
      <c r="I288" s="49"/>
      <c r="J288" s="474">
        <f t="shared" si="76"/>
        <v>0</v>
      </c>
      <c r="K288" s="474">
        <f>M288+SUMIF('פקודות נוספות'!C:C,'מאזן בוחן'!C288,'פקודות נוספות'!F:F)</f>
        <v>0</v>
      </c>
      <c r="L288" s="439"/>
      <c r="M288" s="474">
        <f>IFERROR(VLOOKUP(C288,'פקודות נוספות'!$D$273:$G$797,4,0),0)</f>
        <v>0</v>
      </c>
      <c r="N288" s="1104" t="str">
        <f t="shared" si="77"/>
        <v>-</v>
      </c>
      <c r="O288" s="1114"/>
      <c r="P288" s="137"/>
    </row>
    <row r="289" spans="2:16" s="52" customFormat="1">
      <c r="B289" s="3659" t="s">
        <v>1033</v>
      </c>
      <c r="C289" s="705">
        <v>2120205</v>
      </c>
      <c r="D289" s="601" t="s">
        <v>2911</v>
      </c>
      <c r="E289" s="474">
        <f>IFERROR(VLOOKUP(C289,'פקודות נוספות'!$D$274:$F$797,3,0),0)</f>
        <v>0</v>
      </c>
      <c r="F289" s="49">
        <f>SUMIF('פקודות נוספות'!C:C,C:C,'פקודות נוספות'!E:E)</f>
        <v>0</v>
      </c>
      <c r="G289" s="49"/>
      <c r="H289" s="49"/>
      <c r="I289" s="49"/>
      <c r="J289" s="474">
        <f t="shared" si="76"/>
        <v>0</v>
      </c>
      <c r="K289" s="474">
        <f>M289+SUMIF('פקודות נוספות'!C:C,'מאזן בוחן'!C289,'פקודות נוספות'!F:F)</f>
        <v>0</v>
      </c>
      <c r="L289" s="439"/>
      <c r="M289" s="474">
        <f>IFERROR(VLOOKUP(C289,'פקודות נוספות'!$D$273:$G$797,4,0),0)</f>
        <v>0</v>
      </c>
      <c r="N289" s="1104" t="str">
        <f t="shared" si="77"/>
        <v>-</v>
      </c>
      <c r="O289" s="1114"/>
      <c r="P289" s="137"/>
    </row>
    <row r="290" spans="2:16" s="52" customFormat="1">
      <c r="B290" s="3659" t="s">
        <v>1033</v>
      </c>
      <c r="C290" s="705">
        <v>2170372</v>
      </c>
      <c r="D290" s="601" t="s">
        <v>3691</v>
      </c>
      <c r="E290" s="474">
        <f>IFERROR(VLOOKUP(C290,'פקודות נוספות'!$D$274:$F$797,3,0),0)</f>
        <v>0</v>
      </c>
      <c r="F290" s="49">
        <f>SUMIF('פקודות נוספות'!C:C,C:C,'פקודות נוספות'!E:E)</f>
        <v>0</v>
      </c>
      <c r="G290" s="49"/>
      <c r="H290" s="49"/>
      <c r="I290" s="49"/>
      <c r="J290" s="474">
        <f t="shared" si="76"/>
        <v>0</v>
      </c>
      <c r="K290" s="474">
        <f>M290+SUMIF('פקודות נוספות'!C:C,'מאזן בוחן'!C290,'פקודות נוספות'!F:F)</f>
        <v>0</v>
      </c>
      <c r="L290" s="439"/>
      <c r="M290" s="474">
        <f>IFERROR(VLOOKUP(C290,'פקודות נוספות'!$D$273:$G$797,4,0),0)</f>
        <v>0</v>
      </c>
      <c r="N290" s="1104" t="str">
        <f t="shared" si="77"/>
        <v>-</v>
      </c>
      <c r="O290" s="1114"/>
      <c r="P290" s="137"/>
    </row>
    <row r="291" spans="2:16" s="52" customFormat="1">
      <c r="B291" s="3659" t="s">
        <v>1033</v>
      </c>
      <c r="C291" s="705">
        <v>2170382</v>
      </c>
      <c r="D291" s="601" t="s">
        <v>3127</v>
      </c>
      <c r="E291" s="474">
        <f>IFERROR(VLOOKUP(C291,'פקודות נוספות'!$D$274:$F$797,3,0),0)</f>
        <v>-335.97</v>
      </c>
      <c r="F291" s="49">
        <f>SUMIF('פקודות נוספות'!C:C,C:C,'פקודות נוספות'!E:E)</f>
        <v>0</v>
      </c>
      <c r="G291" s="49"/>
      <c r="H291" s="49"/>
      <c r="I291" s="49"/>
      <c r="J291" s="474">
        <f t="shared" si="76"/>
        <v>-335.97</v>
      </c>
      <c r="K291" s="474">
        <f>M291+SUMIF('פקודות נוספות'!C:C,'מאזן בוחן'!C291,'פקודות נוספות'!F:F)</f>
        <v>-108.03</v>
      </c>
      <c r="L291" s="439"/>
      <c r="M291" s="474">
        <f>IFERROR(VLOOKUP(C291,'פקודות נוספות'!$D$273:$G$797,4,0),0)</f>
        <v>-108.03</v>
      </c>
      <c r="N291" s="1104">
        <f t="shared" si="77"/>
        <v>3.1099694529297421</v>
      </c>
      <c r="O291" s="1114"/>
      <c r="P291" s="137"/>
    </row>
    <row r="292" spans="2:16" s="52" customFormat="1">
      <c r="B292" s="3659" t="s">
        <v>1033</v>
      </c>
      <c r="C292" s="705">
        <v>2170413</v>
      </c>
      <c r="D292" s="601" t="s">
        <v>3684</v>
      </c>
      <c r="E292" s="474">
        <f>IFERROR(VLOOKUP(C292,'פקודות נוספות'!$D$274:$F$797,3,0),0)</f>
        <v>0</v>
      </c>
      <c r="F292" s="49">
        <f>SUMIF('פקודות נוספות'!C:C,C:C,'פקודות נוספות'!E:E)</f>
        <v>0</v>
      </c>
      <c r="G292" s="49"/>
      <c r="H292" s="49"/>
      <c r="I292" s="49"/>
      <c r="J292" s="474">
        <f t="shared" si="76"/>
        <v>0</v>
      </c>
      <c r="K292" s="474">
        <f>M292+SUMIF('פקודות נוספות'!C:C,'מאזן בוחן'!C292,'פקודות נוספות'!F:F)</f>
        <v>0</v>
      </c>
      <c r="L292" s="439"/>
      <c r="M292" s="474">
        <f>IFERROR(VLOOKUP(C292,'פקודות נוספות'!$D$273:$G$797,4,0),0)</f>
        <v>0</v>
      </c>
      <c r="N292" s="1104" t="str">
        <f t="shared" si="77"/>
        <v>-</v>
      </c>
      <c r="O292" s="1114"/>
      <c r="P292" s="137"/>
    </row>
    <row r="293" spans="2:16" s="52" customFormat="1">
      <c r="B293" s="3659" t="s">
        <v>1034</v>
      </c>
      <c r="C293" s="705">
        <v>2170414</v>
      </c>
      <c r="D293" s="601" t="s">
        <v>3685</v>
      </c>
      <c r="E293" s="474">
        <f>IFERROR(VLOOKUP(C293,'פקודות נוספות'!$D$274:$F$797,3,0),0)</f>
        <v>0</v>
      </c>
      <c r="F293" s="49">
        <f>SUMIF('פקודות נוספות'!C:C,C:C,'פקודות נוספות'!E:E)</f>
        <v>0</v>
      </c>
      <c r="G293" s="49"/>
      <c r="H293" s="49"/>
      <c r="I293" s="49"/>
      <c r="J293" s="474">
        <f t="shared" si="76"/>
        <v>0</v>
      </c>
      <c r="K293" s="474">
        <f>M293+SUMIF('פקודות נוספות'!C:C,'מאזן בוחן'!C293,'פקודות נוספות'!F:F)</f>
        <v>0</v>
      </c>
      <c r="L293" s="439"/>
      <c r="M293" s="474">
        <f>IFERROR(VLOOKUP(C293,'פקודות נוספות'!$D$273:$G$797,4,0),0)</f>
        <v>0</v>
      </c>
      <c r="N293" s="1104" t="str">
        <f t="shared" si="77"/>
        <v>-</v>
      </c>
      <c r="O293" s="1114"/>
      <c r="P293" s="137"/>
    </row>
    <row r="294" spans="2:16" s="52" customFormat="1">
      <c r="B294" s="3659" t="s">
        <v>1025</v>
      </c>
      <c r="C294" s="705">
        <v>2100088</v>
      </c>
      <c r="D294" s="601" t="s">
        <v>3614</v>
      </c>
      <c r="E294" s="474">
        <f>IFERROR(VLOOKUP(C294,'פקודות נוספות'!$D$274:$F$797,3,0),0)</f>
        <v>300</v>
      </c>
      <c r="F294" s="49">
        <f>SUMIF('פקודות נוספות'!C:C,C:C,'פקודות נוספות'!E:E)</f>
        <v>0</v>
      </c>
      <c r="G294" s="49"/>
      <c r="H294" s="49"/>
      <c r="I294" s="49"/>
      <c r="J294" s="474">
        <f>SUM(E294:I294)</f>
        <v>300</v>
      </c>
      <c r="K294" s="474">
        <f>M294+SUMIF('פקודות נוספות'!C:C,'מאזן בוחן'!C294,'פקודות נוספות'!F:F)</f>
        <v>96.46</v>
      </c>
      <c r="L294" s="439"/>
      <c r="M294" s="474">
        <f>IFERROR(VLOOKUP(C294,'פקודות נוספות'!$D$273:$G$797,4,0),0)</f>
        <v>96.46</v>
      </c>
      <c r="N294" s="1104">
        <f>IF(K294=0,"-",J294/K294)</f>
        <v>3.1100974497200915</v>
      </c>
      <c r="O294" s="1114"/>
      <c r="P294" s="137"/>
    </row>
    <row r="295" spans="2:16" s="52" customFormat="1">
      <c r="B295" s="3659" t="s">
        <v>1025</v>
      </c>
      <c r="C295" s="705">
        <v>2100091</v>
      </c>
      <c r="D295" s="601" t="s">
        <v>3570</v>
      </c>
      <c r="E295" s="474">
        <f>IFERROR(VLOOKUP(C295,'פקודות נוספות'!$D$274:$F$797,3,0),0)</f>
        <v>-228296</v>
      </c>
      <c r="F295" s="49">
        <f>SUMIF('פקודות נוספות'!C:C,C:C,'פקודות נוספות'!E:E)</f>
        <v>0</v>
      </c>
      <c r="G295" s="49"/>
      <c r="H295" s="49"/>
      <c r="I295" s="49"/>
      <c r="J295" s="474">
        <f t="shared" ref="J295:J300" si="78">SUM(E295:I295)</f>
        <v>-228296</v>
      </c>
      <c r="K295" s="474">
        <f>M295+SUMIF('פקודות נוספות'!C:C,'מאזן בוחן'!C295,'פקודות נוספות'!F:F)</f>
        <v>-73407.070000000007</v>
      </c>
      <c r="L295" s="439"/>
      <c r="M295" s="474">
        <f>IFERROR(VLOOKUP(C295,'פקודות נוספות'!$D$273:$G$797,4,0),0)</f>
        <v>-73407.070000000007</v>
      </c>
      <c r="N295" s="1104">
        <f t="shared" ref="N295:N300" si="79">IF(K295=0,"-",J295/K295)</f>
        <v>3.1100001675587921</v>
      </c>
      <c r="O295" s="1114"/>
      <c r="P295" s="137"/>
    </row>
    <row r="296" spans="2:16" s="52" customFormat="1">
      <c r="B296" s="3659" t="s">
        <v>1025</v>
      </c>
      <c r="C296" s="705">
        <v>2100319</v>
      </c>
      <c r="D296" s="601" t="s">
        <v>3571</v>
      </c>
      <c r="E296" s="474">
        <f>IFERROR(VLOOKUP(C296,'פקודות נוספות'!$D$274:$F$797,3,0),0)</f>
        <v>0</v>
      </c>
      <c r="F296" s="49">
        <f>SUMIF('פקודות נוספות'!C:C,C:C,'פקודות נוספות'!E:E)</f>
        <v>0</v>
      </c>
      <c r="G296" s="49"/>
      <c r="H296" s="49"/>
      <c r="I296" s="49"/>
      <c r="J296" s="474">
        <f t="shared" si="78"/>
        <v>0</v>
      </c>
      <c r="K296" s="474">
        <f>M296+SUMIF('פקודות נוספות'!C:C,'מאזן בוחן'!C296,'פקודות נוספות'!F:F)</f>
        <v>0</v>
      </c>
      <c r="L296" s="439"/>
      <c r="M296" s="474">
        <f>IFERROR(VLOOKUP(C296,'פקודות נוספות'!$D$273:$G$797,4,0),0)</f>
        <v>0</v>
      </c>
      <c r="N296" s="1104" t="str">
        <f t="shared" si="79"/>
        <v>-</v>
      </c>
      <c r="O296" s="1114"/>
      <c r="P296" s="137"/>
    </row>
    <row r="297" spans="2:16" s="52" customFormat="1">
      <c r="B297" s="3659" t="s">
        <v>1025</v>
      </c>
      <c r="C297" s="705">
        <v>2100468</v>
      </c>
      <c r="D297" s="601" t="s">
        <v>3572</v>
      </c>
      <c r="E297" s="474">
        <f>IFERROR(VLOOKUP(C297,'פקודות נוספות'!$D$274:$F$797,3,0),0)</f>
        <v>0</v>
      </c>
      <c r="F297" s="49">
        <f>SUMIF('פקודות נוספות'!C:C,C:C,'פקודות נוספות'!E:E)</f>
        <v>0</v>
      </c>
      <c r="G297" s="49"/>
      <c r="H297" s="49"/>
      <c r="I297" s="49"/>
      <c r="J297" s="474">
        <f t="shared" si="78"/>
        <v>0</v>
      </c>
      <c r="K297" s="474">
        <f>M297+SUMIF('פקודות נוספות'!C:C,'מאזן בוחן'!C297,'פקודות נוספות'!F:F)</f>
        <v>0</v>
      </c>
      <c r="L297" s="439"/>
      <c r="M297" s="474">
        <f>IFERROR(VLOOKUP(C297,'פקודות נוספות'!$D$273:$G$797,4,0),0)</f>
        <v>0</v>
      </c>
      <c r="N297" s="1104" t="str">
        <f t="shared" si="79"/>
        <v>-</v>
      </c>
      <c r="O297" s="1114"/>
      <c r="P297" s="137"/>
    </row>
    <row r="298" spans="2:16" s="52" customFormat="1">
      <c r="B298" s="3659" t="s">
        <v>1025</v>
      </c>
      <c r="C298" s="705">
        <v>2100535</v>
      </c>
      <c r="D298" s="601" t="s">
        <v>3573</v>
      </c>
      <c r="E298" s="474">
        <f>IFERROR(VLOOKUP(C298,'פקודות נוספות'!$D$274:$F$797,3,0),0)</f>
        <v>0</v>
      </c>
      <c r="F298" s="49">
        <f>SUMIF('פקודות נוספות'!C:C,C:C,'פקודות נוספות'!E:E)</f>
        <v>0</v>
      </c>
      <c r="G298" s="49"/>
      <c r="H298" s="49"/>
      <c r="I298" s="49"/>
      <c r="J298" s="474">
        <f t="shared" si="78"/>
        <v>0</v>
      </c>
      <c r="K298" s="474">
        <f>M298+SUMIF('פקודות נוספות'!C:C,'מאזן בוחן'!C298,'פקודות נוספות'!F:F)</f>
        <v>0</v>
      </c>
      <c r="L298" s="439"/>
      <c r="M298" s="474">
        <f>IFERROR(VLOOKUP(C298,'פקודות נוספות'!$D$273:$G$797,4,0),0)</f>
        <v>0</v>
      </c>
      <c r="N298" s="1104" t="str">
        <f t="shared" si="79"/>
        <v>-</v>
      </c>
      <c r="O298" s="1114"/>
      <c r="P298" s="137"/>
    </row>
    <row r="299" spans="2:16" s="52" customFormat="1">
      <c r="B299" s="3659" t="s">
        <v>1025</v>
      </c>
      <c r="C299" s="705">
        <v>2100547</v>
      </c>
      <c r="D299" s="601" t="s">
        <v>3574</v>
      </c>
      <c r="E299" s="474">
        <f>IFERROR(VLOOKUP(C299,'פקודות נוספות'!$D$274:$F$797,3,0),0)</f>
        <v>-51648</v>
      </c>
      <c r="F299" s="49">
        <f>SUMIF('פקודות נוספות'!C:C,C:C,'פקודות נוספות'!E:E)</f>
        <v>0</v>
      </c>
      <c r="G299" s="49"/>
      <c r="H299" s="49"/>
      <c r="I299" s="49"/>
      <c r="J299" s="474">
        <f t="shared" si="78"/>
        <v>-51648</v>
      </c>
      <c r="K299" s="474">
        <f>M299+SUMIF('פקודות נוספות'!C:C,'מאזן בוחן'!C299,'פקודות נוספות'!F:F)</f>
        <v>-16607.07</v>
      </c>
      <c r="L299" s="439"/>
      <c r="M299" s="474">
        <f>IFERROR(VLOOKUP(C299,'פקודות נוספות'!$D$273:$G$797,4,0),0)</f>
        <v>-16607.07</v>
      </c>
      <c r="N299" s="1104">
        <f t="shared" si="79"/>
        <v>3.1100007406484105</v>
      </c>
      <c r="O299" s="1114"/>
      <c r="P299" s="137"/>
    </row>
    <row r="300" spans="2:16" s="52" customFormat="1">
      <c r="B300" s="3659" t="s">
        <v>1025</v>
      </c>
      <c r="C300" s="705">
        <v>2170233</v>
      </c>
      <c r="D300" s="601" t="s">
        <v>3575</v>
      </c>
      <c r="E300" s="474">
        <f>IFERROR(VLOOKUP(C300,'פקודות נוספות'!$D$274:$F$797,3,0),0)</f>
        <v>-220245</v>
      </c>
      <c r="F300" s="49">
        <f>SUMIF('פקודות נוספות'!C:C,C:C,'פקודות נוספות'!E:E)</f>
        <v>0</v>
      </c>
      <c r="G300" s="49"/>
      <c r="H300" s="49"/>
      <c r="I300" s="49"/>
      <c r="J300" s="474">
        <f t="shared" si="78"/>
        <v>-220245</v>
      </c>
      <c r="K300" s="474">
        <f>M300+SUMIF('פקודות נוספות'!C:C,'מאזן בוחן'!C300,'פקודות נוספות'!F:F)</f>
        <v>-70818.33</v>
      </c>
      <c r="L300" s="439"/>
      <c r="M300" s="474">
        <f>IFERROR(VLOOKUP(C300,'פקודות נוספות'!$D$273:$G$797,4,0),0)</f>
        <v>-70818.33</v>
      </c>
      <c r="N300" s="1104">
        <f t="shared" si="79"/>
        <v>3.1099999110399805</v>
      </c>
      <c r="O300" s="1114"/>
      <c r="P300" s="137"/>
    </row>
    <row r="301" spans="2:16" s="52" customFormat="1">
      <c r="B301" s="3659" t="s">
        <v>1025</v>
      </c>
      <c r="C301" s="705">
        <v>2100179</v>
      </c>
      <c r="D301" s="601" t="s">
        <v>3907</v>
      </c>
      <c r="E301" s="474">
        <f>IFERROR(VLOOKUP(C301,'פקודות נוספות'!$D$274:$F$797,3,0),0)</f>
        <v>0</v>
      </c>
      <c r="F301" s="49">
        <f>SUMIF('פקודות נוספות'!C:C,C:C,'פקודות נוספות'!E:E)</f>
        <v>0</v>
      </c>
      <c r="G301" s="49"/>
      <c r="H301" s="49"/>
      <c r="I301" s="49"/>
      <c r="J301" s="474">
        <f t="shared" ref="J301:J313" si="80">SUM(E301:I301)</f>
        <v>0</v>
      </c>
      <c r="K301" s="474">
        <f>M301+SUMIF('פקודות נוספות'!C:C,'מאזן בוחן'!C301,'פקודות נוספות'!F:F)</f>
        <v>0</v>
      </c>
      <c r="L301" s="439"/>
      <c r="M301" s="474">
        <f>IFERROR(VLOOKUP(C301,'פקודות נוספות'!$D$273:$G$797,4,0),0)</f>
        <v>0</v>
      </c>
      <c r="N301" s="1104" t="str">
        <f t="shared" ref="N301:N313" si="81">IF(K301=0,"-",J301/K301)</f>
        <v>-</v>
      </c>
      <c r="O301" s="1114"/>
      <c r="P301" s="137"/>
    </row>
    <row r="302" spans="2:16" s="52" customFormat="1">
      <c r="B302" s="3659" t="s">
        <v>1025</v>
      </c>
      <c r="C302" s="705">
        <v>2100464</v>
      </c>
      <c r="D302" s="601" t="s">
        <v>3908</v>
      </c>
      <c r="E302" s="474">
        <f>IFERROR(VLOOKUP(C302,'פקודות נוספות'!$D$274:$F$797,3,0),0)</f>
        <v>0</v>
      </c>
      <c r="F302" s="49">
        <f>SUMIF('פקודות נוספות'!C:C,C:C,'פקודות נוספות'!E:E)</f>
        <v>0</v>
      </c>
      <c r="G302" s="49"/>
      <c r="H302" s="49"/>
      <c r="I302" s="49"/>
      <c r="J302" s="474">
        <f t="shared" si="80"/>
        <v>0</v>
      </c>
      <c r="K302" s="474">
        <f>M302+SUMIF('פקודות נוספות'!C:C,'מאזן בוחן'!C302,'פקודות נוספות'!F:F)</f>
        <v>0</v>
      </c>
      <c r="L302" s="439"/>
      <c r="M302" s="474">
        <f>IFERROR(VLOOKUP(C302,'פקודות נוספות'!$D$273:$G$797,4,0),0)</f>
        <v>0</v>
      </c>
      <c r="N302" s="1104" t="str">
        <f t="shared" si="81"/>
        <v>-</v>
      </c>
      <c r="O302" s="1114"/>
      <c r="P302" s="137"/>
    </row>
    <row r="303" spans="2:16" s="52" customFormat="1">
      <c r="B303" s="3659" t="s">
        <v>1025</v>
      </c>
      <c r="C303" s="705">
        <v>2100555</v>
      </c>
      <c r="D303" s="601" t="s">
        <v>3948</v>
      </c>
      <c r="E303" s="474">
        <f>IFERROR(VLOOKUP(C303,'פקודות נוספות'!$D$274:$F$797,3,0),0)</f>
        <v>0</v>
      </c>
      <c r="F303" s="49">
        <f>SUMIF('פקודות נוספות'!C:C,C:C,'פקודות נוספות'!E:E)</f>
        <v>0</v>
      </c>
      <c r="G303" s="49"/>
      <c r="H303" s="49"/>
      <c r="I303" s="49"/>
      <c r="J303" s="474">
        <f t="shared" si="80"/>
        <v>0</v>
      </c>
      <c r="K303" s="474">
        <f>M303+SUMIF('פקודות נוספות'!C:C,'מאזן בוחן'!C303,'פקודות נוספות'!F:F)</f>
        <v>0</v>
      </c>
      <c r="L303" s="439"/>
      <c r="M303" s="474">
        <f>IFERROR(VLOOKUP(C303,'פקודות נוספות'!$D$273:$G$797,4,0),0)</f>
        <v>0</v>
      </c>
      <c r="N303" s="1104" t="str">
        <f t="shared" si="81"/>
        <v>-</v>
      </c>
      <c r="O303" s="1114"/>
      <c r="P303" s="137"/>
    </row>
    <row r="304" spans="2:16" s="52" customFormat="1">
      <c r="B304" s="3659" t="s">
        <v>1025</v>
      </c>
      <c r="C304" s="705">
        <v>2100571</v>
      </c>
      <c r="D304" s="601" t="s">
        <v>3909</v>
      </c>
      <c r="E304" s="474">
        <f>IFERROR(VLOOKUP(C304,'פקודות נוספות'!$D$274:$F$797,3,0),0)</f>
        <v>0</v>
      </c>
      <c r="F304" s="49">
        <f>SUMIF('פקודות נוספות'!C:C,C:C,'פקודות נוספות'!E:E)</f>
        <v>0</v>
      </c>
      <c r="G304" s="49"/>
      <c r="H304" s="49"/>
      <c r="I304" s="49"/>
      <c r="J304" s="474">
        <f t="shared" si="80"/>
        <v>0</v>
      </c>
      <c r="K304" s="474">
        <f>M304+SUMIF('פקודות נוספות'!C:C,'מאזן בוחן'!C304,'פקודות נוספות'!F:F)</f>
        <v>0</v>
      </c>
      <c r="L304" s="439"/>
      <c r="M304" s="474">
        <f>IFERROR(VLOOKUP(C304,'פקודות נוספות'!$D$273:$G$797,4,0),0)</f>
        <v>0</v>
      </c>
      <c r="N304" s="1104" t="str">
        <f t="shared" si="81"/>
        <v>-</v>
      </c>
      <c r="O304" s="1114"/>
      <c r="P304" s="137"/>
    </row>
    <row r="305" spans="1:50">
      <c r="A305" s="52"/>
      <c r="B305" s="3659" t="s">
        <v>1025</v>
      </c>
      <c r="C305" s="705">
        <v>2100401</v>
      </c>
      <c r="D305" s="601" t="s">
        <v>2464</v>
      </c>
      <c r="E305" s="474">
        <f>IFERROR(VLOOKUP(C305,'פקודות נוספות'!$D$274:$F$797,3,0),0)</f>
        <v>0</v>
      </c>
      <c r="F305" s="49">
        <f>SUMIF('פקודות נוספות'!C:C,C:C,'פקודות נוספות'!E:E)</f>
        <v>0</v>
      </c>
      <c r="J305" s="474">
        <f t="shared" si="80"/>
        <v>0</v>
      </c>
      <c r="K305" s="474">
        <f>M305+SUMIF('פקודות נוספות'!C:C,'מאזן בוחן'!C305,'פקודות נוספות'!F:F)</f>
        <v>0</v>
      </c>
      <c r="L305" s="439"/>
      <c r="M305" s="474">
        <f>IFERROR(VLOOKUP(C305,'פקודות נוספות'!$D$273:$G$797,4,0),0)</f>
        <v>0</v>
      </c>
      <c r="N305" s="1104" t="str">
        <f t="shared" si="81"/>
        <v>-</v>
      </c>
      <c r="O305" s="1114"/>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row>
    <row r="306" spans="1:50">
      <c r="A306" s="52"/>
      <c r="B306" s="3659" t="s">
        <v>1025</v>
      </c>
      <c r="C306" s="705">
        <v>2100261</v>
      </c>
      <c r="D306" s="601" t="s">
        <v>2064</v>
      </c>
      <c r="E306" s="474">
        <f>IFERROR(VLOOKUP(C306,'פקודות נוספות'!$D$274:$F$797,3,0),0)</f>
        <v>0</v>
      </c>
      <c r="F306" s="49">
        <f>SUMIF('פקודות נוספות'!C:C,C:C,'פקודות נוספות'!E:E)</f>
        <v>0</v>
      </c>
      <c r="J306" s="474">
        <f t="shared" si="80"/>
        <v>0</v>
      </c>
      <c r="K306" s="474">
        <f>M306+SUMIF('פקודות נוספות'!C:C,'מאזן בוחן'!C306,'פקודות נוספות'!F:F)</f>
        <v>0</v>
      </c>
      <c r="L306" s="439"/>
      <c r="M306" s="474">
        <f>IFERROR(VLOOKUP(C306,'פקודות נוספות'!$D$273:$G$797,4,0),0)</f>
        <v>0</v>
      </c>
      <c r="N306" s="1104" t="str">
        <f t="shared" si="81"/>
        <v>-</v>
      </c>
      <c r="O306" s="1114"/>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row>
    <row r="307" spans="1:50">
      <c r="A307" s="52"/>
      <c r="B307" s="3659" t="s">
        <v>1025</v>
      </c>
      <c r="C307" s="705">
        <v>2170407</v>
      </c>
      <c r="D307" s="601" t="s">
        <v>3460</v>
      </c>
      <c r="E307" s="474">
        <f>IFERROR(VLOOKUP(C307,'פקודות נוספות'!$D$274:$F$797,3,0),0)</f>
        <v>0</v>
      </c>
      <c r="F307" s="49">
        <f>SUMIF('פקודות נוספות'!C:C,C:C,'פקודות נוספות'!E:E)</f>
        <v>0</v>
      </c>
      <c r="J307" s="474">
        <f t="shared" si="80"/>
        <v>0</v>
      </c>
      <c r="K307" s="474">
        <f>M307+SUMIF('פקודות נוספות'!C:C,'מאזן בוחן'!C307,'פקודות נוספות'!F:F)</f>
        <v>0</v>
      </c>
      <c r="L307" s="439"/>
      <c r="M307" s="474">
        <f>IFERROR(VLOOKUP(C307,'פקודות נוספות'!$D$273:$G$797,4,0),0)</f>
        <v>0</v>
      </c>
      <c r="N307" s="1104" t="str">
        <f t="shared" si="81"/>
        <v>-</v>
      </c>
      <c r="O307" s="1114"/>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row>
    <row r="308" spans="1:50">
      <c r="A308" s="52"/>
      <c r="B308" s="3659" t="s">
        <v>1025</v>
      </c>
      <c r="C308" s="705">
        <v>2170408</v>
      </c>
      <c r="D308" s="601" t="s">
        <v>3462</v>
      </c>
      <c r="E308" s="474">
        <f>IFERROR(VLOOKUP(C308,'פקודות נוספות'!$D$274:$F$797,3,0),0)</f>
        <v>0</v>
      </c>
      <c r="F308" s="49">
        <f>SUMIF('פקודות נוספות'!C:C,C:C,'פקודות נוספות'!E:E)</f>
        <v>0</v>
      </c>
      <c r="J308" s="474">
        <f t="shared" si="80"/>
        <v>0</v>
      </c>
      <c r="K308" s="474">
        <f>M308+SUMIF('פקודות נוספות'!C:C,'מאזן בוחן'!C308,'פקודות נוספות'!F:F)</f>
        <v>0</v>
      </c>
      <c r="L308" s="439"/>
      <c r="M308" s="474">
        <f>IFERROR(VLOOKUP(C308,'פקודות נוספות'!$D$273:$G$797,4,0),0)</f>
        <v>0</v>
      </c>
      <c r="N308" s="1104" t="str">
        <f t="shared" si="81"/>
        <v>-</v>
      </c>
      <c r="O308" s="1114"/>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row>
    <row r="309" spans="1:50">
      <c r="A309" s="52"/>
      <c r="B309" s="3659" t="s">
        <v>1033</v>
      </c>
      <c r="C309" s="705">
        <v>2120217</v>
      </c>
      <c r="D309" s="601" t="s">
        <v>3375</v>
      </c>
      <c r="E309" s="474">
        <f>IFERROR(VLOOKUP(C309,'פקודות נוספות'!$D$274:$F$797,3,0),0)</f>
        <v>0</v>
      </c>
      <c r="F309" s="49">
        <f>SUMIF('פקודות נוספות'!C:C,C:C,'פקודות נוספות'!E:E)</f>
        <v>0</v>
      </c>
      <c r="J309" s="474">
        <f t="shared" si="80"/>
        <v>0</v>
      </c>
      <c r="K309" s="474">
        <f>M309+SUMIF('פקודות נוספות'!C:C,'מאזן בוחן'!C309,'פקודות נוספות'!F:F)</f>
        <v>0</v>
      </c>
      <c r="L309" s="439"/>
      <c r="M309" s="474">
        <f>IFERROR(VLOOKUP(C309,'פקודות נוספות'!$D$273:$G$797,4,0),0)</f>
        <v>0</v>
      </c>
      <c r="N309" s="1104" t="str">
        <f t="shared" si="81"/>
        <v>-</v>
      </c>
      <c r="O309" s="1114"/>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row>
    <row r="310" spans="1:50">
      <c r="A310" s="52"/>
      <c r="B310" s="3659" t="s">
        <v>1025</v>
      </c>
      <c r="C310" s="705">
        <v>2100093</v>
      </c>
      <c r="D310" s="601" t="s">
        <v>3438</v>
      </c>
      <c r="E310" s="474">
        <f>IFERROR(VLOOKUP(C310,'פקודות נוספות'!$D$274:$F$797,3,0),0)</f>
        <v>-1345</v>
      </c>
      <c r="F310" s="49">
        <f>SUMIF('פקודות נוספות'!C:C,C:C,'פקודות נוספות'!E:E)</f>
        <v>0</v>
      </c>
      <c r="J310" s="474">
        <f t="shared" si="80"/>
        <v>-1345</v>
      </c>
      <c r="K310" s="474">
        <f>M310+SUMIF('פקודות נוספות'!C:C,'מאזן בוחן'!C310,'פקודות נוספות'!F:F)</f>
        <v>-432.48</v>
      </c>
      <c r="L310" s="439"/>
      <c r="M310" s="474">
        <f>IFERROR(VLOOKUP(C310,'פקודות נוספות'!$D$273:$G$797,4,0),0)</f>
        <v>-432.48</v>
      </c>
      <c r="N310" s="1104">
        <f t="shared" si="81"/>
        <v>3.1099704032556419</v>
      </c>
      <c r="O310" s="1114"/>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row>
    <row r="311" spans="1:50">
      <c r="A311" s="52"/>
      <c r="B311" s="3659" t="s">
        <v>1025</v>
      </c>
      <c r="C311" s="705">
        <v>2170256</v>
      </c>
      <c r="D311" s="601" t="s">
        <v>3439</v>
      </c>
      <c r="E311" s="474">
        <f>IFERROR(VLOOKUP(C311,'פקודות נוספות'!$D$274:$F$797,3,0),0)</f>
        <v>0</v>
      </c>
      <c r="F311" s="49">
        <f>SUMIF('פקודות נוספות'!C:C,C:C,'פקודות נוספות'!E:E)</f>
        <v>0</v>
      </c>
      <c r="J311" s="474">
        <f t="shared" si="80"/>
        <v>0</v>
      </c>
      <c r="K311" s="474">
        <f>M311+SUMIF('פקודות נוספות'!C:C,'מאזן בוחן'!C311,'פקודות נוספות'!F:F)</f>
        <v>0</v>
      </c>
      <c r="L311" s="439"/>
      <c r="M311" s="474">
        <f>IFERROR(VLOOKUP(C311,'פקודות נוספות'!$D$273:$G$797,4,0),0)</f>
        <v>0</v>
      </c>
      <c r="N311" s="1104" t="str">
        <f t="shared" si="81"/>
        <v>-</v>
      </c>
      <c r="O311" s="1114"/>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row>
    <row r="312" spans="1:50">
      <c r="A312" s="52"/>
      <c r="B312" s="3659" t="s">
        <v>1025</v>
      </c>
      <c r="C312" s="705">
        <v>2170404</v>
      </c>
      <c r="D312" s="601" t="s">
        <v>3440</v>
      </c>
      <c r="E312" s="474">
        <f>IFERROR(VLOOKUP(C312,'פקודות נוספות'!$D$274:$F$797,3,0),0)</f>
        <v>-350</v>
      </c>
      <c r="F312" s="49">
        <f>SUMIF('פקודות נוספות'!C:C,C:C,'פקודות נוספות'!E:E)</f>
        <v>0</v>
      </c>
      <c r="J312" s="474">
        <f t="shared" si="80"/>
        <v>-350</v>
      </c>
      <c r="K312" s="474">
        <f>M312+SUMIF('פקודות נוספות'!C:C,'מאזן בוחן'!C312,'פקודות נוספות'!F:F)</f>
        <v>-112.54</v>
      </c>
      <c r="L312" s="439"/>
      <c r="M312" s="474">
        <f>IFERROR(VLOOKUP(C312,'פקודות נוספות'!$D$273:$G$797,4,0),0)</f>
        <v>-112.54</v>
      </c>
      <c r="N312" s="1104">
        <f t="shared" si="81"/>
        <v>3.1100053314377107</v>
      </c>
      <c r="O312" s="1114"/>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row>
    <row r="313" spans="1:50">
      <c r="A313" s="52"/>
      <c r="B313" s="3659" t="s">
        <v>1025</v>
      </c>
      <c r="C313" s="705">
        <v>2170400</v>
      </c>
      <c r="D313" s="601" t="s">
        <v>3374</v>
      </c>
      <c r="E313" s="474">
        <f>IFERROR(VLOOKUP(C313,'פקודות נוספות'!$D$274:$F$797,3,0),0)</f>
        <v>0</v>
      </c>
      <c r="F313" s="49">
        <f>SUMIF('פקודות נוספות'!C:C,C:C,'פקודות נוספות'!E:E)</f>
        <v>0</v>
      </c>
      <c r="J313" s="474">
        <f t="shared" si="80"/>
        <v>0</v>
      </c>
      <c r="K313" s="474">
        <f>M313+SUMIF('פקודות נוספות'!C:C,'מאזן בוחן'!C313,'פקודות נוספות'!F:F)</f>
        <v>0</v>
      </c>
      <c r="L313" s="439"/>
      <c r="M313" s="474">
        <f>IFERROR(VLOOKUP(C313,'פקודות נוספות'!$D$273:$G$797,4,0),0)</f>
        <v>0</v>
      </c>
      <c r="N313" s="1104" t="str">
        <f t="shared" si="81"/>
        <v>-</v>
      </c>
      <c r="O313" s="1114"/>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row>
    <row r="314" spans="1:50">
      <c r="A314" s="52"/>
      <c r="B314" s="3659" t="s">
        <v>1025</v>
      </c>
      <c r="C314" s="705">
        <v>2100292</v>
      </c>
      <c r="D314" s="601" t="s">
        <v>3363</v>
      </c>
      <c r="E314" s="474">
        <f>IFERROR(VLOOKUP(C314,'פקודות נוספות'!$D$274:$F$797,3,0),0)</f>
        <v>-39780</v>
      </c>
      <c r="F314" s="49">
        <f>SUMIF('פקודות נוספות'!C:C,C:C,'פקודות נוספות'!E:E)</f>
        <v>0</v>
      </c>
      <c r="J314" s="474">
        <f t="shared" ref="J314:J323" si="82">SUM(E314:I314)</f>
        <v>-39780</v>
      </c>
      <c r="K314" s="474">
        <f>M314+SUMIF('פקודות נוספות'!C:C,'מאזן בוחן'!C314,'פקודות נוספות'!F:F)</f>
        <v>-12791</v>
      </c>
      <c r="L314" s="439"/>
      <c r="M314" s="474">
        <f>IFERROR(VLOOKUP(C314,'פקודות נוספות'!$D$273:$G$797,4,0),0)</f>
        <v>-12791</v>
      </c>
      <c r="N314" s="1104">
        <f t="shared" ref="N314:N323" si="83">IF(K314=0,"-",J314/K314)</f>
        <v>3.1099992182002971</v>
      </c>
      <c r="O314" s="1114"/>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row>
    <row r="315" spans="1:50">
      <c r="A315" s="52"/>
      <c r="B315" s="3659" t="s">
        <v>1025</v>
      </c>
      <c r="C315" s="705">
        <v>2100411</v>
      </c>
      <c r="D315" s="601" t="s">
        <v>3364</v>
      </c>
      <c r="E315" s="474">
        <f>IFERROR(VLOOKUP(C315,'פקודות נוספות'!$D$274:$F$797,3,0),0)</f>
        <v>-1089.1400000000001</v>
      </c>
      <c r="F315" s="49">
        <f>SUMIF('פקודות נוספות'!C:C,C:C,'פקודות נוספות'!E:E)</f>
        <v>0</v>
      </c>
      <c r="J315" s="474">
        <f t="shared" si="82"/>
        <v>-1089.1400000000001</v>
      </c>
      <c r="K315" s="474">
        <f>M315+SUMIF('פקודות נוספות'!C:C,'מאזן בוחן'!C315,'פקודות נוספות'!F:F)</f>
        <v>-350.21</v>
      </c>
      <c r="L315" s="439"/>
      <c r="M315" s="474">
        <f>IFERROR(VLOOKUP(C315,'פקודות נוספות'!$D$273:$G$797,4,0),0)</f>
        <v>-350.21</v>
      </c>
      <c r="N315" s="1104">
        <f t="shared" si="83"/>
        <v>3.1099625938722486</v>
      </c>
      <c r="O315" s="1114"/>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row>
    <row r="316" spans="1:50">
      <c r="A316" s="52"/>
      <c r="B316" s="3659" t="s">
        <v>1025</v>
      </c>
      <c r="C316" s="705">
        <v>2100414</v>
      </c>
      <c r="D316" s="601" t="s">
        <v>3365</v>
      </c>
      <c r="E316" s="474">
        <f>IFERROR(VLOOKUP(C316,'פקודות נוספות'!$D$274:$F$797,3,0),0)</f>
        <v>-20417</v>
      </c>
      <c r="F316" s="49">
        <f>SUMIF('פקודות נוספות'!C:C,C:C,'פקודות נוספות'!E:E)</f>
        <v>0</v>
      </c>
      <c r="J316" s="474">
        <f t="shared" si="82"/>
        <v>-20417</v>
      </c>
      <c r="K316" s="474">
        <f>M316+SUMIF('פקודות נוספות'!C:C,'מאזן בוחן'!C316,'פקודות נוספות'!F:F)</f>
        <v>-6564.95</v>
      </c>
      <c r="L316" s="439"/>
      <c r="M316" s="474">
        <f>IFERROR(VLOOKUP(C316,'פקודות נוספות'!$D$273:$G$797,4,0),0)</f>
        <v>-6564.95</v>
      </c>
      <c r="N316" s="1104">
        <f t="shared" si="83"/>
        <v>3.1100008377824659</v>
      </c>
      <c r="O316" s="1114"/>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row>
    <row r="317" spans="1:50">
      <c r="A317" s="52"/>
      <c r="B317" s="3659" t="s">
        <v>1025</v>
      </c>
      <c r="C317" s="705">
        <v>2150031</v>
      </c>
      <c r="D317" s="601" t="s">
        <v>3366</v>
      </c>
      <c r="E317" s="474">
        <f>IFERROR(VLOOKUP(C317,'פקודות נוספות'!$D$274:$F$797,3,0),0)</f>
        <v>0</v>
      </c>
      <c r="F317" s="49">
        <f>SUMIF('פקודות נוספות'!C:C,C:C,'פקודות נוספות'!E:E)</f>
        <v>0</v>
      </c>
      <c r="J317" s="474">
        <f t="shared" si="82"/>
        <v>0</v>
      </c>
      <c r="K317" s="474">
        <f>M317+SUMIF('פקודות נוספות'!C:C,'מאזן בוחן'!C317,'פקודות נוספות'!F:F)</f>
        <v>0</v>
      </c>
      <c r="L317" s="439"/>
      <c r="M317" s="474">
        <f>IFERROR(VLOOKUP(C317,'פקודות נוספות'!$D$273:$G$797,4,0),0)</f>
        <v>0</v>
      </c>
      <c r="N317" s="1104" t="str">
        <f t="shared" si="83"/>
        <v>-</v>
      </c>
      <c r="O317" s="1114"/>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row>
    <row r="318" spans="1:50">
      <c r="B318" s="3659" t="s">
        <v>1025</v>
      </c>
      <c r="C318" s="705">
        <v>2150174</v>
      </c>
      <c r="D318" s="601" t="s">
        <v>3367</v>
      </c>
      <c r="E318" s="474">
        <f>IFERROR(VLOOKUP(C318,'פקודות נוספות'!$D$274:$F$797,3,0),0)</f>
        <v>0</v>
      </c>
      <c r="F318" s="49">
        <f>SUMIF('פקודות נוספות'!C:C,C:C,'פקודות נוספות'!E:E)</f>
        <v>0</v>
      </c>
      <c r="J318" s="474">
        <f t="shared" si="82"/>
        <v>0</v>
      </c>
      <c r="K318" s="474">
        <f>M318+SUMIF('פקודות נוספות'!C:C,'מאזן בוחן'!C318,'פקודות נוספות'!F:F)</f>
        <v>0</v>
      </c>
      <c r="L318" s="439"/>
      <c r="M318" s="474">
        <f>IFERROR(VLOOKUP(C318,'פקודות נוספות'!$D$273:$G$797,4,0),0)</f>
        <v>0</v>
      </c>
      <c r="N318" s="1104" t="str">
        <f t="shared" si="83"/>
        <v>-</v>
      </c>
      <c r="O318" s="1114"/>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row>
    <row r="319" spans="1:50">
      <c r="B319" s="3659" t="s">
        <v>1025</v>
      </c>
      <c r="C319" s="705">
        <v>2170403</v>
      </c>
      <c r="D319" s="601" t="s">
        <v>3368</v>
      </c>
      <c r="E319" s="474">
        <f>IFERROR(VLOOKUP(C319,'פקודות נוספות'!$D$274:$F$797,3,0),0)</f>
        <v>0</v>
      </c>
      <c r="F319" s="49">
        <f>SUMIF('פקודות נוספות'!C:C,C:C,'פקודות נוספות'!E:E)</f>
        <v>0</v>
      </c>
      <c r="J319" s="474">
        <f t="shared" si="82"/>
        <v>0</v>
      </c>
      <c r="K319" s="474">
        <f>M319+SUMIF('פקודות נוספות'!C:C,'מאזן בוחן'!C319,'פקודות נוספות'!F:F)</f>
        <v>0</v>
      </c>
      <c r="L319" s="439"/>
      <c r="M319" s="474">
        <f>IFERROR(VLOOKUP(C319,'פקודות נוספות'!$D$273:$G$797,4,0),0)</f>
        <v>0</v>
      </c>
      <c r="N319" s="1104" t="str">
        <f t="shared" si="83"/>
        <v>-</v>
      </c>
      <c r="O319" s="1114"/>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row>
    <row r="320" spans="1:50">
      <c r="B320" s="3659" t="s">
        <v>1033</v>
      </c>
      <c r="C320" s="705">
        <v>2120081</v>
      </c>
      <c r="D320" s="601" t="s">
        <v>3369</v>
      </c>
      <c r="E320" s="474">
        <f>IFERROR(VLOOKUP(C320,'פקודות נוספות'!$D$274:$F$797,3,0),0)</f>
        <v>0</v>
      </c>
      <c r="F320" s="49">
        <f>SUMIF('פקודות נוספות'!C:C,C:C,'פקודות נוספות'!E:E)</f>
        <v>0</v>
      </c>
      <c r="J320" s="474">
        <f t="shared" si="82"/>
        <v>0</v>
      </c>
      <c r="K320" s="474">
        <f>M320+SUMIF('פקודות נוספות'!C:C,'מאזן בוחן'!C320,'פקודות נוספות'!F:F)</f>
        <v>0</v>
      </c>
      <c r="L320" s="439"/>
      <c r="M320" s="474">
        <f>IFERROR(VLOOKUP(C320,'פקודות נוספות'!$D$273:$G$797,4,0),0)</f>
        <v>0</v>
      </c>
      <c r="N320" s="1104" t="str">
        <f t="shared" si="83"/>
        <v>-</v>
      </c>
      <c r="O320" s="1114"/>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row>
    <row r="321" spans="1:50">
      <c r="B321" s="3659" t="s">
        <v>1033</v>
      </c>
      <c r="C321" s="705">
        <v>2120208</v>
      </c>
      <c r="D321" s="601" t="s">
        <v>2622</v>
      </c>
      <c r="E321" s="474">
        <f>IFERROR(VLOOKUP(C321,'פקודות נוספות'!$D$274:$F$797,3,0),0)</f>
        <v>0</v>
      </c>
      <c r="F321" s="49">
        <f>SUMIF('פקודות נוספות'!C:C,C:C,'פקודות נוספות'!E:E)</f>
        <v>0</v>
      </c>
      <c r="J321" s="474">
        <f t="shared" si="82"/>
        <v>0</v>
      </c>
      <c r="K321" s="474">
        <f>M321+SUMIF('פקודות נוספות'!C:C,'מאזן בוחן'!C321,'פקודות נוספות'!F:F)</f>
        <v>0</v>
      </c>
      <c r="L321" s="439"/>
      <c r="M321" s="474">
        <f>IFERROR(VLOOKUP(C321,'פקודות נוספות'!$D$273:$G$797,4,0),0)</f>
        <v>0</v>
      </c>
      <c r="N321" s="1104" t="str">
        <f t="shared" si="83"/>
        <v>-</v>
      </c>
      <c r="O321" s="1114"/>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row>
    <row r="322" spans="1:50">
      <c r="B322" s="3659" t="s">
        <v>1033</v>
      </c>
      <c r="C322" s="705">
        <v>2170339</v>
      </c>
      <c r="D322" s="601" t="s">
        <v>1946</v>
      </c>
      <c r="E322" s="474">
        <f>IFERROR(VLOOKUP(C322,'פקודות נוספות'!$D$274:$F$797,3,0),0)</f>
        <v>-1025797.52</v>
      </c>
      <c r="F322" s="49">
        <f>SUMIF('פקודות נוספות'!C:C,C:C,'פקודות נוספות'!E:E)</f>
        <v>0</v>
      </c>
      <c r="J322" s="474">
        <f t="shared" si="82"/>
        <v>-1025797.52</v>
      </c>
      <c r="K322" s="474">
        <f>M322+SUMIF('פקודות נוספות'!C:C,'מאזן בוחן'!C322,'פקודות נוספות'!F:F)</f>
        <v>-329838.43</v>
      </c>
      <c r="L322" s="439"/>
      <c r="M322" s="474">
        <f>IFERROR(VLOOKUP(C322,'פקודות נוספות'!$D$273:$G$797,4,0),0)</f>
        <v>-329838.43</v>
      </c>
      <c r="N322" s="1104">
        <f t="shared" si="83"/>
        <v>3.1100000081858261</v>
      </c>
      <c r="O322" s="1114"/>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row>
    <row r="323" spans="1:50">
      <c r="B323" s="3659" t="s">
        <v>1025</v>
      </c>
      <c r="C323" s="705">
        <v>2170354</v>
      </c>
      <c r="D323" s="601" t="s">
        <v>3839</v>
      </c>
      <c r="E323" s="474">
        <f>IFERROR(VLOOKUP(C323,'פקודות נוספות'!$D$274:$F$797,3,0),0)</f>
        <v>0</v>
      </c>
      <c r="F323" s="49">
        <f>SUMIF('פקודות נוספות'!C:C,C:C,'פקודות נוספות'!E:E)</f>
        <v>0</v>
      </c>
      <c r="J323" s="474">
        <f t="shared" si="82"/>
        <v>0</v>
      </c>
      <c r="K323" s="474">
        <f>M323+SUMIF('פקודות נוספות'!C:C,'מאזן בוחן'!C323,'פקודות נוספות'!F:F)</f>
        <v>0</v>
      </c>
      <c r="L323" s="439"/>
      <c r="M323" s="474">
        <f>IFERROR(VLOOKUP(C323,'פקודות נוספות'!$D$273:$G$797,4,0),0)</f>
        <v>0</v>
      </c>
      <c r="N323" s="1104" t="str">
        <f t="shared" si="83"/>
        <v>-</v>
      </c>
      <c r="O323" s="1114"/>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row>
    <row r="324" spans="1:50">
      <c r="A324" s="52"/>
      <c r="B324" s="3659" t="s">
        <v>1033</v>
      </c>
      <c r="C324" s="705">
        <v>2170425</v>
      </c>
      <c r="D324" s="601" t="s">
        <v>3951</v>
      </c>
      <c r="E324" s="474">
        <f>IFERROR(VLOOKUP(C324,'פקודות נוספות'!$D$274:$F$797,3,0),0)</f>
        <v>0</v>
      </c>
      <c r="F324" s="49">
        <f>SUMIF('פקודות נוספות'!C:C,C:C,'פקודות נוספות'!E:E)</f>
        <v>0</v>
      </c>
      <c r="J324" s="474">
        <f t="shared" ref="J324:J334" si="84">SUM(E324:I324)</f>
        <v>0</v>
      </c>
      <c r="K324" s="474">
        <f>M324+SUMIF('פקודות נוספות'!C:C,'מאזן בוחן'!C324,'פקודות נוספות'!F:F)</f>
        <v>0</v>
      </c>
      <c r="L324" s="439"/>
      <c r="M324" s="474">
        <f>IFERROR(VLOOKUP(C324,'פקודות נוספות'!$D$273:$G$797,4,0),0)</f>
        <v>0</v>
      </c>
      <c r="N324" s="1104" t="str">
        <f t="shared" ref="N324:N334" si="85">IF(K324=0,"-",J324/K324)</f>
        <v>-</v>
      </c>
      <c r="O324" s="1114"/>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row>
    <row r="325" spans="1:50">
      <c r="A325" s="52"/>
      <c r="B325" s="3659" t="s">
        <v>1033</v>
      </c>
      <c r="C325" s="705">
        <v>2170429</v>
      </c>
      <c r="D325" s="601" t="s">
        <v>3952</v>
      </c>
      <c r="E325" s="474">
        <f>IFERROR(VLOOKUP(C325,'פקודות נוספות'!$D$274:$F$797,3,0),0)</f>
        <v>0</v>
      </c>
      <c r="F325" s="49">
        <f>SUMIF('פקודות נוספות'!C:C,C:C,'פקודות נוספות'!E:E)</f>
        <v>0</v>
      </c>
      <c r="J325" s="474">
        <f t="shared" si="84"/>
        <v>0</v>
      </c>
      <c r="K325" s="474">
        <f>M325+SUMIF('פקודות נוספות'!C:C,'מאזן בוחן'!C325,'פקודות נוספות'!F:F)</f>
        <v>0</v>
      </c>
      <c r="L325" s="439"/>
      <c r="M325" s="474">
        <f>IFERROR(VLOOKUP(C325,'פקודות נוספות'!$D$273:$G$797,4,0),0)</f>
        <v>0</v>
      </c>
      <c r="N325" s="1104" t="str">
        <f t="shared" si="85"/>
        <v>-</v>
      </c>
      <c r="O325" s="1114"/>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row>
    <row r="326" spans="1:50">
      <c r="A326" s="52"/>
      <c r="B326" s="3659" t="s">
        <v>1033</v>
      </c>
      <c r="C326" s="705">
        <v>2170446</v>
      </c>
      <c r="D326" s="601" t="s">
        <v>3953</v>
      </c>
      <c r="E326" s="474">
        <f>IFERROR(VLOOKUP(C326,'פקודות נוספות'!$D$274:$F$797,3,0),0)</f>
        <v>0</v>
      </c>
      <c r="F326" s="49">
        <f>SUMIF('פקודות נוספות'!C:C,C:C,'פקודות נוספות'!E:E)</f>
        <v>0</v>
      </c>
      <c r="J326" s="474">
        <f t="shared" si="84"/>
        <v>0</v>
      </c>
      <c r="K326" s="474">
        <f>M326+SUMIF('פקודות נוספות'!C:C,'מאזן בוחן'!C326,'פקודות נוספות'!F:F)</f>
        <v>0</v>
      </c>
      <c r="L326" s="439"/>
      <c r="M326" s="474">
        <f>IFERROR(VLOOKUP(C326,'פקודות נוספות'!$D$273:$G$797,4,0),0)</f>
        <v>0</v>
      </c>
      <c r="N326" s="1104" t="str">
        <f t="shared" si="85"/>
        <v>-</v>
      </c>
      <c r="O326" s="1114"/>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row>
    <row r="327" spans="1:50">
      <c r="A327" s="52"/>
      <c r="B327" s="3659" t="s">
        <v>1025</v>
      </c>
      <c r="C327" s="705">
        <v>2100512</v>
      </c>
      <c r="D327" s="601" t="s">
        <v>3276</v>
      </c>
      <c r="E327" s="474">
        <f>IFERROR(VLOOKUP(C327,'פקודות נוספות'!$D$274:$F$797,3,0),0)</f>
        <v>0</v>
      </c>
      <c r="F327" s="49">
        <f>SUMIF('פקודות נוספות'!C:C,C:C,'פקודות נוספות'!E:E)</f>
        <v>0</v>
      </c>
      <c r="J327" s="474">
        <f t="shared" si="84"/>
        <v>0</v>
      </c>
      <c r="K327" s="474">
        <f>M327+SUMIF('פקודות נוספות'!C:C,'מאזן בוחן'!C327,'פקודות נוספות'!F:F)</f>
        <v>0</v>
      </c>
      <c r="L327" s="439"/>
      <c r="M327" s="474">
        <f>IFERROR(VLOOKUP(C327,'פקודות נוספות'!$D$273:$G$797,4,0),0)</f>
        <v>0</v>
      </c>
      <c r="N327" s="1104" t="str">
        <f t="shared" si="85"/>
        <v>-</v>
      </c>
      <c r="O327" s="1114"/>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row>
    <row r="328" spans="1:50">
      <c r="A328" s="52"/>
      <c r="B328" s="3659" t="s">
        <v>1025</v>
      </c>
      <c r="C328" s="705">
        <v>2170361</v>
      </c>
      <c r="D328" s="601" t="s">
        <v>3277</v>
      </c>
      <c r="E328" s="474">
        <f>IFERROR(VLOOKUP(C328,'פקודות נוספות'!$D$274:$F$797,3,0),0)</f>
        <v>0</v>
      </c>
      <c r="F328" s="49">
        <f>SUMIF('פקודות נוספות'!C:C,C:C,'פקודות נוספות'!E:E)</f>
        <v>0</v>
      </c>
      <c r="J328" s="474">
        <f t="shared" si="84"/>
        <v>0</v>
      </c>
      <c r="K328" s="474">
        <f>M328+SUMIF('פקודות נוספות'!C:C,'מאזן בוחן'!C328,'פקודות נוספות'!F:F)</f>
        <v>0</v>
      </c>
      <c r="L328" s="439"/>
      <c r="M328" s="474">
        <f>IFERROR(VLOOKUP(C328,'פקודות נוספות'!$D$273:$G$797,4,0),0)</f>
        <v>0</v>
      </c>
      <c r="N328" s="1104" t="str">
        <f t="shared" si="85"/>
        <v>-</v>
      </c>
      <c r="O328" s="1114"/>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row>
    <row r="329" spans="1:50">
      <c r="A329" s="52"/>
      <c r="B329" s="3659" t="s">
        <v>1025</v>
      </c>
      <c r="C329" s="705">
        <v>2170398</v>
      </c>
      <c r="D329" s="601" t="s">
        <v>3278</v>
      </c>
      <c r="E329" s="474">
        <f>IFERROR(VLOOKUP(C329,'פקודות נוספות'!$D$274:$F$797,3,0),0)</f>
        <v>0</v>
      </c>
      <c r="F329" s="49">
        <f>SUMIF('פקודות נוספות'!C:C,C:C,'פקודות נוספות'!E:E)</f>
        <v>0</v>
      </c>
      <c r="J329" s="474">
        <f t="shared" si="84"/>
        <v>0</v>
      </c>
      <c r="K329" s="474">
        <f>M329+SUMIF('פקודות נוספות'!C:C,'מאזן בוחן'!C329,'פקודות נוספות'!F:F)</f>
        <v>0</v>
      </c>
      <c r="L329" s="439"/>
      <c r="M329" s="474">
        <f>IFERROR(VLOOKUP(C329,'פקודות נוספות'!$D$273:$G$797,4,0),0)</f>
        <v>0</v>
      </c>
      <c r="N329" s="1104" t="str">
        <f t="shared" si="85"/>
        <v>-</v>
      </c>
      <c r="O329" s="1114"/>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row>
    <row r="330" spans="1:50">
      <c r="A330" s="52"/>
      <c r="B330" s="3659" t="s">
        <v>1025</v>
      </c>
      <c r="C330" s="705">
        <v>2170402</v>
      </c>
      <c r="D330" s="601" t="s">
        <v>3279</v>
      </c>
      <c r="E330" s="474">
        <f>IFERROR(VLOOKUP(C330,'פקודות נוספות'!$D$274:$F$797,3,0),0)</f>
        <v>0</v>
      </c>
      <c r="F330" s="49">
        <f>SUMIF('פקודות נוספות'!C:C,C:C,'פקודות נוספות'!E:E)</f>
        <v>0</v>
      </c>
      <c r="J330" s="474">
        <f t="shared" si="84"/>
        <v>0</v>
      </c>
      <c r="K330" s="474">
        <f>M330+SUMIF('פקודות נוספות'!C:C,'מאזן בוחן'!C330,'פקודות נוספות'!F:F)</f>
        <v>0</v>
      </c>
      <c r="L330" s="439"/>
      <c r="M330" s="474">
        <f>IFERROR(VLOOKUP(C330,'פקודות נוספות'!$D$273:$G$797,4,0),0)</f>
        <v>0</v>
      </c>
      <c r="N330" s="1104" t="str">
        <f t="shared" si="85"/>
        <v>-</v>
      </c>
      <c r="O330" s="1114"/>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row>
    <row r="331" spans="1:50">
      <c r="A331" s="52"/>
      <c r="B331" s="3659" t="s">
        <v>1033</v>
      </c>
      <c r="C331" s="705">
        <v>2120227</v>
      </c>
      <c r="D331" s="601" t="s">
        <v>2115</v>
      </c>
      <c r="E331" s="474">
        <f>IFERROR(VLOOKUP(C331,'פקודות נוספות'!$D$274:$F$797,3,0),0)</f>
        <v>0</v>
      </c>
      <c r="F331" s="49">
        <f>SUMIF('פקודות נוספות'!C:C,C:C,'פקודות נוספות'!E:E)</f>
        <v>0</v>
      </c>
      <c r="J331" s="474">
        <f t="shared" si="84"/>
        <v>0</v>
      </c>
      <c r="K331" s="474">
        <f>M331+SUMIF('פקודות נוספות'!C:C,'מאזן בוחן'!C331,'פקודות נוספות'!F:F)</f>
        <v>0</v>
      </c>
      <c r="L331" s="439"/>
      <c r="M331" s="474">
        <f>IFERROR(VLOOKUP(C331,'פקודות נוספות'!$D$273:$G$797,4,0),0)</f>
        <v>0</v>
      </c>
      <c r="N331" s="1104" t="str">
        <f t="shared" si="85"/>
        <v>-</v>
      </c>
      <c r="O331" s="1114"/>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row>
    <row r="332" spans="1:50">
      <c r="A332" s="52"/>
      <c r="B332" s="3659" t="s">
        <v>1033</v>
      </c>
      <c r="C332" s="705">
        <v>2170248</v>
      </c>
      <c r="D332" s="601" t="s">
        <v>3280</v>
      </c>
      <c r="E332" s="474">
        <f>IFERROR(VLOOKUP(C332,'פקודות נוספות'!$D$274:$F$797,3,0),0)</f>
        <v>0</v>
      </c>
      <c r="F332" s="49">
        <f>SUMIF('פקודות נוספות'!C:C,C:C,'פקודות נוספות'!E:E)</f>
        <v>0</v>
      </c>
      <c r="J332" s="474">
        <f t="shared" si="84"/>
        <v>0</v>
      </c>
      <c r="K332" s="474">
        <f>M332+SUMIF('פקודות נוספות'!C:C,'מאזן בוחן'!C332,'פקודות נוספות'!F:F)</f>
        <v>0</v>
      </c>
      <c r="L332" s="439"/>
      <c r="M332" s="474">
        <f>IFERROR(VLOOKUP(C332,'פקודות נוספות'!$D$273:$G$797,4,0),0)</f>
        <v>0</v>
      </c>
      <c r="N332" s="1104" t="str">
        <f t="shared" si="85"/>
        <v>-</v>
      </c>
      <c r="O332" s="1114"/>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row>
    <row r="333" spans="1:50">
      <c r="A333" s="52"/>
      <c r="B333" s="3659" t="s">
        <v>1033</v>
      </c>
      <c r="C333" s="705">
        <v>2170314</v>
      </c>
      <c r="D333" s="601" t="s">
        <v>2206</v>
      </c>
      <c r="E333" s="474">
        <f>IFERROR(VLOOKUP(C333,'פקודות נוספות'!$D$274:$F$797,3,0),0)</f>
        <v>-127076.31</v>
      </c>
      <c r="F333" s="49">
        <f>SUMIF('פקודות נוספות'!C:C,C:C,'פקודות נוספות'!E:E)</f>
        <v>0</v>
      </c>
      <c r="J333" s="474">
        <f t="shared" si="84"/>
        <v>-127076.31</v>
      </c>
      <c r="K333" s="474">
        <f>M333+SUMIF('פקודות נוספות'!C:C,'מאזן בוחן'!C333,'פקודות נוספות'!F:F)</f>
        <v>-40860.550000000003</v>
      </c>
      <c r="L333" s="439"/>
      <c r="M333" s="474">
        <f>IFERROR(VLOOKUP(C333,'פקודות נוספות'!$D$273:$G$797,4,0),0)</f>
        <v>-40860.550000000003</v>
      </c>
      <c r="N333" s="1104">
        <f t="shared" si="85"/>
        <v>3.109999987763258</v>
      </c>
      <c r="O333" s="1114"/>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row>
    <row r="334" spans="1:50">
      <c r="A334" s="52"/>
      <c r="B334" s="3659" t="s">
        <v>1033</v>
      </c>
      <c r="C334" s="705">
        <v>2170401</v>
      </c>
      <c r="D334" s="601" t="s">
        <v>3281</v>
      </c>
      <c r="E334" s="474">
        <f>IFERROR(VLOOKUP(C334,'פקודות נוספות'!$D$274:$F$797,3,0),0)</f>
        <v>0</v>
      </c>
      <c r="F334" s="49">
        <f>SUMIF('פקודות נוספות'!C:C,C:C,'פקודות נוספות'!E:E)</f>
        <v>0</v>
      </c>
      <c r="J334" s="474">
        <f t="shared" si="84"/>
        <v>0</v>
      </c>
      <c r="K334" s="474">
        <f>M334+SUMIF('פקודות נוספות'!C:C,'מאזן בוחן'!C334,'פקודות נוספות'!F:F)</f>
        <v>0</v>
      </c>
      <c r="L334" s="439"/>
      <c r="M334" s="474">
        <f>IFERROR(VLOOKUP(C334,'פקודות נוספות'!$D$273:$G$797,4,0),0)</f>
        <v>0</v>
      </c>
      <c r="N334" s="1104" t="str">
        <f t="shared" si="85"/>
        <v>-</v>
      </c>
      <c r="O334" s="1114"/>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row>
    <row r="335" spans="1:50">
      <c r="A335" s="52"/>
      <c r="B335" s="3659" t="s">
        <v>1025</v>
      </c>
      <c r="C335" s="705">
        <v>2170396</v>
      </c>
      <c r="D335" s="601" t="s">
        <v>3145</v>
      </c>
      <c r="E335" s="474">
        <f>IFERROR(VLOOKUP(C335,'פקודות נוספות'!$D$274:$F$797,3,0),0)</f>
        <v>0</v>
      </c>
      <c r="F335" s="49">
        <f>SUMIF('פקודות נוספות'!C:C,C:C,'פקודות נוספות'!E:E)</f>
        <v>0</v>
      </c>
      <c r="J335" s="474">
        <f>SUM(E335:I335)</f>
        <v>0</v>
      </c>
      <c r="K335" s="474">
        <f>M335+SUMIF('פקודות נוספות'!C:C,'מאזן בוחן'!C335,'פקודות נוספות'!F:F)</f>
        <v>0</v>
      </c>
      <c r="L335" s="439"/>
      <c r="M335" s="474">
        <f>IFERROR(VLOOKUP(C335,'פקודות נוספות'!$D$273:$G$797,4,0),0)</f>
        <v>0</v>
      </c>
      <c r="N335" s="1104" t="str">
        <f>IF(K335=0,"-",J335/K335)</f>
        <v>-</v>
      </c>
      <c r="O335" s="1114"/>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row>
    <row r="336" spans="1:50">
      <c r="A336" s="52"/>
      <c r="B336" s="3659" t="s">
        <v>223</v>
      </c>
      <c r="C336" s="705">
        <v>2100607</v>
      </c>
      <c r="D336" s="601" t="s">
        <v>3125</v>
      </c>
      <c r="E336" s="474">
        <f>IFERROR(VLOOKUP(C336,'פקודות נוספות'!$D$274:$F$797,3,0),0)</f>
        <v>-6480</v>
      </c>
      <c r="F336" s="49">
        <f>SUMIF('פקודות נוספות'!C:C,C:C,'פקודות נוספות'!E:E)</f>
        <v>0</v>
      </c>
      <c r="J336" s="474">
        <f t="shared" ref="J336:J343" si="86">SUM(E336:I336)</f>
        <v>-6480</v>
      </c>
      <c r="K336" s="474">
        <f>M336+SUMIF('פקודות נוספות'!C:C,'מאזן בוחן'!C336,'פקודות נוספות'!F:F)</f>
        <v>-2083.6</v>
      </c>
      <c r="L336" s="439"/>
      <c r="M336" s="474">
        <f>IFERROR(VLOOKUP(C336,'פקודות נוספות'!$D$273:$G$797,4,0),0)</f>
        <v>-2083.6</v>
      </c>
      <c r="N336" s="1104">
        <f t="shared" ref="N336:N343" si="87">IF(K336=0,"-",J336/K336)</f>
        <v>3.1100019197542714</v>
      </c>
      <c r="O336" s="1114"/>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row>
    <row r="337" spans="2:15" s="52" customFormat="1">
      <c r="B337" s="3659" t="s">
        <v>1025</v>
      </c>
      <c r="C337" s="705">
        <v>2170428</v>
      </c>
      <c r="D337" s="601" t="s">
        <v>3949</v>
      </c>
      <c r="E337" s="474">
        <f>IFERROR(VLOOKUP(C337,'פקודות נוספות'!$D$274:$F$797,3,0),0)</f>
        <v>-4401.55</v>
      </c>
      <c r="F337" s="49">
        <f>SUMIF('פקודות נוספות'!C:C,C:C,'פקודות נוספות'!E:E)</f>
        <v>0</v>
      </c>
      <c r="G337" s="49"/>
      <c r="H337" s="49"/>
      <c r="I337" s="49"/>
      <c r="J337" s="474">
        <f t="shared" si="86"/>
        <v>-4401.55</v>
      </c>
      <c r="K337" s="474">
        <f>M337+SUMIF('פקודות נוספות'!C:C,'מאזן בוחן'!C337,'פקודות נוספות'!F:F)</f>
        <v>-1415.29</v>
      </c>
      <c r="L337" s="439"/>
      <c r="M337" s="474">
        <f>IFERROR(VLOOKUP(C337,'פקודות נוספות'!$D$273:$G$797,4,0),0)</f>
        <v>-1415.29</v>
      </c>
      <c r="N337" s="1104">
        <f t="shared" si="87"/>
        <v>3.109998657518954</v>
      </c>
      <c r="O337" s="1114"/>
    </row>
    <row r="338" spans="2:15" s="52" customFormat="1">
      <c r="B338" s="3659" t="s">
        <v>1025</v>
      </c>
      <c r="C338" s="705">
        <v>2170433</v>
      </c>
      <c r="D338" s="601" t="s">
        <v>3910</v>
      </c>
      <c r="E338" s="474">
        <f>IFERROR(VLOOKUP(C338,'פקודות נוספות'!$D$274:$F$797,3,0),0)</f>
        <v>0</v>
      </c>
      <c r="F338" s="49">
        <f>SUMIF('פקודות נוספות'!C:C,C:C,'פקודות נוספות'!E:E)</f>
        <v>0</v>
      </c>
      <c r="G338" s="49"/>
      <c r="H338" s="49"/>
      <c r="I338" s="49"/>
      <c r="J338" s="474">
        <f t="shared" si="86"/>
        <v>0</v>
      </c>
      <c r="K338" s="474">
        <f>M338+SUMIF('פקודות נוספות'!C:C,'מאזן בוחן'!C338,'פקודות נוספות'!F:F)</f>
        <v>0</v>
      </c>
      <c r="L338" s="439"/>
      <c r="M338" s="474">
        <f>IFERROR(VLOOKUP(C338,'פקודות נוספות'!$D$273:$G$797,4,0),0)</f>
        <v>0</v>
      </c>
      <c r="N338" s="1104" t="str">
        <f t="shared" si="87"/>
        <v>-</v>
      </c>
      <c r="O338" s="1114"/>
    </row>
    <row r="339" spans="2:15" s="52" customFormat="1">
      <c r="B339" s="3659" t="s">
        <v>1025</v>
      </c>
      <c r="C339" s="705">
        <v>2170436</v>
      </c>
      <c r="D339" s="601" t="s">
        <v>3911</v>
      </c>
      <c r="E339" s="474">
        <f>IFERROR(VLOOKUP(C339,'פקודות נוספות'!$D$274:$F$797,3,0),0)</f>
        <v>0</v>
      </c>
      <c r="F339" s="49">
        <f>SUMIF('פקודות נוספות'!C:C,C:C,'פקודות נוספות'!E:E)</f>
        <v>0</v>
      </c>
      <c r="G339" s="49"/>
      <c r="H339" s="49"/>
      <c r="I339" s="49"/>
      <c r="J339" s="474">
        <f t="shared" si="86"/>
        <v>0</v>
      </c>
      <c r="K339" s="474">
        <f>M339+SUMIF('פקודות נוספות'!C:C,'מאזן בוחן'!C339,'פקודות נוספות'!F:F)</f>
        <v>0</v>
      </c>
      <c r="L339" s="439"/>
      <c r="M339" s="474">
        <f>IFERROR(VLOOKUP(C339,'פקודות נוספות'!$D$273:$G$797,4,0),0)</f>
        <v>0</v>
      </c>
      <c r="N339" s="1104" t="str">
        <f t="shared" si="87"/>
        <v>-</v>
      </c>
      <c r="O339" s="1114"/>
    </row>
    <row r="340" spans="2:15" s="52" customFormat="1">
      <c r="B340" s="3659" t="s">
        <v>1025</v>
      </c>
      <c r="C340" s="705">
        <v>2170444</v>
      </c>
      <c r="D340" s="601" t="s">
        <v>3912</v>
      </c>
      <c r="E340" s="474">
        <f>IFERROR(VLOOKUP(C340,'פקודות נוספות'!$D$274:$F$797,3,0),0)</f>
        <v>-51480</v>
      </c>
      <c r="F340" s="49">
        <f>SUMIF('פקודות נוספות'!C:C,C:C,'פקודות נוספות'!E:E)</f>
        <v>0</v>
      </c>
      <c r="G340" s="49"/>
      <c r="H340" s="49"/>
      <c r="I340" s="49"/>
      <c r="J340" s="474">
        <f t="shared" si="86"/>
        <v>-51480</v>
      </c>
      <c r="K340" s="474">
        <f>M340+SUMIF('פקודות נוספות'!C:C,'מאזן בוחן'!C340,'פקודות נוספות'!F:F)</f>
        <v>-16553.05</v>
      </c>
      <c r="L340" s="439"/>
      <c r="M340" s="474">
        <f>IFERROR(VLOOKUP(C340,'פקודות נוספות'!$D$273:$G$797,4,0),0)</f>
        <v>-16553.05</v>
      </c>
      <c r="N340" s="1104">
        <f t="shared" si="87"/>
        <v>3.1100008759714979</v>
      </c>
      <c r="O340" s="1114"/>
    </row>
    <row r="341" spans="2:15" s="52" customFormat="1">
      <c r="B341" s="3659" t="s">
        <v>223</v>
      </c>
      <c r="C341" s="705">
        <v>2170392</v>
      </c>
      <c r="D341" s="601" t="s">
        <v>3126</v>
      </c>
      <c r="E341" s="474">
        <f>IFERROR(VLOOKUP(C341,'פקודות נוספות'!$D$274:$F$797,3,0),0)</f>
        <v>0</v>
      </c>
      <c r="F341" s="49">
        <f>SUMIF('פקודות נוספות'!C:C,C:C,'פקודות נוספות'!E:E)</f>
        <v>0</v>
      </c>
      <c r="G341" s="49"/>
      <c r="H341" s="49"/>
      <c r="I341" s="49"/>
      <c r="J341" s="474">
        <f t="shared" si="86"/>
        <v>0</v>
      </c>
      <c r="K341" s="474">
        <f>M341+SUMIF('פקודות נוספות'!C:C,'מאזן בוחן'!C341,'פקודות נוספות'!F:F)</f>
        <v>0</v>
      </c>
      <c r="L341" s="439"/>
      <c r="M341" s="474">
        <f>IFERROR(VLOOKUP(C341,'פקודות נוספות'!$D$273:$G$797,4,0),0)</f>
        <v>0</v>
      </c>
      <c r="N341" s="1104" t="str">
        <f t="shared" si="87"/>
        <v>-</v>
      </c>
      <c r="O341" s="1114"/>
    </row>
    <row r="342" spans="2:15" s="52" customFormat="1">
      <c r="B342" s="3659" t="s">
        <v>223</v>
      </c>
      <c r="C342" s="705">
        <v>2170393</v>
      </c>
      <c r="D342" s="601" t="s">
        <v>3128</v>
      </c>
      <c r="E342" s="474">
        <f>IFERROR(VLOOKUP(C342,'פקודות נוספות'!$D$274:$F$797,3,0),0)</f>
        <v>0</v>
      </c>
      <c r="F342" s="49">
        <f>SUMIF('פקודות נוספות'!C:C,C:C,'פקודות נוספות'!E:E)</f>
        <v>0</v>
      </c>
      <c r="G342" s="49"/>
      <c r="H342" s="49"/>
      <c r="I342" s="49"/>
      <c r="J342" s="474">
        <f t="shared" si="86"/>
        <v>0</v>
      </c>
      <c r="K342" s="474">
        <f>M342+SUMIF('פקודות נוספות'!C:C,'מאזן בוחן'!C342,'פקודות נוספות'!F:F)</f>
        <v>0</v>
      </c>
      <c r="L342" s="439"/>
      <c r="M342" s="474">
        <f>IFERROR(VLOOKUP(C342,'פקודות נוספות'!$D$273:$G$797,4,0),0)</f>
        <v>0</v>
      </c>
      <c r="N342" s="1104" t="str">
        <f t="shared" si="87"/>
        <v>-</v>
      </c>
      <c r="O342" s="1114"/>
    </row>
    <row r="343" spans="2:15" s="52" customFormat="1">
      <c r="B343" s="3659" t="s">
        <v>1032</v>
      </c>
      <c r="C343" s="705">
        <v>2120240</v>
      </c>
      <c r="D343" s="601" t="s">
        <v>3913</v>
      </c>
      <c r="E343" s="474">
        <f>IFERROR(VLOOKUP(C343,'פקודות נוספות'!$D$274:$F$797,3,0),0)</f>
        <v>0</v>
      </c>
      <c r="F343" s="49">
        <f>SUMIF('פקודות נוספות'!C:C,C:C,'פקודות נוספות'!E:E)</f>
        <v>0</v>
      </c>
      <c r="G343" s="49"/>
      <c r="H343" s="49"/>
      <c r="I343" s="49"/>
      <c r="J343" s="474">
        <f t="shared" si="86"/>
        <v>0</v>
      </c>
      <c r="K343" s="474">
        <f>M343+SUMIF('פקודות נוספות'!C:C,'מאזן בוחן'!C343,'פקודות נוספות'!F:F)</f>
        <v>0</v>
      </c>
      <c r="L343" s="439"/>
      <c r="M343" s="474">
        <f>IFERROR(VLOOKUP(C343,'פקודות נוספות'!$D$273:$G$797,4,0),0)</f>
        <v>0</v>
      </c>
      <c r="N343" s="1104" t="str">
        <f t="shared" si="87"/>
        <v>-</v>
      </c>
      <c r="O343" s="1114"/>
    </row>
    <row r="344" spans="2:15" s="52" customFormat="1">
      <c r="B344" s="3659" t="s">
        <v>1025</v>
      </c>
      <c r="C344" s="705">
        <v>2100069</v>
      </c>
      <c r="D344" s="601" t="s">
        <v>3010</v>
      </c>
      <c r="E344" s="474">
        <f>IFERROR(VLOOKUP(C344,'פקודות נוספות'!$D$274:$F$797,3,0),0)</f>
        <v>0</v>
      </c>
      <c r="F344" s="49">
        <f>SUMIF('פקודות נוספות'!C:C,C:C,'פקודות נוספות'!E:E)</f>
        <v>0</v>
      </c>
      <c r="G344" s="49"/>
      <c r="H344" s="49"/>
      <c r="I344" s="49"/>
      <c r="J344" s="474">
        <f t="shared" ref="J344:J359" si="88">SUM(E344:I344)</f>
        <v>0</v>
      </c>
      <c r="K344" s="474">
        <f>M344+SUMIF('פקודות נוספות'!C:C,'מאזן בוחן'!C344,'פקודות נוספות'!F:F)</f>
        <v>0</v>
      </c>
      <c r="L344" s="439"/>
      <c r="M344" s="474">
        <f>IFERROR(VLOOKUP(C344,'פקודות נוספות'!$D$273:$G$797,4,0),0)</f>
        <v>0</v>
      </c>
      <c r="N344" s="1104" t="str">
        <f t="shared" ref="N344:N359" si="89">IF(K344=0,"-",J344/K344)</f>
        <v>-</v>
      </c>
      <c r="O344" s="1114"/>
    </row>
    <row r="345" spans="2:15" s="52" customFormat="1">
      <c r="B345" s="3659" t="s">
        <v>1025</v>
      </c>
      <c r="C345" s="705">
        <v>2100266</v>
      </c>
      <c r="D345" s="601" t="s">
        <v>3011</v>
      </c>
      <c r="E345" s="474">
        <f>IFERROR(VLOOKUP(C345,'פקודות נוספות'!$D$274:$F$797,3,0),0)</f>
        <v>0</v>
      </c>
      <c r="F345" s="49">
        <f>SUMIF('פקודות נוספות'!C:C,C:C,'פקודות נוספות'!E:E)</f>
        <v>0</v>
      </c>
      <c r="G345" s="49"/>
      <c r="H345" s="49"/>
      <c r="I345" s="49"/>
      <c r="J345" s="474">
        <f t="shared" si="88"/>
        <v>0</v>
      </c>
      <c r="K345" s="474">
        <f>M345+SUMIF('פקודות נוספות'!C:C,'מאזן בוחן'!C345,'פקודות נוספות'!F:F)</f>
        <v>0</v>
      </c>
      <c r="L345" s="439"/>
      <c r="M345" s="474">
        <f>IFERROR(VLOOKUP(C345,'פקודות נוספות'!$D$273:$G$797,4,0),0)</f>
        <v>0</v>
      </c>
      <c r="N345" s="1104" t="str">
        <f t="shared" si="89"/>
        <v>-</v>
      </c>
      <c r="O345" s="1114"/>
    </row>
    <row r="346" spans="2:15" s="52" customFormat="1">
      <c r="B346" s="3659" t="s">
        <v>1025</v>
      </c>
      <c r="C346" s="705">
        <v>2100517</v>
      </c>
      <c r="D346" s="601" t="s">
        <v>3012</v>
      </c>
      <c r="E346" s="474">
        <f>IFERROR(VLOOKUP(C346,'פקודות נוספות'!$D$274:$F$797,3,0),0)</f>
        <v>0</v>
      </c>
      <c r="F346" s="49">
        <f>SUMIF('פקודות נוספות'!C:C,C:C,'פקודות נוספות'!E:E)</f>
        <v>0</v>
      </c>
      <c r="G346" s="49"/>
      <c r="H346" s="49"/>
      <c r="I346" s="49"/>
      <c r="J346" s="474">
        <f t="shared" si="88"/>
        <v>0</v>
      </c>
      <c r="K346" s="474">
        <f>M346+SUMIF('פקודות נוספות'!C:C,'מאזן בוחן'!C346,'פקודות נוספות'!F:F)</f>
        <v>0</v>
      </c>
      <c r="L346" s="439"/>
      <c r="M346" s="474">
        <f>IFERROR(VLOOKUP(C346,'פקודות נוספות'!$D$273:$G$797,4,0),0)</f>
        <v>0</v>
      </c>
      <c r="N346" s="1104" t="str">
        <f t="shared" si="89"/>
        <v>-</v>
      </c>
      <c r="O346" s="1114"/>
    </row>
    <row r="347" spans="2:15" s="52" customFormat="1">
      <c r="B347" s="3659" t="s">
        <v>1025</v>
      </c>
      <c r="C347" s="705">
        <v>2100611</v>
      </c>
      <c r="D347" s="601" t="s">
        <v>3013</v>
      </c>
      <c r="E347" s="474">
        <f>IFERROR(VLOOKUP(C347,'פקודות נוספות'!$D$274:$F$797,3,0),0)</f>
        <v>0</v>
      </c>
      <c r="F347" s="49">
        <f>SUMIF('פקודות נוספות'!C:C,C:C,'פקודות נוספות'!E:E)</f>
        <v>0</v>
      </c>
      <c r="G347" s="49"/>
      <c r="H347" s="49"/>
      <c r="I347" s="49"/>
      <c r="J347" s="474">
        <f t="shared" si="88"/>
        <v>0</v>
      </c>
      <c r="K347" s="474">
        <f>M347+SUMIF('פקודות נוספות'!C:C,'מאזן בוחן'!C347,'פקודות נוספות'!F:F)</f>
        <v>0</v>
      </c>
      <c r="L347" s="439"/>
      <c r="M347" s="474">
        <f>IFERROR(VLOOKUP(C347,'פקודות נוספות'!$D$273:$G$797,4,0),0)</f>
        <v>0</v>
      </c>
      <c r="N347" s="1104" t="str">
        <f t="shared" si="89"/>
        <v>-</v>
      </c>
      <c r="O347" s="1114"/>
    </row>
    <row r="348" spans="2:15" s="52" customFormat="1">
      <c r="B348" s="3659" t="s">
        <v>1033</v>
      </c>
      <c r="C348" s="705">
        <v>2120198</v>
      </c>
      <c r="D348" s="601" t="s">
        <v>3950</v>
      </c>
      <c r="E348" s="474">
        <f>IFERROR(VLOOKUP(C348,'פקודות נוספות'!$D$274:$F$797,3,0),0)</f>
        <v>0</v>
      </c>
      <c r="F348" s="49">
        <f>SUMIF('פקודות נוספות'!C:C,C:C,'פקודות נוספות'!E:E)</f>
        <v>0</v>
      </c>
      <c r="G348" s="49"/>
      <c r="H348" s="49"/>
      <c r="I348" s="49"/>
      <c r="J348" s="474">
        <f t="shared" si="88"/>
        <v>0</v>
      </c>
      <c r="K348" s="474">
        <f>M348+SUMIF('פקודות נוספות'!C:C,'מאזן בוחן'!C348,'פקודות נוספות'!F:F)</f>
        <v>0</v>
      </c>
      <c r="L348" s="439"/>
      <c r="M348" s="474">
        <f>IFERROR(VLOOKUP(C348,'פקודות נוספות'!$D$273:$G$797,4,0),0)</f>
        <v>0</v>
      </c>
      <c r="N348" s="1104" t="str">
        <f t="shared" si="89"/>
        <v>-</v>
      </c>
      <c r="O348" s="1114"/>
    </row>
    <row r="349" spans="2:15" s="52" customFormat="1">
      <c r="B349" s="3659" t="s">
        <v>1025</v>
      </c>
      <c r="C349" s="705">
        <v>2170363</v>
      </c>
      <c r="D349" s="601" t="s">
        <v>3014</v>
      </c>
      <c r="E349" s="474">
        <f>IFERROR(VLOOKUP(C349,'פקודות נוספות'!$D$274:$F$797,3,0),0)</f>
        <v>0</v>
      </c>
      <c r="F349" s="49">
        <f>SUMIF('פקודות נוספות'!C:C,C:C,'פקודות נוספות'!E:E)</f>
        <v>0</v>
      </c>
      <c r="G349" s="49"/>
      <c r="H349" s="49"/>
      <c r="I349" s="49"/>
      <c r="J349" s="474">
        <f t="shared" si="88"/>
        <v>0</v>
      </c>
      <c r="K349" s="474">
        <f>M349+SUMIF('פקודות נוספות'!C:C,'מאזן בוחן'!C349,'פקודות נוספות'!F:F)</f>
        <v>0</v>
      </c>
      <c r="L349" s="439"/>
      <c r="M349" s="474">
        <f>IFERROR(VLOOKUP(C349,'פקודות נוספות'!$D$273:$G$797,4,0),0)</f>
        <v>0</v>
      </c>
      <c r="N349" s="1104" t="str">
        <f t="shared" si="89"/>
        <v>-</v>
      </c>
      <c r="O349" s="1114"/>
    </row>
    <row r="350" spans="2:15" s="52" customFormat="1">
      <c r="B350" s="3659" t="s">
        <v>1025</v>
      </c>
      <c r="C350" s="705">
        <v>2170379</v>
      </c>
      <c r="D350" s="601" t="s">
        <v>3015</v>
      </c>
      <c r="E350" s="474">
        <f>IFERROR(VLOOKUP(C350,'פקודות נוספות'!$D$274:$F$797,3,0),0)</f>
        <v>0</v>
      </c>
      <c r="F350" s="49">
        <f>SUMIF('פקודות נוספות'!C:C,C:C,'פקודות נוספות'!E:E)</f>
        <v>0</v>
      </c>
      <c r="G350" s="49"/>
      <c r="H350" s="49"/>
      <c r="I350" s="49"/>
      <c r="J350" s="474">
        <f t="shared" si="88"/>
        <v>0</v>
      </c>
      <c r="K350" s="474">
        <f>M350+SUMIF('פקודות נוספות'!C:C,'מאזן בוחן'!C350,'פקודות נוספות'!F:F)</f>
        <v>0</v>
      </c>
      <c r="L350" s="439"/>
      <c r="M350" s="474">
        <f>IFERROR(VLOOKUP(C350,'פקודות נוספות'!$D$273:$G$797,4,0),0)</f>
        <v>0</v>
      </c>
      <c r="N350" s="1104" t="str">
        <f t="shared" si="89"/>
        <v>-</v>
      </c>
      <c r="O350" s="1114"/>
    </row>
    <row r="351" spans="2:15" s="52" customFormat="1">
      <c r="B351" s="3659" t="s">
        <v>1025</v>
      </c>
      <c r="C351" s="705">
        <v>2170384</v>
      </c>
      <c r="D351" s="601" t="s">
        <v>3016</v>
      </c>
      <c r="E351" s="474">
        <f>IFERROR(VLOOKUP(C351,'פקודות נוספות'!$D$274:$F$797,3,0),0)</f>
        <v>0</v>
      </c>
      <c r="F351" s="49">
        <f>SUMIF('פקודות נוספות'!C:C,C:C,'פקודות נוספות'!E:E)</f>
        <v>0</v>
      </c>
      <c r="G351" s="49"/>
      <c r="H351" s="49"/>
      <c r="I351" s="49"/>
      <c r="J351" s="474">
        <f t="shared" si="88"/>
        <v>0</v>
      </c>
      <c r="K351" s="474">
        <f>M351+SUMIF('פקודות נוספות'!C:C,'מאזן בוחן'!C351,'פקודות נוספות'!F:F)</f>
        <v>0</v>
      </c>
      <c r="L351" s="439"/>
      <c r="M351" s="474">
        <f>IFERROR(VLOOKUP(C351,'פקודות נוספות'!$D$273:$G$797,4,0),0)</f>
        <v>0</v>
      </c>
      <c r="N351" s="1104" t="str">
        <f t="shared" si="89"/>
        <v>-</v>
      </c>
      <c r="O351" s="1114"/>
    </row>
    <row r="352" spans="2:15" s="52" customFormat="1">
      <c r="B352" s="3659" t="s">
        <v>1025</v>
      </c>
      <c r="C352" s="705">
        <v>2170390</v>
      </c>
      <c r="D352" s="601" t="s">
        <v>3017</v>
      </c>
      <c r="E352" s="474">
        <f>IFERROR(VLOOKUP(C352,'פקודות נוספות'!$D$274:$F$797,3,0),0)</f>
        <v>-16626.87</v>
      </c>
      <c r="F352" s="49">
        <f>SUMIF('פקודות נוספות'!C:C,C:C,'פקודות נוספות'!E:E)</f>
        <v>0</v>
      </c>
      <c r="G352" s="49"/>
      <c r="H352" s="49"/>
      <c r="I352" s="49"/>
      <c r="J352" s="474">
        <f t="shared" si="88"/>
        <v>-16626.87</v>
      </c>
      <c r="K352" s="474">
        <f>M352+SUMIF('פקודות נוספות'!C:C,'מאזן בוחן'!C352,'פקודות נוספות'!F:F)</f>
        <v>-5346.26</v>
      </c>
      <c r="L352" s="439"/>
      <c r="M352" s="474">
        <f>IFERROR(VLOOKUP(C352,'פקודות נוספות'!$D$273:$G$797,4,0),0)</f>
        <v>-5346.26</v>
      </c>
      <c r="N352" s="1104">
        <f t="shared" si="89"/>
        <v>3.1100002618653035</v>
      </c>
      <c r="O352" s="1114"/>
    </row>
    <row r="353" spans="2:15" s="52" customFormat="1">
      <c r="B353" s="3659" t="s">
        <v>1033</v>
      </c>
      <c r="C353" s="705">
        <v>2120011</v>
      </c>
      <c r="D353" s="601" t="s">
        <v>3018</v>
      </c>
      <c r="E353" s="474">
        <f>IFERROR(VLOOKUP(C353,'פקודות נוספות'!$D$274:$F$797,3,0),0)</f>
        <v>0</v>
      </c>
      <c r="F353" s="49">
        <f>SUMIF('פקודות נוספות'!C:C,C:C,'פקודות נוספות'!E:E)</f>
        <v>0</v>
      </c>
      <c r="G353" s="49"/>
      <c r="H353" s="49"/>
      <c r="I353" s="49"/>
      <c r="J353" s="474">
        <f t="shared" si="88"/>
        <v>0</v>
      </c>
      <c r="K353" s="474">
        <f>M353+SUMIF('פקודות נוספות'!C:C,'מאזן בוחן'!C353,'פקודות נוספות'!F:F)</f>
        <v>0</v>
      </c>
      <c r="L353" s="439"/>
      <c r="M353" s="474">
        <f>IFERROR(VLOOKUP(C353,'פקודות נוספות'!$D$273:$G$797,4,0),0)</f>
        <v>0</v>
      </c>
      <c r="N353" s="1104" t="str">
        <f t="shared" si="89"/>
        <v>-</v>
      </c>
      <c r="O353" s="1114"/>
    </row>
    <row r="354" spans="2:15" s="52" customFormat="1">
      <c r="B354" s="3659" t="s">
        <v>1033</v>
      </c>
      <c r="C354" s="705">
        <v>2120135</v>
      </c>
      <c r="D354" s="601" t="s">
        <v>3019</v>
      </c>
      <c r="E354" s="474">
        <f>IFERROR(VLOOKUP(C354,'פקודות נוספות'!$D$274:$F$797,3,0),0)</f>
        <v>0</v>
      </c>
      <c r="F354" s="49">
        <f>SUMIF('פקודות נוספות'!C:C,C:C,'פקודות נוספות'!E:E)</f>
        <v>0</v>
      </c>
      <c r="G354" s="49"/>
      <c r="H354" s="49"/>
      <c r="I354" s="49"/>
      <c r="J354" s="474">
        <f t="shared" si="88"/>
        <v>0</v>
      </c>
      <c r="K354" s="474">
        <f>M354+SUMIF('פקודות נוספות'!C:C,'מאזן בוחן'!C354,'פקודות נוספות'!F:F)</f>
        <v>0</v>
      </c>
      <c r="L354" s="439"/>
      <c r="M354" s="474">
        <f>IFERROR(VLOOKUP(C354,'פקודות נוספות'!$D$273:$G$797,4,0),0)</f>
        <v>0</v>
      </c>
      <c r="N354" s="1104" t="str">
        <f t="shared" si="89"/>
        <v>-</v>
      </c>
      <c r="O354" s="1114"/>
    </row>
    <row r="355" spans="2:15" s="52" customFormat="1">
      <c r="B355" s="3659" t="s">
        <v>1033</v>
      </c>
      <c r="C355" s="705">
        <v>2120194</v>
      </c>
      <c r="D355" s="601" t="s">
        <v>3020</v>
      </c>
      <c r="E355" s="474">
        <f>IFERROR(VLOOKUP(C355,'פקודות נוספות'!$D$274:$F$797,3,0),0)</f>
        <v>0</v>
      </c>
      <c r="F355" s="49">
        <f>SUMIF('פקודות נוספות'!C:C,C:C,'פקודות נוספות'!E:E)</f>
        <v>0</v>
      </c>
      <c r="G355" s="49"/>
      <c r="H355" s="49"/>
      <c r="I355" s="49"/>
      <c r="J355" s="474">
        <f t="shared" si="88"/>
        <v>0</v>
      </c>
      <c r="K355" s="474">
        <f>M355+SUMIF('פקודות נוספות'!C:C,'מאזן בוחן'!C355,'פקודות נוספות'!F:F)</f>
        <v>0</v>
      </c>
      <c r="L355" s="439"/>
      <c r="M355" s="474">
        <f>IFERROR(VLOOKUP(C355,'פקודות נוספות'!$D$273:$G$797,4,0),0)</f>
        <v>0</v>
      </c>
      <c r="N355" s="1104" t="str">
        <f t="shared" si="89"/>
        <v>-</v>
      </c>
      <c r="O355" s="1114"/>
    </row>
    <row r="356" spans="2:15" s="52" customFormat="1">
      <c r="B356" s="3659" t="s">
        <v>1033</v>
      </c>
      <c r="C356" s="705">
        <v>2120223</v>
      </c>
      <c r="D356" s="601" t="s">
        <v>3021</v>
      </c>
      <c r="E356" s="474">
        <f>IFERROR(VLOOKUP(C356,'פקודות נוספות'!$D$274:$F$797,3,0),0)</f>
        <v>0</v>
      </c>
      <c r="F356" s="49">
        <f>SUMIF('פקודות נוספות'!C:C,C:C,'פקודות נוספות'!E:E)</f>
        <v>0</v>
      </c>
      <c r="G356" s="49"/>
      <c r="H356" s="49"/>
      <c r="I356" s="49"/>
      <c r="J356" s="474">
        <f t="shared" si="88"/>
        <v>0</v>
      </c>
      <c r="K356" s="474">
        <f>M356+SUMIF('פקודות נוספות'!C:C,'מאזן בוחן'!C356,'פקודות נוספות'!F:F)</f>
        <v>0</v>
      </c>
      <c r="L356" s="439"/>
      <c r="M356" s="474">
        <f>IFERROR(VLOOKUP(C356,'פקודות נוספות'!$D$273:$G$797,4,0),0)</f>
        <v>0</v>
      </c>
      <c r="N356" s="1104" t="str">
        <f t="shared" si="89"/>
        <v>-</v>
      </c>
      <c r="O356" s="1114"/>
    </row>
    <row r="357" spans="2:15" s="52" customFormat="1">
      <c r="B357" s="3659" t="s">
        <v>1033</v>
      </c>
      <c r="C357" s="705">
        <v>2170226</v>
      </c>
      <c r="D357" s="601" t="s">
        <v>3022</v>
      </c>
      <c r="E357" s="474">
        <f>IFERROR(VLOOKUP(C357,'פקודות נוספות'!$D$274:$F$797,3,0),0)</f>
        <v>0</v>
      </c>
      <c r="F357" s="49">
        <f>SUMIF('פקודות נוספות'!C:C,C:C,'פקודות נוספות'!E:E)</f>
        <v>0</v>
      </c>
      <c r="G357" s="49"/>
      <c r="H357" s="49"/>
      <c r="I357" s="49"/>
      <c r="J357" s="474">
        <f t="shared" si="88"/>
        <v>0</v>
      </c>
      <c r="K357" s="474">
        <f>M357+SUMIF('פקודות נוספות'!C:C,'מאזן בוחן'!C357,'פקודות נוספות'!F:F)</f>
        <v>0</v>
      </c>
      <c r="L357" s="439"/>
      <c r="M357" s="474">
        <f>IFERROR(VLOOKUP(C357,'פקודות נוספות'!$D$273:$G$797,4,0),0)</f>
        <v>0</v>
      </c>
      <c r="N357" s="1104" t="str">
        <f t="shared" si="89"/>
        <v>-</v>
      </c>
      <c r="O357" s="1114"/>
    </row>
    <row r="358" spans="2:15" s="52" customFormat="1">
      <c r="B358" s="3659" t="s">
        <v>1033</v>
      </c>
      <c r="C358" s="705">
        <v>2170355</v>
      </c>
      <c r="D358" s="601" t="s">
        <v>3914</v>
      </c>
      <c r="E358" s="474">
        <f>IFERROR(VLOOKUP(C358,'פקודות נוספות'!$D$274:$F$797,3,0),0)</f>
        <v>0</v>
      </c>
      <c r="F358" s="49">
        <f>SUMIF('פקודות נוספות'!C:C,C:C,'פקודות נוספות'!E:E)</f>
        <v>0</v>
      </c>
      <c r="G358" s="49"/>
      <c r="H358" s="49"/>
      <c r="I358" s="49"/>
      <c r="J358" s="474">
        <f t="shared" si="88"/>
        <v>0</v>
      </c>
      <c r="K358" s="474">
        <f>M358+SUMIF('פקודות נוספות'!C:C,'מאזן בוחן'!C358,'פקודות נוספות'!F:F)</f>
        <v>0</v>
      </c>
      <c r="L358" s="439"/>
      <c r="M358" s="474">
        <f>IFERROR(VLOOKUP(C358,'פקודות נוספות'!$D$273:$G$797,4,0),0)</f>
        <v>0</v>
      </c>
      <c r="N358" s="1104" t="str">
        <f t="shared" si="89"/>
        <v>-</v>
      </c>
      <c r="O358" s="1114"/>
    </row>
    <row r="359" spans="2:15" s="52" customFormat="1">
      <c r="B359" s="3659" t="s">
        <v>1033</v>
      </c>
      <c r="C359" s="705">
        <v>2170391</v>
      </c>
      <c r="D359" s="601" t="s">
        <v>3023</v>
      </c>
      <c r="E359" s="474">
        <f>IFERROR(VLOOKUP(C359,'פקודות נוספות'!$D$274:$F$797,3,0),0)</f>
        <v>-13062</v>
      </c>
      <c r="F359" s="49">
        <f>SUMIF('פקודות נוספות'!C:C,C:C,'פקודות נוספות'!E:E)</f>
        <v>0</v>
      </c>
      <c r="G359" s="49"/>
      <c r="H359" s="49"/>
      <c r="I359" s="49"/>
      <c r="J359" s="474">
        <f t="shared" si="88"/>
        <v>-13062</v>
      </c>
      <c r="K359" s="474">
        <f>M359+SUMIF('פקודות נוספות'!C:C,'מאזן בוחן'!C359,'פקודות נוספות'!F:F)</f>
        <v>-4200</v>
      </c>
      <c r="L359" s="439"/>
      <c r="M359" s="474">
        <f>IFERROR(VLOOKUP(C359,'פקודות נוספות'!$D$273:$G$797,4,0),0)</f>
        <v>-4200</v>
      </c>
      <c r="N359" s="1104">
        <f t="shared" si="89"/>
        <v>3.11</v>
      </c>
      <c r="O359" s="1114"/>
    </row>
    <row r="360" spans="2:15" s="52" customFormat="1">
      <c r="B360" s="3659" t="s">
        <v>1025</v>
      </c>
      <c r="C360" s="705">
        <v>2170300</v>
      </c>
      <c r="D360" s="601" t="s">
        <v>2945</v>
      </c>
      <c r="E360" s="474">
        <f>IFERROR(VLOOKUP(C360,'פקודות נוספות'!$D$274:$F$797,3,0),0)</f>
        <v>-9604.6200000000008</v>
      </c>
      <c r="F360" s="49">
        <f>SUMIF('פקודות נוספות'!C:C,C:C,'פקודות נוספות'!E:E)</f>
        <v>0</v>
      </c>
      <c r="G360" s="49"/>
      <c r="H360" s="49"/>
      <c r="I360" s="49"/>
      <c r="J360" s="474">
        <f>SUM(E360:I360)</f>
        <v>-9604.6200000000008</v>
      </c>
      <c r="K360" s="474">
        <f>M360+SUMIF('פקודות נוספות'!C:C,'מאזן בוחן'!C360,'פקודות נוספות'!F:F)</f>
        <v>-3088.3</v>
      </c>
      <c r="L360" s="439"/>
      <c r="M360" s="474">
        <f>IFERROR(VLOOKUP(C360,'פקודות נוספות'!$D$273:$G$797,4,0),0)</f>
        <v>-3088.3</v>
      </c>
      <c r="N360" s="1104">
        <f>IF(K360=0,"-",J360/K360)</f>
        <v>3.1100022666191758</v>
      </c>
      <c r="O360" s="1114"/>
    </row>
    <row r="361" spans="2:15" s="52" customFormat="1">
      <c r="B361" s="3659" t="s">
        <v>1025</v>
      </c>
      <c r="C361" s="705">
        <v>2100409</v>
      </c>
      <c r="D361" s="601" t="s">
        <v>2905</v>
      </c>
      <c r="E361" s="474">
        <f>IFERROR(VLOOKUP(C361,'פקודות נוספות'!$D$274:$F$797,3,0),0)</f>
        <v>0</v>
      </c>
      <c r="F361" s="49">
        <f>SUMIF('פקודות נוספות'!C:C,C:C,'פקודות נוספות'!E:E)</f>
        <v>0</v>
      </c>
      <c r="G361" s="49"/>
      <c r="H361" s="49"/>
      <c r="I361" s="49"/>
      <c r="J361" s="474">
        <f t="shared" ref="J361:J368" si="90">SUM(E361:I361)</f>
        <v>0</v>
      </c>
      <c r="K361" s="474">
        <f>M361+SUMIF('פקודות נוספות'!C:C,'מאזן בוחן'!C361,'פקודות נוספות'!F:F)</f>
        <v>0</v>
      </c>
      <c r="L361" s="439"/>
      <c r="M361" s="474">
        <f>IFERROR(VLOOKUP(C361,'פקודות נוספות'!$D$273:$G$797,4,0),0)</f>
        <v>0</v>
      </c>
      <c r="N361" s="1104" t="str">
        <f t="shared" ref="N361:N368" si="91">IF(K361=0,"-",J361/K361)</f>
        <v>-</v>
      </c>
      <c r="O361" s="1114"/>
    </row>
    <row r="362" spans="2:15" s="52" customFormat="1">
      <c r="B362" s="3659" t="s">
        <v>1025</v>
      </c>
      <c r="C362" s="705">
        <v>2100568</v>
      </c>
      <c r="D362" s="601" t="s">
        <v>2906</v>
      </c>
      <c r="E362" s="474">
        <f>IFERROR(VLOOKUP(C362,'פקודות נוספות'!$D$274:$F$797,3,0),0)</f>
        <v>0</v>
      </c>
      <c r="F362" s="49">
        <f>SUMIF('פקודות נוספות'!C:C,C:C,'פקודות נוספות'!E:E)</f>
        <v>0</v>
      </c>
      <c r="G362" s="49"/>
      <c r="H362" s="49"/>
      <c r="I362" s="49"/>
      <c r="J362" s="474">
        <f t="shared" si="90"/>
        <v>0</v>
      </c>
      <c r="K362" s="474">
        <f>M362+SUMIF('פקודות נוספות'!C:C,'מאזן בוחן'!C362,'פקודות נוספות'!F:F)</f>
        <v>0</v>
      </c>
      <c r="L362" s="439"/>
      <c r="M362" s="474">
        <f>IFERROR(VLOOKUP(C362,'פקודות נוספות'!$D$273:$G$797,4,0),0)</f>
        <v>0</v>
      </c>
      <c r="N362" s="1104" t="str">
        <f t="shared" si="91"/>
        <v>-</v>
      </c>
      <c r="O362" s="1114"/>
    </row>
    <row r="363" spans="2:15" s="52" customFormat="1">
      <c r="B363" s="3659" t="s">
        <v>1025</v>
      </c>
      <c r="C363" s="705">
        <v>2150175</v>
      </c>
      <c r="D363" s="601" t="s">
        <v>2907</v>
      </c>
      <c r="E363" s="474">
        <f>IFERROR(VLOOKUP(C363,'פקודות נוספות'!$D$274:$F$797,3,0),0)</f>
        <v>-2024.1</v>
      </c>
      <c r="F363" s="49">
        <f>SUMIF('פקודות נוספות'!C:C,C:C,'פקודות נוספות'!E:E)</f>
        <v>0</v>
      </c>
      <c r="G363" s="49"/>
      <c r="H363" s="49"/>
      <c r="I363" s="49"/>
      <c r="J363" s="474">
        <f t="shared" si="90"/>
        <v>-2024.1</v>
      </c>
      <c r="K363" s="474">
        <f>M363+SUMIF('פקודות נוספות'!C:C,'מאזן בוחן'!C363,'פקודות נוספות'!F:F)</f>
        <v>-650.84</v>
      </c>
      <c r="L363" s="439"/>
      <c r="M363" s="474">
        <f>IFERROR(VLOOKUP(C363,'פקודות נוספות'!$D$273:$G$797,4,0),0)</f>
        <v>-650.84</v>
      </c>
      <c r="N363" s="1104">
        <f t="shared" si="91"/>
        <v>3.1099809476983586</v>
      </c>
      <c r="O363" s="1114"/>
    </row>
    <row r="364" spans="2:15" s="52" customFormat="1">
      <c r="B364" s="3659" t="s">
        <v>1025</v>
      </c>
      <c r="C364" s="705">
        <v>2170368</v>
      </c>
      <c r="D364" s="601" t="s">
        <v>2908</v>
      </c>
      <c r="E364" s="474">
        <f>IFERROR(VLOOKUP(C364,'פקודות נוספות'!$D$274:$F$797,3,0),0)</f>
        <v>0</v>
      </c>
      <c r="F364" s="49">
        <f>SUMIF('פקודות נוספות'!C:C,C:C,'פקודות נוספות'!E:E)</f>
        <v>0</v>
      </c>
      <c r="G364" s="49"/>
      <c r="H364" s="49"/>
      <c r="I364" s="49"/>
      <c r="J364" s="474">
        <f t="shared" si="90"/>
        <v>0</v>
      </c>
      <c r="K364" s="474">
        <f>M364+SUMIF('פקודות נוספות'!C:C,'מאזן בוחן'!C364,'פקודות נוספות'!F:F)</f>
        <v>0</v>
      </c>
      <c r="L364" s="439"/>
      <c r="M364" s="474">
        <f>IFERROR(VLOOKUP(C364,'פקודות נוספות'!$D$273:$G$797,4,0),0)</f>
        <v>0</v>
      </c>
      <c r="N364" s="1104" t="str">
        <f t="shared" si="91"/>
        <v>-</v>
      </c>
      <c r="O364" s="1114"/>
    </row>
    <row r="365" spans="2:15" s="52" customFormat="1">
      <c r="B365" s="3659" t="s">
        <v>1025</v>
      </c>
      <c r="C365" s="705">
        <v>2100628</v>
      </c>
      <c r="D365" s="601" t="s">
        <v>4804</v>
      </c>
      <c r="E365" s="474">
        <f>IFERROR(VLOOKUP(C365,'פקודות נוספות'!$D$274:$F$797,3,0),0)</f>
        <v>-20349.009999999998</v>
      </c>
      <c r="F365" s="49">
        <f>SUMIF('פקודות נוספות'!C:C,C:C,'פקודות נוספות'!E:E)</f>
        <v>0</v>
      </c>
      <c r="G365" s="49"/>
      <c r="H365" s="49"/>
      <c r="I365" s="49"/>
      <c r="J365" s="474">
        <f t="shared" si="90"/>
        <v>-20349.009999999998</v>
      </c>
      <c r="K365" s="474">
        <f>M365+SUMIF('פקודות נוספות'!C:C,'מאזן בוחן'!C365,'פקודות נוספות'!F:F)</f>
        <v>-6543.09</v>
      </c>
      <c r="L365" s="439"/>
      <c r="M365" s="474">
        <f>IFERROR(VLOOKUP(C365,'פקודות נוספות'!$D$273:$G$797,4,0),0)</f>
        <v>-6543.09</v>
      </c>
      <c r="N365" s="1104">
        <f t="shared" si="91"/>
        <v>3.1100000152832985</v>
      </c>
      <c r="O365" s="1114"/>
    </row>
    <row r="366" spans="2:15" s="52" customFormat="1">
      <c r="B366" s="3659" t="s">
        <v>1025</v>
      </c>
      <c r="C366" s="705">
        <v>2170381</v>
      </c>
      <c r="D366" s="601" t="s">
        <v>2909</v>
      </c>
      <c r="E366" s="474">
        <f>IFERROR(VLOOKUP(C366,'פקודות נוספות'!$D$274:$F$797,3,0),0)</f>
        <v>-33103.089999999997</v>
      </c>
      <c r="F366" s="49">
        <f>SUMIF('פקודות נוספות'!C:C,C:C,'פקודות נוספות'!E:E)</f>
        <v>0</v>
      </c>
      <c r="G366" s="49"/>
      <c r="H366" s="49"/>
      <c r="I366" s="49"/>
      <c r="J366" s="474">
        <f t="shared" si="90"/>
        <v>-33103.089999999997</v>
      </c>
      <c r="K366" s="474">
        <f>M366+SUMIF('פקודות נוספות'!C:C,'מאזן בוחן'!C366,'פקודות נוספות'!F:F)</f>
        <v>-10644.08</v>
      </c>
      <c r="L366" s="439"/>
      <c r="M366" s="474">
        <f>IFERROR(VLOOKUP(C366,'פקודות נוספות'!$D$273:$G$797,4,0),0)</f>
        <v>-10644.08</v>
      </c>
      <c r="N366" s="1104">
        <f t="shared" si="91"/>
        <v>3.110000112738724</v>
      </c>
      <c r="O366" s="1114"/>
    </row>
    <row r="367" spans="2:15" s="52" customFormat="1">
      <c r="B367" s="3659" t="s">
        <v>1025</v>
      </c>
      <c r="C367" s="705">
        <v>2170385</v>
      </c>
      <c r="D367" s="601" t="s">
        <v>2910</v>
      </c>
      <c r="E367" s="474">
        <f>IFERROR(VLOOKUP(C367,'פקודות נוספות'!$D$274:$F$797,3,0),0)</f>
        <v>-68504</v>
      </c>
      <c r="F367" s="49">
        <f>SUMIF('פקודות נוספות'!C:C,C:C,'פקודות נוספות'!E:E)</f>
        <v>0</v>
      </c>
      <c r="G367" s="49"/>
      <c r="H367" s="49"/>
      <c r="I367" s="49"/>
      <c r="J367" s="474">
        <f t="shared" si="90"/>
        <v>-68504</v>
      </c>
      <c r="K367" s="474">
        <f>M367+SUMIF('פקודות נוספות'!C:C,'מאזן בוחן'!C367,'פקודות נוספות'!F:F)</f>
        <v>-22027.01</v>
      </c>
      <c r="L367" s="439"/>
      <c r="M367" s="474">
        <f>IFERROR(VLOOKUP(C367,'פקודות נוספות'!$D$273:$G$797,4,0),0)</f>
        <v>-22027.01</v>
      </c>
      <c r="N367" s="1104">
        <f t="shared" si="91"/>
        <v>3.1099999500613111</v>
      </c>
      <c r="O367" s="1114"/>
    </row>
    <row r="368" spans="2:15" s="52" customFormat="1">
      <c r="B368" s="3659" t="s">
        <v>1032</v>
      </c>
      <c r="C368" s="705">
        <v>2110011</v>
      </c>
      <c r="D368" s="601" t="s">
        <v>2940</v>
      </c>
      <c r="E368" s="474">
        <f>IFERROR(VLOOKUP(C368,'פקודות נוספות'!$D$274:$F$797,3,0),0)</f>
        <v>0</v>
      </c>
      <c r="F368" s="49">
        <f>SUMIF('פקודות נוספות'!C:C,C:C,'פקודות נוספות'!E:E)</f>
        <v>0</v>
      </c>
      <c r="G368" s="49"/>
      <c r="H368" s="49"/>
      <c r="I368" s="49"/>
      <c r="J368" s="474">
        <f t="shared" si="90"/>
        <v>0</v>
      </c>
      <c r="K368" s="474">
        <f>M368+SUMIF('פקודות נוספות'!C:C,'מאזן בוחן'!C368,'פקודות נוספות'!F:F)</f>
        <v>0</v>
      </c>
      <c r="L368" s="439"/>
      <c r="M368" s="474">
        <f>IFERROR(VLOOKUP(C368,'פקודות נוספות'!$D$273:$G$797,4,0),0)</f>
        <v>0</v>
      </c>
      <c r="N368" s="1104" t="str">
        <f t="shared" si="91"/>
        <v>-</v>
      </c>
      <c r="O368" s="1114"/>
    </row>
    <row r="369" spans="1:50">
      <c r="A369" s="52"/>
      <c r="B369" s="3659" t="s">
        <v>1025</v>
      </c>
      <c r="C369" s="705">
        <v>2100275</v>
      </c>
      <c r="D369" s="601" t="s">
        <v>2463</v>
      </c>
      <c r="E369" s="474">
        <f>IFERROR(VLOOKUP(C369,'פקודות נוספות'!$D$274:$F$797,3,0),0)</f>
        <v>0</v>
      </c>
      <c r="F369" s="49">
        <f>SUMIF('פקודות נוספות'!C:C,C:C,'פקודות נוספות'!E:E)</f>
        <v>0</v>
      </c>
      <c r="J369" s="474">
        <f t="shared" ref="J369:J378" si="92">SUM(E369:I369)</f>
        <v>0</v>
      </c>
      <c r="K369" s="474">
        <f>M369+SUMIF('פקודות נוספות'!C:C,'מאזן בוחן'!C369,'פקודות נוספות'!F:F)</f>
        <v>0</v>
      </c>
      <c r="L369" s="439"/>
      <c r="M369" s="474">
        <f>IFERROR(VLOOKUP(C369,'פקודות נוספות'!$D$273:$G$797,4,0),0)</f>
        <v>0</v>
      </c>
      <c r="N369" s="1104" t="str">
        <f t="shared" ref="N369:N378" si="93">IF(K369=0,"-",J369/K369)</f>
        <v>-</v>
      </c>
      <c r="O369" s="1114"/>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row>
    <row r="370" spans="1:50">
      <c r="A370" s="52"/>
      <c r="B370" s="3659" t="s">
        <v>1025</v>
      </c>
      <c r="C370" s="705">
        <v>2100298</v>
      </c>
      <c r="D370" s="601" t="s">
        <v>2736</v>
      </c>
      <c r="E370" s="474">
        <f>IFERROR(VLOOKUP(C370,'פקודות נוספות'!$D$274:$F$797,3,0),0)</f>
        <v>-28943</v>
      </c>
      <c r="F370" s="49">
        <f>SUMIF('פקודות נוספות'!C:C,C:C,'פקודות נוספות'!E:E)</f>
        <v>0</v>
      </c>
      <c r="J370" s="474">
        <f t="shared" si="92"/>
        <v>-28943</v>
      </c>
      <c r="K370" s="474">
        <f>M370+SUMIF('פקודות נוספות'!C:C,'מאזן בוחן'!C370,'פקודות נוספות'!F:F)</f>
        <v>-9306.43</v>
      </c>
      <c r="L370" s="439"/>
      <c r="M370" s="474">
        <f>IFERROR(VLOOKUP(C370,'פקודות נוספות'!$D$273:$G$797,4,0),0)</f>
        <v>-9306.43</v>
      </c>
      <c r="N370" s="1104">
        <f t="shared" si="93"/>
        <v>3.1100002901219908</v>
      </c>
      <c r="O370" s="1114"/>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row>
    <row r="371" spans="1:50">
      <c r="A371" s="52"/>
      <c r="B371" s="3659" t="s">
        <v>1025</v>
      </c>
      <c r="C371" s="705">
        <v>2100346</v>
      </c>
      <c r="D371" s="601" t="s">
        <v>2737</v>
      </c>
      <c r="E371" s="474">
        <f>IFERROR(VLOOKUP(C371,'פקודות נוספות'!$D$274:$F$797,3,0),0)</f>
        <v>0</v>
      </c>
      <c r="F371" s="49">
        <f>SUMIF('פקודות נוספות'!C:C,C:C,'פקודות נוספות'!E:E)</f>
        <v>0</v>
      </c>
      <c r="J371" s="474">
        <f t="shared" si="92"/>
        <v>0</v>
      </c>
      <c r="K371" s="474">
        <f>M371+SUMIF('פקודות נוספות'!C:C,'מאזן בוחן'!C371,'פקודות נוספות'!F:F)</f>
        <v>0</v>
      </c>
      <c r="L371" s="439"/>
      <c r="M371" s="474">
        <f>IFERROR(VLOOKUP(C371,'פקודות נוספות'!$D$273:$G$797,4,0),0)</f>
        <v>0</v>
      </c>
      <c r="N371" s="1104" t="str">
        <f t="shared" si="93"/>
        <v>-</v>
      </c>
      <c r="O371" s="1114"/>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row>
    <row r="372" spans="1:50">
      <c r="A372" s="52"/>
      <c r="B372" s="3659" t="s">
        <v>1025</v>
      </c>
      <c r="C372" s="705">
        <v>2100594</v>
      </c>
      <c r="D372" s="601" t="s">
        <v>2738</v>
      </c>
      <c r="E372" s="474">
        <f>IFERROR(VLOOKUP(C372,'פקודות נוספות'!$D$274:$F$797,3,0),0)</f>
        <v>-1793.61</v>
      </c>
      <c r="F372" s="49">
        <f>SUMIF('פקודות נוספות'!C:C,C:C,'פקודות נוספות'!E:E)</f>
        <v>0</v>
      </c>
      <c r="J372" s="474">
        <f t="shared" si="92"/>
        <v>-1793.61</v>
      </c>
      <c r="K372" s="474">
        <f>M372+SUMIF('פקודות נוספות'!C:C,'מאזן בוחן'!C372,'פקודות נוספות'!F:F)</f>
        <v>-576.72</v>
      </c>
      <c r="L372" s="439"/>
      <c r="M372" s="474">
        <f>IFERROR(VLOOKUP(C372,'פקודות נוספות'!$D$273:$G$797,4,0),0)</f>
        <v>-576.72</v>
      </c>
      <c r="N372" s="1104">
        <f t="shared" si="93"/>
        <v>3.1100187265917598</v>
      </c>
      <c r="O372" s="1114"/>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row>
    <row r="373" spans="1:50">
      <c r="A373" s="52"/>
      <c r="B373" s="3659" t="s">
        <v>1025</v>
      </c>
      <c r="C373" s="705">
        <v>2150095</v>
      </c>
      <c r="D373" s="601" t="s">
        <v>2739</v>
      </c>
      <c r="E373" s="474">
        <f>IFERROR(VLOOKUP(C373,'פקודות נוספות'!$D$274:$F$797,3,0),0)</f>
        <v>0</v>
      </c>
      <c r="F373" s="49">
        <f>SUMIF('פקודות נוספות'!C:C,C:C,'פקודות נוספות'!E:E)</f>
        <v>0</v>
      </c>
      <c r="J373" s="474">
        <f t="shared" si="92"/>
        <v>0</v>
      </c>
      <c r="K373" s="474">
        <f>M373+SUMIF('פקודות נוספות'!C:C,'מאזן בוחן'!C373,'פקודות נוספות'!F:F)</f>
        <v>0</v>
      </c>
      <c r="L373" s="439"/>
      <c r="M373" s="474">
        <f>IFERROR(VLOOKUP(C373,'פקודות נוספות'!$D$273:$G$797,4,0),0)</f>
        <v>0</v>
      </c>
      <c r="N373" s="1104" t="str">
        <f t="shared" si="93"/>
        <v>-</v>
      </c>
      <c r="O373" s="1114"/>
      <c r="P373" s="52"/>
      <c r="Q373" s="52"/>
      <c r="R373" s="52"/>
      <c r="S373" s="52"/>
      <c r="T373" s="52"/>
      <c r="U373" s="52"/>
      <c r="V373" s="52"/>
      <c r="W373" s="52"/>
      <c r="X373" s="52"/>
      <c r="Y373" s="52"/>
      <c r="Z373" s="52"/>
      <c r="AA373" s="52"/>
      <c r="AB373" s="52"/>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row>
    <row r="374" spans="1:50">
      <c r="A374" s="52"/>
      <c r="B374" s="3659" t="s">
        <v>1025</v>
      </c>
      <c r="C374" s="705">
        <v>2150117</v>
      </c>
      <c r="D374" s="601" t="s">
        <v>2740</v>
      </c>
      <c r="E374" s="474">
        <f>IFERROR(VLOOKUP(C374,'פקודות נוספות'!$D$274:$F$797,3,0),0)</f>
        <v>0</v>
      </c>
      <c r="F374" s="49">
        <f>SUMIF('פקודות נוספות'!C:C,C:C,'פקודות נוספות'!E:E)</f>
        <v>0</v>
      </c>
      <c r="J374" s="474">
        <f t="shared" si="92"/>
        <v>0</v>
      </c>
      <c r="K374" s="474">
        <f>M374+SUMIF('פקודות נוספות'!C:C,'מאזן בוחן'!C374,'פקודות נוספות'!F:F)</f>
        <v>0</v>
      </c>
      <c r="L374" s="439"/>
      <c r="M374" s="474">
        <f>IFERROR(VLOOKUP(C374,'פקודות נוספות'!$D$273:$G$797,4,0),0)</f>
        <v>0</v>
      </c>
      <c r="N374" s="1104" t="str">
        <f t="shared" si="93"/>
        <v>-</v>
      </c>
      <c r="O374" s="1114"/>
      <c r="P374" s="52"/>
      <c r="Q374" s="52"/>
      <c r="R374" s="52"/>
      <c r="S374" s="52"/>
      <c r="T374" s="52"/>
      <c r="U374" s="52"/>
      <c r="V374" s="52"/>
      <c r="W374" s="52"/>
      <c r="X374" s="52"/>
      <c r="Y374" s="52"/>
      <c r="Z374" s="52"/>
      <c r="AA374" s="52"/>
      <c r="AB374" s="52"/>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row>
    <row r="375" spans="1:50">
      <c r="A375" s="52"/>
      <c r="B375" s="3659" t="s">
        <v>1025</v>
      </c>
      <c r="C375" s="705">
        <v>2150155</v>
      </c>
      <c r="D375" s="601" t="s">
        <v>2741</v>
      </c>
      <c r="E375" s="474">
        <f>IFERROR(VLOOKUP(C375,'פקודות נוספות'!$D$274:$F$797,3,0),0)</f>
        <v>0</v>
      </c>
      <c r="F375" s="49">
        <f>SUMIF('פקודות נוספות'!C:C,C:C,'פקודות נוספות'!E:E)</f>
        <v>0</v>
      </c>
      <c r="J375" s="474">
        <f t="shared" si="92"/>
        <v>0</v>
      </c>
      <c r="K375" s="474">
        <f>M375+SUMIF('פקודות נוספות'!C:C,'מאזן בוחן'!C375,'פקודות נוספות'!F:F)</f>
        <v>0</v>
      </c>
      <c r="L375" s="439"/>
      <c r="M375" s="474">
        <f>IFERROR(VLOOKUP(C375,'פקודות נוספות'!$D$273:$G$797,4,0),0)</f>
        <v>0</v>
      </c>
      <c r="N375" s="1104" t="str">
        <f t="shared" si="93"/>
        <v>-</v>
      </c>
      <c r="O375" s="1114"/>
      <c r="P375" s="52"/>
      <c r="Q375" s="52"/>
      <c r="R375" s="52"/>
      <c r="S375" s="52"/>
      <c r="T375" s="52"/>
      <c r="U375" s="52"/>
      <c r="V375" s="52"/>
      <c r="W375" s="52"/>
      <c r="X375" s="52"/>
      <c r="Y375" s="52"/>
      <c r="Z375" s="52"/>
      <c r="AA375" s="52"/>
      <c r="AB375" s="52"/>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row>
    <row r="376" spans="1:50">
      <c r="A376" s="52"/>
      <c r="B376" s="3659" t="s">
        <v>1025</v>
      </c>
      <c r="C376" s="705">
        <v>2150172</v>
      </c>
      <c r="D376" s="601" t="s">
        <v>2742</v>
      </c>
      <c r="E376" s="474">
        <f>IFERROR(VLOOKUP(C376,'פקודות נוספות'!$D$274:$F$797,3,0),0)</f>
        <v>-82</v>
      </c>
      <c r="F376" s="49">
        <f>SUMIF('פקודות נוספות'!C:C,C:C,'פקודות נוספות'!E:E)</f>
        <v>0</v>
      </c>
      <c r="J376" s="474">
        <f t="shared" si="92"/>
        <v>-82</v>
      </c>
      <c r="K376" s="474">
        <f>M376+SUMIF('פקודות נוספות'!C:C,'מאזן בוחן'!C376,'פקודות נוספות'!F:F)</f>
        <v>-26.37</v>
      </c>
      <c r="L376" s="439"/>
      <c r="M376" s="474">
        <f>IFERROR(VLOOKUP(C376,'פקודות נוספות'!$D$273:$G$797,4,0),0)</f>
        <v>-26.37</v>
      </c>
      <c r="N376" s="1104">
        <f t="shared" si="93"/>
        <v>3.1095942358740993</v>
      </c>
      <c r="O376" s="1114"/>
      <c r="P376" s="52"/>
      <c r="Q376" s="52"/>
      <c r="R376" s="52"/>
      <c r="S376" s="52"/>
      <c r="T376" s="52"/>
      <c r="U376" s="52"/>
      <c r="V376" s="52"/>
      <c r="W376" s="52"/>
      <c r="X376" s="52"/>
      <c r="Y376" s="52"/>
      <c r="Z376" s="52"/>
      <c r="AA376" s="52"/>
      <c r="AB376" s="52"/>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row>
    <row r="377" spans="1:50">
      <c r="A377" s="52"/>
      <c r="B377" s="3659" t="s">
        <v>1025</v>
      </c>
      <c r="C377" s="705">
        <v>2100018</v>
      </c>
      <c r="D377" s="601" t="s">
        <v>4348</v>
      </c>
      <c r="E377" s="474">
        <f>IFERROR(VLOOKUP(C377,'פקודות נוספות'!$D$274:$F$797,3,0),0)</f>
        <v>0</v>
      </c>
      <c r="F377" s="49">
        <f>SUMIF('פקודות נוספות'!C:C,C:C,'פקודות נוספות'!E:E)</f>
        <v>0</v>
      </c>
      <c r="J377" s="474">
        <f t="shared" si="92"/>
        <v>0</v>
      </c>
      <c r="K377" s="474">
        <f>M377+SUMIF('פקודות נוספות'!C:C,'מאזן בוחן'!C377,'פקודות נוספות'!F:F)</f>
        <v>0</v>
      </c>
      <c r="L377" s="439"/>
      <c r="M377" s="474">
        <f>IFERROR(VLOOKUP(C377,'פקודות נוספות'!$D$273:$G$797,4,0),0)</f>
        <v>0</v>
      </c>
      <c r="N377" s="1104" t="str">
        <f t="shared" si="93"/>
        <v>-</v>
      </c>
      <c r="O377" s="1114"/>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row>
    <row r="378" spans="1:50">
      <c r="A378" s="52"/>
      <c r="B378" s="3659" t="s">
        <v>1025</v>
      </c>
      <c r="C378" s="705">
        <v>2170383</v>
      </c>
      <c r="D378" s="601" t="s">
        <v>2743</v>
      </c>
      <c r="E378" s="474">
        <f>IFERROR(VLOOKUP(C378,'פקודות נוספות'!$D$274:$F$797,3,0),0)</f>
        <v>0</v>
      </c>
      <c r="F378" s="49">
        <f>SUMIF('פקודות נוספות'!C:C,C:C,'פקודות נוספות'!E:E)</f>
        <v>0</v>
      </c>
      <c r="J378" s="474">
        <f t="shared" si="92"/>
        <v>0</v>
      </c>
      <c r="K378" s="474">
        <f>M378+SUMIF('פקודות נוספות'!C:C,'מאזן בוחן'!C378,'פקודות נוספות'!F:F)</f>
        <v>0</v>
      </c>
      <c r="L378" s="439"/>
      <c r="M378" s="474">
        <f>IFERROR(VLOOKUP(C378,'פקודות נוספות'!$D$273:$G$797,4,0),0)</f>
        <v>0</v>
      </c>
      <c r="N378" s="1104" t="str">
        <f t="shared" si="93"/>
        <v>-</v>
      </c>
      <c r="O378" s="1114"/>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row>
    <row r="379" spans="1:50">
      <c r="A379" s="52"/>
      <c r="B379" s="3659" t="s">
        <v>1025</v>
      </c>
      <c r="C379" s="705">
        <v>2100007</v>
      </c>
      <c r="D379" s="601" t="s">
        <v>1026</v>
      </c>
      <c r="E379" s="474">
        <f>IFERROR(VLOOKUP(C379,'פקודות נוספות'!$D$274:$F$797,3,0),0)</f>
        <v>-1813.22</v>
      </c>
      <c r="F379" s="49">
        <f>SUMIF('פקודות נוספות'!C:C,C:C,'פקודות נוספות'!E:E)</f>
        <v>0</v>
      </c>
      <c r="J379" s="474">
        <f t="shared" ref="J379:J397" si="94">SUM(E379:I379)</f>
        <v>-1813.22</v>
      </c>
      <c r="K379" s="474">
        <f>M379+SUMIF('פקודות נוספות'!C:C,'מאזן בוחן'!C379,'פקודות נוספות'!F:F)</f>
        <v>-583.03</v>
      </c>
      <c r="L379" s="439"/>
      <c r="M379" s="474">
        <f>IFERROR(VLOOKUP(C379,'פקודות נוספות'!$D$273:$G$797,4,0),0)</f>
        <v>-583.03</v>
      </c>
      <c r="N379" s="1104">
        <f t="shared" ref="N379:N386" si="95">IF(K379=0,"-",J379/K379)</f>
        <v>3.1099943399138983</v>
      </c>
      <c r="O379" s="1114"/>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row>
    <row r="380" spans="1:50">
      <c r="A380" s="1509"/>
      <c r="B380" s="3659" t="s">
        <v>1025</v>
      </c>
      <c r="C380" s="705">
        <v>2100008</v>
      </c>
      <c r="D380" s="601" t="s">
        <v>1027</v>
      </c>
      <c r="E380" s="474">
        <f>IFERROR(VLOOKUP(C380,'פקודות נוספות'!$D$274:$F$797,3,0),0)</f>
        <v>-7.75</v>
      </c>
      <c r="F380" s="49">
        <f>SUMIF('פקודות נוספות'!C:C,C:C,'פקודות נוספות'!E:E)</f>
        <v>0</v>
      </c>
      <c r="J380" s="474">
        <f t="shared" si="94"/>
        <v>-7.75</v>
      </c>
      <c r="K380" s="474">
        <f>M380+SUMIF('פקודות נוספות'!C:C,'מאזן בוחן'!C380,'פקודות נוספות'!F:F)</f>
        <v>-2.4900000000000002</v>
      </c>
      <c r="L380" s="439"/>
      <c r="M380" s="474">
        <f>IFERROR(VLOOKUP(C380,'פקודות נוספות'!$D$273:$G$797,4,0),0)</f>
        <v>-2.4900000000000002</v>
      </c>
      <c r="N380" s="1104">
        <f t="shared" si="95"/>
        <v>3.1124497991967868</v>
      </c>
      <c r="O380" s="1506"/>
      <c r="P380" s="52"/>
      <c r="Q380" s="52"/>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row>
    <row r="381" spans="1:50">
      <c r="A381" s="1509"/>
      <c r="B381" s="3659" t="s">
        <v>1025</v>
      </c>
      <c r="C381" s="705">
        <v>2100589</v>
      </c>
      <c r="D381" s="601" t="s">
        <v>1598</v>
      </c>
      <c r="E381" s="474">
        <f>IFERROR(VLOOKUP(C381,'פקודות נוספות'!$D$274:$F$797,3,0),0)</f>
        <v>0</v>
      </c>
      <c r="F381" s="49">
        <f>SUMIF('פקודות נוספות'!C:C,C:C,'פקודות נוספות'!E:E)</f>
        <v>0</v>
      </c>
      <c r="J381" s="474">
        <f t="shared" si="94"/>
        <v>0</v>
      </c>
      <c r="K381" s="474">
        <f>M381+SUMIF('פקודות נוספות'!C:C,'מאזן בוחן'!C381,'פקודות נוספות'!F:F)</f>
        <v>0</v>
      </c>
      <c r="L381" s="439"/>
      <c r="M381" s="474">
        <f>IFERROR(VLOOKUP(C381,'פקודות נוספות'!$D$273:$G$797,4,0),0)</f>
        <v>0</v>
      </c>
      <c r="N381" s="1104" t="str">
        <f t="shared" si="95"/>
        <v>-</v>
      </c>
      <c r="O381" s="1506"/>
      <c r="P381" s="52"/>
      <c r="Q381" s="52"/>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row>
    <row r="382" spans="1:50">
      <c r="A382" s="1509"/>
      <c r="B382" s="3659" t="s">
        <v>1025</v>
      </c>
      <c r="C382" s="705">
        <v>2100302</v>
      </c>
      <c r="D382" s="601" t="s">
        <v>2155</v>
      </c>
      <c r="E382" s="474">
        <f>IFERROR(VLOOKUP(C382,'פקודות נוספות'!$D$274:$F$797,3,0),0)</f>
        <v>0</v>
      </c>
      <c r="F382" s="49">
        <f>SUMIF('פקודות נוספות'!C:C,C:C,'פקודות נוספות'!E:E)</f>
        <v>0</v>
      </c>
      <c r="J382" s="474">
        <f t="shared" si="94"/>
        <v>0</v>
      </c>
      <c r="K382" s="474">
        <f>M382+SUMIF('פקודות נוספות'!C:C,'מאזן בוחן'!C382,'פקודות נוספות'!F:F)</f>
        <v>0</v>
      </c>
      <c r="L382" s="439"/>
      <c r="M382" s="474">
        <f>IFERROR(VLOOKUP(C382,'פקודות נוספות'!$D$273:$G$797,4,0),0)</f>
        <v>0</v>
      </c>
      <c r="N382" s="1104" t="str">
        <f t="shared" si="95"/>
        <v>-</v>
      </c>
      <c r="O382" s="1116"/>
      <c r="P382" s="52"/>
      <c r="Q382" s="52"/>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row>
    <row r="383" spans="1:50">
      <c r="A383" s="1509"/>
      <c r="B383" s="3659" t="s">
        <v>1025</v>
      </c>
      <c r="C383" s="705">
        <v>2100438</v>
      </c>
      <c r="D383" s="601" t="s">
        <v>2204</v>
      </c>
      <c r="E383" s="474">
        <f>IFERROR(VLOOKUP(C383,'פקודות נוספות'!$D$274:$F$797,3,0),0)</f>
        <v>0</v>
      </c>
      <c r="F383" s="49">
        <f>SUMIF('פקודות נוספות'!C:C,C:C,'פקודות נוספות'!E:E)</f>
        <v>0</v>
      </c>
      <c r="J383" s="474">
        <f t="shared" si="94"/>
        <v>0</v>
      </c>
      <c r="K383" s="474">
        <f>M383+SUMIF('פקודות נוספות'!C:C,'מאזן בוחן'!C383,'פקודות נוספות'!F:F)</f>
        <v>0</v>
      </c>
      <c r="L383" s="439"/>
      <c r="M383" s="474">
        <f>IFERROR(VLOOKUP(C383,'פקודות נוספות'!$D$273:$G$797,4,0),0)</f>
        <v>0</v>
      </c>
      <c r="N383" s="1104" t="str">
        <f t="shared" si="95"/>
        <v>-</v>
      </c>
      <c r="O383" s="1116"/>
      <c r="P383" s="52"/>
      <c r="Q383" s="52"/>
      <c r="R383" s="52"/>
      <c r="S383" s="52"/>
      <c r="T383" s="52"/>
      <c r="U383" s="52"/>
      <c r="V383" s="52"/>
      <c r="W383" s="52"/>
      <c r="X383" s="52"/>
      <c r="Y383" s="52"/>
      <c r="Z383" s="52"/>
      <c r="AA383" s="52"/>
      <c r="AB383" s="52"/>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row>
    <row r="384" spans="1:50">
      <c r="A384" s="1509"/>
      <c r="B384" s="3659" t="s">
        <v>1025</v>
      </c>
      <c r="C384" s="705">
        <v>2150103</v>
      </c>
      <c r="D384" s="601" t="s">
        <v>1985</v>
      </c>
      <c r="E384" s="474">
        <f>IFERROR(VLOOKUP(C384,'פקודות נוספות'!$D$274:$F$797,3,0),0)</f>
        <v>-3685.5</v>
      </c>
      <c r="F384" s="49">
        <f>SUMIF('פקודות נוספות'!C:C,C:C,'פקודות נוספות'!E:E)</f>
        <v>0</v>
      </c>
      <c r="J384" s="474">
        <f t="shared" si="94"/>
        <v>-3685.5</v>
      </c>
      <c r="K384" s="474">
        <f>M384+SUMIF('פקודות נוספות'!C:C,'מאזן בוחן'!C384,'פקודות נוספות'!F:F)</f>
        <v>-1185.05</v>
      </c>
      <c r="L384" s="439"/>
      <c r="M384" s="474">
        <f>IFERROR(VLOOKUP(C384,'פקודות נוספות'!$D$273:$G$797,4,0),0)</f>
        <v>-1185.05</v>
      </c>
      <c r="N384" s="1104">
        <f t="shared" si="95"/>
        <v>3.1099953588456186</v>
      </c>
      <c r="O384" s="1116"/>
      <c r="P384" s="52"/>
      <c r="Q384" s="52"/>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row>
    <row r="385" spans="1:50">
      <c r="A385" s="1509"/>
      <c r="B385" s="3659" t="s">
        <v>1025</v>
      </c>
      <c r="C385" s="705">
        <v>2100087</v>
      </c>
      <c r="D385" s="601" t="s">
        <v>309</v>
      </c>
      <c r="E385" s="474">
        <f>IFERROR(VLOOKUP(C385,'פקודות נוספות'!$D$274:$F$797,3,0),0)</f>
        <v>-31635</v>
      </c>
      <c r="F385" s="49">
        <f>SUMIF('פקודות נוספות'!C:C,C:C,'פקודות נוספות'!E:E)</f>
        <v>0</v>
      </c>
      <c r="J385" s="474">
        <f t="shared" si="94"/>
        <v>-31635</v>
      </c>
      <c r="K385" s="474">
        <f>M385+SUMIF('פקודות נוספות'!C:C,'מאזן בוחן'!C385,'פקודות נוספות'!F:F)</f>
        <v>-10172.030000000001</v>
      </c>
      <c r="L385" s="439"/>
      <c r="M385" s="474">
        <f>IFERROR(VLOOKUP(C385,'פקודות נוספות'!$D$273:$G$797,4,0),0)</f>
        <v>-10172.030000000001</v>
      </c>
      <c r="N385" s="1104">
        <f t="shared" si="95"/>
        <v>3.1099986924930421</v>
      </c>
      <c r="O385" s="1116"/>
      <c r="P385" s="52"/>
      <c r="Q385" s="52"/>
      <c r="R385" s="52"/>
      <c r="S385" s="52"/>
      <c r="T385" s="52"/>
      <c r="U385" s="52"/>
      <c r="V385" s="52"/>
      <c r="W385" s="52"/>
      <c r="X385" s="52"/>
      <c r="Y385" s="52"/>
      <c r="Z385" s="52"/>
      <c r="AA385" s="52"/>
      <c r="AB385" s="52"/>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row>
    <row r="386" spans="1:50">
      <c r="A386" s="1509"/>
      <c r="B386" s="3659" t="s">
        <v>1025</v>
      </c>
      <c r="C386" s="705">
        <v>2100474</v>
      </c>
      <c r="D386" s="601" t="s">
        <v>2156</v>
      </c>
      <c r="E386" s="474">
        <f>IFERROR(VLOOKUP(C386,'פקודות נוספות'!$D$274:$F$797,3,0),0)</f>
        <v>0</v>
      </c>
      <c r="F386" s="49">
        <f>SUMIF('פקודות נוספות'!C:C,C:C,'פקודות נוספות'!E:E)</f>
        <v>0</v>
      </c>
      <c r="J386" s="474">
        <f t="shared" si="94"/>
        <v>0</v>
      </c>
      <c r="K386" s="474">
        <f>M386+SUMIF('פקודות נוספות'!C:C,'מאזן בוחן'!C386,'פקודות נוספות'!F:F)</f>
        <v>0</v>
      </c>
      <c r="L386" s="439"/>
      <c r="M386" s="474">
        <f>IFERROR(VLOOKUP(C386,'פקודות נוספות'!$D$273:$G$797,4,0),0)</f>
        <v>0</v>
      </c>
      <c r="N386" s="1104" t="str">
        <f t="shared" si="95"/>
        <v>-</v>
      </c>
      <c r="O386" s="1116"/>
      <c r="P386" s="52"/>
      <c r="Q386" s="52"/>
      <c r="R386" s="52"/>
      <c r="S386" s="52"/>
      <c r="T386" s="52"/>
      <c r="U386" s="52"/>
      <c r="V386" s="52"/>
      <c r="W386" s="52"/>
      <c r="X386" s="52"/>
      <c r="Y386" s="52"/>
      <c r="Z386" s="52"/>
      <c r="AA386" s="52"/>
      <c r="AB386" s="52"/>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row>
    <row r="387" spans="1:50">
      <c r="A387" s="1509"/>
      <c r="B387" s="3659" t="s">
        <v>1025</v>
      </c>
      <c r="C387" s="705">
        <v>2100142</v>
      </c>
      <c r="D387" s="601" t="s">
        <v>1945</v>
      </c>
      <c r="E387" s="474">
        <f>IFERROR(VLOOKUP(C387,'פקודות נוספות'!$D$274:$F$797,3,0),0)</f>
        <v>-111490.52</v>
      </c>
      <c r="F387" s="49">
        <f>SUMIF('פקודות נוספות'!C:C,C:C,'פקודות נוספות'!E:E)</f>
        <v>0</v>
      </c>
      <c r="J387" s="474">
        <f t="shared" si="94"/>
        <v>-111490.52</v>
      </c>
      <c r="K387" s="474">
        <f>M387+SUMIF('פקודות נוספות'!C:C,'מאזן בוחן'!C387,'פקודות נוספות'!F:F)</f>
        <v>-35849.040000000001</v>
      </c>
      <c r="L387" s="439"/>
      <c r="M387" s="474">
        <f>IFERROR(VLOOKUP(C387,'פקודות נוספות'!$D$273:$G$797,4,0),0)</f>
        <v>-35849.040000000001</v>
      </c>
      <c r="N387" s="1104">
        <f t="shared" ref="N387:N440" si="96">IF(K387=0,"-",J387/K387)</f>
        <v>3.1100001562105986</v>
      </c>
      <c r="O387" s="1116"/>
      <c r="P387" s="52"/>
      <c r="Q387" s="52"/>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row>
    <row r="388" spans="1:50">
      <c r="A388" s="1509"/>
      <c r="B388" s="3659" t="s">
        <v>1025</v>
      </c>
      <c r="C388" s="705">
        <v>2100163</v>
      </c>
      <c r="D388" s="601" t="s">
        <v>307</v>
      </c>
      <c r="E388" s="474">
        <f>IFERROR(VLOOKUP(C388,'פקודות נוספות'!$D$274:$F$797,3,0),0)</f>
        <v>-342559</v>
      </c>
      <c r="F388" s="49">
        <f>SUMIF('פקודות נוספות'!C:C,C:C,'פקודות נוספות'!E:E)</f>
        <v>0</v>
      </c>
      <c r="J388" s="474">
        <f t="shared" si="94"/>
        <v>-342559</v>
      </c>
      <c r="K388" s="474">
        <f>M388+SUMIF('פקודות נוספות'!C:C,'מאזן בוחן'!C388,'פקודות נוספות'!F:F)</f>
        <v>-110147.59</v>
      </c>
      <c r="L388" s="439"/>
      <c r="M388" s="474">
        <f>IFERROR(VLOOKUP(C388,'פקודות נוספות'!$D$273:$G$797,4,0),0)</f>
        <v>-110147.59</v>
      </c>
      <c r="N388" s="1104">
        <f t="shared" si="96"/>
        <v>3.1099999555142332</v>
      </c>
      <c r="O388" s="1116"/>
      <c r="P388" s="52"/>
      <c r="Q388" s="52"/>
      <c r="R388" s="52"/>
      <c r="S388" s="52"/>
      <c r="T388" s="52"/>
      <c r="U388" s="52"/>
      <c r="V388" s="52"/>
      <c r="W388" s="52"/>
      <c r="X388" s="52"/>
      <c r="Y388" s="52"/>
      <c r="Z388" s="52"/>
      <c r="AA388" s="52"/>
      <c r="AB388" s="52"/>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row>
    <row r="389" spans="1:50">
      <c r="A389" s="1509"/>
      <c r="B389" s="3659" t="s">
        <v>1025</v>
      </c>
      <c r="C389" s="705">
        <v>2100184</v>
      </c>
      <c r="D389" s="601" t="s">
        <v>1623</v>
      </c>
      <c r="E389" s="474">
        <f>IFERROR(VLOOKUP(C389,'פקודות נוספות'!$D$274:$F$797,3,0),0)</f>
        <v>0</v>
      </c>
      <c r="F389" s="49">
        <f>SUMIF('פקודות נוספות'!C:C,C:C,'פקודות נוספות'!E:E)</f>
        <v>0</v>
      </c>
      <c r="J389" s="474">
        <f t="shared" si="94"/>
        <v>0</v>
      </c>
      <c r="K389" s="474">
        <f>M389+SUMIF('פקודות נוספות'!C:C,'מאזן בוחן'!C389,'פקודות נוספות'!F:F)</f>
        <v>0</v>
      </c>
      <c r="L389" s="439"/>
      <c r="M389" s="474">
        <f>IFERROR(VLOOKUP(C389,'פקודות נוספות'!$D$273:$G$797,4,0),0)</f>
        <v>0</v>
      </c>
      <c r="N389" s="1104" t="str">
        <f t="shared" si="96"/>
        <v>-</v>
      </c>
      <c r="O389" s="2643"/>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row>
    <row r="390" spans="1:50">
      <c r="A390" s="1509"/>
      <c r="B390" s="3659" t="s">
        <v>1025</v>
      </c>
      <c r="C390" s="705">
        <v>2100187</v>
      </c>
      <c r="D390" s="601" t="s">
        <v>1269</v>
      </c>
      <c r="E390" s="474">
        <f>IFERROR(VLOOKUP(C390,'פקודות נוספות'!$D$274:$F$797,3,0),0)</f>
        <v>-1744.47</v>
      </c>
      <c r="F390" s="49">
        <f>SUMIF('פקודות נוספות'!C:C,C:C,'פקודות נוספות'!E:E)</f>
        <v>0</v>
      </c>
      <c r="J390" s="474">
        <f t="shared" si="94"/>
        <v>-1744.47</v>
      </c>
      <c r="K390" s="474">
        <f>M390+SUMIF('פקודות נוספות'!C:C,'מאזן בוחן'!C390,'פקודות נוספות'!F:F)</f>
        <v>-560.91999999999996</v>
      </c>
      <c r="L390" s="439"/>
      <c r="M390" s="474">
        <f>IFERROR(VLOOKUP(C390,'פקודות נוספות'!$D$273:$G$797,4,0),0)</f>
        <v>-560.91999999999996</v>
      </c>
      <c r="N390" s="1104">
        <f>IF(K390=0,"-",J390/K390)</f>
        <v>3.1100156885117309</v>
      </c>
      <c r="O390" s="1116"/>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row>
    <row r="391" spans="1:50">
      <c r="A391" s="1509"/>
      <c r="B391" s="3659" t="s">
        <v>1025</v>
      </c>
      <c r="C391" s="705">
        <v>2150114</v>
      </c>
      <c r="D391" s="601" t="s">
        <v>2110</v>
      </c>
      <c r="E391" s="474">
        <f>IFERROR(VLOOKUP(C391,'פקודות נוספות'!$D$274:$F$797,3,0),0)</f>
        <v>0</v>
      </c>
      <c r="F391" s="49">
        <f>SUMIF('פקודות נוספות'!C:C,C:C,'פקודות נוספות'!E:E)</f>
        <v>0</v>
      </c>
      <c r="J391" s="474">
        <f t="shared" si="94"/>
        <v>0</v>
      </c>
      <c r="K391" s="474">
        <f>M391+SUMIF('פקודות נוספות'!C:C,'מאזן בוחן'!C391,'פקודות נוספות'!F:F)</f>
        <v>0</v>
      </c>
      <c r="L391" s="439"/>
      <c r="M391" s="474">
        <f>IFERROR(VLOOKUP(C391,'פקודות נוספות'!$D$273:$G$797,4,0),0)</f>
        <v>0</v>
      </c>
      <c r="N391" s="1104" t="str">
        <f t="shared" si="96"/>
        <v>-</v>
      </c>
      <c r="O391" s="1116"/>
      <c r="P391" s="52"/>
      <c r="Q391" s="52"/>
      <c r="R391" s="52"/>
      <c r="S391" s="52"/>
      <c r="T391" s="52"/>
      <c r="U391" s="52"/>
      <c r="V391" s="52"/>
      <c r="W391" s="52"/>
      <c r="X391" s="52"/>
      <c r="Y391" s="52"/>
      <c r="Z391" s="52"/>
      <c r="AA391" s="52"/>
      <c r="AB391" s="52"/>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row>
    <row r="392" spans="1:50">
      <c r="A392" s="1509"/>
      <c r="B392" s="3659" t="s">
        <v>1025</v>
      </c>
      <c r="C392" s="705">
        <v>2100212</v>
      </c>
      <c r="D392" s="601" t="s">
        <v>308</v>
      </c>
      <c r="E392" s="474">
        <f>IFERROR(VLOOKUP(C392,'פקודות נוספות'!$D$274:$F$797,3,0),0)</f>
        <v>-23870.49</v>
      </c>
      <c r="F392" s="49">
        <f>SUMIF('פקודות נוספות'!C:C,C:C,'פקודות נוספות'!E:E)</f>
        <v>0</v>
      </c>
      <c r="J392" s="474">
        <f t="shared" si="94"/>
        <v>-23870.49</v>
      </c>
      <c r="K392" s="474">
        <f>M392+SUMIF('פקודות נוספות'!C:C,'מאזן בוחן'!C392,'פקודות נוספות'!F:F)</f>
        <v>-7675.4</v>
      </c>
      <c r="L392" s="439"/>
      <c r="M392" s="474">
        <f>IFERROR(VLOOKUP(C392,'פקודות נוספות'!$D$273:$G$797,4,0),0)</f>
        <v>-7675.4</v>
      </c>
      <c r="N392" s="1104">
        <f t="shared" si="96"/>
        <v>3.1099994788545224</v>
      </c>
      <c r="O392" s="1116"/>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row>
    <row r="393" spans="1:50">
      <c r="A393" s="1509"/>
      <c r="B393" s="3659" t="s">
        <v>1025</v>
      </c>
      <c r="C393" s="705">
        <v>2100214</v>
      </c>
      <c r="D393" s="601" t="s">
        <v>1659</v>
      </c>
      <c r="E393" s="474">
        <f>IFERROR(VLOOKUP(C393,'פקודות נוספות'!$D$274:$F$797,3,0),0)</f>
        <v>0</v>
      </c>
      <c r="F393" s="49">
        <f>SUMIF('פקודות נוספות'!C:C,C:C,'פקודות נוספות'!E:E)</f>
        <v>0</v>
      </c>
      <c r="J393" s="474">
        <f t="shared" si="94"/>
        <v>0</v>
      </c>
      <c r="K393" s="474">
        <f>M393+SUMIF('פקודות נוספות'!C:C,'מאזן בוחן'!C393,'פקודות נוספות'!F:F)</f>
        <v>0</v>
      </c>
      <c r="L393" s="439"/>
      <c r="M393" s="474">
        <f>IFERROR(VLOOKUP(C393,'פקודות נוספות'!$D$273:$G$797,4,0),0)</f>
        <v>0</v>
      </c>
      <c r="N393" s="1104" t="str">
        <f t="shared" si="96"/>
        <v>-</v>
      </c>
      <c r="O393" s="1116"/>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row>
    <row r="394" spans="1:50">
      <c r="A394" s="1509"/>
      <c r="B394" s="3659" t="s">
        <v>1025</v>
      </c>
      <c r="C394" s="705">
        <v>2100620</v>
      </c>
      <c r="D394" s="601" t="s">
        <v>2157</v>
      </c>
      <c r="E394" s="474">
        <f>IFERROR(VLOOKUP(C394,'פקודות נוספות'!$D$274:$F$797,3,0),0)</f>
        <v>0</v>
      </c>
      <c r="F394" s="49">
        <f>SUMIF('פקודות נוספות'!C:C,C:C,'פקודות נוספות'!E:E)</f>
        <v>0</v>
      </c>
      <c r="J394" s="474">
        <f t="shared" si="94"/>
        <v>0</v>
      </c>
      <c r="K394" s="474">
        <f>M394+SUMIF('פקודות נוספות'!C:C,'מאזן בוחן'!C394,'פקודות נוספות'!F:F)</f>
        <v>0</v>
      </c>
      <c r="L394" s="439"/>
      <c r="M394" s="474">
        <f>IFERROR(VLOOKUP(C394,'פקודות נוספות'!$D$273:$G$797,4,0),0)</f>
        <v>0</v>
      </c>
      <c r="N394" s="1104" t="str">
        <f t="shared" si="96"/>
        <v>-</v>
      </c>
      <c r="O394" s="1116"/>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row>
    <row r="395" spans="1:50">
      <c r="A395" s="1509"/>
      <c r="B395" s="3659" t="s">
        <v>1025</v>
      </c>
      <c r="C395" s="705">
        <v>2170242</v>
      </c>
      <c r="D395" s="601" t="s">
        <v>4558</v>
      </c>
      <c r="E395" s="474">
        <f>IFERROR(VLOOKUP(C395,'פקודות נוספות'!$D$274:$F$797,3,0),0)</f>
        <v>-10914.16</v>
      </c>
      <c r="F395" s="49">
        <f>SUMIF('פקודות נוספות'!C:C,C:C,'פקודות נוספות'!E:E)</f>
        <v>0</v>
      </c>
      <c r="J395" s="474">
        <f t="shared" si="94"/>
        <v>-10914.16</v>
      </c>
      <c r="K395" s="474">
        <f>M395+SUMIF('פקודות נוספות'!C:C,'מאזן בוחן'!C395,'פקודות נוספות'!F:F)</f>
        <v>-3509.38</v>
      </c>
      <c r="L395" s="439"/>
      <c r="M395" s="474">
        <f>IFERROR(VLOOKUP(C395,'פקודות נוספות'!$D$273:$G$797,4,0),0)</f>
        <v>-3509.38</v>
      </c>
      <c r="N395" s="1104">
        <f t="shared" si="96"/>
        <v>3.1099966375827068</v>
      </c>
      <c r="O395" s="1116"/>
      <c r="P395" s="52"/>
      <c r="Q395" s="52"/>
      <c r="R395" s="52"/>
      <c r="S395" s="52"/>
      <c r="T395" s="52"/>
      <c r="U395" s="52"/>
      <c r="V395" s="52"/>
      <c r="W395" s="52"/>
      <c r="X395" s="52"/>
      <c r="Y395" s="52"/>
      <c r="Z395" s="52"/>
      <c r="AA395" s="52"/>
      <c r="AB395" s="52"/>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row>
    <row r="396" spans="1:50">
      <c r="A396" s="1509"/>
      <c r="B396" s="3659" t="s">
        <v>1025</v>
      </c>
      <c r="C396" s="705">
        <v>2100238</v>
      </c>
      <c r="D396" s="601" t="s">
        <v>1028</v>
      </c>
      <c r="E396" s="474">
        <f>IFERROR(VLOOKUP(C396,'פקודות נוספות'!$D$274:$F$797,3,0),0)</f>
        <v>-1241</v>
      </c>
      <c r="F396" s="49">
        <f>SUMIF('פקודות נוספות'!C:C,C:C,'פקודות נוספות'!E:E)</f>
        <v>0</v>
      </c>
      <c r="J396" s="474">
        <f t="shared" si="94"/>
        <v>-1241</v>
      </c>
      <c r="K396" s="474">
        <f>M396+SUMIF('פקודות נוספות'!C:C,'מאזן בוחן'!C396,'פקודות נוספות'!F:F)</f>
        <v>-399.04</v>
      </c>
      <c r="L396" s="439"/>
      <c r="M396" s="474">
        <f>IFERROR(VLOOKUP(C396,'פקודות נוספות'!$D$273:$G$797,4,0),0)</f>
        <v>-399.04</v>
      </c>
      <c r="N396" s="1104">
        <f t="shared" si="96"/>
        <v>3.1099639133921411</v>
      </c>
      <c r="O396" s="1116"/>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row>
    <row r="397" spans="1:50">
      <c r="A397" s="1509"/>
      <c r="B397" s="3659" t="s">
        <v>1025</v>
      </c>
      <c r="C397" s="705">
        <v>2100240</v>
      </c>
      <c r="D397" s="601" t="s">
        <v>316</v>
      </c>
      <c r="E397" s="474">
        <f>IFERROR(VLOOKUP(C397,'פקודות נוספות'!$D$274:$F$797,3,0),0)</f>
        <v>-94372.160000000003</v>
      </c>
      <c r="F397" s="49">
        <f>SUMIF('פקודות נוספות'!C:C,C:C,'פקודות נוספות'!E:E)</f>
        <v>0</v>
      </c>
      <c r="J397" s="474">
        <f t="shared" si="94"/>
        <v>-94372.160000000003</v>
      </c>
      <c r="K397" s="474">
        <f>M397+SUMIF('פקודות נוספות'!C:C,'מאזן בוחן'!C397,'פקודות נוספות'!F:F)</f>
        <v>-30344.75</v>
      </c>
      <c r="L397" s="439"/>
      <c r="M397" s="474">
        <f>IFERROR(VLOOKUP(C397,'פקודות נוספות'!$D$273:$G$797,4,0),0)</f>
        <v>-30344.75</v>
      </c>
      <c r="N397" s="1104">
        <f t="shared" si="96"/>
        <v>3.1099995880671285</v>
      </c>
      <c r="O397" s="1116"/>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row>
    <row r="398" spans="1:50">
      <c r="A398" s="1509"/>
      <c r="B398" s="3659" t="s">
        <v>1025</v>
      </c>
      <c r="C398" s="705">
        <v>2100052</v>
      </c>
      <c r="D398" s="601" t="s">
        <v>2188</v>
      </c>
      <c r="E398" s="474">
        <f>IFERROR(VLOOKUP(C398,'פקודות נוספות'!$D$274:$F$797,3,0),0)</f>
        <v>0</v>
      </c>
      <c r="F398" s="49">
        <f>SUMIF('פקודות נוספות'!C:C,C:C,'פקודות נוספות'!E:E)</f>
        <v>0</v>
      </c>
      <c r="J398" s="474">
        <f>SUM(E398:I398)</f>
        <v>0</v>
      </c>
      <c r="K398" s="474">
        <f>M398+SUMIF('פקודות נוספות'!C:C,'מאזן בוחן'!C398,'פקודות נוספות'!F:F)</f>
        <v>0</v>
      </c>
      <c r="L398" s="439"/>
      <c r="M398" s="474">
        <f>IFERROR(VLOOKUP(C398,'פקודות נוספות'!$D$273:$G$797,4,0),0)</f>
        <v>0</v>
      </c>
      <c r="N398" s="1104" t="str">
        <f>IF(K398=0,"-",J398/K398)</f>
        <v>-</v>
      </c>
      <c r="O398" s="1116"/>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row>
    <row r="399" spans="1:50">
      <c r="A399" s="1509"/>
      <c r="B399" s="3659" t="s">
        <v>1025</v>
      </c>
      <c r="C399" s="705">
        <v>2100157</v>
      </c>
      <c r="D399" s="601" t="s">
        <v>2189</v>
      </c>
      <c r="E399" s="474">
        <f>IFERROR(VLOOKUP(C399,'פקודות נוספות'!$D$274:$F$797,3,0),0)</f>
        <v>0</v>
      </c>
      <c r="F399" s="49">
        <f>SUMIF('פקודות נוספות'!C:C,C:C,'פקודות נוספות'!E:E)</f>
        <v>0</v>
      </c>
      <c r="J399" s="474">
        <f>SUM(E399:I399)</f>
        <v>0</v>
      </c>
      <c r="K399" s="474">
        <f>M399+SUMIF('פקודות נוספות'!C:C,'מאזן בוחן'!C399,'פקודות נוספות'!F:F)</f>
        <v>0</v>
      </c>
      <c r="L399" s="439"/>
      <c r="M399" s="474">
        <f>IFERROR(VLOOKUP(C399,'פקודות נוספות'!$D$273:$G$797,4,0),0)</f>
        <v>0</v>
      </c>
      <c r="N399" s="1104" t="str">
        <f>IF(K399=0,"-",J399/K399)</f>
        <v>-</v>
      </c>
      <c r="O399" s="1116"/>
      <c r="P399" s="52"/>
      <c r="Q399" s="52"/>
      <c r="R399" s="52"/>
      <c r="S399" s="52"/>
      <c r="T399" s="52"/>
      <c r="U399" s="52"/>
      <c r="V399" s="52"/>
      <c r="W399" s="52"/>
      <c r="X399" s="52"/>
      <c r="Y399" s="52"/>
      <c r="Z399" s="52"/>
      <c r="AA399" s="52"/>
      <c r="AB399" s="52"/>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row>
    <row r="400" spans="1:50">
      <c r="A400" s="1509"/>
      <c r="B400" s="3659" t="s">
        <v>1025</v>
      </c>
      <c r="C400" s="705">
        <v>2100349</v>
      </c>
      <c r="D400" s="601" t="s">
        <v>310</v>
      </c>
      <c r="E400" s="474">
        <f>VLOOKUP(C400,'פקודות נוספות'!$D$274:$F$797,3,0)</f>
        <v>-122157</v>
      </c>
      <c r="F400" s="49">
        <f>SUMIF('פקודות נוספות'!C:C,C:C,'פקודות נוספות'!E:E)</f>
        <v>0</v>
      </c>
      <c r="J400" s="474">
        <f t="shared" ref="J400:J440" si="97">SUM(E400:I400)</f>
        <v>-122157</v>
      </c>
      <c r="K400" s="474">
        <f>M400+SUMIF('פקודות נוספות'!C:C,'מאזן בוחן'!C400,'פקודות נוספות'!F:F)</f>
        <v>-39278.78</v>
      </c>
      <c r="L400" s="439"/>
      <c r="M400" s="474">
        <f>VLOOKUP(C400,'פקודות נוספות'!$D$273:$G$797,4,0)</f>
        <v>-39278.78</v>
      </c>
      <c r="N400" s="1104">
        <f t="shared" si="96"/>
        <v>3.1099998523375727</v>
      </c>
      <c r="O400" s="1116"/>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row>
    <row r="401" spans="1:50">
      <c r="A401" s="1509"/>
      <c r="B401" s="3659" t="s">
        <v>1025</v>
      </c>
      <c r="C401" s="705">
        <v>2150074</v>
      </c>
      <c r="D401" s="601" t="s">
        <v>1984</v>
      </c>
      <c r="E401" s="474">
        <f>IFERROR(VLOOKUP(C401,'פקודות נוספות'!$D$274:$F$797,3,0),0)</f>
        <v>-5008</v>
      </c>
      <c r="F401" s="49">
        <f>SUMIF('פקודות נוספות'!C:C,C:C,'פקודות נוספות'!E:E)</f>
        <v>0</v>
      </c>
      <c r="J401" s="474">
        <f t="shared" si="97"/>
        <v>-5008</v>
      </c>
      <c r="K401" s="474">
        <f>M401+SUMIF('פקודות נוספות'!C:C,'מאזן בוחן'!C401,'פקודות נוספות'!F:F)</f>
        <v>-1610.29</v>
      </c>
      <c r="L401" s="439"/>
      <c r="M401" s="474">
        <f>IFERROR(VLOOKUP(C401,'פקודות נוספות'!$D$273:$G$797,4,0),0)</f>
        <v>-1610.29</v>
      </c>
      <c r="N401" s="1104">
        <f t="shared" si="96"/>
        <v>3.1099988200883071</v>
      </c>
      <c r="O401" s="1116"/>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row>
    <row r="402" spans="1:50">
      <c r="A402" s="1509"/>
      <c r="B402" s="3659" t="s">
        <v>1025</v>
      </c>
      <c r="C402" s="705">
        <v>2170220</v>
      </c>
      <c r="D402" s="601" t="s">
        <v>2111</v>
      </c>
      <c r="E402" s="474">
        <f>IFERROR(VLOOKUP(C402,'פקודות נוספות'!$D$274:$F$797,3,0),0)</f>
        <v>0</v>
      </c>
      <c r="F402" s="49">
        <f>SUMIF('פקודות נוספות'!C:C,C:C,'פקודות נוספות'!E:E)</f>
        <v>0</v>
      </c>
      <c r="J402" s="474">
        <f t="shared" si="97"/>
        <v>0</v>
      </c>
      <c r="K402" s="474">
        <f>M402+SUMIF('פקודות נוספות'!C:C,'מאזן בוחן'!C402,'פקודות נוספות'!F:F)</f>
        <v>0</v>
      </c>
      <c r="L402" s="439"/>
      <c r="M402" s="474">
        <f>IFERROR(VLOOKUP(C402,'פקודות נוספות'!$D$273:$G$797,4,0),0)</f>
        <v>0</v>
      </c>
      <c r="N402" s="1104" t="str">
        <f>IF(K402=0,"-",J402/K402)</f>
        <v>-</v>
      </c>
      <c r="O402" s="1116"/>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row>
    <row r="403" spans="1:50">
      <c r="A403" s="1509"/>
      <c r="B403" s="3659" t="s">
        <v>1025</v>
      </c>
      <c r="C403" s="705">
        <v>2100488</v>
      </c>
      <c r="D403" s="601" t="s">
        <v>438</v>
      </c>
      <c r="E403" s="474">
        <f>IFERROR(VLOOKUP(C403,'פקודות נוספות'!$D$274:$F$797,3,0),0)</f>
        <v>-111359.76</v>
      </c>
      <c r="F403" s="49">
        <f>SUMIF('פקודות נוספות'!C:C,C:C,'פקודות נוספות'!E:E)</f>
        <v>0</v>
      </c>
      <c r="J403" s="474">
        <f t="shared" si="97"/>
        <v>-111359.76</v>
      </c>
      <c r="K403" s="474">
        <f>M403+SUMIF('פקודות נוספות'!C:C,'מאזן בוחן'!C403,'פקודות נוספות'!F:F)</f>
        <v>-35807</v>
      </c>
      <c r="L403" s="439"/>
      <c r="M403" s="474">
        <f>IFERROR(VLOOKUP(C403,'פקודות נוספות'!$D$273:$G$797,4,0),0)</f>
        <v>-35807</v>
      </c>
      <c r="N403" s="1104">
        <f t="shared" si="96"/>
        <v>3.1099997207249976</v>
      </c>
      <c r="O403" s="1506"/>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row>
    <row r="404" spans="1:50">
      <c r="A404" s="1509"/>
      <c r="B404" s="3659" t="s">
        <v>1025</v>
      </c>
      <c r="C404" s="705">
        <v>2100425</v>
      </c>
      <c r="D404" s="601" t="s">
        <v>348</v>
      </c>
      <c r="E404" s="474">
        <f>IFERROR(VLOOKUP(C404,'פקודות נוספות'!$D$274:$F$797,3,0),0)</f>
        <v>-2372548.81</v>
      </c>
      <c r="F404" s="49">
        <f>SUMIF('פקודות נוספות'!C:C,C:C,'פקודות נוספות'!E:E)</f>
        <v>0</v>
      </c>
      <c r="J404" s="474">
        <f t="shared" si="97"/>
        <v>-2372548.81</v>
      </c>
      <c r="K404" s="474">
        <f>M404+SUMIF('פקודות נוספות'!C:C,'מאזן בוחן'!C404,'פקודות נוספות'!F:F)</f>
        <v>-762877.43</v>
      </c>
      <c r="L404" s="439"/>
      <c r="M404" s="474">
        <f>IFERROR(VLOOKUP(C404,'פקודות נוספות'!$D$273:$G$797,4,0),0)</f>
        <v>-762877.43</v>
      </c>
      <c r="N404" s="1104">
        <f t="shared" si="96"/>
        <v>3.1100000035392315</v>
      </c>
      <c r="O404" s="1116"/>
      <c r="P404" s="52"/>
      <c r="Q404" s="52"/>
      <c r="R404" s="52"/>
      <c r="S404" s="52"/>
      <c r="T404" s="52"/>
      <c r="U404" s="52"/>
      <c r="V404" s="52"/>
      <c r="W404" s="52"/>
      <c r="X404" s="52"/>
      <c r="Y404" s="52"/>
      <c r="Z404" s="52"/>
      <c r="AA404" s="52"/>
      <c r="AB404" s="52"/>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row>
    <row r="405" spans="1:50">
      <c r="A405" s="1509"/>
      <c r="B405" s="3659" t="s">
        <v>1025</v>
      </c>
      <c r="C405" s="705">
        <v>2100436</v>
      </c>
      <c r="D405" s="601" t="s">
        <v>1497</v>
      </c>
      <c r="E405" s="474">
        <f>IFERROR(VLOOKUP(C405,'פקודות נוספות'!$D$274:$F$797,3,0),0)</f>
        <v>0</v>
      </c>
      <c r="F405" s="49">
        <f>SUMIF('פקודות נוספות'!C:C,C:C,'פקודות נוספות'!E:E)</f>
        <v>0</v>
      </c>
      <c r="J405" s="474">
        <f t="shared" si="97"/>
        <v>0</v>
      </c>
      <c r="K405" s="474">
        <f>M405+SUMIF('פקודות נוספות'!C:C,'מאזן בוחן'!C405,'פקודות נוספות'!F:F)</f>
        <v>0</v>
      </c>
      <c r="L405" s="439"/>
      <c r="M405" s="474">
        <f>IFERROR(VLOOKUP(C405,'פקודות נוספות'!$D$273:$G$797,4,0),0)</f>
        <v>0</v>
      </c>
      <c r="N405" s="1104" t="str">
        <f t="shared" si="96"/>
        <v>-</v>
      </c>
      <c r="O405" s="1116"/>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row>
    <row r="406" spans="1:50">
      <c r="A406" s="1509"/>
      <c r="B406" s="3659" t="s">
        <v>1025</v>
      </c>
      <c r="C406" s="705">
        <v>2100440</v>
      </c>
      <c r="D406" s="601" t="s">
        <v>1575</v>
      </c>
      <c r="E406" s="474">
        <f>IFERROR(VLOOKUP(C406,'פקודות נוספות'!$D$274:$F$797,3,0),0)</f>
        <v>0</v>
      </c>
      <c r="F406" s="49">
        <f>SUMIF('פקודות נוספות'!C:C,C:C,'פקודות נוספות'!E:E)</f>
        <v>0</v>
      </c>
      <c r="J406" s="474">
        <f t="shared" si="97"/>
        <v>0</v>
      </c>
      <c r="K406" s="474">
        <f>M406+SUMIF('פקודות נוספות'!C:C,'מאזן בוחן'!C406,'פקודות נוספות'!F:F)</f>
        <v>0</v>
      </c>
      <c r="L406" s="439"/>
      <c r="M406" s="474">
        <f>IFERROR(VLOOKUP(C406,'פקודות נוספות'!$D$273:$G$797,4,0),0)</f>
        <v>0</v>
      </c>
      <c r="N406" s="1104" t="str">
        <f t="shared" si="96"/>
        <v>-</v>
      </c>
      <c r="O406" s="1116"/>
      <c r="P406" s="52"/>
      <c r="Q406" s="52"/>
      <c r="R406" s="52"/>
      <c r="S406" s="52"/>
      <c r="T406" s="52"/>
      <c r="U406" s="52"/>
      <c r="V406" s="52"/>
      <c r="W406" s="52"/>
      <c r="X406" s="52"/>
      <c r="Y406" s="52"/>
      <c r="Z406" s="52"/>
      <c r="AA406" s="52"/>
      <c r="AB406" s="52"/>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row>
    <row r="407" spans="1:50">
      <c r="A407" s="1509"/>
      <c r="B407" s="3659" t="s">
        <v>1025</v>
      </c>
      <c r="C407" s="705">
        <v>2150063</v>
      </c>
      <c r="D407" s="601" t="s">
        <v>1031</v>
      </c>
      <c r="E407" s="474">
        <f>IFERROR(VLOOKUP(C407,'פקודות נוספות'!$D$274:$F$797,3,0),0)</f>
        <v>-236639.18</v>
      </c>
      <c r="F407" s="49">
        <f>SUMIF('פקודות נוספות'!C:C,C:C,'פקודות נוספות'!E:E)</f>
        <v>0</v>
      </c>
      <c r="J407" s="474">
        <f t="shared" si="97"/>
        <v>-236639.18</v>
      </c>
      <c r="K407" s="474">
        <f>M407+SUMIF('פקודות נוספות'!C:C,'מאזן בוחן'!C407,'פקודות נוספות'!F:F)</f>
        <v>-76089.77</v>
      </c>
      <c r="L407" s="439"/>
      <c r="M407" s="474">
        <f>IFERROR(VLOOKUP(C407,'פקודות נוספות'!$D$273:$G$797,4,0),0)</f>
        <v>-76089.77</v>
      </c>
      <c r="N407" s="1104">
        <f t="shared" si="96"/>
        <v>3.1099999382308554</v>
      </c>
      <c r="O407" s="1116"/>
      <c r="P407" s="52"/>
      <c r="Q407" s="52"/>
      <c r="R407" s="52"/>
      <c r="S407" s="52"/>
      <c r="T407" s="52"/>
      <c r="U407" s="52"/>
      <c r="V407" s="52"/>
      <c r="W407" s="52"/>
      <c r="X407" s="52"/>
      <c r="Y407" s="52"/>
      <c r="Z407" s="52"/>
      <c r="AA407" s="52"/>
      <c r="AB407" s="52"/>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row>
    <row r="408" spans="1:50">
      <c r="A408" s="1509"/>
      <c r="B408" s="3659" t="s">
        <v>1025</v>
      </c>
      <c r="C408" s="705">
        <v>2100453</v>
      </c>
      <c r="D408" s="601" t="s">
        <v>1719</v>
      </c>
      <c r="E408" s="474">
        <f>IFERROR(VLOOKUP(C408,'פקודות נוספות'!$D$274:$F$797,3,0),0)</f>
        <v>-119325</v>
      </c>
      <c r="F408" s="49">
        <f>SUMIF('פקודות נוספות'!C:C,C:C,'פקודות נוספות'!E:E)</f>
        <v>0</v>
      </c>
      <c r="J408" s="474">
        <f t="shared" si="97"/>
        <v>-119325</v>
      </c>
      <c r="K408" s="474">
        <f>M408+SUMIF('פקודות נוספות'!C:C,'מאזן בוחן'!C408,'פקודות נוספות'!F:F)</f>
        <v>-38368.17</v>
      </c>
      <c r="L408" s="439"/>
      <c r="M408" s="474">
        <f>IFERROR(VLOOKUP(C408,'פקודות נוספות'!$D$273:$G$797,4,0),0)</f>
        <v>-38368.17</v>
      </c>
      <c r="N408" s="1104">
        <f t="shared" si="96"/>
        <v>3.1099997732495455</v>
      </c>
      <c r="O408" s="1116"/>
      <c r="P408" s="52"/>
      <c r="Q408" s="52"/>
      <c r="R408" s="52"/>
      <c r="S408" s="52"/>
      <c r="T408" s="52"/>
      <c r="U408" s="52"/>
      <c r="V408" s="52"/>
      <c r="W408" s="52"/>
      <c r="X408" s="52"/>
      <c r="Y408" s="52"/>
      <c r="Z408" s="52"/>
      <c r="AA408" s="52"/>
      <c r="AB408" s="52"/>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row>
    <row r="409" spans="1:50">
      <c r="A409" s="1509"/>
      <c r="B409" s="3659" t="s">
        <v>1025</v>
      </c>
      <c r="C409" s="705">
        <v>2150086</v>
      </c>
      <c r="D409" s="601" t="s">
        <v>2043</v>
      </c>
      <c r="E409" s="474">
        <f>IFERROR(VLOOKUP(C409,'פקודות נוספות'!$D$274:$F$797,3,0),0)</f>
        <v>0</v>
      </c>
      <c r="F409" s="49">
        <f>SUMIF('פקודות נוספות'!C:C,C:C,'פקודות נוספות'!E:E)</f>
        <v>0</v>
      </c>
      <c r="J409" s="474">
        <f t="shared" si="97"/>
        <v>0</v>
      </c>
      <c r="K409" s="474">
        <f>M409+SUMIF('פקודות נוספות'!C:C,'מאזן בוחן'!C409,'פקודות נוספות'!F:F)</f>
        <v>0</v>
      </c>
      <c r="L409" s="439"/>
      <c r="M409" s="474">
        <f>IFERROR(VLOOKUP(C409,'פקודות נוספות'!$D$273:$G$797,4,0),0)</f>
        <v>0</v>
      </c>
      <c r="N409" s="1104" t="str">
        <f t="shared" si="96"/>
        <v>-</v>
      </c>
      <c r="O409" s="1116"/>
      <c r="P409" s="52"/>
      <c r="Q409" s="52"/>
      <c r="R409" s="52"/>
      <c r="S409" s="52"/>
      <c r="T409" s="52"/>
      <c r="U409" s="52"/>
      <c r="V409" s="52"/>
      <c r="W409" s="52"/>
      <c r="X409" s="52"/>
      <c r="Y409" s="52"/>
      <c r="Z409" s="52"/>
      <c r="AA409" s="52"/>
      <c r="AB409" s="52"/>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row>
    <row r="410" spans="1:50">
      <c r="A410" s="1509"/>
      <c r="B410" s="3659" t="s">
        <v>1025</v>
      </c>
      <c r="C410" s="705">
        <v>2100462</v>
      </c>
      <c r="D410" s="601" t="s">
        <v>349</v>
      </c>
      <c r="E410" s="474">
        <f>IFERROR(VLOOKUP(C410,'פקודות נוספות'!$D$274:$F$797,3,0),0)</f>
        <v>-2012</v>
      </c>
      <c r="F410" s="49">
        <f>SUMIF('פקודות נוספות'!C:C,C:C,'פקודות נוספות'!E:E)</f>
        <v>0</v>
      </c>
      <c r="J410" s="474">
        <f t="shared" si="97"/>
        <v>-2012</v>
      </c>
      <c r="K410" s="474">
        <f>M410+SUMIF('פקודות נוספות'!C:C,'מאזן בוחן'!C410,'פקודות נוספות'!F:F)</f>
        <v>-646.95000000000005</v>
      </c>
      <c r="L410" s="439"/>
      <c r="M410" s="474">
        <f>IFERROR(VLOOKUP(C410,'פקודות נוספות'!$D$273:$G$797,4,0),0)</f>
        <v>-646.95000000000005</v>
      </c>
      <c r="N410" s="1104">
        <f t="shared" si="96"/>
        <v>3.1099775871396549</v>
      </c>
      <c r="O410" s="1116"/>
      <c r="P410" s="52"/>
      <c r="Q410" s="52"/>
      <c r="R410" s="52"/>
      <c r="S410" s="52"/>
      <c r="T410" s="52"/>
      <c r="U410" s="52"/>
      <c r="V410" s="52"/>
      <c r="W410" s="52"/>
      <c r="X410" s="52"/>
      <c r="Y410" s="52"/>
      <c r="Z410" s="52"/>
      <c r="AA410" s="52"/>
      <c r="AB410" s="52"/>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row>
    <row r="411" spans="1:50">
      <c r="A411" s="1509"/>
      <c r="B411" s="3659" t="s">
        <v>1025</v>
      </c>
      <c r="C411" s="705">
        <v>2170230</v>
      </c>
      <c r="D411" s="601" t="s">
        <v>2112</v>
      </c>
      <c r="E411" s="474">
        <f>IFERROR(VLOOKUP(C411,'פקודות נוספות'!$D$274:$F$797,3,0),0)</f>
        <v>0</v>
      </c>
      <c r="F411" s="49">
        <f>SUMIF('פקודות נוספות'!C:C,C:C,'פקודות נוספות'!E:E)</f>
        <v>0</v>
      </c>
      <c r="J411" s="474">
        <f t="shared" si="97"/>
        <v>0</v>
      </c>
      <c r="K411" s="474">
        <f>M411+SUMIF('פקודות נוספות'!C:C,'מאזן בוחן'!C411,'פקודות נוספות'!F:F)</f>
        <v>0</v>
      </c>
      <c r="L411" s="439"/>
      <c r="M411" s="474">
        <f>IFERROR(VLOOKUP(C411,'פקודות נוספות'!$D$273:$G$797,4,0),0)</f>
        <v>0</v>
      </c>
      <c r="N411" s="1104" t="str">
        <f t="shared" si="96"/>
        <v>-</v>
      </c>
      <c r="O411" s="1116"/>
      <c r="P411" s="52"/>
      <c r="Q411" s="52"/>
      <c r="R411" s="52"/>
      <c r="S411" s="52"/>
      <c r="T411" s="52"/>
      <c r="U411" s="52"/>
      <c r="V411" s="52"/>
      <c r="W411" s="52"/>
      <c r="X411" s="52"/>
      <c r="Y411" s="52"/>
      <c r="Z411" s="52"/>
      <c r="AA411" s="52"/>
      <c r="AB411" s="52"/>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row>
    <row r="412" spans="1:50">
      <c r="A412" s="1509"/>
      <c r="B412" s="3659" t="s">
        <v>1025</v>
      </c>
      <c r="C412" s="705">
        <v>2100486</v>
      </c>
      <c r="D412" s="601" t="s">
        <v>437</v>
      </c>
      <c r="E412" s="474">
        <f>IFERROR(VLOOKUP(C412,'פקודות נוספות'!$D$274:$F$797,3,0),0)</f>
        <v>0</v>
      </c>
      <c r="F412" s="49">
        <f>SUMIF('פקודות נוספות'!C:C,C:C,'פקודות נוספות'!E:E)</f>
        <v>0</v>
      </c>
      <c r="J412" s="474">
        <f t="shared" si="97"/>
        <v>0</v>
      </c>
      <c r="K412" s="474">
        <f>M412+SUMIF('פקודות נוספות'!C:C,'מאזן בוחן'!C412,'פקודות נוספות'!F:F)</f>
        <v>0</v>
      </c>
      <c r="L412" s="439"/>
      <c r="M412" s="474">
        <f>IFERROR(VLOOKUP(C412,'פקודות נוספות'!$D$273:$G$797,4,0),0)</f>
        <v>0</v>
      </c>
      <c r="N412" s="1104" t="str">
        <f t="shared" si="96"/>
        <v>-</v>
      </c>
      <c r="O412" s="2449"/>
      <c r="P412" s="52"/>
      <c r="Q412" s="52"/>
      <c r="R412" s="52"/>
      <c r="S412" s="52"/>
      <c r="T412" s="52"/>
      <c r="U412" s="52"/>
      <c r="V412" s="52"/>
      <c r="W412" s="52"/>
      <c r="X412" s="52"/>
      <c r="Y412" s="52"/>
      <c r="Z412" s="52"/>
      <c r="AA412" s="52"/>
      <c r="AB412" s="52"/>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row>
    <row r="413" spans="1:50">
      <c r="A413" s="1509"/>
      <c r="B413" s="3659" t="s">
        <v>1025</v>
      </c>
      <c r="C413" s="705">
        <v>2170304</v>
      </c>
      <c r="D413" s="601" t="s">
        <v>2113</v>
      </c>
      <c r="E413" s="474">
        <f>IFERROR(VLOOKUP(C413,'פקודות נוספות'!$D$274:$F$797,3,0),0)</f>
        <v>0</v>
      </c>
      <c r="F413" s="49">
        <f>SUMIF('פקודות נוספות'!C:C,C:C,'פקודות נוספות'!E:E)</f>
        <v>0</v>
      </c>
      <c r="J413" s="474">
        <f t="shared" si="97"/>
        <v>0</v>
      </c>
      <c r="K413" s="474">
        <f>M413+SUMIF('פקודות נוספות'!C:C,'מאזן בוחן'!C413,'פקודות נוספות'!F:F)</f>
        <v>0</v>
      </c>
      <c r="L413" s="439"/>
      <c r="M413" s="474">
        <f>IFERROR(VLOOKUP(C413,'פקודות נוספות'!$D$273:$G$797,4,0),0)</f>
        <v>0</v>
      </c>
      <c r="N413" s="1104" t="str">
        <f t="shared" si="96"/>
        <v>-</v>
      </c>
      <c r="O413" s="1116"/>
      <c r="P413" s="52"/>
      <c r="Q413" s="52"/>
      <c r="R413" s="52"/>
      <c r="S413" s="52"/>
      <c r="T413" s="52"/>
      <c r="U413" s="52"/>
      <c r="V413" s="52"/>
      <c r="W413" s="52"/>
      <c r="X413" s="52"/>
      <c r="Y413" s="52"/>
      <c r="Z413" s="52"/>
      <c r="AA413" s="52"/>
      <c r="AB413" s="52"/>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row>
    <row r="414" spans="1:50">
      <c r="A414" s="1509"/>
      <c r="B414" s="3659" t="s">
        <v>1025</v>
      </c>
      <c r="C414" s="705">
        <v>2100325</v>
      </c>
      <c r="D414" s="601" t="s">
        <v>1029</v>
      </c>
      <c r="E414" s="474">
        <f>IFERROR(VLOOKUP(C414,'פקודות נוספות'!$D$274:$F$797,3,0),0)</f>
        <v>0</v>
      </c>
      <c r="F414" s="49">
        <f>SUMIF('פקודות נוספות'!C:C,C:C,'פקודות נוספות'!E:E)</f>
        <v>0</v>
      </c>
      <c r="J414" s="474">
        <f t="shared" si="97"/>
        <v>0</v>
      </c>
      <c r="K414" s="474">
        <f>M414+SUMIF('פקודות נוספות'!C:C,'מאזן בוחן'!C414,'פקודות נוספות'!F:F)</f>
        <v>0</v>
      </c>
      <c r="L414" s="439"/>
      <c r="M414" s="474">
        <f>IFERROR(VLOOKUP(C414,'פקודות נוספות'!$D$273:$G$797,4,0),0)</f>
        <v>0</v>
      </c>
      <c r="N414" s="1104" t="str">
        <f t="shared" si="96"/>
        <v>-</v>
      </c>
      <c r="O414" s="1116"/>
      <c r="P414" s="52"/>
      <c r="Q414" s="52"/>
      <c r="R414" s="52"/>
      <c r="S414" s="52"/>
      <c r="T414" s="52"/>
      <c r="U414" s="52"/>
      <c r="V414" s="52"/>
      <c r="W414" s="52"/>
      <c r="X414" s="52"/>
      <c r="Y414" s="52"/>
      <c r="Z414" s="52"/>
      <c r="AA414" s="52"/>
      <c r="AB414" s="52"/>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row>
    <row r="415" spans="1:50">
      <c r="A415" s="1509"/>
      <c r="B415" s="3659" t="s">
        <v>1025</v>
      </c>
      <c r="C415" s="705">
        <v>2100022</v>
      </c>
      <c r="D415" s="601" t="s">
        <v>2054</v>
      </c>
      <c r="E415" s="474">
        <f>IFERROR(VLOOKUP(C415,'פקודות נוספות'!$D$274:$F$797,3,0),0)</f>
        <v>-1426</v>
      </c>
      <c r="F415" s="49">
        <f>SUMIF('פקודות נוספות'!C:C,C:C,'פקודות נוספות'!E:E)</f>
        <v>0</v>
      </c>
      <c r="J415" s="474">
        <f t="shared" si="97"/>
        <v>-1426</v>
      </c>
      <c r="K415" s="474">
        <f>M415+SUMIF('פקודות נוספות'!C:C,'מאזן בוחן'!C415,'פקודות נוספות'!F:F)</f>
        <v>-458.52</v>
      </c>
      <c r="L415" s="439"/>
      <c r="M415" s="474">
        <f>IFERROR(VLOOKUP(C415,'פקודות נוספות'!$D$273:$G$797,4,0),0)</f>
        <v>-458.52</v>
      </c>
      <c r="N415" s="1104">
        <f>IF(K415=0,"-",J415/K415)</f>
        <v>3.1100061066038558</v>
      </c>
      <c r="O415" s="1116"/>
      <c r="P415" s="52"/>
      <c r="Q415" s="52"/>
      <c r="R415" s="52"/>
      <c r="S415" s="52"/>
      <c r="T415" s="52"/>
      <c r="U415" s="52"/>
      <c r="V415" s="52"/>
      <c r="W415" s="52"/>
      <c r="X415" s="52"/>
      <c r="Y415" s="52"/>
      <c r="Z415" s="52"/>
      <c r="AA415" s="52"/>
      <c r="AB415" s="52"/>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row>
    <row r="416" spans="1:50">
      <c r="A416" s="1509"/>
      <c r="B416" s="3659" t="s">
        <v>1025</v>
      </c>
      <c r="C416" s="705">
        <v>2170311</v>
      </c>
      <c r="D416" s="601" t="s">
        <v>2114</v>
      </c>
      <c r="E416" s="474">
        <f>IFERROR(VLOOKUP(C416,'פקודות נוספות'!$D$274:$F$797,3,0),0)</f>
        <v>0</v>
      </c>
      <c r="F416" s="49">
        <f>SUMIF('פקודות נוספות'!C:C,C:C,'פקודות נוספות'!E:E)</f>
        <v>0</v>
      </c>
      <c r="J416" s="474">
        <f t="shared" si="97"/>
        <v>0</v>
      </c>
      <c r="K416" s="474">
        <f>M416+SUMIF('פקודות נוספות'!C:C,'מאזן בוחן'!C416,'פקודות נוספות'!F:F)</f>
        <v>0</v>
      </c>
      <c r="L416" s="439"/>
      <c r="M416" s="474">
        <f>IFERROR(VLOOKUP(C416,'פקודות נוספות'!$D$273:$G$797,4,0),0)</f>
        <v>0</v>
      </c>
      <c r="N416" s="1104" t="str">
        <f>IF(K416=0,"-",J416/K416)</f>
        <v>-</v>
      </c>
      <c r="O416" s="1116"/>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row>
    <row r="417" spans="1:50">
      <c r="A417" s="1509"/>
      <c r="B417" s="3659" t="s">
        <v>1025</v>
      </c>
      <c r="C417" s="705">
        <v>2100528</v>
      </c>
      <c r="D417" s="601" t="s">
        <v>1030</v>
      </c>
      <c r="E417" s="474">
        <f>IFERROR(VLOOKUP(C417,'פקודות נוספות'!$D$274:$F$797,3,0),0)</f>
        <v>-30307</v>
      </c>
      <c r="F417" s="49">
        <f>SUMIF('פקודות נוספות'!C:C,C:C,'פקודות נוספות'!E:E)</f>
        <v>0</v>
      </c>
      <c r="J417" s="474">
        <f t="shared" si="97"/>
        <v>-30307</v>
      </c>
      <c r="K417" s="474">
        <f>M417+SUMIF('פקודות נוספות'!C:C,'מאזן בוחן'!C417,'פקודות נוספות'!F:F)</f>
        <v>-9745.02</v>
      </c>
      <c r="L417" s="439"/>
      <c r="M417" s="474">
        <f>IFERROR(VLOOKUP(C417,'פקודות נוספות'!$D$273:$G$797,4,0),0)</f>
        <v>-9745.02</v>
      </c>
      <c r="N417" s="1104">
        <f>IF(K417=0,"-",J417/K417)</f>
        <v>3.1099987480785054</v>
      </c>
      <c r="O417" s="1116"/>
      <c r="P417" s="52"/>
      <c r="Q417" s="52"/>
      <c r="R417" s="52"/>
      <c r="S417" s="52"/>
      <c r="T417" s="52"/>
      <c r="U417" s="52"/>
      <c r="V417" s="52"/>
      <c r="W417" s="52"/>
      <c r="X417" s="52"/>
      <c r="Y417" s="52"/>
      <c r="Z417" s="52"/>
      <c r="AA417" s="52"/>
      <c r="AB417" s="52"/>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row>
    <row r="418" spans="1:50">
      <c r="A418" s="1509"/>
      <c r="B418" s="3659" t="s">
        <v>1025</v>
      </c>
      <c r="C418" s="705">
        <v>2100242</v>
      </c>
      <c r="D418" s="601" t="s">
        <v>2613</v>
      </c>
      <c r="E418" s="474">
        <f>IFERROR(VLOOKUP(C418,'פקודות נוספות'!$D$274:$F$797,3,0),0)</f>
        <v>0</v>
      </c>
      <c r="F418" s="49">
        <f>SUMIF('פקודות נוספות'!C:C,C:C,'פקודות נוספות'!E:E)</f>
        <v>0</v>
      </c>
      <c r="J418" s="474">
        <f t="shared" si="97"/>
        <v>0</v>
      </c>
      <c r="K418" s="474">
        <f>M418+SUMIF('פקודות נוספות'!C:C,'מאזן בוחן'!C418,'פקודות נוספות'!F:F)</f>
        <v>0</v>
      </c>
      <c r="L418" s="439"/>
      <c r="M418" s="474">
        <f>IFERROR(VLOOKUP(C418,'פקודות נוספות'!$D$273:$G$797,4,0),0)</f>
        <v>0</v>
      </c>
      <c r="N418" s="1104" t="str">
        <f t="shared" si="96"/>
        <v>-</v>
      </c>
      <c r="O418" s="1116"/>
      <c r="P418" s="52"/>
      <c r="Q418" s="52"/>
      <c r="R418" s="52"/>
      <c r="S418" s="52"/>
      <c r="T418" s="52"/>
      <c r="U418" s="52"/>
      <c r="V418" s="52"/>
      <c r="W418" s="52"/>
      <c r="X418" s="52"/>
      <c r="Y418" s="52"/>
      <c r="Z418" s="52"/>
      <c r="AA418" s="52"/>
      <c r="AB418" s="52"/>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row>
    <row r="419" spans="1:50">
      <c r="A419" s="1509"/>
      <c r="B419" s="3659" t="s">
        <v>1025</v>
      </c>
      <c r="C419" s="705">
        <v>2170344</v>
      </c>
      <c r="D419" s="601" t="s">
        <v>1986</v>
      </c>
      <c r="E419" s="474">
        <f>IFERROR(VLOOKUP(C419,'פקודות נוספות'!$D$274:$F$797,3,0),0)</f>
        <v>0</v>
      </c>
      <c r="F419" s="49">
        <f>SUMIF('פקודות נוספות'!C:C,C:C,'פקודות נוספות'!E:E)</f>
        <v>0</v>
      </c>
      <c r="J419" s="474">
        <f t="shared" si="97"/>
        <v>0</v>
      </c>
      <c r="K419" s="474">
        <f>M419+SUMIF('פקודות נוספות'!C:C,'מאזן בוחן'!C419,'פקודות נוספות'!F:F)</f>
        <v>0</v>
      </c>
      <c r="L419" s="439"/>
      <c r="M419" s="474">
        <f>IFERROR(VLOOKUP(C419,'פקודות נוספות'!$D$273:$G$797,4,0),0)</f>
        <v>0</v>
      </c>
      <c r="N419" s="1104" t="str">
        <f t="shared" si="96"/>
        <v>-</v>
      </c>
      <c r="O419" s="1116"/>
      <c r="P419" s="52"/>
      <c r="Q419" s="52"/>
      <c r="R419" s="52"/>
      <c r="S419" s="52"/>
      <c r="T419" s="52"/>
      <c r="U419" s="52"/>
      <c r="V419" s="52"/>
      <c r="W419" s="52"/>
      <c r="X419" s="52"/>
      <c r="Y419" s="52"/>
      <c r="Z419" s="52"/>
      <c r="AA419" s="52"/>
      <c r="AB419" s="52"/>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row>
    <row r="420" spans="1:50">
      <c r="A420" s="1509"/>
      <c r="B420" s="3659" t="s">
        <v>1025</v>
      </c>
      <c r="C420" s="705">
        <v>2100255</v>
      </c>
      <c r="D420" s="601" t="s">
        <v>1718</v>
      </c>
      <c r="E420" s="474">
        <f>IFERROR(VLOOKUP(C420,'פקודות נוספות'!$D$274:$F$797,3,0),0)</f>
        <v>-211</v>
      </c>
      <c r="F420" s="49">
        <f>SUMIF('פקודות נוספות'!C:C,C:C,'פקודות נוספות'!E:E)</f>
        <v>0</v>
      </c>
      <c r="J420" s="474">
        <f t="shared" si="97"/>
        <v>-211</v>
      </c>
      <c r="K420" s="474">
        <f>M420+SUMIF('פקודות נוספות'!C:C,'מאזן בוחן'!C420,'פקודות נוספות'!F:F)</f>
        <v>-67.849999999999994</v>
      </c>
      <c r="L420" s="439"/>
      <c r="M420" s="474">
        <f>IFERROR(VLOOKUP(C420,'פקודות נוספות'!$D$273:$G$797,4,0),0)</f>
        <v>-67.849999999999994</v>
      </c>
      <c r="N420" s="1104">
        <f t="shared" si="96"/>
        <v>3.1098010316875464</v>
      </c>
      <c r="O420" s="1116"/>
      <c r="P420" s="52"/>
      <c r="Q420" s="52"/>
      <c r="R420" s="52"/>
      <c r="S420" s="52"/>
      <c r="T420" s="52"/>
      <c r="U420" s="52"/>
      <c r="V420" s="52"/>
      <c r="W420" s="52"/>
      <c r="X420" s="52"/>
      <c r="Y420" s="52"/>
      <c r="Z420" s="52"/>
      <c r="AA420" s="52"/>
      <c r="AB420" s="52"/>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row>
    <row r="421" spans="1:50">
      <c r="A421" s="1509"/>
      <c r="B421" s="3659" t="s">
        <v>1025</v>
      </c>
      <c r="C421" s="705">
        <v>2170424</v>
      </c>
      <c r="D421" s="601" t="s">
        <v>3981</v>
      </c>
      <c r="E421" s="474">
        <f>IFERROR(VLOOKUP(C421,'פקודות נוספות'!$D$274:$F$797,3,0),0)</f>
        <v>-1839.7</v>
      </c>
      <c r="F421" s="49">
        <f>SUMIF('פקודות נוספות'!C:C,C:C,'פקודות נוספות'!E:E)</f>
        <v>0</v>
      </c>
      <c r="J421" s="474">
        <f t="shared" si="97"/>
        <v>-1839.7</v>
      </c>
      <c r="K421" s="474">
        <f>M421+SUMIF('פקודות נוספות'!C:C,'מאזן בוחן'!C421,'פקודות נוספות'!F:F)</f>
        <v>-591.54</v>
      </c>
      <c r="L421" s="439"/>
      <c r="M421" s="474">
        <f>IFERROR(VLOOKUP(C421,'פקודות נוספות'!$D$273:$G$797,4,0),0)</f>
        <v>-591.54</v>
      </c>
      <c r="N421" s="1104">
        <f t="shared" si="96"/>
        <v>3.1100179193292088</v>
      </c>
      <c r="O421" s="1116"/>
      <c r="P421" s="52"/>
      <c r="Q421" s="52"/>
      <c r="R421" s="52"/>
      <c r="S421" s="52"/>
      <c r="T421" s="52"/>
      <c r="U421" s="52"/>
      <c r="V421" s="52"/>
      <c r="W421" s="52"/>
      <c r="X421" s="52"/>
      <c r="Y421" s="52"/>
      <c r="Z421" s="52"/>
      <c r="AA421" s="52"/>
      <c r="AB421" s="52"/>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row>
    <row r="422" spans="1:50">
      <c r="A422" s="1509"/>
      <c r="B422" s="3659" t="s">
        <v>1025</v>
      </c>
      <c r="C422" s="705">
        <v>2170435</v>
      </c>
      <c r="D422" s="601" t="s">
        <v>3982</v>
      </c>
      <c r="E422" s="474">
        <f>IFERROR(VLOOKUP(C422,'פקודות נוספות'!$D$274:$F$797,3,0),0)</f>
        <v>0</v>
      </c>
      <c r="F422" s="49">
        <f>SUMIF('פקודות נוספות'!C:C,C:C,'פקודות נוספות'!E:E)</f>
        <v>0</v>
      </c>
      <c r="J422" s="474">
        <f t="shared" si="97"/>
        <v>0</v>
      </c>
      <c r="K422" s="474">
        <f>M422+SUMIF('פקודות נוספות'!C:C,'מאזן בוחן'!C422,'פקודות נוספות'!F:F)</f>
        <v>0</v>
      </c>
      <c r="L422" s="439"/>
      <c r="M422" s="474">
        <f>IFERROR(VLOOKUP(C422,'פקודות נוספות'!$D$273:$G$797,4,0),0)</f>
        <v>0</v>
      </c>
      <c r="N422" s="1104" t="str">
        <f t="shared" si="96"/>
        <v>-</v>
      </c>
      <c r="O422" s="1116"/>
      <c r="P422" s="52"/>
      <c r="Q422" s="52"/>
      <c r="R422" s="52"/>
      <c r="S422" s="52"/>
      <c r="T422" s="52"/>
      <c r="U422" s="52"/>
      <c r="V422" s="52"/>
      <c r="W422" s="52"/>
      <c r="X422" s="52"/>
      <c r="Y422" s="52"/>
      <c r="Z422" s="52"/>
      <c r="AA422" s="52"/>
      <c r="AB422" s="52"/>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row>
    <row r="423" spans="1:50">
      <c r="A423" s="1509"/>
      <c r="B423" s="3659" t="s">
        <v>1032</v>
      </c>
      <c r="C423" s="705">
        <v>2120244</v>
      </c>
      <c r="D423" s="601" t="s">
        <v>3983</v>
      </c>
      <c r="E423" s="474">
        <f>IFERROR(VLOOKUP(C423,'פקודות נוספות'!$D$274:$F$797,3,0),0)</f>
        <v>-47579.23</v>
      </c>
      <c r="F423" s="49">
        <f>SUMIF('פקודות נוספות'!C:C,C:C,'פקודות נוספות'!E:E)</f>
        <v>0</v>
      </c>
      <c r="J423" s="474">
        <f t="shared" si="97"/>
        <v>-47579.23</v>
      </c>
      <c r="K423" s="474">
        <f>M423+SUMIF('פקודות נוספות'!C:C,'מאזן בוחן'!C423,'פקודות נוספות'!F:F)</f>
        <v>-15298.79</v>
      </c>
      <c r="L423" s="439"/>
      <c r="M423" s="474">
        <f>IFERROR(VLOOKUP(C423,'פקודות נוספות'!$D$273:$G$797,4,0),0)</f>
        <v>-15298.79</v>
      </c>
      <c r="N423" s="1104">
        <f>IF(K423=0,"-",J423/K423)</f>
        <v>3.1099995489839394</v>
      </c>
      <c r="O423" s="1116"/>
      <c r="P423" s="52"/>
      <c r="Q423" s="52"/>
      <c r="R423" s="52"/>
      <c r="S423" s="52"/>
      <c r="T423" s="52"/>
      <c r="U423" s="52"/>
      <c r="V423" s="52"/>
      <c r="W423" s="52"/>
      <c r="X423" s="52"/>
      <c r="Y423" s="52"/>
      <c r="Z423" s="52"/>
      <c r="AA423" s="52"/>
      <c r="AB423" s="52"/>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row>
    <row r="424" spans="1:50">
      <c r="A424" s="1509"/>
      <c r="B424" s="3659" t="s">
        <v>1025</v>
      </c>
      <c r="C424" s="705">
        <v>2170326</v>
      </c>
      <c r="D424" s="601" t="s">
        <v>2190</v>
      </c>
      <c r="E424" s="474">
        <f>IFERROR(VLOOKUP(C424,'פקודות נוספות'!$D$274:$F$797,3,0),0)</f>
        <v>0</v>
      </c>
      <c r="F424" s="49">
        <f>SUMIF('פקודות נוספות'!C:C,C:C,'פקודות נוספות'!E:E)</f>
        <v>0</v>
      </c>
      <c r="J424" s="474">
        <f t="shared" si="97"/>
        <v>0</v>
      </c>
      <c r="K424" s="474">
        <f>M424+SUMIF('פקודות נוספות'!C:C,'מאזן בוחן'!C424,'פקודות נוספות'!F:F)</f>
        <v>0</v>
      </c>
      <c r="L424" s="439"/>
      <c r="M424" s="474">
        <f>IFERROR(VLOOKUP(C424,'פקודות נוספות'!$D$273:$G$797,4,0),0)</f>
        <v>0</v>
      </c>
      <c r="N424" s="1104" t="str">
        <f t="shared" si="96"/>
        <v>-</v>
      </c>
      <c r="O424" s="1116"/>
      <c r="P424" s="52"/>
      <c r="Q424" s="52"/>
      <c r="R424" s="52"/>
      <c r="S424" s="52"/>
      <c r="T424" s="52"/>
      <c r="U424" s="52"/>
      <c r="V424" s="52"/>
      <c r="W424" s="52"/>
      <c r="X424" s="52"/>
      <c r="Y424" s="52"/>
      <c r="Z424" s="52"/>
      <c r="AA424" s="52"/>
      <c r="AB424" s="52"/>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row>
    <row r="425" spans="1:50">
      <c r="A425" s="1509"/>
      <c r="B425" s="3659" t="s">
        <v>1025</v>
      </c>
      <c r="C425" s="705">
        <v>2150064</v>
      </c>
      <c r="D425" s="601" t="s">
        <v>2023</v>
      </c>
      <c r="E425" s="474">
        <f>IFERROR(VLOOKUP(C425,'פקודות נוספות'!$D$274:$F$797,3,0),0)</f>
        <v>-67567.5</v>
      </c>
      <c r="F425" s="49">
        <f>SUMIF('פקודות נוספות'!C:C,C:C,'פקודות נוספות'!E:E)</f>
        <v>0</v>
      </c>
      <c r="J425" s="474">
        <f t="shared" si="97"/>
        <v>-67567.5</v>
      </c>
      <c r="K425" s="474">
        <f>M425+SUMIF('פקודות נוספות'!C:C,'מאזן בוחן'!C425,'פקודות נוספות'!F:F)</f>
        <v>-21725.88</v>
      </c>
      <c r="L425" s="439"/>
      <c r="M425" s="474">
        <f>IFERROR(VLOOKUP(C425,'פקודות נוספות'!$D$273:$G$797,4,0),0)</f>
        <v>-21725.88</v>
      </c>
      <c r="N425" s="1104">
        <f t="shared" si="96"/>
        <v>3.1100006075703259</v>
      </c>
      <c r="O425" s="1116"/>
      <c r="P425" s="52"/>
      <c r="Q425" s="52"/>
      <c r="R425" s="52"/>
      <c r="S425" s="52"/>
      <c r="T425" s="52"/>
      <c r="U425" s="52"/>
      <c r="V425" s="52"/>
      <c r="W425" s="52"/>
      <c r="X425" s="52"/>
      <c r="Y425" s="52"/>
      <c r="Z425" s="52"/>
      <c r="AA425" s="52"/>
      <c r="AB425" s="52"/>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row>
    <row r="426" spans="1:50">
      <c r="A426" s="1509"/>
      <c r="B426" s="3659" t="s">
        <v>1025</v>
      </c>
      <c r="C426" s="705">
        <v>2170346</v>
      </c>
      <c r="D426" s="601" t="s">
        <v>2158</v>
      </c>
      <c r="E426" s="474">
        <f>IFERROR(VLOOKUP(C426,'פקודות נוספות'!$D$274:$F$797,3,0),0)</f>
        <v>0</v>
      </c>
      <c r="F426" s="49">
        <f>SUMIF('פקודות נוספות'!C:C,C:C,'פקודות נוספות'!E:E)</f>
        <v>0</v>
      </c>
      <c r="J426" s="474">
        <f t="shared" si="97"/>
        <v>0</v>
      </c>
      <c r="K426" s="474">
        <f>M426+SUMIF('פקודות נוספות'!C:C,'מאזן בוחן'!C426,'פקודות נוספות'!F:F)</f>
        <v>0</v>
      </c>
      <c r="L426" s="439"/>
      <c r="M426" s="474">
        <f>IFERROR(VLOOKUP(C426,'פקודות נוספות'!$D$273:$G$797,4,0),0)</f>
        <v>0</v>
      </c>
      <c r="N426" s="1104" t="str">
        <f t="shared" si="96"/>
        <v>-</v>
      </c>
      <c r="O426" s="1116"/>
      <c r="P426" s="52"/>
      <c r="Q426" s="52"/>
      <c r="R426" s="52"/>
      <c r="S426" s="52"/>
      <c r="T426" s="52"/>
      <c r="U426" s="52"/>
      <c r="V426" s="52"/>
      <c r="W426" s="52"/>
      <c r="X426" s="52"/>
      <c r="Y426" s="52"/>
      <c r="Z426" s="52"/>
      <c r="AA426" s="52"/>
      <c r="AB426" s="52"/>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row>
    <row r="427" spans="1:50">
      <c r="A427" s="1509"/>
      <c r="B427" s="3659" t="s">
        <v>1025</v>
      </c>
      <c r="C427" s="705">
        <v>2100567</v>
      </c>
      <c r="D427" s="601" t="s">
        <v>2109</v>
      </c>
      <c r="E427" s="474">
        <f>IFERROR(VLOOKUP(C427,'פקודות נוספות'!$D$274:$F$797,3,0),0)</f>
        <v>0</v>
      </c>
      <c r="F427" s="49">
        <f>SUMIF('פקודות נוספות'!C:C,C:C,'פקודות נוספות'!E:E)</f>
        <v>0</v>
      </c>
      <c r="J427" s="474">
        <f t="shared" si="97"/>
        <v>0</v>
      </c>
      <c r="K427" s="474">
        <f>M427+SUMIF('פקודות נוספות'!C:C,'מאזן בוחן'!C427,'פקודות נוספות'!F:F)</f>
        <v>0</v>
      </c>
      <c r="L427" s="439"/>
      <c r="M427" s="474">
        <f>IFERROR(VLOOKUP(C427,'פקודות נוספות'!$D$273:$G$797,4,0),0)</f>
        <v>0</v>
      </c>
      <c r="N427" s="1104" t="str">
        <f t="shared" si="96"/>
        <v>-</v>
      </c>
      <c r="O427" s="1116"/>
      <c r="P427" s="52"/>
      <c r="Q427" s="52"/>
      <c r="R427" s="52"/>
      <c r="S427" s="52"/>
      <c r="T427" s="52"/>
      <c r="U427" s="52"/>
      <c r="V427" s="52"/>
      <c r="W427" s="52"/>
      <c r="X427" s="52"/>
      <c r="Y427" s="52"/>
      <c r="Z427" s="52"/>
      <c r="AA427" s="52"/>
      <c r="AB427" s="52"/>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row>
    <row r="428" spans="1:50">
      <c r="A428" s="1509"/>
      <c r="B428" s="3659" t="s">
        <v>1025</v>
      </c>
      <c r="C428" s="705">
        <v>2150106</v>
      </c>
      <c r="D428" s="601" t="s">
        <v>1485</v>
      </c>
      <c r="E428" s="474">
        <f>IFERROR(VLOOKUP(C428,'פקודות נוספות'!$D$274:$F$797,3,0),0)</f>
        <v>0</v>
      </c>
      <c r="F428" s="49">
        <f>SUMIF('פקודות נוספות'!C:C,C:C,'פקודות נוספות'!E:E)</f>
        <v>0</v>
      </c>
      <c r="J428" s="474">
        <f t="shared" si="97"/>
        <v>0</v>
      </c>
      <c r="K428" s="474">
        <f>M428+SUMIF('פקודות נוספות'!C:C,'מאזן בוחן'!C428,'פקודות נוספות'!F:F)</f>
        <v>0</v>
      </c>
      <c r="L428" s="439"/>
      <c r="M428" s="474">
        <f>IFERROR(VLOOKUP(C428,'פקודות נוספות'!$D$273:$G$797,4,0),0)</f>
        <v>0</v>
      </c>
      <c r="N428" s="1104" t="str">
        <f t="shared" si="96"/>
        <v>-</v>
      </c>
      <c r="O428" s="2643"/>
      <c r="P428" s="52"/>
      <c r="Q428" s="52"/>
      <c r="R428" s="52"/>
      <c r="S428" s="52"/>
      <c r="T428" s="52"/>
      <c r="U428" s="52"/>
      <c r="V428" s="52"/>
      <c r="W428" s="52"/>
      <c r="X428" s="52"/>
      <c r="Y428" s="52"/>
      <c r="Z428" s="52"/>
      <c r="AA428" s="52"/>
      <c r="AB428" s="52"/>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row>
    <row r="429" spans="1:50">
      <c r="A429" s="1509"/>
      <c r="B429" s="3659" t="s">
        <v>1025</v>
      </c>
      <c r="C429" s="705">
        <v>2100024</v>
      </c>
      <c r="D429" s="601" t="s">
        <v>2041</v>
      </c>
      <c r="E429" s="474">
        <f>IFERROR(VLOOKUP(C429,'פקודות נוספות'!$D$274:$F$797,3,0),0)</f>
        <v>0</v>
      </c>
      <c r="F429" s="49">
        <f>SUMIF('פקודות נוספות'!C:C,C:C,'פקודות נוספות'!E:E)</f>
        <v>0</v>
      </c>
      <c r="J429" s="474">
        <f t="shared" si="97"/>
        <v>0</v>
      </c>
      <c r="K429" s="474">
        <f>M429+SUMIF('פקודות נוספות'!C:C,'מאזן בוחן'!C429,'פקודות נוספות'!F:F)</f>
        <v>0</v>
      </c>
      <c r="L429" s="439"/>
      <c r="M429" s="474">
        <f>IFERROR(VLOOKUP(C429,'פקודות נוספות'!$D$273:$G$797,4,0),0)</f>
        <v>0</v>
      </c>
      <c r="N429" s="1104" t="str">
        <f t="shared" si="96"/>
        <v>-</v>
      </c>
      <c r="O429" s="1116"/>
      <c r="P429" s="52"/>
      <c r="Q429" s="52"/>
      <c r="R429" s="52"/>
      <c r="S429" s="52"/>
      <c r="T429" s="52"/>
      <c r="U429" s="52"/>
      <c r="V429" s="52"/>
      <c r="W429" s="52"/>
      <c r="X429" s="52"/>
      <c r="Y429" s="52"/>
      <c r="Z429" s="52"/>
      <c r="AA429" s="52"/>
      <c r="AB429" s="52"/>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row>
    <row r="430" spans="1:50">
      <c r="A430" s="1509"/>
      <c r="B430" s="3659" t="s">
        <v>1025</v>
      </c>
      <c r="C430" s="705">
        <v>2150159</v>
      </c>
      <c r="D430" s="601" t="s">
        <v>1439</v>
      </c>
      <c r="E430" s="474">
        <f>IFERROR(VLOOKUP(C430,'פקודות נוספות'!$D$274:$F$797,3,0),0)</f>
        <v>-1200</v>
      </c>
      <c r="F430" s="49">
        <f>SUMIF('פקודות נוספות'!C:C,C:C,'פקודות נוספות'!E:E)</f>
        <v>0</v>
      </c>
      <c r="J430" s="474">
        <f t="shared" si="97"/>
        <v>-1200</v>
      </c>
      <c r="K430" s="474">
        <f>M430+SUMIF('פקודות נוספות'!C:C,'מאזן בוחן'!C430,'פקודות נוספות'!F:F)</f>
        <v>-385.85</v>
      </c>
      <c r="L430" s="439"/>
      <c r="M430" s="474">
        <f>IFERROR(VLOOKUP(C430,'פקודות נוספות'!$D$273:$G$797,4,0),0)</f>
        <v>-385.85</v>
      </c>
      <c r="N430" s="1104">
        <f t="shared" si="96"/>
        <v>3.1100168459245818</v>
      </c>
      <c r="O430" s="1116"/>
      <c r="P430" s="52"/>
      <c r="Q430" s="52"/>
      <c r="R430" s="52"/>
      <c r="S430" s="52"/>
      <c r="T430" s="52"/>
      <c r="U430" s="52"/>
      <c r="V430" s="52"/>
      <c r="W430" s="52"/>
      <c r="X430" s="52"/>
      <c r="Y430" s="52"/>
      <c r="Z430" s="52"/>
      <c r="AA430" s="52"/>
      <c r="AB430" s="52"/>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row>
    <row r="431" spans="1:50">
      <c r="A431" s="1509"/>
      <c r="B431" s="3659" t="s">
        <v>1025</v>
      </c>
      <c r="C431" s="705">
        <v>2150162</v>
      </c>
      <c r="D431" s="601" t="s">
        <v>1641</v>
      </c>
      <c r="E431" s="474">
        <f>IFERROR(VLOOKUP(C431,'פקודות נוספות'!$D$274:$F$797,3,0),0)</f>
        <v>-32434</v>
      </c>
      <c r="F431" s="49">
        <f>SUMIF('פקודות נוספות'!C:C,C:C,'פקודות נוספות'!E:E)</f>
        <v>0</v>
      </c>
      <c r="J431" s="474">
        <f t="shared" si="97"/>
        <v>-32434</v>
      </c>
      <c r="K431" s="474">
        <f>M431+SUMIF('פקודות נוספות'!C:C,'מאזן בוחן'!C431,'פקודות נוספות'!F:F)</f>
        <v>-10428.94</v>
      </c>
      <c r="L431" s="439"/>
      <c r="M431" s="474">
        <f>IFERROR(VLOOKUP(C431,'פקודות נוספות'!$D$273:$G$797,4,0),0)</f>
        <v>-10428.94</v>
      </c>
      <c r="N431" s="1104">
        <f t="shared" si="96"/>
        <v>3.1099996739841247</v>
      </c>
      <c r="O431" s="1116"/>
      <c r="P431" s="52"/>
      <c r="Q431" s="52"/>
      <c r="R431" s="52"/>
      <c r="S431" s="52"/>
      <c r="T431" s="52"/>
      <c r="U431" s="52"/>
      <c r="V431" s="52"/>
      <c r="W431" s="52"/>
      <c r="X431" s="52"/>
      <c r="Y431" s="52"/>
      <c r="Z431" s="52"/>
      <c r="AA431" s="52"/>
      <c r="AB431" s="52"/>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row>
    <row r="432" spans="1:50">
      <c r="A432" s="1509"/>
      <c r="B432" s="3659" t="s">
        <v>1025</v>
      </c>
      <c r="C432" s="705">
        <v>2150170</v>
      </c>
      <c r="D432" s="601" t="s">
        <v>1642</v>
      </c>
      <c r="E432" s="474">
        <f>IFERROR(VLOOKUP(C432,'פקודות נוספות'!$D$274:$F$797,3,0),0)</f>
        <v>0</v>
      </c>
      <c r="F432" s="49">
        <f>SUMIF('פקודות נוספות'!C:C,C:C,'פקודות נוספות'!E:E)</f>
        <v>0</v>
      </c>
      <c r="J432" s="474">
        <f t="shared" si="97"/>
        <v>0</v>
      </c>
      <c r="K432" s="474">
        <f>M432+SUMIF('פקודות נוספות'!C:C,'מאזן בוחן'!C432,'פקודות נוספות'!F:F)</f>
        <v>0</v>
      </c>
      <c r="L432" s="439"/>
      <c r="M432" s="474">
        <f>IFERROR(VLOOKUP(C432,'פקודות נוספות'!$D$273:$G$797,4,0),0)</f>
        <v>0</v>
      </c>
      <c r="N432" s="1104" t="str">
        <f t="shared" si="96"/>
        <v>-</v>
      </c>
      <c r="O432" s="1116"/>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row>
    <row r="433" spans="1:50">
      <c r="A433" s="1509"/>
      <c r="B433" s="3659" t="s">
        <v>1025</v>
      </c>
      <c r="C433" s="705">
        <v>2150182</v>
      </c>
      <c r="D433" s="601" t="s">
        <v>1486</v>
      </c>
      <c r="E433" s="474">
        <f>IFERROR(VLOOKUP(C433,'פקודות נוספות'!$D$274:$F$797,3,0),0)</f>
        <v>-1254</v>
      </c>
      <c r="F433" s="49">
        <f>SUMIF('פקודות נוספות'!C:C,C:C,'פקודות נוספות'!E:E)</f>
        <v>0</v>
      </c>
      <c r="J433" s="474">
        <f t="shared" si="97"/>
        <v>-1254</v>
      </c>
      <c r="K433" s="474">
        <f>M433+SUMIF('פקודות נוספות'!C:C,'מאזן בוחן'!C433,'פקודות נוספות'!F:F)</f>
        <v>-403.22</v>
      </c>
      <c r="L433" s="439"/>
      <c r="M433" s="474">
        <f>IFERROR(VLOOKUP(C433,'פקודות נוספות'!$D$273:$G$797,4,0),0)</f>
        <v>-403.22</v>
      </c>
      <c r="N433" s="1104">
        <f t="shared" si="96"/>
        <v>3.1099647834928823</v>
      </c>
      <c r="O433" s="1116"/>
      <c r="P433" s="52"/>
      <c r="Q433" s="52"/>
      <c r="R433" s="52"/>
      <c r="S433" s="52"/>
      <c r="T433" s="52"/>
      <c r="U433" s="52"/>
      <c r="V433" s="52"/>
      <c r="W433" s="52"/>
      <c r="X433" s="52"/>
      <c r="Y433" s="52"/>
      <c r="Z433" s="52"/>
      <c r="AA433" s="52"/>
      <c r="AB433" s="52"/>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row>
    <row r="434" spans="1:50">
      <c r="A434" s="1509"/>
      <c r="B434" s="3659" t="s">
        <v>1025</v>
      </c>
      <c r="C434" s="705">
        <v>2100370</v>
      </c>
      <c r="D434" s="601" t="s">
        <v>2614</v>
      </c>
      <c r="E434" s="474">
        <f>IFERROR(VLOOKUP(C434,'פקודות נוספות'!$D$274:$F$797,3,0),0)</f>
        <v>-11232</v>
      </c>
      <c r="F434" s="49">
        <f>SUMIF('פקודות נוספות'!C:C,C:C,'פקודות נוספות'!E:E)</f>
        <v>0</v>
      </c>
      <c r="J434" s="474">
        <f t="shared" si="97"/>
        <v>-11232</v>
      </c>
      <c r="K434" s="474">
        <f>M434+SUMIF('פקודות נוספות'!C:C,'מאזן בוחן'!C434,'פקודות נוספות'!F:F)</f>
        <v>-3611.58</v>
      </c>
      <c r="L434" s="439"/>
      <c r="M434" s="474">
        <f>IFERROR(VLOOKUP(C434,'פקודות נוספות'!$D$273:$G$797,4,0),0)</f>
        <v>-3611.58</v>
      </c>
      <c r="N434" s="1104">
        <f t="shared" si="96"/>
        <v>3.1099961789576862</v>
      </c>
      <c r="O434" s="1116"/>
      <c r="P434" s="52"/>
      <c r="Q434" s="52"/>
      <c r="R434" s="52"/>
      <c r="S434" s="52"/>
      <c r="T434" s="52"/>
      <c r="U434" s="52"/>
      <c r="V434" s="52"/>
      <c r="W434" s="52"/>
      <c r="X434" s="52"/>
      <c r="Y434" s="52"/>
      <c r="Z434" s="52"/>
      <c r="AA434" s="52"/>
      <c r="AB434" s="52"/>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row>
    <row r="435" spans="1:50">
      <c r="A435" s="1509"/>
      <c r="B435" s="3659" t="s">
        <v>1025</v>
      </c>
      <c r="C435" s="705">
        <v>2170243</v>
      </c>
      <c r="D435" s="601" t="s">
        <v>1643</v>
      </c>
      <c r="E435" s="474">
        <f>IFERROR(VLOOKUP(C435,'פקודות נוספות'!$D$274:$F$797,3,0),0)</f>
        <v>-6762</v>
      </c>
      <c r="F435" s="49">
        <f>SUMIF('פקודות נוספות'!C:C,C:C,'פקודות נוספות'!E:E)</f>
        <v>0</v>
      </c>
      <c r="J435" s="474">
        <f t="shared" si="97"/>
        <v>-6762</v>
      </c>
      <c r="K435" s="474">
        <f>M435+SUMIF('פקודות נוספות'!C:C,'מאזן בוחן'!C435,'פקודות נוספות'!F:F)</f>
        <v>-2174.2800000000002</v>
      </c>
      <c r="L435" s="439"/>
      <c r="M435" s="474">
        <f>IFERROR(VLOOKUP(C435,'פקודות נוספות'!$D$273:$G$797,4,0),0)</f>
        <v>-2174.2800000000002</v>
      </c>
      <c r="N435" s="1104">
        <f t="shared" si="96"/>
        <v>3.1099950328384565</v>
      </c>
      <c r="O435" s="1116"/>
      <c r="P435" s="52"/>
      <c r="Q435" s="52"/>
      <c r="R435" s="52"/>
      <c r="S435" s="52"/>
      <c r="T435" s="52"/>
      <c r="U435" s="52"/>
      <c r="V435" s="52"/>
      <c r="W435" s="52"/>
      <c r="X435" s="52"/>
      <c r="Y435" s="52"/>
      <c r="Z435" s="52"/>
      <c r="AA435" s="52"/>
      <c r="AB435" s="52"/>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row>
    <row r="436" spans="1:50">
      <c r="A436" s="1509"/>
      <c r="B436" s="3659" t="s">
        <v>1025</v>
      </c>
      <c r="C436" s="705">
        <v>2170333</v>
      </c>
      <c r="D436" s="601" t="s">
        <v>2615</v>
      </c>
      <c r="E436" s="474">
        <f>IFERROR(VLOOKUP(C436,'פקודות נוספות'!$D$274:$F$797,3,0),0)</f>
        <v>0</v>
      </c>
      <c r="F436" s="49">
        <f>SUMIF('פקודות נוספות'!C:C,C:C,'פקודות נוספות'!E:E)</f>
        <v>0</v>
      </c>
      <c r="J436" s="474">
        <f t="shared" si="97"/>
        <v>0</v>
      </c>
      <c r="K436" s="474">
        <f>M436+SUMIF('פקודות נוספות'!C:C,'מאזן בוחן'!C436,'פקודות נוספות'!F:F)</f>
        <v>0</v>
      </c>
      <c r="L436" s="439"/>
      <c r="M436" s="474">
        <f>IFERROR(VLOOKUP(C436,'פקודות נוספות'!$D$273:$G$797,4,0),0)</f>
        <v>0</v>
      </c>
      <c r="N436" s="1104" t="str">
        <f>IF(K436=0,"-",J436/K436)</f>
        <v>-</v>
      </c>
      <c r="O436" s="1116"/>
      <c r="P436" s="52"/>
      <c r="Q436" s="52"/>
      <c r="R436" s="52"/>
      <c r="S436" s="52"/>
      <c r="T436" s="52"/>
      <c r="U436" s="52"/>
      <c r="V436" s="52"/>
      <c r="W436" s="52"/>
      <c r="X436" s="52"/>
      <c r="Y436" s="52"/>
      <c r="Z436" s="52"/>
      <c r="AA436" s="52"/>
      <c r="AB436" s="52"/>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row>
    <row r="437" spans="1:50">
      <c r="A437" s="1509"/>
      <c r="B437" s="3659" t="s">
        <v>1025</v>
      </c>
      <c r="C437" s="705">
        <v>2170373</v>
      </c>
      <c r="D437" s="601" t="s">
        <v>2205</v>
      </c>
      <c r="E437" s="474">
        <f>IFERROR(VLOOKUP(C437,'פקודות נוספות'!$D$274:$F$797,3,0),0)</f>
        <v>-65732</v>
      </c>
      <c r="F437" s="49">
        <f>SUMIF('פקודות נוספות'!C:C,C:C,'פקודות נוספות'!E:E)</f>
        <v>0</v>
      </c>
      <c r="J437" s="474">
        <f t="shared" si="97"/>
        <v>-65732</v>
      </c>
      <c r="K437" s="474">
        <f>M437+SUMIF('פקודות נוספות'!C:C,'מאזן בוחן'!C437,'פקודות נוספות'!F:F)</f>
        <v>-21135.69</v>
      </c>
      <c r="L437" s="439"/>
      <c r="M437" s="474">
        <f>IFERROR(VLOOKUP(C437,'פקודות נוספות'!$D$273:$G$797,4,0),0)</f>
        <v>-21135.69</v>
      </c>
      <c r="N437" s="1104">
        <f>IF(K437=0,"-",J437/K437)</f>
        <v>3.1100001939846771</v>
      </c>
      <c r="O437" s="1116"/>
      <c r="P437" s="52"/>
      <c r="Q437" s="52"/>
      <c r="R437" s="52"/>
      <c r="S437" s="52"/>
      <c r="T437" s="52"/>
      <c r="U437" s="52"/>
      <c r="V437" s="52"/>
      <c r="W437" s="52"/>
      <c r="X437" s="52"/>
      <c r="Y437" s="52"/>
      <c r="Z437" s="52"/>
      <c r="AA437" s="52"/>
      <c r="AB437" s="52"/>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row>
    <row r="438" spans="1:50">
      <c r="A438" s="1509"/>
      <c r="B438" s="3659" t="s">
        <v>1025</v>
      </c>
      <c r="C438" s="705">
        <v>2170308</v>
      </c>
      <c r="D438" s="601" t="s">
        <v>1848</v>
      </c>
      <c r="E438" s="474">
        <f>IFERROR(VLOOKUP(C438,'פקודות נוספות'!$D$274:$F$797,3,0),0)</f>
        <v>-31676.53</v>
      </c>
      <c r="F438" s="49">
        <f>SUMIF('פקודות נוספות'!C:C,C:C,'פקודות נוספות'!E:E)</f>
        <v>0</v>
      </c>
      <c r="J438" s="474">
        <f t="shared" si="97"/>
        <v>-31676.53</v>
      </c>
      <c r="K438" s="474">
        <f>M438+SUMIF('פקודות נוספות'!C:C,'מאזן בוחן'!C438,'פקודות נוספות'!F:F)</f>
        <v>-10185.379999999999</v>
      </c>
      <c r="L438" s="439"/>
      <c r="M438" s="474">
        <f>IFERROR(VLOOKUP(C438,'פקודות נוספות'!$D$273:$G$797,4,0),0)</f>
        <v>-10185.379999999999</v>
      </c>
      <c r="N438" s="1104">
        <f t="shared" si="96"/>
        <v>3.1099998232761075</v>
      </c>
      <c r="O438" s="1116"/>
      <c r="P438" s="52"/>
      <c r="Q438" s="52"/>
      <c r="R438" s="52"/>
      <c r="S438" s="52"/>
      <c r="T438" s="52"/>
      <c r="U438" s="52"/>
      <c r="V438" s="52"/>
      <c r="W438" s="52"/>
      <c r="X438" s="52"/>
      <c r="Y438" s="52"/>
      <c r="Z438" s="52"/>
      <c r="AA438" s="52"/>
      <c r="AB438" s="52"/>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row>
    <row r="439" spans="1:50">
      <c r="A439" s="1509"/>
      <c r="B439" s="3659" t="s">
        <v>1025</v>
      </c>
      <c r="C439" s="705">
        <v>2170309</v>
      </c>
      <c r="D439" s="601" t="s">
        <v>1870</v>
      </c>
      <c r="E439" s="474">
        <f>IFERROR(VLOOKUP(C439,'פקודות נוספות'!$D$274:$F$797,3,0),0)</f>
        <v>-37562.86</v>
      </c>
      <c r="F439" s="49">
        <f>SUMIF('פקודות נוספות'!C:C,C:C,'פקודות נוספות'!E:E)</f>
        <v>0</v>
      </c>
      <c r="J439" s="474">
        <f t="shared" si="97"/>
        <v>-37562.86</v>
      </c>
      <c r="K439" s="474">
        <f>M439+SUMIF('פקודות נוספות'!C:C,'מאזן בוחן'!C439,'פקודות נוספות'!F:F)</f>
        <v>-12078.09</v>
      </c>
      <c r="L439" s="439"/>
      <c r="M439" s="474">
        <f>IFERROR(VLOOKUP(C439,'פקודות נוספות'!$D$273:$G$797,4,0),0)</f>
        <v>-12078.09</v>
      </c>
      <c r="N439" s="1104">
        <f t="shared" si="96"/>
        <v>3.1100000082794548</v>
      </c>
      <c r="O439" s="1116"/>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row>
    <row r="440" spans="1:50">
      <c r="A440" s="1509"/>
      <c r="B440" s="3659" t="s">
        <v>1025</v>
      </c>
      <c r="C440" s="705">
        <v>2150084</v>
      </c>
      <c r="D440" s="601" t="s">
        <v>1959</v>
      </c>
      <c r="E440" s="474">
        <f>IFERROR(VLOOKUP(C440,'פקודות נוספות'!$D$274:$F$797,3,0),0)</f>
        <v>-49023</v>
      </c>
      <c r="F440" s="49">
        <f>SUMIF('פקודות נוספות'!C:C,C:C,'פקודות נוספות'!E:E)</f>
        <v>0</v>
      </c>
      <c r="J440" s="474">
        <f t="shared" si="97"/>
        <v>-49023</v>
      </c>
      <c r="K440" s="474">
        <f>M440+SUMIF('פקודות נוספות'!C:C,'מאזן בוחן'!C440,'פקודות נוספות'!F:F)</f>
        <v>-15763.02</v>
      </c>
      <c r="L440" s="439"/>
      <c r="M440" s="474">
        <f>IFERROR(VLOOKUP(C440,'פקודות נוספות'!$D$273:$G$797,4,0),0)</f>
        <v>-15763.02</v>
      </c>
      <c r="N440" s="1104">
        <f t="shared" si="96"/>
        <v>3.1100004948290363</v>
      </c>
      <c r="O440" s="1116"/>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row>
    <row r="441" spans="1:50">
      <c r="A441" s="1509"/>
      <c r="B441" s="3659" t="s">
        <v>1025</v>
      </c>
      <c r="C441" s="705">
        <v>2150160</v>
      </c>
      <c r="D441" s="601" t="s">
        <v>2056</v>
      </c>
      <c r="E441" s="474">
        <f>IFERROR(VLOOKUP(C441,'פקודות נוספות'!$D$274:$F$797,3,0),0)</f>
        <v>-2182.1</v>
      </c>
      <c r="F441" s="49">
        <f>SUMIF('פקודות נוספות'!C:C,C:C,'פקודות נוספות'!E:E)</f>
        <v>0</v>
      </c>
      <c r="J441" s="474">
        <f t="shared" ref="J441:J446" si="98">SUM(E441:I441)</f>
        <v>-2182.1</v>
      </c>
      <c r="K441" s="474">
        <f>M441+SUMIF('פקודות נוספות'!C:C,'מאזן בוחן'!C441,'פקודות נוספות'!F:F)</f>
        <v>-701.64</v>
      </c>
      <c r="L441" s="439"/>
      <c r="M441" s="474">
        <f>IFERROR(VLOOKUP(C441,'פקודות נוספות'!$D$273:$G$797,4,0),0)</f>
        <v>-701.64</v>
      </c>
      <c r="N441" s="1104">
        <f t="shared" ref="N441:N445" si="99">IF(K441=0,"-",J441/K441)</f>
        <v>3.1099994299070746</v>
      </c>
      <c r="O441" s="2449" t="s">
        <v>4369</v>
      </c>
      <c r="P441" s="52"/>
      <c r="Q441" s="52"/>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row>
    <row r="442" spans="1:50">
      <c r="A442" s="1509"/>
      <c r="B442" s="3659" t="s">
        <v>1032</v>
      </c>
      <c r="C442" s="705">
        <v>2110007</v>
      </c>
      <c r="D442" s="601" t="s">
        <v>441</v>
      </c>
      <c r="E442" s="474">
        <f>IFERROR(VLOOKUP(C442,'פקודות נוספות'!$D$274:$F$797,3,0),0)</f>
        <v>3110</v>
      </c>
      <c r="F442" s="49">
        <f>SUMIF('פקודות נוספות'!C:C,C:C,'פקודות נוספות'!E:E)</f>
        <v>0</v>
      </c>
      <c r="J442" s="474">
        <f t="shared" si="98"/>
        <v>3110</v>
      </c>
      <c r="K442" s="474">
        <f>M442+SUMIF('פקודות נוספות'!C:C,'מאזן בוחן'!C442,'פקודות נוספות'!F:F)</f>
        <v>1000</v>
      </c>
      <c r="L442" s="439"/>
      <c r="M442" s="474">
        <f>IFERROR(VLOOKUP(C442,'פקודות נוספות'!$D$273:$G$797,4,0),0)</f>
        <v>1000</v>
      </c>
      <c r="N442" s="1104">
        <f t="shared" si="99"/>
        <v>3.11</v>
      </c>
      <c r="O442" s="2449" t="s">
        <v>2626</v>
      </c>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row>
    <row r="443" spans="1:50">
      <c r="A443" s="1509"/>
      <c r="B443" s="3659" t="s">
        <v>1033</v>
      </c>
      <c r="C443" s="705">
        <v>2120095</v>
      </c>
      <c r="D443" s="601" t="s">
        <v>2159</v>
      </c>
      <c r="E443" s="474">
        <f>IFERROR(VLOOKUP(C443,'פקודות נוספות'!$D$274:$F$797,3,0),0)</f>
        <v>-7977.15</v>
      </c>
      <c r="F443" s="49">
        <f>SUMIF('פקודות נוספות'!C:C,C:C,'פקודות נוספות'!E:E)</f>
        <v>0</v>
      </c>
      <c r="J443" s="474">
        <f t="shared" si="98"/>
        <v>-7977.15</v>
      </c>
      <c r="K443" s="474">
        <f>M443+SUMIF('פקודות נוספות'!C:C,'מאזן בוחן'!C443,'פקודות נוספות'!F:F)</f>
        <v>-2565</v>
      </c>
      <c r="L443" s="439"/>
      <c r="M443" s="474">
        <f>IFERROR(VLOOKUP(C443,'פקודות נוספות'!$D$273:$G$797,4,0),0)</f>
        <v>-2565</v>
      </c>
      <c r="N443" s="1104">
        <f t="shared" si="99"/>
        <v>3.11</v>
      </c>
      <c r="O443" s="1116"/>
      <c r="P443" s="52"/>
      <c r="Q443" s="52"/>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row>
    <row r="444" spans="1:50">
      <c r="A444" s="1509"/>
      <c r="B444" s="3659" t="s">
        <v>1033</v>
      </c>
      <c r="C444" s="705">
        <v>2170380</v>
      </c>
      <c r="D444" s="601" t="s">
        <v>2744</v>
      </c>
      <c r="E444" s="474">
        <f>IFERROR(VLOOKUP(C444,'פקודות נוספות'!$D$274:$F$797,3,0),0)</f>
        <v>-47272</v>
      </c>
      <c r="F444" s="49">
        <f>SUMIF('פקודות נוספות'!C:C,C:C,'פקודות נוספות'!E:E)</f>
        <v>0</v>
      </c>
      <c r="J444" s="474">
        <f>SUM(E444:I444)</f>
        <v>-47272</v>
      </c>
      <c r="K444" s="474">
        <f>M444+SUMIF('פקודות נוספות'!C:C,'מאזן בוחן'!C444,'פקודות נוספות'!F:F)</f>
        <v>-15200</v>
      </c>
      <c r="L444" s="439"/>
      <c r="M444" s="474">
        <f>IFERROR(VLOOKUP(C444,'פקודות נוספות'!$D$273:$G$797,4,0),0)</f>
        <v>-15200</v>
      </c>
      <c r="N444" s="1104">
        <f t="shared" si="99"/>
        <v>3.11</v>
      </c>
      <c r="O444" s="2450" t="s">
        <v>4368</v>
      </c>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row>
    <row r="445" spans="1:50">
      <c r="A445" s="1509"/>
      <c r="B445" s="3659" t="s">
        <v>1033</v>
      </c>
      <c r="C445" s="705">
        <v>2170240</v>
      </c>
      <c r="D445" s="601" t="s">
        <v>2617</v>
      </c>
      <c r="E445" s="474">
        <f>IFERROR(VLOOKUP(C445,'פקודות נוספות'!$D$274:$F$797,3,0),0)</f>
        <v>0</v>
      </c>
      <c r="F445" s="49">
        <f>SUMIF('פקודות נוספות'!C:C,C:C,'פקודות נוספות'!E:E)</f>
        <v>0</v>
      </c>
      <c r="J445" s="474">
        <f t="shared" si="98"/>
        <v>0</v>
      </c>
      <c r="K445" s="474">
        <f>M445+SUMIF('פקודות נוספות'!C:C,'מאזן בוחן'!C445,'פקודות נוספות'!F:F)</f>
        <v>0</v>
      </c>
      <c r="L445" s="439"/>
      <c r="M445" s="474">
        <f>IFERROR(VLOOKUP(C445,'פקודות נוספות'!$D$273:$G$797,4,0),0)</f>
        <v>0</v>
      </c>
      <c r="N445" s="1104" t="str">
        <f t="shared" si="99"/>
        <v>-</v>
      </c>
      <c r="O445" s="1116"/>
      <c r="P445" s="52"/>
      <c r="Q445" s="52"/>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row>
    <row r="446" spans="1:50">
      <c r="A446" s="1509"/>
      <c r="B446" s="3659" t="s">
        <v>1033</v>
      </c>
      <c r="C446" s="705">
        <v>2170224</v>
      </c>
      <c r="D446" s="601" t="s">
        <v>1576</v>
      </c>
      <c r="E446" s="474">
        <f>IFERROR(VLOOKUP(C446,'פקודות נוספות'!$D$274:$F$797,3,0),0)</f>
        <v>-2052.6</v>
      </c>
      <c r="F446" s="474">
        <f>SUMIF('פקודות נוספות'!C:C,C:C,'פקודות נוספות'!E:E)</f>
        <v>0</v>
      </c>
      <c r="J446" s="474">
        <f t="shared" si="98"/>
        <v>-2052.6</v>
      </c>
      <c r="K446" s="474">
        <f>M446+SUMIF('פקודות נוספות'!C:C,'מאזן בוחן'!C446,'פקודות נוספות'!F:F)</f>
        <v>-660</v>
      </c>
      <c r="L446" s="439"/>
      <c r="M446" s="474">
        <f>IFERROR(VLOOKUP(C446,'פקודות נוספות'!$D$273:$G$797,4,0),0)</f>
        <v>-660</v>
      </c>
      <c r="N446" s="1104">
        <f>IF(K446=0,"-",J446/K446)</f>
        <v>3.11</v>
      </c>
      <c r="O446" s="1116"/>
      <c r="P446" s="52"/>
      <c r="Q446" s="52"/>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row>
    <row r="447" spans="1:50" s="1417" customFormat="1">
      <c r="A447" s="1591"/>
      <c r="B447" s="3743" t="s">
        <v>1037</v>
      </c>
      <c r="C447" s="1336">
        <v>2200005</v>
      </c>
      <c r="D447" s="1430" t="s">
        <v>1498</v>
      </c>
      <c r="E447" s="474">
        <f>IFERROR(VLOOKUP(C447,'פקודות נוספות'!$D$274:$F$797,3,0),0)</f>
        <v>360283.61</v>
      </c>
      <c r="F447" s="474">
        <f>SUMIF('פקודות נוספות'!C:C,C:C,'פקודות נוספות'!E:E)</f>
        <v>0</v>
      </c>
      <c r="G447" s="49"/>
      <c r="H447" s="49"/>
      <c r="I447" s="49"/>
      <c r="J447" s="474">
        <f>SUM(E447:I447)</f>
        <v>360283.61</v>
      </c>
      <c r="K447" s="474">
        <f>M447+SUMIF('פקודות נוספות'!C:C,'מאזן בוחן'!C447,'פקודות נוספות'!F:F)</f>
        <v>115846.82</v>
      </c>
      <c r="L447" s="439"/>
      <c r="M447" s="474">
        <f>IFERROR(VLOOKUP(C447,'פקודות נוספות'!$D$273:$G$797,4,0),0)</f>
        <v>115846.82</v>
      </c>
      <c r="N447" s="1104">
        <f>IF(K447=0,"-",J447/K447)</f>
        <v>3.1099999982735822</v>
      </c>
      <c r="O447" s="2450" t="s">
        <v>2480</v>
      </c>
      <c r="P447" s="1595"/>
      <c r="Q447" s="1595"/>
      <c r="R447" s="1595"/>
      <c r="S447" s="1595"/>
      <c r="T447" s="1595"/>
      <c r="U447" s="1595"/>
      <c r="V447" s="1595"/>
      <c r="W447" s="1595"/>
      <c r="X447" s="1595"/>
      <c r="Y447" s="1595"/>
      <c r="Z447" s="1595"/>
      <c r="AA447" s="1595"/>
      <c r="AB447" s="1595"/>
      <c r="AC447" s="1595"/>
      <c r="AD447" s="1595"/>
      <c r="AE447" s="1595"/>
      <c r="AF447" s="1595"/>
      <c r="AG447" s="1595"/>
      <c r="AH447" s="1595"/>
      <c r="AI447" s="1595"/>
      <c r="AJ447" s="1595"/>
      <c r="AK447" s="1595"/>
      <c r="AL447" s="1595"/>
      <c r="AM447" s="1595"/>
      <c r="AN447" s="1595"/>
      <c r="AO447" s="1595"/>
      <c r="AP447" s="1595"/>
      <c r="AQ447" s="1595"/>
      <c r="AR447" s="1595"/>
      <c r="AS447" s="1595"/>
      <c r="AT447" s="1595"/>
      <c r="AU447" s="1595"/>
      <c r="AV447" s="1595"/>
      <c r="AW447" s="1595"/>
      <c r="AX447" s="1595"/>
    </row>
    <row r="448" spans="1:50" ht="13.5" thickBot="1">
      <c r="B448" s="3659"/>
      <c r="C448" s="156"/>
      <c r="D448" s="203"/>
      <c r="E448" s="474"/>
      <c r="F448" s="1325"/>
      <c r="J448" s="474"/>
      <c r="K448" s="474"/>
      <c r="L448" s="439"/>
      <c r="M448" s="474"/>
      <c r="O448" s="445"/>
      <c r="P448" s="141"/>
      <c r="Q448" s="141"/>
      <c r="R448" s="141"/>
      <c r="S448" s="141"/>
      <c r="T448" s="141"/>
      <c r="U448" s="141"/>
      <c r="V448" s="141"/>
      <c r="W448" s="141"/>
      <c r="X448" s="141"/>
      <c r="Y448" s="141"/>
      <c r="Z448" s="141"/>
      <c r="AA448" s="141"/>
      <c r="AB448" s="141"/>
      <c r="AC448" s="141"/>
      <c r="AD448" s="141"/>
      <c r="AE448" s="141"/>
      <c r="AF448" s="141"/>
      <c r="AG448" s="141"/>
      <c r="AH448" s="141"/>
      <c r="AI448" s="141"/>
      <c r="AJ448" s="141"/>
      <c r="AK448" s="141"/>
      <c r="AL448" s="141"/>
      <c r="AM448" s="141"/>
      <c r="AN448" s="141"/>
      <c r="AO448" s="141"/>
      <c r="AP448" s="141"/>
      <c r="AQ448" s="141"/>
      <c r="AR448" s="141"/>
      <c r="AS448" s="141"/>
      <c r="AT448" s="141"/>
      <c r="AU448" s="141"/>
      <c r="AV448" s="141"/>
      <c r="AW448" s="141"/>
      <c r="AX448" s="141"/>
    </row>
    <row r="449" spans="1:50">
      <c r="B449" s="4118" t="s">
        <v>1038</v>
      </c>
      <c r="C449" s="2231">
        <v>2300001</v>
      </c>
      <c r="D449" s="2232" t="s">
        <v>442</v>
      </c>
      <c r="E449" s="2233">
        <f>IFERROR(VLOOKUP(C449,'פקודות נוספות'!$D$274:$F$797,3,0),0)</f>
        <v>-29783.18</v>
      </c>
      <c r="F449" s="2234">
        <f>SUMIF('פקודות נוספות'!C:C,C:C,'פקודות נוספות'!E:E)</f>
        <v>0</v>
      </c>
      <c r="G449" s="1525"/>
      <c r="H449" s="1525"/>
      <c r="I449" s="1525"/>
      <c r="J449" s="2233">
        <f t="shared" ref="J449:J454" si="100">SUM(E449:I449)</f>
        <v>-29783.18</v>
      </c>
      <c r="K449" s="4230">
        <f>M449+SUMIF('פקודות נוספות'!C:C,'מאזן בוחן'!C449,'פקודות נוספות'!F:F)</f>
        <v>-9576.59</v>
      </c>
      <c r="L449" s="4326">
        <f>SUM([14]Sheet1!$C$18)</f>
        <v>10406.248399999982</v>
      </c>
      <c r="M449" s="2233">
        <f>IFERROR(VLOOKUP(C449,'פקודות נוספות'!$D$273:$G$797,4,0),0)</f>
        <v>-9576.59</v>
      </c>
      <c r="N449" s="2236">
        <f t="shared" ref="N449:N454" si="101">IF(K449=0,"-",J449/K449)</f>
        <v>3.1099984441225947</v>
      </c>
      <c r="O449" s="2230"/>
      <c r="P449" s="141"/>
      <c r="Q449" s="141"/>
      <c r="R449" s="141"/>
      <c r="S449" s="141"/>
      <c r="T449" s="141"/>
      <c r="U449" s="141"/>
      <c r="V449" s="141"/>
      <c r="W449" s="141"/>
      <c r="X449" s="141"/>
      <c r="Y449" s="141"/>
      <c r="Z449" s="141"/>
      <c r="AA449" s="141"/>
      <c r="AB449" s="141"/>
      <c r="AC449" s="141"/>
      <c r="AD449" s="141"/>
      <c r="AE449" s="141"/>
      <c r="AF449" s="141"/>
      <c r="AG449" s="141"/>
      <c r="AH449" s="141"/>
      <c r="AI449" s="141"/>
      <c r="AJ449" s="141"/>
      <c r="AK449" s="141"/>
      <c r="AL449" s="141"/>
      <c r="AM449" s="141"/>
      <c r="AN449" s="141"/>
      <c r="AO449" s="141"/>
      <c r="AP449" s="141"/>
      <c r="AQ449" s="141"/>
      <c r="AR449" s="141"/>
      <c r="AS449" s="141"/>
      <c r="AT449" s="141"/>
      <c r="AU449" s="141"/>
      <c r="AV449" s="141"/>
      <c r="AW449" s="141"/>
      <c r="AX449" s="141"/>
    </row>
    <row r="450" spans="1:50">
      <c r="B450" s="4119" t="s">
        <v>1038</v>
      </c>
      <c r="C450" s="585">
        <v>2300002</v>
      </c>
      <c r="D450" s="203" t="s">
        <v>2913</v>
      </c>
      <c r="E450" s="474">
        <f>IFERROR(VLOOKUP(C450,'פקודות נוספות'!$D$274:$F$797,3,0),0)</f>
        <v>-42794.17</v>
      </c>
      <c r="F450" s="1325">
        <f>SUMIF('פקודות נוספות'!C:C,C:C,'פקודות נוספות'!E:E)</f>
        <v>0</v>
      </c>
      <c r="J450" s="474">
        <f t="shared" si="100"/>
        <v>-42794.17</v>
      </c>
      <c r="K450" s="170">
        <f>M450+SUMIF('פקודות נוספות'!C:C,'מאזן בוחן'!C450,'פקודות נוספות'!F:F)</f>
        <v>-13760.18</v>
      </c>
      <c r="L450" s="4327"/>
      <c r="M450" s="474">
        <f>IFERROR(VLOOKUP(C450,'פקודות נוספות'!$D$273:$G$797,4,0),0)</f>
        <v>-13760.18</v>
      </c>
      <c r="N450" s="2237">
        <f t="shared" si="101"/>
        <v>3.1100007412693729</v>
      </c>
      <c r="O450" s="2230"/>
    </row>
    <row r="451" spans="1:50">
      <c r="B451" s="4228" t="s">
        <v>1038</v>
      </c>
      <c r="C451" s="585">
        <v>2300003</v>
      </c>
      <c r="D451" s="203" t="s">
        <v>2914</v>
      </c>
      <c r="E451" s="474">
        <f>IFERROR(VLOOKUP(C451,'פקודות נוספות'!$D$274:$F$797,3,0),0)</f>
        <v>-23641.54</v>
      </c>
      <c r="F451" s="1325">
        <f>SUMIF('פקודות נוספות'!C:C,C:C,'פקודות נוספות'!E:E)</f>
        <v>0</v>
      </c>
      <c r="J451" s="474">
        <f t="shared" si="100"/>
        <v>-23641.54</v>
      </c>
      <c r="K451" s="170">
        <f>M451+SUMIF('פקודות נוספות'!C:C,'מאזן בוחן'!C451,'פקודות נוספות'!F:F)</f>
        <v>-7601.78</v>
      </c>
      <c r="L451" s="4327"/>
      <c r="M451" s="474">
        <f>IFERROR(VLOOKUP(C451,'פקודות נוספות'!$D$273:$G$797,4,0),0)</f>
        <v>-7601.78</v>
      </c>
      <c r="N451" s="2237">
        <f t="shared" si="101"/>
        <v>3.1100005525021772</v>
      </c>
      <c r="O451" s="2450" t="s">
        <v>2819</v>
      </c>
    </row>
    <row r="452" spans="1:50">
      <c r="B452" s="4120" t="s">
        <v>1038</v>
      </c>
      <c r="C452" s="705">
        <v>2300004</v>
      </c>
      <c r="D452" s="601" t="s">
        <v>443</v>
      </c>
      <c r="E452" s="474">
        <f>IFERROR(VLOOKUP(C452,'פקודות נוספות'!$D$274:$F$797,3,0),0)</f>
        <v>3410.55</v>
      </c>
      <c r="F452" s="1325">
        <f>SUMIF('פקודות נוספות'!C:C,C:C,'פקודות נוספות'!E:E)</f>
        <v>0</v>
      </c>
      <c r="J452" s="474">
        <f t="shared" si="100"/>
        <v>3410.55</v>
      </c>
      <c r="K452" s="170">
        <f>M452+SUMIF('פקודות נוספות'!C:C,'מאזן בוחן'!C452,'פקודות נוספות'!F:F)</f>
        <v>1096.6400000000001</v>
      </c>
      <c r="L452" s="4327"/>
      <c r="M452" s="474">
        <f>IFERROR(VLOOKUP(C452,'פקודות נוספות'!$D$273:$G$797,4,0),0)</f>
        <v>1096.6400000000001</v>
      </c>
      <c r="N452" s="2633">
        <f t="shared" si="101"/>
        <v>3.1099996352494892</v>
      </c>
      <c r="O452" s="2632" t="s">
        <v>2818</v>
      </c>
    </row>
    <row r="453" spans="1:50">
      <c r="B453" s="4120" t="s">
        <v>1038</v>
      </c>
      <c r="C453" s="705">
        <v>2300008</v>
      </c>
      <c r="D453" s="601" t="s">
        <v>444</v>
      </c>
      <c r="E453" s="474">
        <f>IFERROR(VLOOKUP(C453,'פקודות נוספות'!$D$274:$F$797,3,0),0)</f>
        <v>-80021</v>
      </c>
      <c r="F453" s="1325">
        <f>SUMIF('פקודות נוספות'!C:C,C:C,'פקודות נוספות'!E:E)</f>
        <v>0</v>
      </c>
      <c r="J453" s="474">
        <f t="shared" si="100"/>
        <v>-80021</v>
      </c>
      <c r="K453" s="170">
        <f>M453+SUMIF('פקודות נוספות'!C:C,'מאזן בוחן'!C453,'פקודות נוספות'!F:F)</f>
        <v>-25730.23</v>
      </c>
      <c r="L453" s="4327"/>
      <c r="M453" s="474">
        <f>IFERROR(VLOOKUP(C453,'פקודות נוספות'!$D$273:$G$797,4,0),0)</f>
        <v>-25730.23</v>
      </c>
      <c r="N453" s="2237">
        <f t="shared" si="101"/>
        <v>3.1099994053687046</v>
      </c>
      <c r="O453" s="2230"/>
    </row>
    <row r="454" spans="1:50" ht="13.5" thickBot="1">
      <c r="B454" s="4121" t="s">
        <v>1038</v>
      </c>
      <c r="C454" s="2238">
        <v>2300010</v>
      </c>
      <c r="D454" s="2239" t="s">
        <v>1039</v>
      </c>
      <c r="E454" s="3406">
        <f>IFERROR(VLOOKUP(C454,'פקודות נוספות'!$D$274:$F$797,3,0),0)</f>
        <v>-169.9</v>
      </c>
      <c r="F454" s="3407">
        <f>SUMIF('פקודות נוספות'!C:C,C:C,'פקודות נוספות'!E:E)</f>
        <v>0</v>
      </c>
      <c r="G454" s="3408"/>
      <c r="H454" s="3408"/>
      <c r="I454" s="3408"/>
      <c r="J454" s="3406">
        <f t="shared" si="100"/>
        <v>-169.9</v>
      </c>
      <c r="K454" s="3363">
        <f>M454+SUMIF('פקודות נוספות'!C:C,'מאזן בוחן'!C454,'פקודות נוספות'!F:F)</f>
        <v>-54.63</v>
      </c>
      <c r="L454" s="4328"/>
      <c r="M454" s="3406">
        <f>IFERROR(VLOOKUP(C454,'פקודות נוספות'!$D$273:$G$797,4,0),0)</f>
        <v>-54.63</v>
      </c>
      <c r="N454" s="4229">
        <f t="shared" si="101"/>
        <v>3.110012813472451</v>
      </c>
      <c r="O454" s="2230"/>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row>
    <row r="455" spans="1:50" ht="13.5" thickBot="1">
      <c r="B455" s="3659"/>
      <c r="C455" s="1489"/>
      <c r="D455" s="203"/>
      <c r="E455" s="474"/>
      <c r="F455" s="1325"/>
      <c r="J455" s="474"/>
      <c r="K455" s="474"/>
      <c r="L455" s="439"/>
      <c r="M455" s="171"/>
      <c r="O455" s="1114"/>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row>
    <row r="456" spans="1:50" ht="13.5" thickBot="1">
      <c r="B456" s="3659" t="s">
        <v>1037</v>
      </c>
      <c r="C456" s="585">
        <v>2200001</v>
      </c>
      <c r="D456" s="203" t="s">
        <v>151</v>
      </c>
      <c r="E456" s="474">
        <f>VLOOKUP(C456,'פקודות נוספות'!$D$274:$F$797,3,0)</f>
        <v>-1198804</v>
      </c>
      <c r="F456" s="474">
        <f>SUMIF('פקודות נוספות'!C:C,C:C,'פקודות נוספות'!E:E)</f>
        <v>0</v>
      </c>
      <c r="J456" s="474">
        <f>SUM(E456:I456)</f>
        <v>-1198804</v>
      </c>
      <c r="K456" s="474">
        <f>M456+SUMIF('פקודות נוספות'!C:C,'מאזן בוחן'!C456,'פקודות נוספות'!F:F)</f>
        <v>-385467.52</v>
      </c>
      <c r="L456" s="956">
        <f>+'Accrued expenses'!$P$53+J456</f>
        <v>0</v>
      </c>
      <c r="M456" s="474">
        <f>VLOOKUP(C456,'פקודות נוספות'!$D$273:$G$797,4,0)</f>
        <v>-385467.52</v>
      </c>
      <c r="N456" s="1104">
        <f>IF(K456=0,"-",J456/K456)</f>
        <v>3.1100000332064295</v>
      </c>
      <c r="O456" s="863" t="s">
        <v>2479</v>
      </c>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row>
    <row r="457" spans="1:50">
      <c r="A457" s="406"/>
      <c r="B457" s="3659"/>
      <c r="C457" s="1160"/>
      <c r="D457" s="2845"/>
      <c r="E457" s="1202"/>
      <c r="F457" s="1325"/>
      <c r="J457" s="474"/>
      <c r="K457" s="474"/>
      <c r="L457" s="49"/>
      <c r="M457" s="599"/>
      <c r="O457" s="445"/>
      <c r="P457" s="52"/>
      <c r="Q457" s="454"/>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row>
    <row r="458" spans="1:50">
      <c r="A458" s="406"/>
      <c r="B458" s="3659"/>
      <c r="C458" s="1161"/>
      <c r="D458" s="1646" t="s">
        <v>159</v>
      </c>
      <c r="E458" s="1623">
        <f t="shared" ref="E458:K458" si="102">SUM(E199:E457)</f>
        <v>-8461743.6500000004</v>
      </c>
      <c r="F458" s="1351">
        <f t="shared" si="102"/>
        <v>0</v>
      </c>
      <c r="G458" s="1206">
        <f t="shared" si="102"/>
        <v>0</v>
      </c>
      <c r="H458" s="1206">
        <f t="shared" si="102"/>
        <v>0</v>
      </c>
      <c r="I458" s="1206">
        <f t="shared" si="102"/>
        <v>0</v>
      </c>
      <c r="J458" s="1351">
        <f t="shared" si="102"/>
        <v>-8461743.6500000004</v>
      </c>
      <c r="K458" s="1351">
        <f t="shared" si="102"/>
        <v>-2720817.97</v>
      </c>
      <c r="L458" s="1443"/>
      <c r="M458" s="1351">
        <f>SUM(M199:M457)</f>
        <v>-2720817.97</v>
      </c>
      <c r="O458" s="445"/>
      <c r="P458" s="52"/>
      <c r="Q458" s="454"/>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row>
    <row r="459" spans="1:50">
      <c r="A459" s="406"/>
      <c r="B459" s="3659"/>
      <c r="C459" s="154"/>
      <c r="D459" s="1647" t="s">
        <v>66</v>
      </c>
      <c r="E459" s="2852"/>
      <c r="F459" s="1325"/>
      <c r="J459" s="474"/>
      <c r="K459" s="474"/>
      <c r="L459" s="49"/>
      <c r="M459" s="1318"/>
      <c r="O459" s="445"/>
      <c r="P459" s="52"/>
      <c r="Q459" s="454"/>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row>
    <row r="460" spans="1:50">
      <c r="A460" s="406"/>
      <c r="B460" s="3659" t="s">
        <v>1042</v>
      </c>
      <c r="C460" s="585">
        <v>2410300</v>
      </c>
      <c r="D460" s="203" t="s">
        <v>352</v>
      </c>
      <c r="E460" s="474">
        <f>VLOOKUP(C460,'פקודות נוספות'!$D$274:$F$797,3,0)</f>
        <v>-948610</v>
      </c>
      <c r="F460" s="1213">
        <f>SUMIF('פקודות נוספות'!C:C,C:C,'פקודות נוספות'!E:E)</f>
        <v>0</v>
      </c>
      <c r="H460" s="439"/>
      <c r="J460" s="171">
        <f>SUM(E460:I460)</f>
        <v>-948610</v>
      </c>
      <c r="K460" s="171">
        <f>M460+SUMIF('פקודות נוספות'!C:C,'מאזן בוחן'!C460,'פקודות נוספות'!F:F)</f>
        <v>-305019.28999999998</v>
      </c>
      <c r="L460" s="439"/>
      <c r="M460" s="474">
        <f>VLOOKUP(C460,'פקודות נוספות'!$D$273:$G$797,4,0)</f>
        <v>-305019.28999999998</v>
      </c>
      <c r="N460" s="1104">
        <f>IF(K460=0,"-",J460/K460)</f>
        <v>3.1100000265556975</v>
      </c>
      <c r="O460" s="1114" t="s">
        <v>2466</v>
      </c>
      <c r="T460" s="52"/>
      <c r="U460" s="52"/>
      <c r="V460" s="52"/>
      <c r="W460" s="52"/>
      <c r="X460" s="52"/>
      <c r="Y460" s="52"/>
      <c r="Z460" s="52"/>
      <c r="AA460" s="52"/>
      <c r="AB460" s="52"/>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row>
    <row r="461" spans="1:50">
      <c r="A461" s="406"/>
      <c r="B461" s="3659" t="s">
        <v>1042</v>
      </c>
      <c r="C461" s="585">
        <v>2410301</v>
      </c>
      <c r="D461" s="203" t="s">
        <v>353</v>
      </c>
      <c r="E461" s="474">
        <f>VLOOKUP(C461,'פקודות נוספות'!$D$274:$F$797,3,0)</f>
        <v>-1194168</v>
      </c>
      <c r="F461" s="171">
        <f>SUMIF('פקודות נוספות'!C:C,C:C,'פקודות נוספות'!E:E)</f>
        <v>0</v>
      </c>
      <c r="G461" s="439"/>
      <c r="I461" s="439"/>
      <c r="J461" s="474">
        <f>SUM(E461:I461)</f>
        <v>-1194168</v>
      </c>
      <c r="K461" s="474">
        <f>M461+SUMIF('פקודות נוספות'!C:C,'מאזן בוחן'!C461,'פקודות נוספות'!F:F)</f>
        <v>-383976.85</v>
      </c>
      <c r="L461" s="439"/>
      <c r="M461" s="474">
        <f>VLOOKUP(C461,'פקודות נוספות'!$D$273:$G$797,4,0)</f>
        <v>-383976.85</v>
      </c>
      <c r="N461" s="1104">
        <f>IF(K461=0,"-",J461/K461)</f>
        <v>3.1099999908848672</v>
      </c>
      <c r="O461" s="1114" t="s">
        <v>2466</v>
      </c>
      <c r="T461" s="52"/>
      <c r="U461" s="52"/>
      <c r="V461" s="52"/>
      <c r="W461" s="52"/>
      <c r="X461" s="52"/>
      <c r="Y461" s="52"/>
      <c r="Z461" s="52"/>
      <c r="AA461" s="52"/>
      <c r="AB461" s="52"/>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row>
    <row r="462" spans="1:50">
      <c r="A462" s="406"/>
      <c r="B462" s="3659" t="s">
        <v>1042</v>
      </c>
      <c r="C462" s="585">
        <v>2410305</v>
      </c>
      <c r="D462" s="203" t="s">
        <v>1786</v>
      </c>
      <c r="E462" s="474">
        <f>VLOOKUP(C462,'פקודות נוספות'!$D$274:$F$797,3,0)</f>
        <v>-1421745</v>
      </c>
      <c r="F462" s="1325">
        <f>SUMIF('פקודות נוספות'!C:C,C:C,'פקודות נוספות'!E:E)</f>
        <v>0</v>
      </c>
      <c r="J462" s="474">
        <f>SUM(E462:I462)</f>
        <v>-1421745</v>
      </c>
      <c r="K462" s="474">
        <f>M462+SUMIF('פקודות נוספות'!C:C,'מאזן בוחן'!C462,'פקודות נוספות'!F:F)</f>
        <v>-457152.73</v>
      </c>
      <c r="L462" s="439"/>
      <c r="M462" s="474">
        <f>VLOOKUP(C462,'פקודות נוספות'!$D$273:$G$797,4,0)</f>
        <v>-457152.73</v>
      </c>
      <c r="N462" s="1104">
        <f>IF(K462=0,"-",J462/K462)</f>
        <v>3.1100000212182919</v>
      </c>
      <c r="O462" s="1114" t="s">
        <v>2466</v>
      </c>
      <c r="T462" s="52"/>
      <c r="U462" s="52"/>
      <c r="V462" s="52"/>
      <c r="W462" s="52"/>
      <c r="X462" s="52"/>
      <c r="Y462" s="52"/>
      <c r="Z462" s="52"/>
      <c r="AA462" s="52"/>
      <c r="AB462" s="52"/>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row>
    <row r="463" spans="1:50">
      <c r="A463" s="406"/>
      <c r="B463" s="3664"/>
      <c r="C463" s="1160"/>
      <c r="D463" s="1649"/>
      <c r="E463" s="1202"/>
      <c r="F463" s="1325"/>
      <c r="J463" s="474"/>
      <c r="K463" s="474"/>
      <c r="L463" s="49"/>
      <c r="M463" s="474"/>
      <c r="O463" s="445"/>
      <c r="P463" s="52"/>
      <c r="Q463" s="454"/>
      <c r="R463" s="52"/>
      <c r="S463" s="52"/>
      <c r="T463" s="52"/>
      <c r="U463" s="52"/>
      <c r="V463" s="52"/>
      <c r="W463" s="52"/>
      <c r="X463" s="52"/>
      <c r="Y463" s="52"/>
      <c r="Z463" s="52"/>
      <c r="AA463" s="52"/>
      <c r="AB463" s="52"/>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row>
    <row r="464" spans="1:50">
      <c r="A464" s="406"/>
      <c r="B464" s="3664"/>
      <c r="C464" s="1161"/>
      <c r="D464" s="1646" t="s">
        <v>77</v>
      </c>
      <c r="E464" s="1623">
        <f t="shared" ref="E464:K464" si="103">SUM(E460:E463)</f>
        <v>-3564523</v>
      </c>
      <c r="F464" s="1206">
        <f t="shared" si="103"/>
        <v>0</v>
      </c>
      <c r="G464" s="1206">
        <f t="shared" si="103"/>
        <v>0</v>
      </c>
      <c r="H464" s="1206">
        <f t="shared" si="103"/>
        <v>0</v>
      </c>
      <c r="I464" s="1206">
        <f t="shared" si="103"/>
        <v>0</v>
      </c>
      <c r="J464" s="1351">
        <f t="shared" si="103"/>
        <v>-3564523</v>
      </c>
      <c r="K464" s="1351">
        <f t="shared" si="103"/>
        <v>-1146148.8699999999</v>
      </c>
      <c r="L464" s="1443"/>
      <c r="M464" s="1351">
        <f>SUM(M460:M463)</f>
        <v>-1146148.8699999999</v>
      </c>
      <c r="O464" s="445"/>
      <c r="P464" s="52"/>
      <c r="Q464" s="454"/>
      <c r="R464" s="52"/>
      <c r="S464" s="52"/>
      <c r="T464" s="52"/>
      <c r="U464" s="52"/>
      <c r="V464" s="52"/>
      <c r="W464" s="52"/>
      <c r="X464" s="52"/>
      <c r="Y464" s="52"/>
      <c r="Z464" s="52"/>
      <c r="AA464" s="52"/>
      <c r="AB464" s="52"/>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row>
    <row r="465" spans="1:50" ht="13.5" thickBot="1">
      <c r="A465" s="406"/>
      <c r="B465" s="3668"/>
      <c r="C465" s="154"/>
      <c r="D465" s="169"/>
      <c r="E465" s="2853"/>
      <c r="F465" s="1325"/>
      <c r="K465" s="49"/>
      <c r="L465" s="49"/>
      <c r="O465" s="401"/>
      <c r="P465" s="52"/>
      <c r="Q465" s="454"/>
      <c r="R465" s="52"/>
      <c r="S465" s="52"/>
      <c r="T465" s="52"/>
      <c r="U465" s="52"/>
      <c r="V465" s="52"/>
      <c r="W465" s="52"/>
      <c r="X465" s="52"/>
      <c r="Y465" s="52"/>
      <c r="Z465" s="52"/>
      <c r="AA465" s="52"/>
      <c r="AB465" s="52"/>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row>
    <row r="466" spans="1:50" ht="13.5" thickBot="1">
      <c r="A466" s="406"/>
      <c r="B466" s="3659" t="s">
        <v>1043</v>
      </c>
      <c r="C466" s="585">
        <v>2420001</v>
      </c>
      <c r="D466" s="203" t="s">
        <v>354</v>
      </c>
      <c r="E466" s="474">
        <f>VLOOKUP(C466,'פקודות נוספות'!$D$274:$F$797,3,0)</f>
        <v>-5748162.0700000003</v>
      </c>
      <c r="F466" s="171">
        <f>SUMIF('פקודות נוספות'!C:C,C:C,'פקודות נוספות'!E:E)</f>
        <v>0</v>
      </c>
      <c r="J466" s="474">
        <f>SUM(E466:I466)</f>
        <v>-5748162.0700000003</v>
      </c>
      <c r="K466" s="474">
        <f>M466+SUMIF('פקודות נוספות'!C:C,'מאזן בוחן'!C466,'פקודות נוספות'!F:F)</f>
        <v>-1848283.62</v>
      </c>
      <c r="L466" s="956">
        <f>SUM(5748161)+J466</f>
        <v>-1.0700000002980232</v>
      </c>
      <c r="M466" s="474">
        <f>VLOOKUP(C466,'פקודות נוספות'!$D$273:$G$797,4,0)</f>
        <v>-1848283.62</v>
      </c>
      <c r="N466" s="1104">
        <f>IF(K466=0,"-",J466/K466)</f>
        <v>3.1100000063843014</v>
      </c>
      <c r="O466" s="1510"/>
      <c r="P466" s="52"/>
      <c r="Q466" s="454"/>
      <c r="R466" s="52"/>
      <c r="S466" s="52"/>
      <c r="T466" s="52"/>
      <c r="U466" s="52"/>
      <c r="V466" s="52"/>
      <c r="W466" s="52"/>
      <c r="X466" s="52"/>
      <c r="Y466" s="52"/>
      <c r="Z466" s="52"/>
      <c r="AA466" s="52"/>
      <c r="AB466" s="52"/>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row>
    <row r="467" spans="1:50">
      <c r="A467" s="406"/>
      <c r="B467" s="3659"/>
      <c r="C467" s="156"/>
      <c r="D467" s="203"/>
      <c r="E467" s="1202"/>
      <c r="F467" s="1325"/>
      <c r="J467" s="474"/>
      <c r="K467" s="474"/>
      <c r="L467" s="49"/>
      <c r="M467" s="474"/>
      <c r="O467" s="445"/>
      <c r="P467" s="52"/>
      <c r="Q467" s="454"/>
      <c r="R467" s="52"/>
      <c r="S467" s="52"/>
      <c r="T467" s="52"/>
      <c r="U467" s="52"/>
      <c r="V467" s="52"/>
      <c r="W467" s="52"/>
      <c r="X467" s="52"/>
      <c r="Y467" s="52"/>
      <c r="Z467" s="52"/>
      <c r="AA467" s="52"/>
      <c r="AB467" s="52"/>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row>
    <row r="468" spans="1:50">
      <c r="A468" s="406"/>
      <c r="B468" s="3664"/>
      <c r="C468" s="1161"/>
      <c r="D468" s="2855"/>
      <c r="E468" s="1623">
        <f t="shared" ref="E468:M468" si="104">SUM(E466:E466)</f>
        <v>-5748162.0700000003</v>
      </c>
      <c r="F468" s="1351">
        <f t="shared" si="104"/>
        <v>0</v>
      </c>
      <c r="G468" s="1206">
        <f t="shared" si="104"/>
        <v>0</v>
      </c>
      <c r="H468" s="1206">
        <f t="shared" si="104"/>
        <v>0</v>
      </c>
      <c r="I468" s="1206">
        <f t="shared" si="104"/>
        <v>0</v>
      </c>
      <c r="J468" s="1351">
        <f t="shared" si="104"/>
        <v>-5748162.0700000003</v>
      </c>
      <c r="K468" s="1351">
        <f t="shared" si="104"/>
        <v>-1848283.62</v>
      </c>
      <c r="L468" s="1443"/>
      <c r="M468" s="1351">
        <f t="shared" si="104"/>
        <v>-1848283.62</v>
      </c>
      <c r="N468" s="1104">
        <f>IF(K468=0,"-",J468/K468)</f>
        <v>3.1100000063843014</v>
      </c>
      <c r="O468" s="445"/>
      <c r="P468" s="52"/>
      <c r="Q468" s="454"/>
      <c r="R468" s="52"/>
      <c r="S468" s="52"/>
      <c r="T468" s="52"/>
      <c r="U468" s="52"/>
      <c r="V468" s="52"/>
      <c r="W468" s="52"/>
      <c r="X468" s="52"/>
      <c r="Y468" s="52"/>
      <c r="Z468" s="52"/>
      <c r="AA468" s="52"/>
      <c r="AB468" s="52"/>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row>
    <row r="469" spans="1:50">
      <c r="A469" s="406"/>
      <c r="B469" s="3664"/>
      <c r="C469" s="154"/>
      <c r="D469" s="169"/>
      <c r="E469" s="2853"/>
      <c r="F469" s="1325"/>
      <c r="K469" s="49"/>
      <c r="L469" s="49"/>
      <c r="O469" s="401"/>
      <c r="P469" s="52"/>
      <c r="Q469" s="454"/>
      <c r="R469" s="52"/>
      <c r="S469" s="52"/>
      <c r="T469" s="52"/>
      <c r="U469" s="52"/>
      <c r="V469" s="52"/>
      <c r="W469" s="52"/>
      <c r="X469" s="52"/>
      <c r="Y469" s="52"/>
      <c r="Z469" s="52"/>
      <c r="AA469" s="52"/>
      <c r="AB469" s="52"/>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row>
    <row r="470" spans="1:50" ht="13.5" thickBot="1">
      <c r="A470" s="406"/>
      <c r="B470" s="3664"/>
      <c r="C470" s="154"/>
      <c r="D470" s="607" t="s">
        <v>78</v>
      </c>
      <c r="E470" s="474"/>
      <c r="F470" s="1325"/>
      <c r="J470" s="474"/>
      <c r="K470" s="474"/>
      <c r="L470" s="439"/>
      <c r="M470" s="474"/>
      <c r="N470" s="474"/>
      <c r="O470" s="401"/>
      <c r="P470" s="52"/>
      <c r="Q470" s="454"/>
      <c r="R470" s="52"/>
      <c r="S470" s="52"/>
      <c r="T470" s="52"/>
      <c r="U470" s="52"/>
      <c r="V470" s="52"/>
      <c r="W470" s="52"/>
      <c r="X470" s="52"/>
      <c r="Y470" s="52"/>
      <c r="Z470" s="52"/>
      <c r="AA470" s="52"/>
      <c r="AB470" s="52"/>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row>
    <row r="471" spans="1:50" ht="13.5" thickBot="1">
      <c r="A471" s="406"/>
      <c r="B471" s="3669"/>
      <c r="C471" s="585">
        <v>2400001</v>
      </c>
      <c r="D471" s="1489" t="s">
        <v>421</v>
      </c>
      <c r="E471" s="474">
        <f>VLOOKUP(C471,'פקודות נוספות'!$D$274:$F$797,3,0)</f>
        <v>-5270839.55</v>
      </c>
      <c r="F471" s="171">
        <f>SUMIF('פקודות נוספות'!C:C,C:C,'פקודות נוספות'!E:E)</f>
        <v>0</v>
      </c>
      <c r="J471" s="474">
        <f>SUM(E471:I471)</f>
        <v>-5270839.55</v>
      </c>
      <c r="K471" s="474">
        <f>M471+SUMIF('פקודות נוספות'!C:C,'מאזן בוחן'!C471,'פקודות נוספות'!F:F)</f>
        <v>-1694803.71</v>
      </c>
      <c r="L471" s="956">
        <f>'Accrued expenses'!$O$69+'מאזן בוחן'!J471</f>
        <v>-219.27549569774419</v>
      </c>
      <c r="M471" s="474">
        <f>VLOOKUP(C471,'פקודות נוספות'!$D$273:$G$797,4,0)</f>
        <v>-1694803.71</v>
      </c>
      <c r="N471" s="1104">
        <f>IF(K471=0,"-",J471/K471)</f>
        <v>3.110000007021462</v>
      </c>
      <c r="O471" s="863" t="s">
        <v>2623</v>
      </c>
      <c r="P471" s="52"/>
      <c r="Q471" s="454"/>
      <c r="R471" s="52"/>
      <c r="S471" s="52"/>
      <c r="T471" s="52"/>
      <c r="U471" s="52"/>
      <c r="V471" s="52"/>
      <c r="W471" s="52"/>
      <c r="X471" s="52"/>
      <c r="Y471" s="52"/>
      <c r="Z471" s="52"/>
      <c r="AA471" s="52"/>
      <c r="AB471" s="52"/>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row>
    <row r="472" spans="1:50">
      <c r="A472" s="406"/>
      <c r="B472" s="3668" t="s">
        <v>1040</v>
      </c>
      <c r="C472" s="585">
        <v>2400002</v>
      </c>
      <c r="D472" s="203" t="s">
        <v>1041</v>
      </c>
      <c r="E472" s="474">
        <f>VLOOKUP(C472,'פקודות נוספות'!$D$274:$F$797,3,0)</f>
        <v>-3253330</v>
      </c>
      <c r="F472" s="1325">
        <f>SUMIF('פקודות נוספות'!C:C,C:C,'פקודות נוספות'!E:E)</f>
        <v>0</v>
      </c>
      <c r="J472" s="474">
        <f>SUM(E472:I472)</f>
        <v>-3253330</v>
      </c>
      <c r="K472" s="474">
        <f>M472+SUMIF('פקודות נוספות'!C:C,'מאזן בוחן'!C472,'פקודות נוספות'!F:F)</f>
        <v>-1046086.82</v>
      </c>
      <c r="L472" s="439"/>
      <c r="M472" s="474">
        <f>VLOOKUP(C472,'פקודות נוספות'!$D$273:$G$797,4,0)</f>
        <v>-1046086.82</v>
      </c>
      <c r="N472" s="1104">
        <f>IF(K472=0,"-",J472/K472)</f>
        <v>3.1099999902493756</v>
      </c>
      <c r="O472" s="1506" t="s">
        <v>2625</v>
      </c>
      <c r="P472" s="52"/>
      <c r="Q472" s="454"/>
      <c r="R472" s="52"/>
      <c r="S472" s="52"/>
      <c r="T472" s="52"/>
      <c r="U472" s="52"/>
      <c r="V472" s="52"/>
      <c r="W472" s="52"/>
      <c r="X472" s="52"/>
      <c r="Y472" s="52"/>
      <c r="Z472" s="52"/>
      <c r="AA472" s="52"/>
      <c r="AB472" s="52"/>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row>
    <row r="473" spans="1:50">
      <c r="A473" s="406"/>
      <c r="B473" s="3664"/>
      <c r="C473" s="156"/>
      <c r="D473" s="203"/>
      <c r="E473" s="747"/>
      <c r="F473" s="1325"/>
      <c r="J473" s="474"/>
      <c r="K473" s="474"/>
      <c r="L473" s="49"/>
      <c r="M473" s="474"/>
      <c r="O473" s="445"/>
      <c r="P473" s="52"/>
      <c r="Q473" s="454"/>
      <c r="R473" s="52"/>
      <c r="S473" s="52"/>
      <c r="T473" s="52"/>
      <c r="U473" s="52"/>
      <c r="V473" s="52"/>
      <c r="W473" s="52"/>
      <c r="X473" s="52"/>
      <c r="Y473" s="52"/>
      <c r="Z473" s="52"/>
      <c r="AA473" s="52"/>
      <c r="AB473" s="52"/>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row>
    <row r="474" spans="1:50">
      <c r="A474" s="406"/>
      <c r="B474" s="3664"/>
      <c r="C474" s="1161"/>
      <c r="D474" s="1646"/>
      <c r="E474" s="1623">
        <f t="shared" ref="E474:M474" si="105">SUM(E471:E473)</f>
        <v>-8524169.5500000007</v>
      </c>
      <c r="F474" s="1206">
        <f t="shared" si="105"/>
        <v>0</v>
      </c>
      <c r="G474" s="1206">
        <f t="shared" si="105"/>
        <v>0</v>
      </c>
      <c r="H474" s="1206">
        <f t="shared" si="105"/>
        <v>0</v>
      </c>
      <c r="I474" s="1206">
        <f t="shared" si="105"/>
        <v>0</v>
      </c>
      <c r="J474" s="1351">
        <f t="shared" si="105"/>
        <v>-8524169.5500000007</v>
      </c>
      <c r="K474" s="1351">
        <f t="shared" si="105"/>
        <v>-2740890.53</v>
      </c>
      <c r="L474" s="1443"/>
      <c r="M474" s="1351">
        <f t="shared" si="105"/>
        <v>-2740890.53</v>
      </c>
      <c r="N474" s="1104">
        <f>IF(K474=0,"-",J474/K474)</f>
        <v>3.1100000006202371</v>
      </c>
      <c r="O474" s="445"/>
      <c r="P474" s="52"/>
      <c r="Q474" s="454"/>
      <c r="R474" s="52"/>
      <c r="S474" s="52"/>
      <c r="T474" s="52"/>
      <c r="U474" s="52"/>
      <c r="V474" s="52"/>
      <c r="W474" s="52"/>
      <c r="X474" s="52"/>
      <c r="Y474" s="52"/>
      <c r="Z474" s="52"/>
      <c r="AA474" s="52"/>
      <c r="AB474" s="52"/>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row>
    <row r="475" spans="1:50">
      <c r="A475" s="406"/>
      <c r="B475" s="3768"/>
      <c r="C475" s="154"/>
      <c r="D475" s="2040" t="s">
        <v>194</v>
      </c>
      <c r="E475" s="1628"/>
      <c r="F475" s="1670"/>
      <c r="I475" s="1648"/>
      <c r="K475" s="1644"/>
      <c r="L475" s="439"/>
      <c r="O475" s="445"/>
      <c r="P475" s="52"/>
      <c r="Q475" s="454"/>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row>
    <row r="476" spans="1:50">
      <c r="A476" s="406"/>
      <c r="B476" s="3669" t="s">
        <v>1019</v>
      </c>
      <c r="C476" s="1119">
        <v>53501</v>
      </c>
      <c r="D476" s="1649" t="s">
        <v>1020</v>
      </c>
      <c r="E476" s="49">
        <f>IFERROR(VLOOKUP(C476,'פקודות נוספות'!$D$274:$F$797,3,0),0)</f>
        <v>-900865.9</v>
      </c>
      <c r="F476" s="1325">
        <f>SUMIF('פקודות נוספות'!C:C,C:C,'פקודות נוספות'!E:E)</f>
        <v>0</v>
      </c>
      <c r="J476" s="474">
        <f t="shared" ref="J476:J503" si="106">SUM(E476:I476)</f>
        <v>-900865.9</v>
      </c>
      <c r="K476" s="474">
        <f>M476+SUMIF('פקודות נוספות'!C:C,'מאזן בוחן'!C476,'פקודות נוספות'!F:F)</f>
        <v>-281791.51</v>
      </c>
      <c r="L476" s="49"/>
      <c r="M476" s="171">
        <f>VLOOKUP(C476,'פקודות נוספות'!$D$273:$G$797,4,0)</f>
        <v>-281791.51</v>
      </c>
      <c r="N476" s="1104">
        <f>IF(K476=0,"-",J476/K476)</f>
        <v>3.1969234985113641</v>
      </c>
      <c r="P476" s="52"/>
      <c r="Q476" s="454"/>
      <c r="R476" s="52"/>
      <c r="S476" s="52"/>
      <c r="T476" s="52"/>
      <c r="U476" s="52"/>
      <c r="V476" s="52"/>
      <c r="W476" s="52"/>
      <c r="X476" s="52"/>
      <c r="Y476" s="52"/>
      <c r="Z476" s="52"/>
      <c r="AA476" s="52"/>
      <c r="AB476" s="52"/>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row>
    <row r="477" spans="1:50">
      <c r="A477" s="406"/>
      <c r="B477" s="3669" t="s">
        <v>1019</v>
      </c>
      <c r="C477" s="1119">
        <v>53502</v>
      </c>
      <c r="D477" s="1649" t="s">
        <v>1021</v>
      </c>
      <c r="E477" s="49">
        <f>IFERROR(VLOOKUP(C477,'פקודות נוספות'!$D$274:$F$797,3,0),0)</f>
        <v>-16764894.039999999</v>
      </c>
      <c r="F477" s="1325">
        <f>SUMIF('פקודות נוספות'!C:C,C:C,'פקודות נוספות'!E:E)</f>
        <v>0</v>
      </c>
      <c r="J477" s="474">
        <f t="shared" si="106"/>
        <v>-16764894.039999999</v>
      </c>
      <c r="K477" s="474">
        <f>M477+SUMIF('פקודות נוספות'!C:C,'מאזן בוחן'!C477,'פקודות נוספות'!F:F)</f>
        <v>-5029161.25</v>
      </c>
      <c r="L477" s="49"/>
      <c r="M477" s="171">
        <f>VLOOKUP(C477,'פקודות נוספות'!$D$273:$G$797,4,0)</f>
        <v>-5029161.25</v>
      </c>
      <c r="N477" s="1104">
        <f>IF(K477=0,"-",J477/K477)</f>
        <v>3.3335367880677915</v>
      </c>
      <c r="O477" s="1116"/>
      <c r="P477" s="52"/>
      <c r="Q477" s="454"/>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row>
    <row r="478" spans="1:50">
      <c r="A478" s="406"/>
      <c r="B478" s="3669" t="s">
        <v>1019</v>
      </c>
      <c r="C478" s="1119">
        <v>53515</v>
      </c>
      <c r="D478" s="1649" t="s">
        <v>1023</v>
      </c>
      <c r="E478" s="49">
        <f>IFERROR(VLOOKUP(C478,'פקודות נוספות'!$D$274:$F$797,3,0),0)</f>
        <v>-400391.45</v>
      </c>
      <c r="F478" s="1325">
        <f>SUMIF('פקודות נוספות'!C:C,C:C,'פקודות נוספות'!E:E)</f>
        <v>0</v>
      </c>
      <c r="G478" s="439"/>
      <c r="H478" s="439"/>
      <c r="J478" s="474">
        <f t="shared" si="106"/>
        <v>-400391.45</v>
      </c>
      <c r="K478" s="474">
        <f>M478+SUMIF('פקודות נוספות'!C:C,'מאזן בוחן'!C478,'פקודות נוספות'!F:F)</f>
        <v>-121490.82</v>
      </c>
      <c r="L478" s="49"/>
      <c r="M478" s="171">
        <f>VLOOKUP(C478,'פקודות נוספות'!$D$273:$G$797,4,0)</f>
        <v>-121490.82</v>
      </c>
      <c r="N478" s="1104">
        <f>IF(K478=0,"-",J478/K478)</f>
        <v>3.2956518854675605</v>
      </c>
      <c r="O478" s="1116"/>
      <c r="P478" s="52"/>
      <c r="Q478" s="454"/>
      <c r="R478" s="52"/>
      <c r="S478" s="52"/>
      <c r="T478" s="52"/>
      <c r="U478" s="52"/>
      <c r="V478" s="52"/>
      <c r="W478" s="52"/>
      <c r="X478" s="52"/>
      <c r="Y478" s="52"/>
      <c r="Z478" s="52"/>
      <c r="AA478" s="52"/>
      <c r="AB478" s="52"/>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row>
    <row r="479" spans="1:50" ht="13.5" thickBot="1">
      <c r="A479" s="406"/>
      <c r="B479" s="3669" t="s">
        <v>1019</v>
      </c>
      <c r="C479" s="1119">
        <v>53516</v>
      </c>
      <c r="D479" s="1649" t="s">
        <v>1638</v>
      </c>
      <c r="E479" s="49">
        <f>IFERROR(VLOOKUP(C479,'פקודות נוספות'!$D$274:$F$797,3,0),0)</f>
        <v>0</v>
      </c>
      <c r="F479" s="1325">
        <f>SUMIF('פקודות נוספות'!C:C,C:C,'פקודות נוספות'!E:E)</f>
        <v>0</v>
      </c>
      <c r="G479" s="439"/>
      <c r="H479" s="439"/>
      <c r="I479" s="439"/>
      <c r="J479" s="474">
        <f t="shared" si="106"/>
        <v>0</v>
      </c>
      <c r="K479" s="1577">
        <f>M479+SUMIF('פקודות נוספות'!C:C,'מאזן בוחן'!C479,'פקודות נוספות'!F:F)</f>
        <v>0</v>
      </c>
      <c r="L479" s="439"/>
      <c r="M479" s="171"/>
      <c r="N479" s="1104" t="str">
        <f>IF(K479=0,"-",J479/K479)</f>
        <v>-</v>
      </c>
      <c r="P479" s="52"/>
      <c r="Q479" s="454"/>
      <c r="R479" s="52"/>
      <c r="S479" s="52"/>
      <c r="T479" s="52"/>
      <c r="U479" s="52"/>
      <c r="V479" s="52"/>
      <c r="W479" s="52"/>
      <c r="X479" s="52"/>
      <c r="Y479" s="52"/>
      <c r="Z479" s="52"/>
      <c r="AA479" s="52"/>
      <c r="AB479" s="52"/>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row>
    <row r="480" spans="1:50" ht="13.5" thickBot="1">
      <c r="A480" s="406"/>
      <c r="B480" s="3669" t="s">
        <v>1019</v>
      </c>
      <c r="C480" s="1119">
        <v>53513</v>
      </c>
      <c r="D480" s="1649" t="s">
        <v>1344</v>
      </c>
      <c r="E480" s="49">
        <f>IFERROR(VLOOKUP(C480,'פקודות נוספות'!$D$274:$F$797,3,0),0)</f>
        <v>-67014.48</v>
      </c>
      <c r="F480" s="1325">
        <f>SUMIF('פקודות נוספות'!C:C,C:C,'פקודות נוספות'!E:E)</f>
        <v>0</v>
      </c>
      <c r="J480" s="474">
        <f t="shared" si="106"/>
        <v>-67014.48</v>
      </c>
      <c r="K480" s="474">
        <f>M480+SUMIF('פקודות נוספות'!C:C,'מאזן בוחן'!C480,'פקודות נוספות'!F:F)</f>
        <v>-18549.37</v>
      </c>
      <c r="L480" s="956">
        <f>J480-SUM('[15]12.21'!$K$208)</f>
        <v>0</v>
      </c>
      <c r="M480" s="474">
        <f>IFERROR(VLOOKUP(C480,'פקודות נוספות'!$D$273:$G$797,4,0),0)</f>
        <v>-18549.37</v>
      </c>
      <c r="N480" s="1104">
        <f>IF(K480=0,"-",J480/K480)</f>
        <v>3.6127631288825444</v>
      </c>
      <c r="O480" s="1116"/>
      <c r="P480" s="52"/>
      <c r="Q480" s="454"/>
      <c r="R480" s="52"/>
      <c r="S480" s="52"/>
      <c r="T480" s="52"/>
      <c r="U480" s="52"/>
      <c r="V480" s="52"/>
      <c r="W480" s="52"/>
      <c r="X480" s="52"/>
      <c r="Y480" s="52"/>
      <c r="Z480" s="52"/>
      <c r="AA480" s="52"/>
      <c r="AB480" s="52"/>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row>
    <row r="481" spans="1:50" ht="13.5" thickBot="1">
      <c r="A481" s="406"/>
      <c r="B481" s="3669" t="s">
        <v>1019</v>
      </c>
      <c r="C481" s="1119">
        <v>53514</v>
      </c>
      <c r="D481" s="1649" t="s">
        <v>1022</v>
      </c>
      <c r="E481" s="49">
        <f>IFERROR(VLOOKUP(C481,'פקודות נוספות'!$D$274:$F$797,3,0),0)</f>
        <v>-379767.84</v>
      </c>
      <c r="F481" s="1325">
        <f>SUMIF('פקודות נוספות'!C:C,C:C,'פקודות נוספות'!E:E)</f>
        <v>0</v>
      </c>
      <c r="G481" s="439"/>
      <c r="J481" s="474">
        <f t="shared" si="106"/>
        <v>-379767.84</v>
      </c>
      <c r="K481" s="474">
        <f>M481+SUMIF('פקודות נוספות'!C:C,'מאזן בוחן'!C481,'פקודות נוספות'!F:F)</f>
        <v>-113768.83</v>
      </c>
      <c r="L481" s="956">
        <f>SUM('[15]12.21'!$K$193:$K$207)-K481</f>
        <v>-560.33440000002156</v>
      </c>
      <c r="M481" s="474">
        <f>IFERROR(VLOOKUP(C481,'פקודות נוספות'!$D$273:$G$797,4,0),0)</f>
        <v>-113768.83</v>
      </c>
      <c r="N481" s="1104">
        <f t="shared" ref="N481:N568" si="107">IF(K481=0,"-",J481/K481)</f>
        <v>3.3380657953500972</v>
      </c>
      <c r="O481" s="1116"/>
      <c r="P481" s="52"/>
      <c r="Q481" s="454"/>
      <c r="R481" s="52"/>
      <c r="S481" s="52"/>
      <c r="T481" s="52"/>
      <c r="U481" s="52"/>
      <c r="V481" s="52"/>
      <c r="W481" s="52"/>
      <c r="X481" s="52"/>
      <c r="Y481" s="52"/>
      <c r="Z481" s="52"/>
      <c r="AA481" s="52"/>
      <c r="AB481" s="52"/>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row>
    <row r="482" spans="1:50" ht="13.5" thickBot="1">
      <c r="A482" s="406"/>
      <c r="B482" s="3815" t="s">
        <v>1019</v>
      </c>
      <c r="C482" s="1119">
        <v>53550</v>
      </c>
      <c r="D482" s="1649" t="s">
        <v>351</v>
      </c>
      <c r="E482" s="49">
        <f>IFERROR(VLOOKUP(C482,'פקודות נוספות'!$D$274:$F$797,3,0),0)</f>
        <v>-856154.48</v>
      </c>
      <c r="F482" s="1325">
        <f>SUMIF('פקודות נוספות'!C:C,C:C,'פקודות נוספות'!E:E)</f>
        <v>0</v>
      </c>
      <c r="G482" s="439"/>
      <c r="H482" s="439"/>
      <c r="I482" s="439"/>
      <c r="J482" s="474">
        <f t="shared" si="106"/>
        <v>-856154.48</v>
      </c>
      <c r="K482" s="170">
        <f>M482+SUMIF('פקודות נוספות'!C:C,'מאזן בוחן'!C482,'פקודות נוספות'!F:F)</f>
        <v>-230203.49</v>
      </c>
      <c r="L482" s="49"/>
      <c r="M482" s="474">
        <f>IFERROR(VLOOKUP(C482,'פקודות נוספות'!$D$273:$G$797,4,0),0)</f>
        <v>-230203.49</v>
      </c>
      <c r="N482" s="1104">
        <f t="shared" si="107"/>
        <v>3.7191203313207808</v>
      </c>
      <c r="P482" s="52"/>
      <c r="Q482" s="454"/>
      <c r="R482" s="52"/>
      <c r="S482" s="52"/>
      <c r="T482" s="52"/>
      <c r="U482" s="52"/>
      <c r="V482" s="52"/>
      <c r="W482" s="52"/>
      <c r="X482" s="52"/>
      <c r="Y482" s="52"/>
      <c r="Z482" s="52"/>
      <c r="AA482" s="52"/>
      <c r="AB482" s="52"/>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row>
    <row r="483" spans="1:50">
      <c r="A483" s="406"/>
      <c r="B483" s="3669" t="s">
        <v>1019</v>
      </c>
      <c r="C483" s="1119">
        <v>53580</v>
      </c>
      <c r="D483" s="1649" t="s">
        <v>1661</v>
      </c>
      <c r="E483" s="49">
        <f>IFERROR(VLOOKUP(C483,'פקודות נוספות'!$D$274:$F$797,3,0),0)</f>
        <v>-41509.440000000002</v>
      </c>
      <c r="F483" s="1325">
        <f>SUMIF('פקודות נוספות'!C:C,C:C,'פקודות נוספות'!E:E)</f>
        <v>0</v>
      </c>
      <c r="G483" s="439"/>
      <c r="H483" s="439"/>
      <c r="J483" s="474">
        <f t="shared" si="106"/>
        <v>-41509.440000000002</v>
      </c>
      <c r="K483" s="474">
        <f>M483+SUMIF('פקודות נוספות'!C:C,'מאזן בוחן'!C483,'פקודות נוספות'!F:F)</f>
        <v>-12975.11</v>
      </c>
      <c r="L483" s="4329" cm="1">
        <f t="array" ref="L483">SUM('606-Prepaid Comm&amp;DR SUB'!B200+'606-Prepaid Comm&amp;DR SUB'!B201,-'[16]53599 - Ltd'!$E$33:$O$34)+SUM(K483:K484)</f>
        <v>1959.2943853409961</v>
      </c>
      <c r="M483" s="474">
        <f>IFERROR(VLOOKUP(C483,'פקודות נוספות'!$D$273:$G$797,4,0),0)</f>
        <v>-12975.11</v>
      </c>
      <c r="N483" s="1104">
        <f>IF(K483=0,"-",J483/K483)</f>
        <v>3.1991590052030388</v>
      </c>
      <c r="O483" s="4331" t="s">
        <v>3636</v>
      </c>
      <c r="P483" s="52"/>
      <c r="Q483" s="454"/>
      <c r="R483" s="52"/>
      <c r="S483" s="52"/>
      <c r="T483" s="52"/>
      <c r="U483" s="52"/>
      <c r="V483" s="52"/>
      <c r="W483" s="52"/>
      <c r="X483" s="52"/>
      <c r="Y483" s="52"/>
      <c r="Z483" s="52"/>
      <c r="AA483" s="52"/>
      <c r="AB483" s="52"/>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row>
    <row r="484" spans="1:50" ht="13.5" thickBot="1">
      <c r="A484" s="406"/>
      <c r="B484" s="3669" t="s">
        <v>1019</v>
      </c>
      <c r="C484" s="1119">
        <v>53581</v>
      </c>
      <c r="D484" s="1649" t="s">
        <v>1662</v>
      </c>
      <c r="E484" s="49">
        <f>IFERROR(VLOOKUP(C484,'פקודות נוספות'!$D$274:$F$797,3,0),0)</f>
        <v>-5456294.1299999999</v>
      </c>
      <c r="F484" s="1325">
        <f>SUMIF('פקודות נוספות'!C:C,C:C,'פקודות נוספות'!E:E)</f>
        <v>0</v>
      </c>
      <c r="G484" s="439"/>
      <c r="J484" s="1641">
        <f t="shared" si="106"/>
        <v>-5456294.1299999999</v>
      </c>
      <c r="K484" s="1641">
        <f>M484+SUMIF('פקודות נוספות'!C:C,'מאזן בוחן'!C484,'פקודות נוספות'!F:F)</f>
        <v>-1636591.72</v>
      </c>
      <c r="L484" s="4330"/>
      <c r="M484" s="474">
        <f>IFERROR(VLOOKUP(C484,'פקודות נוספות'!$D$273:$G$797,4,0),0)</f>
        <v>-1636591.72</v>
      </c>
      <c r="N484" s="1104">
        <f>IF(K484=0,"-",J484/K484)</f>
        <v>3.3339372693392337</v>
      </c>
      <c r="O484" s="4332"/>
      <c r="P484" s="52"/>
      <c r="Q484" s="454"/>
      <c r="R484" s="52"/>
      <c r="S484" s="52"/>
      <c r="T484" s="52"/>
      <c r="U484" s="52"/>
      <c r="V484" s="52"/>
      <c r="W484" s="52"/>
      <c r="X484" s="52"/>
      <c r="Y484" s="52"/>
      <c r="Z484" s="52"/>
      <c r="AA484" s="52"/>
      <c r="AB484" s="52"/>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row>
    <row r="485" spans="1:50" s="1417" customFormat="1" ht="26.25" thickBot="1">
      <c r="A485" s="1599"/>
      <c r="B485" s="3814" t="s">
        <v>1019</v>
      </c>
      <c r="C485" s="1444">
        <v>53599</v>
      </c>
      <c r="D485" s="1751" t="s">
        <v>1024</v>
      </c>
      <c r="E485" s="1642">
        <f>IFERROR(VLOOKUP(C485,'פקודות נוספות'!$D$274:$F$797,3,0),0)</f>
        <v>-1292732.26</v>
      </c>
      <c r="F485" s="1642">
        <f>SUMIF('פקודות נוספות'!C:C,C:C,'פקודות נוספות'!E:E)</f>
        <v>0</v>
      </c>
      <c r="G485" s="1642"/>
      <c r="H485" s="1642"/>
      <c r="I485" s="1642"/>
      <c r="J485" s="1641">
        <f t="shared" si="106"/>
        <v>-1292732.26</v>
      </c>
      <c r="K485" s="1641">
        <f>M485+SUMIF('פקודות נוספות'!C:C,'מאזן בוחן'!C485,'פקודות נוספות'!F:F)</f>
        <v>-390041.9</v>
      </c>
      <c r="L485" s="2222">
        <f>SUM('[16]53599 - Ltd'!$C$46:$O$46,'ביאורים לדוחות הכספיים'!B107,'ביאורים לדוחות הכספיים'!B108)+K485</f>
        <v>-0.20470734289847314</v>
      </c>
      <c r="M485" s="1641">
        <f>IFERROR(VLOOKUP(C485,'פקודות נוספות'!$D$273:$G$797,4,0),0)</f>
        <v>-390041.9</v>
      </c>
      <c r="N485" s="1104">
        <f t="shared" si="107"/>
        <v>3.3143420232544245</v>
      </c>
      <c r="O485" s="3207" t="s">
        <v>3818</v>
      </c>
      <c r="Q485" s="1596"/>
      <c r="T485" s="1600"/>
      <c r="U485" s="1600"/>
      <c r="V485" s="1600"/>
      <c r="W485" s="1600"/>
      <c r="X485" s="1600"/>
      <c r="Y485" s="1600"/>
      <c r="Z485" s="1600"/>
      <c r="AA485" s="1600"/>
      <c r="AB485" s="1600"/>
      <c r="AC485" s="1600"/>
      <c r="AD485" s="1600"/>
      <c r="AE485" s="1600"/>
      <c r="AF485" s="1600"/>
      <c r="AG485" s="1600"/>
      <c r="AH485" s="1600"/>
      <c r="AI485" s="1600"/>
      <c r="AJ485" s="1600"/>
      <c r="AK485" s="1600"/>
      <c r="AL485" s="1600"/>
      <c r="AM485" s="1600"/>
      <c r="AN485" s="1600"/>
      <c r="AO485" s="1600"/>
      <c r="AP485" s="1600"/>
      <c r="AQ485" s="1600"/>
      <c r="AR485" s="1600"/>
      <c r="AS485" s="1600"/>
      <c r="AT485" s="1600"/>
      <c r="AU485" s="1600"/>
      <c r="AV485" s="1600"/>
      <c r="AW485" s="1600"/>
      <c r="AX485" s="1600"/>
    </row>
    <row r="486" spans="1:50" ht="13.5" thickBot="1">
      <c r="A486" s="406"/>
      <c r="B486" s="3669" t="s">
        <v>1019</v>
      </c>
      <c r="C486" s="1119" t="s">
        <v>1868</v>
      </c>
      <c r="D486" s="1649" t="s">
        <v>1869</v>
      </c>
      <c r="E486" s="49">
        <f>IFERROR(VLOOKUP(C486,'פקודות נוספות'!$D$274:$F$797,3,0),0)</f>
        <v>11325681</v>
      </c>
      <c r="F486" s="49">
        <f>SUMIF('פקודות נוספות'!C:C,C:C,'פקודות נוספות'!E:E)</f>
        <v>0</v>
      </c>
      <c r="G486" s="439"/>
      <c r="H486" s="439"/>
      <c r="J486" s="474">
        <f t="shared" si="106"/>
        <v>11325681</v>
      </c>
      <c r="K486" s="171">
        <f>M486+SUMIF('פקודות נוספות'!C:C,'מאזן בוחן'!C486,'פקודות נוספות'!F:F)</f>
        <v>3596654</v>
      </c>
      <c r="L486" s="2222"/>
      <c r="M486" s="474">
        <f>VLOOKUP(C486,'פקודות נוספות'!$D$273:$G$797,4,0)</f>
        <v>3596654</v>
      </c>
      <c r="N486" s="1104">
        <f>IF(K486=0,"-",J486/K486)</f>
        <v>3.1489492734080065</v>
      </c>
      <c r="O486" s="3209"/>
      <c r="P486" s="52"/>
      <c r="Q486" s="454"/>
      <c r="R486" s="52"/>
      <c r="S486" s="52"/>
      <c r="T486" s="52"/>
      <c r="U486" s="52"/>
      <c r="V486" s="52"/>
      <c r="W486" s="52"/>
      <c r="X486" s="52"/>
      <c r="Y486" s="52"/>
      <c r="Z486" s="52"/>
      <c r="AA486" s="52"/>
      <c r="AB486" s="52"/>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row>
    <row r="487" spans="1:50" s="1417" customFormat="1" ht="13.5" thickBot="1">
      <c r="A487" s="1599"/>
      <c r="B487" s="3743"/>
      <c r="C487" s="1444"/>
      <c r="D487" s="1751"/>
      <c r="E487" s="1642"/>
      <c r="F487" s="1325"/>
      <c r="G487" s="1642"/>
      <c r="H487" s="1642"/>
      <c r="I487" s="1642"/>
      <c r="J487" s="474"/>
      <c r="K487" s="1341"/>
      <c r="L487" s="52"/>
      <c r="M487" s="1341"/>
      <c r="N487" s="1104"/>
      <c r="O487" s="2697"/>
      <c r="Q487" s="1596"/>
      <c r="T487" s="1600"/>
      <c r="U487" s="1600"/>
      <c r="V487" s="1600"/>
      <c r="W487" s="1600"/>
      <c r="X487" s="1600"/>
      <c r="Y487" s="1600"/>
      <c r="Z487" s="1600"/>
      <c r="AA487" s="1600"/>
      <c r="AB487" s="1600"/>
      <c r="AC487" s="1600"/>
      <c r="AD487" s="1600"/>
      <c r="AE487" s="1600"/>
      <c r="AF487" s="1600"/>
      <c r="AG487" s="1600"/>
      <c r="AH487" s="1600"/>
      <c r="AI487" s="1600"/>
      <c r="AJ487" s="1600"/>
      <c r="AK487" s="1600"/>
      <c r="AL487" s="1600"/>
      <c r="AM487" s="1600"/>
      <c r="AN487" s="1600"/>
      <c r="AO487" s="1600"/>
      <c r="AP487" s="1600"/>
      <c r="AQ487" s="1600"/>
      <c r="AR487" s="1600"/>
      <c r="AS487" s="1600"/>
      <c r="AT487" s="1600"/>
      <c r="AU487" s="1600"/>
      <c r="AV487" s="1600"/>
      <c r="AW487" s="1600"/>
      <c r="AX487" s="1600"/>
    </row>
    <row r="488" spans="1:50" ht="13.5" thickBot="1">
      <c r="A488" s="406"/>
      <c r="B488" s="3659" t="s">
        <v>350</v>
      </c>
      <c r="C488" s="1119">
        <v>53600</v>
      </c>
      <c r="D488" s="1649" t="s">
        <v>498</v>
      </c>
      <c r="E488" s="49">
        <f>IFERROR(VLOOKUP(C488,'פקודות נוספות'!$D$274:$F$797,3,0),0)</f>
        <v>-10470146</v>
      </c>
      <c r="F488" s="49">
        <f>SUMIF('פקודות נוספות'!C:C,C:C,'פקודות נוספות'!E:E)</f>
        <v>0</v>
      </c>
      <c r="J488" s="474">
        <f t="shared" si="106"/>
        <v>-10470146</v>
      </c>
      <c r="K488" s="49">
        <f>M488+SUMIF('פקודות נוספות'!C:C,'מאזן בוחן'!C488,'פקודות נוספות'!F:F)</f>
        <v>-3366606</v>
      </c>
      <c r="L488" s="2222">
        <f>SUM('[17]12.2021'!$E$14040)+SUM(K476:K488)</f>
        <v>0.21555888745933771</v>
      </c>
      <c r="M488" s="1341">
        <f>IFERROR(VLOOKUP(C488,'פקודות נוספות'!$D$273:$G$797,4,0),0)</f>
        <v>-3366606</v>
      </c>
      <c r="N488" s="1104">
        <f>IF(K488=0,"-",J488/K488)</f>
        <v>3.1100003980269744</v>
      </c>
      <c r="O488" s="2451"/>
      <c r="P488" s="52"/>
      <c r="Q488" s="2055"/>
      <c r="R488" s="52"/>
      <c r="S488" s="52"/>
    </row>
    <row r="489" spans="1:50" s="1417" customFormat="1">
      <c r="A489" s="1599"/>
      <c r="B489" s="3743"/>
      <c r="C489" s="1444"/>
      <c r="D489" s="1751"/>
      <c r="E489" s="1642"/>
      <c r="F489" s="49"/>
      <c r="G489" s="1642"/>
      <c r="H489" s="1642"/>
      <c r="I489" s="1642"/>
      <c r="J489" s="474"/>
      <c r="K489" s="1340"/>
      <c r="L489" s="439"/>
      <c r="M489" s="1641"/>
      <c r="N489" s="1104"/>
      <c r="O489" s="2451"/>
      <c r="Q489" s="1596"/>
      <c r="T489" s="1600"/>
      <c r="U489" s="1600"/>
      <c r="V489" s="1600"/>
      <c r="W489" s="1600"/>
      <c r="X489" s="1600"/>
      <c r="Y489" s="1600"/>
      <c r="Z489" s="1600"/>
      <c r="AA489" s="1600"/>
      <c r="AB489" s="1600"/>
      <c r="AC489" s="1600"/>
      <c r="AD489" s="1600"/>
      <c r="AE489" s="1600"/>
      <c r="AF489" s="1600"/>
      <c r="AG489" s="1600"/>
      <c r="AH489" s="1600"/>
      <c r="AI489" s="1600"/>
      <c r="AJ489" s="1600"/>
      <c r="AK489" s="1600"/>
      <c r="AL489" s="1600"/>
      <c r="AM489" s="1600"/>
      <c r="AN489" s="1600"/>
      <c r="AO489" s="1600"/>
      <c r="AP489" s="1600"/>
      <c r="AQ489" s="1600"/>
      <c r="AR489" s="1600"/>
      <c r="AS489" s="1600"/>
      <c r="AT489" s="1600"/>
      <c r="AU489" s="1600"/>
      <c r="AV489" s="1600"/>
      <c r="AW489" s="1600"/>
      <c r="AX489" s="1600"/>
    </row>
    <row r="490" spans="1:50">
      <c r="A490" s="406"/>
      <c r="B490" s="3659" t="s">
        <v>1019</v>
      </c>
      <c r="C490" s="1119">
        <v>53588</v>
      </c>
      <c r="D490" s="1649" t="s">
        <v>1923</v>
      </c>
      <c r="E490" s="49">
        <f>IFERROR(VLOOKUP(C490,'פקודות נוספות'!$D$274:$F$797,3,0),0)</f>
        <v>-35665054.710000001</v>
      </c>
      <c r="F490" s="49">
        <f>SUMIF('פקודות נוספות'!C:C,C:C,'פקודות נוספות'!E:E)</f>
        <v>0</v>
      </c>
      <c r="J490" s="474">
        <f t="shared" si="106"/>
        <v>-35665054.710000001</v>
      </c>
      <c r="K490" s="170">
        <f>M490+SUMIF('פקודות נוספות'!C:C,'מאזן בוחן'!C490,'פקודות נוספות'!F:F)</f>
        <v>-11467863.26</v>
      </c>
      <c r="L490" s="2242"/>
      <c r="M490" s="1341">
        <f>IFERROR(VLOOKUP(C490,'פקודות נוספות'!$D$273:$G$797,4,0),0)</f>
        <v>-11467863.26</v>
      </c>
      <c r="N490" s="1104">
        <f>IF(K490=0,"-",J490/K490)</f>
        <v>3.1099999975060744</v>
      </c>
      <c r="O490" s="2451"/>
      <c r="P490" s="52"/>
      <c r="Q490" s="454"/>
      <c r="R490" s="52"/>
      <c r="S490" s="52"/>
    </row>
    <row r="491" spans="1:50">
      <c r="A491" s="406"/>
      <c r="B491" s="3659"/>
      <c r="C491" s="1119"/>
      <c r="D491" s="1649"/>
      <c r="F491" s="1325"/>
      <c r="J491" s="474"/>
      <c r="K491" s="474"/>
      <c r="L491" s="439"/>
      <c r="M491" s="1341"/>
      <c r="O491" s="2451"/>
      <c r="P491" s="52"/>
      <c r="Q491" s="454"/>
      <c r="R491" s="52"/>
      <c r="S491" s="52"/>
    </row>
    <row r="492" spans="1:50">
      <c r="A492" s="406"/>
      <c r="B492" s="3659" t="s">
        <v>1019</v>
      </c>
      <c r="C492" s="1119">
        <v>53602</v>
      </c>
      <c r="D492" s="1649" t="s">
        <v>1488</v>
      </c>
      <c r="E492" s="49">
        <f>IFERROR(VLOOKUP(C492,'פקודות נוספות'!$D$274:$F$797,3,0),0)</f>
        <v>0</v>
      </c>
      <c r="F492" s="49">
        <f>SUMIF('פקודות נוספות'!C:C,C:C,'פקודות נוספות'!E:E)</f>
        <v>0</v>
      </c>
      <c r="J492" s="474">
        <f t="shared" si="106"/>
        <v>0</v>
      </c>
      <c r="K492" s="474">
        <f>M492+SUMIF('פקודות נוספות'!C:C,'מאזן בוחן'!C492,'פקודות נוספות'!F:F)</f>
        <v>0</v>
      </c>
      <c r="L492" s="49"/>
      <c r="M492" s="1341">
        <f>IFERROR(VLOOKUP(C492,'פקודות נוספות'!$D$273:$G$797,4,0),0)</f>
        <v>0</v>
      </c>
      <c r="N492" s="1104" t="str">
        <f t="shared" si="107"/>
        <v>-</v>
      </c>
      <c r="O492" s="2451"/>
      <c r="P492" s="52"/>
      <c r="Q492" s="454"/>
      <c r="R492" s="52"/>
      <c r="S492" s="52"/>
    </row>
    <row r="493" spans="1:50">
      <c r="A493" s="406"/>
      <c r="B493" s="3659"/>
      <c r="C493" s="1119"/>
      <c r="D493" s="1649"/>
      <c r="F493" s="1325"/>
      <c r="J493" s="474"/>
      <c r="K493" s="474"/>
      <c r="L493" s="49"/>
      <c r="M493" s="1341"/>
      <c r="O493" s="1497"/>
      <c r="P493" s="52"/>
      <c r="Q493" s="454"/>
      <c r="R493" s="52"/>
      <c r="S493" s="52"/>
    </row>
    <row r="494" spans="1:50">
      <c r="A494" s="406"/>
      <c r="B494" s="3659" t="s">
        <v>350</v>
      </c>
      <c r="C494" s="1119">
        <v>53699</v>
      </c>
      <c r="D494" s="1649" t="s">
        <v>1925</v>
      </c>
      <c r="E494" s="49">
        <f>IFERROR(VLOOKUP(C494,'פקודות נוספות'!$D$274:$F$797,3,0),0)</f>
        <v>-21497740.960000001</v>
      </c>
      <c r="F494" s="49">
        <f>SUMIF('פקודות נוספות'!C:C,C:C,'פקודות נוספות'!E:E)</f>
        <v>0</v>
      </c>
      <c r="J494" s="474">
        <f t="shared" si="106"/>
        <v>-21497740.960000001</v>
      </c>
      <c r="K494" s="474">
        <f>M494+SUMIF('פקודות נוספות'!C:C,'מאזן בוחן'!C494,'פקודות נוספות'!F:F)</f>
        <v>-6912456.9000000004</v>
      </c>
      <c r="L494" s="49"/>
      <c r="M494" s="1341">
        <f>IFERROR(VLOOKUP(C494,'פקודות נוספות'!$D$273:$G$797,4,0),0)</f>
        <v>-6912456.9000000004</v>
      </c>
      <c r="N494" s="1104">
        <f t="shared" si="107"/>
        <v>3.1100000001446664</v>
      </c>
      <c r="O494" s="1497"/>
      <c r="P494" s="52"/>
      <c r="Q494" s="454"/>
      <c r="R494" s="52"/>
      <c r="S494" s="52"/>
      <c r="T494" s="52"/>
      <c r="U494" s="52"/>
      <c r="V494" s="52"/>
      <c r="W494" s="52"/>
      <c r="X494" s="52"/>
      <c r="Y494" s="52"/>
      <c r="Z494" s="52"/>
      <c r="AA494" s="52"/>
      <c r="AB494" s="52"/>
      <c r="AC494" s="52"/>
      <c r="AD494" s="52"/>
      <c r="AE494" s="52"/>
      <c r="AF494" s="52"/>
      <c r="AG494" s="52"/>
      <c r="AH494" s="52"/>
      <c r="AI494" s="52"/>
      <c r="AJ494" s="52"/>
      <c r="AK494" s="52"/>
      <c r="AL494" s="52"/>
      <c r="AM494" s="52"/>
      <c r="AN494" s="52"/>
      <c r="AO494" s="52"/>
      <c r="AP494" s="52"/>
      <c r="AQ494" s="52"/>
      <c r="AR494" s="52"/>
      <c r="AS494" s="52"/>
      <c r="AT494" s="52"/>
      <c r="AU494" s="52"/>
      <c r="AV494" s="52"/>
      <c r="AW494" s="52"/>
      <c r="AX494" s="52"/>
    </row>
    <row r="495" spans="1:50" ht="13.5" thickBot="1">
      <c r="B495" s="3668"/>
      <c r="D495" s="465"/>
      <c r="E495" s="439"/>
      <c r="F495" s="1325"/>
      <c r="J495" s="474"/>
      <c r="L495" s="49"/>
      <c r="M495" s="1341"/>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c r="AT495" s="52"/>
      <c r="AU495" s="52"/>
      <c r="AV495" s="52"/>
      <c r="AW495" s="52"/>
      <c r="AX495" s="52"/>
    </row>
    <row r="496" spans="1:50" ht="13.5" thickBot="1">
      <c r="B496" s="3659" t="s">
        <v>568</v>
      </c>
      <c r="C496" s="705">
        <v>1100999</v>
      </c>
      <c r="D496" s="63" t="str">
        <f>VLOOKUP(C496,'מאזן בוחן EUROPE'!C:D,2,0)</f>
        <v>Prepaid Expenses TP IC</v>
      </c>
      <c r="E496" s="79">
        <f>IFERROR(VLOOKUP(C496,'פקודות נוספות'!$D$274:$F$797,3,0),0)</f>
        <v>2182707.52</v>
      </c>
      <c r="F496" s="49">
        <f>SUMIF('פקודות נוספות'!C:C,C:C,'פקודות נוספות'!E:E)</f>
        <v>0</v>
      </c>
      <c r="J496" s="474">
        <f t="shared" si="106"/>
        <v>2182707.52</v>
      </c>
      <c r="K496" s="474">
        <f>M496+SUMIF('פקודות נוספות'!C:C,'מאזן בוחן'!C496,'פקודות נוספות'!F:F)</f>
        <v>701835.21</v>
      </c>
      <c r="L496" s="956">
        <f>+'מאזן בוחן הודו'!K155+K496</f>
        <v>-0.30304549704305828</v>
      </c>
      <c r="M496" s="474">
        <f>IFERROR(VLOOKUP(C496,'פקודות נוספות'!$D$273:$G$797,4,0),0)</f>
        <v>701835.21</v>
      </c>
      <c r="N496" s="1621">
        <f>IF(K496=0,"-",J496/K496)</f>
        <v>3.110000024079727</v>
      </c>
      <c r="O496" s="2637" t="s">
        <v>3025</v>
      </c>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c r="AT496" s="52"/>
      <c r="AU496" s="52"/>
      <c r="AV496" s="52"/>
      <c r="AW496" s="52"/>
      <c r="AX496" s="52"/>
    </row>
    <row r="497" spans="1:50" ht="13.5" thickBot="1">
      <c r="A497" s="406"/>
      <c r="B497" s="3659" t="s">
        <v>570</v>
      </c>
      <c r="C497" s="585">
        <v>1130009</v>
      </c>
      <c r="D497" s="203" t="s">
        <v>2431</v>
      </c>
      <c r="E497" s="439">
        <f>IFERROR(VLOOKUP(C497,'פקודות נוספות'!$D$274:$F$797,3,0),0)</f>
        <v>0</v>
      </c>
      <c r="F497" s="49">
        <f>SUMIF('פקודות נוספות'!C:C,C:C,'פקודות נוספות'!E:E)</f>
        <v>0</v>
      </c>
      <c r="H497" s="47"/>
      <c r="J497" s="474">
        <f t="shared" si="106"/>
        <v>0</v>
      </c>
      <c r="K497" s="474">
        <f>M497+SUMIF('פקודות נוספות'!C:C,'מאזן בוחן'!C497,'פקודות נוספות'!F:F)</f>
        <v>0</v>
      </c>
      <c r="L497" s="2241">
        <f>+'מאזן בוחן הודו'!K47+K497</f>
        <v>0</v>
      </c>
      <c r="M497" s="1341">
        <f>IFERROR(VLOOKUP(C497,'פקודות נוספות'!$D$273:$G$797,4,0),0)</f>
        <v>0</v>
      </c>
      <c r="N497" s="1104" t="str">
        <f>IF(K497=0,"-",J497/K497)</f>
        <v>-</v>
      </c>
      <c r="P497" s="52"/>
      <c r="Q497" s="454"/>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c r="AT497" s="52"/>
      <c r="AU497" s="52"/>
      <c r="AV497" s="52"/>
      <c r="AW497" s="52"/>
      <c r="AX497" s="52"/>
    </row>
    <row r="498" spans="1:50" ht="13.5" thickBot="1">
      <c r="A498" s="406"/>
      <c r="B498" s="3659" t="s">
        <v>570</v>
      </c>
      <c r="C498" s="1429" t="s">
        <v>1994</v>
      </c>
      <c r="D498" s="203" t="s">
        <v>1995</v>
      </c>
      <c r="E498" s="439">
        <f>IFERROR(VLOOKUP(C498,'פקודות נוספות'!$D$274:$F$797,3,0),0)</f>
        <v>479</v>
      </c>
      <c r="F498" s="1325">
        <f>SUMIF('פקודות נוספות'!C:C,C:C,'פקודות נוספות'!E:E)</f>
        <v>0</v>
      </c>
      <c r="H498" s="47"/>
      <c r="J498" s="474">
        <f t="shared" si="106"/>
        <v>479</v>
      </c>
      <c r="K498" s="474">
        <f>M498+SUMIF('פקודות נוספות'!C:C,'מאזן בוחן'!C498,'פקודות נוספות'!F:F)</f>
        <v>128</v>
      </c>
      <c r="L498" s="2241">
        <f>K498+'מאזן בוחן EUROPE'!K302</f>
        <v>0</v>
      </c>
      <c r="M498" s="1341">
        <f>VLOOKUP(C498,'פקודות נוספות'!$D$273:$G$797,4,0)</f>
        <v>128</v>
      </c>
      <c r="N498" s="1755">
        <f>IF(K498=0,"-",J498/K498)</f>
        <v>3.7421875</v>
      </c>
      <c r="O498" s="1116"/>
      <c r="P498" s="52"/>
      <c r="Q498" s="454"/>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c r="AT498" s="52"/>
      <c r="AU498" s="52"/>
      <c r="AV498" s="52"/>
      <c r="AW498" s="52"/>
      <c r="AX498" s="52"/>
    </row>
    <row r="499" spans="1:50" ht="13.5" thickBot="1">
      <c r="A499" s="406"/>
      <c r="B499" s="3659" t="s">
        <v>570</v>
      </c>
      <c r="C499" s="1429" t="s">
        <v>2943</v>
      </c>
      <c r="D499" s="203" t="s">
        <v>2944</v>
      </c>
      <c r="E499" s="439">
        <f>IFERROR(VLOOKUP(C499,'פקודות נוספות'!$D$274:$F$797,3,0),0)</f>
        <v>5068.5</v>
      </c>
      <c r="F499" s="1325">
        <f>SUMIF('פקודות נוספות'!C:C,C:C,'פקודות נוספות'!E:E)</f>
        <v>0</v>
      </c>
      <c r="H499" s="47"/>
      <c r="J499" s="474">
        <f t="shared" si="106"/>
        <v>5068.5</v>
      </c>
      <c r="K499" s="474">
        <f>M499+SUMIF('פקודות נוספות'!C:C,'מאזן בוחן'!C499,'פקודות נוספות'!F:F)</f>
        <v>1500</v>
      </c>
      <c r="L499" s="2241">
        <f>+'מאזן בוחן הודו'!K164+K499+13.67</f>
        <v>-7.2830630415410269E-14</v>
      </c>
      <c r="M499" s="1341">
        <f>IFERROR(VLOOKUP(C499,'פקודות נוספות'!$D$273:$G$797,4,0),0)</f>
        <v>1500</v>
      </c>
      <c r="N499" s="1104">
        <f>IF(K499=0,"-",J499/K499)</f>
        <v>3.379</v>
      </c>
      <c r="O499" s="1506" t="s">
        <v>3149</v>
      </c>
      <c r="P499" s="52"/>
      <c r="Q499" s="454"/>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c r="AT499" s="52"/>
      <c r="AU499" s="52"/>
      <c r="AV499" s="52"/>
      <c r="AW499" s="52"/>
      <c r="AX499" s="52"/>
    </row>
    <row r="500" spans="1:50" ht="13.5" thickBot="1">
      <c r="A500" s="406"/>
      <c r="B500" s="3659" t="s">
        <v>570</v>
      </c>
      <c r="C500" s="1429">
        <v>1130008</v>
      </c>
      <c r="D500" s="203" t="s">
        <v>2430</v>
      </c>
      <c r="E500" s="171">
        <f>IFERROR(VLOOKUP(C500,'פקודות נוספות'!$D$274:$F$797,3,0),0)</f>
        <v>13156948.52</v>
      </c>
      <c r="F500" s="1325">
        <f>SUMIF('פקודות נוספות'!C:C,C:C,'פקודות נוספות'!E:E)</f>
        <v>0</v>
      </c>
      <c r="H500" s="47"/>
      <c r="J500" s="474">
        <f t="shared" si="106"/>
        <v>13156948.52</v>
      </c>
      <c r="K500" s="474">
        <f>M500+SUMIF('פקודות נוספות'!C:C,'מאזן בוחן'!C500,'פקודות נוספות'!F:F)</f>
        <v>4230530.07</v>
      </c>
      <c r="L500" s="2241">
        <f>'מאזן בוחן צרפת'!K166+K500</f>
        <v>0</v>
      </c>
      <c r="M500" s="1341">
        <f>VLOOKUP(C500,'פקודות נוספות'!$D$273:$G$797,4,0)</f>
        <v>4230530.07</v>
      </c>
      <c r="N500" s="1755"/>
      <c r="O500" s="1116"/>
      <c r="P500" s="52"/>
      <c r="Q500" s="454"/>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c r="AT500" s="52"/>
      <c r="AU500" s="52"/>
      <c r="AV500" s="52"/>
      <c r="AW500" s="52"/>
      <c r="AX500" s="52"/>
    </row>
    <row r="501" spans="1:50" ht="13.5" thickBot="1">
      <c r="A501" s="406"/>
      <c r="B501" s="3659" t="s">
        <v>570</v>
      </c>
      <c r="C501" s="585">
        <v>1130001</v>
      </c>
      <c r="D501" s="203" t="s">
        <v>296</v>
      </c>
      <c r="E501" s="171">
        <f>IFERROR(VLOOKUP(C501,'פקודות נוספות'!$D$274:$F$797,3,0),0)</f>
        <v>-16043023.880000001</v>
      </c>
      <c r="F501" s="171">
        <f>SUMIF('פקודות נוספות'!C:C,C:C,'פקודות נוספות'!E:E)</f>
        <v>0</v>
      </c>
      <c r="H501" s="47"/>
      <c r="J501" s="474">
        <f t="shared" si="106"/>
        <v>-16043023.880000001</v>
      </c>
      <c r="K501" s="474">
        <f>M501+SUMIF('פקודות נוספות'!C:C,'מאזן בוחן'!C501,'פקודות נוספות'!F:F)</f>
        <v>-5158528.58</v>
      </c>
      <c r="L501" s="2241">
        <f>+'New TB INC'!J271+K501</f>
        <v>4.9999999813735485E-2</v>
      </c>
      <c r="M501" s="1341">
        <f>VLOOKUP(C501,'פקודות נוספות'!$D$273:$G$797,4,0)</f>
        <v>-5158528.58</v>
      </c>
      <c r="N501" s="1755">
        <f>IF(K501=0,"-",J501/K501)</f>
        <v>3.1099999992633558</v>
      </c>
      <c r="O501" s="1506" t="s">
        <v>1237</v>
      </c>
      <c r="P501" s="52"/>
      <c r="Q501" s="454"/>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c r="AT501" s="52"/>
      <c r="AU501" s="52"/>
      <c r="AV501" s="52"/>
      <c r="AW501" s="52"/>
      <c r="AX501" s="52"/>
    </row>
    <row r="502" spans="1:50" ht="13.5" thickBot="1">
      <c r="A502" s="406"/>
      <c r="B502" s="3659" t="s">
        <v>570</v>
      </c>
      <c r="C502" s="585">
        <v>1130002</v>
      </c>
      <c r="D502" s="203" t="s">
        <v>356</v>
      </c>
      <c r="E502" s="171">
        <f>IFERROR(VLOOKUP(C502,'פקודות נוספות'!$D$274:$F$797,3,0),0)</f>
        <v>16102708.630000001</v>
      </c>
      <c r="F502" s="1325">
        <f>SUMIF('פקודות נוספות'!C:C,C:C,'פקודות נוספות'!E:E)</f>
        <v>0</v>
      </c>
      <c r="H502" s="47"/>
      <c r="J502" s="474">
        <f t="shared" si="106"/>
        <v>16102708.630000001</v>
      </c>
      <c r="K502" s="474">
        <f>M502+SUMIF('פקודות נוספות'!C:C,'מאזן בוחן'!C502,'פקודות נוספות'!F:F)</f>
        <v>5177719.82</v>
      </c>
      <c r="L502" s="2241">
        <f>+'מאזן בוחן EUROPE'!K171+K502</f>
        <v>0</v>
      </c>
      <c r="M502" s="1341">
        <f>IFERROR(VLOOKUP(C502,'פקודות נוספות'!$D$273:$G$797,4,0),0)</f>
        <v>5177719.82</v>
      </c>
      <c r="N502" s="1755">
        <f t="shared" si="107"/>
        <v>3.109999998030021</v>
      </c>
      <c r="O502" s="1506" t="s">
        <v>1237</v>
      </c>
      <c r="P502" s="52"/>
      <c r="Q502" s="454"/>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c r="AT502" s="52"/>
      <c r="AU502" s="52"/>
      <c r="AV502" s="52"/>
      <c r="AW502" s="52"/>
      <c r="AX502" s="52"/>
    </row>
    <row r="503" spans="1:50" ht="13.5" thickBot="1">
      <c r="A503" s="406"/>
      <c r="B503" s="3659" t="s">
        <v>570</v>
      </c>
      <c r="C503" s="585">
        <v>1130004</v>
      </c>
      <c r="D503" s="203" t="s">
        <v>445</v>
      </c>
      <c r="E503" s="474">
        <f>IFERROR(VLOOKUP(C503,'פקודות נוספות'!$D$274:$F$797,3,0),0)</f>
        <v>0</v>
      </c>
      <c r="F503" s="1325">
        <f>SUMIF('פקודות נוספות'!C:C,C:C,'פקודות נוספות'!E:E)</f>
        <v>0</v>
      </c>
      <c r="H503" s="47"/>
      <c r="J503" s="474">
        <f t="shared" si="106"/>
        <v>0</v>
      </c>
      <c r="K503" s="474">
        <f>M503+SUMIF('פקודות נוספות'!C:C,'מאזן בוחן'!C503,'פקודות נוספות'!F:F)</f>
        <v>0</v>
      </c>
      <c r="L503" s="2241">
        <f>+'New TB INC'!J432+K503</f>
        <v>0</v>
      </c>
      <c r="M503" s="1341">
        <f>IFERROR(VLOOKUP(C503,'פקודות נוספות'!$D$273:$G$797,4,0),0)</f>
        <v>0</v>
      </c>
      <c r="N503" s="1755" t="str">
        <f t="shared" si="107"/>
        <v>-</v>
      </c>
      <c r="O503" s="1506" t="s">
        <v>1237</v>
      </c>
      <c r="P503" s="52"/>
      <c r="Q503" s="454"/>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c r="AT503" s="52"/>
      <c r="AU503" s="52"/>
      <c r="AV503" s="52"/>
      <c r="AW503" s="52"/>
      <c r="AX503" s="52"/>
    </row>
    <row r="504" spans="1:50" ht="13.5" thickBot="1">
      <c r="A504" s="406"/>
      <c r="B504" s="3659" t="s">
        <v>570</v>
      </c>
      <c r="C504" s="585">
        <v>1130005</v>
      </c>
      <c r="D504" s="2845" t="s">
        <v>998</v>
      </c>
      <c r="E504" s="474">
        <f>IFERROR(VLOOKUP(C504,'פקודות נוספות'!$D$274:$F$797,3,0),0)</f>
        <v>21072458.32</v>
      </c>
      <c r="F504" s="1325">
        <f>SUMIF('פקודות נוספות'!C:C,C:C,'פקודות נוספות'!E:E)</f>
        <v>0</v>
      </c>
      <c r="H504" s="47"/>
      <c r="J504" s="474">
        <f>SUM(E504:I504)</f>
        <v>21072458.32</v>
      </c>
      <c r="K504" s="474">
        <f>M504+SUMIF('פקודות נוספות'!C:C,'מאזן בוחן'!C504,'פקודות נוספות'!F:F)</f>
        <v>6775705.6299999999</v>
      </c>
      <c r="L504" s="2241">
        <f>+'מאזן בוחן Australia'!K44+K504</f>
        <v>0</v>
      </c>
      <c r="M504" s="474">
        <f>VLOOKUP(C504,'פקודות נוספות'!$D$273:$G$797,4,0)</f>
        <v>6775705.6299999999</v>
      </c>
      <c r="N504" s="1755">
        <f t="shared" si="107"/>
        <v>3.1100020382674152</v>
      </c>
      <c r="O504" s="1506" t="s">
        <v>1237</v>
      </c>
      <c r="P504" s="52"/>
      <c r="Q504" s="454"/>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c r="AT504" s="52"/>
      <c r="AU504" s="52"/>
      <c r="AV504" s="52"/>
      <c r="AW504" s="52"/>
      <c r="AX504" s="52"/>
    </row>
    <row r="505" spans="1:50">
      <c r="A505" s="406"/>
      <c r="B505" s="3668"/>
      <c r="C505" s="1161"/>
      <c r="D505" s="1646"/>
      <c r="E505" s="1351">
        <f t="shared" ref="E505:K505" si="108">SUM(E476:E504)</f>
        <v>-45989538.079999998</v>
      </c>
      <c r="F505" s="1351">
        <f t="shared" si="108"/>
        <v>0</v>
      </c>
      <c r="G505" s="1351">
        <f t="shared" si="108"/>
        <v>0</v>
      </c>
      <c r="H505" s="1351">
        <f t="shared" si="108"/>
        <v>0</v>
      </c>
      <c r="I505" s="1351">
        <f t="shared" si="108"/>
        <v>0</v>
      </c>
      <c r="J505" s="1351">
        <f t="shared" si="108"/>
        <v>-45989538.079999998</v>
      </c>
      <c r="K505" s="1351">
        <f t="shared" si="108"/>
        <v>-14255956.010000002</v>
      </c>
      <c r="L505" s="1443"/>
      <c r="M505" s="1623">
        <f>SUM(M476:M504)</f>
        <v>-14255956.010000002</v>
      </c>
      <c r="O505" s="1114"/>
      <c r="P505" s="52"/>
      <c r="Q505" s="454"/>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c r="AT505" s="52"/>
      <c r="AU505" s="52"/>
      <c r="AV505" s="52"/>
      <c r="AW505" s="52"/>
      <c r="AX505" s="52"/>
    </row>
    <row r="506" spans="1:50" ht="13.5" thickBot="1">
      <c r="A506" s="406"/>
      <c r="B506" s="3668"/>
      <c r="C506" s="407"/>
      <c r="D506" s="607"/>
      <c r="E506" s="1628"/>
      <c r="J506" s="474"/>
      <c r="L506" s="49"/>
      <c r="M506" s="474"/>
      <c r="O506" s="432"/>
      <c r="P506" s="52"/>
      <c r="Q506" s="454"/>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c r="AT506" s="52"/>
      <c r="AU506" s="52"/>
      <c r="AV506" s="52"/>
      <c r="AW506" s="52"/>
      <c r="AX506" s="52"/>
    </row>
    <row r="507" spans="1:50" ht="13.5" thickBot="1">
      <c r="A507" s="406"/>
      <c r="B507" s="3668"/>
      <c r="C507" s="407" t="s">
        <v>5052</v>
      </c>
      <c r="D507" s="203" t="s">
        <v>5051</v>
      </c>
      <c r="F507" s="49">
        <f>SUMIF('פקודות נוספות'!C:C,C:C,'פקודות נוספות'!E:E)</f>
        <v>-245221.46590383101</v>
      </c>
      <c r="J507" s="2452">
        <f>SUM(E507:I507)</f>
        <v>-245221.46590383101</v>
      </c>
      <c r="K507" s="2452">
        <f>M507+SUMIF('פקודות נוספות'!C:C,'מאזן בוחן'!C507,'פקודות נוספות'!F:F)</f>
        <v>-78849.345949784896</v>
      </c>
      <c r="L507" s="2241">
        <f>[18]TOTAL!$D$8+[18]TOTAL!$D$11+K507</f>
        <v>0</v>
      </c>
      <c r="M507" s="2452"/>
      <c r="N507" s="1104">
        <f t="shared" ref="N507" si="109">IF(K507=0,"-",J507/K507)</f>
        <v>3.11</v>
      </c>
      <c r="O507" s="432" t="s">
        <v>5053</v>
      </c>
      <c r="P507" s="52"/>
      <c r="Q507" s="454"/>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c r="AT507" s="52"/>
      <c r="AU507" s="52"/>
      <c r="AV507" s="52"/>
      <c r="AW507" s="52"/>
      <c r="AX507" s="52"/>
    </row>
    <row r="508" spans="1:50" ht="13.5" thickBot="1">
      <c r="A508" s="406"/>
      <c r="B508" s="3659" t="s">
        <v>1049</v>
      </c>
      <c r="C508" s="585">
        <v>2600001</v>
      </c>
      <c r="D508" s="203" t="s">
        <v>355</v>
      </c>
      <c r="E508" s="49">
        <f>VLOOKUP(C508,'פקודות נוספות'!$D$274:$F$797,3,0)</f>
        <v>-5367790.24</v>
      </c>
      <c r="F508" s="49">
        <f>SUMIF('פקודות נוספות'!C:C,C:C,'פקודות נוספות'!E:E)</f>
        <v>0</v>
      </c>
      <c r="J508" s="2452">
        <f>SUM(E508:I508)</f>
        <v>-5367790.24</v>
      </c>
      <c r="K508" s="2452">
        <f>M508+SUMIF('פקודות נוספות'!C:C,'מאזן בוחן'!C508,'פקודות נוספות'!F:F)</f>
        <v>-1725977.56</v>
      </c>
      <c r="L508" s="2241">
        <f>SUM('[13]פיצויים 2021'!$F$121)+J508</f>
        <v>0.22301369905471802</v>
      </c>
      <c r="M508" s="2452">
        <f>VLOOKUP(C508,'פקודות נוספות'!$D$273:$G$797,4,0)</f>
        <v>-1725977.56</v>
      </c>
      <c r="N508" s="1104">
        <f t="shared" si="107"/>
        <v>3.1100000164544435</v>
      </c>
      <c r="O508" s="1510"/>
      <c r="P508" s="52"/>
      <c r="Q508" s="454"/>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c r="AT508" s="52"/>
      <c r="AU508" s="52"/>
      <c r="AV508" s="52"/>
      <c r="AW508" s="52"/>
      <c r="AX508" s="52"/>
    </row>
    <row r="509" spans="1:50">
      <c r="A509" s="406"/>
      <c r="B509" s="3668"/>
      <c r="C509" s="1161"/>
      <c r="D509" s="1646"/>
      <c r="E509" s="1351">
        <f>SUM(E507:E508)</f>
        <v>-5367790.24</v>
      </c>
      <c r="F509" s="1351">
        <f t="shared" ref="F509:K509" si="110">SUM(F507:F508)</f>
        <v>-245221.46590383101</v>
      </c>
      <c r="G509" s="1351">
        <f t="shared" si="110"/>
        <v>0</v>
      </c>
      <c r="H509" s="1351">
        <f t="shared" si="110"/>
        <v>0</v>
      </c>
      <c r="I509" s="1351">
        <f t="shared" si="110"/>
        <v>0</v>
      </c>
      <c r="J509" s="1351">
        <f t="shared" si="110"/>
        <v>-5613011.7059038309</v>
      </c>
      <c r="K509" s="1351">
        <f t="shared" si="110"/>
        <v>-1804826.9059497849</v>
      </c>
      <c r="L509" s="1443"/>
      <c r="M509" s="1351">
        <f>SUM(M508:M508)</f>
        <v>-1725977.56</v>
      </c>
      <c r="O509" s="1114"/>
      <c r="P509" s="52"/>
      <c r="Q509" s="454"/>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c r="AT509" s="52"/>
      <c r="AU509" s="52"/>
      <c r="AV509" s="52"/>
      <c r="AW509" s="52"/>
      <c r="AX509" s="52"/>
    </row>
    <row r="510" spans="1:50">
      <c r="A510" s="406"/>
      <c r="B510" s="3668"/>
      <c r="C510" s="407"/>
      <c r="D510" s="607"/>
      <c r="E510" s="474"/>
      <c r="F510" s="474"/>
      <c r="G510" s="474"/>
      <c r="H510" s="474"/>
      <c r="I510" s="474"/>
      <c r="J510" s="474"/>
      <c r="L510" s="49"/>
      <c r="M510" s="474"/>
      <c r="O510" s="1114"/>
      <c r="P510" s="52"/>
      <c r="Q510" s="454"/>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c r="AT510" s="52"/>
      <c r="AU510" s="52"/>
      <c r="AV510" s="52"/>
      <c r="AW510" s="52"/>
      <c r="AX510" s="52"/>
    </row>
    <row r="511" spans="1:50">
      <c r="A511" s="406"/>
      <c r="B511" s="3668"/>
      <c r="C511" s="1161"/>
      <c r="D511" s="1646" t="s">
        <v>79</v>
      </c>
      <c r="E511" s="1351">
        <f t="shared" ref="E511:K511" si="111">E505+E474+E464+E509+E458+E468</f>
        <v>-77655926.590000004</v>
      </c>
      <c r="F511" s="1351">
        <f t="shared" si="111"/>
        <v>-245221.46590383101</v>
      </c>
      <c r="G511" s="1351">
        <f t="shared" si="111"/>
        <v>0</v>
      </c>
      <c r="H511" s="1351">
        <f t="shared" si="111"/>
        <v>0</v>
      </c>
      <c r="I511" s="1351">
        <f t="shared" si="111"/>
        <v>0</v>
      </c>
      <c r="J511" s="1351">
        <f t="shared" si="111"/>
        <v>-77901148.055903822</v>
      </c>
      <c r="K511" s="1351">
        <f t="shared" si="111"/>
        <v>-24516923.90594979</v>
      </c>
      <c r="L511" s="1443"/>
      <c r="M511" s="1351">
        <f>M505+M474+M464+M509+M458+M468</f>
        <v>-24438074.560000002</v>
      </c>
      <c r="N511" s="1104">
        <f t="shared" si="107"/>
        <v>3.1774438079892517</v>
      </c>
      <c r="O511" s="1114"/>
      <c r="P511" s="52"/>
      <c r="Q511" s="454"/>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c r="AT511" s="52"/>
      <c r="AU511" s="52"/>
      <c r="AV511" s="52"/>
      <c r="AW511" s="52"/>
      <c r="AX511" s="52"/>
    </row>
    <row r="512" spans="1:50">
      <c r="A512" s="406"/>
      <c r="B512" s="3668"/>
      <c r="C512" s="407"/>
      <c r="D512" s="1649"/>
      <c r="E512" s="1628"/>
      <c r="F512" s="1511"/>
      <c r="G512" s="1511"/>
      <c r="H512" s="1511"/>
      <c r="I512" s="1511"/>
      <c r="J512" s="474"/>
      <c r="K512" s="474"/>
      <c r="L512" s="49"/>
      <c r="M512" s="474"/>
      <c r="O512" s="1114"/>
      <c r="P512" s="52"/>
      <c r="Q512" s="454"/>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c r="AT512" s="52"/>
      <c r="AU512" s="52"/>
      <c r="AV512" s="52"/>
      <c r="AW512" s="52"/>
      <c r="AX512" s="52"/>
    </row>
    <row r="513" spans="1:53">
      <c r="A513" s="406"/>
      <c r="B513" s="3668"/>
      <c r="C513" s="156"/>
      <c r="D513" s="203"/>
      <c r="E513" s="1202"/>
      <c r="G513" s="42"/>
      <c r="H513" s="1511"/>
      <c r="I513" s="1511"/>
      <c r="J513" s="474"/>
      <c r="K513" s="474"/>
      <c r="L513" s="49"/>
      <c r="M513" s="474"/>
      <c r="O513" s="1114"/>
      <c r="P513" s="52"/>
      <c r="Q513" s="454"/>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c r="AT513" s="52"/>
      <c r="AU513" s="52"/>
      <c r="AV513" s="52"/>
      <c r="AW513" s="52"/>
      <c r="AX513" s="52"/>
    </row>
    <row r="514" spans="1:53">
      <c r="A514" s="406"/>
      <c r="B514" s="3668"/>
      <c r="C514" s="1161"/>
      <c r="D514" s="1671"/>
      <c r="E514" s="1623">
        <f t="shared" ref="E514:K514" si="112">SUM(E513:E513)</f>
        <v>0</v>
      </c>
      <c r="F514" s="1206">
        <f t="shared" si="112"/>
        <v>0</v>
      </c>
      <c r="G514" s="1206">
        <f t="shared" si="112"/>
        <v>0</v>
      </c>
      <c r="H514" s="1206">
        <f t="shared" si="112"/>
        <v>0</v>
      </c>
      <c r="I514" s="1206">
        <f t="shared" si="112"/>
        <v>0</v>
      </c>
      <c r="J514" s="1351">
        <f t="shared" si="112"/>
        <v>0</v>
      </c>
      <c r="K514" s="1351">
        <f t="shared" si="112"/>
        <v>0</v>
      </c>
      <c r="L514" s="1443"/>
      <c r="M514" s="1351"/>
      <c r="O514" s="1114"/>
      <c r="P514" s="52"/>
      <c r="Q514" s="454"/>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c r="AT514" s="52"/>
      <c r="AU514" s="52"/>
      <c r="AV514" s="52"/>
      <c r="AW514" s="52"/>
      <c r="AX514" s="52"/>
    </row>
    <row r="515" spans="1:53">
      <c r="A515" s="406"/>
      <c r="B515" s="3668"/>
      <c r="C515" s="407"/>
      <c r="D515" s="1672" t="s">
        <v>80</v>
      </c>
      <c r="E515" s="1628"/>
      <c r="F515" s="1511"/>
      <c r="G515" s="1511"/>
      <c r="H515" s="1511"/>
      <c r="I515" s="1511"/>
      <c r="J515" s="474"/>
      <c r="K515" s="474"/>
      <c r="L515" s="49"/>
      <c r="M515" s="474"/>
      <c r="O515" s="1114"/>
      <c r="P515" s="52"/>
      <c r="Q515" s="454"/>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c r="AT515" s="52"/>
      <c r="AU515" s="52"/>
      <c r="AV515" s="52"/>
      <c r="AW515" s="52"/>
      <c r="AX515" s="52"/>
    </row>
    <row r="516" spans="1:53">
      <c r="A516" s="406"/>
      <c r="B516" s="3668"/>
      <c r="C516" s="156"/>
      <c r="D516" s="169"/>
      <c r="E516" s="1202"/>
      <c r="H516" s="47"/>
      <c r="J516" s="474"/>
      <c r="K516" s="474"/>
      <c r="L516" s="49"/>
      <c r="M516" s="474"/>
      <c r="O516" s="1114"/>
      <c r="P516" s="52"/>
      <c r="Q516" s="454"/>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c r="AT516" s="52"/>
      <c r="AU516" s="52"/>
      <c r="AV516" s="52"/>
      <c r="AW516" s="52"/>
      <c r="AX516" s="52"/>
    </row>
    <row r="517" spans="1:53">
      <c r="A517" s="406"/>
      <c r="B517" s="3668"/>
      <c r="C517" s="1161"/>
      <c r="D517" s="1671"/>
      <c r="E517" s="1623">
        <f t="shared" ref="E517:K517" si="113">SUM(E516:E516)</f>
        <v>0</v>
      </c>
      <c r="F517" s="1206">
        <f t="shared" si="113"/>
        <v>0</v>
      </c>
      <c r="G517" s="1206">
        <f t="shared" si="113"/>
        <v>0</v>
      </c>
      <c r="H517" s="1206">
        <f t="shared" si="113"/>
        <v>0</v>
      </c>
      <c r="I517" s="1206">
        <f t="shared" si="113"/>
        <v>0</v>
      </c>
      <c r="J517" s="1351">
        <f t="shared" si="113"/>
        <v>0</v>
      </c>
      <c r="K517" s="1351">
        <f t="shared" si="113"/>
        <v>0</v>
      </c>
      <c r="L517" s="1443"/>
      <c r="M517" s="1351"/>
      <c r="O517" s="1114"/>
      <c r="P517" s="52"/>
      <c r="Q517" s="52"/>
      <c r="R517" s="454"/>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c r="AX517" s="52"/>
    </row>
    <row r="518" spans="1:53">
      <c r="A518" s="406"/>
      <c r="B518" s="3659"/>
      <c r="C518" s="155"/>
      <c r="D518" s="1647" t="s">
        <v>81</v>
      </c>
      <c r="E518" s="747"/>
      <c r="J518" s="474">
        <f>SUM(E518:I518)</f>
        <v>0</v>
      </c>
      <c r="K518" s="474"/>
      <c r="L518" s="49"/>
      <c r="M518" s="474"/>
      <c r="O518" s="1114"/>
      <c r="P518" s="52"/>
      <c r="Q518" s="52"/>
      <c r="R518" s="454"/>
      <c r="S518" s="52"/>
    </row>
    <row r="519" spans="1:53">
      <c r="A519" s="406"/>
      <c r="B519" s="3659" t="s">
        <v>1050</v>
      </c>
      <c r="C519" s="585">
        <v>3030001</v>
      </c>
      <c r="D519" s="169" t="s">
        <v>1051</v>
      </c>
      <c r="E519" s="474">
        <f>VLOOKUP(C519,'פקודות נוספות'!$D$274:$F$797,3,0)</f>
        <v>41295819.770000003</v>
      </c>
      <c r="F519" s="49">
        <f>SUMIF('פקודות נוספות'!C:C,C:C,'פקודות נוספות'!E:E)</f>
        <v>0</v>
      </c>
      <c r="J519" s="474">
        <f>SUM(E519:I519)</f>
        <v>41295819.770000003</v>
      </c>
      <c r="K519" s="474">
        <f>M519+SUMIF('פקודות נוספות'!C:C,'מאזן בוחן'!C519,'פקודות נוספות'!F:F)</f>
        <v>12114927.24</v>
      </c>
      <c r="L519" s="49"/>
      <c r="M519" s="474">
        <f>VLOOKUP(C519,'פקודות נוספות'!$D$273:$G$797,4,0)</f>
        <v>12114927.24</v>
      </c>
      <c r="N519" s="1104">
        <f t="shared" si="107"/>
        <v>3.4086725369388189</v>
      </c>
      <c r="O519" s="1114"/>
      <c r="P519" s="52"/>
      <c r="Q519" s="52"/>
      <c r="R519" s="454"/>
      <c r="S519" s="52"/>
    </row>
    <row r="520" spans="1:53">
      <c r="A520" s="406"/>
      <c r="B520" s="3659" t="s">
        <v>1050</v>
      </c>
      <c r="C520" s="585">
        <v>3030099</v>
      </c>
      <c r="D520" s="169" t="s">
        <v>1802</v>
      </c>
      <c r="E520" s="474">
        <f>VLOOKUP(C520,'פקודות נוספות'!$D$274:$F$797,3,0)</f>
        <v>-20037608</v>
      </c>
      <c r="F520" s="49">
        <f>SUMIF('פקודות נוספות'!C:C,C:C,'פקודות נוספות'!E:E)</f>
        <v>0</v>
      </c>
      <c r="J520" s="474">
        <f>SUM(E520:I520)</f>
        <v>-20037608</v>
      </c>
      <c r="K520" s="474">
        <f>M520+SUMIF('פקודות נוספות'!C:C,'מאזן בוחן'!C520,'פקודות נוספות'!F:F)</f>
        <v>-5635961</v>
      </c>
      <c r="L520" s="49"/>
      <c r="M520" s="474">
        <f>VLOOKUP(C520,'פקודות נוספות'!$D$273:$G$797,4,0)</f>
        <v>-5635961</v>
      </c>
      <c r="N520" s="1104">
        <f t="shared" si="107"/>
        <v>3.5553134594082536</v>
      </c>
      <c r="O520" s="1114" t="s">
        <v>1803</v>
      </c>
      <c r="P520" s="52"/>
      <c r="Q520" s="52"/>
      <c r="R520" s="454"/>
      <c r="S520" s="52"/>
      <c r="T520" s="52"/>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row>
    <row r="521" spans="1:53">
      <c r="A521" s="406"/>
      <c r="B521" s="3659" t="s">
        <v>1050</v>
      </c>
      <c r="C521" s="585">
        <v>3030002</v>
      </c>
      <c r="D521" s="203" t="s">
        <v>304</v>
      </c>
      <c r="E521" s="474">
        <f>VLOOKUP(C521,'פקודות נוספות'!$D$274:$F$797,3,0)</f>
        <v>-1312149.1399999999</v>
      </c>
      <c r="F521" s="49">
        <f>SUMIF('פקודות נוספות'!C:C,C:C,'פקודות נוספות'!E:E)</f>
        <v>0</v>
      </c>
      <c r="J521" s="474">
        <f>SUM(E521:I521)</f>
        <v>-1312149.1399999999</v>
      </c>
      <c r="K521" s="474">
        <f>M521+SUMIF('פקודות נוספות'!C:C,'מאזן בוחן'!C521,'פקודות נוספות'!F:F)</f>
        <v>-264085.38</v>
      </c>
      <c r="L521" s="49"/>
      <c r="M521" s="474">
        <f>VLOOKUP(C521,'פקודות נוספות'!$D$273:$G$797,4,0)</f>
        <v>-264085.38</v>
      </c>
      <c r="N521" s="1621">
        <f t="shared" si="107"/>
        <v>4.9686549857474116</v>
      </c>
      <c r="O521" s="1741"/>
      <c r="P521" s="52"/>
      <c r="Q521" s="52"/>
      <c r="R521" s="454"/>
      <c r="S521" s="52"/>
      <c r="T521" s="52"/>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row>
    <row r="522" spans="1:53" ht="13.5" thickBot="1">
      <c r="A522" s="406"/>
      <c r="B522" s="3659"/>
      <c r="C522" s="156"/>
      <c r="D522" s="2845"/>
      <c r="E522" s="1202"/>
      <c r="J522" s="474"/>
      <c r="K522" s="474"/>
      <c r="M522" s="474"/>
      <c r="N522" s="1621" t="str">
        <f t="shared" si="107"/>
        <v>-</v>
      </c>
      <c r="O522" s="137"/>
      <c r="P522" s="52"/>
      <c r="Q522" s="52"/>
      <c r="R522" s="52"/>
      <c r="S522" s="52"/>
      <c r="T522" s="51"/>
      <c r="U522" s="51"/>
      <c r="V522" s="51"/>
      <c r="W522" s="51"/>
      <c r="X522" s="51"/>
      <c r="Y522" s="51"/>
      <c r="Z522" s="51"/>
    </row>
    <row r="523" spans="1:53" ht="13.5" thickBot="1">
      <c r="A523" s="406"/>
      <c r="B523" s="3668"/>
      <c r="C523" s="1164"/>
      <c r="D523" s="1673"/>
      <c r="E523" s="1351">
        <f t="shared" ref="E523:K523" si="114">SUM(E519:E522)</f>
        <v>19946062.630000003</v>
      </c>
      <c r="F523" s="1351">
        <f t="shared" si="114"/>
        <v>0</v>
      </c>
      <c r="G523" s="1351">
        <f t="shared" si="114"/>
        <v>0</v>
      </c>
      <c r="H523" s="1351">
        <f t="shared" si="114"/>
        <v>0</v>
      </c>
      <c r="I523" s="1351">
        <f t="shared" si="114"/>
        <v>0</v>
      </c>
      <c r="J523" s="1351">
        <f t="shared" si="114"/>
        <v>19946062.630000003</v>
      </c>
      <c r="K523" s="1351">
        <f t="shared" si="114"/>
        <v>6214880.8600000003</v>
      </c>
      <c r="L523" s="956">
        <f>K519+K520+K521+[19]דוחות!$K$37+J519+J520+J521+[19]דוחות!$J$37</f>
        <v>-0.74796586483716965</v>
      </c>
      <c r="M523" s="1351">
        <f>SUM(M519:M522)</f>
        <v>6214880.8600000003</v>
      </c>
      <c r="N523" s="1621">
        <f t="shared" si="107"/>
        <v>3.2094038613638043</v>
      </c>
      <c r="O523" s="137"/>
      <c r="P523" s="52"/>
      <c r="Q523" s="52"/>
      <c r="R523" s="52"/>
      <c r="S523" s="52"/>
      <c r="T523" s="51"/>
      <c r="U523" s="51"/>
      <c r="V523" s="51"/>
      <c r="W523" s="51"/>
      <c r="X523" s="51"/>
      <c r="Y523" s="51"/>
      <c r="Z523" s="51"/>
    </row>
    <row r="524" spans="1:53">
      <c r="A524" s="406"/>
      <c r="B524" s="3668"/>
      <c r="C524" s="407"/>
      <c r="D524" s="444"/>
      <c r="E524" s="1668"/>
      <c r="F524" s="1668"/>
      <c r="G524" s="1668"/>
      <c r="H524" s="1668"/>
      <c r="I524" s="1668"/>
      <c r="J524" s="1668"/>
      <c r="K524" s="1668"/>
      <c r="L524" s="1669"/>
      <c r="M524" s="1668"/>
      <c r="N524" s="1621" t="str">
        <f t="shared" si="107"/>
        <v>-</v>
      </c>
      <c r="O524" s="2029"/>
      <c r="P524" s="52"/>
      <c r="Q524" s="52"/>
      <c r="R524" s="52"/>
      <c r="S524" s="52"/>
      <c r="T524" s="51"/>
      <c r="U524" s="51"/>
      <c r="V524" s="51"/>
      <c r="W524" s="51"/>
      <c r="X524" s="51"/>
      <c r="Y524" s="51"/>
      <c r="Z524" s="51"/>
    </row>
    <row r="525" spans="1:53">
      <c r="A525" s="406"/>
      <c r="B525" s="3668"/>
      <c r="C525" s="1161"/>
      <c r="D525" s="1646" t="s">
        <v>82</v>
      </c>
      <c r="E525" s="1351">
        <f t="shared" ref="E525:K525" si="115">E523+E511+E195+E517+E514</f>
        <v>-57709863.960000001</v>
      </c>
      <c r="F525" s="1351">
        <f t="shared" si="115"/>
        <v>-245221.46590383101</v>
      </c>
      <c r="G525" s="1351">
        <f t="shared" si="115"/>
        <v>0</v>
      </c>
      <c r="H525" s="1351">
        <f t="shared" si="115"/>
        <v>0</v>
      </c>
      <c r="I525" s="1351">
        <f t="shared" si="115"/>
        <v>0</v>
      </c>
      <c r="J525" s="1351">
        <f t="shared" si="115"/>
        <v>-57955085.42590382</v>
      </c>
      <c r="K525" s="1351">
        <f t="shared" si="115"/>
        <v>-18302043.045949791</v>
      </c>
      <c r="L525" s="49"/>
      <c r="M525" s="1351">
        <f>M523+M511+M195+M517+M514</f>
        <v>-18223193.700000003</v>
      </c>
      <c r="N525" s="1104">
        <f t="shared" si="107"/>
        <v>3.1665910346948491</v>
      </c>
      <c r="O525" s="1114"/>
      <c r="P525" s="52"/>
      <c r="Q525" s="52"/>
      <c r="R525" s="52"/>
      <c r="S525" s="52"/>
      <c r="T525" s="51"/>
      <c r="U525" s="51"/>
      <c r="V525" s="51"/>
      <c r="W525" s="51"/>
      <c r="X525" s="51"/>
      <c r="Y525" s="51"/>
      <c r="Z525" s="51"/>
    </row>
    <row r="526" spans="1:53">
      <c r="A526" s="406"/>
      <c r="B526" s="3668"/>
      <c r="D526" s="444"/>
      <c r="E526" s="1202"/>
      <c r="K526" s="49"/>
      <c r="L526" s="49"/>
      <c r="O526" s="401"/>
      <c r="P526" s="52"/>
      <c r="Q526" s="52"/>
      <c r="R526" s="52"/>
      <c r="S526" s="52"/>
      <c r="T526" s="51"/>
      <c r="U526" s="51"/>
      <c r="V526" s="51"/>
      <c r="W526" s="51"/>
      <c r="X526" s="51"/>
      <c r="Y526" s="51"/>
      <c r="Z526" s="51"/>
    </row>
    <row r="527" spans="1:53">
      <c r="A527" s="406"/>
      <c r="B527" s="3668"/>
      <c r="C527" s="154"/>
      <c r="D527" s="1674" t="s">
        <v>83</v>
      </c>
      <c r="E527" s="1628"/>
      <c r="K527" s="49"/>
      <c r="L527" s="49"/>
      <c r="O527" s="169"/>
      <c r="P527" s="63"/>
      <c r="Q527" s="63"/>
      <c r="R527" s="63"/>
      <c r="S527" s="63"/>
      <c r="T527" s="61"/>
      <c r="U527" s="61"/>
      <c r="V527" s="61"/>
      <c r="W527" s="61"/>
      <c r="X527" s="61"/>
      <c r="Y527" s="61"/>
      <c r="Z527" s="61"/>
      <c r="AA527" s="405"/>
      <c r="AB527" s="405"/>
      <c r="AC527" s="405"/>
      <c r="AD527" s="405"/>
      <c r="AE527" s="405"/>
      <c r="AF527" s="405"/>
      <c r="AG527" s="405"/>
      <c r="AH527" s="405"/>
      <c r="AI527" s="405"/>
      <c r="AJ527" s="405"/>
      <c r="AK527" s="405"/>
      <c r="AL527" s="405"/>
      <c r="AM527" s="405"/>
      <c r="AN527" s="405"/>
      <c r="AO527" s="405"/>
      <c r="AP527" s="405"/>
      <c r="AQ527" s="405"/>
      <c r="AR527" s="405"/>
      <c r="AS527" s="405"/>
      <c r="AT527" s="405"/>
      <c r="AU527" s="405"/>
      <c r="AV527" s="405"/>
      <c r="AW527" s="405"/>
      <c r="AX527" s="405"/>
      <c r="AY527" s="63"/>
      <c r="AZ527" s="63"/>
      <c r="BA527" s="63"/>
    </row>
    <row r="528" spans="1:53">
      <c r="A528" s="406"/>
      <c r="B528" s="3668"/>
      <c r="C528" s="1165"/>
      <c r="D528" s="1674" t="s">
        <v>84</v>
      </c>
      <c r="E528" s="1628"/>
      <c r="K528" s="49"/>
      <c r="L528" s="49"/>
      <c r="O528" s="401"/>
      <c r="P528" s="2025" t="s">
        <v>2126</v>
      </c>
      <c r="Q528" s="2025" t="s">
        <v>2142</v>
      </c>
      <c r="R528" s="2025" t="s">
        <v>2143</v>
      </c>
      <c r="S528" s="2025" t="s">
        <v>2208</v>
      </c>
      <c r="T528" s="2026" t="s">
        <v>2210</v>
      </c>
      <c r="U528" s="2026" t="s">
        <v>2211</v>
      </c>
      <c r="V528" s="2026" t="s">
        <v>2241</v>
      </c>
      <c r="W528" s="2026" t="s">
        <v>2555</v>
      </c>
      <c r="X528" s="2027" t="s">
        <v>2632</v>
      </c>
      <c r="Y528" s="2027" t="s">
        <v>2633</v>
      </c>
      <c r="Z528" s="2027" t="s">
        <v>2634</v>
      </c>
      <c r="AA528" s="2027" t="s">
        <v>2635</v>
      </c>
      <c r="AB528" s="2027" t="s">
        <v>3210</v>
      </c>
      <c r="AC528" s="2027" t="s">
        <v>3307</v>
      </c>
      <c r="AD528" s="2027" t="s">
        <v>3384</v>
      </c>
      <c r="AE528" s="2027" t="s">
        <v>3564</v>
      </c>
      <c r="AF528" s="2027" t="s">
        <v>3633</v>
      </c>
      <c r="AG528" s="2027" t="s">
        <v>3721</v>
      </c>
      <c r="AH528" s="2027" t="s">
        <v>3888</v>
      </c>
      <c r="AI528" s="2027" t="s">
        <v>3994</v>
      </c>
      <c r="AJ528" s="2027" t="s">
        <v>3556</v>
      </c>
      <c r="AK528" s="2027" t="s">
        <v>3557</v>
      </c>
      <c r="AL528" s="2027" t="s">
        <v>3558</v>
      </c>
      <c r="AM528" s="2027" t="s">
        <v>3559</v>
      </c>
      <c r="AN528" s="2027"/>
      <c r="AO528" s="2027"/>
      <c r="AP528" s="2027"/>
      <c r="AQ528" s="2027"/>
      <c r="AR528" s="2027"/>
      <c r="AS528" s="2027"/>
      <c r="AU528" s="2027"/>
      <c r="AW528" s="2027" t="s">
        <v>3209</v>
      </c>
      <c r="AX528" s="1952" t="s">
        <v>3029</v>
      </c>
      <c r="AY528" s="502"/>
      <c r="AZ528" s="502"/>
      <c r="BA528" s="50"/>
    </row>
    <row r="529" spans="1:59">
      <c r="A529" s="406"/>
      <c r="B529" s="3668"/>
      <c r="C529" s="1165"/>
      <c r="D529" s="1675" t="s">
        <v>2476</v>
      </c>
      <c r="E529" s="1628"/>
      <c r="K529" s="49"/>
      <c r="L529" s="49"/>
      <c r="O529" s="401"/>
      <c r="P529" s="2025"/>
      <c r="Q529" s="2025"/>
      <c r="R529" s="2025"/>
      <c r="S529" s="2025"/>
      <c r="T529" s="2025"/>
      <c r="U529" s="2025"/>
      <c r="V529" s="2025"/>
      <c r="W529" s="2025"/>
      <c r="BA529" s="63"/>
    </row>
    <row r="530" spans="1:59">
      <c r="A530" s="406"/>
      <c r="B530" s="3659" t="s">
        <v>1052</v>
      </c>
      <c r="C530" s="1119">
        <v>80001</v>
      </c>
      <c r="D530" s="203" t="s">
        <v>1053</v>
      </c>
      <c r="E530" s="474">
        <f>IFERROR(VLOOKUP(C530,'פקודות נוספות'!$D$274:$F$797,3,0),0)</f>
        <v>-356069.11</v>
      </c>
      <c r="F530" s="1325">
        <f>SUMIF('פקודות נוספות'!C:C,C:C,'פקודות נוספות'!E:E)</f>
        <v>0</v>
      </c>
      <c r="J530" s="474">
        <f>SUM(E530:I530)</f>
        <v>-356069.11</v>
      </c>
      <c r="K530" s="474">
        <f>M530+SUMIF('פקודות נוספות'!C:C,'מאזן בוחן'!C530,'פקודות נוספות'!F:F)</f>
        <v>-111900.27</v>
      </c>
      <c r="L530" s="49"/>
      <c r="M530" s="1341">
        <f>IFERROR(VLOOKUP(C530,'פקודות נוספות'!$D$273:$G$797,4,0),0)</f>
        <v>-111900.27</v>
      </c>
      <c r="N530" s="1104">
        <f t="shared" si="107"/>
        <v>3.1820219021812903</v>
      </c>
      <c r="O530" s="2453" t="s">
        <v>2753</v>
      </c>
      <c r="P530" s="137">
        <v>-123.73</v>
      </c>
      <c r="Q530" s="137">
        <v>-124.88000000000001</v>
      </c>
      <c r="R530" s="137">
        <v>-167.51999999999998</v>
      </c>
      <c r="S530" s="137">
        <v>-121.25999999999999</v>
      </c>
      <c r="T530" s="137">
        <v>-122.02999999999997</v>
      </c>
      <c r="U530" s="137">
        <f>'[20]מאזן בוחן'!AS447</f>
        <v>0</v>
      </c>
      <c r="V530" s="141">
        <f>'[21]מאזן בוחן'!AT377</f>
        <v>-124.56000000000006</v>
      </c>
      <c r="W530" s="141">
        <f>'[22]מאזן בוחן'!AK364</f>
        <v>-30724.36</v>
      </c>
      <c r="X530" s="141">
        <f>'[23]מאזן בוחן'!AL370</f>
        <v>-745.2000000000013</v>
      </c>
      <c r="Y530" s="141">
        <f>'[24]מאזן בוחן'!AM387</f>
        <v>-1263.0299999999993</v>
      </c>
      <c r="Z530" s="141">
        <f>'[25]מאזן בוחן'!AN400</f>
        <v>-3760.260000000002</v>
      </c>
      <c r="AA530" s="141">
        <f>$K530-SUM($P530:Z530)</f>
        <v>-74623.44</v>
      </c>
      <c r="AB530" s="141">
        <f>'[26]מאזן בוחן'!AB427</f>
        <v>-408.03</v>
      </c>
      <c r="AC530" s="141">
        <f>'[27]מאזן בוחן'!AC436</f>
        <v>-810.04</v>
      </c>
      <c r="AD530" s="141">
        <f>'[28]מאזן בוחן'!AD444</f>
        <v>-1301.0400000000002</v>
      </c>
      <c r="AE530" s="141">
        <f>'[29]מאזן בוחן'!AE449</f>
        <v>-923.29999999999973</v>
      </c>
      <c r="AF530" s="141">
        <f>'[30]מאזן בוחן'!AF457</f>
        <v>0</v>
      </c>
      <c r="AG530" s="141">
        <f>'[31]מאזן בוחן'!AG461</f>
        <v>-37153.619999999995</v>
      </c>
      <c r="AH530" s="141">
        <v>-405.02000000000407</v>
      </c>
      <c r="AI530" s="141">
        <v>-926.16999999999825</v>
      </c>
      <c r="AJ530" s="141">
        <v>-1275.7999999999956</v>
      </c>
      <c r="AK530" s="141">
        <v>0</v>
      </c>
      <c r="AL530" s="141">
        <v>0</v>
      </c>
      <c r="AM530" s="141">
        <f>$K530-SUM($AB530:AL530)</f>
        <v>-68697.25</v>
      </c>
      <c r="AN530" s="141"/>
      <c r="AO530" s="141"/>
      <c r="AP530" s="141"/>
      <c r="AQ530" s="141"/>
      <c r="AR530" s="141"/>
      <c r="AS530" s="141"/>
      <c r="AU530" s="141"/>
      <c r="AV530" s="141"/>
      <c r="AW530" s="141"/>
      <c r="BB530" s="170"/>
    </row>
    <row r="531" spans="1:59">
      <c r="A531" s="406"/>
      <c r="B531" s="3659" t="s">
        <v>1052</v>
      </c>
      <c r="C531" s="585">
        <v>80101</v>
      </c>
      <c r="D531" s="203" t="s">
        <v>1054</v>
      </c>
      <c r="E531" s="474">
        <f>IFERROR(VLOOKUP(C531,'פקודות נוספות'!$D$274:$F$797,3,0),0)</f>
        <v>-11836974.220000001</v>
      </c>
      <c r="F531" s="1325">
        <f>SUMIF('פקודות נוספות'!C:C,C:C,'פקודות נוספות'!E:E)</f>
        <v>0</v>
      </c>
      <c r="J531" s="474">
        <f>SUM(E531:I531)</f>
        <v>-11836974.220000001</v>
      </c>
      <c r="K531" s="474">
        <f>M531+SUMIF('פקודות נוספות'!C:C,'מאזן בוחן'!C531,'פקודות נוספות'!F:F)</f>
        <v>-3699130.42</v>
      </c>
      <c r="L531" s="49"/>
      <c r="M531" s="1341">
        <f>IFERROR(VLOOKUP(C531,'פקודות נוספות'!$D$273:$G$797,4,0),0)</f>
        <v>-3699130.42</v>
      </c>
      <c r="N531" s="1104">
        <f t="shared" si="107"/>
        <v>3.1999342753641007</v>
      </c>
      <c r="O531" s="2453" t="s">
        <v>2627</v>
      </c>
      <c r="P531" s="137">
        <v>8120.52</v>
      </c>
      <c r="Q531" s="137">
        <v>-43301.03</v>
      </c>
      <c r="R531" s="137">
        <v>-451275.98</v>
      </c>
      <c r="S531" s="137">
        <v>-426139.72</v>
      </c>
      <c r="T531" s="137">
        <v>-29334.900000000023</v>
      </c>
      <c r="U531" s="137">
        <f>'[20]מאזן בוחן'!AS448</f>
        <v>-72322.5</v>
      </c>
      <c r="V531" s="141">
        <f>'[21]מאזן בוחן'!AT378</f>
        <v>-38181.220000000088</v>
      </c>
      <c r="W531" s="141">
        <f>'[22]מאזן בוחן'!AK365</f>
        <v>-492824.80999999982</v>
      </c>
      <c r="X531" s="141">
        <f>'[23]מאזן בוחן'!AL371</f>
        <v>-146892.39000000013</v>
      </c>
      <c r="Y531" s="141">
        <f>'[24]מאזן בוחן'!AM388</f>
        <v>-245272.64999999991</v>
      </c>
      <c r="Z531" s="141">
        <f>'[25]מאזן בוחן'!AN401</f>
        <v>0</v>
      </c>
      <c r="AA531" s="141">
        <f>$K531-SUM($P531:Z531)</f>
        <v>-1761705.74</v>
      </c>
      <c r="AB531" s="141">
        <f>'[26]מאזן בוחן'!AB428</f>
        <v>0</v>
      </c>
      <c r="AC531" s="141">
        <f>'[27]מאזן בוחן'!AC437</f>
        <v>-106571.2</v>
      </c>
      <c r="AD531" s="141">
        <f>'[28]מאזן בוחן'!AD445</f>
        <v>-509019.64999999997</v>
      </c>
      <c r="AE531" s="141">
        <f>'[29]מאזן בוחן'!AE450</f>
        <v>-149767.13</v>
      </c>
      <c r="AF531" s="141">
        <f>'[30]מאזן בוחן'!AF458</f>
        <v>-239249.26</v>
      </c>
      <c r="AG531" s="141">
        <f>'[31]מאזן בוחן'!AG462</f>
        <v>-173371.80000000005</v>
      </c>
      <c r="AH531" s="141">
        <v>-165953.08999999985</v>
      </c>
      <c r="AI531" s="141">
        <v>-60037.600000000093</v>
      </c>
      <c r="AJ531" s="141">
        <v>-349448.39000000013</v>
      </c>
      <c r="AK531" s="141">
        <v>-54596.929999999935</v>
      </c>
      <c r="AL531" s="141">
        <v>-101978.55000000005</v>
      </c>
      <c r="AM531" s="141">
        <f>$K531-SUM($AB531:AL531)</f>
        <v>-1789136.8199999998</v>
      </c>
      <c r="AN531" s="141"/>
      <c r="AO531" s="141"/>
      <c r="AP531" s="141"/>
      <c r="AQ531" s="141"/>
      <c r="AR531" s="141"/>
      <c r="AS531" s="141"/>
      <c r="AU531" s="141"/>
      <c r="AV531" s="141"/>
      <c r="AW531" s="141"/>
    </row>
    <row r="532" spans="1:59">
      <c r="A532" s="406"/>
      <c r="B532" s="3659"/>
      <c r="C532" s="585"/>
      <c r="D532" s="1675" t="s">
        <v>2477</v>
      </c>
      <c r="E532" s="474"/>
      <c r="F532" s="1325"/>
      <c r="J532" s="474"/>
      <c r="K532" s="474"/>
      <c r="L532" s="49"/>
      <c r="M532" s="474"/>
      <c r="O532" s="279"/>
      <c r="V532" s="141">
        <f>'[21]מאזן בוחן'!AT379</f>
        <v>0</v>
      </c>
      <c r="W532" s="141">
        <f>'[22]מאזן בוחן'!AK366</f>
        <v>0</v>
      </c>
      <c r="X532" s="141">
        <f>'[23]מאזן בוחן'!AL372</f>
        <v>0</v>
      </c>
      <c r="Y532" s="141">
        <f>'[24]מאזן בוחן'!AM389</f>
        <v>0</v>
      </c>
      <c r="Z532" s="141">
        <f>'[25]מאזן בוחן'!AN402</f>
        <v>0</v>
      </c>
      <c r="AA532" s="141">
        <f>$K532-SUM($P532:Z532)</f>
        <v>0</v>
      </c>
      <c r="AB532" s="141">
        <f>'[26]מאזן בוחן'!AB429</f>
        <v>0</v>
      </c>
      <c r="AC532" s="141">
        <f>'[27]מאזן בוחן'!AC438</f>
        <v>0</v>
      </c>
      <c r="AD532" s="141">
        <f>'[28]מאזן בוחן'!AD446</f>
        <v>0</v>
      </c>
      <c r="AE532" s="141">
        <f>'[29]מאזן בוחן'!AE451</f>
        <v>0</v>
      </c>
      <c r="AF532" s="141">
        <f>'[30]מאזן בוחן'!AF459</f>
        <v>0</v>
      </c>
      <c r="AG532" s="141">
        <f>'[31]מאזן בוחן'!AG463</f>
        <v>0</v>
      </c>
      <c r="AH532" s="141">
        <v>0</v>
      </c>
      <c r="AI532" s="141">
        <v>0</v>
      </c>
      <c r="AJ532" s="141">
        <v>0</v>
      </c>
      <c r="AK532" s="141">
        <v>0</v>
      </c>
      <c r="AL532" s="141">
        <v>0</v>
      </c>
      <c r="AM532" s="141">
        <f>$K532-SUM($AB532:AL532)</f>
        <v>0</v>
      </c>
      <c r="AN532" s="141"/>
      <c r="AO532" s="141"/>
      <c r="AP532" s="141"/>
      <c r="AQ532" s="141"/>
      <c r="AR532" s="141"/>
      <c r="AS532" s="141"/>
      <c r="AU532" s="141"/>
      <c r="AV532" s="141"/>
      <c r="AW532" s="141"/>
    </row>
    <row r="533" spans="1:59" ht="13.5" thickBot="1">
      <c r="A533" s="406"/>
      <c r="B533" s="3659" t="s">
        <v>1052</v>
      </c>
      <c r="C533" s="585">
        <v>80103</v>
      </c>
      <c r="D533" s="203" t="s">
        <v>1055</v>
      </c>
      <c r="E533" s="474">
        <f>IFERROR(VLOOKUP(C533,'פקודות נוספות'!$D$274:$F$797,3,0),0)</f>
        <v>-629071.53</v>
      </c>
      <c r="F533" s="1325">
        <f>SUMIF('פקודות נוספות'!C:C,C:C,'פקודות נוספות'!E:E)</f>
        <v>0</v>
      </c>
      <c r="J533" s="474">
        <f>SUM(E533:I533)</f>
        <v>-629071.53</v>
      </c>
      <c r="K533" s="474">
        <f>M533+SUMIF('פקודות נוספות'!C:C,'מאזן בוחן'!C533,'פקודות נוספות'!F:F)</f>
        <v>-199975.95</v>
      </c>
      <c r="L533" s="49"/>
      <c r="M533" s="474">
        <f>IFERROR(VLOOKUP(C533,'פקודות נוספות'!$D$273:$G$797,4,0),0)</f>
        <v>-199975.95</v>
      </c>
      <c r="N533" s="1104">
        <f t="shared" si="107"/>
        <v>3.1457359247449506</v>
      </c>
      <c r="O533" s="2453"/>
      <c r="P533" s="137">
        <v>0</v>
      </c>
      <c r="Q533" s="137">
        <v>-8924.5400000000009</v>
      </c>
      <c r="R533" s="137">
        <v>-48951</v>
      </c>
      <c r="S533" s="137">
        <v>-40440</v>
      </c>
      <c r="T533" s="137">
        <v>0</v>
      </c>
      <c r="U533" s="137">
        <f>'[20]מאזן בוחן'!AS449</f>
        <v>0</v>
      </c>
      <c r="V533" s="141">
        <f>'[21]מאזן בוחן'!AT380</f>
        <v>0</v>
      </c>
      <c r="W533" s="141">
        <f>'[22]מאזן בוחן'!AK367</f>
        <v>-33554.739999999991</v>
      </c>
      <c r="X533" s="141">
        <f>'[23]מאזן בוחן'!AL373</f>
        <v>-10653.570000000014</v>
      </c>
      <c r="Y533" s="141">
        <f>'[24]מאזן בוחן'!AM390</f>
        <v>-36449.49</v>
      </c>
      <c r="Z533" s="141">
        <f>'[25]מאזן בוחן'!AN403</f>
        <v>-10422</v>
      </c>
      <c r="AA533" s="141">
        <f>$K533-SUM($P533:Z533)</f>
        <v>-10580.610000000015</v>
      </c>
      <c r="AB533" s="141">
        <f>'[26]מאזן בוחן'!AB430</f>
        <v>0</v>
      </c>
      <c r="AC533" s="141">
        <f>'[27]מאזן בוחן'!AC439</f>
        <v>-4875</v>
      </c>
      <c r="AD533" s="141">
        <f>'[28]מאזן בוחן'!AD447</f>
        <v>0</v>
      </c>
      <c r="AE533" s="141">
        <f>'[29]מאזן בוחן'!AE452</f>
        <v>-26170.799999999999</v>
      </c>
      <c r="AF533" s="141">
        <f>'[30]מאזן בוחן'!AF460</f>
        <v>0</v>
      </c>
      <c r="AG533" s="141">
        <f>'[31]מאזן בוחן'!AG464</f>
        <v>0</v>
      </c>
      <c r="AH533" s="141">
        <v>-20472.750000000004</v>
      </c>
      <c r="AI533" s="141">
        <v>0</v>
      </c>
      <c r="AJ533" s="141">
        <v>-10422</v>
      </c>
      <c r="AK533" s="141">
        <v>0</v>
      </c>
      <c r="AL533" s="141">
        <v>-82430.400000000009</v>
      </c>
      <c r="AM533" s="141">
        <f>$K533-SUM($AB533:AL533)</f>
        <v>-55605</v>
      </c>
      <c r="AN533" s="141"/>
      <c r="AO533" s="141"/>
      <c r="AP533" s="141"/>
      <c r="AQ533" s="141"/>
      <c r="AR533" s="141"/>
      <c r="AS533" s="141"/>
      <c r="AU533" s="141"/>
      <c r="AV533" s="141"/>
      <c r="AW533" s="141"/>
      <c r="BB533" s="170"/>
    </row>
    <row r="534" spans="1:59" ht="13.5" thickBot="1">
      <c r="A534" s="406"/>
      <c r="B534" s="3659" t="s">
        <v>1052</v>
      </c>
      <c r="C534" s="1489" t="s">
        <v>718</v>
      </c>
      <c r="D534" s="203" t="s">
        <v>1583</v>
      </c>
      <c r="E534" s="474">
        <f>IFERROR(VLOOKUP(C534,'פקודות נוספות'!$D$274:$F$797,3,0),0)</f>
        <v>631254.56999999995</v>
      </c>
      <c r="F534" s="474">
        <f>SUMIF('פקודות נוספות'!C:C,C:C,'פקודות נוספות'!E:E)</f>
        <v>0</v>
      </c>
      <c r="G534" s="2240"/>
      <c r="H534" s="2240"/>
      <c r="I534" s="2240"/>
      <c r="J534" s="474">
        <f>SUM(E534:I534)</f>
        <v>631254.56999999995</v>
      </c>
      <c r="K534" s="474">
        <f>M534+SUMIF('פקודות נוספות'!C:C,'מאזן בוחן'!C534,'פקודות נוספות'!F:F)</f>
        <v>199476.35</v>
      </c>
      <c r="L534" s="2222">
        <f>AM534-SUM('ביאורים לדוחות הכספיים'!B107:B108)</f>
        <v>0</v>
      </c>
      <c r="M534" s="474">
        <f>IFERROR(VLOOKUP(C534,'פקודות נוספות'!$D$273:$G$797,4,0),0)</f>
        <v>199476.35</v>
      </c>
      <c r="N534" s="1104">
        <f>IF(K534=0,"-",J534/K534)</f>
        <v>3.1645584551752624</v>
      </c>
      <c r="O534" s="2453"/>
      <c r="P534" s="137">
        <v>0</v>
      </c>
      <c r="Q534" s="137">
        <v>0</v>
      </c>
      <c r="R534" s="137">
        <v>43978.5</v>
      </c>
      <c r="S534" s="137">
        <v>-43978.5</v>
      </c>
      <c r="T534" s="137">
        <v>0</v>
      </c>
      <c r="U534" s="137">
        <f>'[20]מאזן בוחן'!AS450</f>
        <v>0</v>
      </c>
      <c r="V534" s="141">
        <f>'[21]מאזן בוחן'!AT381</f>
        <v>0</v>
      </c>
      <c r="W534" s="141">
        <f>'[22]מאזן בוחן'!AK368</f>
        <v>0</v>
      </c>
      <c r="X534" s="141">
        <f>'[23]מאזן בוחן'!AL374</f>
        <v>10653.57</v>
      </c>
      <c r="Y534" s="141">
        <f>'[24]מאזן בוחן'!AM391</f>
        <v>-10653.57</v>
      </c>
      <c r="Z534" s="141">
        <f>'[25]מאזן בוחן'!AN404</f>
        <v>0</v>
      </c>
      <c r="AA534" s="141">
        <f>$K534-SUM($P534:Z534)</f>
        <v>199476.35</v>
      </c>
      <c r="AB534" s="141">
        <f>'[26]מאזן בוחן'!AB431</f>
        <v>-5186.6899999999996</v>
      </c>
      <c r="AC534" s="141">
        <f>'[27]מאזן בוחן'!AC440</f>
        <v>0</v>
      </c>
      <c r="AD534" s="141">
        <f>'[28]מאזן בוחן'!AD448</f>
        <v>0</v>
      </c>
      <c r="AE534" s="141">
        <f>'[29]מאזן בוחן'!AE453</f>
        <v>0</v>
      </c>
      <c r="AF534" s="141">
        <f>'[30]מאזן בוחן'!AF461</f>
        <v>88398.040000000008</v>
      </c>
      <c r="AG534" s="141">
        <f>'[31]מאזן בוחן'!AG465</f>
        <v>0</v>
      </c>
      <c r="AH534" s="141">
        <v>0</v>
      </c>
      <c r="AI534" s="141">
        <v>0</v>
      </c>
      <c r="AJ534" s="141">
        <v>10422</v>
      </c>
      <c r="AK534" s="141">
        <v>-10422</v>
      </c>
      <c r="AL534" s="141">
        <v>0</v>
      </c>
      <c r="AM534" s="141">
        <f>$K534-SUM($AB534:AL534)</f>
        <v>116265</v>
      </c>
      <c r="AN534" s="141"/>
      <c r="AO534" s="141"/>
      <c r="AP534" s="141"/>
      <c r="AQ534" s="141"/>
      <c r="AR534" s="141"/>
      <c r="AS534" s="141"/>
      <c r="AU534" s="141"/>
      <c r="AV534" s="141"/>
      <c r="AW534" s="141"/>
      <c r="BA534" s="63"/>
      <c r="BB534" s="170"/>
    </row>
    <row r="535" spans="1:59">
      <c r="A535" s="406"/>
      <c r="B535" s="3659"/>
      <c r="C535" s="585"/>
      <c r="D535" s="1675" t="s">
        <v>2473</v>
      </c>
      <c r="E535" s="474"/>
      <c r="F535" s="1325"/>
      <c r="J535" s="474"/>
      <c r="K535" s="474"/>
      <c r="L535" s="49"/>
      <c r="M535" s="1577"/>
      <c r="O535" s="1133"/>
      <c r="P535" s="137">
        <v>0</v>
      </c>
      <c r="Q535" s="137">
        <v>0</v>
      </c>
      <c r="R535" s="137">
        <v>0</v>
      </c>
      <c r="S535" s="137">
        <v>0</v>
      </c>
      <c r="T535" s="137">
        <v>0</v>
      </c>
      <c r="U535" s="137">
        <f>'[20]מאזן בוחן'!AS451</f>
        <v>0</v>
      </c>
      <c r="V535" s="141">
        <f>'[21]מאזן בוחן'!AT382</f>
        <v>0</v>
      </c>
      <c r="W535" s="141">
        <f>'[22]מאזן בוחן'!AK369</f>
        <v>0</v>
      </c>
      <c r="X535" s="141">
        <f>'[23]מאזן בוחן'!AL375</f>
        <v>0</v>
      </c>
      <c r="Y535" s="141">
        <f>'[24]מאזן בוחן'!AM392</f>
        <v>0</v>
      </c>
      <c r="Z535" s="141">
        <f>'[25]מאזן בוחן'!AN405</f>
        <v>0</v>
      </c>
      <c r="AA535" s="141">
        <f>$K535-SUM($P535:Z535)</f>
        <v>0</v>
      </c>
      <c r="AB535" s="141">
        <f>'[26]מאזן בוחן'!AB432</f>
        <v>0</v>
      </c>
      <c r="AC535" s="141">
        <f>'[27]מאזן בוחן'!AC441</f>
        <v>0</v>
      </c>
      <c r="AD535" s="141">
        <f>'[28]מאזן בוחן'!AD449</f>
        <v>0</v>
      </c>
      <c r="AE535" s="141">
        <f>'[29]מאזן בוחן'!AE454</f>
        <v>0</v>
      </c>
      <c r="AF535" s="141">
        <f>'[30]מאזן בוחן'!AF462</f>
        <v>0</v>
      </c>
      <c r="AG535" s="141">
        <f>'[31]מאזן בוחן'!AG466</f>
        <v>0</v>
      </c>
      <c r="AH535" s="141">
        <v>0</v>
      </c>
      <c r="AI535" s="141">
        <v>0</v>
      </c>
      <c r="AJ535" s="141">
        <v>0</v>
      </c>
      <c r="AK535" s="141">
        <v>0</v>
      </c>
      <c r="AL535" s="141">
        <v>0</v>
      </c>
      <c r="AM535" s="141">
        <f>$K535-SUM($AB535:AL535)</f>
        <v>0</v>
      </c>
      <c r="AN535" s="141"/>
      <c r="AO535" s="141"/>
      <c r="AP535" s="141"/>
      <c r="AQ535" s="141"/>
      <c r="AR535" s="141"/>
      <c r="AS535" s="141"/>
      <c r="AU535" s="141"/>
      <c r="AV535" s="141"/>
      <c r="AW535" s="141"/>
      <c r="BA535" s="714"/>
      <c r="BB535" s="170"/>
    </row>
    <row r="536" spans="1:59">
      <c r="A536" s="406"/>
      <c r="B536" s="3659" t="s">
        <v>1057</v>
      </c>
      <c r="C536" s="585">
        <v>80060</v>
      </c>
      <c r="D536" s="203" t="s">
        <v>1058</v>
      </c>
      <c r="E536" s="474">
        <f>IFERROR(VLOOKUP(C536,'פקודות נוספות'!$D$274:$F$797,3,0),0)</f>
        <v>-640369.46</v>
      </c>
      <c r="F536" s="1325">
        <f>SUMIF('פקודות נוספות'!C:C,C:C,'פקודות נוספות'!E:E)</f>
        <v>0</v>
      </c>
      <c r="J536" s="474">
        <f>SUM(E536:I536)</f>
        <v>-640369.46</v>
      </c>
      <c r="K536" s="474">
        <f>M536+SUMIF('פקודות נוספות'!C:C,'מאזן בוחן'!C536,'פקודות נוספות'!F:F)</f>
        <v>-190769.86</v>
      </c>
      <c r="L536" s="49"/>
      <c r="M536" s="1341">
        <f>IFERROR(VLOOKUP(C536,'פקודות נוספות'!$D$273:$G$797,4,0),0)</f>
        <v>-190769.86</v>
      </c>
      <c r="N536" s="1104">
        <f t="shared" si="107"/>
        <v>3.3567643232531594</v>
      </c>
      <c r="O536" s="2453" t="s">
        <v>2532</v>
      </c>
      <c r="P536" s="137">
        <v>-18839.25</v>
      </c>
      <c r="Q536" s="137">
        <v>-15585.879999999997</v>
      </c>
      <c r="R536" s="137">
        <v>-18509.5</v>
      </c>
      <c r="S536" s="137">
        <v>-15849.280000000006</v>
      </c>
      <c r="T536" s="137">
        <v>-17702.25</v>
      </c>
      <c r="U536" s="137">
        <f>'[20]מאזן בוחן'!AS452</f>
        <v>-16160.519999999982</v>
      </c>
      <c r="V536" s="141">
        <f>'[21]מאזן בוחן'!AT383</f>
        <v>-16131.080000000016</v>
      </c>
      <c r="W536" s="141">
        <f>'[22]מאזן בוחן'!AK370</f>
        <v>-16564.019999999997</v>
      </c>
      <c r="X536" s="141">
        <f>'[23]מאזן בוחן'!AL376</f>
        <v>-16549.739999999991</v>
      </c>
      <c r="Y536" s="141">
        <f>'[24]מאזן בוחן'!AM393</f>
        <v>-16253.890000000021</v>
      </c>
      <c r="Z536" s="141">
        <f>'[25]מאזן בוחן'!AN406</f>
        <v>-16268.660000000003</v>
      </c>
      <c r="AA536" s="141">
        <f>'[32]מאזן בוחן'!AO423</f>
        <v>-16321.279999999999</v>
      </c>
      <c r="AB536" s="141">
        <f>'[26]מאזן בוחן'!AB433</f>
        <v>-12707.34</v>
      </c>
      <c r="AC536" s="141">
        <f>'[27]מאזן בוחן'!AC442</f>
        <v>-12676.68</v>
      </c>
      <c r="AD536" s="141">
        <f>'[28]מאזן בוחן'!AD450</f>
        <v>-12739.009999999998</v>
      </c>
      <c r="AE536" s="141">
        <f>'[29]מאזן בוחן'!AE455</f>
        <v>-16729.25</v>
      </c>
      <c r="AF536" s="141">
        <f>'[30]מאזן בוחן'!AF463</f>
        <v>-19023.050000000003</v>
      </c>
      <c r="AG536" s="141">
        <f>'[31]מאזן בוחן'!AG467</f>
        <v>-15766.709999999992</v>
      </c>
      <c r="AH536" s="141">
        <v>-16572.090000000011</v>
      </c>
      <c r="AI536" s="141">
        <v>-16579.809999999998</v>
      </c>
      <c r="AJ536" s="141">
        <v>-16865.440000000002</v>
      </c>
      <c r="AK536" s="141">
        <v>-16809.699999999983</v>
      </c>
      <c r="AL536" s="141">
        <v>-16860.290000000008</v>
      </c>
      <c r="AM536" s="141">
        <f>$K536-SUM($AB536:AL536)</f>
        <v>-17440.489999999991</v>
      </c>
      <c r="AN536" s="141"/>
      <c r="AO536" s="141"/>
      <c r="AP536" s="141"/>
      <c r="AQ536" s="141"/>
      <c r="AR536" s="141"/>
      <c r="AS536" s="141"/>
      <c r="AU536" s="141"/>
      <c r="AV536" s="141"/>
      <c r="AW536" s="141"/>
      <c r="BA536" s="170"/>
      <c r="BB536" s="170"/>
    </row>
    <row r="537" spans="1:59" ht="13.5" thickBot="1">
      <c r="A537" s="406"/>
      <c r="B537" s="3659" t="s">
        <v>1057</v>
      </c>
      <c r="C537" s="585">
        <v>80061</v>
      </c>
      <c r="D537" s="203" t="s">
        <v>1059</v>
      </c>
      <c r="E537" s="474">
        <f>IFERROR(VLOOKUP(C537,'פקודות נוספות'!$D$274:$F$797,3,0),0)</f>
        <v>-11695140.060000001</v>
      </c>
      <c r="F537" s="1325">
        <f>SUMIF('פקודות נוספות'!C:C,C:C,'פקודות נוספות'!E:E)</f>
        <v>0</v>
      </c>
      <c r="J537" s="474">
        <f>SUM(E537:I537)</f>
        <v>-11695140.060000001</v>
      </c>
      <c r="K537" s="474">
        <f>M537+SUMIF('פקודות נוספות'!C:C,'מאזן בוחן'!C537,'פקודות נוספות'!F:F)</f>
        <v>-3455475.78</v>
      </c>
      <c r="L537" s="49"/>
      <c r="M537" s="1341">
        <f>IFERROR(VLOOKUP(C537,'פקודות נוספות'!$D$273:$G$797,4,0),0)</f>
        <v>-3455475.78</v>
      </c>
      <c r="N537" s="1104">
        <f t="shared" si="107"/>
        <v>3.3845238122317274</v>
      </c>
      <c r="O537" s="2454"/>
      <c r="P537" s="137">
        <v>-208217.83</v>
      </c>
      <c r="Q537" s="137">
        <v>-243472.72</v>
      </c>
      <c r="R537" s="137">
        <v>-231388.46000000005</v>
      </c>
      <c r="S537" s="137">
        <v>-228646.63000000003</v>
      </c>
      <c r="T537" s="137">
        <v>-248114.5499999999</v>
      </c>
      <c r="U537" s="137">
        <f>'[20]מאזן בוחן'!AS453</f>
        <v>-240202.68999999986</v>
      </c>
      <c r="V537" s="141">
        <f>'[21]מאזן בוחן'!AT384</f>
        <v>-236998.59000000005</v>
      </c>
      <c r="W537" s="141">
        <f>'[22]מאזן בוחן'!AK371</f>
        <v>-237120.16</v>
      </c>
      <c r="X537" s="141">
        <f>'[23]מאזן בוחן'!AL377</f>
        <v>-235605.30000000025</v>
      </c>
      <c r="Y537" s="141">
        <f>'[24]מאזן בוחן'!AM394</f>
        <v>-247722.71000000017</v>
      </c>
      <c r="Z537" s="141">
        <f>'[25]מאזן בוחן'!AN407</f>
        <v>-234029.31000000006</v>
      </c>
      <c r="AA537" s="141">
        <f>'[32]מאזן בוחן'!AO424</f>
        <v>-276361.21999999974</v>
      </c>
      <c r="AB537" s="141">
        <f>'[26]מאזן בוחן'!AB434</f>
        <v>-260275.82</v>
      </c>
      <c r="AC537" s="141">
        <f>'[27]מאזן בוחן'!AC443</f>
        <v>-246246.49</v>
      </c>
      <c r="AD537" s="141">
        <f>'[28]מאזן בוחן'!AD451</f>
        <v>-275733.71000000002</v>
      </c>
      <c r="AE537" s="141">
        <f>'[29]מאזן בוחן'!AE456</f>
        <v>-279635</v>
      </c>
      <c r="AF537" s="141">
        <f>'[30]מאזן בוחן'!AF464</f>
        <v>-278370.48</v>
      </c>
      <c r="AG537" s="141">
        <f>'[31]מאזן בוחן'!AG468</f>
        <v>-285986.76</v>
      </c>
      <c r="AH537" s="141">
        <v>-292446.84000000008</v>
      </c>
      <c r="AI537" s="141">
        <v>-290129.29000000004</v>
      </c>
      <c r="AJ537" s="141">
        <v>-345192.0299999998</v>
      </c>
      <c r="AK537" s="141">
        <v>-303070.53000000026</v>
      </c>
      <c r="AL537" s="141">
        <v>-300098.69999999972</v>
      </c>
      <c r="AM537" s="141">
        <f>$K537-SUM($AB537:AL537)</f>
        <v>-298290.12999999989</v>
      </c>
      <c r="AN537" s="141"/>
      <c r="AO537" s="141"/>
      <c r="AP537" s="141" t="s">
        <v>4346</v>
      </c>
      <c r="AQ537" s="141"/>
      <c r="AR537" s="141"/>
      <c r="AS537" s="141"/>
      <c r="AU537" s="141"/>
      <c r="AV537" s="141"/>
      <c r="AW537" s="141"/>
      <c r="BA537" s="170"/>
      <c r="BB537" s="170"/>
    </row>
    <row r="538" spans="1:59" ht="13.5" thickBot="1">
      <c r="A538" s="406"/>
      <c r="B538" s="3659" t="s">
        <v>1057</v>
      </c>
      <c r="C538" s="585" t="s">
        <v>3692</v>
      </c>
      <c r="D538" s="203" t="s">
        <v>3689</v>
      </c>
      <c r="E538" s="474">
        <f>IFERROR(VLOOKUP(C538,'פקודות נוספות'!$D$274:$F$797,3,0),0)</f>
        <v>-315019.95</v>
      </c>
      <c r="F538" s="1325">
        <f>SUMIF('פקודות נוספות'!C:C,C:C,'פקודות נוספות'!E:E)</f>
        <v>0</v>
      </c>
      <c r="J538" s="474">
        <f>SUM(E538:I538)</f>
        <v>-315019.95</v>
      </c>
      <c r="K538" s="474">
        <f>M538+SUMIF('פקודות נוספות'!C:C,'מאזן בוחן'!C538,'פקודות נוספות'!F:F)</f>
        <v>-99668.52</v>
      </c>
      <c r="L538" s="2222">
        <f>SUM('[33]53599 - Ltd'!$O$8,'[33]53599 - Ltd'!$H$7:$O$7,'[33]53599 - Ltd'!$I$6:$O$6,-228,-'[34]Income receibales'!$AA$3137)-K538</f>
        <v>0.20484028222563211</v>
      </c>
      <c r="M538" s="1341">
        <f>IFERROR(VLOOKUP(C538,'פקודות נוספות'!$D$273:$G$797,4,0),0)</f>
        <v>-99668.52</v>
      </c>
      <c r="N538" s="1104">
        <f>IF(K538=0,"-",J538/K538)</f>
        <v>3.1606765104969954</v>
      </c>
      <c r="O538" s="2454"/>
      <c r="V538" s="141"/>
      <c r="W538" s="141"/>
      <c r="X538" s="141"/>
      <c r="Y538" s="141"/>
      <c r="Z538" s="141"/>
      <c r="AA538" s="141"/>
      <c r="AB538" s="141"/>
      <c r="AC538" s="141"/>
      <c r="AD538" s="141"/>
      <c r="AE538" s="141"/>
      <c r="AF538" s="141">
        <f>'[30]מאזן בוחן'!AF465</f>
        <v>-27573.94</v>
      </c>
      <c r="AG538" s="141">
        <f>'[31]מאזן בוחן'!AG469</f>
        <v>-1684.2400000000016</v>
      </c>
      <c r="AH538" s="141">
        <v>-1684.239999999998</v>
      </c>
      <c r="AI538" s="141">
        <v>-1684.2400000000016</v>
      </c>
      <c r="AJ538" s="141">
        <v>-1684.2400000000016</v>
      </c>
      <c r="AK538" s="141">
        <v>-1684.239999999998</v>
      </c>
      <c r="AL538" s="141">
        <v>-1684.239999999998</v>
      </c>
      <c r="AM538" s="141">
        <f>$K538-SUM($AB538:AL538)</f>
        <v>-61989.140000000007</v>
      </c>
      <c r="AN538" s="141"/>
      <c r="AO538" s="141"/>
      <c r="AP538" s="141"/>
      <c r="AQ538" s="141"/>
      <c r="AR538" s="141"/>
      <c r="AS538" s="141"/>
      <c r="AU538" s="141"/>
      <c r="AV538" s="141"/>
      <c r="AW538" s="141"/>
      <c r="BA538" s="170"/>
      <c r="BB538" s="170"/>
    </row>
    <row r="539" spans="1:59" ht="13.5" thickBot="1">
      <c r="A539" s="406"/>
      <c r="B539" s="3659"/>
      <c r="C539" s="585"/>
      <c r="D539" s="1675" t="s">
        <v>2474</v>
      </c>
      <c r="E539" s="474"/>
      <c r="F539" s="1325"/>
      <c r="J539" s="474"/>
      <c r="K539" s="474"/>
      <c r="L539" s="49"/>
      <c r="M539" s="474"/>
      <c r="O539" s="2454"/>
      <c r="V539" s="141">
        <f>'[21]מאזן בוחן'!AT385</f>
        <v>0</v>
      </c>
      <c r="W539" s="141">
        <f>'[22]מאזן בוחן'!AK372</f>
        <v>0</v>
      </c>
      <c r="X539" s="141">
        <f>'[23]מאזן בוחן'!AL378</f>
        <v>0</v>
      </c>
      <c r="Y539" s="141">
        <f>'[24]מאזן בוחן'!AM395</f>
        <v>0</v>
      </c>
      <c r="Z539" s="141">
        <f>'[25]מאזן בוחן'!AN408</f>
        <v>0</v>
      </c>
      <c r="AA539" s="141">
        <f>'[32]מאזן בוחן'!AO425</f>
        <v>0</v>
      </c>
      <c r="AB539" s="141">
        <f>'[26]מאזן בוחן'!AB435</f>
        <v>0</v>
      </c>
      <c r="AC539" s="141">
        <f>'[27]מאזן בוחן'!AC444</f>
        <v>0</v>
      </c>
      <c r="AD539" s="141">
        <f>'[28]מאזן בוחן'!AD452</f>
        <v>0</v>
      </c>
      <c r="AE539" s="141">
        <f>'[29]מאזן בוחן'!AE457</f>
        <v>0</v>
      </c>
      <c r="AF539" s="141">
        <f>'[30]מאזן בוחן'!AF466</f>
        <v>0</v>
      </c>
      <c r="AG539" s="141">
        <f>'[31]מאזן בוחן'!AG470</f>
        <v>0</v>
      </c>
      <c r="AH539" s="141">
        <v>0</v>
      </c>
      <c r="AI539" s="141">
        <v>0</v>
      </c>
      <c r="AJ539" s="141">
        <v>0</v>
      </c>
      <c r="AK539" s="141">
        <v>0</v>
      </c>
      <c r="AL539" s="141">
        <v>0</v>
      </c>
      <c r="AM539" s="141">
        <f>$K539-SUM($AB539:AL539)</f>
        <v>0</v>
      </c>
      <c r="AN539" s="141"/>
      <c r="AO539" s="141"/>
      <c r="AP539" s="141"/>
      <c r="AQ539" s="141"/>
      <c r="AR539" s="141"/>
      <c r="AS539" s="141"/>
      <c r="AU539" s="141"/>
      <c r="AV539" s="141"/>
      <c r="AW539" s="141"/>
      <c r="BA539" s="170"/>
      <c r="BB539" s="170"/>
    </row>
    <row r="540" spans="1:59" ht="13.5" thickBot="1">
      <c r="A540" s="406"/>
      <c r="B540" s="3659" t="s">
        <v>1057</v>
      </c>
      <c r="C540" s="585">
        <v>80062</v>
      </c>
      <c r="D540" s="203" t="s">
        <v>1060</v>
      </c>
      <c r="E540" s="474">
        <f>IFERROR(VLOOKUP(C540,'פקודות נוספות'!$D$274:$F$797,3,0),0)</f>
        <v>-1333.32</v>
      </c>
      <c r="F540" s="1325">
        <f>SUMIF('פקודות נוספות'!C:C,C:C,'פקודות נוספות'!E:E)</f>
        <v>0</v>
      </c>
      <c r="J540" s="474">
        <f>SUM(E540:I540)</f>
        <v>-1333.32</v>
      </c>
      <c r="K540" s="474">
        <f>M540+SUMIF('פקודות נוספות'!C:C,'מאזן בוחן'!C540,'פקודות נוספות'!F:F)</f>
        <v>-378.69</v>
      </c>
      <c r="L540" s="2222">
        <f>SUM('[35]2019 ספרים'!$E$31:$E$36)+K540</f>
        <v>1.1258902386543923E-3</v>
      </c>
      <c r="M540" s="1341">
        <f>IFERROR(VLOOKUP(C540,'פקודות נוספות'!$D$273:$G$797,4,0),0)</f>
        <v>-378.69</v>
      </c>
      <c r="N540" s="1104">
        <f t="shared" si="107"/>
        <v>3.5208745939950883</v>
      </c>
      <c r="O540" s="169"/>
      <c r="P540" s="137">
        <v>-1257.69</v>
      </c>
      <c r="Q540" s="137">
        <v>-1257.69</v>
      </c>
      <c r="R540" s="137">
        <v>-1257.69</v>
      </c>
      <c r="S540" s="137">
        <v>-1257.69</v>
      </c>
      <c r="T540" s="137">
        <v>-1056.0400000000004</v>
      </c>
      <c r="U540" s="137">
        <f>'[20]מאזן בוחן'!AS454</f>
        <v>-811.17999999999802</v>
      </c>
      <c r="V540" s="141">
        <f>'[21]מאזן בוחן'!AT386</f>
        <v>-811.18000000000029</v>
      </c>
      <c r="W540" s="141">
        <f>'[22]מאזן בוחן'!AK373</f>
        <v>-811.17999999999984</v>
      </c>
      <c r="X540" s="141">
        <f>'[23]מאזן בוחן'!AL379</f>
        <v>-811.17999999999984</v>
      </c>
      <c r="Y540" s="141">
        <f>'[24]מאזן בוחן'!AM396</f>
        <v>-359.06999999999925</v>
      </c>
      <c r="Z540" s="141">
        <f>'[25]מאזן בוחן'!AN409</f>
        <v>-201.36999999999898</v>
      </c>
      <c r="AA540" s="141">
        <f>'[32]מאזן בוחן'!AO426</f>
        <v>-201.3700000000008</v>
      </c>
      <c r="AB540" s="141">
        <f>'[26]מאזן בוחן'!AB436</f>
        <v>-141.94999999999999</v>
      </c>
      <c r="AC540" s="141">
        <f>'[27]מאזן בוחן'!AC445</f>
        <v>-141.94999999999999</v>
      </c>
      <c r="AD540" s="141">
        <f>'[28]מאזן בוחן'!AD453</f>
        <v>-94.79000000000002</v>
      </c>
      <c r="AE540" s="141">
        <f>'[29]מאזן בוחן'!AE458</f>
        <v>0</v>
      </c>
      <c r="AF540" s="141">
        <f>'[30]מאזן בוחן'!AF467</f>
        <v>0</v>
      </c>
      <c r="AG540" s="141">
        <f>'[31]מאזן בוחן'!AG471</f>
        <v>0</v>
      </c>
      <c r="AH540" s="141">
        <v>0</v>
      </c>
      <c r="AI540" s="141">
        <v>0</v>
      </c>
      <c r="AJ540" s="141">
        <v>0</v>
      </c>
      <c r="AK540" s="141">
        <v>0</v>
      </c>
      <c r="AL540" s="141">
        <v>0</v>
      </c>
      <c r="AM540" s="141">
        <f>$K540-SUM($AB540:AL540)</f>
        <v>0</v>
      </c>
      <c r="AN540" s="141"/>
      <c r="AO540" s="141"/>
      <c r="AP540" s="141"/>
      <c r="AQ540" s="141"/>
      <c r="AR540" s="141"/>
      <c r="AS540" s="141"/>
      <c r="AU540" s="141"/>
      <c r="AV540" s="141"/>
      <c r="AW540" s="141"/>
      <c r="BD540" s="170"/>
      <c r="BE540" s="170"/>
      <c r="BF540" s="170"/>
      <c r="BG540" s="170"/>
    </row>
    <row r="541" spans="1:59">
      <c r="A541" s="406"/>
      <c r="B541" s="3659" t="s">
        <v>1664</v>
      </c>
      <c r="C541" s="585">
        <v>80070</v>
      </c>
      <c r="D541" s="203" t="s">
        <v>1665</v>
      </c>
      <c r="E541" s="474">
        <f>IFERROR(VLOOKUP(C541,'פקודות נוספות'!$D$274:$F$797,3,0),0)</f>
        <v>-5095330.78</v>
      </c>
      <c r="F541" s="1325">
        <f>SUMIF('פקודות נוספות'!C:C,C:C,'פקודות נוספות'!E:E)</f>
        <v>0</v>
      </c>
      <c r="J541" s="474">
        <f>SUM(E541:I541)</f>
        <v>-5095330.78</v>
      </c>
      <c r="K541" s="474">
        <f>M541+SUMIF('פקודות נוספות'!C:C,'מאזן בוחן'!C541,'פקודות נוספות'!F:F)</f>
        <v>-1573336.55</v>
      </c>
      <c r="L541" s="4324">
        <f>SUM('[36]ALL Automated'!$I$96)+K541+K542</f>
        <v>-112.10987725742234</v>
      </c>
      <c r="M541" s="1341">
        <f>IFERROR(VLOOKUP(C541,'פקודות נוספות'!$D$273:$G$797,4,0),0)</f>
        <v>-1573336.55</v>
      </c>
      <c r="N541" s="1104">
        <f>IF(K541=0,"-",J541/K541)</f>
        <v>3.2385510779623088</v>
      </c>
      <c r="O541" s="1133"/>
      <c r="P541" s="137">
        <v>0</v>
      </c>
      <c r="Q541" s="137">
        <v>-424287.21</v>
      </c>
      <c r="R541" s="137">
        <v>-121151.84000000003</v>
      </c>
      <c r="S541" s="137">
        <v>-8467.7399999999907</v>
      </c>
      <c r="T541" s="137">
        <v>-14368</v>
      </c>
      <c r="U541" s="137">
        <f>'[20]מאזן בוחן'!AS455</f>
        <v>-236914.30999999994</v>
      </c>
      <c r="V541" s="141">
        <f>'[21]מאזן בוחן'!AT387</f>
        <v>-134178.21000000008</v>
      </c>
      <c r="W541" s="141">
        <f>'[22]מאזן בוחן'!AK374</f>
        <v>-200402.93999999994</v>
      </c>
      <c r="X541" s="141">
        <f>'[23]מאזן בוחן'!AL380</f>
        <v>-321003.89999999973</v>
      </c>
      <c r="Y541" s="141">
        <f>'[24]מאזן בוחן'!AM397</f>
        <v>-72425.180000000633</v>
      </c>
      <c r="Z541" s="141">
        <f>'[25]מאזן בוחן'!AN410</f>
        <v>-107298.49999999977</v>
      </c>
      <c r="AA541" s="141">
        <f>'[32]מאזן בוחן'!AO427</f>
        <v>-203099.09999999986</v>
      </c>
      <c r="AB541" s="141">
        <f>'[26]מאזן בוחן'!AB437</f>
        <v>-14115.07</v>
      </c>
      <c r="AC541" s="141">
        <f>'[27]מאזן בוחן'!AC446</f>
        <v>-91495.94</v>
      </c>
      <c r="AD541" s="141">
        <f>'[28]מאזן בוחן'!AD454</f>
        <v>-164856</v>
      </c>
      <c r="AE541" s="141">
        <f>'[29]מאזן בוחן'!AE459</f>
        <v>-218098.37</v>
      </c>
      <c r="AF541" s="141">
        <f>'[30]מאזן בוחן'!AF468</f>
        <v>-164553.92000000004</v>
      </c>
      <c r="AG541" s="141">
        <f>'[31]מאזן בוחן'!AG472</f>
        <v>-177605.46999999997</v>
      </c>
      <c r="AH541" s="141">
        <v>-76102.959999999963</v>
      </c>
      <c r="AI541" s="141">
        <v>-33366.95000000007</v>
      </c>
      <c r="AJ541" s="141">
        <v>-263930.20999999985</v>
      </c>
      <c r="AK541" s="141">
        <v>-43685.600000000093</v>
      </c>
      <c r="AL541" s="141">
        <v>-59487.449999999953</v>
      </c>
      <c r="AM541" s="141">
        <f>$K541-SUM($AB541:AL541)</f>
        <v>-266038.6100000001</v>
      </c>
      <c r="AN541" s="141"/>
      <c r="AO541" s="141"/>
      <c r="AP541" s="141"/>
      <c r="AQ541" s="141"/>
      <c r="AR541" s="141"/>
      <c r="AS541" s="141"/>
      <c r="AU541" s="141"/>
      <c r="AV541" s="141"/>
      <c r="AW541" s="141"/>
    </row>
    <row r="542" spans="1:59" ht="13.5" thickBot="1">
      <c r="A542" s="406"/>
      <c r="B542" s="3659" t="s">
        <v>1664</v>
      </c>
      <c r="C542" s="585">
        <v>80071</v>
      </c>
      <c r="D542" s="203" t="s">
        <v>1666</v>
      </c>
      <c r="E542" s="474">
        <f>IFERROR(VLOOKUP(C542,'פקודות נוספות'!$D$274:$F$797,3,0),0)</f>
        <v>-74074.47</v>
      </c>
      <c r="F542" s="1325">
        <f>SUMIF('פקודות נוספות'!C:C,C:C,'פקודות נוספות'!E:E)</f>
        <v>0</v>
      </c>
      <c r="J542" s="474">
        <f>SUM(E542:I542)</f>
        <v>-74074.47</v>
      </c>
      <c r="K542" s="474">
        <f>M542+SUMIF('פקודות נוספות'!C:C,'מאזן בוחן'!C542,'פקודות נוספות'!F:F)</f>
        <v>-23020.7</v>
      </c>
      <c r="L542" s="4325"/>
      <c r="M542" s="1341">
        <f>IFERROR(VLOOKUP(C542,'פקודות נוספות'!$D$273:$G$797,4,0),0)</f>
        <v>-23020.7</v>
      </c>
      <c r="N542" s="1104">
        <f>IF(K542=0,"-",J542/K542)</f>
        <v>3.2177331705812593</v>
      </c>
      <c r="O542" s="1133"/>
      <c r="P542" s="137">
        <v>0</v>
      </c>
      <c r="Q542" s="137">
        <v>0</v>
      </c>
      <c r="R542" s="137">
        <v>0</v>
      </c>
      <c r="S542" s="137">
        <v>0</v>
      </c>
      <c r="T542" s="137">
        <v>0</v>
      </c>
      <c r="U542" s="137">
        <f>'[20]מאזן בוחן'!AS456</f>
        <v>0</v>
      </c>
      <c r="V542" s="141">
        <f>'[21]מאזן בוחן'!AT388</f>
        <v>0</v>
      </c>
      <c r="W542" s="141">
        <f>'[22]מאזן בוחן'!AK375</f>
        <v>0</v>
      </c>
      <c r="X542" s="141">
        <f>'[23]מאזן בוחן'!AL381</f>
        <v>0</v>
      </c>
      <c r="Y542" s="141">
        <f>'[24]מאזן בוחן'!AM398</f>
        <v>0</v>
      </c>
      <c r="Z542" s="141">
        <f>'[25]מאזן בוחן'!AN411</f>
        <v>0</v>
      </c>
      <c r="AA542" s="141">
        <f>'[32]מאזן בוחן'!AO428</f>
        <v>-5081.3</v>
      </c>
      <c r="AB542" s="141">
        <f>'[26]מאזן בוחן'!AB438</f>
        <v>0</v>
      </c>
      <c r="AC542" s="141">
        <f>'[27]מאזן בוחן'!AC447</f>
        <v>0</v>
      </c>
      <c r="AD542" s="141">
        <f>'[28]מאזן בוחן'!AD455</f>
        <v>0</v>
      </c>
      <c r="AE542" s="141">
        <f>'[29]מאזן בוחן'!AE460</f>
        <v>-7004.59</v>
      </c>
      <c r="AF542" s="141">
        <f>'[30]מאזן בוחן'!AF469</f>
        <v>-4413.5399999999991</v>
      </c>
      <c r="AG542" s="141">
        <f>'[31]מאזן בוחן'!AG473</f>
        <v>1384.0499999999993</v>
      </c>
      <c r="AH542" s="141">
        <v>0</v>
      </c>
      <c r="AI542" s="141">
        <v>0</v>
      </c>
      <c r="AJ542" s="141">
        <v>0</v>
      </c>
      <c r="AK542" s="141">
        <v>0</v>
      </c>
      <c r="AL542" s="141">
        <v>0</v>
      </c>
      <c r="AM542" s="141">
        <f>$K542-SUM($AB542:AL542)</f>
        <v>-12986.62</v>
      </c>
      <c r="AN542" s="141"/>
      <c r="AO542" s="141"/>
      <c r="AP542" s="141"/>
      <c r="AQ542" s="141"/>
      <c r="AR542" s="141"/>
      <c r="AS542" s="141"/>
      <c r="AU542" s="141"/>
      <c r="AV542" s="141"/>
      <c r="AW542" s="141"/>
      <c r="AZ542" s="714"/>
      <c r="BB542" s="170"/>
    </row>
    <row r="543" spans="1:59">
      <c r="A543" s="406"/>
      <c r="B543" s="3659" t="s">
        <v>1664</v>
      </c>
      <c r="C543" s="585">
        <v>80080</v>
      </c>
      <c r="D543" s="203" t="s">
        <v>1667</v>
      </c>
      <c r="E543" s="474">
        <f>IFERROR(VLOOKUP(C543,'פקודות נוספות'!$D$274:$F$797,3,0),0)</f>
        <v>-3185441.66</v>
      </c>
      <c r="F543" s="1325">
        <f>SUMIF('פקודות נוספות'!C:C,C:C,'פקודות נוספות'!E:E)</f>
        <v>0</v>
      </c>
      <c r="J543" s="474">
        <f>SUM(E543:I543)</f>
        <v>-3185441.66</v>
      </c>
      <c r="K543" s="474">
        <f>M543+SUMIF('פקודות נוספות'!C:C,'מאזן בוחן'!C543,'פקודות נוספות'!F:F)</f>
        <v>-933160.91</v>
      </c>
      <c r="L543" s="4309">
        <f>SUM([37]ALL!$AN$80:$AY$80,'[36]ALL Automated'!$M$96:$X$96,'[38]ALL Automated'!$X$69:$AI$69)+K543+K544</f>
        <v>-420.8188391483809</v>
      </c>
      <c r="M543" s="1341">
        <f>IFERROR(VLOOKUP(C543,'פקודות נוספות'!$D$273:$G$797,4,0),0)</f>
        <v>-933160.91</v>
      </c>
      <c r="N543" s="1104">
        <f>IF(K543=0,"-",J543/K543)</f>
        <v>3.4136038338768393</v>
      </c>
      <c r="O543" s="1133"/>
      <c r="P543" s="137">
        <v>-52827.44</v>
      </c>
      <c r="Q543" s="137">
        <v>-54562.619999999995</v>
      </c>
      <c r="R543" s="137">
        <v>-52021.929999999993</v>
      </c>
      <c r="S543" s="137">
        <v>-50659.430000000022</v>
      </c>
      <c r="T543" s="137">
        <v>-50212.06</v>
      </c>
      <c r="U543" s="137">
        <f>'[20]מאזן בוחן'!AS457</f>
        <v>-52063.879999999976</v>
      </c>
      <c r="V543" s="141">
        <f>'[21]מאזן בוחן'!AT389</f>
        <v>-55232.450000000012</v>
      </c>
      <c r="W543" s="141">
        <f>'[22]מאזן בוחן'!AK376</f>
        <v>-55113.050000000017</v>
      </c>
      <c r="X543" s="141">
        <f>'[23]מאזן בוחן'!AL382</f>
        <v>-58419.650000000052</v>
      </c>
      <c r="Y543" s="141">
        <f>'[24]מאזן בוחן'!AM399</f>
        <v>-64020.889999999985</v>
      </c>
      <c r="Z543" s="141">
        <f>'[25]מאזן בוחן'!AN412</f>
        <v>-66170.819999999949</v>
      </c>
      <c r="AA543" s="141">
        <f>'[32]מאזן בוחן'!AO429</f>
        <v>-65886.349999999977</v>
      </c>
      <c r="AB543" s="141">
        <f>'[26]מאזן בוחן'!AB439</f>
        <v>-69845.960000000006</v>
      </c>
      <c r="AC543" s="141">
        <f>'[27]מאזן בוחן'!AC448</f>
        <v>-70187.279999999984</v>
      </c>
      <c r="AD543" s="141">
        <f>'[28]מאזן בוחן'!AD456</f>
        <v>-70708.25</v>
      </c>
      <c r="AE543" s="141">
        <f>'[29]מאזן בוחן'!AE461</f>
        <v>-70460.580000000016</v>
      </c>
      <c r="AF543" s="141">
        <f>'[30]מאזן בוחן'!AF470</f>
        <v>-85446.849999999977</v>
      </c>
      <c r="AG543" s="141">
        <f>'[31]מאזן בוחן'!AG474</f>
        <v>-76898.540000000037</v>
      </c>
      <c r="AH543" s="141">
        <v>-79067.729999999981</v>
      </c>
      <c r="AI543" s="141">
        <v>-80208.73000000004</v>
      </c>
      <c r="AJ543" s="141">
        <v>-81841.569999999949</v>
      </c>
      <c r="AK543" s="141">
        <v>-86123.890000000014</v>
      </c>
      <c r="AL543" s="141">
        <v>-86585.589999999967</v>
      </c>
      <c r="AM543" s="141">
        <f>$K543-SUM($AB543:AL543)</f>
        <v>-75785.940000000061</v>
      </c>
      <c r="AN543" s="141"/>
      <c r="AO543" s="141"/>
      <c r="AP543" s="141"/>
      <c r="AQ543" s="141"/>
      <c r="AR543" s="141"/>
      <c r="AS543" s="141"/>
      <c r="AU543" s="141"/>
      <c r="AV543" s="141"/>
      <c r="AW543" s="141"/>
      <c r="BB543" s="170"/>
    </row>
    <row r="544" spans="1:59" ht="13.5" thickBot="1">
      <c r="A544" s="406"/>
      <c r="B544" s="3659" t="s">
        <v>1664</v>
      </c>
      <c r="C544" s="585">
        <v>80081</v>
      </c>
      <c r="D544" s="203" t="s">
        <v>1668</v>
      </c>
      <c r="E544" s="474">
        <f>IFERROR(VLOOKUP(C544,'פקודות נוספות'!$D$274:$F$797,3,0),0)</f>
        <v>-17717</v>
      </c>
      <c r="F544" s="1325">
        <f>SUMIF('פקודות נוספות'!C:C,C:C,'פקודות נוספות'!E:E)</f>
        <v>0</v>
      </c>
      <c r="J544" s="474">
        <f>SUM(E544:I544)</f>
        <v>-17717</v>
      </c>
      <c r="K544" s="474">
        <f>M544+SUMIF('פקודות נוספות'!C:C,'מאזן בוחן'!C544,'פקודות נוספות'!F:F)</f>
        <v>-5219.63</v>
      </c>
      <c r="L544" s="4310"/>
      <c r="M544" s="1341">
        <f>IFERROR(VLOOKUP(C544,'פקודות נוספות'!$D$273:$G$797,4,0),0)</f>
        <v>-5219.63</v>
      </c>
      <c r="N544" s="1104">
        <f>IF(K544=0,"-",J544/K544)</f>
        <v>3.3943018949619033</v>
      </c>
      <c r="O544" s="1133"/>
      <c r="P544" s="137">
        <v>-892.97</v>
      </c>
      <c r="Q544" s="137">
        <v>-890.24</v>
      </c>
      <c r="R544" s="137">
        <v>-816.57999999999993</v>
      </c>
      <c r="S544" s="137">
        <v>-816.5799999999997</v>
      </c>
      <c r="T544" s="137">
        <v>-816.58000000000015</v>
      </c>
      <c r="U544" s="137">
        <f>'[20]מאזן בוחן'!AS458</f>
        <v>-816.57999999999993</v>
      </c>
      <c r="V544" s="141">
        <f>'[21]מאזן בוחן'!AT390</f>
        <v>-968.08999999999992</v>
      </c>
      <c r="W544" s="141">
        <f>'[22]מאזן בוחן'!AK377</f>
        <v>-876.12000000000035</v>
      </c>
      <c r="X544" s="141">
        <f>'[23]מאזן בוחן'!AL383</f>
        <v>-741.04999999999973</v>
      </c>
      <c r="Y544" s="141">
        <f>'[24]מאזן בוחן'!AM400</f>
        <v>-741.05000000000018</v>
      </c>
      <c r="Z544" s="141">
        <f>'[25]מאזן בוחן'!AN413</f>
        <v>-795.35000000000036</v>
      </c>
      <c r="AA544" s="141">
        <f>'[32]מאזן בוחן'!AO430</f>
        <v>-590.18000000000029</v>
      </c>
      <c r="AB544" s="141">
        <f>'[26]מאזן בוחן'!AB440</f>
        <v>-360.62</v>
      </c>
      <c r="AC544" s="141">
        <f>'[27]מאזן בוחן'!AC449</f>
        <v>-360.62</v>
      </c>
      <c r="AD544" s="141">
        <f>'[28]מאזן בוחן'!AD457</f>
        <v>-360.61999999999989</v>
      </c>
      <c r="AE544" s="141">
        <f>'[29]מאזן בוחן'!AE462</f>
        <v>-476.97</v>
      </c>
      <c r="AF544" s="141">
        <f>'[30]מאזן בוחן'!AF471</f>
        <v>-494.86999999999989</v>
      </c>
      <c r="AG544" s="141">
        <f>'[31]מאזן בוחן'!AG475</f>
        <v>-447.48</v>
      </c>
      <c r="AH544" s="141">
        <v>-471.47000000000025</v>
      </c>
      <c r="AI544" s="141">
        <v>-471.4699999999998</v>
      </c>
      <c r="AJ544" s="141">
        <v>-471.47000000000025</v>
      </c>
      <c r="AK544" s="141">
        <v>-471.47000000000025</v>
      </c>
      <c r="AL544" s="141">
        <v>-458.48999999999978</v>
      </c>
      <c r="AM544" s="141">
        <f>$K544-SUM($AB544:AL544)</f>
        <v>-374.07999999999993</v>
      </c>
      <c r="AN544" s="141"/>
      <c r="AO544" s="141"/>
      <c r="AP544" s="141"/>
      <c r="AQ544" s="141"/>
      <c r="AR544" s="141"/>
      <c r="AS544" s="141"/>
      <c r="AU544" s="141"/>
      <c r="AV544" s="141"/>
      <c r="AW544" s="141"/>
      <c r="BB544" s="170"/>
    </row>
    <row r="545" spans="1:54">
      <c r="A545" s="406"/>
      <c r="B545" s="3659"/>
      <c r="C545" s="585"/>
      <c r="D545" s="1675" t="s">
        <v>2472</v>
      </c>
      <c r="E545" s="474"/>
      <c r="F545" s="1325"/>
      <c r="J545" s="474"/>
      <c r="K545" s="474"/>
      <c r="L545" s="49"/>
      <c r="M545" s="474"/>
      <c r="O545" s="1133"/>
      <c r="V545" s="141">
        <f>'[21]מאזן בוחן'!AT391</f>
        <v>0</v>
      </c>
      <c r="W545" s="141">
        <f>'[22]מאזן בוחן'!AK378</f>
        <v>0</v>
      </c>
      <c r="X545" s="141">
        <f>'[23]מאזן בוחן'!AL384</f>
        <v>0</v>
      </c>
      <c r="Y545" s="141">
        <f>'[24]מאזן בוחן'!AM401</f>
        <v>0</v>
      </c>
      <c r="Z545" s="141">
        <f>'[25]מאזן בוחן'!AN414</f>
        <v>0</v>
      </c>
      <c r="AA545" s="141">
        <f>'[32]מאזן בוחן'!AO431</f>
        <v>0</v>
      </c>
      <c r="AB545" s="141">
        <f>'[26]מאזן בוחן'!AB441</f>
        <v>0</v>
      </c>
      <c r="AC545" s="141">
        <f>'[27]מאזן בוחן'!AC450</f>
        <v>0</v>
      </c>
      <c r="AD545" s="141">
        <f>'[28]מאזן בוחן'!AD458</f>
        <v>0</v>
      </c>
      <c r="AE545" s="141">
        <f>'[29]מאזן בוחן'!AE463</f>
        <v>0</v>
      </c>
      <c r="AF545" s="141">
        <f>'[30]מאזן בוחן'!AF472</f>
        <v>0</v>
      </c>
      <c r="AG545" s="141">
        <f>'[31]מאזן בוחן'!AG476</f>
        <v>0</v>
      </c>
      <c r="AH545" s="141">
        <v>0</v>
      </c>
      <c r="AI545" s="141">
        <v>0</v>
      </c>
      <c r="AJ545" s="141">
        <v>0</v>
      </c>
      <c r="AK545" s="141">
        <v>0</v>
      </c>
      <c r="AL545" s="141">
        <v>0</v>
      </c>
      <c r="AM545" s="141">
        <f>$K545-SUM($AB545:AL545)</f>
        <v>0</v>
      </c>
      <c r="AN545" s="141"/>
      <c r="AO545" s="141"/>
      <c r="AP545" s="141"/>
      <c r="AQ545" s="141"/>
      <c r="AR545" s="141"/>
      <c r="AS545" s="141"/>
      <c r="AU545" s="141"/>
      <c r="AV545" s="141"/>
      <c r="AW545" s="141"/>
      <c r="BA545" s="714"/>
      <c r="BB545" s="170"/>
    </row>
    <row r="546" spans="1:54">
      <c r="A546" s="406"/>
      <c r="B546" s="3659" t="s">
        <v>1057</v>
      </c>
      <c r="C546" s="585">
        <v>80064</v>
      </c>
      <c r="D546" s="203" t="s">
        <v>1061</v>
      </c>
      <c r="E546" s="474">
        <f>IFERROR(VLOOKUP(C546,'פקודות נוספות'!$D$274:$F$797,3,0),0)</f>
        <v>-310825.78999999998</v>
      </c>
      <c r="F546" s="1325">
        <f>SUMIF('פקודות נוספות'!C:C,C:C,'פקודות נוספות'!E:E)</f>
        <v>0</v>
      </c>
      <c r="J546" s="474">
        <f>SUM(E546:I546)</f>
        <v>-310825.78999999998</v>
      </c>
      <c r="K546" s="474">
        <f>M546+SUMIF('פקודות נוספות'!C:C,'מאזן בוחן'!C546,'פקודות נוספות'!F:F)</f>
        <v>-91584.2</v>
      </c>
      <c r="L546" s="49"/>
      <c r="M546" s="474">
        <f>VLOOKUP(C546,'פקודות נוספות'!$D$273:$G$797,4,0)</f>
        <v>-91584.2</v>
      </c>
      <c r="N546" s="1104">
        <f t="shared" si="107"/>
        <v>3.3938800579139197</v>
      </c>
      <c r="O546" s="2453" t="s">
        <v>2511</v>
      </c>
      <c r="P546" s="137">
        <v>-5971.31</v>
      </c>
      <c r="Q546" s="137">
        <v>-7160.53</v>
      </c>
      <c r="R546" s="137">
        <v>-6177.9800000000005</v>
      </c>
      <c r="S546" s="137">
        <v>-6333.7</v>
      </c>
      <c r="T546" s="137">
        <v>-6699.2599999999993</v>
      </c>
      <c r="U546" s="137">
        <f>'[20]מאזן בוחן'!AS459</f>
        <v>-6466.4700000000039</v>
      </c>
      <c r="V546" s="141">
        <f>'[21]מאזן בוחן'!AT392</f>
        <v>-6337.699999999998</v>
      </c>
      <c r="W546" s="141">
        <f>'[22]מאזן בוחן'!AK379</f>
        <v>-6132.4199999999992</v>
      </c>
      <c r="X546" s="141">
        <f>'[23]מאזן בוחן'!AL385</f>
        <v>-6519.3200000000006</v>
      </c>
      <c r="Y546" s="141">
        <f>'[24]מאזן בוחן'!AM402</f>
        <v>-6620.2100000000073</v>
      </c>
      <c r="Z546" s="141">
        <f>'[25]מאזן בוחן'!AN415</f>
        <v>-6757.1599999999962</v>
      </c>
      <c r="AA546" s="141">
        <f>'[32]מאזן בוחן'!AO432</f>
        <v>-7492.9499999999971</v>
      </c>
      <c r="AB546" s="141">
        <f>'[26]מאזן בוחן'!AB442</f>
        <v>-8222.4699999999993</v>
      </c>
      <c r="AC546" s="141">
        <f>'[27]מאזן בוחן'!AC451</f>
        <v>-8167.08</v>
      </c>
      <c r="AD546" s="141">
        <f>'[28]מאזן בוחן'!AD459</f>
        <v>-8434.9400000000023</v>
      </c>
      <c r="AE546" s="141">
        <f>'[29]מאזן בוחן'!AE464</f>
        <v>-7973.3100000000013</v>
      </c>
      <c r="AF546" s="141">
        <f>'[30]מאזן בוחן'!AF473</f>
        <v>-7646.07</v>
      </c>
      <c r="AG546" s="141">
        <f>'[31]מאזן בוחן'!AG477</f>
        <v>-7513.75</v>
      </c>
      <c r="AH546" s="141">
        <v>-7342.9399999999951</v>
      </c>
      <c r="AI546" s="141">
        <v>-8021.68</v>
      </c>
      <c r="AJ546" s="141">
        <v>-8334.32</v>
      </c>
      <c r="AK546" s="141">
        <v>-6914.6800000000076</v>
      </c>
      <c r="AL546" s="141">
        <v>-6495.5099999999948</v>
      </c>
      <c r="AM546" s="141">
        <f>$K546-SUM($AB546:AL546)</f>
        <v>-6517.4499999999971</v>
      </c>
      <c r="AN546" s="141"/>
      <c r="AO546" s="141"/>
      <c r="AP546" s="141"/>
      <c r="AQ546" s="141"/>
      <c r="AR546" s="141"/>
      <c r="AS546" s="141"/>
      <c r="AU546" s="141"/>
      <c r="AV546" s="141"/>
      <c r="AW546" s="141"/>
      <c r="BA546" s="714"/>
      <c r="BB546" s="170"/>
    </row>
    <row r="547" spans="1:54" ht="13.5" thickBot="1">
      <c r="A547" s="406"/>
      <c r="B547" s="3659" t="s">
        <v>1057</v>
      </c>
      <c r="C547" s="585">
        <v>80065</v>
      </c>
      <c r="D547" s="203" t="s">
        <v>1591</v>
      </c>
      <c r="E547" s="474">
        <f>IFERROR(VLOOKUP(C547,'פקודות נוספות'!$D$274:$F$797,3,0),0)</f>
        <v>0</v>
      </c>
      <c r="F547" s="1325">
        <f>SUMIF('פקודות נוספות'!C:C,C:C,'פקודות נוספות'!E:E)</f>
        <v>0</v>
      </c>
      <c r="J547" s="1577">
        <f>SUM(E547:I547)</f>
        <v>0</v>
      </c>
      <c r="K547" s="474">
        <f>M547+SUMIF('פקודות נוספות'!C:C,'מאזן בוחן'!C547,'פקודות נוספות'!F:F)</f>
        <v>0</v>
      </c>
      <c r="L547" s="49"/>
      <c r="M547" s="474"/>
      <c r="N547" s="1104" t="str">
        <f>IF(K547=0,"-",J547/K547)</f>
        <v>-</v>
      </c>
      <c r="O547" s="1133"/>
      <c r="P547" s="137">
        <v>0</v>
      </c>
      <c r="Q547" s="137">
        <v>0</v>
      </c>
      <c r="R547" s="137">
        <v>0</v>
      </c>
      <c r="S547" s="137">
        <v>0</v>
      </c>
      <c r="T547" s="137">
        <v>0</v>
      </c>
      <c r="U547" s="137">
        <f>'[20]מאזן בוחן'!AS460</f>
        <v>0</v>
      </c>
      <c r="V547" s="141">
        <f>'[21]מאזן בוחן'!AT393</f>
        <v>0</v>
      </c>
      <c r="W547" s="141">
        <f>'[22]מאזן בוחן'!AK380</f>
        <v>0</v>
      </c>
      <c r="X547" s="141">
        <f>'[23]מאזן בוחן'!AL386</f>
        <v>0</v>
      </c>
      <c r="Y547" s="141">
        <f>'[24]מאזן בוחן'!AM403</f>
        <v>0</v>
      </c>
      <c r="Z547" s="141">
        <f>'[25]מאזן בוחן'!AN416</f>
        <v>0</v>
      </c>
      <c r="AA547" s="141">
        <f>'[32]מאזן בוחן'!AO433</f>
        <v>0</v>
      </c>
      <c r="AB547" s="141">
        <f>'[26]מאזן בוחן'!AB443</f>
        <v>0</v>
      </c>
      <c r="AC547" s="141">
        <f>'[27]מאזן בוחן'!AC452</f>
        <v>0</v>
      </c>
      <c r="AD547" s="141">
        <f>'[28]מאזן בוחן'!AD460</f>
        <v>0</v>
      </c>
      <c r="AE547" s="141">
        <f>'[29]מאזן בוחן'!AE465</f>
        <v>0</v>
      </c>
      <c r="AF547" s="141">
        <f>'[30]מאזן בוחן'!AF474</f>
        <v>0</v>
      </c>
      <c r="AG547" s="141">
        <f>'[31]מאזן בוחן'!AG478</f>
        <v>0</v>
      </c>
      <c r="AH547" s="141">
        <v>0</v>
      </c>
      <c r="AI547" s="141">
        <v>0</v>
      </c>
      <c r="AJ547" s="141">
        <v>0</v>
      </c>
      <c r="AK547" s="141">
        <v>0</v>
      </c>
      <c r="AL547" s="141">
        <v>0</v>
      </c>
      <c r="AM547" s="141">
        <f>$K547-SUM($AB547:AL547)</f>
        <v>0</v>
      </c>
      <c r="AN547" s="141"/>
      <c r="AO547" s="141"/>
      <c r="AP547" s="141"/>
      <c r="AQ547" s="141"/>
      <c r="AR547" s="141"/>
      <c r="AS547" s="141"/>
      <c r="AU547" s="141"/>
      <c r="AV547" s="141"/>
      <c r="AW547" s="141"/>
      <c r="BA547" s="2807"/>
      <c r="BB547" s="170"/>
    </row>
    <row r="548" spans="1:54" ht="13.5" thickBot="1">
      <c r="A548" s="406"/>
      <c r="B548" s="3659" t="s">
        <v>1057</v>
      </c>
      <c r="C548" s="585" t="s">
        <v>2618</v>
      </c>
      <c r="D548" s="203" t="s">
        <v>2619</v>
      </c>
      <c r="E548" s="474">
        <f>IFERROR(VLOOKUP(C548,'פקודות נוספות'!$D$274:$F$797,3,0),0)</f>
        <v>208359.03</v>
      </c>
      <c r="F548" s="1325">
        <f>SUMIF('פקודות נוספות'!C:C,C:C,'פקודות נוספות'!E:E)</f>
        <v>0</v>
      </c>
      <c r="J548" s="474">
        <f>SUM(E548:I548)</f>
        <v>208359.03</v>
      </c>
      <c r="K548" s="474">
        <f>M548+SUMIF('פקודות נוספות'!C:C,'מאזן בוחן'!C548,'פקודות נוספות'!F:F)</f>
        <v>58551.75</v>
      </c>
      <c r="L548" s="2222">
        <f>-SUM('[33]53599 - Ltd'!$D$25:$O$26)+K548</f>
        <v>-0.42213335930864559</v>
      </c>
      <c r="M548" s="474">
        <f>VLOOKUP(C548,'פקודות נוספות'!$D$273:$G$797,4,0)</f>
        <v>58551.75</v>
      </c>
      <c r="N548" s="1104">
        <f>IF(K548=0,"-",J548/K548)</f>
        <v>3.5585448769678103</v>
      </c>
      <c r="O548" s="2453" t="s">
        <v>2752</v>
      </c>
      <c r="V548" s="141">
        <f>'[21]מאזן בוחן'!AT400</f>
        <v>0</v>
      </c>
      <c r="W548" s="141">
        <f>'[22]מאזן בוחן'!AK388</f>
        <v>-13215.41</v>
      </c>
      <c r="X548" s="141">
        <f>'[23]מאזן בוחן'!AL387</f>
        <v>71465.5</v>
      </c>
      <c r="Y548" s="141">
        <f>'[24]מאזן בוחן'!AM404</f>
        <v>63979.429999999993</v>
      </c>
      <c r="Z548" s="141">
        <f>'[25]מאזן בוחן'!AN417</f>
        <v>4332.6200000000099</v>
      </c>
      <c r="AA548" s="141">
        <f>'[32]מאזן בוחן'!AO434</f>
        <v>4332.6199999999953</v>
      </c>
      <c r="AB548" s="141">
        <f>'[26]מאזן בוחן'!AB444</f>
        <v>4332.62</v>
      </c>
      <c r="AC548" s="141">
        <f>'[27]מאזן בוחן'!AC453</f>
        <v>-11891.380000000001</v>
      </c>
      <c r="AD548" s="141">
        <f>'[28]מאזן בוחן'!AD461</f>
        <v>2107.7100000000009</v>
      </c>
      <c r="AE548" s="141">
        <f>'[29]מאזן בוחן'!AE466</f>
        <v>2351.59</v>
      </c>
      <c r="AF548" s="141">
        <f>'[30]מאזן בוחן'!AF475</f>
        <v>2351.59</v>
      </c>
      <c r="AG548" s="141">
        <f>'[31]מאזן בוחן'!AG479</f>
        <v>2351.59</v>
      </c>
      <c r="AH548" s="141">
        <v>4448.33</v>
      </c>
      <c r="AI548" s="141">
        <v>4510.38</v>
      </c>
      <c r="AJ548" s="141">
        <v>11997.329999999998</v>
      </c>
      <c r="AK548" s="141">
        <v>11997.329999999998</v>
      </c>
      <c r="AL548" s="141">
        <v>11997.330000000002</v>
      </c>
      <c r="AM548" s="141">
        <f>$K548-SUM($AB548:AL548)</f>
        <v>11997.330000000002</v>
      </c>
      <c r="AN548" s="141"/>
      <c r="AO548" s="141"/>
      <c r="AP548" s="141"/>
      <c r="AQ548" s="141"/>
      <c r="AR548" s="141"/>
      <c r="AS548" s="141"/>
      <c r="AU548" s="141"/>
      <c r="AV548" s="141"/>
      <c r="AW548" s="141"/>
    </row>
    <row r="549" spans="1:54">
      <c r="A549" s="406"/>
      <c r="B549" s="3659"/>
      <c r="C549" s="585"/>
      <c r="D549" s="1675" t="s">
        <v>2475</v>
      </c>
      <c r="E549" s="474"/>
      <c r="F549" s="1325"/>
      <c r="J549" s="474"/>
      <c r="K549" s="474"/>
      <c r="L549" s="49"/>
      <c r="M549" s="474"/>
      <c r="O549" s="1133"/>
      <c r="V549" s="141">
        <f>'[21]מאזן בוחן'!AT394</f>
        <v>0</v>
      </c>
      <c r="W549" s="141">
        <f>'[22]מאזן בוחן'!AK381</f>
        <v>0</v>
      </c>
      <c r="X549" s="141">
        <f>'[23]מאזן בוחן'!AL388</f>
        <v>0</v>
      </c>
      <c r="Y549" s="141">
        <f>'[24]מאזן בוחן'!AM405</f>
        <v>0</v>
      </c>
      <c r="Z549" s="141">
        <f>'[25]מאזן בוחן'!AN418</f>
        <v>0</v>
      </c>
      <c r="AA549" s="141">
        <f>'[32]מאזן בוחן'!AO435</f>
        <v>0</v>
      </c>
      <c r="AB549" s="141">
        <f>'[26]מאזן בוחן'!AB445</f>
        <v>0</v>
      </c>
      <c r="AC549" s="141">
        <f>'[27]מאזן בוחן'!AC454</f>
        <v>0</v>
      </c>
      <c r="AD549" s="141">
        <f>'[28]מאזן בוחן'!AD462</f>
        <v>0</v>
      </c>
      <c r="AE549" s="141">
        <f>'[29]מאזן בוחן'!AE467</f>
        <v>0</v>
      </c>
      <c r="AF549" s="141">
        <f>'[30]מאזן בוחן'!AF476</f>
        <v>0</v>
      </c>
      <c r="AG549" s="141">
        <f>'[31]מאזן בוחן'!AG480</f>
        <v>0</v>
      </c>
      <c r="AH549" s="141">
        <v>0</v>
      </c>
      <c r="AI549" s="141">
        <v>0</v>
      </c>
      <c r="AJ549" s="141">
        <v>0</v>
      </c>
      <c r="AK549" s="141">
        <v>0</v>
      </c>
      <c r="AL549" s="141">
        <v>0</v>
      </c>
      <c r="AM549" s="141">
        <f>$K549-SUM($AB549:AL549)</f>
        <v>0</v>
      </c>
      <c r="AN549" s="141"/>
      <c r="AO549" s="141"/>
      <c r="AP549" s="141"/>
      <c r="AQ549" s="141"/>
      <c r="AR549" s="141"/>
      <c r="AS549" s="141"/>
      <c r="AU549" s="141"/>
      <c r="AV549" s="141"/>
      <c r="AW549" s="141"/>
      <c r="BA549" s="2807"/>
      <c r="BB549" s="170"/>
    </row>
    <row r="550" spans="1:54">
      <c r="A550" s="406"/>
      <c r="B550" s="3659" t="s">
        <v>1062</v>
      </c>
      <c r="C550" s="585">
        <v>80150</v>
      </c>
      <c r="D550" s="203" t="s">
        <v>1063</v>
      </c>
      <c r="E550" s="474">
        <f>IFERROR(VLOOKUP(C550,'פקודות נוספות'!$D$274:$F$797,3,0),0)</f>
        <v>-254877.43</v>
      </c>
      <c r="F550" s="1325">
        <f>SUMIF('פקודות נוספות'!C:C,C:C,'פקודות נוספות'!E:E)</f>
        <v>0</v>
      </c>
      <c r="J550" s="474">
        <f>SUM(E550:I550)</f>
        <v>-254877.43</v>
      </c>
      <c r="K550" s="474">
        <f>M550+SUMIF('פקודות נוספות'!C:C,'מאזן בוחן'!C550,'פקודות נוספות'!F:F)</f>
        <v>-78854.77</v>
      </c>
      <c r="L550" s="49"/>
      <c r="M550" s="1341">
        <f>IFERROR(VLOOKUP(C550,'פקודות נוספות'!$D$273:$G$797,4,0),0)</f>
        <v>-78854.77</v>
      </c>
      <c r="N550" s="1104">
        <f t="shared" si="107"/>
        <v>3.2322385823964739</v>
      </c>
      <c r="O550" s="1133"/>
      <c r="P550" s="137">
        <v>0</v>
      </c>
      <c r="Q550" s="137">
        <v>-2895</v>
      </c>
      <c r="R550" s="137">
        <v>-12085.55</v>
      </c>
      <c r="S550" s="137">
        <v>-6700</v>
      </c>
      <c r="T550" s="137">
        <v>-2700</v>
      </c>
      <c r="U550" s="137">
        <f>'[20]מאזן בוחן'!AS464</f>
        <v>-1800</v>
      </c>
      <c r="V550" s="141">
        <f>'[21]מאזן בוחן'!AT395</f>
        <v>-14514.55</v>
      </c>
      <c r="W550" s="141">
        <f>'[22]מאזן בוחן'!AK382</f>
        <v>-9589.1600000000071</v>
      </c>
      <c r="X550" s="141">
        <f>'[23]מאזן בוחן'!AL389</f>
        <v>-8646.25</v>
      </c>
      <c r="Y550" s="141">
        <f>'[24]מאזן בוחן'!AM406</f>
        <v>-17355.12</v>
      </c>
      <c r="Z550" s="141">
        <f>'[25]מאזן בוחן'!AN419</f>
        <v>0</v>
      </c>
      <c r="AA550" s="141">
        <f>'[32]מאזן בוחן'!AO436</f>
        <v>-31252.009999999995</v>
      </c>
      <c r="AB550" s="141">
        <f>'[26]מאזן בוחן'!AB446</f>
        <v>0</v>
      </c>
      <c r="AC550" s="141">
        <f>'[27]מאזן בוחן'!AC455</f>
        <v>-4996.8999999999996</v>
      </c>
      <c r="AD550" s="141">
        <f>'[28]מאזן בוחן'!AD463</f>
        <v>-1080</v>
      </c>
      <c r="AE550" s="141">
        <f>'[29]מאזן בוחן'!AE468</f>
        <v>-10986.000000000002</v>
      </c>
      <c r="AF550" s="141">
        <f>'[30]מאזן בוחן'!AF477</f>
        <v>-13174.96</v>
      </c>
      <c r="AG550" s="141">
        <f>'[31]מאזן בוחן'!AG481</f>
        <v>-1500</v>
      </c>
      <c r="AH550" s="141">
        <v>-10928.25</v>
      </c>
      <c r="AI550" s="141">
        <v>-9840</v>
      </c>
      <c r="AJ550" s="141">
        <v>-6535</v>
      </c>
      <c r="AK550" s="141">
        <v>-8305.8399999999965</v>
      </c>
      <c r="AL550" s="141">
        <v>0</v>
      </c>
      <c r="AM550" s="141">
        <f>$K550-SUM($AB550:AL550)</f>
        <v>-11507.820000000007</v>
      </c>
      <c r="AN550" s="141"/>
      <c r="AO550" s="141"/>
      <c r="AP550" s="141"/>
      <c r="AQ550" s="141">
        <v>3513924</v>
      </c>
      <c r="AR550" s="141">
        <v>-11768</v>
      </c>
      <c r="AS550" s="141">
        <f>AQ550+AR550</f>
        <v>3502156</v>
      </c>
      <c r="AU550" s="141"/>
      <c r="AV550" s="141"/>
      <c r="AW550" s="141"/>
      <c r="BB550" s="170"/>
    </row>
    <row r="551" spans="1:54">
      <c r="A551" s="406"/>
      <c r="B551" s="3659" t="s">
        <v>1062</v>
      </c>
      <c r="C551" s="585">
        <v>80151</v>
      </c>
      <c r="D551" s="203" t="s">
        <v>1644</v>
      </c>
      <c r="E551" s="474">
        <f>IFERROR(VLOOKUP(C551,'פקודות נוספות'!$D$274:$F$797,3,0),0)</f>
        <v>-2010.96</v>
      </c>
      <c r="F551" s="1325">
        <f>SUMIF('פקודות נוספות'!C:C,C:C,'פקודות נוספות'!E:E)</f>
        <v>0</v>
      </c>
      <c r="J551" s="474">
        <f>SUM(E551:I551)</f>
        <v>-2010.96</v>
      </c>
      <c r="K551" s="474">
        <f>M551+SUMIF('פקודות נוספות'!C:C,'מאזן בוחן'!C551,'פקודות נוספות'!F:F)</f>
        <v>-641.25</v>
      </c>
      <c r="L551" s="49"/>
      <c r="M551" s="1341">
        <f>IFERROR(VLOOKUP(C551,'פקודות נוספות'!$D$273:$G$797,4,0),0)</f>
        <v>-641.25</v>
      </c>
      <c r="N551" s="1104">
        <f>IF(K551=0,"-",J551/K551)</f>
        <v>3.1360000000000001</v>
      </c>
      <c r="O551" s="1133"/>
      <c r="P551" s="137">
        <v>0</v>
      </c>
      <c r="Q551" s="137">
        <v>0</v>
      </c>
      <c r="R551" s="137">
        <v>0</v>
      </c>
      <c r="S551" s="137">
        <v>0</v>
      </c>
      <c r="T551" s="137">
        <v>0</v>
      </c>
      <c r="U551" s="137">
        <f>'[20]מאזן בוחן'!AS465</f>
        <v>0</v>
      </c>
      <c r="V551" s="141">
        <f>'[21]מאזן בוחן'!AT396</f>
        <v>0</v>
      </c>
      <c r="W551" s="141">
        <f>'[22]מאזן בוחן'!AK383</f>
        <v>0</v>
      </c>
      <c r="X551" s="141">
        <f>'[23]מאזן בוחן'!AL390</f>
        <v>0</v>
      </c>
      <c r="Y551" s="141">
        <f>'[24]מאזן בוחן'!AM407</f>
        <v>0</v>
      </c>
      <c r="Z551" s="141">
        <f>'[25]מאזן בוחן'!AN420</f>
        <v>0</v>
      </c>
      <c r="AA551" s="141">
        <f>'[32]מאזן בוחן'!AO437</f>
        <v>0</v>
      </c>
      <c r="AB551" s="141">
        <f>'[26]מאזן בוחן'!AB447</f>
        <v>0</v>
      </c>
      <c r="AC551" s="141">
        <f>'[27]מאזן בוחן'!AC456</f>
        <v>0</v>
      </c>
      <c r="AD551" s="141">
        <f>'[28]מאזן בוחן'!AD464</f>
        <v>0</v>
      </c>
      <c r="AE551" s="141">
        <f>'[29]מאזן בוחן'!AE469</f>
        <v>0</v>
      </c>
      <c r="AF551" s="141">
        <f>'[30]מאזן בוחן'!AF478</f>
        <v>0</v>
      </c>
      <c r="AG551" s="141">
        <f>'[31]מאזן בוחן'!AG482</f>
        <v>0</v>
      </c>
      <c r="AH551" s="141">
        <v>0</v>
      </c>
      <c r="AI551" s="141">
        <v>0</v>
      </c>
      <c r="AJ551" s="141">
        <v>0</v>
      </c>
      <c r="AK551" s="141">
        <v>0</v>
      </c>
      <c r="AL551" s="141">
        <v>0</v>
      </c>
      <c r="AM551" s="141">
        <f>$K551-SUM($AB551:AL551)</f>
        <v>-641.25</v>
      </c>
      <c r="AN551" s="141"/>
      <c r="AO551" s="141"/>
      <c r="AP551" s="141"/>
      <c r="AQ551" s="141">
        <v>3492386</v>
      </c>
      <c r="AR551" s="141">
        <v>-29782</v>
      </c>
      <c r="AS551" s="141">
        <f>AQ551+AR551</f>
        <v>3462604</v>
      </c>
      <c r="AU551" s="141"/>
      <c r="AV551" s="141"/>
      <c r="AW551" s="141"/>
      <c r="BB551" s="170"/>
    </row>
    <row r="552" spans="1:54" ht="13.5" thickBot="1">
      <c r="A552" s="406"/>
      <c r="B552" s="3659"/>
      <c r="C552" s="585"/>
      <c r="D552" s="1675" t="s">
        <v>2471</v>
      </c>
      <c r="E552" s="474"/>
      <c r="F552" s="1325"/>
      <c r="J552" s="474"/>
      <c r="K552" s="474"/>
      <c r="L552" s="49"/>
      <c r="M552" s="474"/>
      <c r="O552" s="1133"/>
      <c r="V552" s="141">
        <f>'[21]מאזן בוחן'!AT397</f>
        <v>0</v>
      </c>
      <c r="W552" s="141">
        <f>'[22]מאזן בוחן'!AK384</f>
        <v>0</v>
      </c>
      <c r="X552" s="141">
        <f>'[23]מאזן בוחן'!AL391</f>
        <v>0</v>
      </c>
      <c r="Y552" s="141">
        <f>'[24]מאזן בוחן'!AM408</f>
        <v>0</v>
      </c>
      <c r="Z552" s="141">
        <f>'[25]מאזן בוחן'!AN421</f>
        <v>0</v>
      </c>
      <c r="AA552" s="141">
        <f>'[32]מאזן בוחן'!AO438</f>
        <v>0</v>
      </c>
      <c r="AB552" s="141">
        <f>'[26]מאזן בוחן'!AB448</f>
        <v>0</v>
      </c>
      <c r="AC552" s="141">
        <f>'[27]מאזן בוחן'!AC457</f>
        <v>0</v>
      </c>
      <c r="AD552" s="141">
        <f>'[28]מאזן בוחן'!AD465</f>
        <v>0</v>
      </c>
      <c r="AE552" s="141">
        <f>'[29]מאזן בוחן'!AE470</f>
        <v>0</v>
      </c>
      <c r="AF552" s="141">
        <f>'[30]מאזן בוחן'!AF479</f>
        <v>0</v>
      </c>
      <c r="AG552" s="141">
        <f>'[31]מאזן בוחן'!AG483</f>
        <v>0</v>
      </c>
      <c r="AH552" s="141">
        <v>0</v>
      </c>
      <c r="AI552" s="141">
        <v>0</v>
      </c>
      <c r="AJ552" s="141">
        <v>0</v>
      </c>
      <c r="AK552" s="141">
        <v>0</v>
      </c>
      <c r="AL552" s="141">
        <v>0</v>
      </c>
      <c r="AM552" s="141">
        <f>$K552-SUM($AB552:AL552)</f>
        <v>0</v>
      </c>
      <c r="AN552" s="141"/>
      <c r="AO552" s="141"/>
      <c r="AP552" s="141"/>
      <c r="AQ552" s="141"/>
      <c r="AR552" s="141"/>
      <c r="AS552" s="141">
        <f>AS550-AS551</f>
        <v>39552</v>
      </c>
      <c r="AU552" s="141"/>
      <c r="AV552" s="141"/>
      <c r="AW552" s="141"/>
      <c r="BB552" s="170"/>
    </row>
    <row r="553" spans="1:54" ht="13.5" thickBot="1">
      <c r="A553" s="406"/>
      <c r="B553" s="3659" t="s">
        <v>1062</v>
      </c>
      <c r="C553" s="585">
        <v>80152</v>
      </c>
      <c r="D553" s="203" t="s">
        <v>1064</v>
      </c>
      <c r="E553" s="474">
        <f>IFERROR(VLOOKUP(C553,'פקודות נוספות'!$D$274:$F$797,3,0),0)</f>
        <v>-855138.77</v>
      </c>
      <c r="F553" s="1325">
        <f>SUMIF('פקודות נוספות'!C:C,C:C,'פקודות נוספות'!E:E)</f>
        <v>0</v>
      </c>
      <c r="J553" s="474">
        <f>SUM(E553:I553)</f>
        <v>-855138.77</v>
      </c>
      <c r="K553" s="474">
        <f>M553+SUMIF('פקודות נוספות'!C:C,'מאזן בוחן'!C553,'פקודות נוספות'!F:F)</f>
        <v>-255985.23</v>
      </c>
      <c r="L553" s="2222">
        <f>SUM('[15]12.21'!$H$212)+$AM$553</f>
        <v>0.49560000000201399</v>
      </c>
      <c r="M553" s="1341">
        <f>IFERROR(VLOOKUP(C553,'פקודות נוספות'!$D$273:$G$797,4,0),0)</f>
        <v>-255985.23</v>
      </c>
      <c r="N553" s="1104">
        <f t="shared" si="107"/>
        <v>3.3405785560362213</v>
      </c>
      <c r="O553" s="1133"/>
      <c r="P553" s="137">
        <v>-988</v>
      </c>
      <c r="Q553" s="137">
        <v>-2738</v>
      </c>
      <c r="R553" s="137">
        <v>-12055</v>
      </c>
      <c r="S553" s="137">
        <v>-7078.34</v>
      </c>
      <c r="T553" s="137">
        <v>-28421.999999999996</v>
      </c>
      <c r="U553" s="137">
        <f>'[20]מאזן בוחן'!AS466</f>
        <v>-7726.4900000000089</v>
      </c>
      <c r="V553" s="141">
        <f>'[21]מאזן בוחן'!AT398</f>
        <v>-37927</v>
      </c>
      <c r="W553" s="141">
        <f>'[22]מאזן בוחן'!AK385</f>
        <v>-2310</v>
      </c>
      <c r="X553" s="141">
        <f>'[23]מאזן בוחן'!AL392</f>
        <v>-18117.729999999996</v>
      </c>
      <c r="Y553" s="141">
        <f>'[24]מאזן בוחן'!AM409</f>
        <v>-8337</v>
      </c>
      <c r="Z553" s="141">
        <f>'[25]מאזן בוחן'!AN422</f>
        <v>-1214</v>
      </c>
      <c r="AA553" s="141">
        <f>'[32]מאזן בוחן'!AO439</f>
        <v>-139111</v>
      </c>
      <c r="AB553" s="141">
        <f>'[26]מאזן בוחן'!AB449</f>
        <v>-9248</v>
      </c>
      <c r="AC553" s="141">
        <f>'[27]מאזן בוחן'!AC458</f>
        <v>-1950</v>
      </c>
      <c r="AD553" s="141">
        <f>'[28]מאזן בוחן'!AD466</f>
        <v>-2453</v>
      </c>
      <c r="AE553" s="141">
        <f>'[29]מאזן בוחן'!AE471</f>
        <v>-8855</v>
      </c>
      <c r="AF553" s="141">
        <f>'[30]מאזן בוחן'!AF480</f>
        <v>-20826.550000000003</v>
      </c>
      <c r="AG553" s="141">
        <f>'[31]מאזן בוחן'!AG484</f>
        <v>-49264.599999999991</v>
      </c>
      <c r="AH553" s="141">
        <v>-9362</v>
      </c>
      <c r="AI553" s="141">
        <v>-16547</v>
      </c>
      <c r="AJ553" s="141">
        <v>-35441.48000000001</v>
      </c>
      <c r="AK553" s="141">
        <v>-45724</v>
      </c>
      <c r="AL553" s="141">
        <v>-12466.600000000006</v>
      </c>
      <c r="AM553" s="141">
        <f>$K553-SUM($AB553:AL553)</f>
        <v>-43847</v>
      </c>
      <c r="AN553" s="141"/>
      <c r="AO553" s="141"/>
      <c r="AP553" s="141"/>
      <c r="AQ553" s="141"/>
      <c r="AR553" s="141"/>
      <c r="AS553" s="141">
        <f>AS552/N2</f>
        <v>12717.684887459807</v>
      </c>
      <c r="AU553" s="141"/>
      <c r="AV553" s="141"/>
      <c r="AW553" s="141"/>
    </row>
    <row r="554" spans="1:54" ht="13.5" thickBot="1">
      <c r="A554" s="406"/>
      <c r="B554" s="3659" t="s">
        <v>1062</v>
      </c>
      <c r="C554" s="585">
        <v>80153</v>
      </c>
      <c r="D554" s="203" t="s">
        <v>1599</v>
      </c>
      <c r="E554" s="474">
        <f>IFERROR(VLOOKUP(C554,'פקודות נוספות'!$D$274:$F$797,3,0),0)</f>
        <v>0</v>
      </c>
      <c r="F554" s="1325">
        <f>SUMIF('פקודות נוספות'!C:C,C:C,'פקודות נוספות'!E:E)</f>
        <v>0</v>
      </c>
      <c r="J554" s="474">
        <f>SUM(E554:I554)</f>
        <v>0</v>
      </c>
      <c r="K554" s="474">
        <f>M554+SUMIF('פקודות נוספות'!C:C,'מאזן בוחן'!C554,'פקודות נוספות'!F:F)</f>
        <v>0</v>
      </c>
      <c r="L554" s="2222"/>
      <c r="M554" s="1341">
        <f>IFERROR(VLOOKUP(C554,'פקודות נוספות'!$D$273:$G$797,4,0),0)</f>
        <v>0</v>
      </c>
      <c r="N554" s="1104" t="str">
        <f>IF(K554=0,"-",J554/K554)</f>
        <v>-</v>
      </c>
      <c r="O554" s="1133"/>
      <c r="P554" s="137">
        <v>0</v>
      </c>
      <c r="Q554" s="137">
        <v>0</v>
      </c>
      <c r="R554" s="137">
        <v>0</v>
      </c>
      <c r="S554" s="137">
        <v>0</v>
      </c>
      <c r="T554" s="137">
        <v>0</v>
      </c>
      <c r="U554" s="137">
        <f>'[20]מאזן בוחן'!AS467</f>
        <v>0</v>
      </c>
      <c r="V554" s="141">
        <f>'[21]מאזן בוחן'!AT399</f>
        <v>-429.59</v>
      </c>
      <c r="W554" s="141">
        <f>'[22]מאזן בוחן'!AK386</f>
        <v>-740.36000000000013</v>
      </c>
      <c r="X554" s="141">
        <f>'[23]מאזן בוחן'!AL393</f>
        <v>-516.41999999999985</v>
      </c>
      <c r="Y554" s="141">
        <f>'[24]מאזן בוחן'!AM410</f>
        <v>-1168.9100000000001</v>
      </c>
      <c r="Z554" s="141">
        <f>'[25]מאזן בוחן'!AN423</f>
        <v>-350.67000000000007</v>
      </c>
      <c r="AA554" s="141">
        <f>'[32]מאזן בוחן'!AO440</f>
        <v>-13970.07</v>
      </c>
      <c r="AB554" s="141">
        <f>'[26]מאזן בוחן'!AB450</f>
        <v>0</v>
      </c>
      <c r="AC554" s="141">
        <f>'[27]מאזן בוחן'!AC459</f>
        <v>0</v>
      </c>
      <c r="AD554" s="141">
        <f>'[28]מאזן בוחן'!AD467</f>
        <v>0</v>
      </c>
      <c r="AE554" s="141">
        <f>'[29]מאזן בוחן'!AE472</f>
        <v>0</v>
      </c>
      <c r="AF554" s="141">
        <f>'[30]מאזן בוחן'!AF481</f>
        <v>0</v>
      </c>
      <c r="AG554" s="141">
        <f>'[31]מאזן בוחן'!AG485</f>
        <v>0</v>
      </c>
      <c r="AH554" s="141">
        <v>0</v>
      </c>
      <c r="AI554" s="141">
        <v>0</v>
      </c>
      <c r="AJ554" s="141">
        <v>0</v>
      </c>
      <c r="AK554" s="141">
        <v>0</v>
      </c>
      <c r="AL554" s="141">
        <v>0</v>
      </c>
      <c r="AM554" s="141">
        <f>$K554-SUM($AB554:AL554)</f>
        <v>0</v>
      </c>
      <c r="AN554" s="141"/>
      <c r="AO554" s="141"/>
      <c r="AP554" s="141"/>
      <c r="AQ554" s="141"/>
      <c r="AR554" s="141"/>
      <c r="AS554" s="141"/>
      <c r="AU554" s="141"/>
      <c r="AV554" s="141"/>
      <c r="AW554" s="141"/>
    </row>
    <row r="555" spans="1:54" ht="13.5" thickBot="1">
      <c r="A555" s="406"/>
      <c r="B555" s="3659"/>
      <c r="C555" s="585"/>
      <c r="D555" s="1675" t="s">
        <v>2550</v>
      </c>
      <c r="E555" s="474"/>
      <c r="F555" s="1325"/>
      <c r="J555" s="474"/>
      <c r="K555" s="474"/>
      <c r="L555" s="49"/>
      <c r="M555" s="474"/>
      <c r="O555" s="1133"/>
      <c r="V555" s="141"/>
      <c r="W555" s="141">
        <f>'[22]מאזן בוחן'!AK387</f>
        <v>0</v>
      </c>
      <c r="X555" s="141">
        <f>'[23]מאזן בוחן'!AL394</f>
        <v>0</v>
      </c>
      <c r="Y555" s="141">
        <f>'[24]מאזן בוחן'!AM411</f>
        <v>0</v>
      </c>
      <c r="Z555" s="141">
        <f>'[25]מאזן בוחן'!AN424</f>
        <v>0</v>
      </c>
      <c r="AA555" s="141">
        <f>'[32]מאזן בוחן'!AO441</f>
        <v>0</v>
      </c>
      <c r="AB555" s="141">
        <f>'[26]מאזן בוחן'!AB451</f>
        <v>0</v>
      </c>
      <c r="AC555" s="141">
        <f>'[27]מאזן בוחן'!AC460</f>
        <v>0</v>
      </c>
      <c r="AD555" s="141">
        <f>'[28]מאזן בוחן'!AD468</f>
        <v>0</v>
      </c>
      <c r="AE555" s="141">
        <f>'[29]מאזן בוחן'!AE473</f>
        <v>0</v>
      </c>
      <c r="AF555" s="141">
        <f>'[30]מאזן בוחן'!AF482</f>
        <v>0</v>
      </c>
      <c r="AG555" s="141">
        <f>'[31]מאזן בוחן'!AG486</f>
        <v>0</v>
      </c>
      <c r="AH555" s="141">
        <v>0</v>
      </c>
      <c r="AI555" s="141">
        <v>0</v>
      </c>
      <c r="AJ555" s="141">
        <v>0</v>
      </c>
      <c r="AK555" s="141">
        <v>0</v>
      </c>
      <c r="AL555" s="141">
        <v>0</v>
      </c>
      <c r="AM555" s="141">
        <f>$K555-SUM($AB555:AL555)</f>
        <v>0</v>
      </c>
      <c r="AN555" s="141"/>
      <c r="AO555" s="141"/>
      <c r="AP555" s="141"/>
      <c r="AQ555" s="141"/>
      <c r="AR555" s="141"/>
      <c r="AS555" s="141"/>
      <c r="AU555" s="141"/>
      <c r="AV555" s="141"/>
      <c r="AW555" s="141"/>
    </row>
    <row r="556" spans="1:54" ht="13.5" thickBot="1">
      <c r="A556" s="406"/>
      <c r="B556" s="3659" t="s">
        <v>1062</v>
      </c>
      <c r="C556" s="585">
        <v>80170</v>
      </c>
      <c r="D556" s="203" t="s">
        <v>446</v>
      </c>
      <c r="E556" s="474">
        <f>IFERROR(VLOOKUP(C556,'פקודות נוספות'!$D$274:$F$797,3,0),0)</f>
        <v>28940.21</v>
      </c>
      <c r="F556" s="1325">
        <f>SUMIF('פקודות נוספות'!C:C,C:C,'פקודות נוספות'!E:E)</f>
        <v>0</v>
      </c>
      <c r="J556" s="474">
        <f t="shared" ref="J556:J562" si="116">SUM(E556:I556)</f>
        <v>28940.21</v>
      </c>
      <c r="K556" s="474">
        <f>M556+SUMIF('פקודות נוספות'!C:C,'מאזן בוחן'!C556,'פקודות נוספות'!F:F)</f>
        <v>8917.0400000000009</v>
      </c>
      <c r="L556" s="2222">
        <f>J556+J530+114135+188105.75+24888.03</f>
        <v>-0.11999999996623956</v>
      </c>
      <c r="M556" s="1341">
        <f>IFERROR(VLOOKUP(C556,'פקודות נוספות'!$D$273:$G$797,4,0),0)</f>
        <v>8917.0400000000009</v>
      </c>
      <c r="N556" s="1104">
        <f t="shared" si="107"/>
        <v>3.2454951418856477</v>
      </c>
      <c r="O556" s="2453" t="s">
        <v>2754</v>
      </c>
      <c r="P556" s="137">
        <v>123.73</v>
      </c>
      <c r="Q556" s="137">
        <v>124.88000000000001</v>
      </c>
      <c r="R556" s="137">
        <v>167.52999999999997</v>
      </c>
      <c r="S556" s="137">
        <v>0</v>
      </c>
      <c r="T556" s="137">
        <v>263.90999999999997</v>
      </c>
      <c r="U556" s="137">
        <f>'[20]מאזן בוחן'!AS468</f>
        <v>0</v>
      </c>
      <c r="V556" s="141">
        <f>'[21]מאזן בוחן'!AT401</f>
        <v>124.56000000000006</v>
      </c>
      <c r="W556" s="141">
        <f>'[22]מאזן בוחן'!AK389</f>
        <v>379.3599999999999</v>
      </c>
      <c r="X556" s="141">
        <f>'[23]מאזן בוחן'!AL395</f>
        <v>745.14000000000021</v>
      </c>
      <c r="Y556" s="141">
        <f>'[24]מאזן בוחן'!AM412</f>
        <v>-2.2737367544323206E-13</v>
      </c>
      <c r="Z556" s="141">
        <f>'[25]מאזן בוחן'!AN425</f>
        <v>2483.0600000000004</v>
      </c>
      <c r="AA556" s="141">
        <f>'[32]מאזן בוחן'!AO442</f>
        <v>3453.8099999999995</v>
      </c>
      <c r="AB556" s="141">
        <f>'[26]מאזן בוחן'!AB452</f>
        <v>407.86</v>
      </c>
      <c r="AC556" s="141">
        <f>'[27]מאזן בוחן'!AC461</f>
        <v>810.04000000000008</v>
      </c>
      <c r="AD556" s="141">
        <f>'[28]מאזן בוחן'!AD469</f>
        <v>1301.0299999999997</v>
      </c>
      <c r="AE556" s="141">
        <f>'[29]מאזן בוחן'!AE474</f>
        <v>923.30000000000018</v>
      </c>
      <c r="AF556" s="141">
        <f>'[30]מאזן בוחן'!AF483</f>
        <v>0</v>
      </c>
      <c r="AG556" s="141">
        <f>'[31]מאזן בוחן'!AG487</f>
        <v>2153.2900000000004</v>
      </c>
      <c r="AH556" s="141">
        <v>405.01999999999953</v>
      </c>
      <c r="AI556" s="141">
        <v>926.17000000000007</v>
      </c>
      <c r="AJ556" s="141">
        <v>1275.8000000000002</v>
      </c>
      <c r="AK556" s="141">
        <v>0</v>
      </c>
      <c r="AL556" s="141">
        <v>0</v>
      </c>
      <c r="AM556" s="141">
        <f>$K556-SUM($AB556:AL556)</f>
        <v>714.53000000000065</v>
      </c>
      <c r="AN556" s="141"/>
      <c r="AO556" s="141"/>
      <c r="AP556" s="141"/>
      <c r="AQ556" s="141"/>
      <c r="AR556" s="141"/>
      <c r="AS556" s="141"/>
      <c r="AU556" s="141"/>
      <c r="AV556" s="141"/>
      <c r="AW556" s="141"/>
      <c r="BA556" s="63"/>
      <c r="BB556" s="170"/>
    </row>
    <row r="557" spans="1:54">
      <c r="A557" s="406"/>
      <c r="B557" s="3659" t="s">
        <v>1062</v>
      </c>
      <c r="C557" s="585">
        <v>80200</v>
      </c>
      <c r="D557" s="203" t="s">
        <v>1279</v>
      </c>
      <c r="E557" s="474">
        <f>IFERROR(VLOOKUP(C557,'פקודות נוספות'!$D$274:$F$797,3,0),0)</f>
        <v>-16690693.52</v>
      </c>
      <c r="F557" s="1325">
        <f>SUMIF('פקודות נוספות'!C:C,C:C,'פקודות נוספות'!E:E)</f>
        <v>0</v>
      </c>
      <c r="J557" s="474">
        <f t="shared" si="116"/>
        <v>-16690693.52</v>
      </c>
      <c r="K557" s="474">
        <f>M557+SUMIF('פקודות נוספות'!C:C,'מאזן בוחן'!C557,'פקודות נוספות'!F:F)</f>
        <v>-5170270.76</v>
      </c>
      <c r="L557" s="49"/>
      <c r="M557" s="1341">
        <f>IFERROR(VLOOKUP(C557,'פקודות נוספות'!$D$273:$G$797,4,0),0)</f>
        <v>-5170270.76</v>
      </c>
      <c r="N557" s="1104">
        <f>IF(K557=0,"-",J557/K557)</f>
        <v>3.2282049228694554</v>
      </c>
      <c r="O557" s="1133"/>
      <c r="P557" s="52"/>
      <c r="R557" s="52"/>
      <c r="S557" s="51"/>
      <c r="T557" s="51"/>
      <c r="V557" s="141"/>
      <c r="W557" s="141"/>
      <c r="X557" s="141"/>
      <c r="Y557" s="141"/>
      <c r="Z557" s="141"/>
      <c r="AB557" s="141">
        <f>'[26]מאזן בוחן'!AB453</f>
        <v>0</v>
      </c>
      <c r="AC557" s="141">
        <f>'[27]מאזן בוחן'!AC462</f>
        <v>-943771.02</v>
      </c>
      <c r="AD557" s="141">
        <f>'[28]מאזן בוחן'!AD470</f>
        <v>-251972.35999999987</v>
      </c>
      <c r="AE557" s="141">
        <f>'[29]מאזן בוחן'!AE475</f>
        <v>-358619.59000000008</v>
      </c>
      <c r="AF557" s="141">
        <f>'[30]מאזן בוחן'!AF484</f>
        <v>-387066.56000000006</v>
      </c>
      <c r="AG557" s="141">
        <f>'[31]מאזן בוחן'!AG488</f>
        <v>-703100.47</v>
      </c>
      <c r="AH557" s="141">
        <v>-376651.56000000006</v>
      </c>
      <c r="AI557" s="141">
        <v>-393250.96999999974</v>
      </c>
      <c r="AJ557" s="141">
        <v>-393957.79000000004</v>
      </c>
      <c r="AK557" s="141">
        <v>-462809.98</v>
      </c>
      <c r="AL557" s="141">
        <v>-486188.3200000003</v>
      </c>
      <c r="AM557" s="141">
        <f>$K557-SUM($AB557:AL557)</f>
        <v>-412882.13999999966</v>
      </c>
      <c r="AN557" s="141"/>
      <c r="AO557" s="141"/>
      <c r="AP557" s="141"/>
      <c r="AQ557" s="141"/>
      <c r="AR557" s="141"/>
      <c r="AS557" s="141"/>
      <c r="AU557" s="141"/>
      <c r="AV557" s="141"/>
    </row>
    <row r="558" spans="1:54">
      <c r="A558" s="406"/>
      <c r="B558" s="3659" t="s">
        <v>1062</v>
      </c>
      <c r="C558" s="585">
        <v>80201</v>
      </c>
      <c r="D558" s="203" t="s">
        <v>1280</v>
      </c>
      <c r="E558" s="474">
        <f>IFERROR(VLOOKUP(C558,'פקודות נוספות'!$D$274:$F$797,3,0),0)</f>
        <v>16690693.52</v>
      </c>
      <c r="F558" s="1325">
        <f>SUMIF('פקודות נוספות'!C:C,C:C,'פקודות נוספות'!E:E)</f>
        <v>0</v>
      </c>
      <c r="J558" s="474">
        <f t="shared" si="116"/>
        <v>16690693.52</v>
      </c>
      <c r="K558" s="474">
        <f>M558+SUMIF('פקודות נוספות'!C:C,'מאזן בוחן'!C558,'פקודות נוספות'!F:F)</f>
        <v>5170270.76</v>
      </c>
      <c r="L558" s="49"/>
      <c r="M558" s="1341">
        <f>IFERROR(VLOOKUP(C558,'פקודות נוספות'!$D$273:$G$797,4,0),0)</f>
        <v>5170270.76</v>
      </c>
      <c r="N558" s="1104">
        <f>IF(K558=0,"-",J558/K558)</f>
        <v>3.2282049228694554</v>
      </c>
      <c r="O558" s="1133"/>
      <c r="P558" s="51"/>
      <c r="R558" s="51"/>
      <c r="S558" s="51"/>
      <c r="V558" s="141"/>
      <c r="W558" s="141"/>
      <c r="X558" s="141"/>
      <c r="Y558" s="141"/>
      <c r="Z558" s="141"/>
      <c r="AB558" s="141">
        <f>'[26]מאזן בוחן'!AB454</f>
        <v>0</v>
      </c>
      <c r="AC558" s="141">
        <f>'[27]מאזן בוחן'!AC463</f>
        <v>943771.02</v>
      </c>
      <c r="AD558" s="141">
        <f>'[28]מאזן בוחן'!AD471</f>
        <v>251972.35999999987</v>
      </c>
      <c r="AE558" s="141">
        <f>'[29]מאזן בוחן'!AE476</f>
        <v>358619.59000000008</v>
      </c>
      <c r="AF558" s="141">
        <f>'[30]מאזן בוחן'!AF485</f>
        <v>387066.56000000006</v>
      </c>
      <c r="AG558" s="141">
        <f>'[31]מאזן בוחן'!AG489</f>
        <v>703100.47</v>
      </c>
      <c r="AH558" s="141">
        <v>376651.56000000006</v>
      </c>
      <c r="AI558" s="141">
        <v>393250.96999999974</v>
      </c>
      <c r="AJ558" s="141">
        <v>393957.79000000004</v>
      </c>
      <c r="AK558" s="141">
        <v>462809.98</v>
      </c>
      <c r="AL558" s="141">
        <v>486188.3200000003</v>
      </c>
      <c r="AM558" s="141">
        <f>$K558-SUM($AB558:AL558)</f>
        <v>412882.13999999966</v>
      </c>
      <c r="AN558" s="141"/>
      <c r="AO558" s="141"/>
      <c r="AP558" s="141"/>
      <c r="AQ558" s="141"/>
      <c r="AR558" s="141"/>
      <c r="AS558" s="141"/>
      <c r="AU558" s="141"/>
      <c r="AV558" s="141"/>
    </row>
    <row r="559" spans="1:54">
      <c r="A559" s="406"/>
      <c r="B559" s="3659" t="s">
        <v>1065</v>
      </c>
      <c r="C559" s="585">
        <v>80090</v>
      </c>
      <c r="D559" s="203" t="s">
        <v>447</v>
      </c>
      <c r="E559" s="474">
        <f>IFERROR(VLOOKUP(C559,'פקודות נוספות'!$D$274:$F$797,3,0),0)</f>
        <v>-52608916.390000001</v>
      </c>
      <c r="F559" s="49">
        <f>SUMIF('פקודות נוספות'!C:C,C:C,'פקודות נוספות'!E:E)</f>
        <v>0</v>
      </c>
      <c r="J559" s="474">
        <f t="shared" si="116"/>
        <v>-52608916.390000001</v>
      </c>
      <c r="K559" s="474">
        <f>M559+SUMIF('פקודות נוספות'!C:C,'מאזן בוחן'!C559,'פקודות נוספות'!F:F)</f>
        <v>-16359278.279999999</v>
      </c>
      <c r="L559" s="49"/>
      <c r="M559" s="1341">
        <f>IFERROR(VLOOKUP(C559,'פקודות נוספות'!$D$273:$G$797,4,0),0)</f>
        <v>-16359278.279999999</v>
      </c>
      <c r="N559" s="1104">
        <f>IF(K559=0,"-",J559/K559)</f>
        <v>3.2158458025814571</v>
      </c>
      <c r="O559" s="203" t="s">
        <v>1533</v>
      </c>
      <c r="P559" s="51"/>
      <c r="R559" s="51"/>
      <c r="S559" s="51"/>
      <c r="V559" s="141"/>
      <c r="W559" s="141"/>
      <c r="X559" s="141"/>
      <c r="Y559" s="141"/>
      <c r="Z559" s="141"/>
      <c r="AB559" s="141">
        <f>'[26]מאזן בוחן'!AB455</f>
        <v>0</v>
      </c>
      <c r="AC559" s="141">
        <f>'[27]מאזן בוחן'!AC464</f>
        <v>0</v>
      </c>
      <c r="AD559" s="141">
        <f>'[28]מאזן בוחן'!AD472</f>
        <v>0</v>
      </c>
      <c r="AE559" s="141">
        <f>'[29]מאזן בוחן'!AE477</f>
        <v>0</v>
      </c>
      <c r="AF559" s="141">
        <f>'[30]מאזן בוחן'!AF486</f>
        <v>0</v>
      </c>
      <c r="AG559" s="141">
        <f>'[31]מאזן בוחן'!AG490</f>
        <v>-7163397.5899999999</v>
      </c>
      <c r="AH559" s="141">
        <v>0</v>
      </c>
      <c r="AI559" s="141">
        <v>-4926701.93</v>
      </c>
      <c r="AJ559" s="141">
        <v>0</v>
      </c>
      <c r="AK559" s="141">
        <v>0</v>
      </c>
      <c r="AL559" s="141">
        <v>-4269178.76</v>
      </c>
      <c r="AM559" s="141">
        <f>$K559-SUM($AB559:AL559)</f>
        <v>0</v>
      </c>
      <c r="AN559" s="141"/>
      <c r="AO559" s="141"/>
      <c r="AP559" s="141"/>
      <c r="AQ559" s="141"/>
      <c r="AR559" s="141"/>
      <c r="AS559" s="141"/>
      <c r="AU559" s="141"/>
      <c r="AV559" s="141"/>
    </row>
    <row r="560" spans="1:54">
      <c r="A560" s="406"/>
      <c r="B560" s="3659" t="s">
        <v>1065</v>
      </c>
      <c r="C560" s="585">
        <v>80091</v>
      </c>
      <c r="D560" s="203" t="s">
        <v>448</v>
      </c>
      <c r="E560" s="474">
        <f>IFERROR(VLOOKUP(C560,'פקודות נוספות'!$D$274:$F$797,3,0),0)</f>
        <v>-66483608.549999997</v>
      </c>
      <c r="F560" s="49">
        <f>SUMIF('פקודות נוספות'!C:C,C:C,'פקודות נוספות'!E:E)</f>
        <v>0</v>
      </c>
      <c r="J560" s="474">
        <f t="shared" si="116"/>
        <v>-66483608.549999997</v>
      </c>
      <c r="K560" s="474">
        <f>M560+SUMIF('פקודות נוספות'!C:C,'מאזן בוחן'!C560,'פקודות נוספות'!F:F)</f>
        <v>-20438092.949999999</v>
      </c>
      <c r="L560" s="49"/>
      <c r="M560" s="1341">
        <f>IFERROR(VLOOKUP(C560,'פקודות נוספות'!$D$273:$G$797,4,0),0)</f>
        <v>-20438092.949999999</v>
      </c>
      <c r="N560" s="1104">
        <f>IF(K560=0,"-",J560/K560)</f>
        <v>3.2529262251936277</v>
      </c>
      <c r="O560" s="203" t="s">
        <v>1533</v>
      </c>
      <c r="P560" s="51"/>
      <c r="R560" s="51"/>
      <c r="S560" s="51"/>
      <c r="V560" s="141"/>
      <c r="W560" s="141"/>
      <c r="X560" s="141"/>
      <c r="Y560" s="141"/>
      <c r="Z560" s="141"/>
      <c r="AB560" s="141">
        <f>'[26]מאזן בוחן'!AB456</f>
        <v>0</v>
      </c>
      <c r="AC560" s="141">
        <f>'[27]מאזן בוחן'!AC465</f>
        <v>0</v>
      </c>
      <c r="AD560" s="141">
        <f>'[28]מאזן בוחן'!AD473</f>
        <v>-8430932.6400000006</v>
      </c>
      <c r="AE560" s="141">
        <f>'[29]מאזן בוחן'!AE478</f>
        <v>0</v>
      </c>
      <c r="AF560" s="141">
        <f>'[30]מאזן בוחן'!AF487</f>
        <v>0</v>
      </c>
      <c r="AG560" s="141">
        <f>'[31]מאזן בוחן'!AG491</f>
        <v>-4597026.2999999989</v>
      </c>
      <c r="AH560" s="141">
        <v>0</v>
      </c>
      <c r="AI560" s="141">
        <v>-4386894.51</v>
      </c>
      <c r="AJ560" s="141">
        <v>0</v>
      </c>
      <c r="AK560" s="141">
        <v>0</v>
      </c>
      <c r="AL560" s="141">
        <v>-3023239.5</v>
      </c>
      <c r="AM560" s="141">
        <f>$K560-SUM($AB560:AL560)</f>
        <v>0</v>
      </c>
      <c r="AN560" s="141"/>
      <c r="AO560" s="141"/>
      <c r="AP560" s="141"/>
      <c r="AQ560" s="141"/>
      <c r="AR560" s="141"/>
      <c r="AS560" s="141"/>
      <c r="AU560" s="141"/>
      <c r="AV560" s="141"/>
    </row>
    <row r="561" spans="1:55">
      <c r="A561" s="406"/>
      <c r="B561" s="3659" t="s">
        <v>1065</v>
      </c>
      <c r="C561" s="585">
        <v>80092</v>
      </c>
      <c r="D561" s="203" t="s">
        <v>1389</v>
      </c>
      <c r="E561" s="474">
        <f>IFERROR(VLOOKUP(C561,'פקודות נוספות'!$D$274:$F$797,3,0),0)</f>
        <v>-24333802.370000001</v>
      </c>
      <c r="F561" s="49">
        <f>SUMIF('פקודות נוספות'!C:C,C:C,'פקודות נוספות'!E:E)</f>
        <v>0</v>
      </c>
      <c r="J561" s="474">
        <f t="shared" si="116"/>
        <v>-24333802.370000001</v>
      </c>
      <c r="K561" s="474">
        <f>M561+SUMIF('פקודות נוספות'!C:C,'מאזן בוחן'!C561,'פקודות נוספות'!F:F)</f>
        <v>-7526271.3099999996</v>
      </c>
      <c r="L561" s="49"/>
      <c r="M561" s="1341">
        <f>IFERROR(VLOOKUP(C561,'פקודות נוספות'!$D$273:$G$797,4,0),0)</f>
        <v>-7526271.3099999996</v>
      </c>
      <c r="N561" s="1104">
        <f>IF(K561=0,"-",J561/K561)</f>
        <v>3.233181660308762</v>
      </c>
      <c r="O561" s="203" t="s">
        <v>1533</v>
      </c>
      <c r="P561" s="51"/>
      <c r="R561" s="51"/>
      <c r="V561" s="141"/>
      <c r="W561" s="141"/>
      <c r="X561" s="141"/>
      <c r="Y561" s="141"/>
      <c r="Z561" s="141"/>
      <c r="AB561" s="141">
        <f>'[26]מאזן בוחן'!AB457</f>
        <v>0</v>
      </c>
      <c r="AC561" s="141">
        <f>'[27]מאזן בוחן'!AC466</f>
        <v>0</v>
      </c>
      <c r="AD561" s="141">
        <f>'[28]מאזן בוחן'!AD474</f>
        <v>-669190.78</v>
      </c>
      <c r="AE561" s="141">
        <f>'[29]מאזן בוחן'!AE479</f>
        <v>0</v>
      </c>
      <c r="AF561" s="141">
        <f>'[30]מאזן בוחן'!AF488</f>
        <v>0</v>
      </c>
      <c r="AG561" s="141">
        <f>'[31]מאזן בוחן'!AG492</f>
        <v>-3105303.46</v>
      </c>
      <c r="AH561" s="141">
        <v>0</v>
      </c>
      <c r="AI561" s="141">
        <v>-3222329.9799999995</v>
      </c>
      <c r="AJ561" s="141">
        <v>0</v>
      </c>
      <c r="AK561" s="141">
        <v>0</v>
      </c>
      <c r="AL561" s="141">
        <v>-529447.08999999985</v>
      </c>
      <c r="AM561" s="141">
        <f>$K561-SUM($AB561:AL561)</f>
        <v>0</v>
      </c>
      <c r="AN561" s="141"/>
      <c r="AO561" s="141"/>
      <c r="AP561" s="141"/>
      <c r="AQ561" s="141"/>
      <c r="AR561" s="141"/>
      <c r="AS561" s="141"/>
      <c r="AU561" s="141"/>
      <c r="AV561" s="141"/>
    </row>
    <row r="562" spans="1:55">
      <c r="A562" s="406"/>
      <c r="B562" s="3659" t="s">
        <v>1065</v>
      </c>
      <c r="C562" s="585">
        <v>80093</v>
      </c>
      <c r="D562" s="203" t="s">
        <v>555</v>
      </c>
      <c r="E562" s="474">
        <f>IFERROR(VLOOKUP(C562,'פקודות נוספות'!$D$274:$F$797,3,0),0)</f>
        <v>36253219.060000002</v>
      </c>
      <c r="F562" s="49">
        <f>SUMIF('פקודות נוספות'!C:C,C:C,'פקודות נוספות'!E:E)</f>
        <v>0</v>
      </c>
      <c r="J562" s="474">
        <f t="shared" si="116"/>
        <v>36253219.060000002</v>
      </c>
      <c r="K562" s="474">
        <f>M562+SUMIF('פקודות נוספות'!C:C,'מאזן בוחן'!C562,'פקודות נוספות'!F:F)</f>
        <v>11491700.83</v>
      </c>
      <c r="L562" s="49"/>
      <c r="M562" s="474">
        <f>VLOOKUP(C562,'פקודות נוספות'!$D$273:$G$797,4,0)</f>
        <v>11491700.83</v>
      </c>
      <c r="N562" s="1104">
        <f t="shared" si="107"/>
        <v>3.1547304960600862</v>
      </c>
      <c r="O562" s="203"/>
      <c r="P562" s="51"/>
      <c r="R562" s="51"/>
      <c r="V562" s="141"/>
      <c r="W562" s="141"/>
      <c r="X562" s="141"/>
      <c r="Y562" s="141"/>
      <c r="Z562" s="141"/>
      <c r="AB562" s="141">
        <f>'[26]מאזן בוחן'!AB459</f>
        <v>0</v>
      </c>
      <c r="AC562" s="141">
        <f>'[27]מאזן בוחן'!AC468</f>
        <v>-3518021.5988759231</v>
      </c>
      <c r="AD562" s="141">
        <f>'[28]מאזן בוחן'!AD476</f>
        <v>5092511.0488759233</v>
      </c>
      <c r="AE562" s="141">
        <f>'[29]מאזן בוחן'!AE481</f>
        <v>-1669101.6637950791</v>
      </c>
      <c r="AF562" s="141">
        <f>'[30]מאזן בוחן'!AF490</f>
        <v>-3355426.6762497895</v>
      </c>
      <c r="AG562" s="141">
        <f>'[31]מאזן בוחן'!AG493</f>
        <v>12013598.800044868</v>
      </c>
      <c r="AH562" s="141">
        <v>-1862387.6588639151</v>
      </c>
      <c r="AI562" s="141">
        <v>9789631.2050857153</v>
      </c>
      <c r="AJ562" s="141">
        <v>-3618128.3562218007</v>
      </c>
      <c r="AK562" s="141">
        <v>441771.70071833394</v>
      </c>
      <c r="AL562" s="141">
        <v>-258657.52281858586</v>
      </c>
      <c r="AM562" s="141">
        <f>$K562-SUM($AB562:AL562)</f>
        <v>-1564088.4478997476</v>
      </c>
      <c r="AN562" s="141"/>
      <c r="AO562" s="141"/>
      <c r="AP562" s="141"/>
      <c r="AQ562" s="141"/>
      <c r="AR562" s="141"/>
      <c r="AS562" s="141"/>
      <c r="AU562" s="141"/>
      <c r="AV562" s="141"/>
    </row>
    <row r="563" spans="1:55">
      <c r="A563" s="406"/>
      <c r="B563" s="3659"/>
      <c r="C563" s="156"/>
      <c r="D563" s="203"/>
      <c r="E563" s="1202"/>
      <c r="J563" s="474"/>
      <c r="K563" s="42"/>
      <c r="L563" s="49"/>
      <c r="M563" s="474"/>
      <c r="N563" s="1104" t="str">
        <f t="shared" si="107"/>
        <v>-</v>
      </c>
      <c r="O563" s="1133"/>
      <c r="P563" s="51"/>
      <c r="R563" s="51"/>
    </row>
    <row r="564" spans="1:55">
      <c r="B564" s="3668"/>
      <c r="C564" s="1161"/>
      <c r="D564" s="1646" t="s">
        <v>454</v>
      </c>
      <c r="E564" s="1351">
        <f t="shared" ref="E564:K564" si="117">SUM(E530:E563)</f>
        <v>-141573948.94999999</v>
      </c>
      <c r="F564" s="1351">
        <f t="shared" si="117"/>
        <v>0</v>
      </c>
      <c r="G564" s="1351">
        <f t="shared" si="117"/>
        <v>0</v>
      </c>
      <c r="H564" s="1351">
        <f t="shared" si="117"/>
        <v>0</v>
      </c>
      <c r="I564" s="1351">
        <f t="shared" si="117"/>
        <v>0</v>
      </c>
      <c r="J564" s="1351">
        <f t="shared" si="117"/>
        <v>-141573948.94999999</v>
      </c>
      <c r="K564" s="1351">
        <f t="shared" si="117"/>
        <v>-43284099.299999997</v>
      </c>
      <c r="L564" s="1443"/>
      <c r="M564" s="1351"/>
      <c r="O564" s="203"/>
      <c r="P564" s="51"/>
      <c r="Q564" s="51"/>
      <c r="AP564" s="137">
        <v>3492386</v>
      </c>
    </row>
    <row r="565" spans="1:55">
      <c r="B565" s="3668"/>
      <c r="C565" s="1165"/>
      <c r="D565" s="607"/>
      <c r="E565" s="1628"/>
      <c r="K565" s="49"/>
      <c r="L565" s="49"/>
      <c r="N565" s="1104" t="str">
        <f t="shared" si="107"/>
        <v>-</v>
      </c>
      <c r="O565" s="203"/>
      <c r="P565" s="51"/>
      <c r="Q565" s="51"/>
      <c r="AP565" s="137">
        <v>-29782</v>
      </c>
    </row>
    <row r="566" spans="1:55">
      <c r="A566" s="52"/>
      <c r="B566" s="3668"/>
      <c r="C566" s="154"/>
      <c r="D566" s="1674" t="s">
        <v>85</v>
      </c>
      <c r="E566" s="1628"/>
      <c r="K566" s="49"/>
      <c r="L566" s="49"/>
      <c r="N566" s="1104" t="str">
        <f t="shared" si="107"/>
        <v>-</v>
      </c>
      <c r="O566" s="401"/>
      <c r="P566" s="51"/>
      <c r="Q566" s="51"/>
      <c r="AJ566" s="2027"/>
      <c r="AK566" s="2027"/>
      <c r="AL566" s="2027"/>
      <c r="AM566" s="2027"/>
      <c r="AN566" s="2027"/>
      <c r="AO566" s="2027"/>
      <c r="AP566" s="2027">
        <f>AP568-AP564-AP565</f>
        <v>13898</v>
      </c>
    </row>
    <row r="567" spans="1:55">
      <c r="A567" s="52"/>
      <c r="B567" s="3668"/>
      <c r="C567" s="407"/>
      <c r="D567" s="1674" t="s">
        <v>86</v>
      </c>
      <c r="E567" s="1628"/>
      <c r="J567" s="474"/>
      <c r="K567" s="474"/>
      <c r="L567" s="49"/>
      <c r="M567" s="474"/>
      <c r="N567" s="1104" t="str">
        <f t="shared" si="107"/>
        <v>-</v>
      </c>
      <c r="O567" s="445"/>
      <c r="P567" s="2027" t="s">
        <v>2142</v>
      </c>
      <c r="Q567" s="2027" t="str">
        <f>R528</f>
        <v>03/2020</v>
      </c>
      <c r="R567" s="2027" t="str">
        <f>S528</f>
        <v>04/2020</v>
      </c>
      <c r="S567" s="2027" t="str">
        <f>T528</f>
        <v>05/2020</v>
      </c>
      <c r="T567" s="2027" t="s">
        <v>2211</v>
      </c>
      <c r="U567" s="2027" t="s">
        <v>2241</v>
      </c>
      <c r="V567" s="2027" t="s">
        <v>2555</v>
      </c>
      <c r="W567" s="2027" t="s">
        <v>2632</v>
      </c>
      <c r="X567" s="2027" t="s">
        <v>2633</v>
      </c>
      <c r="Y567" s="2027" t="s">
        <v>2634</v>
      </c>
      <c r="AA567" s="2027" t="s">
        <v>2635</v>
      </c>
      <c r="AB567" s="2027" t="s">
        <v>3210</v>
      </c>
      <c r="AC567" s="2027" t="s">
        <v>3307</v>
      </c>
      <c r="AD567" s="2027" t="s">
        <v>3384</v>
      </c>
      <c r="AE567" s="2027" t="s">
        <v>3564</v>
      </c>
      <c r="AF567" s="2027" t="s">
        <v>3633</v>
      </c>
      <c r="AG567" s="2027" t="s">
        <v>3721</v>
      </c>
      <c r="AH567" s="2027" t="s">
        <v>3888</v>
      </c>
      <c r="AI567" s="2027" t="s">
        <v>3994</v>
      </c>
      <c r="AJ567" s="2027" t="s">
        <v>3556</v>
      </c>
      <c r="AK567" s="2027" t="s">
        <v>3557</v>
      </c>
      <c r="AL567" s="2027" t="s">
        <v>3558</v>
      </c>
      <c r="AM567" s="2027" t="s">
        <v>3559</v>
      </c>
      <c r="AN567" s="2027"/>
      <c r="AO567" s="2027"/>
      <c r="AP567" s="2027"/>
      <c r="AQ567" s="2027">
        <f>AI568-AJ568</f>
        <v>27028.249999999069</v>
      </c>
      <c r="AR567" s="2027"/>
      <c r="AS567" s="2027"/>
      <c r="AU567" s="2027"/>
      <c r="AV567" s="2027"/>
      <c r="AW567" s="2027" t="s">
        <v>3209</v>
      </c>
      <c r="AX567" s="1952" t="s">
        <v>3029</v>
      </c>
      <c r="AY567" s="502"/>
      <c r="AZ567" s="502"/>
      <c r="BA567" s="502"/>
      <c r="BB567" s="50"/>
      <c r="BC567" s="50"/>
    </row>
    <row r="568" spans="1:55">
      <c r="A568" s="52"/>
      <c r="B568" s="3659" t="s">
        <v>1100</v>
      </c>
      <c r="C568" s="585">
        <v>6010001</v>
      </c>
      <c r="D568" s="203" t="s">
        <v>173</v>
      </c>
      <c r="E568" s="474">
        <f>IFERROR(VLOOKUP(C568,'פקודות נוספות'!$D$274:$F$797,3,0),0)</f>
        <v>42935547</v>
      </c>
      <c r="F568" s="49">
        <f>SUMIF('פקודות נוספות'!C:C,C:C,'פקודות נוספות'!E:E)</f>
        <v>0</v>
      </c>
      <c r="J568" s="474">
        <f>SUM(E568:I568)</f>
        <v>42935547</v>
      </c>
      <c r="K568" s="42">
        <f>M568+SUMIF('פקודות נוספות'!C:C,'מאזן בוחן'!C568,'פקודות נוספות'!F:F)</f>
        <v>13298811.26</v>
      </c>
      <c r="L568" s="49"/>
      <c r="M568" s="1341">
        <f>IFERROR(VLOOKUP(C568,'פקודות נוספות'!$D$273:$G$797,4,0),0)</f>
        <v>13298811.26</v>
      </c>
      <c r="N568" s="1104">
        <f t="shared" si="107"/>
        <v>3.22852517872338</v>
      </c>
      <c r="O568" s="203"/>
      <c r="P568" s="141">
        <v>956065.69</v>
      </c>
      <c r="Q568" s="141">
        <f>'[39]מאזן בוחן'!AE452</f>
        <v>916440.87000000011</v>
      </c>
      <c r="R568" s="141">
        <v>926260</v>
      </c>
      <c r="S568" s="141">
        <v>961132.78000000026</v>
      </c>
      <c r="T568" s="141">
        <f>'[20]מאזן בוחן'!AR481</f>
        <v>952328.62000000058</v>
      </c>
      <c r="U568" s="141">
        <f>'[21]מאזן בוחן'!AS414</f>
        <v>984180.4599999995</v>
      </c>
      <c r="V568" s="726">
        <f>'[22]מאזן בוחן'!AJ402</f>
        <v>991728.73999999883</v>
      </c>
      <c r="W568" s="726">
        <f>'[23]מאזן בוחן'!AK408</f>
        <v>990822.44000000041</v>
      </c>
      <c r="X568" s="141">
        <v>984368.50000000186</v>
      </c>
      <c r="Y568" s="141">
        <f>'[25]מאזן בוחן'!AM438</f>
        <v>1014561.9700000007</v>
      </c>
      <c r="AA568" s="141">
        <f>'[32]מאזן בוחן'!AO455</f>
        <v>1046446.9699999988</v>
      </c>
      <c r="AB568" s="141">
        <f>'[26]מאזן בוחן'!AB465</f>
        <v>1041373.41</v>
      </c>
      <c r="AC568" s="141">
        <f>'[27]מאזן בוחן'!AC474</f>
        <v>1122602.7399999998</v>
      </c>
      <c r="AD568" s="141">
        <f>'[28]מאזן בוחן'!AD482</f>
        <v>1086627.4700000002</v>
      </c>
      <c r="AE568" s="141">
        <f>'[29]מאזן בוחן'!AE487</f>
        <v>1109688.1100000003</v>
      </c>
      <c r="AF568" s="141">
        <f>'[30]מאזן בוחן'!AF496</f>
        <v>1108588.3799999999</v>
      </c>
      <c r="AG568" s="141">
        <f>'[31]מאזן בוחן'!AG499</f>
        <v>1104316.2599999998</v>
      </c>
      <c r="AH568" s="141">
        <v>1076940.5</v>
      </c>
      <c r="AI568" s="141">
        <v>1095704.3999999994</v>
      </c>
      <c r="AJ568" s="141">
        <v>1068676.1500000004</v>
      </c>
      <c r="AK568" s="141">
        <v>1100855.5999999996</v>
      </c>
      <c r="AL568" s="141">
        <v>1130963</v>
      </c>
      <c r="AM568" s="141">
        <f>$K568-SUM($AB568:AL568)</f>
        <v>1252475.2400000002</v>
      </c>
      <c r="AN568" s="141" t="s">
        <v>4813</v>
      </c>
      <c r="AO568" s="141" t="s">
        <v>4551</v>
      </c>
      <c r="AP568" s="141">
        <v>3476502</v>
      </c>
      <c r="AQ568" s="141" t="s">
        <v>4237</v>
      </c>
      <c r="AR568" s="141" t="s">
        <v>4053</v>
      </c>
      <c r="AS568" s="141" t="s">
        <v>3971</v>
      </c>
      <c r="AU568" s="141">
        <f>AE568-AD568</f>
        <v>23060.64000000013</v>
      </c>
      <c r="AV568" s="141" t="s">
        <v>3473</v>
      </c>
      <c r="AW568" s="141" t="s">
        <v>3295</v>
      </c>
      <c r="BA568" s="2805"/>
      <c r="BB568" s="2806"/>
    </row>
    <row r="569" spans="1:55">
      <c r="A569" s="52"/>
      <c r="B569" s="3659" t="s">
        <v>1100</v>
      </c>
      <c r="C569" s="585">
        <v>6010055</v>
      </c>
      <c r="D569" s="203" t="s">
        <v>4802</v>
      </c>
      <c r="E569" s="474">
        <f>IFERROR(VLOOKUP(C569,'פקודות נוספות'!$D$274:$F$797,3,0),0)</f>
        <v>29363.33</v>
      </c>
      <c r="F569" s="49">
        <f>SUMIF('פקודות נוספות'!C:C,C:C,'פקודות נוספות'!E:E)</f>
        <v>0</v>
      </c>
      <c r="J569" s="474">
        <f>SUM(E569:I569)</f>
        <v>29363.33</v>
      </c>
      <c r="K569" s="42">
        <f>M569+SUMIF('פקודות נוספות'!C:C,'מאזן בוחן'!C569,'פקודות נוספות'!F:F)</f>
        <v>9441.59</v>
      </c>
      <c r="L569" s="49"/>
      <c r="M569" s="1341">
        <f>IFERROR(VLOOKUP(C569,'פקודות נוספות'!$D$273:$G$797,4,0),0)</f>
        <v>9441.59</v>
      </c>
      <c r="N569" s="1104">
        <f t="shared" ref="N569" si="118">IF(K569=0,"-",J569/K569)</f>
        <v>3.1099984218759764</v>
      </c>
      <c r="O569" s="203"/>
      <c r="P569" s="141"/>
      <c r="Q569" s="141"/>
      <c r="R569" s="141"/>
      <c r="S569" s="141"/>
      <c r="T569" s="141"/>
      <c r="U569" s="141"/>
      <c r="V569" s="726"/>
      <c r="W569" s="726"/>
      <c r="X569" s="141"/>
      <c r="Y569" s="141"/>
      <c r="AA569" s="141"/>
      <c r="AB569" s="141"/>
      <c r="AC569" s="141"/>
      <c r="AD569" s="141"/>
      <c r="AE569" s="141"/>
      <c r="AF569" s="141"/>
      <c r="AG569" s="141"/>
      <c r="AH569" s="141"/>
      <c r="AI569" s="141"/>
      <c r="AJ569" s="141"/>
      <c r="AK569" s="141"/>
      <c r="AL569" s="141"/>
      <c r="AM569" s="141">
        <f>$K569-SUM($AB569:AL569)</f>
        <v>9441.59</v>
      </c>
      <c r="AN569" s="141"/>
      <c r="AO569" s="141"/>
      <c r="AP569" s="141"/>
      <c r="AQ569" s="141"/>
      <c r="AR569" s="141"/>
      <c r="AS569" s="141"/>
      <c r="AU569" s="141"/>
      <c r="AV569" s="141"/>
      <c r="AW569" s="141"/>
      <c r="BA569" s="2805"/>
      <c r="BB569" s="2806"/>
    </row>
    <row r="570" spans="1:55">
      <c r="A570" s="52"/>
      <c r="B570" s="3659" t="s">
        <v>1100</v>
      </c>
      <c r="C570" s="585">
        <v>6010002</v>
      </c>
      <c r="D570" s="203" t="s">
        <v>1101</v>
      </c>
      <c r="E570" s="474">
        <f>IFERROR(VLOOKUP(C570,'פקודות נוספות'!$D$274:$F$797,3,0),0)</f>
        <v>769301.76</v>
      </c>
      <c r="F570" s="49">
        <f>SUMIF('פקודות נוספות'!C:C,C:C,'פקודות נוספות'!E:E)</f>
        <v>0</v>
      </c>
      <c r="J570" s="474">
        <f t="shared" ref="J570:J576" si="119">SUM(E570:I570)</f>
        <v>769301.76</v>
      </c>
      <c r="K570" s="42">
        <f>M570+SUMIF('פקודות נוספות'!C:C,'מאזן בוחן'!C570,'פקודות נוספות'!F:F)</f>
        <v>247140.71</v>
      </c>
      <c r="L570" s="49"/>
      <c r="M570" s="1341">
        <f>IFERROR(VLOOKUP(C570,'פקודות נוספות'!$D$273:$G$797,4,0),0)</f>
        <v>247140.71</v>
      </c>
      <c r="N570" s="1104">
        <f t="shared" ref="N570:N576" si="120">IF(K570=0,"-",J570/K570)</f>
        <v>3.1128087315116963</v>
      </c>
      <c r="O570" s="1133"/>
      <c r="P570" s="141">
        <v>-4353.6400000000003</v>
      </c>
      <c r="Q570" s="141">
        <f>'[39]מאזן בוחן'!AE453</f>
        <v>-981.76999999999953</v>
      </c>
      <c r="R570" s="141">
        <v>0</v>
      </c>
      <c r="S570" s="141">
        <v>0</v>
      </c>
      <c r="T570" s="141">
        <f>'[20]מאזן בוחן'!AR482</f>
        <v>0</v>
      </c>
      <c r="U570" s="141">
        <f>'[21]מאזן בוחן'!AS415</f>
        <v>14819.84</v>
      </c>
      <c r="V570" s="726">
        <f>'[22]מאזן בוחן'!AJ403</f>
        <v>10443.779999999999</v>
      </c>
      <c r="W570" s="726">
        <f>'[23]מאזן בוחן'!AK409</f>
        <v>18889.859999999997</v>
      </c>
      <c r="X570" s="141">
        <v>3.637978807091713E-12</v>
      </c>
      <c r="Y570" s="141">
        <f>'[25]מאזן בוחן'!AM439</f>
        <v>930.47000000000844</v>
      </c>
      <c r="AA570" s="141">
        <f>'[32]מאזן בוחן'!AO456</f>
        <v>28670.609999999993</v>
      </c>
      <c r="AB570" s="141">
        <f>'[26]מאזן בוחן'!AB466</f>
        <v>97.84</v>
      </c>
      <c r="AC570" s="141">
        <f>'[27]מאזן בוחן'!AC475</f>
        <v>-16475.489999999998</v>
      </c>
      <c r="AD570" s="141">
        <f>'[28]מאזן בוחן'!AD483</f>
        <v>0</v>
      </c>
      <c r="AE570" s="141">
        <f>'[29]מאזן בוחן'!AE488</f>
        <v>6262.0899999999983</v>
      </c>
      <c r="AF570" s="141">
        <f>'[30]מאזן בוחן'!AF497</f>
        <v>0</v>
      </c>
      <c r="AG570" s="141">
        <f>'[31]מאזן בוחן'!AG500</f>
        <v>1226.9899999999998</v>
      </c>
      <c r="AH570" s="141">
        <v>1109.1899999999996</v>
      </c>
      <c r="AI570" s="141">
        <v>3118.1800000000003</v>
      </c>
      <c r="AJ570" s="141">
        <v>744.81</v>
      </c>
      <c r="AK570" s="141">
        <v>920.19999999999982</v>
      </c>
      <c r="AL570" s="141">
        <v>0</v>
      </c>
      <c r="AM570" s="141">
        <f>$K570-SUM($AB570:AL570)</f>
        <v>250136.9</v>
      </c>
      <c r="AN570" s="141"/>
      <c r="AO570" s="141"/>
      <c r="AP570" s="141"/>
      <c r="AQ570" s="141"/>
      <c r="AR570" s="141"/>
      <c r="AS570" s="141"/>
      <c r="AT570" s="141"/>
      <c r="AU570" s="141"/>
      <c r="AV570" s="141"/>
      <c r="AW570" s="141"/>
      <c r="BA570" s="204"/>
      <c r="BB570" s="2806"/>
    </row>
    <row r="571" spans="1:55">
      <c r="A571" s="52"/>
      <c r="B571" s="3659" t="s">
        <v>1100</v>
      </c>
      <c r="C571" s="585">
        <v>6010003</v>
      </c>
      <c r="D571" s="203" t="s">
        <v>1102</v>
      </c>
      <c r="E571" s="474">
        <f>IFERROR(VLOOKUP(C571,'פקודות נוספות'!$D$274:$F$797,3,0),0)</f>
        <v>559546.64</v>
      </c>
      <c r="F571" s="49">
        <f>SUMIF('פקודות נוספות'!C:C,C:C,'פקודות נוספות'!E:E)</f>
        <v>0</v>
      </c>
      <c r="J571" s="474">
        <f t="shared" si="119"/>
        <v>559546.64</v>
      </c>
      <c r="K571" s="42">
        <f>M571+SUMIF('פקודות נוספות'!C:C,'מאזן בוחן'!C571,'פקודות נוספות'!F:F)</f>
        <v>168966.1</v>
      </c>
      <c r="L571" s="49"/>
      <c r="M571" s="1341">
        <f>IFERROR(VLOOKUP(C571,'פקודות נוספות'!$D$273:$G$797,4,0),0)</f>
        <v>168966.1</v>
      </c>
      <c r="N571" s="1104">
        <f t="shared" si="120"/>
        <v>3.3115911416550419</v>
      </c>
      <c r="O571" s="1133"/>
      <c r="P571" s="141">
        <v>78044.800000000003</v>
      </c>
      <c r="Q571" s="141">
        <f>'[39]מאזן בוחן'!AE454</f>
        <v>-68281.2</v>
      </c>
      <c r="R571" s="141">
        <v>18074</v>
      </c>
      <c r="S571" s="141">
        <v>18074</v>
      </c>
      <c r="T571" s="141">
        <f>'[20]מאזן בוחן'!AR483</f>
        <v>18074</v>
      </c>
      <c r="U571" s="141">
        <f>'[21]מאזן בוחן'!AS416</f>
        <v>18074</v>
      </c>
      <c r="V571" s="726">
        <f>'[22]מאזן בוחן'!AJ404</f>
        <v>18073.999999999996</v>
      </c>
      <c r="W571" s="726">
        <f>'[23]מאזן בוחן'!AK410</f>
        <v>35072.38999999997</v>
      </c>
      <c r="X571" s="141">
        <v>18074.000000000011</v>
      </c>
      <c r="Y571" s="141">
        <f>'[25]מאזן בוחן'!AM440</f>
        <v>18074.000000000029</v>
      </c>
      <c r="AA571" s="141">
        <f>'[32]מאזן בוחן'!AO457</f>
        <v>24842.960000000021</v>
      </c>
      <c r="AB571" s="141">
        <f>'[26]מאזן בוחן'!AB467</f>
        <v>20054.689999999999</v>
      </c>
      <c r="AC571" s="141">
        <f>'[27]מאזן בוחן'!AC476</f>
        <v>-15507.339999999998</v>
      </c>
      <c r="AD571" s="141">
        <f>'[28]מאזן בוחן'!AD484</f>
        <v>16133.88</v>
      </c>
      <c r="AE571" s="141">
        <f>'[29]מאזן בוחן'!AE489</f>
        <v>22354.87</v>
      </c>
      <c r="AF571" s="141">
        <f>'[30]מאזן בוחן'!AF498</f>
        <v>18742</v>
      </c>
      <c r="AG571" s="141">
        <f>'[31]מאזן בוחן'!AG501</f>
        <v>18742.000000000007</v>
      </c>
      <c r="AH571" s="141">
        <v>18742</v>
      </c>
      <c r="AI571" s="141">
        <v>18742</v>
      </c>
      <c r="AJ571" s="141">
        <v>18742</v>
      </c>
      <c r="AK571" s="141">
        <v>18742</v>
      </c>
      <c r="AL571" s="141">
        <v>18742</v>
      </c>
      <c r="AM571" s="141">
        <f>$K571-SUM($AB571:AL571)</f>
        <v>-5264</v>
      </c>
      <c r="AN571" s="141"/>
      <c r="AO571" s="141"/>
      <c r="AP571" s="141"/>
      <c r="AQ571" s="141"/>
      <c r="AR571" s="141"/>
      <c r="AS571" s="141"/>
      <c r="AT571" s="141"/>
      <c r="AU571" s="141"/>
      <c r="AV571" s="141"/>
      <c r="AW571" s="141"/>
      <c r="BA571" s="204"/>
      <c r="BB571" s="2806"/>
    </row>
    <row r="572" spans="1:55">
      <c r="A572" s="52"/>
      <c r="B572" s="3659" t="s">
        <v>1100</v>
      </c>
      <c r="C572" s="585">
        <v>6010007</v>
      </c>
      <c r="D572" s="203" t="s">
        <v>1103</v>
      </c>
      <c r="E572" s="474">
        <f>IFERROR(VLOOKUP(C572,'פקודות נוספות'!$D$274:$F$797,3,0),0)</f>
        <v>681924.37</v>
      </c>
      <c r="F572" s="49">
        <f>SUMIF('פקודות נוספות'!C:C,C:C,'פקודות נוספות'!E:E)</f>
        <v>0</v>
      </c>
      <c r="J572" s="474">
        <f t="shared" si="119"/>
        <v>681924.37</v>
      </c>
      <c r="K572" s="42">
        <f>M572+SUMIF('פקודות נוספות'!C:C,'מאזן בוחן'!C572,'פקודות נוספות'!F:F)</f>
        <v>211865.86</v>
      </c>
      <c r="L572" s="49"/>
      <c r="M572" s="1341">
        <f>IFERROR(VLOOKUP(C572,'פקודות נוספות'!$D$273:$G$797,4,0),0)</f>
        <v>211865.86</v>
      </c>
      <c r="N572" s="1104">
        <f t="shared" si="120"/>
        <v>3.2186609489608191</v>
      </c>
      <c r="O572" s="1133"/>
      <c r="P572" s="141">
        <v>12695.199999999997</v>
      </c>
      <c r="Q572" s="141">
        <f>'[39]מאזן בוחן'!AE455</f>
        <v>34469.729999999996</v>
      </c>
      <c r="R572" s="141">
        <v>12883.490000000005</v>
      </c>
      <c r="S572" s="141">
        <v>548.2899999999936</v>
      </c>
      <c r="T572" s="141">
        <f>'[20]מאזן בוחן'!AR484</f>
        <v>4811.8600000000006</v>
      </c>
      <c r="U572" s="141">
        <f>'[21]מאזן בוחן'!AS417</f>
        <v>7310.7100000000064</v>
      </c>
      <c r="V572" s="726">
        <f>'[22]מאזן בוחן'!AJ405</f>
        <v>362.25</v>
      </c>
      <c r="W572" s="726">
        <f>'[23]מאזן בוחן'!AK411</f>
        <v>362.25</v>
      </c>
      <c r="X572" s="141">
        <v>362.25</v>
      </c>
      <c r="Y572" s="141">
        <f>'[25]מאזן בוחן'!AM441</f>
        <v>3454.7700000000041</v>
      </c>
      <c r="AA572" s="141">
        <f>'[32]מאזן בוחן'!AO458</f>
        <v>9815.4400000000023</v>
      </c>
      <c r="AB572" s="141">
        <f>'[26]מאזן בוחן'!AB468</f>
        <v>29885.06</v>
      </c>
      <c r="AC572" s="141">
        <f>'[27]מאזן בוחן'!AC477</f>
        <v>8839.9699999999975</v>
      </c>
      <c r="AD572" s="141">
        <f>'[28]מאזן בוחן'!AD485</f>
        <v>11126.190000000002</v>
      </c>
      <c r="AE572" s="141">
        <f>'[29]מאזן בוחן'!AE490</f>
        <v>16440.050000000003</v>
      </c>
      <c r="AF572" s="141">
        <f>'[30]מאזן בוחן'!AF499</f>
        <v>10033.62999999999</v>
      </c>
      <c r="AG572" s="141">
        <f>'[31]מאזן בוחן'!AG502</f>
        <v>926.84000000001106</v>
      </c>
      <c r="AH572" s="141">
        <v>28795.62999999999</v>
      </c>
      <c r="AI572" s="141">
        <v>1284.8500000000058</v>
      </c>
      <c r="AJ572" s="141">
        <v>13016.990000000005</v>
      </c>
      <c r="AK572" s="141">
        <v>26474.639999999999</v>
      </c>
      <c r="AL572" s="141">
        <v>32376.570000000007</v>
      </c>
      <c r="AM572" s="141">
        <f>$K572-SUM($AB572:AL572)</f>
        <v>32665.439999999973</v>
      </c>
      <c r="AN572" s="141"/>
      <c r="AO572" s="141"/>
      <c r="AP572" s="141"/>
      <c r="AQ572" s="141"/>
      <c r="AR572" s="141"/>
      <c r="AS572" s="141"/>
      <c r="AT572" s="141"/>
      <c r="AU572" s="141"/>
      <c r="AV572" s="141"/>
      <c r="AW572" s="141"/>
      <c r="BA572" s="204"/>
      <c r="BB572" s="2806"/>
    </row>
    <row r="573" spans="1:55">
      <c r="A573" s="52"/>
      <c r="B573" s="3674" t="s">
        <v>1100</v>
      </c>
      <c r="C573" s="547">
        <v>6010008</v>
      </c>
      <c r="D573" s="1110" t="s">
        <v>282</v>
      </c>
      <c r="E573" s="474">
        <f>IFERROR(VLOOKUP(C573,'פקודות נוספות'!$D$274:$F$797,3,0),0)</f>
        <v>1403425</v>
      </c>
      <c r="F573" s="49">
        <f>SUMIF('פקודות נוספות'!C:C,C:C,'פקודות נוספות'!E:E)</f>
        <v>0</v>
      </c>
      <c r="J573" s="474">
        <f t="shared" si="119"/>
        <v>1403425</v>
      </c>
      <c r="K573" s="42">
        <f>M573+SUMIF('פקודות נוספות'!C:C,'מאזן בוחן'!C573,'פקודות נוספות'!F:F)</f>
        <v>432295.75</v>
      </c>
      <c r="L573" s="49"/>
      <c r="M573" s="1341">
        <f>IFERROR(VLOOKUP(C573,'פקודות נוספות'!$D$273:$G$797,4,0),0)</f>
        <v>432295.75</v>
      </c>
      <c r="N573" s="1104">
        <f t="shared" si="120"/>
        <v>3.2464464432046811</v>
      </c>
      <c r="O573" s="1133"/>
      <c r="P573" s="141">
        <v>100561.46</v>
      </c>
      <c r="Q573" s="141">
        <f>'[39]מאזן בוחן'!AE456</f>
        <v>67572.309999999983</v>
      </c>
      <c r="R573" s="141">
        <v>69553.539999999994</v>
      </c>
      <c r="S573" s="141">
        <v>58816.659999999974</v>
      </c>
      <c r="T573" s="141">
        <f>'[20]מאזן בוחן'!AR485</f>
        <v>55884.170000000027</v>
      </c>
      <c r="U573" s="141">
        <f>'[21]מאזן בוחן'!AS418</f>
        <v>55575.409999999989</v>
      </c>
      <c r="V573" s="726">
        <f>'[22]מאזן בוחן'!AJ406</f>
        <v>49243.049999999988</v>
      </c>
      <c r="W573" s="726">
        <f>'[23]מאזן בוחן'!AK412</f>
        <v>44799.84000000004</v>
      </c>
      <c r="X573" s="141">
        <v>48855.560000000012</v>
      </c>
      <c r="Y573" s="141">
        <f>'[25]מאזן בוחן'!AM442</f>
        <v>60228.349999999977</v>
      </c>
      <c r="AA573" s="141">
        <f>'[32]מאזן בוחן'!AO459</f>
        <v>53918.820000000065</v>
      </c>
      <c r="AB573" s="141">
        <f>'[26]מאזן בוחן'!AB469</f>
        <v>45016.25</v>
      </c>
      <c r="AC573" s="141">
        <f>'[27]מאזן בוחן'!AC478</f>
        <v>47279.44</v>
      </c>
      <c r="AD573" s="141">
        <f>'[28]מאזן בוחן'!AD486</f>
        <v>44678.260000000009</v>
      </c>
      <c r="AE573" s="141">
        <f>'[29]מאזן בוחן'!AE491</f>
        <v>56528.949999999983</v>
      </c>
      <c r="AF573" s="141">
        <f>'[30]מאזן בוחן'!AF500</f>
        <v>44767.839999999997</v>
      </c>
      <c r="AG573" s="141">
        <f>'[31]מאזן בוחן'!AG503</f>
        <v>64280.030000000028</v>
      </c>
      <c r="AH573" s="141">
        <v>43364.25</v>
      </c>
      <c r="AI573" s="141">
        <v>30330.139999999956</v>
      </c>
      <c r="AJ573" s="141">
        <v>30292.850000000035</v>
      </c>
      <c r="AK573" s="141">
        <v>9167.820000000007</v>
      </c>
      <c r="AL573" s="141">
        <v>8589.929999999993</v>
      </c>
      <c r="AM573" s="141">
        <f>$K573-SUM($AB573:AL573)</f>
        <v>7999.9899999999907</v>
      </c>
      <c r="AN573" s="141"/>
      <c r="AO573" s="141"/>
      <c r="AP573" s="141" t="s">
        <v>4357</v>
      </c>
      <c r="AQ573" s="141"/>
      <c r="AR573" s="141" t="s">
        <v>4099</v>
      </c>
      <c r="AS573" s="141" t="s">
        <v>3964</v>
      </c>
      <c r="AT573" s="141" t="s">
        <v>3821</v>
      </c>
      <c r="AU573" s="141">
        <f>AE573-AD573</f>
        <v>11850.689999999973</v>
      </c>
      <c r="AV573" s="141"/>
      <c r="AW573" s="141"/>
      <c r="AX573" s="137" t="s">
        <v>3138</v>
      </c>
      <c r="BA573" s="204"/>
      <c r="BB573" s="2806"/>
      <c r="BC573" s="419"/>
    </row>
    <row r="574" spans="1:55">
      <c r="A574" s="52"/>
      <c r="B574" s="3674" t="s">
        <v>1100</v>
      </c>
      <c r="C574" s="547">
        <v>6010010</v>
      </c>
      <c r="D574" s="1110" t="s">
        <v>1505</v>
      </c>
      <c r="E574" s="474">
        <f>IFERROR(VLOOKUP(C574,'פקודות נוספות'!$D$274:$F$797,3,0),0)</f>
        <v>42677.39</v>
      </c>
      <c r="F574" s="49">
        <f>SUMIF('פקודות נוספות'!C:C,C:C,'פקודות נוספות'!E:E)</f>
        <v>0</v>
      </c>
      <c r="J574" s="474">
        <f>SUM(E574:I574)</f>
        <v>42677.39</v>
      </c>
      <c r="K574" s="42">
        <f>M574+SUMIF('פקודות נוספות'!C:C,'מאזן בוחן'!C574,'פקודות נוספות'!F:F)</f>
        <v>13143.64</v>
      </c>
      <c r="L574" s="49"/>
      <c r="M574" s="1341">
        <f>IFERROR(VLOOKUP(C574,'פקודות נוספות'!$D$273:$G$797,4,0),0)</f>
        <v>13143.64</v>
      </c>
      <c r="N574" s="1104">
        <f>IF(K574=0,"-",J574/K574)</f>
        <v>3.2469993091715841</v>
      </c>
      <c r="O574" s="1133"/>
      <c r="P574" s="141">
        <v>0</v>
      </c>
      <c r="Q574" s="141">
        <f>'[39]מאזן בוחן'!AE457</f>
        <v>0</v>
      </c>
      <c r="R574" s="141">
        <v>0</v>
      </c>
      <c r="S574" s="141">
        <v>0</v>
      </c>
      <c r="T574" s="141">
        <f>'[20]מאזן בוחן'!AR486</f>
        <v>0</v>
      </c>
      <c r="U574" s="141">
        <f>'[21]מאזן בוחן'!AS419</f>
        <v>0</v>
      </c>
      <c r="V574" s="726">
        <f>'[22]מאזן בוחן'!AJ407</f>
        <v>44806.66</v>
      </c>
      <c r="W574" s="726">
        <f>'[23]מאזן בוחן'!AK413</f>
        <v>0</v>
      </c>
      <c r="X574" s="141">
        <v>0</v>
      </c>
      <c r="Y574" s="141">
        <f>'[25]מאזן בוחן'!AM443</f>
        <v>0</v>
      </c>
      <c r="AA574" s="141">
        <f>'[32]מאזן בוחן'!AO460</f>
        <v>0</v>
      </c>
      <c r="AB574" s="141">
        <f>'[26]מאזן בוחן'!AB470</f>
        <v>0</v>
      </c>
      <c r="AC574" s="141">
        <f>'[27]מאזן בוחן'!AC479</f>
        <v>0</v>
      </c>
      <c r="AD574" s="141">
        <f>'[28]מאזן בוחן'!AD487</f>
        <v>0</v>
      </c>
      <c r="AE574" s="141">
        <f>'[29]מאזן בוחן'!AE492</f>
        <v>0</v>
      </c>
      <c r="AF574" s="141">
        <f>'[30]מאזן בוחן'!AF501</f>
        <v>13143.64</v>
      </c>
      <c r="AG574" s="141">
        <f>'[31]מאזן בוחן'!AG504</f>
        <v>0</v>
      </c>
      <c r="AH574" s="141">
        <v>0</v>
      </c>
      <c r="AI574" s="141">
        <v>0</v>
      </c>
      <c r="AJ574" s="141">
        <v>0</v>
      </c>
      <c r="AK574" s="141">
        <v>0</v>
      </c>
      <c r="AL574" s="141">
        <v>0</v>
      </c>
      <c r="AM574" s="141">
        <f>$K574-SUM($AB574:AL574)</f>
        <v>0</v>
      </c>
      <c r="AN574" s="141"/>
      <c r="AO574" s="141"/>
      <c r="AP574" s="141"/>
      <c r="AQ574" s="141"/>
      <c r="AR574" s="141"/>
      <c r="AS574" s="141"/>
      <c r="AT574" s="141"/>
      <c r="AU574" s="141"/>
      <c r="AV574" s="141"/>
      <c r="AW574" s="141"/>
      <c r="BA574" s="204"/>
      <c r="BB574" s="2806"/>
    </row>
    <row r="575" spans="1:55">
      <c r="A575" s="52"/>
      <c r="B575" s="3674" t="s">
        <v>1100</v>
      </c>
      <c r="C575" s="547">
        <v>6011001</v>
      </c>
      <c r="D575" s="1110" t="s">
        <v>1947</v>
      </c>
      <c r="E575" s="474">
        <f>IFERROR(VLOOKUP(C575,'פקודות נוספות'!$D$274:$F$797,3,0),0)</f>
        <v>0</v>
      </c>
      <c r="F575" s="49">
        <f>SUMIF('פקודות נוספות'!C:C,C:C,'פקודות נוספות'!E:E)</f>
        <v>0</v>
      </c>
      <c r="J575" s="474">
        <f>SUM(E575:I575)</f>
        <v>0</v>
      </c>
      <c r="K575" s="42">
        <f>M575+SUMIF('פקודות נוספות'!C:C,'מאזן בוחן'!C575,'פקודות נוספות'!F:F)</f>
        <v>0</v>
      </c>
      <c r="L575" s="49"/>
      <c r="M575" s="1341">
        <f>IFERROR(VLOOKUP(C575,'פקודות נוספות'!$D$273:$G$797,4,0),0)</f>
        <v>0</v>
      </c>
      <c r="N575" s="1104" t="str">
        <f>IF(K575=0,"-",J575/K575)</f>
        <v>-</v>
      </c>
      <c r="O575" s="1133"/>
      <c r="P575" s="141">
        <v>6985</v>
      </c>
      <c r="Q575" s="141">
        <f>'[39]מאזן בוחן'!AE458</f>
        <v>7050</v>
      </c>
      <c r="R575" s="141">
        <v>6950</v>
      </c>
      <c r="S575" s="141">
        <v>19092.53</v>
      </c>
      <c r="T575" s="141">
        <f>'[20]מאזן בוחן'!AR487</f>
        <v>19666</v>
      </c>
      <c r="U575" s="141">
        <f>'[21]מאזן בוחן'!AS420</f>
        <v>0</v>
      </c>
      <c r="V575" s="726">
        <f>'[22]מאזן בוחן'!AJ408</f>
        <v>0</v>
      </c>
      <c r="W575" s="726">
        <f>'[23]מאזן בוחן'!AK414</f>
        <v>0</v>
      </c>
      <c r="X575" s="141">
        <v>0</v>
      </c>
      <c r="Y575" s="141">
        <f>'[25]מאזן בוחן'!AM444</f>
        <v>0</v>
      </c>
      <c r="AA575" s="141">
        <f>'[32]מאזן בוחן'!AO461</f>
        <v>0</v>
      </c>
      <c r="AB575" s="141">
        <f>'[26]מאזן בוחן'!AB471</f>
        <v>0</v>
      </c>
      <c r="AC575" s="141">
        <f>'[27]מאזן בוחן'!AC480</f>
        <v>0</v>
      </c>
      <c r="AD575" s="141">
        <f>'[28]מאזן בוחן'!AD488</f>
        <v>0</v>
      </c>
      <c r="AE575" s="141">
        <f>'[29]מאזן בוחן'!AE493</f>
        <v>0</v>
      </c>
      <c r="AF575" s="141">
        <f>'[30]מאזן בוחן'!AF502</f>
        <v>0</v>
      </c>
      <c r="AG575" s="141">
        <f>'[31]מאזן בוחן'!AG505</f>
        <v>0</v>
      </c>
      <c r="AH575" s="141">
        <v>0</v>
      </c>
      <c r="AI575" s="141">
        <v>0</v>
      </c>
      <c r="AJ575" s="141">
        <v>0</v>
      </c>
      <c r="AK575" s="141">
        <v>0</v>
      </c>
      <c r="AL575" s="141">
        <v>0</v>
      </c>
      <c r="AM575" s="141">
        <f>$K575-SUM($AB575:AL575)</f>
        <v>0</v>
      </c>
      <c r="AN575" s="141"/>
      <c r="AO575" s="141"/>
      <c r="AP575" s="141"/>
      <c r="AQ575" s="141"/>
      <c r="AR575" s="141"/>
      <c r="AS575" s="141"/>
      <c r="AT575" s="141"/>
      <c r="AU575" s="141"/>
      <c r="AV575" s="141"/>
      <c r="AW575" s="141"/>
      <c r="BA575" s="204"/>
      <c r="BB575" s="2806"/>
      <c r="BC575" s="63"/>
    </row>
    <row r="576" spans="1:55">
      <c r="A576" s="52"/>
      <c r="B576" s="3674" t="s">
        <v>1100</v>
      </c>
      <c r="C576" s="547">
        <v>6010018</v>
      </c>
      <c r="D576" s="1110" t="s">
        <v>1104</v>
      </c>
      <c r="E576" s="474">
        <f>IFERROR(VLOOKUP(C576,'פקודות נוספות'!$D$274:$F$797,3,0),0)</f>
        <v>2506614.38</v>
      </c>
      <c r="F576" s="49">
        <f>SUMIF('פקודות נוספות'!C:C,C:C,'פקודות נוספות'!E:E)</f>
        <v>0</v>
      </c>
      <c r="J576" s="474">
        <f t="shared" si="119"/>
        <v>2506614.38</v>
      </c>
      <c r="K576" s="42">
        <f>M576+SUMIF('פקודות נוספות'!C:C,'מאזן בוחן'!C576,'פקודות נוספות'!F:F)</f>
        <v>766357.42</v>
      </c>
      <c r="L576" s="49"/>
      <c r="M576" s="1341">
        <f>IFERROR(VLOOKUP(C576,'פקודות נוספות'!$D$273:$G$797,4,0),0)</f>
        <v>766357.42</v>
      </c>
      <c r="N576" s="1104">
        <f t="shared" si="120"/>
        <v>3.2708163509397479</v>
      </c>
      <c r="O576" s="3013"/>
      <c r="P576" s="141">
        <v>257868.31</v>
      </c>
      <c r="Q576" s="141">
        <f>'[39]מאזן בוחן'!AE459</f>
        <v>243135.09999999998</v>
      </c>
      <c r="R576" s="141">
        <v>227796.9200000001</v>
      </c>
      <c r="S576" s="141">
        <v>224308.83999999979</v>
      </c>
      <c r="T576" s="141">
        <f>'[20]מאזן בוחן'!AR488</f>
        <v>252417.33000000007</v>
      </c>
      <c r="U576" s="141">
        <f>'[21]מאזן בוחן'!AS421</f>
        <v>246467.59999999992</v>
      </c>
      <c r="V576" s="726">
        <f>'[22]מאזן בוחן'!AJ409</f>
        <v>235088.55999999982</v>
      </c>
      <c r="W576" s="726">
        <f>'[23]מאזן בוחן'!AK415</f>
        <v>246360.33999999997</v>
      </c>
      <c r="X576" s="141">
        <v>254152.39000000048</v>
      </c>
      <c r="Y576" s="141">
        <f>'[25]מאזן בוחן'!AM445</f>
        <v>231526.41999999946</v>
      </c>
      <c r="AA576" s="141">
        <f>'[32]מאזן בוחן'!AO462</f>
        <v>236583.18999999994</v>
      </c>
      <c r="AB576" s="141">
        <f>'[26]מאזן בוחן'!AB472</f>
        <v>259540.29</v>
      </c>
      <c r="AC576" s="141">
        <f>'[27]מאזן בוחן'!AC481</f>
        <v>273557.67999999993</v>
      </c>
      <c r="AD576" s="141">
        <f>'[28]מאזן בוחן'!AD489</f>
        <v>233259.45000000007</v>
      </c>
      <c r="AE576" s="141">
        <f>'[29]מאזן בוחן'!AE494</f>
        <v>0</v>
      </c>
      <c r="AF576" s="141">
        <f>'[30]מאזן בוחן'!AF503</f>
        <v>0</v>
      </c>
      <c r="AG576" s="141">
        <f>'[31]מאזן בוחן'!AG506</f>
        <v>0</v>
      </c>
      <c r="AH576" s="141">
        <v>0</v>
      </c>
      <c r="AI576" s="141">
        <v>0</v>
      </c>
      <c r="AJ576" s="141">
        <v>0</v>
      </c>
      <c r="AK576" s="141">
        <v>0</v>
      </c>
      <c r="AL576" s="141">
        <v>0</v>
      </c>
      <c r="AM576" s="141">
        <f>$K576-SUM($AB576:AL576)</f>
        <v>0</v>
      </c>
      <c r="AN576" s="141"/>
      <c r="AO576" s="141"/>
      <c r="AP576" s="141"/>
      <c r="AQ576" s="141"/>
      <c r="AR576" s="141"/>
      <c r="AS576" s="141"/>
      <c r="AT576" s="141"/>
      <c r="AU576" s="141"/>
      <c r="AV576" s="141"/>
      <c r="AW576" s="141"/>
      <c r="BA576" s="204"/>
      <c r="BB576" s="2806"/>
    </row>
    <row r="577" spans="1:55">
      <c r="A577" s="52"/>
      <c r="B577" s="3674" t="s">
        <v>1100</v>
      </c>
      <c r="C577" s="585">
        <v>6010021</v>
      </c>
      <c r="D577" s="203" t="s">
        <v>3441</v>
      </c>
      <c r="E577" s="474">
        <f>IFERROR(VLOOKUP(C577,'פקודות נוספות'!$D$274:$F$797,3,0),0)</f>
        <v>476787.95</v>
      </c>
      <c r="F577" s="49">
        <f>SUMIF('פקודות נוספות'!C:C,C:C,'פקודות נוספות'!E:E)</f>
        <v>0</v>
      </c>
      <c r="H577" s="180"/>
      <c r="I577" s="180"/>
      <c r="J577" s="474">
        <f>SUM(E577:I577)</f>
        <v>476787.95</v>
      </c>
      <c r="K577" s="42">
        <f>M577+SUMIF('פקודות נוספות'!C:C,'מאזן בוחן'!C577,'פקודות נוספות'!F:F)</f>
        <v>148814.28</v>
      </c>
      <c r="L577" s="49"/>
      <c r="M577" s="1341">
        <f>IFERROR(VLOOKUP(C577,'פקודות נוספות'!$D$273:$G$797,4,0),0)</f>
        <v>148814.28</v>
      </c>
      <c r="N577" s="1104">
        <f>IF(K577=0,"-",J577/K577)</f>
        <v>3.2039126218263463</v>
      </c>
      <c r="O577" s="1522"/>
      <c r="P577" s="141"/>
      <c r="Q577" s="141"/>
      <c r="R577" s="141"/>
      <c r="S577" s="141"/>
      <c r="T577" s="141"/>
      <c r="U577" s="141"/>
      <c r="V577" s="726"/>
      <c r="W577" s="726"/>
      <c r="X577" s="141"/>
      <c r="Y577" s="141"/>
      <c r="AA577" s="141"/>
      <c r="AB577" s="141"/>
      <c r="AC577" s="141"/>
      <c r="AD577" s="141">
        <v>6393.87</v>
      </c>
      <c r="AE577" s="141">
        <f>'[29]מאזן בוחן'!AE495</f>
        <v>7565.2400000000007</v>
      </c>
      <c r="AF577" s="141">
        <f>'[30]מאזן בוחן'!AF504</f>
        <v>6507.41</v>
      </c>
      <c r="AG577" s="141">
        <f>'[31]מאזן בוחן'!AG507</f>
        <v>10612.11</v>
      </c>
      <c r="AH577" s="141">
        <v>13063.2</v>
      </c>
      <c r="AI577" s="141">
        <v>19288.629999999997</v>
      </c>
      <c r="AJ577" s="141">
        <v>21710.769999999997</v>
      </c>
      <c r="AK577" s="141">
        <v>22402.430000000008</v>
      </c>
      <c r="AL577" s="141">
        <v>16784.190000000002</v>
      </c>
      <c r="AM577" s="141">
        <f>$K577-SUM($AB577:AL577)</f>
        <v>24486.429999999993</v>
      </c>
      <c r="AN577" s="141" t="s">
        <v>4878</v>
      </c>
      <c r="AO577" s="141" t="s">
        <v>4559</v>
      </c>
      <c r="AP577" s="141"/>
      <c r="AQ577" s="141"/>
      <c r="AR577" s="141" t="s">
        <v>4107</v>
      </c>
      <c r="AS577" s="141"/>
      <c r="AT577" s="141"/>
      <c r="AU577" s="141"/>
      <c r="AV577" s="141"/>
      <c r="AW577" s="141"/>
    </row>
    <row r="578" spans="1:55">
      <c r="A578" s="52"/>
      <c r="B578" s="3674" t="s">
        <v>1100</v>
      </c>
      <c r="C578" s="585">
        <v>6010024</v>
      </c>
      <c r="D578" s="203" t="s">
        <v>4845</v>
      </c>
      <c r="E578" s="474">
        <f>IFERROR(VLOOKUP(C578,'פקודות נוספות'!$D$274:$F$797,3,0),0)</f>
        <v>3732</v>
      </c>
      <c r="F578" s="49">
        <f>SUMIF('פקודות נוספות'!C:C,C:C,'פקודות נוספות'!E:E)</f>
        <v>0</v>
      </c>
      <c r="H578" s="180"/>
      <c r="I578" s="180"/>
      <c r="J578" s="474">
        <f>SUM(E578:I578)</f>
        <v>3732</v>
      </c>
      <c r="K578" s="42">
        <f>M578+SUMIF('פקודות נוספות'!C:C,'מאזן בוחן'!C578,'פקודות נוספות'!F:F)</f>
        <v>1200</v>
      </c>
      <c r="L578" s="49"/>
      <c r="M578" s="1341">
        <f>IFERROR(VLOOKUP(C578,'פקודות נוספות'!$D$273:$G$797,4,0),0)</f>
        <v>1200</v>
      </c>
      <c r="N578" s="1104">
        <f>IF(K578=0,"-",J578/K578)</f>
        <v>3.11</v>
      </c>
      <c r="O578" s="1522"/>
      <c r="P578" s="141"/>
      <c r="Q578" s="141"/>
      <c r="R578" s="141"/>
      <c r="S578" s="141"/>
      <c r="T578" s="141"/>
      <c r="U578" s="141"/>
      <c r="V578" s="726"/>
      <c r="W578" s="726"/>
      <c r="X578" s="141"/>
      <c r="Y578" s="141"/>
      <c r="AA578" s="141"/>
      <c r="AB578" s="141"/>
      <c r="AC578" s="141"/>
      <c r="AD578" s="141"/>
      <c r="AE578" s="141"/>
      <c r="AF578" s="141"/>
      <c r="AG578" s="141"/>
      <c r="AH578" s="141"/>
      <c r="AI578" s="141"/>
      <c r="AJ578" s="141"/>
      <c r="AK578" s="141"/>
      <c r="AL578" s="141"/>
      <c r="AM578" s="141">
        <f>$K578-SUM($AB578:AL578)</f>
        <v>1200</v>
      </c>
      <c r="AN578" s="141"/>
      <c r="AO578" s="141"/>
      <c r="AP578" s="141"/>
      <c r="AQ578" s="141"/>
      <c r="AR578" s="141"/>
      <c r="AS578" s="141"/>
      <c r="AT578" s="141"/>
      <c r="AU578" s="141"/>
      <c r="AV578" s="141"/>
      <c r="AW578" s="141"/>
    </row>
    <row r="579" spans="1:55">
      <c r="A579" s="52"/>
      <c r="B579" s="3674" t="s">
        <v>1100</v>
      </c>
      <c r="C579" s="547">
        <v>6010022</v>
      </c>
      <c r="D579" s="1110" t="s">
        <v>3578</v>
      </c>
      <c r="E579" s="474">
        <f>IFERROR(VLOOKUP(C579,'פקודות נוספות'!$D$274:$F$797,3,0),0)</f>
        <v>7198685.0300000003</v>
      </c>
      <c r="F579" s="49">
        <f>SUMIF('פקודות נוספות'!C:C,C:C,'פקודות נוספות'!E:E)</f>
        <v>0</v>
      </c>
      <c r="J579" s="474">
        <f>SUM(E579:I579)</f>
        <v>7198685.0300000003</v>
      </c>
      <c r="K579" s="42">
        <f>M579+SUMIF('פקודות נוספות'!C:C,'מאזן בוחן'!C579,'פקודות נוספות'!F:F)</f>
        <v>2233704</v>
      </c>
      <c r="L579" s="49"/>
      <c r="M579" s="1341">
        <f>IFERROR(VLOOKUP(C579,'פקודות נוספות'!$D$273:$G$797,4,0),0)</f>
        <v>2233704</v>
      </c>
      <c r="N579" s="1104">
        <f>IF(K579=0,"-",J579/K579)</f>
        <v>3.2227569230300883</v>
      </c>
      <c r="O579" s="1133"/>
      <c r="P579" s="141"/>
      <c r="Q579" s="141"/>
      <c r="R579" s="141"/>
      <c r="S579" s="141"/>
      <c r="T579" s="141"/>
      <c r="U579" s="141"/>
      <c r="V579" s="726"/>
      <c r="W579" s="726"/>
      <c r="X579" s="141"/>
      <c r="Y579" s="141"/>
      <c r="AA579" s="141"/>
      <c r="AB579" s="141"/>
      <c r="AC579" s="141"/>
      <c r="AD579" s="141"/>
      <c r="AE579" s="141">
        <f>'[29]מאזן בוחן'!AE496</f>
        <v>0</v>
      </c>
      <c r="AF579" s="141">
        <f>'[30]מאזן בוחן'!AF505</f>
        <v>385276</v>
      </c>
      <c r="AG579" s="141">
        <f>'[31]מאזן בוחן'!AG508</f>
        <v>439437</v>
      </c>
      <c r="AH579" s="141">
        <v>221491</v>
      </c>
      <c r="AI579" s="141">
        <v>246151</v>
      </c>
      <c r="AJ579" s="141">
        <v>246005</v>
      </c>
      <c r="AK579" s="141">
        <v>229620</v>
      </c>
      <c r="AL579" s="141">
        <v>225295</v>
      </c>
      <c r="AM579" s="141">
        <f>$K579-SUM($AB579:AL579)</f>
        <v>240429</v>
      </c>
      <c r="AN579" s="141" t="s">
        <v>4812</v>
      </c>
      <c r="AO579" s="141"/>
      <c r="AP579" s="141" t="s">
        <v>4366</v>
      </c>
      <c r="AQ579" s="141"/>
      <c r="AR579" s="141" t="s">
        <v>4108</v>
      </c>
      <c r="AS579" s="141"/>
      <c r="AT579" s="141"/>
      <c r="AU579" s="141"/>
      <c r="AV579" s="141"/>
      <c r="AW579" s="141"/>
      <c r="BA579" s="204"/>
      <c r="BB579" s="2806"/>
    </row>
    <row r="580" spans="1:55">
      <c r="A580" s="52"/>
      <c r="B580" s="3674" t="s">
        <v>1100</v>
      </c>
      <c r="C580" s="547">
        <v>6010025</v>
      </c>
      <c r="D580" s="203" t="s">
        <v>4846</v>
      </c>
      <c r="E580" s="474">
        <f>IFERROR(VLOOKUP(C580,'פקודות נוספות'!$D$274:$F$797,3,0),0)</f>
        <v>38564</v>
      </c>
      <c r="F580" s="49">
        <f>SUMIF('פקודות נוספות'!C:C,C:C,'פקודות נוספות'!E:E)</f>
        <v>0</v>
      </c>
      <c r="J580" s="474">
        <f>SUM(E580:I580)</f>
        <v>38564</v>
      </c>
      <c r="K580" s="42">
        <f>M580+SUMIF('פקודות נוספות'!C:C,'מאזן בוחן'!C580,'פקודות נוספות'!F:F)</f>
        <v>12400</v>
      </c>
      <c r="L580" s="49"/>
      <c r="M580" s="1341">
        <f>IFERROR(VLOOKUP(C580,'פקודות נוספות'!$D$273:$G$797,4,0),0)</f>
        <v>12400</v>
      </c>
      <c r="N580" s="1104">
        <f>IF(K580=0,"-",J580/K580)</f>
        <v>3.11</v>
      </c>
      <c r="O580" s="1133"/>
      <c r="P580" s="141"/>
      <c r="Q580" s="141"/>
      <c r="R580" s="141"/>
      <c r="S580" s="141"/>
      <c r="T580" s="141"/>
      <c r="U580" s="141"/>
      <c r="V580" s="726"/>
      <c r="W580" s="726"/>
      <c r="X580" s="141"/>
      <c r="Y580" s="141"/>
      <c r="AA580" s="141"/>
      <c r="AB580" s="141"/>
      <c r="AC580" s="141"/>
      <c r="AD580" s="141"/>
      <c r="AE580" s="141"/>
      <c r="AF580" s="141"/>
      <c r="AG580" s="141"/>
      <c r="AH580" s="141"/>
      <c r="AI580" s="141"/>
      <c r="AJ580" s="141"/>
      <c r="AK580" s="141"/>
      <c r="AL580" s="141"/>
      <c r="AM580" s="141">
        <f>$K580-SUM($AB580:AL580)</f>
        <v>12400</v>
      </c>
      <c r="AN580" s="141"/>
      <c r="AO580" s="141"/>
      <c r="AP580" s="141"/>
      <c r="AQ580" s="141"/>
      <c r="AR580" s="141"/>
      <c r="AS580" s="141"/>
      <c r="AT580" s="141"/>
      <c r="AU580" s="141"/>
      <c r="AV580" s="141"/>
      <c r="AW580" s="141"/>
      <c r="BA580" s="204"/>
      <c r="BB580" s="2806"/>
    </row>
    <row r="581" spans="1:55">
      <c r="A581" s="52"/>
      <c r="B581" s="3674" t="s">
        <v>1100</v>
      </c>
      <c r="C581" s="547">
        <v>6010023</v>
      </c>
      <c r="D581" s="1110" t="s">
        <v>3579</v>
      </c>
      <c r="E581" s="474">
        <f>IFERROR(VLOOKUP(C581,'פקודות נוספות'!$D$274:$F$797,3,0),0)</f>
        <v>345205.33</v>
      </c>
      <c r="F581" s="49">
        <f>SUMIF('פקודות נוספות'!C:C,C:C,'פקודות נוספות'!E:E)</f>
        <v>0</v>
      </c>
      <c r="J581" s="474">
        <f>SUM(E581:I581)</f>
        <v>345205.33</v>
      </c>
      <c r="K581" s="42">
        <f>M581+SUMIF('פקודות נוספות'!C:C,'מאזן בוחן'!C581,'פקודות נוספות'!F:F)</f>
        <v>108032.15</v>
      </c>
      <c r="L581" s="49"/>
      <c r="M581" s="1341">
        <f>IFERROR(VLOOKUP(C581,'פקודות נוספות'!$D$273:$G$797,4,0),0)</f>
        <v>108032.15</v>
      </c>
      <c r="N581" s="1104">
        <f>IF(K581=0,"-",J581/K581)</f>
        <v>3.1953944265665362</v>
      </c>
      <c r="O581" s="1133"/>
      <c r="P581" s="141"/>
      <c r="Q581" s="141"/>
      <c r="R581" s="141"/>
      <c r="S581" s="141"/>
      <c r="T581" s="141"/>
      <c r="U581" s="141"/>
      <c r="V581" s="726"/>
      <c r="W581" s="726"/>
      <c r="X581" s="141"/>
      <c r="Y581" s="141"/>
      <c r="AA581" s="141"/>
      <c r="AB581" s="141"/>
      <c r="AC581" s="141"/>
      <c r="AD581" s="141"/>
      <c r="AE581" s="141">
        <f>'[29]מאזן בוחן'!AE497</f>
        <v>0</v>
      </c>
      <c r="AF581" s="141">
        <f>'[30]מאזן בוחן'!AF506</f>
        <v>19461.669999999998</v>
      </c>
      <c r="AG581" s="141">
        <f>'[31]מאזן בוחן'!AG509</f>
        <v>12439.5</v>
      </c>
      <c r="AH581" s="141">
        <v>12784.099999999999</v>
      </c>
      <c r="AI581" s="141">
        <v>12472.260000000002</v>
      </c>
      <c r="AJ581" s="141">
        <v>12600.059999999998</v>
      </c>
      <c r="AK581" s="141">
        <v>12668.680000000008</v>
      </c>
      <c r="AL581" s="141">
        <v>12588.589999999997</v>
      </c>
      <c r="AM581" s="141">
        <f>$K581-SUM($AB581:AL581)</f>
        <v>13017.289999999994</v>
      </c>
      <c r="AN581" s="141"/>
      <c r="AO581" s="141"/>
      <c r="AP581" s="141"/>
      <c r="AQ581" s="141"/>
      <c r="AR581" s="141"/>
      <c r="AS581" s="141"/>
      <c r="AT581" s="141"/>
      <c r="AU581" s="141"/>
      <c r="AV581" s="141"/>
      <c r="AW581" s="141"/>
      <c r="BA581" s="204"/>
      <c r="BB581" s="2806"/>
    </row>
    <row r="582" spans="1:55">
      <c r="A582" s="52"/>
      <c r="B582" s="3674"/>
      <c r="C582" s="547"/>
      <c r="D582" s="1110"/>
      <c r="E582" s="474"/>
      <c r="J582" s="474"/>
      <c r="K582" s="42"/>
      <c r="L582" s="49"/>
      <c r="M582" s="1341"/>
      <c r="O582" s="1133"/>
      <c r="P582" s="141"/>
      <c r="Q582" s="141"/>
      <c r="R582" s="141"/>
      <c r="S582" s="141"/>
      <c r="T582" s="141"/>
      <c r="U582" s="141"/>
      <c r="V582" s="726"/>
      <c r="W582" s="726"/>
      <c r="X582" s="141"/>
      <c r="Y582" s="141"/>
      <c r="AA582" s="141"/>
      <c r="AB582" s="141"/>
      <c r="AC582" s="141"/>
      <c r="AD582" s="141"/>
      <c r="AE582" s="141">
        <f>'[29]מאזן בוחן'!AE498</f>
        <v>0</v>
      </c>
      <c r="AF582" s="141">
        <f>'[30]מאזן בוחן'!AF507</f>
        <v>0</v>
      </c>
      <c r="AG582" s="141">
        <f>'[31]מאזן בוחן'!AG510</f>
        <v>0</v>
      </c>
      <c r="AH582" s="141">
        <v>0</v>
      </c>
      <c r="AI582" s="141">
        <v>0</v>
      </c>
      <c r="AJ582" s="141">
        <v>0</v>
      </c>
      <c r="AK582" s="141">
        <v>0</v>
      </c>
      <c r="AL582" s="141">
        <v>0</v>
      </c>
      <c r="AM582" s="141">
        <f>$K582-SUM($AB582:AL582)</f>
        <v>0</v>
      </c>
      <c r="AN582" s="141"/>
      <c r="AO582" s="141"/>
      <c r="AP582" s="141"/>
      <c r="AQ582" s="141"/>
      <c r="AR582" s="141"/>
      <c r="AS582" s="141"/>
      <c r="AT582" s="141"/>
      <c r="AU582" s="141"/>
      <c r="AV582" s="141"/>
      <c r="AW582" s="141"/>
      <c r="BA582" s="204"/>
      <c r="BB582" s="2806"/>
    </row>
    <row r="583" spans="1:55">
      <c r="A583" s="52"/>
      <c r="B583" s="3674"/>
      <c r="C583" s="547"/>
      <c r="D583" s="1110"/>
      <c r="E583" s="474"/>
      <c r="J583" s="474"/>
      <c r="K583" s="42"/>
      <c r="L583" s="49"/>
      <c r="M583" s="1341"/>
      <c r="O583" s="1133"/>
      <c r="P583" s="141"/>
      <c r="Q583" s="141"/>
      <c r="R583" s="141"/>
      <c r="S583" s="141"/>
      <c r="T583" s="141"/>
      <c r="U583" s="141"/>
      <c r="V583" s="726"/>
      <c r="W583" s="726"/>
      <c r="X583" s="141"/>
      <c r="Y583" s="141"/>
      <c r="AA583" s="141"/>
      <c r="AB583" s="141"/>
      <c r="AC583" s="141"/>
      <c r="AD583" s="141"/>
      <c r="AE583" s="141">
        <f>'[29]מאזן בוחן'!AE499</f>
        <v>0</v>
      </c>
      <c r="AF583" s="141">
        <f>'[30]מאזן בוחן'!AF508</f>
        <v>0</v>
      </c>
      <c r="AG583" s="141">
        <f>'[31]מאזן בוחן'!AG511</f>
        <v>0</v>
      </c>
      <c r="AH583" s="141">
        <v>0</v>
      </c>
      <c r="AI583" s="141">
        <v>0</v>
      </c>
      <c r="AJ583" s="141">
        <v>0</v>
      </c>
      <c r="AK583" s="141">
        <v>0</v>
      </c>
      <c r="AL583" s="141">
        <v>0</v>
      </c>
      <c r="AM583" s="141">
        <f>$K583-SUM($AB583:AL583)</f>
        <v>0</v>
      </c>
      <c r="AN583" s="141"/>
      <c r="AO583" s="141"/>
      <c r="AP583" s="141"/>
      <c r="AQ583" s="141"/>
      <c r="AR583" s="141"/>
      <c r="AS583" s="141"/>
      <c r="AT583" s="141"/>
      <c r="AU583" s="141"/>
      <c r="AV583" s="141"/>
      <c r="AW583" s="141"/>
      <c r="BA583" s="204"/>
      <c r="BB583" s="2806"/>
    </row>
    <row r="584" spans="1:55">
      <c r="A584" s="52"/>
      <c r="B584" s="3674" t="s">
        <v>1100</v>
      </c>
      <c r="C584" s="1515">
        <v>6010004</v>
      </c>
      <c r="D584" s="1516" t="s">
        <v>1240</v>
      </c>
      <c r="E584" s="474">
        <f>IFERROR(VLOOKUP(C584,'פקודות נוספות'!$D$274:$F$797,3,0),0)</f>
        <v>1496488.98</v>
      </c>
      <c r="F584" s="49">
        <f>SUMIF('פקודות נוספות'!C:C,C:C,'פקודות נוספות'!E:E)</f>
        <v>0</v>
      </c>
      <c r="J584" s="474">
        <f>SUM(E584:I584)</f>
        <v>1496488.98</v>
      </c>
      <c r="K584" s="42">
        <f>M584+SUMIF('פקודות נוספות'!C:C,'מאזן בוחן'!C584,'פקודות נוספות'!F:F)</f>
        <v>462350.56</v>
      </c>
      <c r="L584" s="49"/>
      <c r="M584" s="1341">
        <f>IFERROR(VLOOKUP(C584,'פקודות נוספות'!$D$273:$G$797,4,0),0)</f>
        <v>462350.56</v>
      </c>
      <c r="N584" s="1104">
        <f>IF(K584=0,"-",J584/K584)</f>
        <v>3.2366976694047911</v>
      </c>
      <c r="O584" s="1133"/>
      <c r="P584" s="141">
        <v>0</v>
      </c>
      <c r="Q584" s="141">
        <f>'[39]מאזן בוחן'!AE461</f>
        <v>69172.27592812918</v>
      </c>
      <c r="R584" s="141">
        <v>0</v>
      </c>
      <c r="S584" s="141">
        <v>-0.27592812918010168</v>
      </c>
      <c r="T584" s="141">
        <f>'[20]מאזן בוחן'!AR490</f>
        <v>103756.7281248144</v>
      </c>
      <c r="U584" s="141">
        <f>'[21]מאזן בוחן'!AS423</f>
        <v>0.27187518560094759</v>
      </c>
      <c r="V584" s="726">
        <f>'[22]מאזן בוחן'!AJ411</f>
        <v>0</v>
      </c>
      <c r="W584" s="726">
        <f>'[23]מאזן בוחן'!AK417</f>
        <v>93509.549999999988</v>
      </c>
      <c r="X584" s="141">
        <v>-2.9103830456733704E-11</v>
      </c>
      <c r="Y584" s="141">
        <f>'[25]מאזן בוחן'!AM447</f>
        <v>0</v>
      </c>
      <c r="AA584" s="141">
        <f>'[32]מאזן בוחן'!AO464</f>
        <v>72448.610000000044</v>
      </c>
      <c r="AB584" s="141">
        <f>'[26]מאזן בוחן'!AB474</f>
        <v>0</v>
      </c>
      <c r="AC584" s="141">
        <f>'[27]מאזן בוחן'!AC483</f>
        <v>0</v>
      </c>
      <c r="AD584" s="141">
        <f>'[28]מאזן בוחן'!AD491</f>
        <v>125863.65</v>
      </c>
      <c r="AE584" s="141">
        <f>'[29]מאזן בוחן'!AE500</f>
        <v>0</v>
      </c>
      <c r="AF584" s="141">
        <f>'[30]מאזן בוחן'!AF509</f>
        <v>0</v>
      </c>
      <c r="AG584" s="141">
        <f>'[31]מאזן בוחן'!AG512</f>
        <v>112812.26000000001</v>
      </c>
      <c r="AH584" s="141">
        <v>0</v>
      </c>
      <c r="AI584" s="141">
        <v>0</v>
      </c>
      <c r="AJ584" s="141">
        <v>113138.22</v>
      </c>
      <c r="AK584" s="141">
        <v>0</v>
      </c>
      <c r="AL584" s="141">
        <v>0</v>
      </c>
      <c r="AM584" s="141">
        <f>$K584-SUM($AB584:AL584)</f>
        <v>110536.43</v>
      </c>
      <c r="AN584" s="141"/>
      <c r="AO584" s="141"/>
      <c r="AP584" s="141"/>
      <c r="AQ584" s="141"/>
      <c r="AR584" s="141"/>
      <c r="AS584" s="141"/>
      <c r="AT584" s="141"/>
      <c r="AU584" s="141"/>
      <c r="AV584" s="141"/>
      <c r="AW584" s="141"/>
      <c r="BA584" s="204"/>
      <c r="BB584" s="2806"/>
    </row>
    <row r="585" spans="1:55">
      <c r="A585" s="52"/>
      <c r="B585" s="3674" t="s">
        <v>1100</v>
      </c>
      <c r="C585" s="1515">
        <v>6010005</v>
      </c>
      <c r="D585" s="549" t="s">
        <v>1449</v>
      </c>
      <c r="E585" s="474">
        <f>IFERROR(VLOOKUP(C585,'פקודות נוספות'!$D$274:$F$797,3,0),0)</f>
        <v>-33114.800000000003</v>
      </c>
      <c r="F585" s="49">
        <f>SUMIF('פקודות נוספות'!C:C,C:C,'פקודות נוספות'!E:E)</f>
        <v>0</v>
      </c>
      <c r="J585" s="474">
        <f>SUM(E585:I585)</f>
        <v>-33114.800000000003</v>
      </c>
      <c r="K585" s="42">
        <f>M585+SUMIF('פקודות נוספות'!C:C,'מאזן בוחן'!C585,'פקודות נוספות'!F:F)</f>
        <v>-11077.85</v>
      </c>
      <c r="L585" s="49"/>
      <c r="M585" s="1341">
        <f>IFERROR(VLOOKUP(C585,'פקודות נוספות'!$D$273:$G$797,4,0),0)</f>
        <v>-11077.85</v>
      </c>
      <c r="N585" s="1104">
        <f>IF(K585=0,"-",J585/K585)</f>
        <v>2.9892804109100592</v>
      </c>
      <c r="O585" s="1133"/>
      <c r="P585" s="141">
        <v>0</v>
      </c>
      <c r="Q585" s="141">
        <f>'[39]מאזן בוחן'!AE462</f>
        <v>100444.21111304496</v>
      </c>
      <c r="R585" s="141">
        <v>1865.3924920994032</v>
      </c>
      <c r="S585" s="141">
        <v>-1864.6036051443662</v>
      </c>
      <c r="T585" s="141">
        <f>'[20]מאזן בוחן'!AR491</f>
        <v>112055.41257934217</v>
      </c>
      <c r="U585" s="141">
        <f>'[21]מאזן בוחן'!AS424</f>
        <v>-0.41257934216991998</v>
      </c>
      <c r="V585" s="726">
        <f>'[22]מאזן בוחן'!AJ412</f>
        <v>0</v>
      </c>
      <c r="W585" s="726">
        <f>'[23]מאזן בוחן'!AK418</f>
        <v>18263.352798605076</v>
      </c>
      <c r="X585" s="141">
        <v>-2.7986050699837506E-3</v>
      </c>
      <c r="Y585" s="141">
        <f>'[25]מאזן בוחן'!AM448</f>
        <v>0</v>
      </c>
      <c r="AA585" s="141">
        <f>'[32]מאזן בוחן'!AO465</f>
        <v>64218.91</v>
      </c>
      <c r="AB585" s="141">
        <f>'[26]מאזן בוחן'!AB475</f>
        <v>0</v>
      </c>
      <c r="AC585" s="141">
        <f>'[27]מאזן בוחן'!AC484</f>
        <v>0</v>
      </c>
      <c r="AD585" s="141">
        <f>'[28]מאזן בוחן'!AD492</f>
        <v>38832.730000000003</v>
      </c>
      <c r="AE585" s="141">
        <f>'[29]מאזן בוחן'!AE501</f>
        <v>0</v>
      </c>
      <c r="AF585" s="141">
        <f>'[30]מאזן בוחן'!AF510</f>
        <v>0</v>
      </c>
      <c r="AG585" s="141">
        <f>'[31]מאזן בוחן'!AG513</f>
        <v>43127.87</v>
      </c>
      <c r="AH585" s="141">
        <v>0</v>
      </c>
      <c r="AI585" s="141">
        <v>0</v>
      </c>
      <c r="AJ585" s="141">
        <v>-116212.03</v>
      </c>
      <c r="AK585" s="141">
        <v>0</v>
      </c>
      <c r="AL585" s="141">
        <v>0</v>
      </c>
      <c r="AM585" s="141">
        <f>$K585-SUM($AB585:AL585)</f>
        <v>23173.579999999994</v>
      </c>
      <c r="AN585" s="141"/>
      <c r="AO585" s="141"/>
      <c r="AP585" s="141"/>
      <c r="AQ585" s="141"/>
      <c r="AR585" s="141"/>
      <c r="AS585" s="141"/>
      <c r="AT585" s="141"/>
      <c r="AU585" s="141"/>
      <c r="AV585" s="141"/>
      <c r="AW585" s="141"/>
      <c r="BA585" s="204"/>
      <c r="BB585" s="2806"/>
    </row>
    <row r="586" spans="1:55">
      <c r="A586" s="52"/>
      <c r="B586" s="3668"/>
      <c r="C586" s="407"/>
      <c r="D586" s="465"/>
      <c r="L586" s="49"/>
      <c r="M586" s="1341">
        <f>IFERROR(VLOOKUP(C586,'פקודות נוספות'!$D$273:$G$797,4,0),0)</f>
        <v>0</v>
      </c>
      <c r="O586" s="1133"/>
      <c r="P586" s="141">
        <v>0</v>
      </c>
      <c r="Q586" s="141">
        <f>'[39]מאזן בוחן'!AE463</f>
        <v>0</v>
      </c>
      <c r="R586" s="141"/>
      <c r="S586" s="141"/>
      <c r="T586" s="141"/>
      <c r="U586" s="141">
        <f>'[21]מאזן בוחן'!AS425</f>
        <v>0</v>
      </c>
      <c r="V586" s="726">
        <f>'[22]מאזן בוחן'!AJ413</f>
        <v>0</v>
      </c>
      <c r="W586" s="726">
        <f>'[23]מאזן בוחן'!AK419</f>
        <v>0</v>
      </c>
      <c r="X586" s="141">
        <v>0</v>
      </c>
      <c r="Y586" s="141">
        <f>'[25]מאזן בוחן'!AM449</f>
        <v>0</v>
      </c>
      <c r="AA586" s="141">
        <f>'[32]מאזן בוחן'!AO466</f>
        <v>0</v>
      </c>
      <c r="AB586" s="141">
        <f>'[26]מאזן בוחן'!AB476</f>
        <v>0</v>
      </c>
      <c r="AC586" s="141">
        <f>'[27]מאזן בוחן'!AC485</f>
        <v>0</v>
      </c>
      <c r="AD586" s="141">
        <f>'[28]מאזן בוחן'!AD493</f>
        <v>0</v>
      </c>
      <c r="AE586" s="141">
        <f>'[29]מאזן בוחן'!AE502</f>
        <v>0</v>
      </c>
      <c r="AF586" s="141">
        <f>'[30]מאזן בוחן'!AF511</f>
        <v>0</v>
      </c>
      <c r="AG586" s="141">
        <f>'[31]מאזן בוחן'!AG514</f>
        <v>0</v>
      </c>
      <c r="AH586" s="141">
        <v>0</v>
      </c>
      <c r="AI586" s="141">
        <v>0</v>
      </c>
      <c r="AJ586" s="141">
        <v>0</v>
      </c>
      <c r="AK586" s="141">
        <v>0</v>
      </c>
      <c r="AL586" s="141">
        <v>0</v>
      </c>
      <c r="AM586" s="141">
        <f>$K586-SUM($AB586:AL586)</f>
        <v>0</v>
      </c>
      <c r="AN586" s="141"/>
      <c r="AO586" s="141"/>
      <c r="AP586" s="141"/>
      <c r="AQ586" s="141"/>
      <c r="AR586" s="141"/>
      <c r="AS586" s="141"/>
      <c r="AT586" s="141"/>
      <c r="AU586" s="141"/>
      <c r="AV586" s="141"/>
      <c r="AW586" s="141"/>
      <c r="BA586" s="204"/>
      <c r="BB586" s="2806"/>
    </row>
    <row r="587" spans="1:55">
      <c r="A587" s="52"/>
      <c r="B587" s="3674" t="s">
        <v>557</v>
      </c>
      <c r="C587" s="547">
        <v>6110001</v>
      </c>
      <c r="D587" s="1110" t="s">
        <v>292</v>
      </c>
      <c r="E587" s="474">
        <f>IFERROR(VLOOKUP(C587,'פקודות נוספות'!$D$274:$F$797,3,0),0)</f>
        <v>6566407</v>
      </c>
      <c r="F587" s="49">
        <f>SUMIF('פקודות נוספות'!C:C,C:C,'פקודות נוספות'!E:E)</f>
        <v>0</v>
      </c>
      <c r="J587" s="474">
        <f t="shared" ref="J587:J593" si="121">SUM(E587:I587)</f>
        <v>6566407</v>
      </c>
      <c r="K587" s="42">
        <f>M587+SUMIF('פקודות נוספות'!C:C,'מאזן בוחן'!C587,'פקודות נוספות'!F:F)</f>
        <v>2032569.37</v>
      </c>
      <c r="L587" s="49"/>
      <c r="M587" s="1341">
        <f>IFERROR(VLOOKUP(C587,'פקודות נוספות'!$D$273:$G$797,4,0),0)</f>
        <v>2032569.37</v>
      </c>
      <c r="N587" s="1104">
        <f t="shared" ref="N587:N593" si="122">IF(K587=0,"-",J587/K587)</f>
        <v>3.2305942896305671</v>
      </c>
      <c r="O587" s="1133"/>
      <c r="P587" s="141">
        <v>157535.90999999997</v>
      </c>
      <c r="Q587" s="141">
        <f>'[39]מאזן בוחן'!AE464</f>
        <v>146410.38</v>
      </c>
      <c r="R587" s="141">
        <v>149053.14000000001</v>
      </c>
      <c r="S587" s="141">
        <v>146826.10000000003</v>
      </c>
      <c r="T587" s="141">
        <f>'[20]מאזן בוחן'!AR494</f>
        <v>145858.0500000001</v>
      </c>
      <c r="U587" s="141">
        <f>'[21]מאזן בוחן'!AS426</f>
        <v>151936.32999999984</v>
      </c>
      <c r="V587" s="726">
        <f>'[22]מאזן בוחן'!AJ414</f>
        <v>166240.04000000004</v>
      </c>
      <c r="W587" s="726">
        <f>'[23]מאזן בוחן'!AK420</f>
        <v>136109.26999999979</v>
      </c>
      <c r="X587" s="141">
        <v>136185.56000000041</v>
      </c>
      <c r="Y587" s="141">
        <f>'[25]מאזן בוחן'!AM450</f>
        <v>151901.44999999972</v>
      </c>
      <c r="AA587" s="141">
        <f>'[32]מאזן בוחן'!AO467</f>
        <v>164773.56000000006</v>
      </c>
      <c r="AB587" s="141">
        <f>'[26]מאזן בוחן'!AB477</f>
        <v>160378.29999999999</v>
      </c>
      <c r="AC587" s="141">
        <f>'[27]מאזן בוחן'!AC486</f>
        <v>179876.52000000002</v>
      </c>
      <c r="AD587" s="141">
        <f>'[28]מאזן בוחן'!AD494</f>
        <v>177414.52000000002</v>
      </c>
      <c r="AE587" s="141">
        <f>'[29]מאזן בוחן'!AE503</f>
        <v>177260.85999999993</v>
      </c>
      <c r="AF587" s="141">
        <f>'[30]מאזן בוחן'!AF512</f>
        <v>170393.4800000001</v>
      </c>
      <c r="AG587" s="141">
        <f>'[31]מאזן בוחן'!AG515</f>
        <v>170064.71999999997</v>
      </c>
      <c r="AH587" s="141">
        <v>180467.98999999987</v>
      </c>
      <c r="AI587" s="141">
        <v>143774.56000000006</v>
      </c>
      <c r="AJ587" s="141">
        <v>161974.6100000001</v>
      </c>
      <c r="AK587" s="141">
        <v>160791.6399999999</v>
      </c>
      <c r="AL587" s="141">
        <v>162895.64000000013</v>
      </c>
      <c r="AM587" s="141">
        <f>$K587-SUM($AB587:AL587)</f>
        <v>187276.53000000003</v>
      </c>
      <c r="AN587" s="141" t="s">
        <v>4811</v>
      </c>
      <c r="AO587" s="141"/>
      <c r="AP587" s="141"/>
      <c r="AQ587" s="141" t="s">
        <v>4212</v>
      </c>
      <c r="AR587" s="141" t="s">
        <v>3972</v>
      </c>
      <c r="AS587" s="141" t="s">
        <v>3972</v>
      </c>
      <c r="AU587" s="141" t="s">
        <v>3700</v>
      </c>
      <c r="AV587" s="141"/>
      <c r="AW587" s="141"/>
      <c r="AX587" s="137" t="s">
        <v>3152</v>
      </c>
      <c r="BA587" s="204"/>
      <c r="BB587" s="2806"/>
      <c r="BC587" s="204"/>
    </row>
    <row r="588" spans="1:55">
      <c r="A588" s="52"/>
      <c r="B588" s="3674" t="s">
        <v>557</v>
      </c>
      <c r="C588" s="547">
        <v>6110055</v>
      </c>
      <c r="D588" s="1110" t="s">
        <v>4798</v>
      </c>
      <c r="E588" s="474">
        <f>IFERROR(VLOOKUP(C588,'פקודות נוספות'!$D$274:$F$797,3,0),0)</f>
        <v>1575</v>
      </c>
      <c r="F588" s="49">
        <f>SUMIF('פקודות נוספות'!C:C,C:C,'פקודות נוספות'!E:E)</f>
        <v>0</v>
      </c>
      <c r="J588" s="474">
        <f t="shared" ref="J588" si="123">SUM(E588:I588)</f>
        <v>1575</v>
      </c>
      <c r="K588" s="42">
        <f>M588+SUMIF('פקודות נוספות'!C:C,'מאזן בוחן'!C588,'פקודות נוספות'!F:F)</f>
        <v>506.43</v>
      </c>
      <c r="L588" s="49"/>
      <c r="M588" s="1341">
        <f>IFERROR(VLOOKUP(C588,'פקודות נוספות'!$D$273:$G$797,4,0),0)</f>
        <v>506.43</v>
      </c>
      <c r="N588" s="1104">
        <f t="shared" ref="N588" si="124">IF(K588=0,"-",J588/K588)</f>
        <v>3.1100053314377112</v>
      </c>
      <c r="O588" s="1133"/>
      <c r="P588" s="141"/>
      <c r="Q588" s="141"/>
      <c r="R588" s="141"/>
      <c r="S588" s="141"/>
      <c r="T588" s="141"/>
      <c r="U588" s="141"/>
      <c r="V588" s="726"/>
      <c r="W588" s="726"/>
      <c r="X588" s="141"/>
      <c r="Y588" s="141"/>
      <c r="AA588" s="141"/>
      <c r="AB588" s="141"/>
      <c r="AC588" s="141"/>
      <c r="AD588" s="141"/>
      <c r="AE588" s="141"/>
      <c r="AF588" s="141"/>
      <c r="AG588" s="141"/>
      <c r="AH588" s="141"/>
      <c r="AI588" s="141"/>
      <c r="AJ588" s="141"/>
      <c r="AK588" s="141"/>
      <c r="AL588" s="141"/>
      <c r="AM588" s="141">
        <f>$K588-SUM($AB588:AL588)</f>
        <v>506.43</v>
      </c>
      <c r="AN588" s="141"/>
      <c r="AO588" s="141"/>
      <c r="AP588" s="141"/>
      <c r="AQ588" s="141"/>
      <c r="AR588" s="141"/>
      <c r="AS588" s="141"/>
      <c r="AU588" s="141"/>
      <c r="AV588" s="141"/>
      <c r="AW588" s="141"/>
      <c r="BA588" s="204"/>
      <c r="BB588" s="2806"/>
      <c r="BC588" s="204"/>
    </row>
    <row r="589" spans="1:55">
      <c r="A589" s="52"/>
      <c r="B589" s="3674" t="s">
        <v>557</v>
      </c>
      <c r="C589" s="547">
        <v>6110002</v>
      </c>
      <c r="D589" s="1110" t="s">
        <v>1114</v>
      </c>
      <c r="E589" s="474">
        <f>IFERROR(VLOOKUP(C589,'פקודות נוספות'!$D$274:$F$797,3,0),0)</f>
        <v>187014.56</v>
      </c>
      <c r="F589" s="49">
        <f>SUMIF('פקודות נוספות'!C:C,C:C,'פקודות נוספות'!E:E)</f>
        <v>0</v>
      </c>
      <c r="J589" s="474">
        <f t="shared" si="121"/>
        <v>187014.56</v>
      </c>
      <c r="K589" s="42">
        <f>M589+SUMIF('פקודות נוספות'!C:C,'מאזן בוחן'!C589,'פקודות נוספות'!F:F)</f>
        <v>59350.79</v>
      </c>
      <c r="L589" s="49"/>
      <c r="M589" s="1341">
        <f>IFERROR(VLOOKUP(C589,'פקודות נוספות'!$D$273:$G$797,4,0),0)</f>
        <v>59350.79</v>
      </c>
      <c r="N589" s="1104">
        <f t="shared" si="122"/>
        <v>3.1510037187373579</v>
      </c>
      <c r="O589" s="1133"/>
      <c r="P589" s="141">
        <v>111.69</v>
      </c>
      <c r="Q589" s="141">
        <f>'[39]מאזן בוחן'!AE465</f>
        <v>0</v>
      </c>
      <c r="R589" s="141">
        <v>0</v>
      </c>
      <c r="S589" s="141">
        <v>0</v>
      </c>
      <c r="T589" s="141">
        <f>'[20]מאזן בוחן'!AR495</f>
        <v>0</v>
      </c>
      <c r="U589" s="141">
        <f>'[21]מאזן בוחן'!AS427</f>
        <v>0</v>
      </c>
      <c r="V589" s="726">
        <f>'[22]מאזן בוחן'!AJ415</f>
        <v>0</v>
      </c>
      <c r="W589" s="726">
        <f>'[23]מאזן בוחן'!AK421</f>
        <v>17436.79</v>
      </c>
      <c r="X589" s="141">
        <v>-1.3073986337985843E-12</v>
      </c>
      <c r="Y589" s="141">
        <f>'[25]מאזן בוחן'!AM451</f>
        <v>0</v>
      </c>
      <c r="AA589" s="141">
        <f>'[32]מאזן בוחן'!AO468</f>
        <v>17210.259999999998</v>
      </c>
      <c r="AB589" s="141">
        <f>'[26]מאזן בוחן'!AB478</f>
        <v>0</v>
      </c>
      <c r="AC589" s="141">
        <f>'[27]מאזן בוחן'!AC487</f>
        <v>1150.6199999999999</v>
      </c>
      <c r="AD589" s="141">
        <f>'[28]מאזן בוחן'!AD495</f>
        <v>1799.6400000000003</v>
      </c>
      <c r="AE589" s="141">
        <f>'[29]מאזן בוחן'!AE504</f>
        <v>0</v>
      </c>
      <c r="AF589" s="141">
        <f>'[30]מאזן בוחן'!AF513</f>
        <v>1537.04</v>
      </c>
      <c r="AG589" s="141">
        <f>'[31]מאזן בוחן'!AG516</f>
        <v>0</v>
      </c>
      <c r="AH589" s="141">
        <v>0</v>
      </c>
      <c r="AI589" s="141">
        <v>100.72000000000025</v>
      </c>
      <c r="AJ589" s="141">
        <v>0</v>
      </c>
      <c r="AK589" s="141">
        <v>0</v>
      </c>
      <c r="AL589" s="141">
        <v>9487.67</v>
      </c>
      <c r="AM589" s="141">
        <f>$K589-SUM($AB589:AL589)</f>
        <v>45275.1</v>
      </c>
      <c r="AN589" s="141"/>
      <c r="AO589" s="141"/>
      <c r="AP589" s="141"/>
      <c r="AQ589" s="141"/>
      <c r="AR589" s="141"/>
      <c r="AS589" s="141"/>
      <c r="AT589" s="141"/>
      <c r="AU589" s="141"/>
      <c r="AV589" s="141"/>
      <c r="AW589" s="141"/>
      <c r="BA589" s="204"/>
    </row>
    <row r="590" spans="1:55">
      <c r="A590" s="52"/>
      <c r="B590" s="3674" t="s">
        <v>557</v>
      </c>
      <c r="C590" s="1518">
        <v>6110003</v>
      </c>
      <c r="D590" s="1110" t="s">
        <v>1115</v>
      </c>
      <c r="E590" s="474">
        <f>IFERROR(VLOOKUP(C590,'פקודות נוספות'!$D$274:$F$797,3,0),0)</f>
        <v>316692.84000000003</v>
      </c>
      <c r="F590" s="49">
        <f>SUMIF('פקודות נוספות'!C:C,C:C,'פקודות נוספות'!E:E)</f>
        <v>0</v>
      </c>
      <c r="J590" s="474">
        <f t="shared" si="121"/>
        <v>316692.84000000003</v>
      </c>
      <c r="K590" s="42">
        <f>M590+SUMIF('פקודות נוספות'!C:C,'מאזן בוחן'!C590,'פקודות נוספות'!F:F)</f>
        <v>96003.59</v>
      </c>
      <c r="L590" s="49"/>
      <c r="M590" s="1341">
        <f>IFERROR(VLOOKUP(C590,'פקודות נוספות'!$D$273:$G$797,4,0),0)</f>
        <v>96003.59</v>
      </c>
      <c r="N590" s="1104">
        <f t="shared" si="122"/>
        <v>3.2987603901062452</v>
      </c>
      <c r="O590" s="1133"/>
      <c r="P590" s="141">
        <v>7845.619999999999</v>
      </c>
      <c r="Q590" s="141">
        <f>'[39]מאזן בוחן'!AE466</f>
        <v>9278</v>
      </c>
      <c r="R590" s="141">
        <v>9278</v>
      </c>
      <c r="S590" s="141">
        <v>9277.9999999999964</v>
      </c>
      <c r="T590" s="141">
        <f>'[20]מאזן בוחן'!AR496</f>
        <v>9278.0000000000036</v>
      </c>
      <c r="U590" s="141">
        <f>'[21]מאזן בוחן'!AS428</f>
        <v>9278</v>
      </c>
      <c r="V590" s="726">
        <f>'[22]מאזן בוחן'!AJ416</f>
        <v>9278.0000000000073</v>
      </c>
      <c r="W590" s="726">
        <f>'[23]מאזן בוחן'!AK422</f>
        <v>9278</v>
      </c>
      <c r="X590" s="141">
        <v>9278</v>
      </c>
      <c r="Y590" s="141">
        <f>'[25]מאזן בוחן'!AM452</f>
        <v>9278.0000000000146</v>
      </c>
      <c r="AA590" s="141">
        <f>'[32]מאזן בוחן'!AO469</f>
        <v>4412.8600000000006</v>
      </c>
      <c r="AB590" s="141">
        <f>'[26]מאזן בוחן'!AB479</f>
        <v>8872.68</v>
      </c>
      <c r="AC590" s="141">
        <f>'[27]מאזן בוחן'!AC488</f>
        <v>3892.2199999999993</v>
      </c>
      <c r="AD590" s="141">
        <f>'[28]מאזן בוחן'!AD496</f>
        <v>11212.72</v>
      </c>
      <c r="AE590" s="141">
        <f>'[29]מאזן בוחן'!AE505</f>
        <v>9650.0000000000036</v>
      </c>
      <c r="AF590" s="141">
        <f>'[30]מאזן בוחן'!AF514</f>
        <v>9650</v>
      </c>
      <c r="AG590" s="141">
        <f>'[31]מאזן בוחן'!AG517</f>
        <v>9650</v>
      </c>
      <c r="AH590" s="141">
        <v>9650</v>
      </c>
      <c r="AI590" s="141">
        <v>9649.9999999999927</v>
      </c>
      <c r="AJ590" s="141">
        <v>9650</v>
      </c>
      <c r="AK590" s="141">
        <v>9650</v>
      </c>
      <c r="AL590" s="141">
        <v>9650</v>
      </c>
      <c r="AM590" s="141">
        <f>$K590-SUM($AB590:AL590)</f>
        <v>-5174.0299999999988</v>
      </c>
      <c r="AN590" s="141"/>
      <c r="AO590" s="141"/>
      <c r="AP590" s="141"/>
      <c r="AQ590" s="141"/>
      <c r="AR590" s="141"/>
      <c r="AS590" s="141"/>
      <c r="AT590" s="141"/>
      <c r="AU590" s="141"/>
      <c r="AV590" s="141"/>
      <c r="AW590" s="141"/>
      <c r="BA590" s="204"/>
    </row>
    <row r="591" spans="1:55">
      <c r="A591" s="52"/>
      <c r="B591" s="3674" t="s">
        <v>557</v>
      </c>
      <c r="C591" s="4209">
        <v>6110004</v>
      </c>
      <c r="D591" s="1110" t="s">
        <v>1241</v>
      </c>
      <c r="E591" s="474">
        <f>IFERROR(VLOOKUP(C591,'פקודות נוספות'!$D$274:$F$797,3,0),0)</f>
        <v>313910.38</v>
      </c>
      <c r="F591" s="49">
        <f>SUMIF('פקודות נוספות'!C:C,C:C,'פקודות נוספות'!E:E)</f>
        <v>0</v>
      </c>
      <c r="J591" s="474">
        <f t="shared" si="121"/>
        <v>313910.38</v>
      </c>
      <c r="K591" s="42">
        <f>M591+SUMIF('פקודות נוספות'!C:C,'מאזן בוחן'!C591,'פקודות נוספות'!F:F)</f>
        <v>97115.12</v>
      </c>
      <c r="L591" s="49"/>
      <c r="M591" s="1341">
        <f>IFERROR(VLOOKUP(C591,'פקודות נוספות'!$D$273:$G$797,4,0),0)</f>
        <v>97115.12</v>
      </c>
      <c r="N591" s="1104">
        <f t="shared" si="122"/>
        <v>3.2323533142933871</v>
      </c>
      <c r="O591" s="1133"/>
      <c r="P591" s="141">
        <v>0</v>
      </c>
      <c r="Q591" s="141">
        <f>'[39]מאזן בוחן'!AE467</f>
        <v>21287.346307133626</v>
      </c>
      <c r="R591" s="141">
        <v>0</v>
      </c>
      <c r="S591" s="141">
        <v>-0.34630713362639653</v>
      </c>
      <c r="T591" s="141">
        <f>'[20]מאזן בוחן'!AR497</f>
        <v>18825.317326690696</v>
      </c>
      <c r="U591" s="141">
        <f>'[21]מאזן בוחן'!AS429</f>
        <v>-0.31732669069606345</v>
      </c>
      <c r="V591" s="726">
        <f>'[22]מאזן בוחן'!AJ417</f>
        <v>0</v>
      </c>
      <c r="W591" s="726">
        <f>'[23]מאזן בוחן'!AK423</f>
        <v>20526.520000000004</v>
      </c>
      <c r="X591" s="141">
        <v>-1.0913936421275139E-11</v>
      </c>
      <c r="Y591" s="141">
        <f>'[25]מאזן בוחן'!AM453</f>
        <v>0</v>
      </c>
      <c r="AA591" s="141">
        <f>'[32]מאזן בוחן'!AO470</f>
        <v>21083.23000000001</v>
      </c>
      <c r="AB591" s="141">
        <f>'[26]מאזן בוחן'!AB480</f>
        <v>0</v>
      </c>
      <c r="AC591" s="141">
        <f>'[27]מאזן בוחן'!AC489</f>
        <v>0</v>
      </c>
      <c r="AD591" s="141">
        <f>'[28]מאזן בוחן'!AD497</f>
        <v>23210.76</v>
      </c>
      <c r="AE591" s="141">
        <f>'[29]מאזן בוחן'!AE506</f>
        <v>0</v>
      </c>
      <c r="AF591" s="141">
        <f>'[30]מאזן בוחן'!AF515</f>
        <v>0</v>
      </c>
      <c r="AG591" s="141">
        <f>'[31]מאזן בוחן'!AG518</f>
        <v>25822.710000000003</v>
      </c>
      <c r="AH591" s="141">
        <v>0</v>
      </c>
      <c r="AI591" s="141">
        <v>0</v>
      </c>
      <c r="AJ591" s="141">
        <v>23611.33</v>
      </c>
      <c r="AK591" s="141">
        <v>0</v>
      </c>
      <c r="AL591" s="141">
        <v>0</v>
      </c>
      <c r="AM591" s="141">
        <f>$K591-SUM($AB591:AL591)</f>
        <v>24470.319999999992</v>
      </c>
      <c r="AN591" s="141"/>
      <c r="AO591" s="141"/>
      <c r="AP591" s="141"/>
      <c r="AQ591" s="141"/>
      <c r="AR591" s="141"/>
      <c r="AS591" s="141"/>
      <c r="AT591" s="141"/>
      <c r="AU591" s="141"/>
      <c r="AV591" s="141"/>
      <c r="AW591" s="141"/>
      <c r="BA591" s="204"/>
    </row>
    <row r="592" spans="1:55">
      <c r="A592" s="52"/>
      <c r="B592" s="3674" t="s">
        <v>557</v>
      </c>
      <c r="C592" s="1519">
        <v>6110011</v>
      </c>
      <c r="D592" s="1110" t="s">
        <v>2117</v>
      </c>
      <c r="E592" s="474">
        <f>IFERROR(VLOOKUP(C592,'פקודות נוספות'!$D$274:$F$797,3,0),0)</f>
        <v>0</v>
      </c>
      <c r="F592" s="49">
        <f>SUMIF('פקודות נוספות'!C:C,C:C,'פקודות נוספות'!E:E)</f>
        <v>0</v>
      </c>
      <c r="J592" s="474">
        <f t="shared" si="121"/>
        <v>0</v>
      </c>
      <c r="K592" s="42">
        <f>M592+SUMIF('פקודות נוספות'!C:C,'מאזן בוחן'!C592,'פקודות נוספות'!F:F)</f>
        <v>0</v>
      </c>
      <c r="L592" s="49"/>
      <c r="M592" s="1341">
        <f>IFERROR(VLOOKUP(C592,'פקודות נוספות'!$D$273:$G$797,4,0),0)</f>
        <v>0</v>
      </c>
      <c r="N592" s="1104" t="str">
        <f t="shared" si="122"/>
        <v>-</v>
      </c>
      <c r="O592" s="1133"/>
      <c r="P592" s="141">
        <v>3710</v>
      </c>
      <c r="Q592" s="141">
        <f>'[39]מאזן בוחן'!AE468</f>
        <v>3875.42</v>
      </c>
      <c r="R592" s="141">
        <v>3710</v>
      </c>
      <c r="S592" s="141">
        <v>7970.9999999999982</v>
      </c>
      <c r="T592" s="141">
        <f>'[20]מאזן בוחן'!AR498</f>
        <v>7965.0000000000018</v>
      </c>
      <c r="U592" s="141">
        <f>'[21]מאזן בוחן'!AS430</f>
        <v>0</v>
      </c>
      <c r="V592" s="726">
        <f>'[22]מאזן בוחן'!AJ418</f>
        <v>0</v>
      </c>
      <c r="W592" s="726">
        <f>'[23]מאזן בוחן'!AK424</f>
        <v>0</v>
      </c>
      <c r="X592" s="141">
        <v>-3.637978807091713E-12</v>
      </c>
      <c r="Y592" s="141">
        <f>'[25]מאזן בוחן'!AM454</f>
        <v>0</v>
      </c>
      <c r="AA592" s="141">
        <f>'[32]מאזן בוחן'!AO471</f>
        <v>0</v>
      </c>
      <c r="AB592" s="141">
        <f>'[26]מאזן בוחן'!AB481</f>
        <v>0</v>
      </c>
      <c r="AC592" s="141">
        <f>'[27]מאזן בוחן'!AC490</f>
        <v>0</v>
      </c>
      <c r="AD592" s="141">
        <f>'[28]מאזן בוחן'!AD498</f>
        <v>0</v>
      </c>
      <c r="AE592" s="141">
        <f>'[29]מאזן בוחן'!AE507</f>
        <v>0</v>
      </c>
      <c r="AF592" s="141">
        <f>'[30]מאזן בוחן'!AF516</f>
        <v>0</v>
      </c>
      <c r="AG592" s="141">
        <f>'[31]מאזן בוחן'!AG519</f>
        <v>0</v>
      </c>
      <c r="AH592" s="141">
        <v>0</v>
      </c>
      <c r="AI592" s="141">
        <v>0</v>
      </c>
      <c r="AJ592" s="141">
        <v>0</v>
      </c>
      <c r="AK592" s="141">
        <v>0</v>
      </c>
      <c r="AL592" s="141">
        <v>0</v>
      </c>
      <c r="AM592" s="141">
        <f>$K592-SUM($AB592:AL592)</f>
        <v>0</v>
      </c>
      <c r="AN592" s="141"/>
      <c r="AO592" s="141"/>
      <c r="AP592" s="141"/>
      <c r="AQ592" s="141"/>
      <c r="AR592" s="141"/>
      <c r="AS592" s="141"/>
      <c r="AT592" s="141"/>
      <c r="AU592" s="141"/>
      <c r="AV592" s="141"/>
      <c r="AW592" s="141"/>
      <c r="BA592" s="204"/>
      <c r="BC592" s="63"/>
    </row>
    <row r="593" spans="1:53">
      <c r="A593" s="52"/>
      <c r="B593" s="3674" t="s">
        <v>557</v>
      </c>
      <c r="C593" s="1519">
        <v>6100090</v>
      </c>
      <c r="D593" s="549" t="s">
        <v>1252</v>
      </c>
      <c r="E593" s="474">
        <f>IFERROR(VLOOKUP(C593,'פקודות נוספות'!$D$274:$F$797,3,0),0)</f>
        <v>-10952.78</v>
      </c>
      <c r="F593" s="49">
        <f>SUMIF('פקודות נוספות'!C:C,C:C,'פקודות נוספות'!E:E)</f>
        <v>0</v>
      </c>
      <c r="J593" s="474">
        <f t="shared" si="121"/>
        <v>-10952.78</v>
      </c>
      <c r="K593" s="42">
        <f>M593+SUMIF('פקודות נוספות'!C:C,'מאזן בוחן'!C593,'פקודות נוספות'!F:F)</f>
        <v>-3168.07</v>
      </c>
      <c r="L593" s="49"/>
      <c r="M593" s="1341">
        <f>IFERROR(VLOOKUP(C593,'פקודות נוספות'!$D$273:$G$797,4,0),0)</f>
        <v>-3168.07</v>
      </c>
      <c r="N593" s="1104">
        <f t="shared" si="122"/>
        <v>3.4572405281448959</v>
      </c>
      <c r="O593" s="1133"/>
      <c r="P593" s="141">
        <v>0</v>
      </c>
      <c r="Q593" s="141">
        <f>'[39]מאזן בוחן'!AE469</f>
        <v>23777.281065918633</v>
      </c>
      <c r="R593" s="137">
        <v>441.57807693848736</v>
      </c>
      <c r="S593" s="137">
        <v>-441.85914285711988</v>
      </c>
      <c r="T593" s="141">
        <f>'[20]מאזן בוחן'!AR499</f>
        <v>27219</v>
      </c>
      <c r="U593" s="141">
        <f>'[21]מאזן בוחן'!AS431</f>
        <v>0</v>
      </c>
      <c r="V593" s="726">
        <f>'[22]מאזן בוחן'!AJ419</f>
        <v>0</v>
      </c>
      <c r="W593" s="726">
        <f>'[23]מאזן בוחן'!AK425</f>
        <v>-9318.260000000002</v>
      </c>
      <c r="X593" s="141">
        <v>-3.637978807091713E-12</v>
      </c>
      <c r="Y593" s="141">
        <f>'[25]מאזן בוחן'!AM455</f>
        <v>0</v>
      </c>
      <c r="AA593" s="141">
        <f>'[32]מאזן בוחן'!AO472</f>
        <v>30538.920000000013</v>
      </c>
      <c r="AB593" s="141">
        <f>'[26]מאזן בוחן'!AB482</f>
        <v>0</v>
      </c>
      <c r="AC593" s="141">
        <f>'[27]מאזן בוחן'!AC491</f>
        <v>0</v>
      </c>
      <c r="AD593" s="141">
        <f>'[28]מאזן בוחן'!AD499</f>
        <v>15062.85</v>
      </c>
      <c r="AE593" s="141">
        <f>'[29]מאזן בוחן'!AE508</f>
        <v>0</v>
      </c>
      <c r="AF593" s="141">
        <f>'[30]מאזן בוחן'!AF517</f>
        <v>0</v>
      </c>
      <c r="AG593" s="141">
        <f>'[31]מאזן בוחן'!AG520</f>
        <v>4373.49</v>
      </c>
      <c r="AH593" s="141">
        <v>0</v>
      </c>
      <c r="AI593" s="141">
        <v>0</v>
      </c>
      <c r="AJ593" s="141">
        <v>-43110.869999999995</v>
      </c>
      <c r="AK593" s="141">
        <v>0</v>
      </c>
      <c r="AL593" s="141">
        <v>0</v>
      </c>
      <c r="AM593" s="141">
        <f>$K593-SUM($AB593:AL593)</f>
        <v>20506.459999999995</v>
      </c>
      <c r="AN593" s="141"/>
      <c r="AO593" s="141"/>
      <c r="AP593" s="141"/>
      <c r="AQ593" s="141"/>
      <c r="AR593" s="141"/>
      <c r="AS593" s="141"/>
      <c r="AT593" s="141"/>
      <c r="AU593" s="141"/>
      <c r="AV593" s="141"/>
      <c r="AW593" s="141"/>
      <c r="BA593" s="204"/>
    </row>
    <row r="594" spans="1:53">
      <c r="A594" s="52"/>
      <c r="B594" s="3659"/>
      <c r="C594" s="156"/>
      <c r="D594" s="203"/>
      <c r="E594" s="1202"/>
      <c r="J594" s="474"/>
      <c r="K594" s="42"/>
      <c r="L594" s="49"/>
      <c r="M594" s="474"/>
      <c r="O594" s="1133"/>
      <c r="P594" s="137">
        <v>0</v>
      </c>
      <c r="Q594" s="141">
        <f>'[39]מאזן בוחן'!AE470</f>
        <v>0</v>
      </c>
      <c r="R594" s="137">
        <v>0</v>
      </c>
      <c r="S594" s="137">
        <v>0</v>
      </c>
      <c r="T594" s="141">
        <f>'[20]מאזן בוחן'!AR501</f>
        <v>0</v>
      </c>
      <c r="U594" s="141">
        <f>'[21]מאזן בוחן'!AS432</f>
        <v>0</v>
      </c>
      <c r="V594" s="726">
        <f>'[22]מאזן בוחן'!AJ420</f>
        <v>0</v>
      </c>
      <c r="W594" s="726">
        <f>'[23]מאזן בוחן'!AK426</f>
        <v>0</v>
      </c>
      <c r="X594" s="141">
        <v>0</v>
      </c>
      <c r="Y594" s="141">
        <f>'[25]מאזן בוחן'!AM456</f>
        <v>0</v>
      </c>
      <c r="AA594" s="141">
        <f>'[32]מאזן בוחן'!AO473</f>
        <v>0</v>
      </c>
      <c r="AB594" s="141">
        <f>'[26]מאזן בוחן'!AB483</f>
        <v>0</v>
      </c>
      <c r="AC594" s="141">
        <f>'[27]מאזן בוחן'!AC492</f>
        <v>0</v>
      </c>
      <c r="AD594" s="141">
        <f>'[28]מאזן בוחן'!AD500</f>
        <v>0</v>
      </c>
      <c r="AE594" s="141">
        <f>'[29]מאזן בוחן'!AE509</f>
        <v>0</v>
      </c>
      <c r="AF594" s="141">
        <f>'[30]מאזן בוחן'!AF518</f>
        <v>0</v>
      </c>
      <c r="AG594" s="141">
        <f>'[31]מאזן בוחן'!AG521</f>
        <v>0</v>
      </c>
      <c r="AH594" s="141">
        <v>0</v>
      </c>
      <c r="AI594" s="141">
        <v>0</v>
      </c>
      <c r="AJ594" s="141">
        <v>0</v>
      </c>
      <c r="AK594" s="141">
        <v>0</v>
      </c>
      <c r="AL594" s="141">
        <v>0</v>
      </c>
      <c r="AM594" s="141">
        <f>$K594-SUM($AB594:AL594)</f>
        <v>0</v>
      </c>
      <c r="AN594" s="141"/>
      <c r="AO594" s="141"/>
      <c r="AP594" s="141"/>
      <c r="AQ594" s="141"/>
      <c r="AR594" s="141"/>
      <c r="AS594" s="141"/>
      <c r="AT594" s="141"/>
      <c r="AU594" s="141"/>
      <c r="AV594" s="141"/>
      <c r="AW594" s="141"/>
      <c r="BA594" s="204"/>
    </row>
    <row r="595" spans="1:53">
      <c r="A595" s="52"/>
      <c r="B595" s="3668"/>
      <c r="C595" s="1161"/>
      <c r="D595" s="1646"/>
      <c r="E595" s="1351">
        <f t="shared" ref="E595:K595" si="125">SUM(E568:E594)</f>
        <v>65829395.360000007</v>
      </c>
      <c r="F595" s="1351">
        <f t="shared" si="125"/>
        <v>0</v>
      </c>
      <c r="G595" s="1351">
        <f t="shared" si="125"/>
        <v>0</v>
      </c>
      <c r="H595" s="1351">
        <f t="shared" si="125"/>
        <v>0</v>
      </c>
      <c r="I595" s="1351">
        <f t="shared" si="125"/>
        <v>0</v>
      </c>
      <c r="J595" s="1351">
        <f t="shared" si="125"/>
        <v>65829395.360000007</v>
      </c>
      <c r="K595" s="1351">
        <f t="shared" si="125"/>
        <v>20385822.699999996</v>
      </c>
      <c r="L595" s="1443"/>
      <c r="M595" s="1351">
        <f>SUM(M568:M594)</f>
        <v>20385822.699999996</v>
      </c>
      <c r="O595" s="1133"/>
      <c r="P595" s="137">
        <v>1577070.0399999993</v>
      </c>
      <c r="Q595" s="141">
        <f>'[39]מאזן בוחן'!AE471</f>
        <v>1573649.9544142268</v>
      </c>
      <c r="R595" s="137">
        <v>1425866.0605690388</v>
      </c>
      <c r="S595" s="137">
        <v>1443741.1150167359</v>
      </c>
      <c r="T595" s="141">
        <f>'[20]מאזן בוחן'!AR502</f>
        <v>1728139.4880308483</v>
      </c>
      <c r="U595" s="141">
        <f>'[21]מאזן בוחן'!AS433</f>
        <v>1487641.8919691516</v>
      </c>
      <c r="V595" s="726">
        <f>'[22]מאזן בוחן'!AJ421</f>
        <v>1525265.0800000008</v>
      </c>
      <c r="W595" s="726">
        <f>'[23]מאזן בוחן'!AK427</f>
        <v>1622112.3427986053</v>
      </c>
      <c r="X595" s="141">
        <v>1451276.257201392</v>
      </c>
      <c r="Y595" s="141">
        <f>'[25]מאזן בוחן'!AM457</f>
        <v>1489955.4300000034</v>
      </c>
      <c r="AA595" s="141">
        <f>'[32]מאזן בוחן'!AO474</f>
        <v>1774964.3399999999</v>
      </c>
      <c r="AB595" s="141">
        <f>'[26]מאזן בוחן'!AB484</f>
        <v>1565218.52</v>
      </c>
      <c r="AC595" s="141">
        <f>'[27]מאזן בוחן'!AC493</f>
        <v>1605216.3599999999</v>
      </c>
      <c r="AD595" s="141">
        <f>'[28]מאזן בוחן'!AD501</f>
        <v>1785222.120000001</v>
      </c>
      <c r="AE595" s="141">
        <f>'[29]מאזן בוחן'!AE510</f>
        <v>1594992.2000000002</v>
      </c>
      <c r="AF595" s="141">
        <f>'[30]מאזן בוחן'!AF519</f>
        <v>1605252.9299999988</v>
      </c>
      <c r="AG595" s="141">
        <f>'[31]מאזן בוחן'!AG522</f>
        <v>2017831.7800000003</v>
      </c>
      <c r="AH595" s="141">
        <v>1606407.8600000013</v>
      </c>
      <c r="AI595" s="141">
        <v>1580616.7399999984</v>
      </c>
      <c r="AJ595" s="141">
        <v>1560839.8900000025</v>
      </c>
      <c r="AK595" s="141">
        <v>1591293.0099999979</v>
      </c>
      <c r="AL595" s="141">
        <v>1627372.5900000036</v>
      </c>
      <c r="AM595" s="141">
        <f>$K595-SUM($AB595:AL595)</f>
        <v>2245558.6999999918</v>
      </c>
      <c r="AN595" s="141"/>
      <c r="AO595" s="141"/>
      <c r="AP595" s="141"/>
      <c r="AQ595" s="141"/>
      <c r="AR595" s="141"/>
      <c r="AS595" s="141"/>
      <c r="AT595" s="141"/>
      <c r="AU595" s="141"/>
      <c r="AV595" s="141"/>
      <c r="AW595" s="141"/>
    </row>
    <row r="596" spans="1:53">
      <c r="A596" s="52"/>
      <c r="B596" s="3664"/>
      <c r="C596" s="154"/>
      <c r="D596" s="607" t="s">
        <v>160</v>
      </c>
      <c r="E596" s="2854"/>
      <c r="F596" s="180"/>
      <c r="G596" s="180"/>
      <c r="H596" s="180"/>
      <c r="I596" s="180"/>
      <c r="J596" s="474"/>
      <c r="K596" s="474"/>
      <c r="L596" s="49"/>
      <c r="M596" s="474"/>
      <c r="O596" s="1133"/>
      <c r="P596" s="137">
        <v>0</v>
      </c>
      <c r="Q596" s="141">
        <f>'[39]מאזן בוחן'!AE472</f>
        <v>0</v>
      </c>
      <c r="R596" s="137">
        <v>0</v>
      </c>
      <c r="S596" s="137">
        <v>0</v>
      </c>
      <c r="T596" s="141">
        <f>'[20]מאזן בוחן'!AR503</f>
        <v>0</v>
      </c>
      <c r="U596" s="141">
        <f>'[21]מאזן בוחן'!AS434</f>
        <v>0</v>
      </c>
      <c r="V596" s="726">
        <f>'[22]מאזן בוחן'!AJ422</f>
        <v>0</v>
      </c>
      <c r="W596" s="726">
        <f>'[23]מאזן בוחן'!AK428</f>
        <v>0</v>
      </c>
      <c r="X596" s="141">
        <v>0</v>
      </c>
      <c r="Y596" s="141">
        <f>'[25]מאזן בוחן'!AM458</f>
        <v>0</v>
      </c>
      <c r="AA596" s="141">
        <f>'[32]מאזן בוחן'!AO475</f>
        <v>0</v>
      </c>
      <c r="AB596" s="141">
        <f>'[26]מאזן בוחן'!AB485</f>
        <v>0</v>
      </c>
      <c r="AC596" s="141">
        <f>'[27]מאזן בוחן'!AC494</f>
        <v>0</v>
      </c>
      <c r="AD596" s="141">
        <f>'[28]מאזן בוחן'!AD502</f>
        <v>0</v>
      </c>
      <c r="AE596" s="141">
        <f>'[29]מאזן בוחן'!AE511</f>
        <v>0</v>
      </c>
      <c r="AF596" s="141">
        <f>'[30]מאזן בוחן'!AF520</f>
        <v>0</v>
      </c>
      <c r="AG596" s="141">
        <f>'[31]מאזן בוחן'!AG523</f>
        <v>0</v>
      </c>
      <c r="AH596" s="141">
        <v>0</v>
      </c>
      <c r="AI596" s="141">
        <v>0</v>
      </c>
      <c r="AJ596" s="141">
        <v>0</v>
      </c>
      <c r="AK596" s="141">
        <v>0</v>
      </c>
      <c r="AL596" s="141">
        <v>0</v>
      </c>
      <c r="AM596" s="141">
        <f>$K596-SUM($AB596:AL596)</f>
        <v>0</v>
      </c>
      <c r="AN596" s="141"/>
      <c r="AO596" s="141"/>
      <c r="AP596" s="141"/>
      <c r="AQ596" s="141"/>
      <c r="AR596" s="141"/>
      <c r="AS596" s="141"/>
      <c r="AT596" s="141"/>
      <c r="AU596" s="141"/>
      <c r="AV596" s="141"/>
      <c r="AW596" s="141"/>
    </row>
    <row r="597" spans="1:53">
      <c r="A597" s="52"/>
      <c r="B597" s="3659" t="s">
        <v>1105</v>
      </c>
      <c r="C597" s="585">
        <v>6020001</v>
      </c>
      <c r="D597" s="203" t="s">
        <v>1106</v>
      </c>
      <c r="E597" s="474">
        <f>IFERROR(VLOOKUP(C597,'פקודות נוספות'!$D$274:$F$797,3,0),0)</f>
        <v>0</v>
      </c>
      <c r="F597" s="49">
        <f>SUMIF('פקודות נוספות'!C:C,C:C,'פקודות נוספות'!E:E)</f>
        <v>0</v>
      </c>
      <c r="J597" s="474">
        <f t="shared" ref="J597:J603" si="126">SUM(E597:I597)</f>
        <v>0</v>
      </c>
      <c r="K597" s="42">
        <f>M597+SUMIF('פקודות נוספות'!C:C,'מאזן בוחן'!C597,'פקודות נוספות'!F:F)</f>
        <v>0</v>
      </c>
      <c r="L597" s="49"/>
      <c r="M597" s="1341">
        <f>IFERROR(VLOOKUP(C597,'פקודות נוספות'!$D$273:$G$797,4,0),0)</f>
        <v>0</v>
      </c>
      <c r="N597" s="1104" t="str">
        <f t="shared" ref="N597:N607" si="127">IF(K597=0,"-",J597/K597)</f>
        <v>-</v>
      </c>
      <c r="O597" s="1133"/>
      <c r="P597" s="137">
        <v>4255.84</v>
      </c>
      <c r="Q597" s="141">
        <f>'[39]מאזן בוחן'!AE473</f>
        <v>12.500000000000227</v>
      </c>
      <c r="R597" s="137">
        <v>-2.2737367544323206E-13</v>
      </c>
      <c r="S597" s="137">
        <v>-1390.63</v>
      </c>
      <c r="T597" s="141">
        <f>'[20]מאזן בוחן'!AR504</f>
        <v>0</v>
      </c>
      <c r="U597" s="141">
        <f>'[21]מאזן בוחן'!AS435</f>
        <v>0</v>
      </c>
      <c r="V597" s="726">
        <f>'[22]מאזן בוחן'!AJ423</f>
        <v>0</v>
      </c>
      <c r="W597" s="726">
        <f>'[23]מאזן בוחן'!AK429</f>
        <v>0</v>
      </c>
      <c r="X597" s="141">
        <v>0</v>
      </c>
      <c r="Y597" s="141">
        <f>'[25]מאזן בוחן'!AM459</f>
        <v>0</v>
      </c>
      <c r="AA597" s="141">
        <f>'[32]מאזן בוחן'!AO476</f>
        <v>0</v>
      </c>
      <c r="AB597" s="141">
        <f>'[26]מאזן בוחן'!AB486</f>
        <v>0</v>
      </c>
      <c r="AC597" s="141">
        <f>'[27]מאזן בוחן'!AC495</f>
        <v>0</v>
      </c>
      <c r="AD597" s="141">
        <f>'[28]מאזן בוחן'!AD503</f>
        <v>0</v>
      </c>
      <c r="AE597" s="141">
        <f>'[29]מאזן בוחן'!AE512</f>
        <v>0</v>
      </c>
      <c r="AF597" s="141">
        <f>'[30]מאזן בוחן'!AF521</f>
        <v>0</v>
      </c>
      <c r="AG597" s="141">
        <f>'[31]מאזן בוחן'!AG524</f>
        <v>0</v>
      </c>
      <c r="AH597" s="141">
        <v>0</v>
      </c>
      <c r="AI597" s="141">
        <v>0</v>
      </c>
      <c r="AJ597" s="141">
        <v>0</v>
      </c>
      <c r="AK597" s="141">
        <v>0</v>
      </c>
      <c r="AL597" s="141">
        <v>0</v>
      </c>
      <c r="AM597" s="141">
        <f>$K597-SUM($AB597:AL597)</f>
        <v>0</v>
      </c>
      <c r="AN597" s="141"/>
      <c r="AO597" s="141"/>
      <c r="AP597" s="141"/>
      <c r="AQ597" s="141"/>
      <c r="AR597" s="141"/>
      <c r="AS597" s="141"/>
      <c r="AT597" s="141"/>
      <c r="AU597" s="141"/>
      <c r="AV597" s="141"/>
      <c r="AW597" s="141"/>
    </row>
    <row r="598" spans="1:53">
      <c r="A598" s="52"/>
      <c r="B598" s="3659" t="s">
        <v>1105</v>
      </c>
      <c r="C598" s="585">
        <v>6020002</v>
      </c>
      <c r="D598" s="203" t="s">
        <v>1107</v>
      </c>
      <c r="E598" s="474">
        <f>IFERROR(VLOOKUP(C598,'פקודות נוספות'!$D$274:$F$797,3,0),0)</f>
        <v>0</v>
      </c>
      <c r="F598" s="49">
        <f>SUMIF('פקודות נוספות'!C:C,C:C,'פקודות נוספות'!E:E)</f>
        <v>0</v>
      </c>
      <c r="J598" s="474">
        <f t="shared" si="126"/>
        <v>0</v>
      </c>
      <c r="K598" s="42">
        <f>M598+SUMIF('פקודות נוספות'!C:C,'מאזן בוחן'!C598,'פקודות נוספות'!F:F)</f>
        <v>0</v>
      </c>
      <c r="L598" s="49"/>
      <c r="M598" s="1341">
        <f>IFERROR(VLOOKUP(C598,'פקודות נוספות'!$D$273:$G$797,4,0),0)</f>
        <v>0</v>
      </c>
      <c r="N598" s="1104" t="str">
        <f t="shared" si="127"/>
        <v>-</v>
      </c>
      <c r="O598" s="1133"/>
      <c r="P598" s="137">
        <v>0</v>
      </c>
      <c r="Q598" s="141">
        <f>'[39]מאזן בוחן'!AE474</f>
        <v>2060.7399999999998</v>
      </c>
      <c r="R598" s="137">
        <v>836.01000000000022</v>
      </c>
      <c r="S598" s="137">
        <v>0</v>
      </c>
      <c r="T598" s="141">
        <f>'[20]מאזן בוחן'!AR505</f>
        <v>0</v>
      </c>
      <c r="U598" s="141">
        <f>'[21]מאזן בוחן'!AS436</f>
        <v>0</v>
      </c>
      <c r="V598" s="726">
        <f>'[22]מאזן בוחן'!AJ424</f>
        <v>0</v>
      </c>
      <c r="W598" s="726">
        <f>'[23]מאזן בוחן'!AK430</f>
        <v>0</v>
      </c>
      <c r="X598" s="141">
        <v>0</v>
      </c>
      <c r="Y598" s="141">
        <f>'[25]מאזן בוחן'!AM460</f>
        <v>0</v>
      </c>
      <c r="AA598" s="141">
        <f>'[32]מאזן בוחן'!AO477</f>
        <v>0</v>
      </c>
      <c r="AB598" s="141">
        <f>'[26]מאזן בוחן'!AB487</f>
        <v>0</v>
      </c>
      <c r="AC598" s="141">
        <f>'[27]מאזן בוחן'!AC496</f>
        <v>0</v>
      </c>
      <c r="AD598" s="141">
        <f>'[28]מאזן בוחן'!AD504</f>
        <v>0</v>
      </c>
      <c r="AE598" s="141">
        <f>'[29]מאזן בוחן'!AE513</f>
        <v>0</v>
      </c>
      <c r="AF598" s="141">
        <f>'[30]מאזן בוחן'!AF522</f>
        <v>0</v>
      </c>
      <c r="AG598" s="141">
        <f>'[31]מאזן בוחן'!AG525</f>
        <v>0</v>
      </c>
      <c r="AH598" s="141">
        <v>0</v>
      </c>
      <c r="AI598" s="141">
        <v>0</v>
      </c>
      <c r="AJ598" s="141">
        <v>0</v>
      </c>
      <c r="AK598" s="141">
        <v>0</v>
      </c>
      <c r="AL598" s="141">
        <v>0</v>
      </c>
      <c r="AM598" s="141">
        <f>$K598-SUM($AB598:AL598)</f>
        <v>0</v>
      </c>
      <c r="AN598" s="141"/>
      <c r="AO598" s="141"/>
      <c r="AP598" s="141"/>
      <c r="AQ598" s="141"/>
      <c r="AR598" s="141"/>
      <c r="AS598" s="141"/>
      <c r="AT598" s="141"/>
      <c r="AU598" s="141"/>
      <c r="AV598" s="141"/>
      <c r="AW598" s="141"/>
    </row>
    <row r="599" spans="1:53">
      <c r="A599" s="52"/>
      <c r="B599" s="3659" t="s">
        <v>1105</v>
      </c>
      <c r="C599" s="585">
        <v>6020003</v>
      </c>
      <c r="D599" s="203" t="s">
        <v>1108</v>
      </c>
      <c r="E599" s="474">
        <f>IFERROR(VLOOKUP(C599,'פקודות נוספות'!$D$274:$F$797,3,0),0)</f>
        <v>0</v>
      </c>
      <c r="F599" s="49">
        <f>SUMIF('פקודות נוספות'!C:C,C:C,'פקודות נוספות'!E:E)</f>
        <v>0</v>
      </c>
      <c r="J599" s="474">
        <f t="shared" si="126"/>
        <v>0</v>
      </c>
      <c r="K599" s="42">
        <f>M599+SUMIF('פקודות נוספות'!C:C,'מאזן בוחן'!C599,'פקודות נוספות'!F:F)</f>
        <v>0</v>
      </c>
      <c r="L599" s="49"/>
      <c r="M599" s="1341">
        <f>IFERROR(VLOOKUP(C599,'פקודות נוספות'!$D$273:$G$797,4,0),0)</f>
        <v>0</v>
      </c>
      <c r="N599" s="1104" t="str">
        <f t="shared" si="127"/>
        <v>-</v>
      </c>
      <c r="O599" s="1133"/>
      <c r="P599" s="137">
        <v>199.77</v>
      </c>
      <c r="Q599" s="141">
        <f>'[39]מאזן בוחן'!AE475</f>
        <v>863.33999999999992</v>
      </c>
      <c r="R599" s="137">
        <v>541.01</v>
      </c>
      <c r="S599" s="137">
        <v>0</v>
      </c>
      <c r="T599" s="141">
        <f>'[20]מאזן בוחן'!AR506</f>
        <v>0</v>
      </c>
      <c r="U599" s="141">
        <f>'[21]מאזן בוחן'!AS437</f>
        <v>0</v>
      </c>
      <c r="V599" s="726">
        <f>'[22]מאזן בוחן'!AJ425</f>
        <v>0</v>
      </c>
      <c r="W599" s="726">
        <f>'[23]מאזן בוחן'!AK431</f>
        <v>-2.8421709430404007E-14</v>
      </c>
      <c r="X599" s="141">
        <v>-2.8421709430404007E-14</v>
      </c>
      <c r="Y599" s="141">
        <f>'[25]מאזן בוחן'!AM461</f>
        <v>0</v>
      </c>
      <c r="AA599" s="141">
        <f>'[32]מאזן בוחן'!AO478</f>
        <v>0</v>
      </c>
      <c r="AB599" s="141">
        <f>'[26]מאזן בוחן'!AB488</f>
        <v>0</v>
      </c>
      <c r="AC599" s="141">
        <f>'[27]מאזן בוחן'!AC497</f>
        <v>0</v>
      </c>
      <c r="AD599" s="141">
        <f>'[28]מאזן בוחן'!AD505</f>
        <v>0</v>
      </c>
      <c r="AE599" s="141">
        <f>'[29]מאזן בוחן'!AE514</f>
        <v>0</v>
      </c>
      <c r="AF599" s="141">
        <f>'[30]מאזן בוחן'!AF523</f>
        <v>0</v>
      </c>
      <c r="AG599" s="141">
        <f>'[31]מאזן בוחן'!AG526</f>
        <v>0</v>
      </c>
      <c r="AH599" s="141">
        <v>0</v>
      </c>
      <c r="AI599" s="141">
        <v>0</v>
      </c>
      <c r="AJ599" s="141">
        <v>0</v>
      </c>
      <c r="AK599" s="141">
        <v>0</v>
      </c>
      <c r="AL599" s="141">
        <v>0</v>
      </c>
      <c r="AM599" s="141">
        <f>$K599-SUM($AB599:AL599)</f>
        <v>0</v>
      </c>
      <c r="AN599" s="141"/>
      <c r="AO599" s="141"/>
      <c r="AP599" s="141"/>
      <c r="AQ599" s="141"/>
      <c r="AR599" s="141"/>
      <c r="AS599" s="141"/>
      <c r="AT599" s="141"/>
      <c r="AU599" s="141"/>
      <c r="AV599" s="141"/>
      <c r="AW599" s="141"/>
    </row>
    <row r="600" spans="1:53">
      <c r="A600" s="52"/>
      <c r="B600" s="3659" t="s">
        <v>1105</v>
      </c>
      <c r="C600" s="585">
        <v>6020004</v>
      </c>
      <c r="D600" s="203" t="s">
        <v>1109</v>
      </c>
      <c r="E600" s="474">
        <f>IFERROR(VLOOKUP(C600,'פקודות נוספות'!$D$274:$F$797,3,0),0)</f>
        <v>0</v>
      </c>
      <c r="F600" s="49">
        <f>SUMIF('פקודות נוספות'!C:C,C:C,'פקודות נוספות'!E:E)</f>
        <v>0</v>
      </c>
      <c r="J600" s="474">
        <f>SUM(E600:I600)</f>
        <v>0</v>
      </c>
      <c r="K600" s="42">
        <f>M600+SUMIF('פקודות נוספות'!C:C,'מאזן בוחן'!C600,'פקודות נוספות'!F:F)</f>
        <v>0</v>
      </c>
      <c r="L600" s="49"/>
      <c r="M600" s="1341">
        <f>IFERROR(VLOOKUP(C600,'פקודות נוספות'!$D$273:$G$797,4,0),0)</f>
        <v>0</v>
      </c>
      <c r="N600" s="1104" t="str">
        <f t="shared" si="127"/>
        <v>-</v>
      </c>
      <c r="O600" s="1133"/>
      <c r="P600" s="137">
        <v>171.24</v>
      </c>
      <c r="Q600" s="141">
        <f>'[39]מאזן בוחן'!AE476</f>
        <v>870.55</v>
      </c>
      <c r="R600" s="137">
        <v>460.12000000000012</v>
      </c>
      <c r="S600" s="137">
        <v>0</v>
      </c>
      <c r="T600" s="141">
        <f>'[20]מאזן בוחן'!AR507</f>
        <v>0</v>
      </c>
      <c r="U600" s="141">
        <f>'[21]מאזן בוחן'!AS438</f>
        <v>0</v>
      </c>
      <c r="V600" s="726">
        <f>'[22]מאזן בוחן'!AJ426</f>
        <v>0</v>
      </c>
      <c r="W600" s="726">
        <f>'[23]מאזן בוחן'!AK432</f>
        <v>0</v>
      </c>
      <c r="X600" s="141">
        <v>0</v>
      </c>
      <c r="Y600" s="141">
        <f>'[25]מאזן בוחן'!AM462</f>
        <v>0</v>
      </c>
      <c r="AA600" s="141">
        <f>'[32]מאזן בוחן'!AO479</f>
        <v>0</v>
      </c>
      <c r="AB600" s="141">
        <f>'[26]מאזן בוחן'!AB489</f>
        <v>0</v>
      </c>
      <c r="AC600" s="141">
        <f>'[27]מאזן בוחן'!AC498</f>
        <v>0</v>
      </c>
      <c r="AD600" s="141">
        <f>'[28]מאזן בוחן'!AD506</f>
        <v>0</v>
      </c>
      <c r="AE600" s="141">
        <f>'[29]מאזן בוחן'!AE515</f>
        <v>0</v>
      </c>
      <c r="AF600" s="141">
        <f>'[30]מאזן בוחן'!AF524</f>
        <v>0</v>
      </c>
      <c r="AG600" s="141">
        <f>'[31]מאזן בוחן'!AG527</f>
        <v>0</v>
      </c>
      <c r="AH600" s="141">
        <v>0</v>
      </c>
      <c r="AI600" s="141">
        <v>0</v>
      </c>
      <c r="AJ600" s="141">
        <v>0</v>
      </c>
      <c r="AK600" s="141">
        <v>0</v>
      </c>
      <c r="AL600" s="141">
        <v>0</v>
      </c>
      <c r="AM600" s="141">
        <f>$K600-SUM($AB600:AL600)</f>
        <v>0</v>
      </c>
      <c r="AN600" s="141"/>
      <c r="AO600" s="141"/>
      <c r="AP600" s="141"/>
      <c r="AQ600" s="141"/>
      <c r="AR600" s="141"/>
      <c r="AS600" s="141"/>
      <c r="AT600" s="141"/>
      <c r="AU600" s="141"/>
      <c r="AV600" s="141"/>
      <c r="AW600" s="141"/>
    </row>
    <row r="601" spans="1:53">
      <c r="A601" s="52"/>
      <c r="B601" s="3659" t="s">
        <v>1105</v>
      </c>
      <c r="C601" s="585">
        <v>6020005</v>
      </c>
      <c r="D601" s="203" t="s">
        <v>1110</v>
      </c>
      <c r="E601" s="474">
        <f>IFERROR(VLOOKUP(C601,'פקודות נוספות'!$D$274:$F$797,3,0),0)</f>
        <v>0</v>
      </c>
      <c r="F601" s="49">
        <f>SUMIF('פקודות נוספות'!C:C,C:C,'פקודות נוספות'!E:E)</f>
        <v>0</v>
      </c>
      <c r="J601" s="474">
        <f t="shared" si="126"/>
        <v>0</v>
      </c>
      <c r="K601" s="42">
        <f>M601+SUMIF('פקודות נוספות'!C:C,'מאזן בוחן'!C601,'פקודות נוספות'!F:F)</f>
        <v>0</v>
      </c>
      <c r="L601" s="49"/>
      <c r="M601" s="1341">
        <f>IFERROR(VLOOKUP(C601,'פקודות נוספות'!$D$273:$G$797,4,0),0)</f>
        <v>0</v>
      </c>
      <c r="N601" s="1104" t="str">
        <f t="shared" si="127"/>
        <v>-</v>
      </c>
      <c r="O601" s="1133"/>
      <c r="P601" s="137">
        <v>14.25</v>
      </c>
      <c r="Q601" s="141">
        <f>'[39]מאזן בוחן'!AE477</f>
        <v>132.14999999999998</v>
      </c>
      <c r="R601" s="137">
        <v>0</v>
      </c>
      <c r="S601" s="137">
        <v>0</v>
      </c>
      <c r="T601" s="141">
        <f>'[20]מאזן בוחן'!AR508</f>
        <v>0</v>
      </c>
      <c r="U601" s="141">
        <f>'[21]מאזן בוחן'!AS439</f>
        <v>0</v>
      </c>
      <c r="V601" s="726">
        <f>'[22]מאזן בוחן'!AJ427</f>
        <v>0</v>
      </c>
      <c r="W601" s="726">
        <f>'[23]מאזן בוחן'!AK433</f>
        <v>0</v>
      </c>
      <c r="X601" s="141">
        <v>0</v>
      </c>
      <c r="Y601" s="141">
        <f>'[25]מאזן בוחן'!AM463</f>
        <v>0</v>
      </c>
      <c r="AA601" s="141">
        <f>'[32]מאזן בוחן'!AO480</f>
        <v>0</v>
      </c>
      <c r="AB601" s="141">
        <f>'[26]מאזן בוחן'!AB490</f>
        <v>0</v>
      </c>
      <c r="AC601" s="141">
        <f>'[27]מאזן בוחן'!AC499</f>
        <v>0</v>
      </c>
      <c r="AD601" s="141">
        <f>'[28]מאזן בוחן'!AD507</f>
        <v>0</v>
      </c>
      <c r="AE601" s="141">
        <f>'[29]מאזן בוחן'!AE516</f>
        <v>0</v>
      </c>
      <c r="AF601" s="141">
        <f>'[30]מאזן בוחן'!AF525</f>
        <v>0</v>
      </c>
      <c r="AG601" s="141">
        <f>'[31]מאזן בוחן'!AG528</f>
        <v>0</v>
      </c>
      <c r="AH601" s="141">
        <v>0</v>
      </c>
      <c r="AI601" s="141">
        <v>0</v>
      </c>
      <c r="AJ601" s="141">
        <v>0</v>
      </c>
      <c r="AK601" s="141">
        <v>0</v>
      </c>
      <c r="AL601" s="141">
        <v>0</v>
      </c>
      <c r="AM601" s="141">
        <f>$K601-SUM($AB601:AL601)</f>
        <v>0</v>
      </c>
      <c r="AN601" s="141"/>
      <c r="AO601" s="141"/>
      <c r="AP601" s="141"/>
      <c r="AQ601" s="141"/>
      <c r="AR601" s="141"/>
      <c r="AS601" s="141"/>
      <c r="AT601" s="141"/>
      <c r="AU601" s="141"/>
      <c r="AV601" s="141"/>
      <c r="AW601" s="141"/>
    </row>
    <row r="602" spans="1:53">
      <c r="A602" s="52"/>
      <c r="B602" s="3659" t="s">
        <v>1105</v>
      </c>
      <c r="C602" s="585">
        <v>6020007</v>
      </c>
      <c r="D602" s="203" t="s">
        <v>366</v>
      </c>
      <c r="E602" s="474">
        <f>IFERROR(VLOOKUP(C602,'פקודות נוספות'!$D$274:$F$797,3,0),0)</f>
        <v>0</v>
      </c>
      <c r="F602" s="49">
        <f>SUMIF('פקודות נוספות'!C:C,C:C,'פקודות נוספות'!E:E)</f>
        <v>0</v>
      </c>
      <c r="J602" s="474">
        <f t="shared" si="126"/>
        <v>0</v>
      </c>
      <c r="K602" s="42">
        <f>M602+SUMIF('פקודות נוספות'!C:C,'מאזן בוחן'!C602,'פקודות נוספות'!F:F)</f>
        <v>0</v>
      </c>
      <c r="L602" s="49"/>
      <c r="M602" s="1341">
        <f>IFERROR(VLOOKUP(C602,'פקודות נוספות'!$D$273:$G$797,4,0),0)</f>
        <v>0</v>
      </c>
      <c r="N602" s="1104" t="str">
        <f t="shared" si="127"/>
        <v>-</v>
      </c>
      <c r="O602" s="1133"/>
      <c r="P602" s="137">
        <v>414.98</v>
      </c>
      <c r="Q602" s="141">
        <f>'[39]מאזן בוחן'!AE478</f>
        <v>91.979999999999905</v>
      </c>
      <c r="R602" s="137">
        <v>0</v>
      </c>
      <c r="S602" s="137">
        <v>0</v>
      </c>
      <c r="T602" s="141">
        <f>'[20]מאזן בוחן'!AR509</f>
        <v>0</v>
      </c>
      <c r="U602" s="141">
        <f>'[21]מאזן בוחן'!AS440</f>
        <v>0</v>
      </c>
      <c r="V602" s="726">
        <f>'[22]מאזן בוחן'!AJ428</f>
        <v>0</v>
      </c>
      <c r="W602" s="726">
        <f>'[23]מאזן בוחן'!AK434</f>
        <v>0</v>
      </c>
      <c r="X602" s="141">
        <v>0</v>
      </c>
      <c r="Y602" s="141">
        <f>'[25]מאזן בוחן'!AM464</f>
        <v>0</v>
      </c>
      <c r="AA602" s="141">
        <f>'[32]מאזן בוחן'!AO481</f>
        <v>0</v>
      </c>
      <c r="AB602" s="141">
        <f>'[26]מאזן בוחן'!AB491</f>
        <v>0</v>
      </c>
      <c r="AC602" s="141">
        <f>'[27]מאזן בוחן'!AC500</f>
        <v>0</v>
      </c>
      <c r="AD602" s="141">
        <f>'[28]מאזן בוחן'!AD508</f>
        <v>0</v>
      </c>
      <c r="AE602" s="141">
        <f>'[29]מאזן בוחן'!AE517</f>
        <v>0</v>
      </c>
      <c r="AF602" s="141">
        <f>'[30]מאזן בוחן'!AF526</f>
        <v>0</v>
      </c>
      <c r="AG602" s="141">
        <f>'[31]מאזן בוחן'!AG529</f>
        <v>0</v>
      </c>
      <c r="AH602" s="141">
        <v>0</v>
      </c>
      <c r="AI602" s="141">
        <v>0</v>
      </c>
      <c r="AJ602" s="141">
        <v>0</v>
      </c>
      <c r="AK602" s="141">
        <v>0</v>
      </c>
      <c r="AL602" s="141">
        <v>0</v>
      </c>
      <c r="AM602" s="141">
        <f>$K602-SUM($AB602:AL602)</f>
        <v>0</v>
      </c>
      <c r="AN602" s="141"/>
      <c r="AO602" s="141"/>
      <c r="AP602" s="141"/>
      <c r="AQ602" s="141"/>
      <c r="AR602" s="141"/>
      <c r="AS602" s="141"/>
      <c r="AT602" s="141"/>
      <c r="AU602" s="141"/>
      <c r="AV602" s="141"/>
      <c r="AW602" s="141"/>
    </row>
    <row r="603" spans="1:53">
      <c r="A603" s="52"/>
      <c r="B603" s="3822" t="s">
        <v>1105</v>
      </c>
      <c r="C603" s="585">
        <v>6020008</v>
      </c>
      <c r="D603" s="203" t="s">
        <v>291</v>
      </c>
      <c r="E603" s="474">
        <f>IFERROR(VLOOKUP(C603,'פקודות נוספות'!$D$274:$F$797,3,0),0)</f>
        <v>1404209.47</v>
      </c>
      <c r="F603" s="49">
        <f>SUMIF('פקודות נוספות'!C:C,C:C,'פקודות נוספות'!E:E)</f>
        <v>0</v>
      </c>
      <c r="J603" s="474">
        <f t="shared" si="126"/>
        <v>1404209.47</v>
      </c>
      <c r="K603" s="42">
        <f>M603+SUMIF('פקודות נוספות'!C:C,'מאזן בוחן'!C603,'פקודות נוספות'!F:F)</f>
        <v>436910.67</v>
      </c>
      <c r="L603" s="49"/>
      <c r="M603" s="1341">
        <f>IFERROR(VLOOKUP(C603,'פקודות נוספות'!$D$273:$G$797,4,0),0)</f>
        <v>436910.67</v>
      </c>
      <c r="N603" s="1104">
        <f t="shared" si="127"/>
        <v>3.2139509662238277</v>
      </c>
      <c r="O603" s="1133"/>
      <c r="P603" s="141">
        <v>18681.349999999999</v>
      </c>
      <c r="Q603" s="141">
        <f>'[39]מאזן בוחן'!AE479</f>
        <v>23159.070000000007</v>
      </c>
      <c r="R603" s="141">
        <v>20461.75</v>
      </c>
      <c r="S603" s="141">
        <v>18263.44999999999</v>
      </c>
      <c r="T603" s="141">
        <f>'[20]מאזן בוחן'!AR510</f>
        <v>19961.990000000013</v>
      </c>
      <c r="U603" s="141">
        <f>'[21]מאזן בוחן'!AS441</f>
        <v>17591.949999999983</v>
      </c>
      <c r="V603" s="726">
        <f>'[22]מאזן בוחן'!AJ429</f>
        <v>15276.440000000017</v>
      </c>
      <c r="W603" s="726">
        <f>'[23]מאזן בוחן'!AK435</f>
        <v>18186.28</v>
      </c>
      <c r="X603" s="141">
        <v>20015.380000000005</v>
      </c>
      <c r="Y603" s="141">
        <f>'[25]מאזן בוחן'!AM465</f>
        <v>16641.469999999972</v>
      </c>
      <c r="AA603" s="141">
        <f>'[32]מאזן בוחן'!AO482</f>
        <v>28032.829999999987</v>
      </c>
      <c r="AB603" s="141">
        <f>'[26]מאזן בוחן'!AB492</f>
        <v>33124.67</v>
      </c>
      <c r="AC603" s="141">
        <f>'[27]מאזן בוחן'!AC501</f>
        <v>26696.950000000004</v>
      </c>
      <c r="AD603" s="141">
        <f>'[28]מאזן בוחן'!AD509</f>
        <v>37267.120000000003</v>
      </c>
      <c r="AE603" s="141">
        <f>'[29]מאזן בוחן'!AE518</f>
        <v>48911.460000000006</v>
      </c>
      <c r="AF603" s="141">
        <f>'[30]מאזן בוחן'!AF527</f>
        <v>21173.239999999991</v>
      </c>
      <c r="AG603" s="141">
        <f>'[31]מאזן בוחן'!AG530</f>
        <v>22277.359999999986</v>
      </c>
      <c r="AH603" s="141">
        <v>11356.23000000001</v>
      </c>
      <c r="AI603" s="141">
        <v>35983.049999999988</v>
      </c>
      <c r="AJ603" s="141">
        <v>29002.389999999985</v>
      </c>
      <c r="AK603" s="141">
        <v>26835.130000000005</v>
      </c>
      <c r="AL603" s="141">
        <v>31447.630000000005</v>
      </c>
      <c r="AM603" s="141">
        <f>$K603-SUM($AB603:AL603)</f>
        <v>112835.44</v>
      </c>
      <c r="AN603" s="141" t="s">
        <v>4814</v>
      </c>
      <c r="AO603" s="141" t="s">
        <v>4552</v>
      </c>
      <c r="AP603" s="141"/>
      <c r="AQ603" s="141" t="s">
        <v>4213</v>
      </c>
      <c r="AR603" s="141" t="s">
        <v>4096</v>
      </c>
      <c r="AS603" s="141" t="s">
        <v>3965</v>
      </c>
      <c r="AT603" s="141"/>
      <c r="AU603" s="141"/>
      <c r="AV603" s="141"/>
      <c r="AW603" s="141"/>
      <c r="AX603" s="137" t="s">
        <v>3146</v>
      </c>
    </row>
    <row r="604" spans="1:53">
      <c r="A604" s="52"/>
      <c r="B604" s="3822" t="s">
        <v>1105</v>
      </c>
      <c r="C604" s="585">
        <v>6020011</v>
      </c>
      <c r="D604" s="203" t="s">
        <v>152</v>
      </c>
      <c r="E604" s="474">
        <f>IFERROR(VLOOKUP(C604,'פקודות נוספות'!$D$274:$F$797,3,0),0)</f>
        <v>13877.83</v>
      </c>
      <c r="F604" s="49">
        <f>SUMIF('פקודות נוספות'!C:C,C:C,'פקודות נוספות'!E:E)</f>
        <v>0</v>
      </c>
      <c r="J604" s="474">
        <f>SUM(E604:I604)</f>
        <v>13877.83</v>
      </c>
      <c r="K604" s="42">
        <f>M604+SUMIF('פקודות נוספות'!C:C,'מאזן בוחן'!C604,'פקודות נוספות'!F:F)</f>
        <v>4100</v>
      </c>
      <c r="L604" s="49"/>
      <c r="M604" s="1341">
        <f>IFERROR(VLOOKUP(C604,'פקודות נוספות'!$D$273:$G$797,4,0),0)</f>
        <v>4100</v>
      </c>
      <c r="N604" s="1104">
        <f t="shared" si="127"/>
        <v>3.3848365853658535</v>
      </c>
      <c r="O604" s="1133"/>
      <c r="P604" s="141">
        <v>312.5</v>
      </c>
      <c r="Q604" s="141">
        <f>'[39]מאזן בוחן'!AE480</f>
        <v>312.5</v>
      </c>
      <c r="R604" s="141">
        <v>312.5</v>
      </c>
      <c r="S604" s="141">
        <v>312.5</v>
      </c>
      <c r="T604" s="141">
        <f>'[20]מאזן בוחן'!AR512</f>
        <v>312.5</v>
      </c>
      <c r="U604" s="141">
        <f>'[21]מאזן בוחן'!AS443</f>
        <v>312.5</v>
      </c>
      <c r="V604" s="726">
        <f>'[22]מאזן בוחן'!AJ430</f>
        <v>312.5</v>
      </c>
      <c r="W604" s="726">
        <f>'[23]מאזן בוחן'!AK436</f>
        <v>312.5</v>
      </c>
      <c r="X604" s="141">
        <v>312.5</v>
      </c>
      <c r="Y604" s="141">
        <f>'[25]מאזן בוחן'!AM466</f>
        <v>318.26000000000022</v>
      </c>
      <c r="AA604" s="141">
        <f>'[32]מאזן בוחן'!AO483</f>
        <v>341.66999999999962</v>
      </c>
      <c r="AB604" s="141">
        <f>'[26]מאזן בוחן'!AB493</f>
        <v>341.67</v>
      </c>
      <c r="AC604" s="141">
        <f>'[27]מאזן בוחן'!AC502</f>
        <v>341.67</v>
      </c>
      <c r="AD604" s="141">
        <f>'[28]מאזן בוחן'!AD510</f>
        <v>341.66999999999996</v>
      </c>
      <c r="AE604" s="141">
        <f>'[29]מאזן בוחן'!AE519</f>
        <v>341.67000000000007</v>
      </c>
      <c r="AF604" s="141">
        <f>'[30]מאזן בוחן'!AF528</f>
        <v>341.66999999999985</v>
      </c>
      <c r="AG604" s="141">
        <f>'[31]מאזן בוחן'!AG531</f>
        <v>341.67000000000007</v>
      </c>
      <c r="AH604" s="141">
        <v>341.67000000000007</v>
      </c>
      <c r="AI604" s="141">
        <v>341.67000000000007</v>
      </c>
      <c r="AJ604" s="141">
        <v>341.67000000000007</v>
      </c>
      <c r="AK604" s="141">
        <v>341.66999999999962</v>
      </c>
      <c r="AL604" s="141">
        <v>341.63000000000011</v>
      </c>
      <c r="AM604" s="141">
        <f>$K604-SUM($AB604:AL604)</f>
        <v>341.67000000000007</v>
      </c>
      <c r="AN604" s="141"/>
      <c r="AO604" s="141"/>
      <c r="AP604" s="141"/>
      <c r="AQ604" s="141"/>
      <c r="AR604" s="141"/>
      <c r="AS604" s="141"/>
      <c r="AT604" s="141"/>
      <c r="AU604" s="141"/>
      <c r="AV604" s="141"/>
      <c r="AW604" s="141"/>
    </row>
    <row r="605" spans="1:53">
      <c r="A605" s="52"/>
      <c r="B605" s="3822" t="s">
        <v>1105</v>
      </c>
      <c r="C605" s="585">
        <v>6020014</v>
      </c>
      <c r="D605" s="203" t="s">
        <v>1111</v>
      </c>
      <c r="E605" s="474">
        <f>IFERROR(VLOOKUP(C605,'פקודות נוספות'!$D$274:$F$797,3,0),0)</f>
        <v>4921603.2699999996</v>
      </c>
      <c r="F605" s="49">
        <f>SUMIF('פקודות נוספות'!C:C,C:C,'פקודות נוספות'!E:E)</f>
        <v>0</v>
      </c>
      <c r="J605" s="474">
        <f>SUM(E605:I605)</f>
        <v>4921603.2699999996</v>
      </c>
      <c r="K605" s="42">
        <f>M605+SUMIF('פקודות נוספות'!C:C,'מאזן בוחן'!C605,'פקודות נוספות'!F:F)</f>
        <v>1518841.59</v>
      </c>
      <c r="L605" s="49"/>
      <c r="M605" s="1341">
        <f>IFERROR(VLOOKUP(C605,'פקודות נוספות'!$D$273:$G$797,4,0),0)</f>
        <v>1518841.59</v>
      </c>
      <c r="N605" s="1104">
        <f t="shared" si="127"/>
        <v>3.2403664097715414</v>
      </c>
      <c r="O605" s="1133"/>
      <c r="P605" s="141">
        <v>37731.939999999995</v>
      </c>
      <c r="Q605" s="141">
        <f>'[39]מאזן בוחן'!AE481</f>
        <v>78145.229999999981</v>
      </c>
      <c r="R605" s="141">
        <v>51478.050000000017</v>
      </c>
      <c r="S605" s="141">
        <v>61680.929999999993</v>
      </c>
      <c r="T605" s="141">
        <f>'[20]מאזן בוחן'!AR513</f>
        <v>72490.430000000022</v>
      </c>
      <c r="U605" s="141">
        <f>'[21]מאזן בוחן'!AS444</f>
        <v>45457.419999999984</v>
      </c>
      <c r="V605" s="726">
        <f>'[22]מאזן בוחן'!AJ431</f>
        <v>103570.24999999994</v>
      </c>
      <c r="W605" s="726">
        <f>'[23]מאזן בוחן'!AK437</f>
        <v>75367.730000000069</v>
      </c>
      <c r="X605" s="141">
        <v>110532.04999999978</v>
      </c>
      <c r="Y605" s="141">
        <f>'[25]מאזן בוחן'!AM467</f>
        <v>96656.510000000126</v>
      </c>
      <c r="AA605" s="141">
        <f>'[32]מאזן בוחן'!AO484</f>
        <v>94854.12</v>
      </c>
      <c r="AB605" s="141">
        <f>'[26]מאזן בוחן'!AB494</f>
        <v>105185.95</v>
      </c>
      <c r="AC605" s="141">
        <f>'[27]מאזן בוחן'!AC503</f>
        <v>84148.26</v>
      </c>
      <c r="AD605" s="141">
        <f>'[28]מאזן בוחן'!AD511</f>
        <v>117811.9</v>
      </c>
      <c r="AE605" s="141">
        <f>'[29]מאזן בוחן'!AE520</f>
        <v>115193.78000000003</v>
      </c>
      <c r="AF605" s="141">
        <f>'[30]מאזן בוחן'!AF529</f>
        <v>122241.97999999998</v>
      </c>
      <c r="AG605" s="141">
        <f>'[31]מאזן בוחן'!AG532</f>
        <v>132843.22999999998</v>
      </c>
      <c r="AH605" s="141">
        <v>126165.55000000005</v>
      </c>
      <c r="AI605" s="141">
        <v>127281.88</v>
      </c>
      <c r="AJ605" s="141">
        <v>152287.96999999997</v>
      </c>
      <c r="AK605" s="141">
        <v>178320.45999999996</v>
      </c>
      <c r="AL605" s="141">
        <v>158259.81000000006</v>
      </c>
      <c r="AM605" s="141">
        <f>$K605-SUM($AB605:AL605)</f>
        <v>99100.820000000065</v>
      </c>
      <c r="AN605" s="141" t="s">
        <v>4815</v>
      </c>
      <c r="AO605" s="141" t="s">
        <v>4553</v>
      </c>
      <c r="AP605" s="141" t="s">
        <v>4358</v>
      </c>
      <c r="AQ605" s="141"/>
      <c r="AR605" s="141"/>
      <c r="AS605" s="141" t="s">
        <v>3966</v>
      </c>
      <c r="AT605" s="141"/>
      <c r="AU605" s="141"/>
      <c r="AV605" s="141"/>
      <c r="AW605" s="141"/>
    </row>
    <row r="606" spans="1:53">
      <c r="A606" s="52"/>
      <c r="B606" s="3822" t="s">
        <v>1105</v>
      </c>
      <c r="C606" s="585">
        <v>6020019</v>
      </c>
      <c r="D606" s="203" t="s">
        <v>1112</v>
      </c>
      <c r="E606" s="474">
        <f>IFERROR(VLOOKUP(C606,'פקודות נוספות'!$D$274:$F$797,3,0),0)</f>
        <v>-719.4</v>
      </c>
      <c r="F606" s="49">
        <f>SUMIF('פקודות נוספות'!C:C,C:C,'פקודות נוספות'!E:E)</f>
        <v>0</v>
      </c>
      <c r="H606" s="180"/>
      <c r="I606" s="180"/>
      <c r="J606" s="474">
        <f>SUM(E606:I606)</f>
        <v>-719.4</v>
      </c>
      <c r="K606" s="42">
        <f>M606+SUMIF('פקודות נוספות'!C:C,'מאזן בוחן'!C606,'פקודות נוספות'!F:F)</f>
        <v>-200</v>
      </c>
      <c r="L606" s="49"/>
      <c r="M606" s="1341">
        <f>IFERROR(VLOOKUP(C606,'פקודות נוספות'!$D$273:$G$797,4,0),0)</f>
        <v>-200</v>
      </c>
      <c r="N606" s="1104">
        <f t="shared" si="127"/>
        <v>3.597</v>
      </c>
      <c r="O606" s="1522"/>
      <c r="P606" s="141">
        <v>3961.21</v>
      </c>
      <c r="Q606" s="141">
        <f>'[39]מאזן בוחן'!AE482</f>
        <v>-229.78999999999996</v>
      </c>
      <c r="R606" s="141">
        <v>0</v>
      </c>
      <c r="S606" s="141">
        <v>0</v>
      </c>
      <c r="T606" s="141">
        <f>'[20]מאזן בוחן'!AR515</f>
        <v>0</v>
      </c>
      <c r="U606" s="141">
        <f>'[21]מאזן בוחן'!AS445</f>
        <v>0</v>
      </c>
      <c r="V606" s="726">
        <f>'[22]מאזן בוחן'!AJ432</f>
        <v>0</v>
      </c>
      <c r="W606" s="726">
        <f>'[23]מאזן בוחן'!AK438</f>
        <v>0</v>
      </c>
      <c r="X606" s="141">
        <v>0</v>
      </c>
      <c r="Y606" s="141">
        <f>'[25]מאזן בוחן'!AM468</f>
        <v>0</v>
      </c>
      <c r="AA606" s="141">
        <f>'[32]מאזן בוחן'!AO485</f>
        <v>0</v>
      </c>
      <c r="AB606" s="141">
        <f>'[26]מאזן בוחן'!AB495</f>
        <v>0</v>
      </c>
      <c r="AC606" s="141">
        <f>'[27]מאזן בוחן'!AC504</f>
        <v>0</v>
      </c>
      <c r="AD606" s="141">
        <f>'[28]מאזן בוחן'!AD512</f>
        <v>0</v>
      </c>
      <c r="AE606" s="141">
        <f>'[29]מאזן בוחן'!AE521</f>
        <v>0</v>
      </c>
      <c r="AF606" s="141">
        <f>'[30]מאזן בוחן'!AF530</f>
        <v>0</v>
      </c>
      <c r="AG606" s="141">
        <f>'[31]מאזן בוחן'!AG533</f>
        <v>0</v>
      </c>
      <c r="AH606" s="141">
        <v>-200</v>
      </c>
      <c r="AI606" s="141">
        <v>0</v>
      </c>
      <c r="AJ606" s="141">
        <v>0</v>
      </c>
      <c r="AK606" s="141">
        <v>0</v>
      </c>
      <c r="AL606" s="141">
        <v>0</v>
      </c>
      <c r="AM606" s="141">
        <f>$K606-SUM($AB606:AL606)</f>
        <v>0</v>
      </c>
      <c r="AN606" s="141"/>
      <c r="AO606" s="141"/>
      <c r="AP606" s="141"/>
      <c r="AQ606" s="141"/>
      <c r="AR606" s="141"/>
      <c r="AS606" s="141"/>
      <c r="AT606" s="141"/>
      <c r="AU606" s="141"/>
      <c r="AV606" s="141"/>
      <c r="AW606" s="141"/>
    </row>
    <row r="607" spans="1:53">
      <c r="A607" s="52"/>
      <c r="B607" s="3822" t="s">
        <v>1105</v>
      </c>
      <c r="C607" s="585">
        <v>6020024</v>
      </c>
      <c r="D607" s="203" t="s">
        <v>1113</v>
      </c>
      <c r="E607" s="474">
        <f>IFERROR(VLOOKUP(C607,'פקודות נוספות'!$D$274:$F$797,3,0),0)</f>
        <v>30133.39</v>
      </c>
      <c r="F607" s="49">
        <f>SUMIF('פקודות נוספות'!C:C,C:C,'פקודות נוספות'!E:E)</f>
        <v>0</v>
      </c>
      <c r="H607" s="180"/>
      <c r="I607" s="180"/>
      <c r="J607" s="474">
        <f>SUM(E607:I607)</f>
        <v>30133.39</v>
      </c>
      <c r="K607" s="42">
        <f>M607+SUMIF('פקודות נוספות'!C:C,'מאזן בוחן'!C607,'פקודות נוספות'!F:F)</f>
        <v>9509.9599999999991</v>
      </c>
      <c r="L607" s="49"/>
      <c r="M607" s="1341">
        <f>IFERROR(VLOOKUP(C607,'פקודות נוספות'!$D$273:$G$797,4,0),0)</f>
        <v>9509.9599999999991</v>
      </c>
      <c r="N607" s="1104">
        <f t="shared" si="127"/>
        <v>3.1686137481125054</v>
      </c>
      <c r="O607" s="1522"/>
      <c r="P607" s="141">
        <v>5356.4000000000005</v>
      </c>
      <c r="Q607" s="141">
        <f>'[39]מאזן בוחן'!AE483</f>
        <v>1997.9699999999993</v>
      </c>
      <c r="R607" s="141">
        <v>6387.0899999999983</v>
      </c>
      <c r="S607" s="141">
        <v>4469.630000000001</v>
      </c>
      <c r="T607" s="141">
        <f>'[20]מאזן בוחן'!AR517</f>
        <v>113.60000000000218</v>
      </c>
      <c r="U607" s="141">
        <f>'[21]מאזן בוחן'!AS447</f>
        <v>66.18999999999869</v>
      </c>
      <c r="V607" s="726">
        <f>'[22]מאזן בוחן'!AJ433</f>
        <v>3289.7400000000007</v>
      </c>
      <c r="W607" s="726">
        <f>'[23]מאזן בוחן'!AK439</f>
        <v>99.679999999995744</v>
      </c>
      <c r="X607" s="141">
        <v>99.68000000000211</v>
      </c>
      <c r="Y607" s="141">
        <f>'[25]מאזן בוחן'!AM469</f>
        <v>112.97000000000116</v>
      </c>
      <c r="AA607" s="141">
        <f>'[32]מאזן בוחן'!AO486</f>
        <v>6227.68</v>
      </c>
      <c r="AB607" s="141">
        <f>'[26]מאזן בוחן'!AB496</f>
        <v>2352.83</v>
      </c>
      <c r="AC607" s="141">
        <f>'[27]מאזן בוחן'!AC505</f>
        <v>1592.4300000000003</v>
      </c>
      <c r="AD607" s="141">
        <f>'[28]מאזן בוחן'!AD513</f>
        <v>883.59000000000015</v>
      </c>
      <c r="AE607" s="141">
        <f>'[29]מאזן בוחן'!AE522</f>
        <v>77</v>
      </c>
      <c r="AF607" s="141">
        <f>'[30]מאזן בוחן'!AF531</f>
        <v>29.960000000000036</v>
      </c>
      <c r="AG607" s="141">
        <f>'[31]מאזן בוחן'!AG534</f>
        <v>28.969999999999345</v>
      </c>
      <c r="AH607" s="141">
        <v>171.69000000000051</v>
      </c>
      <c r="AI607" s="141">
        <v>30.649999999999636</v>
      </c>
      <c r="AJ607" s="141">
        <v>230.5600000000004</v>
      </c>
      <c r="AK607" s="141">
        <v>0</v>
      </c>
      <c r="AL607" s="141">
        <v>4083.41</v>
      </c>
      <c r="AM607" s="141">
        <f>$K607-SUM($AB607:AL607)</f>
        <v>28.869999999998981</v>
      </c>
      <c r="AN607" s="141"/>
      <c r="AO607" s="141"/>
      <c r="AP607" s="141"/>
      <c r="AQ607" s="141"/>
      <c r="AR607" s="141"/>
      <c r="AS607" s="141"/>
      <c r="AT607" s="141"/>
      <c r="AU607" s="141"/>
      <c r="AV607" s="141"/>
      <c r="AW607" s="141"/>
      <c r="AX607" s="137" t="s">
        <v>3024</v>
      </c>
    </row>
    <row r="608" spans="1:53">
      <c r="A608" s="52"/>
      <c r="B608" s="3822" t="s">
        <v>1116</v>
      </c>
      <c r="C608" s="585">
        <v>6120001</v>
      </c>
      <c r="D608" s="203" t="s">
        <v>1117</v>
      </c>
      <c r="E608" s="474">
        <f>IFERROR(VLOOKUP(C608,'פקודות נוספות'!$D$274:$F$797,3,0),0)</f>
        <v>0</v>
      </c>
      <c r="F608" s="49">
        <f>SUMIF('פקודות נוספות'!C:C,C:C,'פקודות נוספות'!E:E)</f>
        <v>0</v>
      </c>
      <c r="H608" s="180"/>
      <c r="I608" s="180"/>
      <c r="J608" s="474">
        <f t="shared" ref="J608:J614" si="128">SUM(E608:I608)</f>
        <v>0</v>
      </c>
      <c r="K608" s="42">
        <f>M608+SUMIF('פקודות נוספות'!C:C,'מאזן בוחן'!C608,'פקודות נוספות'!F:F)</f>
        <v>0</v>
      </c>
      <c r="L608" s="49"/>
      <c r="M608" s="1341">
        <f>IFERROR(VLOOKUP(C608,'פקודות נוספות'!$D$273:$G$797,4,0),0)</f>
        <v>0</v>
      </c>
      <c r="N608" s="1104" t="str">
        <f t="shared" ref="N608:N614" si="129">IF(K608=0,"-",J608/K608)</f>
        <v>-</v>
      </c>
      <c r="O608" s="1522"/>
      <c r="P608" s="141">
        <v>4407.3399999999992</v>
      </c>
      <c r="Q608" s="141">
        <f>'[39]מאזן בוחן'!AE485</f>
        <v>0</v>
      </c>
      <c r="R608" s="141">
        <v>0</v>
      </c>
      <c r="S608" s="141">
        <v>-2320.3899999999994</v>
      </c>
      <c r="T608" s="141">
        <f>'[20]מאזן בוחן'!AR520</f>
        <v>0</v>
      </c>
      <c r="U608" s="141">
        <f>'[21]מאזן בוחן'!AS449</f>
        <v>0</v>
      </c>
      <c r="V608" s="726">
        <f>'[22]מאזן בוחן'!AJ435</f>
        <v>0</v>
      </c>
      <c r="W608" s="726">
        <f>'[23]מאזן בוחן'!AK441</f>
        <v>0</v>
      </c>
      <c r="X608" s="141">
        <v>0</v>
      </c>
      <c r="Y608" s="141">
        <f>'[25]מאזן בוחן'!AM471</f>
        <v>0</v>
      </c>
      <c r="AA608" s="141">
        <f>'[32]מאזן בוחן'!AO488</f>
        <v>0</v>
      </c>
      <c r="AB608" s="141">
        <f>'[26]מאזן בוחן'!AB498</f>
        <v>0</v>
      </c>
      <c r="AC608" s="141">
        <f>'[27]מאזן בוחן'!AC507</f>
        <v>0</v>
      </c>
      <c r="AD608" s="141">
        <f>'[28]מאזן בוחן'!AD515</f>
        <v>0</v>
      </c>
      <c r="AE608" s="141">
        <f>'[29]מאזן בוחן'!AE524</f>
        <v>0</v>
      </c>
      <c r="AF608" s="141">
        <f>'[30]מאזן בוחן'!AF533</f>
        <v>0</v>
      </c>
      <c r="AG608" s="141">
        <f>'[31]מאזן בוחן'!AG536</f>
        <v>0</v>
      </c>
      <c r="AH608" s="141">
        <v>0</v>
      </c>
      <c r="AI608" s="141">
        <v>0</v>
      </c>
      <c r="AJ608" s="141">
        <v>0</v>
      </c>
      <c r="AK608" s="141">
        <v>0</v>
      </c>
      <c r="AL608" s="141">
        <v>0</v>
      </c>
      <c r="AM608" s="141">
        <f>$K608-SUM($AB608:AL608)</f>
        <v>0</v>
      </c>
      <c r="AN608" s="141"/>
      <c r="AO608" s="141"/>
      <c r="AP608" s="141"/>
      <c r="AQ608" s="141"/>
      <c r="AR608" s="141"/>
      <c r="AS608" s="141"/>
      <c r="AT608" s="141"/>
      <c r="AU608" s="141"/>
      <c r="AV608" s="141"/>
      <c r="AW608" s="141"/>
    </row>
    <row r="609" spans="1:50">
      <c r="A609" s="52"/>
      <c r="B609" s="3822" t="s">
        <v>1116</v>
      </c>
      <c r="C609" s="585">
        <v>6120002</v>
      </c>
      <c r="D609" s="203" t="s">
        <v>1118</v>
      </c>
      <c r="E609" s="474">
        <f>IFERROR(VLOOKUP(C609,'פקודות נוספות'!$D$274:$F$797,3,0),0)</f>
        <v>0</v>
      </c>
      <c r="F609" s="49">
        <f>SUMIF('פקודות נוספות'!C:C,C:C,'פקודות נוספות'!E:E)</f>
        <v>0</v>
      </c>
      <c r="H609" s="180"/>
      <c r="I609" s="180"/>
      <c r="J609" s="474">
        <f t="shared" si="128"/>
        <v>0</v>
      </c>
      <c r="K609" s="42">
        <f>M609+SUMIF('פקודות נוספות'!C:C,'מאזן בוחן'!C609,'פקודות נוספות'!F:F)</f>
        <v>0</v>
      </c>
      <c r="L609" s="49"/>
      <c r="M609" s="1341">
        <f>IFERROR(VLOOKUP(C609,'פקודות נוספות'!$D$273:$G$797,4,0),0)</f>
        <v>0</v>
      </c>
      <c r="N609" s="1104" t="str">
        <f t="shared" si="129"/>
        <v>-</v>
      </c>
      <c r="O609" s="1522"/>
      <c r="P609" s="141">
        <v>926.79</v>
      </c>
      <c r="Q609" s="141">
        <f>'[39]מאזן בוחן'!AE486</f>
        <v>3197.95</v>
      </c>
      <c r="R609" s="141">
        <v>0</v>
      </c>
      <c r="S609" s="141">
        <v>1094.7800000000007</v>
      </c>
      <c r="T609" s="141">
        <f>'[20]מאזן בוחן'!AR521</f>
        <v>0</v>
      </c>
      <c r="U609" s="141">
        <f>'[21]מאזן בוחן'!AS450</f>
        <v>0</v>
      </c>
      <c r="V609" s="726">
        <f>'[22]מאזן בוחן'!AJ436</f>
        <v>0</v>
      </c>
      <c r="W609" s="726">
        <f>'[23]מאזן בוחן'!AK442</f>
        <v>0</v>
      </c>
      <c r="X609" s="141">
        <v>0</v>
      </c>
      <c r="Y609" s="141">
        <f>'[25]מאזן בוחן'!AM472</f>
        <v>0</v>
      </c>
      <c r="AA609" s="141">
        <f>'[32]מאזן בוחן'!AO489</f>
        <v>0</v>
      </c>
      <c r="AB609" s="141">
        <f>'[26]מאזן בוחן'!AB499</f>
        <v>0</v>
      </c>
      <c r="AC609" s="141">
        <f>'[27]מאזן בוחן'!AC508</f>
        <v>0</v>
      </c>
      <c r="AD609" s="141">
        <f>'[28]מאזן בוחן'!AD516</f>
        <v>0</v>
      </c>
      <c r="AE609" s="141">
        <f>'[29]מאזן בוחן'!AE525</f>
        <v>0</v>
      </c>
      <c r="AF609" s="141">
        <f>'[30]מאזן בוחן'!AF534</f>
        <v>0</v>
      </c>
      <c r="AG609" s="141">
        <f>'[31]מאזן בוחן'!AG537</f>
        <v>0</v>
      </c>
      <c r="AH609" s="141">
        <v>0</v>
      </c>
      <c r="AI609" s="141">
        <v>0</v>
      </c>
      <c r="AJ609" s="141">
        <v>0</v>
      </c>
      <c r="AK609" s="141">
        <v>0</v>
      </c>
      <c r="AL609" s="141">
        <v>0</v>
      </c>
      <c r="AM609" s="141">
        <f>$K609-SUM($AB609:AL609)</f>
        <v>0</v>
      </c>
      <c r="AN609" s="141"/>
      <c r="AO609" s="141"/>
      <c r="AP609" s="141"/>
      <c r="AQ609" s="141"/>
      <c r="AR609" s="141"/>
      <c r="AS609" s="141"/>
      <c r="AT609" s="141"/>
      <c r="AU609" s="141"/>
      <c r="AV609" s="141"/>
      <c r="AW609" s="141"/>
    </row>
    <row r="610" spans="1:50">
      <c r="A610" s="52"/>
      <c r="B610" s="3822" t="s">
        <v>1116</v>
      </c>
      <c r="C610" s="585">
        <v>6120003</v>
      </c>
      <c r="D610" s="203" t="s">
        <v>1119</v>
      </c>
      <c r="E610" s="474">
        <f>IFERROR(VLOOKUP(C610,'פקודות נוספות'!$D$274:$F$797,3,0),0)</f>
        <v>0</v>
      </c>
      <c r="F610" s="49">
        <f>SUMIF('פקודות נוספות'!C:C,C:C,'פקודות נוספות'!E:E)</f>
        <v>0</v>
      </c>
      <c r="H610" s="180"/>
      <c r="I610" s="180"/>
      <c r="J610" s="474">
        <f t="shared" si="128"/>
        <v>0</v>
      </c>
      <c r="K610" s="42">
        <f>M610+SUMIF('פקודות נוספות'!C:C,'מאזן בוחן'!C610,'פקודות נוספות'!F:F)</f>
        <v>0</v>
      </c>
      <c r="L610" s="49"/>
      <c r="M610" s="1341">
        <f>IFERROR(VLOOKUP(C610,'פקודות נוספות'!$D$273:$G$797,4,0),0)</f>
        <v>0</v>
      </c>
      <c r="N610" s="1104" t="str">
        <f t="shared" si="129"/>
        <v>-</v>
      </c>
      <c r="O610" s="1522"/>
      <c r="P610" s="141">
        <v>801.08</v>
      </c>
      <c r="Q610" s="141">
        <f>'[39]מאזן בוחן'!AE487</f>
        <v>1245.7599999999998</v>
      </c>
      <c r="R610" s="141">
        <v>0</v>
      </c>
      <c r="S610" s="141">
        <v>391.38000000000011</v>
      </c>
      <c r="T610" s="141">
        <f>'[20]מאזן בוחן'!AR522</f>
        <v>0</v>
      </c>
      <c r="U610" s="141">
        <f>'[21]מאזן בוחן'!AS451</f>
        <v>0</v>
      </c>
      <c r="V610" s="726">
        <f>'[22]מאזן בוחן'!AJ437</f>
        <v>0</v>
      </c>
      <c r="W610" s="726">
        <f>'[23]מאזן בוחן'!AK443</f>
        <v>-1.1368683772161603E-13</v>
      </c>
      <c r="X610" s="141">
        <v>-1.1368683772161603E-13</v>
      </c>
      <c r="Y610" s="141">
        <f>'[25]מאזן בוחן'!AM473</f>
        <v>0</v>
      </c>
      <c r="AA610" s="141">
        <f>'[32]מאזן בוחן'!AO490</f>
        <v>0</v>
      </c>
      <c r="AB610" s="141">
        <f>'[26]מאזן בוחן'!AB500</f>
        <v>0</v>
      </c>
      <c r="AC610" s="141">
        <f>'[27]מאזן בוחן'!AC509</f>
        <v>0</v>
      </c>
      <c r="AD610" s="141">
        <f>'[28]מאזן בוחן'!AD517</f>
        <v>0</v>
      </c>
      <c r="AE610" s="141">
        <f>'[29]מאזן בוחן'!AE526</f>
        <v>0</v>
      </c>
      <c r="AF610" s="141">
        <f>'[30]מאזן בוחן'!AF535</f>
        <v>0</v>
      </c>
      <c r="AG610" s="141">
        <f>'[31]מאזן בוחן'!AG538</f>
        <v>0</v>
      </c>
      <c r="AH610" s="141">
        <v>0</v>
      </c>
      <c r="AI610" s="141">
        <v>0</v>
      </c>
      <c r="AJ610" s="141">
        <v>0</v>
      </c>
      <c r="AK610" s="141">
        <v>0</v>
      </c>
      <c r="AL610" s="141">
        <v>0</v>
      </c>
      <c r="AM610" s="141">
        <f>$K610-SUM($AB610:AL610)</f>
        <v>0</v>
      </c>
      <c r="AN610" s="141"/>
      <c r="AO610" s="141"/>
      <c r="AP610" s="141"/>
      <c r="AQ610" s="141"/>
      <c r="AR610" s="141"/>
      <c r="AS610" s="141"/>
      <c r="AT610" s="141"/>
      <c r="AU610" s="141"/>
      <c r="AV610" s="141"/>
      <c r="AW610" s="141"/>
    </row>
    <row r="611" spans="1:50">
      <c r="A611" s="52"/>
      <c r="B611" s="3822" t="s">
        <v>1116</v>
      </c>
      <c r="C611" s="585">
        <v>6120004</v>
      </c>
      <c r="D611" s="203" t="s">
        <v>1120</v>
      </c>
      <c r="E611" s="474">
        <f>IFERROR(VLOOKUP(C611,'פקודות נוספות'!$D$274:$F$797,3,0),0)</f>
        <v>0</v>
      </c>
      <c r="F611" s="49">
        <f>SUMIF('פקודות נוספות'!C:C,C:C,'פקודות נוספות'!E:E)</f>
        <v>0</v>
      </c>
      <c r="H611" s="180"/>
      <c r="I611" s="180"/>
      <c r="J611" s="474">
        <f t="shared" si="128"/>
        <v>0</v>
      </c>
      <c r="K611" s="42">
        <f>M611+SUMIF('פקודות נוספות'!C:C,'מאזן בוחן'!C611,'פקודות נוספות'!F:F)</f>
        <v>0</v>
      </c>
      <c r="L611" s="49"/>
      <c r="M611" s="1341">
        <f>IFERROR(VLOOKUP(C611,'פקודות נוספות'!$D$273:$G$797,4,0),0)</f>
        <v>0</v>
      </c>
      <c r="N611" s="1104" t="str">
        <f t="shared" si="129"/>
        <v>-</v>
      </c>
      <c r="O611" s="1522"/>
      <c r="P611" s="141">
        <v>557.4</v>
      </c>
      <c r="Q611" s="141">
        <f>'[39]מאזן בוחן'!AE488</f>
        <v>827.38</v>
      </c>
      <c r="R611" s="141">
        <v>0</v>
      </c>
      <c r="S611" s="141">
        <v>335.9000000000002</v>
      </c>
      <c r="T611" s="141">
        <f>'[20]מאזן בוחן'!AR523</f>
        <v>0</v>
      </c>
      <c r="U611" s="141">
        <f>'[21]מאזן בוחן'!AS452</f>
        <v>0</v>
      </c>
      <c r="V611" s="726">
        <f>'[22]מאזן בוחן'!AJ438</f>
        <v>0</v>
      </c>
      <c r="W611" s="726">
        <f>'[23]מאזן בוחן'!AK444</f>
        <v>-1.1368683772161603E-13</v>
      </c>
      <c r="X611" s="141">
        <v>-2.2737367544323206E-13</v>
      </c>
      <c r="Y611" s="141">
        <f>'[25]מאזן בוחן'!AM474</f>
        <v>0</v>
      </c>
      <c r="AA611" s="141">
        <f>'[32]מאזן בוחן'!AO491</f>
        <v>0</v>
      </c>
      <c r="AB611" s="141">
        <f>'[26]מאזן בוחן'!AB501</f>
        <v>0</v>
      </c>
      <c r="AC611" s="141">
        <f>'[27]מאזן בוחן'!AC510</f>
        <v>0</v>
      </c>
      <c r="AD611" s="141">
        <f>'[28]מאזן בוחן'!AD518</f>
        <v>0</v>
      </c>
      <c r="AE611" s="141">
        <f>'[29]מאזן בוחן'!AE527</f>
        <v>0</v>
      </c>
      <c r="AF611" s="141">
        <f>'[30]מאזן בוחן'!AF536</f>
        <v>0</v>
      </c>
      <c r="AG611" s="141">
        <f>'[31]מאזן בוחן'!AG539</f>
        <v>0</v>
      </c>
      <c r="AH611" s="141">
        <v>0</v>
      </c>
      <c r="AI611" s="141">
        <v>0</v>
      </c>
      <c r="AJ611" s="141">
        <v>0</v>
      </c>
      <c r="AK611" s="141">
        <v>0</v>
      </c>
      <c r="AL611" s="141">
        <v>0</v>
      </c>
      <c r="AM611" s="141">
        <f>$K611-SUM($AB611:AL611)</f>
        <v>0</v>
      </c>
      <c r="AN611" s="141"/>
      <c r="AO611" s="141"/>
      <c r="AP611" s="141"/>
      <c r="AQ611" s="141"/>
      <c r="AR611" s="141"/>
      <c r="AS611" s="141"/>
      <c r="AT611" s="141"/>
      <c r="AU611" s="141"/>
      <c r="AV611" s="141"/>
      <c r="AW611" s="141"/>
    </row>
    <row r="612" spans="1:50">
      <c r="A612" s="52"/>
      <c r="B612" s="3822" t="s">
        <v>1116</v>
      </c>
      <c r="C612" s="585">
        <v>6120005</v>
      </c>
      <c r="D612" s="203" t="s">
        <v>1121</v>
      </c>
      <c r="E612" s="474">
        <f>IFERROR(VLOOKUP(C612,'פקודות נוספות'!$D$274:$F$797,3,0),0)</f>
        <v>0</v>
      </c>
      <c r="F612" s="49">
        <f>SUMIF('פקודות נוספות'!C:C,C:C,'פקודות נוספות'!E:E)</f>
        <v>0</v>
      </c>
      <c r="H612" s="180"/>
      <c r="I612" s="180"/>
      <c r="J612" s="474">
        <f t="shared" si="128"/>
        <v>0</v>
      </c>
      <c r="K612" s="42">
        <f>M612+SUMIF('פקודות נוספות'!C:C,'מאזן בוחן'!C612,'פקודות נוספות'!F:F)</f>
        <v>0</v>
      </c>
      <c r="L612" s="49"/>
      <c r="M612" s="1341">
        <f>IFERROR(VLOOKUP(C612,'פקודות נוספות'!$D$273:$G$797,4,0),0)</f>
        <v>0</v>
      </c>
      <c r="N612" s="1104" t="str">
        <f t="shared" si="129"/>
        <v>-</v>
      </c>
      <c r="O612" s="1522"/>
      <c r="P612" s="141">
        <v>80.36</v>
      </c>
      <c r="Q612" s="141">
        <f>'[39]מאזן בוחן'!AE489</f>
        <v>93.94</v>
      </c>
      <c r="R612" s="141">
        <v>0</v>
      </c>
      <c r="S612" s="141">
        <v>1.4210854715202004E-14</v>
      </c>
      <c r="T612" s="141">
        <f>'[20]מאזן בוחן'!AR524</f>
        <v>0</v>
      </c>
      <c r="U612" s="141">
        <f>'[21]מאזן בוחן'!AS453</f>
        <v>0</v>
      </c>
      <c r="V612" s="726">
        <f>'[22]מאזן בוחן'!AJ439</f>
        <v>0</v>
      </c>
      <c r="W612" s="726">
        <f>'[23]מאזן בוחן'!AK445</f>
        <v>0</v>
      </c>
      <c r="X612" s="141">
        <v>0</v>
      </c>
      <c r="Y612" s="141">
        <f>'[25]מאזן בוחן'!AM475</f>
        <v>0</v>
      </c>
      <c r="AA612" s="141">
        <f>'[32]מאזן בוחן'!AO492</f>
        <v>0</v>
      </c>
      <c r="AB612" s="141">
        <f>'[26]מאזן בוחן'!AB502</f>
        <v>0</v>
      </c>
      <c r="AC612" s="141">
        <f>'[27]מאזן בוחן'!AC511</f>
        <v>0</v>
      </c>
      <c r="AD612" s="141">
        <f>'[28]מאזן בוחן'!AD519</f>
        <v>0</v>
      </c>
      <c r="AE612" s="141">
        <f>'[29]מאזן בוחן'!AE528</f>
        <v>0</v>
      </c>
      <c r="AF612" s="141">
        <f>'[30]מאזן בוחן'!AF537</f>
        <v>0</v>
      </c>
      <c r="AG612" s="141">
        <f>'[31]מאזן בוחן'!AG540</f>
        <v>0</v>
      </c>
      <c r="AH612" s="141">
        <v>0</v>
      </c>
      <c r="AI612" s="141">
        <v>0</v>
      </c>
      <c r="AJ612" s="141">
        <v>0</v>
      </c>
      <c r="AK612" s="141">
        <v>0</v>
      </c>
      <c r="AL612" s="141">
        <v>0</v>
      </c>
      <c r="AM612" s="141">
        <f>$K612-SUM($AB612:AL612)</f>
        <v>0</v>
      </c>
      <c r="AN612" s="141"/>
      <c r="AO612" s="141"/>
      <c r="AP612" s="141"/>
      <c r="AQ612" s="141"/>
      <c r="AR612" s="141"/>
      <c r="AS612" s="141"/>
      <c r="AT612" s="141"/>
      <c r="AU612" s="141"/>
      <c r="AV612" s="141"/>
      <c r="AW612" s="141"/>
    </row>
    <row r="613" spans="1:50">
      <c r="A613" s="52"/>
      <c r="B613" s="3822" t="s">
        <v>1116</v>
      </c>
      <c r="C613" s="585">
        <v>6120006</v>
      </c>
      <c r="D613" s="203" t="s">
        <v>449</v>
      </c>
      <c r="E613" s="474">
        <f>IFERROR(VLOOKUP(C613,'פקודות נוספות'!$D$274:$F$797,3,0),0)</f>
        <v>578730.06000000006</v>
      </c>
      <c r="F613" s="49">
        <f>SUMIF('פקודות נוספות'!C:C,C:C,'פקודות נוספות'!E:E)</f>
        <v>0</v>
      </c>
      <c r="H613" s="180"/>
      <c r="I613" s="180"/>
      <c r="J613" s="474">
        <f t="shared" si="128"/>
        <v>578730.06000000006</v>
      </c>
      <c r="K613" s="42">
        <f>M613+SUMIF('פקודות נוספות'!C:C,'מאזן בוחן'!C613,'פקודות נוספות'!F:F)</f>
        <v>179674.4</v>
      </c>
      <c r="L613" s="49"/>
      <c r="M613" s="1341">
        <f>IFERROR(VLOOKUP(C613,'פקודות נוספות'!$D$273:$G$797,4,0),0)</f>
        <v>179674.4</v>
      </c>
      <c r="N613" s="1104">
        <f t="shared" si="129"/>
        <v>3.2209934192071885</v>
      </c>
      <c r="O613" s="1522"/>
      <c r="P613" s="141">
        <v>7586.6500000000005</v>
      </c>
      <c r="Q613" s="141">
        <f>'[39]מאזן בוחן'!AE490</f>
        <v>5861.8099999999986</v>
      </c>
      <c r="R613" s="141">
        <v>1438.4799999999996</v>
      </c>
      <c r="S613" s="141">
        <v>4012.45</v>
      </c>
      <c r="T613" s="141">
        <f>'[20]מאזן בוחן'!AR525</f>
        <v>14302.530000000006</v>
      </c>
      <c r="U613" s="141">
        <f>'[21]מאזן בוחן'!AS454</f>
        <v>9524.9199999999983</v>
      </c>
      <c r="V613" s="726">
        <f>'[22]מאזן בוחן'!AJ440</f>
        <v>10714.290000000005</v>
      </c>
      <c r="W613" s="726">
        <f>'[23]מאזן בוחן'!AK446</f>
        <v>11478.150000000001</v>
      </c>
      <c r="X613" s="141">
        <v>12637.869999999999</v>
      </c>
      <c r="Y613" s="141">
        <f>'[25]מאזן בוחן'!AM476</f>
        <v>15041.619999999995</v>
      </c>
      <c r="AA613" s="141">
        <f>'[32]מאזן בוחן'!AO493</f>
        <v>13623.200000000012</v>
      </c>
      <c r="AB613" s="141">
        <f>'[26]מאזן בוחן'!AB503</f>
        <v>17659.57</v>
      </c>
      <c r="AC613" s="141">
        <f>'[27]מאזן בוחן'!AC512</f>
        <v>9020.84</v>
      </c>
      <c r="AD613" s="141">
        <f>'[28]מאזן בוחן'!AD520</f>
        <v>12132.759999999998</v>
      </c>
      <c r="AE613" s="141">
        <f>'[29]מאזן בוחן'!AE529</f>
        <v>12338.130000000005</v>
      </c>
      <c r="AF613" s="141">
        <f>'[30]מאזן בוחן'!AF538</f>
        <v>12399.649999999994</v>
      </c>
      <c r="AG613" s="141">
        <f>'[31]מאזן בוחן'!AG541</f>
        <v>12337.180000000008</v>
      </c>
      <c r="AH613" s="141">
        <v>13646.14</v>
      </c>
      <c r="AI613" s="141">
        <v>18908.53</v>
      </c>
      <c r="AJ613" s="141">
        <v>13781.399999999994</v>
      </c>
      <c r="AK613" s="141">
        <v>15526.440000000017</v>
      </c>
      <c r="AL613" s="141">
        <v>19275.909999999974</v>
      </c>
      <c r="AM613" s="141">
        <f>$K613-SUM($AB613:AL613)</f>
        <v>22647.850000000006</v>
      </c>
      <c r="AN613" s="141"/>
      <c r="AO613" s="141"/>
      <c r="AP613" s="141"/>
      <c r="AQ613" s="141"/>
      <c r="AR613" s="141" t="s">
        <v>4097</v>
      </c>
      <c r="AS613" s="141"/>
      <c r="AT613" s="141"/>
      <c r="AU613" s="141"/>
      <c r="AV613" s="141"/>
      <c r="AW613" s="141"/>
    </row>
    <row r="614" spans="1:50">
      <c r="A614" s="52"/>
      <c r="B614" s="3822" t="s">
        <v>1116</v>
      </c>
      <c r="C614" s="585">
        <v>6120007</v>
      </c>
      <c r="D614" s="203" t="s">
        <v>232</v>
      </c>
      <c r="E614" s="474">
        <f>IFERROR(VLOOKUP(C614,'פקודות נוספות'!$D$274:$F$797,3,0),0)</f>
        <v>1181.25</v>
      </c>
      <c r="F614" s="49">
        <f>SUMIF('פקודות נוספות'!C:C,C:C,'פקודות נוספות'!E:E)</f>
        <v>0</v>
      </c>
      <c r="H614" s="180"/>
      <c r="I614" s="180"/>
      <c r="J614" s="474">
        <f t="shared" si="128"/>
        <v>1181.25</v>
      </c>
      <c r="K614" s="42">
        <f>M614+SUMIF('פקודות נוספות'!C:C,'מאזן בוחן'!C614,'פקודות נוספות'!F:F)</f>
        <v>366.66</v>
      </c>
      <c r="L614" s="49"/>
      <c r="M614" s="1341">
        <f>IFERROR(VLOOKUP(C614,'פקודות נוספות'!$D$273:$G$797,4,0),0)</f>
        <v>366.66</v>
      </c>
      <c r="N614" s="1104">
        <f t="shared" si="129"/>
        <v>3.2216494845360821</v>
      </c>
      <c r="O614" s="1522"/>
      <c r="P614" s="141">
        <v>564.76</v>
      </c>
      <c r="Q614" s="141">
        <f>'[39]מאזן בוחן'!AE491</f>
        <v>393.31999999999988</v>
      </c>
      <c r="R614" s="141">
        <v>191.98000000000008</v>
      </c>
      <c r="S614" s="141">
        <v>0</v>
      </c>
      <c r="T614" s="141">
        <f>'[20]מאזן בוחן'!AR526</f>
        <v>0</v>
      </c>
      <c r="U614" s="141">
        <f>'[21]מאזן בוחן'!AS455</f>
        <v>0</v>
      </c>
      <c r="V614" s="726">
        <f>'[22]מאזן בוחן'!AJ441</f>
        <v>331.72999999999996</v>
      </c>
      <c r="W614" s="726">
        <f>'[23]מאזן בוחן'!AK447</f>
        <v>0</v>
      </c>
      <c r="X614" s="141">
        <v>179.49999999999994</v>
      </c>
      <c r="Y614" s="141">
        <f>'[25]מאזן בוחן'!AM477</f>
        <v>158.45000000000027</v>
      </c>
      <c r="AA614" s="141">
        <f>'[32]מאזן בוחן'!AO494</f>
        <v>0</v>
      </c>
      <c r="AB614" s="141">
        <f>'[26]מאזן בוחן'!AB504</f>
        <v>0</v>
      </c>
      <c r="AC614" s="141">
        <f>'[27]מאזן בוחן'!AC513</f>
        <v>141.05000000000001</v>
      </c>
      <c r="AD614" s="141">
        <f>'[28]מאזן בוחן'!AD521</f>
        <v>0</v>
      </c>
      <c r="AE614" s="141">
        <f>'[29]מאזן בוחן'!AE530</f>
        <v>0</v>
      </c>
      <c r="AF614" s="141">
        <f>'[30]מאזן בוחן'!AF539</f>
        <v>34.539999999999992</v>
      </c>
      <c r="AG614" s="141">
        <f>'[31]מאזן בוחן'!AG542</f>
        <v>34.47999999999999</v>
      </c>
      <c r="AH614" s="141">
        <v>0</v>
      </c>
      <c r="AI614" s="141">
        <v>0</v>
      </c>
      <c r="AJ614" s="141">
        <v>0</v>
      </c>
      <c r="AK614" s="141">
        <v>156.59000000000003</v>
      </c>
      <c r="AL614" s="141">
        <v>0</v>
      </c>
      <c r="AM614" s="141">
        <f>$K614-SUM($AB614:AL614)</f>
        <v>0</v>
      </c>
      <c r="AN614" s="141"/>
      <c r="AO614" s="141"/>
      <c r="AP614" s="141"/>
      <c r="AQ614" s="141"/>
      <c r="AR614" s="141"/>
      <c r="AS614" s="141"/>
      <c r="AT614" s="141"/>
      <c r="AU614" s="141"/>
      <c r="AV614" s="141"/>
      <c r="AW614" s="141"/>
    </row>
    <row r="615" spans="1:50">
      <c r="A615" s="52"/>
      <c r="B615" s="3822" t="s">
        <v>1116</v>
      </c>
      <c r="C615" s="585">
        <v>6120009</v>
      </c>
      <c r="D615" s="203" t="s">
        <v>1962</v>
      </c>
      <c r="E615" s="474">
        <f>IFERROR(VLOOKUP(C615,'פקודות נוספות'!$D$274:$F$797,3,0),0)</f>
        <v>31298.98</v>
      </c>
      <c r="F615" s="49">
        <f>SUMIF('פקודות נוספות'!C:C,C:C,'פקודות נוספות'!E:E)</f>
        <v>0</v>
      </c>
      <c r="H615" s="180"/>
      <c r="I615" s="180"/>
      <c r="J615" s="474">
        <f>SUM(E615:I615)</f>
        <v>31298.98</v>
      </c>
      <c r="K615" s="42">
        <f>M615+SUMIF('פקודות נוספות'!C:C,'מאזן בוחן'!C615,'פקודות נוספות'!F:F)</f>
        <v>9985.2800000000007</v>
      </c>
      <c r="L615" s="49"/>
      <c r="M615" s="1341">
        <f>IFERROR(VLOOKUP(C615,'פקודות נוספות'!$D$273:$G$797,4,0),0)</f>
        <v>9985.2800000000007</v>
      </c>
      <c r="N615" s="1104">
        <f>IF(K615=0,"-",J615/K615)</f>
        <v>3.1345120016664527</v>
      </c>
      <c r="O615" s="1522"/>
      <c r="P615" s="141">
        <v>0</v>
      </c>
      <c r="Q615" s="141">
        <f>'[39]מאזן בוחן'!AE492</f>
        <v>0</v>
      </c>
      <c r="R615" s="141">
        <v>0</v>
      </c>
      <c r="S615" s="141">
        <v>0</v>
      </c>
      <c r="T615" s="141">
        <f>'[20]מאזן בוחן'!AR527</f>
        <v>0</v>
      </c>
      <c r="U615" s="141">
        <f>'[21]מאזן בוחן'!AS456</f>
        <v>0</v>
      </c>
      <c r="V615" s="726">
        <f>'[22]מאזן בוחן'!AJ442</f>
        <v>0</v>
      </c>
      <c r="W615" s="726">
        <f>'[23]מאזן בוחן'!AK448</f>
        <v>533.10000000000014</v>
      </c>
      <c r="X615" s="141">
        <v>0</v>
      </c>
      <c r="Y615" s="141">
        <f>'[25]מאזן בוחן'!AM478</f>
        <v>0</v>
      </c>
      <c r="AA615" s="141">
        <f>'[32]מאזן בוחן'!AO495</f>
        <v>7988.9700000000012</v>
      </c>
      <c r="AB615" s="141">
        <f>'[26]מאזן בוחן'!AB505</f>
        <v>1728</v>
      </c>
      <c r="AC615" s="141">
        <f>'[27]מאזן בוחן'!AC514</f>
        <v>780</v>
      </c>
      <c r="AD615" s="141">
        <f>'[28]מאזן בוחן'!AD522</f>
        <v>0</v>
      </c>
      <c r="AE615" s="141">
        <f>'[29]מאזן בוחן'!AE531</f>
        <v>0</v>
      </c>
      <c r="AF615" s="141">
        <f>'[30]מאזן בוחן'!AF540</f>
        <v>0</v>
      </c>
      <c r="AG615" s="141">
        <f>'[31]מאזן בוחן'!AG543</f>
        <v>0</v>
      </c>
      <c r="AH615" s="141">
        <v>1159.9099999999999</v>
      </c>
      <c r="AI615" s="141">
        <v>0</v>
      </c>
      <c r="AJ615" s="141">
        <v>0</v>
      </c>
      <c r="AK615" s="141">
        <v>2337.37</v>
      </c>
      <c r="AL615" s="141">
        <v>3980.0000000000009</v>
      </c>
      <c r="AM615" s="141">
        <f>$K615-SUM($AB615:AL615)</f>
        <v>0</v>
      </c>
      <c r="AN615" s="141"/>
      <c r="AO615" s="141"/>
      <c r="AP615" s="141"/>
      <c r="AQ615" s="141"/>
      <c r="AR615" s="141"/>
      <c r="AS615" s="141"/>
      <c r="AT615" s="141"/>
      <c r="AU615" s="141"/>
      <c r="AV615" s="141"/>
      <c r="AW615" s="141"/>
      <c r="AX615" s="137" t="s">
        <v>3024</v>
      </c>
    </row>
    <row r="616" spans="1:50">
      <c r="A616" s="52"/>
      <c r="B616" s="3822" t="s">
        <v>1116</v>
      </c>
      <c r="C616" s="585">
        <v>6120008</v>
      </c>
      <c r="D616" s="203" t="s">
        <v>1287</v>
      </c>
      <c r="E616" s="474">
        <f>IFERROR(VLOOKUP(C616,'פקודות נוספות'!$D$274:$F$797,3,0),0)</f>
        <v>78065.39</v>
      </c>
      <c r="F616" s="49">
        <f>SUMIF('פקודות נוספות'!C:C,C:C,'פקודות נוספות'!E:E)</f>
        <v>0</v>
      </c>
      <c r="H616" s="180"/>
      <c r="I616" s="180"/>
      <c r="J616" s="474">
        <f>SUM(E616:I616)</f>
        <v>78065.39</v>
      </c>
      <c r="K616" s="42">
        <f>M616+SUMIF('פקודות נוספות'!C:C,'מאזן בוחן'!C616,'פקודות נוספות'!F:F)</f>
        <v>23931.59</v>
      </c>
      <c r="L616" s="49"/>
      <c r="M616" s="1341">
        <f>IFERROR(VLOOKUP(C616,'פקודות נוספות'!$D$273:$G$797,4,0),0)</f>
        <v>23931.59</v>
      </c>
      <c r="N616" s="1104">
        <f>IF(K616=0,"-",J616/K616)</f>
        <v>3.2620227072250527</v>
      </c>
      <c r="O616" s="1522"/>
      <c r="P616" s="1512">
        <v>887.15</v>
      </c>
      <c r="Q616" s="141">
        <f>'[39]מאזן בוחן'!AE493</f>
        <v>1528.9299999999998</v>
      </c>
      <c r="R616" s="141">
        <v>1119.9999999999995</v>
      </c>
      <c r="S616" s="141">
        <v>1530.4900000000016</v>
      </c>
      <c r="T616" s="141">
        <f>'[20]מאזן בוחן'!AR528</f>
        <v>1120</v>
      </c>
      <c r="U616" s="141">
        <f>'[21]מאזן בוחן'!AS457</f>
        <v>1351.5199999999991</v>
      </c>
      <c r="V616" s="726">
        <f>'[22]מאזן בוחן'!AJ443</f>
        <v>1539.7399999999989</v>
      </c>
      <c r="W616" s="726">
        <f>'[23]מאזן בוחן'!AK449</f>
        <v>1747.9099999999999</v>
      </c>
      <c r="X616" s="141">
        <v>1887.9000000000019</v>
      </c>
      <c r="Y616" s="141">
        <f>'[25]מאזן בוחן'!AM479</f>
        <v>1611.1899999999987</v>
      </c>
      <c r="AA616" s="141">
        <f>'[32]מאזן בוחן'!AO496</f>
        <v>1872.8100000000013</v>
      </c>
      <c r="AB616" s="141">
        <f>'[26]מאזן בוחן'!AB506</f>
        <v>1462.5</v>
      </c>
      <c r="AC616" s="141">
        <f>'[27]מאזן בוחן'!AC515</f>
        <v>2088.9</v>
      </c>
      <c r="AD616" s="141">
        <f>'[28]מאזן בוחן'!AD525</f>
        <v>2016.0700000000002</v>
      </c>
      <c r="AE616" s="141">
        <f>'[29]מאזן בוחן'!AE533</f>
        <v>1810.8599999999997</v>
      </c>
      <c r="AF616" s="141">
        <f>'[30]מאזן בוחן'!AF542</f>
        <v>2044.6299999999992</v>
      </c>
      <c r="AG616" s="141">
        <f>'[31]מאזן בוחן'!AG545</f>
        <v>2326.8700000000008</v>
      </c>
      <c r="AH616" s="141">
        <v>2183.9300000000003</v>
      </c>
      <c r="AI616" s="141">
        <v>1977.3600000000006</v>
      </c>
      <c r="AJ616" s="141">
        <v>1944.6900000000005</v>
      </c>
      <c r="AK616" s="141">
        <v>1944.6899999999987</v>
      </c>
      <c r="AL616" s="141">
        <v>1944.6899999999987</v>
      </c>
      <c r="AM616" s="141">
        <f>$K616-SUM($AB616:AL616)</f>
        <v>2186.4000000000015</v>
      </c>
      <c r="AN616" s="141"/>
      <c r="AO616" s="141"/>
      <c r="AP616" s="141"/>
      <c r="AQ616" s="141"/>
      <c r="AR616" s="141"/>
      <c r="AS616" s="141"/>
      <c r="AT616" s="141"/>
      <c r="AU616" s="141"/>
      <c r="AV616" s="141"/>
      <c r="AW616" s="141"/>
    </row>
    <row r="617" spans="1:50">
      <c r="A617" s="52"/>
      <c r="B617" s="3659"/>
      <c r="C617" s="156"/>
      <c r="D617" s="203"/>
      <c r="E617" s="1202"/>
      <c r="H617" s="180"/>
      <c r="I617" s="180"/>
      <c r="J617" s="474"/>
      <c r="K617" s="42"/>
      <c r="L617" s="49"/>
      <c r="M617" s="474"/>
      <c r="O617" s="1522"/>
      <c r="P617" s="137">
        <v>0</v>
      </c>
      <c r="Q617" s="141">
        <f>'[39]מאזן בוחן'!AE494</f>
        <v>0</v>
      </c>
      <c r="R617" s="137">
        <v>0</v>
      </c>
      <c r="S617" s="137">
        <v>0</v>
      </c>
      <c r="T617" s="141">
        <f>'[20]מאזן בוחן'!AR529</f>
        <v>0</v>
      </c>
      <c r="U617" s="141">
        <f>'[21]מאזן בוחן'!AS458</f>
        <v>0</v>
      </c>
      <c r="V617" s="726">
        <f>'[22]מאזן בוחן'!AJ444</f>
        <v>0</v>
      </c>
      <c r="W617" s="726">
        <f>'[23]מאזן בוחן'!AK450</f>
        <v>0</v>
      </c>
      <c r="X617" s="141">
        <v>0</v>
      </c>
      <c r="Y617" s="141">
        <f>'[25]מאזן בוחן'!AM480</f>
        <v>0</v>
      </c>
      <c r="AA617" s="141">
        <f>'[32]מאזן בוחן'!AO497</f>
        <v>0</v>
      </c>
      <c r="AB617" s="141">
        <f>'[26]מאזן בוחן'!AB507</f>
        <v>0</v>
      </c>
      <c r="AC617" s="141">
        <f>'[27]מאזן בוחן'!AC516</f>
        <v>0</v>
      </c>
      <c r="AD617" s="141">
        <f>'[28]מאזן בוחן'!AD526</f>
        <v>0</v>
      </c>
      <c r="AE617" s="141">
        <f>'[29]מאזן בוחן'!AE534</f>
        <v>0</v>
      </c>
      <c r="AF617" s="141">
        <f>'[30]מאזן בוחן'!AF543</f>
        <v>0</v>
      </c>
      <c r="AG617" s="141">
        <f>'[31]מאזן בוחן'!AG546</f>
        <v>0</v>
      </c>
      <c r="AH617" s="141">
        <v>0</v>
      </c>
      <c r="AI617" s="141">
        <v>0</v>
      </c>
      <c r="AJ617" s="141">
        <v>0</v>
      </c>
      <c r="AK617" s="141">
        <v>0</v>
      </c>
      <c r="AL617" s="141">
        <v>0</v>
      </c>
      <c r="AM617" s="141">
        <f>$K617-SUM($AB617:AL617)</f>
        <v>0</v>
      </c>
      <c r="AN617" s="141"/>
      <c r="AO617" s="141"/>
      <c r="AP617" s="141"/>
      <c r="AQ617" s="141"/>
      <c r="AR617" s="141"/>
      <c r="AS617" s="141"/>
      <c r="AT617" s="141"/>
      <c r="AU617" s="141"/>
      <c r="AV617" s="141"/>
      <c r="AW617" s="141"/>
    </row>
    <row r="618" spans="1:50" ht="13.5" thickBot="1">
      <c r="A618" s="52"/>
      <c r="B618" s="3668"/>
      <c r="C618" s="1169"/>
      <c r="D618" s="2731"/>
      <c r="E618" s="1627">
        <f t="shared" ref="E618:K618" si="130">SUM(E597:E616)</f>
        <v>7058380.2399999993</v>
      </c>
      <c r="F618" s="1520">
        <f t="shared" si="130"/>
        <v>0</v>
      </c>
      <c r="G618" s="1520">
        <f t="shared" si="130"/>
        <v>0</v>
      </c>
      <c r="H618" s="1520">
        <f t="shared" si="130"/>
        <v>0</v>
      </c>
      <c r="I618" s="1520">
        <f t="shared" si="130"/>
        <v>0</v>
      </c>
      <c r="J618" s="1520">
        <f t="shared" si="130"/>
        <v>7058380.2399999993</v>
      </c>
      <c r="K618" s="1520">
        <f t="shared" si="130"/>
        <v>2183120.15</v>
      </c>
      <c r="L618" s="49"/>
      <c r="M618" s="1520">
        <f>SUM(M597:M616)</f>
        <v>2183120.15</v>
      </c>
      <c r="O618" s="1133"/>
      <c r="P618" s="137">
        <v>86911.009999999937</v>
      </c>
      <c r="Q618" s="141">
        <f>'[39]מאזן בוחן'!AE495</f>
        <v>120565.33000000009</v>
      </c>
      <c r="R618" s="137">
        <v>83226.989999999976</v>
      </c>
      <c r="S618" s="137">
        <v>88380.489999999947</v>
      </c>
      <c r="T618" s="141">
        <f>'[20]מאזן בוחן'!AR530</f>
        <v>108301.05000000021</v>
      </c>
      <c r="U618" s="141">
        <f>'[21]מאזן בוחן'!AS459</f>
        <v>74304.500000000073</v>
      </c>
      <c r="V618" s="726">
        <f>'[22]מאזן בוחן'!AJ445</f>
        <v>135034.68999999994</v>
      </c>
      <c r="W618" s="726">
        <f>'[23]מאזן בוחן'!AK451</f>
        <v>107725.34999999999</v>
      </c>
      <c r="X618" s="141">
        <v>145664.87999999977</v>
      </c>
      <c r="Y618" s="141">
        <f>'[25]מאזן בוחן'!AM481</f>
        <v>130540.46999999974</v>
      </c>
      <c r="AA618" s="141">
        <f>'[32]מאזן בוחן'!AO498</f>
        <v>152941.28000000049</v>
      </c>
      <c r="AB618" s="141">
        <f>'[26]מאזן בוחן'!AB508</f>
        <v>161855.18999999997</v>
      </c>
      <c r="AC618" s="141">
        <f>'[27]מאזן בוחן'!AC517</f>
        <v>124810.1</v>
      </c>
      <c r="AD618" s="141">
        <f>'[28]מאזן בוחן'!AD527</f>
        <v>176846.97999999992</v>
      </c>
      <c r="AE618" s="141">
        <f>'[29]מאזן בוחן'!AE535</f>
        <v>172279.03000000014</v>
      </c>
      <c r="AF618" s="141">
        <f>'[30]מאזן בוחן'!AF544</f>
        <v>158265.66999999993</v>
      </c>
      <c r="AG618" s="141">
        <f>'[31]מאזן בוחן'!AG547</f>
        <v>170189.75999999989</v>
      </c>
      <c r="AH618" s="141">
        <v>154825.12</v>
      </c>
      <c r="AI618" s="141">
        <v>184523.14000000036</v>
      </c>
      <c r="AJ618" s="141">
        <v>197588.6799999997</v>
      </c>
      <c r="AK618" s="141">
        <v>225462.35000000009</v>
      </c>
      <c r="AL618" s="141">
        <v>219333.08000000007</v>
      </c>
      <c r="AM618" s="141">
        <f>$K618-SUM($AB618:AL618)</f>
        <v>237141.04999999981</v>
      </c>
      <c r="AN618" s="141"/>
      <c r="AO618" s="141"/>
      <c r="AP618" s="141"/>
      <c r="AQ618" s="141"/>
      <c r="AR618" s="141"/>
      <c r="AS618" s="141"/>
      <c r="AT618" s="141"/>
      <c r="AU618" s="141"/>
      <c r="AV618" s="141"/>
      <c r="AW618" s="141"/>
    </row>
    <row r="619" spans="1:50">
      <c r="A619" s="52"/>
      <c r="B619" s="3668"/>
      <c r="C619" s="155"/>
      <c r="D619" s="423"/>
      <c r="E619" s="2854"/>
      <c r="F619" s="180"/>
      <c r="G619" s="180"/>
      <c r="H619" s="180"/>
      <c r="I619" s="180"/>
      <c r="J619" s="180"/>
      <c r="K619" s="474"/>
      <c r="L619" s="49"/>
      <c r="M619" s="180"/>
      <c r="O619" s="1133"/>
      <c r="P619" s="137">
        <v>0</v>
      </c>
      <c r="Q619" s="141">
        <f>'[39]מאזן בוחן'!AE496</f>
        <v>0</v>
      </c>
      <c r="R619" s="137">
        <v>0</v>
      </c>
      <c r="S619" s="137">
        <v>0</v>
      </c>
      <c r="T619" s="141">
        <f>'[20]מאזן בוחן'!AR531</f>
        <v>0</v>
      </c>
      <c r="U619" s="141">
        <f>'[21]מאזן בוחן'!AS460</f>
        <v>0</v>
      </c>
      <c r="V619" s="726">
        <f>'[22]מאזן בוחן'!AJ446</f>
        <v>0</v>
      </c>
      <c r="W619" s="726">
        <f>'[23]מאזן בוחן'!AK452</f>
        <v>0</v>
      </c>
      <c r="X619" s="141">
        <v>0</v>
      </c>
      <c r="Y619" s="141">
        <f>'[25]מאזן בוחן'!AM482</f>
        <v>0</v>
      </c>
      <c r="AA619" s="141">
        <f>'[32]מאזן בוחן'!AO499</f>
        <v>0</v>
      </c>
      <c r="AB619" s="141">
        <f>'[26]מאזן בוחן'!AB509</f>
        <v>0</v>
      </c>
      <c r="AC619" s="141">
        <f>'[27]מאזן בוחן'!AC518</f>
        <v>0</v>
      </c>
      <c r="AD619" s="141">
        <f>'[28]מאזן בוחן'!AD528</f>
        <v>0</v>
      </c>
      <c r="AE619" s="141">
        <f>'[29]מאזן בוחן'!AE536</f>
        <v>0</v>
      </c>
      <c r="AF619" s="141">
        <f>'[30]מאזן בוחן'!AF545</f>
        <v>0</v>
      </c>
      <c r="AG619" s="141">
        <f>'[31]מאזן בוחן'!AG548</f>
        <v>0</v>
      </c>
      <c r="AH619" s="141">
        <v>0</v>
      </c>
      <c r="AI619" s="141">
        <v>0</v>
      </c>
      <c r="AJ619" s="141">
        <v>0</v>
      </c>
      <c r="AK619" s="141">
        <v>0</v>
      </c>
      <c r="AL619" s="141">
        <v>0</v>
      </c>
      <c r="AM619" s="141">
        <f>$K619-SUM($AB619:AL619)</f>
        <v>0</v>
      </c>
      <c r="AN619" s="141"/>
      <c r="AO619" s="141"/>
      <c r="AP619" s="141"/>
      <c r="AQ619" s="141"/>
      <c r="AR619" s="141"/>
      <c r="AS619" s="141"/>
      <c r="AT619" s="141"/>
      <c r="AU619" s="141"/>
      <c r="AV619" s="141"/>
      <c r="AW619" s="141"/>
    </row>
    <row r="620" spans="1:50">
      <c r="A620" s="52"/>
      <c r="B620" s="3668"/>
      <c r="D620" s="607" t="s">
        <v>87</v>
      </c>
      <c r="E620" s="1628"/>
      <c r="J620" s="474"/>
      <c r="K620" s="474"/>
      <c r="L620" s="49"/>
      <c r="M620" s="474"/>
      <c r="O620" s="1133"/>
      <c r="P620" s="137">
        <v>0</v>
      </c>
      <c r="Q620" s="141">
        <f>'[39]מאזן בוחן'!AE497</f>
        <v>0</v>
      </c>
      <c r="R620" s="137">
        <v>0</v>
      </c>
      <c r="S620" s="137">
        <v>0</v>
      </c>
      <c r="T620" s="141">
        <f>'[20]מאזן בוחן'!AR532</f>
        <v>0</v>
      </c>
      <c r="U620" s="141">
        <f>'[21]מאזן בוחן'!AS461</f>
        <v>0</v>
      </c>
      <c r="V620" s="726">
        <f>'[22]מאזן בוחן'!AJ447</f>
        <v>0</v>
      </c>
      <c r="W620" s="726">
        <f>'[23]מאזן בוחן'!AK453</f>
        <v>0</v>
      </c>
      <c r="X620" s="141">
        <v>0</v>
      </c>
      <c r="Y620" s="141">
        <f>'[25]מאזן בוחן'!AM483</f>
        <v>0</v>
      </c>
      <c r="AA620" s="141">
        <f>'[32]מאזן בוחן'!AO500</f>
        <v>0</v>
      </c>
      <c r="AB620" s="141">
        <f>'[26]מאזן בוחן'!AB510</f>
        <v>0</v>
      </c>
      <c r="AC620" s="141">
        <f>'[27]מאזן בוחן'!AC519</f>
        <v>0</v>
      </c>
      <c r="AD620" s="141">
        <f>'[28]מאזן בוחן'!AD529</f>
        <v>0</v>
      </c>
      <c r="AE620" s="141">
        <f>'[29]מאזן בוחן'!AE537</f>
        <v>0</v>
      </c>
      <c r="AF620" s="141">
        <f>'[30]מאזן בוחן'!AF546</f>
        <v>0</v>
      </c>
      <c r="AG620" s="141">
        <f>'[31]מאזן בוחן'!AG549</f>
        <v>0</v>
      </c>
      <c r="AH620" s="141">
        <v>0</v>
      </c>
      <c r="AI620" s="141">
        <v>0</v>
      </c>
      <c r="AJ620" s="141">
        <v>0</v>
      </c>
      <c r="AK620" s="141">
        <v>0</v>
      </c>
      <c r="AL620" s="141">
        <v>0</v>
      </c>
      <c r="AM620" s="141">
        <f>$K620-SUM($AB620:AL620)</f>
        <v>0</v>
      </c>
      <c r="AN620" s="141"/>
      <c r="AO620" s="141"/>
      <c r="AP620" s="141"/>
      <c r="AQ620" s="141"/>
      <c r="AR620" s="141"/>
      <c r="AS620" s="141"/>
      <c r="AT620" s="141"/>
      <c r="AU620" s="141"/>
      <c r="AV620" s="141"/>
      <c r="AW620" s="141"/>
    </row>
    <row r="621" spans="1:50">
      <c r="A621" s="52"/>
      <c r="B621" s="3668"/>
      <c r="C621" s="178"/>
      <c r="D621" s="169"/>
      <c r="E621" s="1202"/>
      <c r="J621" s="474"/>
      <c r="K621" s="474"/>
      <c r="L621" s="49"/>
      <c r="M621" s="474"/>
      <c r="O621" s="1133"/>
      <c r="P621" s="137">
        <v>0</v>
      </c>
      <c r="Q621" s="141">
        <f>'[39]מאזן בוחן'!AE498</f>
        <v>0</v>
      </c>
      <c r="R621" s="137">
        <v>0</v>
      </c>
      <c r="S621" s="137">
        <v>0</v>
      </c>
      <c r="T621" s="141">
        <f>'[20]מאזן בוחן'!AR533</f>
        <v>0</v>
      </c>
      <c r="U621" s="141">
        <f>'[21]מאזן בוחן'!AS462</f>
        <v>0</v>
      </c>
      <c r="V621" s="726">
        <f>'[22]מאזן בוחן'!AJ448</f>
        <v>0</v>
      </c>
      <c r="W621" s="726">
        <f>'[23]מאזן בוחן'!AK454</f>
        <v>0</v>
      </c>
      <c r="X621" s="141">
        <v>0</v>
      </c>
      <c r="Y621" s="141">
        <f>'[25]מאזן בוחן'!AM484</f>
        <v>0</v>
      </c>
      <c r="Z621" s="141"/>
      <c r="AA621" s="141">
        <f>'[32]מאזן בוחן'!AO501</f>
        <v>0</v>
      </c>
      <c r="AB621" s="141">
        <f>'[26]מאזן בוחן'!AB511</f>
        <v>0</v>
      </c>
      <c r="AC621" s="141">
        <f>'[27]מאזן בוחן'!AC520</f>
        <v>0</v>
      </c>
      <c r="AD621" s="141">
        <f>'[28]מאזן בוחן'!AD530</f>
        <v>0</v>
      </c>
      <c r="AE621" s="141">
        <f>'[29]מאזן בוחן'!AE538</f>
        <v>0</v>
      </c>
      <c r="AF621" s="141">
        <f>'[30]מאזן בוחן'!AF547</f>
        <v>0</v>
      </c>
      <c r="AG621" s="141">
        <f>'[31]מאזן בוחן'!AG550</f>
        <v>0</v>
      </c>
      <c r="AH621" s="141">
        <v>0</v>
      </c>
      <c r="AI621" s="141">
        <v>0</v>
      </c>
      <c r="AJ621" s="141">
        <v>0</v>
      </c>
      <c r="AK621" s="141">
        <v>0</v>
      </c>
      <c r="AL621" s="141">
        <v>0</v>
      </c>
      <c r="AM621" s="141">
        <f>$K621-SUM($AB621:AL621)</f>
        <v>0</v>
      </c>
      <c r="AN621" s="141"/>
      <c r="AO621" s="141"/>
      <c r="AP621" s="141"/>
      <c r="AQ621" s="141"/>
      <c r="AR621" s="141"/>
      <c r="AS621" s="141"/>
      <c r="AT621" s="141"/>
      <c r="AU621" s="141"/>
      <c r="AV621" s="141"/>
      <c r="AW621" s="141"/>
      <c r="AX621" s="141"/>
    </row>
    <row r="622" spans="1:50">
      <c r="A622" s="52"/>
      <c r="B622" s="3668"/>
      <c r="D622" s="2856"/>
      <c r="E622" s="1628"/>
      <c r="J622" s="474">
        <f>SUM(E622:I622)</f>
        <v>0</v>
      </c>
      <c r="K622" s="474"/>
      <c r="L622" s="49"/>
      <c r="M622" s="474"/>
      <c r="O622" s="1133"/>
      <c r="P622" s="137">
        <v>0</v>
      </c>
      <c r="Q622" s="141">
        <f>'[39]מאזן בוחן'!AE499</f>
        <v>0</v>
      </c>
      <c r="R622" s="137">
        <v>0</v>
      </c>
      <c r="S622" s="137">
        <v>0</v>
      </c>
      <c r="T622" s="141">
        <f>'[20]מאזן בוחן'!AR534</f>
        <v>0</v>
      </c>
      <c r="U622" s="141">
        <f>'[21]מאזן בוחן'!AS463</f>
        <v>0</v>
      </c>
      <c r="V622" s="726">
        <f>'[22]מאזן בוחן'!AJ449</f>
        <v>0</v>
      </c>
      <c r="W622" s="726">
        <f>'[23]מאזן בוחן'!AK455</f>
        <v>0</v>
      </c>
      <c r="X622" s="141">
        <v>0</v>
      </c>
      <c r="Y622" s="141">
        <f>'[25]מאזן בוחן'!AM485</f>
        <v>0</v>
      </c>
      <c r="AA622" s="141">
        <f>'[32]מאזן בוחן'!AO502</f>
        <v>0</v>
      </c>
      <c r="AB622" s="141">
        <f>'[26]מאזן בוחן'!AB512</f>
        <v>0</v>
      </c>
      <c r="AC622" s="141">
        <f>'[27]מאזן בוחן'!AC521</f>
        <v>0</v>
      </c>
      <c r="AD622" s="141">
        <f>'[28]מאזן בוחן'!AD531</f>
        <v>0</v>
      </c>
      <c r="AE622" s="141">
        <f>'[29]מאזן בוחן'!AE539</f>
        <v>0</v>
      </c>
      <c r="AF622" s="141">
        <f>'[30]מאזן בוחן'!AF548</f>
        <v>0</v>
      </c>
      <c r="AG622" s="141">
        <f>'[31]מאזן בוחן'!AG551</f>
        <v>0</v>
      </c>
      <c r="AH622" s="141">
        <v>0</v>
      </c>
      <c r="AI622" s="141">
        <v>0</v>
      </c>
      <c r="AJ622" s="141">
        <v>0</v>
      </c>
      <c r="AK622" s="141">
        <v>0</v>
      </c>
      <c r="AL622" s="141">
        <v>0</v>
      </c>
      <c r="AM622" s="141">
        <f>$K622-SUM($AB622:AL622)</f>
        <v>0</v>
      </c>
      <c r="AN622" s="141"/>
      <c r="AO622" s="141"/>
      <c r="AP622" s="141"/>
      <c r="AQ622" s="141"/>
      <c r="AR622" s="141"/>
      <c r="AS622" s="141"/>
      <c r="AT622" s="141"/>
      <c r="AU622" s="141"/>
      <c r="AV622" s="141"/>
      <c r="AW622" s="141"/>
    </row>
    <row r="623" spans="1:50" ht="13.5" thickBot="1">
      <c r="A623" s="52"/>
      <c r="B623" s="3668"/>
      <c r="C623" s="1169"/>
      <c r="D623" s="2731"/>
      <c r="E623" s="1627">
        <f t="shared" ref="E623:K623" si="131">SUM(E621:E622)</f>
        <v>0</v>
      </c>
      <c r="F623" s="1513">
        <f t="shared" si="131"/>
        <v>0</v>
      </c>
      <c r="G623" s="1513">
        <f t="shared" si="131"/>
        <v>0</v>
      </c>
      <c r="H623" s="1513">
        <f t="shared" si="131"/>
        <v>0</v>
      </c>
      <c r="I623" s="1513">
        <f t="shared" si="131"/>
        <v>0</v>
      </c>
      <c r="J623" s="1513">
        <f t="shared" si="131"/>
        <v>0</v>
      </c>
      <c r="K623" s="1513">
        <f t="shared" si="131"/>
        <v>0</v>
      </c>
      <c r="L623" s="49"/>
      <c r="M623" s="1513"/>
      <c r="N623" s="1104" t="str">
        <f t="shared" ref="N623:N657" si="132">IF(K623=0,"-",J623/K623)</f>
        <v>-</v>
      </c>
      <c r="O623" s="1133"/>
      <c r="P623" s="137">
        <v>0</v>
      </c>
      <c r="Q623" s="141">
        <f>'[39]מאזן בוחן'!AE500</f>
        <v>0</v>
      </c>
      <c r="R623" s="137">
        <v>0</v>
      </c>
      <c r="S623" s="137">
        <v>0</v>
      </c>
      <c r="T623" s="141">
        <f>'[20]מאזן בוחן'!AR535</f>
        <v>0</v>
      </c>
      <c r="U623" s="141">
        <f>'[21]מאזן בוחן'!AS464</f>
        <v>0</v>
      </c>
      <c r="V623" s="726">
        <f>'[22]מאזן בוחן'!AJ450</f>
        <v>0</v>
      </c>
      <c r="W623" s="726">
        <f>'[23]מאזן בוחן'!AK456</f>
        <v>0</v>
      </c>
      <c r="X623" s="141">
        <v>0</v>
      </c>
      <c r="Y623" s="141">
        <f>'[25]מאזן בוחן'!AM486</f>
        <v>0</v>
      </c>
      <c r="AA623" s="141">
        <f>'[32]מאזן בוחן'!AO503</f>
        <v>0</v>
      </c>
      <c r="AB623" s="141">
        <f>'[26]מאזן בוחן'!AB513</f>
        <v>0</v>
      </c>
      <c r="AC623" s="141">
        <f>'[27]מאזן בוחן'!AC522</f>
        <v>0</v>
      </c>
      <c r="AD623" s="141">
        <f>'[28]מאזן בוחן'!AD532</f>
        <v>0</v>
      </c>
      <c r="AE623" s="141">
        <f>'[29]מאזן בוחן'!AE540</f>
        <v>0</v>
      </c>
      <c r="AF623" s="141">
        <f>'[30]מאזן בוחן'!AF549</f>
        <v>0</v>
      </c>
      <c r="AG623" s="141">
        <f>'[31]מאזן בוחן'!AG552</f>
        <v>0</v>
      </c>
      <c r="AH623" s="141">
        <v>0</v>
      </c>
      <c r="AI623" s="141">
        <v>0</v>
      </c>
      <c r="AJ623" s="141">
        <v>0</v>
      </c>
      <c r="AK623" s="141">
        <v>0</v>
      </c>
      <c r="AL623" s="141">
        <v>0</v>
      </c>
      <c r="AM623" s="141">
        <f>$K623-SUM($AB623:AL623)</f>
        <v>0</v>
      </c>
      <c r="AN623" s="141"/>
      <c r="AO623" s="141"/>
      <c r="AP623" s="141"/>
      <c r="AQ623" s="141"/>
      <c r="AR623" s="141"/>
      <c r="AS623" s="141"/>
      <c r="AT623" s="141"/>
      <c r="AU623" s="141"/>
      <c r="AV623" s="141"/>
      <c r="AW623" s="141"/>
    </row>
    <row r="624" spans="1:50">
      <c r="A624" s="52"/>
      <c r="B624" s="3823"/>
      <c r="D624" s="607" t="s">
        <v>88</v>
      </c>
      <c r="E624" s="1628"/>
      <c r="J624" s="474"/>
      <c r="K624" s="474"/>
      <c r="L624" s="49"/>
      <c r="M624" s="474"/>
      <c r="O624" s="1133"/>
      <c r="P624" s="137">
        <v>0</v>
      </c>
      <c r="Q624" s="141">
        <f>'[39]מאזן בוחן'!AE501</f>
        <v>0</v>
      </c>
      <c r="R624" s="137">
        <v>0</v>
      </c>
      <c r="S624" s="137">
        <v>0</v>
      </c>
      <c r="T624" s="141">
        <f>'[20]מאזן בוחן'!AR539</f>
        <v>0</v>
      </c>
      <c r="U624" s="141">
        <f>'[21]מאזן בוחן'!AS465</f>
        <v>0</v>
      </c>
      <c r="V624" s="726">
        <f>'[22]מאזן בוחן'!AJ451</f>
        <v>0</v>
      </c>
      <c r="W624" s="726">
        <f>'[23]מאזן בוחן'!AK457</f>
        <v>0</v>
      </c>
      <c r="X624" s="141">
        <v>0</v>
      </c>
      <c r="Y624" s="141">
        <f>'[25]מאזן בוחן'!AM487</f>
        <v>0</v>
      </c>
      <c r="AA624" s="141">
        <f>'[32]מאזן בוחן'!AO504</f>
        <v>0</v>
      </c>
      <c r="AB624" s="141">
        <f>'[26]מאזן בוחן'!AB514</f>
        <v>0</v>
      </c>
      <c r="AC624" s="141">
        <f>'[27]מאזן בוחן'!AC523</f>
        <v>0</v>
      </c>
      <c r="AD624" s="141">
        <f>'[28]מאזן בוחן'!AD533</f>
        <v>0</v>
      </c>
      <c r="AE624" s="141">
        <f>'[29]מאזן בוחן'!AE541</f>
        <v>0</v>
      </c>
      <c r="AF624" s="141">
        <f>'[30]מאזן בוחן'!AF550</f>
        <v>0</v>
      </c>
      <c r="AG624" s="141">
        <f>'[31]מאזן בוחן'!AG553</f>
        <v>0</v>
      </c>
      <c r="AH624" s="141">
        <v>0</v>
      </c>
      <c r="AI624" s="141">
        <v>0</v>
      </c>
      <c r="AJ624" s="141">
        <v>0</v>
      </c>
      <c r="AK624" s="141">
        <v>0</v>
      </c>
      <c r="AL624" s="141">
        <v>0</v>
      </c>
      <c r="AM624" s="141">
        <f>$K624-SUM($AB624:AL624)</f>
        <v>0</v>
      </c>
      <c r="AN624" s="141"/>
      <c r="AO624" s="141"/>
      <c r="AP624" s="141"/>
      <c r="AQ624" s="141"/>
      <c r="AR624" s="141"/>
      <c r="AS624" s="141"/>
      <c r="AT624" s="141"/>
      <c r="AU624" s="141"/>
      <c r="AV624" s="141"/>
      <c r="AW624" s="141"/>
    </row>
    <row r="625" spans="1:53">
      <c r="A625" s="52"/>
      <c r="B625" s="3668"/>
      <c r="C625" s="156"/>
      <c r="D625" s="169"/>
      <c r="E625" s="1202"/>
      <c r="J625" s="474"/>
      <c r="K625" s="474"/>
      <c r="L625" s="49"/>
      <c r="M625" s="474"/>
      <c r="O625" s="1133"/>
      <c r="P625" s="137">
        <v>0</v>
      </c>
      <c r="Q625" s="141">
        <f>'[39]מאזן בוחן'!AE502</f>
        <v>0</v>
      </c>
      <c r="R625" s="137">
        <v>0</v>
      </c>
      <c r="S625" s="137">
        <v>0</v>
      </c>
      <c r="T625" s="141">
        <f>'[20]מאזן בוחן'!AR540</f>
        <v>0</v>
      </c>
      <c r="U625" s="141">
        <f>'[21]מאזן בוחן'!AS466</f>
        <v>0</v>
      </c>
      <c r="V625" s="726">
        <f>'[22]מאזן בוחן'!AJ452</f>
        <v>0</v>
      </c>
      <c r="W625" s="726">
        <f>'[23]מאזן בוחן'!AK458</f>
        <v>0</v>
      </c>
      <c r="X625" s="141">
        <v>0</v>
      </c>
      <c r="Y625" s="141">
        <f>'[25]מאזן בוחן'!AM488</f>
        <v>0</v>
      </c>
      <c r="AA625" s="141">
        <f>'[32]מאזן בוחן'!AO505</f>
        <v>0</v>
      </c>
      <c r="AB625" s="141">
        <f>'[26]מאזן בוחן'!AB515</f>
        <v>0</v>
      </c>
      <c r="AC625" s="141">
        <f>'[27]מאזן בוחן'!AC524</f>
        <v>0</v>
      </c>
      <c r="AD625" s="141">
        <f>'[28]מאזן בוחן'!AD534</f>
        <v>0</v>
      </c>
      <c r="AE625" s="141">
        <f>'[29]מאזן בוחן'!AE542</f>
        <v>0</v>
      </c>
      <c r="AF625" s="141">
        <f>'[30]מאזן בוחן'!AF551</f>
        <v>0</v>
      </c>
      <c r="AG625" s="141">
        <f>'[31]מאזן בוחן'!AG554</f>
        <v>0</v>
      </c>
      <c r="AH625" s="141">
        <v>0</v>
      </c>
      <c r="AI625" s="141">
        <v>0</v>
      </c>
      <c r="AJ625" s="141">
        <v>0</v>
      </c>
      <c r="AK625" s="141">
        <v>0</v>
      </c>
      <c r="AL625" s="141">
        <v>0</v>
      </c>
      <c r="AM625" s="141">
        <f>$K625-SUM($AB625:AL625)</f>
        <v>0</v>
      </c>
      <c r="AN625" s="141"/>
      <c r="AO625" s="141"/>
      <c r="AP625" s="141"/>
      <c r="AQ625" s="141"/>
      <c r="AR625" s="141"/>
      <c r="AS625" s="141"/>
      <c r="AT625" s="141"/>
      <c r="AU625" s="141"/>
      <c r="AV625" s="141"/>
      <c r="AW625" s="141"/>
    </row>
    <row r="626" spans="1:53">
      <c r="A626" s="52"/>
      <c r="B626" s="3668"/>
      <c r="C626" s="156"/>
      <c r="D626" s="203"/>
      <c r="E626" s="1202"/>
      <c r="J626" s="474"/>
      <c r="K626" s="474"/>
      <c r="L626" s="49"/>
      <c r="M626" s="474"/>
      <c r="O626" s="1133"/>
      <c r="P626" s="137">
        <v>0</v>
      </c>
      <c r="Q626" s="141">
        <f>'[39]מאזן בוחן'!AE503</f>
        <v>0</v>
      </c>
      <c r="R626" s="137">
        <v>0</v>
      </c>
      <c r="S626" s="137">
        <v>0</v>
      </c>
      <c r="T626" s="141">
        <f>'[20]מאזן בוחן'!AR541</f>
        <v>0</v>
      </c>
      <c r="U626" s="141">
        <f>'[21]מאזן בוחן'!AS467</f>
        <v>0</v>
      </c>
      <c r="V626" s="726">
        <f>'[22]מאזן בוחן'!AJ453</f>
        <v>0</v>
      </c>
      <c r="W626" s="726">
        <f>'[23]מאזן בוחן'!AK459</f>
        <v>0</v>
      </c>
      <c r="X626" s="141">
        <v>0</v>
      </c>
      <c r="Y626" s="141">
        <f>'[25]מאזן בוחן'!AM489</f>
        <v>0</v>
      </c>
      <c r="AA626" s="141">
        <f>'[32]מאזן בוחן'!AO506</f>
        <v>0</v>
      </c>
      <c r="AB626" s="141">
        <f>'[26]מאזן בוחן'!AB516</f>
        <v>0</v>
      </c>
      <c r="AC626" s="141">
        <f>'[27]מאזן בוחן'!AC525</f>
        <v>0</v>
      </c>
      <c r="AD626" s="141">
        <f>'[28]מאזן בוחן'!AD535</f>
        <v>0</v>
      </c>
      <c r="AE626" s="141">
        <f>'[29]מאזן בוחן'!AE543</f>
        <v>0</v>
      </c>
      <c r="AF626" s="141">
        <f>'[30]מאזן בוחן'!AF552</f>
        <v>0</v>
      </c>
      <c r="AG626" s="141">
        <f>'[31]מאזן בוחן'!AG555</f>
        <v>0</v>
      </c>
      <c r="AH626" s="141">
        <v>0</v>
      </c>
      <c r="AI626" s="141">
        <v>0</v>
      </c>
      <c r="AJ626" s="141">
        <v>0</v>
      </c>
      <c r="AK626" s="141">
        <v>0</v>
      </c>
      <c r="AL626" s="141">
        <v>0</v>
      </c>
      <c r="AM626" s="141">
        <f>$K626-SUM($AB626:AL626)</f>
        <v>0</v>
      </c>
      <c r="AN626" s="141"/>
      <c r="AO626" s="141"/>
      <c r="AP626" s="141"/>
      <c r="AQ626" s="141"/>
      <c r="AR626" s="141"/>
      <c r="AS626" s="141"/>
      <c r="AT626" s="141"/>
      <c r="AU626" s="141"/>
      <c r="AV626" s="141"/>
      <c r="AW626" s="141"/>
    </row>
    <row r="627" spans="1:53" ht="13.5" thickBot="1">
      <c r="A627" s="52"/>
      <c r="B627" s="3668"/>
      <c r="C627" s="1169"/>
      <c r="D627" s="2731"/>
      <c r="E627" s="1627">
        <f t="shared" ref="E627:K627" si="133">SUM(E625:E626)</f>
        <v>0</v>
      </c>
      <c r="F627" s="1513">
        <f t="shared" si="133"/>
        <v>0</v>
      </c>
      <c r="G627" s="1513">
        <f t="shared" si="133"/>
        <v>0</v>
      </c>
      <c r="H627" s="1513">
        <f t="shared" si="133"/>
        <v>0</v>
      </c>
      <c r="I627" s="1513">
        <f t="shared" si="133"/>
        <v>0</v>
      </c>
      <c r="J627" s="1513">
        <f t="shared" si="133"/>
        <v>0</v>
      </c>
      <c r="K627" s="1513">
        <f t="shared" si="133"/>
        <v>0</v>
      </c>
      <c r="L627" s="49"/>
      <c r="M627" s="1513"/>
      <c r="N627" s="1104" t="str">
        <f t="shared" si="132"/>
        <v>-</v>
      </c>
      <c r="O627" s="1133"/>
      <c r="P627" s="137">
        <v>0</v>
      </c>
      <c r="Q627" s="141">
        <f>'[39]מאזן בוחן'!AE504</f>
        <v>0</v>
      </c>
      <c r="R627" s="137">
        <v>0</v>
      </c>
      <c r="S627" s="137">
        <v>0</v>
      </c>
      <c r="T627" s="141">
        <f>'[20]מאזן בוחן'!AR542</f>
        <v>0</v>
      </c>
      <c r="U627" s="141">
        <f>'[21]מאזן בוחן'!AS468</f>
        <v>0</v>
      </c>
      <c r="V627" s="726">
        <f>'[22]מאזן בוחן'!AJ454</f>
        <v>0</v>
      </c>
      <c r="W627" s="726">
        <f>'[23]מאזן בוחן'!AK460</f>
        <v>0</v>
      </c>
      <c r="X627" s="141">
        <v>0</v>
      </c>
      <c r="Y627" s="141">
        <f>'[25]מאזן בוחן'!AM490</f>
        <v>0</v>
      </c>
      <c r="AA627" s="141">
        <f>'[32]מאזן בוחן'!AO507</f>
        <v>0</v>
      </c>
      <c r="AB627" s="141">
        <f>'[26]מאזן בוחן'!AB517</f>
        <v>0</v>
      </c>
      <c r="AC627" s="141">
        <f>'[27]מאזן בוחן'!AC526</f>
        <v>0</v>
      </c>
      <c r="AD627" s="141">
        <f>'[28]מאזן בוחן'!AD536</f>
        <v>0</v>
      </c>
      <c r="AE627" s="141">
        <f>'[29]מאזן בוחן'!AE544</f>
        <v>0</v>
      </c>
      <c r="AF627" s="141">
        <f>'[30]מאזן בוחן'!AF553</f>
        <v>0</v>
      </c>
      <c r="AG627" s="141">
        <f>'[31]מאזן בוחן'!AG556</f>
        <v>0</v>
      </c>
      <c r="AH627" s="141">
        <v>0</v>
      </c>
      <c r="AI627" s="141">
        <v>0</v>
      </c>
      <c r="AJ627" s="141">
        <v>0</v>
      </c>
      <c r="AK627" s="141">
        <v>0</v>
      </c>
      <c r="AL627" s="141">
        <v>0</v>
      </c>
      <c r="AM627" s="141">
        <f>$K627-SUM($AB627:AL627)</f>
        <v>0</v>
      </c>
      <c r="AN627" s="141"/>
      <c r="AO627" s="141"/>
      <c r="AP627" s="141"/>
      <c r="AQ627" s="141"/>
      <c r="AR627" s="141"/>
      <c r="AS627" s="141"/>
      <c r="AT627" s="141"/>
      <c r="AU627" s="141"/>
      <c r="AV627" s="141"/>
      <c r="AW627" s="141"/>
    </row>
    <row r="628" spans="1:53">
      <c r="A628" s="49"/>
      <c r="B628" s="3629"/>
      <c r="C628" s="3092"/>
      <c r="D628" s="423"/>
      <c r="E628" s="2854"/>
      <c r="F628" s="180"/>
      <c r="G628" s="180"/>
      <c r="H628" s="180"/>
      <c r="I628" s="180"/>
      <c r="J628" s="180"/>
      <c r="K628" s="180"/>
      <c r="L628" s="49"/>
      <c r="M628" s="180"/>
      <c r="O628" s="1133"/>
      <c r="P628" s="137">
        <v>0</v>
      </c>
      <c r="Q628" s="141">
        <f>'[39]מאזן בוחן'!AE505</f>
        <v>0</v>
      </c>
      <c r="R628" s="137">
        <v>0</v>
      </c>
      <c r="S628" s="137">
        <v>0</v>
      </c>
      <c r="T628" s="141">
        <f>'[20]מאזן בוחן'!AR548</f>
        <v>0</v>
      </c>
      <c r="U628" s="141">
        <f>'[21]מאזן בוחן'!AS469</f>
        <v>0</v>
      </c>
      <c r="V628" s="726">
        <f>'[22]מאזן בוחן'!AJ455</f>
        <v>0</v>
      </c>
      <c r="W628" s="726">
        <f>'[23]מאזן בוחן'!AK461</f>
        <v>0</v>
      </c>
      <c r="X628" s="141">
        <v>0</v>
      </c>
      <c r="Y628" s="141">
        <f>'[25]מאזן בוחן'!AM491</f>
        <v>0</v>
      </c>
      <c r="AA628" s="141">
        <f>'[32]מאזן בוחן'!AO508</f>
        <v>0</v>
      </c>
      <c r="AB628" s="141">
        <f>'[26]מאזן בוחן'!AB518</f>
        <v>0</v>
      </c>
      <c r="AC628" s="141">
        <f>'[27]מאזן בוחן'!AC527</f>
        <v>0</v>
      </c>
      <c r="AD628" s="141">
        <f>'[28]מאזן בוחן'!AD537</f>
        <v>0</v>
      </c>
      <c r="AE628" s="141">
        <f>'[29]מאזן בוחן'!AE545</f>
        <v>0</v>
      </c>
      <c r="AF628" s="141">
        <f>'[30]מאזן בוחן'!AF554</f>
        <v>0</v>
      </c>
      <c r="AG628" s="141">
        <f>'[31]מאזן בוחן'!AG557</f>
        <v>0</v>
      </c>
      <c r="AH628" s="141">
        <v>0</v>
      </c>
      <c r="AI628" s="141">
        <v>0</v>
      </c>
      <c r="AJ628" s="141">
        <v>0</v>
      </c>
      <c r="AK628" s="141">
        <v>0</v>
      </c>
      <c r="AL628" s="141">
        <v>0</v>
      </c>
      <c r="AM628" s="141">
        <f>$K628-SUM($AB628:AL628)</f>
        <v>0</v>
      </c>
      <c r="AN628" s="141"/>
      <c r="AO628" s="141"/>
      <c r="AP628" s="141"/>
      <c r="AQ628" s="141"/>
      <c r="AR628" s="141"/>
      <c r="AS628" s="141"/>
      <c r="AT628" s="141"/>
      <c r="AU628" s="141"/>
      <c r="AV628" s="141"/>
      <c r="AW628" s="141"/>
    </row>
    <row r="629" spans="1:53">
      <c r="A629" s="49"/>
      <c r="B629" s="3631" t="s">
        <v>1450</v>
      </c>
      <c r="C629" s="3093">
        <v>6030001</v>
      </c>
      <c r="D629" s="2226" t="s">
        <v>1451</v>
      </c>
      <c r="E629" s="474">
        <f>IFERROR(VLOOKUP(C629,'פקודות נוספות'!$D$274:$F$797,3,0),0)</f>
        <v>6956062.0099999998</v>
      </c>
      <c r="F629" s="49">
        <f>SUMIF('פקודות נוספות'!C:C,C:C,'פקודות נוספות'!E:E)</f>
        <v>-1.0582013055682182E-3</v>
      </c>
      <c r="H629" s="180"/>
      <c r="I629" s="180"/>
      <c r="J629" s="474">
        <f>SUM(E629:I629)</f>
        <v>6956062.0089417985</v>
      </c>
      <c r="K629" s="42">
        <f>M629+SUMIF('פקודות נוספות'!C:C,'מאזן בוחן'!C629,'פקודות נוספות'!F:F)</f>
        <v>2099606.6701784129</v>
      </c>
      <c r="L629" s="49"/>
      <c r="M629" s="1341">
        <f>IFERROR(VLOOKUP(C629,'פקודות נוספות'!$D$273:$G$797,4,0),0)</f>
        <v>2099606.67</v>
      </c>
      <c r="N629" s="1104">
        <f t="shared" si="132"/>
        <v>3.313031010875342</v>
      </c>
      <c r="O629" s="1133"/>
      <c r="P629" s="137">
        <v>0</v>
      </c>
      <c r="Q629" s="141">
        <f>'[39]מאזן בוחן'!AE506</f>
        <v>0</v>
      </c>
      <c r="R629" s="137">
        <v>0</v>
      </c>
      <c r="S629" s="137">
        <v>891768.91312458902</v>
      </c>
      <c r="T629" s="141">
        <f>'[20]מאזן בוחן'!AR549</f>
        <v>244709.14636795712</v>
      </c>
      <c r="U629" s="141">
        <f>'[21]מאזן בוחן'!AS470</f>
        <v>154550.11152737658</v>
      </c>
      <c r="V629" s="726">
        <f>'[22]מאזן בוחן'!AJ456</f>
        <v>159544.56959689967</v>
      </c>
      <c r="W629" s="726">
        <f>'[23]מאזן בוחן'!AK462</f>
        <v>258064.09885857441</v>
      </c>
      <c r="X629" s="141">
        <v>162645.829888365</v>
      </c>
      <c r="Y629" s="141">
        <f>'[25]מאזן בוחן'!AM492</f>
        <v>184985.51466257684</v>
      </c>
      <c r="AA629" s="141">
        <f>'[32]מאזן בוחן'!AO509</f>
        <v>372572.92693304783</v>
      </c>
      <c r="AB629" s="141">
        <f>'[26]מאזן בוחן'!AB519</f>
        <v>132202.69022727275</v>
      </c>
      <c r="AC629" s="141">
        <f>'[27]מאזן בוחן'!AC528</f>
        <v>126756.17249999999</v>
      </c>
      <c r="AD629" s="141">
        <f>'[28]מאזן בוחן'!AD538</f>
        <v>227079.37727272726</v>
      </c>
      <c r="AE629" s="141">
        <f>'[29]מאזן בוחן'!AE546</f>
        <v>121357.53151797468</v>
      </c>
      <c r="AF629" s="141">
        <f>'[30]מאזן בוחן'!AF555</f>
        <v>133274.39760219061</v>
      </c>
      <c r="AG629" s="141">
        <f>'[31]מאזן בוחן'!AG558</f>
        <v>221949.76705596328</v>
      </c>
      <c r="AH629" s="141">
        <v>141913.06390570581</v>
      </c>
      <c r="AI629" s="141">
        <v>141965.29510271805</v>
      </c>
      <c r="AJ629" s="141">
        <v>227073.54481544765</v>
      </c>
      <c r="AK629" s="141">
        <v>138189.07502528187</v>
      </c>
      <c r="AL629" s="141">
        <v>160896.98488636338</v>
      </c>
      <c r="AM629" s="141">
        <f>$K629-SUM($AB629:AL629)</f>
        <v>326948.77026676759</v>
      </c>
      <c r="AN629" s="141"/>
      <c r="AO629" s="141"/>
      <c r="AP629" s="141"/>
      <c r="AQ629" s="141"/>
      <c r="AR629" s="141"/>
      <c r="AS629" s="141"/>
      <c r="AT629" s="141"/>
      <c r="AU629" s="141"/>
      <c r="AV629" s="141"/>
      <c r="AW629" s="141"/>
      <c r="BA629" s="204"/>
    </row>
    <row r="630" spans="1:53">
      <c r="A630" s="49"/>
      <c r="B630" s="3631"/>
      <c r="C630" s="3094"/>
      <c r="D630" s="1646" t="s">
        <v>45</v>
      </c>
      <c r="E630" s="1351">
        <f t="shared" ref="E630:M630" si="134">SUM(E629)</f>
        <v>6956062.0099999998</v>
      </c>
      <c r="F630" s="1351">
        <f t="shared" si="134"/>
        <v>-1.0582013055682182E-3</v>
      </c>
      <c r="G630" s="1351">
        <f t="shared" si="134"/>
        <v>0</v>
      </c>
      <c r="H630" s="1351">
        <f t="shared" si="134"/>
        <v>0</v>
      </c>
      <c r="I630" s="1351">
        <f t="shared" si="134"/>
        <v>0</v>
      </c>
      <c r="J630" s="1351">
        <f t="shared" si="134"/>
        <v>6956062.0089417985</v>
      </c>
      <c r="K630" s="1351">
        <f t="shared" si="134"/>
        <v>2099606.6701784129</v>
      </c>
      <c r="L630" s="1443"/>
      <c r="M630" s="1351">
        <f t="shared" si="134"/>
        <v>2099606.67</v>
      </c>
      <c r="N630" s="1104">
        <f t="shared" si="132"/>
        <v>3.313031010875342</v>
      </c>
      <c r="O630" s="1133"/>
      <c r="P630" s="137">
        <v>0</v>
      </c>
      <c r="Q630" s="141">
        <f>'[39]מאזן בוחן'!AE507</f>
        <v>0</v>
      </c>
      <c r="R630" s="137">
        <v>0</v>
      </c>
      <c r="S630" s="137">
        <v>891768.91312458902</v>
      </c>
      <c r="T630" s="141">
        <f>'[20]מאזן בוחן'!AR550</f>
        <v>244709.14636795712</v>
      </c>
      <c r="U630" s="141">
        <f>'[21]מאזן בוחן'!AS471</f>
        <v>154550.11152737658</v>
      </c>
      <c r="V630" s="726">
        <f>'[22]מאזן בוחן'!AJ457</f>
        <v>159544.56959689967</v>
      </c>
      <c r="W630" s="726">
        <f>'[23]מאזן בוחן'!AK463</f>
        <v>258064.09885857441</v>
      </c>
      <c r="X630" s="141">
        <v>162645.829888365</v>
      </c>
      <c r="Y630" s="141">
        <f>'[25]מאזן בוחן'!AM493</f>
        <v>184985.51466257684</v>
      </c>
      <c r="AA630" s="141">
        <f>'[32]מאזן בוחן'!AO510</f>
        <v>372572.92693304783</v>
      </c>
      <c r="AB630" s="141">
        <f>'[26]מאזן בוחן'!AB520</f>
        <v>132202.69022727275</v>
      </c>
      <c r="AC630" s="141">
        <f>'[27]מאזן בוחן'!AC529</f>
        <v>126756.17249999999</v>
      </c>
      <c r="AD630" s="141">
        <f>'[28]מאזן בוחן'!AD539</f>
        <v>227079.37727272726</v>
      </c>
      <c r="AE630" s="141">
        <f>'[29]מאזן בוחן'!AE547</f>
        <v>121357.53151797468</v>
      </c>
      <c r="AF630" s="141">
        <f>'[30]מאזן בוחן'!AF556</f>
        <v>133274.39760219061</v>
      </c>
      <c r="AG630" s="141">
        <f>'[31]מאזן בוחן'!AG559</f>
        <v>221949.76705596328</v>
      </c>
      <c r="AH630" s="141">
        <v>141913.06390570581</v>
      </c>
      <c r="AI630" s="141">
        <v>141965.29510271805</v>
      </c>
      <c r="AJ630" s="141">
        <v>227073.54481544765</v>
      </c>
      <c r="AK630" s="141">
        <v>138189.07502528187</v>
      </c>
      <c r="AL630" s="141">
        <v>160896.98488636338</v>
      </c>
      <c r="AM630" s="141">
        <f>$K630-SUM($AB630:AL630)</f>
        <v>326948.77026676759</v>
      </c>
      <c r="AN630" s="141"/>
      <c r="AO630" s="141"/>
      <c r="AP630" s="141"/>
      <c r="AQ630" s="141"/>
      <c r="AR630" s="141"/>
      <c r="AS630" s="141"/>
      <c r="AT630" s="141"/>
      <c r="AU630" s="141"/>
      <c r="AV630" s="141"/>
      <c r="AW630" s="141"/>
      <c r="BA630" s="204"/>
    </row>
    <row r="631" spans="1:53">
      <c r="A631" s="49"/>
      <c r="B631" s="3631"/>
      <c r="C631" s="1441"/>
      <c r="D631" s="465"/>
      <c r="E631" s="1202"/>
      <c r="K631" s="49"/>
      <c r="L631" s="49"/>
      <c r="N631" s="1104" t="str">
        <f t="shared" si="132"/>
        <v>-</v>
      </c>
      <c r="O631" s="1133"/>
      <c r="P631" s="137">
        <v>0</v>
      </c>
      <c r="Q631" s="141">
        <f>'[39]מאזן בוחן'!AE508</f>
        <v>0</v>
      </c>
      <c r="R631" s="137">
        <v>0</v>
      </c>
      <c r="S631" s="137">
        <v>0</v>
      </c>
      <c r="T631" s="141">
        <f>'[20]מאזן בוחן'!AR551</f>
        <v>0</v>
      </c>
      <c r="U631" s="141">
        <f>'[21]מאזן בוחן'!AS472</f>
        <v>0</v>
      </c>
      <c r="V631" s="726">
        <f>'[22]מאזן בוחן'!AJ458</f>
        <v>0</v>
      </c>
      <c r="W631" s="726">
        <f>'[23]מאזן בוחן'!AK464</f>
        <v>0</v>
      </c>
      <c r="X631" s="141">
        <v>0</v>
      </c>
      <c r="Y631" s="141">
        <f>'[25]מאזן בוחן'!AM494</f>
        <v>0</v>
      </c>
      <c r="AA631" s="141">
        <f>'[32]מאזן בוחן'!AO511</f>
        <v>0</v>
      </c>
      <c r="AB631" s="141">
        <f>'[26]מאזן בוחן'!AB521</f>
        <v>0</v>
      </c>
      <c r="AC631" s="141">
        <f>'[27]מאזן בוחן'!AC530</f>
        <v>0</v>
      </c>
      <c r="AD631" s="141">
        <f>'[28]מאזן בוחן'!AD540</f>
        <v>0</v>
      </c>
      <c r="AE631" s="141">
        <f>'[29]מאזן בוחן'!AE548</f>
        <v>0</v>
      </c>
      <c r="AF631" s="141">
        <f>'[30]מאזן בוחן'!AF557</f>
        <v>0</v>
      </c>
      <c r="AG631" s="141">
        <f>'[31]מאזן בוחן'!AG560</f>
        <v>0</v>
      </c>
      <c r="AH631" s="141">
        <v>0</v>
      </c>
      <c r="AI631" s="141">
        <v>0</v>
      </c>
      <c r="AJ631" s="141">
        <v>0</v>
      </c>
      <c r="AK631" s="141">
        <v>0</v>
      </c>
      <c r="AL631" s="141">
        <v>0</v>
      </c>
      <c r="AM631" s="141">
        <f>$K631-SUM($AB631:AL631)</f>
        <v>0</v>
      </c>
      <c r="AN631" s="141"/>
      <c r="AO631" s="141"/>
      <c r="AP631" s="141"/>
      <c r="AQ631" s="141"/>
      <c r="AR631" s="141"/>
      <c r="AS631" s="141"/>
      <c r="AT631" s="141"/>
      <c r="AU631" s="141"/>
      <c r="AV631" s="141"/>
      <c r="AW631" s="141"/>
      <c r="BA631" s="204"/>
    </row>
    <row r="632" spans="1:53">
      <c r="A632" s="49"/>
      <c r="B632" s="3631"/>
      <c r="C632" s="3094"/>
      <c r="D632" s="1646" t="s">
        <v>90</v>
      </c>
      <c r="E632" s="1351">
        <f t="shared" ref="E632:K632" si="135">E627+E595+E629+E618</f>
        <v>79843837.609999999</v>
      </c>
      <c r="F632" s="1351">
        <f t="shared" si="135"/>
        <v>-1.0582013055682182E-3</v>
      </c>
      <c r="G632" s="1351">
        <f t="shared" si="135"/>
        <v>0</v>
      </c>
      <c r="H632" s="1351">
        <f t="shared" si="135"/>
        <v>0</v>
      </c>
      <c r="I632" s="1351">
        <f t="shared" si="135"/>
        <v>0</v>
      </c>
      <c r="J632" s="1351">
        <f t="shared" si="135"/>
        <v>79843837.608941793</v>
      </c>
      <c r="K632" s="1351">
        <f t="shared" si="135"/>
        <v>24668549.520178407</v>
      </c>
      <c r="L632" s="1443"/>
      <c r="M632" s="1351">
        <f>M627+M595+M629+M618</f>
        <v>24668549.519999996</v>
      </c>
      <c r="N632" s="1104">
        <f t="shared" si="132"/>
        <v>3.2366652746903926</v>
      </c>
      <c r="O632" s="1133"/>
      <c r="P632" s="137">
        <v>0</v>
      </c>
      <c r="Q632" s="141">
        <f>'[39]מאזן בוחן'!AE509</f>
        <v>0</v>
      </c>
      <c r="R632" s="137">
        <v>0</v>
      </c>
      <c r="S632" s="137">
        <v>8667636.8531245906</v>
      </c>
      <c r="T632" s="141">
        <f>'[20]מאזן בוחן'!AR552</f>
        <v>2081149.6843988039</v>
      </c>
      <c r="U632" s="141">
        <f>'[21]מאזן בוחן'!AS473</f>
        <v>1716496.5034965295</v>
      </c>
      <c r="V632" s="726">
        <f>'[22]מאזן בוחן'!AJ459</f>
        <v>1819844.3395968992</v>
      </c>
      <c r="W632" s="726">
        <f>'[23]מאזן בוחן'!AK465</f>
        <v>1987901.7916571796</v>
      </c>
      <c r="X632" s="141">
        <v>1759586.9670897592</v>
      </c>
      <c r="Y632" s="141">
        <f>'[25]מאזן בוחן'!AM495</f>
        <v>1805481.4146625772</v>
      </c>
      <c r="AA632" s="141">
        <f>'[32]מאזן בוחן'!AO512</f>
        <v>2300478.5469330475</v>
      </c>
      <c r="AB632" s="141">
        <f>'[26]מאזן בוחן'!AB522</f>
        <v>1859276.4002272727</v>
      </c>
      <c r="AC632" s="141">
        <f>'[27]מאזן בוחן'!AC531</f>
        <v>1856782.6325000001</v>
      </c>
      <c r="AD632" s="141">
        <f>'[28]מאזן בוחן'!AD541</f>
        <v>2189148.477272728</v>
      </c>
      <c r="AE632" s="141">
        <f>'[29]מאזן בוחן'!AE549</f>
        <v>1888628.7615179745</v>
      </c>
      <c r="AF632" s="141">
        <f>'[30]מאזן בוחן'!AF558</f>
        <v>1896792.9976021908</v>
      </c>
      <c r="AG632" s="141">
        <f>'[31]מאזן בוחן'!AG561</f>
        <v>2409971.3070559632</v>
      </c>
      <c r="AH632" s="141">
        <v>1903146.0439057071</v>
      </c>
      <c r="AI632" s="141">
        <v>1907105.1751027163</v>
      </c>
      <c r="AJ632" s="141">
        <v>1985502.1148154512</v>
      </c>
      <c r="AK632" s="141">
        <v>1954944.4350252785</v>
      </c>
      <c r="AL632" s="141">
        <v>2007602.6548863687</v>
      </c>
      <c r="AM632" s="141">
        <f>$K632-SUM($AB632:AL632)</f>
        <v>2809648.5202667564</v>
      </c>
      <c r="AN632" s="141"/>
      <c r="AO632" s="141"/>
      <c r="AP632" s="141"/>
      <c r="AQ632" s="141">
        <v>295265</v>
      </c>
      <c r="AR632" s="141"/>
      <c r="AS632" s="141"/>
      <c r="AT632" s="141"/>
      <c r="AU632" s="141"/>
      <c r="AV632" s="141"/>
      <c r="AW632" s="141"/>
      <c r="BA632" s="204"/>
    </row>
    <row r="633" spans="1:53">
      <c r="A633" s="52"/>
      <c r="B633" s="3769"/>
      <c r="C633" s="760"/>
      <c r="D633" s="444"/>
      <c r="E633" s="1202"/>
      <c r="K633" s="49"/>
      <c r="L633" s="49"/>
      <c r="N633" s="1104" t="str">
        <f t="shared" si="132"/>
        <v>-</v>
      </c>
      <c r="O633" s="1133"/>
      <c r="P633" s="137">
        <v>0</v>
      </c>
      <c r="Q633" s="141">
        <f>'[39]מאזן בוחן'!AE510</f>
        <v>0</v>
      </c>
      <c r="R633" s="137">
        <v>0</v>
      </c>
      <c r="S633" s="137">
        <v>0</v>
      </c>
      <c r="T633" s="141">
        <f>'[20]מאזן בוחן'!AR553</f>
        <v>0</v>
      </c>
      <c r="U633" s="141">
        <f>'[21]מאזן בוחן'!AS474</f>
        <v>0</v>
      </c>
      <c r="V633" s="726">
        <f>'[22]מאזן בוחן'!AJ460</f>
        <v>0</v>
      </c>
      <c r="W633" s="726">
        <f>'[23]מאזן בוחן'!AK466</f>
        <v>0</v>
      </c>
      <c r="X633" s="141">
        <v>0</v>
      </c>
      <c r="Y633" s="141">
        <f>'[25]מאזן בוחן'!AM496</f>
        <v>0</v>
      </c>
      <c r="AA633" s="141">
        <f>'[32]מאזן בוחן'!AO513</f>
        <v>0</v>
      </c>
      <c r="AB633" s="141">
        <f>'[26]מאזן בוחן'!AB523</f>
        <v>0</v>
      </c>
      <c r="AC633" s="141">
        <f>'[27]מאזן בוחן'!AC532</f>
        <v>0</v>
      </c>
      <c r="AD633" s="141">
        <f>'[28]מאזן בוחן'!AD542</f>
        <v>0</v>
      </c>
      <c r="AE633" s="141">
        <f>'[29]מאזן בוחן'!AE550</f>
        <v>0</v>
      </c>
      <c r="AF633" s="141">
        <f>'[30]מאזן בוחן'!AF559</f>
        <v>0</v>
      </c>
      <c r="AG633" s="141">
        <f>'[31]מאזן בוחן'!AG562</f>
        <v>0</v>
      </c>
      <c r="AH633" s="141">
        <v>0</v>
      </c>
      <c r="AI633" s="141">
        <v>0</v>
      </c>
      <c r="AJ633" s="141">
        <v>0</v>
      </c>
      <c r="AK633" s="141">
        <v>0</v>
      </c>
      <c r="AL633" s="141">
        <v>0</v>
      </c>
      <c r="AM633" s="141">
        <f>$K633-SUM($AB633:AL633)</f>
        <v>0</v>
      </c>
      <c r="AN633" s="141"/>
      <c r="AO633" s="141"/>
      <c r="AP633" s="141"/>
      <c r="AQ633" s="141">
        <v>257216</v>
      </c>
      <c r="AR633" s="141"/>
      <c r="AS633" s="141"/>
      <c r="AT633" s="141"/>
      <c r="AU633" s="141"/>
      <c r="AV633" s="141"/>
      <c r="AW633" s="141"/>
      <c r="BA633" s="204"/>
    </row>
    <row r="634" spans="1:53">
      <c r="A634" s="52"/>
      <c r="B634" s="3668"/>
      <c r="C634" s="407"/>
      <c r="D634" s="607" t="s">
        <v>408</v>
      </c>
      <c r="E634" s="1202"/>
      <c r="K634" s="49"/>
      <c r="L634" s="49"/>
      <c r="N634" s="1104" t="str">
        <f t="shared" si="132"/>
        <v>-</v>
      </c>
      <c r="O634" s="1133"/>
      <c r="P634" s="83"/>
      <c r="Q634" s="141">
        <f>'[39]מאזן בוחן'!AE511</f>
        <v>0</v>
      </c>
      <c r="R634" s="83"/>
      <c r="S634" s="83"/>
      <c r="T634" s="141"/>
      <c r="U634" s="141">
        <f>'[21]מאזן בוחן'!AS475</f>
        <v>0</v>
      </c>
      <c r="V634" s="726">
        <f>'[22]מאזן בוחן'!AJ461</f>
        <v>0</v>
      </c>
      <c r="W634" s="726">
        <f>'[23]מאזן בוחן'!AK467</f>
        <v>0</v>
      </c>
      <c r="X634" s="141">
        <v>0</v>
      </c>
      <c r="Y634" s="141">
        <f>'[25]מאזן בוחן'!AM497</f>
        <v>0</v>
      </c>
      <c r="AA634" s="141">
        <f>'[32]מאזן בוחן'!AO514</f>
        <v>0</v>
      </c>
      <c r="AB634" s="141">
        <f>'[26]מאזן בוחן'!AB524</f>
        <v>0</v>
      </c>
      <c r="AC634" s="141">
        <f>'[27]מאזן בוחן'!AC533</f>
        <v>0</v>
      </c>
      <c r="AD634" s="141">
        <f>'[28]מאזן בוחן'!AD543</f>
        <v>0</v>
      </c>
      <c r="AE634" s="141">
        <f>'[29]מאזן בוחן'!AE551</f>
        <v>0</v>
      </c>
      <c r="AF634" s="141">
        <f>'[30]מאזן בוחן'!AF560</f>
        <v>0</v>
      </c>
      <c r="AG634" s="141">
        <f>'[31]מאזן בוחן'!AG563</f>
        <v>0</v>
      </c>
      <c r="AH634" s="141">
        <v>0</v>
      </c>
      <c r="AI634" s="141">
        <v>0</v>
      </c>
      <c r="AJ634" s="141">
        <v>0</v>
      </c>
      <c r="AK634" s="141">
        <v>0</v>
      </c>
      <c r="AL634" s="141">
        <v>0</v>
      </c>
      <c r="AM634" s="141">
        <f>$K634-SUM($AB634:AL634)</f>
        <v>0</v>
      </c>
      <c r="AN634" s="141"/>
      <c r="AO634" s="141"/>
      <c r="AP634" s="141"/>
      <c r="AQ634" s="141">
        <f>AQ632-AQ633</f>
        <v>38049</v>
      </c>
      <c r="AR634" s="141"/>
      <c r="AS634" s="141"/>
      <c r="AT634" s="141"/>
      <c r="AU634" s="141"/>
      <c r="AV634" s="141"/>
      <c r="AW634" s="141"/>
      <c r="BA634" s="204"/>
    </row>
    <row r="635" spans="1:53">
      <c r="A635" s="52"/>
      <c r="B635" s="3659" t="s">
        <v>1066</v>
      </c>
      <c r="C635" s="585">
        <v>5100001</v>
      </c>
      <c r="D635" s="203" t="s">
        <v>458</v>
      </c>
      <c r="E635" s="474">
        <f>IFERROR(VLOOKUP(C635,'פקודות נוספות'!$D$274:$F$797,3,0),0)</f>
        <v>2449184</v>
      </c>
      <c r="F635" s="49">
        <f>SUMIF('פקודות נוספות'!C:C,C:C,'פקודות נוספות'!E:E)</f>
        <v>0</v>
      </c>
      <c r="J635" s="474">
        <f t="shared" ref="J635:J657" si="136">SUM(E635:I635)</f>
        <v>2449184</v>
      </c>
      <c r="K635" s="42">
        <f>M635+SUMIF('פקודות נוספות'!C:C,'מאזן בוחן'!C635,'פקודות נוספות'!F:F)</f>
        <v>758981.05</v>
      </c>
      <c r="L635" s="49"/>
      <c r="M635" s="1341">
        <f>IFERROR(VLOOKUP(C635,'פקודות נוספות'!$D$273:$G$797,4,0),0)</f>
        <v>758981.05</v>
      </c>
      <c r="N635" s="1104">
        <f t="shared" si="132"/>
        <v>3.2269369571216564</v>
      </c>
      <c r="O635" s="1133"/>
      <c r="P635" s="1512">
        <v>57648.979999999996</v>
      </c>
      <c r="Q635" s="141">
        <f>'[39]מאזן בוחן'!AE512</f>
        <v>54033.100000000006</v>
      </c>
      <c r="R635" s="141">
        <v>54662.570000000022</v>
      </c>
      <c r="S635" s="141">
        <v>55794.12000000001</v>
      </c>
      <c r="T635" s="141">
        <f>'[20]מאזן בוחן'!AR555</f>
        <v>55392.090000000026</v>
      </c>
      <c r="U635" s="141">
        <f>'[21]מאזן בוחן'!AS476</f>
        <v>56401.40999999996</v>
      </c>
      <c r="V635" s="726">
        <f>'[22]מאזן בוחן'!AJ462</f>
        <v>57168.050000000047</v>
      </c>
      <c r="W635" s="726">
        <f>'[23]מאזן בוחן'!AK468</f>
        <v>56114.790000000008</v>
      </c>
      <c r="X635" s="141">
        <v>56122.149999999994</v>
      </c>
      <c r="Y635" s="141">
        <f>'[25]מאזן בוחן'!AM498</f>
        <v>58084.039999999921</v>
      </c>
      <c r="AA635" s="141">
        <f>'[32]מאזן בוחן'!AO515</f>
        <v>59859.099999999977</v>
      </c>
      <c r="AB635" s="141">
        <f>'[26]מאזן בוחן'!AB525</f>
        <v>64412.94</v>
      </c>
      <c r="AC635" s="141">
        <f>'[27]מאזן בוחן'!AC534</f>
        <v>51950.61</v>
      </c>
      <c r="AD635" s="141">
        <f>'[28]מאזן בוחן'!AD544</f>
        <v>56440.61</v>
      </c>
      <c r="AE635" s="141">
        <f>'[29]מאזן בוחן'!AE552</f>
        <v>64472.130000000005</v>
      </c>
      <c r="AF635" s="141">
        <f>'[30]מאזן בוחן'!AF561</f>
        <v>79489.699999999983</v>
      </c>
      <c r="AG635" s="141">
        <f>'[31]מאזן בוחן'!AG564</f>
        <v>46152.760000000009</v>
      </c>
      <c r="AH635" s="141">
        <v>64386.640000000014</v>
      </c>
      <c r="AI635" s="141">
        <v>64906.140000000014</v>
      </c>
      <c r="AJ635" s="141">
        <v>64655.929999999935</v>
      </c>
      <c r="AK635" s="141">
        <v>65916.400000000023</v>
      </c>
      <c r="AL635" s="141">
        <v>65841.560000000056</v>
      </c>
      <c r="AM635" s="141">
        <f>$K635-SUM($AB635:AL635)</f>
        <v>70355.63</v>
      </c>
      <c r="AN635" s="141" t="s">
        <v>4816</v>
      </c>
      <c r="AO635" s="141"/>
      <c r="AP635" s="141"/>
      <c r="AQ635" s="141"/>
      <c r="AR635" s="141"/>
      <c r="AS635" s="141" t="s">
        <v>3973</v>
      </c>
      <c r="AT635" s="137" t="s">
        <v>3822</v>
      </c>
      <c r="AU635" s="141" t="s">
        <v>3699</v>
      </c>
      <c r="AV635" s="141" t="s">
        <v>3624</v>
      </c>
      <c r="AW635" s="141" t="s">
        <v>3297</v>
      </c>
      <c r="BA635" s="204"/>
    </row>
    <row r="636" spans="1:53">
      <c r="A636" s="52"/>
      <c r="B636" s="3659" t="s">
        <v>1066</v>
      </c>
      <c r="C636" s="585">
        <v>5100002</v>
      </c>
      <c r="D636" s="203" t="s">
        <v>1067</v>
      </c>
      <c r="E636" s="474">
        <f>IFERROR(VLOOKUP(C636,'פקודות נוספות'!$D$274:$F$797,3,0),0)</f>
        <v>694</v>
      </c>
      <c r="F636" s="49">
        <f>SUMIF('פקודות נוספות'!C:C,C:C,'פקודות נוספות'!E:E)</f>
        <v>0</v>
      </c>
      <c r="J636" s="474">
        <f t="shared" si="136"/>
        <v>694</v>
      </c>
      <c r="K636" s="42">
        <f>M636+SUMIF('פקודות נוספות'!C:C,'מאזן בוחן'!C636,'פקודות נוספות'!F:F)</f>
        <v>176.62</v>
      </c>
      <c r="L636" s="49"/>
      <c r="M636" s="1341">
        <f>IFERROR(VLOOKUP(C636,'פקודות נוספות'!$D$273:$G$797,4,0),0)</f>
        <v>176.62</v>
      </c>
      <c r="N636" s="1104">
        <f t="shared" si="132"/>
        <v>3.9293398256143131</v>
      </c>
      <c r="O636" s="1133"/>
      <c r="P636" s="137">
        <v>-8832.73</v>
      </c>
      <c r="Q636" s="141">
        <f>'[39]מאזן בוחן'!AE513</f>
        <v>0</v>
      </c>
      <c r="R636" s="141">
        <v>0</v>
      </c>
      <c r="S636" s="141">
        <v>0</v>
      </c>
      <c r="T636" s="141">
        <f>'[20]מאזן בוחן'!AR556</f>
        <v>0</v>
      </c>
      <c r="U636" s="141">
        <f>'[21]מאזן בוחן'!AS477</f>
        <v>0</v>
      </c>
      <c r="V636" s="726">
        <f>'[22]מאזן בוחן'!AJ463</f>
        <v>0</v>
      </c>
      <c r="W636" s="726">
        <f>'[23]מאזן בוחן'!AK469</f>
        <v>0</v>
      </c>
      <c r="X636" s="141">
        <v>0</v>
      </c>
      <c r="Y636" s="141">
        <f>'[25]מאזן בוחן'!AM499</f>
        <v>0</v>
      </c>
      <c r="AA636" s="141">
        <f>'[32]מאזן בוחן'!AO516</f>
        <v>2177.29</v>
      </c>
      <c r="AB636" s="141">
        <f>'[26]מאזן בוחן'!AB526</f>
        <v>0</v>
      </c>
      <c r="AC636" s="141">
        <f>'[27]מאזן בוחן'!AC535</f>
        <v>-43.14</v>
      </c>
      <c r="AD636" s="141">
        <f>'[28]מאזן בוחן'!AD545</f>
        <v>0</v>
      </c>
      <c r="AE636" s="141">
        <f>'[29]מאזן בוחן'!AE553</f>
        <v>0</v>
      </c>
      <c r="AF636" s="141">
        <f>'[30]מאזן בוחן'!AF562</f>
        <v>0</v>
      </c>
      <c r="AG636" s="141">
        <f>'[31]מאזן בוחן'!AG565</f>
        <v>0</v>
      </c>
      <c r="AH636" s="141">
        <v>0</v>
      </c>
      <c r="AI636" s="141">
        <v>0</v>
      </c>
      <c r="AJ636" s="141">
        <v>0</v>
      </c>
      <c r="AK636" s="141">
        <v>219.76</v>
      </c>
      <c r="AL636" s="141">
        <v>0</v>
      </c>
      <c r="AM636" s="141">
        <f>$K636-SUM($AB636:AL636)</f>
        <v>0</v>
      </c>
      <c r="AN636" s="141"/>
      <c r="AO636" s="141"/>
      <c r="AP636" s="141"/>
      <c r="AQ636" s="141"/>
      <c r="AR636" s="141"/>
      <c r="AS636" s="141"/>
      <c r="AT636" s="141"/>
      <c r="AU636" s="141"/>
      <c r="AV636" s="141"/>
      <c r="AW636" s="141"/>
      <c r="BA636" s="204"/>
    </row>
    <row r="637" spans="1:53">
      <c r="A637" s="52"/>
      <c r="B637" s="3659" t="s">
        <v>1066</v>
      </c>
      <c r="C637" s="585">
        <v>5100003</v>
      </c>
      <c r="D637" s="203" t="s">
        <v>1068</v>
      </c>
      <c r="E637" s="474">
        <f>IFERROR(VLOOKUP(C637,'פקודות נוספות'!$D$274:$F$797,3,0),0)</f>
        <v>92823.75</v>
      </c>
      <c r="F637" s="49">
        <f>SUMIF('פקודות נוספות'!C:C,C:C,'פקודות נוספות'!E:E)</f>
        <v>0</v>
      </c>
      <c r="J637" s="474">
        <f t="shared" si="136"/>
        <v>92823.75</v>
      </c>
      <c r="K637" s="42">
        <f>M637+SUMIF('פקודות נוספות'!C:C,'מאזן בוחן'!C637,'פקודות נוספות'!F:F)</f>
        <v>28246.66</v>
      </c>
      <c r="L637" s="49"/>
      <c r="M637" s="1341">
        <f>IFERROR(VLOOKUP(C637,'פקודות נוספות'!$D$273:$G$797,4,0),0)</f>
        <v>28246.66</v>
      </c>
      <c r="N637" s="1104">
        <f t="shared" si="132"/>
        <v>3.2861849861187129</v>
      </c>
      <c r="O637" s="1133"/>
      <c r="P637" s="137">
        <v>-1222.5500000000002</v>
      </c>
      <c r="Q637" s="141">
        <f>'[39]מאזן בוחן'!AE514</f>
        <v>2802.0000000000005</v>
      </c>
      <c r="R637" s="141">
        <v>2802.0000000000005</v>
      </c>
      <c r="S637" s="141">
        <v>2801.9999999999995</v>
      </c>
      <c r="T637" s="141">
        <f>'[20]מאזן בוחן'!AR557</f>
        <v>2802.0000000000005</v>
      </c>
      <c r="U637" s="141">
        <f>'[21]מאזן בוחן'!AS478</f>
        <v>2801.9999999999995</v>
      </c>
      <c r="V637" s="726">
        <f>'[22]מאזן בוחן'!AJ464</f>
        <v>2801.9999999999995</v>
      </c>
      <c r="W637" s="726">
        <f>'[23]מאזן בוחן'!AK470</f>
        <v>1281.1800000000017</v>
      </c>
      <c r="X637" s="141">
        <v>2801.9999999999986</v>
      </c>
      <c r="Y637" s="141">
        <f>'[25]מאזן בוחן'!AM500</f>
        <v>2802</v>
      </c>
      <c r="AA637" s="141">
        <f>'[32]מאזן בוחן'!AO517</f>
        <v>125.88999999999942</v>
      </c>
      <c r="AB637" s="141">
        <f>'[26]מאזן בוחן'!AB527</f>
        <v>2452.14</v>
      </c>
      <c r="AC637" s="141">
        <f>'[27]מאזן בוחן'!AC536</f>
        <v>-3583.6899999999996</v>
      </c>
      <c r="AD637" s="141">
        <f>'[28]מאזן בוחן'!AD546</f>
        <v>4697.95</v>
      </c>
      <c r="AE637" s="141">
        <f>'[29]מאזן בוחן'!AE554</f>
        <v>3199.9999999999995</v>
      </c>
      <c r="AF637" s="141">
        <f>'[30]מאזן בוחן'!AF563</f>
        <v>3200</v>
      </c>
      <c r="AG637" s="141">
        <f>'[31]מאזן בוחן'!AG566</f>
        <v>3200</v>
      </c>
      <c r="AH637" s="141">
        <v>3200</v>
      </c>
      <c r="AI637" s="141">
        <v>3200.0000000000018</v>
      </c>
      <c r="AJ637" s="141">
        <v>3200</v>
      </c>
      <c r="AK637" s="141">
        <v>3200</v>
      </c>
      <c r="AL637" s="141">
        <v>3200</v>
      </c>
      <c r="AM637" s="141">
        <f>$K637-SUM($AB637:AL637)</f>
        <v>-919.7400000000016</v>
      </c>
      <c r="AN637" s="141"/>
      <c r="AO637" s="141"/>
      <c r="AP637" s="141"/>
      <c r="AQ637" s="141"/>
      <c r="AR637" s="141"/>
      <c r="AS637" s="141"/>
      <c r="AT637" s="141"/>
      <c r="AU637" s="141"/>
      <c r="AV637" s="141"/>
      <c r="AW637" s="141"/>
      <c r="BA637" s="204"/>
    </row>
    <row r="638" spans="1:53">
      <c r="A638" s="52"/>
      <c r="B638" s="3659" t="s">
        <v>1066</v>
      </c>
      <c r="C638" s="585" t="s">
        <v>3551</v>
      </c>
      <c r="D638" s="203" t="s">
        <v>1445</v>
      </c>
      <c r="E638" s="474">
        <f>IFERROR(VLOOKUP(C638,'פקודות נוספות'!$D$274:$F$797,3,0),0)</f>
        <v>-175642.2</v>
      </c>
      <c r="F638" s="49">
        <f>SUMIF('פקודות נוספות'!C:C,C:C,'פקודות נוספות'!E:E)</f>
        <v>0</v>
      </c>
      <c r="J638" s="474">
        <f>SUM(E638:I638)</f>
        <v>-175642.2</v>
      </c>
      <c r="K638" s="42">
        <f>M638+SUMIF('פקודות נוספות'!C:C,'מאזן בוחן'!C638,'פקודות נוספות'!F:F)</f>
        <v>-56227.4</v>
      </c>
      <c r="L638" s="49"/>
      <c r="M638" s="1341">
        <f>IFERROR(VLOOKUP(C638,'פקודות נוספות'!$D$273:$G$797,4,0),0)</f>
        <v>-56227.4</v>
      </c>
      <c r="N638" s="1104">
        <f>IF(K638=0,"-",J638/K638)</f>
        <v>3.123783066618766</v>
      </c>
      <c r="O638" s="1133"/>
      <c r="Q638" s="141"/>
      <c r="R638" s="141"/>
      <c r="S638" s="141"/>
      <c r="T638" s="141"/>
      <c r="U638" s="141"/>
      <c r="V638" s="726"/>
      <c r="W638" s="726"/>
      <c r="X638" s="141"/>
      <c r="Y638" s="141"/>
      <c r="AA638" s="141"/>
      <c r="AB638" s="141"/>
      <c r="AC638" s="141"/>
      <c r="AD638" s="141">
        <v>15604.91</v>
      </c>
      <c r="AE638" s="141">
        <f>'[29]מאזן בוחן'!AE555</f>
        <v>0</v>
      </c>
      <c r="AF638" s="141">
        <f>'[30]מאזן בוחן'!AF564</f>
        <v>0</v>
      </c>
      <c r="AG638" s="141">
        <f>'[31]מאזן בוחן'!AG567</f>
        <v>-27681.22</v>
      </c>
      <c r="AH638" s="141">
        <v>0</v>
      </c>
      <c r="AI638" s="141">
        <v>0</v>
      </c>
      <c r="AJ638" s="141">
        <v>-1010.5299999999988</v>
      </c>
      <c r="AK638" s="141">
        <v>0</v>
      </c>
      <c r="AL638" s="141">
        <v>0</v>
      </c>
      <c r="AM638" s="141">
        <f>$K638-SUM($AB638:AL638)</f>
        <v>-43140.56</v>
      </c>
      <c r="AN638" s="141"/>
      <c r="AO638" s="141"/>
      <c r="AP638" s="141"/>
      <c r="AQ638" s="141"/>
      <c r="AR638" s="141"/>
      <c r="AS638" s="141"/>
      <c r="AT638" s="141"/>
      <c r="AU638" s="141"/>
      <c r="AV638" s="141"/>
      <c r="AW638" s="141"/>
      <c r="BA638" s="204"/>
    </row>
    <row r="639" spans="1:53">
      <c r="A639" s="52"/>
      <c r="B639" s="3659"/>
      <c r="C639" s="585"/>
      <c r="D639" s="203"/>
      <c r="E639" s="474"/>
      <c r="J639" s="474"/>
      <c r="K639" s="42"/>
      <c r="L639" s="49"/>
      <c r="M639" s="1341"/>
      <c r="O639" s="1133"/>
      <c r="Q639" s="141"/>
      <c r="R639" s="141"/>
      <c r="S639" s="141"/>
      <c r="T639" s="141"/>
      <c r="U639" s="141"/>
      <c r="V639" s="726"/>
      <c r="W639" s="726"/>
      <c r="X639" s="141"/>
      <c r="Y639" s="141"/>
      <c r="AA639" s="141"/>
      <c r="AB639" s="141"/>
      <c r="AC639" s="141"/>
      <c r="AD639" s="141">
        <f>'[28]מאזן בוחן'!AD548</f>
        <v>0</v>
      </c>
      <c r="AE639" s="141">
        <f>'[29]מאזן בוחן'!AE556</f>
        <v>0</v>
      </c>
      <c r="AF639" s="141">
        <f>'[30]מאזן בוחן'!AF565</f>
        <v>0</v>
      </c>
      <c r="AG639" s="141">
        <f>'[31]מאזן בוחן'!AG568</f>
        <v>0</v>
      </c>
      <c r="AH639" s="141">
        <v>0</v>
      </c>
      <c r="AI639" s="141">
        <v>0</v>
      </c>
      <c r="AJ639" s="141">
        <v>0</v>
      </c>
      <c r="AK639" s="141">
        <v>0</v>
      </c>
      <c r="AL639" s="141">
        <v>0</v>
      </c>
      <c r="AM639" s="141">
        <f>$K639-SUM($AB639:AL639)</f>
        <v>0</v>
      </c>
      <c r="AN639" s="141"/>
      <c r="AO639" s="141"/>
      <c r="AP639" s="141"/>
      <c r="AQ639" s="141"/>
      <c r="AR639" s="141"/>
      <c r="AS639" s="141"/>
      <c r="AT639" s="141"/>
      <c r="AU639" s="141"/>
      <c r="AV639" s="141"/>
      <c r="AW639" s="141"/>
      <c r="BA639" s="204"/>
    </row>
    <row r="640" spans="1:53">
      <c r="A640" s="52"/>
      <c r="B640" s="3659" t="s">
        <v>1066</v>
      </c>
      <c r="C640" s="585">
        <v>5110020</v>
      </c>
      <c r="D640" s="203" t="s">
        <v>2058</v>
      </c>
      <c r="E640" s="474">
        <f>IFERROR(VLOOKUP(C640,'פקודות נוספות'!$D$274:$F$797,3,0),0)</f>
        <v>274906.83</v>
      </c>
      <c r="F640" s="49">
        <f>SUMIF('פקודות נוספות'!C:C,C:C,'פקודות נוספות'!E:E)</f>
        <v>0</v>
      </c>
      <c r="J640" s="474">
        <f t="shared" si="136"/>
        <v>274906.83</v>
      </c>
      <c r="K640" s="42">
        <f>M640+SUMIF('פקודות נוספות'!C:C,'מאזן בוחן'!C640,'פקודות נוספות'!F:F)</f>
        <v>85166.67</v>
      </c>
      <c r="L640" s="49"/>
      <c r="M640" s="1341">
        <f>IFERROR(VLOOKUP(C640,'פקודות נוספות'!$D$273:$G$797,4,0),0)</f>
        <v>85166.67</v>
      </c>
      <c r="N640" s="1104">
        <f t="shared" si="132"/>
        <v>3.2278687190658037</v>
      </c>
      <c r="O640" s="1133"/>
      <c r="P640" s="137">
        <v>5833.33</v>
      </c>
      <c r="Q640" s="141">
        <f>'[39]מאזן בוחן'!AE517</f>
        <v>5925.3300000000017</v>
      </c>
      <c r="R640" s="141">
        <v>5833.3299999999963</v>
      </c>
      <c r="S640" s="141">
        <v>5833.33</v>
      </c>
      <c r="T640" s="141">
        <f>'[20]מאזן בוחן'!AR560</f>
        <v>5833.3300000000017</v>
      </c>
      <c r="U640" s="141">
        <f>'[21]מאזן בוחן'!AS481</f>
        <v>6666.67</v>
      </c>
      <c r="V640" s="726">
        <f>'[22]מאזן בוחן'!AJ467</f>
        <v>6666.6699999999983</v>
      </c>
      <c r="W640" s="726">
        <f>'[23]מאזן בוחן'!AK473</f>
        <v>6666.6700000000019</v>
      </c>
      <c r="X640" s="141">
        <v>6666.6700000000055</v>
      </c>
      <c r="Y640" s="141">
        <f>'[25]מאזן בוחן'!AM503</f>
        <v>6666.669999999991</v>
      </c>
      <c r="AA640" s="141">
        <f>'[32]מאזן בוחן'!AO520</f>
        <v>6666.6699999999983</v>
      </c>
      <c r="AB640" s="141">
        <f>'[26]מאזן בוחן'!AB530</f>
        <v>6666.67</v>
      </c>
      <c r="AC640" s="141">
        <f>'[27]מאזן בוחן'!AC539</f>
        <v>7000</v>
      </c>
      <c r="AD640" s="141">
        <f>'[28]מאזן בוחן'!AD549</f>
        <v>6999.9999999999982</v>
      </c>
      <c r="AE640" s="141">
        <f>'[29]מאזן בוחן'!AE557</f>
        <v>7000</v>
      </c>
      <c r="AF640" s="141">
        <f>'[30]מאזן בוחן'!AF566</f>
        <v>7000</v>
      </c>
      <c r="AG640" s="141">
        <f>'[31]מאזן בוחן'!AG569</f>
        <v>7000</v>
      </c>
      <c r="AH640" s="141">
        <v>7000</v>
      </c>
      <c r="AI640" s="141">
        <v>7000</v>
      </c>
      <c r="AJ640" s="141">
        <v>7000</v>
      </c>
      <c r="AK640" s="141">
        <v>7500</v>
      </c>
      <c r="AL640" s="141">
        <v>7500</v>
      </c>
      <c r="AM640" s="141">
        <f>$K640-SUM($AB640:AL640)</f>
        <v>7500</v>
      </c>
      <c r="AN640" s="141"/>
      <c r="AO640" s="141"/>
      <c r="AP640" s="141"/>
      <c r="AQ640" s="141"/>
      <c r="AR640" s="141"/>
      <c r="AS640" s="141"/>
      <c r="AT640" s="141"/>
      <c r="AU640" s="141"/>
      <c r="AV640" s="141"/>
      <c r="AW640" s="141"/>
      <c r="BA640" s="204"/>
    </row>
    <row r="641" spans="1:53">
      <c r="A641" s="52"/>
      <c r="B641" s="3659" t="s">
        <v>1066</v>
      </c>
      <c r="C641" s="585">
        <v>5110023</v>
      </c>
      <c r="D641" s="203" t="s">
        <v>3686</v>
      </c>
      <c r="E641" s="474">
        <f>IFERROR(VLOOKUP(C641,'פקודות נוספות'!$D$274:$F$797,3,0),0)</f>
        <v>78872.5</v>
      </c>
      <c r="F641" s="49">
        <f>SUMIF('פקודות נוספות'!C:C,C:C,'פקודות נוספות'!E:E)</f>
        <v>0</v>
      </c>
      <c r="J641" s="474">
        <f>SUM(E641:I641)</f>
        <v>78872.5</v>
      </c>
      <c r="K641" s="42">
        <f>M641+SUMIF('פקודות נוספות'!C:C,'מאזן בוחן'!C641,'פקודות נוספות'!F:F)</f>
        <v>24500</v>
      </c>
      <c r="L641" s="49"/>
      <c r="M641" s="1341">
        <f>IFERROR(VLOOKUP(C641,'פקודות נוספות'!$D$273:$G$797,4,0),0)</f>
        <v>24500</v>
      </c>
      <c r="N641" s="1104">
        <f>IF(K641=0,"-",J641/K641)</f>
        <v>3.2192857142857143</v>
      </c>
      <c r="O641" s="1133"/>
      <c r="Q641" s="141"/>
      <c r="R641" s="141"/>
      <c r="S641" s="141"/>
      <c r="T641" s="141"/>
      <c r="U641" s="141"/>
      <c r="V641" s="726"/>
      <c r="W641" s="726"/>
      <c r="X641" s="141"/>
      <c r="Y641" s="141"/>
      <c r="AA641" s="141"/>
      <c r="AB641" s="141"/>
      <c r="AC641" s="141"/>
      <c r="AD641" s="141"/>
      <c r="AE641" s="141"/>
      <c r="AF641" s="141">
        <f>'[30]מאזן בוחן'!AF567</f>
        <v>0</v>
      </c>
      <c r="AG641" s="141">
        <f>'[31]מאזן בוחן'!AG570</f>
        <v>7000</v>
      </c>
      <c r="AH641" s="141">
        <v>3500</v>
      </c>
      <c r="AI641" s="141">
        <v>3500</v>
      </c>
      <c r="AJ641" s="141">
        <v>3500</v>
      </c>
      <c r="AK641" s="141">
        <v>3500</v>
      </c>
      <c r="AL641" s="141">
        <v>3500</v>
      </c>
      <c r="AM641" s="141">
        <f>$K641-SUM($AB641:AL641)</f>
        <v>0</v>
      </c>
      <c r="AN641" s="141" t="s">
        <v>4879</v>
      </c>
      <c r="AO641" s="141"/>
      <c r="AP641" s="141"/>
      <c r="AQ641" s="141"/>
      <c r="AR641" s="141"/>
      <c r="AS641" s="141"/>
      <c r="AT641" s="141"/>
      <c r="AU641" s="141"/>
      <c r="AV641" s="141"/>
      <c r="AW641" s="141"/>
      <c r="BA641" s="204"/>
    </row>
    <row r="642" spans="1:53">
      <c r="A642" s="52"/>
      <c r="B642" s="3659" t="s">
        <v>1066</v>
      </c>
      <c r="C642" s="585">
        <v>5110021</v>
      </c>
      <c r="D642" s="203" t="s">
        <v>3577</v>
      </c>
      <c r="E642" s="474">
        <f>IFERROR(VLOOKUP(C642,'פקודות נוספות'!$D$274:$F$797,3,0),0)</f>
        <v>75137.58</v>
      </c>
      <c r="F642" s="49">
        <f>SUMIF('פקודות נוספות'!C:C,C:C,'פקודות נוספות'!E:E)</f>
        <v>0</v>
      </c>
      <c r="J642" s="474">
        <f>SUM(E642:I642)</f>
        <v>75137.58</v>
      </c>
      <c r="K642" s="42">
        <f>M642+SUMIF('פקודות נוספות'!C:C,'מאזן בוחן'!C642,'פקודות נוספות'!F:F)</f>
        <v>23306.45</v>
      </c>
      <c r="L642" s="49"/>
      <c r="M642" s="1341">
        <f>IFERROR(VLOOKUP(C642,'פקודות נוספות'!$D$273:$G$797,4,0),0)</f>
        <v>23306.45</v>
      </c>
      <c r="N642" s="1104">
        <f>IF(K642=0,"-",J642/K642)</f>
        <v>3.2238963891969821</v>
      </c>
      <c r="O642" s="1133"/>
      <c r="Q642" s="141"/>
      <c r="R642" s="141"/>
      <c r="S642" s="141"/>
      <c r="T642" s="141"/>
      <c r="U642" s="141"/>
      <c r="V642" s="726"/>
      <c r="W642" s="726"/>
      <c r="X642" s="141"/>
      <c r="Y642" s="141"/>
      <c r="AA642" s="141"/>
      <c r="AB642" s="141"/>
      <c r="AC642" s="141"/>
      <c r="AD642" s="141"/>
      <c r="AE642" s="141">
        <f>'[29]מאזן בוחן'!AE558</f>
        <v>0</v>
      </c>
      <c r="AF642" s="141">
        <f>'[30]מאזן בוחן'!AF568</f>
        <v>5806.45</v>
      </c>
      <c r="AG642" s="141">
        <f>'[31]מאזן בוחן'!AG571</f>
        <v>2500.0000000000009</v>
      </c>
      <c r="AH642" s="141">
        <v>2500</v>
      </c>
      <c r="AI642" s="141">
        <v>2500</v>
      </c>
      <c r="AJ642" s="141">
        <v>2500</v>
      </c>
      <c r="AK642" s="141">
        <v>2500</v>
      </c>
      <c r="AL642" s="141">
        <v>2500</v>
      </c>
      <c r="AM642" s="141">
        <f>$K642-SUM($AB642:AL642)</f>
        <v>2500</v>
      </c>
      <c r="AN642" s="141"/>
      <c r="AO642" s="141"/>
      <c r="AP642" s="141"/>
      <c r="AQ642" s="141"/>
      <c r="AR642" s="141"/>
      <c r="AS642" s="141"/>
      <c r="AT642" s="141"/>
      <c r="AU642" s="141"/>
      <c r="AV642" s="141"/>
      <c r="AW642" s="141"/>
      <c r="BA642" s="204"/>
    </row>
    <row r="643" spans="1:53">
      <c r="A643" s="52"/>
      <c r="B643" s="3659" t="s">
        <v>1066</v>
      </c>
      <c r="C643" s="585">
        <v>5110027</v>
      </c>
      <c r="D643" s="203" t="s">
        <v>4345</v>
      </c>
      <c r="E643" s="474">
        <f>IFERROR(VLOOKUP(C643,'פקודות נוספות'!$D$274:$F$797,3,0),0)</f>
        <v>129.16</v>
      </c>
      <c r="F643" s="49">
        <f>SUMIF('פקודות נוספות'!C:C,C:C,'פקודות נוספות'!E:E)</f>
        <v>0</v>
      </c>
      <c r="J643" s="474">
        <f>SUM(E643:I643)</f>
        <v>129.16</v>
      </c>
      <c r="K643" s="42">
        <f>M643+SUMIF('פקודות נוספות'!C:C,'מאזן בוחן'!C643,'פקודות נוספות'!F:F)</f>
        <v>40</v>
      </c>
      <c r="L643" s="49"/>
      <c r="M643" s="1341">
        <f>IFERROR(VLOOKUP(C643,'פקודות נוספות'!$D$273:$G$797,4,0),0)</f>
        <v>40</v>
      </c>
      <c r="N643" s="1104">
        <f>IF(K643=0,"-",J643/K643)</f>
        <v>3.2290000000000001</v>
      </c>
      <c r="O643" s="1133"/>
      <c r="Q643" s="141"/>
      <c r="R643" s="141"/>
      <c r="S643" s="141"/>
      <c r="T643" s="141"/>
      <c r="U643" s="141"/>
      <c r="V643" s="726"/>
      <c r="W643" s="726"/>
      <c r="X643" s="141"/>
      <c r="Y643" s="141"/>
      <c r="AA643" s="141"/>
      <c r="AB643" s="141"/>
      <c r="AC643" s="141"/>
      <c r="AD643" s="141"/>
      <c r="AE643" s="141"/>
      <c r="AF643" s="141"/>
      <c r="AG643" s="141"/>
      <c r="AH643" s="141"/>
      <c r="AI643" s="141"/>
      <c r="AJ643" s="141"/>
      <c r="AK643" s="141">
        <v>40</v>
      </c>
      <c r="AL643" s="141">
        <v>0</v>
      </c>
      <c r="AM643" s="141">
        <f>$K643-SUM($AB643:AL643)</f>
        <v>0</v>
      </c>
      <c r="AN643" s="141"/>
      <c r="AO643" s="141"/>
      <c r="AP643" s="141"/>
      <c r="AQ643" s="141"/>
      <c r="AR643" s="141"/>
      <c r="AS643" s="141"/>
      <c r="AT643" s="141"/>
      <c r="AU643" s="141"/>
      <c r="AV643" s="141"/>
      <c r="AW643" s="141"/>
      <c r="BA643" s="204"/>
    </row>
    <row r="644" spans="1:53">
      <c r="A644" s="52"/>
      <c r="B644" s="3659" t="s">
        <v>1066</v>
      </c>
      <c r="C644" s="585">
        <v>5110025</v>
      </c>
      <c r="D644" s="203" t="s">
        <v>4189</v>
      </c>
      <c r="E644" s="474">
        <f>IFERROR(VLOOKUP(C644,'פקודות נוספות'!$D$274:$F$797,3,0),0)</f>
        <v>32801.599999999999</v>
      </c>
      <c r="F644" s="49">
        <f>SUMIF('פקודות נוספות'!C:C,C:C,'פקודות נוספות'!E:E)</f>
        <v>0</v>
      </c>
      <c r="J644" s="474">
        <f>SUM(E644:I644)</f>
        <v>32801.599999999999</v>
      </c>
      <c r="K644" s="42">
        <f>M644+SUMIF('פקודות נוספות'!C:C,'מאזן בוחן'!C644,'פקודות נוספות'!F:F)</f>
        <v>10400</v>
      </c>
      <c r="L644" s="49"/>
      <c r="M644" s="1341">
        <f>IFERROR(VLOOKUP(C644,'פקודות נוספות'!$D$273:$G$797,4,0),0)</f>
        <v>10400</v>
      </c>
      <c r="N644" s="1104">
        <f>IF(K644=0,"-",J644/K644)</f>
        <v>3.1539999999999999</v>
      </c>
      <c r="O644" s="1133"/>
      <c r="Q644" s="141"/>
      <c r="R644" s="141"/>
      <c r="S644" s="141"/>
      <c r="T644" s="141"/>
      <c r="U644" s="141"/>
      <c r="V644" s="726"/>
      <c r="W644" s="726"/>
      <c r="X644" s="141"/>
      <c r="Y644" s="141"/>
      <c r="AA644" s="141"/>
      <c r="AB644" s="141"/>
      <c r="AC644" s="141"/>
      <c r="AD644" s="141"/>
      <c r="AE644" s="141"/>
      <c r="AF644" s="141"/>
      <c r="AG644" s="141"/>
      <c r="AH644" s="141"/>
      <c r="AI644" s="141"/>
      <c r="AJ644" s="141">
        <v>2600</v>
      </c>
      <c r="AK644" s="141">
        <v>2600</v>
      </c>
      <c r="AL644" s="141">
        <v>2600</v>
      </c>
      <c r="AM644" s="141">
        <f>$K644-SUM($AB644:AL644)</f>
        <v>2600</v>
      </c>
      <c r="AN644" s="141"/>
      <c r="AO644" s="141"/>
      <c r="AP644" s="141"/>
      <c r="AQ644" s="141"/>
      <c r="AR644" s="141"/>
      <c r="AS644" s="141"/>
      <c r="AT644" s="141"/>
      <c r="AU644" s="141"/>
      <c r="AV644" s="141"/>
      <c r="AW644" s="141"/>
      <c r="BA644" s="204"/>
    </row>
    <row r="645" spans="1:53">
      <c r="A645" s="52"/>
      <c r="B645" s="3659"/>
      <c r="C645" s="585"/>
      <c r="D645" s="203"/>
      <c r="E645" s="474"/>
      <c r="J645" s="474"/>
      <c r="K645" s="42"/>
      <c r="L645" s="49"/>
      <c r="M645" s="1341"/>
      <c r="O645" s="1133"/>
      <c r="Q645" s="141"/>
      <c r="R645" s="141"/>
      <c r="S645" s="141"/>
      <c r="T645" s="141"/>
      <c r="U645" s="141"/>
      <c r="V645" s="726"/>
      <c r="W645" s="726"/>
      <c r="X645" s="141"/>
      <c r="Y645" s="141"/>
      <c r="AA645" s="141"/>
      <c r="AB645" s="141"/>
      <c r="AC645" s="141"/>
      <c r="AD645" s="141"/>
      <c r="AE645" s="141">
        <f>'[29]מאזן בוחן'!AE559</f>
        <v>0</v>
      </c>
      <c r="AF645" s="141">
        <f>'[30]מאזן בוחן'!AF569</f>
        <v>0</v>
      </c>
      <c r="AG645" s="141">
        <f>'[31]מאזן בוחן'!AG572</f>
        <v>0</v>
      </c>
      <c r="AH645" s="141">
        <v>0</v>
      </c>
      <c r="AI645" s="141">
        <v>0</v>
      </c>
      <c r="AJ645" s="141">
        <v>0</v>
      </c>
      <c r="AK645" s="141">
        <v>0</v>
      </c>
      <c r="AL645" s="141">
        <v>0</v>
      </c>
      <c r="AM645" s="141">
        <f>$K645-SUM($AB645:AL645)</f>
        <v>0</v>
      </c>
      <c r="AN645" s="141"/>
      <c r="AO645" s="141"/>
      <c r="AP645" s="141"/>
      <c r="AQ645" s="141"/>
      <c r="AR645" s="141"/>
      <c r="AS645" s="141"/>
      <c r="AT645" s="141"/>
      <c r="AU645" s="141"/>
      <c r="AV645" s="141"/>
      <c r="AW645" s="141"/>
      <c r="BA645" s="204"/>
    </row>
    <row r="646" spans="1:53">
      <c r="A646" s="52"/>
      <c r="B646" s="3659" t="s">
        <v>1070</v>
      </c>
      <c r="C646" s="585">
        <v>5200001</v>
      </c>
      <c r="D646" s="203" t="s">
        <v>359</v>
      </c>
      <c r="E646" s="474">
        <f>IFERROR(VLOOKUP(C646,'פקודות נוספות'!$D$274:$F$797,3,0),0)</f>
        <v>4445537</v>
      </c>
      <c r="F646" s="49">
        <f>SUMIF('פקודות נוספות'!C:C,C:C,'פקודות נוספות'!E:E)</f>
        <v>0</v>
      </c>
      <c r="J646" s="474">
        <f t="shared" si="136"/>
        <v>4445537</v>
      </c>
      <c r="K646" s="42">
        <f>M646+SUMIF('פקודות נוספות'!C:C,'מאזן בוחן'!C646,'פקודות נוספות'!F:F)</f>
        <v>1373614.68</v>
      </c>
      <c r="L646" s="49"/>
      <c r="M646" s="1341">
        <f>IFERROR(VLOOKUP(C646,'פקודות נוספות'!$D$273:$G$797,4,0),0)</f>
        <v>1373614.68</v>
      </c>
      <c r="N646" s="1104">
        <f t="shared" si="132"/>
        <v>3.2363784871606063</v>
      </c>
      <c r="O646" s="1133"/>
      <c r="P646" s="1512">
        <v>90856.069999999992</v>
      </c>
      <c r="Q646" s="141">
        <f>'[39]מאזן בוחן'!AE518</f>
        <v>86089.76</v>
      </c>
      <c r="R646" s="141">
        <v>89040.86</v>
      </c>
      <c r="S646" s="141">
        <v>89514.280000000013</v>
      </c>
      <c r="T646" s="141">
        <f>'[20]מאזן בוחן'!AR561</f>
        <v>89299.480000000054</v>
      </c>
      <c r="U646" s="141">
        <f>'[21]מאזן בוחן'!AS482</f>
        <v>90395.539999999906</v>
      </c>
      <c r="V646" s="726">
        <f>'[22]מאזן בוחן'!AJ468</f>
        <v>101669.54000000008</v>
      </c>
      <c r="W646" s="726">
        <f>'[23]מאזן בוחן'!AK474</f>
        <v>111866.60999999991</v>
      </c>
      <c r="X646" s="141">
        <v>108961.7199999999</v>
      </c>
      <c r="Y646" s="141">
        <f>'[25]מאזן בוחן'!AM504</f>
        <v>115201.03000000038</v>
      </c>
      <c r="AA646" s="141">
        <f>'[32]מאזן בוחן'!AO521</f>
        <v>117288.33999999985</v>
      </c>
      <c r="AB646" s="141">
        <f>'[26]מאזן בוחן'!AB531</f>
        <v>118662.11</v>
      </c>
      <c r="AC646" s="141">
        <f>'[27]מאזן בוחן'!AC540</f>
        <v>126815.84999999999</v>
      </c>
      <c r="AD646" s="141">
        <f>'[28]מאזן בוחן'!AD550</f>
        <v>123982.00000000003</v>
      </c>
      <c r="AE646" s="141">
        <f>'[29]מאזן בוחן'!AE560</f>
        <v>125362.79999999999</v>
      </c>
      <c r="AF646" s="141">
        <f>'[30]מאזן בוחן'!AF570</f>
        <v>124652.63</v>
      </c>
      <c r="AG646" s="141">
        <f>'[31]מאזן בוחן'!AG573</f>
        <v>131947.84999999998</v>
      </c>
      <c r="AH646" s="141">
        <v>111197.33999999997</v>
      </c>
      <c r="AI646" s="141">
        <v>111851.57000000007</v>
      </c>
      <c r="AJ646" s="141">
        <v>111434.49999999988</v>
      </c>
      <c r="AK646" s="141">
        <v>111485.75</v>
      </c>
      <c r="AL646" s="141">
        <v>93379.190000000177</v>
      </c>
      <c r="AM646" s="141">
        <f>$K646-SUM($AB646:AL646)</f>
        <v>82843.089999999851</v>
      </c>
      <c r="AN646" s="141" t="s">
        <v>4880</v>
      </c>
      <c r="AO646" s="141" t="s">
        <v>4559</v>
      </c>
      <c r="AP646" s="141"/>
      <c r="AQ646" s="141"/>
      <c r="AR646" s="141"/>
      <c r="AS646" s="141" t="s">
        <v>3974</v>
      </c>
      <c r="AT646" s="141" t="s">
        <v>3834</v>
      </c>
      <c r="AU646" s="141"/>
      <c r="AV646" s="141"/>
      <c r="AW646" s="141"/>
      <c r="BA646" s="204"/>
    </row>
    <row r="647" spans="1:53">
      <c r="A647" s="52"/>
      <c r="B647" s="3659" t="s">
        <v>1070</v>
      </c>
      <c r="C647" s="585" t="s">
        <v>4799</v>
      </c>
      <c r="D647" s="203" t="s">
        <v>4800</v>
      </c>
      <c r="E647" s="474">
        <f>IFERROR(VLOOKUP(C647,'פקודות נוספות'!$D$274:$F$797,3,0),0)</f>
        <v>0</v>
      </c>
      <c r="F647" s="49">
        <f>SUMIF('פקודות נוספות'!C:C,C:C,'פקודות נוספות'!E:E)</f>
        <v>0</v>
      </c>
      <c r="J647" s="474">
        <f t="shared" ref="J647" si="137">SUM(E647:I647)</f>
        <v>0</v>
      </c>
      <c r="K647" s="42">
        <f>M647+SUMIF('פקודות נוספות'!C:C,'מאזן בוחן'!C647,'פקודות נוספות'!F:F)</f>
        <v>0</v>
      </c>
      <c r="L647" s="49"/>
      <c r="M647" s="1341">
        <f>IFERROR(VLOOKUP(C647,'פקודות נוספות'!$D$273:$G$797,4,0),0)</f>
        <v>0</v>
      </c>
      <c r="N647" s="1104" t="str">
        <f t="shared" ref="N647" si="138">IF(K647=0,"-",J647/K647)</f>
        <v>-</v>
      </c>
      <c r="O647" s="1133"/>
      <c r="P647" s="1512"/>
      <c r="Q647" s="141"/>
      <c r="R647" s="141"/>
      <c r="S647" s="141"/>
      <c r="T647" s="141"/>
      <c r="U647" s="141"/>
      <c r="V647" s="726"/>
      <c r="W647" s="726"/>
      <c r="X647" s="141"/>
      <c r="Y647" s="141"/>
      <c r="AA647" s="141"/>
      <c r="AB647" s="141"/>
      <c r="AC647" s="141"/>
      <c r="AD647" s="141"/>
      <c r="AE647" s="141"/>
      <c r="AF647" s="141"/>
      <c r="AG647" s="141"/>
      <c r="AH647" s="141"/>
      <c r="AI647" s="141"/>
      <c r="AJ647" s="141"/>
      <c r="AK647" s="141"/>
      <c r="AL647" s="141"/>
      <c r="AM647" s="141">
        <f>$K647-SUM($AB647:AL647)</f>
        <v>0</v>
      </c>
      <c r="AN647" s="141"/>
      <c r="AO647" s="141"/>
      <c r="AP647" s="141"/>
      <c r="AQ647" s="141"/>
      <c r="AR647" s="141"/>
      <c r="AS647" s="141"/>
      <c r="AT647" s="141"/>
      <c r="AU647" s="141"/>
      <c r="AV647" s="141"/>
      <c r="AW647" s="141"/>
      <c r="BA647" s="204"/>
    </row>
    <row r="648" spans="1:53">
      <c r="A648" s="52"/>
      <c r="B648" s="3659" t="s">
        <v>1070</v>
      </c>
      <c r="C648" s="585">
        <v>5200002</v>
      </c>
      <c r="D648" s="203" t="s">
        <v>556</v>
      </c>
      <c r="E648" s="474">
        <f>IFERROR(VLOOKUP(C648,'פקודות נוספות'!$D$274:$F$797,3,0),0)</f>
        <v>108849.69</v>
      </c>
      <c r="F648" s="49">
        <f>SUMIF('פקודות נוספות'!C:C,C:C,'פקודות נוספות'!E:E)</f>
        <v>0</v>
      </c>
      <c r="J648" s="474">
        <f t="shared" si="136"/>
        <v>108849.69</v>
      </c>
      <c r="K648" s="42">
        <f>M648+SUMIF('פקודות נוספות'!C:C,'מאזן בוחן'!C648,'פקודות נוספות'!F:F)</f>
        <v>34938.26</v>
      </c>
      <c r="L648" s="49"/>
      <c r="M648" s="1341">
        <f>IFERROR(VLOOKUP(C648,'פקודות נוספות'!$D$273:$G$797,4,0),0)</f>
        <v>34938.26</v>
      </c>
      <c r="N648" s="1104">
        <f t="shared" si="132"/>
        <v>3.1154868616811484</v>
      </c>
      <c r="O648" s="1133"/>
      <c r="P648" s="137">
        <v>2163.25</v>
      </c>
      <c r="Q648" s="141">
        <f>'[39]מאזן בוחן'!AE519</f>
        <v>0</v>
      </c>
      <c r="R648" s="141">
        <v>0</v>
      </c>
      <c r="S648" s="141">
        <v>0</v>
      </c>
      <c r="T648" s="141">
        <f>'[20]מאזן בוחן'!AR562</f>
        <v>0</v>
      </c>
      <c r="U648" s="141">
        <f>'[21]מאזן בוחן'!AS483</f>
        <v>0</v>
      </c>
      <c r="V648" s="726">
        <f>'[22]מאזן בוחן'!AJ469</f>
        <v>0</v>
      </c>
      <c r="W648" s="726">
        <f>'[23]מאזן בוחן'!AK475</f>
        <v>0</v>
      </c>
      <c r="X648" s="141">
        <v>0</v>
      </c>
      <c r="Y648" s="141">
        <f>'[25]מאזן בוחן'!AM505</f>
        <v>0</v>
      </c>
      <c r="AA648" s="141">
        <f>'[32]מאזן בוחן'!AO522</f>
        <v>3110.42</v>
      </c>
      <c r="AB648" s="141">
        <f>'[26]מאזן בוחן'!AB532</f>
        <v>0</v>
      </c>
      <c r="AC648" s="141">
        <f>'[27]מאזן בוחן'!AC541</f>
        <v>-61.64</v>
      </c>
      <c r="AD648" s="141">
        <f>'[28]מאזן בוחן'!AD551</f>
        <v>0</v>
      </c>
      <c r="AE648" s="141">
        <f>'[29]מאזן בוחן'!AE561</f>
        <v>0</v>
      </c>
      <c r="AF648" s="141">
        <f>'[30]מאזן בוחן'!AF571</f>
        <v>0</v>
      </c>
      <c r="AG648" s="141">
        <f>'[31]מאזן בוחן'!AG574</f>
        <v>0</v>
      </c>
      <c r="AH648" s="141">
        <v>0</v>
      </c>
      <c r="AI648" s="141">
        <v>0</v>
      </c>
      <c r="AJ648" s="141">
        <v>0</v>
      </c>
      <c r="AK648" s="141">
        <v>0</v>
      </c>
      <c r="AL648" s="141">
        <v>0</v>
      </c>
      <c r="AM648" s="141">
        <f>$K648-SUM($AB648:AL648)</f>
        <v>34999.9</v>
      </c>
      <c r="AN648" s="141"/>
      <c r="AO648" s="141"/>
      <c r="AP648" s="141"/>
      <c r="AQ648" s="141"/>
      <c r="AR648" s="141"/>
      <c r="AS648" s="141"/>
      <c r="AT648" s="141"/>
      <c r="AU648" s="141"/>
      <c r="AV648" s="141"/>
      <c r="AW648" s="141"/>
      <c r="BA648" s="204"/>
    </row>
    <row r="649" spans="1:53">
      <c r="A649" s="52"/>
      <c r="B649" s="3659" t="s">
        <v>1070</v>
      </c>
      <c r="C649" s="585">
        <v>5200003</v>
      </c>
      <c r="D649" s="203" t="s">
        <v>1071</v>
      </c>
      <c r="E649" s="474">
        <f>IFERROR(VLOOKUP(C649,'פקודות נוספות'!$D$274:$F$797,3,0),0)</f>
        <v>201250.41</v>
      </c>
      <c r="F649" s="49">
        <f>SUMIF('פקודות נוספות'!C:C,C:C,'פקודות נוספות'!E:E)</f>
        <v>0</v>
      </c>
      <c r="J649" s="474">
        <f t="shared" si="136"/>
        <v>201250.41</v>
      </c>
      <c r="K649" s="42">
        <f>M649+SUMIF('פקודות נוספות'!C:C,'מאזן בוחן'!C649,'פקודות נוספות'!F:F)</f>
        <v>61020.36</v>
      </c>
      <c r="L649" s="49"/>
      <c r="M649" s="1341">
        <f>IFERROR(VLOOKUP(C649,'פקודות נוספות'!$D$273:$G$797,4,0),0)</f>
        <v>61020.36</v>
      </c>
      <c r="N649" s="1104">
        <f t="shared" si="132"/>
        <v>3.2980862453122204</v>
      </c>
      <c r="O649" s="1133"/>
      <c r="P649" s="137">
        <v>2312.65</v>
      </c>
      <c r="Q649" s="141">
        <f>'[39]מאזן בוחן'!AE520</f>
        <v>3029.0000000000005</v>
      </c>
      <c r="R649" s="141">
        <v>3028.9999999999995</v>
      </c>
      <c r="S649" s="141">
        <v>3029.0000000000005</v>
      </c>
      <c r="T649" s="141">
        <f>'[20]מאזן בוחן'!AR563</f>
        <v>3029.0000000000014</v>
      </c>
      <c r="U649" s="141">
        <f>'[21]מאזן בוחן'!AS484</f>
        <v>3029.0000000000005</v>
      </c>
      <c r="V649" s="726">
        <f>'[22]מאזן בוחן'!AJ470</f>
        <v>3028.9999999999986</v>
      </c>
      <c r="W649" s="726">
        <f>'[23]מאזן בוחן'!AK476</f>
        <v>23651.11</v>
      </c>
      <c r="X649" s="141">
        <v>3029.0000000000023</v>
      </c>
      <c r="Y649" s="141">
        <f>'[25]מאזן בוחן'!AM506</f>
        <v>3029</v>
      </c>
      <c r="AA649" s="141">
        <f>'[32]מאזן בוחן'!AO523</f>
        <v>13075.75</v>
      </c>
      <c r="AB649" s="141">
        <f>'[26]מאזן בוחן'!AB533</f>
        <v>5584.62</v>
      </c>
      <c r="AC649" s="141">
        <f>'[27]מאזן בוחן'!AC542</f>
        <v>2449.88</v>
      </c>
      <c r="AD649" s="141">
        <f>'[28]מאזן בוחן'!AD552</f>
        <v>6835.84</v>
      </c>
      <c r="AE649" s="141">
        <f>'[29]מאזן בוחן'!AE562</f>
        <v>6000</v>
      </c>
      <c r="AF649" s="141">
        <f>'[30]מאזן בוחן'!AF572</f>
        <v>6000</v>
      </c>
      <c r="AG649" s="141">
        <f>'[31]מאזן בוחן'!AG575</f>
        <v>5999.9999999999964</v>
      </c>
      <c r="AH649" s="141">
        <v>6000</v>
      </c>
      <c r="AI649" s="141">
        <v>6000</v>
      </c>
      <c r="AJ649" s="141">
        <v>6000</v>
      </c>
      <c r="AK649" s="141">
        <v>6000</v>
      </c>
      <c r="AL649" s="141">
        <v>6000</v>
      </c>
      <c r="AM649" s="141">
        <f>$K649-SUM($AB649:AL649)</f>
        <v>-1849.9799999999959</v>
      </c>
      <c r="AN649" s="141"/>
      <c r="AO649" s="141"/>
      <c r="AP649" s="141"/>
      <c r="AQ649" s="141"/>
      <c r="AR649" s="141"/>
      <c r="AS649" s="141"/>
      <c r="AT649" s="141"/>
      <c r="AU649" s="141"/>
      <c r="AV649" s="141"/>
      <c r="AW649" s="141"/>
      <c r="BA649" s="204"/>
    </row>
    <row r="650" spans="1:53">
      <c r="A650" s="52"/>
      <c r="B650" s="3659" t="s">
        <v>1070</v>
      </c>
      <c r="C650" s="585">
        <v>5200020</v>
      </c>
      <c r="D650" s="203" t="s">
        <v>1072</v>
      </c>
      <c r="E650" s="474">
        <f>IFERROR(VLOOKUP(C650,'פקודות נוספות'!$D$274:$F$797,3,0),0)</f>
        <v>24000</v>
      </c>
      <c r="F650" s="49">
        <f>SUMIF('פקודות נוספות'!C:C,C:C,'פקודות נוספות'!E:E)</f>
        <v>0</v>
      </c>
      <c r="J650" s="474">
        <f t="shared" si="136"/>
        <v>24000</v>
      </c>
      <c r="K650" s="42">
        <f>M650+SUMIF('פקודות נוספות'!C:C,'מאזן בוחן'!C650,'פקודות נוספות'!F:F)</f>
        <v>7717.04</v>
      </c>
      <c r="L650" s="49"/>
      <c r="M650" s="1341">
        <f>IFERROR(VLOOKUP(C650,'פקודות נוספות'!$D$273:$G$797,4,0),0)</f>
        <v>7717.04</v>
      </c>
      <c r="N650" s="1104">
        <f t="shared" si="132"/>
        <v>3.1100007256668358</v>
      </c>
      <c r="O650" s="1133"/>
      <c r="P650" s="137">
        <v>0</v>
      </c>
      <c r="Q650" s="141">
        <f>'[39]מאזן בוחן'!AE521</f>
        <v>0</v>
      </c>
      <c r="R650" s="141">
        <v>0</v>
      </c>
      <c r="S650" s="141">
        <v>0</v>
      </c>
      <c r="T650" s="141">
        <f>'[20]מאזן בוחן'!AR564</f>
        <v>0</v>
      </c>
      <c r="U650" s="141">
        <f>'[21]מאזן בוחן'!AS485</f>
        <v>0</v>
      </c>
      <c r="V650" s="726">
        <f>'[22]מאזן בוחן'!AJ471</f>
        <v>0</v>
      </c>
      <c r="W650" s="726">
        <f>'[23]מאזן בוחן'!AK477</f>
        <v>0</v>
      </c>
      <c r="X650" s="141">
        <v>0</v>
      </c>
      <c r="Y650" s="141">
        <f>'[25]מאזן בוחן'!AM507</f>
        <v>0</v>
      </c>
      <c r="AA650" s="141">
        <f>'[32]מאזן בוחן'!AO524</f>
        <v>0</v>
      </c>
      <c r="AB650" s="141">
        <f>'[26]מאזן בוחן'!AB534</f>
        <v>0</v>
      </c>
      <c r="AC650" s="141">
        <f>'[27]מאזן בוחן'!AC543</f>
        <v>0</v>
      </c>
      <c r="AD650" s="141">
        <f>'[28]מאזן בוחן'!AD553</f>
        <v>0</v>
      </c>
      <c r="AE650" s="141">
        <f>'[29]מאזן בוחן'!AE563</f>
        <v>0</v>
      </c>
      <c r="AF650" s="141">
        <f>'[30]מאזן בוחן'!AF573</f>
        <v>0</v>
      </c>
      <c r="AG650" s="141">
        <f>'[31]מאזן בוחן'!AG576</f>
        <v>0</v>
      </c>
      <c r="AH650" s="141">
        <v>0</v>
      </c>
      <c r="AI650" s="141">
        <v>0</v>
      </c>
      <c r="AJ650" s="141">
        <v>0</v>
      </c>
      <c r="AK650" s="141">
        <v>0</v>
      </c>
      <c r="AL650" s="141">
        <v>0</v>
      </c>
      <c r="AM650" s="141">
        <f>$K650-SUM($AB650:AL650)</f>
        <v>7717.04</v>
      </c>
      <c r="AN650" s="141"/>
      <c r="AO650" s="141"/>
      <c r="AP650" s="141"/>
      <c r="AQ650" s="141"/>
      <c r="AR650" s="141"/>
      <c r="AS650" s="141"/>
      <c r="AT650" s="141"/>
      <c r="AU650" s="141"/>
      <c r="AV650" s="141"/>
      <c r="AW650" s="141"/>
      <c r="BA650" s="204"/>
    </row>
    <row r="651" spans="1:53">
      <c r="A651" s="52"/>
      <c r="B651" s="3659" t="s">
        <v>1070</v>
      </c>
      <c r="C651" s="585">
        <v>5200021</v>
      </c>
      <c r="D651" s="203" t="s">
        <v>1645</v>
      </c>
      <c r="E651" s="474">
        <f>IFERROR(VLOOKUP(C651,'פקודות נוספות'!$D$274:$F$797,3,0),0)</f>
        <v>0</v>
      </c>
      <c r="F651" s="49">
        <f>SUMIF('פקודות נוספות'!C:C,C:C,'פקודות נוספות'!E:E)</f>
        <v>0</v>
      </c>
      <c r="J651" s="474">
        <f t="shared" si="136"/>
        <v>0</v>
      </c>
      <c r="K651" s="42">
        <f>M651+SUMIF('פקודות נוספות'!C:C,'מאזן בוחן'!C651,'פקודות נוספות'!F:F)</f>
        <v>0</v>
      </c>
      <c r="L651" s="49"/>
      <c r="M651" s="1341">
        <f>IFERROR(VLOOKUP(C651,'פקודות נוספות'!$D$273:$G$797,4,0),0)</f>
        <v>0</v>
      </c>
      <c r="N651" s="1104" t="str">
        <f t="shared" si="132"/>
        <v>-</v>
      </c>
      <c r="O651" s="1133"/>
      <c r="P651" s="1512">
        <v>24776.520000000004</v>
      </c>
      <c r="Q651" s="141">
        <f>'[39]מאזן בוחן'!AE522</f>
        <v>28434.550000000003</v>
      </c>
      <c r="R651" s="141">
        <v>19070</v>
      </c>
      <c r="S651" s="141">
        <v>21328.51999999999</v>
      </c>
      <c r="T651" s="141">
        <f>'[20]מאזן בוחן'!AR567</f>
        <v>15450</v>
      </c>
      <c r="U651" s="141">
        <f>'[21]מאזן בוחן'!AS486</f>
        <v>0</v>
      </c>
      <c r="V651" s="726">
        <f>'[22]מאזן בוחן'!AJ472</f>
        <v>0</v>
      </c>
      <c r="W651" s="726">
        <f>'[23]מאזן בוחן'!AK478</f>
        <v>0</v>
      </c>
      <c r="X651" s="141">
        <v>0</v>
      </c>
      <c r="Y651" s="141">
        <f>'[25]מאזן בוחן'!AM508</f>
        <v>0</v>
      </c>
      <c r="AA651" s="141">
        <f>'[32]מאזן בוחן'!AO525</f>
        <v>0</v>
      </c>
      <c r="AB651" s="141">
        <f>'[26]מאזן בוחן'!AB535</f>
        <v>0</v>
      </c>
      <c r="AC651" s="141">
        <f>'[27]מאזן בוחן'!AC544</f>
        <v>0</v>
      </c>
      <c r="AD651" s="141">
        <f>'[28]מאזן בוחן'!AD554</f>
        <v>0</v>
      </c>
      <c r="AE651" s="141">
        <f>'[29]מאזן בוחן'!AE564</f>
        <v>0</v>
      </c>
      <c r="AF651" s="141">
        <f>'[30]מאזן בוחן'!AF574</f>
        <v>0</v>
      </c>
      <c r="AG651" s="141">
        <f>'[31]מאזן בוחן'!AG577</f>
        <v>0</v>
      </c>
      <c r="AH651" s="141">
        <v>0</v>
      </c>
      <c r="AI651" s="141">
        <v>0</v>
      </c>
      <c r="AJ651" s="141">
        <v>0</v>
      </c>
      <c r="AK651" s="141">
        <v>0</v>
      </c>
      <c r="AL651" s="141">
        <v>0</v>
      </c>
      <c r="AM651" s="141">
        <f>$K651-SUM($AB651:AL651)</f>
        <v>0</v>
      </c>
      <c r="AN651" s="141"/>
      <c r="AO651" s="141"/>
      <c r="AP651" s="141"/>
      <c r="AQ651" s="141"/>
      <c r="AR651" s="141"/>
      <c r="AS651" s="141"/>
      <c r="AT651" s="141"/>
      <c r="AU651" s="141"/>
      <c r="AV651" s="141"/>
      <c r="AW651" s="141"/>
      <c r="BA651" s="204"/>
    </row>
    <row r="652" spans="1:53">
      <c r="A652" s="52"/>
      <c r="B652" s="3659"/>
      <c r="C652" s="585"/>
      <c r="D652" s="203"/>
      <c r="E652" s="474"/>
      <c r="J652" s="474"/>
      <c r="K652" s="42"/>
      <c r="L652" s="49"/>
      <c r="M652" s="1341"/>
      <c r="O652" s="1133"/>
      <c r="P652" s="1512"/>
      <c r="Q652" s="141"/>
      <c r="R652" s="141"/>
      <c r="S652" s="141"/>
      <c r="T652" s="141"/>
      <c r="U652" s="141"/>
      <c r="V652" s="726"/>
      <c r="W652" s="726"/>
      <c r="X652" s="141"/>
      <c r="Y652" s="141"/>
      <c r="AA652" s="141"/>
      <c r="AB652" s="141"/>
      <c r="AC652" s="141"/>
      <c r="AD652" s="141"/>
      <c r="AE652" s="141"/>
      <c r="AF652" s="141"/>
      <c r="AG652" s="141"/>
      <c r="AH652" s="141"/>
      <c r="AI652" s="141"/>
      <c r="AJ652" s="141"/>
      <c r="AK652" s="141"/>
      <c r="AL652" s="141"/>
      <c r="AM652" s="141"/>
      <c r="AN652" s="141"/>
      <c r="AO652" s="141"/>
      <c r="AP652" s="141"/>
      <c r="AQ652" s="141"/>
      <c r="AR652" s="141"/>
      <c r="AS652" s="141"/>
      <c r="AT652" s="141"/>
      <c r="AU652" s="141"/>
      <c r="AV652" s="141"/>
      <c r="AW652" s="141"/>
      <c r="BA652" s="204"/>
    </row>
    <row r="653" spans="1:53">
      <c r="A653" s="52"/>
      <c r="B653" s="3659" t="s">
        <v>1073</v>
      </c>
      <c r="C653" s="585">
        <v>5400001</v>
      </c>
      <c r="D653" s="203" t="s">
        <v>1074</v>
      </c>
      <c r="E653" s="474">
        <f>IFERROR(VLOOKUP(C653,'פקודות נוספות'!$D$274:$F$797,3,0),0)</f>
        <v>1818745</v>
      </c>
      <c r="F653" s="49">
        <f>SUMIF('פקודות נוספות'!C:C,C:C,'פקודות נוספות'!E:E)</f>
        <v>0</v>
      </c>
      <c r="J653" s="474">
        <f>SUM(E653:I653)</f>
        <v>1818745</v>
      </c>
      <c r="K653" s="42">
        <f>M653+SUMIF('פקודות נוספות'!C:C,'מאזן בוחן'!C653,'פקודות נוספות'!F:F)</f>
        <v>563105.4</v>
      </c>
      <c r="L653" s="49"/>
      <c r="M653" s="1341">
        <f>IFERROR(VLOOKUP(C653,'פקודות נוספות'!$D$273:$G$797,4,0),0)</f>
        <v>563105.4</v>
      </c>
      <c r="N653" s="1104">
        <f>IF(K653=0,"-",J653/K653)</f>
        <v>3.2298482664169086</v>
      </c>
      <c r="O653" s="1133"/>
      <c r="P653" s="1512">
        <v>34714.739999999991</v>
      </c>
      <c r="Q653" s="141">
        <f>'[39]מאזן בוחן'!AE524</f>
        <v>32527.630000000008</v>
      </c>
      <c r="R653" s="141">
        <v>33125.430000000008</v>
      </c>
      <c r="S653" s="141">
        <v>33767.85000000002</v>
      </c>
      <c r="T653" s="141">
        <f>'[20]מאזן בוחן'!AR569</f>
        <v>40985.859999999986</v>
      </c>
      <c r="U653" s="141">
        <f>'[21]מאזן בוחן'!AS488</f>
        <v>43722.119999999995</v>
      </c>
      <c r="V653" s="726">
        <f>'[22]מאזן בוחן'!AJ474</f>
        <v>44737.660000000018</v>
      </c>
      <c r="W653" s="726">
        <f>'[23]מאזן בוחן'!AK480</f>
        <v>43952.049999999988</v>
      </c>
      <c r="X653" s="141">
        <v>43958.209999999948</v>
      </c>
      <c r="Y653" s="141">
        <f>'[25]מאזן בוחן'!AM510</f>
        <v>45474.300000000047</v>
      </c>
      <c r="AA653" s="141">
        <f>'[32]מאזן בוחן'!AO527</f>
        <v>46793.77999999997</v>
      </c>
      <c r="AB653" s="141">
        <f>'[26]מאזן בוחן'!AB537</f>
        <v>45707.69</v>
      </c>
      <c r="AC653" s="141">
        <f>'[27]מאזן בוחן'!AC546</f>
        <v>55314.020000000004</v>
      </c>
      <c r="AD653" s="141">
        <f>'[28]מאזן בוחן'!AD556</f>
        <v>45304.740000000005</v>
      </c>
      <c r="AE653" s="141">
        <f>'[29]מאזן בוחן'!AE566</f>
        <v>45374.19</v>
      </c>
      <c r="AF653" s="141">
        <f>'[30]מאזן בוחן'!AF576</f>
        <v>45306.179999999993</v>
      </c>
      <c r="AG653" s="141">
        <f>'[31]מאזן בוחן'!AG579</f>
        <v>45210.429999999993</v>
      </c>
      <c r="AH653" s="141">
        <v>45586.140000000014</v>
      </c>
      <c r="AI653" s="141">
        <v>45959.149999999965</v>
      </c>
      <c r="AJ653" s="141">
        <v>45847.010000000009</v>
      </c>
      <c r="AK653" s="141">
        <v>46651.359999999986</v>
      </c>
      <c r="AL653" s="141">
        <v>46647.380000000005</v>
      </c>
      <c r="AM653" s="141">
        <f>$K653-SUM($AB653:AL653)</f>
        <v>50197.110000000044</v>
      </c>
      <c r="AN653" s="141"/>
      <c r="AO653" s="141"/>
      <c r="AP653" s="141"/>
      <c r="AQ653" s="141"/>
      <c r="AR653" s="141"/>
      <c r="AS653" s="141"/>
      <c r="AT653" s="141"/>
      <c r="AU653" s="141"/>
      <c r="AV653" s="141" t="s">
        <v>3474</v>
      </c>
      <c r="AW653" s="141" t="s">
        <v>3297</v>
      </c>
      <c r="BA653" s="204"/>
    </row>
    <row r="654" spans="1:53">
      <c r="B654" s="3659" t="s">
        <v>1073</v>
      </c>
      <c r="C654" s="585">
        <v>5400055</v>
      </c>
      <c r="D654" s="1517" t="s">
        <v>4801</v>
      </c>
      <c r="E654" s="474">
        <f>IFERROR(VLOOKUP(C654,'פקודות נוספות'!$D$274:$F$797,3,0),0)</f>
        <v>900</v>
      </c>
      <c r="F654" s="49">
        <f>SUMIF('פקודות נוספות'!C:C,C:C,'פקודות נוספות'!E:E)</f>
        <v>0</v>
      </c>
      <c r="J654" s="474">
        <f>SUM(E654:I654)</f>
        <v>900</v>
      </c>
      <c r="K654" s="42">
        <f>M654+SUMIF('פקודות נוספות'!C:C,'מאזן בוחן'!C654,'פקודות נוספות'!F:F)</f>
        <v>289.39</v>
      </c>
      <c r="L654" s="49"/>
      <c r="M654" s="1341">
        <f>IFERROR(VLOOKUP(C654,'פקודות נוספות'!$D$273:$G$797,4,0),0)</f>
        <v>289.39</v>
      </c>
      <c r="N654" s="1104">
        <f>IF(K654=0,"-",J654/K654)</f>
        <v>3.1099899789211793</v>
      </c>
      <c r="AM654" s="141">
        <f>$K654-SUM($AB654:AL654)</f>
        <v>289.39</v>
      </c>
    </row>
    <row r="655" spans="1:53">
      <c r="A655" s="52"/>
      <c r="B655" s="3659" t="s">
        <v>1073</v>
      </c>
      <c r="C655" s="585">
        <v>5400003</v>
      </c>
      <c r="D655" s="1110" t="s">
        <v>1228</v>
      </c>
      <c r="E655" s="474">
        <f>IFERROR(VLOOKUP(C655,'פקודות נוספות'!$D$274:$F$797,3,0),0)</f>
        <v>17975.18</v>
      </c>
      <c r="F655" s="49">
        <f>SUMIF('פקודות נוספות'!C:C,C:C,'פקודות נוספות'!E:E)</f>
        <v>0</v>
      </c>
      <c r="J655" s="474">
        <f>SUM(E655:I655)</f>
        <v>17975.18</v>
      </c>
      <c r="K655" s="42">
        <f>M655+SUMIF('פקודות נוספות'!C:C,'מאזן בוחן'!C655,'פקודות נוספות'!F:F)</f>
        <v>5755.14</v>
      </c>
      <c r="L655" s="49"/>
      <c r="M655" s="1341">
        <f>IFERROR(VLOOKUP(C655,'פקודות נוספות'!$D$273:$G$797,4,0),0)</f>
        <v>5755.14</v>
      </c>
      <c r="N655" s="1104">
        <f>IF(K655=0,"-",J655/K655)</f>
        <v>3.1233262787699343</v>
      </c>
      <c r="O655" s="1133"/>
      <c r="P655" s="137">
        <v>2019.04</v>
      </c>
      <c r="Q655" s="141">
        <f>'[39]מאזן בוחן'!AE523</f>
        <v>0</v>
      </c>
      <c r="R655" s="141">
        <v>0</v>
      </c>
      <c r="S655" s="141">
        <v>0</v>
      </c>
      <c r="T655" s="141">
        <f>'[20]מאזן בוחן'!AR568</f>
        <v>0</v>
      </c>
      <c r="U655" s="141">
        <f>'[21]מאזן בוחן'!AS487</f>
        <v>0</v>
      </c>
      <c r="V655" s="726">
        <f>'[22]מאזן בוחן'!AJ473</f>
        <v>0</v>
      </c>
      <c r="W655" s="726">
        <f>'[23]מאזן בוחן'!AK479</f>
        <v>0</v>
      </c>
      <c r="X655" s="141">
        <v>0</v>
      </c>
      <c r="Y655" s="141">
        <f>'[25]מאזן בוחן'!AM509</f>
        <v>0</v>
      </c>
      <c r="AA655" s="141">
        <f>'[32]מאזן בוחן'!AO526</f>
        <v>1244.17</v>
      </c>
      <c r="AB655" s="141">
        <f>'[26]מאזן בוחן'!AB536</f>
        <v>0</v>
      </c>
      <c r="AC655" s="141">
        <f>'[27]מאזן בוחן'!AC545</f>
        <v>-24.66</v>
      </c>
      <c r="AD655" s="141">
        <f>'[28]מאזן בוחן'!AD555</f>
        <v>0</v>
      </c>
      <c r="AE655" s="141">
        <f>'[29]מאזן בוחן'!AE565</f>
        <v>0</v>
      </c>
      <c r="AF655" s="141">
        <f>'[30]מאזן בוחן'!AF575</f>
        <v>0</v>
      </c>
      <c r="AG655" s="141">
        <f>'[31]מאזן בוחן'!AG578</f>
        <v>0</v>
      </c>
      <c r="AH655" s="141">
        <v>0</v>
      </c>
      <c r="AI655" s="141">
        <v>0</v>
      </c>
      <c r="AJ655" s="141">
        <v>0</v>
      </c>
      <c r="AK655" s="141">
        <v>0</v>
      </c>
      <c r="AL655" s="141">
        <v>0</v>
      </c>
      <c r="AM655" s="141">
        <f>$K655-SUM($AB655:AL655)</f>
        <v>5779.8</v>
      </c>
      <c r="AN655" s="141"/>
      <c r="AO655" s="141"/>
      <c r="AP655" s="141"/>
      <c r="AQ655" s="141"/>
      <c r="AR655" s="141"/>
      <c r="AS655" s="141"/>
      <c r="AT655" s="141"/>
      <c r="AU655" s="141"/>
      <c r="AV655" s="141"/>
      <c r="AW655" s="141"/>
      <c r="BA655" s="204"/>
    </row>
    <row r="656" spans="1:53">
      <c r="A656" s="52"/>
      <c r="B656" s="3659" t="s">
        <v>1073</v>
      </c>
      <c r="C656" s="585">
        <v>5400002</v>
      </c>
      <c r="D656" s="203" t="s">
        <v>1075</v>
      </c>
      <c r="E656" s="474">
        <f>IFERROR(VLOOKUP(C656,'פקודות נוספות'!$D$274:$F$797,3,0),0)</f>
        <v>59048.98</v>
      </c>
      <c r="F656" s="49">
        <f>SUMIF('פקודות נוספות'!C:C,C:C,'פקודות נוספות'!E:E)</f>
        <v>0</v>
      </c>
      <c r="J656" s="474">
        <f t="shared" si="136"/>
        <v>59048.98</v>
      </c>
      <c r="K656" s="42">
        <f>M656+SUMIF('פקודות נוספות'!C:C,'מאזן בוחן'!C656,'פקודות נוספות'!F:F)</f>
        <v>17904.57</v>
      </c>
      <c r="L656" s="49"/>
      <c r="M656" s="1341">
        <f>IFERROR(VLOOKUP(C656,'פקודות נוספות'!$D$273:$G$797,4,0),0)</f>
        <v>17904.57</v>
      </c>
      <c r="N656" s="1104">
        <f t="shared" si="132"/>
        <v>3.297983699133797</v>
      </c>
      <c r="O656" s="1133"/>
      <c r="P656" s="137">
        <v>1095.6399999999999</v>
      </c>
      <c r="Q656" s="141">
        <f>'[39]מאזן בוחן'!AE525</f>
        <v>1356</v>
      </c>
      <c r="R656" s="141">
        <v>1356.0000000000005</v>
      </c>
      <c r="S656" s="141">
        <v>1356</v>
      </c>
      <c r="T656" s="141">
        <f>'[20]מאזן בוחן'!AR570</f>
        <v>1355.9999999999995</v>
      </c>
      <c r="U656" s="141">
        <f>'[21]מאזן בוחן'!AS489</f>
        <v>1356</v>
      </c>
      <c r="V656" s="726">
        <f>'[22]מאזן בוחן'!AJ475</f>
        <v>1356</v>
      </c>
      <c r="W656" s="726">
        <f>'[23]מאזן בוחן'!AK481</f>
        <v>4981.9500000000007</v>
      </c>
      <c r="X656" s="141">
        <v>1355.9999999999977</v>
      </c>
      <c r="Y656" s="141">
        <f>'[25]מאזן בוחן'!AM511</f>
        <v>1356</v>
      </c>
      <c r="AA656" s="141">
        <f>'[32]מאזן בוחן'!AO528</f>
        <v>1092.3500000000022</v>
      </c>
      <c r="AB656" s="141">
        <f>'[26]מאזן בוחן'!AB538</f>
        <v>1636.28</v>
      </c>
      <c r="AC656" s="141">
        <f>'[27]מאזן בוחן'!AC547</f>
        <v>718.16999999999985</v>
      </c>
      <c r="AD656" s="141">
        <f>'[28]מאזן בוחן'!AD557</f>
        <v>1453.9300000000003</v>
      </c>
      <c r="AE656" s="141">
        <f>'[29]מאזן בוחן'!AE567</f>
        <v>1575</v>
      </c>
      <c r="AF656" s="141">
        <f>'[30]מאזן בוחן'!AF577</f>
        <v>1575</v>
      </c>
      <c r="AG656" s="141">
        <f>'[31]מאזן בוחן'!AG580</f>
        <v>1574.9999999999991</v>
      </c>
      <c r="AH656" s="141">
        <v>1575</v>
      </c>
      <c r="AI656" s="141">
        <v>1575</v>
      </c>
      <c r="AJ656" s="141">
        <v>1575</v>
      </c>
      <c r="AK656" s="141">
        <v>1575</v>
      </c>
      <c r="AL656" s="141">
        <v>1575.0000000000018</v>
      </c>
      <c r="AM656" s="141">
        <f>$K656-SUM($AB656:AL656)</f>
        <v>1496.1899999999987</v>
      </c>
      <c r="AN656" s="141"/>
      <c r="AO656" s="141"/>
      <c r="AP656" s="141"/>
      <c r="AQ656" s="141"/>
      <c r="AR656" s="141"/>
      <c r="AS656" s="141"/>
      <c r="AT656" s="141"/>
      <c r="AU656" s="141"/>
      <c r="AV656" s="141"/>
      <c r="AW656" s="141"/>
      <c r="BA656" s="204"/>
    </row>
    <row r="657" spans="1:53">
      <c r="A657" s="52"/>
      <c r="B657" s="3659" t="s">
        <v>1066</v>
      </c>
      <c r="C657" s="585" t="s">
        <v>1238</v>
      </c>
      <c r="D657" s="1516" t="s">
        <v>1239</v>
      </c>
      <c r="E657" s="474">
        <f>IFERROR(VLOOKUP(C657,'פקודות נוספות'!$D$274:$F$797,3,0),0)</f>
        <v>159169.04</v>
      </c>
      <c r="F657" s="49">
        <f>SUMIF('פקודות נוספות'!C:C,C:C,'פקודות נוספות'!E:E)</f>
        <v>0</v>
      </c>
      <c r="J657" s="474">
        <f t="shared" si="136"/>
        <v>159169.04</v>
      </c>
      <c r="K657" s="42">
        <f>M657+SUMIF('פקודות נוספות'!C:C,'מאזן בוחן'!C657,'פקודות נוספות'!F:F)</f>
        <v>49333</v>
      </c>
      <c r="L657" s="49"/>
      <c r="M657" s="1341">
        <f>IFERROR(VLOOKUP(C657,'פקודות נוספות'!$D$273:$G$797,4,0),0)</f>
        <v>49333</v>
      </c>
      <c r="N657" s="1104">
        <f t="shared" si="132"/>
        <v>3.2264212596031054</v>
      </c>
      <c r="O657" s="1133"/>
      <c r="P657" s="137">
        <v>0</v>
      </c>
      <c r="Q657" s="141">
        <f>'[39]מאזן בוחן'!AE526</f>
        <v>10900.499179558743</v>
      </c>
      <c r="R657" s="141">
        <v>0</v>
      </c>
      <c r="S657" s="141">
        <v>-0.49917955874298059</v>
      </c>
      <c r="T657" s="141">
        <f>'[20]מאזן בוחן'!AR572</f>
        <v>10781.374073971383</v>
      </c>
      <c r="U657" s="141">
        <f>'[21]מאזן בוחן'!AS490</f>
        <v>-0.37407397138304077</v>
      </c>
      <c r="V657" s="726">
        <f>'[22]מאזן בוחן'!AJ476</f>
        <v>0</v>
      </c>
      <c r="W657" s="726">
        <f>'[23]מאזן בוחן'!AK482</f>
        <v>6846.6599999999962</v>
      </c>
      <c r="X657" s="141">
        <v>5.4569682106375694E-12</v>
      </c>
      <c r="Y657" s="141">
        <f>'[25]מאזן בוחן'!AM512</f>
        <v>0</v>
      </c>
      <c r="AA657" s="141">
        <f>'[32]מאזן בוחן'!AO529</f>
        <v>7014.7199999999939</v>
      </c>
      <c r="AB657" s="141">
        <f>'[26]מאזן בוחן'!AB539</f>
        <v>0</v>
      </c>
      <c r="AC657" s="141">
        <f>'[27]מאזן בוחן'!AC548</f>
        <v>0</v>
      </c>
      <c r="AD657" s="141">
        <f>'[28]מאזן בוחן'!AD558</f>
        <v>9704.4500000000007</v>
      </c>
      <c r="AE657" s="141">
        <f>'[29]מאזן בוחן'!AE568</f>
        <v>0</v>
      </c>
      <c r="AF657" s="141">
        <f>'[30]מאזן בוחן'!AF578</f>
        <v>0</v>
      </c>
      <c r="AG657" s="141">
        <f>'[31]מאזן בוחן'!AG581</f>
        <v>13185.419999999998</v>
      </c>
      <c r="AH657" s="141">
        <v>0</v>
      </c>
      <c r="AI657" s="141">
        <v>0</v>
      </c>
      <c r="AJ657" s="141">
        <v>13376.500000000004</v>
      </c>
      <c r="AK657" s="141">
        <v>0</v>
      </c>
      <c r="AL657" s="141">
        <v>0</v>
      </c>
      <c r="AM657" s="141">
        <f>$K657-SUM($AB657:AL657)</f>
        <v>13066.629999999997</v>
      </c>
      <c r="AN657" s="141"/>
      <c r="AO657" s="141"/>
      <c r="AP657" s="141"/>
      <c r="AQ657" s="141"/>
      <c r="AR657" s="141"/>
      <c r="AS657" s="141"/>
      <c r="AT657" s="141"/>
      <c r="AU657" s="141"/>
      <c r="AV657" s="141"/>
      <c r="AW657" s="141"/>
      <c r="BA657" s="204"/>
    </row>
    <row r="658" spans="1:53">
      <c r="A658" s="52"/>
      <c r="B658" s="3659"/>
      <c r="C658" s="585"/>
      <c r="D658" s="2845"/>
      <c r="E658" s="1202"/>
      <c r="J658" s="474"/>
      <c r="K658" s="42"/>
      <c r="L658" s="49"/>
      <c r="M658" s="474"/>
      <c r="O658" s="1133"/>
      <c r="P658" s="137">
        <v>0</v>
      </c>
      <c r="Q658" s="141">
        <f>'[39]מאזן בוחן'!AE528</f>
        <v>0</v>
      </c>
      <c r="R658" s="141">
        <v>0</v>
      </c>
      <c r="S658" s="141">
        <v>0</v>
      </c>
      <c r="T658" s="141">
        <f>'[20]מאזן בוחן'!AR574</f>
        <v>0</v>
      </c>
      <c r="U658" s="141">
        <f>'[21]מאזן בוחן'!AS492</f>
        <v>0</v>
      </c>
      <c r="V658" s="726">
        <f>'[22]מאזן בוחן'!AJ478</f>
        <v>0</v>
      </c>
      <c r="W658" s="726">
        <f>'[23]מאזן בוחן'!AK484</f>
        <v>0</v>
      </c>
      <c r="X658" s="141">
        <v>0</v>
      </c>
      <c r="Y658" s="141">
        <f>'[25]מאזן בוחן'!AM514</f>
        <v>0</v>
      </c>
      <c r="AA658" s="141">
        <f>'[32]מאזן בוחן'!AO531</f>
        <v>0</v>
      </c>
      <c r="AB658" s="141">
        <f>'[26]מאזן בוחן'!AB541</f>
        <v>0</v>
      </c>
      <c r="AC658" s="141">
        <f>'[27]מאזן בוחן'!AC550</f>
        <v>0</v>
      </c>
      <c r="AD658" s="141">
        <f>'[28]מאזן בוחן'!AD559</f>
        <v>0</v>
      </c>
      <c r="AE658" s="141">
        <f>'[29]מאזן בוחן'!AE569</f>
        <v>0</v>
      </c>
      <c r="AF658" s="141">
        <f>'[30]מאזן בוחן'!AF579</f>
        <v>0</v>
      </c>
      <c r="AG658" s="141">
        <f>'[31]מאזן בוחן'!AG582</f>
        <v>0</v>
      </c>
      <c r="AH658" s="141">
        <v>0</v>
      </c>
      <c r="AI658" s="141">
        <v>0</v>
      </c>
      <c r="AJ658" s="141">
        <v>0</v>
      </c>
      <c r="AK658" s="141">
        <v>0</v>
      </c>
      <c r="AL658" s="141">
        <v>0</v>
      </c>
      <c r="AM658" s="141">
        <f>$K658-SUM($AB658:AL658)</f>
        <v>0</v>
      </c>
      <c r="AN658" s="141"/>
      <c r="AO658" s="141"/>
      <c r="AP658" s="141"/>
      <c r="AQ658" s="141"/>
      <c r="AR658" s="141"/>
      <c r="AS658" s="141"/>
      <c r="AT658" s="141"/>
      <c r="AU658" s="141"/>
      <c r="AV658" s="141"/>
      <c r="AW658" s="141"/>
      <c r="BA658" s="204"/>
    </row>
    <row r="659" spans="1:53">
      <c r="A659" s="52"/>
      <c r="B659" s="3664"/>
      <c r="C659" s="407"/>
      <c r="D659" s="62"/>
      <c r="E659" s="1124">
        <f t="shared" ref="E659:K659" si="139">SUM(E635:E658)</f>
        <v>9664382.5199999996</v>
      </c>
      <c r="F659" s="1124">
        <f t="shared" si="139"/>
        <v>0</v>
      </c>
      <c r="G659" s="1124">
        <f t="shared" si="139"/>
        <v>0</v>
      </c>
      <c r="H659" s="1124">
        <f t="shared" si="139"/>
        <v>0</v>
      </c>
      <c r="I659" s="1124">
        <f t="shared" si="139"/>
        <v>0</v>
      </c>
      <c r="J659" s="1124">
        <f t="shared" si="139"/>
        <v>9664382.5199999996</v>
      </c>
      <c r="K659" s="1124">
        <f t="shared" si="139"/>
        <v>2988267.8899999997</v>
      </c>
      <c r="L659" s="49"/>
      <c r="M659" s="1124">
        <f>SUM(M635:M658)</f>
        <v>2988267.8899999997</v>
      </c>
      <c r="N659" s="1104">
        <f t="shared" ref="N659:N674" si="140">IF(K659=0,"-",J659/K659)</f>
        <v>3.2341084788084378</v>
      </c>
      <c r="O659" s="1133"/>
      <c r="P659" s="137">
        <v>293214.58999999991</v>
      </c>
      <c r="Q659" s="141">
        <f>'[39]מאזן בוחן'!AE529</f>
        <v>313982.95643483748</v>
      </c>
      <c r="R659" s="141">
        <v>270814.44934902672</v>
      </c>
      <c r="S659" s="141">
        <v>305737.874216136</v>
      </c>
      <c r="T659" s="141">
        <f>'[20]מאזן בוחן'!AR575</f>
        <v>0</v>
      </c>
      <c r="U659" s="141">
        <f>'[21]מאזן בוחן'!AS493</f>
        <v>547396.5</v>
      </c>
      <c r="V659" s="726">
        <f>'[22]מאזן בוחן'!AJ479</f>
        <v>217428.9200000001</v>
      </c>
      <c r="W659" s="726">
        <f>'[23]מאזן בוחן'!AK485</f>
        <v>258423.02999999974</v>
      </c>
      <c r="X659" s="141">
        <v>222895.74999999988</v>
      </c>
      <c r="Y659" s="141">
        <f>'[25]מאזן בוחן'!AM515</f>
        <v>232613.04000000004</v>
      </c>
      <c r="AA659" s="141">
        <f>'[32]מאזן בוחן'!AO532</f>
        <v>275711.62999999989</v>
      </c>
      <c r="AB659" s="141">
        <f>'[26]מאזן בוחן'!AB542</f>
        <v>245122.44999999998</v>
      </c>
      <c r="AC659" s="141">
        <f>'[27]מאזן בוחן'!AC551</f>
        <v>240535.40000000005</v>
      </c>
      <c r="AD659" s="141">
        <f>'[28]מאזן בוחן'!AD560</f>
        <v>271024.42999999988</v>
      </c>
      <c r="AE659" s="141">
        <f>'[29]מאזן בוחן'!AE570</f>
        <v>256290.57000000007</v>
      </c>
      <c r="AF659" s="141">
        <f>'[30]מאזן בוחן'!AF580</f>
        <v>273223.50999999966</v>
      </c>
      <c r="AG659" s="141">
        <f>'[31]מאזן בוחן'!AG583</f>
        <v>232590.24000000069</v>
      </c>
      <c r="AH659" s="141">
        <v>244945.11999999988</v>
      </c>
      <c r="AI659" s="141">
        <v>246491.8600000001</v>
      </c>
      <c r="AJ659" s="141">
        <v>260678.40999999992</v>
      </c>
      <c r="AK659" s="141">
        <v>251188.27000000002</v>
      </c>
      <c r="AL659" s="141">
        <v>232743.12999999942</v>
      </c>
      <c r="AM659" s="141">
        <f>$K659-SUM($AB659:AL659)</f>
        <v>233434.5</v>
      </c>
      <c r="AN659" s="141"/>
      <c r="AO659" s="141"/>
      <c r="AP659" s="141"/>
      <c r="AQ659" s="141"/>
      <c r="AR659" s="141"/>
      <c r="AS659" s="141"/>
      <c r="AT659" s="141"/>
      <c r="AU659" s="141"/>
      <c r="AV659" s="141"/>
      <c r="AW659" s="141"/>
      <c r="BA659" s="204"/>
    </row>
    <row r="660" spans="1:53">
      <c r="A660" s="52"/>
      <c r="B660" s="3659"/>
      <c r="C660" s="156"/>
      <c r="D660" s="45"/>
      <c r="E660" s="79"/>
      <c r="F660" s="42"/>
      <c r="G660" s="42"/>
      <c r="H660" s="42"/>
      <c r="I660" s="42"/>
      <c r="J660" s="42"/>
      <c r="K660" s="42"/>
      <c r="L660" s="49"/>
      <c r="M660" s="42"/>
      <c r="N660" s="1104" t="str">
        <f t="shared" si="140"/>
        <v>-</v>
      </c>
      <c r="O660" s="1133"/>
      <c r="P660" s="137">
        <v>0</v>
      </c>
      <c r="Q660" s="141">
        <f>'[39]מאזן בוחן'!AE530</f>
        <v>0</v>
      </c>
      <c r="R660" s="141">
        <v>0</v>
      </c>
      <c r="S660" s="141">
        <v>0</v>
      </c>
      <c r="T660" s="141">
        <f>'[20]מאזן בוחן'!AR576</f>
        <v>353024.1340739716</v>
      </c>
      <c r="U660" s="141">
        <f>'[21]מאזן בוחן'!AS494</f>
        <v>-353024.1340739716</v>
      </c>
      <c r="V660" s="726">
        <f>'[22]מאזן בוחן'!AJ480</f>
        <v>0</v>
      </c>
      <c r="W660" s="726">
        <f>'[23]מאזן בוחן'!AK486</f>
        <v>0</v>
      </c>
      <c r="X660" s="141">
        <v>0</v>
      </c>
      <c r="Y660" s="141">
        <f>'[25]מאזן בוחן'!AM516</f>
        <v>0</v>
      </c>
      <c r="AA660" s="141">
        <f>'[32]מאזן בוחן'!AO533</f>
        <v>0</v>
      </c>
      <c r="AB660" s="141">
        <f>'[26]מאזן בוחן'!AB543</f>
        <v>0</v>
      </c>
      <c r="AC660" s="141">
        <f>'[27]מאזן בוחן'!AC552</f>
        <v>0</v>
      </c>
      <c r="AD660" s="141">
        <f>'[28]מאזן בוחן'!AD561</f>
        <v>0</v>
      </c>
      <c r="AE660" s="141">
        <f>'[29]מאזן בוחן'!AE571</f>
        <v>0</v>
      </c>
      <c r="AF660" s="141">
        <f>'[30]מאזן בוחן'!AF581</f>
        <v>0</v>
      </c>
      <c r="AG660" s="141">
        <f>'[31]מאזן בוחן'!AG584</f>
        <v>0</v>
      </c>
      <c r="AH660" s="141">
        <v>0</v>
      </c>
      <c r="AI660" s="141">
        <v>0</v>
      </c>
      <c r="AJ660" s="141">
        <v>0</v>
      </c>
      <c r="AK660" s="141">
        <v>0</v>
      </c>
      <c r="AL660" s="141">
        <v>0</v>
      </c>
      <c r="AM660" s="141">
        <f>$K660-SUM($AB660:AL660)</f>
        <v>0</v>
      </c>
      <c r="AN660" s="141"/>
      <c r="AO660" s="141"/>
      <c r="AP660" s="141"/>
      <c r="AQ660" s="141"/>
      <c r="AR660" s="141"/>
      <c r="AS660" s="141"/>
      <c r="AT660" s="141"/>
      <c r="AU660" s="141"/>
      <c r="AV660" s="141"/>
      <c r="AW660" s="141"/>
      <c r="BA660" s="204"/>
    </row>
    <row r="661" spans="1:53">
      <c r="A661" s="52"/>
      <c r="B661" s="3659"/>
      <c r="C661" s="156"/>
      <c r="D661" s="50" t="s">
        <v>409</v>
      </c>
      <c r="E661" s="79"/>
      <c r="F661" s="42"/>
      <c r="G661" s="42"/>
      <c r="H661" s="42"/>
      <c r="I661" s="42"/>
      <c r="J661" s="42"/>
      <c r="K661" s="42"/>
      <c r="L661" s="49"/>
      <c r="M661" s="42"/>
      <c r="N661" s="1104" t="str">
        <f t="shared" si="140"/>
        <v>-</v>
      </c>
      <c r="O661" s="1133"/>
      <c r="P661" s="137">
        <v>0</v>
      </c>
      <c r="Q661" s="141">
        <f>'[39]מאזן בוחן'!AE531</f>
        <v>0</v>
      </c>
      <c r="R661" s="141">
        <v>0</v>
      </c>
      <c r="S661" s="141">
        <v>0</v>
      </c>
      <c r="T661" s="141">
        <f>'[20]מאזן בוחן'!AR577</f>
        <v>0</v>
      </c>
      <c r="U661" s="141">
        <f>'[21]מאזן בוחן'!AS495</f>
        <v>0</v>
      </c>
      <c r="V661" s="726">
        <f>'[22]מאזן בוחן'!AJ481</f>
        <v>0</v>
      </c>
      <c r="W661" s="726">
        <f>'[23]מאזן בוחן'!AK487</f>
        <v>0</v>
      </c>
      <c r="X661" s="141">
        <v>0</v>
      </c>
      <c r="Y661" s="141">
        <f>'[25]מאזן בוחן'!AM517</f>
        <v>0</v>
      </c>
      <c r="AA661" s="141">
        <f>'[32]מאזן בוחן'!AO534</f>
        <v>0</v>
      </c>
      <c r="AB661" s="141">
        <f>'[26]מאזן בוחן'!AB544</f>
        <v>0</v>
      </c>
      <c r="AC661" s="141">
        <f>'[27]מאזן בוחן'!AC553</f>
        <v>0</v>
      </c>
      <c r="AD661" s="141">
        <f>'[28]מאזן בוחן'!AD562</f>
        <v>0</v>
      </c>
      <c r="AE661" s="141">
        <f>'[29]מאזן בוחן'!AE572</f>
        <v>0</v>
      </c>
      <c r="AF661" s="141">
        <f>'[30]מאזן בוחן'!AF582</f>
        <v>0</v>
      </c>
      <c r="AG661" s="141">
        <f>'[31]מאזן בוחן'!AG585</f>
        <v>0</v>
      </c>
      <c r="AH661" s="141">
        <v>0</v>
      </c>
      <c r="AI661" s="141">
        <v>0</v>
      </c>
      <c r="AJ661" s="141">
        <v>0</v>
      </c>
      <c r="AK661" s="141">
        <v>0</v>
      </c>
      <c r="AL661" s="141">
        <v>0</v>
      </c>
      <c r="AM661" s="141">
        <f>$K661-SUM($AB661:AL661)</f>
        <v>0</v>
      </c>
      <c r="AN661" s="141"/>
      <c r="AO661" s="141"/>
      <c r="AP661" s="141"/>
      <c r="AQ661" s="141"/>
      <c r="AR661" s="141"/>
      <c r="AS661" s="141"/>
      <c r="AT661" s="141"/>
      <c r="AU661" s="141"/>
      <c r="AV661" s="141"/>
      <c r="AW661" s="141"/>
      <c r="BA661" s="204"/>
    </row>
    <row r="662" spans="1:53">
      <c r="A662" s="52"/>
      <c r="B662" s="3659" t="s">
        <v>1076</v>
      </c>
      <c r="C662" s="585">
        <v>5110001</v>
      </c>
      <c r="D662" s="45" t="s">
        <v>1077</v>
      </c>
      <c r="E662" s="79">
        <f>IFERROR(VLOOKUP(C662,'פקודות נוספות'!$D$274:$F$797,3,0),0)</f>
        <v>1891.29</v>
      </c>
      <c r="F662" s="49">
        <f>SUMIF('פקודות נוספות'!C:C,C:C,'פקודות נוספות'!E:E)</f>
        <v>0</v>
      </c>
      <c r="J662" s="474">
        <f t="shared" ref="J662:J674" si="141">SUM(E662:I662)</f>
        <v>1891.29</v>
      </c>
      <c r="K662" s="42">
        <f>M662+SUMIF('פקודות נוספות'!C:C,'מאזן בוחן'!C662,'פקודות נוספות'!F:F)</f>
        <v>598.89</v>
      </c>
      <c r="L662" s="49"/>
      <c r="M662" s="474">
        <f>IFERROR(VLOOKUP(C662,'פקודות נוספות'!$D$273:$G$797,4,0),0)</f>
        <v>598.89</v>
      </c>
      <c r="N662" s="1104">
        <f t="shared" si="140"/>
        <v>3.1579922857285978</v>
      </c>
      <c r="O662" s="401"/>
      <c r="P662" s="137">
        <v>0</v>
      </c>
      <c r="Q662" s="141">
        <f>'[39]מאזן בוחן'!AE532</f>
        <v>10.340000000000146</v>
      </c>
      <c r="R662" s="141">
        <v>0</v>
      </c>
      <c r="S662" s="141">
        <v>-1129.93</v>
      </c>
      <c r="T662" s="141">
        <f>'[20]מאזן בוחן'!AR578</f>
        <v>0</v>
      </c>
      <c r="U662" s="141">
        <f>'[21]מאזן בוחן'!AS496</f>
        <v>0</v>
      </c>
      <c r="V662" s="726">
        <f>'[22]מאזן בוחן'!AJ482</f>
        <v>0</v>
      </c>
      <c r="W662" s="726">
        <f>'[23]מאזן בוחן'!AK488</f>
        <v>0</v>
      </c>
      <c r="X662" s="141">
        <v>0</v>
      </c>
      <c r="Y662" s="141">
        <f>'[25]מאזן בוחן'!AM518</f>
        <v>0</v>
      </c>
      <c r="AA662" s="141">
        <f>'[32]מאזן בוחן'!AO535</f>
        <v>0</v>
      </c>
      <c r="AB662" s="141">
        <f>'[26]מאזן בוחן'!AB545</f>
        <v>0</v>
      </c>
      <c r="AC662" s="141">
        <f>'[27]מאזן בוחן'!AC554</f>
        <v>0</v>
      </c>
      <c r="AD662" s="141">
        <f>'[28]מאזן בוחן'!AD563</f>
        <v>0</v>
      </c>
      <c r="AE662" s="141">
        <f>'[29]מאזן בוחן'!AE573</f>
        <v>0</v>
      </c>
      <c r="AF662" s="141">
        <f>'[30]מאזן בוחן'!AF583</f>
        <v>0</v>
      </c>
      <c r="AG662" s="141">
        <f>'[31]מאזן בוחן'!AG586</f>
        <v>0</v>
      </c>
      <c r="AH662" s="141">
        <v>0</v>
      </c>
      <c r="AI662" s="141">
        <v>0</v>
      </c>
      <c r="AJ662" s="141">
        <v>0</v>
      </c>
      <c r="AK662" s="141">
        <v>598.89</v>
      </c>
      <c r="AL662" s="141">
        <v>0</v>
      </c>
      <c r="AM662" s="141">
        <f>$K662-SUM($AB662:AL662)</f>
        <v>0</v>
      </c>
      <c r="AN662" s="141"/>
      <c r="AO662" s="141"/>
      <c r="AP662" s="141"/>
      <c r="AQ662" s="141"/>
      <c r="AR662" s="141"/>
      <c r="AS662" s="141"/>
      <c r="AT662" s="141"/>
      <c r="AU662" s="141"/>
      <c r="AV662" s="141"/>
      <c r="AW662" s="141"/>
      <c r="BA662" s="204"/>
    </row>
    <row r="663" spans="1:53">
      <c r="A663" s="52"/>
      <c r="B663" s="3659" t="s">
        <v>1076</v>
      </c>
      <c r="C663" s="585">
        <v>5110002</v>
      </c>
      <c r="D663" s="45" t="s">
        <v>1078</v>
      </c>
      <c r="E663" s="79">
        <f>IFERROR(VLOOKUP(C663,'פקודות נוספות'!$D$274:$F$797,3,0),0)</f>
        <v>1750.01</v>
      </c>
      <c r="F663" s="49">
        <f>SUMIF('פקודות נוספות'!C:C,C:C,'פקודות נוספות'!E:E)</f>
        <v>0</v>
      </c>
      <c r="J663" s="474">
        <f t="shared" si="141"/>
        <v>1750.01</v>
      </c>
      <c r="K663" s="42">
        <f>M663+SUMIF('פקודות נוספות'!C:C,'מאזן בוחן'!C663,'פקודות נוספות'!F:F)</f>
        <v>555.21</v>
      </c>
      <c r="L663" s="49"/>
      <c r="M663" s="474">
        <f>IFERROR(VLOOKUP(C663,'פקודות נוספות'!$D$273:$G$797,4,0),0)</f>
        <v>555.21</v>
      </c>
      <c r="N663" s="1104">
        <f t="shared" si="140"/>
        <v>3.1519785306460615</v>
      </c>
      <c r="O663" s="401"/>
      <c r="P663" s="137">
        <v>709.84</v>
      </c>
      <c r="Q663" s="141">
        <f>'[39]מאזן בוחן'!AE533</f>
        <v>356.66999999999996</v>
      </c>
      <c r="R663" s="141">
        <v>0</v>
      </c>
      <c r="S663" s="141">
        <v>0</v>
      </c>
      <c r="T663" s="141">
        <f>'[20]מאזן בוחן'!AR579</f>
        <v>0</v>
      </c>
      <c r="U663" s="141">
        <f>'[21]מאזן בוחן'!AS497</f>
        <v>0</v>
      </c>
      <c r="V663" s="726">
        <f>'[22]מאזן בוחן'!AJ483</f>
        <v>0</v>
      </c>
      <c r="W663" s="726">
        <f>'[23]מאזן בוחן'!AK489</f>
        <v>0</v>
      </c>
      <c r="X663" s="141">
        <v>0</v>
      </c>
      <c r="Y663" s="141">
        <f>'[25]מאזן בוחן'!AM519</f>
        <v>0</v>
      </c>
      <c r="AA663" s="141">
        <f>'[32]מאזן בוחן'!AO536</f>
        <v>0</v>
      </c>
      <c r="AB663" s="141">
        <f>'[26]מאזן בוחן'!AB546</f>
        <v>0</v>
      </c>
      <c r="AC663" s="141">
        <f>'[27]מאזן בוחן'!AC555</f>
        <v>0</v>
      </c>
      <c r="AD663" s="141">
        <f>'[28]מאזן בוחן'!AD564</f>
        <v>0</v>
      </c>
      <c r="AE663" s="141">
        <f>'[29]מאזן בוחן'!AE574</f>
        <v>0</v>
      </c>
      <c r="AF663" s="141">
        <f>'[30]מאזן בוחן'!AF584</f>
        <v>0</v>
      </c>
      <c r="AG663" s="141">
        <f>'[31]מאזן בוחן'!AG587</f>
        <v>0</v>
      </c>
      <c r="AH663" s="141">
        <v>0</v>
      </c>
      <c r="AI663" s="141">
        <v>0</v>
      </c>
      <c r="AJ663" s="141">
        <v>0</v>
      </c>
      <c r="AK663" s="141">
        <v>0</v>
      </c>
      <c r="AL663" s="141">
        <v>0</v>
      </c>
      <c r="AM663" s="141">
        <f>$K663-SUM($AB663:AL663)</f>
        <v>555.21</v>
      </c>
      <c r="AN663" s="141"/>
      <c r="AO663" s="141"/>
      <c r="AP663" s="141"/>
      <c r="AQ663" s="141"/>
      <c r="AR663" s="141"/>
      <c r="AS663" s="141"/>
      <c r="AT663" s="141"/>
      <c r="AU663" s="141"/>
      <c r="AV663" s="141"/>
      <c r="AW663" s="141"/>
      <c r="BA663" s="204"/>
    </row>
    <row r="664" spans="1:53">
      <c r="A664" s="52"/>
      <c r="B664" s="3659" t="s">
        <v>1076</v>
      </c>
      <c r="C664" s="585">
        <v>5110003</v>
      </c>
      <c r="D664" s="45" t="s">
        <v>1079</v>
      </c>
      <c r="E664" s="79">
        <f>IFERROR(VLOOKUP(C664,'פקודות נוספות'!$D$274:$F$797,3,0),0)</f>
        <v>844.8</v>
      </c>
      <c r="F664" s="49">
        <f>SUMIF('פקודות נוספות'!C:C,C:C,'פקודות נוספות'!E:E)</f>
        <v>0</v>
      </c>
      <c r="J664" s="474">
        <f t="shared" si="141"/>
        <v>844.8</v>
      </c>
      <c r="K664" s="42">
        <f>M664+SUMIF('פקודות נוספות'!C:C,'מאזן בוחן'!C664,'פקודות נוספות'!F:F)</f>
        <v>268.02</v>
      </c>
      <c r="L664" s="49"/>
      <c r="M664" s="474">
        <f>IFERROR(VLOOKUP(C664,'פקודות נוספות'!$D$273:$G$797,4,0),0)</f>
        <v>268.02</v>
      </c>
      <c r="N664" s="1104">
        <f t="shared" si="140"/>
        <v>3.1520035818222523</v>
      </c>
      <c r="O664" s="401"/>
      <c r="P664" s="137">
        <v>667.5</v>
      </c>
      <c r="Q664" s="141">
        <f>'[39]מאזן בוחן'!AE534</f>
        <v>262.64999999999998</v>
      </c>
      <c r="R664" s="141">
        <v>0</v>
      </c>
      <c r="S664" s="141">
        <v>0</v>
      </c>
      <c r="T664" s="141">
        <f>'[20]מאזן בוחן'!AR580</f>
        <v>0</v>
      </c>
      <c r="U664" s="141">
        <f>'[21]מאזן בוחן'!AS498</f>
        <v>0</v>
      </c>
      <c r="V664" s="726">
        <f>'[22]מאזן בוחן'!AJ484</f>
        <v>0</v>
      </c>
      <c r="W664" s="726">
        <f>'[23]מאזן בוחן'!AK490</f>
        <v>0</v>
      </c>
      <c r="X664" s="141">
        <v>0</v>
      </c>
      <c r="Y664" s="141">
        <f>'[25]מאזן בוחן'!AM520</f>
        <v>0</v>
      </c>
      <c r="AA664" s="141">
        <f>'[32]מאזן בוחן'!AO537</f>
        <v>0</v>
      </c>
      <c r="AB664" s="141">
        <f>'[26]מאזן בוחן'!AB547</f>
        <v>0</v>
      </c>
      <c r="AC664" s="141">
        <f>'[27]מאזן בוחן'!AC556</f>
        <v>0</v>
      </c>
      <c r="AD664" s="141">
        <f>'[28]מאזן בוחן'!AD565</f>
        <v>0</v>
      </c>
      <c r="AE664" s="141">
        <f>'[29]מאזן בוחן'!AE575</f>
        <v>0</v>
      </c>
      <c r="AF664" s="141">
        <f>'[30]מאזן בוחן'!AF585</f>
        <v>0</v>
      </c>
      <c r="AG664" s="141">
        <f>'[31]מאזן בוחן'!AG588</f>
        <v>0</v>
      </c>
      <c r="AH664" s="141">
        <v>0</v>
      </c>
      <c r="AI664" s="141">
        <v>0</v>
      </c>
      <c r="AJ664" s="141">
        <v>0</v>
      </c>
      <c r="AK664" s="141">
        <v>0</v>
      </c>
      <c r="AL664" s="141">
        <v>0</v>
      </c>
      <c r="AM664" s="141">
        <f>$K664-SUM($AB664:AL664)</f>
        <v>268.02</v>
      </c>
      <c r="AN664" s="141"/>
      <c r="AO664" s="141"/>
      <c r="AP664" s="141"/>
      <c r="AQ664" s="141"/>
      <c r="AR664" s="141"/>
      <c r="AS664" s="141"/>
      <c r="AT664" s="141"/>
      <c r="AU664" s="141"/>
      <c r="AV664" s="141"/>
      <c r="AW664" s="141"/>
      <c r="BA664" s="204"/>
    </row>
    <row r="665" spans="1:53">
      <c r="A665" s="52"/>
      <c r="B665" s="3659" t="s">
        <v>1076</v>
      </c>
      <c r="C665" s="585">
        <v>5110004</v>
      </c>
      <c r="D665" s="45" t="s">
        <v>1080</v>
      </c>
      <c r="E665" s="79">
        <f>IFERROR(VLOOKUP(C665,'פקודות נוספות'!$D$274:$F$797,3,0),0)</f>
        <v>900.62</v>
      </c>
      <c r="F665" s="49">
        <f>SUMIF('פקודות נוספות'!C:C,C:C,'פקודות נוספות'!E:E)</f>
        <v>0</v>
      </c>
      <c r="J665" s="474">
        <f t="shared" si="141"/>
        <v>900.62</v>
      </c>
      <c r="K665" s="42">
        <f>M665+SUMIF('פקודות נוספות'!C:C,'מאזן בוחן'!C665,'פקודות נוספות'!F:F)</f>
        <v>285.73</v>
      </c>
      <c r="L665" s="49"/>
      <c r="M665" s="474">
        <f>IFERROR(VLOOKUP(C665,'פקודות נוספות'!$D$273:$G$797,4,0),0)</f>
        <v>285.73</v>
      </c>
      <c r="N665" s="1104">
        <f t="shared" si="140"/>
        <v>3.1519966401847896</v>
      </c>
      <c r="O665" s="1133"/>
      <c r="P665" s="137">
        <v>141.80000000000001</v>
      </c>
      <c r="Q665" s="141">
        <f>'[39]מאזן בוחן'!AE535</f>
        <v>37.599999999999994</v>
      </c>
      <c r="R665" s="141">
        <v>0</v>
      </c>
      <c r="S665" s="141">
        <v>0</v>
      </c>
      <c r="T665" s="141">
        <f>'[20]מאזן בוחן'!AR581</f>
        <v>0</v>
      </c>
      <c r="U665" s="141">
        <f>'[21]מאזן בוחן'!AS499</f>
        <v>0</v>
      </c>
      <c r="V665" s="726">
        <f>'[22]מאזן בוחן'!AJ485</f>
        <v>0</v>
      </c>
      <c r="W665" s="726">
        <f>'[23]מאזן בוחן'!AK491</f>
        <v>0</v>
      </c>
      <c r="X665" s="141">
        <v>0</v>
      </c>
      <c r="Y665" s="141">
        <f>'[25]מאזן בוחן'!AM521</f>
        <v>0</v>
      </c>
      <c r="Z665" s="141"/>
      <c r="AA665" s="141">
        <f>'[32]מאזן בוחן'!AO538</f>
        <v>0</v>
      </c>
      <c r="AB665" s="141">
        <f>'[26]מאזן בוחן'!AB548</f>
        <v>0</v>
      </c>
      <c r="AC665" s="141">
        <f>'[27]מאזן בוחן'!AC557</f>
        <v>0</v>
      </c>
      <c r="AD665" s="141">
        <f>'[28]מאזן בוחן'!AD566</f>
        <v>0</v>
      </c>
      <c r="AE665" s="141">
        <f>'[29]מאזן בוחן'!AE576</f>
        <v>0</v>
      </c>
      <c r="AF665" s="141">
        <f>'[30]מאזן בוחן'!AF586</f>
        <v>0</v>
      </c>
      <c r="AG665" s="141">
        <f>'[31]מאזן בוחן'!AG589</f>
        <v>0</v>
      </c>
      <c r="AH665" s="141">
        <v>0</v>
      </c>
      <c r="AI665" s="141">
        <v>0</v>
      </c>
      <c r="AJ665" s="141">
        <v>0</v>
      </c>
      <c r="AK665" s="141">
        <v>0</v>
      </c>
      <c r="AL665" s="141">
        <v>0</v>
      </c>
      <c r="AM665" s="141">
        <f>$K665-SUM($AB665:AL665)</f>
        <v>285.73</v>
      </c>
      <c r="AN665" s="141"/>
      <c r="AO665" s="141"/>
      <c r="AP665" s="141"/>
      <c r="AQ665" s="141"/>
      <c r="AR665" s="141"/>
      <c r="AS665" s="141"/>
      <c r="AT665" s="141"/>
      <c r="AU665" s="141"/>
      <c r="AV665" s="141"/>
      <c r="AW665" s="141"/>
      <c r="AX665" s="141"/>
      <c r="BA665" s="204"/>
    </row>
    <row r="666" spans="1:53">
      <c r="A666" s="52"/>
      <c r="B666" s="3659" t="s">
        <v>1076</v>
      </c>
      <c r="C666" s="585">
        <v>5110005</v>
      </c>
      <c r="D666" s="45" t="s">
        <v>1081</v>
      </c>
      <c r="E666" s="79">
        <f>IFERROR(VLOOKUP(C666,'פקודות נוספות'!$D$274:$F$797,3,0),0)</f>
        <v>636.48</v>
      </c>
      <c r="F666" s="49">
        <f>SUMIF('פקודות נוספות'!C:C,C:C,'פקודות נוספות'!E:E)</f>
        <v>0</v>
      </c>
      <c r="J666" s="474">
        <f t="shared" si="141"/>
        <v>636.48</v>
      </c>
      <c r="K666" s="42">
        <f>M666+SUMIF('פקודות נוספות'!C:C,'מאזן בוחן'!C666,'פקודות נוספות'!F:F)</f>
        <v>201.93</v>
      </c>
      <c r="L666" s="49"/>
      <c r="M666" s="474">
        <f>IFERROR(VLOOKUP(C666,'פקודות נוספות'!$D$273:$G$797,4,0),0)</f>
        <v>201.93</v>
      </c>
      <c r="N666" s="1104">
        <f t="shared" si="140"/>
        <v>3.1519833605704948</v>
      </c>
      <c r="O666" s="401"/>
      <c r="P666" s="137">
        <v>765.71</v>
      </c>
      <c r="Q666" s="141">
        <f>'[39]מאזן בוחן'!AE536</f>
        <v>25.370000000000005</v>
      </c>
      <c r="R666" s="141">
        <v>0</v>
      </c>
      <c r="S666" s="141">
        <v>0</v>
      </c>
      <c r="T666" s="141">
        <f>'[20]מאזן בוחן'!AR582</f>
        <v>0</v>
      </c>
      <c r="U666" s="141">
        <f>'[21]מאזן בוחן'!AS500</f>
        <v>0</v>
      </c>
      <c r="V666" s="726">
        <f>'[22]מאזן בוחן'!AJ486</f>
        <v>0</v>
      </c>
      <c r="W666" s="726">
        <f>'[23]מאזן בוחן'!AK492</f>
        <v>0</v>
      </c>
      <c r="X666" s="141">
        <v>0</v>
      </c>
      <c r="Y666" s="141">
        <f>'[25]מאזן בוחן'!AM522</f>
        <v>0</v>
      </c>
      <c r="AA666" s="141">
        <f>'[32]מאזן בוחן'!AO539</f>
        <v>0</v>
      </c>
      <c r="AB666" s="141">
        <f>'[26]מאזן בוחן'!AB549</f>
        <v>0</v>
      </c>
      <c r="AC666" s="141">
        <f>'[27]מאזן בוחן'!AC558</f>
        <v>0</v>
      </c>
      <c r="AD666" s="141">
        <f>'[28]מאזן בוחן'!AD567</f>
        <v>0</v>
      </c>
      <c r="AE666" s="141">
        <f>'[29]מאזן בוחן'!AE577</f>
        <v>0</v>
      </c>
      <c r="AF666" s="141">
        <f>'[30]מאזן בוחן'!AF587</f>
        <v>0</v>
      </c>
      <c r="AG666" s="141">
        <f>'[31]מאזן בוחן'!AG590</f>
        <v>0</v>
      </c>
      <c r="AH666" s="141">
        <v>0</v>
      </c>
      <c r="AI666" s="141">
        <v>0</v>
      </c>
      <c r="AJ666" s="141">
        <v>0</v>
      </c>
      <c r="AK666" s="141">
        <v>0</v>
      </c>
      <c r="AL666" s="141">
        <v>0</v>
      </c>
      <c r="AM666" s="141">
        <f>$K666-SUM($AB666:AL666)</f>
        <v>201.93</v>
      </c>
      <c r="AN666" s="141"/>
      <c r="AO666" s="141"/>
      <c r="AP666" s="141"/>
      <c r="AQ666" s="141"/>
      <c r="AR666" s="141"/>
      <c r="AS666" s="141"/>
      <c r="AT666" s="141"/>
      <c r="AU666" s="141"/>
      <c r="AV666" s="141"/>
      <c r="AW666" s="141"/>
      <c r="BA666" s="204"/>
    </row>
    <row r="667" spans="1:53">
      <c r="A667" s="52"/>
      <c r="B667" s="3659" t="s">
        <v>1076</v>
      </c>
      <c r="C667" s="585">
        <v>5110009</v>
      </c>
      <c r="D667" s="45" t="s">
        <v>1626</v>
      </c>
      <c r="E667" s="79">
        <f>IFERROR(VLOOKUP(C667,'פקודות נוספות'!$D$274:$F$797,3,0),0)</f>
        <v>48833.23</v>
      </c>
      <c r="F667" s="49">
        <f>SUMIF('פקודות נוספות'!C:C,C:C,'פקודות נוספות'!E:E)</f>
        <v>0</v>
      </c>
      <c r="J667" s="474">
        <f t="shared" si="141"/>
        <v>48833.23</v>
      </c>
      <c r="K667" s="42">
        <f>M667+SUMIF('פקודות נוספות'!C:C,'מאזן בוחן'!C667,'פקודות נוספות'!F:F)</f>
        <v>15130.19</v>
      </c>
      <c r="L667" s="49"/>
      <c r="M667" s="474">
        <f>IFERROR(VLOOKUP(C667,'פקודות נוספות'!$D$273:$G$797,4,0),0)</f>
        <v>15130.19</v>
      </c>
      <c r="N667" s="1104">
        <f t="shared" si="140"/>
        <v>3.227535807547691</v>
      </c>
      <c r="O667" s="401"/>
      <c r="P667" s="137">
        <v>0</v>
      </c>
      <c r="Q667" s="141">
        <f>'[39]מאזן בוחן'!AE537</f>
        <v>0</v>
      </c>
      <c r="R667" s="141">
        <v>0</v>
      </c>
      <c r="S667" s="141">
        <v>0</v>
      </c>
      <c r="T667" s="141">
        <f>'[20]מאזן בוחן'!AR583</f>
        <v>0</v>
      </c>
      <c r="U667" s="141">
        <f>'[21]מאזן בוחן'!AS501</f>
        <v>0</v>
      </c>
      <c r="V667" s="726">
        <f>'[22]מאזן בוחן'!AJ487</f>
        <v>2658.39</v>
      </c>
      <c r="W667" s="726">
        <f>'[23]מאזן בוחן'!AK493</f>
        <v>0</v>
      </c>
      <c r="X667" s="141">
        <v>0</v>
      </c>
      <c r="Y667" s="141">
        <f>'[25]מאזן בוחן'!AM523</f>
        <v>161.22000000000025</v>
      </c>
      <c r="AA667" s="141">
        <f>'[32]מאזן בוחן'!AO540</f>
        <v>6143.0999999999985</v>
      </c>
      <c r="AB667" s="141">
        <f>'[26]מאזן בוחן'!AB550</f>
        <v>1728</v>
      </c>
      <c r="AC667" s="141">
        <f>'[27]מאזן בוחן'!AC559</f>
        <v>780</v>
      </c>
      <c r="AD667" s="141">
        <f>'[28]מאזן בוחן'!AD568</f>
        <v>8642.18</v>
      </c>
      <c r="AE667" s="141">
        <f>'[29]מאזן בוחן'!AE578</f>
        <v>0</v>
      </c>
      <c r="AF667" s="141">
        <f>'[30]מאזן בוחן'!AF588</f>
        <v>0</v>
      </c>
      <c r="AG667" s="141">
        <f>'[31]מאזן בוחן'!AG591</f>
        <v>0</v>
      </c>
      <c r="AH667" s="141">
        <v>0</v>
      </c>
      <c r="AI667" s="141">
        <v>0</v>
      </c>
      <c r="AJ667" s="141">
        <v>0</v>
      </c>
      <c r="AK667" s="141">
        <v>0</v>
      </c>
      <c r="AL667" s="141">
        <v>3980.01</v>
      </c>
      <c r="AM667" s="141">
        <f>$K667-SUM($AB667:AL667)</f>
        <v>0</v>
      </c>
      <c r="AN667" s="141"/>
      <c r="AO667" s="141"/>
      <c r="AP667" s="141"/>
      <c r="AQ667" s="141"/>
      <c r="AR667" s="141"/>
      <c r="AS667" s="141"/>
      <c r="AT667" s="141"/>
      <c r="AU667" s="141"/>
      <c r="AV667" s="141"/>
      <c r="AW667" s="141"/>
      <c r="BA667" s="204"/>
    </row>
    <row r="668" spans="1:53">
      <c r="A668" s="52"/>
      <c r="B668" s="3659" t="s">
        <v>1076</v>
      </c>
      <c r="C668" s="585">
        <v>5110007</v>
      </c>
      <c r="D668" s="45" t="s">
        <v>1446</v>
      </c>
      <c r="E668" s="79">
        <f>IFERROR(VLOOKUP(C668,'פקודות נוספות'!$D$274:$F$797,3,0),0)</f>
        <v>123459.96</v>
      </c>
      <c r="F668" s="49">
        <f>SUMIF('פקודות נוספות'!C:C,C:C,'פקודות נוספות'!E:E)</f>
        <v>0</v>
      </c>
      <c r="J668" s="474">
        <f t="shared" si="141"/>
        <v>123459.96</v>
      </c>
      <c r="K668" s="42">
        <f>M668+SUMIF('פקודות נוספות'!C:C,'מאזן בוחן'!C668,'פקודות נוספות'!F:F)</f>
        <v>38027.31</v>
      </c>
      <c r="L668" s="49"/>
      <c r="M668" s="474">
        <f>IFERROR(VLOOKUP(C668,'פקודות נוספות'!$D$273:$G$797,4,0),0)</f>
        <v>38027.31</v>
      </c>
      <c r="N668" s="1104">
        <f t="shared" si="140"/>
        <v>3.246613026269805</v>
      </c>
      <c r="O668" s="401"/>
      <c r="P668" s="1123">
        <v>790</v>
      </c>
      <c r="Q668" s="141">
        <f>'[39]מאזן בוחן'!AE538</f>
        <v>257.06999999999994</v>
      </c>
      <c r="R668" s="141">
        <v>151.43000000000006</v>
      </c>
      <c r="S668" s="141">
        <v>80.809999999999945</v>
      </c>
      <c r="T668" s="141">
        <f>'[20]מאזן בוחן'!AR585</f>
        <v>469.87000000000012</v>
      </c>
      <c r="U668" s="141">
        <f>'[21]מאזן בוחן'!AS502</f>
        <v>825.81999999999994</v>
      </c>
      <c r="V668" s="726">
        <f>'[22]מאזן בוחן'!AJ488</f>
        <v>87.380000000000109</v>
      </c>
      <c r="W668" s="726">
        <f>'[23]מאזן בוחן'!AK494</f>
        <v>377.14999999999941</v>
      </c>
      <c r="X668" s="141">
        <v>1589.1200000000008</v>
      </c>
      <c r="Y668" s="141">
        <f>'[25]מאזן בוחן'!AM524</f>
        <v>448.44999999999982</v>
      </c>
      <c r="AA668" s="141">
        <f>'[32]מאזן בוחן'!AO541</f>
        <v>1066.4299999999994</v>
      </c>
      <c r="AB668" s="141">
        <f>'[26]מאזן בוחן'!AB551</f>
        <v>1651.69</v>
      </c>
      <c r="AC668" s="141">
        <f>'[27]מאזן בוחן'!AC560</f>
        <v>2320</v>
      </c>
      <c r="AD668" s="141">
        <f>'[28]מאזן בוחן'!AD569</f>
        <v>609.99999999999955</v>
      </c>
      <c r="AE668" s="141">
        <f>'[29]מאזן בוחן'!AE579</f>
        <v>430</v>
      </c>
      <c r="AF668" s="141">
        <f>'[30]מאזן בוחן'!AF589</f>
        <v>5490.670000000001</v>
      </c>
      <c r="AG668" s="141">
        <f>'[31]מאזן בוחן'!AG592</f>
        <v>2030</v>
      </c>
      <c r="AH668" s="141">
        <v>18714.95</v>
      </c>
      <c r="AI668" s="141">
        <v>1709.9999999999964</v>
      </c>
      <c r="AJ668" s="141">
        <v>240</v>
      </c>
      <c r="AK668" s="141">
        <v>0</v>
      </c>
      <c r="AL668" s="141">
        <v>830</v>
      </c>
      <c r="AM668" s="141">
        <f>$K668-SUM($AB668:AL668)</f>
        <v>4000</v>
      </c>
      <c r="AN668" s="141"/>
      <c r="AO668" s="141"/>
      <c r="AP668" s="141"/>
      <c r="AQ668" s="141"/>
      <c r="AR668" s="141"/>
      <c r="AS668" s="141" t="s">
        <v>3967</v>
      </c>
      <c r="AT668" s="141"/>
      <c r="AU668" s="141"/>
      <c r="AV668" s="141"/>
      <c r="AW668" s="141"/>
      <c r="BA668" s="204"/>
    </row>
    <row r="669" spans="1:53">
      <c r="A669" s="52"/>
      <c r="B669" s="3659" t="s">
        <v>1076</v>
      </c>
      <c r="C669" s="585">
        <v>5110010</v>
      </c>
      <c r="D669" s="45" t="s">
        <v>1721</v>
      </c>
      <c r="E669" s="79">
        <f>IFERROR(VLOOKUP(C669,'פקודות נוספות'!$D$274:$F$797,3,0),0)</f>
        <v>301694.40000000002</v>
      </c>
      <c r="F669" s="49">
        <f>SUMIF('פקודות נוספות'!C:C,C:C,'פקודות נוספות'!E:E)</f>
        <v>0</v>
      </c>
      <c r="J669" s="474">
        <f t="shared" si="141"/>
        <v>301694.40000000002</v>
      </c>
      <c r="K669" s="42">
        <f>M669+SUMIF('פקודות נוספות'!C:C,'מאזן בוחן'!C669,'פקודות נוספות'!F:F)</f>
        <v>92617.18</v>
      </c>
      <c r="L669" s="49"/>
      <c r="M669" s="474">
        <f>IFERROR(VLOOKUP(C669,'פקודות נוספות'!$D$273:$G$797,4,0),0)</f>
        <v>92617.18</v>
      </c>
      <c r="N669" s="1104">
        <f t="shared" si="140"/>
        <v>3.2574345278057488</v>
      </c>
      <c r="O669" s="401"/>
      <c r="P669" s="1123">
        <v>827.08</v>
      </c>
      <c r="Q669" s="141">
        <f>'[39]מאזן בוחן'!AE539</f>
        <v>3117.2300000000005</v>
      </c>
      <c r="R669" s="141">
        <v>3480.3900000000003</v>
      </c>
      <c r="S669" s="141">
        <v>3480.3999999999996</v>
      </c>
      <c r="T669" s="141">
        <f>'[20]מאזן בוחן'!AR586</f>
        <v>3499.4300000000012</v>
      </c>
      <c r="U669" s="141">
        <f>'[21]מאזן בוחן'!AS503</f>
        <v>4526.4099999999971</v>
      </c>
      <c r="V669" s="726">
        <f>'[22]מאזן בוחן'!AJ489</f>
        <v>4526.4100000000008</v>
      </c>
      <c r="W669" s="726">
        <f>'[23]מאזן בוחן'!AK495</f>
        <v>4437.1500000000078</v>
      </c>
      <c r="X669" s="141">
        <v>4831.6499999999969</v>
      </c>
      <c r="Y669" s="141">
        <f>'[25]מאזן בוחן'!AM525</f>
        <v>4742.4399999999951</v>
      </c>
      <c r="AA669" s="141">
        <f>'[32]מאזן בוחן'!AO542</f>
        <v>4691.0600000000049</v>
      </c>
      <c r="AB669" s="141">
        <f>'[26]מאזן בוחן'!AB552</f>
        <v>11133.94</v>
      </c>
      <c r="AC669" s="141">
        <f>'[27]מאזן בוחן'!AC561</f>
        <v>2124.08</v>
      </c>
      <c r="AD669" s="141">
        <f>'[28]מאזן בוחן'!AD570</f>
        <v>2124.08</v>
      </c>
      <c r="AE669" s="141">
        <f>'[29]מאזן בוחן'!AE580</f>
        <v>6607.35</v>
      </c>
      <c r="AF669" s="141">
        <f>'[30]מאזן בוחן'!AF590</f>
        <v>6083.84</v>
      </c>
      <c r="AG669" s="141">
        <f>'[31]מאזן בוחן'!AG593</f>
        <v>6082.8399999999965</v>
      </c>
      <c r="AH669" s="141">
        <v>8687.1600000000035</v>
      </c>
      <c r="AI669" s="141">
        <v>5952.1699999999983</v>
      </c>
      <c r="AJ669" s="141">
        <v>14853.900000000001</v>
      </c>
      <c r="AK669" s="141">
        <v>8720.6000000000058</v>
      </c>
      <c r="AL669" s="141">
        <v>10014.699999999997</v>
      </c>
      <c r="AM669" s="141">
        <f>$K669-SUM($AB669:AL669)</f>
        <v>10232.51999999999</v>
      </c>
      <c r="AN669" s="141"/>
      <c r="AO669" s="141"/>
      <c r="AP669" s="141" t="s">
        <v>4359</v>
      </c>
      <c r="AQ669" s="141"/>
      <c r="AR669" s="141"/>
      <c r="AS669" s="141"/>
      <c r="AT669" s="141"/>
      <c r="AU669" s="141"/>
      <c r="AV669" s="141"/>
      <c r="AW669" s="141"/>
      <c r="BA669" s="204"/>
    </row>
    <row r="670" spans="1:53">
      <c r="A670" s="52"/>
      <c r="B670" s="3659" t="s">
        <v>1076</v>
      </c>
      <c r="C670" s="585">
        <v>5110030</v>
      </c>
      <c r="D670" s="45" t="s">
        <v>2059</v>
      </c>
      <c r="E670" s="79">
        <f>IFERROR(VLOOKUP(C670,'פקודות נוספות'!$D$274:$F$797,3,0),0)</f>
        <v>9700.8799999999992</v>
      </c>
      <c r="F670" s="49">
        <f>SUMIF('פקודות נוספות'!C:C,C:C,'פקודות נוספות'!E:E)</f>
        <v>0</v>
      </c>
      <c r="J670" s="474">
        <f t="shared" si="141"/>
        <v>9700.8799999999992</v>
      </c>
      <c r="K670" s="42">
        <f>M670+SUMIF('פקודות נוספות'!C:C,'מאזן בוחן'!C670,'פקודות נוספות'!F:F)</f>
        <v>3081.55</v>
      </c>
      <c r="L670" s="49"/>
      <c r="M670" s="474">
        <f>IFERROR(VLOOKUP(C670,'פקודות נוספות'!$D$273:$G$797,4,0),0)</f>
        <v>3081.55</v>
      </c>
      <c r="N670" s="1104">
        <f t="shared" si="140"/>
        <v>3.1480521166296178</v>
      </c>
      <c r="O670" s="401"/>
      <c r="P670" s="137">
        <v>104.34</v>
      </c>
      <c r="Q670" s="141">
        <f>'[39]מאזן בוחן'!AE540</f>
        <v>0</v>
      </c>
      <c r="R670" s="141">
        <v>86.999999999999972</v>
      </c>
      <c r="S670" s="141">
        <v>82</v>
      </c>
      <c r="T670" s="141">
        <f>'[20]מאזן בוחן'!AR587</f>
        <v>77</v>
      </c>
      <c r="U670" s="141">
        <f>'[21]מאזן בוחן'!AS504</f>
        <v>84.000000000000028</v>
      </c>
      <c r="V670" s="726">
        <f>'[22]מאזן בוחן'!AJ490</f>
        <v>84.999999999999972</v>
      </c>
      <c r="W670" s="726">
        <f>'[23]מאזן בוחן'!AK496</f>
        <v>85.000000000000028</v>
      </c>
      <c r="X670" s="141">
        <v>84.000000000000028</v>
      </c>
      <c r="Y670" s="141">
        <f>'[25]מאזן בוחן'!AM526</f>
        <v>84</v>
      </c>
      <c r="AA670" s="141">
        <f>'[32]מאזן בוחן'!AO543</f>
        <v>90</v>
      </c>
      <c r="AB670" s="141">
        <f>'[26]מאזן בוחן'!AB553</f>
        <v>97</v>
      </c>
      <c r="AC670" s="141">
        <f>'[27]מאזן בוחן'!AC562</f>
        <v>86</v>
      </c>
      <c r="AD670" s="141">
        <f>'[28]מאזן בוחן'!AD571</f>
        <v>83</v>
      </c>
      <c r="AE670" s="141">
        <f>'[29]מאזן בוחן'!AE581</f>
        <v>90</v>
      </c>
      <c r="AF670" s="141">
        <f>'[30]מאזן בוחן'!AF591</f>
        <v>90</v>
      </c>
      <c r="AG670" s="141">
        <f>'[31]מאזן בוחן'!AG594</f>
        <v>90</v>
      </c>
      <c r="AH670" s="141">
        <v>97</v>
      </c>
      <c r="AI670" s="141">
        <v>157</v>
      </c>
      <c r="AJ670" s="141">
        <v>98</v>
      </c>
      <c r="AK670" s="141">
        <v>93</v>
      </c>
      <c r="AL670" s="141">
        <v>1593.5500000000002</v>
      </c>
      <c r="AM670" s="141">
        <f>$K670-SUM($AB670:AL670)</f>
        <v>507</v>
      </c>
      <c r="AN670" s="141"/>
      <c r="AO670" s="141"/>
      <c r="AP670" s="141"/>
      <c r="AQ670" s="141"/>
      <c r="AR670" s="141"/>
      <c r="AS670" s="141"/>
      <c r="AT670" s="141"/>
      <c r="AU670" s="141"/>
      <c r="AV670" s="141"/>
      <c r="AW670" s="141"/>
      <c r="BA670" s="204"/>
    </row>
    <row r="671" spans="1:53">
      <c r="A671" s="52"/>
      <c r="B671" s="3659" t="s">
        <v>1076</v>
      </c>
      <c r="C671" s="585">
        <v>5110033</v>
      </c>
      <c r="D671" s="45" t="s">
        <v>4190</v>
      </c>
      <c r="E671" s="79">
        <f>IFERROR(VLOOKUP(C671,'פקודות נוספות'!$D$274:$F$797,3,0),0)</f>
        <v>1686.67</v>
      </c>
      <c r="F671" s="49">
        <f>SUMIF('פקודות נוספות'!C:C,C:C,'פקודות נוספות'!E:E)</f>
        <v>0</v>
      </c>
      <c r="J671" s="474">
        <f>SUM(E671:I671)</f>
        <v>1686.67</v>
      </c>
      <c r="K671" s="42">
        <f>M671+SUMIF('פקודות נוספות'!C:C,'מאזן בוחן'!C671,'פקודות נוספות'!F:F)</f>
        <v>528.89</v>
      </c>
      <c r="L671" s="49"/>
      <c r="M671" s="474">
        <f>IFERROR(VLOOKUP(C671,'פקודות נוספות'!$D$273:$G$797,4,0),0)</f>
        <v>528.89</v>
      </c>
      <c r="N671" s="1104">
        <f>IF(K671=0,"-",J671/K671)</f>
        <v>3.1890752330352248</v>
      </c>
      <c r="O671" s="401"/>
      <c r="Q671" s="141"/>
      <c r="R671" s="141"/>
      <c r="S671" s="141"/>
      <c r="T671" s="141"/>
      <c r="U671" s="141"/>
      <c r="V671" s="726"/>
      <c r="W671" s="726"/>
      <c r="X671" s="141"/>
      <c r="Y671" s="141"/>
      <c r="AA671" s="141"/>
      <c r="AB671" s="141"/>
      <c r="AC671" s="141"/>
      <c r="AD671" s="141"/>
      <c r="AE671" s="141"/>
      <c r="AF671" s="141"/>
      <c r="AG671" s="141"/>
      <c r="AH671" s="141"/>
      <c r="AI671" s="141"/>
      <c r="AJ671" s="141">
        <v>403.89</v>
      </c>
      <c r="AK671" s="141">
        <v>37</v>
      </c>
      <c r="AL671" s="141">
        <v>44</v>
      </c>
      <c r="AM671" s="141">
        <f>$K671-SUM($AB671:AL671)</f>
        <v>44</v>
      </c>
      <c r="AN671" s="141"/>
      <c r="AO671" s="141"/>
      <c r="AP671" s="141"/>
      <c r="AQ671" s="141"/>
      <c r="AR671" s="141"/>
      <c r="AS671" s="141"/>
      <c r="AT671" s="141"/>
      <c r="AU671" s="141"/>
      <c r="AV671" s="141"/>
      <c r="AW671" s="141"/>
      <c r="BA671" s="204"/>
    </row>
    <row r="672" spans="1:53">
      <c r="A672" s="52"/>
      <c r="B672" s="3659" t="s">
        <v>1076</v>
      </c>
      <c r="C672" s="585">
        <v>5110031</v>
      </c>
      <c r="D672" s="45" t="s">
        <v>3805</v>
      </c>
      <c r="E672" s="79">
        <f>IFERROR(VLOOKUP(C672,'פקודות נוספות'!$D$274:$F$797,3,0),0)</f>
        <v>2090.29</v>
      </c>
      <c r="F672" s="49">
        <f>SUMIF('פקודות נוספות'!C:C,C:C,'פקודות נוספות'!E:E)</f>
        <v>0</v>
      </c>
      <c r="J672" s="474">
        <f>SUM(E672:I672)</f>
        <v>2090.29</v>
      </c>
      <c r="K672" s="42">
        <f>M672+SUMIF('פקודות נוספות'!C:C,'מאזן בוחן'!C672,'פקודות נוספות'!F:F)</f>
        <v>647.87</v>
      </c>
      <c r="L672" s="49"/>
      <c r="M672" s="474">
        <f>IFERROR(VLOOKUP(C672,'פקודות נוספות'!$D$273:$G$797,4,0),0)</f>
        <v>647.87</v>
      </c>
      <c r="N672" s="1104">
        <f>IF(K672=0,"-",J672/K672)</f>
        <v>3.2264034451355981</v>
      </c>
      <c r="O672" s="401"/>
      <c r="Q672" s="141"/>
      <c r="R672" s="141"/>
      <c r="S672" s="141"/>
      <c r="T672" s="141"/>
      <c r="U672" s="141"/>
      <c r="V672" s="726"/>
      <c r="W672" s="726"/>
      <c r="X672" s="141"/>
      <c r="Y672" s="141"/>
      <c r="AA672" s="141"/>
      <c r="AB672" s="141"/>
      <c r="AC672" s="141"/>
      <c r="AD672" s="141"/>
      <c r="AE672" s="141"/>
      <c r="AF672" s="141">
        <f>'[30]מאזן בוחן'!AF592</f>
        <v>0</v>
      </c>
      <c r="AG672" s="141">
        <f>'[31]מאזן בוחן'!AG595</f>
        <v>189.56</v>
      </c>
      <c r="AH672" s="141">
        <v>86.910000000000025</v>
      </c>
      <c r="AI672" s="141">
        <v>86.909999999999968</v>
      </c>
      <c r="AJ672" s="141">
        <v>93.949999999999989</v>
      </c>
      <c r="AK672" s="141">
        <v>95.270000000000039</v>
      </c>
      <c r="AL672" s="141">
        <v>95.269999999999982</v>
      </c>
      <c r="AM672" s="141">
        <f>$K672-SUM($AB672:AL672)</f>
        <v>0</v>
      </c>
      <c r="AN672" s="141"/>
      <c r="AO672" s="141"/>
      <c r="AP672" s="141"/>
      <c r="AQ672" s="141"/>
      <c r="AR672" s="141"/>
      <c r="AS672" s="141"/>
      <c r="AT672" s="141"/>
      <c r="AU672" s="141"/>
      <c r="AV672" s="141"/>
      <c r="AW672" s="141"/>
      <c r="BA672" s="204"/>
    </row>
    <row r="673" spans="1:53">
      <c r="A673" s="52"/>
      <c r="B673" s="3659" t="s">
        <v>1076</v>
      </c>
      <c r="C673" s="585">
        <v>5110032</v>
      </c>
      <c r="D673" s="45" t="s">
        <v>3687</v>
      </c>
      <c r="E673" s="79">
        <f>IFERROR(VLOOKUP(C673,'פקודות נוספות'!$D$274:$F$797,3,0),0)</f>
        <v>949.46</v>
      </c>
      <c r="F673" s="49">
        <f>SUMIF('פקודות נוספות'!C:C,C:C,'פקודות נוספות'!E:E)</f>
        <v>0</v>
      </c>
      <c r="J673" s="474">
        <f>SUM(E673:I673)</f>
        <v>949.46</v>
      </c>
      <c r="K673" s="42">
        <f>M673+SUMIF('פקודות נוספות'!C:C,'מאזן בוחן'!C673,'פקודות נוספות'!F:F)</f>
        <v>295</v>
      </c>
      <c r="L673" s="49"/>
      <c r="M673" s="474">
        <f>IFERROR(VLOOKUP(C673,'פקודות נוספות'!$D$273:$G$797,4,0),0)</f>
        <v>295</v>
      </c>
      <c r="N673" s="1104">
        <f>IF(K673=0,"-",J673/K673)</f>
        <v>3.2185084745762711</v>
      </c>
      <c r="O673" s="401"/>
      <c r="Q673" s="141"/>
      <c r="R673" s="141"/>
      <c r="S673" s="141"/>
      <c r="T673" s="141"/>
      <c r="U673" s="141"/>
      <c r="V673" s="726"/>
      <c r="W673" s="726"/>
      <c r="X673" s="141"/>
      <c r="Y673" s="141"/>
      <c r="AA673" s="141"/>
      <c r="AB673" s="141"/>
      <c r="AC673" s="141"/>
      <c r="AD673" s="141"/>
      <c r="AE673" s="141"/>
      <c r="AF673" s="141">
        <f>'[30]מאזן בוחן'!AF593</f>
        <v>0</v>
      </c>
      <c r="AG673" s="141">
        <f>'[31]מאזן בוחן'!AG596</f>
        <v>78</v>
      </c>
      <c r="AH673" s="141">
        <v>45</v>
      </c>
      <c r="AI673" s="141">
        <v>44</v>
      </c>
      <c r="AJ673" s="141">
        <v>44</v>
      </c>
      <c r="AK673" s="141">
        <v>42</v>
      </c>
      <c r="AL673" s="141">
        <v>42</v>
      </c>
      <c r="AM673" s="141">
        <f>$K673-SUM($AB673:AL673)</f>
        <v>0</v>
      </c>
      <c r="AN673" s="141"/>
      <c r="AO673" s="141"/>
      <c r="AP673" s="141"/>
      <c r="AQ673" s="141"/>
      <c r="AR673" s="141"/>
      <c r="AS673" s="141"/>
      <c r="AT673" s="141"/>
      <c r="AU673" s="141"/>
      <c r="AV673" s="141"/>
      <c r="AW673" s="141"/>
      <c r="BA673" s="204"/>
    </row>
    <row r="674" spans="1:53">
      <c r="A674" s="52"/>
      <c r="B674" s="3659" t="s">
        <v>1076</v>
      </c>
      <c r="C674" s="585">
        <v>5110022</v>
      </c>
      <c r="D674" s="45" t="s">
        <v>2141</v>
      </c>
      <c r="E674" s="79">
        <f>IFERROR(VLOOKUP(C674,'פקודות נוספות'!$D$274:$F$797,3,0),0)</f>
        <v>16642.919999999998</v>
      </c>
      <c r="F674" s="49">
        <f>SUMIF('פקודות נוספות'!C:C,C:C,'פקודות נוספות'!E:E)</f>
        <v>0</v>
      </c>
      <c r="J674" s="474">
        <f t="shared" si="141"/>
        <v>16642.919999999998</v>
      </c>
      <c r="K674" s="42">
        <f>M674+SUMIF('פקודות נוספות'!C:C,'מאזן בוחן'!C674,'פקודות נוספות'!F:F)</f>
        <v>5113</v>
      </c>
      <c r="L674" s="49"/>
      <c r="M674" s="474">
        <f>IFERROR(VLOOKUP(C674,'פקודות נוספות'!$D$273:$G$797,4,0),0)</f>
        <v>5113</v>
      </c>
      <c r="N674" s="1104">
        <f t="shared" si="140"/>
        <v>3.2550205358889102</v>
      </c>
      <c r="O674" s="401"/>
      <c r="P674" s="137">
        <v>792</v>
      </c>
      <c r="Q674" s="141">
        <f>'[39]מאזן בוחן'!AE541</f>
        <v>0</v>
      </c>
      <c r="R674" s="141">
        <v>0</v>
      </c>
      <c r="S674" s="141">
        <v>0</v>
      </c>
      <c r="T674" s="141">
        <f>'[20]מאזן בוחן'!AR588</f>
        <v>0</v>
      </c>
      <c r="U674" s="141">
        <f>'[21]מאזן בוחן'!AS505</f>
        <v>0</v>
      </c>
      <c r="V674" s="726">
        <f>'[22]מאזן בוחן'!AJ491</f>
        <v>0</v>
      </c>
      <c r="W674" s="726">
        <f>'[23]מאזן בוחן'!AK497</f>
        <v>0</v>
      </c>
      <c r="X674" s="141">
        <v>0</v>
      </c>
      <c r="Y674" s="141">
        <f>'[25]מאזן בוחן'!AM527</f>
        <v>0</v>
      </c>
      <c r="AA674" s="141">
        <f>'[32]מאזן בוחן'!AO544</f>
        <v>0</v>
      </c>
      <c r="AB674" s="141">
        <f>'[26]מאזן בוחן'!AB554</f>
        <v>0</v>
      </c>
      <c r="AC674" s="141">
        <f>'[27]מאזן בוחן'!AC563</f>
        <v>4888</v>
      </c>
      <c r="AD674" s="141">
        <f>'[28]מאזן בוחן'!AD572</f>
        <v>0</v>
      </c>
      <c r="AE674" s="141">
        <f>'[29]מאזן בוחן'!AE582</f>
        <v>0</v>
      </c>
      <c r="AF674" s="141">
        <f>'[30]מאזן בוחן'!AF594</f>
        <v>0</v>
      </c>
      <c r="AG674" s="141">
        <f>'[31]מאזן בוחן'!AG597</f>
        <v>0</v>
      </c>
      <c r="AH674" s="141">
        <v>0</v>
      </c>
      <c r="AI674" s="141">
        <v>0</v>
      </c>
      <c r="AJ674" s="141">
        <v>0</v>
      </c>
      <c r="AK674" s="141">
        <v>225</v>
      </c>
      <c r="AL674" s="141">
        <v>0</v>
      </c>
      <c r="AM674" s="141">
        <f>$K674-SUM($AB674:AL674)</f>
        <v>0</v>
      </c>
      <c r="AN674" s="141"/>
      <c r="AO674" s="141"/>
      <c r="AP674" s="141"/>
      <c r="AQ674" s="141"/>
      <c r="AR674" s="141"/>
      <c r="AS674" s="141"/>
      <c r="AT674" s="141"/>
      <c r="AU674" s="141"/>
      <c r="AV674" s="141"/>
      <c r="AW674" s="141"/>
      <c r="BA674" s="204"/>
    </row>
    <row r="675" spans="1:53">
      <c r="A675" s="52"/>
      <c r="B675" s="3659"/>
      <c r="C675" s="585"/>
      <c r="D675" s="45"/>
      <c r="E675" s="79"/>
      <c r="J675" s="474"/>
      <c r="K675" s="42"/>
      <c r="L675" s="49"/>
      <c r="M675" s="474"/>
      <c r="O675" s="401"/>
      <c r="Q675" s="141"/>
      <c r="S675" s="141"/>
      <c r="T675" s="141"/>
      <c r="U675" s="141"/>
      <c r="V675" s="726"/>
      <c r="W675" s="726"/>
      <c r="X675" s="141"/>
      <c r="Y675" s="141"/>
      <c r="AA675" s="141"/>
      <c r="AB675" s="141"/>
      <c r="AC675" s="141"/>
      <c r="AD675" s="141"/>
      <c r="AE675" s="141"/>
      <c r="AF675" s="141"/>
      <c r="AG675" s="141"/>
      <c r="AH675" s="141"/>
      <c r="AI675" s="141"/>
      <c r="AJ675" s="141"/>
      <c r="AK675" s="141"/>
      <c r="AL675" s="141"/>
      <c r="AM675" s="141"/>
      <c r="AN675" s="141"/>
      <c r="AO675" s="141"/>
      <c r="AP675" s="141"/>
      <c r="AQ675" s="141"/>
      <c r="AR675" s="141"/>
      <c r="AS675" s="141"/>
      <c r="AT675" s="141"/>
      <c r="AU675" s="141"/>
      <c r="AV675" s="141"/>
      <c r="AW675" s="141"/>
      <c r="BA675" s="204"/>
    </row>
    <row r="676" spans="1:53">
      <c r="A676" s="52"/>
      <c r="B676" s="3659" t="s">
        <v>1082</v>
      </c>
      <c r="C676" s="585">
        <v>5210001</v>
      </c>
      <c r="D676" s="45" t="s">
        <v>1083</v>
      </c>
      <c r="E676" s="79">
        <f>IFERROR(VLOOKUP(C676,'פקודות נוספות'!$D$274:$F$797,3,0),0)</f>
        <v>6550.2</v>
      </c>
      <c r="F676" s="49">
        <f>SUMIF('פקודות נוספות'!C:C,C:C,'פקודות נוספות'!E:E)</f>
        <v>0</v>
      </c>
      <c r="J676" s="474">
        <f t="shared" ref="J676:J680" si="142">SUM(E676:I676)</f>
        <v>6550.2</v>
      </c>
      <c r="K676" s="42">
        <f>M676+SUMIF('פקודות נוספות'!C:C,'מאזן בוחן'!C676,'פקודות נוספות'!F:F)</f>
        <v>2069.52</v>
      </c>
      <c r="L676" s="49"/>
      <c r="M676" s="474">
        <f>IFERROR(VLOOKUP(C676,'פקודות נוספות'!$D$273:$G$797,4,0),0)</f>
        <v>2069.52</v>
      </c>
      <c r="N676" s="1104">
        <f t="shared" ref="N676:N680" si="143">IF(K676=0,"-",J676/K676)</f>
        <v>3.165081758088832</v>
      </c>
      <c r="O676" s="401"/>
      <c r="P676" s="137">
        <v>120.5</v>
      </c>
      <c r="Q676" s="141">
        <f>'[39]מאזן בוחן'!AE543</f>
        <v>0</v>
      </c>
      <c r="R676" s="137">
        <v>0</v>
      </c>
      <c r="S676" s="141">
        <v>-1145.6300000000001</v>
      </c>
      <c r="T676" s="141">
        <f>'[20]מאזן בוחן'!AR590</f>
        <v>0</v>
      </c>
      <c r="U676" s="141">
        <f>'[21]מאזן בוחן'!AS507</f>
        <v>0</v>
      </c>
      <c r="V676" s="726">
        <f>'[22]מאזן בוחן'!AJ493</f>
        <v>0</v>
      </c>
      <c r="W676" s="726">
        <f>'[23]מאזן בוחן'!AK499</f>
        <v>0</v>
      </c>
      <c r="X676" s="141">
        <v>0</v>
      </c>
      <c r="Y676" s="141">
        <f>'[25]מאזן בוחן'!AM529</f>
        <v>0</v>
      </c>
      <c r="AA676" s="141">
        <f>'[32]מאזן בוחן'!AO546</f>
        <v>0</v>
      </c>
      <c r="AB676" s="141">
        <f>'[26]מאזן בוחן'!AB556</f>
        <v>0</v>
      </c>
      <c r="AC676" s="141">
        <f>'[27]מאזן בוחן'!AC565</f>
        <v>0</v>
      </c>
      <c r="AD676" s="141">
        <f>'[28]מאזן בוחן'!AD574</f>
        <v>0</v>
      </c>
      <c r="AE676" s="141">
        <f>'[29]מאזן בוחן'!AE584</f>
        <v>0</v>
      </c>
      <c r="AF676" s="141">
        <f>'[30]מאזן בוחן'!AF596</f>
        <v>0</v>
      </c>
      <c r="AG676" s="141">
        <f>'[31]מאזן בוחן'!AG599</f>
        <v>0</v>
      </c>
      <c r="AH676" s="141">
        <v>0</v>
      </c>
      <c r="AI676" s="141">
        <v>575.16</v>
      </c>
      <c r="AJ676" s="141">
        <v>0</v>
      </c>
      <c r="AK676" s="141">
        <v>815.97000000000014</v>
      </c>
      <c r="AL676" s="141">
        <v>418.38999999999987</v>
      </c>
      <c r="AM676" s="141">
        <f>$K676-SUM($AB676:AL676)</f>
        <v>260</v>
      </c>
      <c r="AN676" s="141"/>
      <c r="AO676" s="141"/>
      <c r="AP676" s="141"/>
      <c r="AQ676" s="141"/>
      <c r="AR676" s="141"/>
      <c r="AS676" s="141"/>
      <c r="AT676" s="141"/>
      <c r="AU676" s="141"/>
      <c r="AV676" s="141"/>
      <c r="AW676" s="141"/>
      <c r="BA676" s="204"/>
    </row>
    <row r="677" spans="1:53">
      <c r="A677" s="52"/>
      <c r="B677" s="3659" t="s">
        <v>1082</v>
      </c>
      <c r="C677" s="585">
        <v>5210002</v>
      </c>
      <c r="D677" s="45" t="s">
        <v>1084</v>
      </c>
      <c r="E677" s="79">
        <f>IFERROR(VLOOKUP(C677,'פקודות נוספות'!$D$274:$F$797,3,0),0)</f>
        <v>4920.66</v>
      </c>
      <c r="F677" s="49">
        <f>SUMIF('פקודות נוספות'!C:C,C:C,'פקודות נוספות'!E:E)</f>
        <v>0</v>
      </c>
      <c r="J677" s="474">
        <f t="shared" si="142"/>
        <v>4920.66</v>
      </c>
      <c r="K677" s="42">
        <f>M677+SUMIF('פקודות נוספות'!C:C,'מאזן בוחן'!C677,'פקודות נוספות'!F:F)</f>
        <v>1586.96</v>
      </c>
      <c r="L677" s="49"/>
      <c r="M677" s="474">
        <f>IFERROR(VLOOKUP(C677,'פקודות נוספות'!$D$273:$G$797,4,0),0)</f>
        <v>1586.96</v>
      </c>
      <c r="N677" s="1104">
        <f t="shared" si="143"/>
        <v>3.1006830669960173</v>
      </c>
      <c r="O677" s="401"/>
      <c r="P677" s="137">
        <v>805.7</v>
      </c>
      <c r="Q677" s="141">
        <f>'[39]מאזן בוחן'!AE544</f>
        <v>0</v>
      </c>
      <c r="R677" s="137">
        <v>0</v>
      </c>
      <c r="S677" s="141">
        <v>0</v>
      </c>
      <c r="T677" s="141">
        <f>'[20]מאזן בוחן'!AR591</f>
        <v>0</v>
      </c>
      <c r="U677" s="141">
        <f>'[21]מאזן בוחן'!AS508</f>
        <v>0</v>
      </c>
      <c r="V677" s="726">
        <f>'[22]מאזן בוחן'!AJ494</f>
        <v>0</v>
      </c>
      <c r="W677" s="726">
        <f>'[23]מאזן בוחן'!AK500</f>
        <v>0</v>
      </c>
      <c r="X677" s="141">
        <v>0</v>
      </c>
      <c r="Y677" s="141">
        <f>'[25]מאזן בוחן'!AM530</f>
        <v>0</v>
      </c>
      <c r="AA677" s="141">
        <f>'[32]מאזן בוחן'!AO547</f>
        <v>0</v>
      </c>
      <c r="AB677" s="141">
        <f>'[26]מאזן בוחן'!AB557</f>
        <v>0</v>
      </c>
      <c r="AC677" s="141">
        <f>'[27]מאזן בוחן'!AC566</f>
        <v>0</v>
      </c>
      <c r="AD677" s="141">
        <f>'[28]מאזן בוחן'!AD575</f>
        <v>0</v>
      </c>
      <c r="AE677" s="141">
        <f>'[29]מאזן בוחן'!AE585</f>
        <v>0</v>
      </c>
      <c r="AF677" s="141">
        <f>'[30]מאזן בוחן'!AF597</f>
        <v>0</v>
      </c>
      <c r="AG677" s="141">
        <f>'[31]מאזן בוחן'!AG600</f>
        <v>0</v>
      </c>
      <c r="AH677" s="141">
        <v>0</v>
      </c>
      <c r="AI677" s="141">
        <v>221.41</v>
      </c>
      <c r="AJ677" s="141">
        <v>0</v>
      </c>
      <c r="AK677" s="141">
        <v>0</v>
      </c>
      <c r="AL677" s="141">
        <v>1365.55</v>
      </c>
      <c r="AM677" s="141">
        <f>$K677-SUM($AB677:AL677)</f>
        <v>0</v>
      </c>
      <c r="AN677" s="141"/>
      <c r="AO677" s="141"/>
      <c r="AP677" s="141"/>
      <c r="AQ677" s="141"/>
      <c r="AR677" s="141"/>
      <c r="AS677" s="141"/>
      <c r="AT677" s="141"/>
      <c r="AU677" s="141"/>
      <c r="AV677" s="141"/>
      <c r="AW677" s="141"/>
      <c r="BA677" s="204"/>
    </row>
    <row r="678" spans="1:53">
      <c r="A678" s="52"/>
      <c r="B678" s="3659" t="s">
        <v>1082</v>
      </c>
      <c r="C678" s="585">
        <v>5210003</v>
      </c>
      <c r="D678" s="45" t="s">
        <v>1085</v>
      </c>
      <c r="E678" s="79">
        <f>IFERROR(VLOOKUP(C678,'פקודות נוספות'!$D$274:$F$797,3,0),0)</f>
        <v>2329.7399999999998</v>
      </c>
      <c r="F678" s="49">
        <f>SUMIF('פקודות נוספות'!C:C,C:C,'פקודות נוספות'!E:E)</f>
        <v>0</v>
      </c>
      <c r="J678" s="474">
        <f t="shared" si="142"/>
        <v>2329.7399999999998</v>
      </c>
      <c r="K678" s="42">
        <f>M678+SUMIF('פקודות נוספות'!C:C,'מאזן בוחן'!C678,'פקודות נוספות'!F:F)</f>
        <v>750.39</v>
      </c>
      <c r="L678" s="49"/>
      <c r="M678" s="474">
        <f>IFERROR(VLOOKUP(C678,'פקודות נוספות'!$D$273:$G$797,4,0),0)</f>
        <v>750.39</v>
      </c>
      <c r="N678" s="1104">
        <f t="shared" si="143"/>
        <v>3.1047055531123813</v>
      </c>
      <c r="O678" s="401"/>
      <c r="P678" s="137">
        <v>735.10000000000014</v>
      </c>
      <c r="Q678" s="141">
        <f>'[39]מאזן בוחן'!AE545</f>
        <v>0</v>
      </c>
      <c r="R678" s="137">
        <v>0</v>
      </c>
      <c r="S678" s="141">
        <v>0</v>
      </c>
      <c r="T678" s="141">
        <f>'[20]מאזן בוחן'!AR592</f>
        <v>0</v>
      </c>
      <c r="U678" s="141">
        <f>'[21]מאזן בוחן'!AS509</f>
        <v>0</v>
      </c>
      <c r="V678" s="726">
        <f>'[22]מאזן בוחן'!AJ495</f>
        <v>0</v>
      </c>
      <c r="W678" s="726">
        <f>'[23]מאזן בוחן'!AK501</f>
        <v>0</v>
      </c>
      <c r="X678" s="141">
        <v>0</v>
      </c>
      <c r="Y678" s="141">
        <f>'[25]מאזן בוחן'!AM531</f>
        <v>0</v>
      </c>
      <c r="AA678" s="141">
        <f>'[32]מאזן בוחן'!AO548</f>
        <v>0</v>
      </c>
      <c r="AB678" s="141">
        <f>'[26]מאזן בוחן'!AB558</f>
        <v>0</v>
      </c>
      <c r="AC678" s="141">
        <f>'[27]מאזן בוחן'!AC567</f>
        <v>0</v>
      </c>
      <c r="AD678" s="141">
        <f>'[28]מאזן בוחן'!AD576</f>
        <v>0</v>
      </c>
      <c r="AE678" s="141">
        <f>'[29]מאזן בוחן'!AE586</f>
        <v>0</v>
      </c>
      <c r="AF678" s="141">
        <f>'[30]מאזן בוחן'!AF598</f>
        <v>0</v>
      </c>
      <c r="AG678" s="141">
        <f>'[31]מאזן בוחן'!AG601</f>
        <v>0</v>
      </c>
      <c r="AH678" s="141">
        <v>0</v>
      </c>
      <c r="AI678" s="141">
        <v>132.08000000000001</v>
      </c>
      <c r="AJ678" s="141">
        <v>0</v>
      </c>
      <c r="AK678" s="141">
        <v>0</v>
      </c>
      <c r="AL678" s="141">
        <v>618.30999999999995</v>
      </c>
      <c r="AM678" s="141">
        <f>$K678-SUM($AB678:AL678)</f>
        <v>0</v>
      </c>
      <c r="AN678" s="141"/>
      <c r="AO678" s="141"/>
      <c r="AP678" s="141"/>
      <c r="AQ678" s="141"/>
      <c r="AR678" s="141"/>
      <c r="AS678" s="141"/>
      <c r="AT678" s="141"/>
      <c r="AU678" s="141"/>
      <c r="AV678" s="141"/>
      <c r="AW678" s="141"/>
      <c r="BA678" s="204"/>
    </row>
    <row r="679" spans="1:53">
      <c r="A679" s="52"/>
      <c r="B679" s="3659" t="s">
        <v>1082</v>
      </c>
      <c r="C679" s="585">
        <v>5210004</v>
      </c>
      <c r="D679" s="45" t="s">
        <v>1086</v>
      </c>
      <c r="E679" s="79">
        <f>IFERROR(VLOOKUP(C679,'פקודות נוספות'!$D$274:$F$797,3,0),0)</f>
        <v>2632.72</v>
      </c>
      <c r="F679" s="49">
        <f>SUMIF('פקודות נוספות'!C:C,C:C,'פקודות נוספות'!E:E)</f>
        <v>0</v>
      </c>
      <c r="J679" s="474">
        <f t="shared" si="142"/>
        <v>2632.72</v>
      </c>
      <c r="K679" s="42">
        <f>M679+SUMIF('פקודות נוספות'!C:C,'מאזן בוחן'!C679,'פקודות נוספות'!F:F)</f>
        <v>845.46</v>
      </c>
      <c r="L679" s="49"/>
      <c r="M679" s="474">
        <f>IFERROR(VLOOKUP(C679,'פקודות נוספות'!$D$273:$G$797,4,0),0)</f>
        <v>845.46</v>
      </c>
      <c r="N679" s="1104">
        <f t="shared" si="143"/>
        <v>3.1139498024743921</v>
      </c>
      <c r="O679" s="401"/>
      <c r="P679" s="137">
        <v>413.65</v>
      </c>
      <c r="Q679" s="141">
        <f>'[39]מאזן בוחן'!AE546</f>
        <v>0</v>
      </c>
      <c r="R679" s="137">
        <v>0</v>
      </c>
      <c r="S679" s="141">
        <v>0</v>
      </c>
      <c r="T679" s="141">
        <f>'[20]מאזן בוחן'!AR593</f>
        <v>0</v>
      </c>
      <c r="U679" s="141">
        <f>'[21]מאזן בוחן'!AS510</f>
        <v>0</v>
      </c>
      <c r="V679" s="726">
        <f>'[22]מאזן בוחן'!AJ496</f>
        <v>0</v>
      </c>
      <c r="W679" s="726">
        <f>'[23]מאזן בוחן'!AK502</f>
        <v>0</v>
      </c>
      <c r="X679" s="141">
        <v>0</v>
      </c>
      <c r="Y679" s="141">
        <f>'[25]מאזן בוחן'!AM532</f>
        <v>0</v>
      </c>
      <c r="AA679" s="141">
        <f>'[32]מאזן בוחן'!AO549</f>
        <v>0</v>
      </c>
      <c r="AB679" s="141">
        <f>'[26]מאזן בוחן'!AB559</f>
        <v>0</v>
      </c>
      <c r="AC679" s="141">
        <f>'[27]מאזן בוחן'!AC568</f>
        <v>0</v>
      </c>
      <c r="AD679" s="141">
        <f>'[28]מאזן בוחן'!AD577</f>
        <v>0</v>
      </c>
      <c r="AE679" s="141">
        <f>'[29]מאזן בוחן'!AE587</f>
        <v>0</v>
      </c>
      <c r="AF679" s="141">
        <f>'[30]מאזן בוחן'!AF599</f>
        <v>0</v>
      </c>
      <c r="AG679" s="141">
        <f>'[31]מאזן בוחן'!AG602</f>
        <v>0</v>
      </c>
      <c r="AH679" s="141">
        <v>0</v>
      </c>
      <c r="AI679" s="141">
        <v>206.88</v>
      </c>
      <c r="AJ679" s="141">
        <v>0</v>
      </c>
      <c r="AK679" s="141">
        <v>0</v>
      </c>
      <c r="AL679" s="141">
        <v>638.58000000000004</v>
      </c>
      <c r="AM679" s="141">
        <f>$K679-SUM($AB679:AL679)</f>
        <v>0</v>
      </c>
      <c r="AN679" s="141"/>
      <c r="AO679" s="141"/>
      <c r="AP679" s="141"/>
      <c r="AQ679" s="141"/>
      <c r="AR679" s="141"/>
      <c r="AS679" s="141"/>
      <c r="AT679" s="141"/>
      <c r="AU679" s="141"/>
      <c r="AV679" s="141"/>
      <c r="AW679" s="141"/>
      <c r="BA679" s="204"/>
    </row>
    <row r="680" spans="1:53">
      <c r="A680" s="52"/>
      <c r="B680" s="3659" t="s">
        <v>1082</v>
      </c>
      <c r="C680" s="585">
        <v>5210005</v>
      </c>
      <c r="D680" s="45" t="s">
        <v>1087</v>
      </c>
      <c r="E680" s="79">
        <f>IFERROR(VLOOKUP(C680,'פקודות נוספות'!$D$274:$F$797,3,0),0)</f>
        <v>3622.75</v>
      </c>
      <c r="F680" s="49">
        <f>SUMIF('פקודות נוספות'!C:C,C:C,'פקודות נוספות'!E:E)</f>
        <v>0</v>
      </c>
      <c r="J680" s="474">
        <f t="shared" si="142"/>
        <v>3622.75</v>
      </c>
      <c r="K680" s="42">
        <f>M680+SUMIF('פקודות נוספות'!C:C,'מאזן בוחן'!C680,'פקודות נוספות'!F:F)</f>
        <v>1176.93</v>
      </c>
      <c r="L680" s="49"/>
      <c r="M680" s="474">
        <f>IFERROR(VLOOKUP(C680,'פקודות נוספות'!$D$273:$G$797,4,0),0)</f>
        <v>1176.93</v>
      </c>
      <c r="N680" s="1104">
        <f t="shared" si="143"/>
        <v>3.0781354880918999</v>
      </c>
      <c r="O680" s="401"/>
      <c r="P680" s="137">
        <v>484.13000000000005</v>
      </c>
      <c r="Q680" s="141">
        <f>'[39]מאזן בוחן'!AE547</f>
        <v>0</v>
      </c>
      <c r="R680" s="137">
        <v>0</v>
      </c>
      <c r="S680" s="141">
        <v>0</v>
      </c>
      <c r="T680" s="141">
        <f>'[20]מאזן בוחן'!AR594</f>
        <v>0</v>
      </c>
      <c r="U680" s="141">
        <f>'[21]מאזן בוחן'!AS511</f>
        <v>0</v>
      </c>
      <c r="V680" s="726">
        <f>'[22]מאזן בוחן'!AJ497</f>
        <v>0</v>
      </c>
      <c r="W680" s="726">
        <f>'[23]מאזן בוחן'!AK503</f>
        <v>0</v>
      </c>
      <c r="X680" s="141">
        <v>0</v>
      </c>
      <c r="Y680" s="141">
        <f>'[25]מאזן בוחן'!AM533</f>
        <v>0</v>
      </c>
      <c r="AA680" s="141">
        <f>'[32]מאזן בוחן'!AO550</f>
        <v>0</v>
      </c>
      <c r="AB680" s="141">
        <f>'[26]מאזן בוחן'!AB560</f>
        <v>0</v>
      </c>
      <c r="AC680" s="141">
        <f>'[27]מאזן בוחן'!AC569</f>
        <v>0</v>
      </c>
      <c r="AD680" s="141">
        <f>'[28]מאזן בוחן'!AD578</f>
        <v>0</v>
      </c>
      <c r="AE680" s="141">
        <f>'[29]מאזן בוחן'!AE588</f>
        <v>0</v>
      </c>
      <c r="AF680" s="141">
        <f>'[30]מאזן בוחן'!AF600</f>
        <v>0</v>
      </c>
      <c r="AG680" s="141">
        <f>'[31]מאזן בוחן'!AG603</f>
        <v>0</v>
      </c>
      <c r="AH680" s="141">
        <v>0</v>
      </c>
      <c r="AI680" s="141">
        <v>0</v>
      </c>
      <c r="AJ680" s="141">
        <v>0</v>
      </c>
      <c r="AK680" s="141">
        <v>0</v>
      </c>
      <c r="AL680" s="141">
        <v>1176.93</v>
      </c>
      <c r="AM680" s="141">
        <f>$K680-SUM($AB680:AL680)</f>
        <v>0</v>
      </c>
      <c r="AN680" s="141"/>
      <c r="AO680" s="141"/>
      <c r="AP680" s="141"/>
      <c r="AQ680" s="141"/>
      <c r="AR680" s="141"/>
      <c r="AS680" s="141"/>
      <c r="AT680" s="141"/>
      <c r="AU680" s="141"/>
      <c r="AV680" s="141"/>
      <c r="AW680" s="141"/>
      <c r="BA680" s="204"/>
    </row>
    <row r="681" spans="1:53">
      <c r="A681" s="52"/>
      <c r="B681" s="3659" t="s">
        <v>1082</v>
      </c>
      <c r="C681" s="585">
        <v>5210006</v>
      </c>
      <c r="D681" s="45" t="s">
        <v>1960</v>
      </c>
      <c r="E681" s="79">
        <f>IFERROR(VLOOKUP(C681,'פקודות נוספות'!$D$274:$F$797,3,0),0)</f>
        <v>41744.68</v>
      </c>
      <c r="F681" s="49">
        <f>SUMIF('פקודות נוספות'!C:C,C:C,'פקודות נוספות'!E:E)</f>
        <v>0</v>
      </c>
      <c r="J681" s="474">
        <f>SUM(E681:I681)</f>
        <v>41744.68</v>
      </c>
      <c r="K681" s="42">
        <f>M681+SUMIF('פקודות נוספות'!C:C,'מאזן בוחן'!C681,'פקודות נוספות'!F:F)</f>
        <v>13081.06</v>
      </c>
      <c r="L681" s="49"/>
      <c r="M681" s="474">
        <f>IFERROR(VLOOKUP(C681,'פקודות נוספות'!$D$273:$G$797,4,0),0)</f>
        <v>13081.06</v>
      </c>
      <c r="N681" s="1104">
        <f>IF(K681=0,"-",J681/K681)</f>
        <v>3.191230680082501</v>
      </c>
      <c r="O681" s="401"/>
      <c r="P681" s="141">
        <v>0</v>
      </c>
      <c r="Q681" s="141">
        <f>'[39]מאזן בוחן'!AE549</f>
        <v>0</v>
      </c>
      <c r="R681" s="141">
        <v>0</v>
      </c>
      <c r="S681" s="141">
        <v>0</v>
      </c>
      <c r="T681" s="141">
        <f>'[20]מאזן בוחן'!AR596</f>
        <v>0</v>
      </c>
      <c r="U681" s="141">
        <f>'[21]מאזן בוחן'!AS513</f>
        <v>0</v>
      </c>
      <c r="V681" s="726">
        <f>'[22]מאזן בוחן'!AJ499</f>
        <v>0</v>
      </c>
      <c r="W681" s="726">
        <f>'[23]מאזן בוחן'!AK505</f>
        <v>0</v>
      </c>
      <c r="X681" s="141">
        <v>0</v>
      </c>
      <c r="Y681" s="141">
        <f>'[25]מאזן בוחן'!AM535</f>
        <v>2532.56</v>
      </c>
      <c r="AA681" s="141">
        <f>'[32]מאזן בוחן'!AO552</f>
        <v>6128</v>
      </c>
      <c r="AB681" s="141">
        <f>'[26]מאזן בוחן'!AB562</f>
        <v>1728</v>
      </c>
      <c r="AC681" s="141">
        <f>'[27]מאזן בוחן'!AC571</f>
        <v>780</v>
      </c>
      <c r="AD681" s="141">
        <f>'[28]מאזן בוחן'!AD580</f>
        <v>0</v>
      </c>
      <c r="AE681" s="141">
        <f>'[29]מאזן בוחן'!AE590</f>
        <v>0</v>
      </c>
      <c r="AF681" s="141">
        <f>'[30]מאזן בוחן'!AF602</f>
        <v>2064.9399999999996</v>
      </c>
      <c r="AG681" s="141">
        <f>'[31]מאזן בוחן'!AG605</f>
        <v>4528.13</v>
      </c>
      <c r="AH681" s="141">
        <v>0</v>
      </c>
      <c r="AI681" s="141">
        <v>0</v>
      </c>
      <c r="AJ681" s="141">
        <v>0</v>
      </c>
      <c r="AK681" s="141">
        <v>0</v>
      </c>
      <c r="AL681" s="141">
        <v>3979.99</v>
      </c>
      <c r="AM681" s="141">
        <f>$K681-SUM($AB681:AL681)</f>
        <v>0</v>
      </c>
      <c r="AN681" s="141"/>
      <c r="AO681" s="141"/>
      <c r="AP681" s="141"/>
      <c r="AQ681" s="141"/>
      <c r="AR681" s="141"/>
      <c r="AS681" s="141"/>
      <c r="AT681" s="141"/>
      <c r="AU681" s="141"/>
      <c r="AV681" s="141"/>
      <c r="AW681" s="141"/>
      <c r="BA681" s="204"/>
    </row>
    <row r="682" spans="1:53">
      <c r="A682" s="52"/>
      <c r="B682" s="3659" t="s">
        <v>1082</v>
      </c>
      <c r="C682" s="585">
        <v>5210010</v>
      </c>
      <c r="D682" s="45" t="s">
        <v>2024</v>
      </c>
      <c r="E682" s="79">
        <f>IFERROR(VLOOKUP(C682,'פקודות נוספות'!$D$274:$F$797,3,0),0)</f>
        <v>80579</v>
      </c>
      <c r="F682" s="49">
        <f>SUMIF('פקודות נוספות'!C:C,C:C,'פקודות נוספות'!E:E)</f>
        <v>0</v>
      </c>
      <c r="J682" s="474">
        <f>SUM(E682:I682)</f>
        <v>80579</v>
      </c>
      <c r="K682" s="42">
        <f>M682+SUMIF('פקודות נוספות'!C:C,'מאזן בוחן'!C682,'פקודות נוספות'!F:F)</f>
        <v>23991.85</v>
      </c>
      <c r="L682" s="49"/>
      <c r="M682" s="474">
        <f>IFERROR(VLOOKUP(C682,'פקודות נוספות'!$D$273:$G$797,4,0),0)</f>
        <v>23991.85</v>
      </c>
      <c r="N682" s="1104">
        <f>IF(K682=0,"-",J682/K682)</f>
        <v>3.3585988575287025</v>
      </c>
      <c r="O682" s="401"/>
      <c r="P682" s="141">
        <v>1899.98</v>
      </c>
      <c r="Q682" s="141">
        <f>'[39]מאזן בוחן'!AE550</f>
        <v>1899.9799999999996</v>
      </c>
      <c r="R682" s="141">
        <v>1899.9800000000009</v>
      </c>
      <c r="S682" s="141">
        <v>1899.98</v>
      </c>
      <c r="T682" s="141">
        <f>'[20]מאזן בוחן'!AR597</f>
        <v>1900</v>
      </c>
      <c r="U682" s="141">
        <f>'[21]מאזן בוחן'!AS514</f>
        <v>1913.6599999999994</v>
      </c>
      <c r="V682" s="726">
        <f>'[22]מאזן בוחן'!AJ500</f>
        <v>1913.6599999999999</v>
      </c>
      <c r="W682" s="726">
        <f>'[23]מאזן בוחן'!AK506</f>
        <v>1913.6600000000008</v>
      </c>
      <c r="X682" s="141">
        <v>1913.6600000000017</v>
      </c>
      <c r="Y682" s="141">
        <f>'[25]מאזן בוחן'!AM536</f>
        <v>1913.6599999999999</v>
      </c>
      <c r="AA682" s="141">
        <f>'[32]מאזן בוחן'!AO553</f>
        <v>1913.6599999999999</v>
      </c>
      <c r="AB682" s="141">
        <f>'[26]מאזן בוחן'!AB563</f>
        <v>1913.66</v>
      </c>
      <c r="AC682" s="141">
        <f>'[27]מאזן בוחן'!AC572</f>
        <v>1913.66</v>
      </c>
      <c r="AD682" s="141">
        <f>'[28]מאזן בוחן'!AD581</f>
        <v>1913.6599999999994</v>
      </c>
      <c r="AE682" s="141">
        <f>'[29]מאזן בוחן'!AE591</f>
        <v>1913.6600000000008</v>
      </c>
      <c r="AF682" s="141">
        <f>'[30]מאזן בוחן'!AF603</f>
        <v>0</v>
      </c>
      <c r="AG682" s="141">
        <f>'[31]מאזן בוחן'!AG606</f>
        <v>4108.4899999999989</v>
      </c>
      <c r="AH682" s="141">
        <v>2038.1200000000008</v>
      </c>
      <c r="AI682" s="141">
        <v>2038.1200000000008</v>
      </c>
      <c r="AJ682" s="141">
        <v>2038.1200000000008</v>
      </c>
      <c r="AK682" s="141">
        <v>2038.119999999999</v>
      </c>
      <c r="AL682" s="141">
        <v>2038.119999999999</v>
      </c>
      <c r="AM682" s="141">
        <f>$K682-SUM($AB682:AL682)</f>
        <v>2038.119999999999</v>
      </c>
      <c r="AN682" s="141"/>
      <c r="AO682" s="141"/>
      <c r="AP682" s="141"/>
      <c r="AQ682" s="141"/>
      <c r="AR682" s="141"/>
      <c r="AS682" s="141"/>
      <c r="AT682" s="141"/>
      <c r="AU682" s="141"/>
      <c r="AV682" s="141"/>
      <c r="AW682" s="141"/>
      <c r="BA682" s="204"/>
    </row>
    <row r="683" spans="1:53">
      <c r="A683" s="52"/>
      <c r="B683" s="3659" t="s">
        <v>1082</v>
      </c>
      <c r="C683" s="585">
        <v>5200051</v>
      </c>
      <c r="D683" s="45" t="s">
        <v>2527</v>
      </c>
      <c r="E683" s="79">
        <f>IFERROR(VLOOKUP(C683,'פקודות נוספות'!$D$274:$F$797,3,0),0)</f>
        <v>32330</v>
      </c>
      <c r="F683" s="49">
        <f>SUMIF('פקודות נוספות'!C:C,C:C,'פקודות נוספות'!E:E)</f>
        <v>0</v>
      </c>
      <c r="J683" s="474">
        <f>SUM(E683:I683)</f>
        <v>32330</v>
      </c>
      <c r="K683" s="42">
        <f>M683+SUMIF('פקודות נוספות'!C:C,'מאזן בוחן'!C683,'פקודות נוספות'!F:F)</f>
        <v>10000</v>
      </c>
      <c r="L683" s="49"/>
      <c r="M683" s="474">
        <f>IFERROR(VLOOKUP(C683,'פקודות נוספות'!$D$273:$G$797,4,0),0)</f>
        <v>10000</v>
      </c>
      <c r="N683" s="1104">
        <f>IF(K683=0,"-",J683/K683)</f>
        <v>3.2330000000000001</v>
      </c>
      <c r="O683" s="401"/>
      <c r="P683" s="141">
        <v>0</v>
      </c>
      <c r="Q683" s="141">
        <f>'[39]מאזן בוחן'!AE552</f>
        <v>0</v>
      </c>
      <c r="R683" s="141">
        <v>0</v>
      </c>
      <c r="S683" s="141">
        <v>0</v>
      </c>
      <c r="T683" s="141">
        <f>'[20]מאזן בוחן'!AR599</f>
        <v>0</v>
      </c>
      <c r="U683" s="141">
        <f>'[21]מאזן בוחן'!AS516</f>
        <v>10000</v>
      </c>
      <c r="V683" s="726">
        <f>'[22]מאזן בוחן'!AJ502</f>
        <v>0</v>
      </c>
      <c r="W683" s="726">
        <f>'[23]מאזן בוחן'!AK508</f>
        <v>0</v>
      </c>
      <c r="X683" s="141">
        <v>0</v>
      </c>
      <c r="Y683" s="141">
        <f>'[25]מאזן בוחן'!AM538</f>
        <v>0</v>
      </c>
      <c r="AA683" s="141">
        <f>'[32]מאזן בוחן'!AO555</f>
        <v>0</v>
      </c>
      <c r="AB683" s="141">
        <f>'[26]מאזן בוחן'!AB565</f>
        <v>0</v>
      </c>
      <c r="AC683" s="141">
        <f>'[27]מאזן בוחן'!AC574</f>
        <v>0</v>
      </c>
      <c r="AD683" s="141">
        <f>'[28]מאזן בוחן'!AD583</f>
        <v>0</v>
      </c>
      <c r="AE683" s="141">
        <f>'[29]מאזן בוחן'!AE593</f>
        <v>0</v>
      </c>
      <c r="AF683" s="141">
        <f>'[30]מאזן בוחן'!AF605</f>
        <v>0</v>
      </c>
      <c r="AG683" s="141">
        <f>'[31]מאזן בוחן'!AG608</f>
        <v>0</v>
      </c>
      <c r="AH683" s="141">
        <v>0</v>
      </c>
      <c r="AI683" s="141">
        <v>10000</v>
      </c>
      <c r="AJ683" s="141">
        <v>0</v>
      </c>
      <c r="AK683" s="141">
        <v>0</v>
      </c>
      <c r="AL683" s="141">
        <v>0</v>
      </c>
      <c r="AM683" s="141">
        <f>$K683-SUM($AB683:AL683)</f>
        <v>0</v>
      </c>
      <c r="AN683" s="141"/>
      <c r="AO683" s="141"/>
      <c r="AP683" s="141"/>
      <c r="AQ683" s="141"/>
      <c r="AR683" s="141" t="s">
        <v>4098</v>
      </c>
      <c r="AS683" s="141"/>
      <c r="AT683" s="141"/>
      <c r="AU683" s="141"/>
      <c r="AV683" s="141"/>
      <c r="AW683" s="141"/>
      <c r="BA683" s="204"/>
    </row>
    <row r="684" spans="1:53">
      <c r="A684" s="52"/>
      <c r="B684" s="3659"/>
      <c r="C684" s="585"/>
      <c r="D684" s="45"/>
      <c r="E684" s="79"/>
      <c r="J684" s="474"/>
      <c r="K684" s="42"/>
      <c r="L684" s="49"/>
      <c r="M684" s="474"/>
      <c r="O684" s="401"/>
      <c r="P684" s="141">
        <v>0</v>
      </c>
      <c r="Q684" s="141">
        <f>'[39]מאזן בוחן'!AE553</f>
        <v>0</v>
      </c>
      <c r="R684" s="141">
        <v>0</v>
      </c>
      <c r="S684" s="141">
        <v>0</v>
      </c>
      <c r="T684" s="141">
        <f>'[20]מאזן בוחן'!AR600</f>
        <v>0</v>
      </c>
      <c r="U684" s="141">
        <f>'[21]מאזן בוחן'!AS517</f>
        <v>0</v>
      </c>
      <c r="V684" s="726">
        <f>'[22]מאזן בוחן'!AJ503</f>
        <v>0</v>
      </c>
      <c r="W684" s="726">
        <f>'[23]מאזן בוחן'!AK509</f>
        <v>0</v>
      </c>
      <c r="X684" s="141">
        <v>0</v>
      </c>
      <c r="Y684" s="141">
        <f>'[25]מאזן בוחן'!AM539</f>
        <v>0</v>
      </c>
      <c r="AA684" s="141">
        <f>'[32]מאזן בוחן'!AO556</f>
        <v>0</v>
      </c>
      <c r="AB684" s="141">
        <f>'[26]מאזן בוחן'!AB566</f>
        <v>0</v>
      </c>
      <c r="AC684" s="141">
        <f>'[27]מאזן בוחן'!AC575</f>
        <v>0</v>
      </c>
      <c r="AD684" s="141">
        <f>'[28]מאזן בוחן'!AD584</f>
        <v>0</v>
      </c>
      <c r="AE684" s="141">
        <f>'[29]מאזן בוחן'!AE594</f>
        <v>0</v>
      </c>
      <c r="AF684" s="141">
        <f>'[30]מאזן בוחן'!AF606</f>
        <v>0</v>
      </c>
      <c r="AG684" s="141">
        <f>'[31]מאזן בוחן'!AG609</f>
        <v>0</v>
      </c>
      <c r="AH684" s="141">
        <v>0</v>
      </c>
      <c r="AI684" s="141">
        <v>0</v>
      </c>
      <c r="AJ684" s="141">
        <v>0</v>
      </c>
      <c r="AK684" s="141">
        <v>0</v>
      </c>
      <c r="AL684" s="141">
        <v>0</v>
      </c>
      <c r="AM684" s="141">
        <f>$K684-SUM($AB684:AL684)</f>
        <v>0</v>
      </c>
      <c r="AN684" s="141"/>
      <c r="AO684" s="141"/>
      <c r="AP684" s="141"/>
      <c r="AQ684" s="141"/>
      <c r="AR684" s="141"/>
      <c r="AS684" s="141"/>
      <c r="AT684" s="141"/>
      <c r="AU684" s="141"/>
      <c r="AV684" s="141"/>
      <c r="AW684" s="141"/>
      <c r="BA684" s="204"/>
    </row>
    <row r="685" spans="1:53">
      <c r="A685" s="52"/>
      <c r="B685" s="3659"/>
      <c r="C685" s="585"/>
      <c r="D685" s="45"/>
      <c r="E685" s="79"/>
      <c r="J685" s="474"/>
      <c r="K685" s="42"/>
      <c r="L685" s="49"/>
      <c r="M685" s="474"/>
      <c r="O685" s="401"/>
      <c r="P685" s="141">
        <v>0</v>
      </c>
      <c r="Q685" s="141">
        <f>'[39]מאזן בוחן'!AE554</f>
        <v>0</v>
      </c>
      <c r="R685" s="141">
        <v>0</v>
      </c>
      <c r="S685" s="141">
        <v>0</v>
      </c>
      <c r="T685" s="141">
        <f>'[20]מאזן בוחן'!AR601</f>
        <v>0</v>
      </c>
      <c r="U685" s="141">
        <f>'[21]מאזן בוחן'!AS518</f>
        <v>0</v>
      </c>
      <c r="V685" s="726">
        <f>'[22]מאזן בוחן'!AJ504</f>
        <v>0</v>
      </c>
      <c r="W685" s="726">
        <f>'[23]מאזן בוחן'!AK510</f>
        <v>0</v>
      </c>
      <c r="X685" s="141">
        <v>0</v>
      </c>
      <c r="Y685" s="141">
        <f>'[25]מאזן בוחן'!AM540</f>
        <v>0</v>
      </c>
      <c r="AA685" s="141">
        <f>'[32]מאזן בוחן'!AO557</f>
        <v>0</v>
      </c>
      <c r="AB685" s="141">
        <f>'[26]מאזן בוחן'!AB567</f>
        <v>0</v>
      </c>
      <c r="AC685" s="141">
        <f>'[27]מאזן בוחן'!AC576</f>
        <v>0</v>
      </c>
      <c r="AD685" s="141">
        <f>'[28]מאזן בוחן'!AD585</f>
        <v>0</v>
      </c>
      <c r="AE685" s="141">
        <f>'[29]מאזן בוחן'!AE595</f>
        <v>0</v>
      </c>
      <c r="AF685" s="141">
        <f>'[30]מאזן בוחן'!AF607</f>
        <v>0</v>
      </c>
      <c r="AG685" s="141">
        <f>'[31]מאזן בוחן'!AG610</f>
        <v>0</v>
      </c>
      <c r="AH685" s="141">
        <v>0</v>
      </c>
      <c r="AI685" s="141">
        <v>0</v>
      </c>
      <c r="AJ685" s="141">
        <v>0</v>
      </c>
      <c r="AK685" s="141">
        <v>0</v>
      </c>
      <c r="AL685" s="141">
        <v>0</v>
      </c>
      <c r="AM685" s="141">
        <f>$K685-SUM($AB685:AL685)</f>
        <v>0</v>
      </c>
      <c r="AN685" s="141"/>
      <c r="AO685" s="141"/>
      <c r="AP685" s="141"/>
      <c r="AQ685" s="141"/>
      <c r="AR685" s="141"/>
      <c r="AS685" s="141"/>
      <c r="AT685" s="141"/>
      <c r="AU685" s="141"/>
      <c r="AV685" s="141"/>
      <c r="AW685" s="141"/>
      <c r="BA685" s="204"/>
    </row>
    <row r="686" spans="1:53">
      <c r="A686" s="52"/>
      <c r="B686" s="3659" t="s">
        <v>1328</v>
      </c>
      <c r="C686" s="585">
        <v>5310001</v>
      </c>
      <c r="D686" s="45" t="s">
        <v>1528</v>
      </c>
      <c r="E686" s="79">
        <f>IFERROR(VLOOKUP(C686,'פקודות נוספות'!$D$274:$F$797,3,0),0)</f>
        <v>0</v>
      </c>
      <c r="F686" s="49">
        <f>SUMIF('פקודות נוספות'!C:C,C:C,'פקודות נוספות'!E:E)</f>
        <v>0</v>
      </c>
      <c r="J686" s="474">
        <f>SUM(E686:I686)</f>
        <v>0</v>
      </c>
      <c r="K686" s="42">
        <f>M686+SUMIF('פקודות נוספות'!C:C,'מאזן בוחן'!C686,'פקודות נוספות'!F:F)</f>
        <v>0</v>
      </c>
      <c r="L686" s="49"/>
      <c r="M686" s="474">
        <f>IFERROR(VLOOKUP(C686,'פקודות נוספות'!$D$273:$G$797,4,0),0)</f>
        <v>0</v>
      </c>
      <c r="N686" s="1104" t="str">
        <f>IF(K686=0,"-",J686/K686)</f>
        <v>-</v>
      </c>
      <c r="O686" s="401"/>
      <c r="P686" s="141">
        <v>0</v>
      </c>
      <c r="Q686" s="141">
        <f>'[39]מאזן בוחן'!AE555</f>
        <v>0</v>
      </c>
      <c r="R686" s="141">
        <v>0</v>
      </c>
      <c r="S686" s="141">
        <v>0</v>
      </c>
      <c r="T686" s="141">
        <f>'[20]מאזן בוחן'!AR602</f>
        <v>0</v>
      </c>
      <c r="U686" s="141">
        <f>'[21]מאזן בוחן'!AS519</f>
        <v>0</v>
      </c>
      <c r="V686" s="726">
        <f>'[22]מאזן בוחן'!AJ505</f>
        <v>0</v>
      </c>
      <c r="W686" s="726">
        <f>'[23]מאזן בוחן'!AK511</f>
        <v>0</v>
      </c>
      <c r="X686" s="141">
        <v>0</v>
      </c>
      <c r="Y686" s="141">
        <f>'[25]מאזן בוחן'!AM541</f>
        <v>0</v>
      </c>
      <c r="AA686" s="141">
        <f>'[32]מאזן בוחן'!AO558</f>
        <v>0</v>
      </c>
      <c r="AB686" s="141">
        <f>'[26]מאזן בוחן'!AB568</f>
        <v>0</v>
      </c>
      <c r="AC686" s="141">
        <f>'[27]מאזן בוחן'!AC577</f>
        <v>0</v>
      </c>
      <c r="AD686" s="141">
        <f>'[28]מאזן בוחן'!AD586</f>
        <v>0</v>
      </c>
      <c r="AE686" s="141">
        <f>'[29]מאזן בוחן'!AE596</f>
        <v>0</v>
      </c>
      <c r="AF686" s="141">
        <f>'[30]מאזן בוחן'!AF608</f>
        <v>0</v>
      </c>
      <c r="AG686" s="141">
        <f>'[31]מאזן בוחן'!AG611</f>
        <v>0</v>
      </c>
      <c r="AH686" s="141">
        <v>0</v>
      </c>
      <c r="AI686" s="141">
        <v>0</v>
      </c>
      <c r="AJ686" s="141">
        <v>0</v>
      </c>
      <c r="AK686" s="141">
        <v>0</v>
      </c>
      <c r="AL686" s="141">
        <v>0</v>
      </c>
      <c r="AM686" s="141">
        <f>$K686-SUM($AB686:AL686)</f>
        <v>0</v>
      </c>
      <c r="AN686" s="141"/>
      <c r="AO686" s="141"/>
      <c r="AP686" s="141"/>
      <c r="AQ686" s="141"/>
      <c r="AR686" s="141"/>
      <c r="AS686" s="141"/>
      <c r="AT686" s="141"/>
      <c r="AU686" s="141"/>
      <c r="AV686" s="141"/>
      <c r="AW686" s="141"/>
      <c r="BA686" s="204"/>
    </row>
    <row r="687" spans="1:53">
      <c r="A687" s="52"/>
      <c r="B687" s="3659" t="s">
        <v>1328</v>
      </c>
      <c r="C687" s="585">
        <v>5310002</v>
      </c>
      <c r="D687" s="45" t="s">
        <v>1549</v>
      </c>
      <c r="E687" s="79">
        <f>IFERROR(VLOOKUP(C687,'פקודות נוספות'!$D$274:$F$797,3,0),0)</f>
        <v>0</v>
      </c>
      <c r="F687" s="49">
        <f>SUMIF('פקודות נוספות'!C:C,C:C,'פקודות נוספות'!E:E)</f>
        <v>0</v>
      </c>
      <c r="J687" s="474">
        <f>SUM(E687:I687)</f>
        <v>0</v>
      </c>
      <c r="K687" s="42">
        <f>M687+SUMIF('פקודות נוספות'!C:C,'מאזן בוחן'!C687,'פקודות נוספות'!F:F)</f>
        <v>0</v>
      </c>
      <c r="L687" s="49"/>
      <c r="M687" s="474">
        <f>IFERROR(VLOOKUP(C687,'פקודות נוספות'!$D$273:$G$797,4,0),0)</f>
        <v>0</v>
      </c>
      <c r="N687" s="1104" t="str">
        <f>IF(K687=0,"-",J687/K687)</f>
        <v>-</v>
      </c>
      <c r="O687" s="401"/>
      <c r="P687" s="141">
        <v>0</v>
      </c>
      <c r="Q687" s="141">
        <f>'[39]מאזן בוחן'!AE556</f>
        <v>0</v>
      </c>
      <c r="R687" s="141">
        <v>0</v>
      </c>
      <c r="S687" s="141">
        <v>0</v>
      </c>
      <c r="T687" s="141">
        <f>'[20]מאזן בוחן'!AR603</f>
        <v>0</v>
      </c>
      <c r="U687" s="141">
        <f>'[21]מאזן בוחן'!AS520</f>
        <v>0</v>
      </c>
      <c r="V687" s="726">
        <f>'[22]מאזן בוחן'!AJ506</f>
        <v>0</v>
      </c>
      <c r="W687" s="726">
        <f>'[23]מאזן בוחן'!AK512</f>
        <v>0</v>
      </c>
      <c r="X687" s="141">
        <v>0</v>
      </c>
      <c r="Y687" s="141">
        <f>'[25]מאזן בוחן'!AM542</f>
        <v>0</v>
      </c>
      <c r="AA687" s="141">
        <f>'[32]מאזן בוחן'!AO559</f>
        <v>0</v>
      </c>
      <c r="AB687" s="141">
        <f>'[26]מאזן בוחן'!AB569</f>
        <v>0</v>
      </c>
      <c r="AC687" s="141">
        <f>'[27]מאזן בוחן'!AC578</f>
        <v>0</v>
      </c>
      <c r="AD687" s="141">
        <f>'[28]מאזן בוחן'!AD587</f>
        <v>0</v>
      </c>
      <c r="AE687" s="141">
        <f>'[29]מאזן בוחן'!AE597</f>
        <v>0</v>
      </c>
      <c r="AF687" s="141">
        <f>'[30]מאזן בוחן'!AF609</f>
        <v>0</v>
      </c>
      <c r="AG687" s="141">
        <f>'[31]מאזן בוחן'!AG612</f>
        <v>0</v>
      </c>
      <c r="AH687" s="141">
        <v>0</v>
      </c>
      <c r="AI687" s="141">
        <v>0</v>
      </c>
      <c r="AJ687" s="141">
        <v>0</v>
      </c>
      <c r="AK687" s="141">
        <v>0</v>
      </c>
      <c r="AL687" s="141">
        <v>0</v>
      </c>
      <c r="AM687" s="141">
        <f>$K687-SUM($AB687:AL687)</f>
        <v>0</v>
      </c>
      <c r="AN687" s="141"/>
      <c r="AO687" s="141"/>
      <c r="AP687" s="141"/>
      <c r="AQ687" s="141"/>
      <c r="AR687" s="141"/>
      <c r="AS687" s="141"/>
      <c r="AT687" s="141"/>
      <c r="AU687" s="141"/>
      <c r="AV687" s="141"/>
      <c r="AW687" s="141"/>
      <c r="BA687" s="204"/>
    </row>
    <row r="688" spans="1:53">
      <c r="A688" s="52"/>
      <c r="B688" s="3659" t="s">
        <v>1328</v>
      </c>
      <c r="C688" s="585">
        <v>5310003</v>
      </c>
      <c r="D688" s="45" t="s">
        <v>1529</v>
      </c>
      <c r="E688" s="79">
        <f>IFERROR(VLOOKUP(C688,'פקודות נוספות'!$D$274:$F$797,3,0),0)</f>
        <v>0</v>
      </c>
      <c r="F688" s="49">
        <f>SUMIF('פקודות נוספות'!C:C,C:C,'פקודות נוספות'!E:E)</f>
        <v>0</v>
      </c>
      <c r="J688" s="474">
        <f>SUM(E688:I688)</f>
        <v>0</v>
      </c>
      <c r="K688" s="42">
        <f>M688+SUMIF('פקודות נוספות'!C:C,'מאזן בוחן'!C688,'פקודות נוספות'!F:F)</f>
        <v>0</v>
      </c>
      <c r="L688" s="49"/>
      <c r="M688" s="474">
        <f>IFERROR(VLOOKUP(C688,'פקודות נוספות'!$D$273:$G$797,4,0),0)</f>
        <v>0</v>
      </c>
      <c r="N688" s="1104" t="str">
        <f>IF(K688=0,"-",J688/K688)</f>
        <v>-</v>
      </c>
      <c r="O688" s="401"/>
      <c r="P688" s="141">
        <v>0</v>
      </c>
      <c r="Q688" s="141">
        <f>'[39]מאזן בוחן'!AE557</f>
        <v>0</v>
      </c>
      <c r="R688" s="141">
        <v>0</v>
      </c>
      <c r="S688" s="141">
        <v>0</v>
      </c>
      <c r="T688" s="141">
        <f>'[20]מאזן בוחן'!AR604</f>
        <v>0</v>
      </c>
      <c r="U688" s="141">
        <f>'[21]מאזן בוחן'!AS521</f>
        <v>0</v>
      </c>
      <c r="V688" s="726">
        <f>'[22]מאזן בוחן'!AJ507</f>
        <v>0</v>
      </c>
      <c r="W688" s="726">
        <f>'[23]מאזן בוחן'!AK513</f>
        <v>0</v>
      </c>
      <c r="X688" s="141">
        <v>0</v>
      </c>
      <c r="Y688" s="141">
        <f>'[25]מאזן בוחן'!AM543</f>
        <v>0</v>
      </c>
      <c r="AA688" s="141">
        <f>'[32]מאזן בוחן'!AO560</f>
        <v>0</v>
      </c>
      <c r="AB688" s="141">
        <f>'[26]מאזן בוחן'!AB570</f>
        <v>0</v>
      </c>
      <c r="AC688" s="141">
        <f>'[27]מאזן בוחן'!AC579</f>
        <v>0</v>
      </c>
      <c r="AD688" s="141">
        <f>'[28]מאזן בוחן'!AD588</f>
        <v>0</v>
      </c>
      <c r="AE688" s="141">
        <f>'[29]מאזן בוחן'!AE598</f>
        <v>0</v>
      </c>
      <c r="AF688" s="141">
        <f>'[30]מאזן בוחן'!AF610</f>
        <v>0</v>
      </c>
      <c r="AG688" s="141">
        <f>'[31]מאזן בוחן'!AG613</f>
        <v>0</v>
      </c>
      <c r="AH688" s="141">
        <v>0</v>
      </c>
      <c r="AI688" s="141">
        <v>0</v>
      </c>
      <c r="AJ688" s="141">
        <v>0</v>
      </c>
      <c r="AK688" s="141">
        <v>0</v>
      </c>
      <c r="AL688" s="141">
        <v>0</v>
      </c>
      <c r="AM688" s="141">
        <f>$K688-SUM($AB688:AL688)</f>
        <v>0</v>
      </c>
      <c r="AN688" s="141"/>
      <c r="AO688" s="141"/>
      <c r="AP688" s="141"/>
      <c r="AQ688" s="141"/>
      <c r="AR688" s="141"/>
      <c r="AS688" s="141"/>
      <c r="AT688" s="141"/>
      <c r="AU688" s="141"/>
      <c r="AV688" s="141"/>
      <c r="AW688" s="141"/>
      <c r="BA688" s="204"/>
    </row>
    <row r="689" spans="1:53">
      <c r="A689" s="52"/>
      <c r="B689" s="3659" t="s">
        <v>1328</v>
      </c>
      <c r="C689" s="585">
        <v>5310004</v>
      </c>
      <c r="D689" s="45" t="s">
        <v>1530</v>
      </c>
      <c r="E689" s="79">
        <f>IFERROR(VLOOKUP(C689,'פקודות נוספות'!$D$274:$F$797,3,0),0)</f>
        <v>0</v>
      </c>
      <c r="F689" s="49">
        <f>SUMIF('פקודות נוספות'!C:C,C:C,'פקודות נוספות'!E:E)</f>
        <v>0</v>
      </c>
      <c r="J689" s="474">
        <f>SUM(E689:I689)</f>
        <v>0</v>
      </c>
      <c r="K689" s="42">
        <f>M689+SUMIF('פקודות נוספות'!C:C,'מאזן בוחן'!C689,'פקודות נוספות'!F:F)</f>
        <v>0</v>
      </c>
      <c r="L689" s="49"/>
      <c r="M689" s="474">
        <f>IFERROR(VLOOKUP(C689,'פקודות נוספות'!$D$273:$G$797,4,0),0)</f>
        <v>0</v>
      </c>
      <c r="N689" s="1104" t="str">
        <f>IF(K689=0,"-",J689/K689)</f>
        <v>-</v>
      </c>
      <c r="O689" s="401"/>
      <c r="P689" s="141">
        <v>0</v>
      </c>
      <c r="Q689" s="141">
        <f>'[39]מאזן בוחן'!AE558</f>
        <v>0</v>
      </c>
      <c r="R689" s="141">
        <v>0</v>
      </c>
      <c r="S689" s="141">
        <v>0</v>
      </c>
      <c r="T689" s="141">
        <f>'[20]מאזן בוחן'!AR605</f>
        <v>0</v>
      </c>
      <c r="U689" s="141">
        <f>'[21]מאזן בוחן'!AS522</f>
        <v>0</v>
      </c>
      <c r="V689" s="726">
        <f>'[22]מאזן בוחן'!AJ508</f>
        <v>0</v>
      </c>
      <c r="W689" s="726">
        <f>'[23]מאזן בוחן'!AK514</f>
        <v>0</v>
      </c>
      <c r="X689" s="141">
        <v>0</v>
      </c>
      <c r="Y689" s="141">
        <f>'[25]מאזן בוחן'!AM544</f>
        <v>0</v>
      </c>
      <c r="AA689" s="141">
        <f>'[32]מאזן בוחן'!AO561</f>
        <v>0</v>
      </c>
      <c r="AB689" s="141">
        <f>'[26]מאזן בוחן'!AB571</f>
        <v>0</v>
      </c>
      <c r="AC689" s="141">
        <f>'[27]מאזן בוחן'!AC580</f>
        <v>0</v>
      </c>
      <c r="AD689" s="141">
        <f>'[28]מאזן בוחן'!AD589</f>
        <v>0</v>
      </c>
      <c r="AE689" s="141">
        <f>'[29]מאזן בוחן'!AE599</f>
        <v>0</v>
      </c>
      <c r="AF689" s="141">
        <f>'[30]מאזן בוחן'!AF611</f>
        <v>0</v>
      </c>
      <c r="AG689" s="141">
        <f>'[31]מאזן בוחן'!AG614</f>
        <v>0</v>
      </c>
      <c r="AH689" s="141">
        <v>0</v>
      </c>
      <c r="AI689" s="141">
        <v>0</v>
      </c>
      <c r="AJ689" s="141">
        <v>0</v>
      </c>
      <c r="AK689" s="141">
        <v>0</v>
      </c>
      <c r="AL689" s="141">
        <v>0</v>
      </c>
      <c r="AM689" s="141">
        <f>$K689-SUM($AB689:AL689)</f>
        <v>0</v>
      </c>
      <c r="AN689" s="141"/>
      <c r="AO689" s="141"/>
      <c r="AP689" s="141"/>
      <c r="AQ689" s="141"/>
      <c r="AR689" s="141"/>
      <c r="AS689" s="141"/>
      <c r="AT689" s="141"/>
      <c r="AU689" s="141"/>
      <c r="AV689" s="141"/>
      <c r="AW689" s="141"/>
      <c r="BA689" s="204"/>
    </row>
    <row r="690" spans="1:53">
      <c r="A690" s="52"/>
      <c r="B690" s="3659" t="s">
        <v>1328</v>
      </c>
      <c r="C690" s="585">
        <v>5310005</v>
      </c>
      <c r="D690" s="45" t="s">
        <v>1531</v>
      </c>
      <c r="E690" s="79">
        <f>IFERROR(VLOOKUP(C690,'פקודות נוספות'!$D$274:$F$797,3,0),0)</f>
        <v>0</v>
      </c>
      <c r="F690" s="49">
        <f>SUMIF('פקודות נוספות'!C:C,C:C,'פקודות נוספות'!E:E)</f>
        <v>0</v>
      </c>
      <c r="J690" s="474">
        <f>SUM(E690:I690)</f>
        <v>0</v>
      </c>
      <c r="K690" s="42">
        <f>M690+SUMIF('פקודות נוספות'!C:C,'מאזן בוחן'!C690,'פקודות נוספות'!F:F)</f>
        <v>0</v>
      </c>
      <c r="L690" s="49"/>
      <c r="M690" s="474">
        <f>IFERROR(VLOOKUP(C690,'פקודות נוספות'!$D$273:$G$797,4,0),0)</f>
        <v>0</v>
      </c>
      <c r="N690" s="1104" t="str">
        <f>IF(K690=0,"-",J690/K690)</f>
        <v>-</v>
      </c>
      <c r="O690" s="401"/>
      <c r="P690" s="141">
        <v>0</v>
      </c>
      <c r="Q690" s="141">
        <f>'[39]מאזן בוחן'!AE559</f>
        <v>0</v>
      </c>
      <c r="R690" s="141">
        <v>0</v>
      </c>
      <c r="S690" s="141">
        <v>0</v>
      </c>
      <c r="T690" s="141">
        <f>'[20]מאזן בוחן'!AR606</f>
        <v>0</v>
      </c>
      <c r="U690" s="141">
        <f>'[21]מאזן בוחן'!AS523</f>
        <v>0</v>
      </c>
      <c r="V690" s="726">
        <f>'[22]מאזן בוחן'!AJ509</f>
        <v>0</v>
      </c>
      <c r="W690" s="726">
        <f>'[23]מאזן בוחן'!AK515</f>
        <v>0</v>
      </c>
      <c r="X690" s="141">
        <v>0</v>
      </c>
      <c r="Y690" s="141">
        <f>'[25]מאזן בוחן'!AM545</f>
        <v>0</v>
      </c>
      <c r="AA690" s="141">
        <f>'[32]מאזן בוחן'!AO562</f>
        <v>0</v>
      </c>
      <c r="AB690" s="141">
        <f>'[26]מאזן בוחן'!AB572</f>
        <v>0</v>
      </c>
      <c r="AC690" s="141">
        <f>'[27]מאזן בוחן'!AC581</f>
        <v>0</v>
      </c>
      <c r="AD690" s="141">
        <f>'[28]מאזן בוחן'!AD590</f>
        <v>0</v>
      </c>
      <c r="AE690" s="141">
        <f>'[29]מאזן בוחן'!AE600</f>
        <v>0</v>
      </c>
      <c r="AF690" s="141">
        <f>'[30]מאזן בוחן'!AF612</f>
        <v>0</v>
      </c>
      <c r="AG690" s="141">
        <f>'[31]מאזן בוחן'!AG615</f>
        <v>0</v>
      </c>
      <c r="AH690" s="141">
        <v>0</v>
      </c>
      <c r="AI690" s="141">
        <v>0</v>
      </c>
      <c r="AJ690" s="141">
        <v>0</v>
      </c>
      <c r="AK690" s="141">
        <v>0</v>
      </c>
      <c r="AL690" s="141">
        <v>0</v>
      </c>
      <c r="AM690" s="141">
        <f>$K690-SUM($AB690:AL690)</f>
        <v>0</v>
      </c>
      <c r="AN690" s="141"/>
      <c r="AO690" s="141"/>
      <c r="AP690" s="141"/>
      <c r="AQ690" s="141"/>
      <c r="AR690" s="141"/>
      <c r="AS690" s="141"/>
      <c r="AT690" s="141"/>
      <c r="AU690" s="141"/>
      <c r="AV690" s="141"/>
      <c r="AW690" s="141"/>
      <c r="BA690" s="204"/>
    </row>
    <row r="691" spans="1:53">
      <c r="A691" s="52"/>
      <c r="B691" s="3659"/>
      <c r="C691" s="585"/>
      <c r="D691" s="45"/>
      <c r="E691" s="79"/>
      <c r="J691" s="474"/>
      <c r="K691" s="42"/>
      <c r="L691" s="49"/>
      <c r="M691" s="474"/>
      <c r="O691" s="401"/>
      <c r="P691" s="141">
        <v>0</v>
      </c>
      <c r="Q691" s="141">
        <f>'[39]מאזן בוחן'!AE560</f>
        <v>0</v>
      </c>
      <c r="R691" s="141">
        <v>0</v>
      </c>
      <c r="S691" s="141">
        <v>0</v>
      </c>
      <c r="T691" s="141">
        <f>'[20]מאזן בוחן'!AR610</f>
        <v>0</v>
      </c>
      <c r="U691" s="141">
        <f>'[21]מאזן בוחן'!AS524</f>
        <v>0</v>
      </c>
      <c r="V691" s="726">
        <f>'[22]מאזן בוחן'!AJ510</f>
        <v>0</v>
      </c>
      <c r="W691" s="726">
        <f>'[23]מאזן בוחן'!AK516</f>
        <v>0</v>
      </c>
      <c r="X691" s="141">
        <v>0</v>
      </c>
      <c r="Y691" s="141">
        <f>'[25]מאזן בוחן'!AM546</f>
        <v>0</v>
      </c>
      <c r="AA691" s="141">
        <f>'[32]מאזן בוחן'!AO563</f>
        <v>0</v>
      </c>
      <c r="AB691" s="141">
        <f>'[26]מאזן בוחן'!AB573</f>
        <v>0</v>
      </c>
      <c r="AC691" s="141">
        <f>'[27]מאזן בוחן'!AC582</f>
        <v>0</v>
      </c>
      <c r="AD691" s="141">
        <f>'[28]מאזן בוחן'!AD591</f>
        <v>0</v>
      </c>
      <c r="AE691" s="141">
        <f>'[29]מאזן בוחן'!AE601</f>
        <v>0</v>
      </c>
      <c r="AF691" s="141">
        <f>'[30]מאזן בוחן'!AF613</f>
        <v>0</v>
      </c>
      <c r="AG691" s="141">
        <f>'[31]מאזן בוחן'!AG616</f>
        <v>0</v>
      </c>
      <c r="AH691" s="141">
        <v>0</v>
      </c>
      <c r="AI691" s="141">
        <v>0</v>
      </c>
      <c r="AJ691" s="141">
        <v>0</v>
      </c>
      <c r="AK691" s="141">
        <v>0</v>
      </c>
      <c r="AL691" s="141">
        <v>0</v>
      </c>
      <c r="AM691" s="141">
        <f>$K691-SUM($AB691:AL691)</f>
        <v>0</v>
      </c>
      <c r="AN691" s="141"/>
      <c r="AO691" s="141"/>
      <c r="AP691" s="141"/>
      <c r="AQ691" s="141"/>
      <c r="AR691" s="141"/>
      <c r="AS691" s="141"/>
      <c r="AT691" s="141"/>
      <c r="AU691" s="141"/>
      <c r="AV691" s="141"/>
      <c r="AW691" s="141"/>
      <c r="BA691" s="204"/>
    </row>
    <row r="692" spans="1:53">
      <c r="A692" s="52"/>
      <c r="B692" s="3659" t="s">
        <v>1088</v>
      </c>
      <c r="C692" s="585">
        <v>5410001</v>
      </c>
      <c r="D692" s="45" t="s">
        <v>1089</v>
      </c>
      <c r="E692" s="79">
        <f>IFERROR(VLOOKUP(C692,'פקודות נוספות'!$D$274:$F$797,3,0),0)</f>
        <v>0</v>
      </c>
      <c r="F692" s="49">
        <f>SUMIF('פקודות נוספות'!C:C,C:C,'פקודות נוספות'!E:E)</f>
        <v>0</v>
      </c>
      <c r="J692" s="474">
        <f t="shared" ref="J692:J700" si="144">SUM(E692:I692)</f>
        <v>0</v>
      </c>
      <c r="K692" s="42">
        <f>M692+SUMIF('פקודות נוספות'!C:C,'מאזן בוחן'!C692,'פקודות נוספות'!F:F)</f>
        <v>0</v>
      </c>
      <c r="L692" s="49"/>
      <c r="M692" s="474">
        <f>IFERROR(VLOOKUP(C692,'פקודות נוספות'!$D$273:$G$797,4,0),0)</f>
        <v>0</v>
      </c>
      <c r="N692" s="1104" t="str">
        <f t="shared" ref="N692:N700" si="145">IF(K692=0,"-",J692/K692)</f>
        <v>-</v>
      </c>
      <c r="O692" s="401"/>
      <c r="P692" s="141">
        <v>346.66000000000008</v>
      </c>
      <c r="Q692" s="141">
        <f>'[39]מאזן בוחן'!AE561</f>
        <v>130</v>
      </c>
      <c r="R692" s="141">
        <v>0</v>
      </c>
      <c r="S692" s="141">
        <v>-1179.33</v>
      </c>
      <c r="T692" s="141">
        <f>'[20]מאזן בוחן'!AR611</f>
        <v>0</v>
      </c>
      <c r="U692" s="141">
        <f>'[21]מאזן בוחן'!AS525</f>
        <v>0</v>
      </c>
      <c r="V692" s="726">
        <f>'[22]מאזן בוחן'!AJ511</f>
        <v>0</v>
      </c>
      <c r="W692" s="726">
        <f>'[23]מאזן בוחן'!AK517</f>
        <v>0</v>
      </c>
      <c r="X692" s="141">
        <v>0</v>
      </c>
      <c r="Y692" s="141">
        <f>'[25]מאזן בוחן'!AM547</f>
        <v>0</v>
      </c>
      <c r="AA692" s="141">
        <f>'[32]מאזן בוחן'!AO564</f>
        <v>0</v>
      </c>
      <c r="AB692" s="141">
        <f>'[26]מאזן בוחן'!AB574</f>
        <v>0</v>
      </c>
      <c r="AC692" s="141">
        <f>'[27]מאזן בוחן'!AC583</f>
        <v>0</v>
      </c>
      <c r="AD692" s="141">
        <f>'[28]מאזן בוחן'!AD592</f>
        <v>0</v>
      </c>
      <c r="AE692" s="141">
        <f>'[29]מאזן בוחן'!AE602</f>
        <v>0</v>
      </c>
      <c r="AF692" s="141">
        <f>'[30]מאזן בוחן'!AF614</f>
        <v>0</v>
      </c>
      <c r="AG692" s="141">
        <f>'[31]מאזן בוחן'!AG617</f>
        <v>0</v>
      </c>
      <c r="AH692" s="141">
        <v>0</v>
      </c>
      <c r="AI692" s="141">
        <v>0</v>
      </c>
      <c r="AJ692" s="141">
        <v>0</v>
      </c>
      <c r="AK692" s="141">
        <v>0</v>
      </c>
      <c r="AL692" s="141">
        <v>0</v>
      </c>
      <c r="AM692" s="141">
        <f>$K692-SUM($AB692:AL692)</f>
        <v>0</v>
      </c>
      <c r="AN692" s="141"/>
      <c r="AO692" s="141"/>
      <c r="AP692" s="141"/>
      <c r="AQ692" s="141"/>
      <c r="AR692" s="141"/>
      <c r="AS692" s="141"/>
      <c r="AT692" s="141"/>
      <c r="AU692" s="141"/>
      <c r="AV692" s="141"/>
      <c r="AW692" s="141"/>
      <c r="BA692" s="204"/>
    </row>
    <row r="693" spans="1:53">
      <c r="A693" s="52"/>
      <c r="B693" s="3659" t="s">
        <v>1088</v>
      </c>
      <c r="C693" s="585">
        <v>5410002</v>
      </c>
      <c r="D693" s="45" t="s">
        <v>1090</v>
      </c>
      <c r="E693" s="79">
        <f>IFERROR(VLOOKUP(C693,'פקודות נוספות'!$D$274:$F$797,3,0),0)</f>
        <v>0</v>
      </c>
      <c r="F693" s="49">
        <f>SUMIF('פקודות נוספות'!C:C,C:C,'פקודות נוספות'!E:E)</f>
        <v>0</v>
      </c>
      <c r="J693" s="474">
        <f t="shared" si="144"/>
        <v>0</v>
      </c>
      <c r="K693" s="42">
        <f>M693+SUMIF('פקודות נוספות'!C:C,'מאזן בוחן'!C693,'פקודות נוספות'!F:F)</f>
        <v>0</v>
      </c>
      <c r="L693" s="49"/>
      <c r="M693" s="474">
        <f>IFERROR(VLOOKUP(C693,'פקודות נוספות'!$D$273:$G$797,4,0),0)</f>
        <v>0</v>
      </c>
      <c r="N693" s="1104" t="str">
        <f t="shared" si="145"/>
        <v>-</v>
      </c>
      <c r="O693" s="401"/>
      <c r="P693" s="141">
        <v>748.49</v>
      </c>
      <c r="Q693" s="141">
        <f>'[39]מאזן בוחן'!AE562</f>
        <v>5.1599999999999682</v>
      </c>
      <c r="R693" s="141">
        <v>0</v>
      </c>
      <c r="S693" s="141">
        <v>0</v>
      </c>
      <c r="T693" s="141">
        <f>'[20]מאזן בוחן'!AR612</f>
        <v>0</v>
      </c>
      <c r="U693" s="141">
        <f>'[21]מאזן בוחן'!AS526</f>
        <v>0</v>
      </c>
      <c r="V693" s="726">
        <f>'[22]מאזן בוחן'!AJ512</f>
        <v>0</v>
      </c>
      <c r="W693" s="726">
        <f>'[23]מאזן בוחן'!AK518</f>
        <v>0</v>
      </c>
      <c r="X693" s="141">
        <v>0</v>
      </c>
      <c r="Y693" s="141">
        <f>'[25]מאזן בוחן'!AM548</f>
        <v>0</v>
      </c>
      <c r="AA693" s="141">
        <f>'[32]מאזן בוחן'!AO565</f>
        <v>0</v>
      </c>
      <c r="AB693" s="141">
        <f>'[26]מאזן בוחן'!AB575</f>
        <v>0</v>
      </c>
      <c r="AC693" s="141">
        <f>'[27]מאזן בוחן'!AC584</f>
        <v>0</v>
      </c>
      <c r="AD693" s="141">
        <f>'[28]מאזן בוחן'!AD593</f>
        <v>0</v>
      </c>
      <c r="AE693" s="141">
        <f>'[29]מאזן בוחן'!AE603</f>
        <v>0</v>
      </c>
      <c r="AF693" s="141">
        <f>'[30]מאזן בוחן'!AF615</f>
        <v>0</v>
      </c>
      <c r="AG693" s="141">
        <f>'[31]מאזן בוחן'!AG618</f>
        <v>0</v>
      </c>
      <c r="AH693" s="141">
        <v>0</v>
      </c>
      <c r="AI693" s="141">
        <v>0</v>
      </c>
      <c r="AJ693" s="141">
        <v>0</v>
      </c>
      <c r="AK693" s="141">
        <v>0</v>
      </c>
      <c r="AL693" s="141">
        <v>0</v>
      </c>
      <c r="AM693" s="141">
        <f>$K693-SUM($AB693:AL693)</f>
        <v>0</v>
      </c>
      <c r="AN693" s="141"/>
      <c r="AO693" s="141"/>
      <c r="AP693" s="141"/>
      <c r="AQ693" s="141"/>
      <c r="AR693" s="141"/>
      <c r="AS693" s="141"/>
      <c r="AT693" s="141"/>
      <c r="AU693" s="141"/>
      <c r="AV693" s="141"/>
      <c r="AW693" s="141"/>
      <c r="BA693" s="204"/>
    </row>
    <row r="694" spans="1:53">
      <c r="A694" s="52"/>
      <c r="B694" s="3659" t="s">
        <v>1088</v>
      </c>
      <c r="C694" s="585">
        <v>5410003</v>
      </c>
      <c r="D694" s="45" t="s">
        <v>1091</v>
      </c>
      <c r="E694" s="79">
        <f>IFERROR(VLOOKUP(C694,'פקודות נוספות'!$D$274:$F$797,3,0),0)</f>
        <v>0</v>
      </c>
      <c r="F694" s="49">
        <f>SUMIF('פקודות נוספות'!C:C,C:C,'פקודות נוספות'!E:E)</f>
        <v>0</v>
      </c>
      <c r="J694" s="474">
        <f t="shared" si="144"/>
        <v>0</v>
      </c>
      <c r="K694" s="42">
        <f>M694+SUMIF('פקודות נוספות'!C:C,'מאזן בוחן'!C694,'פקודות נוספות'!F:F)</f>
        <v>0</v>
      </c>
      <c r="L694" s="49"/>
      <c r="M694" s="474">
        <f>IFERROR(VLOOKUP(C694,'פקודות נוספות'!$D$273:$G$797,4,0),0)</f>
        <v>0</v>
      </c>
      <c r="N694" s="1104" t="str">
        <f t="shared" si="145"/>
        <v>-</v>
      </c>
      <c r="O694" s="401"/>
      <c r="P694" s="141">
        <v>669.84</v>
      </c>
      <c r="Q694" s="141">
        <f>'[39]מאזן בוחן'!AE563</f>
        <v>0</v>
      </c>
      <c r="R694" s="141">
        <v>0</v>
      </c>
      <c r="S694" s="141">
        <v>0</v>
      </c>
      <c r="T694" s="141">
        <f>'[20]מאזן בוחן'!AR613</f>
        <v>0</v>
      </c>
      <c r="U694" s="141">
        <f>'[21]מאזן בוחן'!AS527</f>
        <v>0</v>
      </c>
      <c r="V694" s="726">
        <f>'[22]מאזן בוחן'!AJ513</f>
        <v>0</v>
      </c>
      <c r="W694" s="726">
        <f>'[23]מאזן בוחן'!AK519</f>
        <v>0</v>
      </c>
      <c r="X694" s="141">
        <v>0</v>
      </c>
      <c r="Y694" s="141">
        <f>'[25]מאזן בוחן'!AM549</f>
        <v>0</v>
      </c>
      <c r="AA694" s="141">
        <f>'[32]מאזן בוחן'!AO566</f>
        <v>0</v>
      </c>
      <c r="AB694" s="141">
        <f>'[26]מאזן בוחן'!AB576</f>
        <v>0</v>
      </c>
      <c r="AC694" s="141">
        <f>'[27]מאזן בוחן'!AC585</f>
        <v>0</v>
      </c>
      <c r="AD694" s="141">
        <f>'[28]מאזן בוחן'!AD594</f>
        <v>0</v>
      </c>
      <c r="AE694" s="141">
        <f>'[29]מאזן בוחן'!AE604</f>
        <v>0</v>
      </c>
      <c r="AF694" s="141">
        <f>'[30]מאזן בוחן'!AF616</f>
        <v>0</v>
      </c>
      <c r="AG694" s="141">
        <f>'[31]מאזן בוחן'!AG619</f>
        <v>0</v>
      </c>
      <c r="AH694" s="141">
        <v>0</v>
      </c>
      <c r="AI694" s="141">
        <v>0</v>
      </c>
      <c r="AJ694" s="141">
        <v>0</v>
      </c>
      <c r="AK694" s="141">
        <v>0</v>
      </c>
      <c r="AL694" s="141">
        <v>0</v>
      </c>
      <c r="AM694" s="141">
        <f>$K694-SUM($AB694:AL694)</f>
        <v>0</v>
      </c>
      <c r="AN694" s="141"/>
      <c r="AO694" s="141"/>
      <c r="AP694" s="141"/>
      <c r="AQ694" s="141"/>
      <c r="AR694" s="141"/>
      <c r="AS694" s="141"/>
      <c r="AT694" s="141"/>
      <c r="AU694" s="141"/>
      <c r="AV694" s="141"/>
      <c r="AW694" s="141"/>
      <c r="BA694" s="204"/>
    </row>
    <row r="695" spans="1:53">
      <c r="A695" s="52"/>
      <c r="B695" s="3659" t="s">
        <v>1088</v>
      </c>
      <c r="C695" s="585">
        <v>5410004</v>
      </c>
      <c r="D695" s="45" t="s">
        <v>1092</v>
      </c>
      <c r="E695" s="79">
        <f>IFERROR(VLOOKUP(C695,'פקודות נוספות'!$D$274:$F$797,3,0),0)</f>
        <v>0</v>
      </c>
      <c r="F695" s="49">
        <f>SUMIF('פקודות נוספות'!C:C,C:C,'פקודות נוספות'!E:E)</f>
        <v>0</v>
      </c>
      <c r="J695" s="474">
        <f t="shared" si="144"/>
        <v>0</v>
      </c>
      <c r="K695" s="42">
        <f>M695+SUMIF('פקודות נוספות'!C:C,'מאזן בוחן'!C695,'פקודות נוספות'!F:F)</f>
        <v>0</v>
      </c>
      <c r="L695" s="49"/>
      <c r="M695" s="474">
        <f>IFERROR(VLOOKUP(C695,'פקודות נוספות'!$D$273:$G$797,4,0),0)</f>
        <v>0</v>
      </c>
      <c r="N695" s="1104" t="str">
        <f t="shared" si="145"/>
        <v>-</v>
      </c>
      <c r="O695" s="401"/>
      <c r="P695" s="141">
        <v>191.09</v>
      </c>
      <c r="Q695" s="141">
        <f>'[39]מאזן בוחן'!AE564</f>
        <v>155.54</v>
      </c>
      <c r="R695" s="141">
        <v>0</v>
      </c>
      <c r="S695" s="141">
        <v>0</v>
      </c>
      <c r="T695" s="141">
        <f>'[20]מאזן בוחן'!AR614</f>
        <v>0</v>
      </c>
      <c r="U695" s="141">
        <f>'[21]מאזן בוחן'!AS528</f>
        <v>0</v>
      </c>
      <c r="V695" s="726">
        <f>'[22]מאזן בוחן'!AJ514</f>
        <v>0</v>
      </c>
      <c r="W695" s="726">
        <f>'[23]מאזן בוחן'!AK520</f>
        <v>0</v>
      </c>
      <c r="X695" s="141">
        <v>0</v>
      </c>
      <c r="Y695" s="141">
        <f>'[25]מאזן בוחן'!AM550</f>
        <v>0</v>
      </c>
      <c r="AA695" s="141">
        <f>'[32]מאזן בוחן'!AO567</f>
        <v>0</v>
      </c>
      <c r="AB695" s="141">
        <f>'[26]מאזן בוחן'!AB577</f>
        <v>0</v>
      </c>
      <c r="AC695" s="141">
        <f>'[27]מאזן בוחן'!AC586</f>
        <v>0</v>
      </c>
      <c r="AD695" s="141">
        <f>'[28]מאזן בוחן'!AD595</f>
        <v>0</v>
      </c>
      <c r="AE695" s="141">
        <f>'[29]מאזן בוחן'!AE605</f>
        <v>0</v>
      </c>
      <c r="AF695" s="141">
        <f>'[30]מאזן בוחן'!AF617</f>
        <v>0</v>
      </c>
      <c r="AG695" s="141">
        <f>'[31]מאזן בוחן'!AG620</f>
        <v>0</v>
      </c>
      <c r="AH695" s="141">
        <v>0</v>
      </c>
      <c r="AI695" s="141">
        <v>0</v>
      </c>
      <c r="AJ695" s="141">
        <v>0</v>
      </c>
      <c r="AK695" s="141">
        <v>0</v>
      </c>
      <c r="AL695" s="141">
        <v>0</v>
      </c>
      <c r="AM695" s="141">
        <f>$K695-SUM($AB695:AL695)</f>
        <v>0</v>
      </c>
      <c r="AN695" s="141"/>
      <c r="AO695" s="141"/>
      <c r="AP695" s="141"/>
      <c r="AQ695" s="141"/>
      <c r="AR695" s="141"/>
      <c r="AS695" s="141"/>
      <c r="AT695" s="141"/>
      <c r="AU695" s="141"/>
      <c r="AV695" s="141"/>
      <c r="AW695" s="141"/>
      <c r="BA695" s="204"/>
    </row>
    <row r="696" spans="1:53">
      <c r="A696" s="52"/>
      <c r="B696" s="3659" t="s">
        <v>1088</v>
      </c>
      <c r="C696" s="585">
        <v>5410005</v>
      </c>
      <c r="D696" s="45" t="s">
        <v>1093</v>
      </c>
      <c r="E696" s="79">
        <f>IFERROR(VLOOKUP(C696,'פקודות נוספות'!$D$274:$F$797,3,0),0)</f>
        <v>0</v>
      </c>
      <c r="F696" s="49">
        <f>SUMIF('פקודות נוספות'!C:C,C:C,'פקודות נוספות'!E:E)</f>
        <v>0</v>
      </c>
      <c r="J696" s="474">
        <f t="shared" si="144"/>
        <v>0</v>
      </c>
      <c r="K696" s="42">
        <f>M696+SUMIF('פקודות נוספות'!C:C,'מאזן בוחן'!C696,'פקודות נוספות'!F:F)</f>
        <v>0</v>
      </c>
      <c r="L696" s="49"/>
      <c r="M696" s="474">
        <f>IFERROR(VLOOKUP(C696,'פקודות נוספות'!$D$273:$G$797,4,0),0)</f>
        <v>0</v>
      </c>
      <c r="N696" s="1104" t="str">
        <f t="shared" si="145"/>
        <v>-</v>
      </c>
      <c r="O696" s="401"/>
      <c r="P696" s="141">
        <v>49</v>
      </c>
      <c r="Q696" s="141">
        <f>'[39]מאזן בוחן'!AE565</f>
        <v>49.650000000000006</v>
      </c>
      <c r="R696" s="141">
        <v>0</v>
      </c>
      <c r="S696" s="141">
        <v>0</v>
      </c>
      <c r="T696" s="141">
        <f>'[20]מאזן בוחן'!AR615</f>
        <v>0</v>
      </c>
      <c r="U696" s="141">
        <f>'[21]מאזן בוחן'!AS529</f>
        <v>0</v>
      </c>
      <c r="V696" s="726">
        <f>'[22]מאזן בוחן'!AJ515</f>
        <v>0</v>
      </c>
      <c r="W696" s="726">
        <f>'[23]מאזן בוחן'!AK521</f>
        <v>0</v>
      </c>
      <c r="X696" s="141">
        <v>0</v>
      </c>
      <c r="Y696" s="141">
        <f>'[25]מאזן בוחן'!AM551</f>
        <v>0</v>
      </c>
      <c r="AA696" s="141">
        <f>'[32]מאזן בוחן'!AO568</f>
        <v>0</v>
      </c>
      <c r="AB696" s="141">
        <f>'[26]מאזן בוחן'!AB578</f>
        <v>0</v>
      </c>
      <c r="AC696" s="141">
        <f>'[27]מאזן בוחן'!AC587</f>
        <v>0</v>
      </c>
      <c r="AD696" s="141">
        <f>'[28]מאזן בוחן'!AD596</f>
        <v>0</v>
      </c>
      <c r="AE696" s="141">
        <f>'[29]מאזן בוחן'!AE606</f>
        <v>0</v>
      </c>
      <c r="AF696" s="141">
        <f>'[30]מאזן בוחן'!AF618</f>
        <v>0</v>
      </c>
      <c r="AG696" s="141">
        <f>'[31]מאזן בוחן'!AG621</f>
        <v>0</v>
      </c>
      <c r="AH696" s="141">
        <v>0</v>
      </c>
      <c r="AI696" s="141">
        <v>0</v>
      </c>
      <c r="AJ696" s="141">
        <v>0</v>
      </c>
      <c r="AK696" s="141">
        <v>0</v>
      </c>
      <c r="AL696" s="141">
        <v>0</v>
      </c>
      <c r="AM696" s="141">
        <f>$K696-SUM($AB696:AL696)</f>
        <v>0</v>
      </c>
      <c r="AN696" s="141"/>
      <c r="AO696" s="141"/>
      <c r="AP696" s="141"/>
      <c r="AQ696" s="141"/>
      <c r="AR696" s="141"/>
      <c r="AS696" s="141"/>
      <c r="AT696" s="141"/>
      <c r="AU696" s="141"/>
      <c r="AV696" s="141"/>
      <c r="AW696" s="141"/>
      <c r="BA696" s="204"/>
    </row>
    <row r="697" spans="1:53">
      <c r="A697" s="52"/>
      <c r="B697" s="3659" t="s">
        <v>1088</v>
      </c>
      <c r="C697" s="585">
        <v>5410100</v>
      </c>
      <c r="D697" s="45" t="s">
        <v>1094</v>
      </c>
      <c r="E697" s="79">
        <f>IFERROR(VLOOKUP(C697,'פקודות נוספות'!$D$274:$F$797,3,0),0)</f>
        <v>0</v>
      </c>
      <c r="F697" s="49">
        <f>SUMIF('פקודות נוספות'!C:C,C:C,'פקודות נוספות'!E:E)</f>
        <v>0</v>
      </c>
      <c r="J697" s="474">
        <f t="shared" si="144"/>
        <v>0</v>
      </c>
      <c r="K697" s="42">
        <f>M697+SUMIF('פקודות נוספות'!C:C,'מאזן בוחן'!C697,'פקודות נוספות'!F:F)</f>
        <v>0</v>
      </c>
      <c r="L697" s="49"/>
      <c r="M697" s="474">
        <f>IFERROR(VLOOKUP(C697,'פקודות נוספות'!$D$273:$G$797,4,0),0)</f>
        <v>0</v>
      </c>
      <c r="N697" s="1104" t="str">
        <f t="shared" si="145"/>
        <v>-</v>
      </c>
      <c r="O697" s="401"/>
      <c r="P697" s="141">
        <v>0</v>
      </c>
      <c r="Q697" s="141">
        <f>'[39]מאזן בוחן'!AE566</f>
        <v>0</v>
      </c>
      <c r="R697" s="141">
        <v>0</v>
      </c>
      <c r="S697" s="141">
        <v>0</v>
      </c>
      <c r="T697" s="141">
        <f>'[20]מאזן בוחן'!AR616</f>
        <v>0</v>
      </c>
      <c r="U697" s="141">
        <f>'[21]מאזן בוחן'!AS530</f>
        <v>0</v>
      </c>
      <c r="V697" s="726">
        <f>'[22]מאזן בוחן'!AJ516</f>
        <v>0</v>
      </c>
      <c r="W697" s="726">
        <f>'[23]מאזן בוחן'!AK522</f>
        <v>0</v>
      </c>
      <c r="X697" s="141">
        <v>0</v>
      </c>
      <c r="Y697" s="141">
        <f>'[25]מאזן בוחן'!AM552</f>
        <v>0</v>
      </c>
      <c r="AA697" s="141">
        <f>'[32]מאזן בוחן'!AO569</f>
        <v>0</v>
      </c>
      <c r="AB697" s="141">
        <f>'[26]מאזן בוחן'!AB579</f>
        <v>0</v>
      </c>
      <c r="AC697" s="141">
        <f>'[27]מאזן בוחן'!AC588</f>
        <v>0</v>
      </c>
      <c r="AD697" s="141">
        <f>'[28]מאזן בוחן'!AD597</f>
        <v>0</v>
      </c>
      <c r="AE697" s="141">
        <f>'[29]מאזן בוחן'!AE607</f>
        <v>0</v>
      </c>
      <c r="AF697" s="141">
        <f>'[30]מאזן בוחן'!AF618</f>
        <v>0</v>
      </c>
      <c r="AG697" s="141">
        <f>'[31]מאזן בוחן'!AG622</f>
        <v>0</v>
      </c>
      <c r="AH697" s="141">
        <v>0</v>
      </c>
      <c r="AI697" s="141">
        <v>0</v>
      </c>
      <c r="AJ697" s="141">
        <v>0</v>
      </c>
      <c r="AK697" s="141">
        <v>0</v>
      </c>
      <c r="AL697" s="141">
        <v>0</v>
      </c>
      <c r="AM697" s="141">
        <f>$K697-SUM($AB697:AL697)</f>
        <v>0</v>
      </c>
      <c r="AN697" s="141"/>
      <c r="AO697" s="141"/>
      <c r="AP697" s="141"/>
      <c r="AQ697" s="141"/>
      <c r="AR697" s="141"/>
      <c r="AS697" s="141"/>
      <c r="AT697" s="141"/>
      <c r="AU697" s="141"/>
      <c r="AV697" s="141"/>
      <c r="AW697" s="141"/>
      <c r="BA697" s="204"/>
    </row>
    <row r="698" spans="1:53">
      <c r="A698" s="52"/>
      <c r="B698" s="3659" t="s">
        <v>1088</v>
      </c>
      <c r="C698" s="585">
        <v>5420004</v>
      </c>
      <c r="D698" s="45" t="s">
        <v>1095</v>
      </c>
      <c r="E698" s="79">
        <f>IFERROR(VLOOKUP(C698,'פקודות נוספות'!$D$274:$F$797,3,0),0)</f>
        <v>271746.33</v>
      </c>
      <c r="F698" s="49">
        <f>SUMIF('פקודות נוספות'!C:C,C:C,'פקודות נוספות'!E:E)</f>
        <v>0</v>
      </c>
      <c r="J698" s="474">
        <f t="shared" si="144"/>
        <v>271746.33</v>
      </c>
      <c r="K698" s="42">
        <f>M698+SUMIF('פקודות נוספות'!C:C,'מאזן בוחן'!C698,'פקודות נוספות'!F:F)</f>
        <v>84086.39</v>
      </c>
      <c r="L698" s="49"/>
      <c r="M698" s="474">
        <f>IFERROR(VLOOKUP(C698,'פקודות נוספות'!$D$273:$G$797,4,0),0)</f>
        <v>84086.39</v>
      </c>
      <c r="N698" s="1104">
        <f t="shared" si="145"/>
        <v>3.231751654459182</v>
      </c>
      <c r="O698" s="401"/>
      <c r="P698" s="141">
        <v>3002.32</v>
      </c>
      <c r="Q698" s="141">
        <f>'[39]מאזן בוחן'!AE567</f>
        <v>4822.16</v>
      </c>
      <c r="R698" s="141">
        <v>3722.0300000000007</v>
      </c>
      <c r="S698" s="141">
        <v>2253.0399999999991</v>
      </c>
      <c r="T698" s="141">
        <f>'[20]מאזן בוחן'!AR617</f>
        <v>3054.7200000000012</v>
      </c>
      <c r="U698" s="141">
        <f>'[21]מאזן בוחן'!AS531</f>
        <v>3371.0299999999988</v>
      </c>
      <c r="V698" s="726">
        <f>'[22]מאזן בוחן'!AJ517</f>
        <v>505.92000000000189</v>
      </c>
      <c r="W698" s="726">
        <f>'[23]מאזן בוחן'!AK523</f>
        <v>7735.0699999999961</v>
      </c>
      <c r="X698" s="141">
        <v>3279.4699999999971</v>
      </c>
      <c r="Y698" s="141">
        <f>'[25]מאזן בוחן'!AM553</f>
        <v>7134.3400000000038</v>
      </c>
      <c r="AA698" s="141">
        <f>'[32]מאזן בוחן'!AO570</f>
        <v>13853.330000000002</v>
      </c>
      <c r="AB698" s="141">
        <f>'[26]מאזן בוחן'!AB580</f>
        <v>2115.4499999999998</v>
      </c>
      <c r="AC698" s="141">
        <f>'[27]מאזן בוחן'!AC589</f>
        <v>7901.670000000001</v>
      </c>
      <c r="AD698" s="141">
        <f>'[28]מאזן בוחן'!AD598</f>
        <v>1421.5599999999995</v>
      </c>
      <c r="AE698" s="141">
        <f>'[29]מאזן בוחן'!AE608</f>
        <v>4943.93</v>
      </c>
      <c r="AF698" s="141">
        <f>'[30]מאזן בוחן'!AF619</f>
        <v>12064.29</v>
      </c>
      <c r="AG698" s="141">
        <f>'[31]מאזן בוחן'!AG623</f>
        <v>833.71999999999753</v>
      </c>
      <c r="AH698" s="141">
        <v>4802.2000000000007</v>
      </c>
      <c r="AI698" s="141">
        <v>17505.03</v>
      </c>
      <c r="AJ698" s="141">
        <v>9481.4700000000012</v>
      </c>
      <c r="AK698" s="141">
        <v>15565.07</v>
      </c>
      <c r="AL698" s="141">
        <v>3982</v>
      </c>
      <c r="AM698" s="141">
        <f>$K698-SUM($AB698:AL698)</f>
        <v>3470</v>
      </c>
      <c r="AN698" s="141"/>
      <c r="AO698" s="141"/>
      <c r="AP698" s="141"/>
      <c r="AQ698" s="141"/>
      <c r="AR698" s="141"/>
      <c r="AS698" s="141"/>
      <c r="AT698" s="141"/>
      <c r="AU698" s="141"/>
      <c r="AV698" s="141"/>
      <c r="AW698" s="141"/>
      <c r="BA698" s="204"/>
    </row>
    <row r="699" spans="1:53">
      <c r="A699" s="52"/>
      <c r="B699" s="3659" t="s">
        <v>1088</v>
      </c>
      <c r="C699" s="585">
        <v>5420007</v>
      </c>
      <c r="D699" s="45" t="s">
        <v>1624</v>
      </c>
      <c r="E699" s="79">
        <f>IFERROR(VLOOKUP(C699,'פקודות נוספות'!$D$274:$F$797,3,0),0)</f>
        <v>704418.13</v>
      </c>
      <c r="F699" s="49">
        <f>SUMIF('פקודות נוספות'!C:C,C:C,'פקודות נוספות'!E:E)</f>
        <v>0</v>
      </c>
      <c r="J699" s="474">
        <f t="shared" si="144"/>
        <v>704418.13</v>
      </c>
      <c r="K699" s="42">
        <f>M699+SUMIF('פקודות נוספות'!C:C,'מאזן בוחן'!C699,'פקודות נוספות'!F:F)</f>
        <v>217483.86</v>
      </c>
      <c r="L699" s="49"/>
      <c r="M699" s="474">
        <f>IFERROR(VLOOKUP(C699,'פקודות נוספות'!$D$273:$G$797,4,0),0)</f>
        <v>217483.86</v>
      </c>
      <c r="N699" s="1104">
        <f t="shared" si="145"/>
        <v>3.2389443979888899</v>
      </c>
      <c r="O699" s="401"/>
      <c r="P699" s="141">
        <v>9149.14</v>
      </c>
      <c r="Q699" s="141">
        <f>'[39]מאזן בוחן'!AE568</f>
        <v>-16519.14</v>
      </c>
      <c r="R699" s="141">
        <v>3493.619999999999</v>
      </c>
      <c r="S699" s="141">
        <v>4492.6200000000008</v>
      </c>
      <c r="T699" s="141">
        <f>'[20]מאזן בוחן'!AR618</f>
        <v>3493.6200000000008</v>
      </c>
      <c r="U699" s="141">
        <f>'[21]מאזן בוחן'!AS532</f>
        <v>3493.619999999999</v>
      </c>
      <c r="V699" s="726">
        <f>'[22]מאזן בוחן'!AJ518</f>
        <v>16682.089999999993</v>
      </c>
      <c r="W699" s="726">
        <f>'[23]מאזן בוחן'!AK524</f>
        <v>16682.100000000006</v>
      </c>
      <c r="X699" s="141">
        <v>33849.780000000013</v>
      </c>
      <c r="Y699" s="141">
        <f>'[25]מאזן בוחן'!AM554</f>
        <v>33589.859999999986</v>
      </c>
      <c r="AA699" s="141">
        <f>'[32]מאזן בוחן'!AO571</f>
        <v>40951.860000000015</v>
      </c>
      <c r="AB699" s="141">
        <f>'[26]מאזן בוחן'!AB581</f>
        <v>16257.25</v>
      </c>
      <c r="AC699" s="141">
        <f>'[27]מאזן בוחן'!AC590</f>
        <v>16256.369999999999</v>
      </c>
      <c r="AD699" s="141">
        <f>'[28]מאזן בוחן'!AD599</f>
        <v>16326.360000000004</v>
      </c>
      <c r="AE699" s="141">
        <f>'[29]מאזן בוחן'!AE609</f>
        <v>16256.369999999995</v>
      </c>
      <c r="AF699" s="141">
        <f>'[30]מאזן בוחן'!AF620</f>
        <v>17385.230000000003</v>
      </c>
      <c r="AG699" s="141">
        <f>'[31]מאזן בוחן'!AG624</f>
        <v>20206.229999999996</v>
      </c>
      <c r="AH699" s="141">
        <v>20206.309999999998</v>
      </c>
      <c r="AI699" s="141">
        <v>18896.070000000007</v>
      </c>
      <c r="AJ699" s="141">
        <v>18896.070000000007</v>
      </c>
      <c r="AK699" s="141">
        <v>19005.489999999991</v>
      </c>
      <c r="AL699" s="141">
        <v>18896.070000000007</v>
      </c>
      <c r="AM699" s="141">
        <f>$K699-SUM($AB699:AL699)</f>
        <v>18896.039999999979</v>
      </c>
      <c r="AN699" s="141"/>
      <c r="AO699" s="141"/>
      <c r="AP699" s="141"/>
      <c r="AQ699" s="141"/>
      <c r="AR699" s="141"/>
      <c r="AS699" s="141"/>
      <c r="AT699" s="141"/>
      <c r="AU699" s="141"/>
      <c r="AV699" s="141"/>
      <c r="AW699" s="141"/>
      <c r="BA699" s="204"/>
    </row>
    <row r="700" spans="1:53">
      <c r="A700" s="52"/>
      <c r="B700" s="3659" t="s">
        <v>1088</v>
      </c>
      <c r="C700" s="585">
        <v>5420005</v>
      </c>
      <c r="D700" s="45" t="s">
        <v>1961</v>
      </c>
      <c r="E700" s="79">
        <f>IFERROR(VLOOKUP(C700,'פקודות נוספות'!$D$274:$F$797,3,0),0)</f>
        <v>21205.55</v>
      </c>
      <c r="F700" s="49">
        <f>SUMIF('פקודות נוספות'!C:C,C:C,'פקודות נוספות'!E:E)</f>
        <v>0</v>
      </c>
      <c r="J700" s="474">
        <f t="shared" si="144"/>
        <v>21205.55</v>
      </c>
      <c r="K700" s="42">
        <f>M700+SUMIF('פקודות נוספות'!C:C,'מאזן בוחן'!C700,'פקודות נוספות'!F:F)</f>
        <v>6787.98</v>
      </c>
      <c r="L700" s="49"/>
      <c r="M700" s="474">
        <f>IFERROR(VLOOKUP(C700,'פקודות נוספות'!$D$273:$G$797,4,0),0)</f>
        <v>6787.98</v>
      </c>
      <c r="N700" s="1104">
        <f t="shared" si="145"/>
        <v>3.1239853387900376</v>
      </c>
      <c r="O700" s="401"/>
      <c r="P700" s="141">
        <v>0</v>
      </c>
      <c r="Q700" s="141">
        <f>'[39]מאזן בוחן'!AE569</f>
        <v>0</v>
      </c>
      <c r="R700" s="141">
        <v>0</v>
      </c>
      <c r="S700" s="141">
        <v>0</v>
      </c>
      <c r="T700" s="141">
        <f>'[20]מאזן בוחן'!AR619</f>
        <v>0</v>
      </c>
      <c r="U700" s="141">
        <f>'[21]מאזן בוחן'!AS533</f>
        <v>0</v>
      </c>
      <c r="V700" s="726">
        <f>'[22]מאזן בוחן'!AJ519</f>
        <v>0</v>
      </c>
      <c r="W700" s="726">
        <f>'[23]מאזן בוחן'!AK525</f>
        <v>0</v>
      </c>
      <c r="X700" s="141">
        <v>0</v>
      </c>
      <c r="Y700" s="141">
        <f>'[25]מאזן בוחן'!AM555</f>
        <v>29.16</v>
      </c>
      <c r="AA700" s="141">
        <f>'[32]מאזן בוחן'!AO572</f>
        <v>6128</v>
      </c>
      <c r="AB700" s="141">
        <f>'[26]מאזן בוחן'!AB582</f>
        <v>1728</v>
      </c>
      <c r="AC700" s="141">
        <f>'[27]מאזן בוחן'!AC591</f>
        <v>780</v>
      </c>
      <c r="AD700" s="141">
        <f>'[28]מאזן בוחן'!AD600</f>
        <v>0</v>
      </c>
      <c r="AE700" s="141">
        <f>'[29]מאזן בוחן'!AE610</f>
        <v>0</v>
      </c>
      <c r="AF700" s="141">
        <f>'[30]מאזן בוחן'!AF621</f>
        <v>0</v>
      </c>
      <c r="AG700" s="141">
        <f>'[31]מאזן בוחן'!AG625</f>
        <v>0</v>
      </c>
      <c r="AH700" s="141">
        <v>0</v>
      </c>
      <c r="AI700" s="141">
        <v>0</v>
      </c>
      <c r="AJ700" s="141">
        <v>299.98</v>
      </c>
      <c r="AK700" s="141">
        <v>0</v>
      </c>
      <c r="AL700" s="141">
        <v>3979.9999999999995</v>
      </c>
      <c r="AM700" s="141">
        <f>$K700-SUM($AB700:AL700)</f>
        <v>0</v>
      </c>
      <c r="AN700" s="141"/>
      <c r="AO700" s="141"/>
      <c r="AP700" s="141"/>
      <c r="AQ700" s="141"/>
      <c r="AR700" s="141"/>
      <c r="AS700" s="141"/>
      <c r="AT700" s="141"/>
      <c r="AU700" s="141"/>
      <c r="AV700" s="141"/>
      <c r="AW700" s="141"/>
      <c r="BA700" s="204"/>
    </row>
    <row r="701" spans="1:53">
      <c r="A701" s="52"/>
      <c r="B701" s="3659"/>
      <c r="C701" s="1489"/>
      <c r="D701" s="45"/>
      <c r="E701" s="79"/>
      <c r="J701" s="474"/>
      <c r="K701" s="42"/>
      <c r="L701" s="49"/>
      <c r="M701" s="474"/>
      <c r="O701" s="401"/>
      <c r="P701" s="141"/>
      <c r="Q701" s="141"/>
      <c r="R701" s="141"/>
      <c r="T701" s="141"/>
      <c r="U701" s="141"/>
      <c r="V701" s="726"/>
      <c r="W701" s="726"/>
      <c r="X701" s="141"/>
      <c r="Y701" s="141"/>
      <c r="AA701" s="141"/>
      <c r="AB701" s="141"/>
      <c r="AC701" s="141"/>
      <c r="AD701" s="141"/>
      <c r="AE701" s="141"/>
      <c r="AF701" s="141"/>
      <c r="AG701" s="141"/>
      <c r="AH701" s="141"/>
      <c r="AI701" s="141"/>
      <c r="AJ701" s="141"/>
      <c r="AK701" s="141"/>
      <c r="AL701" s="141"/>
      <c r="AM701" s="141"/>
      <c r="AN701" s="141"/>
      <c r="AO701" s="141"/>
      <c r="AP701" s="141"/>
      <c r="AQ701" s="141"/>
      <c r="AR701" s="141"/>
      <c r="AS701" s="141"/>
      <c r="AT701" s="141"/>
      <c r="AU701" s="141"/>
      <c r="AV701" s="141"/>
      <c r="AW701" s="141"/>
      <c r="BA701" s="204"/>
    </row>
    <row r="702" spans="1:53">
      <c r="A702" s="52"/>
      <c r="B702" s="3659" t="s">
        <v>1096</v>
      </c>
      <c r="C702" s="585">
        <v>5800001</v>
      </c>
      <c r="D702" s="45" t="s">
        <v>357</v>
      </c>
      <c r="E702" s="79">
        <f>IFERROR(VLOOKUP(C702,'פקודות נוספות'!$D$274:$F$797,3,0),0)</f>
        <v>101911.3</v>
      </c>
      <c r="F702" s="49">
        <f>SUMIF('פקודות נוספות'!C:C,C:C,'פקודות נוספות'!E:E)</f>
        <v>0</v>
      </c>
      <c r="J702" s="474">
        <f>SUM(E702:I702)</f>
        <v>101911.3</v>
      </c>
      <c r="K702" s="42">
        <f>M702+SUMIF('פקודות נוספות'!C:C,'מאזן בוחן'!C702,'פקודות נוספות'!F:F)</f>
        <v>32984.879999999997</v>
      </c>
      <c r="L702" s="49"/>
      <c r="M702" s="474">
        <f>IFERROR(VLOOKUP(C702,'פקודות נוספות'!$D$273:$G$797,4,0),0)</f>
        <v>32984.879999999997</v>
      </c>
      <c r="N702" s="1104">
        <f>IF(K702=0,"-",J702/K702)</f>
        <v>3.0896368275403763</v>
      </c>
      <c r="O702" s="401"/>
      <c r="P702" s="141">
        <v>3740.1100000000006</v>
      </c>
      <c r="Q702" s="141">
        <f>'[39]מאזן בוחן'!AE572</f>
        <v>430.96999999999935</v>
      </c>
      <c r="R702" s="141">
        <v>376.32999999999993</v>
      </c>
      <c r="S702" s="137">
        <v>6887.0099999999984</v>
      </c>
      <c r="T702" s="141">
        <f>'[20]מאזן בוחן'!AR622</f>
        <v>823.12000000000262</v>
      </c>
      <c r="U702" s="141">
        <f>'[21]מאזן בוחן'!AS536</f>
        <v>533.31999999999971</v>
      </c>
      <c r="V702" s="726">
        <f>'[22]מאזן בוחן'!AJ522</f>
        <v>287.05999999999767</v>
      </c>
      <c r="W702" s="726">
        <f>'[23]מאזן בוחן'!AK528</f>
        <v>685.60000000000218</v>
      </c>
      <c r="X702" s="141">
        <v>1639.649999999996</v>
      </c>
      <c r="Y702" s="141">
        <f>'[25]מאזן בוחן'!AM558</f>
        <v>430.96000000000276</v>
      </c>
      <c r="AA702" s="141">
        <f>'[32]מאזן בוחן'!AO575</f>
        <v>2022.3299999999981</v>
      </c>
      <c r="AB702" s="141">
        <f>'[26]מאזן בוחן'!AB585</f>
        <v>1899.51</v>
      </c>
      <c r="AC702" s="141">
        <f>'[27]מאזן בוחן'!AC594</f>
        <v>1069.68</v>
      </c>
      <c r="AD702" s="141">
        <f>'[28]מאזן בוחן'!AD603</f>
        <v>2060.0499999999997</v>
      </c>
      <c r="AE702" s="141">
        <f>'[29]מאזן בוחן'!AE613</f>
        <v>593.13000000000011</v>
      </c>
      <c r="AF702" s="141">
        <f>'[30]מאזן בוחן'!AF624</f>
        <v>1874.6099999999997</v>
      </c>
      <c r="AG702" s="141">
        <f>'[31]מאזן בוחן'!AG628</f>
        <v>1653.8999999999996</v>
      </c>
      <c r="AH702" s="141">
        <v>2381.5500000000011</v>
      </c>
      <c r="AI702" s="141">
        <v>1627.7199999999993</v>
      </c>
      <c r="AJ702" s="141">
        <v>3292.8000000000011</v>
      </c>
      <c r="AK702" s="141">
        <v>4520.1699999999983</v>
      </c>
      <c r="AL702" s="141">
        <v>5184.8700000000026</v>
      </c>
      <c r="AM702" s="141">
        <f>$K702-SUM($AB702:AL702)</f>
        <v>6826.8899999999958</v>
      </c>
      <c r="AN702" s="141"/>
      <c r="AO702" s="141"/>
      <c r="AP702" s="141"/>
      <c r="AQ702" s="141"/>
      <c r="AR702" s="141"/>
      <c r="AS702" s="141"/>
      <c r="AT702" s="141"/>
      <c r="AU702" s="141"/>
      <c r="AV702" s="141"/>
      <c r="AW702" s="141"/>
      <c r="BA702" s="204"/>
    </row>
    <row r="703" spans="1:53">
      <c r="A703" s="52"/>
      <c r="B703" s="3659" t="s">
        <v>1096</v>
      </c>
      <c r="C703" s="585">
        <v>5800002</v>
      </c>
      <c r="D703" s="45" t="s">
        <v>358</v>
      </c>
      <c r="E703" s="79">
        <f>IFERROR(VLOOKUP(C703,'פקודות נוספות'!$D$274:$F$797,3,0),0)</f>
        <v>4686359.2699999996</v>
      </c>
      <c r="F703" s="49">
        <f>SUMIF('פקודות נוספות'!C:C,C:C,'פקודות נוספות'!E:E)</f>
        <v>0</v>
      </c>
      <c r="J703" s="474">
        <f>SUM(E703:I703)</f>
        <v>4686359.2699999996</v>
      </c>
      <c r="K703" s="42">
        <f>M703+SUMIF('פקודות נוספות'!C:C,'מאזן בוחן'!C703,'פקודות נוספות'!F:F)</f>
        <v>1464782.04</v>
      </c>
      <c r="L703" s="49"/>
      <c r="M703" s="474">
        <f>IFERROR(VLOOKUP(C703,'פקודות נוספות'!$D$273:$G$797,4,0),0)</f>
        <v>1464782.04</v>
      </c>
      <c r="N703" s="1104">
        <f>IF(K703=0,"-",J703/K703)</f>
        <v>3.1993560420770857</v>
      </c>
      <c r="O703" s="1133"/>
      <c r="P703" s="141">
        <v>5550.0000000000146</v>
      </c>
      <c r="Q703" s="141">
        <f>'[39]מאזן בוחן'!AE573</f>
        <v>91541.759999999995</v>
      </c>
      <c r="R703" s="141">
        <v>193445.8</v>
      </c>
      <c r="S703" s="137">
        <v>109526.37000000005</v>
      </c>
      <c r="T703" s="141">
        <f>'[20]מאזן בוחן'!AR623</f>
        <v>249332.38</v>
      </c>
      <c r="U703" s="141">
        <f>'[21]מאזן בוחן'!AS537</f>
        <v>97900.62</v>
      </c>
      <c r="V703" s="726">
        <f>'[22]מאזן בוחן'!AJ523</f>
        <v>32428.15999999996</v>
      </c>
      <c r="W703" s="726">
        <f>'[23]מאזן בוחן'!AK529</f>
        <v>202333.91999999987</v>
      </c>
      <c r="X703" s="141">
        <v>124228.17999999998</v>
      </c>
      <c r="Y703" s="141">
        <f>'[25]מאזן בוחן'!AM559</f>
        <v>31638.130000000354</v>
      </c>
      <c r="AA703" s="141">
        <f>'[32]מאזן בוחן'!AO576</f>
        <v>104855.60999999987</v>
      </c>
      <c r="AB703" s="141">
        <f>'[26]מאזן בוחן'!AB586</f>
        <v>57208.92</v>
      </c>
      <c r="AC703" s="141">
        <f>'[27]מאזן בוחן'!AC595</f>
        <v>27373.699999999997</v>
      </c>
      <c r="AD703" s="141">
        <f>'[28]מאזן בוחן'!AD604</f>
        <v>170469.30000000002</v>
      </c>
      <c r="AE703" s="141">
        <f>'[29]מאזן בוחן'!AE614</f>
        <v>80514.149999999994</v>
      </c>
      <c r="AF703" s="141">
        <f>'[30]מאזן בוחן'!AF625</f>
        <v>64580</v>
      </c>
      <c r="AG703" s="141">
        <f>'[31]מאזן בוחן'!AG629</f>
        <v>36493.19</v>
      </c>
      <c r="AH703" s="141">
        <v>67881.909999999974</v>
      </c>
      <c r="AI703" s="141">
        <v>67526.110000000044</v>
      </c>
      <c r="AJ703" s="141">
        <v>150240</v>
      </c>
      <c r="AK703" s="141">
        <v>159292.77000000002</v>
      </c>
      <c r="AL703" s="141">
        <v>192848.31000000006</v>
      </c>
      <c r="AM703" s="141">
        <f>$K703-SUM($AB703:AL703)</f>
        <v>390353.67999999993</v>
      </c>
      <c r="AN703" s="141"/>
      <c r="AO703" s="141"/>
      <c r="AP703" s="141"/>
      <c r="AQ703" s="141"/>
      <c r="AR703" s="141"/>
      <c r="AS703" s="141"/>
      <c r="AT703" s="141"/>
      <c r="AU703" s="141"/>
      <c r="AV703" s="141"/>
      <c r="AW703" s="141"/>
      <c r="BA703" s="204"/>
    </row>
    <row r="704" spans="1:53">
      <c r="A704" s="52"/>
      <c r="B704" s="3659" t="s">
        <v>1097</v>
      </c>
      <c r="C704" s="585">
        <v>5810003</v>
      </c>
      <c r="D704" s="45" t="s">
        <v>2178</v>
      </c>
      <c r="E704" s="79">
        <f>IFERROR(VLOOKUP(C704,'פקודות נוספות'!$D$274:$F$797,3,0),0)</f>
        <v>999058</v>
      </c>
      <c r="F704" s="49">
        <f>SUMIF('פקודות נוספות'!C:C,C:C,'פקודות נוספות'!E:E)</f>
        <v>0</v>
      </c>
      <c r="J704" s="474">
        <f>SUM(E704:I704)</f>
        <v>999058</v>
      </c>
      <c r="K704" s="42">
        <f>M704+SUMIF('פקודות נוספות'!C:C,'מאזן בוחן'!C704,'פקודות נוספות'!F:F)</f>
        <v>218724.28</v>
      </c>
      <c r="L704" s="49"/>
      <c r="M704" s="474">
        <f>IFERROR(VLOOKUP(C704,'פקודות נוספות'!$D$273:$G$797,4,0),0)</f>
        <v>218724.28</v>
      </c>
      <c r="N704" s="1104">
        <f>IF(K704=0,"-",J704/K704)</f>
        <v>4.5676593380487986</v>
      </c>
      <c r="O704" s="1133"/>
      <c r="P704" s="141">
        <v>0</v>
      </c>
      <c r="Q704" s="141">
        <f>'[39]מאזן בוחן'!AE575</f>
        <v>70060.03</v>
      </c>
      <c r="R704" s="141">
        <v>0</v>
      </c>
      <c r="S704" s="137">
        <v>0</v>
      </c>
      <c r="T704" s="141">
        <f>'[20]מאזן בוחן'!AR625</f>
        <v>72061</v>
      </c>
      <c r="U704" s="141">
        <f>'[21]מאזן בוחן'!AS539</f>
        <v>0</v>
      </c>
      <c r="V704" s="726">
        <f>'[22]מאזן בוחן'!AJ525</f>
        <v>0</v>
      </c>
      <c r="W704" s="726">
        <f>'[23]מאזן בוחן'!AK531</f>
        <v>72061.010000000009</v>
      </c>
      <c r="X704" s="141">
        <v>0</v>
      </c>
      <c r="Y704" s="141">
        <f>'[25]מאזן בוחן'!AM561</f>
        <v>0</v>
      </c>
      <c r="AA704" s="141">
        <f>'[32]מאזן בוחן'!AO578</f>
        <v>77687.399999999994</v>
      </c>
      <c r="AB704" s="141">
        <f>'[26]מאזן בוחן'!AB588</f>
        <v>0</v>
      </c>
      <c r="AC704" s="141">
        <f>'[27]מאזן בוחן'!AC597</f>
        <v>0</v>
      </c>
      <c r="AD704" s="141">
        <f>'[28]מאזן בוחן'!AD606</f>
        <v>54680.57</v>
      </c>
      <c r="AE704" s="141">
        <f>'[29]מאזן בוחן'!AE616</f>
        <v>0</v>
      </c>
      <c r="AF704" s="141">
        <f>'[30]מאזן בוחן'!AF627</f>
        <v>0</v>
      </c>
      <c r="AG704" s="141">
        <f>'[31]מאזן בוחן'!AG631</f>
        <v>54681.57</v>
      </c>
      <c r="AH704" s="141">
        <v>0</v>
      </c>
      <c r="AI704" s="141">
        <v>0</v>
      </c>
      <c r="AJ704" s="141">
        <v>54680.569999999992</v>
      </c>
      <c r="AK704" s="141">
        <v>25332.49000000002</v>
      </c>
      <c r="AL704" s="141">
        <v>25332.489999999991</v>
      </c>
      <c r="AM704" s="141">
        <f>$K704-SUM($AB704:AL704)</f>
        <v>4016.5899999999965</v>
      </c>
      <c r="AN704" s="141"/>
      <c r="AO704" s="141"/>
      <c r="AP704" s="141"/>
      <c r="AQ704" s="141"/>
      <c r="AR704" s="141"/>
      <c r="AS704" s="141"/>
      <c r="AT704" s="141"/>
      <c r="AU704" s="141"/>
      <c r="AV704" s="141"/>
      <c r="AW704" s="141"/>
      <c r="BA704" s="204"/>
    </row>
    <row r="705" spans="1:53" ht="13.5" thickBot="1">
      <c r="A705" s="52"/>
      <c r="B705" s="3659"/>
      <c r="C705" s="1489"/>
      <c r="D705" s="203"/>
      <c r="E705" s="1202"/>
      <c r="J705" s="474"/>
      <c r="K705" s="42"/>
      <c r="L705" s="49"/>
      <c r="M705" s="474"/>
      <c r="O705" s="1133"/>
      <c r="P705" s="141">
        <v>0</v>
      </c>
      <c r="Q705" s="141">
        <f>'[39]מאזן בוחן'!AE576</f>
        <v>0</v>
      </c>
      <c r="R705" s="141">
        <v>0</v>
      </c>
      <c r="S705" s="137">
        <v>0</v>
      </c>
      <c r="T705" s="141">
        <f>'[20]מאזן בוחן'!AR626</f>
        <v>0</v>
      </c>
      <c r="U705" s="141">
        <f>'[21]מאזן בוחן'!AS540</f>
        <v>0</v>
      </c>
      <c r="V705" s="726">
        <f>'[22]מאזן בוחן'!AJ526</f>
        <v>0</v>
      </c>
      <c r="W705" s="726">
        <f>'[23]מאזן בוחן'!AK532</f>
        <v>0</v>
      </c>
      <c r="X705" s="141">
        <v>0</v>
      </c>
      <c r="Y705" s="141">
        <f>'[25]מאזן בוחן'!AM562</f>
        <v>0</v>
      </c>
      <c r="AA705" s="141">
        <f>'[32]מאזן בוחן'!AO579</f>
        <v>0</v>
      </c>
      <c r="AB705" s="141">
        <f>'[26]מאזן בוחן'!AB589</f>
        <v>0</v>
      </c>
      <c r="AC705" s="141">
        <f>'[27]מאזן בוחן'!AC598</f>
        <v>0</v>
      </c>
      <c r="AD705" s="141">
        <f>'[28]מאזן בוחן'!AD607</f>
        <v>0</v>
      </c>
      <c r="AE705" s="141">
        <f>'[29]מאזן בוחן'!AE617</f>
        <v>0</v>
      </c>
      <c r="AF705" s="141">
        <f>'[30]מאזן בוחן'!AF628</f>
        <v>0</v>
      </c>
      <c r="AG705" s="141">
        <f>'[31]מאזן בוחן'!AG632</f>
        <v>0</v>
      </c>
      <c r="AH705" s="141">
        <v>0</v>
      </c>
      <c r="AI705" s="141">
        <v>0</v>
      </c>
      <c r="AJ705" s="141">
        <v>0</v>
      </c>
      <c r="AK705" s="141">
        <v>0</v>
      </c>
      <c r="AL705" s="141">
        <v>0</v>
      </c>
      <c r="AM705" s="141">
        <f>$K705-SUM($AB705:AL705)</f>
        <v>0</v>
      </c>
      <c r="AN705" s="141"/>
      <c r="AO705" s="141"/>
      <c r="AP705" s="141"/>
      <c r="AQ705" s="141"/>
      <c r="AR705" s="141"/>
      <c r="AS705" s="141"/>
      <c r="AT705" s="141"/>
      <c r="AU705" s="141"/>
      <c r="AV705" s="141"/>
      <c r="AW705" s="141"/>
      <c r="BA705" s="204"/>
    </row>
    <row r="706" spans="1:53" ht="13.5" thickBot="1">
      <c r="A706" s="52"/>
      <c r="B706" s="3659" t="s">
        <v>1098</v>
      </c>
      <c r="C706" s="585">
        <v>5900001</v>
      </c>
      <c r="D706" s="203" t="s">
        <v>1099</v>
      </c>
      <c r="E706" s="474">
        <f>IFERROR(VLOOKUP(C706,'פקודות נוספות'!$D$274:$F$797,3,0),0)</f>
        <v>9389680.8499999996</v>
      </c>
      <c r="F706" s="49">
        <f>SUMIF('פקודות נוספות'!C:C,C:C,'פקודות נוספות'!E:E)</f>
        <v>0</v>
      </c>
      <c r="J706" s="474">
        <f>SUM(E706:I706)</f>
        <v>9389680.8499999996</v>
      </c>
      <c r="K706" s="42">
        <f>M706+SUMIF('פקודות נוספות'!C:C,'מאזן בוחן'!C706,'פקודות נוספות'!F:F)</f>
        <v>2876821.84</v>
      </c>
      <c r="L706" s="956">
        <f>+'מאזן בוחן הודו'!$K$175+K706</f>
        <v>1.7030454967170954</v>
      </c>
      <c r="M706" s="1341">
        <f>IFERROR(VLOOKUP(C706,'פקודות נוספות'!$D$273:$G$797,4,0),0)</f>
        <v>2876821.84</v>
      </c>
      <c r="N706" s="1104">
        <f>IF(K706=0,"-",J706/K706)</f>
        <v>3.2639076634651802</v>
      </c>
      <c r="O706" s="1133"/>
      <c r="P706" s="141">
        <v>0</v>
      </c>
      <c r="Q706" s="141">
        <f>'[39]מאזן בוחן'!AE577</f>
        <v>0</v>
      </c>
      <c r="R706" s="141">
        <v>0</v>
      </c>
      <c r="S706" s="137">
        <v>0</v>
      </c>
      <c r="T706" s="141">
        <f>'[20]מאזן בוחן'!AR627</f>
        <v>0</v>
      </c>
      <c r="U706" s="141">
        <f>'[21]מאזן בוחן'!AS541</f>
        <v>340914.53</v>
      </c>
      <c r="V706" s="726">
        <f>'[22]מאזן בוחן'!AJ527</f>
        <v>0</v>
      </c>
      <c r="W706" s="726">
        <f>'[23]מאזן בוחן'!AK533</f>
        <v>198982.36</v>
      </c>
      <c r="X706" s="141">
        <v>-495815.9236397401</v>
      </c>
      <c r="Y706" s="141">
        <f>'[25]מאזן בוחן'!AM563</f>
        <v>800000</v>
      </c>
      <c r="AA706" s="141">
        <f>'[32]מאזן בוחן'!AO580</f>
        <v>240963.69363974</v>
      </c>
      <c r="AB706" s="141">
        <f>'[26]מאזן בוחן'!AB590</f>
        <v>165419.17363045498</v>
      </c>
      <c r="AC706" s="141">
        <f>'[27]מאזן בוחן'!AC599</f>
        <v>183381.03528319404</v>
      </c>
      <c r="AD706" s="141">
        <f>'[28]מאזן בוחן'!AD608</f>
        <v>281083.80108635098</v>
      </c>
      <c r="AE706" s="141">
        <f>'[29]מאזן בוחן'!AE618</f>
        <v>180265.50977715885</v>
      </c>
      <c r="AF706" s="141">
        <f>'[30]מאזן בוחן'!AF629</f>
        <v>200661.23491179198</v>
      </c>
      <c r="AG706" s="141">
        <f>'[31]מאזן בוחן'!AG633</f>
        <v>281358.80531104922</v>
      </c>
      <c r="AH706" s="141">
        <v>197659.16126276692</v>
      </c>
      <c r="AI706" s="141">
        <v>215677.61142061302</v>
      </c>
      <c r="AJ706" s="141">
        <v>282993.22731662006</v>
      </c>
      <c r="AK706" s="141">
        <v>210263.3865181054</v>
      </c>
      <c r="AL706" s="141">
        <v>204137.73212627694</v>
      </c>
      <c r="AM706" s="141">
        <f>$K706-SUM($AB706:AL706)</f>
        <v>473921.16135561746</v>
      </c>
      <c r="AN706" s="141"/>
      <c r="AO706" s="141"/>
      <c r="AP706" s="141"/>
      <c r="AQ706" s="141"/>
      <c r="AR706" s="141"/>
      <c r="AS706" s="141"/>
      <c r="AT706" s="141"/>
      <c r="AU706" s="141"/>
      <c r="AV706" s="141"/>
      <c r="AW706" s="141"/>
      <c r="BA706" s="204"/>
    </row>
    <row r="707" spans="1:53">
      <c r="A707" s="52"/>
      <c r="B707" s="3659"/>
      <c r="C707" s="156"/>
      <c r="D707" s="203"/>
      <c r="E707" s="1202"/>
      <c r="J707" s="474"/>
      <c r="K707" s="42"/>
      <c r="L707" s="49"/>
      <c r="M707" s="474"/>
      <c r="N707" s="1104" t="str">
        <f t="shared" ref="N707:N717" si="146">IF(K707=0,"-",J707/K707)</f>
        <v>-</v>
      </c>
      <c r="O707" s="1133"/>
      <c r="P707" s="141">
        <v>0</v>
      </c>
      <c r="Q707" s="141">
        <f>'[39]מאזן בוחן'!AE578</f>
        <v>0</v>
      </c>
      <c r="R707" s="141">
        <v>0</v>
      </c>
      <c r="S707" s="137">
        <v>0</v>
      </c>
      <c r="T707" s="141">
        <f>'[20]מאזן בוחן'!AR628</f>
        <v>0</v>
      </c>
      <c r="U707" s="141">
        <f>'[21]מאזן בוחן'!AS542</f>
        <v>0</v>
      </c>
      <c r="V707" s="726">
        <f>'[22]מאזן בוחן'!AJ528</f>
        <v>0</v>
      </c>
      <c r="W707" s="726">
        <f>'[23]מאזן בוחן'!AK534</f>
        <v>0</v>
      </c>
      <c r="X707" s="141">
        <v>0</v>
      </c>
      <c r="Y707" s="141">
        <f>'[25]מאזן בוחן'!AM564</f>
        <v>0</v>
      </c>
      <c r="AA707" s="141">
        <f>'[32]מאזן בוחן'!AO581</f>
        <v>0</v>
      </c>
      <c r="AB707" s="141">
        <f>'[26]מאזן בוחן'!AB591</f>
        <v>0</v>
      </c>
      <c r="AC707" s="141">
        <f>'[27]מאזן בוחן'!AC600</f>
        <v>0</v>
      </c>
      <c r="AD707" s="141">
        <f>'[28]מאזן בוחן'!AD609</f>
        <v>0</v>
      </c>
      <c r="AE707" s="141">
        <f>'[29]מאזן בוחן'!AE619</f>
        <v>0</v>
      </c>
      <c r="AF707" s="141">
        <f>'[30]מאזן בוחן'!AF630</f>
        <v>0</v>
      </c>
      <c r="AG707" s="141">
        <f>'[31]מאזן בוחן'!AG634</f>
        <v>0</v>
      </c>
      <c r="AH707" s="141">
        <v>0</v>
      </c>
      <c r="AI707" s="141">
        <v>0</v>
      </c>
      <c r="AJ707" s="141">
        <v>0</v>
      </c>
      <c r="AK707" s="141">
        <v>0</v>
      </c>
      <c r="AL707" s="141">
        <v>0</v>
      </c>
      <c r="AM707" s="141">
        <f>$K707-SUM($AB707:AL707)</f>
        <v>0</v>
      </c>
      <c r="AN707" s="141"/>
      <c r="AO707" s="141"/>
      <c r="AP707" s="141"/>
      <c r="AQ707" s="141"/>
      <c r="AR707" s="141"/>
      <c r="AS707" s="141"/>
      <c r="AT707" s="141"/>
      <c r="AU707" s="141"/>
      <c r="AV707" s="141"/>
      <c r="AW707" s="141"/>
      <c r="BA707" s="204"/>
    </row>
    <row r="708" spans="1:53">
      <c r="A708" s="52"/>
      <c r="B708" s="3664"/>
      <c r="C708" s="407"/>
      <c r="D708" s="3213"/>
      <c r="E708" s="1727">
        <f t="shared" ref="E708:K708" si="147">SUM(E662:E707)</f>
        <v>16860170.189999998</v>
      </c>
      <c r="F708" s="4108">
        <f t="shared" si="147"/>
        <v>0</v>
      </c>
      <c r="G708" s="3215">
        <f t="shared" si="147"/>
        <v>0</v>
      </c>
      <c r="H708" s="3215">
        <f t="shared" si="147"/>
        <v>0</v>
      </c>
      <c r="I708" s="3215">
        <f t="shared" si="147"/>
        <v>0</v>
      </c>
      <c r="J708" s="3215">
        <f t="shared" si="147"/>
        <v>16860170.189999998</v>
      </c>
      <c r="K708" s="3215">
        <f t="shared" si="147"/>
        <v>5112524.209999999</v>
      </c>
      <c r="L708" s="3214"/>
      <c r="M708" s="3215">
        <f>SUM(M662:M707)</f>
        <v>5112524.209999999</v>
      </c>
      <c r="N708" s="1104">
        <f t="shared" si="146"/>
        <v>3.2978171833439593</v>
      </c>
      <c r="O708" s="1133"/>
      <c r="P708" s="137">
        <v>32703.98000000004</v>
      </c>
      <c r="Q708" s="141">
        <f>'[39]מאזן בוחן'!AE579</f>
        <v>156643.03999999992</v>
      </c>
      <c r="R708" s="137">
        <v>206656.58000000007</v>
      </c>
      <c r="S708" s="137">
        <v>125247.33999999997</v>
      </c>
      <c r="T708" s="141">
        <f>'[20]מאזן בוחן'!AR629</f>
        <v>0</v>
      </c>
      <c r="U708" s="141">
        <f>'[21]מאזן בוחן'!AS543</f>
        <v>798274.15000000026</v>
      </c>
      <c r="V708" s="726">
        <f>'[22]מאזן בוחן'!AJ529</f>
        <v>59174.069999999658</v>
      </c>
      <c r="W708" s="726">
        <f>'[23]מאזן בוחן'!AK535</f>
        <v>505293.02000000008</v>
      </c>
      <c r="X708" s="141">
        <v>-324400.41363973997</v>
      </c>
      <c r="Y708" s="141">
        <f>'[25]מאזן בוחן'!AM565</f>
        <v>882704.78000000026</v>
      </c>
      <c r="AA708" s="141">
        <f>'[32]מאזן בוחן'!AO582</f>
        <v>506494.47363973968</v>
      </c>
      <c r="AB708" s="141">
        <f>'[26]מאזן בוחן'!AB592</f>
        <v>262880.59363045497</v>
      </c>
      <c r="AC708" s="141">
        <f>'[27]מאזן בוחן'!AC601</f>
        <v>249654.19528319407</v>
      </c>
      <c r="AD708" s="141">
        <f>'[28]מאזן בוחן'!AD610</f>
        <v>539414.56108635105</v>
      </c>
      <c r="AE708" s="141">
        <f>'[29]מאזן בוחן'!AE620</f>
        <v>291614.09977715882</v>
      </c>
      <c r="AF708" s="141">
        <f>'[30]מאזן בוחן'!AF631</f>
        <v>310327.81491179205</v>
      </c>
      <c r="AG708" s="141">
        <f>'[31]מאזן בוחן'!AG635</f>
        <v>412301.43531104922</v>
      </c>
      <c r="AH708" s="141">
        <v>322600.27126276679</v>
      </c>
      <c r="AI708" s="141">
        <v>342356.27142061293</v>
      </c>
      <c r="AJ708" s="141">
        <v>537655.97731661983</v>
      </c>
      <c r="AK708" s="141">
        <v>446645.22651810572</v>
      </c>
      <c r="AL708" s="141">
        <v>481196.8721262766</v>
      </c>
      <c r="AM708" s="141">
        <f>$K708-SUM($AB708:AL708)</f>
        <v>915876.89135561697</v>
      </c>
      <c r="AN708" s="141"/>
      <c r="AO708" s="141"/>
      <c r="AP708" s="141"/>
      <c r="AQ708" s="141"/>
      <c r="AR708" s="141"/>
      <c r="AS708" s="141"/>
      <c r="AT708" s="141"/>
      <c r="AU708" s="141"/>
      <c r="AV708" s="141"/>
      <c r="AW708" s="141"/>
      <c r="BA708" s="204"/>
    </row>
    <row r="709" spans="1:53">
      <c r="A709" s="52"/>
      <c r="B709" s="3659"/>
      <c r="C709" s="156"/>
      <c r="D709" s="203"/>
      <c r="E709" s="1202"/>
      <c r="F709" s="42"/>
      <c r="G709" s="42"/>
      <c r="H709" s="42"/>
      <c r="I709" s="42"/>
      <c r="J709" s="42"/>
      <c r="K709" s="42"/>
      <c r="L709" s="49"/>
      <c r="M709" s="42"/>
      <c r="N709" s="1104" t="str">
        <f t="shared" si="146"/>
        <v>-</v>
      </c>
      <c r="O709" s="1133"/>
      <c r="P709" s="137">
        <v>0</v>
      </c>
      <c r="Q709" s="141">
        <f>'[39]מאזן בוחן'!AE580</f>
        <v>0</v>
      </c>
      <c r="R709" s="137">
        <v>0</v>
      </c>
      <c r="S709" s="137">
        <v>0</v>
      </c>
      <c r="T709" s="141">
        <f>'[20]מאזן בוחן'!AR630</f>
        <v>334711.14000000013</v>
      </c>
      <c r="U709" s="141">
        <f>'[21]מאזן בוחן'!AS544</f>
        <v>-334711.14000000013</v>
      </c>
      <c r="V709" s="726">
        <f>'[22]מאזן בוחן'!AJ530</f>
        <v>0</v>
      </c>
      <c r="W709" s="726">
        <f>'[23]מאזן בוחן'!AK536</f>
        <v>0</v>
      </c>
      <c r="X709" s="141">
        <v>0</v>
      </c>
      <c r="Y709" s="141">
        <f>'[25]מאזן בוחן'!AM566</f>
        <v>0</v>
      </c>
      <c r="AA709" s="141">
        <f>'[32]מאזן בוחן'!AO583</f>
        <v>0</v>
      </c>
      <c r="AB709" s="141">
        <f>'[26]מאזן בוחן'!AB593</f>
        <v>0</v>
      </c>
      <c r="AC709" s="141">
        <f>'[27]מאזן בוחן'!AC602</f>
        <v>0</v>
      </c>
      <c r="AD709" s="141">
        <f>'[28]מאזן בוחן'!AD611</f>
        <v>0</v>
      </c>
      <c r="AE709" s="141">
        <f>'[29]מאזן בוחן'!AE621</f>
        <v>0</v>
      </c>
      <c r="AF709" s="141">
        <f>'[30]מאזן בוחן'!AF632</f>
        <v>0</v>
      </c>
      <c r="AG709" s="141">
        <f>'[31]מאזן בוחן'!AG636</f>
        <v>0</v>
      </c>
      <c r="AH709" s="141">
        <v>0</v>
      </c>
      <c r="AI709" s="141">
        <v>0</v>
      </c>
      <c r="AJ709" s="141">
        <v>0</v>
      </c>
      <c r="AK709" s="141">
        <v>0</v>
      </c>
      <c r="AL709" s="141">
        <v>0</v>
      </c>
      <c r="AM709" s="141">
        <f>$K709-SUM($AB709:AL709)</f>
        <v>0</v>
      </c>
      <c r="AN709" s="141"/>
      <c r="AO709" s="141"/>
      <c r="AP709" s="141"/>
      <c r="AQ709" s="141"/>
      <c r="AR709" s="141"/>
      <c r="AS709" s="141"/>
      <c r="AT709" s="141"/>
      <c r="AU709" s="141"/>
      <c r="AV709" s="141"/>
      <c r="AW709" s="141"/>
      <c r="BA709" s="204"/>
    </row>
    <row r="710" spans="1:53">
      <c r="A710" s="52"/>
      <c r="B710" s="3659"/>
      <c r="C710" s="178"/>
      <c r="D710" s="465"/>
      <c r="E710" s="1202"/>
      <c r="J710" s="474"/>
      <c r="K710" s="42"/>
      <c r="L710" s="49"/>
      <c r="M710" s="474"/>
      <c r="N710" s="1104" t="str">
        <f t="shared" si="146"/>
        <v>-</v>
      </c>
      <c r="O710" s="1133"/>
      <c r="P710" s="137">
        <v>0</v>
      </c>
      <c r="Q710" s="141">
        <f>'[39]מאזן בוחן'!AE581</f>
        <v>0</v>
      </c>
      <c r="R710" s="137">
        <v>0</v>
      </c>
      <c r="S710" s="137">
        <v>0</v>
      </c>
      <c r="T710" s="141">
        <f>'[20]מאזן בוחן'!AR631</f>
        <v>0</v>
      </c>
      <c r="U710" s="141">
        <f>'[21]מאזן בוחן'!AS545</f>
        <v>0</v>
      </c>
      <c r="V710" s="726">
        <f>'[22]מאזן בוחן'!AJ531</f>
        <v>0</v>
      </c>
      <c r="W710" s="726">
        <f>'[23]מאזן בוחן'!AK537</f>
        <v>0</v>
      </c>
      <c r="X710" s="141">
        <v>0</v>
      </c>
      <c r="Y710" s="141">
        <f>'[25]מאזן בוחן'!AM567</f>
        <v>0</v>
      </c>
      <c r="AA710" s="141">
        <f>'[32]מאזן בוחן'!AO584</f>
        <v>0</v>
      </c>
      <c r="AB710" s="141">
        <f>'[26]מאזן בוחן'!AB594</f>
        <v>0</v>
      </c>
      <c r="AC710" s="141">
        <f>'[27]מאזן בוחן'!AC603</f>
        <v>0</v>
      </c>
      <c r="AD710" s="141">
        <f>'[28]מאזן בוחן'!AD612</f>
        <v>0</v>
      </c>
      <c r="AE710" s="141">
        <f>'[29]מאזן בוחן'!AE622</f>
        <v>0</v>
      </c>
      <c r="AF710" s="141">
        <f>'[30]מאזן בוחן'!AF633</f>
        <v>0</v>
      </c>
      <c r="AG710" s="141">
        <f>'[31]מאזן בוחן'!AG637</f>
        <v>0</v>
      </c>
      <c r="AH710" s="141">
        <v>0</v>
      </c>
      <c r="AI710" s="141">
        <v>0</v>
      </c>
      <c r="AJ710" s="141">
        <v>0</v>
      </c>
      <c r="AK710" s="141">
        <v>0</v>
      </c>
      <c r="AL710" s="141">
        <v>0</v>
      </c>
      <c r="AM710" s="141">
        <f>$K710-SUM($AB710:AL710)</f>
        <v>0</v>
      </c>
      <c r="AN710" s="141"/>
      <c r="AO710" s="141"/>
      <c r="AP710" s="141"/>
      <c r="AQ710" s="141"/>
      <c r="AR710" s="141"/>
      <c r="AS710" s="141"/>
      <c r="AT710" s="141"/>
      <c r="AU710" s="141"/>
      <c r="AV710" s="141"/>
      <c r="AW710" s="141"/>
      <c r="BA710" s="204"/>
    </row>
    <row r="711" spans="1:53">
      <c r="A711" s="52"/>
      <c r="B711" s="3668" t="s">
        <v>1447</v>
      </c>
      <c r="C711" s="2245">
        <v>5120001</v>
      </c>
      <c r="D711" s="2226" t="s">
        <v>1448</v>
      </c>
      <c r="E711" s="1202">
        <f>IFERROR(VLOOKUP(C711,'פקודות נוספות'!$D$274:$F$797,3,0),0)</f>
        <v>1101733.7</v>
      </c>
      <c r="F711" s="49">
        <f>SUMIF('פקודות נוספות'!C:C,C:C,'פקודות נוספות'!E:E)</f>
        <v>3.8095235358923674E-3</v>
      </c>
      <c r="G711" s="1524"/>
      <c r="H711" s="1524"/>
      <c r="I711" s="1524"/>
      <c r="J711" s="1501">
        <f>SUM(E711:I711)</f>
        <v>1101733.7038095235</v>
      </c>
      <c r="K711" s="42">
        <f>M711+SUMIF('פקודות נוספות'!C:C,'מאזן בוחן'!C711,'פקודות נוספות'!F:F)</f>
        <v>333035.20075840689</v>
      </c>
      <c r="L711" s="49"/>
      <c r="M711" s="1341">
        <f>IFERROR(VLOOKUP(C711,'פקודות נוספות'!$D$273:$G$797,4,0),0)</f>
        <v>333035.2</v>
      </c>
      <c r="N711" s="1104">
        <f t="shared" si="146"/>
        <v>3.3081599221361353</v>
      </c>
      <c r="O711" s="1133"/>
      <c r="P711" s="137">
        <v>31336.750934901909</v>
      </c>
      <c r="Q711" s="141">
        <f>'[39]מאזן בוחן'!AE582</f>
        <v>43814.872059339206</v>
      </c>
      <c r="R711" s="137">
        <v>26697.526409598606</v>
      </c>
      <c r="S711" s="137">
        <v>25695.988598126743</v>
      </c>
      <c r="T711" s="141">
        <f>'[20]מאזן בוחן'!AR632</f>
        <v>0</v>
      </c>
      <c r="U711" s="141">
        <f>'[21]מאזן בוחן'!AS546</f>
        <v>71378.388275369827</v>
      </c>
      <c r="V711" s="726">
        <f>'[22]מאזן בוחן'!AJ532</f>
        <v>29004.091485650948</v>
      </c>
      <c r="W711" s="726">
        <f>'[23]מאזן בוחן'!AK538</f>
        <v>45828.127260607755</v>
      </c>
      <c r="X711" s="141">
        <v>29575.428720195705</v>
      </c>
      <c r="Y711" s="141">
        <f>'[25]מאזן בוחן'!AM568</f>
        <v>33633.729938650271</v>
      </c>
      <c r="AA711" s="141">
        <f>'[32]מאזן בוחן'!AO585</f>
        <v>81368.475433636282</v>
      </c>
      <c r="AB711" s="141">
        <f>'[26]מאזן בוחן'!AB595</f>
        <v>25011.319772727278</v>
      </c>
      <c r="AC711" s="141">
        <f>'[27]מאזן בוחן'!AC604</f>
        <v>23980.897499999992</v>
      </c>
      <c r="AD711" s="141">
        <f>'[28]מאזן בוחן'!AD613</f>
        <v>46211.662727272735</v>
      </c>
      <c r="AE711" s="141">
        <f>'[29]מאזן בוחן'!AE623</f>
        <v>23046.633911652709</v>
      </c>
      <c r="AF711" s="141">
        <f>'[30]מאזן בוחן'!AF634</f>
        <v>25207.918811864729</v>
      </c>
      <c r="AG711" s="141">
        <f>'[31]מאזן בוחן'!AG638</f>
        <v>43724.136697998358</v>
      </c>
      <c r="AH711" s="141">
        <v>26863.57176127049</v>
      </c>
      <c r="AI711" s="141">
        <v>26873.133238934912</v>
      </c>
      <c r="AJ711" s="141">
        <v>39937.285578278796</v>
      </c>
      <c r="AK711" s="141">
        <v>26080.470554968459</v>
      </c>
      <c r="AL711" s="141">
        <v>30439.970113636344</v>
      </c>
      <c r="AM711" s="141">
        <f>$K711-SUM($AB711:AL711)</f>
        <v>-4341.7999101979076</v>
      </c>
      <c r="AN711" s="141"/>
      <c r="AO711" s="141"/>
      <c r="AP711" s="141"/>
      <c r="AQ711" s="141"/>
      <c r="AR711" s="141"/>
      <c r="AS711" s="141"/>
      <c r="AT711" s="141"/>
      <c r="AU711" s="141"/>
      <c r="AV711" s="141"/>
      <c r="AW711" s="141"/>
      <c r="BA711" s="204"/>
    </row>
    <row r="712" spans="1:53">
      <c r="A712" s="52"/>
      <c r="B712" s="3769"/>
      <c r="C712" s="407"/>
      <c r="D712" s="3216" t="s">
        <v>453</v>
      </c>
      <c r="E712" s="1727">
        <f>E659+E708+E711</f>
        <v>27626286.409999996</v>
      </c>
      <c r="F712" s="4108">
        <f>F659+F708+F711</f>
        <v>3.8095235358923674E-3</v>
      </c>
      <c r="G712" s="3217">
        <f>G659+G708</f>
        <v>0</v>
      </c>
      <c r="H712" s="3217">
        <f>H659+H708</f>
        <v>0</v>
      </c>
      <c r="I712" s="3217">
        <f>I659+I708</f>
        <v>0</v>
      </c>
      <c r="J712" s="3217">
        <f>J659+J708+J711</f>
        <v>27626286.413809519</v>
      </c>
      <c r="K712" s="3217">
        <f>K659+K708+K711</f>
        <v>8433827.3007584065</v>
      </c>
      <c r="L712" s="3214"/>
      <c r="M712" s="3217">
        <f>M659+M708+M711</f>
        <v>8433827.2999999989</v>
      </c>
      <c r="N712" s="1104">
        <f t="shared" si="146"/>
        <v>3.2756523733092382</v>
      </c>
      <c r="O712" s="1133"/>
      <c r="P712" s="137">
        <v>357255.32093490183</v>
      </c>
      <c r="Q712" s="141">
        <f>'[39]מאזן בוחן'!AE583</f>
        <v>514440.86849417666</v>
      </c>
      <c r="R712" s="137">
        <v>504168.55575862527</v>
      </c>
      <c r="S712" s="137">
        <v>456681.20281426248</v>
      </c>
      <c r="T712" s="141">
        <f>'[20]מאזן בוחן'!AR633</f>
        <v>43281.910382558126</v>
      </c>
      <c r="U712" s="141">
        <f>'[21]מאזן בוחן'!AS547</f>
        <v>1373767.1278928118</v>
      </c>
      <c r="V712" s="726">
        <f>'[22]מאזן בוחן'!AJ533</f>
        <v>305607.08148565097</v>
      </c>
      <c r="W712" s="726">
        <f>'[23]מאזן בוחן'!AK539</f>
        <v>809544.17726060841</v>
      </c>
      <c r="X712" s="141">
        <v>-71929.234919544542</v>
      </c>
      <c r="Y712" s="141">
        <f>'[25]מאזן בוחן'!AM569</f>
        <v>1148951.5499386499</v>
      </c>
      <c r="AA712" s="141">
        <f>'[32]מאזן בוחן'!AO586</f>
        <v>863574.57907337602</v>
      </c>
      <c r="AB712" s="141">
        <f>'[26]מאזן בוחן'!AB596</f>
        <v>533014.36340318224</v>
      </c>
      <c r="AC712" s="141">
        <f>'[27]מאזן בוחן'!AC605</f>
        <v>514170.49278319417</v>
      </c>
      <c r="AD712" s="141">
        <f>'[28]מאזן בוחן'!AD614</f>
        <v>856650.65381362336</v>
      </c>
      <c r="AE712" s="141">
        <f>'[29]מאזן בוחן'!AE624</f>
        <v>570951.30368881207</v>
      </c>
      <c r="AF712" s="141">
        <f>'[30]מאזן בוחן'!AF635</f>
        <v>608759.24372365605</v>
      </c>
      <c r="AG712" s="141">
        <f>'[31]מאזן בוחן'!AG639</f>
        <v>688615.81200904865</v>
      </c>
      <c r="AH712" s="141">
        <v>594408.96302403696</v>
      </c>
      <c r="AI712" s="141">
        <v>615721.26465954725</v>
      </c>
      <c r="AJ712" s="141">
        <v>838271.6728948988</v>
      </c>
      <c r="AK712" s="141">
        <v>723913.96707307547</v>
      </c>
      <c r="AL712" s="141">
        <v>744379.97223991156</v>
      </c>
      <c r="AM712" s="141">
        <f>$K712-SUM($AB712:AL712)</f>
        <v>1144969.5914454199</v>
      </c>
      <c r="AN712" s="141"/>
      <c r="AO712" s="141"/>
      <c r="AP712" s="141"/>
      <c r="AQ712" s="141"/>
      <c r="AR712" s="141"/>
      <c r="AS712" s="141"/>
      <c r="AT712" s="141"/>
      <c r="AU712" s="141"/>
      <c r="AV712" s="141"/>
      <c r="AW712" s="141"/>
      <c r="BA712" s="204"/>
    </row>
    <row r="713" spans="1:53">
      <c r="A713" s="52"/>
      <c r="B713" s="3668"/>
      <c r="C713" s="407"/>
      <c r="D713" s="444"/>
      <c r="E713" s="1202"/>
      <c r="K713" s="49"/>
      <c r="L713" s="49"/>
      <c r="N713" s="1104" t="str">
        <f t="shared" si="146"/>
        <v>-</v>
      </c>
      <c r="O713" s="1133"/>
      <c r="P713" s="137">
        <v>0</v>
      </c>
      <c r="Q713" s="141">
        <f>'[39]מאזן בוחן'!AE584</f>
        <v>0</v>
      </c>
      <c r="R713" s="137">
        <v>0</v>
      </c>
      <c r="S713" s="137">
        <v>0</v>
      </c>
      <c r="T713" s="141">
        <f>'[20]מאזן בוחן'!AR634</f>
        <v>731017.18445652991</v>
      </c>
      <c r="U713" s="141">
        <f>'[21]מאזן בוחן'!AS548</f>
        <v>-731017.18445652991</v>
      </c>
      <c r="V713" s="726">
        <f>'[22]מאזן בוחן'!AJ534</f>
        <v>0</v>
      </c>
      <c r="W713" s="726">
        <f>'[23]מאזן בוחן'!AK540</f>
        <v>0</v>
      </c>
      <c r="X713" s="141">
        <v>0</v>
      </c>
      <c r="Y713" s="141">
        <f>'[25]מאזן בוחן'!AM570</f>
        <v>0</v>
      </c>
      <c r="AA713" s="141">
        <f>'[32]מאזן בוחן'!AO587</f>
        <v>0</v>
      </c>
      <c r="AB713" s="141">
        <f>'[26]מאזן בוחן'!AB597</f>
        <v>0</v>
      </c>
      <c r="AC713" s="141">
        <f>'[27]מאזן בוחן'!AC606</f>
        <v>0</v>
      </c>
      <c r="AD713" s="141">
        <f>'[28]מאזן בוחן'!AD615</f>
        <v>0</v>
      </c>
      <c r="AE713" s="141">
        <f>'[29]מאזן בוחן'!AE625</f>
        <v>0</v>
      </c>
      <c r="AF713" s="141">
        <f>'[30]מאזן בוחן'!AF636</f>
        <v>0</v>
      </c>
      <c r="AG713" s="141">
        <f>'[31]מאזן בוחן'!AG640</f>
        <v>0</v>
      </c>
      <c r="AH713" s="141">
        <v>0</v>
      </c>
      <c r="AI713" s="141">
        <v>0</v>
      </c>
      <c r="AJ713" s="141">
        <v>0</v>
      </c>
      <c r="AK713" s="141">
        <v>0</v>
      </c>
      <c r="AL713" s="141">
        <v>0</v>
      </c>
      <c r="AM713" s="141">
        <f>$K713-SUM($AB713:AL713)</f>
        <v>0</v>
      </c>
      <c r="AN713" s="141"/>
      <c r="AO713" s="141"/>
      <c r="AP713" s="141"/>
      <c r="AQ713" s="141"/>
      <c r="AR713" s="141"/>
      <c r="AS713" s="141"/>
      <c r="AT713" s="141"/>
      <c r="AU713" s="141"/>
      <c r="AV713" s="141"/>
      <c r="AW713" s="141"/>
      <c r="BA713" s="204"/>
    </row>
    <row r="714" spans="1:53">
      <c r="A714" s="52"/>
      <c r="B714" s="3668"/>
      <c r="C714" s="154"/>
      <c r="D714" s="1674" t="s">
        <v>91</v>
      </c>
      <c r="E714" s="1628"/>
      <c r="J714" s="474"/>
      <c r="K714" s="474"/>
      <c r="L714" s="49"/>
      <c r="M714" s="474"/>
      <c r="N714" s="1104" t="str">
        <f t="shared" si="146"/>
        <v>-</v>
      </c>
      <c r="O714" s="1133"/>
      <c r="P714" s="137">
        <v>0</v>
      </c>
      <c r="Q714" s="141">
        <f>'[39]מאזן בוחן'!AE585</f>
        <v>0</v>
      </c>
      <c r="R714" s="137">
        <v>0</v>
      </c>
      <c r="S714" s="137">
        <v>0</v>
      </c>
      <c r="T714" s="141">
        <f>'[20]מאזן בוחן'!AR635</f>
        <v>0</v>
      </c>
      <c r="U714" s="141">
        <f>'[21]מאזן בוחן'!AS549</f>
        <v>0</v>
      </c>
      <c r="V714" s="726">
        <f>'[22]מאזן בוחן'!AJ535</f>
        <v>0</v>
      </c>
      <c r="W714" s="726">
        <f>'[23]מאזן בוחן'!AK541</f>
        <v>0</v>
      </c>
      <c r="X714" s="141">
        <v>0</v>
      </c>
      <c r="Y714" s="141">
        <f>'[25]מאזן בוחן'!AM571</f>
        <v>0</v>
      </c>
      <c r="AA714" s="141">
        <f>'[32]מאזן בוחן'!AO588</f>
        <v>0</v>
      </c>
      <c r="AB714" s="141">
        <f>'[26]מאזן בוחן'!AB598</f>
        <v>0</v>
      </c>
      <c r="AC714" s="141">
        <f>'[27]מאזן בוחן'!AC607</f>
        <v>0</v>
      </c>
      <c r="AD714" s="141">
        <f>'[28]מאזן בוחן'!AD616</f>
        <v>0</v>
      </c>
      <c r="AE714" s="141">
        <f>'[29]מאזן בוחן'!AE626</f>
        <v>0</v>
      </c>
      <c r="AF714" s="141">
        <f>'[30]מאזן בוחן'!AF637</f>
        <v>0</v>
      </c>
      <c r="AG714" s="141">
        <f>'[31]מאזן בוחן'!AG641</f>
        <v>0</v>
      </c>
      <c r="AH714" s="141">
        <v>0</v>
      </c>
      <c r="AI714" s="141">
        <v>0</v>
      </c>
      <c r="AJ714" s="141">
        <v>0</v>
      </c>
      <c r="AK714" s="141">
        <v>0</v>
      </c>
      <c r="AL714" s="141">
        <v>0</v>
      </c>
      <c r="AM714" s="141">
        <f>$K714-SUM($AB714:AL714)</f>
        <v>0</v>
      </c>
      <c r="AN714" s="141"/>
      <c r="AO714" s="141"/>
      <c r="AP714" s="141"/>
      <c r="AQ714" s="141"/>
      <c r="AR714" s="141"/>
      <c r="AS714" s="141"/>
      <c r="AT714" s="141"/>
      <c r="AU714" s="141"/>
      <c r="AV714" s="141"/>
      <c r="AW714" s="141"/>
      <c r="BA714" s="204"/>
    </row>
    <row r="715" spans="1:53">
      <c r="A715" s="52"/>
      <c r="B715" s="3668"/>
      <c r="C715" s="407"/>
      <c r="D715" s="1674" t="s">
        <v>86</v>
      </c>
      <c r="E715" s="1628"/>
      <c r="J715" s="474"/>
      <c r="K715" s="474"/>
      <c r="L715" s="49"/>
      <c r="M715" s="474"/>
      <c r="N715" s="1104" t="str">
        <f t="shared" si="146"/>
        <v>-</v>
      </c>
      <c r="O715" s="1133"/>
      <c r="P715" s="137">
        <v>0</v>
      </c>
      <c r="Q715" s="141">
        <f>'[39]מאזן בוחן'!AE586</f>
        <v>0</v>
      </c>
      <c r="R715" s="137">
        <v>0</v>
      </c>
      <c r="S715" s="137">
        <v>0</v>
      </c>
      <c r="T715" s="141">
        <f>'[20]מאזן בוחן'!AR636</f>
        <v>0</v>
      </c>
      <c r="U715" s="141">
        <f>'[21]מאזן בוחן'!AS550</f>
        <v>0</v>
      </c>
      <c r="V715" s="726">
        <f>'[22]מאזן בוחן'!AJ536</f>
        <v>0</v>
      </c>
      <c r="W715" s="726">
        <f>'[23]מאזן בוחן'!AK542</f>
        <v>0</v>
      </c>
      <c r="X715" s="141">
        <v>0</v>
      </c>
      <c r="Y715" s="141">
        <f>'[25]מאזן בוחן'!AM572</f>
        <v>0</v>
      </c>
      <c r="AA715" s="141">
        <f>'[32]מאזן בוחן'!AO589</f>
        <v>0</v>
      </c>
      <c r="AB715" s="141">
        <f>'[26]מאזן בוחן'!AB599</f>
        <v>0</v>
      </c>
      <c r="AC715" s="141">
        <f>'[27]מאזן בוחן'!AC608</f>
        <v>0</v>
      </c>
      <c r="AD715" s="141">
        <f>'[28]מאזן בוחן'!AD617</f>
        <v>0</v>
      </c>
      <c r="AE715" s="141">
        <f>'[29]מאזן בוחן'!AE627</f>
        <v>0</v>
      </c>
      <c r="AF715" s="141">
        <f>'[30]מאזן בוחן'!AF638</f>
        <v>0</v>
      </c>
      <c r="AG715" s="141">
        <f>'[31]מאזן בוחן'!AG642</f>
        <v>0</v>
      </c>
      <c r="AH715" s="141">
        <v>0</v>
      </c>
      <c r="AI715" s="141">
        <v>0</v>
      </c>
      <c r="AJ715" s="141">
        <v>0</v>
      </c>
      <c r="AK715" s="141">
        <v>0</v>
      </c>
      <c r="AL715" s="141">
        <v>0</v>
      </c>
      <c r="AM715" s="141">
        <f>$K715-SUM($AB715:AL715)</f>
        <v>0</v>
      </c>
      <c r="AN715" s="141"/>
      <c r="AO715" s="141"/>
      <c r="AP715" s="141"/>
      <c r="AQ715" s="141"/>
      <c r="AR715" s="141"/>
      <c r="AS715" s="141"/>
      <c r="AT715" s="141"/>
      <c r="AU715" s="141"/>
      <c r="AV715" s="141"/>
      <c r="AW715" s="141"/>
      <c r="BA715" s="204"/>
    </row>
    <row r="716" spans="1:53">
      <c r="A716" s="52"/>
      <c r="B716" s="3659"/>
      <c r="C716" s="156"/>
      <c r="D716" s="1649"/>
      <c r="E716" s="1202"/>
      <c r="J716" s="474"/>
      <c r="K716" s="42"/>
      <c r="L716" s="49"/>
      <c r="M716" s="474"/>
      <c r="N716" s="1104" t="str">
        <f t="shared" si="146"/>
        <v>-</v>
      </c>
      <c r="O716" s="1133"/>
      <c r="P716" s="137">
        <v>0</v>
      </c>
      <c r="Q716" s="141">
        <f>'[39]מאזן בוחן'!AE587</f>
        <v>0</v>
      </c>
      <c r="R716" s="141">
        <v>0</v>
      </c>
      <c r="S716" s="141">
        <v>0</v>
      </c>
      <c r="T716" s="141">
        <f>'[20]מאזן בוחן'!AR637</f>
        <v>0</v>
      </c>
      <c r="U716" s="141">
        <f>'[21]מאזן בוחן'!AS551</f>
        <v>0</v>
      </c>
      <c r="V716" s="726">
        <f>'[22]מאזן בוחן'!AJ537</f>
        <v>0</v>
      </c>
      <c r="W716" s="726">
        <f>'[23]מאזן בוחן'!AK543</f>
        <v>0</v>
      </c>
      <c r="X716" s="141">
        <v>0</v>
      </c>
      <c r="Y716" s="141">
        <f>'[25]מאזן בוחן'!AM573</f>
        <v>0</v>
      </c>
      <c r="AA716" s="141">
        <f>'[32]מאזן בוחן'!AO590</f>
        <v>0</v>
      </c>
      <c r="AB716" s="141">
        <f>'[26]מאזן בוחן'!AB600</f>
        <v>0</v>
      </c>
      <c r="AC716" s="141">
        <f>'[27]מאזן בוחן'!AC609</f>
        <v>0</v>
      </c>
      <c r="AD716" s="141">
        <f>'[28]מאזן בוחן'!AD618</f>
        <v>0</v>
      </c>
      <c r="AE716" s="141">
        <f>'[29]מאזן בוחן'!AE628</f>
        <v>0</v>
      </c>
      <c r="AF716" s="141">
        <f>'[30]מאזן בוחן'!AF639</f>
        <v>0</v>
      </c>
      <c r="AG716" s="141">
        <f>'[31]מאזן בוחן'!AG643</f>
        <v>0</v>
      </c>
      <c r="AH716" s="141">
        <v>0</v>
      </c>
      <c r="AI716" s="141">
        <v>0</v>
      </c>
      <c r="AJ716" s="141">
        <v>0</v>
      </c>
      <c r="AK716" s="141">
        <v>0</v>
      </c>
      <c r="AL716" s="141">
        <v>0</v>
      </c>
      <c r="AM716" s="141">
        <f>$K716-SUM($AB716:AL716)</f>
        <v>0</v>
      </c>
      <c r="AN716" s="141"/>
      <c r="AO716" s="141"/>
      <c r="AP716" s="141"/>
      <c r="AQ716" s="141"/>
      <c r="AR716" s="141"/>
      <c r="AS716" s="141"/>
      <c r="AT716" s="141"/>
      <c r="AU716" s="141"/>
      <c r="AV716" s="141"/>
      <c r="AW716" s="141"/>
      <c r="BA716" s="204"/>
    </row>
    <row r="717" spans="1:53">
      <c r="A717" s="52"/>
      <c r="B717" s="3659" t="s">
        <v>1167</v>
      </c>
      <c r="C717" s="585">
        <v>8010001</v>
      </c>
      <c r="D717" s="203" t="s">
        <v>1168</v>
      </c>
      <c r="E717" s="474">
        <f>IFERROR(VLOOKUP(C717,'פקודות נוספות'!$D$274:$F$797,3,0),0)</f>
        <v>3352053</v>
      </c>
      <c r="F717" s="49">
        <f>SUMIF('פקודות נוספות'!C:C,C:C,'פקודות נוספות'!E:E)</f>
        <v>0</v>
      </c>
      <c r="J717" s="474">
        <f>SUM(E717:I717)</f>
        <v>3352053</v>
      </c>
      <c r="K717" s="42">
        <f>M717+SUMIF('פקודות נוספות'!C:C,'מאזן בוחן'!C717,'פקודות נוספות'!F:F)</f>
        <v>1036695.46</v>
      </c>
      <c r="L717" s="49"/>
      <c r="M717" s="1341">
        <f>IFERROR(VLOOKUP(C717,'פקודות נוספות'!$D$273:$G$797,4,0),0)</f>
        <v>1036695.46</v>
      </c>
      <c r="N717" s="1104">
        <f t="shared" si="146"/>
        <v>3.2334018323954079</v>
      </c>
      <c r="O717" s="1133"/>
      <c r="P717" s="1512">
        <v>78999.12999999999</v>
      </c>
      <c r="Q717" s="141">
        <f>'[39]מאזן בוחן'!AE588</f>
        <v>80845.439999999988</v>
      </c>
      <c r="R717" s="141">
        <v>54898.570000000022</v>
      </c>
      <c r="S717" s="141">
        <v>57689.890000000014</v>
      </c>
      <c r="T717" s="141">
        <f>'[20]מאזן בוחן'!AR639</f>
        <v>59039.239999999976</v>
      </c>
      <c r="U717" s="141">
        <f>'[21]מאזן בוחן'!AS552</f>
        <v>69315.140000000029</v>
      </c>
      <c r="V717" s="726">
        <f>'[22]מאזן בוחן'!AJ538</f>
        <v>82301.609999999913</v>
      </c>
      <c r="W717" s="726">
        <f>'[23]מאזן בוחן'!AK544</f>
        <v>82204.590000000127</v>
      </c>
      <c r="X717" s="141">
        <v>82257.449999999822</v>
      </c>
      <c r="Y717" s="141">
        <f>'[25]מאזן בוחן'!AM574</f>
        <v>85107.620000000112</v>
      </c>
      <c r="AA717" s="141">
        <f>'[32]מאזן בוחן'!AO591</f>
        <v>88508.859999999986</v>
      </c>
      <c r="AB717" s="141">
        <f>'[26]מאזן בוחן'!AB601</f>
        <v>85550.9</v>
      </c>
      <c r="AC717" s="141">
        <f>'[27]מאזן בוחן'!AC610</f>
        <v>95461.890000000014</v>
      </c>
      <c r="AD717" s="141">
        <f>'[28]מאזן בוחן'!AD619</f>
        <v>91964.91</v>
      </c>
      <c r="AE717" s="141">
        <f>'[29]מאזן בוחן'!AE629</f>
        <v>92477.359999999986</v>
      </c>
      <c r="AF717" s="141">
        <f>'[30]מאזן בוחן'!AF640</f>
        <v>92283.739999999991</v>
      </c>
      <c r="AG717" s="141">
        <f>'[31]מאזן בוחן'!AG644</f>
        <v>92102.760000000068</v>
      </c>
      <c r="AH717" s="141">
        <v>83701.519999999902</v>
      </c>
      <c r="AI717" s="141">
        <v>81626.440000000061</v>
      </c>
      <c r="AJ717" s="141">
        <v>81500.150000000023</v>
      </c>
      <c r="AK717" s="141">
        <v>84181.439999999944</v>
      </c>
      <c r="AL717" s="141">
        <v>76597.089999999967</v>
      </c>
      <c r="AM717" s="141">
        <f>$K717-SUM($AB717:AL717)</f>
        <v>79247.260000000009</v>
      </c>
      <c r="AN717" s="141"/>
      <c r="AO717" s="141" t="s">
        <v>4560</v>
      </c>
      <c r="AP717" s="141"/>
      <c r="AQ717" s="141"/>
      <c r="AR717" s="141"/>
      <c r="AS717" s="141" t="s">
        <v>3968</v>
      </c>
      <c r="AT717" s="141"/>
      <c r="AU717" s="141"/>
      <c r="AV717" s="141"/>
      <c r="AW717" s="141"/>
      <c r="BA717" s="204"/>
    </row>
    <row r="718" spans="1:53">
      <c r="A718" s="52"/>
      <c r="B718" s="3659" t="s">
        <v>1167</v>
      </c>
      <c r="C718" s="585">
        <v>8010002</v>
      </c>
      <c r="D718" s="203" t="s">
        <v>1169</v>
      </c>
      <c r="E718" s="474">
        <f>IFERROR(VLOOKUP(C718,'פקודות נוספות'!$D$274:$F$797,3,0),0)</f>
        <v>48975</v>
      </c>
      <c r="F718" s="49">
        <f>SUMIF('פקודות נוספות'!C:C,C:C,'פקודות נוספות'!E:E)</f>
        <v>0</v>
      </c>
      <c r="J718" s="474">
        <f t="shared" ref="J718:J742" si="148">SUM(E718:I718)</f>
        <v>48975</v>
      </c>
      <c r="K718" s="42">
        <f>M718+SUMIF('פקודות נוספות'!C:C,'מאזן בוחן'!C718,'פקודות נוספות'!F:F)</f>
        <v>15025.03</v>
      </c>
      <c r="L718" s="49"/>
      <c r="M718" s="1341">
        <f>IFERROR(VLOOKUP(C718,'פקודות נוספות'!$D$273:$G$797,4,0),0)</f>
        <v>15025.03</v>
      </c>
      <c r="N718" s="1104">
        <f t="shared" ref="N718:N742" si="149">IF(K718=0,"-",J718/K718)</f>
        <v>3.2595608794125535</v>
      </c>
      <c r="O718" s="1133"/>
      <c r="P718" s="137">
        <v>-5656.99</v>
      </c>
      <c r="Q718" s="141">
        <f>'[39]מאזן בוחן'!AE589</f>
        <v>0</v>
      </c>
      <c r="R718" s="141">
        <v>2857.14</v>
      </c>
      <c r="S718" s="141">
        <v>0</v>
      </c>
      <c r="T718" s="141">
        <f>'[20]מאזן בוחן'!AR641</f>
        <v>0</v>
      </c>
      <c r="U718" s="141">
        <f>'[21]מאזן בוחן'!AS553</f>
        <v>0</v>
      </c>
      <c r="V718" s="726">
        <f>'[22]מאזן בוחן'!AJ539</f>
        <v>0</v>
      </c>
      <c r="W718" s="726">
        <f>'[23]מאזן בוחן'!AK545</f>
        <v>0</v>
      </c>
      <c r="X718" s="141">
        <v>0</v>
      </c>
      <c r="Y718" s="141">
        <f>'[25]מאזן בוחן'!AM575</f>
        <v>-1.1368683772161603E-13</v>
      </c>
      <c r="Z718" s="141"/>
      <c r="AA718" s="141">
        <f>'[32]מאזן בוחן'!AO592</f>
        <v>12441.68</v>
      </c>
      <c r="AB718" s="141">
        <f>'[26]מאזן בוחן'!AB602</f>
        <v>0</v>
      </c>
      <c r="AC718" s="141">
        <f>'[27]מאזן בוחן'!AC611</f>
        <v>10060.98</v>
      </c>
      <c r="AD718" s="141">
        <f>'[28]מאזן בוחן'!AD620</f>
        <v>1598.08</v>
      </c>
      <c r="AE718" s="141">
        <f>'[29]מאזן בוחן'!AE630</f>
        <v>0</v>
      </c>
      <c r="AF718" s="141">
        <f>'[30]מאזן בוחן'!AF641</f>
        <v>0</v>
      </c>
      <c r="AG718" s="141">
        <f>'[31]מאזן בוחן'!AG645</f>
        <v>100</v>
      </c>
      <c r="AH718" s="141">
        <v>0</v>
      </c>
      <c r="AI718" s="141">
        <v>0</v>
      </c>
      <c r="AJ718" s="141">
        <v>99.409999999999854</v>
      </c>
      <c r="AK718" s="141">
        <v>3166.5600000000013</v>
      </c>
      <c r="AL718" s="141">
        <v>0</v>
      </c>
      <c r="AM718" s="141">
        <f>$K718-SUM($AB718:AL718)</f>
        <v>0</v>
      </c>
      <c r="AN718" s="141"/>
      <c r="AO718" s="141"/>
      <c r="AP718" s="141"/>
      <c r="AQ718" s="141"/>
      <c r="AR718" s="141"/>
      <c r="AS718" s="141"/>
      <c r="AT718" s="141"/>
      <c r="AU718" s="141"/>
      <c r="AV718" s="141"/>
      <c r="AW718" s="141"/>
      <c r="AX718" s="141"/>
      <c r="BA718" s="204"/>
    </row>
    <row r="719" spans="1:53">
      <c r="A719" s="52"/>
      <c r="B719" s="3659" t="s">
        <v>1167</v>
      </c>
      <c r="C719" s="585">
        <v>8010003</v>
      </c>
      <c r="D719" s="203" t="s">
        <v>1170</v>
      </c>
      <c r="E719" s="474">
        <f>IFERROR(VLOOKUP(C719,'פקודות נוספות'!$D$274:$F$797,3,0),0)</f>
        <v>264668.15000000002</v>
      </c>
      <c r="F719" s="49">
        <f>SUMIF('פקודות נוספות'!C:C,C:C,'פקודות נוספות'!E:E)</f>
        <v>0</v>
      </c>
      <c r="J719" s="474">
        <f t="shared" si="148"/>
        <v>264668.15000000002</v>
      </c>
      <c r="K719" s="42">
        <f>M719+SUMIF('פקודות נוספות'!C:C,'מאזן בוחן'!C719,'פקודות נוספות'!F:F)</f>
        <v>79974.559999999998</v>
      </c>
      <c r="L719" s="49"/>
      <c r="M719" s="1341">
        <f>IFERROR(VLOOKUP(C719,'פקודות נוספות'!$D$273:$G$797,4,0),0)</f>
        <v>79974.559999999998</v>
      </c>
      <c r="N719" s="1104">
        <f t="shared" si="149"/>
        <v>3.3094042655564473</v>
      </c>
      <c r="O719" s="1133"/>
      <c r="P719" s="137">
        <v>-1942.3100000000013</v>
      </c>
      <c r="Q719" s="141">
        <f>'[39]מאזן בוחן'!AE590</f>
        <v>9773.0000000000018</v>
      </c>
      <c r="R719" s="141">
        <v>9773.0000000000018</v>
      </c>
      <c r="S719" s="141">
        <v>9772.9999999999909</v>
      </c>
      <c r="T719" s="141">
        <f>'[20]מאזן בוחן'!AR642</f>
        <v>9773.0000000000091</v>
      </c>
      <c r="U719" s="141">
        <f>'[21]מאזן בוחן'!AS554</f>
        <v>9772.9999999999982</v>
      </c>
      <c r="V719" s="726">
        <f>'[22]מאזן בוחן'!AJ540</f>
        <v>13533.859999999995</v>
      </c>
      <c r="W719" s="726">
        <f>'[23]מאזן בוחן'!AK546</f>
        <v>-26.68999999999869</v>
      </c>
      <c r="X719" s="141">
        <v>9772.9999999999982</v>
      </c>
      <c r="Y719" s="141">
        <f>'[25]מאזן בוחן'!AM576</f>
        <v>9773</v>
      </c>
      <c r="Z719" s="141"/>
      <c r="AA719" s="141">
        <f>'[32]מאזן בוחן'!AO593</f>
        <v>-53629.429999999993</v>
      </c>
      <c r="AB719" s="141">
        <f>'[26]מאזן בוחן'!AB603</f>
        <v>3672.74</v>
      </c>
      <c r="AC719" s="141">
        <f>'[27]מאזן בוחן'!AC612</f>
        <v>1611.6800000000003</v>
      </c>
      <c r="AD719" s="141">
        <f>'[28]מאזן בוחן'!AD621</f>
        <v>19507.559999999998</v>
      </c>
      <c r="AE719" s="141">
        <f>'[29]מאזן בוחן'!AE631</f>
        <v>0</v>
      </c>
      <c r="AF719" s="141">
        <f>'[30]מאזן בוחן'!AF642</f>
        <v>0</v>
      </c>
      <c r="AG719" s="141">
        <f>'[31]מאזן בוחן'!AG646</f>
        <v>27459.480000000003</v>
      </c>
      <c r="AH719" s="141">
        <v>0</v>
      </c>
      <c r="AI719" s="141">
        <v>0</v>
      </c>
      <c r="AJ719" s="141">
        <v>27723.1</v>
      </c>
      <c r="AK719" s="141">
        <v>0</v>
      </c>
      <c r="AL719" s="141">
        <v>0</v>
      </c>
      <c r="AM719" s="141">
        <f>$K719-SUM($AB719:AL719)</f>
        <v>0</v>
      </c>
      <c r="AN719" s="141"/>
      <c r="AO719" s="141"/>
      <c r="AP719" s="141"/>
      <c r="AQ719" s="141"/>
      <c r="AR719" s="141"/>
      <c r="AS719" s="141"/>
      <c r="AT719" s="141"/>
      <c r="AU719" s="141"/>
      <c r="AV719" s="141"/>
      <c r="AW719" s="141"/>
      <c r="AX719" s="141"/>
      <c r="BA719" s="204"/>
    </row>
    <row r="720" spans="1:53">
      <c r="A720" s="52"/>
      <c r="B720" s="3659" t="s">
        <v>1167</v>
      </c>
      <c r="C720" s="585">
        <v>8010032</v>
      </c>
      <c r="D720" s="203" t="s">
        <v>1171</v>
      </c>
      <c r="E720" s="474">
        <f>IFERROR(VLOOKUP(C720,'פקודות נוספות'!$D$274:$F$797,3,0),0)</f>
        <v>84600</v>
      </c>
      <c r="F720" s="49">
        <f>SUMIF('פקודות נוספות'!C:C,C:C,'פקודות נוספות'!E:E)</f>
        <v>0</v>
      </c>
      <c r="J720" s="474">
        <f t="shared" si="148"/>
        <v>84600</v>
      </c>
      <c r="K720" s="42">
        <f>M720+SUMIF('פקודות נוספות'!C:C,'מאזן בוחן'!C720,'פקודות נוספות'!F:F)</f>
        <v>26517.69</v>
      </c>
      <c r="L720" s="49"/>
      <c r="M720" s="1341">
        <f>IFERROR(VLOOKUP(C720,'פקודות נוספות'!$D$273:$G$797,4,0),0)</f>
        <v>26517.69</v>
      </c>
      <c r="N720" s="1104">
        <f t="shared" si="149"/>
        <v>3.1903231390064519</v>
      </c>
      <c r="O720" s="1133"/>
      <c r="P720" s="137">
        <v>0</v>
      </c>
      <c r="Q720" s="141">
        <f>'[39]מאזן בוחן'!AE591</f>
        <v>0</v>
      </c>
      <c r="R720" s="141">
        <v>0</v>
      </c>
      <c r="S720" s="141">
        <v>0</v>
      </c>
      <c r="T720" s="141">
        <f>'[20]מאזן בוחן'!AR643</f>
        <v>0</v>
      </c>
      <c r="U720" s="141">
        <f>'[21]מאזן בוחן'!AS555</f>
        <v>0</v>
      </c>
      <c r="V720" s="726">
        <f>'[22]מאזן בוחן'!AJ541</f>
        <v>0</v>
      </c>
      <c r="W720" s="726">
        <f>'[23]מאזן בוחן'!AK547</f>
        <v>0</v>
      </c>
      <c r="X720" s="141">
        <v>0</v>
      </c>
      <c r="Y720" s="141">
        <f>'[25]מאזן בוחן'!AM577</f>
        <v>0</v>
      </c>
      <c r="Z720" s="141"/>
      <c r="AA720" s="141">
        <f>'[32]מאזן בוחן'!AO594</f>
        <v>0</v>
      </c>
      <c r="AB720" s="141">
        <f>'[26]מאזן בוחן'!AB604</f>
        <v>0</v>
      </c>
      <c r="AC720" s="141">
        <f>'[27]מאזן בוחן'!AC613</f>
        <v>0</v>
      </c>
      <c r="AD720" s="141">
        <f>'[28]מאזן בוחן'!AD622</f>
        <v>0</v>
      </c>
      <c r="AE720" s="141">
        <f>'[29]מאזן בוחן'!AE632</f>
        <v>0</v>
      </c>
      <c r="AF720" s="141">
        <f>'[30]מאזן בוחן'!AF643</f>
        <v>0</v>
      </c>
      <c r="AG720" s="141">
        <f>'[31]מאזן בוחן'!AG647</f>
        <v>8289.84</v>
      </c>
      <c r="AH720" s="141">
        <v>0</v>
      </c>
      <c r="AI720" s="141">
        <v>0</v>
      </c>
      <c r="AJ720" s="141">
        <v>0</v>
      </c>
      <c r="AK720" s="141">
        <v>9119.6899999999987</v>
      </c>
      <c r="AL720" s="141">
        <v>9108.16</v>
      </c>
      <c r="AM720" s="141">
        <f>$K720-SUM($AB720:AL720)</f>
        <v>0</v>
      </c>
      <c r="AN720" s="141"/>
      <c r="AO720" s="141"/>
      <c r="AP720" s="141"/>
      <c r="AQ720" s="141"/>
      <c r="AR720" s="141"/>
      <c r="AS720" s="141"/>
      <c r="AT720" s="141"/>
      <c r="AU720" s="141"/>
      <c r="AV720" s="141"/>
      <c r="AW720" s="141"/>
      <c r="AX720" s="141"/>
      <c r="BA720" s="204"/>
    </row>
    <row r="721" spans="1:53">
      <c r="A721" s="52"/>
      <c r="B721" s="3659" t="s">
        <v>1167</v>
      </c>
      <c r="C721" s="585">
        <v>8420020</v>
      </c>
      <c r="D721" s="203" t="s">
        <v>1172</v>
      </c>
      <c r="E721" s="474">
        <f>IFERROR(VLOOKUP(C721,'פקודות נוספות'!$D$274:$F$797,3,0),0)</f>
        <v>331334.2</v>
      </c>
      <c r="F721" s="49">
        <f>SUMIF('פקודות נוספות'!C:C,C:C,'פקודות נוספות'!E:E)</f>
        <v>0</v>
      </c>
      <c r="J721" s="474">
        <f>SUM(E721:I721)</f>
        <v>331334.2</v>
      </c>
      <c r="K721" s="42">
        <f>M721+SUMIF('פקודות נוספות'!C:C,'מאזן בוחן'!C721,'פקודות נוספות'!F:F)</f>
        <v>101141.89</v>
      </c>
      <c r="L721" s="49"/>
      <c r="M721" s="1341">
        <f>IFERROR(VLOOKUP(C721,'פקודות נוספות'!$D$273:$G$797,4,0),0)</f>
        <v>101141.89</v>
      </c>
      <c r="N721" s="1104">
        <f>IF(K721=0,"-",J721/K721)</f>
        <v>3.2759344323108852</v>
      </c>
      <c r="O721" s="1133"/>
      <c r="P721" s="137">
        <v>0</v>
      </c>
      <c r="Q721" s="141">
        <f>'[39]מאזן בוחן'!AE592</f>
        <v>14860.971716460532</v>
      </c>
      <c r="R721" s="141">
        <v>275.98947473426415</v>
      </c>
      <c r="S721" s="141">
        <v>-274.9611911947959</v>
      </c>
      <c r="T721" s="141">
        <f>'[20]מאזן בוחן'!AR644</f>
        <v>38377.125216387765</v>
      </c>
      <c r="U721" s="141">
        <f>'[21]מאזן בוחן'!AS556</f>
        <v>-0.12521638776524924</v>
      </c>
      <c r="V721" s="726">
        <f>'[22]מאזן בוחן'!AJ542</f>
        <v>0</v>
      </c>
      <c r="W721" s="726">
        <f>'[23]מאזן בוחן'!AK548</f>
        <v>40312.520976460335</v>
      </c>
      <c r="X721" s="141">
        <v>-9.7646032372722402E-4</v>
      </c>
      <c r="Y721" s="141">
        <f>'[25]מאזן בוחן'!AM578</f>
        <v>0</v>
      </c>
      <c r="Z721" s="141"/>
      <c r="AA721" s="141">
        <f>'[32]מאזן בוחן'!AO595</f>
        <v>35697.619999999981</v>
      </c>
      <c r="AB721" s="141">
        <f>'[26]מאזן בוחן'!AB605</f>
        <v>0</v>
      </c>
      <c r="AC721" s="141">
        <f>'[27]מאזן בוחן'!AC614</f>
        <v>0</v>
      </c>
      <c r="AD721" s="141">
        <f>'[28]מאזן בוחן'!AD623</f>
        <v>57222.71</v>
      </c>
      <c r="AE721" s="141">
        <f>'[29]מאזן בוחן'!AE633</f>
        <v>0</v>
      </c>
      <c r="AF721" s="141">
        <f>'[30]מאזן בוחן'!AF644</f>
        <v>0</v>
      </c>
      <c r="AG721" s="141">
        <f>'[31]מאזן בוחן'!AG648</f>
        <v>11786.400000000001</v>
      </c>
      <c r="AH721" s="141">
        <v>0</v>
      </c>
      <c r="AI721" s="141">
        <v>0</v>
      </c>
      <c r="AJ721" s="141">
        <v>18482.080000000002</v>
      </c>
      <c r="AK721" s="141">
        <v>0</v>
      </c>
      <c r="AL721" s="141">
        <v>0</v>
      </c>
      <c r="AM721" s="141">
        <f>$K721-SUM($AB721:AL721)</f>
        <v>13650.699999999997</v>
      </c>
      <c r="AN721" s="141"/>
      <c r="AO721" s="141"/>
      <c r="AP721" s="141"/>
      <c r="AQ721" s="141"/>
      <c r="AR721" s="141"/>
      <c r="AS721" s="141"/>
      <c r="AT721" s="141"/>
      <c r="AU721" s="141"/>
      <c r="AV721" s="141"/>
      <c r="AW721" s="141"/>
      <c r="AX721" s="141"/>
      <c r="BA721" s="204"/>
    </row>
    <row r="722" spans="1:53">
      <c r="A722" s="52"/>
      <c r="B722" s="3659"/>
      <c r="C722" s="585"/>
      <c r="D722" s="1516"/>
      <c r="E722" s="1202"/>
      <c r="J722" s="474"/>
      <c r="K722" s="42"/>
      <c r="L722" s="49"/>
      <c r="M722" s="1341">
        <f>IFERROR(VLOOKUP(C722,'פקודות נוספות'!$D$273:$G$797,4,0),0)</f>
        <v>0</v>
      </c>
      <c r="O722" s="1133"/>
      <c r="P722" s="137">
        <v>0</v>
      </c>
      <c r="Q722" s="141">
        <f>'[39]מאזן בוחן'!AE593</f>
        <v>0</v>
      </c>
      <c r="R722" s="141">
        <v>0</v>
      </c>
      <c r="S722" s="141">
        <v>0</v>
      </c>
      <c r="T722" s="141">
        <f>'[20]מאזן בוחן'!AR646</f>
        <v>0</v>
      </c>
      <c r="U722" s="141">
        <f>'[21]מאזן בוחן'!AS557</f>
        <v>0</v>
      </c>
      <c r="V722" s="726">
        <f>'[22]מאזן בוחן'!AJ543</f>
        <v>0</v>
      </c>
      <c r="W722" s="726">
        <f>'[23]מאזן בוחן'!AK549</f>
        <v>0</v>
      </c>
      <c r="X722" s="141">
        <v>0</v>
      </c>
      <c r="Y722" s="141">
        <f>'[25]מאזן בוחן'!AM579</f>
        <v>0</v>
      </c>
      <c r="Z722" s="141"/>
      <c r="AA722" s="141">
        <f>'[32]מאזן בוחן'!AO596</f>
        <v>0</v>
      </c>
      <c r="AB722" s="141">
        <f>'[26]מאזן בוחן'!AB606</f>
        <v>0</v>
      </c>
      <c r="AC722" s="141">
        <f>'[27]מאזן בוחן'!AC615</f>
        <v>0</v>
      </c>
      <c r="AD722" s="141">
        <f>'[28]מאזן בוחן'!AD624</f>
        <v>0</v>
      </c>
      <c r="AE722" s="141">
        <f>'[29]מאזן בוחן'!AE634</f>
        <v>0</v>
      </c>
      <c r="AF722" s="141">
        <f>'[30]מאזן בוחן'!AF645</f>
        <v>0</v>
      </c>
      <c r="AG722" s="141">
        <f>'[31]מאזן בוחן'!AG649</f>
        <v>0</v>
      </c>
      <c r="AH722" s="141">
        <v>0</v>
      </c>
      <c r="AI722" s="141">
        <v>0</v>
      </c>
      <c r="AJ722" s="141">
        <v>0</v>
      </c>
      <c r="AK722" s="141">
        <v>0</v>
      </c>
      <c r="AL722" s="141">
        <v>0</v>
      </c>
      <c r="AM722" s="141">
        <f>$K722-SUM($AB722:AL722)</f>
        <v>0</v>
      </c>
      <c r="AN722" s="141"/>
      <c r="AO722" s="141"/>
      <c r="AP722" s="141"/>
      <c r="AQ722" s="141"/>
      <c r="AR722" s="141"/>
      <c r="AS722" s="141"/>
      <c r="AT722" s="141"/>
      <c r="AU722" s="141"/>
      <c r="AV722" s="141"/>
      <c r="AW722" s="141"/>
      <c r="AX722" s="141"/>
      <c r="BA722" s="204"/>
    </row>
    <row r="723" spans="1:53">
      <c r="A723" s="52"/>
      <c r="B723" s="3659" t="s">
        <v>1723</v>
      </c>
      <c r="C723" s="585">
        <v>8510001</v>
      </c>
      <c r="D723" s="1516" t="s">
        <v>1724</v>
      </c>
      <c r="E723" s="474">
        <f>IFERROR(VLOOKUP(C723,'פקודות נוספות'!$D$274:$F$797,3,0),0)</f>
        <v>482308</v>
      </c>
      <c r="F723" s="49">
        <f>SUMIF('פקודות נוספות'!C:C,C:C,'פקודות נוספות'!E:E)</f>
        <v>0</v>
      </c>
      <c r="J723" s="474">
        <f>SUM(E723:I723)</f>
        <v>482308</v>
      </c>
      <c r="K723" s="42">
        <f>M723+SUMIF('פקודות נוספות'!C:C,'מאזן בוחן'!C723,'פקודות נוספות'!F:F)</f>
        <v>149390.91</v>
      </c>
      <c r="L723" s="49"/>
      <c r="M723" s="1341">
        <f>IFERROR(VLOOKUP(C723,'פקודות נוספות'!$D$273:$G$797,4,0),0)</f>
        <v>149390.91</v>
      </c>
      <c r="N723" s="1104">
        <f>IF(K723=0,"-",J723/K723)</f>
        <v>3.2284962987373191</v>
      </c>
      <c r="O723" s="1133"/>
      <c r="P723" s="1512">
        <v>11703.49</v>
      </c>
      <c r="Q723" s="141">
        <f>'[39]מאזן בוחן'!AE594</f>
        <v>10754.839999999998</v>
      </c>
      <c r="R723" s="141">
        <v>10840.570000000005</v>
      </c>
      <c r="S723" s="141">
        <v>11096.229999999998</v>
      </c>
      <c r="T723" s="141">
        <f>'[20]מאזן בוחן'!AR647</f>
        <v>10938.26</v>
      </c>
      <c r="U723" s="141">
        <f>'[21]מאזן בוחן'!AS558</f>
        <v>11127.050000000005</v>
      </c>
      <c r="V723" s="726">
        <f>'[22]מאזן בוחן'!AJ544</f>
        <v>11281.079999999989</v>
      </c>
      <c r="W723" s="726">
        <f>'[23]מאזן בוחן'!AK550</f>
        <v>11099.100000000015</v>
      </c>
      <c r="X723" s="141">
        <v>11081.530000000008</v>
      </c>
      <c r="Y723" s="141">
        <f>'[25]מאזן בוחן'!AM580</f>
        <v>11460.699999999968</v>
      </c>
      <c r="Z723" s="141"/>
      <c r="AA723" s="141">
        <f>'[32]מאזן בוחן'!AO597</f>
        <v>11797.199999999997</v>
      </c>
      <c r="AB723" s="141">
        <f>'[26]מאזן בוחן'!AB607</f>
        <v>11519.9</v>
      </c>
      <c r="AC723" s="141">
        <f>'[27]מאזן בוחן'!AC616</f>
        <v>12626.519999999999</v>
      </c>
      <c r="AD723" s="141">
        <f>'[28]מאזן בוחן'!AD625</f>
        <v>12235.450000000004</v>
      </c>
      <c r="AE723" s="141">
        <f>'[29]מאזן בוחן'!AE635</f>
        <v>12270.399999999994</v>
      </c>
      <c r="AF723" s="141">
        <f>'[30]מאזן בוחן'!AF646</f>
        <v>12247.770000000004</v>
      </c>
      <c r="AG723" s="141">
        <f>'[31]מאזן בוחן'!AG650</f>
        <v>12225.150000000001</v>
      </c>
      <c r="AH723" s="141">
        <v>12334.669999999998</v>
      </c>
      <c r="AI723" s="141">
        <v>12437.479999999996</v>
      </c>
      <c r="AJ723" s="141">
        <v>12415.61</v>
      </c>
      <c r="AK723" s="141">
        <v>12611.460000000006</v>
      </c>
      <c r="AL723" s="141">
        <v>12638.839999999997</v>
      </c>
      <c r="AM723" s="141">
        <f>$K723-SUM($AB723:AL723)</f>
        <v>13827.660000000003</v>
      </c>
      <c r="AN723" s="141"/>
      <c r="AO723" s="141"/>
      <c r="AP723" s="141"/>
      <c r="AQ723" s="141"/>
      <c r="AR723" s="141"/>
      <c r="AS723" s="141"/>
      <c r="AT723" s="141"/>
      <c r="AU723" s="141"/>
      <c r="AV723" s="141"/>
      <c r="AW723" s="141"/>
      <c r="AX723" s="141"/>
      <c r="BA723" s="204"/>
    </row>
    <row r="724" spans="1:53">
      <c r="A724" s="52"/>
      <c r="B724" s="3659" t="s">
        <v>1723</v>
      </c>
      <c r="C724" s="585">
        <v>8510002</v>
      </c>
      <c r="D724" s="1516" t="s">
        <v>1756</v>
      </c>
      <c r="E724" s="474">
        <f>IFERROR(VLOOKUP(C724,'פקודות נוספות'!$D$274:$F$797,3,0),0)</f>
        <v>649</v>
      </c>
      <c r="F724" s="49">
        <f>SUMIF('פקודות נוספות'!C:C,C:C,'פקודות נוספות'!E:E)</f>
        <v>0</v>
      </c>
      <c r="J724" s="474">
        <f>SUM(E724:I724)</f>
        <v>649</v>
      </c>
      <c r="K724" s="42">
        <f>M724+SUMIF('פקודות נוספות'!C:C,'מאזן בוחן'!C724,'פקודות נוספות'!F:F)</f>
        <v>201.56</v>
      </c>
      <c r="L724" s="49"/>
      <c r="M724" s="1341">
        <f>IFERROR(VLOOKUP(C724,'פקודות נוספות'!$D$273:$G$797,4,0),0)</f>
        <v>201.56</v>
      </c>
      <c r="N724" s="1104">
        <f>IF(K724=0,"-",J724/K724)</f>
        <v>3.2198848977971819</v>
      </c>
      <c r="O724" s="1133"/>
      <c r="P724" s="137">
        <v>2884.34</v>
      </c>
      <c r="Q724" s="141">
        <f>'[39]מאזן בוחן'!AE595</f>
        <v>0</v>
      </c>
      <c r="R724" s="141">
        <v>0</v>
      </c>
      <c r="S724" s="141">
        <v>0</v>
      </c>
      <c r="T724" s="141">
        <f>'[20]מאזן בוחן'!AR648</f>
        <v>0</v>
      </c>
      <c r="U724" s="141">
        <f>'[21]מאזן בוחן'!AS559</f>
        <v>0</v>
      </c>
      <c r="V724" s="726">
        <f>'[22]מאזן בוחן'!AJ545</f>
        <v>0</v>
      </c>
      <c r="W724" s="726">
        <f>'[23]מאזן בוחן'!AK551</f>
        <v>0</v>
      </c>
      <c r="X724" s="141">
        <v>0</v>
      </c>
      <c r="Y724" s="141">
        <f>'[25]מאזן בוחן'!AM581</f>
        <v>0</v>
      </c>
      <c r="Z724" s="141"/>
      <c r="AA724" s="141">
        <f>'[32]מאזן בוחן'!AO598</f>
        <v>0</v>
      </c>
      <c r="AB724" s="141">
        <f>'[26]מאזן בוחן'!AB608</f>
        <v>0</v>
      </c>
      <c r="AC724" s="141">
        <f>'[27]מאזן בוחן'!AC617</f>
        <v>0</v>
      </c>
      <c r="AD724" s="141">
        <f>'[28]מאזן בוחן'!AD626</f>
        <v>0</v>
      </c>
      <c r="AE724" s="141">
        <f>'[29]מאזן בוחן'!AE636</f>
        <v>0</v>
      </c>
      <c r="AF724" s="141">
        <f>'[30]מאזן בוחן'!AF647</f>
        <v>0</v>
      </c>
      <c r="AG724" s="141">
        <f>'[31]מאזן בוחן'!AG651</f>
        <v>0</v>
      </c>
      <c r="AH724" s="141">
        <v>100.84</v>
      </c>
      <c r="AI724" s="141">
        <v>100.72</v>
      </c>
      <c r="AJ724" s="141">
        <v>0</v>
      </c>
      <c r="AK724" s="141">
        <v>0</v>
      </c>
      <c r="AL724" s="141">
        <v>0</v>
      </c>
      <c r="AM724" s="141">
        <f>$K724-SUM($AB724:AL724)</f>
        <v>0</v>
      </c>
      <c r="AN724" s="141"/>
      <c r="AO724" s="141"/>
      <c r="AP724" s="141"/>
      <c r="AQ724" s="141"/>
      <c r="AR724" s="141"/>
      <c r="AS724" s="141"/>
      <c r="AT724" s="141"/>
      <c r="AU724" s="141"/>
      <c r="AV724" s="141"/>
      <c r="AW724" s="141"/>
      <c r="AX724" s="141"/>
      <c r="BA724" s="204"/>
    </row>
    <row r="725" spans="1:53">
      <c r="A725" s="52"/>
      <c r="B725" s="3659" t="s">
        <v>1723</v>
      </c>
      <c r="C725" s="585">
        <v>8510003</v>
      </c>
      <c r="D725" s="1516" t="s">
        <v>1757</v>
      </c>
      <c r="E725" s="474">
        <f>IFERROR(VLOOKUP(C725,'פקודות נוספות'!$D$274:$F$797,3,0),0)</f>
        <v>-583.88</v>
      </c>
      <c r="F725" s="49">
        <f>SUMIF('פקודות נוספות'!C:C,C:C,'פקודות נוספות'!E:E)</f>
        <v>0</v>
      </c>
      <c r="J725" s="474">
        <f>SUM(E725:I725)</f>
        <v>-583.88</v>
      </c>
      <c r="K725" s="42">
        <f>M725+SUMIF('פקודות נוספות'!C:C,'מאזן בוחן'!C725,'פקודות נוספות'!F:F)</f>
        <v>-309.39999999999998</v>
      </c>
      <c r="L725" s="49"/>
      <c r="M725" s="1341">
        <f>IFERROR(VLOOKUP(C725,'פקודות נוספות'!$D$273:$G$797,4,0),0)</f>
        <v>-309.39999999999998</v>
      </c>
      <c r="N725" s="1104">
        <f>IF(K725=0,"-",J725/K725)</f>
        <v>1.8871363930187461</v>
      </c>
      <c r="O725" s="1133"/>
      <c r="P725" s="137">
        <v>7084.51</v>
      </c>
      <c r="Q725" s="141">
        <f>'[39]מאזן בוחן'!AE596</f>
        <v>0</v>
      </c>
      <c r="R725" s="141">
        <v>0</v>
      </c>
      <c r="S725" s="141">
        <v>0</v>
      </c>
      <c r="T725" s="141">
        <f>'[20]מאזן בוחן'!AR649</f>
        <v>0</v>
      </c>
      <c r="U725" s="141">
        <f>'[21]מאזן בוחן'!AS560</f>
        <v>0</v>
      </c>
      <c r="V725" s="726">
        <f>'[22]מאזן בוחן'!AJ546</f>
        <v>0</v>
      </c>
      <c r="W725" s="726">
        <f>'[23]מאזן בוחן'!AK552</f>
        <v>0</v>
      </c>
      <c r="X725" s="141">
        <v>0</v>
      </c>
      <c r="Y725" s="141">
        <f>'[25]מאזן בוחן'!AM582</f>
        <v>0</v>
      </c>
      <c r="Z725" s="141"/>
      <c r="AA725" s="141">
        <f>'[32]מאזן בוחן'!AO599</f>
        <v>6630.1299999999992</v>
      </c>
      <c r="AB725" s="141">
        <f>'[26]מאזן בוחן'!AB609</f>
        <v>552.41999999999996</v>
      </c>
      <c r="AC725" s="141">
        <f>'[27]מאזן בוחן'!AC618</f>
        <v>242.51</v>
      </c>
      <c r="AD725" s="141">
        <f>'[28]מאזן בוחן'!AD627</f>
        <v>-1104.33</v>
      </c>
      <c r="AE725" s="141">
        <f>'[29]מאזן בוחן'!AE637</f>
        <v>0</v>
      </c>
      <c r="AF725" s="141">
        <f>'[30]מאזן בוחן'!AF648</f>
        <v>0</v>
      </c>
      <c r="AG725" s="141">
        <f>'[31]מאזן בוחן'!AG652</f>
        <v>0</v>
      </c>
      <c r="AH725" s="141">
        <v>0</v>
      </c>
      <c r="AI725" s="141">
        <v>0</v>
      </c>
      <c r="AJ725" s="141">
        <v>0</v>
      </c>
      <c r="AK725" s="141">
        <v>0</v>
      </c>
      <c r="AL725" s="141">
        <v>0</v>
      </c>
      <c r="AM725" s="141">
        <f>$K725-SUM($AB725:AL725)</f>
        <v>0</v>
      </c>
      <c r="AN725" s="141"/>
      <c r="AO725" s="141"/>
      <c r="AP725" s="141"/>
      <c r="AQ725" s="141"/>
      <c r="AR725" s="141"/>
      <c r="AS725" s="141"/>
      <c r="AT725" s="141"/>
      <c r="AU725" s="141"/>
      <c r="AV725" s="141"/>
      <c r="AW725" s="141"/>
      <c r="AX725" s="141"/>
      <c r="BA725" s="204"/>
    </row>
    <row r="726" spans="1:53">
      <c r="A726" s="52"/>
      <c r="B726" s="3659"/>
      <c r="C726" s="585"/>
      <c r="D726" s="1516"/>
      <c r="E726" s="1202"/>
      <c r="J726" s="474"/>
      <c r="K726" s="42"/>
      <c r="L726" s="49"/>
      <c r="M726" s="1341">
        <f>IFERROR(VLOOKUP(C726,'פקודות נוספות'!$D$273:$G$797,4,0),0)</f>
        <v>0</v>
      </c>
      <c r="O726" s="1133"/>
      <c r="P726" s="137">
        <v>0</v>
      </c>
      <c r="Q726" s="141">
        <f>'[39]מאזן בוחן'!AE597</f>
        <v>0</v>
      </c>
      <c r="R726" s="141">
        <v>0</v>
      </c>
      <c r="S726" s="141">
        <v>0</v>
      </c>
      <c r="T726" s="141">
        <f>'[20]מאזן בוחן'!AR650</f>
        <v>0</v>
      </c>
      <c r="U726" s="141">
        <f>'[21]מאזן בוחן'!AS561</f>
        <v>0</v>
      </c>
      <c r="V726" s="726">
        <f>'[22]מאזן בוחן'!AJ547</f>
        <v>0</v>
      </c>
      <c r="W726" s="726">
        <f>'[23]מאזן בוחן'!AK553</f>
        <v>0</v>
      </c>
      <c r="X726" s="141">
        <v>0</v>
      </c>
      <c r="Y726" s="141">
        <f>'[25]מאזן בוחן'!AM583</f>
        <v>0</v>
      </c>
      <c r="Z726" s="141"/>
      <c r="AA726" s="141">
        <f>'[32]מאזן בוחן'!AO600</f>
        <v>0</v>
      </c>
      <c r="AB726" s="141">
        <f>'[26]מאזן בוחן'!AB610</f>
        <v>0</v>
      </c>
      <c r="AC726" s="141">
        <f>'[27]מאזן בוחן'!AC619</f>
        <v>0</v>
      </c>
      <c r="AD726" s="141">
        <f>'[28]מאזן בוחן'!AD628</f>
        <v>0</v>
      </c>
      <c r="AE726" s="141">
        <f>'[29]מאזן בוחן'!AE638</f>
        <v>0</v>
      </c>
      <c r="AF726" s="141">
        <f>'[30]מאזן בוחן'!AF649</f>
        <v>0</v>
      </c>
      <c r="AG726" s="141">
        <f>'[31]מאזן בוחן'!AG653</f>
        <v>0</v>
      </c>
      <c r="AH726" s="141">
        <v>0</v>
      </c>
      <c r="AI726" s="141">
        <v>0</v>
      </c>
      <c r="AJ726" s="141">
        <v>0</v>
      </c>
      <c r="AK726" s="141">
        <v>0</v>
      </c>
      <c r="AL726" s="141">
        <v>0</v>
      </c>
      <c r="AM726" s="141">
        <f>$K726-SUM($AB726:AL726)</f>
        <v>0</v>
      </c>
      <c r="AN726" s="141"/>
      <c r="AO726" s="141"/>
      <c r="AP726" s="141"/>
      <c r="AQ726" s="141"/>
      <c r="AR726" s="141"/>
      <c r="AS726" s="141"/>
      <c r="AT726" s="141"/>
      <c r="AU726" s="141"/>
      <c r="AV726" s="141"/>
      <c r="AW726" s="141"/>
      <c r="AX726" s="141"/>
      <c r="BA726" s="204"/>
    </row>
    <row r="727" spans="1:53">
      <c r="A727" s="52"/>
      <c r="B727" s="3659" t="s">
        <v>1173</v>
      </c>
      <c r="C727" s="585">
        <v>8110001</v>
      </c>
      <c r="D727" s="203" t="s">
        <v>1174</v>
      </c>
      <c r="E727" s="474">
        <f>IFERROR(VLOOKUP(C727,'פקודות נוספות'!$D$274:$F$797,3,0),0)</f>
        <v>2886700</v>
      </c>
      <c r="F727" s="49">
        <f>SUMIF('פקודות נוספות'!C:C,C:C,'פקודות נוספות'!E:E)</f>
        <v>0</v>
      </c>
      <c r="J727" s="474">
        <f t="shared" si="148"/>
        <v>2886700</v>
      </c>
      <c r="K727" s="42">
        <f>M727+SUMIF('פקודות נוספות'!C:C,'מאזן בוחן'!C727,'פקודות נוספות'!F:F)</f>
        <v>893668.39</v>
      </c>
      <c r="L727" s="49"/>
      <c r="M727" s="1341">
        <f>IFERROR(VLOOKUP(C727,'פקודות נוספות'!$D$273:$G$797,4,0),0)</f>
        <v>893668.39</v>
      </c>
      <c r="N727" s="1104">
        <f t="shared" si="149"/>
        <v>3.2301690787116235</v>
      </c>
      <c r="O727" s="1133"/>
      <c r="P727" s="1512">
        <v>66063.170000000013</v>
      </c>
      <c r="Q727" s="141">
        <f>'[39]מאזן בוחן'!AE598</f>
        <v>66226.649999999994</v>
      </c>
      <c r="R727" s="141">
        <v>68240.570000000007</v>
      </c>
      <c r="S727" s="141">
        <v>69360.939999999944</v>
      </c>
      <c r="T727" s="141">
        <f>'[20]מאזן בוחן'!AR651</f>
        <v>68905.080000000045</v>
      </c>
      <c r="U727" s="141">
        <f>'[21]מאזן בוחן'!AS562</f>
        <v>70095.66</v>
      </c>
      <c r="V727" s="726">
        <f>'[22]מאזן בוחן'!AJ548</f>
        <v>71056.219999999943</v>
      </c>
      <c r="W727" s="726">
        <f>'[23]מאזן בוחן'!AK554</f>
        <v>69801.22</v>
      </c>
      <c r="X727" s="141">
        <v>69813.849999999977</v>
      </c>
      <c r="Y727" s="141">
        <f>'[25]מאזן בוחן'!AM584</f>
        <v>72235.190000000061</v>
      </c>
      <c r="Z727" s="141"/>
      <c r="AA727" s="141">
        <f>'[32]מאזן בוחן'!AO601</f>
        <v>74478.689999999944</v>
      </c>
      <c r="AB727" s="141">
        <f>'[26]מאזן בוחן'!AB611</f>
        <v>72655.73</v>
      </c>
      <c r="AC727" s="141">
        <f>'[27]מאזן בוחן'!AC620</f>
        <v>79693.599999999991</v>
      </c>
      <c r="AD727" s="141">
        <f>'[28]מאזן בוחן'!AD629</f>
        <v>68499.700000000012</v>
      </c>
      <c r="AE727" s="141">
        <f>'[29]מאזן בוחן'!AE639</f>
        <v>69068.060000000027</v>
      </c>
      <c r="AF727" s="141">
        <f>'[30]מאזן בוחן'!AF650</f>
        <v>68929.909999999974</v>
      </c>
      <c r="AG727" s="141">
        <f>'[31]מאזן בוחן'!AG654</f>
        <v>78753.679999999993</v>
      </c>
      <c r="AH727" s="141">
        <v>80897.929999999993</v>
      </c>
      <c r="AI727" s="141">
        <v>90515.430000000051</v>
      </c>
      <c r="AJ727" s="141">
        <v>71967.479999999981</v>
      </c>
      <c r="AK727" s="141">
        <v>70255.219999999972</v>
      </c>
      <c r="AL727" s="141">
        <v>68260.910000000033</v>
      </c>
      <c r="AM727" s="141">
        <f>$K727-SUM($AB727:AL727)</f>
        <v>74170.739999999991</v>
      </c>
      <c r="AN727" s="141" t="s">
        <v>4881</v>
      </c>
      <c r="AO727" s="141"/>
      <c r="AP727" s="141"/>
      <c r="AQ727" s="141" t="s">
        <v>4238</v>
      </c>
      <c r="AR727" s="141" t="s">
        <v>4110</v>
      </c>
      <c r="AS727" s="141"/>
      <c r="AT727" s="141" t="s">
        <v>3835</v>
      </c>
      <c r="AU727" s="141"/>
      <c r="AV727" s="141" t="s">
        <v>3474</v>
      </c>
      <c r="AW727" s="141"/>
      <c r="AX727" s="141"/>
      <c r="BA727" s="204"/>
    </row>
    <row r="728" spans="1:53">
      <c r="A728" s="52"/>
      <c r="B728" s="3659" t="s">
        <v>1173</v>
      </c>
      <c r="C728" s="585">
        <v>8110055</v>
      </c>
      <c r="D728" s="203" t="s">
        <v>4797</v>
      </c>
      <c r="E728" s="474">
        <f>IFERROR(VLOOKUP(C728,'פקודות נוספות'!$D$274:$F$797,3,0),0)</f>
        <v>1550</v>
      </c>
      <c r="F728" s="49">
        <f>SUMIF('פקודות נוספות'!C:C,C:C,'פקודות נוספות'!E:E)</f>
        <v>0</v>
      </c>
      <c r="J728" s="474">
        <f t="shared" ref="J728" si="150">SUM(E728:I728)</f>
        <v>1550</v>
      </c>
      <c r="K728" s="42">
        <f>M728+SUMIF('פקודות נוספות'!C:C,'מאזן בוחן'!C728,'פקודות נוספות'!F:F)</f>
        <v>498.39</v>
      </c>
      <c r="L728" s="49"/>
      <c r="M728" s="1341">
        <f>IFERROR(VLOOKUP(C728,'פקודות נוספות'!$D$273:$G$797,4,0),0)</f>
        <v>498.39</v>
      </c>
      <c r="N728" s="1104">
        <f t="shared" ref="N728" si="151">IF(K728=0,"-",J728/K728)</f>
        <v>3.1100142458717071</v>
      </c>
      <c r="O728" s="1133"/>
      <c r="P728" s="1512"/>
      <c r="Q728" s="141"/>
      <c r="R728" s="141"/>
      <c r="S728" s="141"/>
      <c r="T728" s="141"/>
      <c r="U728" s="141"/>
      <c r="V728" s="726"/>
      <c r="W728" s="726"/>
      <c r="X728" s="141"/>
      <c r="Y728" s="141"/>
      <c r="Z728" s="141"/>
      <c r="AA728" s="141"/>
      <c r="AB728" s="141"/>
      <c r="AC728" s="141"/>
      <c r="AD728" s="141"/>
      <c r="AE728" s="141"/>
      <c r="AF728" s="141"/>
      <c r="AG728" s="141"/>
      <c r="AH728" s="141"/>
      <c r="AI728" s="141"/>
      <c r="AJ728" s="141"/>
      <c r="AK728" s="141"/>
      <c r="AL728" s="141"/>
      <c r="AM728" s="141">
        <f>$K728-SUM($AB728:AL728)</f>
        <v>498.39</v>
      </c>
      <c r="AN728" s="141"/>
      <c r="AO728" s="141"/>
      <c r="AP728" s="141"/>
      <c r="AQ728" s="141"/>
      <c r="AR728" s="141"/>
      <c r="AS728" s="141"/>
      <c r="AT728" s="141"/>
      <c r="AU728" s="141"/>
      <c r="AV728" s="141"/>
      <c r="AW728" s="141"/>
      <c r="AX728" s="141"/>
      <c r="BA728" s="204"/>
    </row>
    <row r="729" spans="1:53">
      <c r="A729" s="52"/>
      <c r="B729" s="3659" t="s">
        <v>1173</v>
      </c>
      <c r="C729" s="585">
        <v>8110003</v>
      </c>
      <c r="D729" s="203" t="s">
        <v>3293</v>
      </c>
      <c r="E729" s="474">
        <f>IFERROR(VLOOKUP(C729,'פקודות נוספות'!$D$274:$F$797,3,0),0)</f>
        <v>73855.27</v>
      </c>
      <c r="F729" s="49">
        <f>SUMIF('פקודות נוספות'!C:C,C:C,'פקודות נוספות'!E:E)</f>
        <v>0</v>
      </c>
      <c r="J729" s="474">
        <f>SUM(E729:I729)</f>
        <v>73855.27</v>
      </c>
      <c r="K729" s="42">
        <f>M729+SUMIF('פקודות נוספות'!C:C,'מאזן בוחן'!C729,'פקודות נוספות'!F:F)</f>
        <v>22481.82</v>
      </c>
      <c r="L729" s="49"/>
      <c r="M729" s="1341">
        <f>IFERROR(VLOOKUP(C729,'פקודות נוספות'!$D$273:$G$797,4,0),0)</f>
        <v>22481.82</v>
      </c>
      <c r="N729" s="1104">
        <f>IF(K729=0,"-",J729/K729)</f>
        <v>3.2851108139821421</v>
      </c>
      <c r="O729" s="1133"/>
      <c r="P729" s="1512"/>
      <c r="Q729" s="141"/>
      <c r="R729" s="141"/>
      <c r="S729" s="141"/>
      <c r="T729" s="141"/>
      <c r="U729" s="141"/>
      <c r="V729" s="726"/>
      <c r="W729" s="726"/>
      <c r="X729" s="141"/>
      <c r="Y729" s="141"/>
      <c r="Z729" s="141"/>
      <c r="AA729" s="141"/>
      <c r="AB729" s="141">
        <f>'[26]מאזן בוחן'!AB612</f>
        <v>1669.4</v>
      </c>
      <c r="AC729" s="141">
        <f>'[27]מאזן בוחן'!AC621</f>
        <v>732.23</v>
      </c>
      <c r="AD729" s="141">
        <f>'[28]מאזן בוחן'!AD630</f>
        <v>2662.7200000000003</v>
      </c>
      <c r="AE729" s="141">
        <f>'[29]מאזן בוחן'!AE640</f>
        <v>2000</v>
      </c>
      <c r="AF729" s="141">
        <f>'[30]מאזן בוחן'!AF651</f>
        <v>2000</v>
      </c>
      <c r="AG729" s="141">
        <f>'[31]מאזן בוחן'!AG655</f>
        <v>2000</v>
      </c>
      <c r="AH729" s="141">
        <v>2000</v>
      </c>
      <c r="AI729" s="141">
        <v>2000</v>
      </c>
      <c r="AJ729" s="141">
        <v>1999.9999999999982</v>
      </c>
      <c r="AK729" s="141">
        <v>2000</v>
      </c>
      <c r="AL729" s="141">
        <v>2000</v>
      </c>
      <c r="AM729" s="141">
        <f>$K729-SUM($AB729:AL729)</f>
        <v>1417.4700000000012</v>
      </c>
      <c r="AN729" s="141"/>
      <c r="AO729" s="141"/>
      <c r="AP729" s="141"/>
      <c r="AQ729" s="141">
        <f>AI727-AJ727</f>
        <v>18547.95000000007</v>
      </c>
      <c r="AR729" s="141"/>
      <c r="AS729" s="141"/>
      <c r="AT729" s="141"/>
      <c r="AU729" s="141"/>
      <c r="AV729" s="141"/>
      <c r="AW729" s="141"/>
      <c r="AX729" s="141"/>
      <c r="BA729" s="204"/>
    </row>
    <row r="730" spans="1:53">
      <c r="A730" s="52"/>
      <c r="B730" s="3659" t="s">
        <v>1173</v>
      </c>
      <c r="C730" s="585">
        <v>8110002</v>
      </c>
      <c r="D730" s="203" t="s">
        <v>1175</v>
      </c>
      <c r="E730" s="474">
        <f>IFERROR(VLOOKUP(C730,'פקודות נוספות'!$D$274:$F$797,3,0),0)</f>
        <v>43668.25</v>
      </c>
      <c r="F730" s="49">
        <f>SUMIF('פקודות נוספות'!C:C,C:C,'פקודות נוספות'!E:E)</f>
        <v>0</v>
      </c>
      <c r="J730" s="474">
        <f t="shared" si="148"/>
        <v>43668.25</v>
      </c>
      <c r="K730" s="42">
        <f>M730+SUMIF('פקודות נוספות'!C:C,'מאזן בוחן'!C730,'פקודות נוספות'!F:F)</f>
        <v>13862.65</v>
      </c>
      <c r="L730" s="49"/>
      <c r="M730" s="1341">
        <f>IFERROR(VLOOKUP(C730,'פקודות נוספות'!$D$273:$G$797,4,0),0)</f>
        <v>13862.65</v>
      </c>
      <c r="N730" s="1104">
        <f t="shared" si="149"/>
        <v>3.1500651029925737</v>
      </c>
      <c r="O730" s="1133"/>
      <c r="P730" s="137">
        <v>2218.06</v>
      </c>
      <c r="Q730" s="141">
        <f>'[39]מאזן בוחן'!AE599</f>
        <v>0</v>
      </c>
      <c r="R730" s="141">
        <v>0</v>
      </c>
      <c r="S730" s="141">
        <v>0</v>
      </c>
      <c r="T730" s="141">
        <f>'[20]מאזן בוחן'!AR652</f>
        <v>0</v>
      </c>
      <c r="U730" s="141">
        <f>'[21]מאזן בוחן'!AS563</f>
        <v>0</v>
      </c>
      <c r="V730" s="726">
        <f>'[22]מאזן בוחן'!AJ549</f>
        <v>0</v>
      </c>
      <c r="W730" s="726">
        <f>'[23]מאזן בוחן'!AK555</f>
        <v>0</v>
      </c>
      <c r="X730" s="141">
        <v>0</v>
      </c>
      <c r="Y730" s="141">
        <f>'[25]מאזן בוחן'!AM585</f>
        <v>0</v>
      </c>
      <c r="Z730" s="141"/>
      <c r="AA730" s="141">
        <f>'[32]מאזן בוחן'!AO602</f>
        <v>4354.59</v>
      </c>
      <c r="AB730" s="141">
        <f>'[26]מאזן בוחן'!AB613</f>
        <v>97.84</v>
      </c>
      <c r="AC730" s="141">
        <f>'[27]מאזן בוחן'!AC622</f>
        <v>-55.480000000000004</v>
      </c>
      <c r="AD730" s="141">
        <f>'[28]מאזן בוחן'!AD631</f>
        <v>0</v>
      </c>
      <c r="AE730" s="141">
        <f>'[29]מאזן בוחן'!AE641</f>
        <v>0</v>
      </c>
      <c r="AF730" s="141">
        <f>'[30]מאזן בוחן'!AF652</f>
        <v>0</v>
      </c>
      <c r="AG730" s="141">
        <f>'[31]מאזן בוחן'!AG656</f>
        <v>0</v>
      </c>
      <c r="AH730" s="141">
        <v>0</v>
      </c>
      <c r="AI730" s="141">
        <v>3764.58</v>
      </c>
      <c r="AJ730" s="141">
        <v>0</v>
      </c>
      <c r="AK730" s="141">
        <v>0</v>
      </c>
      <c r="AL730" s="141">
        <v>0</v>
      </c>
      <c r="AM730" s="141">
        <f>$K730-SUM($AB730:AL730)</f>
        <v>10055.709999999999</v>
      </c>
      <c r="AN730" s="141"/>
      <c r="AO730" s="141"/>
      <c r="AP730" s="141"/>
      <c r="AQ730" s="141"/>
      <c r="AR730" s="141"/>
      <c r="AS730" s="141"/>
      <c r="AT730" s="141"/>
      <c r="AU730" s="141"/>
      <c r="AV730" s="141"/>
      <c r="AW730" s="141"/>
      <c r="AX730" s="141"/>
      <c r="BA730" s="204"/>
    </row>
    <row r="731" spans="1:53">
      <c r="A731" s="52"/>
      <c r="B731" s="3659"/>
      <c r="C731" s="585"/>
      <c r="D731" s="203"/>
      <c r="E731" s="474"/>
      <c r="J731" s="474"/>
      <c r="K731" s="42"/>
      <c r="L731" s="49"/>
      <c r="M731" s="1341"/>
      <c r="O731" s="1133"/>
      <c r="Q731" s="141"/>
      <c r="R731" s="141"/>
      <c r="S731" s="141"/>
      <c r="T731" s="141"/>
      <c r="U731" s="141"/>
      <c r="V731" s="726"/>
      <c r="W731" s="726"/>
      <c r="X731" s="141"/>
      <c r="Y731" s="141"/>
      <c r="Z731" s="141"/>
      <c r="AA731" s="141"/>
      <c r="AB731" s="141">
        <f>'[26]מאזן בוחן'!AB614</f>
        <v>0</v>
      </c>
      <c r="AC731" s="141">
        <f>'[27]מאזן בוחן'!AC623</f>
        <v>0</v>
      </c>
      <c r="AD731" s="141">
        <f>'[28]מאזן בוחן'!AD632</f>
        <v>0</v>
      </c>
      <c r="AE731" s="141">
        <f>'[29]מאזן בוחן'!AE642</f>
        <v>0</v>
      </c>
      <c r="AF731" s="141">
        <f>'[30]מאזן בוחן'!AF653</f>
        <v>0</v>
      </c>
      <c r="AG731" s="141">
        <f>'[31]מאזן בוחן'!AG657</f>
        <v>0</v>
      </c>
      <c r="AH731" s="141">
        <v>0</v>
      </c>
      <c r="AI731" s="141">
        <v>0</v>
      </c>
      <c r="AJ731" s="141">
        <v>0</v>
      </c>
      <c r="AK731" s="141">
        <v>0</v>
      </c>
      <c r="AL731" s="141">
        <v>0</v>
      </c>
      <c r="AM731" s="141">
        <f>$K731-SUM($AB731:AL731)</f>
        <v>0</v>
      </c>
      <c r="AN731" s="141"/>
      <c r="AO731" s="141"/>
      <c r="AP731" s="141"/>
      <c r="AQ731" s="141"/>
      <c r="AR731" s="141"/>
      <c r="AS731" s="141"/>
      <c r="AT731" s="141"/>
      <c r="AU731" s="141"/>
      <c r="AV731" s="141"/>
      <c r="AW731" s="141"/>
      <c r="AX731" s="141"/>
      <c r="BA731" s="204"/>
    </row>
    <row r="732" spans="1:53">
      <c r="A732" s="52"/>
      <c r="B732" s="3659" t="s">
        <v>1176</v>
      </c>
      <c r="C732" s="585">
        <v>8210001</v>
      </c>
      <c r="D732" s="203" t="s">
        <v>1177</v>
      </c>
      <c r="E732" s="474">
        <f>IFERROR(VLOOKUP(C732,'פקודות נוספות'!$D$274:$F$797,3,0),0)</f>
        <v>2969614</v>
      </c>
      <c r="F732" s="49">
        <f>SUMIF('פקודות נוספות'!C:C,C:C,'פקודות נוספות'!E:E)</f>
        <v>0</v>
      </c>
      <c r="J732" s="474">
        <f t="shared" si="148"/>
        <v>2969614</v>
      </c>
      <c r="K732" s="42">
        <f>M732+SUMIF('פקודות נוספות'!C:C,'מאזן בוחן'!C732,'פקודות נוספות'!F:F)</f>
        <v>921000.03</v>
      </c>
      <c r="L732" s="49"/>
      <c r="M732" s="1341">
        <f>IFERROR(VLOOKUP(C732,'פקודות נוספות'!$D$273:$G$797,4,0),0)</f>
        <v>921000.03</v>
      </c>
      <c r="N732" s="1104">
        <f t="shared" si="149"/>
        <v>3.2243364856350762</v>
      </c>
      <c r="O732" s="1133"/>
      <c r="P732" s="1512">
        <v>59525.81</v>
      </c>
      <c r="Q732" s="141">
        <f>'[39]מאזן בוחן'!AE602</f>
        <v>57580.359999999986</v>
      </c>
      <c r="R732" s="141">
        <v>58249.430000000022</v>
      </c>
      <c r="S732" s="141">
        <v>59079.099999999977</v>
      </c>
      <c r="T732" s="141">
        <f>'[20]מאזן בוחן'!AR655</f>
        <v>58776.109999999957</v>
      </c>
      <c r="U732" s="141">
        <f>'[21]מאזן בוחן'!AS566</f>
        <v>56910.5</v>
      </c>
      <c r="V732" s="726">
        <f>'[22]מאזן בוחן'!AJ552</f>
        <v>54182.330000000016</v>
      </c>
      <c r="W732" s="726">
        <f>'[23]מאזן בוחן'!AK558</f>
        <v>53172.040000000066</v>
      </c>
      <c r="X732" s="141">
        <v>53254.819999999949</v>
      </c>
      <c r="Y732" s="141">
        <f>'[25]מאזן בוחן'!AM588</f>
        <v>53785.669999999925</v>
      </c>
      <c r="Z732" s="141"/>
      <c r="AA732" s="141">
        <f>'[32]מאזן בוחן'!AO605</f>
        <v>55335.930000000051</v>
      </c>
      <c r="AB732" s="141">
        <f>'[26]מאזן בוחן'!AB615</f>
        <v>53079</v>
      </c>
      <c r="AC732" s="141">
        <f>'[27]מאזן בוחן'!AC624</f>
        <v>68343.289999999994</v>
      </c>
      <c r="AD732" s="141">
        <f>'[28]מאזן בוחן'!AD633</f>
        <v>78643.37000000001</v>
      </c>
      <c r="AE732" s="141">
        <f>'[29]מאזן בוחן'!AE643</f>
        <v>78645.209999999992</v>
      </c>
      <c r="AF732" s="141">
        <f>'[30]מאזן בוחן'!AF654</f>
        <v>74351.679999999993</v>
      </c>
      <c r="AG732" s="141">
        <f>'[31]מאזן בוחן'!AG658</f>
        <v>73966.260000000009</v>
      </c>
      <c r="AH732" s="141">
        <v>74545.929999999993</v>
      </c>
      <c r="AI732" s="141">
        <v>74414.410000000033</v>
      </c>
      <c r="AJ732" s="141">
        <v>73950.449999999953</v>
      </c>
      <c r="AK732" s="141">
        <v>87800.510000000009</v>
      </c>
      <c r="AL732" s="141">
        <v>87666.349999999977</v>
      </c>
      <c r="AM732" s="141">
        <f>$K732-SUM($AB732:AL732)</f>
        <v>95593.570000000065</v>
      </c>
      <c r="AN732" s="141" t="s">
        <v>4882</v>
      </c>
      <c r="AO732" s="141"/>
      <c r="AP732" s="141" t="s">
        <v>4365</v>
      </c>
      <c r="AQ732" s="141"/>
      <c r="AR732" s="141"/>
      <c r="AS732" s="141"/>
      <c r="AU732" s="141" t="s">
        <v>3700</v>
      </c>
      <c r="AV732" s="141">
        <f>AD732-AC732</f>
        <v>10300.080000000016</v>
      </c>
      <c r="AW732" s="141" t="s">
        <v>3378</v>
      </c>
      <c r="AX732" s="141"/>
      <c r="BA732" s="204"/>
    </row>
    <row r="733" spans="1:53">
      <c r="A733" s="52"/>
      <c r="B733" s="3659" t="s">
        <v>1176</v>
      </c>
      <c r="C733" s="585">
        <v>8210002</v>
      </c>
      <c r="D733" s="203" t="s">
        <v>1178</v>
      </c>
      <c r="E733" s="474">
        <f>IFERROR(VLOOKUP(C733,'פקודות נוספות'!$D$274:$F$797,3,0),0)</f>
        <v>119869</v>
      </c>
      <c r="F733" s="49">
        <f>SUMIF('פקודות נוספות'!C:C,C:C,'פקודות נוספות'!E:E)</f>
        <v>0</v>
      </c>
      <c r="J733" s="474">
        <f t="shared" si="148"/>
        <v>119869</v>
      </c>
      <c r="K733" s="42">
        <f>M733+SUMIF('פקודות נוספות'!C:C,'מאזן בוחן'!C733,'פקודות נוספות'!F:F)</f>
        <v>38110.559999999998</v>
      </c>
      <c r="L733" s="49"/>
      <c r="M733" s="1341">
        <f>IFERROR(VLOOKUP(C733,'פקודות נוספות'!$D$273:$G$797,4,0),0)</f>
        <v>38110.559999999998</v>
      </c>
      <c r="N733" s="1104">
        <f t="shared" si="149"/>
        <v>3.1452962118635885</v>
      </c>
      <c r="O733" s="1133"/>
      <c r="P733" s="137">
        <v>1076.53</v>
      </c>
      <c r="Q733" s="141">
        <f>'[39]מאזן בוחן'!AE603</f>
        <v>-981.77</v>
      </c>
      <c r="R733" s="141">
        <v>0</v>
      </c>
      <c r="S733" s="141">
        <v>0</v>
      </c>
      <c r="T733" s="141">
        <f>'[20]מאזן בוחן'!AR656</f>
        <v>0</v>
      </c>
      <c r="U733" s="141">
        <f>'[21]מאזן בוחן'!AS567</f>
        <v>0</v>
      </c>
      <c r="V733" s="726">
        <f>'[22]מאזן בוחן'!AJ553</f>
        <v>0</v>
      </c>
      <c r="W733" s="726">
        <f>'[23]מאזן בוחן'!AK559</f>
        <v>0</v>
      </c>
      <c r="X733" s="141">
        <v>0</v>
      </c>
      <c r="Y733" s="141">
        <f>'[25]מאזן בוחן'!AM589</f>
        <v>0</v>
      </c>
      <c r="Z733" s="141"/>
      <c r="AA733" s="141">
        <f>'[32]מאזן בוחן'!AO606</f>
        <v>1555.21</v>
      </c>
      <c r="AB733" s="141">
        <f>'[26]מאזן בוחן'!AB616</f>
        <v>1519.3</v>
      </c>
      <c r="AC733" s="141">
        <f>'[27]מאזן בוחן'!AC625</f>
        <v>-30.819999999999936</v>
      </c>
      <c r="AD733" s="141">
        <f>'[28]מאזן בוחן'!AD634</f>
        <v>2999.4</v>
      </c>
      <c r="AE733" s="141">
        <f>'[29]מאזן בוחן'!AE644</f>
        <v>0</v>
      </c>
      <c r="AF733" s="141">
        <f>'[30]מאזן בוחן'!AF655</f>
        <v>0</v>
      </c>
      <c r="AG733" s="141">
        <f>'[31]מאזן בוחן'!AG659</f>
        <v>0</v>
      </c>
      <c r="AH733" s="141">
        <v>0</v>
      </c>
      <c r="AI733" s="141">
        <v>3118.1800000000003</v>
      </c>
      <c r="AJ733" s="141">
        <v>0</v>
      </c>
      <c r="AK733" s="141">
        <v>0</v>
      </c>
      <c r="AL733" s="141">
        <v>0</v>
      </c>
      <c r="AM733" s="141">
        <f>$K733-SUM($AB733:AL733)</f>
        <v>30504.499999999996</v>
      </c>
      <c r="AN733" s="141"/>
      <c r="AO733" s="141"/>
      <c r="AP733" s="141"/>
      <c r="AQ733" s="141"/>
      <c r="AR733" s="141"/>
      <c r="AS733" s="141"/>
      <c r="AT733" s="141"/>
      <c r="AU733" s="141"/>
      <c r="AV733" s="141"/>
      <c r="AW733" s="141"/>
      <c r="AX733" s="141"/>
      <c r="BA733" s="204"/>
    </row>
    <row r="734" spans="1:53">
      <c r="A734" s="52"/>
      <c r="B734" s="3659" t="s">
        <v>1176</v>
      </c>
      <c r="C734" s="585">
        <v>8210003</v>
      </c>
      <c r="D734" s="203" t="s">
        <v>1179</v>
      </c>
      <c r="E734" s="474">
        <f>IFERROR(VLOOKUP(C734,'פקודות נוספות'!$D$274:$F$797,3,0),0)</f>
        <v>128627.55</v>
      </c>
      <c r="F734" s="49">
        <f>SUMIF('פקודות נוספות'!C:C,C:C,'פקודות נוספות'!E:E)</f>
        <v>0</v>
      </c>
      <c r="J734" s="474">
        <f t="shared" si="148"/>
        <v>128627.55</v>
      </c>
      <c r="K734" s="42">
        <f>M734+SUMIF('פקודות נוספות'!C:C,'מאזן בוחן'!C734,'פקודות נוספות'!F:F)</f>
        <v>39149.800000000003</v>
      </c>
      <c r="L734" s="49"/>
      <c r="M734" s="1341">
        <f>IFERROR(VLOOKUP(C734,'פקודות נוספות'!$D$273:$G$797,4,0),0)</f>
        <v>39149.800000000003</v>
      </c>
      <c r="N734" s="1104">
        <f t="shared" si="149"/>
        <v>3.2855225314050136</v>
      </c>
      <c r="O734" s="1133"/>
      <c r="P734" s="137">
        <v>1412.1</v>
      </c>
      <c r="Q734" s="141">
        <f>'[39]מאזן בוחן'!AE604</f>
        <v>2775.0000000000005</v>
      </c>
      <c r="R734" s="141">
        <v>2774.9999999999995</v>
      </c>
      <c r="S734" s="141">
        <v>2775.0000000000005</v>
      </c>
      <c r="T734" s="141">
        <f>'[20]מאזן בוחן'!AR657</f>
        <v>2774.9999999999995</v>
      </c>
      <c r="U734" s="141">
        <f>'[21]מאזן בוחן'!AS568</f>
        <v>2774.9999999999986</v>
      </c>
      <c r="V734" s="726">
        <f>'[22]מאזן בוחן'!AJ554</f>
        <v>2775.0000000000023</v>
      </c>
      <c r="W734" s="726">
        <f>'[23]מאזן בוחן'!AK560</f>
        <v>3239.7600000000007</v>
      </c>
      <c r="X734" s="141">
        <v>2775.0000000000005</v>
      </c>
      <c r="Y734" s="141">
        <f>'[25]מאזן בוחן'!AM590</f>
        <v>2774.9999999999964</v>
      </c>
      <c r="Z734" s="141"/>
      <c r="AA734" s="141">
        <f>'[32]מאזן בוחן'!AO607</f>
        <v>4625.2599999999984</v>
      </c>
      <c r="AB734" s="141">
        <f>'[26]מאזן בוחן'!AB617</f>
        <v>2967.79</v>
      </c>
      <c r="AC734" s="141">
        <f>'[27]מאזן בוחן'!AC626</f>
        <v>719.73</v>
      </c>
      <c r="AD734" s="141">
        <f>'[28]מאזן בוחן'!AD635</f>
        <v>3767.1200000000003</v>
      </c>
      <c r="AE734" s="141">
        <f>'[29]מאזן בוחן'!AE645</f>
        <v>3232.9999999999991</v>
      </c>
      <c r="AF734" s="141">
        <f>'[30]מאזן בוחן'!AF656</f>
        <v>3233</v>
      </c>
      <c r="AG734" s="141">
        <f>'[31]מאזן בוחן'!AG660</f>
        <v>3233</v>
      </c>
      <c r="AH734" s="141">
        <v>3233</v>
      </c>
      <c r="AI734" s="141">
        <v>3233</v>
      </c>
      <c r="AJ734" s="141">
        <v>3233</v>
      </c>
      <c r="AK734" s="141">
        <v>3233</v>
      </c>
      <c r="AL734" s="141">
        <v>3233</v>
      </c>
      <c r="AM734" s="141">
        <f>$K734-SUM($AB734:AL734)</f>
        <v>5831.1600000000035</v>
      </c>
      <c r="AN734" s="141"/>
      <c r="AO734" s="141"/>
      <c r="AP734" s="141"/>
      <c r="AQ734" s="141"/>
      <c r="AR734" s="141"/>
      <c r="AS734" s="141"/>
      <c r="AT734" s="141"/>
      <c r="AU734" s="141"/>
      <c r="AV734" s="141"/>
      <c r="AW734" s="141"/>
      <c r="AX734" s="141"/>
      <c r="BA734" s="204"/>
    </row>
    <row r="735" spans="1:53">
      <c r="A735" s="52"/>
      <c r="B735" s="3659" t="s">
        <v>1176</v>
      </c>
      <c r="C735" s="585">
        <v>8210055</v>
      </c>
      <c r="D735" s="203" t="s">
        <v>4796</v>
      </c>
      <c r="E735" s="474">
        <f>IFERROR(VLOOKUP(C735,'פקודות נוספות'!$D$274:$F$797,3,0),0)</f>
        <v>4750</v>
      </c>
      <c r="F735" s="49">
        <f>SUMIF('פקודות נוספות'!C:C,C:C,'פקודות נוספות'!E:E)</f>
        <v>0</v>
      </c>
      <c r="J735" s="474">
        <f t="shared" ref="J735" si="152">SUM(E735:I735)</f>
        <v>4750</v>
      </c>
      <c r="K735" s="42">
        <f>M735+SUMIF('פקודות נוספות'!C:C,'מאזן בוחן'!C735,'פקודות נוספות'!F:F)</f>
        <v>1527.33</v>
      </c>
      <c r="L735" s="49"/>
      <c r="M735" s="1341">
        <f>IFERROR(VLOOKUP(C735,'פקודות נוספות'!$D$273:$G$797,4,0),0)</f>
        <v>1527.33</v>
      </c>
      <c r="N735" s="1104">
        <f t="shared" ref="N735" si="153">IF(K735=0,"-",J735/K735)</f>
        <v>3.1100024225282028</v>
      </c>
      <c r="O735" s="1133"/>
      <c r="Q735" s="141"/>
      <c r="R735" s="141"/>
      <c r="S735" s="141"/>
      <c r="T735" s="141"/>
      <c r="U735" s="141"/>
      <c r="V735" s="726"/>
      <c r="W735" s="726"/>
      <c r="X735" s="141"/>
      <c r="Y735" s="141"/>
      <c r="Z735" s="141"/>
      <c r="AA735" s="141"/>
      <c r="AB735" s="141"/>
      <c r="AC735" s="141"/>
      <c r="AD735" s="141"/>
      <c r="AE735" s="141"/>
      <c r="AF735" s="141"/>
      <c r="AG735" s="141"/>
      <c r="AH735" s="141"/>
      <c r="AI735" s="141"/>
      <c r="AJ735" s="141"/>
      <c r="AK735" s="141"/>
      <c r="AL735" s="141"/>
      <c r="AM735" s="141">
        <f>$K735-SUM($AB735:AL735)</f>
        <v>1527.33</v>
      </c>
      <c r="AN735" s="141"/>
      <c r="AO735" s="141"/>
      <c r="AP735" s="141"/>
      <c r="AQ735" s="141"/>
      <c r="AR735" s="141"/>
      <c r="AS735" s="141"/>
      <c r="AT735" s="141"/>
      <c r="AU735" s="141"/>
      <c r="AV735" s="141"/>
      <c r="AW735" s="141"/>
      <c r="AX735" s="141"/>
      <c r="BA735" s="204"/>
    </row>
    <row r="736" spans="1:53">
      <c r="A736" s="52"/>
      <c r="B736" s="3659" t="s">
        <v>1176</v>
      </c>
      <c r="C736" s="585">
        <v>8310001</v>
      </c>
      <c r="D736" s="203" t="s">
        <v>1180</v>
      </c>
      <c r="E736" s="474">
        <f>IFERROR(VLOOKUP(C736,'פקודות נוספות'!$D$274:$F$797,3,0),0)</f>
        <v>474181</v>
      </c>
      <c r="F736" s="49">
        <f>SUMIF('פקודות נוספות'!C:C,C:C,'פקודות נוספות'!E:E)</f>
        <v>0</v>
      </c>
      <c r="J736" s="474">
        <f t="shared" si="148"/>
        <v>474181</v>
      </c>
      <c r="K736" s="42">
        <f>M736+SUMIF('פקודות נוספות'!C:C,'מאזן בוחן'!C736,'פקודות נוספות'!F:F)</f>
        <v>146756.51</v>
      </c>
      <c r="L736" s="49"/>
      <c r="M736" s="1341">
        <f>IFERROR(VLOOKUP(C736,'פקודות נוספות'!$D$273:$G$797,4,0),0)</f>
        <v>146756.51</v>
      </c>
      <c r="N736" s="1104">
        <f t="shared" si="149"/>
        <v>3.2310730202019657</v>
      </c>
      <c r="O736" s="1133"/>
      <c r="P736" s="1512">
        <v>14289.300000000001</v>
      </c>
      <c r="Q736" s="141">
        <f>'[39]מאזן בוחן'!AE606</f>
        <v>13890.599999999997</v>
      </c>
      <c r="R736" s="141">
        <v>14149.140000000001</v>
      </c>
      <c r="S736" s="141">
        <v>14482.01</v>
      </c>
      <c r="T736" s="141">
        <f>'[20]מאזן בוחן'!AR659</f>
        <v>14291.68999999999</v>
      </c>
      <c r="U736" s="141">
        <f>'[21]מאזן בוחן'!AS570</f>
        <v>14694.249999999998</v>
      </c>
      <c r="V736" s="726">
        <f>'[22]מאזן בוחן'!AJ556</f>
        <v>14726.06000000001</v>
      </c>
      <c r="W736" s="726">
        <f>'[23]מאזן בוחן'!AK562</f>
        <v>14472.830000000007</v>
      </c>
      <c r="X736" s="141">
        <v>14472.52999999999</v>
      </c>
      <c r="Y736" s="141">
        <f>'[25]מאזן בוחן'!AM592</f>
        <v>14975.209999999992</v>
      </c>
      <c r="Z736" s="141"/>
      <c r="AA736" s="141">
        <f>'[32]מאזן בוחן'!AO609</f>
        <v>15764.540000000008</v>
      </c>
      <c r="AB736" s="141">
        <f>'[26]מאזן בוחן'!AB618</f>
        <v>15189</v>
      </c>
      <c r="AC736" s="141">
        <f>'[27]מאזן בוחן'!AC627</f>
        <v>12498.779999999999</v>
      </c>
      <c r="AD736" s="141">
        <f>'[28]מאזן בוחן'!AD636</f>
        <v>11969.71</v>
      </c>
      <c r="AE736" s="141">
        <f>'[29]מאזן בוחן'!AE646</f>
        <v>12059.130000000005</v>
      </c>
      <c r="AF736" s="141">
        <f>'[30]מאזן בוחן'!AF657</f>
        <v>11839.529999999999</v>
      </c>
      <c r="AG736" s="141">
        <f>'[31]מאזן בוחן'!AG661</f>
        <v>11464.719999999994</v>
      </c>
      <c r="AH736" s="141">
        <v>11702.75</v>
      </c>
      <c r="AI736" s="141">
        <v>11683.5</v>
      </c>
      <c r="AJ736" s="141">
        <v>11670.800000000003</v>
      </c>
      <c r="AK736" s="141">
        <v>11862.89</v>
      </c>
      <c r="AL736" s="141">
        <v>11869.390000000014</v>
      </c>
      <c r="AM736" s="141">
        <f>$K736-SUM($AB736:AL736)</f>
        <v>12946.309999999998</v>
      </c>
      <c r="AN736" s="141"/>
      <c r="AO736" s="141"/>
      <c r="AP736" s="141"/>
      <c r="AQ736" s="141"/>
      <c r="AR736" s="141"/>
      <c r="AS736" s="141"/>
      <c r="AT736" s="141"/>
      <c r="AU736" s="141"/>
      <c r="AV736" s="141"/>
      <c r="AW736" s="141"/>
      <c r="AX736" s="141"/>
      <c r="BA736" s="204"/>
    </row>
    <row r="737" spans="1:53">
      <c r="A737" s="52"/>
      <c r="B737" s="3659" t="s">
        <v>1176</v>
      </c>
      <c r="C737" s="585">
        <v>8310002</v>
      </c>
      <c r="D737" s="203" t="s">
        <v>1298</v>
      </c>
      <c r="E737" s="474">
        <f>IFERROR(VLOOKUP(C737,'פקודות נוספות'!$D$274:$F$797,3,0),0)</f>
        <v>1500</v>
      </c>
      <c r="F737" s="49">
        <f>SUMIF('פקודות נוספות'!C:C,C:C,'פקודות נוספות'!E:E)</f>
        <v>0</v>
      </c>
      <c r="J737" s="474">
        <f>SUM(E737:I737)</f>
        <v>1500</v>
      </c>
      <c r="K737" s="42">
        <f>M737+SUMIF('פקודות נוספות'!C:C,'מאזן בוחן'!C737,'פקודות נוספות'!F:F)</f>
        <v>455.79</v>
      </c>
      <c r="L737" s="49"/>
      <c r="M737" s="1341">
        <f>IFERROR(VLOOKUP(C737,'פקודות נוספות'!$D$273:$G$797,4,0),0)</f>
        <v>455.79</v>
      </c>
      <c r="N737" s="1104">
        <f>IF(K737=0,"-",J737/K737)</f>
        <v>3.2909892713749751</v>
      </c>
      <c r="O737" s="1133"/>
      <c r="P737" s="137">
        <v>199.02</v>
      </c>
      <c r="Q737" s="141">
        <f>'[39]מאזן בוחן'!AE607</f>
        <v>0</v>
      </c>
      <c r="R737" s="141">
        <v>0</v>
      </c>
      <c r="S737" s="141">
        <v>0</v>
      </c>
      <c r="T737" s="141">
        <f>'[20]מאזן בוחן'!AR660</f>
        <v>0</v>
      </c>
      <c r="U737" s="141">
        <f>'[21]מאזן בוחן'!AS571</f>
        <v>0</v>
      </c>
      <c r="V737" s="726">
        <f>'[22]מאזן בוחן'!AJ557</f>
        <v>0</v>
      </c>
      <c r="W737" s="726">
        <f>'[23]מאזן בוחן'!AK563</f>
        <v>0</v>
      </c>
      <c r="X737" s="141">
        <v>0</v>
      </c>
      <c r="Y737" s="141">
        <f>'[25]מאזן בוחן'!AM593</f>
        <v>0</v>
      </c>
      <c r="Z737" s="141"/>
      <c r="AA737" s="141">
        <f>'[32]מאזן בוחן'!AO610</f>
        <v>4665.6299999999992</v>
      </c>
      <c r="AB737" s="141">
        <f>'[26]מאזן בוחן'!AB619</f>
        <v>455.79</v>
      </c>
      <c r="AC737" s="141">
        <f>'[27]מאזן בוחן'!AC628</f>
        <v>0</v>
      </c>
      <c r="AD737" s="141">
        <f>'[28]מאזן בוחן'!AD637</f>
        <v>0</v>
      </c>
      <c r="AE737" s="141">
        <f>'[29]מאזן בוחן'!AE647</f>
        <v>0</v>
      </c>
      <c r="AF737" s="141">
        <f>'[30]מאזן בוחן'!AF658</f>
        <v>0</v>
      </c>
      <c r="AG737" s="141">
        <f>'[31]מאזן בוחן'!AG662</f>
        <v>0</v>
      </c>
      <c r="AH737" s="141">
        <v>0</v>
      </c>
      <c r="AI737" s="141">
        <v>0</v>
      </c>
      <c r="AJ737" s="141">
        <v>0</v>
      </c>
      <c r="AK737" s="141">
        <v>0</v>
      </c>
      <c r="AL737" s="141">
        <v>0</v>
      </c>
      <c r="AM737" s="141">
        <f>$K737-SUM($AB737:AL737)</f>
        <v>0</v>
      </c>
      <c r="AN737" s="141"/>
      <c r="AO737" s="141"/>
      <c r="AP737" s="141"/>
      <c r="AQ737" s="141"/>
      <c r="AR737" s="141"/>
      <c r="AS737" s="141"/>
      <c r="AT737" s="141"/>
      <c r="AU737" s="141"/>
      <c r="AV737" s="141"/>
      <c r="AW737" s="141"/>
      <c r="AX737" s="141"/>
      <c r="BA737" s="204"/>
    </row>
    <row r="738" spans="1:53">
      <c r="A738" s="52"/>
      <c r="B738" s="3659"/>
      <c r="C738" s="585"/>
      <c r="D738" s="203"/>
      <c r="E738" s="474"/>
      <c r="J738" s="474"/>
      <c r="K738" s="42"/>
      <c r="L738" s="49"/>
      <c r="M738" s="1341"/>
      <c r="O738" s="1133"/>
      <c r="Q738" s="141"/>
      <c r="R738" s="141"/>
      <c r="S738" s="141"/>
      <c r="T738" s="141"/>
      <c r="U738" s="141"/>
      <c r="V738" s="726"/>
      <c r="W738" s="726"/>
      <c r="X738" s="141"/>
      <c r="Y738" s="141"/>
      <c r="Z738" s="141"/>
      <c r="AA738" s="141"/>
      <c r="AB738" s="141"/>
      <c r="AC738" s="141"/>
      <c r="AD738" s="141"/>
      <c r="AE738" s="141"/>
      <c r="AF738" s="141"/>
      <c r="AG738" s="141"/>
      <c r="AH738" s="141"/>
      <c r="AI738" s="141"/>
      <c r="AJ738" s="141"/>
      <c r="AK738" s="141"/>
      <c r="AL738" s="141"/>
      <c r="AM738" s="141"/>
      <c r="AN738" s="141"/>
      <c r="AO738" s="141"/>
      <c r="AP738" s="141"/>
      <c r="AQ738" s="141"/>
      <c r="AR738" s="141"/>
      <c r="AS738" s="141"/>
      <c r="AT738" s="141"/>
      <c r="AU738" s="141"/>
      <c r="AV738" s="141"/>
      <c r="AW738" s="141"/>
      <c r="AX738" s="141"/>
      <c r="BA738" s="204"/>
    </row>
    <row r="739" spans="1:53">
      <c r="A739" s="52"/>
      <c r="B739" s="3659" t="s">
        <v>2935</v>
      </c>
      <c r="C739" s="585">
        <v>8420010</v>
      </c>
      <c r="D739" s="203" t="s">
        <v>1181</v>
      </c>
      <c r="E739" s="474">
        <f>IFERROR(VLOOKUP(C739,'פקודות נוספות'!$D$274:$F$797,3,0),0)</f>
        <v>2434913</v>
      </c>
      <c r="F739" s="49">
        <f>SUMIF('פקודות נוספות'!C:C,C:C,'פקודות נוספות'!E:E)</f>
        <v>0</v>
      </c>
      <c r="J739" s="474">
        <f>SUM(E739:I739)</f>
        <v>2434913</v>
      </c>
      <c r="K739" s="42">
        <f>M739+SUMIF('פקודות נוספות'!C:C,'מאזן בוחן'!C739,'פקודות נוספות'!F:F)</f>
        <v>754076.64</v>
      </c>
      <c r="L739" s="49"/>
      <c r="M739" s="1341">
        <f>IFERROR(VLOOKUP(C739,'פקודות נוספות'!$D$273:$G$797,4,0),0)</f>
        <v>754076.64</v>
      </c>
      <c r="N739" s="1104">
        <f>IF(K739=0,"-",J739/K739)</f>
        <v>3.2289993759785478</v>
      </c>
      <c r="O739" s="1133"/>
      <c r="P739" s="1512">
        <v>57698.600000000006</v>
      </c>
      <c r="Q739" s="141">
        <f>'[39]מאזן בוחן'!AE610</f>
        <v>56027.22</v>
      </c>
      <c r="R739" s="141">
        <v>57067.72</v>
      </c>
      <c r="S739" s="141">
        <v>57320.669999999984</v>
      </c>
      <c r="T739" s="141">
        <f>'[20]מאזן בוחן'!AR663</f>
        <v>57627.53</v>
      </c>
      <c r="U739" s="141">
        <f>'[21]מאזן בוחן'!AS574</f>
        <v>58608.270000000048</v>
      </c>
      <c r="V739" s="726">
        <f>'[22]מאזן בוחן'!AJ560</f>
        <v>59410.170000000013</v>
      </c>
      <c r="W739" s="726">
        <f>'[23]מאזן בוחן'!AK566</f>
        <v>58133.390000000014</v>
      </c>
      <c r="X739" s="141">
        <v>58613.979999999952</v>
      </c>
      <c r="Y739" s="141">
        <f>'[25]מאזן בוחן'!AM596</f>
        <v>60379.999999999884</v>
      </c>
      <c r="Z739" s="141"/>
      <c r="AA739" s="141">
        <f>'[32]מאזן בוחן'!AO613</f>
        <v>62126.910000000033</v>
      </c>
      <c r="AB739" s="141">
        <f>'[26]מאזן בוחן'!AB621</f>
        <v>60692.21</v>
      </c>
      <c r="AC739" s="141">
        <f>'[27]מאזן בוחן'!AC630</f>
        <v>61703.37</v>
      </c>
      <c r="AD739" s="141">
        <f>'[28]מאזן בוחן'!AD639</f>
        <v>61225.86</v>
      </c>
      <c r="AE739" s="141">
        <f>'[29]מאזן בוחן'!AE649</f>
        <v>62444.41</v>
      </c>
      <c r="AF739" s="141">
        <f>'[30]מאזן בוחן'!AF660</f>
        <v>62332.00999999998</v>
      </c>
      <c r="AG739" s="141">
        <f>'[31]מאזן בוחן'!AG664</f>
        <v>62198.170000000042</v>
      </c>
      <c r="AH739" s="141">
        <v>62717.599999999977</v>
      </c>
      <c r="AI739" s="141">
        <v>63226.070000000007</v>
      </c>
      <c r="AJ739" s="141">
        <v>62881.700000000012</v>
      </c>
      <c r="AK739" s="141">
        <v>64214.380000000005</v>
      </c>
      <c r="AL739" s="141">
        <v>64133.140000000014</v>
      </c>
      <c r="AM739" s="141">
        <f>$K739-SUM($AB739:AL739)</f>
        <v>66307.719999999972</v>
      </c>
      <c r="AN739" s="141"/>
      <c r="AO739" s="141"/>
      <c r="AP739" s="141"/>
      <c r="AQ739" s="141"/>
      <c r="AR739" s="141"/>
      <c r="AS739" s="141"/>
      <c r="AT739" s="141"/>
      <c r="AU739" s="141"/>
      <c r="AV739" s="141"/>
      <c r="AW739" s="141"/>
      <c r="AX739" s="141"/>
      <c r="BA739" s="204"/>
    </row>
    <row r="740" spans="1:53">
      <c r="A740" s="52"/>
      <c r="B740" s="3659" t="s">
        <v>2935</v>
      </c>
      <c r="C740" s="585">
        <v>8420055</v>
      </c>
      <c r="D740" s="203" t="s">
        <v>4795</v>
      </c>
      <c r="E740" s="474">
        <f>IFERROR(VLOOKUP(C740,'פקודות נוספות'!$D$274:$F$797,3,0),0)</f>
        <v>4000</v>
      </c>
      <c r="F740" s="49">
        <f>SUMIF('פקודות נוספות'!C:C,C:C,'פקודות נוספות'!E:E)</f>
        <v>0</v>
      </c>
      <c r="J740" s="474">
        <f>SUM(E740:I740)</f>
        <v>4000</v>
      </c>
      <c r="K740" s="42">
        <f>M740+SUMIF('פקודות נוספות'!C:C,'מאזן בוחן'!C740,'פקודות נוספות'!F:F)</f>
        <v>1286.17</v>
      </c>
      <c r="L740" s="49"/>
      <c r="M740" s="1341">
        <f>IFERROR(VLOOKUP(C740,'פקודות נוספות'!$D$273:$G$797,4,0),0)</f>
        <v>1286.17</v>
      </c>
      <c r="N740" s="1104">
        <f>IF(K740=0,"-",J740/K740)</f>
        <v>3.1100087857748195</v>
      </c>
      <c r="O740" s="1133"/>
      <c r="P740" s="1512"/>
      <c r="Q740" s="141"/>
      <c r="R740" s="141"/>
      <c r="S740" s="141"/>
      <c r="T740" s="141"/>
      <c r="U740" s="141"/>
      <c r="V740" s="726"/>
      <c r="W740" s="726"/>
      <c r="X740" s="141"/>
      <c r="Y740" s="141"/>
      <c r="Z740" s="141"/>
      <c r="AA740" s="141"/>
      <c r="AB740" s="141"/>
      <c r="AC740" s="141"/>
      <c r="AD740" s="141"/>
      <c r="AE740" s="141"/>
      <c r="AF740" s="141"/>
      <c r="AG740" s="141"/>
      <c r="AH740" s="141"/>
      <c r="AI740" s="141"/>
      <c r="AJ740" s="141"/>
      <c r="AK740" s="141"/>
      <c r="AL740" s="141"/>
      <c r="AM740" s="141">
        <f>$K740-SUM($AB740:AL740)</f>
        <v>1286.17</v>
      </c>
      <c r="AN740" s="141"/>
      <c r="AO740" s="141"/>
      <c r="AP740" s="141"/>
      <c r="AQ740" s="141"/>
      <c r="AR740" s="141"/>
      <c r="AS740" s="141"/>
      <c r="AT740" s="141"/>
      <c r="AU740" s="141"/>
      <c r="AV740" s="141"/>
      <c r="AW740" s="141"/>
      <c r="AX740" s="141"/>
      <c r="BA740" s="204"/>
    </row>
    <row r="741" spans="1:53">
      <c r="A741" s="52"/>
      <c r="B741" s="3659" t="s">
        <v>2935</v>
      </c>
      <c r="C741" s="585">
        <v>8420011</v>
      </c>
      <c r="D741" s="203" t="s">
        <v>1300</v>
      </c>
      <c r="E741" s="474">
        <f>IFERROR(VLOOKUP(C741,'פקודות נוספות'!$D$274:$F$797,3,0),0)</f>
        <v>1021069.17</v>
      </c>
      <c r="F741" s="49">
        <f>SUMIF('פקודות נוספות'!C:C,C:C,'פקודות נוספות'!E:E)</f>
        <v>0</v>
      </c>
      <c r="J741" s="474">
        <f>SUM(E741:I741)</f>
        <v>1021069.17</v>
      </c>
      <c r="K741" s="42">
        <f>M741+SUMIF('פקודות נוספות'!C:C,'מאזן בוחן'!C741,'פקודות נוספות'!F:F)</f>
        <v>309542.63</v>
      </c>
      <c r="L741" s="49"/>
      <c r="M741" s="1341">
        <f>IFERROR(VLOOKUP(C741,'פקודות נוספות'!$D$273:$G$797,4,0),0)</f>
        <v>309542.63</v>
      </c>
      <c r="N741" s="1104">
        <f>IF(K741=0,"-",J741/K741)</f>
        <v>3.2986382844908957</v>
      </c>
      <c r="O741" s="1133"/>
      <c r="P741" s="137">
        <v>-89569.65</v>
      </c>
      <c r="Q741" s="141">
        <f>'[39]מאזן בוחן'!AE609</f>
        <v>174271.4</v>
      </c>
      <c r="R741" s="141">
        <v>0</v>
      </c>
      <c r="S741" s="141">
        <v>0</v>
      </c>
      <c r="T741" s="141">
        <f>'[20]מאזן בוחן'!AR662</f>
        <v>86850</v>
      </c>
      <c r="U741" s="141">
        <f>'[21]מאזן בוחן'!AS573</f>
        <v>0</v>
      </c>
      <c r="V741" s="726">
        <f>'[22]מאזן בוחן'!AJ559</f>
        <v>0</v>
      </c>
      <c r="W741" s="726">
        <f>'[23]מאזן בוחן'!AK565</f>
        <v>86850</v>
      </c>
      <c r="X741" s="141">
        <v>0</v>
      </c>
      <c r="Y741" s="141">
        <f>'[25]מאזן בוחן'!AM595</f>
        <v>0</v>
      </c>
      <c r="Z741" s="141"/>
      <c r="AA741" s="141">
        <f>'[32]מאזן בוחן'!AO612</f>
        <v>123111.90000000002</v>
      </c>
      <c r="AB741" s="141">
        <f>'[26]מאזן בוחן'!AB620</f>
        <v>31871.49</v>
      </c>
      <c r="AC741" s="141">
        <f>'[27]מאזן בוחן'!AC629</f>
        <v>13923.529999999995</v>
      </c>
      <c r="AD741" s="141">
        <f>'[28]מאזן בוחן'!AD638</f>
        <v>24377.19000000001</v>
      </c>
      <c r="AE741" s="141">
        <f>'[29]מאזן בוחן'!AE648</f>
        <v>38425</v>
      </c>
      <c r="AF741" s="141">
        <f>'[30]מאזן בוחן'!AF659</f>
        <v>38424.999999999985</v>
      </c>
      <c r="AG741" s="141">
        <f>'[31]מאזן בוחן'!AG663</f>
        <v>10965.520000000019</v>
      </c>
      <c r="AH741" s="141">
        <v>38425</v>
      </c>
      <c r="AI741" s="141">
        <v>38425</v>
      </c>
      <c r="AJ741" s="141">
        <v>10701.899999999994</v>
      </c>
      <c r="AK741" s="141">
        <v>38425</v>
      </c>
      <c r="AL741" s="141">
        <v>38425</v>
      </c>
      <c r="AM741" s="141">
        <f>$K741-SUM($AB741:AL741)</f>
        <v>-12847</v>
      </c>
      <c r="AN741" s="141"/>
      <c r="AO741" s="141"/>
      <c r="AP741" s="141"/>
      <c r="AQ741" s="141"/>
      <c r="AR741" s="141"/>
      <c r="AS741" s="141"/>
      <c r="AT741" s="141"/>
      <c r="AU741" s="141"/>
      <c r="AV741" s="141"/>
      <c r="AW741" s="141"/>
      <c r="AX741" s="141"/>
      <c r="BA741" s="204"/>
    </row>
    <row r="742" spans="1:53">
      <c r="A742" s="52"/>
      <c r="B742" s="3659" t="s">
        <v>2935</v>
      </c>
      <c r="C742" s="585">
        <v>8420013</v>
      </c>
      <c r="D742" s="203" t="s">
        <v>1182</v>
      </c>
      <c r="E742" s="474">
        <f>IFERROR(VLOOKUP(C742,'פקודות נוספות'!$D$274:$F$797,3,0),0)</f>
        <v>70389.679999999993</v>
      </c>
      <c r="F742" s="49">
        <f>SUMIF('פקודות נוספות'!C:C,C:C,'פקודות נוספות'!E:E)</f>
        <v>0</v>
      </c>
      <c r="J742" s="474">
        <f t="shared" si="148"/>
        <v>70389.679999999993</v>
      </c>
      <c r="K742" s="42">
        <f>M742+SUMIF('פקודות נוספות'!C:C,'מאזן בוחן'!C742,'פקודות נוספות'!F:F)</f>
        <v>22579</v>
      </c>
      <c r="L742" s="49"/>
      <c r="M742" s="1341">
        <f>IFERROR(VLOOKUP(C742,'פקודות נוספות'!$D$273:$G$797,4,0),0)</f>
        <v>22579</v>
      </c>
      <c r="N742" s="1104">
        <f t="shared" si="149"/>
        <v>3.117484388148279</v>
      </c>
      <c r="O742" s="1133"/>
      <c r="P742" s="137">
        <v>5768.68</v>
      </c>
      <c r="Q742" s="141">
        <f>'[39]מאזן בוחן'!AE611</f>
        <v>0</v>
      </c>
      <c r="R742" s="141">
        <v>0</v>
      </c>
      <c r="S742" s="141">
        <v>0</v>
      </c>
      <c r="T742" s="141">
        <f>'[20]מאזן בוחן'!AR664</f>
        <v>0</v>
      </c>
      <c r="U742" s="141">
        <f>'[21]מאזן בוחן'!AS575</f>
        <v>0</v>
      </c>
      <c r="V742" s="726">
        <f>'[22]מאזן בוחן'!AJ561</f>
        <v>0</v>
      </c>
      <c r="W742" s="726">
        <f>'[23]מאזן בוחן'!AK567</f>
        <v>0</v>
      </c>
      <c r="X742" s="141">
        <v>0</v>
      </c>
      <c r="Y742" s="141">
        <f>'[25]מאזן בוחן'!AM597</f>
        <v>0</v>
      </c>
      <c r="Z742" s="141"/>
      <c r="AA742" s="141">
        <f>'[32]מאזן בוחן'!AO614</f>
        <v>10730.95</v>
      </c>
      <c r="AB742" s="141">
        <f>'[26]מאזן בוחן'!AB622</f>
        <v>0</v>
      </c>
      <c r="AC742" s="141">
        <f>'[27]מאזן בוחן'!AC631</f>
        <v>-3109</v>
      </c>
      <c r="AD742" s="141">
        <f>'[28]מאזן בוחן'!AD640</f>
        <v>0</v>
      </c>
      <c r="AE742" s="141">
        <f>'[29]מאזן בוחן'!AE650</f>
        <v>0</v>
      </c>
      <c r="AF742" s="141">
        <f>'[30]מאזן בוחן'!AF661</f>
        <v>0</v>
      </c>
      <c r="AG742" s="141">
        <f>'[31]מאזן בוחן'!AG665</f>
        <v>0</v>
      </c>
      <c r="AH742" s="141">
        <v>0</v>
      </c>
      <c r="AI742" s="141">
        <v>0</v>
      </c>
      <c r="AJ742" s="141">
        <v>0</v>
      </c>
      <c r="AK742" s="141">
        <v>0</v>
      </c>
      <c r="AL742" s="141">
        <v>0</v>
      </c>
      <c r="AM742" s="141">
        <f>$K742-SUM($AB742:AL742)</f>
        <v>25688</v>
      </c>
      <c r="AN742" s="141"/>
      <c r="AO742" s="141"/>
      <c r="AP742" s="141"/>
      <c r="AQ742" s="141"/>
      <c r="AR742" s="141"/>
      <c r="AS742" s="141"/>
      <c r="AT742" s="141"/>
      <c r="AU742" s="141"/>
      <c r="AV742" s="141"/>
      <c r="AW742" s="141"/>
      <c r="AX742" s="141"/>
      <c r="BA742" s="204"/>
    </row>
    <row r="743" spans="1:53">
      <c r="A743" s="52"/>
      <c r="B743" s="3659" t="s">
        <v>2935</v>
      </c>
      <c r="C743" s="585">
        <v>90102</v>
      </c>
      <c r="D743" s="1516" t="s">
        <v>1243</v>
      </c>
      <c r="E743" s="474">
        <f>IFERROR(VLOOKUP(C743,'פקודות נוספות'!$D$274:$F$797,3,0),0)</f>
        <v>3209613.5</v>
      </c>
      <c r="F743" s="49">
        <f>SUMIF('פקודות נוספות'!C:C,C:C,'פקודות נוספות'!E:E)</f>
        <v>0</v>
      </c>
      <c r="J743" s="474">
        <f>SUM(E743:I743)</f>
        <v>3209613.5</v>
      </c>
      <c r="K743" s="42">
        <f>M743+SUMIF('פקודות נוספות'!C:C,'מאזן בוחן'!C743,'פקודות נוספות'!F:F)</f>
        <v>992082.23</v>
      </c>
      <c r="L743" s="49"/>
      <c r="M743" s="1341">
        <f>IFERROR(VLOOKUP(C743,'פקודות נוספות'!$D$273:$G$797,4,0),0)</f>
        <v>992082.23</v>
      </c>
      <c r="N743" s="1104">
        <f>IF(K743=0,"-",J743/K743)</f>
        <v>3.2352293015065898</v>
      </c>
      <c r="O743" s="1133"/>
      <c r="P743" s="137">
        <v>0</v>
      </c>
      <c r="Q743" s="141">
        <f>'[39]מאזן בוחן'!AE613</f>
        <v>309275.11817773967</v>
      </c>
      <c r="R743" s="137">
        <v>0</v>
      </c>
      <c r="S743" s="137">
        <v>0.88182226032949984</v>
      </c>
      <c r="T743" s="2041">
        <f>'[20]מאזן בוחן'!AR667</f>
        <v>339642.48599387938</v>
      </c>
      <c r="U743" s="2041">
        <f>'[21]מאזן בוחן'!AS577</f>
        <v>0.51400612061843276</v>
      </c>
      <c r="V743" s="726">
        <f>'[22]מאזן בוחן'!AJ563</f>
        <v>0</v>
      </c>
      <c r="W743" s="726">
        <f>'[23]מאזן בוחן'!AK569</f>
        <v>244560.55000000005</v>
      </c>
      <c r="X743" s="141">
        <v>0</v>
      </c>
      <c r="Y743" s="141">
        <f>'[25]מאזן בוחן'!AM599</f>
        <v>0</v>
      </c>
      <c r="Z743" s="141"/>
      <c r="AA743" s="141">
        <f>'[32]מאזן בוחן'!AO616</f>
        <v>248011.81000000006</v>
      </c>
      <c r="AB743" s="141">
        <f>'[26]מאזן בוחן'!AB624</f>
        <v>0</v>
      </c>
      <c r="AC743" s="141">
        <f>'[27]מאזן בוחן'!AC633</f>
        <v>0</v>
      </c>
      <c r="AD743" s="141">
        <f>'[28]מאזן בוחן'!AD642</f>
        <v>274206.53999999998</v>
      </c>
      <c r="AE743" s="141">
        <f>'[29]מאזן בוחן'!AE652</f>
        <v>0</v>
      </c>
      <c r="AF743" s="141">
        <f>'[30]מאזן בוחן'!AF663</f>
        <v>0</v>
      </c>
      <c r="AG743" s="141">
        <f>'[31]מאזן בוחן'!AG667</f>
        <v>222258.08000000002</v>
      </c>
      <c r="AH743" s="141">
        <v>0</v>
      </c>
      <c r="AI743" s="141">
        <v>0</v>
      </c>
      <c r="AJ743" s="141">
        <v>247703.71999999997</v>
      </c>
      <c r="AK743" s="141">
        <v>0</v>
      </c>
      <c r="AL743" s="141">
        <v>0</v>
      </c>
      <c r="AM743" s="141">
        <f>$K743-SUM($AB743:AL743)</f>
        <v>247913.89</v>
      </c>
      <c r="AN743" s="141"/>
      <c r="AO743" s="141"/>
      <c r="AP743" s="141"/>
      <c r="AQ743" s="141"/>
      <c r="AR743" s="141"/>
      <c r="AS743" s="141"/>
      <c r="AT743" s="141"/>
      <c r="AU743" s="141"/>
      <c r="AV743" s="141"/>
      <c r="AW743" s="141"/>
      <c r="AX743" s="141"/>
      <c r="BA743" s="204"/>
    </row>
    <row r="744" spans="1:53">
      <c r="A744" s="52"/>
      <c r="B744" s="3659"/>
      <c r="C744" s="585"/>
      <c r="D744" s="1516"/>
      <c r="E744" s="1202"/>
      <c r="J744" s="474"/>
      <c r="K744" s="42"/>
      <c r="L744" s="49"/>
      <c r="M744" s="474"/>
      <c r="O744" s="1133"/>
      <c r="P744" s="137">
        <v>0</v>
      </c>
      <c r="Q744" s="141">
        <f>'[39]מאזן בוחן'!AE614</f>
        <v>0</v>
      </c>
      <c r="R744" s="137">
        <v>0</v>
      </c>
      <c r="S744" s="137">
        <v>0</v>
      </c>
      <c r="T744" s="2041">
        <f>'[20]מאזן בוחן'!AR668</f>
        <v>0</v>
      </c>
      <c r="U744" s="2041">
        <f>'[21]מאזן בוחן'!AS578</f>
        <v>0</v>
      </c>
      <c r="V744" s="726">
        <f>'[22]מאזן בוחן'!AJ564</f>
        <v>0</v>
      </c>
      <c r="W744" s="726">
        <f>'[23]מאזן בוחן'!AK570</f>
        <v>0</v>
      </c>
      <c r="X744" s="141">
        <v>0</v>
      </c>
      <c r="Y744" s="141">
        <f>'[25]מאזן בוחן'!AM600</f>
        <v>0</v>
      </c>
      <c r="Z744" s="141"/>
      <c r="AA744" s="141">
        <f>'[32]מאזן בוחן'!AO617</f>
        <v>0</v>
      </c>
      <c r="AB744" s="141">
        <f>'[26]מאזן בוחן'!AB625</f>
        <v>0</v>
      </c>
      <c r="AC744" s="141">
        <f>'[27]מאזן בוחן'!AC634</f>
        <v>0</v>
      </c>
      <c r="AD744" s="141">
        <f>'[28]מאזן בוחן'!AD643</f>
        <v>0</v>
      </c>
      <c r="AE744" s="141">
        <f>'[29]מאזן בוחן'!AE653</f>
        <v>0</v>
      </c>
      <c r="AF744" s="141">
        <f>'[30]מאזן בוחן'!AF664</f>
        <v>0</v>
      </c>
      <c r="AG744" s="141">
        <f>'[31]מאזן בוחן'!AG668</f>
        <v>0</v>
      </c>
      <c r="AH744" s="141">
        <v>0</v>
      </c>
      <c r="AI744" s="141">
        <v>0</v>
      </c>
      <c r="AJ744" s="141">
        <v>0</v>
      </c>
      <c r="AK744" s="141">
        <v>0</v>
      </c>
      <c r="AL744" s="141">
        <v>0</v>
      </c>
      <c r="AM744" s="141">
        <f>$K744-SUM($AB744:AL744)</f>
        <v>0</v>
      </c>
      <c r="AN744" s="141"/>
      <c r="AO744" s="141"/>
      <c r="AP744" s="141"/>
      <c r="AQ744" s="141"/>
      <c r="AR744" s="141"/>
      <c r="AS744" s="141"/>
      <c r="AT744" s="141"/>
      <c r="AU744" s="141"/>
      <c r="AV744" s="141"/>
      <c r="AW744" s="141"/>
      <c r="AX744" s="141"/>
      <c r="BA744" s="204"/>
    </row>
    <row r="745" spans="1:53">
      <c r="A745" s="52"/>
      <c r="B745" s="3659"/>
      <c r="C745" s="1489"/>
      <c r="D745" s="203"/>
      <c r="E745" s="1202"/>
      <c r="J745" s="474"/>
      <c r="K745" s="42"/>
      <c r="L745" s="49"/>
      <c r="M745" s="474"/>
      <c r="O745" s="1133"/>
      <c r="P745" s="137">
        <v>0</v>
      </c>
      <c r="Q745" s="141">
        <f>'[39]מאזן בוחן'!AE615</f>
        <v>0</v>
      </c>
      <c r="R745" s="137">
        <v>0</v>
      </c>
      <c r="S745" s="137">
        <v>0</v>
      </c>
      <c r="T745" s="2041">
        <f>'[20]מאזן בוחן'!AR669</f>
        <v>0</v>
      </c>
      <c r="U745" s="2041">
        <f>'[21]מאזן בוחן'!AS579</f>
        <v>0</v>
      </c>
      <c r="V745" s="726">
        <f>'[22]מאזן בוחן'!AJ565</f>
        <v>0</v>
      </c>
      <c r="W745" s="726">
        <f>'[23]מאזן בוחן'!AK571</f>
        <v>0</v>
      </c>
      <c r="X745" s="141">
        <v>0</v>
      </c>
      <c r="Y745" s="141">
        <f>'[25]מאזן בוחן'!AM601</f>
        <v>0</v>
      </c>
      <c r="Z745" s="141"/>
      <c r="AA745" s="141">
        <f>'[32]מאזן בוחן'!AO618</f>
        <v>0</v>
      </c>
      <c r="AB745" s="141">
        <f>'[26]מאזן בוחן'!AB626</f>
        <v>0</v>
      </c>
      <c r="AC745" s="141">
        <f>'[27]מאזן בוחן'!AC635</f>
        <v>0</v>
      </c>
      <c r="AD745" s="141">
        <f>'[28]מאזן בוחן'!AD644</f>
        <v>0</v>
      </c>
      <c r="AE745" s="141">
        <f>'[29]מאזן בוחן'!AE654</f>
        <v>0</v>
      </c>
      <c r="AF745" s="141">
        <f>'[30]מאזן בוחן'!AF665</f>
        <v>0</v>
      </c>
      <c r="AG745" s="141">
        <f>'[31]מאזן בוחן'!AG669</f>
        <v>0</v>
      </c>
      <c r="AH745" s="141">
        <v>0</v>
      </c>
      <c r="AI745" s="141">
        <v>0</v>
      </c>
      <c r="AJ745" s="141">
        <v>0</v>
      </c>
      <c r="AK745" s="141">
        <v>0</v>
      </c>
      <c r="AL745" s="141">
        <v>0</v>
      </c>
      <c r="AM745" s="141">
        <f>$K745-SUM($AB745:AL745)</f>
        <v>0</v>
      </c>
      <c r="AN745" s="141"/>
      <c r="AO745" s="141"/>
      <c r="AP745" s="141"/>
      <c r="AQ745" s="141"/>
      <c r="AR745" s="141"/>
      <c r="AS745" s="141"/>
      <c r="AT745" s="141"/>
      <c r="AU745" s="141"/>
      <c r="AV745" s="141"/>
      <c r="AW745" s="141"/>
      <c r="AX745" s="141"/>
      <c r="BA745" s="204"/>
    </row>
    <row r="746" spans="1:53">
      <c r="A746" s="52"/>
      <c r="B746" s="3664"/>
      <c r="C746" s="407"/>
      <c r="D746" s="1932"/>
      <c r="E746" s="2867">
        <f t="shared" ref="E746:K746" si="154">SUM(E716:E745)</f>
        <v>18008303.890000001</v>
      </c>
      <c r="F746" s="2867">
        <f t="shared" si="154"/>
        <v>0</v>
      </c>
      <c r="G746" s="1198">
        <f t="shared" si="154"/>
        <v>0</v>
      </c>
      <c r="H746" s="1198">
        <f t="shared" si="154"/>
        <v>0</v>
      </c>
      <c r="I746" s="1198">
        <f t="shared" si="154"/>
        <v>0</v>
      </c>
      <c r="J746" s="1198">
        <f t="shared" si="154"/>
        <v>18008303.890000001</v>
      </c>
      <c r="K746" s="1198">
        <f t="shared" si="154"/>
        <v>5565715.6399999987</v>
      </c>
      <c r="L746" s="49"/>
      <c r="M746" s="1198">
        <f>SUM(M716:M745)</f>
        <v>5565715.6399999987</v>
      </c>
      <c r="N746" s="1104">
        <f t="shared" ref="N746:N760" si="155">IF(K746=0,"-",J746/K746)</f>
        <v>3.2355774270206887</v>
      </c>
      <c r="O746" s="1133"/>
      <c r="P746" s="137">
        <v>212865.91000000003</v>
      </c>
      <c r="Q746" s="141">
        <f>'[39]מאזן בוחן'!AE616</f>
        <v>796860.82989420043</v>
      </c>
      <c r="R746" s="137">
        <v>280689.12947473442</v>
      </c>
      <c r="S746" s="137">
        <v>282864.76063106535</v>
      </c>
      <c r="T746" s="2041">
        <f>'[20]מאזן בוחן'!AR670</f>
        <v>748557.52121026721</v>
      </c>
      <c r="U746" s="2041">
        <f>'[21]מאזן בוחן'!AS580</f>
        <v>294861.25878973305</v>
      </c>
      <c r="V746" s="726">
        <f>'[22]מאזן בוחן'!AJ566</f>
        <v>310828.33</v>
      </c>
      <c r="W746" s="726">
        <f>'[23]מאזן בוחן'!AK572</f>
        <v>665728.22097645979</v>
      </c>
      <c r="X746" s="141">
        <v>303604.15902353922</v>
      </c>
      <c r="Y746" s="141">
        <f>'[25]מאזן בוחן'!AM602</f>
        <v>312054.3900000006</v>
      </c>
      <c r="AA746" s="141">
        <f>'[32]מאזן בוחן'!AO619</f>
        <v>708712</v>
      </c>
      <c r="AB746" s="141">
        <f>'[26]מאזן בוחן'!AB627</f>
        <v>341493.51</v>
      </c>
      <c r="AC746" s="141">
        <f>'[27]מאזן בוחן'!AC636</f>
        <v>354422.80999999994</v>
      </c>
      <c r="AD746" s="141">
        <f>'[28]מאזן בוחן'!AD645</f>
        <v>709775.99000000011</v>
      </c>
      <c r="AE746" s="141">
        <f>'[29]מאזן בוחן'!AE655</f>
        <v>370622.57000000007</v>
      </c>
      <c r="AF746" s="141">
        <f>'[30]מאזן בוחן'!AF666</f>
        <v>365642.63999999943</v>
      </c>
      <c r="AG746" s="141">
        <f>'[31]מאזן בוחן'!AG670</f>
        <v>616803.06000000052</v>
      </c>
      <c r="AH746" s="141">
        <v>369659.23999999976</v>
      </c>
      <c r="AI746" s="141">
        <v>384544.81000000099</v>
      </c>
      <c r="AJ746" s="141">
        <v>624329.39999999898</v>
      </c>
      <c r="AK746" s="141">
        <v>386870.14999999991</v>
      </c>
      <c r="AL746" s="141">
        <v>373931.88000000082</v>
      </c>
      <c r="AM746" s="141">
        <f>$K746-SUM($AB746:AL746)</f>
        <v>667619.57999999821</v>
      </c>
      <c r="AN746" s="141"/>
      <c r="AO746" s="141"/>
      <c r="AP746" s="141"/>
      <c r="AQ746" s="141"/>
      <c r="AR746" s="141"/>
      <c r="AS746" s="141"/>
      <c r="AT746" s="141"/>
      <c r="AU746" s="141"/>
      <c r="AV746" s="141"/>
      <c r="AW746" s="141"/>
      <c r="BA746" s="204"/>
    </row>
    <row r="747" spans="1:53">
      <c r="A747" s="52"/>
      <c r="B747" s="3664"/>
      <c r="D747" s="1674" t="s">
        <v>87</v>
      </c>
      <c r="E747" s="1628"/>
      <c r="F747" s="1511"/>
      <c r="G747" s="1511"/>
      <c r="H747" s="1511"/>
      <c r="I747" s="1511"/>
      <c r="J747" s="474"/>
      <c r="K747" s="474"/>
      <c r="L747" s="49"/>
      <c r="M747" s="474"/>
      <c r="N747" s="1104" t="str">
        <f t="shared" si="155"/>
        <v>-</v>
      </c>
      <c r="O747" s="1133"/>
      <c r="P747" s="141">
        <v>0</v>
      </c>
      <c r="Q747" s="141">
        <f>'[39]מאזן בוחן'!AE617</f>
        <v>0</v>
      </c>
      <c r="R747" s="141">
        <v>0</v>
      </c>
      <c r="S747" s="141">
        <v>0</v>
      </c>
      <c r="T747" s="2041">
        <f>'[20]מאזן בוחן'!AR671</f>
        <v>0</v>
      </c>
      <c r="U747" s="2041">
        <f>'[21]מאזן בוחן'!AS581</f>
        <v>0</v>
      </c>
      <c r="V747" s="726">
        <f>'[22]מאזן בוחן'!AJ567</f>
        <v>0</v>
      </c>
      <c r="W747" s="726">
        <f>'[23]מאזן בוחן'!AK573</f>
        <v>0</v>
      </c>
      <c r="X747" s="141">
        <v>0</v>
      </c>
      <c r="Y747" s="141">
        <f>'[25]מאזן בוחן'!AM603</f>
        <v>0</v>
      </c>
      <c r="AA747" s="141">
        <f>'[32]מאזן בוחן'!AO620</f>
        <v>0</v>
      </c>
      <c r="AB747" s="141">
        <f>'[26]מאזן בוחן'!AB628</f>
        <v>0</v>
      </c>
      <c r="AC747" s="141">
        <f>'[27]מאזן בוחן'!AC637</f>
        <v>0</v>
      </c>
      <c r="AD747" s="141">
        <f>'[28]מאזן בוחן'!AD646</f>
        <v>0</v>
      </c>
      <c r="AE747" s="141">
        <f>'[29]מאזן בוחן'!AE656</f>
        <v>0</v>
      </c>
      <c r="AF747" s="141">
        <f>'[30]מאזן בוחן'!AF667</f>
        <v>0</v>
      </c>
      <c r="AG747" s="141">
        <f>'[31]מאזן בוחן'!AG671</f>
        <v>0</v>
      </c>
      <c r="AH747" s="141">
        <v>0</v>
      </c>
      <c r="AI747" s="141">
        <v>0</v>
      </c>
      <c r="AJ747" s="141">
        <v>0</v>
      </c>
      <c r="AK747" s="141">
        <v>0</v>
      </c>
      <c r="AL747" s="141">
        <v>0</v>
      </c>
      <c r="AM747" s="141">
        <f>$K747-SUM($AB747:AL747)</f>
        <v>0</v>
      </c>
      <c r="AN747" s="141"/>
      <c r="AO747" s="141"/>
      <c r="AP747" s="141"/>
      <c r="AQ747" s="141"/>
      <c r="AR747" s="141"/>
      <c r="AS747" s="141"/>
      <c r="AT747" s="141"/>
      <c r="AU747" s="141"/>
      <c r="AV747" s="141"/>
      <c r="AW747" s="141"/>
      <c r="BA747" s="204"/>
    </row>
    <row r="748" spans="1:53">
      <c r="A748" s="52"/>
      <c r="B748" s="3659" t="s">
        <v>1183</v>
      </c>
      <c r="C748" s="585">
        <v>8030020</v>
      </c>
      <c r="D748" s="203" t="s">
        <v>19</v>
      </c>
      <c r="E748" s="474">
        <f>IFERROR(VLOOKUP(C748,'פקודות נוספות'!$D$274:$F$797,3,0),0)</f>
        <v>1890485.66</v>
      </c>
      <c r="F748" s="49">
        <f>SUMIF('פקודות נוספות'!C:C,C:C,'פקודות נוספות'!E:E)</f>
        <v>0</v>
      </c>
      <c r="G748" s="1511"/>
      <c r="H748" s="1511"/>
      <c r="I748" s="1511"/>
      <c r="J748" s="3601">
        <f>SUM(E748:I748)</f>
        <v>1890485.66</v>
      </c>
      <c r="K748" s="3600">
        <f>M748+SUMIF('פקודות נוספות'!C:C,'מאזן בוחן'!C748,'פקודות נוספות'!F:F)</f>
        <v>515370.41</v>
      </c>
      <c r="L748" s="49"/>
      <c r="M748" s="1341">
        <f>IFERROR(VLOOKUP(C748,'פקודות נוספות'!$D$273:$G$797,4,0),0)</f>
        <v>515370.41</v>
      </c>
      <c r="N748" s="1104">
        <f t="shared" si="155"/>
        <v>3.6682076101342336</v>
      </c>
      <c r="O748" s="1133"/>
      <c r="P748" s="726">
        <v>66977.290000000008</v>
      </c>
      <c r="Q748" s="141">
        <f>'[39]מאזן בוחן'!AE618</f>
        <v>62212.179999999993</v>
      </c>
      <c r="R748" s="726">
        <v>65714.290000000008</v>
      </c>
      <c r="S748" s="726">
        <v>65676.75999999998</v>
      </c>
      <c r="T748" s="2041">
        <f>'[20]מאזן בוחן'!AR672</f>
        <v>62683.000000000029</v>
      </c>
      <c r="U748" s="2041">
        <f>'[21]מאזן בוחן'!AS582</f>
        <v>67488.25999999998</v>
      </c>
      <c r="V748" s="726">
        <f>'[22]מאזן בוחן'!AJ568</f>
        <v>68289.790000000008</v>
      </c>
      <c r="W748" s="726">
        <f>'[23]מאזן בוחן'!AK574</f>
        <v>54074.289999999979</v>
      </c>
      <c r="X748" s="141">
        <v>67212.159999999916</v>
      </c>
      <c r="Y748" s="141">
        <f>'[25]מאזן בוחן'!AM604</f>
        <v>68882.90000000014</v>
      </c>
      <c r="AA748" s="141">
        <f>'[32]מאזן בוחן'!AO621</f>
        <v>71932.939999999944</v>
      </c>
      <c r="AB748" s="141">
        <f>'[26]מאזן בוחן'!AB629</f>
        <v>69887.570000000007</v>
      </c>
      <c r="AC748" s="141">
        <f>'[27]מאזן בוחן'!AC638</f>
        <v>69887.570000000007</v>
      </c>
      <c r="AD748" s="141">
        <f>'[28]מאזן בוחן'!AD647</f>
        <v>-3720.7900000000081</v>
      </c>
      <c r="AE748" s="141">
        <f>'[29]מאזן בוחן'!AE657</f>
        <v>60648.26999999999</v>
      </c>
      <c r="AF748" s="141">
        <f>'[30]מאזן בוחן'!AF668</f>
        <v>61443.929999999993</v>
      </c>
      <c r="AG748" s="141">
        <f>'[31]מאזן בוחן'!AG672</f>
        <v>9346.820000000007</v>
      </c>
      <c r="AH748" s="141">
        <v>61443.929999999993</v>
      </c>
      <c r="AI748" s="141">
        <v>61443.929999999993</v>
      </c>
      <c r="AJ748" s="141">
        <v>3133.1600000000326</v>
      </c>
      <c r="AK748" s="141">
        <v>37998.729999999981</v>
      </c>
      <c r="AL748" s="141">
        <v>37998.729999999981</v>
      </c>
      <c r="AM748" s="141">
        <f>$K748-SUM($AB748:AL748)</f>
        <v>45858.559999999998</v>
      </c>
      <c r="AN748" s="141"/>
      <c r="AO748" s="141"/>
      <c r="AP748" s="141"/>
      <c r="AQ748" s="141"/>
      <c r="AR748" s="141"/>
      <c r="AS748" s="141"/>
      <c r="AT748" s="141"/>
      <c r="AU748" s="141"/>
      <c r="AV748" s="141"/>
      <c r="AW748" s="141"/>
      <c r="BA748" s="204"/>
    </row>
    <row r="749" spans="1:53">
      <c r="A749" s="52"/>
      <c r="B749" s="3668"/>
      <c r="C749" s="407"/>
      <c r="D749" s="1932"/>
      <c r="E749" s="2867">
        <f t="shared" ref="E749:M749" si="156">SUM(E748:E748)</f>
        <v>1890485.66</v>
      </c>
      <c r="F749" s="2867">
        <f t="shared" si="156"/>
        <v>0</v>
      </c>
      <c r="G749" s="1198">
        <f t="shared" si="156"/>
        <v>0</v>
      </c>
      <c r="H749" s="1198">
        <f t="shared" si="156"/>
        <v>0</v>
      </c>
      <c r="I749" s="1198">
        <f t="shared" si="156"/>
        <v>0</v>
      </c>
      <c r="J749" s="1198">
        <f t="shared" si="156"/>
        <v>1890485.66</v>
      </c>
      <c r="K749" s="1198">
        <f t="shared" si="156"/>
        <v>515370.41</v>
      </c>
      <c r="L749" s="49"/>
      <c r="M749" s="1198">
        <f t="shared" si="156"/>
        <v>515370.41</v>
      </c>
      <c r="N749" s="1104">
        <f t="shared" si="155"/>
        <v>3.6682076101342336</v>
      </c>
      <c r="O749" s="1133"/>
      <c r="P749" s="141">
        <v>66977.290000000008</v>
      </c>
      <c r="Q749" s="141">
        <f>'[39]מאזן בוחן'!AE619</f>
        <v>62212.179999999993</v>
      </c>
      <c r="R749" s="141">
        <v>65714.290000000008</v>
      </c>
      <c r="S749" s="141">
        <v>65676.75999999998</v>
      </c>
      <c r="T749" s="2041">
        <f>'[20]מאזן בוחן'!AR673</f>
        <v>62683.000000000029</v>
      </c>
      <c r="U749" s="2041">
        <f>'[21]מאזן בוחן'!AS583</f>
        <v>67488.25999999998</v>
      </c>
      <c r="V749" s="726">
        <f>'[22]מאזן בוחן'!AJ569</f>
        <v>68289.790000000008</v>
      </c>
      <c r="W749" s="726">
        <f>'[23]מאזן בוחן'!AK575</f>
        <v>54074.289999999979</v>
      </c>
      <c r="X749" s="141">
        <v>67212.159999999916</v>
      </c>
      <c r="Y749" s="141">
        <f>'[25]מאזן בוחן'!AM605</f>
        <v>68882.90000000014</v>
      </c>
      <c r="AA749" s="141">
        <f>'[32]מאזן בוחן'!AO622</f>
        <v>71932.939999999944</v>
      </c>
      <c r="AB749" s="141">
        <f>'[26]מאזן בוחן'!AB630</f>
        <v>69887.570000000007</v>
      </c>
      <c r="AC749" s="141">
        <f>'[27]מאזן בוחן'!AC639</f>
        <v>69887.570000000007</v>
      </c>
      <c r="AD749" s="141">
        <f>'[28]מאזן בוחן'!AD648</f>
        <v>-3720.7900000000081</v>
      </c>
      <c r="AE749" s="141">
        <f>'[29]מאזן בוחן'!AE658</f>
        <v>60648.26999999999</v>
      </c>
      <c r="AF749" s="141">
        <f>'[30]מאזן בוחן'!AF669</f>
        <v>61443.929999999993</v>
      </c>
      <c r="AG749" s="141">
        <f>'[31]מאזן בוחן'!AG673</f>
        <v>9346.820000000007</v>
      </c>
      <c r="AH749" s="141">
        <v>61443.929999999993</v>
      </c>
      <c r="AI749" s="141">
        <v>61443.929999999993</v>
      </c>
      <c r="AJ749" s="141">
        <v>3133.1600000000326</v>
      </c>
      <c r="AK749" s="141">
        <v>37998.729999999981</v>
      </c>
      <c r="AL749" s="141">
        <v>37998.729999999981</v>
      </c>
      <c r="AM749" s="141">
        <f>$K749-SUM($AB749:AL749)</f>
        <v>45858.559999999998</v>
      </c>
      <c r="AN749" s="141"/>
      <c r="AO749" s="141"/>
      <c r="AP749" s="141"/>
      <c r="AQ749" s="141"/>
      <c r="AR749" s="141"/>
      <c r="AS749" s="141"/>
      <c r="AT749" s="141"/>
      <c r="AU749" s="141"/>
      <c r="AV749" s="141"/>
      <c r="AW749" s="141"/>
      <c r="BA749" s="204"/>
    </row>
    <row r="750" spans="1:53">
      <c r="A750" s="52"/>
      <c r="B750" s="3668"/>
      <c r="D750" s="1674" t="s">
        <v>92</v>
      </c>
      <c r="E750" s="1202"/>
      <c r="J750" s="474"/>
      <c r="K750" s="49"/>
      <c r="L750" s="49"/>
      <c r="M750" s="474"/>
      <c r="N750" s="1104" t="str">
        <f t="shared" si="155"/>
        <v>-</v>
      </c>
      <c r="O750" s="1133"/>
      <c r="P750" s="141">
        <v>0</v>
      </c>
      <c r="Q750" s="141">
        <f>'[39]מאזן בוחן'!AE620</f>
        <v>0</v>
      </c>
      <c r="R750" s="141">
        <v>0</v>
      </c>
      <c r="S750" s="141">
        <v>0</v>
      </c>
      <c r="T750" s="2041">
        <f>'[20]מאזן בוחן'!AR674</f>
        <v>0</v>
      </c>
      <c r="U750" s="2041">
        <f>'[21]מאזן בוחן'!AS584</f>
        <v>0</v>
      </c>
      <c r="V750" s="726">
        <f>'[22]מאזן בוחן'!AJ570</f>
        <v>0</v>
      </c>
      <c r="W750" s="726">
        <f>'[23]מאזן בוחן'!AK576</f>
        <v>0</v>
      </c>
      <c r="X750" s="141">
        <v>0</v>
      </c>
      <c r="Y750" s="141">
        <f>'[25]מאזן בוחן'!AM606</f>
        <v>0</v>
      </c>
      <c r="AA750" s="141">
        <f>'[32]מאזן בוחן'!AO623</f>
        <v>0</v>
      </c>
      <c r="AB750" s="141">
        <f>'[26]מאזן בוחן'!AB631</f>
        <v>0</v>
      </c>
      <c r="AC750" s="141">
        <f>'[27]מאזן בוחן'!AC640</f>
        <v>0</v>
      </c>
      <c r="AD750" s="141">
        <f>'[28]מאזן בוחן'!AD649</f>
        <v>0</v>
      </c>
      <c r="AE750" s="141">
        <f>'[29]מאזן בוחן'!AE659</f>
        <v>0</v>
      </c>
      <c r="AF750" s="141">
        <f>'[30]מאזן בוחן'!AF670</f>
        <v>0</v>
      </c>
      <c r="AG750" s="141">
        <f>'[31]מאזן בוחן'!AG674</f>
        <v>0</v>
      </c>
      <c r="AH750" s="141">
        <v>0</v>
      </c>
      <c r="AI750" s="141">
        <v>0</v>
      </c>
      <c r="AJ750" s="141">
        <v>0</v>
      </c>
      <c r="AK750" s="141">
        <v>0</v>
      </c>
      <c r="AL750" s="141">
        <v>0</v>
      </c>
      <c r="AM750" s="141">
        <f>$K750-SUM($AB750:AL750)</f>
        <v>0</v>
      </c>
      <c r="AN750" s="141"/>
      <c r="AO750" s="141"/>
      <c r="AP750" s="141"/>
      <c r="AQ750" s="141"/>
      <c r="AR750" s="141"/>
      <c r="AS750" s="141"/>
      <c r="AT750" s="141"/>
      <c r="AU750" s="141"/>
      <c r="AV750" s="141"/>
      <c r="AW750" s="141"/>
      <c r="BA750" s="204"/>
    </row>
    <row r="751" spans="1:53">
      <c r="A751" s="52"/>
      <c r="B751" s="3659" t="s">
        <v>1184</v>
      </c>
      <c r="C751" s="585">
        <v>8020013</v>
      </c>
      <c r="D751" s="203" t="s">
        <v>370</v>
      </c>
      <c r="E751" s="1202">
        <f>VLOOKUP(C751,'פקודות נוספות'!$D$274:$F$797,3,0)</f>
        <v>104790.34</v>
      </c>
      <c r="F751" s="49">
        <f>SUMIF('פקודות נוספות'!C:C,C:C,'פקודות נוספות'!E:E)</f>
        <v>0</v>
      </c>
      <c r="J751" s="474">
        <f>SUM(E751:I751)</f>
        <v>104790.34</v>
      </c>
      <c r="K751" s="42">
        <f>M751+SUMIF('פקודות נוספות'!C:C,'מאזן בוחן'!C751,'פקודות נוספות'!F:F)</f>
        <v>32458.44</v>
      </c>
      <c r="L751" s="49"/>
      <c r="M751" s="474">
        <f>VLOOKUP(C751,'פקודות נוספות'!$D$273:$G$797,4,0)</f>
        <v>32458.44</v>
      </c>
      <c r="N751" s="1104">
        <f t="shared" si="155"/>
        <v>3.2284465920111995</v>
      </c>
      <c r="O751" s="1133"/>
      <c r="P751" s="726">
        <v>2183.1699999999996</v>
      </c>
      <c r="Q751" s="141">
        <f>'[39]מאזן בוחן'!AE622</f>
        <v>2356.2600000000007</v>
      </c>
      <c r="R751" s="726">
        <v>2879.5499999999988</v>
      </c>
      <c r="S751" s="726">
        <v>2487.48</v>
      </c>
      <c r="T751" s="2041">
        <f>'[20]מאזן בוחן'!AR676</f>
        <v>2523.6200000000003</v>
      </c>
      <c r="U751" s="2041">
        <f>'[21]מאזן בוחן'!AS586</f>
        <v>2538.5000000000005</v>
      </c>
      <c r="V751" s="726">
        <f>'[22]מאזן בוחן'!AJ572</f>
        <v>3903.4399999999991</v>
      </c>
      <c r="W751" s="726">
        <f>'[23]מאזן בוחן'!AK578</f>
        <v>2430.8199999999983</v>
      </c>
      <c r="X751" s="141">
        <v>2486.4400000000064</v>
      </c>
      <c r="Y751" s="141">
        <f>'[25]מאזן בוחן'!AM608</f>
        <v>2826.2999999999956</v>
      </c>
      <c r="AA751" s="141">
        <f>'[32]מאזן בוחן'!AO625</f>
        <v>4477.07</v>
      </c>
      <c r="AB751" s="141">
        <f>'[26]מאזן בוחן'!AB633</f>
        <v>2621.58</v>
      </c>
      <c r="AC751" s="141">
        <f>'[27]מאזן בוחן'!AC642</f>
        <v>100</v>
      </c>
      <c r="AD751" s="141">
        <f>'[28]מאזן בוחן'!AD651</f>
        <v>2575.2700000000004</v>
      </c>
      <c r="AE751" s="141">
        <f>'[29]מאזן בוחן'!AE661</f>
        <v>5218.2799999999988</v>
      </c>
      <c r="AF751" s="141">
        <f>'[30]מאזן בוחן'!AF672</f>
        <v>2687.1400000000012</v>
      </c>
      <c r="AG751" s="141">
        <f>'[31]מאזן בוחן'!AG676</f>
        <v>2764.0299999999988</v>
      </c>
      <c r="AH751" s="141">
        <v>2751.8899999999994</v>
      </c>
      <c r="AI751" s="141">
        <v>2766.2900000000009</v>
      </c>
      <c r="AJ751" s="141">
        <v>2757.3199999999997</v>
      </c>
      <c r="AK751" s="141">
        <v>2688.7900000000009</v>
      </c>
      <c r="AL751" s="141">
        <v>2782.3199999999997</v>
      </c>
      <c r="AM751" s="141">
        <f>$K751-SUM($AB751:AL751)</f>
        <v>2745.5299999999988</v>
      </c>
      <c r="AN751" s="141"/>
      <c r="AO751" s="141"/>
      <c r="AP751" s="141"/>
      <c r="AQ751" s="141"/>
      <c r="AR751" s="141"/>
      <c r="AS751" s="141"/>
      <c r="AT751" s="141"/>
      <c r="AU751" s="141"/>
      <c r="AV751" s="141"/>
      <c r="AW751" s="141"/>
      <c r="BA751" s="204"/>
    </row>
    <row r="752" spans="1:53">
      <c r="A752" s="52"/>
      <c r="B752" s="3659" t="s">
        <v>1185</v>
      </c>
      <c r="C752" s="585">
        <v>8410068</v>
      </c>
      <c r="D752" s="203" t="s">
        <v>371</v>
      </c>
      <c r="E752" s="1202">
        <f>VLOOKUP(C752,'פקודות נוספות'!$D$274:$F$797,3,0)</f>
        <v>187070.68</v>
      </c>
      <c r="F752" s="49">
        <f>SUMIF('פקודות נוספות'!C:C,C:C,'פקודות נוספות'!E:E)</f>
        <v>0</v>
      </c>
      <c r="J752" s="474">
        <f>SUM(E752:I752)</f>
        <v>187070.68</v>
      </c>
      <c r="K752" s="42">
        <f>M752+SUMIF('פקודות נוספות'!C:C,'מאזן בוחן'!C752,'פקודות נוספות'!F:F)</f>
        <v>57634.39</v>
      </c>
      <c r="L752" s="49"/>
      <c r="M752" s="474">
        <f>VLOOKUP(C752,'פקודות נוספות'!$D$273:$G$797,4,0)</f>
        <v>57634.39</v>
      </c>
      <c r="N752" s="1104">
        <f t="shared" si="155"/>
        <v>3.245816950608829</v>
      </c>
      <c r="O752" s="1133"/>
      <c r="P752" s="726">
        <v>3333</v>
      </c>
      <c r="Q752" s="141">
        <f>'[39]מאזן בוחן'!AE623</f>
        <v>3333</v>
      </c>
      <c r="R752" s="726">
        <v>3333</v>
      </c>
      <c r="S752" s="726">
        <v>3333</v>
      </c>
      <c r="T752" s="2041">
        <f>'[20]מאזן בוחן'!AR677</f>
        <v>-2667</v>
      </c>
      <c r="U752" s="2041">
        <f>'[21]מאזן בוחן'!AS587</f>
        <v>1646.0900000000001</v>
      </c>
      <c r="V752" s="726">
        <f>'[22]מאזן בוחן'!AJ573</f>
        <v>3333</v>
      </c>
      <c r="W752" s="726">
        <f>'[23]מאזן בוחן'!AK579</f>
        <v>17801.859999999997</v>
      </c>
      <c r="X752" s="141">
        <v>3333.0000000000036</v>
      </c>
      <c r="Y752" s="141">
        <f>'[25]מאזן בוחן'!AM609</f>
        <v>13978.210000000006</v>
      </c>
      <c r="AA752" s="141">
        <f>'[32]מאזן בוחן'!AO626</f>
        <v>8224.0599999999977</v>
      </c>
      <c r="AB752" s="141">
        <f>'[26]מאזן בוחן'!AB634</f>
        <v>1009.62</v>
      </c>
      <c r="AC752" s="141">
        <f>'[27]מאזן בוחן'!AC643</f>
        <v>3333.33</v>
      </c>
      <c r="AD752" s="141">
        <f>'[28]מאזן בוחן'!AD652</f>
        <v>4961.2</v>
      </c>
      <c r="AE752" s="141">
        <f>'[29]מאזן בוחן'!AE662</f>
        <v>4333.33</v>
      </c>
      <c r="AF752" s="141">
        <f>'[30]מאזן בוחן'!AF673</f>
        <v>3583.3300000000017</v>
      </c>
      <c r="AG752" s="141">
        <f>'[31]מאזן בוחן'!AG677</f>
        <v>12052.119999999999</v>
      </c>
      <c r="AH752" s="141">
        <v>6227.8600000000006</v>
      </c>
      <c r="AI752" s="141">
        <v>10504.29</v>
      </c>
      <c r="AJ752" s="141">
        <v>3583.3300000000017</v>
      </c>
      <c r="AK752" s="141">
        <v>4675.57</v>
      </c>
      <c r="AL752" s="141">
        <v>3856.3899999999994</v>
      </c>
      <c r="AM752" s="141">
        <f>$K752-SUM($AB752:AL752)</f>
        <v>-485.9800000000032</v>
      </c>
      <c r="AN752" s="141"/>
      <c r="AO752" s="141"/>
      <c r="AP752" s="141"/>
      <c r="AQ752" s="141"/>
      <c r="AR752" s="141"/>
      <c r="AS752" s="141"/>
      <c r="AT752" s="141"/>
      <c r="AU752" s="141"/>
      <c r="AV752" s="141"/>
      <c r="AW752" s="141"/>
      <c r="BA752" s="204"/>
    </row>
    <row r="753" spans="1:53">
      <c r="A753" s="52"/>
      <c r="B753" s="3659" t="s">
        <v>1185</v>
      </c>
      <c r="C753" s="585">
        <v>8410070</v>
      </c>
      <c r="D753" s="169" t="s">
        <v>98</v>
      </c>
      <c r="E753" s="1202">
        <f>VLOOKUP(C753,'פקודות נוספות'!$D$274:$F$797,3,0)</f>
        <v>199008.06</v>
      </c>
      <c r="F753" s="49">
        <f>SUMIF('פקודות נוספות'!C:C,C:C,'פקודות נוספות'!E:E)</f>
        <v>0</v>
      </c>
      <c r="J753" s="474">
        <f>SUM(E753:I753)</f>
        <v>199008.06</v>
      </c>
      <c r="K753" s="42">
        <f>M753+SUMIF('פקודות נוספות'!C:C,'מאזן בוחן'!C753,'פקודות נוספות'!F:F)</f>
        <v>62862.38</v>
      </c>
      <c r="L753" s="49"/>
      <c r="M753" s="474">
        <f>VLOOKUP(C753,'פקודות נוספות'!$D$273:$G$797,4,0)</f>
        <v>62862.38</v>
      </c>
      <c r="N753" s="1104">
        <f t="shared" si="155"/>
        <v>3.1657735516854437</v>
      </c>
      <c r="O753" s="1133"/>
      <c r="P753" s="726">
        <v>100</v>
      </c>
      <c r="Q753" s="141">
        <f>'[39]מאזן בוחן'!AE624</f>
        <v>8297.7199999999993</v>
      </c>
      <c r="R753" s="726">
        <v>5169.42</v>
      </c>
      <c r="S753" s="726">
        <v>21439.140000000007</v>
      </c>
      <c r="T753" s="2041">
        <f>'[20]מאזן בוחן'!AR678</f>
        <v>0</v>
      </c>
      <c r="U753" s="2041">
        <f>'[21]מאזן בוחן'!AS588</f>
        <v>1340</v>
      </c>
      <c r="V753" s="726">
        <f>'[22]מאזן בוחן'!AJ574</f>
        <v>2450.7699999999932</v>
      </c>
      <c r="W753" s="726">
        <f>'[23]מאזן בוחן'!AK580</f>
        <v>669.62000000000285</v>
      </c>
      <c r="X753" s="141">
        <v>2.0463630789890885E-12</v>
      </c>
      <c r="Y753" s="141">
        <f>'[25]מאזן בוחן'!AM610</f>
        <v>6222.3399999999965</v>
      </c>
      <c r="AA753" s="141">
        <f>'[32]מאזן בוחן'!AO627</f>
        <v>412.81999999999971</v>
      </c>
      <c r="AB753" s="141">
        <f>'[26]מאזן בוחן'!AB635</f>
        <v>477.53</v>
      </c>
      <c r="AC753" s="141">
        <f>'[27]מאזן בוחן'!AC644</f>
        <v>0</v>
      </c>
      <c r="AD753" s="141">
        <f>'[28]מאזן בוחן'!AD653</f>
        <v>726.29</v>
      </c>
      <c r="AE753" s="141">
        <f>'[29]מאזן בוחן'!AE663</f>
        <v>0</v>
      </c>
      <c r="AF753" s="141">
        <f>'[30]מאזן בוחן'!AF674</f>
        <v>0</v>
      </c>
      <c r="AG753" s="141">
        <f>'[31]מאזן בוחן'!AG678</f>
        <v>2569.1800000000003</v>
      </c>
      <c r="AH753" s="141">
        <v>5761.4699999999993</v>
      </c>
      <c r="AI753" s="141">
        <v>6872.85</v>
      </c>
      <c r="AJ753" s="141">
        <v>7010.3899999999994</v>
      </c>
      <c r="AK753" s="141">
        <v>7055.7999999999993</v>
      </c>
      <c r="AL753" s="141">
        <v>13946.119999999999</v>
      </c>
      <c r="AM753" s="141">
        <f>$K753-SUM($AB753:AL753)</f>
        <v>18442.75</v>
      </c>
      <c r="AN753" s="141"/>
      <c r="AO753" s="141" t="s">
        <v>4561</v>
      </c>
      <c r="AP753" s="141"/>
      <c r="AQ753" s="141"/>
      <c r="AR753" s="141"/>
      <c r="AS753" s="141"/>
      <c r="AT753" s="141"/>
      <c r="AU753" s="141"/>
      <c r="AV753" s="141"/>
      <c r="AW753" s="141"/>
      <c r="BA753" s="204"/>
    </row>
    <row r="754" spans="1:53">
      <c r="A754" s="52"/>
      <c r="B754" s="3659"/>
      <c r="C754" s="156"/>
      <c r="D754" s="465"/>
      <c r="E754" s="1202"/>
      <c r="J754" s="474"/>
      <c r="K754" s="42"/>
      <c r="L754" s="49"/>
      <c r="M754" s="474"/>
      <c r="N754" s="1104" t="str">
        <f t="shared" si="155"/>
        <v>-</v>
      </c>
      <c r="O754" s="1133"/>
      <c r="P754" s="141">
        <v>0</v>
      </c>
      <c r="Q754" s="141">
        <f>'[39]מאזן בוחן'!AE625</f>
        <v>0</v>
      </c>
      <c r="R754" s="141">
        <v>0</v>
      </c>
      <c r="S754" s="141">
        <v>0</v>
      </c>
      <c r="T754" s="2041">
        <f>'[20]מאזן בוחן'!AR679</f>
        <v>0</v>
      </c>
      <c r="U754" s="2041">
        <f>'[21]מאזן בוחן'!AS589</f>
        <v>0</v>
      </c>
      <c r="V754" s="726">
        <f>'[22]מאזן בוחן'!AJ575</f>
        <v>0</v>
      </c>
      <c r="W754" s="726">
        <f>'[23]מאזן בוחן'!AK581</f>
        <v>0</v>
      </c>
      <c r="X754" s="141">
        <v>0</v>
      </c>
      <c r="Y754" s="141">
        <f>'[25]מאזן בוחן'!AM611</f>
        <v>0</v>
      </c>
      <c r="AA754" s="141">
        <f>'[32]מאזן בוחן'!AO628</f>
        <v>0</v>
      </c>
      <c r="AB754" s="141">
        <f>'[26]מאזן בוחן'!AB636</f>
        <v>0</v>
      </c>
      <c r="AC754" s="141">
        <f>'[27]מאזן בוחן'!AC645</f>
        <v>0</v>
      </c>
      <c r="AD754" s="141">
        <f>'[28]מאזן בוחן'!AD654</f>
        <v>0</v>
      </c>
      <c r="AE754" s="141">
        <f>'[29]מאזן בוחן'!AE664</f>
        <v>0</v>
      </c>
      <c r="AF754" s="141">
        <f>'[30]מאזן בוחן'!AF675</f>
        <v>0</v>
      </c>
      <c r="AG754" s="141">
        <f>'[31]מאזן בוחן'!AG679</f>
        <v>0</v>
      </c>
      <c r="AH754" s="141">
        <v>0</v>
      </c>
      <c r="AI754" s="141">
        <v>0</v>
      </c>
      <c r="AJ754" s="141">
        <v>0</v>
      </c>
      <c r="AK754" s="141">
        <v>0</v>
      </c>
      <c r="AL754" s="141">
        <v>0</v>
      </c>
      <c r="AM754" s="141">
        <f>$K754-SUM($AB754:AL754)</f>
        <v>0</v>
      </c>
      <c r="AN754" s="141"/>
      <c r="AO754" s="141"/>
      <c r="AP754" s="141"/>
      <c r="AQ754" s="141"/>
      <c r="AR754" s="141"/>
      <c r="AS754" s="141"/>
      <c r="AT754" s="141"/>
      <c r="AU754" s="141"/>
      <c r="AV754" s="141"/>
      <c r="AW754" s="141"/>
      <c r="BA754" s="204"/>
    </row>
    <row r="755" spans="1:53" ht="13.5" thickBot="1">
      <c r="A755" s="52"/>
      <c r="B755" s="3668"/>
      <c r="C755" s="1160"/>
      <c r="D755" s="2731"/>
      <c r="E755" s="1627">
        <f t="shared" ref="E755:K755" si="157">SUM(E751:E754)</f>
        <v>490869.08</v>
      </c>
      <c r="F755" s="1627">
        <f t="shared" si="157"/>
        <v>0</v>
      </c>
      <c r="G755" s="1513">
        <f t="shared" si="157"/>
        <v>0</v>
      </c>
      <c r="H755" s="1513">
        <f t="shared" si="157"/>
        <v>0</v>
      </c>
      <c r="I755" s="1513">
        <f t="shared" si="157"/>
        <v>0</v>
      </c>
      <c r="J755" s="1513">
        <f t="shared" si="157"/>
        <v>490869.08</v>
      </c>
      <c r="K755" s="1513">
        <f t="shared" si="157"/>
        <v>152955.21</v>
      </c>
      <c r="L755" s="49"/>
      <c r="M755" s="1513">
        <f>SUM(M751:M754)</f>
        <v>152955.21</v>
      </c>
      <c r="N755" s="1104">
        <f t="shared" si="155"/>
        <v>3.2092341280823322</v>
      </c>
      <c r="O755" s="1133"/>
      <c r="P755" s="141">
        <v>5616.17</v>
      </c>
      <c r="Q755" s="141">
        <f>'[39]מאזן בוחן'!AE626</f>
        <v>13986.979999999998</v>
      </c>
      <c r="R755" s="141">
        <v>11381.970000000007</v>
      </c>
      <c r="S755" s="141">
        <v>27259.619999999995</v>
      </c>
      <c r="T755" s="2041">
        <f>'[20]מאזן בוחן'!AR680</f>
        <v>-143.37999999999738</v>
      </c>
      <c r="U755" s="2041">
        <f>'[21]מאזן בוחן'!AS590</f>
        <v>5524.5900000000038</v>
      </c>
      <c r="V755" s="726">
        <f>'[22]מאזן בוחן'!AJ576</f>
        <v>9687.2099999999937</v>
      </c>
      <c r="W755" s="726">
        <f>'[23]מאזן בוחן'!AK582</f>
        <v>20902.299999999996</v>
      </c>
      <c r="X755" s="141">
        <v>5819.4400000000096</v>
      </c>
      <c r="Y755" s="141">
        <f>'[25]מאזן בוחן'!AM612</f>
        <v>23026.850000000006</v>
      </c>
      <c r="AA755" s="141">
        <f>'[32]מאזן בוחן'!AO629</f>
        <v>13113.950000000012</v>
      </c>
      <c r="AB755" s="141">
        <f>'[26]מאזן בוחן'!AB637</f>
        <v>4108.7299999999996</v>
      </c>
      <c r="AC755" s="141">
        <f>'[27]מאזן בוחן'!AC646</f>
        <v>3433.33</v>
      </c>
      <c r="AD755" s="141">
        <f>'[28]מאזן בוחן'!AD655</f>
        <v>8262.76</v>
      </c>
      <c r="AE755" s="141">
        <f>'[29]מאזן בוחן'!AE665</f>
        <v>9551.61</v>
      </c>
      <c r="AF755" s="141">
        <f>'[30]מאזן בוחן'!AF676</f>
        <v>6270.4700000000012</v>
      </c>
      <c r="AG755" s="141">
        <f>'[31]מאזן בוחן'!AG680</f>
        <v>17385.329999999994</v>
      </c>
      <c r="AH755" s="141">
        <v>14741.220000000001</v>
      </c>
      <c r="AI755" s="141">
        <v>20143.430000000008</v>
      </c>
      <c r="AJ755" s="141">
        <v>13351.040000000008</v>
      </c>
      <c r="AK755" s="141">
        <v>14420.159999999989</v>
      </c>
      <c r="AL755" s="141">
        <v>20584.830000000002</v>
      </c>
      <c r="AM755" s="141">
        <f>$K755-SUM($AB755:AL755)</f>
        <v>20702.299999999988</v>
      </c>
      <c r="AN755" s="141"/>
      <c r="AO755" s="141"/>
      <c r="AP755" s="141"/>
      <c r="AQ755" s="141"/>
      <c r="AR755" s="141"/>
      <c r="AS755" s="141"/>
      <c r="AT755" s="141"/>
      <c r="AU755" s="141"/>
      <c r="AV755" s="141"/>
      <c r="AW755" s="141"/>
      <c r="BA755" s="204"/>
    </row>
    <row r="756" spans="1:53">
      <c r="A756" s="52"/>
      <c r="B756" s="3668"/>
      <c r="C756" s="178"/>
      <c r="D756" s="1674" t="s">
        <v>93</v>
      </c>
      <c r="E756" s="1628"/>
      <c r="F756" s="1525"/>
      <c r="J756" s="474"/>
      <c r="K756" s="49"/>
      <c r="L756" s="49"/>
      <c r="M756" s="474"/>
      <c r="N756" s="1104" t="str">
        <f t="shared" si="155"/>
        <v>-</v>
      </c>
      <c r="O756" s="1133"/>
      <c r="P756" s="141">
        <v>0</v>
      </c>
      <c r="Q756" s="141">
        <f>'[39]מאזן בוחן'!AE627</f>
        <v>0</v>
      </c>
      <c r="R756" s="141">
        <v>0</v>
      </c>
      <c r="S756" s="141">
        <v>0</v>
      </c>
      <c r="T756" s="2041">
        <f>'[20]מאזן בוחן'!AR681</f>
        <v>0</v>
      </c>
      <c r="U756" s="2041">
        <f>'[21]מאזן בוחן'!AS591</f>
        <v>0</v>
      </c>
      <c r="V756" s="726">
        <f>'[22]מאזן בוחן'!AJ577</f>
        <v>0</v>
      </c>
      <c r="W756" s="726">
        <f>'[23]מאזן בוחן'!AK583</f>
        <v>0</v>
      </c>
      <c r="X756" s="141">
        <v>0</v>
      </c>
      <c r="Y756" s="141">
        <f>'[25]מאזן בוחן'!AM613</f>
        <v>0</v>
      </c>
      <c r="AA756" s="141">
        <f>'[32]מאזן בוחן'!AO630</f>
        <v>0</v>
      </c>
      <c r="AB756" s="141">
        <f>'[26]מאזן בוחן'!AB638</f>
        <v>0</v>
      </c>
      <c r="AC756" s="141">
        <f>'[27]מאזן בוחן'!AC647</f>
        <v>0</v>
      </c>
      <c r="AD756" s="141">
        <f>'[28]מאזן בוחן'!AD656</f>
        <v>0</v>
      </c>
      <c r="AE756" s="141">
        <f>'[29]מאזן בוחן'!AE666</f>
        <v>0</v>
      </c>
      <c r="AF756" s="141">
        <f>'[30]מאזן בוחן'!AF677</f>
        <v>0</v>
      </c>
      <c r="AG756" s="141">
        <f>'[31]מאזן בוחן'!AG681</f>
        <v>0</v>
      </c>
      <c r="AH756" s="141">
        <v>0</v>
      </c>
      <c r="AI756" s="141">
        <v>0</v>
      </c>
      <c r="AJ756" s="141">
        <v>0</v>
      </c>
      <c r="AK756" s="141">
        <v>0</v>
      </c>
      <c r="AL756" s="141">
        <v>0</v>
      </c>
      <c r="AM756" s="141">
        <f>$K756-SUM($AB756:AL756)</f>
        <v>0</v>
      </c>
      <c r="AN756" s="141"/>
      <c r="AO756" s="141"/>
      <c r="AP756" s="141"/>
      <c r="AQ756" s="141"/>
      <c r="AR756" s="141"/>
      <c r="AS756" s="141"/>
      <c r="AT756" s="141"/>
      <c r="AU756" s="141"/>
      <c r="AV756" s="141"/>
      <c r="AW756" s="141"/>
      <c r="BA756" s="204"/>
    </row>
    <row r="757" spans="1:53">
      <c r="A757" s="52"/>
      <c r="B757" s="3668"/>
      <c r="C757" s="178"/>
      <c r="D757" s="70"/>
      <c r="E757" s="1628"/>
      <c r="J757" s="474"/>
      <c r="K757" s="49"/>
      <c r="L757" s="49"/>
      <c r="M757" s="474"/>
      <c r="O757" s="1133"/>
      <c r="P757" s="141"/>
      <c r="Q757" s="141"/>
      <c r="R757" s="141"/>
      <c r="S757" s="141"/>
      <c r="T757" s="2041"/>
      <c r="U757" s="2041"/>
      <c r="V757" s="726"/>
      <c r="W757" s="726"/>
      <c r="X757" s="141"/>
      <c r="Y757" s="141"/>
      <c r="AA757" s="141"/>
      <c r="AB757" s="141"/>
      <c r="AC757" s="141"/>
      <c r="AD757" s="141"/>
      <c r="AE757" s="141"/>
      <c r="AF757" s="141"/>
      <c r="AG757" s="141"/>
      <c r="AH757" s="141"/>
      <c r="AI757" s="141"/>
      <c r="AJ757" s="141"/>
      <c r="AK757" s="141"/>
      <c r="AL757" s="141"/>
      <c r="AM757" s="141">
        <f>$K757-SUM($AB757:AL757)</f>
        <v>0</v>
      </c>
      <c r="AN757" s="141"/>
      <c r="AO757" s="141"/>
      <c r="AP757" s="141"/>
      <c r="AQ757" s="141"/>
      <c r="AR757" s="141"/>
      <c r="AS757" s="141"/>
      <c r="AT757" s="141"/>
      <c r="AU757" s="141"/>
      <c r="AV757" s="141"/>
      <c r="AW757" s="141"/>
      <c r="BA757" s="204"/>
    </row>
    <row r="758" spans="1:53">
      <c r="A758" s="52"/>
      <c r="B758" s="3668"/>
      <c r="C758" s="178"/>
      <c r="D758" s="50" t="s">
        <v>4564</v>
      </c>
      <c r="E758" s="1628"/>
      <c r="J758" s="474"/>
      <c r="K758" s="49"/>
      <c r="L758" s="49"/>
      <c r="M758" s="474"/>
      <c r="O758" s="1133"/>
      <c r="P758" s="141"/>
      <c r="Q758" s="141"/>
      <c r="R758" s="141"/>
      <c r="S758" s="141"/>
      <c r="T758" s="2041"/>
      <c r="U758" s="2041"/>
      <c r="V758" s="726"/>
      <c r="W758" s="726"/>
      <c r="X758" s="141"/>
      <c r="Y758" s="141"/>
      <c r="AA758" s="141"/>
      <c r="AB758" s="141"/>
      <c r="AC758" s="141"/>
      <c r="AD758" s="141"/>
      <c r="AE758" s="141"/>
      <c r="AF758" s="141"/>
      <c r="AG758" s="141"/>
      <c r="AH758" s="141"/>
      <c r="AI758" s="141"/>
      <c r="AJ758" s="141"/>
      <c r="AK758" s="141"/>
      <c r="AL758" s="141"/>
      <c r="AM758" s="141">
        <f>$K758-SUM($AB758:AL758)</f>
        <v>0</v>
      </c>
      <c r="AN758" s="141"/>
      <c r="AO758" s="141"/>
      <c r="AP758" s="141"/>
      <c r="AQ758" s="141"/>
      <c r="AR758" s="141"/>
      <c r="AS758" s="141"/>
      <c r="AT758" s="141"/>
      <c r="AU758" s="141"/>
      <c r="AV758" s="141"/>
      <c r="AW758" s="141"/>
      <c r="BA758" s="204"/>
    </row>
    <row r="759" spans="1:53">
      <c r="A759" s="52"/>
      <c r="B759" s="3659" t="s">
        <v>1183</v>
      </c>
      <c r="C759" s="585">
        <v>8030001</v>
      </c>
      <c r="D759" s="40" t="s">
        <v>394</v>
      </c>
      <c r="E759" s="474">
        <f>IFERROR(VLOOKUP(C759,'פקודות נוספות'!$D$274:$F$797,3,0),0)</f>
        <v>1819066.38</v>
      </c>
      <c r="F759" s="49">
        <f>SUMIF('פקודות נוספות'!C:C,C:C,'פקודות נוספות'!E:E)</f>
        <v>0</v>
      </c>
      <c r="H759" s="180"/>
      <c r="I759" s="180"/>
      <c r="J759" s="4104">
        <f>SUM(E759:I759)</f>
        <v>1819066.38</v>
      </c>
      <c r="K759" s="4105">
        <f>M759+SUMIF('פקודות נוספות'!C:C,'מאזן בוחן'!C759,'פקודות נוספות'!F:F)</f>
        <v>557731.57999999996</v>
      </c>
      <c r="L759" s="49"/>
      <c r="M759" s="1341">
        <f>IFERROR(VLOOKUP(C759,'פקודות נוספות'!$D$273:$G$797,4,0),0)</f>
        <v>557731.57999999996</v>
      </c>
      <c r="N759" s="1104">
        <f t="shared" si="155"/>
        <v>3.2615445229047277</v>
      </c>
      <c r="O759" s="1133"/>
      <c r="P759" s="726">
        <v>91261.389999999985</v>
      </c>
      <c r="Q759" s="141">
        <f>'[39]מאזן בוחן'!AE628</f>
        <v>91324.81</v>
      </c>
      <c r="R759" s="726">
        <v>83549.119999999966</v>
      </c>
      <c r="S759" s="726">
        <v>88387.540000000008</v>
      </c>
      <c r="T759" s="2041">
        <f>'[20]מאזן בוחן'!AR682</f>
        <v>88371.890000000014</v>
      </c>
      <c r="U759" s="2041">
        <f>'[21]מאזן בוחן'!AS592</f>
        <v>90604.050000000076</v>
      </c>
      <c r="V759" s="726">
        <f>'[22]מאזן בוחן'!AJ578</f>
        <v>90654.719999999797</v>
      </c>
      <c r="W759" s="726">
        <f>'[23]מאזן בוחן'!AK584</f>
        <v>90688.290000000212</v>
      </c>
      <c r="X759" s="141">
        <v>91748.3299999999</v>
      </c>
      <c r="Y759" s="141">
        <f>'[25]מאזן בוחן'!AM614</f>
        <v>91698.790000000037</v>
      </c>
      <c r="AA759" s="141">
        <f>'[32]מאזן בוחן'!AO631</f>
        <v>91581.09999999986</v>
      </c>
      <c r="AB759" s="141">
        <f>'[26]מאזן בוחן'!AB639</f>
        <v>37569</v>
      </c>
      <c r="AC759" s="141">
        <f>'[27]מאזן בוחן'!AC648</f>
        <v>37638.759999999995</v>
      </c>
      <c r="AD759" s="141">
        <f>'[28]מאזן בוחן'!AD657</f>
        <v>37654.17</v>
      </c>
      <c r="AE759" s="141">
        <f>'[29]מאזן בוחן'!AE667</f>
        <v>47526.630000000005</v>
      </c>
      <c r="AF759" s="141">
        <f>'[30]מאזן בוחן'!AF678</f>
        <v>47610.51999999999</v>
      </c>
      <c r="AG759" s="141">
        <f>'[31]מאזן בוחן'!AG682</f>
        <v>47785.140000000014</v>
      </c>
      <c r="AH759" s="141">
        <v>49696.870000000024</v>
      </c>
      <c r="AI759" s="141">
        <v>49761.789999999979</v>
      </c>
      <c r="AJ759" s="141">
        <v>49769.700000000012</v>
      </c>
      <c r="AK759" s="141">
        <v>51347.469999999972</v>
      </c>
      <c r="AL759" s="141">
        <v>50922.280000000028</v>
      </c>
      <c r="AM759" s="141">
        <f>$K759-SUM($AB759:AL759)</f>
        <v>50449.249999999942</v>
      </c>
      <c r="AN759" s="141"/>
      <c r="AO759" s="141"/>
      <c r="AP759" s="141"/>
      <c r="AQ759" s="141"/>
      <c r="AR759" s="141"/>
      <c r="AS759" s="141"/>
      <c r="AT759" s="141"/>
      <c r="AU759" s="141"/>
      <c r="AV759" s="141"/>
      <c r="AW759" s="141"/>
      <c r="BA759" s="204"/>
    </row>
    <row r="760" spans="1:53">
      <c r="A760" s="52"/>
      <c r="B760" s="3659" t="s">
        <v>1183</v>
      </c>
      <c r="C760" s="585">
        <v>8030002</v>
      </c>
      <c r="D760" s="203" t="s">
        <v>163</v>
      </c>
      <c r="E760" s="474">
        <f>IFERROR(VLOOKUP(C760,'פקודות נוספות'!$D$274:$F$797,3,0),0)</f>
        <v>332476.92</v>
      </c>
      <c r="F760" s="439">
        <f>SUMIF('פקודות נוספות'!C:C,C:C,'פקודות נוספות'!E:E)</f>
        <v>0</v>
      </c>
      <c r="G760" s="180"/>
      <c r="H760" s="180"/>
      <c r="I760" s="180"/>
      <c r="J760" s="4106">
        <f>SUM(E760:I760)</f>
        <v>332476.92</v>
      </c>
      <c r="K760" s="4105">
        <f>M760+SUMIF('פקודות נוספות'!C:C,'מאזן בוחן'!C760,'פקודות נוספות'!F:F)</f>
        <v>103078.12</v>
      </c>
      <c r="L760" s="49"/>
      <c r="M760" s="1341">
        <f>IFERROR(VLOOKUP(C760,'פקודות נוספות'!$D$273:$G$797,4,0),0)</f>
        <v>103078.12</v>
      </c>
      <c r="N760" s="1104">
        <f t="shared" si="155"/>
        <v>3.2254849040708153</v>
      </c>
      <c r="O760" s="1133"/>
      <c r="P760" s="726">
        <v>11455.82</v>
      </c>
      <c r="Q760" s="141">
        <f>'[39]מאזן בוחן'!AE629</f>
        <v>10148.970000000001</v>
      </c>
      <c r="R760" s="726">
        <v>7933.2599999999984</v>
      </c>
      <c r="S760" s="726">
        <v>7493.7000000000007</v>
      </c>
      <c r="T760" s="2041">
        <f>'[20]מאזן בוחן'!AR683</f>
        <v>9687.929999999993</v>
      </c>
      <c r="U760" s="2041">
        <f>'[21]מאזן בוחן'!AS593</f>
        <v>7907.7200000000012</v>
      </c>
      <c r="V760" s="726">
        <f>'[22]מאזן בוחן'!AJ579</f>
        <v>13286.670000000016</v>
      </c>
      <c r="W760" s="726">
        <f>'[23]מאזן בוחן'!AK585</f>
        <v>13075.579999999998</v>
      </c>
      <c r="X760" s="141">
        <v>5704.7100000000028</v>
      </c>
      <c r="Y760" s="141">
        <f>'[25]מאזן בוחן'!AM615</f>
        <v>11753.139999999985</v>
      </c>
      <c r="AA760" s="141">
        <f>'[32]מאזן בוחן'!AO632</f>
        <v>6478.429999999993</v>
      </c>
      <c r="AB760" s="141">
        <f>'[26]מאזן בוחן'!AB640</f>
        <v>8929.9699999999993</v>
      </c>
      <c r="AC760" s="141">
        <f>'[27]מאזן בוחן'!AC649</f>
        <v>8352.56</v>
      </c>
      <c r="AD760" s="141">
        <f>'[28]מאזן בוחן'!AD658</f>
        <v>8084.6700000000019</v>
      </c>
      <c r="AE760" s="141">
        <f>'[29]מאזן בוחן'!AE668</f>
        <v>6914.18</v>
      </c>
      <c r="AF760" s="141">
        <f>'[30]מאזן בוחן'!AF679</f>
        <v>5582.3599999999969</v>
      </c>
      <c r="AG760" s="141">
        <f>'[31]מאזן בוחן'!AG683</f>
        <v>7772.1900000000023</v>
      </c>
      <c r="AH760" s="141">
        <v>8581.68</v>
      </c>
      <c r="AI760" s="141">
        <v>13158.940000000002</v>
      </c>
      <c r="AJ760" s="141">
        <v>12850.099999999991</v>
      </c>
      <c r="AK760" s="141">
        <v>7451.4400000000023</v>
      </c>
      <c r="AL760" s="141">
        <v>7799.4199999999983</v>
      </c>
      <c r="AM760" s="141">
        <f>$K760-SUM($AB760:AL760)</f>
        <v>7600.6100000000006</v>
      </c>
      <c r="AN760" s="141"/>
      <c r="AO760" s="141"/>
      <c r="AP760" s="141"/>
      <c r="AQ760" s="141"/>
      <c r="AR760" s="141"/>
      <c r="AS760" s="141"/>
      <c r="AT760" s="141"/>
      <c r="AU760" s="141"/>
      <c r="AV760" s="141"/>
      <c r="AW760" s="141"/>
      <c r="BA760" s="204"/>
    </row>
    <row r="761" spans="1:53">
      <c r="A761" s="52"/>
      <c r="B761" s="3659" t="s">
        <v>1183</v>
      </c>
      <c r="C761" s="585">
        <v>8030003</v>
      </c>
      <c r="D761" s="203" t="s">
        <v>164</v>
      </c>
      <c r="E761" s="474">
        <f>IFERROR(VLOOKUP(C761,'פקודות נוספות'!$D$274:$F$797,3,0),0)</f>
        <v>343149.8</v>
      </c>
      <c r="F761" s="49">
        <f>SUMIF('פקודות נוספות'!C:C,C:C,'פקודות נוספות'!E:E)</f>
        <v>0</v>
      </c>
      <c r="J761" s="4104">
        <f t="shared" ref="J761:J778" si="158">SUM(E761:I761)</f>
        <v>343149.8</v>
      </c>
      <c r="K761" s="4107">
        <f>M761+SUMIF('פקודות נוספות'!C:C,'מאזן בוחן'!C761,'פקודות נוספות'!F:F)</f>
        <v>106261.21</v>
      </c>
      <c r="L761" s="439"/>
      <c r="M761" s="1341">
        <f>IFERROR(VLOOKUP(C761,'פקודות נוספות'!$D$273:$G$797,4,0),0)</f>
        <v>106261.21</v>
      </c>
      <c r="N761" s="1621">
        <f t="shared" ref="N761:N778" si="159">IF(K761=0,"-",J761/K761)</f>
        <v>3.2293044658535317</v>
      </c>
      <c r="O761" s="1133"/>
      <c r="P761" s="726">
        <v>14476.79</v>
      </c>
      <c r="Q761" s="141">
        <f>'[39]מאזן בוחן'!AE630</f>
        <v>14030.010000000002</v>
      </c>
      <c r="R761" s="141">
        <v>14411.899999999994</v>
      </c>
      <c r="S761" s="141">
        <v>0</v>
      </c>
      <c r="T761" s="2041">
        <f>'[20]מאזן בוחן'!AR684</f>
        <v>125.60000000000582</v>
      </c>
      <c r="U761" s="2041">
        <f>'[21]מאזן בוחן'!AS594</f>
        <v>6766.68</v>
      </c>
      <c r="V761" s="726">
        <f>'[22]מאזן בוחן'!AJ580</f>
        <v>6916.5699999999924</v>
      </c>
      <c r="W761" s="726">
        <f>'[23]מאזן בוחן'!AK586</f>
        <v>14230.999999999993</v>
      </c>
      <c r="X761" s="141">
        <v>14365.880000000019</v>
      </c>
      <c r="Y761" s="141">
        <f>'[25]מאזן בוחן'!AM616</f>
        <v>13972.619999999981</v>
      </c>
      <c r="AA761" s="141">
        <f>'[32]מאזן בוחן'!AO633</f>
        <v>14126.630000000005</v>
      </c>
      <c r="AB761" s="141">
        <f>'[26]מאזן בוחן'!AB641</f>
        <v>9146.0499999999993</v>
      </c>
      <c r="AC761" s="141">
        <f>'[27]מאזן בוחן'!AC650</f>
        <v>9267.93</v>
      </c>
      <c r="AD761" s="141">
        <f>'[28]מאזן בוחן'!AD659</f>
        <v>8392.4000000000015</v>
      </c>
      <c r="AE761" s="141">
        <f>'[29]מאזן בוחן'!AE669</f>
        <v>7467.1799999999967</v>
      </c>
      <c r="AF761" s="141">
        <f>'[30]מאזן בוחן'!AF680</f>
        <v>8767.5600000000049</v>
      </c>
      <c r="AG761" s="141">
        <f>'[31]מאזן בוחן'!AG684</f>
        <v>8811.7099999999991</v>
      </c>
      <c r="AH761" s="141">
        <v>8736.4700000000012</v>
      </c>
      <c r="AI761" s="141">
        <v>8956.4499999999971</v>
      </c>
      <c r="AJ761" s="141">
        <v>8941.6000000000058</v>
      </c>
      <c r="AK761" s="141">
        <v>8955.4599999999919</v>
      </c>
      <c r="AL761" s="141">
        <v>9379.4100000000035</v>
      </c>
      <c r="AM761" s="141">
        <f>$K761-SUM($AB761:AL761)</f>
        <v>9438.9900000000052</v>
      </c>
      <c r="AN761" s="141"/>
      <c r="AO761" s="141"/>
      <c r="AP761" s="141"/>
      <c r="AQ761" s="141"/>
      <c r="AR761" s="141"/>
      <c r="AS761" s="141"/>
      <c r="AT761" s="141"/>
      <c r="AU761" s="141"/>
      <c r="AV761" s="141"/>
      <c r="AW761" s="141"/>
      <c r="BA761" s="204"/>
    </row>
    <row r="762" spans="1:53">
      <c r="A762" s="52"/>
      <c r="B762" s="3659" t="s">
        <v>1183</v>
      </c>
      <c r="C762" s="585">
        <v>8030008</v>
      </c>
      <c r="D762" s="40" t="s">
        <v>1725</v>
      </c>
      <c r="E762" s="474">
        <f>IFERROR(VLOOKUP(C762,'פקודות נוספות'!$D$274:$F$797,3,0),0)</f>
        <v>6577</v>
      </c>
      <c r="F762" s="49">
        <f>SUMIF('פקודות נוספות'!C:C,C:C,'פקודות נוספות'!E:E)</f>
        <v>0</v>
      </c>
      <c r="J762" s="4103">
        <f>SUM(E762:I762)</f>
        <v>6577</v>
      </c>
      <c r="K762" s="3600">
        <f>M762+SUMIF('פקודות נוספות'!C:C,'מאזן בוחן'!C762,'פקודות נוספות'!F:F)</f>
        <v>2170.42</v>
      </c>
      <c r="L762" s="49"/>
      <c r="M762" s="1341">
        <f>IFERROR(VLOOKUP(C762,'פקודות נוספות'!$D$273:$G$797,4,0),0)</f>
        <v>2170.42</v>
      </c>
      <c r="N762" s="2733">
        <f>IF(K762=0,"-",J762/K762)</f>
        <v>3.0302890684752257</v>
      </c>
      <c r="O762" s="1133"/>
      <c r="P762" s="141">
        <v>8249.77</v>
      </c>
      <c r="Q762" s="141">
        <f>'[39]מאזן בוחן'!AE634</f>
        <v>-5354.57</v>
      </c>
      <c r="R762" s="141">
        <v>-1346.7100000000009</v>
      </c>
      <c r="S762" s="141">
        <v>85.260000000000218</v>
      </c>
      <c r="T762" s="2041">
        <f>'[20]מאזן בוחן'!AR688</f>
        <v>1439.5699999999997</v>
      </c>
      <c r="U762" s="2041">
        <f>'[21]מאזן בוחן'!AS598</f>
        <v>-1200.5699999999997</v>
      </c>
      <c r="V762" s="726">
        <f>'[22]מאזן בוחן'!AJ584</f>
        <v>118.21999999999935</v>
      </c>
      <c r="W762" s="726">
        <f>'[23]מאזן בוחן'!AK590</f>
        <v>-2057.4999999999991</v>
      </c>
      <c r="X762" s="141">
        <v>588.77000000000044</v>
      </c>
      <c r="Y762" s="141">
        <f>'[25]מאזן בוחן'!AM620</f>
        <v>184.59999999999945</v>
      </c>
      <c r="AA762" s="141">
        <f>'[32]מאזן בוחן'!AO637</f>
        <v>-2218.1899999999996</v>
      </c>
      <c r="AB762" s="141">
        <f>'[26]מאזן בוחן'!AB645</f>
        <v>-423.34</v>
      </c>
      <c r="AC762" s="141">
        <f>'[27]מאזן בוחן'!AC654</f>
        <v>-156.26000000000005</v>
      </c>
      <c r="AD762" s="141">
        <f>'[28]מאזן בוחן'!AD663</f>
        <v>444.61</v>
      </c>
      <c r="AE762" s="141">
        <f>'[29]מאזן בוחן'!AE673</f>
        <v>776.59</v>
      </c>
      <c r="AF762" s="141">
        <f>'[30]מאזן בוחן'!AF684</f>
        <v>-341.45000000000005</v>
      </c>
      <c r="AG762" s="141">
        <f>'[31]מאזן בוחן'!AG688</f>
        <v>-152.94999999999999</v>
      </c>
      <c r="AH762" s="141">
        <v>577.01</v>
      </c>
      <c r="AI762" s="141">
        <v>-172.55000000000007</v>
      </c>
      <c r="AJ762" s="141">
        <v>757.08</v>
      </c>
      <c r="AK762" s="141">
        <v>172.23000000000002</v>
      </c>
      <c r="AL762" s="141">
        <v>434.29999999999995</v>
      </c>
      <c r="AM762" s="141">
        <f>$K762-SUM($AB762:AL762)</f>
        <v>255.15000000000009</v>
      </c>
      <c r="AN762" s="141"/>
      <c r="AO762" s="141"/>
      <c r="AP762" s="141"/>
      <c r="AQ762" s="141"/>
      <c r="AR762" s="141"/>
      <c r="AS762" s="141"/>
      <c r="AT762" s="141"/>
      <c r="AU762" s="141"/>
      <c r="AV762" s="141"/>
      <c r="AW762" s="141"/>
      <c r="BA762" s="204"/>
    </row>
    <row r="763" spans="1:53">
      <c r="A763" s="52"/>
      <c r="B763" s="3659"/>
      <c r="C763" s="585"/>
      <c r="D763" s="40"/>
      <c r="E763" s="474"/>
      <c r="J763" s="2489"/>
      <c r="K763" s="42"/>
      <c r="L763" s="49"/>
      <c r="M763" s="1341"/>
      <c r="N763" s="2733"/>
      <c r="O763" s="1133"/>
      <c r="P763" s="141"/>
      <c r="Q763" s="141"/>
      <c r="R763" s="141"/>
      <c r="S763" s="141"/>
      <c r="T763" s="2041"/>
      <c r="U763" s="2041"/>
      <c r="V763" s="726"/>
      <c r="W763" s="726"/>
      <c r="X763" s="141"/>
      <c r="Y763" s="141"/>
      <c r="AA763" s="141"/>
      <c r="AB763" s="141"/>
      <c r="AC763" s="141"/>
      <c r="AD763" s="141"/>
      <c r="AE763" s="141"/>
      <c r="AF763" s="141"/>
      <c r="AG763" s="141"/>
      <c r="AH763" s="141"/>
      <c r="AI763" s="141"/>
      <c r="AJ763" s="141"/>
      <c r="AK763" s="141"/>
      <c r="AL763" s="141"/>
      <c r="AM763" s="141">
        <f>$K763-SUM($AB763:AL763)</f>
        <v>0</v>
      </c>
      <c r="AN763" s="141"/>
      <c r="AO763" s="141"/>
      <c r="AP763" s="141"/>
      <c r="AQ763" s="141"/>
      <c r="AR763" s="141"/>
      <c r="AS763" s="141"/>
      <c r="AT763" s="141"/>
      <c r="AU763" s="141"/>
      <c r="AV763" s="141"/>
      <c r="AW763" s="141"/>
      <c r="BA763" s="204"/>
    </row>
    <row r="764" spans="1:53">
      <c r="A764" s="52"/>
      <c r="B764" s="3659"/>
      <c r="C764" s="585"/>
      <c r="D764" s="50" t="s">
        <v>4565</v>
      </c>
      <c r="E764" s="474"/>
      <c r="J764" s="474"/>
      <c r="K764" s="42"/>
      <c r="L764" s="49"/>
      <c r="M764" s="1341"/>
      <c r="N764" s="2733"/>
      <c r="O764" s="1133"/>
      <c r="P764" s="726"/>
      <c r="Q764" s="141"/>
      <c r="R764" s="141"/>
      <c r="S764" s="141"/>
      <c r="T764" s="2041"/>
      <c r="U764" s="2041"/>
      <c r="V764" s="726"/>
      <c r="W764" s="726"/>
      <c r="X764" s="141"/>
      <c r="Y764" s="141"/>
      <c r="AA764" s="141"/>
      <c r="AB764" s="141"/>
      <c r="AC764" s="141"/>
      <c r="AD764" s="141"/>
      <c r="AE764" s="141"/>
      <c r="AF764" s="141"/>
      <c r="AG764" s="141"/>
      <c r="AH764" s="141"/>
      <c r="AI764" s="141"/>
      <c r="AJ764" s="141"/>
      <c r="AK764" s="141"/>
      <c r="AL764" s="141"/>
      <c r="AM764" s="141">
        <f>$K764-SUM($AB764:AL764)</f>
        <v>0</v>
      </c>
      <c r="AN764" s="141"/>
      <c r="AO764" s="141"/>
      <c r="AP764" s="141"/>
      <c r="AQ764" s="141"/>
      <c r="AR764" s="141"/>
      <c r="AS764" s="141"/>
      <c r="AT764" s="141"/>
      <c r="AU764" s="141"/>
      <c r="AV764" s="141"/>
      <c r="AW764" s="141"/>
      <c r="BA764" s="204"/>
    </row>
    <row r="765" spans="1:53">
      <c r="A765" s="52"/>
      <c r="B765" s="3659" t="s">
        <v>1183</v>
      </c>
      <c r="C765" s="585">
        <v>8030004</v>
      </c>
      <c r="D765" s="40" t="s">
        <v>369</v>
      </c>
      <c r="E765" s="474">
        <f>IFERROR(VLOOKUP(C765,'פקודות נוספות'!$D$274:$F$797,3,0),0)</f>
        <v>189274.77</v>
      </c>
      <c r="F765" s="49">
        <f>SUMIF('פקודות נוספות'!C:C,C:C,'פקודות נוספות'!E:E)</f>
        <v>0</v>
      </c>
      <c r="J765" s="3601">
        <f t="shared" si="158"/>
        <v>189274.77</v>
      </c>
      <c r="K765" s="3600">
        <f>M765+SUMIF('פקודות נוספות'!C:C,'מאזן בוחן'!C765,'פקודות נוספות'!F:F)</f>
        <v>58559.31</v>
      </c>
      <c r="L765" s="49"/>
      <c r="M765" s="1341">
        <f>IFERROR(VLOOKUP(C765,'פקודות נוספות'!$D$273:$G$797,4,0),0)</f>
        <v>58559.31</v>
      </c>
      <c r="N765" s="2733">
        <f t="shared" si="159"/>
        <v>3.2321892112458293</v>
      </c>
      <c r="O765" s="2455"/>
      <c r="P765" s="726">
        <v>2059.42</v>
      </c>
      <c r="Q765" s="141">
        <f>'[39]מאזן בוחן'!AE631</f>
        <v>8976.18</v>
      </c>
      <c r="R765" s="726">
        <v>4788.7999999999975</v>
      </c>
      <c r="S765" s="726">
        <v>5840.1600000000017</v>
      </c>
      <c r="T765" s="2041">
        <f>'[20]מאזן בוחן'!AR685</f>
        <v>4982.0500000000029</v>
      </c>
      <c r="U765" s="2041">
        <f>'[21]מאזן בוחן'!AS595</f>
        <v>6866.4600000000009</v>
      </c>
      <c r="V765" s="726">
        <f>'[22]מאזן בוחן'!AJ581</f>
        <v>6299.9699999999966</v>
      </c>
      <c r="W765" s="726">
        <f>'[23]מאזן בוחן'!AK587</f>
        <v>5825.5299999999979</v>
      </c>
      <c r="X765" s="141">
        <v>6894.5800000000008</v>
      </c>
      <c r="Y765" s="141">
        <f>'[25]מאזן בוחן'!AM617</f>
        <v>6896.07</v>
      </c>
      <c r="AA765" s="141">
        <f>'[32]מאזן בוחן'!AO634</f>
        <v>6702.5199999999968</v>
      </c>
      <c r="AB765" s="141">
        <f>'[26]מאזן בוחן'!AB642</f>
        <v>4475.72</v>
      </c>
      <c r="AC765" s="141">
        <f>'[27]מאזן בוחן'!AC651</f>
        <v>4654.5099999999993</v>
      </c>
      <c r="AD765" s="141">
        <f>'[28]מאזן בוחן'!AD660</f>
        <v>5132.5</v>
      </c>
      <c r="AE765" s="141">
        <f>'[29]מאזן בוחן'!AE670</f>
        <v>5408.510000000002</v>
      </c>
      <c r="AF765" s="141">
        <f>'[30]מאזן בוחן'!AF681</f>
        <v>5540.9599999999991</v>
      </c>
      <c r="AG765" s="141">
        <f>'[31]מאזן בוחן'!AG685</f>
        <v>3219.25</v>
      </c>
      <c r="AH765" s="141">
        <v>5231.5699999999961</v>
      </c>
      <c r="AI765" s="141">
        <v>4640.0400000000009</v>
      </c>
      <c r="AJ765" s="141">
        <v>4616.6300000000047</v>
      </c>
      <c r="AK765" s="141">
        <v>4950.6999999999971</v>
      </c>
      <c r="AL765" s="141">
        <v>5661.43</v>
      </c>
      <c r="AM765" s="141">
        <f>$K765-SUM($AB765:AL765)</f>
        <v>5027.489999999998</v>
      </c>
      <c r="AN765" s="141"/>
      <c r="AO765" s="141"/>
      <c r="AP765" s="141"/>
      <c r="AQ765" s="141"/>
      <c r="AR765" s="141"/>
      <c r="AS765" s="141"/>
      <c r="AT765" s="141"/>
      <c r="AU765" s="141"/>
      <c r="AV765" s="141"/>
      <c r="AW765" s="141"/>
      <c r="BA765" s="204"/>
    </row>
    <row r="766" spans="1:53">
      <c r="A766" s="52"/>
      <c r="B766" s="3659" t="s">
        <v>1183</v>
      </c>
      <c r="C766" s="585">
        <v>8030005</v>
      </c>
      <c r="D766" s="40" t="s">
        <v>154</v>
      </c>
      <c r="E766" s="474">
        <f>IFERROR(VLOOKUP(C766,'פקודות נוספות'!$D$274:$F$797,3,0),0)</f>
        <v>4934.87</v>
      </c>
      <c r="F766" s="49">
        <f>SUMIF('פקודות נוספות'!C:C,C:C,'פקודות נוספות'!E:E)</f>
        <v>0</v>
      </c>
      <c r="G766" s="1511"/>
      <c r="H766" s="1511"/>
      <c r="I766" s="1511"/>
      <c r="J766" s="3601">
        <f t="shared" si="158"/>
        <v>4934.87</v>
      </c>
      <c r="K766" s="3600">
        <f>M766+SUMIF('פקודות נוספות'!C:C,'מאזן בוחן'!C766,'פקודות נוספות'!F:F)</f>
        <v>1528.78</v>
      </c>
      <c r="L766" s="49"/>
      <c r="M766" s="1341">
        <f>IFERROR(VLOOKUP(C766,'פקודות נוספות'!$D$273:$G$797,4,0),0)</f>
        <v>1528.78</v>
      </c>
      <c r="N766" s="2733">
        <f t="shared" si="159"/>
        <v>3.2279791729352816</v>
      </c>
      <c r="O766" s="2455"/>
      <c r="P766" s="141">
        <v>784.28</v>
      </c>
      <c r="Q766" s="141">
        <f>'[39]מאזן בוחן'!AE632</f>
        <v>336.13000000000011</v>
      </c>
      <c r="R766" s="141">
        <v>282.03999999999996</v>
      </c>
      <c r="S766" s="141">
        <v>285.61000000000013</v>
      </c>
      <c r="T766" s="2041">
        <f>'[20]מאזן בוחן'!AR686</f>
        <v>285.54999999999973</v>
      </c>
      <c r="U766" s="2041">
        <f>'[21]מאזן בוחן'!AS596</f>
        <v>293.95999999999981</v>
      </c>
      <c r="V766" s="726">
        <f>'[22]מאזן בוחן'!AJ582</f>
        <v>126.97000000000025</v>
      </c>
      <c r="W766" s="726">
        <f>'[23]מאזן בוחן'!AK588</f>
        <v>126.89999999999986</v>
      </c>
      <c r="X766" s="141">
        <v>127.84000000000015</v>
      </c>
      <c r="Y766" s="141">
        <f>'[25]מאזן בוחן'!AM618</f>
        <v>294.50000000000045</v>
      </c>
      <c r="AA766" s="141">
        <f>'[32]מאזן בוחן'!AO635</f>
        <v>193.23000000000002</v>
      </c>
      <c r="AB766" s="141">
        <f>'[26]מאזן בוחן'!AB643</f>
        <v>126.74</v>
      </c>
      <c r="AC766" s="141">
        <f>'[27]מאזן בוחן'!AC652</f>
        <v>125.88000000000001</v>
      </c>
      <c r="AD766" s="141">
        <f>'[28]מאזן בוחן'!AD661</f>
        <v>123.46999999999997</v>
      </c>
      <c r="AE766" s="141">
        <f>'[29]מאזן בוחן'!AE671</f>
        <v>124.39000000000004</v>
      </c>
      <c r="AF766" s="141">
        <f>'[30]מאזן בוחן'!AF682</f>
        <v>124.63999999999999</v>
      </c>
      <c r="AG766" s="141">
        <f>'[31]מאזן בוחן'!AG686</f>
        <v>126.12</v>
      </c>
      <c r="AH766" s="141">
        <v>125.13999999999999</v>
      </c>
      <c r="AI766" s="141">
        <v>127.69000000000005</v>
      </c>
      <c r="AJ766" s="141">
        <v>135.40999999999997</v>
      </c>
      <c r="AK766" s="141">
        <v>126.96000000000004</v>
      </c>
      <c r="AL766" s="141">
        <v>131.79999999999995</v>
      </c>
      <c r="AM766" s="141">
        <f>$K766-SUM($AB766:AL766)</f>
        <v>130.53999999999996</v>
      </c>
      <c r="AN766" s="141"/>
      <c r="AO766" s="141"/>
      <c r="AP766" s="141"/>
      <c r="AQ766" s="141"/>
      <c r="AR766" s="141"/>
      <c r="AS766" s="141"/>
      <c r="AT766" s="141"/>
      <c r="AU766" s="141"/>
      <c r="AV766" s="141"/>
      <c r="AW766" s="141"/>
      <c r="BA766" s="204"/>
    </row>
    <row r="767" spans="1:53">
      <c r="A767" s="52"/>
      <c r="B767" s="3659" t="s">
        <v>1183</v>
      </c>
      <c r="C767" s="585">
        <v>8030006</v>
      </c>
      <c r="D767" s="40" t="s">
        <v>155</v>
      </c>
      <c r="E767" s="474">
        <f>IFERROR(VLOOKUP(C767,'פקודות נוספות'!$D$274:$F$797,3,0),0)</f>
        <v>43089.95</v>
      </c>
      <c r="F767" s="49">
        <f>SUMIF('פקודות נוספות'!C:C,C:C,'פקודות נוספות'!E:E)</f>
        <v>0</v>
      </c>
      <c r="J767" s="3601">
        <f t="shared" si="158"/>
        <v>43089.95</v>
      </c>
      <c r="K767" s="3600">
        <f>M767+SUMIF('פקודות נוספות'!C:C,'מאזן בוחן'!C767,'פקודות נוספות'!F:F)</f>
        <v>13348.02</v>
      </c>
      <c r="L767" s="49"/>
      <c r="M767" s="1341">
        <f>IFERROR(VLOOKUP(C767,'פקודות נוספות'!$D$273:$G$797,4,0),0)</f>
        <v>13348.02</v>
      </c>
      <c r="N767" s="2733">
        <f t="shared" si="159"/>
        <v>3.2281903982762983</v>
      </c>
      <c r="O767" s="2455"/>
      <c r="P767" s="141">
        <v>3007.6900000000005</v>
      </c>
      <c r="Q767" s="141">
        <f>'[39]מאזן בוחן'!AE633</f>
        <v>3004.0099999999993</v>
      </c>
      <c r="R767" s="141">
        <v>2322.7900000000018</v>
      </c>
      <c r="S767" s="141">
        <v>1713.8099999999977</v>
      </c>
      <c r="T767" s="2041">
        <f>'[20]מאזן בוחן'!AR687</f>
        <v>1902.9700000000012</v>
      </c>
      <c r="U767" s="2041">
        <f>'[21]מאזן בוחן'!AS597</f>
        <v>863.95000000000073</v>
      </c>
      <c r="V767" s="726">
        <f>'[22]מאזן בוחן'!AJ583</f>
        <v>720.35999999999785</v>
      </c>
      <c r="W767" s="726">
        <f>'[23]מאזן בוחן'!AK589</f>
        <v>1233.100000000004</v>
      </c>
      <c r="X767" s="141">
        <v>1332.0900000000001</v>
      </c>
      <c r="Y767" s="141">
        <f>'[25]מאזן בוחן'!AM619</f>
        <v>3996.4199999999946</v>
      </c>
      <c r="AA767" s="141">
        <f>'[32]מאזן בוחן'!AO636</f>
        <v>6682.1399999999994</v>
      </c>
      <c r="AB767" s="141">
        <f>'[26]מאזן בוחן'!AB644</f>
        <v>2408.34</v>
      </c>
      <c r="AC767" s="141">
        <f>'[27]מאזן בוחן'!AC653</f>
        <v>590.98999999999978</v>
      </c>
      <c r="AD767" s="141">
        <f>'[28]מאזן בוחן'!AD662</f>
        <v>1114.5200000000004</v>
      </c>
      <c r="AE767" s="141">
        <f>'[29]מאזן בוחן'!AE672</f>
        <v>706.61999999999989</v>
      </c>
      <c r="AF767" s="141">
        <f>'[30]מאזן בוחן'!AF683</f>
        <v>-45.780000000000655</v>
      </c>
      <c r="AG767" s="141">
        <f>'[31]מאזן בוחן'!AG687</f>
        <v>1802.4700000000003</v>
      </c>
      <c r="AH767" s="141">
        <v>1104.92</v>
      </c>
      <c r="AI767" s="141">
        <v>654.02000000000044</v>
      </c>
      <c r="AJ767" s="141">
        <v>831.65999999999985</v>
      </c>
      <c r="AK767" s="141">
        <v>1799.92</v>
      </c>
      <c r="AL767" s="141">
        <v>1269.9499999999989</v>
      </c>
      <c r="AM767" s="141">
        <f>$K767-SUM($AB767:AL767)</f>
        <v>1110.3900000000012</v>
      </c>
      <c r="AN767" s="141"/>
      <c r="AO767" s="141"/>
      <c r="AP767" s="141"/>
      <c r="AQ767" s="141"/>
      <c r="AR767" s="141"/>
      <c r="AS767" s="141"/>
      <c r="AT767" s="141"/>
      <c r="AU767" s="141"/>
      <c r="AV767" s="141"/>
      <c r="AW767" s="141"/>
      <c r="BA767" s="204"/>
    </row>
    <row r="768" spans="1:53">
      <c r="A768" s="52"/>
      <c r="B768" s="3659" t="s">
        <v>1183</v>
      </c>
      <c r="C768" s="585">
        <v>8030009</v>
      </c>
      <c r="D768" s="40" t="s">
        <v>1186</v>
      </c>
      <c r="E768" s="474">
        <f>IFERROR(VLOOKUP(C768,'פקודות נוספות'!$D$274:$F$797,3,0),0)</f>
        <v>265441.56</v>
      </c>
      <c r="F768" s="49">
        <f>SUMIF('פקודות נוספות'!C:C,C:C,'פקודות נוספות'!E:E)</f>
        <v>0</v>
      </c>
      <c r="J768" s="4103">
        <f t="shared" si="158"/>
        <v>265441.56</v>
      </c>
      <c r="K768" s="3600">
        <f>M768+SUMIF('פקודות נוספות'!C:C,'מאזן בוחן'!C768,'פקודות נוספות'!F:F)</f>
        <v>81422.720000000001</v>
      </c>
      <c r="L768" s="49"/>
      <c r="M768" s="1341">
        <f>IFERROR(VLOOKUP(C768,'פקודות נוספות'!$D$273:$G$797,4,0),0)</f>
        <v>81422.720000000001</v>
      </c>
      <c r="N768" s="2733">
        <f t="shared" si="159"/>
        <v>3.2600428971176596</v>
      </c>
      <c r="O768" s="1526"/>
      <c r="P768" s="141">
        <v>12780.859999999999</v>
      </c>
      <c r="Q768" s="141">
        <f>'[39]מאזן בוחן'!AE635</f>
        <v>13920.619999999997</v>
      </c>
      <c r="R768" s="141">
        <v>10558.239999999996</v>
      </c>
      <c r="S768" s="141">
        <v>10550.080000000004</v>
      </c>
      <c r="T768" s="2041">
        <f>'[20]מאזן בוחן'!AR689</f>
        <v>10858.029999999997</v>
      </c>
      <c r="U768" s="2041">
        <f>'[21]מאזן בוחן'!AS599</f>
        <v>10264.560000000007</v>
      </c>
      <c r="V768" s="726">
        <f>'[22]מאזן בוחן'!AJ585</f>
        <v>7756.889999999994</v>
      </c>
      <c r="W768" s="726">
        <f>'[23]מאזן בוחן'!AK591</f>
        <v>16433.030000000006</v>
      </c>
      <c r="X768" s="141">
        <v>15672.609999999988</v>
      </c>
      <c r="Y768" s="141">
        <f>'[25]מאזן בוחן'!AM621</f>
        <v>11091.339999999997</v>
      </c>
      <c r="AA768" s="141">
        <f>'[32]מאזן בוחן'!AO638</f>
        <v>11881.979999999981</v>
      </c>
      <c r="AB768" s="141">
        <f>'[26]מאזן בוחן'!AB646</f>
        <v>4585.6000000000004</v>
      </c>
      <c r="AC768" s="141">
        <f>'[27]מאזן בוחן'!AC655</f>
        <v>4634.3599999999988</v>
      </c>
      <c r="AD768" s="141">
        <f>'[28]מאזן בוחן'!AD664</f>
        <v>27239.78</v>
      </c>
      <c r="AE768" s="141">
        <f>'[29]מאזן בוחן'!AE674</f>
        <v>4845.1399999999994</v>
      </c>
      <c r="AF768" s="141">
        <f>'[30]מאזן בוחן'!AF685</f>
        <v>5032.0500000000029</v>
      </c>
      <c r="AG768" s="141">
        <f>'[31]מאזן בוחן'!AG689</f>
        <v>6897.4499999999971</v>
      </c>
      <c r="AH768" s="141">
        <v>4319.1200000000026</v>
      </c>
      <c r="AI768" s="141">
        <v>4534.0400000000009</v>
      </c>
      <c r="AJ768" s="141">
        <v>5134.7300000000032</v>
      </c>
      <c r="AK768" s="141">
        <v>4504.3300000000017</v>
      </c>
      <c r="AL768" s="141">
        <v>4954.0499999999884</v>
      </c>
      <c r="AM768" s="141">
        <f>$K768-SUM($AB768:AL768)</f>
        <v>4742.070000000007</v>
      </c>
      <c r="AN768" s="141"/>
      <c r="AO768" s="141"/>
      <c r="AP768" s="141"/>
      <c r="AQ768" s="141"/>
      <c r="AR768" s="141"/>
      <c r="AS768" s="141"/>
      <c r="AT768" s="141"/>
      <c r="AU768" s="141"/>
      <c r="AV768" s="141" t="s">
        <v>3472</v>
      </c>
      <c r="AW768" s="141"/>
      <c r="BA768" s="204"/>
    </row>
    <row r="769" spans="1:55">
      <c r="A769" s="52"/>
      <c r="B769" s="3659" t="s">
        <v>1183</v>
      </c>
      <c r="C769" s="585">
        <v>8030010</v>
      </c>
      <c r="D769" s="40" t="s">
        <v>171</v>
      </c>
      <c r="E769" s="474">
        <f>IFERROR(VLOOKUP(C769,'פקודות נוספות'!$D$274:$F$797,3,0),0)</f>
        <v>14714.53</v>
      </c>
      <c r="F769" s="49">
        <f>SUMIF('פקודות נוספות'!C:C,C:C,'פקודות נוספות'!E:E)</f>
        <v>0</v>
      </c>
      <c r="J769" s="4103">
        <f t="shared" si="158"/>
        <v>14714.53</v>
      </c>
      <c r="K769" s="3600">
        <f>M769+SUMIF('פקודות נוספות'!C:C,'מאזן בוחן'!C769,'פקודות נוספות'!F:F)</f>
        <v>4557.28</v>
      </c>
      <c r="L769" s="49"/>
      <c r="M769" s="1341">
        <f>IFERROR(VLOOKUP(C769,'פקודות נוספות'!$D$273:$G$797,4,0),0)</f>
        <v>4557.28</v>
      </c>
      <c r="N769" s="2733">
        <f t="shared" si="159"/>
        <v>3.2287965628620583</v>
      </c>
      <c r="O769" s="1526"/>
      <c r="P769" s="141">
        <v>1224.48</v>
      </c>
      <c r="Q769" s="141">
        <f>'[39]מאזן בוחן'!AE636</f>
        <v>143.00999999999988</v>
      </c>
      <c r="R769" s="141">
        <v>0</v>
      </c>
      <c r="S769" s="141">
        <v>373.55000000000007</v>
      </c>
      <c r="T769" s="2041">
        <f>'[20]מאזן בוחן'!AR690</f>
        <v>626.55000000000018</v>
      </c>
      <c r="U769" s="2041">
        <f>'[21]מאזן בוחן'!AS600</f>
        <v>386.00000000000011</v>
      </c>
      <c r="V769" s="726">
        <f>'[22]מאזן בוחן'!AJ586</f>
        <v>595.3599999999999</v>
      </c>
      <c r="W769" s="726">
        <f>'[23]מאזן בוחן'!AK592</f>
        <v>154.73000000000013</v>
      </c>
      <c r="X769" s="141">
        <v>185.05999999999983</v>
      </c>
      <c r="Y769" s="141">
        <f>'[25]מאזן בוחן'!AM622</f>
        <v>590.78000000000065</v>
      </c>
      <c r="AA769" s="141">
        <f>'[32]מאזן בוחן'!AO639</f>
        <v>334.01999999999953</v>
      </c>
      <c r="AB769" s="141">
        <f>'[26]מאזן בוחן'!AB647</f>
        <v>330.49</v>
      </c>
      <c r="AC769" s="141">
        <f>'[27]מאזן בוחן'!AC656</f>
        <v>247.24</v>
      </c>
      <c r="AD769" s="141">
        <f>'[28]מאזן בוחן'!AD665</f>
        <v>134.09000000000003</v>
      </c>
      <c r="AE769" s="141">
        <f>'[29]מאזן בוחן'!AE675</f>
        <v>519.85</v>
      </c>
      <c r="AF769" s="141">
        <f>'[30]מאזן בוחן'!AF686</f>
        <v>301.13999999999987</v>
      </c>
      <c r="AG769" s="141">
        <f>'[31]מאזן בוחן'!AG690</f>
        <v>196.51999999999998</v>
      </c>
      <c r="AH769" s="141">
        <v>273.48</v>
      </c>
      <c r="AI769" s="141">
        <v>256.63999999999987</v>
      </c>
      <c r="AJ769" s="141">
        <v>855.86000000000013</v>
      </c>
      <c r="AK769" s="141">
        <v>476.76000000000022</v>
      </c>
      <c r="AL769" s="141">
        <v>605.36000000000013</v>
      </c>
      <c r="AM769" s="141">
        <f>$K769-SUM($AB769:AL769)</f>
        <v>359.84999999999945</v>
      </c>
      <c r="AN769" s="141"/>
      <c r="AO769" s="141"/>
      <c r="AP769" s="141"/>
      <c r="AQ769" s="141"/>
      <c r="AR769" s="141"/>
      <c r="AS769" s="141"/>
      <c r="AT769" s="141"/>
      <c r="AU769" s="141"/>
      <c r="AV769" s="141"/>
      <c r="AW769" s="141"/>
      <c r="BA769" s="204"/>
    </row>
    <row r="770" spans="1:55">
      <c r="A770" s="52"/>
      <c r="B770" s="3659" t="s">
        <v>1185</v>
      </c>
      <c r="C770" s="585">
        <v>8410066</v>
      </c>
      <c r="D770" s="203" t="s">
        <v>399</v>
      </c>
      <c r="E770" s="474">
        <f>IFERROR(VLOOKUP(C770,'פקודות נוספות'!$D$274:$F$797,3,0),0)</f>
        <v>23991.75</v>
      </c>
      <c r="F770" s="49">
        <f>SUMIF('פקודות נוספות'!C:C,C:C,'פקודות נוספות'!E:E)</f>
        <v>0</v>
      </c>
      <c r="J770" s="3601">
        <f>SUM(E770:I770)</f>
        <v>23991.75</v>
      </c>
      <c r="K770" s="3600">
        <f>M770+SUMIF('פקודות נוספות'!C:C,'מאזן בוחן'!C770,'פקודות נוספות'!F:F)</f>
        <v>7212.49</v>
      </c>
      <c r="L770" s="49"/>
      <c r="M770" s="1341">
        <f>IFERROR(VLOOKUP(C770,'פקודות נוספות'!$D$273:$G$797,4,0),0)</f>
        <v>7212.49</v>
      </c>
      <c r="N770" s="2733">
        <f>IF(K770=0,"-",J770/K770)</f>
        <v>3.3264170903529848</v>
      </c>
      <c r="O770" s="1133"/>
      <c r="P770" s="1512">
        <v>659.46</v>
      </c>
      <c r="Q770" s="141">
        <f>'[39]מאזן בוחן'!AE706</f>
        <v>659.46</v>
      </c>
      <c r="R770" s="1512">
        <v>659.46</v>
      </c>
      <c r="S770" s="1512">
        <v>659.46</v>
      </c>
      <c r="T770" s="141">
        <f>'[20]מאזן בוחן'!AR761</f>
        <v>659.46</v>
      </c>
      <c r="U770" s="141">
        <f>'[21]מאזן בוחן'!AS671</f>
        <v>659.4399999999996</v>
      </c>
      <c r="V770" s="726">
        <f>'[22]מאזן בוחן'!AJ657</f>
        <v>616.13000000000011</v>
      </c>
      <c r="W770" s="726">
        <f>'[23]מאזן בוחן'!AK662</f>
        <v>616.13000000000011</v>
      </c>
      <c r="X770" s="141">
        <v>616.13000000000011</v>
      </c>
      <c r="Y770" s="141">
        <f>'[25]מאזן בוחן'!AM692</f>
        <v>616.13000000000011</v>
      </c>
      <c r="Z770" s="141"/>
      <c r="AA770" s="141">
        <f>'[32]מאזן בוחן'!AO709</f>
        <v>616.13000000000011</v>
      </c>
      <c r="AB770" s="141">
        <f>'[26]מאזן בוחן'!AB717</f>
        <v>616.13</v>
      </c>
      <c r="AC770" s="141">
        <f>'[27]מאזן בוחן'!AC726</f>
        <v>616.13</v>
      </c>
      <c r="AD770" s="141">
        <f>'[28]מאזן בוחן'!AD735</f>
        <v>616.13000000000011</v>
      </c>
      <c r="AE770" s="141">
        <f>'[29]מאזן בוחן'!AE745</f>
        <v>616.12999999999988</v>
      </c>
      <c r="AF770" s="141">
        <f>'[30]מאזן בוחן'!AF756</f>
        <v>616.13000000000011</v>
      </c>
      <c r="AG770" s="141">
        <f>'[31]מאזן בוחן'!AG760</f>
        <v>616.13000000000011</v>
      </c>
      <c r="AH770" s="141">
        <v>616.1599999999994</v>
      </c>
      <c r="AI770" s="141">
        <v>579.91000000000076</v>
      </c>
      <c r="AJ770" s="141">
        <v>579.90999999999985</v>
      </c>
      <c r="AK770" s="141">
        <v>579.90999999999985</v>
      </c>
      <c r="AL770" s="141">
        <v>579.90999999999985</v>
      </c>
      <c r="AM770" s="141">
        <f>$K770-SUM($AB770:AL770)</f>
        <v>579.90999999999985</v>
      </c>
      <c r="AN770" s="141"/>
      <c r="AO770" s="141"/>
      <c r="AP770" s="141"/>
      <c r="AQ770" s="141"/>
      <c r="AR770" s="141"/>
      <c r="AS770" s="141"/>
      <c r="AT770" s="141"/>
      <c r="AU770" s="141"/>
      <c r="AV770" s="141"/>
      <c r="AW770" s="141"/>
      <c r="AX770" s="141"/>
      <c r="BA770" s="204"/>
    </row>
    <row r="771" spans="1:55">
      <c r="A771" s="52"/>
      <c r="B771" s="3659" t="s">
        <v>1183</v>
      </c>
      <c r="C771" s="585">
        <v>8030011</v>
      </c>
      <c r="D771" s="40" t="s">
        <v>172</v>
      </c>
      <c r="E771" s="474">
        <f>IFERROR(VLOOKUP(C771,'פקודות נוספות'!$D$274:$F$797,3,0),0)</f>
        <v>19860.52</v>
      </c>
      <c r="F771" s="49">
        <f>SUMIF('פקודות נוספות'!C:C,C:C,'פקודות נוספות'!E:E)</f>
        <v>0</v>
      </c>
      <c r="J771" s="4103">
        <f t="shared" si="158"/>
        <v>19860.52</v>
      </c>
      <c r="K771" s="3600">
        <f>M771+SUMIF('פקודות נוספות'!C:C,'מאזן בוחן'!C771,'פקודות נוספות'!F:F)</f>
        <v>6132.12</v>
      </c>
      <c r="L771" s="49"/>
      <c r="M771" s="1341">
        <f>IFERROR(VLOOKUP(C771,'פקודות נוספות'!$D$273:$G$797,4,0),0)</f>
        <v>6132.12</v>
      </c>
      <c r="N771" s="2733">
        <f t="shared" si="159"/>
        <v>3.2387689738622205</v>
      </c>
      <c r="O771" s="1526"/>
      <c r="P771" s="141">
        <v>757.47</v>
      </c>
      <c r="Q771" s="141">
        <f>'[39]מאזן בוחן'!AE637</f>
        <v>550.91999999999996</v>
      </c>
      <c r="R771" s="141">
        <v>319.07000000000005</v>
      </c>
      <c r="S771" s="141">
        <v>136.48000000000002</v>
      </c>
      <c r="T771" s="2041">
        <f>'[20]מאזן בוחן'!AR691</f>
        <v>966.38000000000011</v>
      </c>
      <c r="U771" s="2041">
        <f>'[21]מאזן בוחן'!AS601</f>
        <v>133.63999999999942</v>
      </c>
      <c r="V771" s="726">
        <f>'[22]מאזן בוחן'!AJ587</f>
        <v>133.63999999999976</v>
      </c>
      <c r="W771" s="726">
        <f>'[23]מאזן בוחן'!AK593</f>
        <v>133.64000000000044</v>
      </c>
      <c r="X771" s="141">
        <v>237.54999999999984</v>
      </c>
      <c r="Y771" s="141">
        <f>'[25]מאזן בוחן'!AM623</f>
        <v>133.64000000000078</v>
      </c>
      <c r="AA771" s="141">
        <f>'[32]מאזן בוחן'!AO640</f>
        <v>434.06999999999971</v>
      </c>
      <c r="AB771" s="141">
        <f>'[26]מאזן בוחן'!AB648</f>
        <v>2119.25</v>
      </c>
      <c r="AC771" s="141">
        <f>'[27]מאזן בוחן'!AC657</f>
        <v>504.76000000000022</v>
      </c>
      <c r="AD771" s="141">
        <f>'[28]מאזן בוחן'!AD666</f>
        <v>161.42999999999984</v>
      </c>
      <c r="AE771" s="141">
        <f>'[29]מאזן בוחן'!AE676</f>
        <v>161.42999999999984</v>
      </c>
      <c r="AF771" s="141">
        <f>'[30]מאזן בוחן'!AF687</f>
        <v>161.43000000000029</v>
      </c>
      <c r="AG771" s="141">
        <f>'[31]מאזן בוחן'!AG691</f>
        <v>161.42999999999984</v>
      </c>
      <c r="AH771" s="141">
        <v>1057.4999999999995</v>
      </c>
      <c r="AI771" s="141">
        <v>660.43000000000029</v>
      </c>
      <c r="AJ771" s="141">
        <v>263.82999999999993</v>
      </c>
      <c r="AK771" s="141">
        <v>172.80000000000018</v>
      </c>
      <c r="AL771" s="141">
        <v>161.43000000000029</v>
      </c>
      <c r="AM771" s="141">
        <f>$K771-SUM($AB771:AL771)</f>
        <v>546.39999999999964</v>
      </c>
      <c r="AN771" s="141"/>
      <c r="AO771" s="141"/>
      <c r="AP771" s="141"/>
      <c r="AQ771" s="141"/>
      <c r="AR771" s="141"/>
      <c r="AS771" s="141"/>
      <c r="AT771" s="141"/>
      <c r="AU771" s="141"/>
      <c r="AV771" s="141"/>
      <c r="AW771" s="141"/>
      <c r="BA771" s="204"/>
    </row>
    <row r="772" spans="1:55">
      <c r="A772" s="52"/>
      <c r="B772" s="3659" t="s">
        <v>1183</v>
      </c>
      <c r="C772" s="585">
        <v>8030012</v>
      </c>
      <c r="D772" s="40" t="s">
        <v>1187</v>
      </c>
      <c r="E772" s="474">
        <f>IFERROR(VLOOKUP(C772,'פקודות נוספות'!$D$274:$F$797,3,0),0)</f>
        <v>99742.86</v>
      </c>
      <c r="F772" s="49">
        <f>SUMIF('פקודות נוספות'!C:C,C:C,'פקודות נוספות'!E:E)</f>
        <v>0</v>
      </c>
      <c r="J772" s="4103">
        <f t="shared" si="158"/>
        <v>99742.86</v>
      </c>
      <c r="K772" s="3600">
        <f>M772+SUMIF('פקודות נוספות'!C:C,'מאזן בוחן'!C772,'פקודות נוספות'!F:F)</f>
        <v>31012.99</v>
      </c>
      <c r="L772" s="49"/>
      <c r="M772" s="1341">
        <f>IFERROR(VLOOKUP(C772,'פקודות נוספות'!$D$273:$G$797,4,0),0)</f>
        <v>31012.99</v>
      </c>
      <c r="N772" s="2733">
        <f t="shared" si="159"/>
        <v>3.2161639364666224</v>
      </c>
      <c r="O772" s="1133"/>
      <c r="P772" s="141">
        <v>7430.4900000000016</v>
      </c>
      <c r="Q772" s="141">
        <f>'[39]מאזן בוחן'!AE638</f>
        <v>4464.1899999999987</v>
      </c>
      <c r="R772" s="141">
        <v>1852.6000000000022</v>
      </c>
      <c r="S772" s="141">
        <v>2449.09</v>
      </c>
      <c r="T772" s="2041">
        <f>'[20]מאזן בוחן'!AR692</f>
        <v>3516.3099999999977</v>
      </c>
      <c r="U772" s="2041">
        <f>'[21]מאזן בוחן'!AS602</f>
        <v>2692.25</v>
      </c>
      <c r="V772" s="726">
        <f>'[22]מאזן בוחן'!AJ588</f>
        <v>3118.2300000000032</v>
      </c>
      <c r="W772" s="726">
        <f>'[23]מאזן בוחן'!AK594</f>
        <v>2881.929999999993</v>
      </c>
      <c r="X772" s="141">
        <v>3495.1200000000026</v>
      </c>
      <c r="Y772" s="141">
        <f>'[25]מאזן בוחן'!AM624</f>
        <v>2883.4900000000052</v>
      </c>
      <c r="AA772" s="141">
        <f>'[32]מאזן בוחן'!AO641</f>
        <v>1784.1199999999953</v>
      </c>
      <c r="AB772" s="141">
        <f>'[26]מאזן בוחן'!AB649</f>
        <v>0</v>
      </c>
      <c r="AC772" s="141">
        <f>'[27]מאזן בוחן'!AC658</f>
        <v>1425.86</v>
      </c>
      <c r="AD772" s="141">
        <f>'[28]מאזן בוחן'!AD667</f>
        <v>3023.0700000000006</v>
      </c>
      <c r="AE772" s="141">
        <f>'[29]מאזן בוחן'!AE677</f>
        <v>1539.88</v>
      </c>
      <c r="AF772" s="141">
        <f>'[30]מאזן בוחן'!AF688</f>
        <v>2589.4999999999991</v>
      </c>
      <c r="AG772" s="141">
        <f>'[31]מאזן בוחן'!AG692</f>
        <v>3870.01</v>
      </c>
      <c r="AH772" s="141">
        <v>4003.84</v>
      </c>
      <c r="AI772" s="141">
        <v>0</v>
      </c>
      <c r="AJ772" s="141">
        <v>4352.8499999999985</v>
      </c>
      <c r="AK772" s="141">
        <v>2597.3300000000017</v>
      </c>
      <c r="AL772" s="141">
        <v>3872.5</v>
      </c>
      <c r="AM772" s="141">
        <f>$K772-SUM($AB772:AL772)</f>
        <v>3738.1500000000015</v>
      </c>
      <c r="AN772" s="141"/>
      <c r="AO772" s="141"/>
      <c r="AP772" s="141"/>
      <c r="AQ772" s="141"/>
      <c r="AR772" s="141"/>
      <c r="AS772" s="141"/>
      <c r="AT772" s="141"/>
      <c r="AU772" s="141"/>
      <c r="AV772" s="141"/>
      <c r="AW772" s="141"/>
      <c r="BA772" s="204"/>
    </row>
    <row r="773" spans="1:55">
      <c r="A773" s="52"/>
      <c r="B773" s="3659" t="s">
        <v>1183</v>
      </c>
      <c r="C773" s="585">
        <v>8030013</v>
      </c>
      <c r="D773" s="40" t="s">
        <v>395</v>
      </c>
      <c r="E773" s="474">
        <f>IFERROR(VLOOKUP(C773,'פקודות נוספות'!$D$274:$F$797,3,0),0)</f>
        <v>3358.69</v>
      </c>
      <c r="F773" s="49">
        <f>SUMIF('פקודות נוספות'!C:C,C:C,'פקודות נוספות'!E:E)</f>
        <v>0</v>
      </c>
      <c r="J773" s="4103">
        <f t="shared" si="158"/>
        <v>3358.69</v>
      </c>
      <c r="K773" s="3600">
        <f>M773+SUMIF('פקודות נוספות'!C:C,'מאזן בוחן'!C773,'פקודות נוספות'!F:F)</f>
        <v>1039.1400000000001</v>
      </c>
      <c r="L773" s="49"/>
      <c r="M773" s="1341">
        <f>IFERROR(VLOOKUP(C773,'פקודות נוספות'!$D$273:$G$797,4,0),0)</f>
        <v>1039.1400000000001</v>
      </c>
      <c r="N773" s="2733">
        <f t="shared" si="159"/>
        <v>3.2321823815847717</v>
      </c>
      <c r="O773" s="1526"/>
      <c r="P773" s="141">
        <v>292.89</v>
      </c>
      <c r="Q773" s="141">
        <f>'[39]מאזן בוחן'!AE639</f>
        <v>176.16999999999996</v>
      </c>
      <c r="R773" s="141">
        <v>63.490000000000009</v>
      </c>
      <c r="S773" s="141">
        <v>24.509999999999991</v>
      </c>
      <c r="T773" s="2041">
        <f>'[20]מאזן בוחן'!AR693</f>
        <v>37.460000000000036</v>
      </c>
      <c r="U773" s="2041">
        <f>'[21]מאזן בוחן'!AS603</f>
        <v>60.6099999999999</v>
      </c>
      <c r="V773" s="726">
        <f>'[22]מאזן בוחן'!AJ589</f>
        <v>84.610000000000014</v>
      </c>
      <c r="W773" s="726">
        <f>'[23]מאזן בוחן'!AK595</f>
        <v>78.970000000000027</v>
      </c>
      <c r="X773" s="141">
        <v>155.9100000000002</v>
      </c>
      <c r="Y773" s="141">
        <f>'[25]מאזן בוחן'!AM625</f>
        <v>155.5</v>
      </c>
      <c r="AA773" s="141">
        <f>'[32]מאזן בוחן'!AO642</f>
        <v>103.49000000000001</v>
      </c>
      <c r="AB773" s="141">
        <f>'[26]מאזן בוחן'!AB650</f>
        <v>56.78</v>
      </c>
      <c r="AC773" s="141">
        <f>'[27]מאזן בוחן'!AC659</f>
        <v>54.5</v>
      </c>
      <c r="AD773" s="141">
        <f>'[28]מאזן בוחן'!AD668</f>
        <v>7.9099999999999966</v>
      </c>
      <c r="AE773" s="141">
        <f>'[29]מאזן בוחן'!AE678</f>
        <v>98.85</v>
      </c>
      <c r="AF773" s="141">
        <f>'[30]מאזן בוחן'!AF689</f>
        <v>55.59</v>
      </c>
      <c r="AG773" s="141">
        <f>'[31]מאזן בוחן'!AG693</f>
        <v>75.670000000000016</v>
      </c>
      <c r="AH773" s="141">
        <v>203.21999999999997</v>
      </c>
      <c r="AI773" s="141">
        <v>93.539999999999964</v>
      </c>
      <c r="AJ773" s="141">
        <v>136.29000000000008</v>
      </c>
      <c r="AK773" s="141">
        <v>184.68999999999994</v>
      </c>
      <c r="AL773" s="141">
        <v>47.259999999999991</v>
      </c>
      <c r="AM773" s="141">
        <f>$K773-SUM($AB773:AL773)</f>
        <v>24.840000000000146</v>
      </c>
      <c r="AN773" s="141"/>
      <c r="AO773" s="141"/>
      <c r="AP773" s="141"/>
      <c r="AQ773" s="141"/>
      <c r="AR773" s="141"/>
      <c r="AS773" s="141"/>
      <c r="AT773" s="141"/>
      <c r="AU773" s="141"/>
      <c r="AV773" s="141"/>
      <c r="AW773" s="141"/>
      <c r="BA773" s="204"/>
    </row>
    <row r="774" spans="1:55">
      <c r="A774" s="52"/>
      <c r="B774" s="3659" t="s">
        <v>1183</v>
      </c>
      <c r="C774" s="585">
        <v>8030014</v>
      </c>
      <c r="D774" s="40" t="s">
        <v>396</v>
      </c>
      <c r="E774" s="474">
        <f>IFERROR(VLOOKUP(C774,'פקודות נוספות'!$D$274:$F$797,3,0),0)</f>
        <v>40497.46</v>
      </c>
      <c r="F774" s="49">
        <f>SUMIF('פקודות נוספות'!C:C,C:C,'פקודות נוספות'!E:E)</f>
        <v>0</v>
      </c>
      <c r="J774" s="4103">
        <f>SUM(E774:I774)</f>
        <v>40497.46</v>
      </c>
      <c r="K774" s="3600">
        <f>M774+SUMIF('פקודות נוספות'!C:C,'מאזן בוחן'!C774,'פקודות נוספות'!F:F)</f>
        <v>12597.79</v>
      </c>
      <c r="L774" s="49"/>
      <c r="M774" s="1341">
        <f>IFERROR(VLOOKUP(C774,'פקודות נוספות'!$D$273:$G$797,4,0),0)</f>
        <v>12597.79</v>
      </c>
      <c r="N774" s="2733">
        <f>IF(K774=0,"-",J774/K774)</f>
        <v>3.2146479660321372</v>
      </c>
      <c r="O774" s="1526"/>
      <c r="P774" s="141">
        <v>0</v>
      </c>
      <c r="Q774" s="141">
        <f>'[39]מאזן בוחן'!AE640</f>
        <v>0</v>
      </c>
      <c r="R774" s="137">
        <v>0</v>
      </c>
      <c r="S774" s="141">
        <v>0</v>
      </c>
      <c r="T774" s="141">
        <f>'[20]מאזן בוחן'!AR694</f>
        <v>4062.08</v>
      </c>
      <c r="U774" s="141">
        <f>'[21]מאזן בוחן'!AS604</f>
        <v>48.3100000000004</v>
      </c>
      <c r="V774" s="141">
        <f>'[22]מאזן בוחן'!AJ590</f>
        <v>-3.2684965844964609E-13</v>
      </c>
      <c r="W774" s="141">
        <f>'[23]מאזן בוחן'!AK596</f>
        <v>445.51000000000022</v>
      </c>
      <c r="X774" s="141">
        <v>1.4210854715202004E-14</v>
      </c>
      <c r="Y774" s="141">
        <f>'[25]מאזן בוחן'!AM626</f>
        <v>1957.38</v>
      </c>
      <c r="AA774" s="141">
        <f>'[32]מאזן בוחן'!AO643</f>
        <v>216.78999999999996</v>
      </c>
      <c r="AB774" s="141">
        <f>'[26]מאזן בוחן'!AB651</f>
        <v>1614.16</v>
      </c>
      <c r="AC774" s="141">
        <f>'[27]מאזן בוחן'!AC660</f>
        <v>496.93000000000006</v>
      </c>
      <c r="AD774" s="141">
        <f>'[28]מאזן בוחן'!AD669</f>
        <v>0</v>
      </c>
      <c r="AE774" s="141">
        <f>'[29]מאזן בוחן'!AE679</f>
        <v>0</v>
      </c>
      <c r="AF774" s="141">
        <f>'[30]מאזן בוחן'!AF690</f>
        <v>950.29</v>
      </c>
      <c r="AG774" s="141">
        <f>'[31]מאזן בוחן'!AG694</f>
        <v>5744.28</v>
      </c>
      <c r="AH774" s="141">
        <v>626.63999999999942</v>
      </c>
      <c r="AI774" s="141">
        <v>0</v>
      </c>
      <c r="AJ774" s="141">
        <v>123.44000000000051</v>
      </c>
      <c r="AK774" s="141">
        <v>23.819999999999709</v>
      </c>
      <c r="AL774" s="141">
        <v>151.28000000000065</v>
      </c>
      <c r="AM774" s="141">
        <f>$K774-SUM($AB774:AL774)</f>
        <v>2866.9500000000007</v>
      </c>
      <c r="AN774" s="141"/>
      <c r="AO774" s="141"/>
      <c r="AP774" s="141"/>
      <c r="AQ774" s="141"/>
      <c r="AR774" s="141"/>
      <c r="AS774" s="141"/>
      <c r="AT774" s="141"/>
      <c r="AU774" s="141"/>
      <c r="AV774" s="141"/>
      <c r="AW774" s="141"/>
      <c r="BA774" s="204"/>
    </row>
    <row r="775" spans="1:55">
      <c r="A775" s="52"/>
      <c r="B775" s="3659" t="s">
        <v>1183</v>
      </c>
      <c r="C775" s="585" t="s">
        <v>1652</v>
      </c>
      <c r="D775" s="40" t="s">
        <v>1653</v>
      </c>
      <c r="E775" s="474">
        <f>IFERROR(VLOOKUP(C775,'פקודות נוספות'!$D$274:$F$797,3,0),0)</f>
        <v>32399</v>
      </c>
      <c r="F775" s="49">
        <f>SUMIF('פקודות נוספות'!C:C,C:C,'פקודות נוספות'!E:E)</f>
        <v>0</v>
      </c>
      <c r="J775" s="4103">
        <f>SUM(E775:I775)</f>
        <v>32399</v>
      </c>
      <c r="K775" s="3600">
        <f>M775+SUMIF('פקודות נוספות'!C:C,'מאזן בוחן'!C775,'פקודות נוספות'!F:F)</f>
        <v>10454.76</v>
      </c>
      <c r="L775" s="49"/>
      <c r="M775" s="1341">
        <f>IFERROR(VLOOKUP(C775,'פקודות נוספות'!$D$273:$G$797,4,0),0)</f>
        <v>10454.76</v>
      </c>
      <c r="N775" s="2733">
        <f>IF(K775=0,"-",J775/K775)</f>
        <v>3.098971186330437</v>
      </c>
      <c r="O775" s="1526"/>
      <c r="P775" s="141">
        <v>9624.4599999999991</v>
      </c>
      <c r="Q775" s="141">
        <f>'[39]מאזן בוחן'!AE641</f>
        <v>-6247.239999999998</v>
      </c>
      <c r="R775" s="137">
        <v>-1570.8300000000017</v>
      </c>
      <c r="S775" s="141">
        <v>99.659999999999854</v>
      </c>
      <c r="T775" s="141">
        <f>'[20]מאזן בוחן'!AR695</f>
        <v>1679.25</v>
      </c>
      <c r="U775" s="141">
        <f>'[21]מאזן בוחן'!AS605</f>
        <v>-1400.5999999999995</v>
      </c>
      <c r="V775" s="141">
        <f>'[22]מאזן בוחן'!AJ591</f>
        <v>138.32000000000016</v>
      </c>
      <c r="W775" s="141">
        <f>'[23]מאזן בוחן'!AK597</f>
        <v>-1370.15</v>
      </c>
      <c r="X775" s="141">
        <v>884.02</v>
      </c>
      <c r="Y775" s="141">
        <f>'[25]מאזן בוחן'!AM627</f>
        <v>275.26000000000045</v>
      </c>
      <c r="AA775" s="141">
        <f>'[32]מאזן בוחן'!AO644</f>
        <v>-4699.47</v>
      </c>
      <c r="AB775" s="141">
        <f>'[26]מאזן בוחן'!AB652</f>
        <v>125.96</v>
      </c>
      <c r="AC775" s="141">
        <f>'[27]מאזן בוחן'!AC661</f>
        <v>-156.26</v>
      </c>
      <c r="AD775" s="141">
        <f>'[28]מאזן בוחן'!AD670</f>
        <v>-1067.99</v>
      </c>
      <c r="AE775" s="141">
        <f>'[29]מאזן בוחן'!AE680</f>
        <v>2289.19</v>
      </c>
      <c r="AF775" s="141">
        <f>'[30]מאזן בוחן'!AF691</f>
        <v>-1315.3100000000002</v>
      </c>
      <c r="AG775" s="141">
        <f>'[31]מאזן בוחן'!AG695</f>
        <v>102.81000000000009</v>
      </c>
      <c r="AH775" s="141">
        <v>1295.0999999999999</v>
      </c>
      <c r="AI775" s="141">
        <v>-172.53999999999996</v>
      </c>
      <c r="AJ775" s="141">
        <v>2024.04</v>
      </c>
      <c r="AK775" s="141">
        <v>246.30999999999995</v>
      </c>
      <c r="AL775" s="141">
        <v>-1975.6599999999999</v>
      </c>
      <c r="AM775" s="141">
        <f>$K775-SUM($AB775:AL775)</f>
        <v>9059.11</v>
      </c>
      <c r="AN775" s="141"/>
      <c r="AO775" s="141"/>
      <c r="AP775" s="141"/>
      <c r="AQ775" s="141"/>
      <c r="AR775" s="141"/>
      <c r="AS775" s="141"/>
      <c r="AT775" s="141"/>
      <c r="AU775" s="141"/>
      <c r="AV775" s="141"/>
      <c r="AW775" s="141"/>
      <c r="BA775" s="204"/>
    </row>
    <row r="776" spans="1:55">
      <c r="A776" s="52"/>
      <c r="B776" s="3659" t="s">
        <v>1183</v>
      </c>
      <c r="C776" s="585">
        <v>8030015</v>
      </c>
      <c r="D776" s="40" t="s">
        <v>156</v>
      </c>
      <c r="E776" s="474">
        <f>IFERROR(VLOOKUP(C776,'פקודות נוספות'!$D$274:$F$797,3,0),0)</f>
        <v>391387.86</v>
      </c>
      <c r="F776" s="49">
        <f>SUMIF('פקודות נוספות'!C:C,C:C,'פקודות נוספות'!E:E)</f>
        <v>0</v>
      </c>
      <c r="J776" s="4103">
        <f t="shared" si="158"/>
        <v>391387.86</v>
      </c>
      <c r="K776" s="3600">
        <f>M776+SUMIF('פקודות נוספות'!C:C,'מאזן בוחן'!C776,'פקודות נוספות'!F:F)</f>
        <v>120291.86</v>
      </c>
      <c r="L776" s="49"/>
      <c r="M776" s="1341">
        <f>IFERROR(VLOOKUP(C776,'פקודות נוספות'!$D$273:$G$797,4,0),0)</f>
        <v>120291.86</v>
      </c>
      <c r="N776" s="2733">
        <f t="shared" si="159"/>
        <v>3.2536520758761234</v>
      </c>
      <c r="O776" s="1526"/>
      <c r="P776" s="137">
        <v>2481.4599999999991</v>
      </c>
      <c r="Q776" s="141">
        <f>'[39]מאזן בוחן'!AE642</f>
        <v>4362.2700000000004</v>
      </c>
      <c r="R776" s="137">
        <v>4073.8300000000017</v>
      </c>
      <c r="S776" s="141">
        <v>3827.5699999999997</v>
      </c>
      <c r="T776" s="141">
        <f>'[20]מאזן בוחן'!AR696</f>
        <v>5054.5299999999988</v>
      </c>
      <c r="U776" s="141">
        <f>'[21]מאזן בוחן'!AS606</f>
        <v>4631.2300000000032</v>
      </c>
      <c r="V776" s="141">
        <f>'[22]מאזן בוחן'!AJ592</f>
        <v>5055.2099999999991</v>
      </c>
      <c r="W776" s="141">
        <f>'[23]מאזן בוחן'!AK598</f>
        <v>6152.4399999999914</v>
      </c>
      <c r="X776" s="141">
        <v>5959.9200000000092</v>
      </c>
      <c r="Y776" s="141">
        <f>'[25]מאזן בוחן'!AM628</f>
        <v>37174.739999999991</v>
      </c>
      <c r="AA776" s="141">
        <f>'[32]מאזן בוחן'!AO645</f>
        <v>11780.069999999992</v>
      </c>
      <c r="AB776" s="141">
        <f>'[26]מאזן בוחן'!AB653</f>
        <v>8019.93</v>
      </c>
      <c r="AC776" s="141">
        <f>'[27]מאזן בוחן'!AC662</f>
        <v>8221.9699999999993</v>
      </c>
      <c r="AD776" s="141">
        <f>'[28]מאזן בוחן'!AD671</f>
        <v>7854.840000000002</v>
      </c>
      <c r="AE776" s="141">
        <f>'[29]מאזן בוחן'!AE681</f>
        <v>9001.380000000001</v>
      </c>
      <c r="AF776" s="141">
        <f>'[30]מאזן בוחן'!AF692</f>
        <v>16373.04</v>
      </c>
      <c r="AG776" s="141">
        <f>'[31]מאזן בוחן'!AG696</f>
        <v>8906.8099999999977</v>
      </c>
      <c r="AH776" s="141">
        <v>9214.1300000000047</v>
      </c>
      <c r="AI776" s="141">
        <v>12209.729999999996</v>
      </c>
      <c r="AJ776" s="141">
        <v>10468.669999999998</v>
      </c>
      <c r="AK776" s="141">
        <v>9250.4199999999983</v>
      </c>
      <c r="AL776" s="141">
        <v>9036.4100000000035</v>
      </c>
      <c r="AM776" s="141">
        <f>$K776-SUM($AB776:AL776)</f>
        <v>11734.529999999999</v>
      </c>
      <c r="AN776" s="141"/>
      <c r="AO776" s="141"/>
      <c r="AP776" s="141"/>
      <c r="AQ776" s="141"/>
      <c r="AR776" s="141"/>
      <c r="AS776" s="141"/>
      <c r="AT776" s="141"/>
      <c r="AU776" s="141"/>
      <c r="AV776" s="141"/>
      <c r="AW776" s="141"/>
      <c r="BA776" s="204"/>
    </row>
    <row r="777" spans="1:55">
      <c r="A777" s="52"/>
      <c r="B777" s="3659" t="s">
        <v>1185</v>
      </c>
      <c r="C777" s="585">
        <v>8410048</v>
      </c>
      <c r="D777" s="203" t="s">
        <v>397</v>
      </c>
      <c r="E777" s="474">
        <f>IFERROR(VLOOKUP(C777,'פקודות נוספות'!$D$274:$F$797,3,0),0)</f>
        <v>1156602.47</v>
      </c>
      <c r="F777" s="49">
        <f>SUMIF('פקודות נוספות'!C:C,C:C,'פקודות נוספות'!E:E)</f>
        <v>0</v>
      </c>
      <c r="J777" s="3601">
        <f>SUM(E777:I777)</f>
        <v>1156602.47</v>
      </c>
      <c r="K777" s="3601">
        <f>M777+SUMIF('פקודות נוספות'!C:C,'מאזן בוחן'!C777,'פקודות נוספות'!F:F)</f>
        <v>348085.63</v>
      </c>
      <c r="L777" s="49"/>
      <c r="M777" s="1341">
        <f>IFERROR(VLOOKUP(C777,'פקודות נוספות'!$D$273:$G$797,4,0),0)</f>
        <v>348085.63</v>
      </c>
      <c r="N777" s="2733">
        <f>IF(K777=0,"-",J777/K777)</f>
        <v>3.3227527088664934</v>
      </c>
      <c r="O777" s="1133"/>
      <c r="P777" s="1530">
        <v>21495.969999999998</v>
      </c>
      <c r="Q777" s="141">
        <f>'[39]מאזן בוחן'!AE704</f>
        <v>25475.369999999992</v>
      </c>
      <c r="R777" s="1512">
        <v>23688.790000000012</v>
      </c>
      <c r="S777" s="1512">
        <v>24525.079999999998</v>
      </c>
      <c r="T777" s="141">
        <f>'[20]מאזן בוחן'!AR759</f>
        <v>24506.559999999987</v>
      </c>
      <c r="U777" s="141">
        <f>'[21]מאזן בוחן'!AS669</f>
        <v>24564.700000000008</v>
      </c>
      <c r="V777" s="726">
        <f>'[22]מאזן בוחן'!AJ655</f>
        <v>24794.749999999996</v>
      </c>
      <c r="W777" s="726">
        <f>'[23]מאזן בוחן'!AK660</f>
        <v>24694.180000000004</v>
      </c>
      <c r="X777" s="141">
        <v>25439.469999999983</v>
      </c>
      <c r="Y777" s="141">
        <f>'[25]מאזן בוחן'!AM690</f>
        <v>20251.180000000051</v>
      </c>
      <c r="Z777" s="141"/>
      <c r="AA777" s="141">
        <f>'[32]מאזן בוחן'!AO707</f>
        <v>25081.789999999979</v>
      </c>
      <c r="AB777" s="141">
        <f>'[26]מאזן בוחן'!AB715</f>
        <v>24819.3</v>
      </c>
      <c r="AC777" s="141">
        <f>'[27]מאזן בוחן'!AC724</f>
        <v>26528.05</v>
      </c>
      <c r="AD777" s="141">
        <f>'[28]מאזן בוחן'!AD733</f>
        <v>31036.200000000004</v>
      </c>
      <c r="AE777" s="141">
        <f>'[29]מאזן בוחן'!AE743</f>
        <v>28915.33</v>
      </c>
      <c r="AF777" s="141">
        <f>'[30]מאזן בוחן'!AF754</f>
        <v>28716.199999999983</v>
      </c>
      <c r="AG777" s="141">
        <f>'[31]מאזן בוחן'!AG758</f>
        <v>29803.020000000019</v>
      </c>
      <c r="AH777" s="141">
        <v>28835.709999999992</v>
      </c>
      <c r="AI777" s="141">
        <v>27996.459999999992</v>
      </c>
      <c r="AJ777" s="141">
        <v>29430.870000000024</v>
      </c>
      <c r="AK777" s="141">
        <v>28819.589999999967</v>
      </c>
      <c r="AL777" s="141">
        <v>35053.820000000007</v>
      </c>
      <c r="AM777" s="141">
        <f>$K777-SUM($AB777:AL777)</f>
        <v>28131.080000000016</v>
      </c>
      <c r="AN777" s="141"/>
      <c r="AO777" s="141" t="s">
        <v>4554</v>
      </c>
      <c r="AP777" s="141"/>
      <c r="AQ777" s="141"/>
      <c r="AR777" s="141"/>
      <c r="AS777" s="141"/>
      <c r="AT777" s="141"/>
      <c r="AU777" s="141"/>
      <c r="AV777" s="141"/>
      <c r="AW777" s="141"/>
      <c r="AX777" s="141"/>
      <c r="BA777" s="204"/>
      <c r="BC777" s="63"/>
    </row>
    <row r="778" spans="1:55">
      <c r="A778" s="52"/>
      <c r="B778" s="3659" t="s">
        <v>1183</v>
      </c>
      <c r="C778" s="585">
        <v>8030017</v>
      </c>
      <c r="D778" s="40" t="s">
        <v>1188</v>
      </c>
      <c r="E778" s="474">
        <f>IFERROR(VLOOKUP(C778,'פקודות נוספות'!$D$274:$F$797,3,0),0)</f>
        <v>97577.919999999998</v>
      </c>
      <c r="F778" s="49">
        <f>SUMIF('פקודות נוספות'!C:C,C:C,'פקודות נוספות'!E:E)</f>
        <v>0</v>
      </c>
      <c r="J778" s="4103">
        <f t="shared" si="158"/>
        <v>97577.919999999998</v>
      </c>
      <c r="K778" s="3600">
        <f>M778+SUMIF('פקודות נוספות'!C:C,'מאזן בוחן'!C778,'פקודות נוספות'!F:F)</f>
        <v>30950.35</v>
      </c>
      <c r="L778" s="49"/>
      <c r="M778" s="1341">
        <f>IFERROR(VLOOKUP(C778,'פקודות נוספות'!$D$273:$G$797,4,0),0)</f>
        <v>30950.35</v>
      </c>
      <c r="N778" s="2733">
        <f t="shared" si="159"/>
        <v>3.1527242826010045</v>
      </c>
      <c r="O778" s="1526"/>
      <c r="P778" s="137">
        <v>4084.48</v>
      </c>
      <c r="Q778" s="141">
        <f>'[39]מאזן בוחן'!AE644</f>
        <v>2466.09</v>
      </c>
      <c r="R778" s="137">
        <v>2033.3000000000011</v>
      </c>
      <c r="S778" s="141">
        <v>0</v>
      </c>
      <c r="T778" s="141">
        <f>'[20]מאזן בוחן'!AR698</f>
        <v>869.63999999999942</v>
      </c>
      <c r="U778" s="141">
        <f>'[21]מאזן בוחן'!AS608</f>
        <v>2223.1800000000003</v>
      </c>
      <c r="V778" s="141">
        <f>'[22]מאזן בוחן'!AJ594</f>
        <v>517.83999999999969</v>
      </c>
      <c r="W778" s="141">
        <f>'[23]מאזן בוחן'!AK600</f>
        <v>5134.9799999999987</v>
      </c>
      <c r="X778" s="141">
        <v>175.9000000000014</v>
      </c>
      <c r="Y778" s="141">
        <f>'[25]מאזן בוחן'!AM630</f>
        <v>1605.1599999999999</v>
      </c>
      <c r="AA778" s="141">
        <f>'[32]מאזן בוחן'!AO647</f>
        <v>3119.0799999999981</v>
      </c>
      <c r="AB778" s="141">
        <f>'[26]מאזן בוחן'!AB655</f>
        <v>916.95</v>
      </c>
      <c r="AC778" s="141">
        <f>'[27]מאזן בוחן'!AC664</f>
        <v>535</v>
      </c>
      <c r="AD778" s="141">
        <f>'[28]מאזן בוחן'!AD673</f>
        <v>1433.82</v>
      </c>
      <c r="AE778" s="141">
        <f>'[29]מאזן בוחן'!AE683</f>
        <v>0</v>
      </c>
      <c r="AF778" s="141">
        <f>'[30]מאזן בוחן'!AF694</f>
        <v>0</v>
      </c>
      <c r="AG778" s="141">
        <f>'[31]מאזן בוחן'!AG698</f>
        <v>49915.86</v>
      </c>
      <c r="AH778" s="141">
        <v>321.99000000000524</v>
      </c>
      <c r="AI778" s="141">
        <v>0</v>
      </c>
      <c r="AJ778" s="141">
        <v>26295.109999999993</v>
      </c>
      <c r="AK778" s="141">
        <v>1801.1800000000076</v>
      </c>
      <c r="AL778" s="141">
        <v>-57349.130000000005</v>
      </c>
      <c r="AM778" s="141">
        <f>$K778-SUM($AB778:AL778)</f>
        <v>7079.57</v>
      </c>
      <c r="AN778" s="141"/>
      <c r="AO778" s="141"/>
      <c r="AP778" s="141"/>
      <c r="AQ778" s="141"/>
      <c r="AR778" s="141"/>
      <c r="AS778" s="141"/>
      <c r="AT778" s="141"/>
      <c r="AU778" s="141"/>
      <c r="AV778" s="141"/>
      <c r="AW778" s="141"/>
      <c r="BA778" s="204"/>
    </row>
    <row r="779" spans="1:55">
      <c r="A779" s="52"/>
      <c r="B779" s="3659"/>
      <c r="C779" s="585"/>
      <c r="D779" s="40"/>
      <c r="E779" s="474"/>
      <c r="J779" s="2489"/>
      <c r="L779" s="49"/>
      <c r="M779" s="1641"/>
      <c r="N779" s="2733"/>
      <c r="O779" s="1526"/>
      <c r="Q779" s="141"/>
      <c r="S779" s="141"/>
      <c r="T779" s="141"/>
      <c r="U779" s="141"/>
      <c r="V779" s="141"/>
      <c r="W779" s="141"/>
      <c r="X779" s="141"/>
      <c r="Y779" s="141"/>
      <c r="AA779" s="141"/>
      <c r="AB779" s="141"/>
      <c r="AC779" s="141"/>
      <c r="AD779" s="141"/>
      <c r="AE779" s="141"/>
      <c r="AF779" s="141"/>
      <c r="AG779" s="141"/>
      <c r="AH779" s="141"/>
      <c r="AI779" s="141"/>
      <c r="AJ779" s="141"/>
      <c r="AK779" s="141"/>
      <c r="AL779" s="141"/>
      <c r="AM779" s="141">
        <f>$K779-SUM($AB779:AL779)</f>
        <v>0</v>
      </c>
      <c r="AN779" s="141"/>
      <c r="AO779" s="141"/>
      <c r="AP779" s="141"/>
      <c r="AQ779" s="141"/>
      <c r="AR779" s="141"/>
      <c r="AS779" s="141"/>
      <c r="AT779" s="141"/>
      <c r="AU779" s="141"/>
      <c r="AV779" s="141"/>
      <c r="AW779" s="141"/>
      <c r="BA779" s="204"/>
    </row>
    <row r="780" spans="1:55">
      <c r="A780" s="52"/>
      <c r="B780" s="3659" t="s">
        <v>1185</v>
      </c>
      <c r="C780" s="585">
        <v>8410300</v>
      </c>
      <c r="D780" s="40" t="s">
        <v>4884</v>
      </c>
      <c r="E780" s="474">
        <f>IFERROR(VLOOKUP(C780,'פקודות נוספות'!$D$274:$F$797,3,0),0)</f>
        <v>266838.59000000003</v>
      </c>
      <c r="F780" s="49">
        <f>SUMIF('פקודות נוספות'!C:C,C:C,'פקודות נוספות'!E:E)</f>
        <v>0</v>
      </c>
      <c r="J780" s="2489">
        <f t="shared" ref="J780" si="160">SUM(E780:I780)</f>
        <v>266838.59000000003</v>
      </c>
      <c r="K780" s="42">
        <f>M780+SUMIF('פקודות נוספות'!C:C,'מאזן בוחן'!C780,'פקודות נוספות'!F:F)</f>
        <v>85800.19</v>
      </c>
      <c r="L780" s="49"/>
      <c r="M780" s="1341">
        <f>IFERROR(VLOOKUP(C780,'פקודות נוספות'!$D$273:$G$797,4,0),0)</f>
        <v>85800.19</v>
      </c>
      <c r="N780" s="2733">
        <f t="shared" ref="N780" si="161">IF(K780=0,"-",J780/K780)</f>
        <v>3.1099999895105128</v>
      </c>
      <c r="O780" s="1526"/>
      <c r="Q780" s="141"/>
      <c r="S780" s="141"/>
      <c r="T780" s="141"/>
      <c r="U780" s="141"/>
      <c r="V780" s="141"/>
      <c r="W780" s="141"/>
      <c r="X780" s="141"/>
      <c r="Y780" s="141"/>
      <c r="AA780" s="141"/>
      <c r="AB780" s="141"/>
      <c r="AC780" s="141"/>
      <c r="AD780" s="141"/>
      <c r="AE780" s="141"/>
      <c r="AF780" s="141"/>
      <c r="AG780" s="141"/>
      <c r="AH780" s="141"/>
      <c r="AI780" s="141"/>
      <c r="AJ780" s="141"/>
      <c r="AK780" s="141"/>
      <c r="AL780" s="141"/>
      <c r="AM780" s="141">
        <f>$K780-SUM($AB780:AL780)</f>
        <v>85800.19</v>
      </c>
      <c r="AN780" s="141"/>
      <c r="AO780" s="141"/>
      <c r="AP780" s="141"/>
      <c r="AQ780" s="141"/>
      <c r="AR780" s="141"/>
      <c r="AS780" s="141"/>
      <c r="AT780" s="141"/>
      <c r="AU780" s="141"/>
      <c r="AV780" s="141"/>
      <c r="AW780" s="141"/>
      <c r="BA780" s="204"/>
    </row>
    <row r="781" spans="1:55">
      <c r="A781" s="52"/>
      <c r="B781" s="3659" t="s">
        <v>1183</v>
      </c>
      <c r="C781" s="585">
        <v>8030019</v>
      </c>
      <c r="D781" s="40" t="s">
        <v>4683</v>
      </c>
      <c r="E781" s="474">
        <f>IFERROR(VLOOKUP(C781,'פקודות נוספות'!$D$274:$F$797,3,0),0)</f>
        <v>3511</v>
      </c>
      <c r="F781" s="49">
        <f>SUMIF('פקודות נוספות'!C:C,C:C,'פקודות נוספות'!E:E)</f>
        <v>0</v>
      </c>
      <c r="J781" s="2489">
        <f t="shared" ref="J781" si="162">SUM(E781:I781)</f>
        <v>3511</v>
      </c>
      <c r="K781" s="42">
        <f>M781+SUMIF('פקודות נוספות'!C:C,'מאזן בוחן'!C781,'פקודות נוספות'!F:F)</f>
        <v>1121.74</v>
      </c>
      <c r="L781" s="49"/>
      <c r="M781" s="1341">
        <f>IFERROR(VLOOKUP(C781,'פקודות נוספות'!$D$273:$G$797,4,0),0)</f>
        <v>1121.74</v>
      </c>
      <c r="N781" s="2733">
        <f t="shared" ref="N781" si="163">IF(K781=0,"-",J781/K781)</f>
        <v>3.1299588139854153</v>
      </c>
      <c r="O781" s="1526"/>
      <c r="Q781" s="141"/>
      <c r="S781" s="141"/>
      <c r="T781" s="141"/>
      <c r="U781" s="141"/>
      <c r="V781" s="141"/>
      <c r="W781" s="141"/>
      <c r="X781" s="141"/>
      <c r="Y781" s="141"/>
      <c r="AA781" s="141"/>
      <c r="AB781" s="141"/>
      <c r="AC781" s="141"/>
      <c r="AD781" s="141"/>
      <c r="AE781" s="141"/>
      <c r="AF781" s="141"/>
      <c r="AG781" s="141"/>
      <c r="AH781" s="141"/>
      <c r="AI781" s="141"/>
      <c r="AJ781" s="141"/>
      <c r="AK781" s="141"/>
      <c r="AL781" s="141"/>
      <c r="AM781" s="141">
        <f>$K781-SUM($AB781:AL781)</f>
        <v>1121.74</v>
      </c>
      <c r="AN781" s="141"/>
      <c r="AO781" s="141"/>
      <c r="AP781" s="141"/>
      <c r="AQ781" s="141"/>
      <c r="AR781" s="141"/>
      <c r="AS781" s="141"/>
      <c r="AT781" s="141"/>
      <c r="AU781" s="141"/>
      <c r="AV781" s="141"/>
      <c r="AW781" s="141"/>
      <c r="BA781" s="204"/>
    </row>
    <row r="782" spans="1:55">
      <c r="A782" s="52"/>
      <c r="B782" s="3668"/>
      <c r="E782" s="474"/>
      <c r="L782" s="49"/>
      <c r="N782" s="2733"/>
      <c r="O782" s="1527"/>
      <c r="P782" s="137">
        <v>0</v>
      </c>
      <c r="Q782" s="141">
        <f>'[39]מאזן בוחן'!AE645</f>
        <v>0</v>
      </c>
      <c r="R782" s="137">
        <v>0</v>
      </c>
      <c r="S782" s="141">
        <v>0</v>
      </c>
      <c r="T782" s="141">
        <f>'[20]מאזן בוחן'!AR699</f>
        <v>0</v>
      </c>
      <c r="U782" s="141">
        <f>'[21]מאזן בוחן'!AS609</f>
        <v>0</v>
      </c>
      <c r="V782" s="141">
        <f>'[22]מאזן בוחן'!AJ595</f>
        <v>0</v>
      </c>
      <c r="W782" s="141">
        <f>'[23]מאזן בוחן'!AK601</f>
        <v>0</v>
      </c>
      <c r="X782" s="141">
        <v>0</v>
      </c>
      <c r="Y782" s="141">
        <f>'[25]מאזן בוחן'!AM631</f>
        <v>0</v>
      </c>
      <c r="AA782" s="141">
        <f>'[32]מאזן בוחן'!AO648</f>
        <v>0</v>
      </c>
      <c r="AB782" s="141">
        <f>'[26]מאזן בוחן'!AB656</f>
        <v>0</v>
      </c>
      <c r="AC782" s="141">
        <f>'[27]מאזן בוחן'!AC665</f>
        <v>0</v>
      </c>
      <c r="AD782" s="141">
        <f>'[28]מאזן בוחן'!AD674</f>
        <v>0</v>
      </c>
      <c r="AE782" s="141">
        <f>'[29]מאזן בוחן'!AE684</f>
        <v>0</v>
      </c>
      <c r="AF782" s="141">
        <f>'[30]מאזן בוחן'!AF695</f>
        <v>0</v>
      </c>
      <c r="AG782" s="141">
        <f>'[31]מאזן בוחן'!AG699</f>
        <v>0</v>
      </c>
      <c r="AH782" s="141">
        <v>0</v>
      </c>
      <c r="AI782" s="141">
        <v>0</v>
      </c>
      <c r="AJ782" s="141">
        <v>0</v>
      </c>
      <c r="AK782" s="141">
        <v>0</v>
      </c>
      <c r="AL782" s="141">
        <v>0</v>
      </c>
      <c r="AM782" s="141">
        <f>$K782-SUM($AB782:AL782)</f>
        <v>0</v>
      </c>
      <c r="AN782" s="141"/>
      <c r="AO782" s="141"/>
      <c r="AP782" s="141"/>
      <c r="AQ782" s="141"/>
      <c r="AR782" s="141"/>
      <c r="AS782" s="141"/>
      <c r="AT782" s="141"/>
      <c r="AU782" s="141"/>
      <c r="AV782" s="141"/>
      <c r="AW782" s="141"/>
      <c r="BA782" s="204"/>
    </row>
    <row r="783" spans="1:55">
      <c r="A783" s="52"/>
      <c r="B783" s="3668"/>
      <c r="D783" s="50" t="s">
        <v>4563</v>
      </c>
      <c r="E783" s="1202"/>
      <c r="L783" s="49"/>
      <c r="N783" s="2733"/>
      <c r="Q783" s="141">
        <f>'[39]מאזן בוחן'!AE646</f>
        <v>0</v>
      </c>
      <c r="R783" s="137">
        <v>0</v>
      </c>
      <c r="S783" s="141">
        <v>0</v>
      </c>
      <c r="T783" s="141">
        <f>'[20]מאזן בוחן'!AR700</f>
        <v>0</v>
      </c>
      <c r="U783" s="141">
        <f>'[21]מאזן בוחן'!AS610</f>
        <v>0</v>
      </c>
      <c r="V783" s="141">
        <f>'[22]מאזן בוחן'!AJ596</f>
        <v>0</v>
      </c>
      <c r="W783" s="141">
        <f>'[23]מאזן בוחן'!AK602</f>
        <v>0</v>
      </c>
      <c r="X783" s="141">
        <v>0</v>
      </c>
      <c r="Y783" s="141">
        <f>'[25]מאזן בוחן'!AM632</f>
        <v>0</v>
      </c>
      <c r="AA783" s="141">
        <f>'[32]מאזן בוחן'!AO649</f>
        <v>0</v>
      </c>
      <c r="AB783" s="141">
        <f>'[26]מאזן בוחן'!AB657</f>
        <v>0</v>
      </c>
      <c r="AC783" s="141">
        <f>'[27]מאזן בוחן'!AC666</f>
        <v>0</v>
      </c>
      <c r="AD783" s="141">
        <f>'[28]מאזן בוחן'!AD675</f>
        <v>0</v>
      </c>
      <c r="AE783" s="141">
        <f>'[29]מאזן בוחן'!AE685</f>
        <v>0</v>
      </c>
      <c r="AF783" s="141">
        <f>'[30]מאזן בוחן'!AF696</f>
        <v>0</v>
      </c>
      <c r="AG783" s="141">
        <f>'[31]מאזן בוחן'!AG700</f>
        <v>0</v>
      </c>
      <c r="AH783" s="141">
        <v>0</v>
      </c>
      <c r="AI783" s="141">
        <v>0</v>
      </c>
      <c r="AJ783" s="141">
        <v>0</v>
      </c>
      <c r="AK783" s="141">
        <v>0</v>
      </c>
      <c r="AL783" s="141">
        <v>0</v>
      </c>
      <c r="AM783" s="141">
        <f>$K783-SUM($AB783:AL783)</f>
        <v>0</v>
      </c>
      <c r="AN783" s="141"/>
      <c r="AO783" s="141"/>
      <c r="AP783" s="141"/>
      <c r="AQ783" s="141"/>
      <c r="AR783" s="141"/>
      <c r="AS783" s="141"/>
      <c r="AT783" s="141"/>
      <c r="AU783" s="141"/>
      <c r="AV783" s="141"/>
      <c r="AW783" s="141"/>
      <c r="BA783" s="204"/>
    </row>
    <row r="784" spans="1:55">
      <c r="A784" s="52"/>
      <c r="B784" s="3668" t="s">
        <v>372</v>
      </c>
      <c r="C784" s="1166">
        <v>9950000</v>
      </c>
      <c r="D784" s="465" t="s">
        <v>373</v>
      </c>
      <c r="E784" s="474">
        <f>IFERROR(VLOOKUP(C784,'פקודות נוספות'!$D$274:$F$797,3,0),0)</f>
        <v>61072991</v>
      </c>
      <c r="F784" s="49">
        <f>SUMIF('פקודות נוספות'!C:C,C:C,'פקודות נוספות'!E:E)</f>
        <v>0</v>
      </c>
      <c r="J784" s="49">
        <f>SUM(E784:I784)</f>
        <v>61072991</v>
      </c>
      <c r="K784" s="1199">
        <f>M784+SUMIF('פקודות נוספות'!C:C,'מאזן בוחן'!C784,'פקודות נוספות'!F:F)</f>
        <v>18912385.84</v>
      </c>
      <c r="L784" s="49"/>
      <c r="M784" s="1341">
        <f>IFERROR(VLOOKUP(C784,'פקודות נוספות'!$D$273:$G$797,4,0),0)</f>
        <v>18912385.84</v>
      </c>
      <c r="N784" s="2733">
        <f>IF(K784=0,"-",J784/K784)</f>
        <v>3.2292589373271796</v>
      </c>
      <c r="O784" s="203" t="s">
        <v>407</v>
      </c>
      <c r="Q784" s="141">
        <f>'[39]מאזן בוחן'!AE647</f>
        <v>0</v>
      </c>
      <c r="S784" s="141">
        <v>0</v>
      </c>
      <c r="T784" s="141">
        <f>'[20]מאזן בוחן'!AR701</f>
        <v>0</v>
      </c>
      <c r="U784" s="141">
        <f>'[21]מאזן בוחן'!AS611</f>
        <v>0</v>
      </c>
      <c r="V784" s="141">
        <f>'[22]מאזן בוחן'!AJ597</f>
        <v>10739612.35</v>
      </c>
      <c r="W784" s="141">
        <f>'[23]מאזן בוחן'!AK603</f>
        <v>1404385.9299999997</v>
      </c>
      <c r="X784" s="141">
        <v>1401435.1300000008</v>
      </c>
      <c r="Y784" s="141">
        <f>'[25]מאזן בוחן'!AM633</f>
        <v>1456166.2599999998</v>
      </c>
      <c r="AA784" s="141">
        <f>'[32]מאזן בוחן'!AO650</f>
        <v>1504278.6899999995</v>
      </c>
      <c r="AB784" s="141">
        <f>'[26]מאזן בוחן'!AB658</f>
        <v>1493549.38</v>
      </c>
      <c r="AC784" s="141">
        <f>'[27]מאזן בוחן'!AC667</f>
        <v>1599711.5900000003</v>
      </c>
      <c r="AD784" s="141">
        <f>'[28]מאזן בוחן'!AD676</f>
        <v>1569371.9300000002</v>
      </c>
      <c r="AE784" s="141">
        <f>'[29]מאזן בוחן'!AE686</f>
        <v>1583612.8699999992</v>
      </c>
      <c r="AF784" s="141">
        <f>'[30]מאזן בוחן'!AF697</f>
        <v>1582940.0600000005</v>
      </c>
      <c r="AG784" s="141">
        <f>'[31]מאזן בוחן'!AG701</f>
        <v>1565463.5</v>
      </c>
      <c r="AH784" s="141">
        <v>1562966.9000000004</v>
      </c>
      <c r="AI784" s="141">
        <v>1558049.8899999987</v>
      </c>
      <c r="AJ784" s="141">
        <v>1546691.42</v>
      </c>
      <c r="AK784" s="141">
        <v>1566194.7400000002</v>
      </c>
      <c r="AL784" s="141">
        <v>1555126.8100000005</v>
      </c>
      <c r="AM784" s="141">
        <f>$K784-SUM($AB784:AL784)</f>
        <v>1728706.75</v>
      </c>
      <c r="AN784" s="141"/>
      <c r="AO784" s="141"/>
      <c r="AP784" s="141"/>
      <c r="AQ784" s="141"/>
      <c r="AR784" s="141"/>
      <c r="AS784" s="141"/>
      <c r="AT784" s="141"/>
      <c r="AU784" s="141"/>
      <c r="AV784" s="141"/>
      <c r="AW784" s="141"/>
      <c r="BA784" s="204"/>
    </row>
    <row r="785" spans="1:53">
      <c r="A785" s="52"/>
      <c r="B785" s="3668" t="s">
        <v>372</v>
      </c>
      <c r="C785" s="1166">
        <v>9950001</v>
      </c>
      <c r="D785" s="465" t="s">
        <v>374</v>
      </c>
      <c r="E785" s="474">
        <f>IFERROR(VLOOKUP(C785,'פקודות נוספות'!$D$274:$F$1797,3,0),0)</f>
        <v>4187416</v>
      </c>
      <c r="F785" s="49">
        <f>SUMIF('פקודות נוספות'!C:C,C:C,'פקודות נוספות'!E:E)</f>
        <v>0</v>
      </c>
      <c r="J785" s="49">
        <f t="shared" ref="J785:J812" si="164">SUM(E785:I785)</f>
        <v>4187416</v>
      </c>
      <c r="K785" s="1199">
        <f>M785+SUMIF('פקודות נוספות'!C:C,'מאזן בוחן'!C785,'פקודות נוספות'!F:F)</f>
        <v>1296435.25</v>
      </c>
      <c r="L785" s="49"/>
      <c r="M785" s="1341">
        <f>IFERROR(VLOOKUP(C785,'פקודות נוספות'!$D$273:$G$1797,4,0),0)</f>
        <v>1296435.25</v>
      </c>
      <c r="N785" s="2733">
        <f t="shared" ref="N785:N812" si="165">IF(K785=0,"-",J785/K785)</f>
        <v>3.2299461157045828</v>
      </c>
      <c r="O785" s="203" t="s">
        <v>407</v>
      </c>
      <c r="Q785" s="141">
        <f>'[39]מאזן בוחן'!AE648</f>
        <v>0</v>
      </c>
      <c r="S785" s="141">
        <v>0</v>
      </c>
      <c r="T785" s="141">
        <f>'[20]מאזן בוחן'!AR702</f>
        <v>0</v>
      </c>
      <c r="U785" s="141">
        <f>'[21]מאזן בוחן'!AS612</f>
        <v>0</v>
      </c>
      <c r="V785" s="141">
        <f>'[22]מאזן בוחן'!AJ598</f>
        <v>755160.18</v>
      </c>
      <c r="W785" s="141">
        <f>'[23]מאזן בוחן'!AK604</f>
        <v>95006.969999999972</v>
      </c>
      <c r="X785" s="141">
        <v>95767.099999999977</v>
      </c>
      <c r="Y785" s="141">
        <f>'[25]מאזן בוחן'!AM634</f>
        <v>96624.550000000047</v>
      </c>
      <c r="AA785" s="141">
        <f>'[32]מאזן בוחן'!AO651</f>
        <v>100938.09999999986</v>
      </c>
      <c r="AB785" s="141">
        <f>'[26]מאזן בוחן'!AB659</f>
        <v>105408.99</v>
      </c>
      <c r="AC785" s="141">
        <f>'[27]מאזן בוחן'!AC668</f>
        <v>129061.27999999998</v>
      </c>
      <c r="AD785" s="141">
        <f>'[28]מאזן בוחן'!AD677</f>
        <v>104732.44999999998</v>
      </c>
      <c r="AE785" s="141">
        <f>'[29]מאזן בוחן'!AE687</f>
        <v>111646.75</v>
      </c>
      <c r="AF785" s="141">
        <f>'[30]מאזן בוחן'!AF698</f>
        <v>103589.92000000004</v>
      </c>
      <c r="AG785" s="141">
        <f>'[31]מאזן בוחן'!AG702</f>
        <v>102808.28000000003</v>
      </c>
      <c r="AH785" s="141">
        <v>106172.59999999998</v>
      </c>
      <c r="AI785" s="141">
        <v>101875.57999999996</v>
      </c>
      <c r="AJ785" s="141">
        <v>101848.42000000004</v>
      </c>
      <c r="AK785" s="141">
        <v>105148.19999999995</v>
      </c>
      <c r="AL785" s="141">
        <v>103345.66999999993</v>
      </c>
      <c r="AM785" s="141">
        <f>$K785-SUM($AB785:AL785)</f>
        <v>120797.1100000001</v>
      </c>
      <c r="AN785" s="141"/>
      <c r="AO785" s="141"/>
      <c r="AP785" s="141"/>
      <c r="AQ785" s="141"/>
      <c r="AR785" s="141"/>
      <c r="AS785" s="141"/>
      <c r="AT785" s="141"/>
      <c r="AU785" s="141"/>
      <c r="AV785" s="141"/>
      <c r="AW785" s="141"/>
      <c r="BA785" s="204"/>
    </row>
    <row r="786" spans="1:53">
      <c r="A786" s="52"/>
      <c r="B786" s="3668" t="s">
        <v>372</v>
      </c>
      <c r="C786" s="1166">
        <v>9950002</v>
      </c>
      <c r="D786" s="465" t="s">
        <v>375</v>
      </c>
      <c r="E786" s="474">
        <f>IFERROR(VLOOKUP(C786,'פקודות נוספות'!$D$274:$F$1797,3,0),0)</f>
        <v>3555427</v>
      </c>
      <c r="F786" s="49">
        <f>SUMIF('פקודות נוספות'!C:C,C:C,'פקודות נוספות'!E:E)</f>
        <v>0</v>
      </c>
      <c r="J786" s="49">
        <f t="shared" si="164"/>
        <v>3555427</v>
      </c>
      <c r="K786" s="1199">
        <f>M786+SUMIF('פקודות נוספות'!C:C,'מאזן בוחן'!C786,'פקודות נוספות'!F:F)</f>
        <v>1101002.01</v>
      </c>
      <c r="L786" s="49"/>
      <c r="M786" s="1341">
        <f>IFERROR(VLOOKUP(C786,'פקודות נוספות'!$D$273:$G$1797,4,0),0)</f>
        <v>1101002.01</v>
      </c>
      <c r="N786" s="2733">
        <f t="shared" si="165"/>
        <v>3.2292647676456103</v>
      </c>
      <c r="O786" s="203" t="s">
        <v>407</v>
      </c>
      <c r="Q786" s="141">
        <f>'[39]מאזן בוחן'!AE649</f>
        <v>0</v>
      </c>
      <c r="S786" s="141">
        <v>0</v>
      </c>
      <c r="T786" s="141">
        <f>'[20]מאזן בוחן'!AR703</f>
        <v>0</v>
      </c>
      <c r="U786" s="141">
        <f>'[21]מאזן בוחן'!AS613</f>
        <v>0</v>
      </c>
      <c r="V786" s="141">
        <f>'[22]מאזן בוחן'!AJ599</f>
        <v>627475.31000000006</v>
      </c>
      <c r="W786" s="141">
        <f>'[23]מאזן בוחן'!AK605</f>
        <v>83342.629999999888</v>
      </c>
      <c r="X786" s="141">
        <v>82516.360000000102</v>
      </c>
      <c r="Y786" s="141">
        <f>'[25]מאזן בוחן'!AM635</f>
        <v>85198.909999999916</v>
      </c>
      <c r="AA786" s="141">
        <f>'[32]מאזן בוחן'!AO652</f>
        <v>88532.190000000061</v>
      </c>
      <c r="AB786" s="141">
        <f>'[26]מאזן בוחן'!AB660</f>
        <v>87442.72</v>
      </c>
      <c r="AC786" s="141">
        <f>'[27]מאזן בוחן'!AC669</f>
        <v>92203.959999999992</v>
      </c>
      <c r="AD786" s="141">
        <f>'[28]מאזן בוחן'!AD678</f>
        <v>89008.700000000012</v>
      </c>
      <c r="AE786" s="141">
        <f>'[29]מאזן בוחן'!AE688</f>
        <v>93114.260000000009</v>
      </c>
      <c r="AF786" s="141">
        <f>'[30]מאזן בוחן'!AF699</f>
        <v>92905.010000000009</v>
      </c>
      <c r="AG786" s="141">
        <f>'[31]מאזן בוחן'!AG703</f>
        <v>91601.229999999981</v>
      </c>
      <c r="AH786" s="141">
        <v>91631.62</v>
      </c>
      <c r="AI786" s="141">
        <v>91048.329999999958</v>
      </c>
      <c r="AJ786" s="141">
        <v>89460.12</v>
      </c>
      <c r="AK786" s="141">
        <v>90796.070000000065</v>
      </c>
      <c r="AL786" s="141">
        <v>95617.959999999963</v>
      </c>
      <c r="AM786" s="141">
        <f>$K786-SUM($AB786:AL786)</f>
        <v>96172.030000000028</v>
      </c>
      <c r="AN786" s="141"/>
      <c r="AO786" s="141"/>
      <c r="AP786" s="141"/>
      <c r="AQ786" s="141"/>
      <c r="AR786" s="141"/>
      <c r="AS786" s="141"/>
      <c r="AT786" s="141"/>
      <c r="AU786" s="141"/>
      <c r="AV786" s="141"/>
      <c r="AW786" s="141"/>
      <c r="BA786" s="204"/>
    </row>
    <row r="787" spans="1:53">
      <c r="A787" s="52"/>
      <c r="B787" s="3659" t="s">
        <v>372</v>
      </c>
      <c r="C787" s="585">
        <v>9950003</v>
      </c>
      <c r="D787" s="203" t="s">
        <v>376</v>
      </c>
      <c r="E787" s="474">
        <f>IFERROR(VLOOKUP(C787,'פקודות נוספות'!$D$274:$F$1797,3,0),0)</f>
        <v>4925093</v>
      </c>
      <c r="F787" s="49">
        <f>SUMIF('פקודות נוספות'!C:C,C:C,'פקודות נוספות'!E:E)</f>
        <v>0</v>
      </c>
      <c r="J787" s="49">
        <f t="shared" si="164"/>
        <v>4925093</v>
      </c>
      <c r="K787" s="1199">
        <f>M787+SUMIF('פקודות נוספות'!C:C,'מאזן בוחן'!C787,'פקודות נוספות'!F:F)</f>
        <v>1525100.4</v>
      </c>
      <c r="L787" s="49"/>
      <c r="M787" s="1341">
        <f>IFERROR(VLOOKUP(C787,'פקודות נוספות'!$D$273:$G$1797,4,0),0)</f>
        <v>1525100.4</v>
      </c>
      <c r="N787" s="2733">
        <f t="shared" si="165"/>
        <v>3.2293565721968207</v>
      </c>
      <c r="O787" s="203" t="s">
        <v>407</v>
      </c>
      <c r="Q787" s="141">
        <f>'[39]מאזן בוחן'!AE650</f>
        <v>0</v>
      </c>
      <c r="S787" s="141">
        <v>0</v>
      </c>
      <c r="T787" s="141">
        <f>'[20]מאזן בוחן'!AR704</f>
        <v>0</v>
      </c>
      <c r="U787" s="141">
        <f>'[21]מאזן בוחן'!AS614</f>
        <v>0</v>
      </c>
      <c r="V787" s="141">
        <f>'[22]מאזן בוחן'!AJ600</f>
        <v>869784.67</v>
      </c>
      <c r="W787" s="141">
        <f>'[23]מאזן בוחן'!AK606</f>
        <v>115145.0199999999</v>
      </c>
      <c r="X787" s="141">
        <v>114145.82000000007</v>
      </c>
      <c r="Y787" s="141">
        <f>'[25]מאזן בוחן'!AM636</f>
        <v>117867.89999999991</v>
      </c>
      <c r="AA787" s="141">
        <f>'[32]מאזן בוחן'!AO653</f>
        <v>122815.8600000001</v>
      </c>
      <c r="AB787" s="141">
        <f>'[26]מאזן בוחן'!AB661</f>
        <v>121269.22</v>
      </c>
      <c r="AC787" s="141">
        <f>'[27]מאזן בוחן'!AC670</f>
        <v>127782.01000000001</v>
      </c>
      <c r="AD787" s="141">
        <f>'[28]מאזן בוחן'!AD679</f>
        <v>123354.82999999999</v>
      </c>
      <c r="AE787" s="141">
        <f>'[29]מאזן בוחן'!AE689</f>
        <v>129183.54999999999</v>
      </c>
      <c r="AF787" s="141">
        <f>'[30]מאזן בוחן'!AF700</f>
        <v>129255.45999999996</v>
      </c>
      <c r="AG787" s="141">
        <f>'[31]מאזן בוחן'!AG704</f>
        <v>127019.33000000007</v>
      </c>
      <c r="AH787" s="141">
        <v>127025.66999999993</v>
      </c>
      <c r="AI787" s="141">
        <v>126083.26000000001</v>
      </c>
      <c r="AJ787" s="141">
        <v>123833.64000000001</v>
      </c>
      <c r="AK787" s="141">
        <v>125660.54000000004</v>
      </c>
      <c r="AL787" s="141">
        <v>131859.58000000007</v>
      </c>
      <c r="AM787" s="141">
        <f>$K787-SUM($AB787:AL787)</f>
        <v>132773.30999999982</v>
      </c>
      <c r="AN787" s="141"/>
      <c r="AO787" s="141"/>
      <c r="AP787" s="141"/>
      <c r="AQ787" s="141"/>
      <c r="AR787" s="141"/>
      <c r="AS787" s="141"/>
      <c r="AT787" s="141"/>
      <c r="AU787" s="141"/>
      <c r="AV787" s="141"/>
      <c r="AW787" s="141"/>
      <c r="BA787" s="204"/>
    </row>
    <row r="788" spans="1:53">
      <c r="A788" s="52"/>
      <c r="B788" s="3659" t="s">
        <v>372</v>
      </c>
      <c r="C788" s="585">
        <v>9950004</v>
      </c>
      <c r="D788" s="203" t="s">
        <v>377</v>
      </c>
      <c r="E788" s="474">
        <f>IFERROR(VLOOKUP(C788,'פקודות נוספות'!$D$274:$F$1797,3,0),0)</f>
        <v>299213</v>
      </c>
      <c r="F788" s="49">
        <f>SUMIF('פקודות נוספות'!C:C,C:C,'פקודות נוספות'!E:E)</f>
        <v>0</v>
      </c>
      <c r="J788" s="49">
        <f t="shared" si="164"/>
        <v>299213</v>
      </c>
      <c r="K788" s="1199">
        <f>M788+SUMIF('פקודות נוספות'!C:C,'מאזן בוחן'!C788,'פקודות נוספות'!F:F)</f>
        <v>92630.87</v>
      </c>
      <c r="L788" s="49"/>
      <c r="M788" s="1341">
        <f>IFERROR(VLOOKUP(C788,'פקודות נוספות'!$D$273:$G$1797,4,0),0)</f>
        <v>92630.87</v>
      </c>
      <c r="N788" s="2733">
        <f t="shared" si="165"/>
        <v>3.230165062683747</v>
      </c>
      <c r="O788" s="203" t="s">
        <v>407</v>
      </c>
      <c r="Q788" s="141">
        <f>'[39]מאזן בוחן'!AE651</f>
        <v>0</v>
      </c>
      <c r="S788" s="141">
        <v>0</v>
      </c>
      <c r="T788" s="141">
        <f>'[20]מאזן בוחן'!AR705</f>
        <v>0</v>
      </c>
      <c r="U788" s="141">
        <f>'[21]מאזן בוחן'!AS615</f>
        <v>0</v>
      </c>
      <c r="V788" s="141">
        <f>'[22]מאזן בוחן'!AJ601</f>
        <v>52781.7</v>
      </c>
      <c r="W788" s="141">
        <f>'[23]מאזן בוחן'!AK607</f>
        <v>6727.7000000000044</v>
      </c>
      <c r="X788" s="141">
        <v>6639.0999999999985</v>
      </c>
      <c r="Y788" s="141">
        <f>'[25]מאזן בוחן'!AM637</f>
        <v>6915.0500000000029</v>
      </c>
      <c r="AA788" s="141">
        <f>'[32]מאזן בוחן'!AO654</f>
        <v>7414.929999999993</v>
      </c>
      <c r="AB788" s="141">
        <f>'[26]מאזן בוחן'!AB662</f>
        <v>7293.83</v>
      </c>
      <c r="AC788" s="141">
        <f>'[27]מאזן בוחן'!AC671</f>
        <v>7611.59</v>
      </c>
      <c r="AD788" s="141">
        <f>'[28]מאזן בוחן'!AD680</f>
        <v>7350.33</v>
      </c>
      <c r="AE788" s="141">
        <f>'[29]מאזן בוחן'!AE690</f>
        <v>7772.7099999999991</v>
      </c>
      <c r="AF788" s="141">
        <f>'[30]מאזן בוחן'!AF701</f>
        <v>9101.14</v>
      </c>
      <c r="AG788" s="141">
        <f>'[31]מאזן בוחן'!AG705</f>
        <v>7770.5500000000029</v>
      </c>
      <c r="AH788" s="141">
        <v>7772.3399999999965</v>
      </c>
      <c r="AI788" s="141">
        <v>7631.7400000000052</v>
      </c>
      <c r="AJ788" s="141">
        <v>7479.0999999999985</v>
      </c>
      <c r="AK788" s="141">
        <v>7503.4799999999959</v>
      </c>
      <c r="AL788" s="141">
        <v>7537.6300000000047</v>
      </c>
      <c r="AM788" s="141">
        <f>$K788-SUM($AB788:AL788)</f>
        <v>7806.429999999993</v>
      </c>
      <c r="AN788" s="141"/>
      <c r="AO788" s="141"/>
      <c r="AP788" s="141"/>
      <c r="AQ788" s="141"/>
      <c r="AR788" s="141"/>
      <c r="AS788" s="141"/>
      <c r="AT788" s="141"/>
      <c r="AU788" s="141"/>
      <c r="AV788" s="141"/>
      <c r="AW788" s="141"/>
      <c r="BA788" s="204"/>
    </row>
    <row r="789" spans="1:53">
      <c r="A789" s="52"/>
      <c r="B789" s="3659" t="s">
        <v>372</v>
      </c>
      <c r="C789" s="585">
        <v>9950005</v>
      </c>
      <c r="D789" s="203" t="s">
        <v>378</v>
      </c>
      <c r="E789" s="474">
        <f>IFERROR(VLOOKUP(C789,'פקודות נוספות'!$D$274:$F$1797,3,0),0)</f>
        <v>3441424</v>
      </c>
      <c r="F789" s="49">
        <f>SUMIF('פקודות נוספות'!C:C,C:C,'פקודות נוספות'!E:E)</f>
        <v>0</v>
      </c>
      <c r="J789" s="49">
        <f t="shared" si="164"/>
        <v>3441424</v>
      </c>
      <c r="K789" s="1199">
        <f>M789+SUMIF('פקודות נוספות'!C:C,'מאזן בוחן'!C789,'פקודות נוספות'!F:F)</f>
        <v>1065731.78</v>
      </c>
      <c r="L789" s="49"/>
      <c r="M789" s="1341">
        <f>IFERROR(VLOOKUP(C789,'פקודות נוספות'!$D$273:$G$1797,4,0),0)</f>
        <v>1065731.78</v>
      </c>
      <c r="N789" s="2733">
        <f t="shared" si="165"/>
        <v>3.2291652220411406</v>
      </c>
      <c r="O789" s="203" t="s">
        <v>407</v>
      </c>
      <c r="Q789" s="141">
        <f>'[39]מאזן בוחן'!AE652</f>
        <v>0</v>
      </c>
      <c r="S789" s="141">
        <v>0</v>
      </c>
      <c r="T789" s="141">
        <f>'[20]מאזן בוחן'!AR706</f>
        <v>0</v>
      </c>
      <c r="U789" s="141">
        <f>'[21]מאזן בוחן'!AS616</f>
        <v>0</v>
      </c>
      <c r="V789" s="141">
        <f>'[22]מאזן בוחן'!AJ602</f>
        <v>601293.59</v>
      </c>
      <c r="W789" s="141">
        <f>'[23]מאזן בוחן'!AK608</f>
        <v>79809.650000000023</v>
      </c>
      <c r="X789" s="141">
        <v>79140.560000000056</v>
      </c>
      <c r="Y789" s="141">
        <f>'[25]מאזן בוחן'!AM638</f>
        <v>81567.709999999963</v>
      </c>
      <c r="AA789" s="141">
        <f>'[32]מאזן בוחן'!AO655</f>
        <v>85054.739999999991</v>
      </c>
      <c r="AB789" s="141">
        <f>'[26]מאזן בוחן'!AB663</f>
        <v>84053.48</v>
      </c>
      <c r="AC789" s="141">
        <f>'[27]מאזן בוחן'!AC672</f>
        <v>88071.340000000011</v>
      </c>
      <c r="AD789" s="141">
        <f>'[28]מאזן בוחן'!AD681</f>
        <v>86080.979999999981</v>
      </c>
      <c r="AE789" s="141">
        <f>'[29]מאזן בוחן'!AE691</f>
        <v>89560.830000000016</v>
      </c>
      <c r="AF789" s="141">
        <f>'[30]מאזן בוחן'!AF702</f>
        <v>89443.900000000023</v>
      </c>
      <c r="AG789" s="141">
        <f>'[31]מאזן בוחן'!AG706</f>
        <v>90049.079999999958</v>
      </c>
      <c r="AH789" s="141">
        <v>89173.520000000019</v>
      </c>
      <c r="AI789" s="141">
        <v>87882.439999999944</v>
      </c>
      <c r="AJ789" s="141">
        <v>87637.70000000007</v>
      </c>
      <c r="AK789" s="141">
        <v>88456.29999999993</v>
      </c>
      <c r="AL789" s="141">
        <v>92037.320000000065</v>
      </c>
      <c r="AM789" s="141">
        <f>$K789-SUM($AB789:AL789)</f>
        <v>93284.890000000014</v>
      </c>
      <c r="AN789" s="141"/>
      <c r="AO789" s="141"/>
      <c r="AP789" s="141"/>
      <c r="AQ789" s="141"/>
      <c r="AR789" s="141"/>
      <c r="AS789" s="141"/>
      <c r="AT789" s="141"/>
      <c r="AU789" s="141"/>
      <c r="AV789" s="141"/>
      <c r="AW789" s="141"/>
      <c r="BA789" s="204"/>
    </row>
    <row r="790" spans="1:53">
      <c r="A790" s="52"/>
      <c r="B790" s="3659" t="s">
        <v>372</v>
      </c>
      <c r="C790" s="585">
        <v>9950007</v>
      </c>
      <c r="D790" s="203" t="s">
        <v>1211</v>
      </c>
      <c r="E790" s="474">
        <f>IFERROR(VLOOKUP(C790,'פקודות נוספות'!$D$274:$F$1797,3,0),0)</f>
        <v>610129</v>
      </c>
      <c r="F790" s="49">
        <f>SUMIF('פקודות נוספות'!C:C,C:C,'פקודות נוספות'!E:E)</f>
        <v>0</v>
      </c>
      <c r="J790" s="49">
        <f t="shared" si="164"/>
        <v>610129</v>
      </c>
      <c r="K790" s="1199">
        <f>M790+SUMIF('פקודות נוספות'!C:C,'מאזן בוחן'!C790,'פקודות נוספות'!F:F)</f>
        <v>187997.72</v>
      </c>
      <c r="L790" s="49"/>
      <c r="M790" s="1341">
        <f>IFERROR(VLOOKUP(C790,'פקודות נוספות'!$D$273:$G$1797,4,0),0)</f>
        <v>187997.72</v>
      </c>
      <c r="N790" s="2733">
        <f t="shared" si="165"/>
        <v>3.2454063804603588</v>
      </c>
      <c r="O790" s="203" t="s">
        <v>407</v>
      </c>
      <c r="Q790" s="141">
        <f>'[39]מאזן בוחן'!AE653</f>
        <v>0</v>
      </c>
      <c r="S790" s="141">
        <v>0</v>
      </c>
      <c r="T790" s="141">
        <f>'[20]מאזן בוחן'!AR707</f>
        <v>0</v>
      </c>
      <c r="U790" s="141">
        <f>'[21]מאזן בוחן'!AS617</f>
        <v>0</v>
      </c>
      <c r="V790" s="141">
        <f>'[22]מאזן בוחן'!AJ603</f>
        <v>198695.84</v>
      </c>
      <c r="W790" s="141">
        <f>'[23]מאזן בוחן'!AK609</f>
        <v>36326.660000000003</v>
      </c>
      <c r="X790" s="141">
        <v>17620.98000000001</v>
      </c>
      <c r="Y790" s="141">
        <f>'[25]מאזן בוחן'!AM639</f>
        <v>1059.8699999999953</v>
      </c>
      <c r="AA790" s="141">
        <f>'[32]מאזן בוחן'!AO656</f>
        <v>18765.49000000002</v>
      </c>
      <c r="AB790" s="141">
        <f>'[26]מאזן בוחן'!AB664</f>
        <v>25290.799999999999</v>
      </c>
      <c r="AC790" s="141">
        <f>'[27]מאזן בוחן'!AC673</f>
        <v>58806.709999999992</v>
      </c>
      <c r="AD790" s="141">
        <f>'[28]מאזן בוחן'!AD682</f>
        <v>6397.1200000000099</v>
      </c>
      <c r="AE790" s="141">
        <f>'[29]מאזן בוחן'!AE692</f>
        <v>23995.690000000002</v>
      </c>
      <c r="AF790" s="141">
        <f>'[30]מאזן בוחן'!AF703</f>
        <v>4150.0199999999895</v>
      </c>
      <c r="AG790" s="141">
        <f>'[31]מאזן בוחן'!AG707</f>
        <v>1326.9900000000052</v>
      </c>
      <c r="AH790" s="141">
        <v>20135.479999999996</v>
      </c>
      <c r="AI790" s="141">
        <v>10202.369999999995</v>
      </c>
      <c r="AJ790" s="141">
        <v>844.23000000001048</v>
      </c>
      <c r="AK790" s="141">
        <v>27259.03</v>
      </c>
      <c r="AL790" s="141">
        <v>9487.6699999999837</v>
      </c>
      <c r="AM790" s="141">
        <f>$K790-SUM($AB790:AL790)</f>
        <v>101.61000000001513</v>
      </c>
      <c r="AN790" s="141"/>
      <c r="AO790" s="141"/>
      <c r="AP790" s="141"/>
      <c r="AQ790" s="141"/>
      <c r="AR790" s="141"/>
      <c r="AS790" s="141"/>
      <c r="AT790" s="141"/>
      <c r="AU790" s="141"/>
      <c r="AV790" s="141"/>
      <c r="AW790" s="141"/>
      <c r="BA790" s="204"/>
    </row>
    <row r="791" spans="1:53">
      <c r="A791" s="52"/>
      <c r="B791" s="3659" t="s">
        <v>372</v>
      </c>
      <c r="C791" s="585">
        <v>9950008</v>
      </c>
      <c r="D791" s="203" t="s">
        <v>1212</v>
      </c>
      <c r="E791" s="474">
        <f>IFERROR(VLOOKUP(C791,'פקודות נוספות'!$D$274:$F$1797,3,0),0)</f>
        <v>3138822</v>
      </c>
      <c r="F791" s="49">
        <f>SUMIF('פקודות נוספות'!C:C,C:C,'פקודות נוספות'!E:E)</f>
        <v>0</v>
      </c>
      <c r="J791" s="49">
        <f t="shared" si="164"/>
        <v>3138822</v>
      </c>
      <c r="K791" s="1199">
        <f>M791+SUMIF('פקודות נוספות'!C:C,'מאזן בוחן'!C791,'פקודות נוספות'!F:F)</f>
        <v>956845.64</v>
      </c>
      <c r="L791" s="49"/>
      <c r="M791" s="1341">
        <f>IFERROR(VLOOKUP(C791,'פקודות נוספות'!$D$273:$G$1797,4,0),0)</f>
        <v>956845.64</v>
      </c>
      <c r="N791" s="2733">
        <f t="shared" si="165"/>
        <v>3.2803849114053549</v>
      </c>
      <c r="O791" s="203" t="s">
        <v>407</v>
      </c>
      <c r="Q791" s="141">
        <f>'[39]מאזן בוחן'!AE654</f>
        <v>0</v>
      </c>
      <c r="S791" s="141">
        <v>0</v>
      </c>
      <c r="T791" s="141">
        <f>'[20]מאזן בוחן'!AR708</f>
        <v>0</v>
      </c>
      <c r="U791" s="141">
        <f>'[21]מאזן בוחן'!AS618</f>
        <v>0</v>
      </c>
      <c r="V791" s="141">
        <f>'[22]מאזן בוחן'!AJ604</f>
        <v>930119</v>
      </c>
      <c r="W791" s="141">
        <f>'[23]מאזן בוחן'!AK610</f>
        <v>0</v>
      </c>
      <c r="X791" s="141">
        <v>0</v>
      </c>
      <c r="Y791" s="141">
        <f>'[25]מאזן בוחן'!AM640</f>
        <v>0</v>
      </c>
      <c r="AA791" s="141">
        <f>'[32]מאזן בוחן'!AO657</f>
        <v>0</v>
      </c>
      <c r="AB791" s="141">
        <f>'[26]מאזן בוחן'!AB665</f>
        <v>0</v>
      </c>
      <c r="AC791" s="141">
        <f>'[27]מאזן בוחן'!AC674</f>
        <v>944204.27</v>
      </c>
      <c r="AD791" s="141">
        <f>'[28]מאזן בוחן'!AD683</f>
        <v>9028.5</v>
      </c>
      <c r="AE791" s="141">
        <f>'[29]מאזן בוחן'!AE693</f>
        <v>3612.8699999999953</v>
      </c>
      <c r="AF791" s="141">
        <f>'[30]מאזן בוחן'!AF704</f>
        <v>0</v>
      </c>
      <c r="AG791" s="141">
        <f>'[31]מאזן בוחן'!AG708</f>
        <v>0</v>
      </c>
      <c r="AH791" s="141">
        <v>0</v>
      </c>
      <c r="AI791" s="141">
        <v>0</v>
      </c>
      <c r="AJ791" s="141">
        <v>0</v>
      </c>
      <c r="AK791" s="141">
        <v>0</v>
      </c>
      <c r="AL791" s="141">
        <v>0</v>
      </c>
      <c r="AM791" s="141">
        <f>$K791-SUM($AB791:AL791)</f>
        <v>0</v>
      </c>
      <c r="AN791" s="141"/>
      <c r="AO791" s="141"/>
      <c r="AP791" s="141"/>
      <c r="AQ791" s="141"/>
      <c r="AR791" s="141"/>
      <c r="AS791" s="141"/>
      <c r="AT791" s="141"/>
      <c r="AU791" s="141"/>
      <c r="AV791" s="141"/>
      <c r="AW791" s="141"/>
      <c r="BA791" s="204"/>
    </row>
    <row r="792" spans="1:53">
      <c r="A792" s="52"/>
      <c r="B792" s="3659" t="s">
        <v>372</v>
      </c>
      <c r="C792" s="585">
        <v>9950009</v>
      </c>
      <c r="D792" s="203" t="s">
        <v>1213</v>
      </c>
      <c r="E792" s="474">
        <f>IFERROR(VLOOKUP(C792,'פקודות נוספות'!$D$274:$F$1797,3,0),0)</f>
        <v>527682</v>
      </c>
      <c r="F792" s="49">
        <f>SUMIF('פקודות נוספות'!C:C,C:C,'פקודות נוספות'!E:E)</f>
        <v>0</v>
      </c>
      <c r="J792" s="49">
        <f t="shared" si="164"/>
        <v>527682</v>
      </c>
      <c r="K792" s="1199">
        <f>M792+SUMIF('פקודות נוספות'!C:C,'מאזן בוחן'!C792,'פקודות נוספות'!F:F)</f>
        <v>162144.18</v>
      </c>
      <c r="L792" s="49"/>
      <c r="M792" s="1341">
        <f>IFERROR(VLOOKUP(C792,'פקודות נוספות'!$D$273:$G$1797,4,0),0)</f>
        <v>162144.18</v>
      </c>
      <c r="N792" s="2733">
        <f t="shared" si="165"/>
        <v>3.2543998804027381</v>
      </c>
      <c r="O792" s="203" t="s">
        <v>407</v>
      </c>
      <c r="Q792" s="141">
        <f>'[39]מאזן בוחן'!AE655</f>
        <v>0</v>
      </c>
      <c r="S792" s="141">
        <v>0</v>
      </c>
      <c r="T792" s="141">
        <f>'[20]מאזן בוחן'!AR709</f>
        <v>0</v>
      </c>
      <c r="U792" s="141">
        <f>'[21]מאזן בוחן'!AS619</f>
        <v>0</v>
      </c>
      <c r="V792" s="141">
        <f>'[22]מאזן בוחן'!AJ605</f>
        <v>73986.36</v>
      </c>
      <c r="W792" s="141">
        <f>'[23]מאזן בוחן'!AK611</f>
        <v>0</v>
      </c>
      <c r="X792" s="141">
        <v>22978.380000000005</v>
      </c>
      <c r="Y792" s="141">
        <f>'[25]מאזן בוחן'!AM641</f>
        <v>0</v>
      </c>
      <c r="AA792" s="141">
        <f>'[32]מאזן בוחן'!AO658</f>
        <v>0</v>
      </c>
      <c r="AB792" s="141">
        <f>'[26]מאזן בוחן'!AB666</f>
        <v>54932.54</v>
      </c>
      <c r="AC792" s="141">
        <f>'[27]מאזן בוחן'!AC675</f>
        <v>0</v>
      </c>
      <c r="AD792" s="141">
        <f>'[28]מאזן בוחן'!AD684</f>
        <v>0</v>
      </c>
      <c r="AE792" s="141">
        <f>'[29]מאזן בוחן'!AE694</f>
        <v>72440.41</v>
      </c>
      <c r="AF792" s="141">
        <f>'[30]מאזן בוחן'!AF705</f>
        <v>0</v>
      </c>
      <c r="AG792" s="141">
        <f>'[31]מאזן בוחן'!AG709</f>
        <v>0</v>
      </c>
      <c r="AH792" s="141">
        <v>25033.099999999977</v>
      </c>
      <c r="AI792" s="141">
        <v>0</v>
      </c>
      <c r="AJ792" s="141">
        <v>0</v>
      </c>
      <c r="AK792" s="141">
        <v>9738.1300000000047</v>
      </c>
      <c r="AL792" s="141">
        <v>0</v>
      </c>
      <c r="AM792" s="141">
        <f>$K792-SUM($AB792:AL792)</f>
        <v>0</v>
      </c>
      <c r="AN792" s="141"/>
      <c r="AO792" s="141"/>
      <c r="AP792" s="141"/>
      <c r="AQ792" s="141"/>
      <c r="AR792" s="141"/>
      <c r="AS792" s="141"/>
      <c r="AT792" s="141"/>
      <c r="AU792" s="141"/>
      <c r="AV792" s="141"/>
      <c r="AW792" s="141"/>
      <c r="BA792" s="204"/>
    </row>
    <row r="793" spans="1:53">
      <c r="A793" s="52"/>
      <c r="B793" s="3659" t="s">
        <v>372</v>
      </c>
      <c r="C793" s="585">
        <v>9950011</v>
      </c>
      <c r="D793" s="203" t="s">
        <v>1987</v>
      </c>
      <c r="E793" s="474">
        <f>IFERROR(VLOOKUP(C793,'פקודות נוספות'!$D$274:$F$1797,3,0),0)</f>
        <v>0</v>
      </c>
      <c r="F793" s="49">
        <f>SUMIF('פקודות נוספות'!C:C,C:C,'פקודות נוספות'!E:E)</f>
        <v>0</v>
      </c>
      <c r="J793" s="49">
        <f>SUM(E793:I793)</f>
        <v>0</v>
      </c>
      <c r="K793" s="1199">
        <f>M793+SUMIF('פקודות נוספות'!C:C,'מאזן בוחן'!C793,'פקודות נוספות'!F:F)</f>
        <v>0</v>
      </c>
      <c r="L793" s="49"/>
      <c r="M793" s="1341">
        <f>IFERROR(VLOOKUP(C793,'פקודות נוספות'!$D$273:$G$1797,4,0),0)</f>
        <v>0</v>
      </c>
      <c r="N793" s="2733" t="str">
        <f>IF(K793=0,"-",J793/K793)</f>
        <v>-</v>
      </c>
      <c r="O793" s="203" t="s">
        <v>407</v>
      </c>
      <c r="Q793" s="141">
        <f>'[39]מאזן בוחן'!AE656</f>
        <v>0</v>
      </c>
      <c r="S793" s="141">
        <v>0</v>
      </c>
      <c r="T793" s="141">
        <f>'[20]מאזן בוחן'!AR710</f>
        <v>0</v>
      </c>
      <c r="U793" s="141">
        <f>'[21]מאזן בוחן'!AS620</f>
        <v>0</v>
      </c>
      <c r="V793" s="141">
        <f>'[22]מאזן בוחן'!AJ606</f>
        <v>5647.23</v>
      </c>
      <c r="W793" s="141">
        <f>'[23]מאזן בוחן'!AK612</f>
        <v>0</v>
      </c>
      <c r="X793" s="141">
        <v>0</v>
      </c>
      <c r="Y793" s="141">
        <f>'[25]מאזן בוחן'!AM642</f>
        <v>0</v>
      </c>
      <c r="AA793" s="141">
        <f>'[32]מאזן בוחן'!AO659</f>
        <v>0</v>
      </c>
      <c r="AB793" s="141">
        <f>'[26]מאזן בוחן'!AB667</f>
        <v>0</v>
      </c>
      <c r="AC793" s="141">
        <f>'[27]מאזן בוחן'!AC676</f>
        <v>0</v>
      </c>
      <c r="AD793" s="141">
        <f>'[28]מאזן בוחן'!AD685</f>
        <v>0</v>
      </c>
      <c r="AE793" s="141">
        <f>'[29]מאזן בוחן'!AE695</f>
        <v>0</v>
      </c>
      <c r="AF793" s="141">
        <f>'[30]מאזן בוחן'!AF706</f>
        <v>0</v>
      </c>
      <c r="AG793" s="141">
        <f>'[31]מאזן בוחן'!AG710</f>
        <v>0</v>
      </c>
      <c r="AH793" s="141">
        <v>0</v>
      </c>
      <c r="AI793" s="141">
        <v>0</v>
      </c>
      <c r="AJ793" s="141">
        <v>0</v>
      </c>
      <c r="AK793" s="141">
        <v>0</v>
      </c>
      <c r="AL793" s="141">
        <v>0</v>
      </c>
      <c r="AM793" s="141">
        <f>$K793-SUM($AB793:AL793)</f>
        <v>0</v>
      </c>
      <c r="AN793" s="141"/>
      <c r="AO793" s="141"/>
      <c r="AP793" s="141"/>
      <c r="AQ793" s="141"/>
      <c r="AR793" s="141"/>
      <c r="AS793" s="141"/>
      <c r="AT793" s="141"/>
      <c r="AU793" s="141"/>
      <c r="AV793" s="141"/>
      <c r="AW793" s="141"/>
      <c r="BA793" s="204"/>
    </row>
    <row r="794" spans="1:53">
      <c r="A794" s="52"/>
      <c r="B794" s="3659" t="s">
        <v>372</v>
      </c>
      <c r="C794" s="585">
        <v>9950012</v>
      </c>
      <c r="D794" s="203" t="s">
        <v>1988</v>
      </c>
      <c r="E794" s="474">
        <f>IFERROR(VLOOKUP(C794,'פקודות נוספות'!$D$274:$F$1797,3,0),0)</f>
        <v>0</v>
      </c>
      <c r="F794" s="49">
        <f>SUMIF('פקודות נוספות'!C:C,C:C,'פקודות נוספות'!E:E)</f>
        <v>0</v>
      </c>
      <c r="J794" s="49">
        <f>SUM(E794:I794)</f>
        <v>0</v>
      </c>
      <c r="K794" s="1199">
        <f>M794+SUMIF('פקודות נוספות'!C:C,'מאזן בוחן'!C794,'פקודות נוספות'!F:F)</f>
        <v>0</v>
      </c>
      <c r="L794" s="49"/>
      <c r="M794" s="1341">
        <f>IFERROR(VLOOKUP(C794,'פקודות נוספות'!$D$273:$G$1797,4,0),0)</f>
        <v>0</v>
      </c>
      <c r="N794" s="2733" t="str">
        <f>IF(K794=0,"-",J794/K794)</f>
        <v>-</v>
      </c>
      <c r="O794" s="203" t="s">
        <v>407</v>
      </c>
      <c r="Q794" s="141">
        <f>'[39]מאזן בוחן'!AE657</f>
        <v>0</v>
      </c>
      <c r="S794" s="141">
        <v>0</v>
      </c>
      <c r="T794" s="141">
        <f>'[20]מאזן בוחן'!AR711</f>
        <v>0</v>
      </c>
      <c r="U794" s="141">
        <f>'[21]מאזן בוחן'!AS621</f>
        <v>0</v>
      </c>
      <c r="V794" s="141">
        <f>'[22]מאזן בוחן'!AJ607</f>
        <v>529.28</v>
      </c>
      <c r="W794" s="141">
        <f>'[23]מאזן בוחן'!AK613</f>
        <v>20.490000000000009</v>
      </c>
      <c r="X794" s="141">
        <v>0</v>
      </c>
      <c r="Y794" s="141">
        <f>'[25]מאזן בוחן'!AM643</f>
        <v>0</v>
      </c>
      <c r="AA794" s="141">
        <f>'[32]מאזן בוחן'!AO660</f>
        <v>0</v>
      </c>
      <c r="AB794" s="141">
        <f>'[26]מאזן בוחן'!AB668</f>
        <v>0</v>
      </c>
      <c r="AC794" s="141">
        <f>'[27]מאזן בוחן'!AC677</f>
        <v>0</v>
      </c>
      <c r="AD794" s="141">
        <f>'[28]מאזן בוחן'!AD686</f>
        <v>0</v>
      </c>
      <c r="AE794" s="141">
        <f>'[29]מאזן בוחן'!AE696</f>
        <v>0</v>
      </c>
      <c r="AF794" s="141">
        <f>'[30]מאזן בוחן'!AF707</f>
        <v>0</v>
      </c>
      <c r="AG794" s="141">
        <f>'[31]מאזן בוחן'!AG711</f>
        <v>0</v>
      </c>
      <c r="AH794" s="141">
        <v>0</v>
      </c>
      <c r="AI794" s="141">
        <v>0</v>
      </c>
      <c r="AJ794" s="141">
        <v>0</v>
      </c>
      <c r="AK794" s="141">
        <v>0</v>
      </c>
      <c r="AL794" s="141">
        <v>0</v>
      </c>
      <c r="AM794" s="141">
        <f>$K794-SUM($AB794:AL794)</f>
        <v>0</v>
      </c>
      <c r="AN794" s="141"/>
      <c r="AO794" s="141"/>
      <c r="AP794" s="141"/>
      <c r="AQ794" s="141"/>
      <c r="AR794" s="141"/>
      <c r="AS794" s="141"/>
      <c r="AT794" s="141"/>
      <c r="AU794" s="141"/>
      <c r="AV794" s="141"/>
      <c r="AW794" s="141"/>
      <c r="BA794" s="204"/>
    </row>
    <row r="795" spans="1:53">
      <c r="A795" s="52"/>
      <c r="B795" s="3659" t="s">
        <v>372</v>
      </c>
      <c r="C795" s="585">
        <v>9950013</v>
      </c>
      <c r="D795" s="203" t="s">
        <v>1989</v>
      </c>
      <c r="E795" s="474">
        <f>IFERROR(VLOOKUP(C795,'פקודות נוספות'!$D$274:$F$1797,3,0),0)</f>
        <v>0</v>
      </c>
      <c r="F795" s="49">
        <f>SUMIF('פקודות נוספות'!C:C,C:C,'פקודות נוספות'!E:E)</f>
        <v>0</v>
      </c>
      <c r="J795" s="49">
        <f>SUM(E795:I795)</f>
        <v>0</v>
      </c>
      <c r="K795" s="1199">
        <f>M795+SUMIF('פקודות נוספות'!C:C,'מאזן בוחן'!C795,'פקודות נוספות'!F:F)</f>
        <v>0</v>
      </c>
      <c r="L795" s="49"/>
      <c r="M795" s="1341">
        <f>IFERROR(VLOOKUP(C795,'פקודות נוספות'!$D$273:$G$1797,4,0),0)</f>
        <v>0</v>
      </c>
      <c r="N795" s="2733" t="str">
        <f>IF(K795=0,"-",J795/K795)</f>
        <v>-</v>
      </c>
      <c r="O795" s="203" t="s">
        <v>407</v>
      </c>
      <c r="Q795" s="141">
        <f>'[39]מאזן בוחן'!AE658</f>
        <v>0</v>
      </c>
      <c r="S795" s="141">
        <v>0</v>
      </c>
      <c r="T795" s="141">
        <f>'[20]מאזן בוחן'!AR712</f>
        <v>0</v>
      </c>
      <c r="U795" s="141">
        <f>'[21]מאזן בוחן'!AS622</f>
        <v>0</v>
      </c>
      <c r="V795" s="141">
        <f>'[22]מאזן בוחן'!AJ608</f>
        <v>-134.06</v>
      </c>
      <c r="W795" s="141">
        <f>'[23]מאזן בוחן'!AK614</f>
        <v>0</v>
      </c>
      <c r="X795" s="141">
        <v>0</v>
      </c>
      <c r="Y795" s="141">
        <f>'[25]מאזן בוחן'!AM644</f>
        <v>0</v>
      </c>
      <c r="AA795" s="141">
        <f>'[32]מאזן בוחן'!AO661</f>
        <v>0</v>
      </c>
      <c r="AB795" s="141">
        <f>'[26]מאזן בוחן'!AB669</f>
        <v>0</v>
      </c>
      <c r="AC795" s="141">
        <f>'[27]מאזן בוחן'!AC678</f>
        <v>0</v>
      </c>
      <c r="AD795" s="141">
        <f>'[28]מאזן בוחן'!AD687</f>
        <v>0</v>
      </c>
      <c r="AE795" s="141">
        <f>'[29]מאזן בוחן'!AE697</f>
        <v>0</v>
      </c>
      <c r="AF795" s="141">
        <f>'[30]מאזן בוחן'!AF708</f>
        <v>0</v>
      </c>
      <c r="AG795" s="141">
        <f>'[31]מאזן בוחן'!AG712</f>
        <v>0</v>
      </c>
      <c r="AH795" s="141">
        <v>0</v>
      </c>
      <c r="AI795" s="141">
        <v>0</v>
      </c>
      <c r="AJ795" s="141">
        <v>0</v>
      </c>
      <c r="AK795" s="141">
        <v>0</v>
      </c>
      <c r="AL795" s="141">
        <v>0</v>
      </c>
      <c r="AM795" s="141">
        <f>$K795-SUM($AB795:AL795)</f>
        <v>0</v>
      </c>
      <c r="AN795" s="141"/>
      <c r="AO795" s="141"/>
      <c r="AP795" s="141"/>
      <c r="AQ795" s="141"/>
      <c r="AR795" s="141"/>
      <c r="AS795" s="141"/>
      <c r="AT795" s="141"/>
      <c r="AU795" s="141"/>
      <c r="AV795" s="141"/>
      <c r="AW795" s="141"/>
      <c r="BA795" s="204"/>
    </row>
    <row r="796" spans="1:53">
      <c r="A796" s="52"/>
      <c r="B796" s="3659" t="s">
        <v>372</v>
      </c>
      <c r="C796" s="585">
        <v>9950020</v>
      </c>
      <c r="D796" s="203" t="s">
        <v>379</v>
      </c>
      <c r="E796" s="474">
        <f>IFERROR(VLOOKUP(C796,'פקודות נוספות'!$D$274:$F$1797,3,0),0)</f>
        <v>0</v>
      </c>
      <c r="F796" s="49">
        <f>SUMIF('פקודות נוספות'!C:C,C:C,'פקודות נוספות'!E:E)</f>
        <v>0</v>
      </c>
      <c r="J796" s="49">
        <f t="shared" si="164"/>
        <v>0</v>
      </c>
      <c r="L796" s="49"/>
      <c r="M796" s="1341">
        <f>IFERROR(VLOOKUP(C796,'פקודות נוספות'!$D$273:$G$1797,4,0),0)</f>
        <v>0</v>
      </c>
      <c r="N796" s="2733" t="str">
        <f t="shared" si="165"/>
        <v>-</v>
      </c>
      <c r="O796" s="203" t="s">
        <v>407</v>
      </c>
      <c r="Q796" s="141">
        <f>'[39]מאזן בוחן'!AE659</f>
        <v>0</v>
      </c>
      <c r="S796" s="141">
        <v>0</v>
      </c>
      <c r="T796" s="141">
        <f>'[20]מאזן בוחן'!AR713</f>
        <v>0</v>
      </c>
      <c r="U796" s="141">
        <f>'[21]מאזן בוחן'!AS623</f>
        <v>0</v>
      </c>
      <c r="V796" s="141">
        <f>'[22]מאזן בוחן'!AJ609</f>
        <v>0</v>
      </c>
      <c r="W796" s="141">
        <f>'[23]מאזן בוחן'!AK615</f>
        <v>0</v>
      </c>
      <c r="X796" s="141">
        <v>0</v>
      </c>
      <c r="Y796" s="141">
        <f>'[25]מאזן בוחן'!AM645</f>
        <v>0</v>
      </c>
      <c r="AA796" s="141">
        <f>'[32]מאזן בוחן'!AO662</f>
        <v>0</v>
      </c>
      <c r="AB796" s="141">
        <f>'[26]מאזן בוחן'!AB670</f>
        <v>0</v>
      </c>
      <c r="AC796" s="141">
        <f>'[27]מאזן בוחן'!AC679</f>
        <v>0</v>
      </c>
      <c r="AD796" s="141">
        <f>'[28]מאזן בוחן'!AD688</f>
        <v>0</v>
      </c>
      <c r="AE796" s="141">
        <f>'[29]מאזן בוחן'!AE698</f>
        <v>0</v>
      </c>
      <c r="AF796" s="141">
        <f>'[30]מאזן בוחן'!AF709</f>
        <v>0</v>
      </c>
      <c r="AG796" s="141">
        <f>'[31]מאזן בוחן'!AG713</f>
        <v>0</v>
      </c>
      <c r="AH796" s="141">
        <v>0</v>
      </c>
      <c r="AI796" s="141">
        <v>0</v>
      </c>
      <c r="AJ796" s="141">
        <v>0</v>
      </c>
      <c r="AK796" s="141">
        <v>0</v>
      </c>
      <c r="AL796" s="141">
        <v>0</v>
      </c>
      <c r="AM796" s="141">
        <f>$K796-SUM($AB796:AL796)</f>
        <v>0</v>
      </c>
      <c r="AN796" s="141"/>
      <c r="AO796" s="141"/>
      <c r="AP796" s="141"/>
      <c r="AQ796" s="141"/>
      <c r="AR796" s="141"/>
      <c r="AS796" s="141"/>
      <c r="AT796" s="141"/>
      <c r="AU796" s="141"/>
      <c r="AV796" s="141"/>
      <c r="AW796" s="141"/>
      <c r="BA796" s="204"/>
    </row>
    <row r="797" spans="1:53">
      <c r="A797" s="52"/>
      <c r="B797" s="3659" t="s">
        <v>372</v>
      </c>
      <c r="C797" s="585">
        <v>9950021</v>
      </c>
      <c r="D797" s="203" t="s">
        <v>380</v>
      </c>
      <c r="E797" s="474">
        <f>IFERROR(VLOOKUP(C797,'פקודות נוספות'!$D$274:$F$1797,3,0),0)</f>
        <v>1120382</v>
      </c>
      <c r="F797" s="49">
        <f>SUMIF('פקודות נוספות'!C:C,C:C,'פקודות נוספות'!E:E)</f>
        <v>0</v>
      </c>
      <c r="J797" s="49">
        <f t="shared" si="164"/>
        <v>1120382</v>
      </c>
      <c r="K797" s="1199">
        <f>M797+SUMIF('פקודות נוספות'!C:C,'מאזן בוחן'!C797,'פקודות נוספות'!F:F)</f>
        <v>346955.32</v>
      </c>
      <c r="L797" s="49"/>
      <c r="M797" s="1341">
        <f>IFERROR(VLOOKUP(C797,'פקודות נוספות'!$D$273:$G$1797,4,0),0)</f>
        <v>346955.32</v>
      </c>
      <c r="N797" s="2733">
        <f t="shared" si="165"/>
        <v>3.2291823627318927</v>
      </c>
      <c r="O797" s="203" t="s">
        <v>407</v>
      </c>
      <c r="Q797" s="141">
        <f>'[39]מאזן בוחן'!AE660</f>
        <v>0</v>
      </c>
      <c r="S797" s="141">
        <v>0</v>
      </c>
      <c r="T797" s="141">
        <f>'[20]מאזן בוחן'!AR714</f>
        <v>0</v>
      </c>
      <c r="U797" s="141">
        <f>'[21]מאזן בוחן'!AS624</f>
        <v>0</v>
      </c>
      <c r="V797" s="141">
        <f>'[22]מאזן בוחן'!AJ610</f>
        <v>175482.29</v>
      </c>
      <c r="W797" s="141">
        <f>'[23]מאזן בוחן'!AK616</f>
        <v>23224.639999999985</v>
      </c>
      <c r="X797" s="141">
        <v>23576.270000000019</v>
      </c>
      <c r="Y797" s="141">
        <f>'[25]מאזן בוחן'!AM646</f>
        <v>23904.169999999984</v>
      </c>
      <c r="AA797" s="141">
        <f>'[32]מאזן בוחן'!AO663</f>
        <v>25438.260000000009</v>
      </c>
      <c r="AB797" s="141">
        <f>'[26]מאזן בוחן'!AB671</f>
        <v>25850.2</v>
      </c>
      <c r="AC797" s="141">
        <f>'[27]מאזן בוחן'!AC680</f>
        <v>28932.62</v>
      </c>
      <c r="AD797" s="141">
        <f>'[28]מאזן בוחן'!AD689</f>
        <v>28375.219999999994</v>
      </c>
      <c r="AE797" s="141">
        <f>'[29]מאזן בוחן'!AE699</f>
        <v>28858.639999999999</v>
      </c>
      <c r="AF797" s="141">
        <f>'[30]מאזן בוחן'!AF710</f>
        <v>28736.24000000002</v>
      </c>
      <c r="AG797" s="141">
        <f>'[31]מאזן בוחן'!AG714</f>
        <v>30918.099999999977</v>
      </c>
      <c r="AH797" s="141">
        <v>29641.200000000012</v>
      </c>
      <c r="AI797" s="141">
        <v>28711.570000000007</v>
      </c>
      <c r="AJ797" s="141">
        <v>27931.440000000002</v>
      </c>
      <c r="AK797" s="141">
        <v>29245.73000000001</v>
      </c>
      <c r="AL797" s="141">
        <v>29556.289999999979</v>
      </c>
      <c r="AM797" s="141">
        <f>$K797-SUM($AB797:AL797)</f>
        <v>30198.070000000007</v>
      </c>
      <c r="AN797" s="141"/>
      <c r="AO797" s="141"/>
      <c r="AP797" s="141"/>
      <c r="AQ797" s="141"/>
      <c r="AR797" s="141"/>
      <c r="AS797" s="141"/>
      <c r="AT797" s="141"/>
      <c r="AU797" s="141"/>
      <c r="AV797" s="141"/>
      <c r="AW797" s="141"/>
      <c r="BA797" s="204"/>
    </row>
    <row r="798" spans="1:53">
      <c r="A798" s="52"/>
      <c r="B798" s="3659" t="s">
        <v>372</v>
      </c>
      <c r="C798" s="585">
        <v>9950022</v>
      </c>
      <c r="D798" s="203" t="s">
        <v>381</v>
      </c>
      <c r="E798" s="474">
        <f>IFERROR(VLOOKUP(C798,'פקודות נוספות'!$D$274:$F$1797,3,0),0)</f>
        <v>539853</v>
      </c>
      <c r="F798" s="49">
        <f>SUMIF('פקודות נוספות'!C:C,C:C,'פקודות נוספות'!E:E)</f>
        <v>0</v>
      </c>
      <c r="J798" s="49">
        <f t="shared" si="164"/>
        <v>539853</v>
      </c>
      <c r="K798" s="1199">
        <f>M798+SUMIF('פקודות נוספות'!C:C,'מאזן בוחן'!C798,'פקודות נוספות'!F:F)</f>
        <v>167167.16</v>
      </c>
      <c r="L798" s="49"/>
      <c r="M798" s="1341">
        <f>IFERROR(VLOOKUP(C798,'פקודות נוספות'!$D$273:$G$1797,4,0),0)</f>
        <v>167167.16</v>
      </c>
      <c r="N798" s="2733">
        <f t="shared" si="165"/>
        <v>3.2294201803751408</v>
      </c>
      <c r="O798" s="203" t="s">
        <v>407</v>
      </c>
      <c r="Q798" s="141">
        <f>'[39]מאזן בוחן'!AE661</f>
        <v>0</v>
      </c>
      <c r="S798" s="141">
        <v>0</v>
      </c>
      <c r="T798" s="141">
        <f>'[20]מאזן בוחן'!AR715</f>
        <v>0</v>
      </c>
      <c r="U798" s="141">
        <f>'[21]מאזן בוחן'!AS625</f>
        <v>0</v>
      </c>
      <c r="V798" s="141">
        <f>'[22]מאזן בוחן'!AJ611</f>
        <v>81818.39</v>
      </c>
      <c r="W798" s="141">
        <f>'[23]מאזן בוחן'!AK617</f>
        <v>10885.210000000006</v>
      </c>
      <c r="X798" s="141">
        <v>10727.64</v>
      </c>
      <c r="Y798" s="141">
        <f>'[25]מאזן בוחן'!AM647</f>
        <v>10716.14</v>
      </c>
      <c r="AA798" s="141">
        <f>'[32]מאזן בוחן'!AO664</f>
        <v>11523.169999999998</v>
      </c>
      <c r="AB798" s="141">
        <f>'[26]מאזן בוחן'!AB672</f>
        <v>12112.73</v>
      </c>
      <c r="AC798" s="141">
        <f>'[27]מאזן בוחן'!AC681</f>
        <v>14044.21</v>
      </c>
      <c r="AD798" s="141">
        <f>'[28]מאזן בוחן'!AD690</f>
        <v>13919.619999999999</v>
      </c>
      <c r="AE798" s="141">
        <f>'[29]מאזן בוחן'!AE700</f>
        <v>13884.510000000002</v>
      </c>
      <c r="AF798" s="141">
        <f>'[30]מאזן בוחן'!AF711</f>
        <v>14700.280000000006</v>
      </c>
      <c r="AG798" s="141">
        <f>'[31]מאזן בוחן'!AG715</f>
        <v>14523.309999999998</v>
      </c>
      <c r="AH798" s="141">
        <v>14455.919999999998</v>
      </c>
      <c r="AI798" s="141">
        <v>13409.729999999996</v>
      </c>
      <c r="AJ798" s="141">
        <v>13448.130000000005</v>
      </c>
      <c r="AK798" s="141">
        <v>14122.23000000001</v>
      </c>
      <c r="AL798" s="141">
        <v>13950.349999999977</v>
      </c>
      <c r="AM798" s="141">
        <f>$K798-SUM($AB798:AL798)</f>
        <v>14596.140000000014</v>
      </c>
      <c r="AN798" s="141"/>
      <c r="AO798" s="141"/>
      <c r="AP798" s="141"/>
      <c r="AQ798" s="141"/>
      <c r="AR798" s="141"/>
      <c r="AS798" s="141"/>
      <c r="AT798" s="141"/>
      <c r="AU798" s="141"/>
      <c r="AV798" s="141"/>
      <c r="AW798" s="141"/>
      <c r="BA798" s="204"/>
    </row>
    <row r="799" spans="1:53">
      <c r="A799" s="52"/>
      <c r="B799" s="3659" t="s">
        <v>372</v>
      </c>
      <c r="C799" s="585">
        <v>9950023</v>
      </c>
      <c r="D799" s="203" t="s">
        <v>382</v>
      </c>
      <c r="E799" s="474">
        <f>IFERROR(VLOOKUP(C799,'פקודות נוספות'!$D$274:$F$1797,3,0),0)</f>
        <v>420</v>
      </c>
      <c r="F799" s="49">
        <f>SUMIF('פקודות נוספות'!C:C,C:C,'פקודות נוספות'!E:E)</f>
        <v>0</v>
      </c>
      <c r="J799" s="49">
        <f t="shared" si="164"/>
        <v>420</v>
      </c>
      <c r="K799" s="1199">
        <f>M799+SUMIF('פקודות נוספות'!C:C,'מאזן בוחן'!C799,'פקודות נוספות'!F:F)</f>
        <v>130.07</v>
      </c>
      <c r="L799" s="49"/>
      <c r="M799" s="1341">
        <f>IFERROR(VLOOKUP(C799,'פקודות נוספות'!$D$273:$G$1797,4,0),0)</f>
        <v>130.07</v>
      </c>
      <c r="N799" s="2733">
        <f t="shared" si="165"/>
        <v>3.2290305220266013</v>
      </c>
      <c r="O799" s="203" t="s">
        <v>407</v>
      </c>
      <c r="Q799" s="141">
        <f>'[39]מאזן בוחן'!AE662</f>
        <v>0</v>
      </c>
      <c r="S799" s="141">
        <v>0</v>
      </c>
      <c r="T799" s="141">
        <f>'[20]מאזן בוחן'!AR716</f>
        <v>0</v>
      </c>
      <c r="U799" s="141">
        <f>'[21]מאזן בוחן'!AS626</f>
        <v>0</v>
      </c>
      <c r="V799" s="141">
        <f>'[22]מאזן בוחן'!AJ612</f>
        <v>323.33999999999997</v>
      </c>
      <c r="W799" s="141">
        <f>'[23]מאזן בוחן'!AK618</f>
        <v>40.69</v>
      </c>
      <c r="X799" s="141">
        <v>40.910000000000025</v>
      </c>
      <c r="Y799" s="141">
        <f>'[25]מאזן בוחן'!AM648</f>
        <v>42.319999999999993</v>
      </c>
      <c r="AA799" s="141">
        <f>'[32]מאזן בוחן'!AO665</f>
        <v>10.889999999999986</v>
      </c>
      <c r="AB799" s="141">
        <f>'[26]מאזן בוחן'!AB673</f>
        <v>10.64</v>
      </c>
      <c r="AC799" s="141">
        <f>'[27]מאזן בוחן'!AC682</f>
        <v>10.669999999999998</v>
      </c>
      <c r="AD799" s="141">
        <f>'[28]מאזן בוחן'!AD691</f>
        <v>10.5</v>
      </c>
      <c r="AE799" s="141">
        <f>'[29]מאזן בוחן'!AE701</f>
        <v>10.780000000000005</v>
      </c>
      <c r="AF799" s="141">
        <f>'[30]מאזן בוחן'!AF712</f>
        <v>10.759999999999998</v>
      </c>
      <c r="AG799" s="141">
        <f>'[31]מאזן בוחן'!AG716</f>
        <v>10.740000000000002</v>
      </c>
      <c r="AH799" s="141">
        <v>10.829999999999998</v>
      </c>
      <c r="AI799" s="141">
        <v>10.909999999999997</v>
      </c>
      <c r="AJ799" s="141">
        <v>10.840000000000003</v>
      </c>
      <c r="AK799" s="141">
        <v>11.079999999999998</v>
      </c>
      <c r="AL799" s="141">
        <v>11.069999999999993</v>
      </c>
      <c r="AM799" s="141">
        <f>$K799-SUM($AB799:AL799)</f>
        <v>11.25</v>
      </c>
      <c r="AN799" s="141"/>
      <c r="AO799" s="141"/>
      <c r="AP799" s="141"/>
      <c r="AQ799" s="141"/>
      <c r="AR799" s="141"/>
      <c r="AS799" s="141"/>
      <c r="AT799" s="141"/>
      <c r="AU799" s="141"/>
      <c r="AV799" s="141"/>
      <c r="AW799" s="141"/>
      <c r="BA799" s="204"/>
    </row>
    <row r="800" spans="1:53">
      <c r="A800" s="52"/>
      <c r="B800" s="3659" t="s">
        <v>372</v>
      </c>
      <c r="C800" s="585">
        <v>9950024</v>
      </c>
      <c r="D800" s="203" t="s">
        <v>383</v>
      </c>
      <c r="E800" s="474">
        <f>IFERROR(VLOOKUP(C800,'פקודות נוספות'!$D$274:$F$1797,3,0),0)</f>
        <v>1214573</v>
      </c>
      <c r="F800" s="49">
        <f>SUMIF('פקודות נוספות'!C:C,C:C,'פקודות נוספות'!E:E)</f>
        <v>0</v>
      </c>
      <c r="J800" s="49">
        <f t="shared" si="164"/>
        <v>1214573</v>
      </c>
      <c r="K800" s="1199">
        <f>M800+SUMIF('פקודות נוספות'!C:C,'מאזן בוחן'!C800,'פקודות נוספות'!F:F)</f>
        <v>377277.48</v>
      </c>
      <c r="L800" s="49"/>
      <c r="M800" s="1341">
        <f>IFERROR(VLOOKUP(C800,'פקודות נוספות'!$D$273:$G$1797,4,0),0)</f>
        <v>377277.48</v>
      </c>
      <c r="N800" s="2733">
        <f t="shared" si="165"/>
        <v>3.219309564938782</v>
      </c>
      <c r="O800" s="203" t="s">
        <v>407</v>
      </c>
      <c r="Q800" s="141">
        <f>'[39]מאזן בוחן'!AE663</f>
        <v>0</v>
      </c>
      <c r="S800" s="141">
        <v>0</v>
      </c>
      <c r="T800" s="141">
        <f>'[20]מאזן בוחן'!AR717</f>
        <v>0</v>
      </c>
      <c r="U800" s="141">
        <f>'[21]מאזן בוחן'!AS627</f>
        <v>0</v>
      </c>
      <c r="V800" s="141">
        <f>'[22]מאזן בוחן'!AJ613</f>
        <v>201879.28</v>
      </c>
      <c r="W800" s="141">
        <f>'[23]מאזן בוחן'!AK619</f>
        <v>24726.53</v>
      </c>
      <c r="X800" s="141">
        <v>23716.540000000008</v>
      </c>
      <c r="Y800" s="141">
        <f>'[25]מאזן בוחן'!AM649</f>
        <v>26778.110000000015</v>
      </c>
      <c r="AA800" s="141">
        <f>'[32]מאזן בוחן'!AO666</f>
        <v>30839.190000000002</v>
      </c>
      <c r="AB800" s="141">
        <f>'[26]מאזן בוחן'!AB674</f>
        <v>29267.4</v>
      </c>
      <c r="AC800" s="141">
        <f>'[27]מאזן בוחן'!AC683</f>
        <v>29024.089999999997</v>
      </c>
      <c r="AD800" s="141">
        <f>'[28]מאזן בוחן'!AD692</f>
        <v>25089.379999999997</v>
      </c>
      <c r="AE800" s="141">
        <f>'[29]מאזן בוחן'!AE702</f>
        <v>27495.840000000011</v>
      </c>
      <c r="AF800" s="141">
        <f>'[30]מאזן בוחן'!AF713</f>
        <v>26559.479999999996</v>
      </c>
      <c r="AG800" s="141">
        <f>'[31]מאזן בוחן'!AG717</f>
        <v>27797.239999999991</v>
      </c>
      <c r="AH800" s="141">
        <v>30561.710000000021</v>
      </c>
      <c r="AI800" s="141">
        <v>30000.309999999998</v>
      </c>
      <c r="AJ800" s="141">
        <v>29899.659999999974</v>
      </c>
      <c r="AK800" s="141">
        <v>18681.440000000002</v>
      </c>
      <c r="AL800" s="141">
        <v>48655.910000000033</v>
      </c>
      <c r="AM800" s="141">
        <f>$K800-SUM($AB800:AL800)</f>
        <v>54245.01999999996</v>
      </c>
      <c r="AN800" s="141"/>
      <c r="AO800" s="141"/>
      <c r="AP800" s="141"/>
      <c r="AQ800" s="141"/>
      <c r="AR800" s="141"/>
      <c r="AS800" s="141"/>
      <c r="AT800" s="141"/>
      <c r="AU800" s="141"/>
      <c r="AV800" s="141"/>
      <c r="AW800" s="141"/>
      <c r="BA800" s="204"/>
    </row>
    <row r="801" spans="1:53" ht="14.25" customHeight="1">
      <c r="A801" s="52"/>
      <c r="B801" s="3659" t="s">
        <v>372</v>
      </c>
      <c r="C801" s="585">
        <v>9950025</v>
      </c>
      <c r="D801" s="203" t="s">
        <v>384</v>
      </c>
      <c r="E801" s="474">
        <f>IFERROR(VLOOKUP(C801,'פקודות נוספות'!$D$274:$F$1797,3,0),0)</f>
        <v>113022</v>
      </c>
      <c r="F801" s="49">
        <f>SUMIF('פקודות נוספות'!C:C,C:C,'פקודות נוספות'!E:E)</f>
        <v>0</v>
      </c>
      <c r="J801" s="49">
        <f t="shared" si="164"/>
        <v>113022</v>
      </c>
      <c r="K801" s="1199">
        <f>M801+SUMIF('פקודות נוספות'!C:C,'מאזן בוחן'!C801,'פקודות נוספות'!F:F)</f>
        <v>34143.4</v>
      </c>
      <c r="L801" s="49"/>
      <c r="M801" s="1341">
        <f>IFERROR(VLOOKUP(C801,'פקודות נוספות'!$D$273:$G$1797,4,0),0)</f>
        <v>34143.4</v>
      </c>
      <c r="N801" s="2733">
        <f t="shared" si="165"/>
        <v>3.3102151513908984</v>
      </c>
      <c r="O801" s="203" t="s">
        <v>407</v>
      </c>
      <c r="Q801" s="141">
        <f>'[39]מאזן בוחן'!AE664</f>
        <v>0</v>
      </c>
      <c r="S801" s="141">
        <v>0</v>
      </c>
      <c r="T801" s="141">
        <f>'[20]מאזן בוחן'!AR718</f>
        <v>0</v>
      </c>
      <c r="U801" s="141">
        <f>'[21]מאזן בוחן'!AS628</f>
        <v>0</v>
      </c>
      <c r="V801" s="141">
        <f>'[22]מאזן בוחן'!AJ614</f>
        <v>23749.43</v>
      </c>
      <c r="W801" s="141">
        <f>'[23]מאזן בוחן'!AK620</f>
        <v>7817.489999999998</v>
      </c>
      <c r="X801" s="141">
        <v>0</v>
      </c>
      <c r="Y801" s="141">
        <f>'[25]מאזן בוחן'!AM650</f>
        <v>0</v>
      </c>
      <c r="AA801" s="141">
        <f>'[32]מאזן בוחן'!AO667</f>
        <v>0</v>
      </c>
      <c r="AB801" s="141">
        <f>'[26]מאזן בוחן'!AB675</f>
        <v>395.02</v>
      </c>
      <c r="AC801" s="141">
        <f>'[27]מאזן בוחן'!AC684</f>
        <v>45.730000000000018</v>
      </c>
      <c r="AD801" s="141">
        <f>'[28]מאזן בוחן'!AD693</f>
        <v>26244.75</v>
      </c>
      <c r="AE801" s="141">
        <f>'[29]מאזן בוחן'!AE703</f>
        <v>246.38000000000102</v>
      </c>
      <c r="AF801" s="141">
        <f>'[30]מאזן בוחן'!AF714</f>
        <v>0</v>
      </c>
      <c r="AG801" s="141">
        <f>'[31]מאזן בוחן'!AG718</f>
        <v>153.36999999999898</v>
      </c>
      <c r="AH801" s="141">
        <v>0</v>
      </c>
      <c r="AI801" s="141">
        <v>79.830000000001746</v>
      </c>
      <c r="AJ801" s="141">
        <v>6738.93</v>
      </c>
      <c r="AK801" s="141">
        <v>239.38999999999942</v>
      </c>
      <c r="AL801" s="141">
        <v>0</v>
      </c>
      <c r="AM801" s="141">
        <f>$K801-SUM($AB801:AL801)</f>
        <v>0</v>
      </c>
      <c r="AN801" s="141"/>
      <c r="AO801" s="141"/>
      <c r="AP801" s="141"/>
      <c r="AQ801" s="141"/>
      <c r="AR801" s="141"/>
      <c r="AS801" s="141"/>
      <c r="AT801" s="141"/>
      <c r="AU801" s="141"/>
      <c r="AV801" s="141"/>
      <c r="AW801" s="141"/>
      <c r="BA801" s="204"/>
    </row>
    <row r="802" spans="1:53">
      <c r="A802" s="52"/>
      <c r="B802" s="3659" t="s">
        <v>372</v>
      </c>
      <c r="C802" s="585">
        <v>9950026</v>
      </c>
      <c r="D802" s="203" t="s">
        <v>1214</v>
      </c>
      <c r="E802" s="474">
        <f>IFERROR(VLOOKUP(C802,'פקודות נוספות'!$D$274:$F$1797,3,0),0)</f>
        <v>454470</v>
      </c>
      <c r="F802" s="49">
        <f>SUMIF('פקודות נוספות'!C:C,C:C,'פקודות נוספות'!E:E)</f>
        <v>0</v>
      </c>
      <c r="J802" s="49">
        <f t="shared" si="164"/>
        <v>454470</v>
      </c>
      <c r="K802" s="1199">
        <f>M802+SUMIF('פקודות נוספות'!C:C,'מאזן בוחן'!C802,'פקודות נוספות'!F:F)</f>
        <v>140774.47</v>
      </c>
      <c r="L802" s="49"/>
      <c r="M802" s="1341">
        <f>IFERROR(VLOOKUP(C802,'פקודות נוספות'!$D$273:$G$1797,4,0),0)</f>
        <v>140774.47</v>
      </c>
      <c r="N802" s="2733">
        <f t="shared" si="165"/>
        <v>3.2283552550402073</v>
      </c>
      <c r="O802" s="203" t="s">
        <v>407</v>
      </c>
      <c r="P802" s="1523"/>
      <c r="Q802" s="141">
        <f>'[39]מאזן בוחן'!AE665</f>
        <v>0</v>
      </c>
      <c r="S802" s="141">
        <v>0</v>
      </c>
      <c r="T802" s="141">
        <f>'[20]מאזן בוחן'!AR719</f>
        <v>0</v>
      </c>
      <c r="U802" s="141">
        <f>'[21]מאזן בוחן'!AS629</f>
        <v>0</v>
      </c>
      <c r="V802" s="141">
        <f>'[22]מאזן בוחן'!AJ615</f>
        <v>65517.72</v>
      </c>
      <c r="W802" s="141">
        <f>'[23]מאזן בוחן'!AK621</f>
        <v>8793.0800000000017</v>
      </c>
      <c r="X802" s="141">
        <v>8556.6900000000023</v>
      </c>
      <c r="Y802" s="141">
        <f>'[25]מאזן בוחן'!AM651</f>
        <v>8895.4099999999889</v>
      </c>
      <c r="AA802" s="141">
        <f>'[32]מאזן בוחן'!AO668</f>
        <v>9341.2100000000064</v>
      </c>
      <c r="AB802" s="141">
        <f>'[26]מאזן בוחן'!AB676</f>
        <v>9645.09</v>
      </c>
      <c r="AC802" s="141">
        <f>'[27]מאזן בוחן'!AC685</f>
        <v>11550.91</v>
      </c>
      <c r="AD802" s="141">
        <f>'[28]מאזן בוחן'!AD694</f>
        <v>11556.990000000002</v>
      </c>
      <c r="AE802" s="141">
        <f>'[29]מאזן בוחן'!AE704</f>
        <v>11300.59</v>
      </c>
      <c r="AF802" s="141">
        <f>'[30]מאזן בוחן'!AF715</f>
        <v>11906.549999999996</v>
      </c>
      <c r="AG802" s="141">
        <f>'[31]מאזן בוחן'!AG719</f>
        <v>12211.349999999999</v>
      </c>
      <c r="AH802" s="141">
        <v>12479.12000000001</v>
      </c>
      <c r="AI802" s="141">
        <v>11532.26999999999</v>
      </c>
      <c r="AJ802" s="141">
        <v>11566.740000000005</v>
      </c>
      <c r="AK802" s="141">
        <v>12335.970000000001</v>
      </c>
      <c r="AL802" s="141">
        <v>12664.449999999997</v>
      </c>
      <c r="AM802" s="141">
        <f>$K802-SUM($AB802:AL802)</f>
        <v>12024.440000000002</v>
      </c>
      <c r="AN802" s="141"/>
      <c r="AO802" s="141"/>
      <c r="AP802" s="141"/>
      <c r="AQ802" s="141"/>
      <c r="AR802" s="141"/>
      <c r="AS802" s="141"/>
      <c r="AT802" s="141"/>
      <c r="AU802" s="141"/>
      <c r="AV802" s="141"/>
      <c r="AW802" s="141"/>
      <c r="BA802" s="204"/>
    </row>
    <row r="803" spans="1:53" ht="15" customHeight="1">
      <c r="A803" s="52"/>
      <c r="B803" s="3659" t="s">
        <v>372</v>
      </c>
      <c r="C803" s="585">
        <v>9950030</v>
      </c>
      <c r="D803" s="203" t="s">
        <v>385</v>
      </c>
      <c r="E803" s="474">
        <f>IFERROR(VLOOKUP(C803,'פקודות נוספות'!$D$274:$F$1797,3,0),0)</f>
        <v>0</v>
      </c>
      <c r="F803" s="49">
        <f>SUMIF('פקודות נוספות'!C:C,C:C,'פקודות נוספות'!E:E)</f>
        <v>0</v>
      </c>
      <c r="J803" s="49">
        <f t="shared" si="164"/>
        <v>0</v>
      </c>
      <c r="L803" s="49"/>
      <c r="M803" s="1341">
        <f>IFERROR(VLOOKUP(C803,'פקודות נוספות'!$D$273:$G$1797,4,0),0)</f>
        <v>0</v>
      </c>
      <c r="N803" s="2733" t="str">
        <f t="shared" si="165"/>
        <v>-</v>
      </c>
      <c r="O803" s="203" t="s">
        <v>407</v>
      </c>
      <c r="P803" s="1523"/>
      <c r="Q803" s="141">
        <f>'[39]מאזן בוחן'!AE666</f>
        <v>0</v>
      </c>
      <c r="S803" s="141">
        <v>0</v>
      </c>
      <c r="T803" s="141">
        <f>'[20]מאזן בוחן'!AR720</f>
        <v>0</v>
      </c>
      <c r="U803" s="141">
        <f>'[21]מאזן בוחן'!AS630</f>
        <v>0</v>
      </c>
      <c r="V803" s="141">
        <f>'[22]מאזן בוחן'!AJ616</f>
        <v>0</v>
      </c>
      <c r="W803" s="141">
        <f>'[23]מאזן בוחן'!AK622</f>
        <v>0</v>
      </c>
      <c r="X803" s="141">
        <v>0</v>
      </c>
      <c r="Y803" s="141">
        <f>'[25]מאזן בוחן'!AM652</f>
        <v>0</v>
      </c>
      <c r="AA803" s="141">
        <f>'[32]מאזן בוחן'!AO669</f>
        <v>0</v>
      </c>
      <c r="AB803" s="141">
        <f>'[26]מאזן בוחן'!AB677</f>
        <v>0</v>
      </c>
      <c r="AC803" s="141">
        <f>'[27]מאזן בוחן'!AC686</f>
        <v>0</v>
      </c>
      <c r="AD803" s="141">
        <f>'[28]מאזן בוחן'!AD695</f>
        <v>0</v>
      </c>
      <c r="AE803" s="141">
        <f>'[29]מאזן בוחן'!AE705</f>
        <v>0</v>
      </c>
      <c r="AF803" s="141">
        <f>'[30]מאזן בוחן'!AF716</f>
        <v>0</v>
      </c>
      <c r="AG803" s="141">
        <f>'[31]מאזן בוחן'!AG720</f>
        <v>0</v>
      </c>
      <c r="AH803" s="141">
        <v>0</v>
      </c>
      <c r="AI803" s="141">
        <v>0</v>
      </c>
      <c r="AJ803" s="141">
        <v>0</v>
      </c>
      <c r="AK803" s="141">
        <v>0</v>
      </c>
      <c r="AL803" s="141">
        <v>0</v>
      </c>
      <c r="AM803" s="141">
        <f>$K803-SUM($AB803:AL803)</f>
        <v>0</v>
      </c>
      <c r="AN803" s="141"/>
      <c r="AO803" s="141"/>
      <c r="AP803" s="141"/>
      <c r="AQ803" s="141"/>
      <c r="AR803" s="141"/>
      <c r="AS803" s="141"/>
      <c r="AT803" s="141"/>
      <c r="AU803" s="141"/>
      <c r="AV803" s="141"/>
      <c r="AW803" s="141"/>
      <c r="BA803" s="204"/>
    </row>
    <row r="804" spans="1:53" ht="15" customHeight="1">
      <c r="A804" s="52"/>
      <c r="B804" s="3659" t="s">
        <v>372</v>
      </c>
      <c r="C804" s="585">
        <v>9950031</v>
      </c>
      <c r="D804" s="203" t="s">
        <v>386</v>
      </c>
      <c r="E804" s="474">
        <f>IFERROR(VLOOKUP(C804,'פקודות נוספות'!$D$274:$F$1797,3,0),0)</f>
        <v>-1120382</v>
      </c>
      <c r="F804" s="49">
        <f>SUMIF('פקודות נוספות'!C:C,C:C,'פקודות נוספות'!E:E)</f>
        <v>0</v>
      </c>
      <c r="J804" s="49">
        <f t="shared" si="164"/>
        <v>-1120382</v>
      </c>
      <c r="K804" s="1199">
        <f>M804+SUMIF('פקודות נוספות'!C:C,'מאזן בוחן'!C804,'פקודות נוספות'!F:F)</f>
        <v>-346955.32</v>
      </c>
      <c r="L804" s="49"/>
      <c r="M804" s="1341">
        <f>IFERROR(VLOOKUP(C804,'פקודות נוספות'!$D$273:$G$1797,4,0),0)</f>
        <v>-346955.32</v>
      </c>
      <c r="N804" s="2733">
        <f t="shared" si="165"/>
        <v>3.2291823627318927</v>
      </c>
      <c r="O804" s="203" t="s">
        <v>407</v>
      </c>
      <c r="P804" s="1529"/>
      <c r="Q804" s="141">
        <f>'[39]מאזן בוחן'!AE667</f>
        <v>0</v>
      </c>
      <c r="S804" s="141">
        <v>0</v>
      </c>
      <c r="T804" s="141">
        <f>'[20]מאזן בוחן'!AR721</f>
        <v>0</v>
      </c>
      <c r="U804" s="141">
        <f>'[21]מאזן בוחן'!AS631</f>
        <v>0</v>
      </c>
      <c r="V804" s="141">
        <f>'[22]מאזן בוחן'!AJ617</f>
        <v>-175482.29</v>
      </c>
      <c r="W804" s="141">
        <f>'[23]מאזן בוחן'!AK623</f>
        <v>-23224.639999999985</v>
      </c>
      <c r="X804" s="141">
        <v>-23576.270000000019</v>
      </c>
      <c r="Y804" s="141">
        <f>'[25]מאזן בוחן'!AM653</f>
        <v>-23904.169999999984</v>
      </c>
      <c r="AA804" s="141">
        <f>'[32]מאזן בוחן'!AO670</f>
        <v>-25438.260000000009</v>
      </c>
      <c r="AB804" s="141">
        <f>'[26]מאזן בוחן'!AB678</f>
        <v>-25850.2</v>
      </c>
      <c r="AC804" s="141">
        <f>'[27]מאזן בוחן'!AC687</f>
        <v>-28932.62</v>
      </c>
      <c r="AD804" s="141">
        <f>'[28]מאזן בוחן'!AD696</f>
        <v>-28375.219999999994</v>
      </c>
      <c r="AE804" s="141">
        <f>'[29]מאזן בוחן'!AE706</f>
        <v>-28858.639999999999</v>
      </c>
      <c r="AF804" s="141">
        <f>'[30]מאזן בוחן'!AF717</f>
        <v>-28736.24000000002</v>
      </c>
      <c r="AG804" s="141">
        <f>'[31]מאזן בוחן'!AG721</f>
        <v>-30918.099999999977</v>
      </c>
      <c r="AH804" s="141">
        <v>-29641.200000000012</v>
      </c>
      <c r="AI804" s="141">
        <v>-28711.570000000007</v>
      </c>
      <c r="AJ804" s="141">
        <v>-27931.440000000002</v>
      </c>
      <c r="AK804" s="141">
        <v>-29245.73000000001</v>
      </c>
      <c r="AL804" s="141">
        <v>-29556.289999999979</v>
      </c>
      <c r="AM804" s="141">
        <f>$K804-SUM($AB804:AL804)</f>
        <v>-30198.070000000007</v>
      </c>
      <c r="AN804" s="141"/>
      <c r="AO804" s="141"/>
      <c r="AP804" s="141"/>
      <c r="AQ804" s="141"/>
      <c r="AR804" s="141"/>
      <c r="AS804" s="141"/>
      <c r="AT804" s="141"/>
      <c r="AU804" s="141"/>
      <c r="AV804" s="141"/>
      <c r="AW804" s="141"/>
      <c r="BA804" s="204"/>
    </row>
    <row r="805" spans="1:53" ht="15" customHeight="1">
      <c r="A805" s="52"/>
      <c r="B805" s="3659" t="s">
        <v>372</v>
      </c>
      <c r="C805" s="585">
        <v>9950032</v>
      </c>
      <c r="D805" s="203" t="s">
        <v>387</v>
      </c>
      <c r="E805" s="474">
        <f>IFERROR(VLOOKUP(C805,'פקודות נוספות'!$D$274:$F$1797,3,0),0)</f>
        <v>-539853</v>
      </c>
      <c r="F805" s="49">
        <f>SUMIF('פקודות נוספות'!C:C,C:C,'פקודות נוספות'!E:E)</f>
        <v>0</v>
      </c>
      <c r="J805" s="49">
        <f t="shared" si="164"/>
        <v>-539853</v>
      </c>
      <c r="K805" s="1199">
        <f>M805+SUMIF('פקודות נוספות'!C:C,'מאזן בוחן'!C805,'פקודות נוספות'!F:F)</f>
        <v>-167167.16</v>
      </c>
      <c r="L805" s="49"/>
      <c r="M805" s="1341">
        <f>IFERROR(VLOOKUP(C805,'פקודות נוספות'!$D$273:$G$1797,4,0),0)</f>
        <v>-167167.16</v>
      </c>
      <c r="N805" s="2733">
        <f t="shared" si="165"/>
        <v>3.2294201803751408</v>
      </c>
      <c r="O805" s="203" t="s">
        <v>407</v>
      </c>
      <c r="Q805" s="141">
        <f>'[39]מאזן בוחן'!AE668</f>
        <v>0</v>
      </c>
      <c r="S805" s="141">
        <v>0</v>
      </c>
      <c r="T805" s="141">
        <f>'[20]מאזן בוחן'!AR722</f>
        <v>0</v>
      </c>
      <c r="U805" s="141">
        <f>'[21]מאזן בוחן'!AS632</f>
        <v>0</v>
      </c>
      <c r="V805" s="141">
        <f>'[22]מאזן בוחן'!AJ618</f>
        <v>-81818.39</v>
      </c>
      <c r="W805" s="141">
        <f>'[23]מאזן בוחן'!AK624</f>
        <v>-10885.210000000006</v>
      </c>
      <c r="X805" s="141">
        <v>-10727.64</v>
      </c>
      <c r="Y805" s="141">
        <f>'[25]מאזן בוחן'!AM654</f>
        <v>-10716.14</v>
      </c>
      <c r="Z805" s="141"/>
      <c r="AA805" s="141">
        <f>'[32]מאזן בוחן'!AO671</f>
        <v>-11523.169999999998</v>
      </c>
      <c r="AB805" s="141">
        <f>'[26]מאזן בוחן'!AB679</f>
        <v>-12112.73</v>
      </c>
      <c r="AC805" s="141">
        <f>'[27]מאזן בוחן'!AC688</f>
        <v>-14044.21</v>
      </c>
      <c r="AD805" s="141">
        <f>'[28]מאזן בוחן'!AD697</f>
        <v>-13919.619999999999</v>
      </c>
      <c r="AE805" s="141">
        <f>'[29]מאזן בוחן'!AE707</f>
        <v>-13884.510000000002</v>
      </c>
      <c r="AF805" s="141">
        <f>'[30]מאזן בוחן'!AF718</f>
        <v>-14700.280000000006</v>
      </c>
      <c r="AG805" s="141">
        <f>'[31]מאזן בוחן'!AG722</f>
        <v>-14523.309999999998</v>
      </c>
      <c r="AH805" s="141">
        <v>-14455.919999999998</v>
      </c>
      <c r="AI805" s="141">
        <v>-13409.729999999996</v>
      </c>
      <c r="AJ805" s="141">
        <v>-13448.130000000005</v>
      </c>
      <c r="AK805" s="141">
        <v>-14122.23000000001</v>
      </c>
      <c r="AL805" s="141">
        <v>-13950.349999999977</v>
      </c>
      <c r="AM805" s="141">
        <f>$K805-SUM($AB805:AL805)</f>
        <v>-14596.140000000014</v>
      </c>
      <c r="AN805" s="141"/>
      <c r="AO805" s="141"/>
      <c r="AP805" s="141"/>
      <c r="AQ805" s="141"/>
      <c r="AR805" s="141"/>
      <c r="AS805" s="141"/>
      <c r="AT805" s="141"/>
      <c r="AU805" s="141"/>
      <c r="AV805" s="141"/>
      <c r="AW805" s="141"/>
      <c r="AX805" s="141"/>
      <c r="BA805" s="204"/>
    </row>
    <row r="806" spans="1:53">
      <c r="A806" s="52"/>
      <c r="B806" s="3659" t="s">
        <v>372</v>
      </c>
      <c r="C806" s="585">
        <v>9950033</v>
      </c>
      <c r="D806" s="203" t="s">
        <v>388</v>
      </c>
      <c r="E806" s="474">
        <f>IFERROR(VLOOKUP(C806,'פקודות נוספות'!$D$274:$F$1797,3,0),0)</f>
        <v>-420</v>
      </c>
      <c r="F806" s="49">
        <f>SUMIF('פקודות נוספות'!C:C,C:C,'פקודות נוספות'!E:E)</f>
        <v>0</v>
      </c>
      <c r="J806" s="49">
        <f t="shared" si="164"/>
        <v>-420</v>
      </c>
      <c r="K806" s="1199">
        <f>M806+SUMIF('פקודות נוספות'!C:C,'מאזן בוחן'!C806,'פקודות נוספות'!F:F)</f>
        <v>-130.07</v>
      </c>
      <c r="L806" s="49"/>
      <c r="M806" s="1341">
        <f>IFERROR(VLOOKUP(C806,'פקודות נוספות'!$D$273:$G$1797,4,0),0)</f>
        <v>-130.07</v>
      </c>
      <c r="N806" s="2733">
        <f t="shared" si="165"/>
        <v>3.2290305220266013</v>
      </c>
      <c r="O806" s="203" t="s">
        <v>407</v>
      </c>
      <c r="Q806" s="141">
        <f>'[39]מאזן בוחן'!AE669</f>
        <v>0</v>
      </c>
      <c r="S806" s="141">
        <v>0</v>
      </c>
      <c r="T806" s="141">
        <f>'[20]מאזן בוחן'!AR723</f>
        <v>0</v>
      </c>
      <c r="U806" s="141">
        <f>'[21]מאזן בוחן'!AS633</f>
        <v>0</v>
      </c>
      <c r="V806" s="141">
        <f>'[22]מאזן בוחן'!AJ619</f>
        <v>-323.33999999999997</v>
      </c>
      <c r="W806" s="141">
        <f>'[23]מאזן בוחן'!AK625</f>
        <v>-40.69</v>
      </c>
      <c r="X806" s="141">
        <v>-40.910000000000025</v>
      </c>
      <c r="Y806" s="141">
        <f>'[25]מאזן בוחן'!AM655</f>
        <v>-42.319999999999993</v>
      </c>
      <c r="AA806" s="141">
        <f>'[32]מאזן בוחן'!AO672</f>
        <v>-10.889999999999986</v>
      </c>
      <c r="AB806" s="141">
        <f>'[26]מאזן בוחן'!AB680</f>
        <v>-10.64</v>
      </c>
      <c r="AC806" s="141">
        <f>'[27]מאזן בוחן'!AC689</f>
        <v>-10.669999999999998</v>
      </c>
      <c r="AD806" s="141">
        <f>'[28]מאזן בוחן'!AD698</f>
        <v>-10.5</v>
      </c>
      <c r="AE806" s="141">
        <f>'[29]מאזן בוחן'!AE708</f>
        <v>-10.780000000000005</v>
      </c>
      <c r="AF806" s="141">
        <f>'[30]מאזן בוחן'!AF719</f>
        <v>-10.759999999999998</v>
      </c>
      <c r="AG806" s="141">
        <f>'[31]מאזן בוחן'!AG723</f>
        <v>-10.740000000000002</v>
      </c>
      <c r="AH806" s="141">
        <v>-10.829999999999998</v>
      </c>
      <c r="AI806" s="141">
        <v>-10.909999999999997</v>
      </c>
      <c r="AJ806" s="141">
        <v>-10.840000000000003</v>
      </c>
      <c r="AK806" s="141">
        <v>-11.079999999999998</v>
      </c>
      <c r="AL806" s="141">
        <v>-11.069999999999993</v>
      </c>
      <c r="AM806" s="141">
        <f>$K806-SUM($AB806:AL806)</f>
        <v>-11.25</v>
      </c>
      <c r="AN806" s="141"/>
      <c r="AO806" s="141"/>
      <c r="AP806" s="141"/>
      <c r="AQ806" s="141"/>
      <c r="AR806" s="141"/>
      <c r="AS806" s="141"/>
      <c r="AT806" s="141"/>
      <c r="AU806" s="141"/>
      <c r="AV806" s="141"/>
      <c r="AW806" s="141"/>
      <c r="BA806" s="204"/>
    </row>
    <row r="807" spans="1:53">
      <c r="A807" s="52"/>
      <c r="B807" s="3659" t="s">
        <v>372</v>
      </c>
      <c r="C807" s="585">
        <v>9950034</v>
      </c>
      <c r="D807" s="203" t="s">
        <v>389</v>
      </c>
      <c r="E807" s="474">
        <f>IFERROR(VLOOKUP(C807,'פקודות נוספות'!$D$274:$F$1797,3,0),0)</f>
        <v>-1214573</v>
      </c>
      <c r="F807" s="49">
        <f>SUMIF('פקודות נוספות'!C:C,C:C,'פקודות נוספות'!E:E)</f>
        <v>0</v>
      </c>
      <c r="J807" s="49">
        <f t="shared" si="164"/>
        <v>-1214573</v>
      </c>
      <c r="K807" s="1199">
        <f>M807+SUMIF('פקודות נוספות'!C:C,'מאזן בוחן'!C807,'פקודות נוספות'!F:F)</f>
        <v>-377277.48</v>
      </c>
      <c r="L807" s="49"/>
      <c r="M807" s="1341">
        <f>IFERROR(VLOOKUP(C807,'פקודות נוספות'!$D$273:$G$1797,4,0),0)</f>
        <v>-377277.48</v>
      </c>
      <c r="N807" s="2733">
        <f t="shared" si="165"/>
        <v>3.219309564938782</v>
      </c>
      <c r="O807" s="203" t="s">
        <v>407</v>
      </c>
      <c r="Q807" s="141">
        <f>'[39]מאזן בוחן'!AE670</f>
        <v>0</v>
      </c>
      <c r="S807" s="141">
        <v>0</v>
      </c>
      <c r="T807" s="141">
        <f>'[20]מאזן בוחן'!AR724</f>
        <v>0</v>
      </c>
      <c r="U807" s="141">
        <f>'[21]מאזן בוחן'!AS634</f>
        <v>0</v>
      </c>
      <c r="V807" s="141">
        <f>'[22]מאזן בוחן'!AJ620</f>
        <v>-201879.28</v>
      </c>
      <c r="W807" s="141">
        <f>'[23]מאזן בוחן'!AK626</f>
        <v>-24726.53</v>
      </c>
      <c r="X807" s="141">
        <v>-23716.540000000008</v>
      </c>
      <c r="Y807" s="141">
        <f>'[25]מאזן בוחן'!AM656</f>
        <v>-26778.110000000015</v>
      </c>
      <c r="AA807" s="141">
        <f>'[32]מאזן בוחן'!AO673</f>
        <v>-30839.190000000002</v>
      </c>
      <c r="AB807" s="141">
        <f>'[26]מאזן בוחן'!AB681</f>
        <v>-29267.4</v>
      </c>
      <c r="AC807" s="141">
        <f>'[27]מאזן בוחן'!AC690</f>
        <v>-29024.089999999997</v>
      </c>
      <c r="AD807" s="141">
        <f>'[28]מאזן בוחן'!AD699</f>
        <v>-25089.379999999997</v>
      </c>
      <c r="AE807" s="141">
        <f>'[29]מאזן בוחן'!AE709</f>
        <v>-27495.840000000011</v>
      </c>
      <c r="AF807" s="141">
        <f>'[30]מאזן בוחן'!AF720</f>
        <v>-26559.479999999996</v>
      </c>
      <c r="AG807" s="141">
        <f>'[31]מאזן בוחן'!AG724</f>
        <v>-27797.239999999991</v>
      </c>
      <c r="AH807" s="141">
        <v>-30561.710000000021</v>
      </c>
      <c r="AI807" s="141">
        <v>-30000.309999999998</v>
      </c>
      <c r="AJ807" s="141">
        <v>-29899.659999999974</v>
      </c>
      <c r="AK807" s="141">
        <v>-18681.440000000002</v>
      </c>
      <c r="AL807" s="141">
        <v>-48655.910000000033</v>
      </c>
      <c r="AM807" s="141">
        <f>$K807-SUM($AB807:AL807)</f>
        <v>-54245.01999999996</v>
      </c>
      <c r="AN807" s="141"/>
      <c r="AO807" s="141"/>
      <c r="AP807" s="141"/>
      <c r="AQ807" s="141"/>
      <c r="AR807" s="141"/>
      <c r="AS807" s="141"/>
      <c r="AT807" s="141"/>
      <c r="AU807" s="141"/>
      <c r="AV807" s="141"/>
      <c r="AW807" s="141"/>
      <c r="BA807" s="204"/>
    </row>
    <row r="808" spans="1:53">
      <c r="A808" s="52"/>
      <c r="B808" s="3659" t="s">
        <v>372</v>
      </c>
      <c r="C808" s="585">
        <v>9950035</v>
      </c>
      <c r="D808" s="203" t="s">
        <v>390</v>
      </c>
      <c r="E808" s="474">
        <f>IFERROR(VLOOKUP(C808,'פקודות נוספות'!$D$274:$F$1797,3,0),0)</f>
        <v>-113022</v>
      </c>
      <c r="F808" s="49">
        <f>SUMIF('פקודות נוספות'!C:C,C:C,'פקודות נוספות'!E:E)</f>
        <v>0</v>
      </c>
      <c r="J808" s="49">
        <f t="shared" si="164"/>
        <v>-113022</v>
      </c>
      <c r="K808" s="1199">
        <f>M808+SUMIF('פקודות נוספות'!C:C,'מאזן בוחן'!C808,'פקודות נוספות'!F:F)</f>
        <v>-34143.4</v>
      </c>
      <c r="L808" s="49"/>
      <c r="M808" s="1341">
        <f>IFERROR(VLOOKUP(C808,'פקודות נוספות'!$D$273:$G$1797,4,0),0)</f>
        <v>-34143.4</v>
      </c>
      <c r="N808" s="2733">
        <f t="shared" si="165"/>
        <v>3.3102151513908984</v>
      </c>
      <c r="O808" s="203" t="s">
        <v>407</v>
      </c>
      <c r="Q808" s="141">
        <f>'[39]מאזן בוחן'!AE671</f>
        <v>0</v>
      </c>
      <c r="S808" s="141">
        <v>0</v>
      </c>
      <c r="T808" s="141">
        <f>'[20]מאזן בוחן'!AR725</f>
        <v>0</v>
      </c>
      <c r="U808" s="141">
        <f>'[21]מאזן בוחן'!AS635</f>
        <v>0</v>
      </c>
      <c r="V808" s="141">
        <f>'[22]מאזן בוחן'!AJ621</f>
        <v>-23749.43</v>
      </c>
      <c r="W808" s="141">
        <f>'[23]מאזן בוחן'!AK627</f>
        <v>-7817.489999999998</v>
      </c>
      <c r="X808" s="141">
        <v>0</v>
      </c>
      <c r="Y808" s="141">
        <f>'[25]מאזן בוחן'!AM657</f>
        <v>0</v>
      </c>
      <c r="AA808" s="141">
        <f>'[32]מאזן בוחן'!AO674</f>
        <v>0</v>
      </c>
      <c r="AB808" s="141">
        <f>'[26]מאזן בוחן'!AB682</f>
        <v>-395.02</v>
      </c>
      <c r="AC808" s="141">
        <f>'[27]מאזן בוחן'!AC691</f>
        <v>-45.730000000000018</v>
      </c>
      <c r="AD808" s="141">
        <f>'[28]מאזן בוחן'!AD700</f>
        <v>-26244.75</v>
      </c>
      <c r="AE808" s="141">
        <f>'[29]מאזן בוחן'!AE710</f>
        <v>-246.38000000000102</v>
      </c>
      <c r="AF808" s="141">
        <f>'[30]מאזן בוחן'!AF721</f>
        <v>0</v>
      </c>
      <c r="AG808" s="141">
        <f>'[31]מאזן בוחן'!AG725</f>
        <v>-153.36999999999898</v>
      </c>
      <c r="AH808" s="141">
        <v>0</v>
      </c>
      <c r="AI808" s="141">
        <v>-79.830000000001746</v>
      </c>
      <c r="AJ808" s="141">
        <v>-6738.93</v>
      </c>
      <c r="AK808" s="141">
        <v>-239.38999999999942</v>
      </c>
      <c r="AL808" s="141">
        <v>0</v>
      </c>
      <c r="AM808" s="141">
        <f>$K808-SUM($AB808:AL808)</f>
        <v>0</v>
      </c>
      <c r="AN808" s="141"/>
      <c r="AO808" s="141"/>
      <c r="AP808" s="141"/>
      <c r="AQ808" s="141"/>
      <c r="AR808" s="141"/>
      <c r="AS808" s="141"/>
      <c r="AT808" s="141"/>
      <c r="AU808" s="141"/>
      <c r="AV808" s="141"/>
      <c r="AW808" s="141"/>
      <c r="BA808" s="204"/>
    </row>
    <row r="809" spans="1:53">
      <c r="A809" s="52"/>
      <c r="B809" s="3659" t="s">
        <v>372</v>
      </c>
      <c r="C809" s="585">
        <v>9950036</v>
      </c>
      <c r="D809" s="203" t="s">
        <v>1215</v>
      </c>
      <c r="E809" s="474">
        <f>IFERROR(VLOOKUP(C809,'פקודות נוספות'!$D$274:$F$1797,3,0),0)</f>
        <v>-454470</v>
      </c>
      <c r="F809" s="49">
        <f>SUMIF('פקודות נוספות'!C:C,C:C,'פקודות נוספות'!E:E)</f>
        <v>0</v>
      </c>
      <c r="J809" s="49">
        <f t="shared" si="164"/>
        <v>-454470</v>
      </c>
      <c r="K809" s="1199">
        <f>M809+SUMIF('פקודות נוספות'!C:C,'מאזן בוחן'!C809,'פקודות נוספות'!F:F)</f>
        <v>-140774.47</v>
      </c>
      <c r="L809" s="49"/>
      <c r="M809" s="1341">
        <f>IFERROR(VLOOKUP(C809,'פקודות נוספות'!$D$273:$G$1797,4,0),0)</f>
        <v>-140774.47</v>
      </c>
      <c r="N809" s="2733">
        <f t="shared" si="165"/>
        <v>3.2283552550402073</v>
      </c>
      <c r="O809" s="203" t="s">
        <v>407</v>
      </c>
      <c r="Q809" s="141">
        <f>'[39]מאזן בוחן'!AE672</f>
        <v>0</v>
      </c>
      <c r="S809" s="141">
        <v>0</v>
      </c>
      <c r="T809" s="141">
        <f>'[20]מאזן בוחן'!AR726</f>
        <v>0</v>
      </c>
      <c r="U809" s="141">
        <f>'[21]מאזן בוחן'!AS636</f>
        <v>0</v>
      </c>
      <c r="V809" s="141">
        <f>'[22]מאזן בוחן'!AJ622</f>
        <v>-65517.72</v>
      </c>
      <c r="W809" s="141">
        <f>'[23]מאזן בוחן'!AK628</f>
        <v>-8793.0800000000017</v>
      </c>
      <c r="X809" s="141">
        <v>-8556.6900000000023</v>
      </c>
      <c r="Y809" s="141">
        <f>'[25]מאזן בוחן'!AM658</f>
        <v>-8895.4099999999889</v>
      </c>
      <c r="AA809" s="141">
        <f>'[32]מאזן בוחן'!AO675</f>
        <v>-9341.2100000000064</v>
      </c>
      <c r="AB809" s="141">
        <f>'[26]מאזן בוחן'!AB683</f>
        <v>-9645.09</v>
      </c>
      <c r="AC809" s="141">
        <f>'[27]מאזן בוחן'!AC692</f>
        <v>-11550.91</v>
      </c>
      <c r="AD809" s="141">
        <f>'[28]מאזן בוחן'!AD701</f>
        <v>-11556.990000000002</v>
      </c>
      <c r="AE809" s="141">
        <f>'[29]מאזן בוחן'!AE711</f>
        <v>-11300.59</v>
      </c>
      <c r="AF809" s="141">
        <f>'[30]מאזן בוחן'!AF722</f>
        <v>-11906.549999999996</v>
      </c>
      <c r="AG809" s="141">
        <f>'[31]מאזן בוחן'!AG726</f>
        <v>-12211.349999999999</v>
      </c>
      <c r="AH809" s="141">
        <v>-12479.12000000001</v>
      </c>
      <c r="AI809" s="141">
        <v>-11532.26999999999</v>
      </c>
      <c r="AJ809" s="141">
        <v>-11566.740000000005</v>
      </c>
      <c r="AK809" s="141">
        <v>-12335.970000000001</v>
      </c>
      <c r="AL809" s="141">
        <v>-12664.449999999997</v>
      </c>
      <c r="AM809" s="141">
        <f>$K809-SUM($AB809:AL809)</f>
        <v>-12024.440000000002</v>
      </c>
      <c r="AN809" s="141"/>
      <c r="AO809" s="141"/>
      <c r="AP809" s="141"/>
      <c r="AQ809" s="141"/>
      <c r="AR809" s="141"/>
      <c r="AS809" s="141"/>
      <c r="AT809" s="141"/>
      <c r="AU809" s="141"/>
      <c r="AV809" s="141"/>
      <c r="AW809" s="141"/>
      <c r="BA809" s="204"/>
    </row>
    <row r="810" spans="1:53">
      <c r="A810" s="52"/>
      <c r="B810" s="3659" t="s">
        <v>372</v>
      </c>
      <c r="C810" s="585">
        <v>9950550</v>
      </c>
      <c r="D810" s="203" t="s">
        <v>391</v>
      </c>
      <c r="E810" s="474">
        <f>IFERROR(VLOOKUP(C810,'פקודות נוספות'!$D$274:$F$1797,3,0),0)</f>
        <v>1119.27</v>
      </c>
      <c r="F810" s="49">
        <f>SUMIF('פקודות נוספות'!C:C,C:C,'פקודות נוספות'!E:E)</f>
        <v>0</v>
      </c>
      <c r="J810" s="49">
        <f t="shared" si="164"/>
        <v>1119.27</v>
      </c>
      <c r="K810" s="1199">
        <f>M810+SUMIF('פקודות נוספות'!C:C,'מאזן בוחן'!C810,'פקודות נוספות'!F:F)</f>
        <v>375.73</v>
      </c>
      <c r="L810" s="49"/>
      <c r="M810" s="1341">
        <f>IFERROR(VLOOKUP(C810,'פקודות נוספות'!$D$273:$G$1797,4,0),0)</f>
        <v>375.73</v>
      </c>
      <c r="N810" s="2733">
        <f>IF(K810=0,"-",J810/K810)</f>
        <v>2.978921033721023</v>
      </c>
      <c r="O810" s="203" t="s">
        <v>407</v>
      </c>
      <c r="Q810" s="141">
        <f>'[39]מאזן בוחן'!AE673</f>
        <v>0</v>
      </c>
      <c r="S810" s="141">
        <v>0</v>
      </c>
      <c r="T810" s="141">
        <f>'[20]מאזן בוחן'!AR727</f>
        <v>0</v>
      </c>
      <c r="U810" s="141">
        <f>'[21]מאזן בוחן'!AS637</f>
        <v>0</v>
      </c>
      <c r="V810" s="141">
        <f>'[22]מאזן בוחן'!AJ623</f>
        <v>829.9</v>
      </c>
      <c r="W810" s="141">
        <f>'[23]מאזן בוחן'!AK629</f>
        <v>0</v>
      </c>
      <c r="X810" s="141">
        <v>0</v>
      </c>
      <c r="Y810" s="141">
        <f>'[25]מאזן בוחן'!AM659</f>
        <v>0</v>
      </c>
      <c r="AA810" s="141">
        <f>'[32]מאזן בוחן'!AO676</f>
        <v>-73.579999999999927</v>
      </c>
      <c r="AB810" s="141">
        <f>'[26]מאזן בוחן'!AB684</f>
        <v>-179.17</v>
      </c>
      <c r="AC810" s="141">
        <f>'[27]מאזן בוחן'!AC693</f>
        <v>0</v>
      </c>
      <c r="AD810" s="141">
        <f>'[28]מאזן בוחן'!AD702</f>
        <v>0</v>
      </c>
      <c r="AE810" s="141">
        <f>'[29]מאזן בוחן'!AE712</f>
        <v>0</v>
      </c>
      <c r="AF810" s="141">
        <f>'[30]מאזן בוחן'!AF723</f>
        <v>0</v>
      </c>
      <c r="AG810" s="141">
        <f>'[31]מאזן בוחן'!AG727</f>
        <v>0</v>
      </c>
      <c r="AH810" s="141">
        <v>0</v>
      </c>
      <c r="AI810" s="141">
        <v>-32.090000000000003</v>
      </c>
      <c r="AJ810" s="141">
        <v>0</v>
      </c>
      <c r="AK810" s="141">
        <v>0</v>
      </c>
      <c r="AL810" s="141">
        <v>0</v>
      </c>
      <c r="AM810" s="141">
        <f>$K810-SUM($AB810:AL810)</f>
        <v>586.99</v>
      </c>
      <c r="AN810" s="141"/>
      <c r="AO810" s="141"/>
      <c r="AP810" s="141"/>
      <c r="AQ810" s="141"/>
      <c r="AR810" s="141"/>
      <c r="AS810" s="141"/>
      <c r="AT810" s="141"/>
      <c r="AU810" s="141"/>
      <c r="AV810" s="141"/>
      <c r="AW810" s="141"/>
      <c r="BA810" s="204"/>
    </row>
    <row r="811" spans="1:53">
      <c r="A811" s="52"/>
      <c r="B811" s="3659" t="s">
        <v>372</v>
      </c>
      <c r="C811" s="585">
        <v>9950551</v>
      </c>
      <c r="D811" s="203" t="s">
        <v>209</v>
      </c>
      <c r="E811" s="474">
        <f>IFERROR(VLOOKUP(C811,'פקודות נוספות'!$D$274:$F$1797,3,0),0)</f>
        <v>-44578</v>
      </c>
      <c r="F811" s="49">
        <f>SUMIF('פקודות נוספות'!C:C,C:C,'פקודות נוספות'!E:E)</f>
        <v>0</v>
      </c>
      <c r="J811" s="49">
        <f t="shared" si="164"/>
        <v>-44578</v>
      </c>
      <c r="K811" s="1199">
        <f>M811+SUMIF('פקודות נוספות'!C:C,'מאזן בוחן'!C811,'פקודות נוספות'!F:F)</f>
        <v>-13577.52</v>
      </c>
      <c r="L811" s="49"/>
      <c r="M811" s="1341">
        <f>IFERROR(VLOOKUP(C811,'פקודות נוספות'!$D$273:$G$1797,4,0),0)</f>
        <v>-13577.52</v>
      </c>
      <c r="N811" s="2733">
        <f t="shared" si="165"/>
        <v>3.2832210889764846</v>
      </c>
      <c r="O811" s="203" t="s">
        <v>407</v>
      </c>
      <c r="Q811" s="141">
        <f>'[39]מאזן בוחן'!AE674</f>
        <v>0</v>
      </c>
      <c r="S811" s="141">
        <v>0</v>
      </c>
      <c r="T811" s="141">
        <f>'[20]מאזן בוחן'!AR728</f>
        <v>0</v>
      </c>
      <c r="U811" s="141">
        <f>'[21]מאזן בוחן'!AS638</f>
        <v>0</v>
      </c>
      <c r="V811" s="141">
        <f>'[22]מאזן בוחן'!AJ624</f>
        <v>-5470.54</v>
      </c>
      <c r="W811" s="141">
        <f>'[23]מאזן בוחן'!AK630</f>
        <v>0</v>
      </c>
      <c r="X811" s="141">
        <v>0</v>
      </c>
      <c r="Y811" s="141">
        <f>'[25]מאזן בוחן'!AM660</f>
        <v>0</v>
      </c>
      <c r="AA811" s="141">
        <f>'[32]מאזן בוחן'!AO677</f>
        <v>0</v>
      </c>
      <c r="AB811" s="141">
        <f>'[26]מאזן בוחן'!AB685</f>
        <v>-1829.87</v>
      </c>
      <c r="AC811" s="141">
        <f>'[27]מאזן בוחן'!AC694</f>
        <v>0</v>
      </c>
      <c r="AD811" s="141">
        <f>'[28]מאזן בוחן'!AD703</f>
        <v>0</v>
      </c>
      <c r="AE811" s="141">
        <f>'[29]מאזן בוחן'!AE713</f>
        <v>-2375.7600000000002</v>
      </c>
      <c r="AF811" s="141">
        <f>'[30]מאזן בוחן'!AF724</f>
        <v>0</v>
      </c>
      <c r="AG811" s="141">
        <f>'[31]מאזן בוחן'!AG728</f>
        <v>0</v>
      </c>
      <c r="AH811" s="141">
        <v>-9371.89</v>
      </c>
      <c r="AI811" s="141">
        <v>0</v>
      </c>
      <c r="AJ811" s="141">
        <v>0</v>
      </c>
      <c r="AK811" s="141">
        <v>0</v>
      </c>
      <c r="AL811" s="141">
        <v>0</v>
      </c>
      <c r="AM811" s="141">
        <f>$K811-SUM($AB811:AL811)</f>
        <v>0</v>
      </c>
      <c r="AN811" s="141"/>
      <c r="AO811" s="141"/>
      <c r="AP811" s="141"/>
      <c r="AQ811" s="141"/>
      <c r="AR811" s="141"/>
      <c r="AS811" s="141"/>
      <c r="AT811" s="141"/>
      <c r="AU811" s="141"/>
      <c r="AV811" s="141"/>
      <c r="AW811" s="141"/>
      <c r="BA811" s="204"/>
    </row>
    <row r="812" spans="1:53">
      <c r="A812" s="52"/>
      <c r="B812" s="3659" t="s">
        <v>372</v>
      </c>
      <c r="C812" s="585">
        <v>9950599</v>
      </c>
      <c r="D812" s="203" t="s">
        <v>392</v>
      </c>
      <c r="E812" s="474">
        <f>IFERROR(VLOOKUP(C812,'פקודות נוספות'!$D$274:$F$1797,3,0),0)</f>
        <v>-81715166</v>
      </c>
      <c r="F812" s="49">
        <f>SUMIF('פקודות נוספות'!C:C,C:C,'פקודות נוספות'!E:E)</f>
        <v>0</v>
      </c>
      <c r="J812" s="49">
        <f t="shared" si="164"/>
        <v>-81715166</v>
      </c>
      <c r="K812" s="1199">
        <f>M812+SUMIF('פקודות נוספות'!C:C,'מאזן בוחן'!C812,'פקודות נוספות'!F:F)</f>
        <v>-25287129.329999998</v>
      </c>
      <c r="L812" s="49"/>
      <c r="M812" s="1341">
        <f>IFERROR(VLOOKUP(C812,'פקודות נוספות'!$D$273:$G$1797,4,0),0)</f>
        <v>-25287129.329999998</v>
      </c>
      <c r="N812" s="2733">
        <f t="shared" si="165"/>
        <v>3.2314923902040249</v>
      </c>
      <c r="O812" s="203" t="s">
        <v>407</v>
      </c>
      <c r="P812" s="141"/>
      <c r="Q812" s="141">
        <f>'[39]מאזן בוחן'!AE675</f>
        <v>0</v>
      </c>
      <c r="S812" s="141">
        <v>0</v>
      </c>
      <c r="T812" s="141">
        <f>'[20]מאזן בוחן'!AR729</f>
        <v>0</v>
      </c>
      <c r="U812" s="141">
        <f>'[21]מאזן בוחן'!AS639</f>
        <v>0</v>
      </c>
      <c r="V812" s="141">
        <f>'[22]מאזן בוחן'!AJ625</f>
        <v>-14849080.810000001</v>
      </c>
      <c r="W812" s="141">
        <f>'[23]מאזן בוחן'!AK631</f>
        <v>-1820743.9799999986</v>
      </c>
      <c r="X812" s="141">
        <v>-1820244.0100000016</v>
      </c>
      <c r="Y812" s="141">
        <f>'[25]מאזן בוחן'!AM661</f>
        <v>-1845400.2399999984</v>
      </c>
      <c r="AA812" s="141">
        <f>'[32]מאזן בוחן'!AO678</f>
        <v>-1927798.7600000016</v>
      </c>
      <c r="AB812" s="141">
        <f>'[26]מאזן בוחן'!AB686</f>
        <v>-1977410.79</v>
      </c>
      <c r="AC812" s="141">
        <f>'[27]מאזן בוחן'!AC695</f>
        <v>-3047453.3499999996</v>
      </c>
      <c r="AD812" s="141">
        <f>'[28]מאזן בוחן'!AD704</f>
        <v>-1995377.62</v>
      </c>
      <c r="AE812" s="141">
        <f>'[29]מאזן בוחן'!AE714</f>
        <v>-2112569.2300000004</v>
      </c>
      <c r="AF812" s="141">
        <f>'[30]מאזן בוחן'!AF725</f>
        <v>-2011384.879999999</v>
      </c>
      <c r="AG812" s="141">
        <f>'[31]מאזן בוחן'!AG729</f>
        <v>-1986036.2000000011</v>
      </c>
      <c r="AH812" s="141">
        <v>-2020471.2899999991</v>
      </c>
      <c r="AI812" s="141">
        <v>-1982799.1900000013</v>
      </c>
      <c r="AJ812" s="141">
        <v>-1957767.2100000009</v>
      </c>
      <c r="AK812" s="141">
        <v>-2020755.2199999988</v>
      </c>
      <c r="AL812" s="141">
        <v>-1995011.7199999988</v>
      </c>
      <c r="AM812" s="141">
        <f>$K812-SUM($AB812:AL812)</f>
        <v>-2180092.629999999</v>
      </c>
      <c r="AN812" s="141"/>
      <c r="AO812" s="141"/>
      <c r="AP812" s="141"/>
      <c r="AQ812" s="141"/>
      <c r="AR812" s="141"/>
      <c r="AS812" s="141"/>
      <c r="AT812" s="141"/>
      <c r="AU812" s="141"/>
      <c r="AV812" s="141"/>
      <c r="AW812" s="141"/>
      <c r="BA812" s="204"/>
    </row>
    <row r="813" spans="1:53">
      <c r="A813" s="52"/>
      <c r="B813" s="3659" t="s">
        <v>372</v>
      </c>
      <c r="C813" s="585">
        <v>9950027</v>
      </c>
      <c r="D813" s="203" t="s">
        <v>4684</v>
      </c>
      <c r="E813" s="474">
        <f>IFERROR(VLOOKUP(C813,'פקודות נוספות'!$D$274:$F$1797,3,0),0)</f>
        <v>331641</v>
      </c>
      <c r="F813" s="49">
        <f>SUMIF('פקודות נוספות'!C:C,C:C,'פקודות נוספות'!E:E)</f>
        <v>0</v>
      </c>
      <c r="J813" s="49">
        <f t="shared" ref="J813:J814" si="166">SUM(E813:I813)</f>
        <v>331641</v>
      </c>
      <c r="K813" s="1199">
        <f>M813+SUMIF('פקודות נוספות'!C:C,'מאזן בוחן'!C813,'פקודות נוספות'!F:F)</f>
        <v>106636.98</v>
      </c>
      <c r="L813" s="49"/>
      <c r="M813" s="1341">
        <f>IFERROR(VLOOKUP(C813,'פקודות נוספות'!$D$273:$G$1797,4,0),0)</f>
        <v>106636.98</v>
      </c>
      <c r="N813" s="2733">
        <f t="shared" ref="N813:N814" si="167">IF(K813=0,"-",J813/K813)</f>
        <v>3.109999926854643</v>
      </c>
      <c r="O813" s="203" t="s">
        <v>407</v>
      </c>
      <c r="P813" s="141"/>
      <c r="Q813" s="141"/>
      <c r="S813" s="141"/>
      <c r="T813" s="141"/>
      <c r="U813" s="141"/>
      <c r="V813" s="141"/>
      <c r="W813" s="141"/>
      <c r="X813" s="141"/>
      <c r="Y813" s="141"/>
      <c r="AA813" s="141"/>
      <c r="AB813" s="141"/>
      <c r="AC813" s="141"/>
      <c r="AD813" s="141"/>
      <c r="AE813" s="141"/>
      <c r="AF813" s="141"/>
      <c r="AG813" s="141"/>
      <c r="AH813" s="141"/>
      <c r="AI813" s="141"/>
      <c r="AJ813" s="141"/>
      <c r="AK813" s="141"/>
      <c r="AL813" s="141"/>
      <c r="AM813" s="141">
        <f>$K813-SUM($AB813:AL813)</f>
        <v>106636.98</v>
      </c>
      <c r="AN813" s="141"/>
      <c r="AO813" s="141"/>
      <c r="AP813" s="141"/>
      <c r="AQ813" s="141"/>
      <c r="AR813" s="141"/>
      <c r="AS813" s="141"/>
      <c r="AT813" s="141"/>
      <c r="AU813" s="141"/>
      <c r="AV813" s="141"/>
      <c r="AW813" s="141"/>
      <c r="BA813" s="204"/>
    </row>
    <row r="814" spans="1:53">
      <c r="A814" s="52"/>
      <c r="B814" s="3659" t="s">
        <v>372</v>
      </c>
      <c r="C814" s="585">
        <v>9950037</v>
      </c>
      <c r="D814" s="203" t="s">
        <v>4685</v>
      </c>
      <c r="E814" s="474">
        <f>IFERROR(VLOOKUP(C814,'פקודות נוספות'!$D$274:$F$1797,3,0),0)</f>
        <v>-331641</v>
      </c>
      <c r="F814" s="49">
        <f>SUMIF('פקודות נוספות'!C:C,C:C,'פקודות נוספות'!E:E)</f>
        <v>0</v>
      </c>
      <c r="J814" s="49">
        <f t="shared" si="166"/>
        <v>-331641</v>
      </c>
      <c r="K814" s="1199">
        <f>M814+SUMIF('פקודות נוספות'!C:C,'מאזן בוחן'!C814,'פקודות נוספות'!F:F)</f>
        <v>-106636.98</v>
      </c>
      <c r="L814" s="49"/>
      <c r="M814" s="1341">
        <f>IFERROR(VLOOKUP(C814,'פקודות נוספות'!$D$273:$G$1797,4,0),0)</f>
        <v>-106636.98</v>
      </c>
      <c r="N814" s="2733">
        <f t="shared" si="167"/>
        <v>3.109999926854643</v>
      </c>
      <c r="O814" s="203" t="s">
        <v>407</v>
      </c>
      <c r="P814" s="141"/>
      <c r="Q814" s="141"/>
      <c r="S814" s="141"/>
      <c r="T814" s="141"/>
      <c r="U814" s="141"/>
      <c r="V814" s="141"/>
      <c r="W814" s="141"/>
      <c r="X814" s="141"/>
      <c r="Y814" s="141"/>
      <c r="AA814" s="141"/>
      <c r="AB814" s="141"/>
      <c r="AC814" s="141"/>
      <c r="AD814" s="141"/>
      <c r="AE814" s="141"/>
      <c r="AF814" s="141"/>
      <c r="AG814" s="141"/>
      <c r="AH814" s="141"/>
      <c r="AI814" s="141"/>
      <c r="AJ814" s="141"/>
      <c r="AK814" s="141"/>
      <c r="AL814" s="141"/>
      <c r="AM814" s="141">
        <f>$K814-SUM($AB814:AL814)</f>
        <v>-106636.98</v>
      </c>
      <c r="AN814" s="141"/>
      <c r="AO814" s="141"/>
      <c r="AP814" s="141"/>
      <c r="AQ814" s="141"/>
      <c r="AR814" s="141"/>
      <c r="AS814" s="141"/>
      <c r="AT814" s="141"/>
      <c r="AU814" s="141"/>
      <c r="AV814" s="141"/>
      <c r="AW814" s="141"/>
      <c r="BA814" s="204"/>
    </row>
    <row r="815" spans="1:53">
      <c r="A815" s="52"/>
      <c r="B815" s="3659"/>
      <c r="C815" s="156"/>
      <c r="D815" s="203"/>
      <c r="E815" s="474"/>
      <c r="J815" s="474"/>
      <c r="K815" s="42"/>
      <c r="L815" s="49"/>
      <c r="M815" s="474"/>
      <c r="N815" s="2733"/>
      <c r="O815" s="1133"/>
      <c r="P815" s="141"/>
      <c r="Q815" s="141">
        <f>'[39]מאזן בוחן'!AE676</f>
        <v>0</v>
      </c>
      <c r="S815" s="137">
        <v>0</v>
      </c>
      <c r="T815" s="141">
        <f>'[20]מאזן בוחן'!AR730</f>
        <v>0</v>
      </c>
      <c r="U815" s="141">
        <f>'[21]מאזן בוחן'!AS640</f>
        <v>0</v>
      </c>
      <c r="V815" s="726">
        <f>'[22]מאזן בוחן'!AJ626</f>
        <v>0</v>
      </c>
      <c r="W815" s="726">
        <f>'[23]מאזן בוחן'!AK632</f>
        <v>0</v>
      </c>
      <c r="X815" s="141">
        <v>0</v>
      </c>
      <c r="Y815" s="141">
        <f>'[25]מאזן בוחן'!AM662</f>
        <v>0</v>
      </c>
      <c r="Z815" s="141"/>
      <c r="AA815" s="141">
        <f>'[32]מאזן בוחן'!AO679</f>
        <v>0</v>
      </c>
      <c r="AB815" s="141">
        <f>'[26]מאזן בוחן'!AB687</f>
        <v>0</v>
      </c>
      <c r="AC815" s="141">
        <f>'[27]מאזן בוחן'!AC696</f>
        <v>0</v>
      </c>
      <c r="AD815" s="141">
        <f>'[28]מאזן בוחן'!AD705</f>
        <v>0</v>
      </c>
      <c r="AE815" s="141">
        <f>'[29]מאזן בוחן'!AE715</f>
        <v>0</v>
      </c>
      <c r="AF815" s="141">
        <f>'[30]מאזן בוחן'!AF726</f>
        <v>0</v>
      </c>
      <c r="AG815" s="141">
        <f>'[31]מאזן בוחן'!AG730</f>
        <v>0</v>
      </c>
      <c r="AH815" s="141">
        <v>0</v>
      </c>
      <c r="AI815" s="141">
        <v>0</v>
      </c>
      <c r="AJ815" s="141">
        <v>0</v>
      </c>
      <c r="AK815" s="141">
        <v>0</v>
      </c>
      <c r="AL815" s="141">
        <v>0</v>
      </c>
      <c r="AM815" s="141">
        <f>$K815-SUM($AB815:AL815)</f>
        <v>0</v>
      </c>
      <c r="AN815" s="141"/>
      <c r="AO815" s="141"/>
      <c r="AP815" s="141"/>
      <c r="AQ815" s="141"/>
      <c r="AR815" s="141"/>
      <c r="AS815" s="141"/>
      <c r="AT815" s="141"/>
      <c r="AU815" s="141"/>
      <c r="AV815" s="141"/>
      <c r="AW815" s="141"/>
      <c r="AX815" s="141"/>
      <c r="BA815" s="204"/>
    </row>
    <row r="816" spans="1:53">
      <c r="A816" s="52"/>
      <c r="B816" s="3659"/>
      <c r="C816" s="156"/>
      <c r="D816" s="1675" t="s">
        <v>4562</v>
      </c>
      <c r="E816" s="474"/>
      <c r="J816" s="474"/>
      <c r="K816" s="42"/>
      <c r="L816" s="49"/>
      <c r="M816" s="474"/>
      <c r="N816" s="2733"/>
      <c r="O816" s="1133"/>
      <c r="P816" s="141"/>
      <c r="Q816" s="141"/>
      <c r="T816" s="141"/>
      <c r="U816" s="141"/>
      <c r="V816" s="726"/>
      <c r="W816" s="726"/>
      <c r="X816" s="141"/>
      <c r="Y816" s="141"/>
      <c r="Z816" s="141"/>
      <c r="AA816" s="141"/>
      <c r="AB816" s="141"/>
      <c r="AC816" s="141"/>
      <c r="AD816" s="141"/>
      <c r="AE816" s="141"/>
      <c r="AF816" s="141"/>
      <c r="AG816" s="141"/>
      <c r="AH816" s="141"/>
      <c r="AI816" s="141"/>
      <c r="AJ816" s="141"/>
      <c r="AK816" s="141"/>
      <c r="AL816" s="141"/>
      <c r="AM816" s="141">
        <f>$K816-SUM($AB816:AL816)</f>
        <v>0</v>
      </c>
      <c r="AN816" s="141"/>
      <c r="AO816" s="141"/>
      <c r="AP816" s="141"/>
      <c r="AQ816" s="141"/>
      <c r="AR816" s="141"/>
      <c r="AS816" s="141"/>
      <c r="AT816" s="141"/>
      <c r="AU816" s="141"/>
      <c r="AV816" s="141"/>
      <c r="AW816" s="141"/>
      <c r="AX816" s="141"/>
      <c r="BA816" s="204"/>
    </row>
    <row r="817" spans="1:53">
      <c r="A817" s="52"/>
      <c r="B817" s="3659" t="s">
        <v>1189</v>
      </c>
      <c r="C817" s="585">
        <v>8120001</v>
      </c>
      <c r="D817" s="203" t="s">
        <v>1190</v>
      </c>
      <c r="E817" s="474">
        <f>IFERROR(VLOOKUP(C817,'פקודות נוספות'!$D$274:$F$1797,3,0),0)</f>
        <v>0</v>
      </c>
      <c r="F817" s="49">
        <f>SUMIF('פקודות נוספות'!C:C,C:C,'פקודות נוספות'!E:E)</f>
        <v>0</v>
      </c>
      <c r="J817" s="49">
        <f t="shared" ref="J817:J821" si="168">SUM(E817:I817)</f>
        <v>0</v>
      </c>
      <c r="K817" s="1199">
        <f>M817+SUMIF('פקודות נוספות'!C:C,'מאזן בוחן'!C817,'פקודות נוספות'!F:F)</f>
        <v>0</v>
      </c>
      <c r="L817" s="49"/>
      <c r="M817" s="1341">
        <f>IFERROR(VLOOKUP(C817,'פקודות נוספות'!$D$273:$G$1797,4,0),0)</f>
        <v>0</v>
      </c>
      <c r="N817" s="2733" t="str">
        <f t="shared" ref="N817:N821" si="169">IF(K817=0,"-",J817/K817)</f>
        <v>-</v>
      </c>
      <c r="O817" s="1133"/>
      <c r="P817" s="137">
        <v>0</v>
      </c>
      <c r="Q817" s="141">
        <f>'[39]מאזן בוחן'!AE677</f>
        <v>0</v>
      </c>
      <c r="R817" s="137">
        <v>0</v>
      </c>
      <c r="S817" s="137">
        <v>0</v>
      </c>
      <c r="T817" s="141">
        <f>'[20]מאזן בוחן'!AR731</f>
        <v>0</v>
      </c>
      <c r="U817" s="141">
        <f>'[21]מאזן בוחן'!AS641</f>
        <v>0</v>
      </c>
      <c r="V817" s="726">
        <f>'[22]מאזן בוחן'!AJ627</f>
        <v>0</v>
      </c>
      <c r="W817" s="726">
        <f>'[23]מאזן בוחן'!AK633</f>
        <v>0</v>
      </c>
      <c r="X817" s="141">
        <v>0</v>
      </c>
      <c r="Y817" s="141">
        <f>'[25]מאזן בוחן'!AM663</f>
        <v>0</v>
      </c>
      <c r="Z817" s="141"/>
      <c r="AA817" s="141">
        <f>'[32]מאזן בוחן'!AO680</f>
        <v>0</v>
      </c>
      <c r="AB817" s="141">
        <f>'[26]מאזן בוחן'!AB688</f>
        <v>0</v>
      </c>
      <c r="AC817" s="141">
        <f>'[27]מאזן בוחן'!AC697</f>
        <v>0</v>
      </c>
      <c r="AD817" s="141">
        <f>'[28]מאזן בוחן'!AD706</f>
        <v>0</v>
      </c>
      <c r="AE817" s="141">
        <f>'[29]מאזן בוחן'!AE716</f>
        <v>0</v>
      </c>
      <c r="AF817" s="141">
        <f>'[30]מאזן בוחן'!AF727</f>
        <v>0</v>
      </c>
      <c r="AG817" s="141">
        <f>'[31]מאזן בוחן'!AG731</f>
        <v>0</v>
      </c>
      <c r="AH817" s="141">
        <v>0</v>
      </c>
      <c r="AI817" s="141">
        <v>0</v>
      </c>
      <c r="AJ817" s="141">
        <v>0</v>
      </c>
      <c r="AK817" s="141">
        <v>0</v>
      </c>
      <c r="AL817" s="141">
        <v>0</v>
      </c>
      <c r="AM817" s="141">
        <f>$K817-SUM($AB817:AL817)</f>
        <v>0</v>
      </c>
      <c r="AN817" s="141"/>
      <c r="AO817" s="141"/>
      <c r="AP817" s="141"/>
      <c r="AQ817" s="141"/>
      <c r="AR817" s="141"/>
      <c r="AS817" s="141"/>
      <c r="AT817" s="141"/>
      <c r="AU817" s="141"/>
      <c r="AV817" s="141"/>
      <c r="AW817" s="141"/>
      <c r="AX817" s="141"/>
      <c r="BA817" s="204"/>
    </row>
    <row r="818" spans="1:53">
      <c r="A818" s="52"/>
      <c r="B818" s="3659" t="s">
        <v>1189</v>
      </c>
      <c r="C818" s="585">
        <v>8120002</v>
      </c>
      <c r="D818" s="203" t="s">
        <v>1191</v>
      </c>
      <c r="E818" s="474">
        <f>IFERROR(VLOOKUP(C818,'פקודות נוספות'!$D$274:$F$1797,3,0),0)</f>
        <v>0</v>
      </c>
      <c r="F818" s="49">
        <f>SUMIF('פקודות נוספות'!C:C,C:C,'פקודות נוספות'!E:E)</f>
        <v>0</v>
      </c>
      <c r="J818" s="49">
        <f t="shared" si="168"/>
        <v>0</v>
      </c>
      <c r="K818" s="1199">
        <f>M818+SUMIF('פקודות נוספות'!C:C,'מאזן בוחן'!C818,'פקודות נוספות'!F:F)</f>
        <v>0</v>
      </c>
      <c r="L818" s="49"/>
      <c r="M818" s="1341">
        <f>IFERROR(VLOOKUP(C818,'פקודות נוספות'!$D$273:$G$1797,4,0),0)</f>
        <v>0</v>
      </c>
      <c r="N818" s="2733" t="str">
        <f t="shared" si="169"/>
        <v>-</v>
      </c>
      <c r="O818" s="1133"/>
      <c r="P818" s="137">
        <v>0</v>
      </c>
      <c r="Q818" s="141">
        <f>'[39]מאזן בוחן'!AE678</f>
        <v>0</v>
      </c>
      <c r="R818" s="137">
        <v>0</v>
      </c>
      <c r="S818" s="137">
        <v>0</v>
      </c>
      <c r="T818" s="141">
        <f>'[20]מאזן בוחן'!AR732</f>
        <v>0</v>
      </c>
      <c r="U818" s="141">
        <f>'[21]מאזן בוחן'!AS642</f>
        <v>0</v>
      </c>
      <c r="V818" s="726">
        <f>'[22]מאזן בוחן'!AJ628</f>
        <v>0</v>
      </c>
      <c r="W818" s="726">
        <f>'[23]מאזן בוחן'!AK634</f>
        <v>0</v>
      </c>
      <c r="X818" s="141">
        <v>0</v>
      </c>
      <c r="Y818" s="141">
        <f>'[25]מאזן בוחן'!AM664</f>
        <v>0</v>
      </c>
      <c r="Z818" s="141"/>
      <c r="AA818" s="141">
        <f>'[32]מאזן בוחן'!AO681</f>
        <v>0</v>
      </c>
      <c r="AB818" s="141">
        <f>'[26]מאזן בוחן'!AB689</f>
        <v>0</v>
      </c>
      <c r="AC818" s="141">
        <f>'[27]מאזן בוחן'!AC698</f>
        <v>0</v>
      </c>
      <c r="AD818" s="141">
        <f>'[28]מאזן בוחן'!AD707</f>
        <v>0</v>
      </c>
      <c r="AE818" s="141">
        <f>'[29]מאזן בוחן'!AE717</f>
        <v>0</v>
      </c>
      <c r="AF818" s="141">
        <f>'[30]מאזן בוחן'!AF728</f>
        <v>0</v>
      </c>
      <c r="AG818" s="141">
        <f>'[31]מאזן בוחן'!AG732</f>
        <v>0</v>
      </c>
      <c r="AH818" s="141">
        <v>0</v>
      </c>
      <c r="AI818" s="141">
        <v>0</v>
      </c>
      <c r="AJ818" s="141">
        <v>0</v>
      </c>
      <c r="AK818" s="141">
        <v>0</v>
      </c>
      <c r="AL818" s="141">
        <v>0</v>
      </c>
      <c r="AM818" s="141">
        <f>$K818-SUM($AB818:AL818)</f>
        <v>0</v>
      </c>
      <c r="AN818" s="141"/>
      <c r="AO818" s="141"/>
      <c r="AP818" s="141"/>
      <c r="AQ818" s="141"/>
      <c r="AR818" s="141"/>
      <c r="AS818" s="141"/>
      <c r="AT818" s="141"/>
      <c r="AU818" s="141"/>
      <c r="AV818" s="141"/>
      <c r="AW818" s="141"/>
      <c r="AX818" s="141"/>
      <c r="BA818" s="204"/>
    </row>
    <row r="819" spans="1:53">
      <c r="A819" s="52"/>
      <c r="B819" s="3659" t="s">
        <v>1189</v>
      </c>
      <c r="C819" s="585">
        <v>8120003</v>
      </c>
      <c r="D819" s="203" t="s">
        <v>1192</v>
      </c>
      <c r="E819" s="474">
        <f>IFERROR(VLOOKUP(C819,'פקודות נוספות'!$D$274:$F$1797,3,0),0)</f>
        <v>0</v>
      </c>
      <c r="F819" s="49">
        <f>SUMIF('פקודות נוספות'!C:C,C:C,'פקודות נוספות'!E:E)</f>
        <v>0</v>
      </c>
      <c r="J819" s="49">
        <f t="shared" si="168"/>
        <v>0</v>
      </c>
      <c r="K819" s="1199">
        <f>M819+SUMIF('פקודות נוספות'!C:C,'מאזן בוחן'!C819,'פקודות נוספות'!F:F)</f>
        <v>0</v>
      </c>
      <c r="L819" s="49"/>
      <c r="M819" s="1341">
        <f>IFERROR(VLOOKUP(C819,'פקודות נוספות'!$D$273:$G$1797,4,0),0)</f>
        <v>0</v>
      </c>
      <c r="N819" s="2733" t="str">
        <f t="shared" si="169"/>
        <v>-</v>
      </c>
      <c r="O819" s="1133"/>
      <c r="P819" s="137">
        <v>0</v>
      </c>
      <c r="Q819" s="141">
        <f>'[39]מאזן בוחן'!AE679</f>
        <v>0</v>
      </c>
      <c r="R819" s="137">
        <v>0</v>
      </c>
      <c r="S819" s="137">
        <v>0</v>
      </c>
      <c r="T819" s="141">
        <f>'[20]מאזן בוחן'!AR733</f>
        <v>0</v>
      </c>
      <c r="U819" s="141">
        <f>'[21]מאזן בוחן'!AS643</f>
        <v>0</v>
      </c>
      <c r="V819" s="726">
        <f>'[22]מאזן בוחן'!AJ629</f>
        <v>0</v>
      </c>
      <c r="W819" s="726">
        <f>'[23]מאזן בוחן'!AK635</f>
        <v>0</v>
      </c>
      <c r="X819" s="141">
        <v>0</v>
      </c>
      <c r="Y819" s="141">
        <f>'[25]מאזן בוחן'!AM665</f>
        <v>0</v>
      </c>
      <c r="Z819" s="141"/>
      <c r="AA819" s="141">
        <f>'[32]מאזן בוחן'!AO682</f>
        <v>0</v>
      </c>
      <c r="AB819" s="141">
        <f>'[26]מאזן בוחן'!AB690</f>
        <v>0</v>
      </c>
      <c r="AC819" s="141">
        <f>'[27]מאזן בוחן'!AC699</f>
        <v>0</v>
      </c>
      <c r="AD819" s="141">
        <f>'[28]מאזן בוחן'!AD708</f>
        <v>0</v>
      </c>
      <c r="AE819" s="141">
        <f>'[29]מאזן בוחן'!AE718</f>
        <v>0</v>
      </c>
      <c r="AF819" s="141">
        <f>'[30]מאזן בוחן'!AF729</f>
        <v>0</v>
      </c>
      <c r="AG819" s="141">
        <f>'[31]מאזן בוחן'!AG733</f>
        <v>0</v>
      </c>
      <c r="AH819" s="141">
        <v>0</v>
      </c>
      <c r="AI819" s="141">
        <v>0</v>
      </c>
      <c r="AJ819" s="141">
        <v>0</v>
      </c>
      <c r="AK819" s="141">
        <v>0</v>
      </c>
      <c r="AL819" s="141">
        <v>0</v>
      </c>
      <c r="AM819" s="141">
        <f>$K819-SUM($AB819:AL819)</f>
        <v>0</v>
      </c>
      <c r="AN819" s="141"/>
      <c r="AO819" s="141"/>
      <c r="AP819" s="141"/>
      <c r="AQ819" s="141"/>
      <c r="AR819" s="141"/>
      <c r="AS819" s="141"/>
      <c r="AT819" s="141"/>
      <c r="AU819" s="141"/>
      <c r="AV819" s="141"/>
      <c r="AW819" s="141"/>
      <c r="AX819" s="141"/>
      <c r="BA819" s="204"/>
    </row>
    <row r="820" spans="1:53">
      <c r="A820" s="52"/>
      <c r="B820" s="3659" t="s">
        <v>1189</v>
      </c>
      <c r="C820" s="585">
        <v>8120004</v>
      </c>
      <c r="D820" s="203" t="s">
        <v>1193</v>
      </c>
      <c r="E820" s="474">
        <f>IFERROR(VLOOKUP(C820,'פקודות נוספות'!$D$274:$F$1797,3,0),0)</f>
        <v>0</v>
      </c>
      <c r="F820" s="49">
        <f>SUMIF('פקודות נוספות'!C:C,C:C,'פקודות נוספות'!E:E)</f>
        <v>0</v>
      </c>
      <c r="J820" s="49">
        <f t="shared" si="168"/>
        <v>0</v>
      </c>
      <c r="K820" s="1199">
        <f>M820+SUMIF('פקודות נוספות'!C:C,'מאזן בוחן'!C820,'פקודות נוספות'!F:F)</f>
        <v>0</v>
      </c>
      <c r="L820" s="49"/>
      <c r="M820" s="1341">
        <f>IFERROR(VLOOKUP(C820,'פקודות נוספות'!$D$273:$G$1797,4,0),0)</f>
        <v>0</v>
      </c>
      <c r="N820" s="2733" t="str">
        <f t="shared" si="169"/>
        <v>-</v>
      </c>
      <c r="O820" s="1133"/>
      <c r="P820" s="137">
        <v>0</v>
      </c>
      <c r="Q820" s="141">
        <f>'[39]מאזן בוחן'!AE680</f>
        <v>0</v>
      </c>
      <c r="R820" s="137">
        <v>0</v>
      </c>
      <c r="S820" s="137">
        <v>0</v>
      </c>
      <c r="T820" s="141">
        <f>'[20]מאזן בוחן'!AR734</f>
        <v>0</v>
      </c>
      <c r="U820" s="141">
        <f>'[21]מאזן בוחן'!AS644</f>
        <v>0</v>
      </c>
      <c r="V820" s="726">
        <f>'[22]מאזן בוחן'!AJ630</f>
        <v>0</v>
      </c>
      <c r="W820" s="726">
        <f>'[23]מאזן בוחן'!AK636</f>
        <v>0</v>
      </c>
      <c r="X820" s="141">
        <v>0</v>
      </c>
      <c r="Y820" s="141">
        <f>'[25]מאזן בוחן'!AM666</f>
        <v>0</v>
      </c>
      <c r="Z820" s="141"/>
      <c r="AA820" s="141">
        <f>'[32]מאזן בוחן'!AO683</f>
        <v>0</v>
      </c>
      <c r="AB820" s="141">
        <f>'[26]מאזן בוחן'!AB691</f>
        <v>0</v>
      </c>
      <c r="AC820" s="141">
        <f>'[27]מאזן בוחן'!AC700</f>
        <v>0</v>
      </c>
      <c r="AD820" s="141">
        <f>'[28]מאזן בוחן'!AD709</f>
        <v>0</v>
      </c>
      <c r="AE820" s="141">
        <f>'[29]מאזן בוחן'!AE719</f>
        <v>0</v>
      </c>
      <c r="AF820" s="141">
        <f>'[30]מאזן בוחן'!AF730</f>
        <v>0</v>
      </c>
      <c r="AG820" s="141">
        <f>'[31]מאזן בוחן'!AG734</f>
        <v>0</v>
      </c>
      <c r="AH820" s="141">
        <v>0</v>
      </c>
      <c r="AI820" s="141">
        <v>0</v>
      </c>
      <c r="AJ820" s="141">
        <v>0</v>
      </c>
      <c r="AK820" s="141">
        <v>0</v>
      </c>
      <c r="AL820" s="141">
        <v>0</v>
      </c>
      <c r="AM820" s="141">
        <f>$K820-SUM($AB820:AL820)</f>
        <v>0</v>
      </c>
      <c r="AN820" s="141"/>
      <c r="AO820" s="141"/>
      <c r="AP820" s="141"/>
      <c r="AQ820" s="141"/>
      <c r="AR820" s="141"/>
      <c r="AS820" s="141"/>
      <c r="AT820" s="141"/>
      <c r="AU820" s="141"/>
      <c r="AV820" s="141"/>
      <c r="AW820" s="141"/>
      <c r="AX820" s="141"/>
      <c r="BA820" s="204"/>
    </row>
    <row r="821" spans="1:53">
      <c r="A821" s="52"/>
      <c r="B821" s="3659" t="s">
        <v>1189</v>
      </c>
      <c r="C821" s="585">
        <v>8120005</v>
      </c>
      <c r="D821" s="203" t="s">
        <v>1194</v>
      </c>
      <c r="E821" s="474">
        <f>IFERROR(VLOOKUP(C821,'פקודות נוספות'!$D$274:$F$1797,3,0),0)</f>
        <v>0</v>
      </c>
      <c r="F821" s="49">
        <f>SUMIF('פקודות נוספות'!C:C,C:C,'פקודות נוספות'!E:E)</f>
        <v>0</v>
      </c>
      <c r="J821" s="49">
        <f t="shared" si="168"/>
        <v>0</v>
      </c>
      <c r="K821" s="1199">
        <f>M821+SUMIF('פקודות נוספות'!C:C,'מאזן בוחן'!C821,'פקודות נוספות'!F:F)</f>
        <v>0</v>
      </c>
      <c r="L821" s="49"/>
      <c r="M821" s="1341">
        <f>IFERROR(VLOOKUP(C821,'פקודות נוספות'!$D$273:$G$1797,4,0),0)</f>
        <v>0</v>
      </c>
      <c r="N821" s="2733" t="str">
        <f t="shared" si="169"/>
        <v>-</v>
      </c>
      <c r="O821" s="1133"/>
      <c r="P821" s="137">
        <v>0</v>
      </c>
      <c r="Q821" s="141">
        <f>'[39]מאזן בוחן'!AE681</f>
        <v>0</v>
      </c>
      <c r="R821" s="137">
        <v>0</v>
      </c>
      <c r="S821" s="137">
        <v>0</v>
      </c>
      <c r="T821" s="141">
        <f>'[20]מאזן בוחן'!AR735</f>
        <v>0</v>
      </c>
      <c r="U821" s="141">
        <f>'[21]מאזן בוחן'!AS645</f>
        <v>0</v>
      </c>
      <c r="V821" s="726">
        <f>'[22]מאזן בוחן'!AJ631</f>
        <v>0</v>
      </c>
      <c r="W821" s="726">
        <f>'[23]מאזן בוחן'!AK637</f>
        <v>0</v>
      </c>
      <c r="X821" s="141">
        <v>0</v>
      </c>
      <c r="Y821" s="141">
        <f>'[25]מאזן בוחן'!AM667</f>
        <v>0</v>
      </c>
      <c r="Z821" s="141"/>
      <c r="AA821" s="141">
        <f>'[32]מאזן בוחן'!AO684</f>
        <v>0</v>
      </c>
      <c r="AB821" s="141">
        <f>'[26]מאזן בוחן'!AB692</f>
        <v>0</v>
      </c>
      <c r="AC821" s="141">
        <f>'[27]מאזן בוחן'!AC701</f>
        <v>0</v>
      </c>
      <c r="AD821" s="141">
        <f>'[28]מאזן בוחן'!AD710</f>
        <v>0</v>
      </c>
      <c r="AE821" s="141">
        <f>'[29]מאזן בוחן'!AE720</f>
        <v>0</v>
      </c>
      <c r="AF821" s="141">
        <f>'[30]מאזן בוחן'!AF731</f>
        <v>0</v>
      </c>
      <c r="AG821" s="141">
        <f>'[31]מאזן בוחן'!AG735</f>
        <v>0</v>
      </c>
      <c r="AH821" s="141">
        <v>0</v>
      </c>
      <c r="AI821" s="141">
        <v>0</v>
      </c>
      <c r="AJ821" s="141">
        <v>0</v>
      </c>
      <c r="AK821" s="141">
        <v>0</v>
      </c>
      <c r="AL821" s="141">
        <v>0</v>
      </c>
      <c r="AM821" s="141">
        <f>$K821-SUM($AB821:AL821)</f>
        <v>0</v>
      </c>
      <c r="AN821" s="141"/>
      <c r="AO821" s="141"/>
      <c r="AP821" s="141"/>
      <c r="AQ821" s="141"/>
      <c r="AR821" s="141"/>
      <c r="AS821" s="141"/>
      <c r="AT821" s="141"/>
      <c r="AU821" s="141"/>
      <c r="AV821" s="141"/>
      <c r="AW821" s="141"/>
      <c r="AX821" s="141"/>
      <c r="BA821" s="204"/>
    </row>
    <row r="822" spans="1:53">
      <c r="A822" s="52"/>
      <c r="B822" s="3659" t="s">
        <v>1189</v>
      </c>
      <c r="C822" s="585">
        <v>8120020</v>
      </c>
      <c r="D822" s="203" t="s">
        <v>1295</v>
      </c>
      <c r="E822" s="474">
        <f>IFERROR(VLOOKUP(C822,'פקודות נוספות'!$D$274:$F$797,3,0),0)</f>
        <v>52426.29</v>
      </c>
      <c r="F822" s="49">
        <f>SUMIF('פקודות נוספות'!C:C,C:C,'פקודות נוספות'!E:E)</f>
        <v>0</v>
      </c>
      <c r="J822" s="474">
        <f>SUM(E822:I822)</f>
        <v>52426.29</v>
      </c>
      <c r="K822" s="42">
        <f>M822+SUMIF('פקודות נוספות'!C:C,'מאזן בוחן'!C822,'פקודות נוספות'!F:F)</f>
        <v>16411.04</v>
      </c>
      <c r="L822" s="49"/>
      <c r="M822" s="1341">
        <f>IFERROR(VLOOKUP(C822,'פקודות נוספות'!$D$273:$G$797,4,0),0)</f>
        <v>16411.04</v>
      </c>
      <c r="N822" s="2733">
        <f>IF(K822=0,"-",J822/K822)</f>
        <v>3.1945745059423412</v>
      </c>
      <c r="O822" s="1133"/>
      <c r="P822" s="1512">
        <v>939.92000000000007</v>
      </c>
      <c r="Q822" s="141">
        <f>'[39]מאזן בוחן'!AE682</f>
        <v>154.23999999999978</v>
      </c>
      <c r="R822" s="1512">
        <v>141.32999999999993</v>
      </c>
      <c r="S822" s="1512">
        <v>2477.8600000000006</v>
      </c>
      <c r="T822" s="141">
        <f>'[20]מאזן בוחן'!AR736</f>
        <v>349.89999999999964</v>
      </c>
      <c r="U822" s="141">
        <f>'[21]מאזן בוחן'!AS646</f>
        <v>3200.2700000000004</v>
      </c>
      <c r="V822" s="726">
        <f>'[22]מאזן בוחן'!AJ632</f>
        <v>416.97999999999956</v>
      </c>
      <c r="W822" s="726">
        <f>'[23]מאזן בוחן'!AK638</f>
        <v>168.68000000000029</v>
      </c>
      <c r="X822" s="141">
        <v>256.6299999999992</v>
      </c>
      <c r="Y822" s="141">
        <f>'[25]מאזן בוחן'!AM668</f>
        <v>305.32999999999993</v>
      </c>
      <c r="Z822" s="141"/>
      <c r="AA822" s="141">
        <f>'[32]מאזן בוחן'!AO685</f>
        <v>3556.0200000000004</v>
      </c>
      <c r="AB822" s="141">
        <f>'[26]מאזן בוחן'!AB693</f>
        <v>678.39</v>
      </c>
      <c r="AC822" s="141">
        <f>'[27]מאזן בוחן'!AC702</f>
        <v>1012.6</v>
      </c>
      <c r="AD822" s="141">
        <f>'[28]מאזן בוחן'!AD711</f>
        <v>842.60000000000014</v>
      </c>
      <c r="AE822" s="141">
        <f>'[29]מאזן בוחן'!AE721</f>
        <v>572.59999999999991</v>
      </c>
      <c r="AF822" s="141">
        <f>'[30]מאזן בוחן'!AF732</f>
        <v>416.21000000000004</v>
      </c>
      <c r="AG822" s="141">
        <f>'[31]מאזן בוחן'!AG736</f>
        <v>290</v>
      </c>
      <c r="AH822" s="141">
        <v>339.99999999999955</v>
      </c>
      <c r="AI822" s="141">
        <v>520</v>
      </c>
      <c r="AJ822" s="141">
        <v>420</v>
      </c>
      <c r="AK822" s="141">
        <v>0</v>
      </c>
      <c r="AL822" s="141">
        <v>380</v>
      </c>
      <c r="AM822" s="141">
        <f>$K822-SUM($AB822:AL822)</f>
        <v>10938.640000000001</v>
      </c>
      <c r="AN822" s="141"/>
      <c r="AO822" s="141"/>
      <c r="AP822" s="141"/>
      <c r="AQ822" s="141"/>
      <c r="AR822" s="141"/>
      <c r="AS822" s="141"/>
      <c r="AT822" s="141"/>
      <c r="AU822" s="141"/>
      <c r="AV822" s="141"/>
      <c r="AW822" s="141"/>
      <c r="AX822" s="141"/>
      <c r="BA822" s="204"/>
    </row>
    <row r="823" spans="1:53">
      <c r="A823" s="52"/>
      <c r="B823" s="3659" t="s">
        <v>1195</v>
      </c>
      <c r="C823" s="585">
        <v>8220001</v>
      </c>
      <c r="D823" s="203" t="s">
        <v>1196</v>
      </c>
      <c r="E823" s="474">
        <f>IFERROR(VLOOKUP(C823,'פקודות נוספות'!$D$274:$F$797,3,0),0)</f>
        <v>0</v>
      </c>
      <c r="F823" s="49">
        <f>SUMIF('פקודות נוספות'!C:C,C:C,'פקודות נוספות'!E:E)</f>
        <v>0</v>
      </c>
      <c r="J823" s="474">
        <f>SUM(E823:I823)</f>
        <v>0</v>
      </c>
      <c r="K823" s="42">
        <f>M823+SUMIF('פקודות נוספות'!C:C,'מאזן בוחן'!C823,'פקודות נוספות'!F:F)</f>
        <v>0</v>
      </c>
      <c r="L823" s="49"/>
      <c r="M823" s="1341">
        <f>IFERROR(VLOOKUP(C823,'פקודות נוספות'!$D$273:$G$797,4,0),0)</f>
        <v>0</v>
      </c>
      <c r="N823" s="2733" t="str">
        <f>IF(K823=0,"-",J823/K823)</f>
        <v>-</v>
      </c>
      <c r="O823" s="1133"/>
      <c r="P823" s="137">
        <v>0</v>
      </c>
      <c r="Q823" s="141">
        <f>'[39]מאזן בוחן'!AE683</f>
        <v>0</v>
      </c>
      <c r="R823" s="137">
        <v>0</v>
      </c>
      <c r="S823" s="137">
        <v>0</v>
      </c>
      <c r="T823" s="141">
        <f>'[20]מאזן בוחן'!AR737</f>
        <v>0</v>
      </c>
      <c r="U823" s="141">
        <f>'[21]מאזן בוחן'!AS647</f>
        <v>0</v>
      </c>
      <c r="V823" s="726">
        <f>'[22]מאזן בוחן'!AJ633</f>
        <v>0</v>
      </c>
      <c r="W823" s="726">
        <f>'[23]מאזן בוחן'!AK639</f>
        <v>0</v>
      </c>
      <c r="X823" s="141">
        <v>0</v>
      </c>
      <c r="Y823" s="141">
        <f>'[25]מאזן בוחן'!AM669</f>
        <v>0</v>
      </c>
      <c r="Z823" s="141"/>
      <c r="AA823" s="141">
        <f>'[32]מאזן בוחן'!AO686</f>
        <v>0</v>
      </c>
      <c r="AB823" s="141">
        <f>'[26]מאזן בוחן'!AB694</f>
        <v>0</v>
      </c>
      <c r="AC823" s="141">
        <f>'[27]מאזן בוחן'!AC703</f>
        <v>0</v>
      </c>
      <c r="AD823" s="141">
        <f>'[28]מאזן בוחן'!AD712</f>
        <v>0</v>
      </c>
      <c r="AE823" s="141">
        <f>'[29]מאזן בוחן'!AE722</f>
        <v>0</v>
      </c>
      <c r="AF823" s="141">
        <f>'[30]מאזן בוחן'!AF733</f>
        <v>0</v>
      </c>
      <c r="AG823" s="141">
        <f>'[31]מאזן בוחן'!AG737</f>
        <v>0</v>
      </c>
      <c r="AH823" s="141">
        <v>0</v>
      </c>
      <c r="AI823" s="141">
        <v>0</v>
      </c>
      <c r="AJ823" s="141">
        <v>0</v>
      </c>
      <c r="AK823" s="141">
        <v>0</v>
      </c>
      <c r="AL823" s="141">
        <v>0</v>
      </c>
      <c r="AM823" s="141">
        <f>$K823-SUM($AB823:AL823)</f>
        <v>0</v>
      </c>
      <c r="AN823" s="141"/>
      <c r="AO823" s="141"/>
      <c r="AP823" s="141"/>
      <c r="AQ823" s="141"/>
      <c r="AR823" s="141"/>
      <c r="AS823" s="141"/>
      <c r="AT823" s="141"/>
      <c r="AU823" s="141"/>
      <c r="AV823" s="141"/>
      <c r="AW823" s="141"/>
      <c r="AX823" s="141"/>
      <c r="BA823" s="204"/>
    </row>
    <row r="824" spans="1:53">
      <c r="A824" s="52"/>
      <c r="B824" s="3659" t="s">
        <v>1195</v>
      </c>
      <c r="C824" s="585">
        <v>8220002</v>
      </c>
      <c r="D824" s="203" t="s">
        <v>1197</v>
      </c>
      <c r="E824" s="474">
        <f>IFERROR(VLOOKUP(C824,'פקודות נוספות'!$D$274:$F$797,3,0),0)</f>
        <v>0</v>
      </c>
      <c r="F824" s="49">
        <f>SUMIF('פקודות נוספות'!C:C,C:C,'פקודות נוספות'!E:E)</f>
        <v>0</v>
      </c>
      <c r="J824" s="474">
        <f>SUM(E824:I824)</f>
        <v>0</v>
      </c>
      <c r="K824" s="42">
        <f>M824+SUMIF('פקודות נוספות'!C:C,'מאזן בוחן'!C824,'פקודות נוספות'!F:F)</f>
        <v>0</v>
      </c>
      <c r="L824" s="49"/>
      <c r="M824" s="1341">
        <f>IFERROR(VLOOKUP(C824,'פקודות נוספות'!$D$273:$G$797,4,0),0)</f>
        <v>0</v>
      </c>
      <c r="N824" s="2733" t="str">
        <f>IF(K824=0,"-",J824/K824)</f>
        <v>-</v>
      </c>
      <c r="O824" s="1133"/>
      <c r="P824" s="137">
        <v>0</v>
      </c>
      <c r="Q824" s="141">
        <f>'[39]מאזן בוחן'!AE684</f>
        <v>0</v>
      </c>
      <c r="R824" s="137">
        <v>0</v>
      </c>
      <c r="S824" s="137">
        <v>0</v>
      </c>
      <c r="T824" s="141">
        <f>'[20]מאזן בוחן'!AR738</f>
        <v>0</v>
      </c>
      <c r="U824" s="141">
        <f>'[21]מאזן בוחן'!AS648</f>
        <v>0</v>
      </c>
      <c r="V824" s="726">
        <f>'[22]מאזן בוחן'!AJ634</f>
        <v>0</v>
      </c>
      <c r="W824" s="726">
        <f>'[23]מאזן בוחן'!AK640</f>
        <v>0</v>
      </c>
      <c r="X824" s="141">
        <v>0</v>
      </c>
      <c r="Y824" s="141">
        <f>'[25]מאזן בוחן'!AM670</f>
        <v>0</v>
      </c>
      <c r="Z824" s="141"/>
      <c r="AA824" s="141">
        <f>'[32]מאזן בוחן'!AO687</f>
        <v>0</v>
      </c>
      <c r="AB824" s="141">
        <f>'[26]מאזן בוחן'!AB695</f>
        <v>0</v>
      </c>
      <c r="AC824" s="141">
        <f>'[27]מאזן בוחן'!AC704</f>
        <v>0</v>
      </c>
      <c r="AD824" s="141">
        <f>'[28]מאזן בוחן'!AD713</f>
        <v>0</v>
      </c>
      <c r="AE824" s="141">
        <f>'[29]מאזן בוחן'!AE723</f>
        <v>0</v>
      </c>
      <c r="AF824" s="141">
        <f>'[30]מאזן בוחן'!AF734</f>
        <v>0</v>
      </c>
      <c r="AG824" s="141">
        <f>'[31]מאזן בוחן'!AG738</f>
        <v>0</v>
      </c>
      <c r="AH824" s="141">
        <v>0</v>
      </c>
      <c r="AI824" s="141">
        <v>0</v>
      </c>
      <c r="AJ824" s="141">
        <v>0</v>
      </c>
      <c r="AK824" s="141">
        <v>0</v>
      </c>
      <c r="AL824" s="141">
        <v>0</v>
      </c>
      <c r="AM824" s="141">
        <f>$K824-SUM($AB824:AL824)</f>
        <v>0</v>
      </c>
      <c r="AN824" s="141"/>
      <c r="AO824" s="141"/>
      <c r="AP824" s="141"/>
      <c r="AQ824" s="141"/>
      <c r="AR824" s="141"/>
      <c r="AS824" s="141"/>
      <c r="AT824" s="141"/>
      <c r="AU824" s="141"/>
      <c r="AV824" s="141"/>
      <c r="AW824" s="141"/>
      <c r="AX824" s="141"/>
      <c r="BA824" s="204"/>
    </row>
    <row r="825" spans="1:53">
      <c r="A825" s="52"/>
      <c r="B825" s="3659" t="s">
        <v>1195</v>
      </c>
      <c r="C825" s="585">
        <v>8220003</v>
      </c>
      <c r="D825" s="203" t="s">
        <v>1198</v>
      </c>
      <c r="E825" s="474">
        <f>IFERROR(VLOOKUP(C825,'פקודות נוספות'!$D$274:$F$797,3,0),0)</f>
        <v>0</v>
      </c>
      <c r="F825" s="49">
        <f>SUMIF('פקודות נוספות'!C:C,C:C,'פקודות נוספות'!E:E)</f>
        <v>0</v>
      </c>
      <c r="J825" s="474">
        <f t="shared" ref="J825:J850" si="170">SUM(E825:I825)</f>
        <v>0</v>
      </c>
      <c r="K825" s="42">
        <f>M825+SUMIF('פקודות נוספות'!C:C,'מאזן בוחן'!C825,'פקודות נוספות'!F:F)</f>
        <v>0</v>
      </c>
      <c r="L825" s="49"/>
      <c r="M825" s="1341">
        <f>IFERROR(VLOOKUP(C825,'פקודות נוספות'!$D$273:$G$797,4,0),0)</f>
        <v>0</v>
      </c>
      <c r="N825" s="2733" t="str">
        <f t="shared" ref="N825:N846" si="171">IF(K825=0,"-",J825/K825)</f>
        <v>-</v>
      </c>
      <c r="O825" s="1133"/>
      <c r="P825" s="137">
        <v>0</v>
      </c>
      <c r="Q825" s="141">
        <f>'[39]מאזן בוחן'!AE685</f>
        <v>0</v>
      </c>
      <c r="R825" s="137">
        <v>0</v>
      </c>
      <c r="S825" s="137">
        <v>0</v>
      </c>
      <c r="T825" s="141">
        <f>'[20]מאזן בוחן'!AR739</f>
        <v>0</v>
      </c>
      <c r="U825" s="141">
        <f>'[21]מאזן בוחן'!AS649</f>
        <v>0</v>
      </c>
      <c r="V825" s="726">
        <f>'[22]מאזן בוחן'!AJ635</f>
        <v>0</v>
      </c>
      <c r="W825" s="726">
        <f>'[23]מאזן בוחן'!AK641</f>
        <v>0</v>
      </c>
      <c r="X825" s="141">
        <v>0</v>
      </c>
      <c r="Y825" s="141">
        <f>'[25]מאזן בוחן'!AM671</f>
        <v>0</v>
      </c>
      <c r="Z825" s="141"/>
      <c r="AA825" s="141">
        <f>'[32]מאזן בוחן'!AO688</f>
        <v>0</v>
      </c>
      <c r="AB825" s="141">
        <f>'[26]מאזן בוחן'!AB696</f>
        <v>0</v>
      </c>
      <c r="AC825" s="141">
        <f>'[27]מאזן בוחן'!AC705</f>
        <v>0</v>
      </c>
      <c r="AD825" s="141">
        <f>'[28]מאזן בוחן'!AD714</f>
        <v>0</v>
      </c>
      <c r="AE825" s="141">
        <f>'[29]מאזן בוחן'!AE724</f>
        <v>0</v>
      </c>
      <c r="AF825" s="141">
        <f>'[30]מאזן בוחן'!AF735</f>
        <v>0</v>
      </c>
      <c r="AG825" s="141">
        <f>'[31]מאזן בוחן'!AG739</f>
        <v>0</v>
      </c>
      <c r="AH825" s="141">
        <v>0</v>
      </c>
      <c r="AI825" s="141">
        <v>0</v>
      </c>
      <c r="AJ825" s="141">
        <v>0</v>
      </c>
      <c r="AK825" s="141">
        <v>0</v>
      </c>
      <c r="AL825" s="141">
        <v>0</v>
      </c>
      <c r="AM825" s="141">
        <f>$K825-SUM($AB825:AL825)</f>
        <v>0</v>
      </c>
      <c r="AN825" s="141"/>
      <c r="AO825" s="141"/>
      <c r="AP825" s="141"/>
      <c r="AQ825" s="141"/>
      <c r="AR825" s="141"/>
      <c r="AS825" s="141"/>
      <c r="AT825" s="141"/>
      <c r="AU825" s="141"/>
      <c r="AV825" s="141"/>
      <c r="AW825" s="141"/>
      <c r="AX825" s="141"/>
      <c r="BA825" s="204"/>
    </row>
    <row r="826" spans="1:53">
      <c r="A826" s="52"/>
      <c r="B826" s="3659" t="s">
        <v>1195</v>
      </c>
      <c r="C826" s="585">
        <v>8220004</v>
      </c>
      <c r="D826" s="203" t="s">
        <v>1199</v>
      </c>
      <c r="E826" s="474">
        <f>IFERROR(VLOOKUP(C826,'פקודות נוספות'!$D$274:$F$797,3,0),0)</f>
        <v>0</v>
      </c>
      <c r="F826" s="49">
        <f>SUMIF('פקודות נוספות'!C:C,C:C,'פקודות נוספות'!E:E)</f>
        <v>0</v>
      </c>
      <c r="J826" s="474">
        <f t="shared" si="170"/>
        <v>0</v>
      </c>
      <c r="K826" s="42">
        <f>M826+SUMIF('פקודות נוספות'!C:C,'מאזן בוחן'!C826,'פקודות נוספות'!F:F)</f>
        <v>0</v>
      </c>
      <c r="L826" s="49"/>
      <c r="M826" s="1341">
        <f>IFERROR(VLOOKUP(C826,'פקודות נוספות'!$D$273:$G$797,4,0),0)</f>
        <v>0</v>
      </c>
      <c r="N826" s="2733" t="str">
        <f t="shared" si="171"/>
        <v>-</v>
      </c>
      <c r="O826" s="1133"/>
      <c r="P826" s="137">
        <v>0</v>
      </c>
      <c r="Q826" s="141">
        <f>'[39]מאזן בוחן'!AE686</f>
        <v>0</v>
      </c>
      <c r="R826" s="137">
        <v>0</v>
      </c>
      <c r="S826" s="137">
        <v>0</v>
      </c>
      <c r="T826" s="141">
        <f>'[20]מאזן בוחן'!AR740</f>
        <v>0</v>
      </c>
      <c r="U826" s="141">
        <f>'[21]מאזן בוחן'!AS650</f>
        <v>0</v>
      </c>
      <c r="V826" s="726">
        <f>'[22]מאזן בוחן'!AJ636</f>
        <v>0</v>
      </c>
      <c r="W826" s="726">
        <f>'[23]מאזן בוחן'!AK642</f>
        <v>0</v>
      </c>
      <c r="X826" s="141">
        <v>0</v>
      </c>
      <c r="Y826" s="141">
        <f>'[25]מאזן בוחן'!AM672</f>
        <v>0</v>
      </c>
      <c r="Z826" s="141"/>
      <c r="AA826" s="141">
        <f>'[32]מאזן בוחן'!AO689</f>
        <v>0</v>
      </c>
      <c r="AB826" s="141">
        <f>'[26]מאזן בוחן'!AB697</f>
        <v>0</v>
      </c>
      <c r="AC826" s="141">
        <f>'[27]מאזן בוחן'!AC706</f>
        <v>0</v>
      </c>
      <c r="AD826" s="141">
        <f>'[28]מאזן בוחן'!AD715</f>
        <v>0</v>
      </c>
      <c r="AE826" s="141">
        <f>'[29]מאזן בוחן'!AE725</f>
        <v>0</v>
      </c>
      <c r="AF826" s="141">
        <f>'[30]מאזן בוחן'!AF736</f>
        <v>0</v>
      </c>
      <c r="AG826" s="141">
        <f>'[31]מאזן בוחן'!AG740</f>
        <v>0</v>
      </c>
      <c r="AH826" s="141">
        <v>0</v>
      </c>
      <c r="AI826" s="141">
        <v>0</v>
      </c>
      <c r="AJ826" s="141">
        <v>0</v>
      </c>
      <c r="AK826" s="141">
        <v>0</v>
      </c>
      <c r="AL826" s="141">
        <v>0</v>
      </c>
      <c r="AM826" s="141">
        <f>$K826-SUM($AB826:AL826)</f>
        <v>0</v>
      </c>
      <c r="AN826" s="141"/>
      <c r="AO826" s="141"/>
      <c r="AP826" s="141"/>
      <c r="AQ826" s="141"/>
      <c r="AR826" s="141"/>
      <c r="AS826" s="141"/>
      <c r="AT826" s="141"/>
      <c r="AU826" s="141"/>
      <c r="AV826" s="141"/>
      <c r="AW826" s="141"/>
      <c r="AX826" s="141"/>
      <c r="BA826" s="204"/>
    </row>
    <row r="827" spans="1:53">
      <c r="A827" s="52"/>
      <c r="B827" s="3659" t="s">
        <v>1195</v>
      </c>
      <c r="C827" s="585">
        <v>8220005</v>
      </c>
      <c r="D827" s="203" t="s">
        <v>1200</v>
      </c>
      <c r="E827" s="474">
        <f>IFERROR(VLOOKUP(C827,'פקודות נוספות'!$D$274:$F$797,3,0),0)</f>
        <v>0</v>
      </c>
      <c r="F827" s="49">
        <f>SUMIF('פקודות נוספות'!C:C,C:C,'פקודות נוספות'!E:E)</f>
        <v>0</v>
      </c>
      <c r="J827" s="474">
        <f t="shared" si="170"/>
        <v>0</v>
      </c>
      <c r="K827" s="42">
        <f>M827+SUMIF('פקודות נוספות'!C:C,'מאזן בוחן'!C827,'פקודות נוספות'!F:F)</f>
        <v>0</v>
      </c>
      <c r="L827" s="49"/>
      <c r="M827" s="1341">
        <f>IFERROR(VLOOKUP(C827,'פקודות נוספות'!$D$273:$G$797,4,0),0)</f>
        <v>0</v>
      </c>
      <c r="N827" s="2733" t="str">
        <f t="shared" si="171"/>
        <v>-</v>
      </c>
      <c r="O827" s="1133"/>
      <c r="P827" s="137">
        <v>0</v>
      </c>
      <c r="Q827" s="141">
        <f>'[39]מאזן בוחן'!AE687</f>
        <v>0</v>
      </c>
      <c r="R827" s="137">
        <v>0</v>
      </c>
      <c r="S827" s="137">
        <v>0</v>
      </c>
      <c r="T827" s="141">
        <f>'[20]מאזן בוחן'!AR741</f>
        <v>0</v>
      </c>
      <c r="U827" s="141">
        <f>'[21]מאזן בוחן'!AS651</f>
        <v>0</v>
      </c>
      <c r="V827" s="726">
        <f>'[22]מאזן בוחן'!AJ637</f>
        <v>0</v>
      </c>
      <c r="W827" s="726">
        <f>'[23]מאזן בוחן'!AK643</f>
        <v>0</v>
      </c>
      <c r="X827" s="141">
        <v>0</v>
      </c>
      <c r="Y827" s="141">
        <f>'[25]מאזן בוחן'!AM673</f>
        <v>0</v>
      </c>
      <c r="Z827" s="141"/>
      <c r="AA827" s="141">
        <f>'[32]מאזן בוחן'!AO690</f>
        <v>0</v>
      </c>
      <c r="AB827" s="141">
        <f>'[26]מאזן בוחן'!AB698</f>
        <v>0</v>
      </c>
      <c r="AC827" s="141">
        <f>'[27]מאזן בוחן'!AC707</f>
        <v>0</v>
      </c>
      <c r="AD827" s="141">
        <f>'[28]מאזן בוחן'!AD716</f>
        <v>0</v>
      </c>
      <c r="AE827" s="141">
        <f>'[29]מאזן בוחן'!AE726</f>
        <v>0</v>
      </c>
      <c r="AF827" s="141">
        <f>'[30]מאזן בוחן'!AF737</f>
        <v>0</v>
      </c>
      <c r="AG827" s="141">
        <f>'[31]מאזן בוחן'!AG741</f>
        <v>0</v>
      </c>
      <c r="AH827" s="141">
        <v>0</v>
      </c>
      <c r="AI827" s="141">
        <v>0</v>
      </c>
      <c r="AJ827" s="141">
        <v>0</v>
      </c>
      <c r="AK827" s="141">
        <v>0</v>
      </c>
      <c r="AL827" s="141">
        <v>0</v>
      </c>
      <c r="AM827" s="141">
        <f>$K827-SUM($AB827:AL827)</f>
        <v>0</v>
      </c>
      <c r="AN827" s="141"/>
      <c r="AO827" s="141"/>
      <c r="AP827" s="141"/>
      <c r="AQ827" s="141"/>
      <c r="AR827" s="141"/>
      <c r="AS827" s="141"/>
      <c r="AT827" s="141"/>
      <c r="AU827" s="141"/>
      <c r="AV827" s="141"/>
      <c r="AW827" s="141"/>
      <c r="AX827" s="141"/>
      <c r="BA827" s="204"/>
    </row>
    <row r="828" spans="1:53">
      <c r="A828" s="52"/>
      <c r="B828" s="3659" t="s">
        <v>1202</v>
      </c>
      <c r="C828" s="585">
        <v>8320002</v>
      </c>
      <c r="D828" s="203" t="s">
        <v>1871</v>
      </c>
      <c r="E828" s="474">
        <f>IFERROR(VLOOKUP(C828,'פקודות נוספות'!$D$274:$F$797,3,0),0)</f>
        <v>0</v>
      </c>
      <c r="F828" s="49">
        <f>SUMIF('פקודות נוספות'!C:C,C:C,'פקודות נוספות'!E:E)</f>
        <v>0</v>
      </c>
      <c r="J828" s="474">
        <f t="shared" si="170"/>
        <v>0</v>
      </c>
      <c r="K828" s="474">
        <f>M828+SUMIF('פקודות נוספות'!C:C,'מאזן בוחן'!C828,'פקודות נוספות'!F:F)</f>
        <v>0</v>
      </c>
      <c r="L828" s="49"/>
      <c r="M828" s="1341">
        <f>IFERROR(VLOOKUP(C828,'פקודות נוספות'!$D$273:$G$797,4,0),0)</f>
        <v>0</v>
      </c>
      <c r="N828" s="2733" t="str">
        <f t="shared" ref="N828:N831" si="172">IF(K828=0,"-",J828/K828)</f>
        <v>-</v>
      </c>
      <c r="O828" s="1133"/>
      <c r="P828" s="137">
        <v>0</v>
      </c>
      <c r="Q828" s="141">
        <f>'[39]מאזן בוחן'!AE692</f>
        <v>0</v>
      </c>
      <c r="R828" s="137">
        <v>0</v>
      </c>
      <c r="S828" s="137">
        <v>0</v>
      </c>
      <c r="T828" s="141">
        <f>'[20]מאזן בוחן'!AR746</f>
        <v>0</v>
      </c>
      <c r="U828" s="141">
        <f>'[21]מאזן בוחן'!AS656</f>
        <v>0</v>
      </c>
      <c r="V828" s="726">
        <f>'[22]מאזן בוחן'!AJ642</f>
        <v>0</v>
      </c>
      <c r="W828" s="726">
        <f>'[23]מאזן בוחן'!AK648</f>
        <v>0</v>
      </c>
      <c r="X828" s="141">
        <v>0</v>
      </c>
      <c r="Y828" s="141">
        <f>'[25]מאזן בוחן'!AM678</f>
        <v>0</v>
      </c>
      <c r="Z828" s="141"/>
      <c r="AA828" s="141">
        <f>'[32]מאזן בוחן'!AO695</f>
        <v>0</v>
      </c>
      <c r="AB828" s="141">
        <f>'[26]מאזן בוחן'!AB703</f>
        <v>0</v>
      </c>
      <c r="AC828" s="141">
        <f>'[27]מאזן בוחן'!AC712</f>
        <v>0</v>
      </c>
      <c r="AD828" s="141">
        <f>'[28]מאזן בוחן'!AD721</f>
        <v>0</v>
      </c>
      <c r="AE828" s="141">
        <f>'[29]מאזן בוחן'!AE731</f>
        <v>0</v>
      </c>
      <c r="AF828" s="141">
        <f>'[30]מאזן בוחן'!AF742</f>
        <v>0</v>
      </c>
      <c r="AG828" s="141">
        <f>'[31]מאזן בוחן'!AG746</f>
        <v>0</v>
      </c>
      <c r="AH828" s="141">
        <v>0</v>
      </c>
      <c r="AI828" s="141">
        <v>0</v>
      </c>
      <c r="AJ828" s="141">
        <v>0</v>
      </c>
      <c r="AK828" s="141">
        <v>0</v>
      </c>
      <c r="AL828" s="141">
        <v>0</v>
      </c>
      <c r="AM828" s="141">
        <f>$K828-SUM($AB828:AL828)</f>
        <v>0</v>
      </c>
      <c r="AN828" s="141"/>
      <c r="AO828" s="141"/>
      <c r="AP828" s="141"/>
      <c r="AQ828" s="141"/>
      <c r="AR828" s="141"/>
      <c r="AS828" s="141"/>
      <c r="AT828" s="141"/>
      <c r="AU828" s="141"/>
      <c r="AV828" s="141"/>
      <c r="AW828" s="141"/>
      <c r="AX828" s="141"/>
      <c r="BA828" s="204"/>
    </row>
    <row r="829" spans="1:53">
      <c r="A829" s="52"/>
      <c r="B829" s="3659" t="s">
        <v>1202</v>
      </c>
      <c r="C829" s="585">
        <v>8320003</v>
      </c>
      <c r="D829" s="203" t="s">
        <v>1872</v>
      </c>
      <c r="E829" s="474">
        <f>IFERROR(VLOOKUP(C829,'פקודות נוספות'!$D$274:$F$797,3,0),0)</f>
        <v>0</v>
      </c>
      <c r="F829" s="49">
        <f>SUMIF('פקודות נוספות'!C:C,C:C,'פקודות נוספות'!E:E)</f>
        <v>0</v>
      </c>
      <c r="J829" s="474">
        <f t="shared" si="170"/>
        <v>0</v>
      </c>
      <c r="K829" s="474">
        <f>M829+SUMIF('פקודות נוספות'!C:C,'מאזן בוחן'!C829,'פקודות נוספות'!F:F)</f>
        <v>0</v>
      </c>
      <c r="L829" s="49"/>
      <c r="M829" s="1341">
        <f>IFERROR(VLOOKUP(C829,'פקודות נוספות'!$D$273:$G$797,4,0),0)</f>
        <v>0</v>
      </c>
      <c r="N829" s="2733" t="str">
        <f t="shared" si="172"/>
        <v>-</v>
      </c>
      <c r="O829" s="1133"/>
      <c r="P829" s="137">
        <v>0</v>
      </c>
      <c r="Q829" s="141">
        <f>'[39]מאזן בוחן'!AE693</f>
        <v>0</v>
      </c>
      <c r="R829" s="137">
        <v>0</v>
      </c>
      <c r="S829" s="137">
        <v>0</v>
      </c>
      <c r="T829" s="141">
        <f>'[20]מאזן בוחן'!AR747</f>
        <v>0</v>
      </c>
      <c r="U829" s="141">
        <f>'[21]מאזן בוחן'!AS657</f>
        <v>0</v>
      </c>
      <c r="V829" s="726">
        <f>'[22]מאזן בוחן'!AJ643</f>
        <v>0</v>
      </c>
      <c r="W829" s="726">
        <f>'[23]מאזן בוחן'!AK649</f>
        <v>0</v>
      </c>
      <c r="X829" s="141">
        <v>0</v>
      </c>
      <c r="Y829" s="141">
        <f>'[25]מאזן בוחן'!AM679</f>
        <v>0</v>
      </c>
      <c r="Z829" s="141"/>
      <c r="AA829" s="141">
        <f>'[32]מאזן בוחן'!AO696</f>
        <v>0</v>
      </c>
      <c r="AB829" s="141">
        <f>'[26]מאזן בוחן'!AB704</f>
        <v>0</v>
      </c>
      <c r="AC829" s="141">
        <f>'[27]מאזן בוחן'!AC713</f>
        <v>0</v>
      </c>
      <c r="AD829" s="141">
        <f>'[28]מאזן בוחן'!AD722</f>
        <v>0</v>
      </c>
      <c r="AE829" s="141">
        <f>'[29]מאזן בוחן'!AE732</f>
        <v>0</v>
      </c>
      <c r="AF829" s="141">
        <f>'[30]מאזן בוחן'!AF743</f>
        <v>0</v>
      </c>
      <c r="AG829" s="141">
        <f>'[31]מאזן בוחן'!AG747</f>
        <v>0</v>
      </c>
      <c r="AH829" s="141">
        <v>0</v>
      </c>
      <c r="AI829" s="141">
        <v>0</v>
      </c>
      <c r="AJ829" s="141">
        <v>0</v>
      </c>
      <c r="AK829" s="141">
        <v>0</v>
      </c>
      <c r="AL829" s="141">
        <v>0</v>
      </c>
      <c r="AM829" s="141">
        <f>$K829-SUM($AB829:AL829)</f>
        <v>0</v>
      </c>
      <c r="AN829" s="141"/>
      <c r="AO829" s="141"/>
      <c r="AP829" s="141"/>
      <c r="AQ829" s="141"/>
      <c r="AR829" s="141"/>
      <c r="AS829" s="141"/>
      <c r="AT829" s="141"/>
      <c r="AU829" s="141"/>
      <c r="AV829" s="141"/>
      <c r="AW829" s="141"/>
      <c r="AX829" s="141"/>
      <c r="BA829" s="204"/>
    </row>
    <row r="830" spans="1:53">
      <c r="A830" s="52"/>
      <c r="B830" s="3659" t="s">
        <v>1202</v>
      </c>
      <c r="C830" s="585">
        <v>8320004</v>
      </c>
      <c r="D830" s="203" t="s">
        <v>1203</v>
      </c>
      <c r="E830" s="474">
        <f>IFERROR(VLOOKUP(C830,'פקודות נוספות'!$D$274:$F$797,3,0),0)</f>
        <v>0</v>
      </c>
      <c r="F830" s="49">
        <f>SUMIF('פקודות נוספות'!C:C,C:C,'פקודות נוספות'!E:E)</f>
        <v>0</v>
      </c>
      <c r="J830" s="474">
        <f t="shared" si="170"/>
        <v>0</v>
      </c>
      <c r="K830" s="474">
        <f>M830+SUMIF('פקודות נוספות'!C:C,'מאזן בוחן'!C830,'פקודות נוספות'!F:F)</f>
        <v>0</v>
      </c>
      <c r="L830" s="49"/>
      <c r="M830" s="1341">
        <f>IFERROR(VLOOKUP(C830,'פקודות נוספות'!$D$273:$G$797,4,0),0)</f>
        <v>0</v>
      </c>
      <c r="N830" s="2733" t="str">
        <f t="shared" si="172"/>
        <v>-</v>
      </c>
      <c r="O830" s="1133"/>
      <c r="P830" s="137">
        <v>0</v>
      </c>
      <c r="Q830" s="141">
        <f>'[39]מאזן בוחן'!AE694</f>
        <v>0</v>
      </c>
      <c r="R830" s="137">
        <v>0</v>
      </c>
      <c r="S830" s="137">
        <v>0</v>
      </c>
      <c r="T830" s="141">
        <f>'[20]מאזן בוחן'!AR748</f>
        <v>0</v>
      </c>
      <c r="U830" s="141">
        <f>'[21]מאזן בוחן'!AS658</f>
        <v>0</v>
      </c>
      <c r="V830" s="726">
        <f>'[22]מאזן בוחן'!AJ644</f>
        <v>0</v>
      </c>
      <c r="W830" s="726">
        <f>'[23]מאזן בוחן'!AK650</f>
        <v>0</v>
      </c>
      <c r="X830" s="141">
        <v>0</v>
      </c>
      <c r="Y830" s="141">
        <f>'[25]מאזן בוחן'!AM680</f>
        <v>0</v>
      </c>
      <c r="Z830" s="141"/>
      <c r="AA830" s="141">
        <f>'[32]מאזן בוחן'!AO697</f>
        <v>0</v>
      </c>
      <c r="AB830" s="141">
        <f>'[26]מאזן בוחן'!AB705</f>
        <v>0</v>
      </c>
      <c r="AC830" s="141">
        <f>'[27]מאזן בוחן'!AC714</f>
        <v>0</v>
      </c>
      <c r="AD830" s="141">
        <f>'[28]מאזן בוחן'!AD723</f>
        <v>0</v>
      </c>
      <c r="AE830" s="141">
        <f>'[29]מאזן בוחן'!AE733</f>
        <v>0</v>
      </c>
      <c r="AF830" s="141">
        <f>'[30]מאזן בוחן'!AF744</f>
        <v>0</v>
      </c>
      <c r="AG830" s="141">
        <f>'[31]מאזן בוחן'!AG748</f>
        <v>0</v>
      </c>
      <c r="AH830" s="141">
        <v>0</v>
      </c>
      <c r="AI830" s="141">
        <v>0</v>
      </c>
      <c r="AJ830" s="141">
        <v>0</v>
      </c>
      <c r="AK830" s="141">
        <v>0</v>
      </c>
      <c r="AL830" s="141">
        <v>0</v>
      </c>
      <c r="AM830" s="141">
        <f>$K830-SUM($AB830:AL830)</f>
        <v>0</v>
      </c>
      <c r="AN830" s="141"/>
      <c r="AO830" s="141"/>
      <c r="AP830" s="141"/>
      <c r="AQ830" s="141"/>
      <c r="AR830" s="141"/>
      <c r="AS830" s="141"/>
      <c r="AT830" s="141"/>
      <c r="AU830" s="141"/>
      <c r="AV830" s="141"/>
      <c r="AW830" s="141"/>
      <c r="AX830" s="141"/>
      <c r="BA830" s="204"/>
    </row>
    <row r="831" spans="1:53">
      <c r="A831" s="52"/>
      <c r="B831" s="3659" t="s">
        <v>1202</v>
      </c>
      <c r="C831" s="585">
        <v>8320005</v>
      </c>
      <c r="D831" s="203" t="s">
        <v>1204</v>
      </c>
      <c r="E831" s="474">
        <f>IFERROR(VLOOKUP(C831,'פקודות נוספות'!$D$274:$F$797,3,0),0)</f>
        <v>0</v>
      </c>
      <c r="F831" s="49">
        <f>SUMIF('פקודות נוספות'!C:C,C:C,'פקודות נוספות'!E:E)</f>
        <v>0</v>
      </c>
      <c r="J831" s="474">
        <f t="shared" si="170"/>
        <v>0</v>
      </c>
      <c r="K831" s="474">
        <f>M831+SUMIF('פקודות נוספות'!C:C,'מאזן בוחן'!C831,'פקודות נוספות'!F:F)</f>
        <v>0</v>
      </c>
      <c r="L831" s="49"/>
      <c r="M831" s="1341">
        <f>IFERROR(VLOOKUP(C831,'פקודות נוספות'!$D$273:$G$797,4,0),0)</f>
        <v>0</v>
      </c>
      <c r="N831" s="2733" t="str">
        <f t="shared" si="172"/>
        <v>-</v>
      </c>
      <c r="O831" s="1133"/>
      <c r="P831" s="137">
        <v>0</v>
      </c>
      <c r="Q831" s="141">
        <f>'[39]מאזן בוחן'!AE695</f>
        <v>0</v>
      </c>
      <c r="R831" s="137">
        <v>0</v>
      </c>
      <c r="S831" s="137">
        <v>0</v>
      </c>
      <c r="T831" s="141">
        <f>'[20]מאזן בוחן'!AR749</f>
        <v>0</v>
      </c>
      <c r="U831" s="141">
        <f>'[21]מאזן בוחן'!AS659</f>
        <v>0</v>
      </c>
      <c r="V831" s="726">
        <f>'[22]מאזן בוחן'!AJ645</f>
        <v>0</v>
      </c>
      <c r="W831" s="726">
        <f>'[23]מאזן בוחן'!AK651</f>
        <v>0</v>
      </c>
      <c r="X831" s="141">
        <v>0</v>
      </c>
      <c r="Y831" s="141">
        <f>'[25]מאזן בוחן'!AM681</f>
        <v>0</v>
      </c>
      <c r="Z831" s="141"/>
      <c r="AA831" s="141">
        <f>'[32]מאזן בוחן'!AO698</f>
        <v>0</v>
      </c>
      <c r="AB831" s="141">
        <f>'[26]מאזן בוחן'!AB706</f>
        <v>0</v>
      </c>
      <c r="AC831" s="141">
        <f>'[27]מאזן בוחן'!AC715</f>
        <v>0</v>
      </c>
      <c r="AD831" s="141">
        <f>'[28]מאזן בוחן'!AD724</f>
        <v>0</v>
      </c>
      <c r="AE831" s="141">
        <f>'[29]מאזן בוחן'!AE734</f>
        <v>0</v>
      </c>
      <c r="AF831" s="141">
        <f>'[30]מאזן בוחן'!AF745</f>
        <v>0</v>
      </c>
      <c r="AG831" s="141">
        <f>'[31]מאזן בוחן'!AG749</f>
        <v>0</v>
      </c>
      <c r="AH831" s="141">
        <v>0</v>
      </c>
      <c r="AI831" s="141">
        <v>0</v>
      </c>
      <c r="AJ831" s="141">
        <v>0</v>
      </c>
      <c r="AK831" s="141">
        <v>0</v>
      </c>
      <c r="AL831" s="141">
        <v>0</v>
      </c>
      <c r="AM831" s="141">
        <f>$K831-SUM($AB831:AL831)</f>
        <v>0</v>
      </c>
      <c r="AN831" s="141"/>
      <c r="AO831" s="141"/>
      <c r="AP831" s="141"/>
      <c r="AQ831" s="141"/>
      <c r="AR831" s="141"/>
      <c r="AS831" s="141"/>
      <c r="AT831" s="141"/>
      <c r="AU831" s="141"/>
      <c r="AV831" s="141"/>
      <c r="AW831" s="141"/>
      <c r="AX831" s="141"/>
      <c r="BA831" s="204"/>
    </row>
    <row r="832" spans="1:53">
      <c r="A832" s="52"/>
      <c r="B832" s="3659" t="s">
        <v>1185</v>
      </c>
      <c r="C832" s="585">
        <v>8410001</v>
      </c>
      <c r="D832" s="203" t="s">
        <v>1205</v>
      </c>
      <c r="E832" s="474">
        <f>IFERROR(VLOOKUP(C832,'פקודות נוספות'!$D$274:$F$797,3,0),0)</f>
        <v>0</v>
      </c>
      <c r="F832" s="49">
        <f>SUMIF('פקודות נוספות'!C:C,C:C,'פקודות נוספות'!E:E)</f>
        <v>0</v>
      </c>
      <c r="J832" s="474">
        <f t="shared" si="170"/>
        <v>0</v>
      </c>
      <c r="K832" s="474">
        <f>M832+SUMIF('פקודות נוספות'!C:C,'מאזן בוחן'!C832,'פקודות נוספות'!F:F)</f>
        <v>0</v>
      </c>
      <c r="L832" s="49"/>
      <c r="M832" s="1341">
        <f>IFERROR(VLOOKUP(C832,'פקודות נוספות'!$D$273:$G$797,4,0),0)</f>
        <v>0</v>
      </c>
      <c r="N832" s="2733" t="str">
        <f t="shared" si="171"/>
        <v>-</v>
      </c>
      <c r="O832" s="1133"/>
      <c r="P832" s="137">
        <v>0</v>
      </c>
      <c r="Q832" s="141">
        <f>'[39]מאזן בוחן'!AE696</f>
        <v>0</v>
      </c>
      <c r="R832" s="137">
        <v>0</v>
      </c>
      <c r="S832" s="137">
        <v>-1163.05</v>
      </c>
      <c r="T832" s="141">
        <f>'[20]מאזן בוחן'!AR750</f>
        <v>0</v>
      </c>
      <c r="U832" s="141">
        <f>'[21]מאזן בוחן'!AS660</f>
        <v>0</v>
      </c>
      <c r="V832" s="726">
        <f>'[22]מאזן בוחן'!AJ646</f>
        <v>0</v>
      </c>
      <c r="W832" s="726">
        <f>'[23]מאזן בוחן'!AK652</f>
        <v>0</v>
      </c>
      <c r="X832" s="141">
        <v>0</v>
      </c>
      <c r="Y832" s="141">
        <f>'[25]מאזן בוחן'!AM682</f>
        <v>0</v>
      </c>
      <c r="Z832" s="141"/>
      <c r="AA832" s="141">
        <f>'[32]מאזן בוחן'!AO699</f>
        <v>0</v>
      </c>
      <c r="AB832" s="141">
        <f>'[26]מאזן בוחן'!AB707</f>
        <v>0</v>
      </c>
      <c r="AC832" s="141">
        <f>'[27]מאזן בוחן'!AC716</f>
        <v>0</v>
      </c>
      <c r="AD832" s="141">
        <f>'[28]מאזן בוחן'!AD725</f>
        <v>0</v>
      </c>
      <c r="AE832" s="141">
        <f>'[29]מאזן בוחן'!AE735</f>
        <v>0</v>
      </c>
      <c r="AF832" s="141">
        <f>'[30]מאזן בוחן'!AF746</f>
        <v>0</v>
      </c>
      <c r="AG832" s="141">
        <f>'[31]מאזן בוחן'!AG750</f>
        <v>0</v>
      </c>
      <c r="AH832" s="141">
        <v>0</v>
      </c>
      <c r="AI832" s="141">
        <v>0</v>
      </c>
      <c r="AJ832" s="141">
        <v>0</v>
      </c>
      <c r="AK832" s="141">
        <v>0</v>
      </c>
      <c r="AL832" s="141">
        <v>0</v>
      </c>
      <c r="AM832" s="141">
        <f>$K832-SUM($AB832:AL832)</f>
        <v>0</v>
      </c>
      <c r="AN832" s="141"/>
      <c r="AO832" s="141"/>
      <c r="AP832" s="141"/>
      <c r="AQ832" s="141"/>
      <c r="AR832" s="141"/>
      <c r="AS832" s="141"/>
      <c r="AT832" s="141"/>
      <c r="AU832" s="141"/>
      <c r="AV832" s="141"/>
      <c r="AW832" s="141"/>
      <c r="AX832" s="141"/>
      <c r="BA832" s="204"/>
    </row>
    <row r="833" spans="1:53">
      <c r="A833" s="52"/>
      <c r="B833" s="3659" t="s">
        <v>1185</v>
      </c>
      <c r="C833" s="585">
        <v>8410002</v>
      </c>
      <c r="D833" s="203" t="s">
        <v>1206</v>
      </c>
      <c r="E833" s="474">
        <f>IFERROR(VLOOKUP(C833,'פקודות נוספות'!$D$274:$F$797,3,0),0)</f>
        <v>0</v>
      </c>
      <c r="F833" s="49">
        <f>SUMIF('פקודות נוספות'!C:C,C:C,'פקודות נוספות'!E:E)</f>
        <v>0</v>
      </c>
      <c r="J833" s="474">
        <f t="shared" si="170"/>
        <v>0</v>
      </c>
      <c r="K833" s="474">
        <f>M833+SUMIF('פקודות נוספות'!C:C,'מאזן בוחן'!C833,'פקודות נוספות'!F:F)</f>
        <v>0</v>
      </c>
      <c r="L833" s="49"/>
      <c r="M833" s="1341">
        <f>IFERROR(VLOOKUP(C833,'פקודות נוספות'!$D$273:$G$797,4,0),0)</f>
        <v>0</v>
      </c>
      <c r="N833" s="2733" t="str">
        <f t="shared" si="171"/>
        <v>-</v>
      </c>
      <c r="O833" s="1133"/>
      <c r="P833" s="137">
        <v>0</v>
      </c>
      <c r="Q833" s="141">
        <f>'[39]מאזן בוחן'!AE697</f>
        <v>0</v>
      </c>
      <c r="R833" s="137">
        <v>0</v>
      </c>
      <c r="S833" s="137">
        <v>0</v>
      </c>
      <c r="T833" s="141">
        <f>'[20]מאזן בוחן'!AR751</f>
        <v>0</v>
      </c>
      <c r="U833" s="141">
        <f>'[21]מאזן בוחן'!AS661</f>
        <v>0</v>
      </c>
      <c r="V833" s="726">
        <f>'[22]מאזן בוחן'!AJ647</f>
        <v>0</v>
      </c>
      <c r="W833" s="726">
        <f>'[23]מאזן בוחן'!AK653</f>
        <v>0</v>
      </c>
      <c r="X833" s="141">
        <v>0</v>
      </c>
      <c r="Y833" s="141">
        <f>'[25]מאזן בוחן'!AM683</f>
        <v>0</v>
      </c>
      <c r="Z833" s="141"/>
      <c r="AA833" s="141">
        <f>'[32]מאזן בוחן'!AO700</f>
        <v>0</v>
      </c>
      <c r="AB833" s="141">
        <f>'[26]מאזן בוחן'!AB708</f>
        <v>0</v>
      </c>
      <c r="AC833" s="141">
        <f>'[27]מאזן בוחן'!AC717</f>
        <v>0</v>
      </c>
      <c r="AD833" s="141">
        <f>'[28]מאזן בוחן'!AD726</f>
        <v>0</v>
      </c>
      <c r="AE833" s="141">
        <f>'[29]מאזן בוחן'!AE736</f>
        <v>0</v>
      </c>
      <c r="AF833" s="141">
        <f>'[30]מאזן בוחן'!AF747</f>
        <v>0</v>
      </c>
      <c r="AG833" s="141">
        <f>'[31]מאזן בוחן'!AG751</f>
        <v>0</v>
      </c>
      <c r="AH833" s="141">
        <v>0</v>
      </c>
      <c r="AI833" s="141">
        <v>0</v>
      </c>
      <c r="AJ833" s="141">
        <v>0</v>
      </c>
      <c r="AK833" s="141">
        <v>0</v>
      </c>
      <c r="AL833" s="141">
        <v>0</v>
      </c>
      <c r="AM833" s="141">
        <f>$K833-SUM($AB833:AL833)</f>
        <v>0</v>
      </c>
      <c r="AN833" s="141"/>
      <c r="AO833" s="141"/>
      <c r="AP833" s="141"/>
      <c r="AQ833" s="141"/>
      <c r="AR833" s="141"/>
      <c r="AS833" s="141"/>
      <c r="AT833" s="141"/>
      <c r="AU833" s="141"/>
      <c r="AV833" s="141"/>
      <c r="AW833" s="141"/>
      <c r="AX833" s="141"/>
      <c r="BA833" s="204"/>
    </row>
    <row r="834" spans="1:53">
      <c r="A834" s="52"/>
      <c r="B834" s="3659" t="s">
        <v>1185</v>
      </c>
      <c r="C834" s="585">
        <v>8410003</v>
      </c>
      <c r="D834" s="203" t="s">
        <v>1207</v>
      </c>
      <c r="E834" s="474">
        <f>IFERROR(VLOOKUP(C834,'פקודות נוספות'!$D$274:$F$797,3,0),0)</f>
        <v>0</v>
      </c>
      <c r="F834" s="49">
        <f>SUMIF('פקודות נוספות'!C:C,C:C,'פקודות נוספות'!E:E)</f>
        <v>0</v>
      </c>
      <c r="J834" s="474">
        <f t="shared" si="170"/>
        <v>0</v>
      </c>
      <c r="K834" s="474">
        <f>M834+SUMIF('פקודות נוספות'!C:C,'מאזן בוחן'!C834,'פקודות נוספות'!F:F)</f>
        <v>0</v>
      </c>
      <c r="L834" s="49"/>
      <c r="M834" s="1341">
        <f>IFERROR(VLOOKUP(C834,'פקודות נוספות'!$D$273:$G$797,4,0),0)</f>
        <v>0</v>
      </c>
      <c r="N834" s="2733" t="str">
        <f t="shared" si="171"/>
        <v>-</v>
      </c>
      <c r="O834" s="1133"/>
      <c r="P834" s="137">
        <v>0</v>
      </c>
      <c r="Q834" s="141">
        <f>'[39]מאזן בוחן'!AE698</f>
        <v>0</v>
      </c>
      <c r="R834" s="137">
        <v>0</v>
      </c>
      <c r="S834" s="137">
        <v>0</v>
      </c>
      <c r="T834" s="141">
        <f>'[20]מאזן בוחן'!AR752</f>
        <v>0</v>
      </c>
      <c r="U834" s="141">
        <f>'[21]מאזן בוחן'!AS662</f>
        <v>0</v>
      </c>
      <c r="V834" s="726">
        <f>'[22]מאזן בוחן'!AJ648</f>
        <v>0</v>
      </c>
      <c r="W834" s="726">
        <f>'[23]מאזן בוחן'!AK654</f>
        <v>0</v>
      </c>
      <c r="X834" s="141">
        <v>0</v>
      </c>
      <c r="Y834" s="141">
        <f>'[25]מאזן בוחן'!AM684</f>
        <v>0</v>
      </c>
      <c r="Z834" s="141"/>
      <c r="AA834" s="141">
        <f>'[32]מאזן בוחן'!AO701</f>
        <v>0</v>
      </c>
      <c r="AB834" s="141">
        <f>'[26]מאזן בוחן'!AB709</f>
        <v>0</v>
      </c>
      <c r="AC834" s="141">
        <f>'[27]מאזן בוחן'!AC718</f>
        <v>0</v>
      </c>
      <c r="AD834" s="141">
        <f>'[28]מאזן בוחן'!AD727</f>
        <v>0</v>
      </c>
      <c r="AE834" s="141">
        <f>'[29]מאזן בוחן'!AE737</f>
        <v>0</v>
      </c>
      <c r="AF834" s="141">
        <f>'[30]מאזן בוחן'!AF748</f>
        <v>0</v>
      </c>
      <c r="AG834" s="141">
        <f>'[31]מאזן בוחן'!AG752</f>
        <v>0</v>
      </c>
      <c r="AH834" s="141">
        <v>0</v>
      </c>
      <c r="AI834" s="141">
        <v>0</v>
      </c>
      <c r="AJ834" s="141">
        <v>0</v>
      </c>
      <c r="AK834" s="141">
        <v>0</v>
      </c>
      <c r="AL834" s="141">
        <v>0</v>
      </c>
      <c r="AM834" s="141">
        <f>$K834-SUM($AB834:AL834)</f>
        <v>0</v>
      </c>
      <c r="AN834" s="141"/>
      <c r="AO834" s="141"/>
      <c r="AP834" s="141"/>
      <c r="AQ834" s="141"/>
      <c r="AR834" s="141"/>
      <c r="AS834" s="141"/>
      <c r="AT834" s="141"/>
      <c r="AU834" s="141"/>
      <c r="AV834" s="141"/>
      <c r="AW834" s="141"/>
      <c r="AX834" s="141"/>
      <c r="BA834" s="204"/>
    </row>
    <row r="835" spans="1:53">
      <c r="A835" s="52"/>
      <c r="B835" s="3659" t="s">
        <v>1185</v>
      </c>
      <c r="C835" s="585">
        <v>8410004</v>
      </c>
      <c r="D835" s="203" t="s">
        <v>1208</v>
      </c>
      <c r="E835" s="474">
        <f>IFERROR(VLOOKUP(C835,'פקודות נוספות'!$D$274:$F$797,3,0),0)</f>
        <v>0</v>
      </c>
      <c r="F835" s="49">
        <f>SUMIF('פקודות נוספות'!C:C,C:C,'פקודות נוספות'!E:E)</f>
        <v>0</v>
      </c>
      <c r="J835" s="474">
        <f t="shared" si="170"/>
        <v>0</v>
      </c>
      <c r="K835" s="474">
        <f>M835+SUMIF('פקודות נוספות'!C:C,'מאזן בוחן'!C835,'פקודות נוספות'!F:F)</f>
        <v>0</v>
      </c>
      <c r="L835" s="49"/>
      <c r="M835" s="1341">
        <f>IFERROR(VLOOKUP(C835,'פקודות נוספות'!$D$273:$G$797,4,0),0)</f>
        <v>0</v>
      </c>
      <c r="N835" s="2733" t="str">
        <f t="shared" si="171"/>
        <v>-</v>
      </c>
      <c r="O835" s="1133"/>
      <c r="P835" s="137">
        <v>0</v>
      </c>
      <c r="Q835" s="141">
        <f>'[39]מאזן בוחן'!AE699</f>
        <v>56.45</v>
      </c>
      <c r="R835" s="137">
        <v>0</v>
      </c>
      <c r="S835" s="137">
        <v>0</v>
      </c>
      <c r="T835" s="141">
        <f>'[20]מאזן בוחן'!AR753</f>
        <v>0</v>
      </c>
      <c r="U835" s="141">
        <f>'[21]מאזן בוחן'!AS663</f>
        <v>0</v>
      </c>
      <c r="V835" s="726">
        <f>'[22]מאזן בוחן'!AJ649</f>
        <v>0</v>
      </c>
      <c r="W835" s="726">
        <f>'[23]מאזן בוחן'!AK655</f>
        <v>0</v>
      </c>
      <c r="X835" s="141">
        <v>0</v>
      </c>
      <c r="Y835" s="141">
        <f>'[25]מאזן בוחן'!AM685</f>
        <v>0</v>
      </c>
      <c r="Z835" s="141"/>
      <c r="AA835" s="141">
        <f>'[32]מאזן בוחן'!AO702</f>
        <v>0</v>
      </c>
      <c r="AB835" s="141">
        <f>'[26]מאזן בוחן'!AB710</f>
        <v>0</v>
      </c>
      <c r="AC835" s="141">
        <f>'[27]מאזן בוחן'!AC719</f>
        <v>0</v>
      </c>
      <c r="AD835" s="141">
        <f>'[28]מאזן בוחן'!AD728</f>
        <v>0</v>
      </c>
      <c r="AE835" s="141">
        <f>'[29]מאזן בוחן'!AE738</f>
        <v>0</v>
      </c>
      <c r="AF835" s="141">
        <f>'[30]מאזן בוחן'!AF749</f>
        <v>0</v>
      </c>
      <c r="AG835" s="141">
        <f>'[31]מאזן בוחן'!AG753</f>
        <v>0</v>
      </c>
      <c r="AH835" s="141">
        <v>0</v>
      </c>
      <c r="AI835" s="141">
        <v>0</v>
      </c>
      <c r="AJ835" s="141">
        <v>0</v>
      </c>
      <c r="AK835" s="141">
        <v>0</v>
      </c>
      <c r="AL835" s="141">
        <v>0</v>
      </c>
      <c r="AM835" s="141">
        <f>$K835-SUM($AB835:AL835)</f>
        <v>0</v>
      </c>
      <c r="AN835" s="141"/>
      <c r="AO835" s="141"/>
      <c r="AP835" s="141"/>
      <c r="AQ835" s="141"/>
      <c r="AR835" s="141"/>
      <c r="AS835" s="141"/>
      <c r="AT835" s="141"/>
      <c r="AU835" s="141"/>
      <c r="AV835" s="141"/>
      <c r="AW835" s="141"/>
      <c r="AX835" s="141"/>
      <c r="BA835" s="204"/>
    </row>
    <row r="836" spans="1:53">
      <c r="A836" s="52"/>
      <c r="B836" s="3659" t="s">
        <v>1185</v>
      </c>
      <c r="C836" s="585">
        <v>8410005</v>
      </c>
      <c r="D836" s="203" t="s">
        <v>1209</v>
      </c>
      <c r="E836" s="474">
        <f>IFERROR(VLOOKUP(C836,'פקודות נוספות'!$D$274:$F$797,3,0),0)</f>
        <v>0</v>
      </c>
      <c r="F836" s="49">
        <f>SUMIF('פקודות נוספות'!C:C,C:C,'פקודות נוספות'!E:E)</f>
        <v>0</v>
      </c>
      <c r="J836" s="474">
        <f t="shared" si="170"/>
        <v>0</v>
      </c>
      <c r="K836" s="474">
        <f>M836+SUMIF('פקודות נוספות'!C:C,'מאזן בוחן'!C836,'פקודות נוספות'!F:F)</f>
        <v>0</v>
      </c>
      <c r="L836" s="49"/>
      <c r="M836" s="1341">
        <f>IFERROR(VLOOKUP(C836,'פקודות נוספות'!$D$273:$G$797,4,0),0)</f>
        <v>0</v>
      </c>
      <c r="N836" s="2733" t="str">
        <f t="shared" si="171"/>
        <v>-</v>
      </c>
      <c r="O836" s="1133"/>
      <c r="P836" s="137">
        <v>96.58</v>
      </c>
      <c r="Q836" s="141">
        <f>'[39]מאזן בוחן'!AE700</f>
        <v>21.710000000000008</v>
      </c>
      <c r="R836" s="137">
        <v>0</v>
      </c>
      <c r="S836" s="137">
        <v>0</v>
      </c>
      <c r="T836" s="141">
        <f>'[20]מאזן בוחן'!AR754</f>
        <v>0</v>
      </c>
      <c r="U836" s="141">
        <f>'[21]מאזן בוחן'!AS664</f>
        <v>0</v>
      </c>
      <c r="V836" s="726">
        <f>'[22]מאזן בוחן'!AJ650</f>
        <v>0</v>
      </c>
      <c r="W836" s="726">
        <f>'[23]מאזן בוחן'!AK656</f>
        <v>0</v>
      </c>
      <c r="X836" s="141">
        <v>0</v>
      </c>
      <c r="Y836" s="141">
        <f>'[25]מאזן בוחן'!AM686</f>
        <v>0</v>
      </c>
      <c r="Z836" s="141"/>
      <c r="AA836" s="141">
        <f>'[32]מאזן בוחן'!AO703</f>
        <v>0</v>
      </c>
      <c r="AB836" s="141">
        <f>'[26]מאזן בוחן'!AB711</f>
        <v>0</v>
      </c>
      <c r="AC836" s="141">
        <f>'[27]מאזן בוחן'!AC720</f>
        <v>0</v>
      </c>
      <c r="AD836" s="141">
        <f>'[28]מאזן בוחן'!AD729</f>
        <v>0</v>
      </c>
      <c r="AE836" s="141">
        <f>'[29]מאזן בוחן'!AE739</f>
        <v>0</v>
      </c>
      <c r="AF836" s="141">
        <f>'[30]מאזן בוחן'!AF750</f>
        <v>0</v>
      </c>
      <c r="AG836" s="141">
        <f>'[31]מאזן בוחן'!AG754</f>
        <v>0</v>
      </c>
      <c r="AH836" s="141">
        <v>0</v>
      </c>
      <c r="AI836" s="141">
        <v>0</v>
      </c>
      <c r="AJ836" s="141">
        <v>0</v>
      </c>
      <c r="AK836" s="141">
        <v>0</v>
      </c>
      <c r="AL836" s="141">
        <v>0</v>
      </c>
      <c r="AM836" s="141">
        <f>$K836-SUM($AB836:AL836)</f>
        <v>0</v>
      </c>
      <c r="AN836" s="141"/>
      <c r="AO836" s="141"/>
      <c r="AP836" s="141"/>
      <c r="AQ836" s="141"/>
      <c r="AR836" s="141"/>
      <c r="AS836" s="141"/>
      <c r="AT836" s="141"/>
      <c r="AU836" s="141"/>
      <c r="AV836" s="141"/>
      <c r="AW836" s="141"/>
      <c r="AX836" s="141"/>
      <c r="BA836" s="204"/>
    </row>
    <row r="837" spans="1:53">
      <c r="A837" s="52"/>
      <c r="B837" s="3659"/>
      <c r="C837" s="585"/>
      <c r="D837" s="203"/>
      <c r="E837" s="474"/>
      <c r="J837" s="474"/>
      <c r="K837" s="474"/>
      <c r="L837" s="49"/>
      <c r="M837" s="1341"/>
      <c r="N837" s="2733"/>
      <c r="O837" s="1133"/>
      <c r="Q837" s="141"/>
      <c r="T837" s="141"/>
      <c r="U837" s="141"/>
      <c r="V837" s="726"/>
      <c r="W837" s="726"/>
      <c r="X837" s="141"/>
      <c r="Y837" s="141"/>
      <c r="Z837" s="141"/>
      <c r="AA837" s="141"/>
      <c r="AB837" s="141"/>
      <c r="AC837" s="141"/>
      <c r="AD837" s="141"/>
      <c r="AE837" s="141"/>
      <c r="AF837" s="141"/>
      <c r="AG837" s="141"/>
      <c r="AH837" s="141"/>
      <c r="AI837" s="141"/>
      <c r="AJ837" s="141"/>
      <c r="AK837" s="141"/>
      <c r="AL837" s="141"/>
      <c r="AM837" s="141">
        <f>$K837-SUM($AB837:AL837)</f>
        <v>0</v>
      </c>
      <c r="AN837" s="141"/>
      <c r="AO837" s="141"/>
      <c r="AP837" s="141"/>
      <c r="AQ837" s="141"/>
      <c r="AR837" s="141"/>
      <c r="AS837" s="141"/>
      <c r="AT837" s="141"/>
      <c r="AU837" s="141"/>
      <c r="AV837" s="141"/>
      <c r="AW837" s="141"/>
      <c r="AX837" s="141"/>
      <c r="BA837" s="204"/>
    </row>
    <row r="838" spans="1:53">
      <c r="A838" s="52"/>
      <c r="B838" s="3659"/>
      <c r="C838" s="585"/>
      <c r="D838" s="50" t="s">
        <v>34</v>
      </c>
      <c r="E838" s="474"/>
      <c r="J838" s="474"/>
      <c r="K838" s="474"/>
      <c r="L838" s="49"/>
      <c r="M838" s="1341"/>
      <c r="N838" s="2733"/>
      <c r="O838" s="1133"/>
      <c r="Q838" s="141"/>
      <c r="T838" s="141"/>
      <c r="U838" s="141"/>
      <c r="V838" s="726"/>
      <c r="W838" s="726"/>
      <c r="X838" s="141"/>
      <c r="Y838" s="141"/>
      <c r="Z838" s="141"/>
      <c r="AA838" s="141"/>
      <c r="AB838" s="141"/>
      <c r="AC838" s="141"/>
      <c r="AD838" s="141"/>
      <c r="AE838" s="141"/>
      <c r="AF838" s="141"/>
      <c r="AG838" s="141"/>
      <c r="AH838" s="141"/>
      <c r="AI838" s="141"/>
      <c r="AJ838" s="141"/>
      <c r="AK838" s="141"/>
      <c r="AL838" s="141"/>
      <c r="AM838" s="141">
        <f>$K838-SUM($AB838:AL838)</f>
        <v>0</v>
      </c>
      <c r="AN838" s="141"/>
      <c r="AO838" s="141"/>
      <c r="AP838" s="141"/>
      <c r="AQ838" s="141"/>
      <c r="AR838" s="141"/>
      <c r="AS838" s="141"/>
      <c r="AT838" s="141"/>
      <c r="AU838" s="141"/>
      <c r="AV838" s="141"/>
      <c r="AW838" s="141"/>
      <c r="AX838" s="141"/>
      <c r="BA838" s="204"/>
    </row>
    <row r="839" spans="1:53">
      <c r="A839" s="52"/>
      <c r="B839" s="3659" t="s">
        <v>1185</v>
      </c>
      <c r="C839" s="585">
        <v>8410010</v>
      </c>
      <c r="D839" s="203" t="s">
        <v>315</v>
      </c>
      <c r="E839" s="474">
        <f>IFERROR(VLOOKUP(C839,'פקודות נוספות'!$D$274:$F$797,3,0),0)</f>
        <v>29650</v>
      </c>
      <c r="F839" s="49">
        <f>SUMIF('פקודות נוספות'!C:C,C:C,'פקודות נוספות'!E:E)</f>
        <v>0</v>
      </c>
      <c r="J839" s="474">
        <f t="shared" si="170"/>
        <v>29650</v>
      </c>
      <c r="K839" s="474">
        <f>M839+SUMIF('פקודות נוספות'!C:C,'מאזן בוחן'!C839,'פקודות נוספות'!F:F)</f>
        <v>9036.8799999999992</v>
      </c>
      <c r="L839" s="49"/>
      <c r="M839" s="1341">
        <f>IFERROR(VLOOKUP(C839,'פקודות נוספות'!$D$273:$G$797,4,0),0)</f>
        <v>9036.8799999999992</v>
      </c>
      <c r="N839" s="2733">
        <f t="shared" ref="N839:N844" si="173">IF(K839=0,"-",J839/K839)</f>
        <v>3.2809996370428736</v>
      </c>
      <c r="O839" s="1133"/>
      <c r="P839" s="1512">
        <v>619.4</v>
      </c>
      <c r="Q839" s="141">
        <f>'[39]מאזן בוחן'!AE702</f>
        <v>530.02999999999986</v>
      </c>
      <c r="R839" s="1512">
        <v>589.61</v>
      </c>
      <c r="S839" s="1512">
        <v>589.61000000000024</v>
      </c>
      <c r="T839" s="141">
        <f>'[20]מאזן בוחן'!AR757</f>
        <v>589.60999999999956</v>
      </c>
      <c r="U839" s="141">
        <f>'[21]מאזן בוחן'!AS667</f>
        <v>589.6100000000007</v>
      </c>
      <c r="V839" s="726">
        <f>'[22]מאזן בוחן'!AJ653</f>
        <v>589.61000000000024</v>
      </c>
      <c r="W839" s="726">
        <f>'[23]מאזן בוחן'!AK658</f>
        <v>589.60999999999979</v>
      </c>
      <c r="X839" s="141">
        <v>589.61000000000024</v>
      </c>
      <c r="Y839" s="141">
        <f>'[25]מאזן בוחן'!AM688</f>
        <v>589.60999999999876</v>
      </c>
      <c r="Z839" s="141"/>
      <c r="AA839" s="141">
        <f>'[32]מאזן בוחן'!AO705</f>
        <v>589.63000000000011</v>
      </c>
      <c r="AB839" s="141">
        <f>'[26]מאזן בוחן'!AB713</f>
        <v>0</v>
      </c>
      <c r="AC839" s="141">
        <f>'[27]מאזן בוחן'!AC722</f>
        <v>0</v>
      </c>
      <c r="AD839" s="141">
        <f>'[28]מאזן בוחן'!AD731</f>
        <v>2259.21</v>
      </c>
      <c r="AE839" s="141">
        <f>'[29]מאזן בוחן'!AE741</f>
        <v>753.07000000000016</v>
      </c>
      <c r="AF839" s="141">
        <f>'[30]מאזן בוחן'!AF752</f>
        <v>753.06999999999971</v>
      </c>
      <c r="AG839" s="141">
        <f>'[31]מאזן בוחן'!AG756</f>
        <v>753.07000000000016</v>
      </c>
      <c r="AH839" s="141">
        <v>753.06999999999971</v>
      </c>
      <c r="AI839" s="141">
        <v>753.07000000000062</v>
      </c>
      <c r="AJ839" s="141">
        <v>753.06999999999971</v>
      </c>
      <c r="AK839" s="141">
        <v>753.06999999999971</v>
      </c>
      <c r="AL839" s="141">
        <v>753.07000000000062</v>
      </c>
      <c r="AM839" s="141">
        <f>$K839-SUM($AB839:AL839)</f>
        <v>753.10999999999876</v>
      </c>
      <c r="AN839" s="141"/>
      <c r="AO839" s="141"/>
      <c r="AP839" s="141"/>
      <c r="AQ839" s="141"/>
      <c r="AR839" s="141"/>
      <c r="AS839" s="141"/>
      <c r="AT839" s="141"/>
      <c r="AU839" s="141"/>
      <c r="AV839" s="141"/>
      <c r="AW839" s="141"/>
      <c r="AX839" s="141"/>
      <c r="BA839" s="204"/>
    </row>
    <row r="840" spans="1:53">
      <c r="A840" s="52"/>
      <c r="B840" s="3659" t="s">
        <v>2118</v>
      </c>
      <c r="C840" s="585">
        <v>8090002</v>
      </c>
      <c r="D840" s="40" t="s">
        <v>2119</v>
      </c>
      <c r="E840" s="474">
        <f>IFERROR(VLOOKUP(C840,'פקודות נוספות'!$D$274:$F$797,3,0),0)</f>
        <v>0</v>
      </c>
      <c r="F840" s="49">
        <f>SUMIF('פקודות נוספות'!C:C,C:C,'פקודות נוספות'!E:E)</f>
        <v>0</v>
      </c>
      <c r="J840" s="2489">
        <f>SUM(E840:I840)</f>
        <v>0</v>
      </c>
      <c r="K840" s="42">
        <f>M840+SUMIF('פקודות נוספות'!C:C,'מאזן בוחן'!C840,'פקודות נוספות'!F:F)</f>
        <v>0</v>
      </c>
      <c r="L840" s="49"/>
      <c r="M840" s="1341">
        <f>IFERROR(VLOOKUP(C840,'פקודות נוספות'!$D$273:$G$797,4,0),0)</f>
        <v>0</v>
      </c>
      <c r="N840" s="2733" t="str">
        <f t="shared" si="173"/>
        <v>-</v>
      </c>
      <c r="O840" s="1526"/>
      <c r="P840" s="137">
        <v>0</v>
      </c>
      <c r="Q840" s="141">
        <f>'[39]מאזן בוחן'!AE643</f>
        <v>0</v>
      </c>
      <c r="R840" s="137">
        <v>0</v>
      </c>
      <c r="S840" s="141">
        <v>0</v>
      </c>
      <c r="T840" s="141">
        <f>'[20]מאזן בוחן'!AR697</f>
        <v>0</v>
      </c>
      <c r="U840" s="141">
        <f>'[21]מאזן בוחן'!AS607</f>
        <v>0</v>
      </c>
      <c r="V840" s="141">
        <f>'[22]מאזן בוחן'!AJ593</f>
        <v>0</v>
      </c>
      <c r="W840" s="141">
        <f>'[23]מאזן בוחן'!AK599</f>
        <v>0</v>
      </c>
      <c r="X840" s="141">
        <v>0</v>
      </c>
      <c r="Y840" s="141">
        <f>'[25]מאזן בוחן'!AM629</f>
        <v>0</v>
      </c>
      <c r="AA840" s="141">
        <f>'[32]מאזן בוחן'!AO646</f>
        <v>0</v>
      </c>
      <c r="AB840" s="141">
        <f>'[26]מאזן בוחן'!AB654</f>
        <v>0</v>
      </c>
      <c r="AC840" s="141">
        <f>'[27]מאזן בוחן'!AC663</f>
        <v>0</v>
      </c>
      <c r="AD840" s="141">
        <f>'[28]מאזן בוחן'!AD672</f>
        <v>0</v>
      </c>
      <c r="AE840" s="141">
        <f>'[29]מאזן בוחן'!AE682</f>
        <v>0</v>
      </c>
      <c r="AF840" s="141">
        <f>'[30]מאזן בוחן'!AF693</f>
        <v>0</v>
      </c>
      <c r="AG840" s="141">
        <f>'[31]מאזן בוחן'!AG697</f>
        <v>0</v>
      </c>
      <c r="AH840" s="141">
        <v>0</v>
      </c>
      <c r="AI840" s="141">
        <v>0</v>
      </c>
      <c r="AJ840" s="141">
        <v>0</v>
      </c>
      <c r="AK840" s="141">
        <v>0</v>
      </c>
      <c r="AL840" s="141">
        <v>0</v>
      </c>
      <c r="AM840" s="141">
        <f>$K840-SUM($AB840:AL840)</f>
        <v>0</v>
      </c>
      <c r="AN840" s="141"/>
      <c r="AO840" s="141"/>
      <c r="AP840" s="141"/>
      <c r="AQ840" s="141"/>
      <c r="AR840" s="141"/>
      <c r="AS840" s="141"/>
      <c r="AT840" s="141"/>
      <c r="AU840" s="141"/>
      <c r="AV840" s="141"/>
      <c r="AW840" s="141"/>
      <c r="BA840" s="204"/>
    </row>
    <row r="841" spans="1:53">
      <c r="A841" s="52"/>
      <c r="B841" s="3659" t="s">
        <v>1195</v>
      </c>
      <c r="C841" s="585">
        <v>8220010</v>
      </c>
      <c r="D841" s="203" t="s">
        <v>1201</v>
      </c>
      <c r="E841" s="474">
        <f>IFERROR(VLOOKUP(C841,'פקודות נוספות'!$D$274:$F$797,3,0),0)</f>
        <v>184255.73</v>
      </c>
      <c r="F841" s="49">
        <f>SUMIF('פקודות נוספות'!C:C,C:C,'פקודות נוספות'!E:E)</f>
        <v>0</v>
      </c>
      <c r="J841" s="474">
        <f>SUM(E841:I841)</f>
        <v>184255.73</v>
      </c>
      <c r="K841" s="474">
        <f>M841+SUMIF('פקודות נוספות'!C:C,'מאזן בוחן'!C841,'פקודות נוספות'!F:F)</f>
        <v>57205.48</v>
      </c>
      <c r="L841" s="49"/>
      <c r="M841" s="1341">
        <f>IFERROR(VLOOKUP(C841,'פקודות נוספות'!$D$273:$G$797,4,0),0)</f>
        <v>57205.48</v>
      </c>
      <c r="N841" s="2733">
        <f t="shared" si="173"/>
        <v>3.2209454408913274</v>
      </c>
      <c r="O841" s="1133"/>
      <c r="P841" s="1512">
        <v>589.33999999999992</v>
      </c>
      <c r="Q841" s="141">
        <f>'[39]מאזן בוחן'!AE688</f>
        <v>959.59999999999991</v>
      </c>
      <c r="R841" s="1512">
        <v>456.52</v>
      </c>
      <c r="S841" s="1512">
        <v>1092.5200000000004</v>
      </c>
      <c r="T841" s="141">
        <f>'[20]מאזן בוחן'!AR742</f>
        <v>119.94999999999982</v>
      </c>
      <c r="U841" s="141">
        <f>'[21]מאזן בוחן'!AS652</f>
        <v>156.39000000000033</v>
      </c>
      <c r="V841" s="726">
        <f>'[22]מאזן בוחן'!AJ638</f>
        <v>3496.04</v>
      </c>
      <c r="W841" s="726">
        <f>'[23]מאזן בוחן'!AK644</f>
        <v>1885.8299999999979</v>
      </c>
      <c r="X841" s="141">
        <v>933.69000000000096</v>
      </c>
      <c r="Y841" s="141">
        <f>'[25]מאזן בוחן'!AM674</f>
        <v>669.95000000000255</v>
      </c>
      <c r="Z841" s="141"/>
      <c r="AA841" s="141">
        <f>'[32]מאזן בוחן'!AO691</f>
        <v>2630.5599999999995</v>
      </c>
      <c r="AB841" s="141">
        <f>'[26]מאזן בוחן'!AB699</f>
        <v>5426.11</v>
      </c>
      <c r="AC841" s="141">
        <f>'[27]מאזן בוחן'!AC708</f>
        <v>239.90000000000055</v>
      </c>
      <c r="AD841" s="141">
        <f>'[28]מאזן בוחן'!AD717</f>
        <v>272.05999999999949</v>
      </c>
      <c r="AE841" s="141">
        <f>'[29]מאזן בוחן'!AE727</f>
        <v>4828.3999999999996</v>
      </c>
      <c r="AF841" s="141">
        <f>'[30]מאזן בוחן'!AF738</f>
        <v>5002.630000000001</v>
      </c>
      <c r="AG841" s="141">
        <f>'[31]מאזן בוחן'!AG742</f>
        <v>379.01000000000022</v>
      </c>
      <c r="AH841" s="141">
        <v>9130.0799999999981</v>
      </c>
      <c r="AI841" s="141">
        <v>14953.009999999998</v>
      </c>
      <c r="AJ841" s="141">
        <v>3581.0800000000017</v>
      </c>
      <c r="AK841" s="141">
        <v>5593.2300000000032</v>
      </c>
      <c r="AL841" s="141">
        <v>6484.3399999999965</v>
      </c>
      <c r="AM841" s="141">
        <f>$K841-SUM($AB841:AL841)</f>
        <v>1315.6300000000047</v>
      </c>
      <c r="AN841" s="141"/>
      <c r="AO841" s="141"/>
      <c r="AP841" s="141"/>
      <c r="AQ841" s="141"/>
      <c r="AR841" s="141"/>
      <c r="AS841" s="141"/>
      <c r="AT841" s="141"/>
      <c r="AU841" s="141"/>
      <c r="AV841" s="141"/>
      <c r="AW841" s="141"/>
      <c r="AX841" s="141"/>
      <c r="BA841" s="204"/>
    </row>
    <row r="842" spans="1:53">
      <c r="A842" s="52"/>
      <c r="B842" s="3659" t="s">
        <v>1195</v>
      </c>
      <c r="C842" s="585">
        <v>8220048</v>
      </c>
      <c r="D842" s="203" t="s">
        <v>1726</v>
      </c>
      <c r="E842" s="474">
        <f>IFERROR(VLOOKUP(C842,'פקודות נוספות'!$D$274:$F$797,3,0),0)</f>
        <v>146666.56</v>
      </c>
      <c r="F842" s="49">
        <f>SUMIF('פקודות נוספות'!C:C,C:C,'פקודות נוספות'!E:E)</f>
        <v>0</v>
      </c>
      <c r="J842" s="474">
        <f>SUM(E842:I842)</f>
        <v>146666.56</v>
      </c>
      <c r="K842" s="474">
        <f>M842+SUMIF('פקודות נוספות'!C:C,'מאזן בוחן'!C842,'פקודות נוספות'!F:F)</f>
        <v>44253.7</v>
      </c>
      <c r="L842" s="49"/>
      <c r="M842" s="1341">
        <f>IFERROR(VLOOKUP(C842,'פקודות נוספות'!$D$273:$G$797,4,0),0)</f>
        <v>44253.7</v>
      </c>
      <c r="N842" s="2733">
        <f t="shared" si="173"/>
        <v>3.3142214097352314</v>
      </c>
      <c r="O842" s="1133"/>
      <c r="P842" s="1512">
        <v>3349.8099999999995</v>
      </c>
      <c r="Q842" s="141">
        <f>'[39]מאזן בוחן'!AE689</f>
        <v>2480.3599999999997</v>
      </c>
      <c r="R842" s="1512">
        <v>4284.9900000000007</v>
      </c>
      <c r="S842" s="1512">
        <v>1732.9500000000007</v>
      </c>
      <c r="T842" s="141">
        <f>'[20]מאזן בוחן'!AR743</f>
        <v>4594.2300000000005</v>
      </c>
      <c r="U842" s="141">
        <f>'[21]מאזן בוחן'!AS653</f>
        <v>3283.6099999999997</v>
      </c>
      <c r="V842" s="726">
        <f>'[22]מאזן בוחן'!AJ639</f>
        <v>3294.239999999998</v>
      </c>
      <c r="W842" s="726">
        <f>'[23]מאזן בוחן'!AK645</f>
        <v>3294.2399999999989</v>
      </c>
      <c r="X842" s="141">
        <v>3294.2400000000025</v>
      </c>
      <c r="Y842" s="141">
        <f>'[25]מאזן בוחן'!AM675</f>
        <v>3294.239999999998</v>
      </c>
      <c r="Z842" s="141"/>
      <c r="AA842" s="141">
        <f>'[32]מאזן בוחן'!AO692</f>
        <v>3369.8899999999994</v>
      </c>
      <c r="AB842" s="141">
        <f>'[26]מאזן בוחן'!AB700</f>
        <v>3287.47</v>
      </c>
      <c r="AC842" s="141">
        <f>'[27]מאזן בוחן'!AC709</f>
        <v>3298.15</v>
      </c>
      <c r="AD842" s="141">
        <f>'[28]מאזן בוחן'!AD718</f>
        <v>3298.1500000000005</v>
      </c>
      <c r="AE842" s="141">
        <f>'[29]מאזן בוחן'!AE728</f>
        <v>3394.2099999999991</v>
      </c>
      <c r="AF842" s="141">
        <f>'[30]מאזן בוחן'!AF739</f>
        <v>3709.1399999999994</v>
      </c>
      <c r="AG842" s="141">
        <f>'[31]מאזן בוחן'!AG743</f>
        <v>4078.9900000000016</v>
      </c>
      <c r="AH842" s="141">
        <v>3929.989999999998</v>
      </c>
      <c r="AI842" s="141">
        <v>3935.25</v>
      </c>
      <c r="AJ842" s="141">
        <v>3933.9500000000044</v>
      </c>
      <c r="AK842" s="141">
        <v>4025.9099999999962</v>
      </c>
      <c r="AL842" s="141">
        <v>3358.5999999999985</v>
      </c>
      <c r="AM842" s="141">
        <f>$K842-SUM($AB842:AL842)</f>
        <v>4003.8899999999994</v>
      </c>
      <c r="AN842" s="141"/>
      <c r="AO842" s="141"/>
      <c r="AP842" s="141"/>
      <c r="AQ842" s="141"/>
      <c r="AR842" s="141"/>
      <c r="AS842" s="141"/>
      <c r="AT842" s="141"/>
      <c r="AU842" s="141"/>
      <c r="AV842" s="141"/>
      <c r="AW842" s="141"/>
      <c r="AX842" s="141"/>
      <c r="BA842" s="204"/>
    </row>
    <row r="843" spans="1:53">
      <c r="A843" s="52"/>
      <c r="B843" s="3659" t="s">
        <v>1195</v>
      </c>
      <c r="C843" s="585">
        <v>8220006</v>
      </c>
      <c r="D843" s="203" t="s">
        <v>2060</v>
      </c>
      <c r="E843" s="474">
        <f>IFERROR(VLOOKUP(C843,'פקודות נוספות'!$D$274:$F$797,3,0),0)</f>
        <v>7525</v>
      </c>
      <c r="F843" s="49">
        <f>SUMIF('פקודות נוספות'!C:C,C:C,'פקודות נוספות'!E:E)</f>
        <v>0</v>
      </c>
      <c r="J843" s="474">
        <f>SUM(E843:I843)</f>
        <v>7525</v>
      </c>
      <c r="K843" s="474">
        <f>M843+SUMIF('פקודות נוספות'!C:C,'מאזן בוחן'!C843,'פקודות נוספות'!F:F)</f>
        <v>2320.79</v>
      </c>
      <c r="L843" s="49"/>
      <c r="M843" s="1341">
        <f>IFERROR(VLOOKUP(C843,'פקודות נוספות'!$D$273:$G$797,4,0),0)</f>
        <v>2320.79</v>
      </c>
      <c r="N843" s="2733">
        <f t="shared" si="173"/>
        <v>3.2424303793104934</v>
      </c>
      <c r="O843" s="1133"/>
      <c r="P843" s="137">
        <v>0</v>
      </c>
      <c r="Q843" s="141">
        <f>'[39]מאזן בוחן'!AE690</f>
        <v>0</v>
      </c>
      <c r="R843" s="137">
        <v>0</v>
      </c>
      <c r="S843" s="137">
        <v>4061.05</v>
      </c>
      <c r="T843" s="141">
        <f>'[20]מאזן בוחן'!AR744</f>
        <v>-3618.75</v>
      </c>
      <c r="U843" s="141">
        <f>'[21]מאזן בוחן'!AS654</f>
        <v>0</v>
      </c>
      <c r="V843" s="726">
        <f>'[22]מאזן בוחן'!AJ640</f>
        <v>0</v>
      </c>
      <c r="W843" s="726">
        <f>'[23]מאזן בוחן'!AK646</f>
        <v>0</v>
      </c>
      <c r="X843" s="141">
        <v>0</v>
      </c>
      <c r="Y843" s="141">
        <f>'[25]מאזן בוחן'!AM676</f>
        <v>0</v>
      </c>
      <c r="Z843" s="141"/>
      <c r="AA843" s="141">
        <f>'[32]מאזן בוחן'!AO693</f>
        <v>0</v>
      </c>
      <c r="AB843" s="141">
        <f>'[26]מאזן בוחן'!AB701</f>
        <v>0</v>
      </c>
      <c r="AC843" s="141">
        <f>'[27]מאזן בוחן'!AC710</f>
        <v>0</v>
      </c>
      <c r="AD843" s="141">
        <f>'[28]מאזן בוחן'!AD719</f>
        <v>0</v>
      </c>
      <c r="AE843" s="141">
        <f>'[29]מאזן בוחן'!AE729</f>
        <v>0</v>
      </c>
      <c r="AF843" s="141">
        <f>'[30]מאזן בוחן'!AF740</f>
        <v>0</v>
      </c>
      <c r="AG843" s="141">
        <f>'[31]מאזן בוחן'!AG744</f>
        <v>0</v>
      </c>
      <c r="AH843" s="141">
        <v>0</v>
      </c>
      <c r="AI843" s="141">
        <v>0</v>
      </c>
      <c r="AJ843" s="141">
        <v>0</v>
      </c>
      <c r="AK843" s="141">
        <v>0</v>
      </c>
      <c r="AL843" s="141">
        <v>2098.6</v>
      </c>
      <c r="AM843" s="141">
        <f>$K843-SUM($AB843:AL843)</f>
        <v>222.19000000000005</v>
      </c>
      <c r="AN843" s="141"/>
      <c r="AO843" s="141"/>
      <c r="AP843" s="141"/>
      <c r="AQ843" s="141"/>
      <c r="AR843" s="141"/>
      <c r="AS843" s="141"/>
      <c r="AT843" s="141"/>
      <c r="AU843" s="141"/>
      <c r="AV843" s="141"/>
      <c r="AW843" s="141"/>
      <c r="AX843" s="141"/>
      <c r="BA843" s="204"/>
    </row>
    <row r="844" spans="1:53">
      <c r="A844" s="52"/>
      <c r="B844" s="3659" t="s">
        <v>1195</v>
      </c>
      <c r="C844" s="585">
        <v>8020012</v>
      </c>
      <c r="D844" s="203" t="s">
        <v>1297</v>
      </c>
      <c r="E844" s="474">
        <f>IFERROR(VLOOKUP(C844,'פקודות נוספות'!$D$274:$F$797,3,0),0)</f>
        <v>31800</v>
      </c>
      <c r="F844" s="49">
        <f>SUMIF('פקודות נוספות'!C:C,C:C,'פקודות נוספות'!E:E)</f>
        <v>0</v>
      </c>
      <c r="J844" s="474">
        <f>SUM(E844:I844)</f>
        <v>31800</v>
      </c>
      <c r="K844" s="474">
        <f>M844+SUMIF('פקודות נוספות'!C:C,'מאזן בוחן'!C844,'פקודות נוספות'!F:F)</f>
        <v>9645</v>
      </c>
      <c r="L844" s="49"/>
      <c r="M844" s="1341">
        <f>IFERROR(VLOOKUP(C844,'פקודות נוספות'!$D$273:$G$797,4,0),0)</f>
        <v>9645</v>
      </c>
      <c r="N844" s="2733">
        <f t="shared" si="173"/>
        <v>3.297045101088647</v>
      </c>
      <c r="O844" s="1133"/>
      <c r="P844" s="137">
        <v>0</v>
      </c>
      <c r="Q844" s="141">
        <f>'[39]מאזן בוחן'!AE691</f>
        <v>0</v>
      </c>
      <c r="R844" s="137">
        <v>0</v>
      </c>
      <c r="S844" s="137">
        <v>0</v>
      </c>
      <c r="T844" s="141">
        <f>'[20]מאזן בוחן'!AR745</f>
        <v>0</v>
      </c>
      <c r="U844" s="141">
        <f>'[21]מאזן בוחן'!AS655</f>
        <v>2874.74</v>
      </c>
      <c r="V844" s="726">
        <f>'[22]מאזן בוחן'!AJ641</f>
        <v>0</v>
      </c>
      <c r="W844" s="726">
        <f>'[23]מאזן בוחן'!AK647</f>
        <v>0</v>
      </c>
      <c r="X844" s="141">
        <v>0</v>
      </c>
      <c r="Y844" s="141">
        <f>'[25]מאזן בוחן'!AM677</f>
        <v>0</v>
      </c>
      <c r="Z844" s="141"/>
      <c r="AA844" s="141">
        <f>'[32]מאזן בוחן'!AO694</f>
        <v>0</v>
      </c>
      <c r="AB844" s="141">
        <f>'[26]מאזן בוחן'!AB702</f>
        <v>0</v>
      </c>
      <c r="AC844" s="141">
        <f>'[27]מאזן בוחן'!AC711</f>
        <v>0</v>
      </c>
      <c r="AD844" s="141">
        <f>'[28]מאזן בוחן'!AD720</f>
        <v>6598.68</v>
      </c>
      <c r="AE844" s="141">
        <f>'[29]מאזן בוחן'!AE730</f>
        <v>0</v>
      </c>
      <c r="AF844" s="141">
        <f>'[30]מאזן בוחן'!AF741</f>
        <v>0</v>
      </c>
      <c r="AG844" s="141">
        <f>'[31]מאזן בוחן'!AG745</f>
        <v>0</v>
      </c>
      <c r="AH844" s="141">
        <v>3046.3199999999997</v>
      </c>
      <c r="AI844" s="141">
        <v>0</v>
      </c>
      <c r="AJ844" s="141">
        <v>0</v>
      </c>
      <c r="AK844" s="141">
        <v>0</v>
      </c>
      <c r="AL844" s="141">
        <v>0</v>
      </c>
      <c r="AM844" s="141">
        <f>$K844-SUM($AB844:AL844)</f>
        <v>0</v>
      </c>
      <c r="AN844" s="141"/>
      <c r="AO844" s="141"/>
      <c r="AP844" s="141"/>
      <c r="AQ844" s="141"/>
      <c r="AR844" s="141"/>
      <c r="AS844" s="141"/>
      <c r="AT844" s="141"/>
      <c r="AU844" s="141"/>
      <c r="AV844" s="141"/>
      <c r="AW844" s="141"/>
      <c r="AX844" s="141"/>
      <c r="BA844" s="204"/>
    </row>
    <row r="845" spans="1:53">
      <c r="A845" s="52"/>
      <c r="B845" s="3659" t="s">
        <v>1185</v>
      </c>
      <c r="C845" s="585">
        <v>8410027</v>
      </c>
      <c r="D845" s="203" t="s">
        <v>311</v>
      </c>
      <c r="E845" s="474">
        <f>IFERROR(VLOOKUP(C845,'פקודות נוספות'!$D$274:$F$797,3,0),0)</f>
        <v>-636.05999999999995</v>
      </c>
      <c r="F845" s="49">
        <f>SUMIF('פקודות נוספות'!C:C,C:C,'פקודות נוספות'!E:E)</f>
        <v>0</v>
      </c>
      <c r="J845" s="474">
        <f t="shared" si="170"/>
        <v>-636.05999999999995</v>
      </c>
      <c r="K845" s="474">
        <f>M845+SUMIF('פקודות נוספות'!C:C,'מאזן בוחן'!C845,'פקודות נוספות'!F:F)</f>
        <v>-198.04</v>
      </c>
      <c r="L845" s="49"/>
      <c r="M845" s="1341">
        <f>IFERROR(VLOOKUP(C845,'פקודות נוספות'!$D$273:$G$797,4,0),0)</f>
        <v>-198.04</v>
      </c>
      <c r="N845" s="2733">
        <f t="shared" si="171"/>
        <v>3.2117753989093112</v>
      </c>
      <c r="O845" s="1133"/>
      <c r="P845" s="137">
        <v>0</v>
      </c>
      <c r="Q845" s="141">
        <f>'[39]מאזן בוחן'!AE703</f>
        <v>0</v>
      </c>
      <c r="R845" s="137">
        <v>0</v>
      </c>
      <c r="S845" s="137">
        <v>0</v>
      </c>
      <c r="T845" s="141">
        <f>'[20]מאזן בוחן'!AR758</f>
        <v>0</v>
      </c>
      <c r="U845" s="141">
        <f>'[21]מאזן בוחן'!AS668</f>
        <v>0</v>
      </c>
      <c r="V845" s="726">
        <f>'[22]מאזן בוחן'!AJ654</f>
        <v>0</v>
      </c>
      <c r="W845" s="726">
        <f>'[23]מאזן בוחן'!AK659</f>
        <v>0</v>
      </c>
      <c r="X845" s="141">
        <v>0</v>
      </c>
      <c r="Y845" s="141">
        <f>'[25]מאזן בוחן'!AM689</f>
        <v>0</v>
      </c>
      <c r="Z845" s="141"/>
      <c r="AA845" s="141">
        <f>'[32]מאזן בוחן'!AO706</f>
        <v>0</v>
      </c>
      <c r="AB845" s="141">
        <f>'[26]מאזן בוחן'!AB714</f>
        <v>0</v>
      </c>
      <c r="AC845" s="141">
        <f>'[27]מאזן בוחן'!AC723</f>
        <v>0</v>
      </c>
      <c r="AD845" s="141">
        <f>'[28]מאזן בוחן'!AD732</f>
        <v>0</v>
      </c>
      <c r="AE845" s="141">
        <f>'[29]מאזן בוחן'!AE742</f>
        <v>-198.04</v>
      </c>
      <c r="AF845" s="141">
        <f>'[30]מאזן בוחן'!AF753</f>
        <v>0</v>
      </c>
      <c r="AG845" s="141">
        <f>'[31]מאזן בוחן'!AG757</f>
        <v>0</v>
      </c>
      <c r="AH845" s="141">
        <v>0</v>
      </c>
      <c r="AI845" s="141">
        <v>0</v>
      </c>
      <c r="AJ845" s="141">
        <v>0</v>
      </c>
      <c r="AK845" s="141">
        <v>0</v>
      </c>
      <c r="AL845" s="141">
        <v>0</v>
      </c>
      <c r="AM845" s="141">
        <f>$K845-SUM($AB845:AL845)</f>
        <v>0</v>
      </c>
      <c r="AN845" s="141"/>
      <c r="AO845" s="141"/>
      <c r="AP845" s="141"/>
      <c r="AQ845" s="141"/>
      <c r="AR845" s="141"/>
      <c r="AS845" s="141"/>
      <c r="AT845" s="141"/>
      <c r="AU845" s="141"/>
      <c r="AV845" s="141"/>
      <c r="AW845" s="141"/>
      <c r="AX845" s="141"/>
      <c r="BA845" s="204"/>
    </row>
    <row r="846" spans="1:53">
      <c r="A846" s="52"/>
      <c r="B846" s="3659" t="s">
        <v>1185</v>
      </c>
      <c r="C846" s="585">
        <v>8410065</v>
      </c>
      <c r="D846" s="203" t="s">
        <v>1210</v>
      </c>
      <c r="E846" s="474">
        <f>IFERROR(VLOOKUP(C846,'פקודות נוספות'!$D$274:$F$797,3,0),0)</f>
        <v>194279.01</v>
      </c>
      <c r="F846" s="49">
        <f>SUMIF('פקודות נוספות'!C:C,C:C,'פקודות נוספות'!E:E)</f>
        <v>0</v>
      </c>
      <c r="J846" s="474">
        <f t="shared" si="170"/>
        <v>194279.01</v>
      </c>
      <c r="K846" s="474">
        <f>M846+SUMIF('פקודות נוספות'!C:C,'מאזן בוחן'!C846,'פקודות נוספות'!F:F)</f>
        <v>58787.83</v>
      </c>
      <c r="L846" s="49"/>
      <c r="M846" s="1341">
        <f>IFERROR(VLOOKUP(C846,'פקודות נוספות'!$D$273:$G$797,4,0),0)</f>
        <v>58787.83</v>
      </c>
      <c r="N846" s="2733">
        <f t="shared" si="171"/>
        <v>3.3047487889925518</v>
      </c>
      <c r="O846" s="1133"/>
      <c r="P846" s="1512">
        <v>4191.66</v>
      </c>
      <c r="Q846" s="141">
        <f>'[39]מאזן בוחן'!AE705</f>
        <v>4191.66</v>
      </c>
      <c r="R846" s="1512">
        <v>4191.66</v>
      </c>
      <c r="S846" s="1512">
        <v>4191.66</v>
      </c>
      <c r="T846" s="141">
        <f>'[20]מאזן בוחן'!AR760</f>
        <v>4191.66</v>
      </c>
      <c r="U846" s="141">
        <f>'[21]מאזן בוחן'!AS670</f>
        <v>4191.66</v>
      </c>
      <c r="V846" s="726">
        <f>'[22]מאזן בוחן'!AJ656</f>
        <v>4191.66</v>
      </c>
      <c r="W846" s="726">
        <f>'[23]מאזן בוחן'!AK661</f>
        <v>4191.66</v>
      </c>
      <c r="X846" s="141">
        <v>4191.66</v>
      </c>
      <c r="Y846" s="141">
        <f>'[25]מאזן בוחן'!AM691</f>
        <v>4191.7399999999907</v>
      </c>
      <c r="Z846" s="141"/>
      <c r="AA846" s="141">
        <f>'[32]מאזן בוחן'!AO708</f>
        <v>4812.5</v>
      </c>
      <c r="AB846" s="141">
        <f>'[26]מאזן בוחן'!AB716</f>
        <v>5075.33</v>
      </c>
      <c r="AC846" s="141">
        <f>'[27]מאזן בוחן'!AC725</f>
        <v>4812.5</v>
      </c>
      <c r="AD846" s="141">
        <f>'[28]מאזן בוחן'!AD734</f>
        <v>4812.5</v>
      </c>
      <c r="AE846" s="141">
        <f>'[29]מאזן בוחן'!AE744</f>
        <v>4812.5000000000018</v>
      </c>
      <c r="AF846" s="141">
        <f>'[30]מאזן בוחן'!AF755</f>
        <v>4812.5</v>
      </c>
      <c r="AG846" s="141">
        <f>'[31]מאזן בוחן'!AG759</f>
        <v>4812.5</v>
      </c>
      <c r="AH846" s="141">
        <v>4812.5</v>
      </c>
      <c r="AI846" s="141">
        <v>4812.5</v>
      </c>
      <c r="AJ846" s="141">
        <v>4812.5</v>
      </c>
      <c r="AK846" s="141">
        <v>4812.5</v>
      </c>
      <c r="AL846" s="141">
        <v>4812.5</v>
      </c>
      <c r="AM846" s="141">
        <f>$K846-SUM($AB846:AL846)</f>
        <v>5587.5</v>
      </c>
      <c r="AN846" s="141"/>
      <c r="AO846" s="141"/>
      <c r="AP846" s="141"/>
      <c r="AQ846" s="141"/>
      <c r="AR846" s="141"/>
      <c r="AS846" s="141"/>
      <c r="AT846" s="141"/>
      <c r="AU846" s="141"/>
      <c r="AV846" s="141"/>
      <c r="AW846" s="141"/>
      <c r="AX846" s="141"/>
      <c r="BA846" s="204"/>
    </row>
    <row r="847" spans="1:53">
      <c r="A847" s="52"/>
      <c r="B847" s="3659" t="s">
        <v>1185</v>
      </c>
      <c r="C847" s="585">
        <v>8410049</v>
      </c>
      <c r="D847" s="203" t="s">
        <v>3806</v>
      </c>
      <c r="E847" s="474">
        <f>IFERROR(VLOOKUP(C847,'פקודות נוספות'!$D$274:$F$797,3,0),0)</f>
        <v>45170.97</v>
      </c>
      <c r="F847" s="49">
        <f>SUMIF('פקודות נוספות'!C:C,C:C,'פקודות נוספות'!E:E)</f>
        <v>0</v>
      </c>
      <c r="J847" s="474">
        <f>SUM(E847:I847)</f>
        <v>45170.97</v>
      </c>
      <c r="K847" s="42">
        <f>M847+SUMIF('פקודות נוספות'!C:C,'מאזן בוחן'!C847,'פקודות נוספות'!F:F)</f>
        <v>13896.33</v>
      </c>
      <c r="L847" s="49"/>
      <c r="M847" s="1341">
        <f>IFERROR(VLOOKUP(C847,'פקודות נוספות'!$D$273:$G$797,4,0),0)</f>
        <v>13896.33</v>
      </c>
      <c r="N847" s="2733">
        <f>IF(K847=0,"-",J847/K847)</f>
        <v>3.2505683155192773</v>
      </c>
      <c r="O847" s="3210" t="s">
        <v>3826</v>
      </c>
      <c r="P847" s="1512"/>
      <c r="Q847" s="141"/>
      <c r="R847" s="1512"/>
      <c r="S847" s="1512"/>
      <c r="T847" s="141"/>
      <c r="U847" s="141"/>
      <c r="V847" s="726"/>
      <c r="W847" s="726"/>
      <c r="X847" s="141"/>
      <c r="Y847" s="141"/>
      <c r="Z847" s="141"/>
      <c r="AA847" s="141"/>
      <c r="AB847" s="141"/>
      <c r="AC847" s="141"/>
      <c r="AD847" s="141"/>
      <c r="AE847" s="141"/>
      <c r="AF847" s="141">
        <f>'[30]מאזן בוחן'!AF757</f>
        <v>0</v>
      </c>
      <c r="AG847" s="141">
        <f>'[31]מאזן בוחן'!AG761</f>
        <v>49.34</v>
      </c>
      <c r="AH847" s="141">
        <v>1157.1100000000001</v>
      </c>
      <c r="AI847" s="141">
        <v>1350.9399999999998</v>
      </c>
      <c r="AJ847" s="141">
        <v>2684.52</v>
      </c>
      <c r="AK847" s="141">
        <v>2684.41</v>
      </c>
      <c r="AL847" s="141">
        <v>2686.3500000000004</v>
      </c>
      <c r="AM847" s="141">
        <f>$K847-SUM($AB847:AL847)</f>
        <v>3283.66</v>
      </c>
      <c r="AN847" s="141"/>
      <c r="AO847" s="141"/>
      <c r="AP847" s="141"/>
      <c r="AQ847" s="141"/>
      <c r="AR847" s="141"/>
      <c r="AS847" s="141"/>
      <c r="AT847" s="141"/>
      <c r="AU847" s="141"/>
      <c r="AV847" s="141"/>
      <c r="AW847" s="141"/>
      <c r="AX847" s="141"/>
      <c r="BA847" s="204"/>
    </row>
    <row r="848" spans="1:53">
      <c r="A848" s="52"/>
      <c r="B848" s="3659" t="s">
        <v>1185</v>
      </c>
      <c r="C848" s="585">
        <v>8410067</v>
      </c>
      <c r="D848" s="203" t="s">
        <v>398</v>
      </c>
      <c r="E848" s="474">
        <f>IFERROR(VLOOKUP(C848,'פקודות נוספות'!$D$274:$F$797,3,0),0)</f>
        <v>0</v>
      </c>
      <c r="F848" s="439">
        <f>SUMIF('פקודות נוספות'!C:C,C:C,'פקודות נוספות'!E:E)</f>
        <v>0</v>
      </c>
      <c r="H848" s="439"/>
      <c r="J848" s="171">
        <f t="shared" si="170"/>
        <v>0</v>
      </c>
      <c r="K848" s="42">
        <f>M848+SUMIF('פקודות נוספות'!C:C,'מאזן בוחן'!C848,'פקודות נוספות'!F:F)</f>
        <v>0</v>
      </c>
      <c r="L848" s="439"/>
      <c r="M848" s="474"/>
      <c r="N848" s="2733" t="str">
        <f>IF(K848=0,"-",J848/K848)</f>
        <v>-</v>
      </c>
      <c r="O848" s="1133"/>
      <c r="P848" s="137">
        <v>0</v>
      </c>
      <c r="Q848" s="141">
        <f>'[39]מאזן בוחן'!AE707</f>
        <v>0</v>
      </c>
      <c r="R848" s="137">
        <v>0</v>
      </c>
      <c r="S848" s="137">
        <v>0</v>
      </c>
      <c r="T848" s="141">
        <f>'[20]מאזן בוחן'!AR762</f>
        <v>0</v>
      </c>
      <c r="U848" s="141">
        <f>'[21]מאזן בוחן'!AS672</f>
        <v>0</v>
      </c>
      <c r="V848" s="726">
        <f>'[22]מאזן בוחן'!AJ658</f>
        <v>0</v>
      </c>
      <c r="W848" s="726">
        <f>'[23]מאזן בוחן'!AK663</f>
        <v>0</v>
      </c>
      <c r="X848" s="141">
        <v>0</v>
      </c>
      <c r="Y848" s="141">
        <f>'[25]מאזן בוחן'!AM693</f>
        <v>0</v>
      </c>
      <c r="Z848" s="141"/>
      <c r="AA848" s="141">
        <f>'[32]מאזן בוחן'!AO710</f>
        <v>0</v>
      </c>
      <c r="AB848" s="141">
        <f>'[26]מאזן בוחן'!AB718</f>
        <v>0</v>
      </c>
      <c r="AC848" s="141">
        <f>'[27]מאזן בוחן'!AC727</f>
        <v>0</v>
      </c>
      <c r="AD848" s="141">
        <f>'[28]מאזן בוחן'!AD736</f>
        <v>0</v>
      </c>
      <c r="AE848" s="141">
        <f>'[29]מאזן בוחן'!AE746</f>
        <v>0</v>
      </c>
      <c r="AF848" s="141">
        <f>'[30]מאזן בוחן'!AF758</f>
        <v>0</v>
      </c>
      <c r="AG848" s="141">
        <f>'[31]מאזן בוחן'!AG762</f>
        <v>0</v>
      </c>
      <c r="AH848" s="141">
        <v>0</v>
      </c>
      <c r="AI848" s="141">
        <v>0</v>
      </c>
      <c r="AJ848" s="141">
        <v>0</v>
      </c>
      <c r="AK848" s="141">
        <v>0</v>
      </c>
      <c r="AL848" s="141">
        <v>0</v>
      </c>
      <c r="AM848" s="141">
        <f>$K848-SUM($AB848:AL848)</f>
        <v>0</v>
      </c>
      <c r="AN848" s="141"/>
      <c r="AO848" s="141"/>
      <c r="AP848" s="141"/>
      <c r="AQ848" s="141"/>
      <c r="AR848" s="141"/>
      <c r="AS848" s="141"/>
      <c r="AT848" s="141"/>
      <c r="AU848" s="141"/>
      <c r="AV848" s="141"/>
      <c r="AW848" s="141"/>
      <c r="AX848" s="141"/>
      <c r="BA848" s="204"/>
    </row>
    <row r="849" spans="1:55">
      <c r="A849" s="52"/>
      <c r="B849" s="3659" t="s">
        <v>1183</v>
      </c>
      <c r="C849" s="585">
        <v>8030101</v>
      </c>
      <c r="D849" s="203" t="s">
        <v>1640</v>
      </c>
      <c r="E849" s="474">
        <f>IFERROR(VLOOKUP(C849,'פקודות נוספות'!$D$274:$F$797,3,0),0)</f>
        <v>0</v>
      </c>
      <c r="F849" s="49">
        <f>SUMIF('פקודות נוספות'!C:C,C:C,'פקודות נוספות'!E:E)</f>
        <v>0</v>
      </c>
      <c r="G849" s="439"/>
      <c r="I849" s="439"/>
      <c r="J849" s="474">
        <f t="shared" si="170"/>
        <v>0</v>
      </c>
      <c r="K849" s="98">
        <f>M849+SUMIF('פקודות נוספות'!C:C,'מאזן בוחן'!C849,'פקודות נוספות'!F:F)</f>
        <v>0</v>
      </c>
      <c r="L849" s="49"/>
      <c r="M849" s="171"/>
      <c r="N849" s="1621"/>
      <c r="O849" s="1133"/>
      <c r="P849" s="137">
        <v>0</v>
      </c>
      <c r="Q849" s="141">
        <f>'[39]מאזן בוחן'!AE708</f>
        <v>0</v>
      </c>
      <c r="R849" s="137">
        <v>0</v>
      </c>
      <c r="S849" s="137">
        <v>0</v>
      </c>
      <c r="T849" s="141">
        <f>'[20]מאזן בוחן'!AR763</f>
        <v>0</v>
      </c>
      <c r="U849" s="141">
        <f>'[21]מאזן בוחן'!AS673</f>
        <v>0</v>
      </c>
      <c r="V849" s="726">
        <f>'[22]מאזן בוחן'!AJ659</f>
        <v>0</v>
      </c>
      <c r="W849" s="726">
        <f>'[23]מאזן בוחן'!AK664</f>
        <v>0</v>
      </c>
      <c r="X849" s="141">
        <v>0</v>
      </c>
      <c r="Y849" s="141">
        <f>'[25]מאזן בוחן'!AM694</f>
        <v>0</v>
      </c>
      <c r="Z849" s="141"/>
      <c r="AA849" s="141">
        <f>'[32]מאזן בוחן'!AO711</f>
        <v>0</v>
      </c>
      <c r="AB849" s="141">
        <f>'[26]מאזן בוחן'!AB719</f>
        <v>0</v>
      </c>
      <c r="AC849" s="141">
        <f>'[27]מאזן בוחן'!AC728</f>
        <v>0</v>
      </c>
      <c r="AD849" s="141">
        <f>'[28]מאזן בוחן'!AD737</f>
        <v>0</v>
      </c>
      <c r="AE849" s="141">
        <f>'[29]מאזן בוחן'!AE747</f>
        <v>0</v>
      </c>
      <c r="AF849" s="141">
        <f>'[30]מאזן בוחן'!AF759</f>
        <v>0</v>
      </c>
      <c r="AG849" s="141">
        <f>'[31]מאזן בוחן'!AG763</f>
        <v>0</v>
      </c>
      <c r="AH849" s="141">
        <v>0</v>
      </c>
      <c r="AI849" s="141">
        <v>0</v>
      </c>
      <c r="AJ849" s="141">
        <v>0</v>
      </c>
      <c r="AK849" s="141">
        <v>0</v>
      </c>
      <c r="AL849" s="141">
        <v>0</v>
      </c>
      <c r="AM849" s="141">
        <f>$K849-SUM($AB849:AL849)</f>
        <v>0</v>
      </c>
      <c r="AN849" s="141"/>
      <c r="AO849" s="141"/>
      <c r="AP849" s="141"/>
      <c r="AQ849" s="141"/>
      <c r="AR849" s="141"/>
      <c r="AS849" s="141"/>
      <c r="AT849" s="141"/>
      <c r="AU849" s="141"/>
      <c r="AV849" s="141"/>
      <c r="AW849" s="141"/>
      <c r="AX849" s="141"/>
      <c r="BA849" s="204"/>
    </row>
    <row r="850" spans="1:55">
      <c r="A850" s="52"/>
      <c r="B850" s="3659" t="s">
        <v>1185</v>
      </c>
      <c r="C850" s="585">
        <v>8410099</v>
      </c>
      <c r="D850" s="203" t="s">
        <v>1582</v>
      </c>
      <c r="E850" s="474">
        <f>IFERROR(VLOOKUP(C850,'פקודות נוספות'!$D$274:$F$797,3,0),0)</f>
        <v>0</v>
      </c>
      <c r="F850" s="49">
        <f>SUMIF('פקודות נוספות'!C:C,C:C,'פקודות נוספות'!E:E)</f>
        <v>0</v>
      </c>
      <c r="J850" s="474">
        <f t="shared" si="170"/>
        <v>0</v>
      </c>
      <c r="K850" s="42">
        <f>M850+SUMIF('פקודות נוספות'!C:C,'מאזן בוחן'!C850,'פקודות נוספות'!F:F)</f>
        <v>0</v>
      </c>
      <c r="L850" s="49"/>
      <c r="M850" s="474"/>
      <c r="N850" s="1104" t="str">
        <f t="shared" ref="N850:N882" si="174">IF(K850=0,"-",J850/K850)</f>
        <v>-</v>
      </c>
      <c r="O850" s="1133"/>
      <c r="P850" s="137">
        <v>0</v>
      </c>
      <c r="Q850" s="141">
        <f>'[39]מאזן בוחן'!AE709</f>
        <v>0</v>
      </c>
      <c r="R850" s="137">
        <v>0</v>
      </c>
      <c r="S850" s="137">
        <v>0</v>
      </c>
      <c r="T850" s="141">
        <f>'[20]מאזן בוחן'!AR764</f>
        <v>0</v>
      </c>
      <c r="U850" s="141">
        <f>'[21]מאזן בוחן'!AS674</f>
        <v>0</v>
      </c>
      <c r="V850" s="726">
        <f>'[22]מאזן בוחן'!AJ660</f>
        <v>0</v>
      </c>
      <c r="W850" s="726">
        <f>'[23]מאזן בוחן'!AK665</f>
        <v>0</v>
      </c>
      <c r="X850" s="141">
        <v>0</v>
      </c>
      <c r="Y850" s="141">
        <f>'[25]מאזן בוחן'!AM695</f>
        <v>0</v>
      </c>
      <c r="Z850" s="141"/>
      <c r="AA850" s="141">
        <f>'[32]מאזן בוחן'!AO712</f>
        <v>0</v>
      </c>
      <c r="AB850" s="141">
        <f>'[26]מאזן בוחן'!AB720</f>
        <v>0</v>
      </c>
      <c r="AC850" s="141">
        <f>'[27]מאזן בוחן'!AC729</f>
        <v>0</v>
      </c>
      <c r="AD850" s="141">
        <f>'[28]מאזן בוחן'!AD738</f>
        <v>0</v>
      </c>
      <c r="AE850" s="141">
        <f>'[29]מאזן בוחן'!AE748</f>
        <v>0</v>
      </c>
      <c r="AF850" s="141">
        <f>'[30]מאזן בוחן'!AF760</f>
        <v>0</v>
      </c>
      <c r="AG850" s="141">
        <f>'[31]מאזן בוחן'!AG764</f>
        <v>0</v>
      </c>
      <c r="AH850" s="141">
        <v>0</v>
      </c>
      <c r="AI850" s="141">
        <v>0</v>
      </c>
      <c r="AJ850" s="141">
        <v>0</v>
      </c>
      <c r="AK850" s="141">
        <v>0</v>
      </c>
      <c r="AL850" s="141">
        <v>0</v>
      </c>
      <c r="AM850" s="141">
        <f>$K850-SUM($AB850:AL850)</f>
        <v>0</v>
      </c>
      <c r="AN850" s="141"/>
      <c r="AO850" s="141"/>
      <c r="AP850" s="141"/>
      <c r="AQ850" s="141"/>
      <c r="AR850" s="141"/>
      <c r="AS850" s="141"/>
      <c r="AT850" s="141"/>
      <c r="AU850" s="141"/>
      <c r="AV850" s="141"/>
      <c r="AW850" s="141"/>
      <c r="AX850" s="141"/>
      <c r="BA850" s="204"/>
    </row>
    <row r="851" spans="1:55">
      <c r="A851" s="52"/>
      <c r="B851" s="3659"/>
      <c r="C851" s="156"/>
      <c r="D851" s="203"/>
      <c r="E851" s="747"/>
      <c r="J851" s="474"/>
      <c r="K851" s="42"/>
      <c r="L851" s="49"/>
      <c r="M851" s="474"/>
      <c r="N851" s="1104" t="str">
        <f t="shared" si="174"/>
        <v>-</v>
      </c>
      <c r="O851" s="1133"/>
      <c r="P851" s="137">
        <v>0</v>
      </c>
      <c r="Q851" s="141">
        <f>'[39]מאזן בוחן'!AE710</f>
        <v>0</v>
      </c>
      <c r="R851" s="137">
        <v>0</v>
      </c>
      <c r="S851" s="137">
        <v>0</v>
      </c>
      <c r="T851" s="141">
        <f>'[20]מאזן בוחן'!AR765</f>
        <v>0</v>
      </c>
      <c r="U851" s="141">
        <f>'[21]מאזן בוחן'!AS675</f>
        <v>0</v>
      </c>
      <c r="V851" s="726">
        <f>'[22]מאזן בוחן'!AJ661</f>
        <v>0</v>
      </c>
      <c r="W851" s="726">
        <f>'[23]מאזן בוחן'!AK666</f>
        <v>0</v>
      </c>
      <c r="X851" s="141">
        <v>0</v>
      </c>
      <c r="Y851" s="141">
        <f>'[25]מאזן בוחן'!AM696</f>
        <v>0</v>
      </c>
      <c r="AA851" s="141">
        <f>'[32]מאזן בוחן'!AO713</f>
        <v>0</v>
      </c>
      <c r="AB851" s="141">
        <f>'[26]מאזן בוחן'!AB721</f>
        <v>0</v>
      </c>
      <c r="AC851" s="141">
        <f>'[27]מאזן בוחן'!AC730</f>
        <v>0</v>
      </c>
      <c r="AD851" s="141">
        <f>'[28]מאזן בוחן'!AD739</f>
        <v>0</v>
      </c>
      <c r="AE851" s="141">
        <f>'[29]מאזן בוחן'!AE749</f>
        <v>0</v>
      </c>
      <c r="AF851" s="141">
        <f>'[30]מאזן בוחן'!AF761</f>
        <v>135413.05000000168</v>
      </c>
      <c r="AG851" s="141">
        <f>'[31]מאזן בוחן'!AG765</f>
        <v>-135413.05000000168</v>
      </c>
      <c r="AH851" s="141">
        <v>0</v>
      </c>
      <c r="AI851" s="141">
        <v>0</v>
      </c>
      <c r="AJ851" s="141">
        <v>0</v>
      </c>
      <c r="AK851" s="141">
        <v>0</v>
      </c>
      <c r="AL851" s="141">
        <v>0</v>
      </c>
      <c r="AM851" s="141">
        <f>$K851-SUM($AB851:AL851)</f>
        <v>0</v>
      </c>
      <c r="AN851" s="141"/>
      <c r="AO851" s="141"/>
      <c r="AP851" s="141"/>
      <c r="AQ851" s="141"/>
      <c r="AR851" s="141"/>
      <c r="AS851" s="141"/>
      <c r="AT851" s="141"/>
      <c r="AU851" s="141"/>
      <c r="AV851" s="141"/>
      <c r="AW851" s="141"/>
      <c r="BA851" s="204"/>
    </row>
    <row r="852" spans="1:55" ht="15" customHeight="1" thickBot="1">
      <c r="A852" s="52"/>
      <c r="B852" s="3668"/>
      <c r="C852" s="1160"/>
      <c r="D852" s="2731" t="s">
        <v>319</v>
      </c>
      <c r="E852" s="1627">
        <f t="shared" ref="E852:K852" si="175">SUM(E756:E850)</f>
        <v>5845203.6700000018</v>
      </c>
      <c r="F852" s="1627">
        <f t="shared" si="175"/>
        <v>0</v>
      </c>
      <c r="G852" s="1513">
        <f t="shared" si="175"/>
        <v>0</v>
      </c>
      <c r="H852" s="1513">
        <f t="shared" si="175"/>
        <v>0</v>
      </c>
      <c r="I852" s="1513">
        <f t="shared" si="175"/>
        <v>0</v>
      </c>
      <c r="J852" s="1513">
        <f t="shared" si="175"/>
        <v>5845203.6700000018</v>
      </c>
      <c r="K852" s="1513">
        <f t="shared" si="175"/>
        <v>1794658.080000004</v>
      </c>
      <c r="L852" s="49"/>
      <c r="M852" s="1513">
        <f>SUM(M756:M850)</f>
        <v>1794658.080000004</v>
      </c>
      <c r="N852" s="1104">
        <f t="shared" si="174"/>
        <v>3.2570012834979623</v>
      </c>
      <c r="O852" s="1133"/>
      <c r="P852" s="137">
        <v>201959.29000000012</v>
      </c>
      <c r="Q852" s="141">
        <f>'[39]מאזן בוחן'!AE711</f>
        <v>176875.87000000014</v>
      </c>
      <c r="R852" s="137">
        <v>163327.43000000107</v>
      </c>
      <c r="S852" s="137">
        <v>159478.89999999831</v>
      </c>
      <c r="T852" s="141">
        <f>'[20]מאזן בוחן'!AR766</f>
        <v>165900.07000000085</v>
      </c>
      <c r="U852" s="141">
        <f>'[21]מאזן בוחן'!AS676</f>
        <v>171418.2899999826</v>
      </c>
      <c r="V852" s="726">
        <f>'[22]מאזן בוחן'!AJ662</f>
        <v>173131.05000000438</v>
      </c>
      <c r="W852" s="726">
        <f>'[23]מאזן בוחן'!AK667</f>
        <v>188629.38000001354</v>
      </c>
      <c r="X852" s="141">
        <v>182849.14000000144</v>
      </c>
      <c r="Y852" s="141">
        <f>'[25]מאזן בוחן'!AM697</f>
        <v>214581.62000000081</v>
      </c>
      <c r="AA852" s="141">
        <f>'[32]מאזן בוחן'!AO714</f>
        <v>189084.18999999436</v>
      </c>
      <c r="AB852" s="141">
        <f>'[26]מאזן בוחן'!AB722</f>
        <v>119725.45999999976</v>
      </c>
      <c r="AC852" s="141">
        <f>'[27]מאזן בוחן'!AC731</f>
        <v>112945.46000000057</v>
      </c>
      <c r="AD852" s="141">
        <f>'[28]מאזן בוחן'!AD740</f>
        <v>149416.03999999887</v>
      </c>
      <c r="AE852" s="141">
        <f>'[29]מאזן בוחן'!AE750</f>
        <v>131068.96999999956</v>
      </c>
      <c r="AF852" s="141">
        <f>'[30]מאזן בוחן'!AF762</f>
        <v>0</v>
      </c>
      <c r="AG852" s="141">
        <f>'[31]מאזן בוחן'!AG766</f>
        <v>321432.64000000106</v>
      </c>
      <c r="AH852" s="141">
        <v>148057.670000004</v>
      </c>
      <c r="AI852" s="141">
        <v>149551.68999999727</v>
      </c>
      <c r="AJ852" s="141">
        <v>173780.31999999424</v>
      </c>
      <c r="AK852" s="141">
        <v>141331.71000000369</v>
      </c>
      <c r="AL852" s="141">
        <v>91310.200000004377</v>
      </c>
      <c r="AM852" s="141">
        <f>$K852-SUM($AB852:AL852)</f>
        <v>256037.92000000062</v>
      </c>
      <c r="AN852" s="141"/>
      <c r="AO852" s="141"/>
      <c r="AP852" s="141"/>
      <c r="AQ852" s="141"/>
      <c r="AR852" s="141"/>
      <c r="AS852" s="141"/>
      <c r="AT852" s="141"/>
      <c r="AU852" s="141"/>
      <c r="AV852" s="141"/>
      <c r="AW852" s="141"/>
      <c r="BA852" s="204"/>
    </row>
    <row r="853" spans="1:55">
      <c r="A853" s="52"/>
      <c r="B853" s="3664"/>
      <c r="C853" s="155"/>
      <c r="D853" s="423"/>
      <c r="E853" s="1531"/>
      <c r="F853" s="3684"/>
      <c r="G853" s="180"/>
      <c r="H853" s="180"/>
      <c r="I853" s="180"/>
      <c r="J853" s="180"/>
      <c r="K853" s="180"/>
      <c r="L853" s="49"/>
      <c r="M853" s="180"/>
      <c r="N853" s="1104" t="str">
        <f t="shared" si="174"/>
        <v>-</v>
      </c>
      <c r="O853" s="1133"/>
      <c r="P853" s="137">
        <v>0</v>
      </c>
      <c r="Q853" s="141">
        <f>'[39]מאזן בוחן'!AE712</f>
        <v>0</v>
      </c>
      <c r="R853" s="137">
        <v>0</v>
      </c>
      <c r="S853" s="137">
        <v>0</v>
      </c>
      <c r="T853" s="141">
        <f>'[20]מאזן בוחן'!AR767</f>
        <v>0</v>
      </c>
      <c r="U853" s="141">
        <f>'[21]מאזן בוחן'!AS677</f>
        <v>0</v>
      </c>
      <c r="V853" s="726">
        <f>'[22]מאזן בוחן'!AJ663</f>
        <v>0</v>
      </c>
      <c r="W853" s="726">
        <f>'[23]מאזן בוחן'!AK668</f>
        <v>0</v>
      </c>
      <c r="X853" s="141">
        <v>0</v>
      </c>
      <c r="Y853" s="141">
        <f>'[25]מאזן בוחן'!AM698</f>
        <v>0</v>
      </c>
      <c r="AA853" s="141">
        <f>'[32]מאזן בוחן'!AO715</f>
        <v>0</v>
      </c>
      <c r="AB853" s="141">
        <f>'[26]מאזן בוחן'!AB723</f>
        <v>0</v>
      </c>
      <c r="AC853" s="141">
        <f>'[27]מאזן בוחן'!AC732</f>
        <v>0</v>
      </c>
      <c r="AD853" s="141">
        <f>'[28]מאזן בוחן'!AD741</f>
        <v>0</v>
      </c>
      <c r="AE853" s="141">
        <f>'[29]מאזן בוחן'!AE751</f>
        <v>0</v>
      </c>
      <c r="AF853" s="141">
        <f>'[30]מאזן בוחן'!AF763</f>
        <v>0</v>
      </c>
      <c r="AG853" s="141">
        <f>'[31]מאזן בוחן'!AG767</f>
        <v>0</v>
      </c>
      <c r="AH853" s="141">
        <v>0</v>
      </c>
      <c r="AI853" s="141">
        <v>0</v>
      </c>
      <c r="AJ853" s="141">
        <v>0</v>
      </c>
      <c r="AK853" s="141">
        <v>0</v>
      </c>
      <c r="AL853" s="141">
        <v>0</v>
      </c>
      <c r="AM853" s="141">
        <f>$K853-SUM($AB853:AL853)</f>
        <v>0</v>
      </c>
      <c r="AN853" s="141"/>
      <c r="AO853" s="141"/>
      <c r="AP853" s="141"/>
      <c r="AQ853" s="141"/>
      <c r="AR853" s="141"/>
      <c r="AS853" s="141"/>
      <c r="AT853" s="141"/>
      <c r="AU853" s="141"/>
      <c r="AV853" s="141"/>
      <c r="AW853" s="141"/>
      <c r="BA853" s="204"/>
    </row>
    <row r="854" spans="1:55">
      <c r="A854" s="52"/>
      <c r="B854" s="3668"/>
      <c r="C854" s="407"/>
      <c r="D854" s="607" t="s">
        <v>94</v>
      </c>
      <c r="E854" s="1628"/>
      <c r="J854" s="474"/>
      <c r="K854" s="49"/>
      <c r="L854" s="49"/>
      <c r="M854" s="474"/>
      <c r="N854" s="1104" t="str">
        <f t="shared" si="174"/>
        <v>-</v>
      </c>
      <c r="O854" s="1133"/>
      <c r="P854" s="137">
        <v>0</v>
      </c>
      <c r="Q854" s="141">
        <f>'[39]מאזן בוחן'!AE713</f>
        <v>0</v>
      </c>
      <c r="R854" s="137">
        <v>0</v>
      </c>
      <c r="S854" s="137">
        <v>0</v>
      </c>
      <c r="T854" s="141">
        <f>'[20]מאזן בוחן'!AR768</f>
        <v>0</v>
      </c>
      <c r="U854" s="141">
        <f>'[21]מאזן בוחן'!AS678</f>
        <v>0</v>
      </c>
      <c r="V854" s="726">
        <f>'[22]מאזן בוחן'!AJ664</f>
        <v>0</v>
      </c>
      <c r="W854" s="726">
        <f>'[23]מאזן בוחן'!AK669</f>
        <v>0</v>
      </c>
      <c r="X854" s="141">
        <v>0</v>
      </c>
      <c r="Y854" s="141">
        <f>'[25]מאזן בוחן'!AM699</f>
        <v>0</v>
      </c>
      <c r="AA854" s="141">
        <f>'[32]מאזן בוחן'!AO716</f>
        <v>0</v>
      </c>
      <c r="AB854" s="141">
        <f>'[26]מאזן בוחן'!AB724</f>
        <v>0</v>
      </c>
      <c r="AC854" s="141">
        <f>'[27]מאזן בוחן'!AC733</f>
        <v>0</v>
      </c>
      <c r="AD854" s="141">
        <f>'[28]מאזן בוחן'!AD742</f>
        <v>0</v>
      </c>
      <c r="AE854" s="141">
        <f>'[29]מאזן בוחן'!AE752</f>
        <v>0</v>
      </c>
      <c r="AF854" s="141">
        <f>'[30]מאזן בוחן'!AF764</f>
        <v>-179987.32180766016</v>
      </c>
      <c r="AG854" s="141">
        <f>'[31]מאזן בוחן'!AG768</f>
        <v>179987.32180766016</v>
      </c>
      <c r="AH854" s="141">
        <v>0</v>
      </c>
      <c r="AI854" s="141">
        <v>0</v>
      </c>
      <c r="AJ854" s="141">
        <v>0</v>
      </c>
      <c r="AK854" s="141">
        <v>0</v>
      </c>
      <c r="AL854" s="141">
        <v>0</v>
      </c>
      <c r="AM854" s="141">
        <f>$K854-SUM($AB854:AL854)</f>
        <v>0</v>
      </c>
      <c r="AN854" s="141"/>
      <c r="AO854" s="141"/>
      <c r="AP854" s="141"/>
      <c r="AQ854" s="141"/>
      <c r="AR854" s="141"/>
      <c r="AS854" s="141"/>
      <c r="AT854" s="141"/>
      <c r="AU854" s="141"/>
      <c r="AV854" s="141"/>
      <c r="AW854" s="141"/>
      <c r="BA854" s="204"/>
    </row>
    <row r="855" spans="1:55">
      <c r="A855" s="52"/>
      <c r="B855" s="3659" t="s">
        <v>1185</v>
      </c>
      <c r="C855" s="2245">
        <v>93100</v>
      </c>
      <c r="D855" s="2226" t="s">
        <v>186</v>
      </c>
      <c r="E855" s="474">
        <f>IFERROR(VLOOKUP(C855,'פקודות נוספות'!$D$274:$F$797,3,0),0)</f>
        <v>-9822353.3800000008</v>
      </c>
      <c r="F855" s="49">
        <f>SUMIF('פקודות נוספות'!C:C,C:C,'פקודות נוספות'!E:E)</f>
        <v>-3.650793107226491E-3</v>
      </c>
      <c r="J855" s="474">
        <f>SUM(E855:I855)</f>
        <v>-9822353.3836507946</v>
      </c>
      <c r="K855" s="42">
        <f>M855+SUMIF('פקודות נוספות'!C:C,'מאזן בוחן'!C855,'פקודות נוספות'!F:F)</f>
        <v>-2969610.8298522481</v>
      </c>
      <c r="L855" s="49"/>
      <c r="M855" s="1341">
        <f>IFERROR(VLOOKUP(C855,'פקודות נוספות'!$D$273:$G$797,4,0),0)</f>
        <v>-2969610.83</v>
      </c>
      <c r="N855" s="1104">
        <f t="shared" si="174"/>
        <v>3.3076231016235558</v>
      </c>
      <c r="O855" s="1133"/>
      <c r="P855" s="137">
        <v>160495.56687704218</v>
      </c>
      <c r="Q855" s="141">
        <f>'[39]מאזן בוחן'!AE714</f>
        <v>-399105.17773150955</v>
      </c>
      <c r="R855" s="137">
        <v>-200600.18711610325</v>
      </c>
      <c r="S855" s="137">
        <v>-192708.36456114054</v>
      </c>
      <c r="T855" s="141">
        <f>'[20]מאזן בוחן'!AR769</f>
        <v>-362626.21147301001</v>
      </c>
      <c r="U855" s="141">
        <f>'[21]מאזן בוחן'!AS679</f>
        <v>-210842.34867067658</v>
      </c>
      <c r="V855" s="141">
        <f>'[22]מאזן בוחן'!AJ665</f>
        <v>-217665.19785733894</v>
      </c>
      <c r="W855" s="141">
        <f>'[23]מאזן בוחן'!AK670</f>
        <v>-383068.99585376889</v>
      </c>
      <c r="X855" s="141">
        <v>-222051.28411139501</v>
      </c>
      <c r="Y855" s="141">
        <f>'[25]מאזן בוחן'!AM700</f>
        <v>-252252.97453987738</v>
      </c>
      <c r="AA855" s="141">
        <f>'[32]מאזן בוחן'!AO717</f>
        <v>-514332.04983964097</v>
      </c>
      <c r="AB855" s="141">
        <f>'[26]מאזן בוחן'!AB725</f>
        <v>-178652.28409090912</v>
      </c>
      <c r="AC855" s="141">
        <f>'[27]מאזן בוחן'!AC734</f>
        <v>-171292.125</v>
      </c>
      <c r="AD855" s="141">
        <f>'[28]מאזן בוחן'!AD743</f>
        <v>-366643.95090909087</v>
      </c>
      <c r="AE855" s="141">
        <f>'[29]מאזן בוחן'!AE753</f>
        <v>-165598.40288252092</v>
      </c>
      <c r="AF855" s="141">
        <f>'[30]מאזן בוחן'!AF765</f>
        <v>-179987.32180766016</v>
      </c>
      <c r="AG855" s="141">
        <f>'[31]מאזן בוחן'!AG769</f>
        <v>-345076.8534775849</v>
      </c>
      <c r="AH855" s="141">
        <v>-192163.86260420992</v>
      </c>
      <c r="AI855" s="141">
        <v>-192226.21899741888</v>
      </c>
      <c r="AJ855" s="141">
        <v>-344170.24023060501</v>
      </c>
      <c r="AK855" s="141">
        <v>-187548.98083329713</v>
      </c>
      <c r="AL855" s="141">
        <v>-217428.35795454495</v>
      </c>
      <c r="AM855" s="141">
        <f>$K855-SUM($AB855:AL855)</f>
        <v>-428822.23106440622</v>
      </c>
      <c r="AN855" s="141"/>
      <c r="AO855" s="141"/>
      <c r="AP855" s="141"/>
      <c r="AQ855" s="141"/>
      <c r="AR855" s="141"/>
      <c r="AS855" s="141"/>
      <c r="AT855" s="141"/>
      <c r="AU855" s="141"/>
      <c r="AV855" s="141"/>
      <c r="AW855" s="141"/>
      <c r="BA855" s="204"/>
    </row>
    <row r="856" spans="1:55" ht="13.5" thickBot="1">
      <c r="A856" s="52"/>
      <c r="B856" s="3664"/>
      <c r="C856" s="1169"/>
      <c r="D856" s="2731"/>
      <c r="E856" s="1513">
        <f t="shared" ref="E856:M856" si="176">SUM(E855:E855)</f>
        <v>-9822353.3800000008</v>
      </c>
      <c r="F856" s="1513">
        <f t="shared" si="176"/>
        <v>-3.650793107226491E-3</v>
      </c>
      <c r="G856" s="1513">
        <f t="shared" si="176"/>
        <v>0</v>
      </c>
      <c r="H856" s="1513">
        <f t="shared" si="176"/>
        <v>0</v>
      </c>
      <c r="I856" s="1513">
        <f t="shared" si="176"/>
        <v>0</v>
      </c>
      <c r="J856" s="1513">
        <f t="shared" si="176"/>
        <v>-9822353.3836507946</v>
      </c>
      <c r="K856" s="1513">
        <f t="shared" si="176"/>
        <v>-2969610.8298522481</v>
      </c>
      <c r="L856" s="49"/>
      <c r="M856" s="1513">
        <f t="shared" si="176"/>
        <v>-2969610.83</v>
      </c>
      <c r="N856" s="1571">
        <f t="shared" si="174"/>
        <v>3.3076231016235558</v>
      </c>
      <c r="O856" s="1133"/>
      <c r="P856" s="137">
        <v>160495.56687704218</v>
      </c>
      <c r="Q856" s="141">
        <f>'[39]מאזן בוחן'!AE715</f>
        <v>-399105.17773150955</v>
      </c>
      <c r="R856" s="137">
        <v>-200600.18711610325</v>
      </c>
      <c r="S856" s="137">
        <v>-192708.36456114054</v>
      </c>
      <c r="T856" s="141">
        <f>'[20]מאזן בוחן'!AR770</f>
        <v>-362626.21147301001</v>
      </c>
      <c r="U856" s="141">
        <f>'[21]מאזן בוחן'!AS680</f>
        <v>-210842.34867067658</v>
      </c>
      <c r="V856" s="141">
        <f>'[22]מאזן בוחן'!AJ666</f>
        <v>-217665.19785733894</v>
      </c>
      <c r="W856" s="141">
        <f>'[23]מאזן בוחן'!AK671</f>
        <v>-383068.99585376889</v>
      </c>
      <c r="X856" s="141">
        <v>-222051.28411139501</v>
      </c>
      <c r="Y856" s="141">
        <f>'[25]מאזן בוחן'!AM701</f>
        <v>-252252.97453987738</v>
      </c>
      <c r="AA856" s="141">
        <f>'[32]מאזן בוחן'!AO718</f>
        <v>-514332.04983964097</v>
      </c>
      <c r="AB856" s="141">
        <f>'[26]מאזן בוחן'!AB726</f>
        <v>-178652.28409090912</v>
      </c>
      <c r="AC856" s="141">
        <f>'[27]מאזן בוחן'!AC735</f>
        <v>-171292.125</v>
      </c>
      <c r="AD856" s="141">
        <f>'[28]מאזן בוחן'!AD744</f>
        <v>-366643.95090909087</v>
      </c>
      <c r="AE856" s="141">
        <f>'[29]מאזן בוחן'!AE754</f>
        <v>-165598.40288252092</v>
      </c>
      <c r="AF856" s="141">
        <f>'[30]מאזן בוחן'!AF766</f>
        <v>0</v>
      </c>
      <c r="AG856" s="141">
        <f>'[31]מאזן בוחן'!AG770</f>
        <v>-525064.17528524506</v>
      </c>
      <c r="AH856" s="141">
        <v>-192163.86260420992</v>
      </c>
      <c r="AI856" s="141">
        <v>-192226.21899741888</v>
      </c>
      <c r="AJ856" s="141">
        <v>-344170.24023060501</v>
      </c>
      <c r="AK856" s="141">
        <v>-187548.98083329713</v>
      </c>
      <c r="AL856" s="141">
        <v>-217428.35795454495</v>
      </c>
      <c r="AM856" s="141">
        <f>$K856-SUM($AB856:AL856)</f>
        <v>-428822.23106440622</v>
      </c>
      <c r="AN856" s="141"/>
      <c r="AO856" s="141"/>
      <c r="AP856" s="141"/>
      <c r="AQ856" s="141"/>
      <c r="AR856" s="141"/>
      <c r="AS856" s="141"/>
      <c r="AT856" s="141"/>
      <c r="AU856" s="141"/>
      <c r="AV856" s="141"/>
      <c r="AW856" s="141"/>
      <c r="BA856" s="204"/>
    </row>
    <row r="857" spans="1:55">
      <c r="A857" s="52"/>
      <c r="B857" s="3664"/>
      <c r="D857" s="1647" t="s">
        <v>450</v>
      </c>
      <c r="E857" s="1202"/>
      <c r="J857" s="474"/>
      <c r="K857" s="474"/>
      <c r="L857" s="49"/>
      <c r="M857" s="474"/>
      <c r="N857" s="1104" t="str">
        <f t="shared" si="174"/>
        <v>-</v>
      </c>
      <c r="O857" s="1133"/>
      <c r="P857" s="137">
        <v>0</v>
      </c>
      <c r="Q857" s="141">
        <f>'[39]מאזן בוחן'!AE716</f>
        <v>0</v>
      </c>
      <c r="R857" s="137">
        <v>0</v>
      </c>
      <c r="S857" s="137">
        <v>0</v>
      </c>
      <c r="T857" s="141">
        <f>'[20]מאזן בוחן'!AR771</f>
        <v>0</v>
      </c>
      <c r="U857" s="141">
        <f>'[21]מאזן בוחן'!AS681</f>
        <v>0</v>
      </c>
      <c r="V857" s="726">
        <f>'[22]מאזן בוחן'!AJ667</f>
        <v>0</v>
      </c>
      <c r="W857" s="726">
        <f>'[23]מאזן בוחן'!AK672</f>
        <v>0</v>
      </c>
      <c r="X857" s="141">
        <v>0</v>
      </c>
      <c r="Y857" s="141">
        <f>'[25]מאזן בוחן'!AM702</f>
        <v>0</v>
      </c>
      <c r="AA857" s="141">
        <f>'[32]מאזן בוחן'!AO719</f>
        <v>0</v>
      </c>
      <c r="AB857" s="141">
        <f>'[26]מאזן בוחן'!AB727</f>
        <v>0</v>
      </c>
      <c r="AC857" s="141">
        <f>'[27]מאזן בוחן'!AC736</f>
        <v>0</v>
      </c>
      <c r="AD857" s="141">
        <f>'[28]מאזן בוחן'!AD745</f>
        <v>0</v>
      </c>
      <c r="AE857" s="141">
        <f>'[29]מאזן בוחן'!AE755</f>
        <v>0</v>
      </c>
      <c r="AF857" s="141">
        <f>'[30]מאזן בוחן'!AF767</f>
        <v>0</v>
      </c>
      <c r="AG857" s="141">
        <f>'[31]מאזן בוחן'!AG771</f>
        <v>0</v>
      </c>
      <c r="AH857" s="141">
        <v>0</v>
      </c>
      <c r="AI857" s="141">
        <v>0</v>
      </c>
      <c r="AJ857" s="141">
        <v>0</v>
      </c>
      <c r="AK857" s="141">
        <v>0</v>
      </c>
      <c r="AL857" s="141">
        <v>0</v>
      </c>
      <c r="AM857" s="141">
        <f>$K857-SUM($AB857:AL857)</f>
        <v>0</v>
      </c>
      <c r="AN857" s="141"/>
      <c r="AO857" s="141"/>
      <c r="AP857" s="141"/>
      <c r="AQ857" s="141"/>
      <c r="AR857" s="141"/>
      <c r="AS857" s="141"/>
      <c r="AT857" s="141"/>
      <c r="AU857" s="141"/>
      <c r="AV857" s="141"/>
      <c r="AW857" s="141"/>
      <c r="BA857" s="204"/>
    </row>
    <row r="858" spans="1:55">
      <c r="A858" s="52"/>
      <c r="B858" s="3664"/>
      <c r="C858" s="178"/>
      <c r="D858" s="63"/>
      <c r="E858" s="1502"/>
      <c r="F858" s="1499"/>
      <c r="J858" s="474">
        <f>SUM(E858:I858)</f>
        <v>0</v>
      </c>
      <c r="K858" s="42"/>
      <c r="L858" s="49"/>
      <c r="M858" s="474"/>
      <c r="N858" s="1104" t="str">
        <f t="shared" si="174"/>
        <v>-</v>
      </c>
      <c r="O858" s="1133"/>
      <c r="P858" s="137">
        <v>0</v>
      </c>
      <c r="Q858" s="141">
        <f>'[39]מאזן בוחן'!AE717</f>
        <v>0</v>
      </c>
      <c r="R858" s="137">
        <v>0</v>
      </c>
      <c r="S858" s="137">
        <v>0</v>
      </c>
      <c r="T858" s="141">
        <f>'[20]מאזן בוחן'!AR772</f>
        <v>0</v>
      </c>
      <c r="U858" s="141">
        <f>'[21]מאזן בוחן'!AS682</f>
        <v>0</v>
      </c>
      <c r="V858" s="726">
        <f>'[22]מאזן בוחן'!AJ668</f>
        <v>0</v>
      </c>
      <c r="W858" s="726">
        <f>'[23]מאזן בוחן'!AK673</f>
        <v>0</v>
      </c>
      <c r="X858" s="141">
        <v>0</v>
      </c>
      <c r="Y858" s="141">
        <f>'[25]מאזן בוחן'!AM703</f>
        <v>0</v>
      </c>
      <c r="AA858" s="141">
        <f>'[32]מאזן בוחן'!AO720</f>
        <v>0</v>
      </c>
      <c r="AB858" s="141">
        <f>'[26]מאזן בוחן'!AB728</f>
        <v>0</v>
      </c>
      <c r="AC858" s="141">
        <f>'[27]מאזן בוחן'!AC737</f>
        <v>0</v>
      </c>
      <c r="AD858" s="141">
        <f>'[28]מאזן בוחן'!AD746</f>
        <v>0</v>
      </c>
      <c r="AE858" s="141">
        <f>'[29]מאזן בוחן'!AE756</f>
        <v>0</v>
      </c>
      <c r="AF858" s="141">
        <f>'[30]מאזן בוחן'!AF768</f>
        <v>0</v>
      </c>
      <c r="AG858" s="141">
        <f>'[31]מאזן בוחן'!AG772</f>
        <v>0</v>
      </c>
      <c r="AH858" s="141">
        <v>0</v>
      </c>
      <c r="AI858" s="141">
        <v>0</v>
      </c>
      <c r="AJ858" s="141">
        <v>0</v>
      </c>
      <c r="AK858" s="141">
        <v>0</v>
      </c>
      <c r="AL858" s="141">
        <v>0</v>
      </c>
      <c r="AM858" s="141">
        <f>$K858-SUM($AB858:AL858)</f>
        <v>0</v>
      </c>
      <c r="AN858" s="141"/>
      <c r="AO858" s="141"/>
      <c r="AP858" s="141"/>
      <c r="AQ858" s="141"/>
      <c r="AR858" s="141"/>
      <c r="AS858" s="141"/>
      <c r="AT858" s="141"/>
      <c r="AU858" s="141"/>
      <c r="AV858" s="141"/>
      <c r="AW858" s="141"/>
      <c r="BA858" s="204"/>
    </row>
    <row r="859" spans="1:55" ht="13.5" thickBot="1">
      <c r="A859" s="52"/>
      <c r="B859" s="3664"/>
      <c r="C859" s="1159"/>
      <c r="D859" s="53"/>
      <c r="E859" s="1520">
        <f t="shared" ref="E859:K859" si="177">SUM(E858:E858)</f>
        <v>0</v>
      </c>
      <c r="F859" s="1520">
        <f t="shared" si="177"/>
        <v>0</v>
      </c>
      <c r="G859" s="1513">
        <f t="shared" si="177"/>
        <v>0</v>
      </c>
      <c r="H859" s="1513">
        <f t="shared" si="177"/>
        <v>0</v>
      </c>
      <c r="I859" s="1513">
        <f t="shared" si="177"/>
        <v>0</v>
      </c>
      <c r="J859" s="1513">
        <f t="shared" si="177"/>
        <v>0</v>
      </c>
      <c r="K859" s="1513">
        <f t="shared" si="177"/>
        <v>0</v>
      </c>
      <c r="L859" s="49"/>
      <c r="M859" s="1513"/>
      <c r="N859" s="1104" t="str">
        <f t="shared" si="174"/>
        <v>-</v>
      </c>
      <c r="O859" s="1133"/>
      <c r="P859" s="137">
        <v>0</v>
      </c>
      <c r="Q859" s="141">
        <f>'[39]מאזן בוחן'!AE718</f>
        <v>0</v>
      </c>
      <c r="R859" s="137">
        <v>0</v>
      </c>
      <c r="S859" s="137">
        <v>0</v>
      </c>
      <c r="T859" s="141">
        <f>'[20]מאזן בוחן'!AR773</f>
        <v>0</v>
      </c>
      <c r="U859" s="141">
        <f>'[21]מאזן בוחן'!AS683</f>
        <v>0</v>
      </c>
      <c r="V859" s="726">
        <f>'[22]מאזן בוחן'!AJ669</f>
        <v>0</v>
      </c>
      <c r="W859" s="726">
        <f>'[23]מאזן בוחן'!AK674</f>
        <v>0</v>
      </c>
      <c r="X859" s="141">
        <v>0</v>
      </c>
      <c r="Y859" s="141">
        <f>'[25]מאזן בוחן'!AM704</f>
        <v>0</v>
      </c>
      <c r="AA859" s="141">
        <f>'[32]מאזן בוחן'!AO721</f>
        <v>0</v>
      </c>
      <c r="AB859" s="141">
        <f>'[26]מאזן בוחן'!AB729</f>
        <v>0</v>
      </c>
      <c r="AC859" s="141">
        <f>'[27]מאזן בוחן'!AC738</f>
        <v>0</v>
      </c>
      <c r="AD859" s="141">
        <f>'[28]מאזן בוחן'!AD747</f>
        <v>0</v>
      </c>
      <c r="AE859" s="141">
        <f>'[29]מאזן בוחן'!AE757</f>
        <v>0</v>
      </c>
      <c r="AF859" s="141">
        <f>'[30]מאזן בוחן'!AF769</f>
        <v>0</v>
      </c>
      <c r="AG859" s="141">
        <f>'[31]מאזן בוחן'!AG773</f>
        <v>0</v>
      </c>
      <c r="AH859" s="141">
        <v>0</v>
      </c>
      <c r="AI859" s="141">
        <v>0</v>
      </c>
      <c r="AJ859" s="141">
        <v>0</v>
      </c>
      <c r="AK859" s="141">
        <v>0</v>
      </c>
      <c r="AL859" s="141">
        <v>0</v>
      </c>
      <c r="AM859" s="141">
        <f>$K859-SUM($AB859:AL859)</f>
        <v>0</v>
      </c>
      <c r="AN859" s="141"/>
      <c r="AO859" s="141"/>
      <c r="AP859" s="141"/>
      <c r="AQ859" s="141"/>
      <c r="AR859" s="141"/>
      <c r="AS859" s="141"/>
      <c r="AT859" s="141"/>
      <c r="AU859" s="141"/>
      <c r="AV859" s="141"/>
      <c r="AW859" s="141"/>
      <c r="BA859" s="204"/>
    </row>
    <row r="860" spans="1:55">
      <c r="A860" s="52"/>
      <c r="B860" s="3664"/>
      <c r="C860" s="407"/>
      <c r="D860" s="73" t="s">
        <v>4566</v>
      </c>
      <c r="E860" s="1532"/>
      <c r="F860" s="1525"/>
      <c r="J860" s="474"/>
      <c r="K860" s="49"/>
      <c r="L860" s="49"/>
      <c r="M860" s="474"/>
      <c r="N860" s="1104" t="str">
        <f t="shared" si="174"/>
        <v>-</v>
      </c>
      <c r="O860" s="1133"/>
      <c r="P860" s="137">
        <v>0</v>
      </c>
      <c r="Q860" s="141">
        <f>'[39]מאזן בוחן'!AE719</f>
        <v>0</v>
      </c>
      <c r="R860" s="137">
        <v>0</v>
      </c>
      <c r="S860" s="137">
        <v>0</v>
      </c>
      <c r="T860" s="141">
        <f>'[20]מאזן בוחן'!AR774</f>
        <v>0</v>
      </c>
      <c r="U860" s="141">
        <f>'[21]מאזן בוחן'!AS684</f>
        <v>0</v>
      </c>
      <c r="V860" s="726">
        <f>'[22]מאזן בוחן'!AJ670</f>
        <v>0</v>
      </c>
      <c r="W860" s="726">
        <f>'[23]מאזן בוחן'!AK675</f>
        <v>0</v>
      </c>
      <c r="X860" s="141">
        <v>0</v>
      </c>
      <c r="Y860" s="141">
        <f>'[25]מאזן בוחן'!AM705</f>
        <v>0</v>
      </c>
      <c r="AA860" s="141">
        <f>'[32]מאזן בוחן'!AO722</f>
        <v>0</v>
      </c>
      <c r="AB860" s="141">
        <f>'[26]מאזן בוחן'!AB730</f>
        <v>0</v>
      </c>
      <c r="AC860" s="141">
        <f>'[27]מאזן בוחן'!AC739</f>
        <v>0</v>
      </c>
      <c r="AD860" s="141">
        <f>'[28]מאזן בוחן'!AD748</f>
        <v>0</v>
      </c>
      <c r="AE860" s="141">
        <f>'[29]מאזן בוחן'!AE758</f>
        <v>0</v>
      </c>
      <c r="AF860" s="141">
        <v>0</v>
      </c>
      <c r="AG860" s="141">
        <f>'[31]מאזן בוחן'!AG774</f>
        <v>0</v>
      </c>
      <c r="AH860" s="141">
        <v>0</v>
      </c>
      <c r="AI860" s="141">
        <v>0</v>
      </c>
      <c r="AJ860" s="141">
        <v>0</v>
      </c>
      <c r="AK860" s="141">
        <v>0</v>
      </c>
      <c r="AL860" s="141">
        <v>0</v>
      </c>
      <c r="AM860" s="141">
        <f>$K860-SUM($AB860:AL860)</f>
        <v>0</v>
      </c>
      <c r="AN860" s="141"/>
      <c r="AO860" s="141"/>
      <c r="AP860" s="141"/>
      <c r="AQ860" s="141"/>
      <c r="AR860" s="141"/>
      <c r="AS860" s="141"/>
      <c r="AT860" s="141"/>
      <c r="AU860" s="141"/>
      <c r="AV860" s="141"/>
      <c r="AW860" s="141"/>
      <c r="BA860" s="204"/>
    </row>
    <row r="861" spans="1:55">
      <c r="A861" s="52"/>
      <c r="B861" s="3659" t="s">
        <v>1183</v>
      </c>
      <c r="C861" s="585">
        <v>8030018</v>
      </c>
      <c r="D861" s="203" t="s">
        <v>175</v>
      </c>
      <c r="E861" s="474">
        <f>IFERROR(VLOOKUP(C861,'פקודות נוספות'!$D$274:$F$797,3,0),0)</f>
        <v>1302335.7</v>
      </c>
      <c r="F861" s="49">
        <f>SUMIF('פקודות נוספות'!C:C,C:C,'פקודות נוספות'!E:E)</f>
        <v>0</v>
      </c>
      <c r="J861" s="3601">
        <f>SUM(E861:I861)</f>
        <v>1302335.7</v>
      </c>
      <c r="K861" s="3600">
        <f>M861+SUMIF('פקודות נוספות'!C:C,'מאזן בוחן'!C861,'פקודות נוספות'!F:F)</f>
        <v>405190.74</v>
      </c>
      <c r="L861" s="49"/>
      <c r="M861" s="474">
        <f>IFERROR(VLOOKUP(C861,'פקודות נוספות'!$D$273:$G$797,4,0),0)</f>
        <v>405190.74</v>
      </c>
      <c r="N861" s="1104">
        <f t="shared" si="174"/>
        <v>3.2141299675308472</v>
      </c>
      <c r="O861" s="1133"/>
      <c r="P861" s="1533">
        <v>31457.359999999997</v>
      </c>
      <c r="Q861" s="141">
        <f>'[39]מאזן בוחן'!AE720</f>
        <v>24098.74</v>
      </c>
      <c r="R861" s="1512">
        <v>15518.160000000007</v>
      </c>
      <c r="S861" s="1512">
        <v>20945.749999999996</v>
      </c>
      <c r="T861" s="141">
        <f>'[20]מאזן בוחן'!AR775</f>
        <v>24104.71999999999</v>
      </c>
      <c r="U861" s="141">
        <f>'[21]מאזן בוחן'!AS685</f>
        <v>24153.759999999991</v>
      </c>
      <c r="V861" s="726">
        <f>'[22]מאזן בוחן'!AJ671</f>
        <v>25296.25000000004</v>
      </c>
      <c r="W861" s="726">
        <f>'[23]מאזן בוחן'!AK676</f>
        <v>23405.409999999971</v>
      </c>
      <c r="X861" s="141">
        <v>26068.850000000017</v>
      </c>
      <c r="Y861" s="141">
        <f>'[25]מאזן בוחן'!AM706</f>
        <v>29736.399999999994</v>
      </c>
      <c r="AA861" s="141">
        <f>'[32]מאזן בוחן'!AO723</f>
        <v>30109.690000000002</v>
      </c>
      <c r="AB861" s="141">
        <f>'[26]מאזן בוחן'!AB731</f>
        <v>28684.94</v>
      </c>
      <c r="AC861" s="141">
        <f>'[27]מאזן בוחן'!AC740</f>
        <v>26277.13</v>
      </c>
      <c r="AD861" s="141">
        <f>'[28]מאזן בוחן'!AD749</f>
        <v>27050.989999999998</v>
      </c>
      <c r="AE861" s="141">
        <f>'[29]מאזן בוחן'!AE759</f>
        <v>26433.940000000002</v>
      </c>
      <c r="AF861" s="141">
        <f>'[30]מאזן בוחן'!AF770</f>
        <v>28543.51999999999</v>
      </c>
      <c r="AG861" s="141">
        <f>'[31]מאזן בוחן'!AG775</f>
        <v>30442.330000000016</v>
      </c>
      <c r="AH861" s="141">
        <v>29436.130000000005</v>
      </c>
      <c r="AI861" s="141">
        <v>30434.989999999991</v>
      </c>
      <c r="AJ861" s="141">
        <v>18904.609999999986</v>
      </c>
      <c r="AK861" s="141">
        <v>50606.399999999994</v>
      </c>
      <c r="AL861" s="141">
        <v>54388.989999999991</v>
      </c>
      <c r="AM861" s="141">
        <f>$K861-SUM($AB861:AL861)</f>
        <v>53986.770000000019</v>
      </c>
      <c r="AN861" s="141"/>
      <c r="AO861" s="141"/>
      <c r="AP861" s="141" t="s">
        <v>4360</v>
      </c>
      <c r="AQ861" s="141" t="s">
        <v>4214</v>
      </c>
      <c r="AR861" s="141"/>
      <c r="AS861" s="141"/>
      <c r="AT861" s="141"/>
      <c r="AU861" s="141"/>
      <c r="AV861" s="141"/>
      <c r="AW861" s="141"/>
      <c r="BA861" s="204"/>
      <c r="BC861" s="419"/>
    </row>
    <row r="862" spans="1:55">
      <c r="A862" s="52"/>
      <c r="B862" s="3659" t="s">
        <v>1183</v>
      </c>
      <c r="C862" s="585">
        <v>8030022</v>
      </c>
      <c r="D862" s="203" t="s">
        <v>176</v>
      </c>
      <c r="E862" s="474">
        <f>IFERROR(VLOOKUP(C862,'פקודות נוספות'!$D$274:$F$797,3,0),0)</f>
        <v>199002.25</v>
      </c>
      <c r="F862" s="49">
        <f>SUMIF('פקודות נוספות'!C:C,C:C,'פקודות נוספות'!E:E)</f>
        <v>0</v>
      </c>
      <c r="J862" s="3601">
        <f>SUM(E862:I862)</f>
        <v>199002.25</v>
      </c>
      <c r="K862" s="3600">
        <f>M862+SUMIF('פקודות נוספות'!C:C,'מאזן בוחן'!C862,'פקודות נוספות'!F:F)</f>
        <v>61038.46</v>
      </c>
      <c r="L862" s="49"/>
      <c r="M862" s="474">
        <f>IFERROR(VLOOKUP(C862,'פקודות נוספות'!$D$273:$G$797,4,0),0)</f>
        <v>61038.46</v>
      </c>
      <c r="N862" s="1104">
        <f t="shared" si="174"/>
        <v>3.2602763896730029</v>
      </c>
      <c r="O862" s="1133"/>
      <c r="P862" s="137">
        <v>7401.2900000000009</v>
      </c>
      <c r="Q862" s="141">
        <f>'[39]מאזן בוחן'!AE721</f>
        <v>24101.07</v>
      </c>
      <c r="R862" s="137">
        <v>4634.9000000000015</v>
      </c>
      <c r="S862" s="137">
        <v>48.130000000004657</v>
      </c>
      <c r="T862" s="141">
        <f>'[20]מאזן בוחן'!AR776</f>
        <v>0</v>
      </c>
      <c r="U862" s="141">
        <f>'[21]מאזן בוחן'!AS686</f>
        <v>6279.6199999999953</v>
      </c>
      <c r="V862" s="726">
        <f>'[22]מאזן בוחן'!AJ672</f>
        <v>8072.9500000000007</v>
      </c>
      <c r="W862" s="726">
        <f>'[23]מאזן בוחן'!AK677</f>
        <v>7140.2599999999948</v>
      </c>
      <c r="X862" s="141">
        <v>4.0927261579781771E-12</v>
      </c>
      <c r="Y862" s="141">
        <f>'[25]מאזן בוחן'!AM707</f>
        <v>0</v>
      </c>
      <c r="AA862" s="141">
        <f>'[32]מאזן בוחן'!AO724</f>
        <v>19780.370000000003</v>
      </c>
      <c r="AB862" s="141">
        <f>'[26]מאזן בוחן'!AB732</f>
        <v>0</v>
      </c>
      <c r="AC862" s="141">
        <f>'[27]מאזן בוחן'!AC741</f>
        <v>284.8</v>
      </c>
      <c r="AD862" s="141">
        <f>'[28]מאזן בוחן'!AD750</f>
        <v>27503.06</v>
      </c>
      <c r="AE862" s="141">
        <f>'[29]מאזן בוחן'!AE760</f>
        <v>6568.5400000000009</v>
      </c>
      <c r="AF862" s="141">
        <f>'[30]מאזן בוחן'!AF771</f>
        <v>121.04999999999563</v>
      </c>
      <c r="AG862" s="141">
        <f>'[31]מאזן בוחן'!AG776</f>
        <v>398.77000000000407</v>
      </c>
      <c r="AH862" s="141">
        <v>6569.7699999999968</v>
      </c>
      <c r="AI862" s="141">
        <v>7639.7099999999991</v>
      </c>
      <c r="AJ862" s="141">
        <v>464.54000000000087</v>
      </c>
      <c r="AK862" s="141">
        <v>1932.3700000000026</v>
      </c>
      <c r="AL862" s="141">
        <v>9459.39</v>
      </c>
      <c r="AM862" s="141">
        <f>$K862-SUM($AB862:AL862)</f>
        <v>96.459999999999127</v>
      </c>
      <c r="AN862" s="141"/>
      <c r="AO862" s="141" t="s">
        <v>4555</v>
      </c>
      <c r="AP862" s="141"/>
      <c r="AQ862" s="141"/>
      <c r="AR862" s="141"/>
      <c r="AS862" s="141"/>
      <c r="AT862" s="141"/>
      <c r="AU862" s="141"/>
      <c r="AV862" s="141"/>
      <c r="AW862" s="141"/>
      <c r="AX862" s="137" t="s">
        <v>3147</v>
      </c>
      <c r="BA862" s="204"/>
    </row>
    <row r="863" spans="1:55">
      <c r="A863" s="52"/>
      <c r="B863" s="3659" t="s">
        <v>1183</v>
      </c>
      <c r="C863" s="585">
        <v>8030023</v>
      </c>
      <c r="D863" s="203" t="s">
        <v>95</v>
      </c>
      <c r="E863" s="474">
        <f>IFERROR(VLOOKUP(C863,'פקודות נוספות'!$D$274:$F$797,3,0),0)</f>
        <v>99828.97</v>
      </c>
      <c r="F863" s="49">
        <f>SUMIF('פקודות נוספות'!C:C,C:C,'פקודות נוספות'!E:E)</f>
        <v>0</v>
      </c>
      <c r="J863" s="3601">
        <f>SUM(E863:I863)</f>
        <v>99828.97</v>
      </c>
      <c r="K863" s="3600">
        <f>M863+SUMIF('פקודות נוספות'!C:C,'מאזן בוחן'!C863,'פקודות נוספות'!F:F)</f>
        <v>31045.07</v>
      </c>
      <c r="L863" s="49"/>
      <c r="M863" s="474">
        <f>IFERROR(VLOOKUP(C863,'פקודות נוספות'!$D$273:$G$797,4,0),0)</f>
        <v>31045.07</v>
      </c>
      <c r="N863" s="1104">
        <f t="shared" si="174"/>
        <v>3.2156142666130241</v>
      </c>
      <c r="O863" s="1133"/>
      <c r="P863" s="137">
        <v>2213.37</v>
      </c>
      <c r="Q863" s="141">
        <f>'[39]מאזן בוחן'!AE722</f>
        <v>3014</v>
      </c>
      <c r="R863" s="137">
        <v>312.86999999999989</v>
      </c>
      <c r="S863" s="137">
        <v>310.8100000000004</v>
      </c>
      <c r="T863" s="141">
        <f>'[20]מאזן בוחן'!AR777</f>
        <v>711.09000000000015</v>
      </c>
      <c r="U863" s="141">
        <f>'[21]מאזן בוחן'!AS687</f>
        <v>343.30999999999949</v>
      </c>
      <c r="V863" s="726">
        <f>'[22]מאזן בוחן'!AJ673</f>
        <v>151.95999999999998</v>
      </c>
      <c r="W863" s="726">
        <f>'[23]מאזן בוחן'!AK678</f>
        <v>245.52000000000038</v>
      </c>
      <c r="X863" s="141">
        <v>507.97999999999951</v>
      </c>
      <c r="Y863" s="141">
        <f>'[25]מאזן בוחן'!AM708</f>
        <v>1038.2000000000007</v>
      </c>
      <c r="AA863" s="141">
        <f>'[32]מאזן בוחן'!AO725</f>
        <v>4603.8099999999995</v>
      </c>
      <c r="AB863" s="141">
        <f>'[26]מאזן בוחן'!AB733</f>
        <v>6225.27</v>
      </c>
      <c r="AC863" s="141">
        <f>'[27]מאזן בוחן'!AC742</f>
        <v>1522.9899999999998</v>
      </c>
      <c r="AD863" s="141">
        <f>'[28]מאזן בוחן'!AD751</f>
        <v>6586.65</v>
      </c>
      <c r="AE863" s="141">
        <f>'[29]מאזן בוחן'!AE761</f>
        <v>536.02000000000044</v>
      </c>
      <c r="AF863" s="141">
        <f>'[30]מאזן בוחן'!AF772</f>
        <v>1390.4099999999999</v>
      </c>
      <c r="AG863" s="141">
        <f>'[31]מאזן בוחן'!AG777</f>
        <v>1432.6100000000006</v>
      </c>
      <c r="AH863" s="141">
        <v>2204.8499999999985</v>
      </c>
      <c r="AI863" s="141">
        <v>1743</v>
      </c>
      <c r="AJ863" s="141">
        <v>1376.0900000000001</v>
      </c>
      <c r="AK863" s="141">
        <v>1846.5900000000001</v>
      </c>
      <c r="AL863" s="141">
        <v>2843.5699999999997</v>
      </c>
      <c r="AM863" s="141">
        <f>$K863-SUM($AB863:AL863)</f>
        <v>3337.0200000000004</v>
      </c>
      <c r="AN863" s="141"/>
      <c r="AO863" s="141"/>
      <c r="AP863" s="141"/>
      <c r="AQ863" s="141"/>
      <c r="AR863" s="141"/>
      <c r="AS863" s="141"/>
      <c r="AT863" s="141"/>
      <c r="AU863" s="141"/>
      <c r="AV863" s="141"/>
      <c r="AW863" s="141"/>
      <c r="BA863" s="204"/>
    </row>
    <row r="864" spans="1:55">
      <c r="A864" s="52"/>
      <c r="B864" s="3659" t="s">
        <v>1183</v>
      </c>
      <c r="C864" s="585">
        <v>8030025</v>
      </c>
      <c r="D864" s="203" t="s">
        <v>213</v>
      </c>
      <c r="E864" s="474">
        <f>IFERROR(VLOOKUP(C864,'פקודות נוספות'!$D$274:$F$797,3,0),0)</f>
        <v>548024</v>
      </c>
      <c r="F864" s="49">
        <f>SUMIF('פקודות נוספות'!C:C,C:C,'פקודות נוספות'!E:E)</f>
        <v>0</v>
      </c>
      <c r="J864" s="3601">
        <f>SUM(E864:I864)</f>
        <v>548024</v>
      </c>
      <c r="K864" s="3600">
        <f>M864+SUMIF('פקודות נוספות'!C:C,'מאזן בוחן'!C864,'פקודות נוספות'!F:F)</f>
        <v>170263.35</v>
      </c>
      <c r="L864" s="49"/>
      <c r="M864" s="474">
        <f>IFERROR(VLOOKUP(C864,'פקודות נוספות'!$D$273:$G$797,4,0),0)</f>
        <v>170263.35</v>
      </c>
      <c r="N864" s="1104">
        <f t="shared" si="174"/>
        <v>3.2186844673266441</v>
      </c>
      <c r="O864" s="1133"/>
      <c r="P864" s="137">
        <v>0</v>
      </c>
      <c r="Q864" s="141">
        <f>'[39]מאזן בוחן'!AE723</f>
        <v>25244.53</v>
      </c>
      <c r="R864" s="137">
        <v>0</v>
      </c>
      <c r="S864" s="137">
        <v>0</v>
      </c>
      <c r="T864" s="141">
        <f>'[20]מאזן בוחן'!AR778</f>
        <v>0</v>
      </c>
      <c r="U864" s="141">
        <f>'[21]מאזן בוחן'!AS688</f>
        <v>0</v>
      </c>
      <c r="V864" s="726">
        <f>'[22]מאזן בוחן'!AJ674</f>
        <v>0</v>
      </c>
      <c r="W864" s="726">
        <f>'[23]מאזן בוחן'!AK679</f>
        <v>0</v>
      </c>
      <c r="X864" s="141">
        <v>0</v>
      </c>
      <c r="Y864" s="141">
        <f>'[25]מאזן בוחן'!AM709</f>
        <v>0</v>
      </c>
      <c r="AA864" s="141">
        <f>'[32]מאזן בוחן'!AO726</f>
        <v>-25244.53</v>
      </c>
      <c r="AB864" s="141">
        <f>'[26]מאזן בוחן'!AB734</f>
        <v>0</v>
      </c>
      <c r="AC864" s="141">
        <f>'[27]מאזן בוחן'!AC743</f>
        <v>43.49</v>
      </c>
      <c r="AD864" s="141">
        <f>'[28]מאזן בוחן'!AD752</f>
        <v>0</v>
      </c>
      <c r="AE864" s="141">
        <f>'[29]מאזן בוחן'!AE762</f>
        <v>0</v>
      </c>
      <c r="AF864" s="141">
        <f>'[30]מאזן בוחן'!AF773</f>
        <v>0</v>
      </c>
      <c r="AG864" s="141">
        <f>'[31]מאזן בוחן'!AG778</f>
        <v>543</v>
      </c>
      <c r="AH864" s="141">
        <v>0</v>
      </c>
      <c r="AI864" s="141">
        <v>0</v>
      </c>
      <c r="AJ864" s="141">
        <v>0</v>
      </c>
      <c r="AK864" s="141">
        <v>0</v>
      </c>
      <c r="AL864" s="141">
        <v>73636.76999999999</v>
      </c>
      <c r="AM864" s="141">
        <f>$K864-SUM($AB864:AL864)</f>
        <v>96040.090000000011</v>
      </c>
      <c r="AN864" s="141"/>
      <c r="AO864" s="141"/>
      <c r="AP864" s="141"/>
      <c r="AQ864" s="141"/>
      <c r="AR864" s="141"/>
      <c r="AS864" s="141"/>
      <c r="AT864" s="141"/>
      <c r="AU864" s="141"/>
      <c r="AV864" s="141"/>
      <c r="AW864" s="141"/>
      <c r="BA864" s="204"/>
    </row>
    <row r="865" spans="1:53">
      <c r="A865" s="52"/>
      <c r="B865" s="3659" t="s">
        <v>1183</v>
      </c>
      <c r="C865" s="585">
        <v>8030026</v>
      </c>
      <c r="D865" s="486" t="s">
        <v>393</v>
      </c>
      <c r="E865" s="474">
        <f>IFERROR(VLOOKUP(C865,'פקודות נוספות'!$D$274:$F$797,3,0),0)</f>
        <v>0</v>
      </c>
      <c r="F865" s="49">
        <f>SUMIF('פקודות נוספות'!C:C,C:C,'פקודות נוספות'!E:E)</f>
        <v>0</v>
      </c>
      <c r="J865" s="3601">
        <f>SUM(E865:I865)</f>
        <v>0</v>
      </c>
      <c r="K865" s="3600">
        <f>M865+SUMIF('פקודות נוספות'!C:C,'מאזן בוחן'!C865,'פקודות נוספות'!F:F)</f>
        <v>0</v>
      </c>
      <c r="L865" s="49"/>
      <c r="M865" s="474">
        <f>IFERROR(VLOOKUP(C865,'פקודות נוספות'!$D$273:$G$797,4,0),0)</f>
        <v>0</v>
      </c>
      <c r="N865" s="1104" t="str">
        <f t="shared" si="174"/>
        <v>-</v>
      </c>
      <c r="O865" s="1133"/>
      <c r="P865" s="137">
        <v>4030.2000000000007</v>
      </c>
      <c r="Q865" s="141">
        <f>'[39]מאזן בוחן'!AE724</f>
        <v>0</v>
      </c>
      <c r="R865" s="137">
        <v>0</v>
      </c>
      <c r="S865" s="137">
        <v>0</v>
      </c>
      <c r="T865" s="141">
        <f>'[20]מאזן בוחן'!AR779</f>
        <v>0</v>
      </c>
      <c r="U865" s="141">
        <f>'[21]מאזן בוחן'!AS689</f>
        <v>0</v>
      </c>
      <c r="V865" s="726">
        <f>'[22]מאזן בוחן'!AJ675</f>
        <v>0</v>
      </c>
      <c r="W865" s="726">
        <f>'[23]מאזן בוחן'!AK680</f>
        <v>0</v>
      </c>
      <c r="X865" s="141">
        <v>0</v>
      </c>
      <c r="Y865" s="141">
        <f>'[25]מאזן בוחן'!AM710</f>
        <v>0</v>
      </c>
      <c r="AA865" s="141">
        <f>'[32]מאזן בוחן'!AO727</f>
        <v>0</v>
      </c>
      <c r="AB865" s="141">
        <f>'[26]מאזן בוחן'!AB735</f>
        <v>0</v>
      </c>
      <c r="AC865" s="141">
        <f>'[27]מאזן בוחן'!AC744</f>
        <v>0</v>
      </c>
      <c r="AD865" s="141">
        <f>'[28]מאזן בוחן'!AD753</f>
        <v>0</v>
      </c>
      <c r="AE865" s="141">
        <f>'[29]מאזן בוחן'!AE763</f>
        <v>0</v>
      </c>
      <c r="AF865" s="141">
        <f>'[30]מאזן בוחן'!AF774</f>
        <v>0</v>
      </c>
      <c r="AG865" s="141">
        <f>'[31]מאזן בוחן'!AG779</f>
        <v>0</v>
      </c>
      <c r="AH865" s="141">
        <v>0</v>
      </c>
      <c r="AI865" s="141">
        <v>0</v>
      </c>
      <c r="AJ865" s="141">
        <v>0</v>
      </c>
      <c r="AK865" s="141">
        <v>0</v>
      </c>
      <c r="AL865" s="141">
        <v>0</v>
      </c>
      <c r="AM865" s="141">
        <f>$K865-SUM($AB865:AL865)</f>
        <v>0</v>
      </c>
      <c r="AN865" s="141"/>
      <c r="AO865" s="141"/>
      <c r="AP865" s="141"/>
      <c r="AQ865" s="141"/>
      <c r="AR865" s="141"/>
      <c r="AS865" s="141"/>
      <c r="AT865" s="141"/>
      <c r="AU865" s="141"/>
      <c r="AV865" s="141"/>
      <c r="AW865" s="141"/>
      <c r="BA865" s="204"/>
    </row>
    <row r="866" spans="1:53" ht="13.5" thickBot="1">
      <c r="A866" s="52"/>
      <c r="B866" s="3664"/>
      <c r="C866" s="1159"/>
      <c r="D866" s="53"/>
      <c r="E866" s="1520">
        <f>SUM(E861:E865)</f>
        <v>2149190.92</v>
      </c>
      <c r="F866" s="1520">
        <f>SUM(F861:F865)</f>
        <v>0</v>
      </c>
      <c r="G866" s="1513">
        <f t="shared" ref="G866:M866" si="178">SUM(G861:G865)</f>
        <v>0</v>
      </c>
      <c r="H866" s="1513">
        <f t="shared" si="178"/>
        <v>0</v>
      </c>
      <c r="I866" s="1513">
        <f t="shared" si="178"/>
        <v>0</v>
      </c>
      <c r="J866" s="1513">
        <f t="shared" si="178"/>
        <v>2149190.92</v>
      </c>
      <c r="K866" s="1513">
        <f t="shared" si="178"/>
        <v>667537.62</v>
      </c>
      <c r="L866" s="49"/>
      <c r="M866" s="1513">
        <f t="shared" si="178"/>
        <v>667537.62</v>
      </c>
      <c r="N866" s="1104">
        <f t="shared" si="174"/>
        <v>3.2195802238082103</v>
      </c>
      <c r="O866" s="1133"/>
      <c r="P866" s="137">
        <v>45102.219999999987</v>
      </c>
      <c r="Q866" s="141">
        <f>'[39]מאזן בוחן'!AE725</f>
        <v>76458.340000000011</v>
      </c>
      <c r="R866" s="137">
        <v>20465.929999999993</v>
      </c>
      <c r="S866" s="137">
        <v>21304.690000000002</v>
      </c>
      <c r="T866" s="141">
        <f>'[20]מאזן בוחן'!AR780</f>
        <v>24815.810000000012</v>
      </c>
      <c r="U866" s="141">
        <f>'[21]מאזן בוחן'!AS690</f>
        <v>30776.690000000002</v>
      </c>
      <c r="V866" s="726">
        <f>'[22]מאזן בוחן'!AJ676</f>
        <v>33521.159999999989</v>
      </c>
      <c r="W866" s="726">
        <f>'[23]מאזן בוחן'!AK681</f>
        <v>30791.190000000002</v>
      </c>
      <c r="X866" s="141">
        <v>26576.829999999987</v>
      </c>
      <c r="Y866" s="141">
        <f>'[25]מאזן בוחן'!AM711</f>
        <v>30774.599999999919</v>
      </c>
      <c r="AA866" s="141">
        <f>'[32]מאזן בוחן'!AO728</f>
        <v>29249.340000000026</v>
      </c>
      <c r="AB866" s="141">
        <f>'[26]מאזן בוחן'!AB736</f>
        <v>34910.21</v>
      </c>
      <c r="AC866" s="141">
        <f>'[27]מאזן בוחן'!AC745</f>
        <v>28128.410000000003</v>
      </c>
      <c r="AD866" s="141">
        <f>'[28]מאזן בוחן'!AD754</f>
        <v>61140.700000000004</v>
      </c>
      <c r="AE866" s="141">
        <f>'[29]מאזן בוחן'!AE764</f>
        <v>33538.499999999971</v>
      </c>
      <c r="AF866" s="141">
        <f>'[30]מאזן בוחן'!AF775</f>
        <v>30054.979999999981</v>
      </c>
      <c r="AG866" s="141">
        <f>'[31]מאזן בוחן'!AG780</f>
        <v>32816.71000000005</v>
      </c>
      <c r="AH866" s="141">
        <v>38210.749999999971</v>
      </c>
      <c r="AI866" s="141">
        <v>39817.699999999983</v>
      </c>
      <c r="AJ866" s="141">
        <v>20745.240000000049</v>
      </c>
      <c r="AK866" s="141">
        <v>54385.359999999928</v>
      </c>
      <c r="AL866" s="141">
        <v>140328.72000000003</v>
      </c>
      <c r="AM866" s="141">
        <f>$K866-SUM($AB866:AL866)</f>
        <v>153460.34000000003</v>
      </c>
      <c r="AN866" s="141"/>
      <c r="AO866" s="141"/>
      <c r="AP866" s="141"/>
      <c r="AQ866" s="141"/>
      <c r="AR866" s="141"/>
      <c r="AS866" s="141"/>
      <c r="AT866" s="141"/>
      <c r="AU866" s="141"/>
      <c r="AV866" s="141"/>
      <c r="AW866" s="141"/>
      <c r="BA866" s="204"/>
    </row>
    <row r="867" spans="1:53">
      <c r="A867" s="52"/>
      <c r="B867" s="3664"/>
      <c r="C867" s="407"/>
      <c r="D867" s="50" t="s">
        <v>96</v>
      </c>
      <c r="E867" s="79"/>
      <c r="F867" s="1525"/>
      <c r="J867" s="474"/>
      <c r="K867" s="49"/>
      <c r="L867" s="49"/>
      <c r="M867" s="474"/>
      <c r="N867" s="1104" t="str">
        <f t="shared" si="174"/>
        <v>-</v>
      </c>
      <c r="O867" s="1133"/>
      <c r="P867" s="137">
        <v>0</v>
      </c>
      <c r="Q867" s="141">
        <f>'[39]מאזן בוחן'!AE726</f>
        <v>0</v>
      </c>
      <c r="R867" s="137">
        <v>0</v>
      </c>
      <c r="S867" s="137">
        <v>0</v>
      </c>
      <c r="T867" s="141">
        <f>'[20]מאזן בוחן'!AR781</f>
        <v>0</v>
      </c>
      <c r="U867" s="141">
        <f>'[21]מאזן בוחן'!AS691</f>
        <v>0</v>
      </c>
      <c r="V867" s="726">
        <f>'[22]מאזן בוחן'!AJ677</f>
        <v>0</v>
      </c>
      <c r="W867" s="726">
        <f>'[23]מאזן בוחן'!AK682</f>
        <v>0</v>
      </c>
      <c r="X867" s="141">
        <v>0</v>
      </c>
      <c r="Y867" s="141">
        <f>'[25]מאזן בוחן'!AM712</f>
        <v>0</v>
      </c>
      <c r="AA867" s="141">
        <f>'[32]מאזן בוחן'!AO729</f>
        <v>0</v>
      </c>
      <c r="AB867" s="141">
        <f>'[26]מאזן בוחן'!AB737</f>
        <v>0</v>
      </c>
      <c r="AC867" s="141">
        <f>'[27]מאזן בוחן'!AC746</f>
        <v>0</v>
      </c>
      <c r="AD867" s="141">
        <f>'[28]מאזן בוחן'!AD755</f>
        <v>0</v>
      </c>
      <c r="AE867" s="141">
        <f>'[29]מאזן בוחן'!AE765</f>
        <v>0</v>
      </c>
      <c r="AF867" s="141">
        <f>'[30]מאזן בוחן'!AF776</f>
        <v>0</v>
      </c>
      <c r="AG867" s="141">
        <f>'[31]מאזן בוחן'!AG781</f>
        <v>0</v>
      </c>
      <c r="AH867" s="141">
        <v>0</v>
      </c>
      <c r="AI867" s="141">
        <v>0</v>
      </c>
      <c r="AJ867" s="141">
        <v>0</v>
      </c>
      <c r="AK867" s="141">
        <v>0</v>
      </c>
      <c r="AL867" s="141">
        <v>0</v>
      </c>
      <c r="AM867" s="141">
        <f>$K867-SUM($AB867:AL867)</f>
        <v>0</v>
      </c>
      <c r="AN867" s="141"/>
      <c r="AO867" s="141"/>
      <c r="AP867" s="141"/>
      <c r="AQ867" s="141"/>
      <c r="AR867" s="141"/>
      <c r="AS867" s="141"/>
      <c r="AT867" s="141"/>
      <c r="AU867" s="141"/>
      <c r="AV867" s="141"/>
      <c r="AW867" s="141"/>
      <c r="BA867" s="204"/>
    </row>
    <row r="868" spans="1:53">
      <c r="A868" s="52"/>
      <c r="B868" s="3664"/>
      <c r="C868" s="156"/>
      <c r="D868" s="45"/>
      <c r="E868" s="79"/>
      <c r="J868" s="474"/>
      <c r="K868" s="42"/>
      <c r="L868" s="49"/>
      <c r="M868" s="474"/>
      <c r="N868" s="1104" t="str">
        <f t="shared" si="174"/>
        <v>-</v>
      </c>
      <c r="O868" s="1133"/>
      <c r="P868" s="137">
        <v>0</v>
      </c>
      <c r="Q868" s="141">
        <f>'[39]מאזן בוחן'!AE727</f>
        <v>0</v>
      </c>
      <c r="R868" s="137">
        <v>0</v>
      </c>
      <c r="S868" s="137">
        <v>0</v>
      </c>
      <c r="T868" s="141">
        <f>'[20]מאזן בוחן'!AR782</f>
        <v>0</v>
      </c>
      <c r="U868" s="141">
        <f>'[21]מאזן בוחן'!AS692</f>
        <v>0</v>
      </c>
      <c r="V868" s="726">
        <f>'[22]מאזן בוחן'!AJ678</f>
        <v>0</v>
      </c>
      <c r="W868" s="726">
        <f>'[23]מאזן בוחן'!AK683</f>
        <v>0</v>
      </c>
      <c r="X868" s="141">
        <v>0</v>
      </c>
      <c r="Y868" s="141">
        <f>'[25]מאזן בוחן'!AM713</f>
        <v>0</v>
      </c>
      <c r="AA868" s="141">
        <f>'[32]מאזן בוחן'!AO730</f>
        <v>0</v>
      </c>
      <c r="AB868" s="141">
        <f>'[26]מאזן בוחן'!AB738</f>
        <v>0</v>
      </c>
      <c r="AC868" s="141">
        <f>'[27]מאזן בוחן'!AC747</f>
        <v>0</v>
      </c>
      <c r="AD868" s="141">
        <f>'[28]מאזן בוחן'!AD756</f>
        <v>0</v>
      </c>
      <c r="AE868" s="141">
        <f>'[29]מאזן בוחן'!AE766</f>
        <v>0</v>
      </c>
      <c r="AF868" s="141">
        <f>'[30]מאזן בוחן'!AF777</f>
        <v>0</v>
      </c>
      <c r="AG868" s="141">
        <f>'[31]מאזן בוחן'!AG782</f>
        <v>0</v>
      </c>
      <c r="AH868" s="141">
        <v>0</v>
      </c>
      <c r="AI868" s="141">
        <v>0</v>
      </c>
      <c r="AJ868" s="141">
        <v>0</v>
      </c>
      <c r="AK868" s="141">
        <v>0</v>
      </c>
      <c r="AL868" s="141">
        <v>0</v>
      </c>
      <c r="AM868" s="141">
        <f>$K868-SUM($AB868:AL868)</f>
        <v>0</v>
      </c>
      <c r="AN868" s="141"/>
      <c r="AO868" s="141"/>
      <c r="AP868" s="141"/>
      <c r="AQ868" s="141"/>
      <c r="AR868" s="141"/>
      <c r="AS868" s="141"/>
      <c r="AT868" s="141"/>
      <c r="AU868" s="141"/>
      <c r="AV868" s="141"/>
      <c r="AW868" s="141"/>
      <c r="BA868" s="204"/>
    </row>
    <row r="869" spans="1:53" ht="13.5" thickBot="1">
      <c r="A869" s="52"/>
      <c r="B869" s="3664"/>
      <c r="C869" s="1169"/>
      <c r="D869" s="71"/>
      <c r="E869" s="1520">
        <f t="shared" ref="E869:K869" si="179">SUM(E868:E868)</f>
        <v>0</v>
      </c>
      <c r="F869" s="1520">
        <f t="shared" si="179"/>
        <v>0</v>
      </c>
      <c r="G869" s="1513">
        <f t="shared" si="179"/>
        <v>0</v>
      </c>
      <c r="H869" s="1513">
        <f t="shared" si="179"/>
        <v>0</v>
      </c>
      <c r="I869" s="1513">
        <f t="shared" si="179"/>
        <v>0</v>
      </c>
      <c r="J869" s="1513">
        <f t="shared" si="179"/>
        <v>0</v>
      </c>
      <c r="K869" s="1513">
        <f t="shared" si="179"/>
        <v>0</v>
      </c>
      <c r="L869" s="49"/>
      <c r="M869" s="1513">
        <f>SUM(M868:M868)</f>
        <v>0</v>
      </c>
      <c r="N869" s="1104" t="str">
        <f t="shared" si="174"/>
        <v>-</v>
      </c>
      <c r="O869" s="1133"/>
      <c r="P869" s="137">
        <v>0</v>
      </c>
      <c r="Q869" s="141">
        <f>'[39]מאזן בוחן'!AE728</f>
        <v>0</v>
      </c>
      <c r="R869" s="137">
        <v>0</v>
      </c>
      <c r="S869" s="137">
        <v>0</v>
      </c>
      <c r="T869" s="141">
        <f>'[20]מאזן בוחן'!AR783</f>
        <v>0</v>
      </c>
      <c r="U869" s="141">
        <f>'[21]מאזן בוחן'!AS693</f>
        <v>0</v>
      </c>
      <c r="V869" s="726">
        <f>'[22]מאזן בוחן'!AJ679</f>
        <v>0</v>
      </c>
      <c r="W869" s="726">
        <f>'[23]מאזן בוחן'!AK684</f>
        <v>0</v>
      </c>
      <c r="X869" s="141">
        <v>0</v>
      </c>
      <c r="Y869" s="141">
        <f>'[25]מאזן בוחן'!AM714</f>
        <v>0</v>
      </c>
      <c r="AA869" s="141">
        <f>'[32]מאזן בוחן'!AO731</f>
        <v>0</v>
      </c>
      <c r="AB869" s="141">
        <f>'[26]מאזן בוחן'!AB739</f>
        <v>0</v>
      </c>
      <c r="AC869" s="141">
        <f>'[27]מאזן בוחן'!AC748</f>
        <v>0</v>
      </c>
      <c r="AD869" s="141">
        <f>'[28]מאזן בוחן'!AD757</f>
        <v>0</v>
      </c>
      <c r="AE869" s="141">
        <f>'[29]מאזן בוחן'!AE767</f>
        <v>0</v>
      </c>
      <c r="AF869" s="141">
        <f>'[30]מאזן בוחן'!AF778</f>
        <v>0</v>
      </c>
      <c r="AG869" s="141">
        <f>'[31]מאזן בוחן'!AG783</f>
        <v>0</v>
      </c>
      <c r="AH869" s="141">
        <v>0</v>
      </c>
      <c r="AI869" s="141">
        <v>0</v>
      </c>
      <c r="AJ869" s="141">
        <v>0</v>
      </c>
      <c r="AK869" s="141">
        <v>0</v>
      </c>
      <c r="AL869" s="141">
        <v>0</v>
      </c>
      <c r="AM869" s="141">
        <f>$K869-SUM($AB869:AL869)</f>
        <v>0</v>
      </c>
      <c r="AN869" s="141"/>
      <c r="AO869" s="141"/>
      <c r="AP869" s="141"/>
      <c r="AQ869" s="141">
        <v>558958</v>
      </c>
      <c r="AR869" s="141"/>
      <c r="AS869" s="141"/>
      <c r="AT869" s="141"/>
      <c r="AU869" s="141"/>
      <c r="AV869" s="141"/>
      <c r="AW869" s="141"/>
      <c r="BA869" s="204"/>
    </row>
    <row r="870" spans="1:53">
      <c r="A870" s="52"/>
      <c r="B870" s="3664"/>
      <c r="C870" s="155"/>
      <c r="D870" s="72"/>
      <c r="E870" s="1521"/>
      <c r="F870" s="180"/>
      <c r="G870" s="180"/>
      <c r="H870" s="180"/>
      <c r="I870" s="180"/>
      <c r="J870" s="180"/>
      <c r="K870" s="180"/>
      <c r="L870" s="49"/>
      <c r="M870" s="180"/>
      <c r="N870" s="1104" t="str">
        <f t="shared" si="174"/>
        <v>-</v>
      </c>
      <c r="O870" s="1133"/>
      <c r="P870" s="137">
        <v>0</v>
      </c>
      <c r="Q870" s="141">
        <f>'[39]מאזן בוחן'!AE729</f>
        <v>0</v>
      </c>
      <c r="R870" s="137">
        <v>0</v>
      </c>
      <c r="S870" s="137">
        <v>0</v>
      </c>
      <c r="T870" s="141">
        <f>'[20]מאזן בוחן'!AR784</f>
        <v>0</v>
      </c>
      <c r="U870" s="141">
        <f>'[21]מאזן בוחן'!AS694</f>
        <v>0</v>
      </c>
      <c r="V870" s="726">
        <f>'[22]מאזן בוחן'!AJ680</f>
        <v>0</v>
      </c>
      <c r="W870" s="726">
        <f>'[23]מאזן בוחן'!AK685</f>
        <v>0</v>
      </c>
      <c r="X870" s="141">
        <v>0</v>
      </c>
      <c r="Y870" s="141">
        <f>'[25]מאזן בוחן'!AM715</f>
        <v>0</v>
      </c>
      <c r="AA870" s="141">
        <f>'[32]מאזן בוחן'!AO732</f>
        <v>0</v>
      </c>
      <c r="AB870" s="141">
        <f>'[26]מאזן בוחן'!AB740</f>
        <v>0</v>
      </c>
      <c r="AC870" s="141">
        <f>'[27]מאזן בוחן'!AC749</f>
        <v>0</v>
      </c>
      <c r="AD870" s="141">
        <f>'[28]מאזן בוחן'!AD758</f>
        <v>0</v>
      </c>
      <c r="AE870" s="141">
        <f>'[29]מאזן בוחן'!AE768</f>
        <v>0</v>
      </c>
      <c r="AF870" s="141">
        <f>'[30]מאזן בוחן'!AF779</f>
        <v>0</v>
      </c>
      <c r="AG870" s="141">
        <f>'[31]מאזן בוחן'!AG784</f>
        <v>0</v>
      </c>
      <c r="AH870" s="141">
        <v>0</v>
      </c>
      <c r="AI870" s="141">
        <v>0</v>
      </c>
      <c r="AJ870" s="141">
        <v>0</v>
      </c>
      <c r="AK870" s="141">
        <v>0</v>
      </c>
      <c r="AL870" s="141">
        <v>0</v>
      </c>
      <c r="AM870" s="141">
        <f>$K870-SUM($AB870:AL870)</f>
        <v>0</v>
      </c>
      <c r="AN870" s="141"/>
      <c r="AO870" s="141"/>
      <c r="AP870" s="141"/>
      <c r="AQ870" s="141">
        <v>471553</v>
      </c>
      <c r="AR870" s="141"/>
      <c r="AS870" s="141"/>
      <c r="AT870" s="141"/>
      <c r="AU870" s="141"/>
      <c r="AV870" s="141"/>
      <c r="AW870" s="141"/>
      <c r="BA870" s="204"/>
    </row>
    <row r="871" spans="1:53" ht="13.5" thickBot="1">
      <c r="A871" s="52"/>
      <c r="B871" s="3664"/>
      <c r="C871" s="1163"/>
      <c r="D871" s="60" t="s">
        <v>179</v>
      </c>
      <c r="E871" s="99">
        <f>E746+E749+E755+E852+E855+E859+E866</f>
        <v>18561699.84</v>
      </c>
      <c r="F871" s="1513">
        <f>F746+F749+F755+F852+F855+F859+F866</f>
        <v>-3.650793107226491E-3</v>
      </c>
      <c r="G871" s="77">
        <f>G746+G749+G755+G852+G856+G859+G866</f>
        <v>0</v>
      </c>
      <c r="H871" s="77">
        <f>H746+H749+H755+H852+H856+H859+H866</f>
        <v>0</v>
      </c>
      <c r="I871" s="77">
        <f>I746+I749+I755+I852+I856+I859+I866</f>
        <v>0</v>
      </c>
      <c r="J871" s="77">
        <f>J746+J749+J755+J852+J856+J859+J866</f>
        <v>18561699.836349204</v>
      </c>
      <c r="K871" s="77">
        <f>K746+K749+K755+K852+K856+K859+K866</f>
        <v>5726626.1301477542</v>
      </c>
      <c r="L871" s="49"/>
      <c r="M871" s="77">
        <f>M746+M749+M755+M852+M856+M859+M866</f>
        <v>5726626.1300000027</v>
      </c>
      <c r="N871" s="1104">
        <f t="shared" si="174"/>
        <v>3.2412976531908306</v>
      </c>
      <c r="O871" s="1133"/>
      <c r="P871" s="137">
        <v>693016.44687704218</v>
      </c>
      <c r="Q871" s="141">
        <f>'[39]מאזן בוחן'!AE730</f>
        <v>727289.02216269088</v>
      </c>
      <c r="R871" s="137">
        <v>340978.56235863257</v>
      </c>
      <c r="S871" s="137">
        <v>363876.36606992269</v>
      </c>
      <c r="T871" s="141">
        <f>'[20]מאזן בוחן'!AR785</f>
        <v>639186.80973725871</v>
      </c>
      <c r="U871" s="141">
        <f>'[21]מאזן בוחן'!AS695</f>
        <v>359226.74011903803</v>
      </c>
      <c r="V871" s="726">
        <f>'[22]מאזן בוחן'!AJ681</f>
        <v>377792.34214266599</v>
      </c>
      <c r="W871" s="726">
        <f>'[23]מאזן בוחן'!AK686</f>
        <v>577056.38512270537</v>
      </c>
      <c r="X871" s="141">
        <v>364010.44491214422</v>
      </c>
      <c r="Y871" s="141">
        <f>'[25]מאזן בוחן'!AM716</f>
        <v>397067.38546012621</v>
      </c>
      <c r="AA871" s="141">
        <f>'[32]מאזן בוחן'!AO733</f>
        <v>497760.37016035337</v>
      </c>
      <c r="AB871" s="141">
        <f>'[26]מאזן בוחן'!AB741</f>
        <v>391473.19590909069</v>
      </c>
      <c r="AC871" s="141">
        <f>'[27]מאזן בוחן'!AC750</f>
        <v>397525.45500000054</v>
      </c>
      <c r="AD871" s="141">
        <f>'[28]מאזן בוחן'!AD759</f>
        <v>558230.74909090844</v>
      </c>
      <c r="AE871" s="141">
        <f>'[29]מאזן בוחן'!AE769</f>
        <v>439831.51711747795</v>
      </c>
      <c r="AF871" s="141">
        <f>'[30]מאזן בוחן'!AF780</f>
        <v>418837.74819234083</v>
      </c>
      <c r="AG871" s="141">
        <f>'[31]מאזן בוחן'!AG785</f>
        <v>517294.65652241558</v>
      </c>
      <c r="AH871" s="141">
        <v>439948.94739579316</v>
      </c>
      <c r="AI871" s="141">
        <v>463275.34100257978</v>
      </c>
      <c r="AJ871" s="141">
        <v>491168.91976938862</v>
      </c>
      <c r="AK871" s="141">
        <v>447457.12916670647</v>
      </c>
      <c r="AL871" s="141">
        <v>446726.00204546005</v>
      </c>
      <c r="AM871" s="141">
        <f>$K871-SUM($AB871:AL871)</f>
        <v>714856.4689355921</v>
      </c>
      <c r="AN871" s="141"/>
      <c r="AO871" s="141"/>
      <c r="AP871" s="141"/>
      <c r="AQ871" s="141">
        <f>AQ869-AQ870</f>
        <v>87405</v>
      </c>
      <c r="AR871" s="141"/>
      <c r="AS871" s="141"/>
      <c r="AT871" s="141"/>
      <c r="AU871" s="141"/>
      <c r="AV871" s="141"/>
      <c r="AW871" s="141"/>
      <c r="BA871" s="204"/>
    </row>
    <row r="872" spans="1:53">
      <c r="A872" s="52"/>
      <c r="B872" s="3664"/>
      <c r="C872" s="1163"/>
      <c r="D872" s="60"/>
      <c r="E872" s="99"/>
      <c r="F872" s="77"/>
      <c r="G872" s="77"/>
      <c r="H872" s="77"/>
      <c r="I872" s="77"/>
      <c r="J872" s="77"/>
      <c r="K872" s="77"/>
      <c r="L872" s="49"/>
      <c r="M872" s="77"/>
      <c r="N872" s="1104" t="str">
        <f t="shared" si="174"/>
        <v>-</v>
      </c>
      <c r="O872" s="1133"/>
      <c r="P872" s="137">
        <v>0</v>
      </c>
      <c r="Q872" s="141">
        <f>'[39]מאזן בוחן'!AE731</f>
        <v>0</v>
      </c>
      <c r="R872" s="137">
        <v>0</v>
      </c>
      <c r="S872" s="137">
        <v>0</v>
      </c>
      <c r="T872" s="141">
        <f>'[20]מאזן בוחן'!AR786</f>
        <v>0</v>
      </c>
      <c r="U872" s="141">
        <f>'[21]מאזן בוחן'!AS696</f>
        <v>0</v>
      </c>
      <c r="V872" s="726">
        <f>'[22]מאזן בוחן'!AJ682</f>
        <v>0</v>
      </c>
      <c r="W872" s="726">
        <f>'[23]מאזן בוחן'!AK687</f>
        <v>0</v>
      </c>
      <c r="X872" s="141">
        <v>0</v>
      </c>
      <c r="Y872" s="141">
        <f>'[25]מאזן בוחן'!AM717</f>
        <v>0</v>
      </c>
      <c r="AA872" s="141">
        <f>'[32]מאזן בוחן'!AO734</f>
        <v>0</v>
      </c>
      <c r="AB872" s="141">
        <f>'[26]מאזן בוחן'!AB742</f>
        <v>0</v>
      </c>
      <c r="AC872" s="141">
        <f>'[27]מאזן בוחן'!AC751</f>
        <v>0</v>
      </c>
      <c r="AD872" s="141">
        <f>'[28]מאזן בוחן'!AD760</f>
        <v>0</v>
      </c>
      <c r="AE872" s="141">
        <f>'[29]מאזן בוחן'!AE770</f>
        <v>0</v>
      </c>
      <c r="AF872" s="141">
        <f>'[30]מאזן בוחן'!AF781</f>
        <v>0</v>
      </c>
      <c r="AG872" s="141">
        <f>'[31]מאזן בוחן'!AG786</f>
        <v>0</v>
      </c>
      <c r="AH872" s="141">
        <v>0</v>
      </c>
      <c r="AI872" s="141">
        <v>0</v>
      </c>
      <c r="AJ872" s="141">
        <v>0</v>
      </c>
      <c r="AK872" s="141">
        <v>0</v>
      </c>
      <c r="AL872" s="141">
        <v>0</v>
      </c>
      <c r="AM872" s="141">
        <f>$K872-SUM($AB872:AL872)</f>
        <v>0</v>
      </c>
      <c r="AN872" s="141"/>
      <c r="AO872" s="141"/>
      <c r="AP872" s="141"/>
      <c r="AQ872" s="141"/>
      <c r="AR872" s="141"/>
      <c r="AS872" s="141"/>
      <c r="AT872" s="141"/>
      <c r="AU872" s="141"/>
      <c r="AV872" s="141"/>
      <c r="AW872" s="141"/>
      <c r="BA872" s="204"/>
    </row>
    <row r="873" spans="1:53">
      <c r="A873" s="52"/>
      <c r="B873" s="3664"/>
      <c r="C873" s="155"/>
      <c r="D873" s="72"/>
      <c r="E873" s="1521"/>
      <c r="F873" s="180"/>
      <c r="G873" s="180"/>
      <c r="H873" s="180"/>
      <c r="I873" s="180"/>
      <c r="J873" s="180"/>
      <c r="K873" s="180"/>
      <c r="L873" s="49"/>
      <c r="M873" s="180"/>
      <c r="N873" s="1104" t="str">
        <f t="shared" si="174"/>
        <v>-</v>
      </c>
      <c r="O873" s="1133"/>
      <c r="P873" s="137">
        <v>0</v>
      </c>
      <c r="Q873" s="141">
        <f>'[39]מאזן בוחן'!AE732</f>
        <v>0</v>
      </c>
      <c r="R873" s="137">
        <v>0</v>
      </c>
      <c r="S873" s="137">
        <v>0</v>
      </c>
      <c r="T873" s="141">
        <f>'[20]מאזן בוחן'!AR787</f>
        <v>0</v>
      </c>
      <c r="U873" s="141">
        <f>'[21]מאזן בוחן'!AS697</f>
        <v>0</v>
      </c>
      <c r="V873" s="726">
        <f>'[22]מאזן בוחן'!AJ683</f>
        <v>0</v>
      </c>
      <c r="W873" s="726">
        <f>'[23]מאזן בוחן'!AK688</f>
        <v>0</v>
      </c>
      <c r="X873" s="141">
        <v>0</v>
      </c>
      <c r="Y873" s="141">
        <f>'[25]מאזן בוחן'!AM718</f>
        <v>0</v>
      </c>
      <c r="AA873" s="141">
        <f>'[32]מאזן בוחן'!AO735</f>
        <v>0</v>
      </c>
      <c r="AB873" s="141">
        <f>'[26]מאזן בוחן'!AB743</f>
        <v>0</v>
      </c>
      <c r="AC873" s="141">
        <f>'[27]מאזן בוחן'!AC752</f>
        <v>0</v>
      </c>
      <c r="AD873" s="141">
        <f>'[28]מאזן בוחן'!AD761</f>
        <v>0</v>
      </c>
      <c r="AE873" s="141">
        <f>'[29]מאזן בוחן'!AE771</f>
        <v>0</v>
      </c>
      <c r="AF873" s="141">
        <f>'[30]מאזן בוחן'!AF782</f>
        <v>0</v>
      </c>
      <c r="AG873" s="141">
        <f>'[31]מאזן בוחן'!AG787</f>
        <v>0</v>
      </c>
      <c r="AH873" s="141">
        <v>0</v>
      </c>
      <c r="AI873" s="141">
        <v>0</v>
      </c>
      <c r="AJ873" s="141">
        <v>0</v>
      </c>
      <c r="AK873" s="141">
        <v>0</v>
      </c>
      <c r="AL873" s="141">
        <v>0</v>
      </c>
      <c r="AM873" s="141">
        <f>$K873-SUM($AB873:AL873)</f>
        <v>0</v>
      </c>
      <c r="AN873" s="141"/>
      <c r="AO873" s="141"/>
      <c r="AP873" s="141"/>
      <c r="AQ873" s="141"/>
      <c r="AR873" s="141"/>
      <c r="AS873" s="141"/>
      <c r="AT873" s="141"/>
      <c r="AU873" s="141"/>
      <c r="AV873" s="141"/>
      <c r="AW873" s="141"/>
      <c r="BA873" s="204"/>
    </row>
    <row r="874" spans="1:53">
      <c r="A874" s="52"/>
      <c r="B874" s="3681"/>
      <c r="D874" s="70" t="s">
        <v>1134</v>
      </c>
      <c r="E874" s="79"/>
      <c r="J874" s="474"/>
      <c r="K874" s="474"/>
      <c r="L874" s="49"/>
      <c r="M874" s="474"/>
      <c r="N874" s="1104" t="str">
        <f t="shared" si="174"/>
        <v>-</v>
      </c>
      <c r="O874" s="1133"/>
      <c r="P874" s="137">
        <v>0</v>
      </c>
      <c r="Q874" s="141">
        <f>'[39]מאזן בוחן'!AE733</f>
        <v>0</v>
      </c>
      <c r="R874" s="137">
        <v>0</v>
      </c>
      <c r="S874" s="137">
        <v>0</v>
      </c>
      <c r="T874" s="141">
        <f>'[20]מאזן בוחן'!AR788</f>
        <v>0</v>
      </c>
      <c r="U874" s="141">
        <f>'[21]מאזן בוחן'!AS698</f>
        <v>0</v>
      </c>
      <c r="V874" s="726">
        <f>'[22]מאזן בוחן'!AJ684</f>
        <v>0</v>
      </c>
      <c r="W874" s="726">
        <f>'[23]מאזן בוחן'!AK689</f>
        <v>0</v>
      </c>
      <c r="X874" s="141">
        <v>0</v>
      </c>
      <c r="Y874" s="141">
        <f>'[25]מאזן בוחן'!AM719</f>
        <v>0</v>
      </c>
      <c r="AA874" s="141">
        <f>'[32]מאזן בוחן'!AO736</f>
        <v>0</v>
      </c>
      <c r="AB874" s="141">
        <f>'[26]מאזן בוחן'!AB744</f>
        <v>0</v>
      </c>
      <c r="AC874" s="141">
        <f>'[27]מאזן בוחן'!AC753</f>
        <v>0</v>
      </c>
      <c r="AD874" s="141">
        <f>'[28]מאזן בוחן'!AD762</f>
        <v>0</v>
      </c>
      <c r="AE874" s="141">
        <f>'[29]מאזן בוחן'!AE772</f>
        <v>0</v>
      </c>
      <c r="AF874" s="141">
        <f>'[30]מאזן בוחן'!AF783</f>
        <v>0</v>
      </c>
      <c r="AG874" s="141">
        <f>'[31]מאזן בוחן'!AG788</f>
        <v>0</v>
      </c>
      <c r="AH874" s="141">
        <v>0</v>
      </c>
      <c r="AI874" s="141">
        <v>0</v>
      </c>
      <c r="AJ874" s="141">
        <v>0</v>
      </c>
      <c r="AK874" s="141">
        <v>0</v>
      </c>
      <c r="AL874" s="141">
        <v>0</v>
      </c>
      <c r="AM874" s="141">
        <f>$K874-SUM($AB874:AL874)</f>
        <v>0</v>
      </c>
      <c r="AN874" s="141"/>
      <c r="AO874" s="141"/>
      <c r="AP874" s="141"/>
      <c r="AQ874" s="141"/>
      <c r="AR874" s="141"/>
      <c r="AS874" s="141"/>
      <c r="AT874" s="141"/>
      <c r="AU874" s="141"/>
      <c r="AV874" s="141"/>
      <c r="AW874" s="141"/>
      <c r="BA874" s="204"/>
    </row>
    <row r="875" spans="1:53" ht="18" customHeight="1">
      <c r="A875" s="52"/>
      <c r="B875" s="3681"/>
      <c r="C875" s="407"/>
      <c r="D875" s="50" t="s">
        <v>1135</v>
      </c>
      <c r="E875" s="79"/>
      <c r="J875" s="474"/>
      <c r="K875" s="474"/>
      <c r="L875" s="49"/>
      <c r="M875" s="474"/>
      <c r="N875" s="1104" t="str">
        <f t="shared" si="174"/>
        <v>-</v>
      </c>
      <c r="O875" s="1133"/>
      <c r="P875" s="137">
        <v>0</v>
      </c>
      <c r="Q875" s="141">
        <f>'[39]מאזן בוחן'!AE734</f>
        <v>0</v>
      </c>
      <c r="R875" s="137">
        <v>0</v>
      </c>
      <c r="S875" s="137">
        <v>0</v>
      </c>
      <c r="T875" s="141">
        <f>'[20]מאזן בוחן'!AR789</f>
        <v>0</v>
      </c>
      <c r="U875" s="141">
        <f>'[21]מאזן בוחן'!AS699</f>
        <v>0</v>
      </c>
      <c r="V875" s="726">
        <f>'[22]מאזן בוחן'!AJ685</f>
        <v>0</v>
      </c>
      <c r="W875" s="726">
        <f>'[23]מאזן בוחן'!AK690</f>
        <v>0</v>
      </c>
      <c r="X875" s="141">
        <v>0</v>
      </c>
      <c r="Y875" s="141">
        <f>'[25]מאזן בוחן'!AM720</f>
        <v>0</v>
      </c>
      <c r="AA875" s="141">
        <f>'[32]מאזן בוחן'!AO737</f>
        <v>0</v>
      </c>
      <c r="AB875" s="141">
        <f>'[26]מאזן בוחן'!AB745</f>
        <v>0</v>
      </c>
      <c r="AC875" s="141">
        <f>'[27]מאזן בוחן'!AC754</f>
        <v>0</v>
      </c>
      <c r="AD875" s="141">
        <f>'[28]מאזן בוחן'!AD763</f>
        <v>0</v>
      </c>
      <c r="AE875" s="141">
        <f>'[29]מאזן בוחן'!AE773</f>
        <v>0</v>
      </c>
      <c r="AF875" s="141">
        <f>'[30]מאזן בוחן'!AF784</f>
        <v>0</v>
      </c>
      <c r="AG875" s="141">
        <f>'[31]מאזן בוחן'!AG789</f>
        <v>0</v>
      </c>
      <c r="AH875" s="141">
        <v>0</v>
      </c>
      <c r="AI875" s="141">
        <v>0</v>
      </c>
      <c r="AJ875" s="141">
        <v>0</v>
      </c>
      <c r="AK875" s="141">
        <v>0</v>
      </c>
      <c r="AL875" s="141">
        <v>0</v>
      </c>
      <c r="AM875" s="141">
        <f>$K875-SUM($AB875:AL875)</f>
        <v>0</v>
      </c>
      <c r="AN875" s="141"/>
      <c r="AO875" s="141"/>
      <c r="AP875" s="141"/>
      <c r="AQ875" s="141"/>
      <c r="AR875" s="141"/>
      <c r="AS875" s="141"/>
      <c r="AT875" s="141"/>
      <c r="AU875" s="141"/>
      <c r="AV875" s="141"/>
      <c r="AW875" s="141"/>
      <c r="BA875" s="204"/>
    </row>
    <row r="876" spans="1:53">
      <c r="A876" s="52"/>
      <c r="B876" s="3659" t="s">
        <v>1122</v>
      </c>
      <c r="C876" s="585">
        <v>7010001</v>
      </c>
      <c r="D876" s="465" t="s">
        <v>174</v>
      </c>
      <c r="E876" s="474">
        <f>IFERROR(VLOOKUP(C876,'פקודות נוספות'!$D$274:$F$797,3,0),0)</f>
        <v>5933376</v>
      </c>
      <c r="F876" s="49">
        <f>SUMIF('פקודות נוספות'!C:C,C:C,'פקודות נוספות'!E:E)</f>
        <v>0</v>
      </c>
      <c r="J876" s="474">
        <f t="shared" ref="J876:J882" si="180">SUM(E876:I876)</f>
        <v>5933376</v>
      </c>
      <c r="K876" s="42">
        <f>M876+SUMIF('פקודות נוספות'!C:C,'מאזן בוחן'!C876,'פקודות נוספות'!F:F)</f>
        <v>1837818.45</v>
      </c>
      <c r="L876" s="49"/>
      <c r="M876" s="1341">
        <f>IFERROR(VLOOKUP(C876,'פקודות נוספות'!$D$273:$G$797,4,0),0)</f>
        <v>1837818.45</v>
      </c>
      <c r="N876" s="1104">
        <f t="shared" si="174"/>
        <v>3.2284886464166251</v>
      </c>
      <c r="O876" s="1133"/>
      <c r="P876" s="141">
        <v>141702.62000000002</v>
      </c>
      <c r="Q876" s="141">
        <f>'[39]מאזן בוחן'!AE735</f>
        <v>133142.5</v>
      </c>
      <c r="R876" s="141">
        <v>161111.14000000001</v>
      </c>
      <c r="S876" s="141">
        <v>118629.34999999998</v>
      </c>
      <c r="T876" s="141">
        <f>'[20]מאזן בוחן'!AR790</f>
        <v>126596.18000000005</v>
      </c>
      <c r="U876" s="141">
        <f>'[21]מאזן בוחן'!AS700</f>
        <v>120342.43000000005</v>
      </c>
      <c r="V876" s="726">
        <f>'[22]מאזן בוחן'!AJ686</f>
        <v>124756.09999999983</v>
      </c>
      <c r="W876" s="726">
        <f>'[23]מאזן בוחן'!AK691</f>
        <v>142931.42000000013</v>
      </c>
      <c r="X876" s="141">
        <v>145062.23999999996</v>
      </c>
      <c r="Y876" s="141">
        <f>'[25]מאזן בוחן'!AM721</f>
        <v>146982.15999999992</v>
      </c>
      <c r="AA876" s="141">
        <f>'[32]מאזן בוחן'!AO738</f>
        <v>151269.3600000001</v>
      </c>
      <c r="AB876" s="141">
        <f>'[26]מאזן בוחן'!AB746</f>
        <v>149538.13</v>
      </c>
      <c r="AC876" s="141">
        <f>'[27]מאזן בוחן'!AC755</f>
        <v>160655.49</v>
      </c>
      <c r="AD876" s="141">
        <f>'[28]מאזן בוחן'!AD764</f>
        <v>148936.71000000002</v>
      </c>
      <c r="AE876" s="141">
        <f>'[29]מאזן בוחן'!AE774</f>
        <v>141300.59000000003</v>
      </c>
      <c r="AF876" s="141">
        <f>'[30]מאזן בוחן'!AF785</f>
        <v>140225.0199999999</v>
      </c>
      <c r="AG876" s="141">
        <f>'[31]מאזן בוחן'!AG790</f>
        <v>139746.63</v>
      </c>
      <c r="AH876" s="141">
        <v>152215.28000000003</v>
      </c>
      <c r="AI876" s="141">
        <v>159664.4800000001</v>
      </c>
      <c r="AJ876" s="141">
        <v>173105.60999999987</v>
      </c>
      <c r="AK876" s="141">
        <v>149320.14000000013</v>
      </c>
      <c r="AL876" s="141">
        <v>147533.52000000002</v>
      </c>
      <c r="AM876" s="141">
        <f>$K876-SUM($AB876:AL876)</f>
        <v>175576.84999999986</v>
      </c>
      <c r="AN876" s="141" t="s">
        <v>4818</v>
      </c>
      <c r="AO876" s="141"/>
      <c r="AP876" s="141" t="s">
        <v>4361</v>
      </c>
      <c r="AQ876" s="141" t="s">
        <v>4239</v>
      </c>
      <c r="AR876" s="141" t="s">
        <v>4109</v>
      </c>
      <c r="AS876" s="141" t="s">
        <v>3295</v>
      </c>
      <c r="AT876" s="141"/>
      <c r="AU876" s="141" t="s">
        <v>3625</v>
      </c>
      <c r="AV876" s="141" t="s">
        <v>3474</v>
      </c>
      <c r="AW876" s="141"/>
      <c r="BA876" s="204"/>
    </row>
    <row r="877" spans="1:53">
      <c r="A877" s="52"/>
      <c r="B877" s="3659" t="s">
        <v>1122</v>
      </c>
      <c r="C877" s="585">
        <v>7010055</v>
      </c>
      <c r="D877" s="465" t="s">
        <v>4794</v>
      </c>
      <c r="E877" s="474">
        <f>IFERROR(VLOOKUP(C877,'פקודות נוספות'!$D$274:$F$797,3,0),0)</f>
        <v>1400</v>
      </c>
      <c r="F877" s="49">
        <f>SUMIF('פקודות נוספות'!C:C,C:C,'פקודות נוספות'!E:E)</f>
        <v>0</v>
      </c>
      <c r="J877" s="474">
        <f t="shared" ref="J877" si="181">SUM(E877:I877)</f>
        <v>1400</v>
      </c>
      <c r="K877" s="42">
        <f>M877+SUMIF('פקודות נוספות'!C:C,'מאזן בוחן'!C877,'פקודות נוספות'!F:F)</f>
        <v>450.16</v>
      </c>
      <c r="L877" s="49"/>
      <c r="M877" s="1341">
        <f>IFERROR(VLOOKUP(C877,'פקודות נוספות'!$D$273:$G$797,4,0),0)</f>
        <v>450.16</v>
      </c>
      <c r="N877" s="1104">
        <f t="shared" ref="N877" si="182">IF(K877=0,"-",J877/K877)</f>
        <v>3.1100053314377107</v>
      </c>
      <c r="O877" s="1133"/>
      <c r="P877" s="141"/>
      <c r="Q877" s="141"/>
      <c r="R877" s="141"/>
      <c r="S877" s="141"/>
      <c r="T877" s="141"/>
      <c r="U877" s="141"/>
      <c r="V877" s="726"/>
      <c r="W877" s="726"/>
      <c r="X877" s="141"/>
      <c r="Y877" s="141"/>
      <c r="AA877" s="141"/>
      <c r="AB877" s="141"/>
      <c r="AC877" s="141"/>
      <c r="AD877" s="141"/>
      <c r="AE877" s="141"/>
      <c r="AF877" s="141"/>
      <c r="AG877" s="141"/>
      <c r="AH877" s="141"/>
      <c r="AI877" s="141"/>
      <c r="AJ877" s="141"/>
      <c r="AK877" s="141"/>
      <c r="AL877" s="141"/>
      <c r="AM877" s="141">
        <f>$K877-SUM($AB877:AL877)</f>
        <v>450.16</v>
      </c>
      <c r="AN877" s="141"/>
      <c r="AO877" s="141"/>
      <c r="AP877" s="141"/>
      <c r="AQ877" s="141"/>
      <c r="AR877" s="141"/>
      <c r="AS877" s="141"/>
      <c r="AT877" s="141"/>
      <c r="AU877" s="141"/>
      <c r="AV877" s="141"/>
      <c r="AW877" s="141"/>
      <c r="BA877" s="204"/>
    </row>
    <row r="878" spans="1:53" ht="15">
      <c r="A878" s="52"/>
      <c r="B878" s="3659" t="s">
        <v>1122</v>
      </c>
      <c r="C878" s="585">
        <v>7010002</v>
      </c>
      <c r="D878" s="169" t="s">
        <v>1123</v>
      </c>
      <c r="E878" s="474">
        <f>IFERROR(VLOOKUP(C878,'פקודות נוספות'!$D$274:$F$797,3,0),0)</f>
        <v>293735.39</v>
      </c>
      <c r="F878" s="49">
        <f>SUMIF('פקודות נוספות'!C:C,C:C,'פקודות נוספות'!E:E)</f>
        <v>0</v>
      </c>
      <c r="J878" s="474">
        <f t="shared" si="180"/>
        <v>293735.39</v>
      </c>
      <c r="K878" s="42">
        <f>M878+SUMIF('פקודות נוספות'!C:C,'מאזן בוחן'!C878,'פקודות נוספות'!F:F)</f>
        <v>91204.35</v>
      </c>
      <c r="L878" s="49"/>
      <c r="M878" s="1341">
        <f>IFERROR(VLOOKUP(C878,'פקודות נוספות'!$D$273:$G$797,4,0),0)</f>
        <v>91204.35</v>
      </c>
      <c r="N878" s="1104">
        <f t="shared" si="174"/>
        <v>3.2206291695516716</v>
      </c>
      <c r="O878" s="3606" t="s">
        <v>4567</v>
      </c>
      <c r="P878" s="141">
        <v>283.08000000000175</v>
      </c>
      <c r="Q878" s="141">
        <f>'[39]מאזן בוחן'!AE736</f>
        <v>0</v>
      </c>
      <c r="R878" s="141">
        <v>22580</v>
      </c>
      <c r="S878" s="141">
        <v>2456.5999999999985</v>
      </c>
      <c r="T878" s="141">
        <f>'[20]מאזן בוחן'!AR791</f>
        <v>0</v>
      </c>
      <c r="U878" s="141">
        <f>'[21]מאזן בוחן'!AS701</f>
        <v>15313.090000000004</v>
      </c>
      <c r="V878" s="726">
        <f>'[22]מאזן בוחן'!AJ687</f>
        <v>0</v>
      </c>
      <c r="W878" s="726">
        <f>'[23]מאזן בוחן'!AK692</f>
        <v>0</v>
      </c>
      <c r="X878" s="141">
        <v>17620.979999999996</v>
      </c>
      <c r="Y878" s="141">
        <f>'[25]מאזן בוחן'!AM722</f>
        <v>0</v>
      </c>
      <c r="AA878" s="141">
        <f>'[32]מאזן בוחן'!AO739</f>
        <v>3110.4199999999983</v>
      </c>
      <c r="AB878" s="141">
        <f>'[26]מאזן בוחן'!AB747</f>
        <v>23120.02</v>
      </c>
      <c r="AC878" s="141">
        <f>'[27]מאזן בוחן'!AC756</f>
        <v>-3110.4200000000019</v>
      </c>
      <c r="AD878" s="141">
        <f>'[28]מאזן בוחן'!AD765</f>
        <v>0</v>
      </c>
      <c r="AE878" s="141">
        <f>'[29]מאזן בוחן'!AE775</f>
        <v>17733.599999999999</v>
      </c>
      <c r="AF878" s="141">
        <f>'[30]מאזן בוחן'!AF786</f>
        <v>2612.9700000000012</v>
      </c>
      <c r="AG878" s="141">
        <f>'[31]מאזן בוחן'!AG791</f>
        <v>0</v>
      </c>
      <c r="AH878" s="141">
        <v>18925.46</v>
      </c>
      <c r="AI878" s="141">
        <v>0</v>
      </c>
      <c r="AJ878" s="141">
        <v>0</v>
      </c>
      <c r="AK878" s="141">
        <v>22931.920000000006</v>
      </c>
      <c r="AL878" s="141">
        <v>0</v>
      </c>
      <c r="AM878" s="141">
        <f>$K878-SUM($AB878:AL878)</f>
        <v>8990.8000000000029</v>
      </c>
      <c r="AN878" s="141"/>
      <c r="AO878" s="141"/>
      <c r="AP878" s="141"/>
      <c r="AQ878" s="141"/>
      <c r="AR878" s="141">
        <f>AI876-AH876</f>
        <v>7449.2000000000698</v>
      </c>
      <c r="AS878" s="141"/>
      <c r="AT878" s="141"/>
      <c r="AU878" s="141"/>
      <c r="AV878" s="141"/>
      <c r="AW878" s="141"/>
      <c r="BA878" s="204"/>
    </row>
    <row r="879" spans="1:53">
      <c r="A879" s="52"/>
      <c r="B879" s="3659" t="s">
        <v>1122</v>
      </c>
      <c r="C879" s="1428">
        <v>7010003</v>
      </c>
      <c r="D879" s="169" t="s">
        <v>1124</v>
      </c>
      <c r="E879" s="474">
        <f>IFERROR(VLOOKUP(C879,'פקודות נוספות'!$D$274:$F$797,3,0),0)</f>
        <v>243420.65</v>
      </c>
      <c r="F879" s="49">
        <f>SUMIF('פקודות נוספות'!C:C,C:C,'פקודות נוספות'!E:E)</f>
        <v>0</v>
      </c>
      <c r="J879" s="474">
        <f t="shared" si="180"/>
        <v>243420.65</v>
      </c>
      <c r="K879" s="42">
        <f>M879+SUMIF('פקודות נוספות'!C:C,'מאזן בוחן'!C879,'פקודות נוספות'!F:F)</f>
        <v>74173.75</v>
      </c>
      <c r="L879" s="49"/>
      <c r="M879" s="1341">
        <f>IFERROR(VLOOKUP(C879,'פקודות נוספות'!$D$273:$G$797,4,0),0)</f>
        <v>74173.75</v>
      </c>
      <c r="N879" s="1104">
        <f t="shared" si="174"/>
        <v>3.2817627529955002</v>
      </c>
      <c r="O879" s="1133"/>
      <c r="P879" s="137">
        <v>22879.249999999996</v>
      </c>
      <c r="Q879" s="141">
        <f>'[39]מאזן בוחן'!AE737</f>
        <v>17395</v>
      </c>
      <c r="R879" s="137">
        <v>17395</v>
      </c>
      <c r="S879" s="137">
        <v>17395</v>
      </c>
      <c r="T879" s="141">
        <f>'[20]מאזן בוחן'!AR792</f>
        <v>17395</v>
      </c>
      <c r="U879" s="141">
        <f>'[21]מאזן בוחן'!AS702</f>
        <v>17395</v>
      </c>
      <c r="V879" s="141">
        <f>'[22]מאזן בוחן'!AJ688</f>
        <v>17395.000000000011</v>
      </c>
      <c r="W879" s="141">
        <f>'[23]מאזן בוחן'!AK693</f>
        <v>-61188.150000000009</v>
      </c>
      <c r="X879" s="141">
        <v>17395</v>
      </c>
      <c r="Y879" s="141">
        <f>'[25]מאזן בוחן'!AM723</f>
        <v>17395</v>
      </c>
      <c r="Z879" s="141"/>
      <c r="AA879" s="141">
        <f>'[32]מאזן בוחן'!AO740</f>
        <v>-50630.030000000006</v>
      </c>
      <c r="AB879" s="141">
        <f>'[26]מאזן בוחן'!AB748</f>
        <v>5177.45</v>
      </c>
      <c r="AC879" s="141">
        <f>'[27]מאזן בוחן'!AC757</f>
        <v>2270.7300000000005</v>
      </c>
      <c r="AD879" s="141">
        <f>'[28]מאזן בוחן'!AD766</f>
        <v>14024.810000000001</v>
      </c>
      <c r="AE879" s="141">
        <f>'[29]מאזן בוחן'!AE776</f>
        <v>8125</v>
      </c>
      <c r="AF879" s="141">
        <f>'[30]מאזן בוחן'!AF787</f>
        <v>8124.9999999999964</v>
      </c>
      <c r="AG879" s="141">
        <f>'[31]מאזן בוחן'!AG792</f>
        <v>8125</v>
      </c>
      <c r="AH879" s="141">
        <v>8125</v>
      </c>
      <c r="AI879" s="141">
        <v>8125</v>
      </c>
      <c r="AJ879" s="141">
        <v>8125.0000000000073</v>
      </c>
      <c r="AK879" s="141">
        <v>8125</v>
      </c>
      <c r="AL879" s="141">
        <v>8125</v>
      </c>
      <c r="AM879" s="141">
        <f>$K879-SUM($AB879:AL879)</f>
        <v>-12299.240000000005</v>
      </c>
      <c r="AN879" s="141"/>
      <c r="AO879" s="141"/>
      <c r="AP879" s="141"/>
      <c r="AQ879" s="141"/>
      <c r="AR879" s="141"/>
      <c r="AS879" s="141"/>
      <c r="AT879" s="141"/>
      <c r="AU879" s="141"/>
      <c r="AV879" s="141"/>
      <c r="AW879" s="141"/>
      <c r="BA879" s="204"/>
    </row>
    <row r="880" spans="1:53">
      <c r="A880" s="52"/>
      <c r="B880" s="3659" t="s">
        <v>1122</v>
      </c>
      <c r="C880" s="1428">
        <v>7010010</v>
      </c>
      <c r="D880" s="169" t="s">
        <v>360</v>
      </c>
      <c r="E880" s="474">
        <f>IFERROR(VLOOKUP(C880,'פקודות נוספות'!$D$274:$F$797,3,0),0)</f>
        <v>24721.57</v>
      </c>
      <c r="F880" s="49">
        <f>SUMIF('פקודות נוספות'!C:C,C:C,'פקודות נוספות'!E:E)</f>
        <v>0</v>
      </c>
      <c r="J880" s="474">
        <f t="shared" si="180"/>
        <v>24721.57</v>
      </c>
      <c r="K880" s="42">
        <f>M880+SUMIF('פקודות נוספות'!C:C,'מאזן בוחן'!C880,'פקודות נוספות'!F:F)</f>
        <v>7641.47</v>
      </c>
      <c r="L880" s="49"/>
      <c r="M880" s="1341">
        <f>IFERROR(VLOOKUP(C880,'פקודות נוספות'!$D$273:$G$797,4,0),0)</f>
        <v>7641.47</v>
      </c>
      <c r="N880" s="1104">
        <f t="shared" si="174"/>
        <v>3.2351851149059017</v>
      </c>
      <c r="O880" s="1133"/>
      <c r="P880" s="137">
        <v>0</v>
      </c>
      <c r="Q880" s="141">
        <f>'[39]מאזן בוחן'!AE738</f>
        <v>0</v>
      </c>
      <c r="R880" s="137">
        <v>13485.72</v>
      </c>
      <c r="S880" s="137">
        <v>0</v>
      </c>
      <c r="T880" s="141">
        <f>'[20]מאזן בוחן'!AR793</f>
        <v>0</v>
      </c>
      <c r="U880" s="141">
        <f>'[21]מאזן בוחן'!AS703</f>
        <v>0</v>
      </c>
      <c r="V880" s="141">
        <f>'[22]מאזן בוחן'!AJ689</f>
        <v>0</v>
      </c>
      <c r="W880" s="141">
        <f>'[23]מאזן בוחן'!AK694</f>
        <v>0</v>
      </c>
      <c r="X880" s="141">
        <v>0</v>
      </c>
      <c r="Y880" s="141">
        <f>'[25]מאזן בוחן'!AM724</f>
        <v>20801.86</v>
      </c>
      <c r="Z880" s="141"/>
      <c r="AA880" s="141">
        <f>'[32]מאזן בוחן'!AO741</f>
        <v>0</v>
      </c>
      <c r="AB880" s="141">
        <f>'[26]מאזן בוחן'!AB749</f>
        <v>0</v>
      </c>
      <c r="AC880" s="141">
        <f>'[27]מאזן בוחן'!AC758</f>
        <v>0</v>
      </c>
      <c r="AD880" s="141">
        <f>'[28]מאזן בוחן'!AD767</f>
        <v>0</v>
      </c>
      <c r="AE880" s="141">
        <f>'[29]מאזן בוחן'!AE777</f>
        <v>4927.62</v>
      </c>
      <c r="AF880" s="141">
        <f>'[30]מאזן בוחן'!AF788</f>
        <v>0</v>
      </c>
      <c r="AG880" s="141">
        <f>'[31]מאזן בוחן'!AG793</f>
        <v>0</v>
      </c>
      <c r="AH880" s="141">
        <v>701.02999999999975</v>
      </c>
      <c r="AI880" s="141">
        <v>2012.8200000000006</v>
      </c>
      <c r="AJ880" s="141">
        <v>0</v>
      </c>
      <c r="AK880" s="141">
        <v>0</v>
      </c>
      <c r="AL880" s="141">
        <v>0</v>
      </c>
      <c r="AM880" s="141">
        <f>$K880-SUM($AB880:AL880)</f>
        <v>0</v>
      </c>
      <c r="AN880" s="141"/>
      <c r="AO880" s="141"/>
      <c r="AP880" s="141"/>
      <c r="AQ880" s="141"/>
      <c r="AR880" s="141"/>
      <c r="AS880" s="141"/>
      <c r="AT880" s="141"/>
      <c r="AU880" s="141"/>
      <c r="AV880" s="141"/>
      <c r="AW880" s="141"/>
      <c r="BA880" s="204"/>
    </row>
    <row r="881" spans="1:53">
      <c r="A881" s="52"/>
      <c r="B881" s="3669" t="s">
        <v>1122</v>
      </c>
      <c r="C881" s="4208">
        <v>70100025</v>
      </c>
      <c r="D881" s="203" t="s">
        <v>775</v>
      </c>
      <c r="E881" s="474">
        <f>IFERROR(VLOOKUP(C881,'פקודות נוספות'!$D$274:$F$797,3,0),0)</f>
        <v>285252.46999999997</v>
      </c>
      <c r="F881" s="49">
        <f>SUMIF('פקודות נוספות'!C:C,C:C,'פקודות נוספות'!E:E)</f>
        <v>0</v>
      </c>
      <c r="J881" s="474">
        <f t="shared" si="180"/>
        <v>285252.46999999997</v>
      </c>
      <c r="K881" s="42">
        <f>M881+SUMIF('פקודות נוספות'!C:C,'מאזן בוחן'!C881,'פקודות נוספות'!F:F)</f>
        <v>88287.08</v>
      </c>
      <c r="L881" s="49"/>
      <c r="M881" s="1341">
        <f>IFERROR(VLOOKUP(C881,'פקודות נוספות'!$D$273:$G$797,4,0),0)</f>
        <v>88287.08</v>
      </c>
      <c r="N881" s="1104">
        <f t="shared" si="174"/>
        <v>3.2309650517380342</v>
      </c>
      <c r="O881" s="1133"/>
      <c r="P881" s="137">
        <v>0</v>
      </c>
      <c r="Q881" s="141">
        <f>'[39]מאזן בוחן'!AE745</f>
        <v>9996.620673515461</v>
      </c>
      <c r="R881" s="137">
        <v>0</v>
      </c>
      <c r="S881" s="137">
        <v>0.37932648453897855</v>
      </c>
      <c r="T881" s="141">
        <f>'[20]מאזן בוחן'!AR800</f>
        <v>4751.3342612547349</v>
      </c>
      <c r="U881" s="141">
        <f>'[21]מאזן בוחן'!AS710</f>
        <v>-0.33426125473488355</v>
      </c>
      <c r="V881" s="141">
        <f>'[22]מאזן בוחן'!AJ696</f>
        <v>0</v>
      </c>
      <c r="W881" s="141">
        <f>'[23]מאזן בוחן'!AK701</f>
        <v>3774.9000000000015</v>
      </c>
      <c r="X881" s="141">
        <v>1.8189894035458565E-12</v>
      </c>
      <c r="Y881" s="141">
        <f>'[25]מאזן בוחן'!AM731</f>
        <v>0</v>
      </c>
      <c r="Z881" s="141"/>
      <c r="AA881" s="141">
        <f>'[32]מאזן בוחן'!AO743</f>
        <v>0</v>
      </c>
      <c r="AB881" s="141">
        <f>'[26]מאזן בוחן'!AB751</f>
        <v>0</v>
      </c>
      <c r="AC881" s="141">
        <f>'[27]מאזן בוחן'!AC760</f>
        <v>0</v>
      </c>
      <c r="AD881" s="141">
        <f>'[28]מאזן בוחן'!AD769</f>
        <v>21059.32</v>
      </c>
      <c r="AE881" s="141">
        <f>'[29]מאזן בוחן'!AE778</f>
        <v>0</v>
      </c>
      <c r="AF881" s="141">
        <f>'[30]מאזן בוחן'!AF789</f>
        <v>0</v>
      </c>
      <c r="AG881" s="141">
        <f>'[31]מאזן בוחן'!AG794</f>
        <v>21959.03</v>
      </c>
      <c r="AH881" s="141">
        <v>0</v>
      </c>
      <c r="AI881" s="141">
        <v>0</v>
      </c>
      <c r="AJ881" s="141">
        <v>22424.720000000001</v>
      </c>
      <c r="AK881" s="141">
        <v>0</v>
      </c>
      <c r="AL881" s="141">
        <v>0</v>
      </c>
      <c r="AM881" s="141">
        <f>$K881-SUM($AB881:AL881)</f>
        <v>22844.010000000002</v>
      </c>
      <c r="AN881" s="141"/>
      <c r="AO881" s="141"/>
      <c r="AP881" s="141"/>
      <c r="AQ881" s="141"/>
      <c r="AR881" s="141"/>
      <c r="AS881" s="141"/>
      <c r="AT881" s="141"/>
      <c r="AU881" s="141"/>
      <c r="AV881" s="141"/>
      <c r="AW881" s="141"/>
      <c r="BA881" s="204"/>
    </row>
    <row r="882" spans="1:53">
      <c r="A882" s="52"/>
      <c r="B882" s="3669" t="s">
        <v>1122</v>
      </c>
      <c r="C882" s="4208">
        <v>7010097</v>
      </c>
      <c r="D882" s="203" t="s">
        <v>1452</v>
      </c>
      <c r="E882" s="474">
        <f>IFERROR(VLOOKUP(C882,'פקודות נוספות'!$D$274:$F$797,3,0),0)</f>
        <v>-114182.41</v>
      </c>
      <c r="F882" s="49">
        <f>SUMIF('פקודות נוספות'!C:C,C:C,'פקודות נוספות'!E:E)</f>
        <v>0</v>
      </c>
      <c r="J882" s="474">
        <f t="shared" si="180"/>
        <v>-114182.41</v>
      </c>
      <c r="K882" s="42">
        <f>M882+SUMIF('פקודות נוספות'!C:C,'מאזן בוחן'!C882,'פקודות נוספות'!F:F)</f>
        <v>-35709.89</v>
      </c>
      <c r="L882" s="49"/>
      <c r="M882" s="1341">
        <f>IFERROR(VLOOKUP(C882,'פקודות נוספות'!$D$273:$G$797,4,0),0)</f>
        <v>-35709.89</v>
      </c>
      <c r="N882" s="1104">
        <f t="shared" si="174"/>
        <v>3.1975010284265788</v>
      </c>
      <c r="O882" s="1133"/>
      <c r="P882" s="137">
        <v>0</v>
      </c>
      <c r="Q882" s="141">
        <f>'[39]מאזן בוחן'!AE746</f>
        <v>18336.720401632061</v>
      </c>
      <c r="R882" s="137">
        <v>340.53909317316356</v>
      </c>
      <c r="S882" s="137">
        <v>-340.25949480522468</v>
      </c>
      <c r="T882" s="141">
        <f>'[20]מאזן בוחן'!AR801</f>
        <v>-11237</v>
      </c>
      <c r="U882" s="141">
        <f>'[21]מאזן בוחן'!AS711</f>
        <v>0</v>
      </c>
      <c r="V882" s="141">
        <f>'[22]מאזן בוחן'!AJ697</f>
        <v>0</v>
      </c>
      <c r="W882" s="141">
        <f>'[23]מאזן בוחן'!AK702</f>
        <v>-2275.8899999999994</v>
      </c>
      <c r="X882" s="141">
        <v>0</v>
      </c>
      <c r="Y882" s="141">
        <f>'[25]מאזן בוחן'!AM732</f>
        <v>0</v>
      </c>
      <c r="Z882" s="141"/>
      <c r="AA882" s="141">
        <f>'[32]מאזן בוחן'!AO744</f>
        <v>0</v>
      </c>
      <c r="AB882" s="141">
        <f>'[26]מאזן בוחן'!AB752</f>
        <v>0</v>
      </c>
      <c r="AC882" s="141">
        <f>'[27]מאזן בוחן'!AC761</f>
        <v>0</v>
      </c>
      <c r="AD882" s="141">
        <f>'[28]מאזן בוחן'!AD770</f>
        <v>-13208.47</v>
      </c>
      <c r="AE882" s="141">
        <f>'[29]מאזן בוחן'!AE779</f>
        <v>0</v>
      </c>
      <c r="AF882" s="141">
        <f>'[30]מאזן בוחן'!AF790</f>
        <v>0</v>
      </c>
      <c r="AG882" s="141">
        <f>'[31]מאזן בוחן'!AG795</f>
        <v>13283.279999999999</v>
      </c>
      <c r="AH882" s="141">
        <v>5.1159076974727213E-13</v>
      </c>
      <c r="AI882" s="141">
        <v>0</v>
      </c>
      <c r="AJ882" s="141">
        <v>-18138.120000000003</v>
      </c>
      <c r="AK882" s="141">
        <v>0</v>
      </c>
      <c r="AL882" s="141">
        <v>0</v>
      </c>
      <c r="AM882" s="141">
        <f>$K882-SUM($AB882:AL882)</f>
        <v>-17646.579999999998</v>
      </c>
      <c r="AN882" s="141"/>
      <c r="AO882" s="141"/>
      <c r="AP882" s="141"/>
      <c r="AQ882" s="141"/>
      <c r="AR882" s="141"/>
      <c r="AS882" s="141"/>
      <c r="AT882" s="141"/>
      <c r="AU882" s="141"/>
      <c r="AV882" s="141"/>
      <c r="AW882" s="141"/>
      <c r="BA882" s="204"/>
    </row>
    <row r="883" spans="1:53">
      <c r="A883" s="52"/>
      <c r="B883" s="3669"/>
      <c r="C883" s="1676"/>
      <c r="D883" s="203"/>
      <c r="E883" s="1202"/>
      <c r="J883" s="474"/>
      <c r="K883" s="42"/>
      <c r="L883" s="49"/>
      <c r="M883" s="1341">
        <f>IFERROR(VLOOKUP(C883,'פקודות נוספות'!$D$273:$G$797,4,0),0)</f>
        <v>0</v>
      </c>
      <c r="O883" s="1133"/>
      <c r="P883" s="137">
        <v>0</v>
      </c>
      <c r="Q883" s="141">
        <f>'[39]מאזן בוחן'!AE747</f>
        <v>0</v>
      </c>
      <c r="R883" s="137">
        <v>0</v>
      </c>
      <c r="S883" s="137">
        <v>0</v>
      </c>
      <c r="T883" s="141">
        <f>'[20]מאזן בוחן'!AR802</f>
        <v>0</v>
      </c>
      <c r="U883" s="141">
        <f>'[21]מאזן בוחן'!AS712</f>
        <v>0</v>
      </c>
      <c r="V883" s="141">
        <f>'[22]מאזן בוחן'!AJ698</f>
        <v>0</v>
      </c>
      <c r="W883" s="141">
        <f>'[23]מאזן בוחן'!AK703</f>
        <v>0</v>
      </c>
      <c r="X883" s="141">
        <v>0</v>
      </c>
      <c r="Y883" s="141">
        <f>'[25]מאזן בוחן'!AM733</f>
        <v>0</v>
      </c>
      <c r="Z883" s="141"/>
      <c r="AA883" s="141">
        <f>'[32]מאזן בוחן'!AO745</f>
        <v>0</v>
      </c>
      <c r="AB883" s="141">
        <f>'[26]מאזן בוחן'!AB753</f>
        <v>0</v>
      </c>
      <c r="AC883" s="141">
        <f>'[27]מאזן בוחן'!AC762</f>
        <v>0</v>
      </c>
      <c r="AD883" s="141">
        <f>'[28]מאזן בוחן'!AD771</f>
        <v>0</v>
      </c>
      <c r="AE883" s="141">
        <f>'[29]מאזן בוחן'!AE780</f>
        <v>0</v>
      </c>
      <c r="AF883" s="141">
        <f>'[30]מאזן בוחן'!AF791</f>
        <v>0</v>
      </c>
      <c r="AG883" s="141">
        <f>'[31]מאזן בוחן'!AG796</f>
        <v>0</v>
      </c>
      <c r="AH883" s="141">
        <v>0</v>
      </c>
      <c r="AI883" s="141">
        <v>0</v>
      </c>
      <c r="AJ883" s="141">
        <v>0</v>
      </c>
      <c r="AK883" s="141">
        <v>0</v>
      </c>
      <c r="AL883" s="141">
        <v>0</v>
      </c>
      <c r="AM883" s="141">
        <f>$K883-SUM($AB883:AL883)</f>
        <v>0</v>
      </c>
      <c r="AN883" s="141"/>
      <c r="AO883" s="141"/>
      <c r="AP883" s="141"/>
      <c r="AQ883" s="141"/>
      <c r="AR883" s="141"/>
      <c r="AS883" s="141"/>
      <c r="AT883" s="141"/>
      <c r="AU883" s="141"/>
      <c r="AV883" s="141"/>
      <c r="AW883" s="141"/>
      <c r="BA883" s="204"/>
    </row>
    <row r="884" spans="1:53">
      <c r="A884" s="52"/>
      <c r="B884" s="3659"/>
      <c r="C884" s="1489"/>
      <c r="D884" s="50" t="s">
        <v>1136</v>
      </c>
      <c r="E884" s="79"/>
      <c r="J884" s="474"/>
      <c r="K884" s="42"/>
      <c r="L884" s="49"/>
      <c r="M884" s="1341">
        <f>IFERROR(VLOOKUP(C884,'פקודות נוספות'!$D$273:$G$797,4,0),0)</f>
        <v>0</v>
      </c>
      <c r="O884" s="1133"/>
      <c r="P884" s="137">
        <v>0</v>
      </c>
      <c r="Q884" s="141">
        <f>'[39]מאזן בוחן'!AE748</f>
        <v>0</v>
      </c>
      <c r="R884" s="137">
        <v>0</v>
      </c>
      <c r="S884" s="137">
        <v>0</v>
      </c>
      <c r="T884" s="141">
        <f>'[20]מאזן בוחן'!AR803</f>
        <v>0</v>
      </c>
      <c r="U884" s="141">
        <f>'[21]מאזן בוחן'!AS713</f>
        <v>0</v>
      </c>
      <c r="V884" s="141">
        <f>'[22]מאזן בוחן'!AJ699</f>
        <v>0</v>
      </c>
      <c r="W884" s="141">
        <f>'[23]מאזן בוחן'!AK704</f>
        <v>0</v>
      </c>
      <c r="X884" s="141">
        <v>0</v>
      </c>
      <c r="Y884" s="141">
        <f>'[25]מאזן בוחן'!AM734</f>
        <v>0</v>
      </c>
      <c r="Z884" s="141"/>
      <c r="AA884" s="141">
        <f>'[32]מאזן בוחן'!AO746</f>
        <v>0</v>
      </c>
      <c r="AB884" s="141">
        <f>'[26]מאזן בוחן'!AB754</f>
        <v>0</v>
      </c>
      <c r="AC884" s="141">
        <f>'[27]מאזן בוחן'!AC763</f>
        <v>0</v>
      </c>
      <c r="AD884" s="141">
        <f>'[28]מאזן בוחן'!AD772</f>
        <v>0</v>
      </c>
      <c r="AE884" s="141">
        <f>'[29]מאזן בוחן'!AE781</f>
        <v>0</v>
      </c>
      <c r="AF884" s="141">
        <f>'[30]מאזן בוחן'!AF792</f>
        <v>0</v>
      </c>
      <c r="AG884" s="141">
        <f>'[31]מאזן בוחן'!AG797</f>
        <v>0</v>
      </c>
      <c r="AH884" s="141">
        <v>0</v>
      </c>
      <c r="AI884" s="141">
        <v>0</v>
      </c>
      <c r="AJ884" s="141">
        <v>0</v>
      </c>
      <c r="AK884" s="141">
        <v>0</v>
      </c>
      <c r="AL884" s="141">
        <v>0</v>
      </c>
      <c r="AM884" s="141">
        <f>$K884-SUM($AB884:AL884)</f>
        <v>0</v>
      </c>
      <c r="AN884" s="141"/>
      <c r="AO884" s="141"/>
      <c r="AP884" s="141"/>
      <c r="AQ884" s="141"/>
      <c r="AR884" s="141"/>
      <c r="AS884" s="141"/>
      <c r="AT884" s="141"/>
      <c r="AU884" s="141"/>
      <c r="AV884" s="141"/>
      <c r="AW884" s="141"/>
      <c r="BA884" s="204"/>
    </row>
    <row r="885" spans="1:53">
      <c r="A885" s="52"/>
      <c r="B885" s="3659"/>
      <c r="C885" s="1489"/>
      <c r="D885" s="608"/>
      <c r="E885" s="1202"/>
      <c r="J885" s="474"/>
      <c r="K885" s="42"/>
      <c r="L885" s="49"/>
      <c r="M885" s="1341">
        <f>IFERROR(VLOOKUP(C885,'פקודות נוספות'!$D$273:$G$797,4,0),0)</f>
        <v>0</v>
      </c>
      <c r="O885" s="1133"/>
      <c r="P885" s="141">
        <v>0</v>
      </c>
      <c r="Q885" s="141">
        <f>'[39]מאזן בוחן'!AE749</f>
        <v>0</v>
      </c>
      <c r="R885" s="141">
        <v>0</v>
      </c>
      <c r="S885" s="141">
        <v>0</v>
      </c>
      <c r="T885" s="141">
        <f>'[20]מאזן בוחן'!AR804</f>
        <v>0</v>
      </c>
      <c r="U885" s="141">
        <f>'[21]מאזן בוחן'!AS714</f>
        <v>0</v>
      </c>
      <c r="V885" s="141">
        <f>'[22]מאזן בוחן'!AJ700</f>
        <v>0</v>
      </c>
      <c r="W885" s="141">
        <f>'[23]מאזן בוחן'!AK705</f>
        <v>0</v>
      </c>
      <c r="X885" s="141">
        <v>0</v>
      </c>
      <c r="Y885" s="141">
        <f>'[25]מאזן בוחן'!AM735</f>
        <v>0</v>
      </c>
      <c r="Z885" s="141"/>
      <c r="AA885" s="141">
        <f>'[32]מאזן בוחן'!AO747</f>
        <v>0</v>
      </c>
      <c r="AB885" s="141">
        <f>'[26]מאזן בוחן'!AB755</f>
        <v>0</v>
      </c>
      <c r="AC885" s="141">
        <f>'[27]מאזן בוחן'!AC764</f>
        <v>0</v>
      </c>
      <c r="AD885" s="141">
        <f>'[28]מאזן בוחן'!AD773</f>
        <v>0</v>
      </c>
      <c r="AE885" s="141">
        <f>'[29]מאזן בוחן'!AE782</f>
        <v>0</v>
      </c>
      <c r="AF885" s="141">
        <f>'[30]מאזן בוחן'!AF793</f>
        <v>0</v>
      </c>
      <c r="AG885" s="141">
        <f>'[31]מאזן בוחן'!AG798</f>
        <v>0</v>
      </c>
      <c r="AH885" s="141">
        <v>0</v>
      </c>
      <c r="AI885" s="141">
        <v>0</v>
      </c>
      <c r="AJ885" s="141">
        <v>0</v>
      </c>
      <c r="AK885" s="141">
        <v>0</v>
      </c>
      <c r="AL885" s="141">
        <v>0</v>
      </c>
      <c r="AM885" s="141">
        <f>$K885-SUM($AB885:AL885)</f>
        <v>0</v>
      </c>
      <c r="AN885" s="141"/>
      <c r="AO885" s="141"/>
      <c r="AP885" s="141"/>
      <c r="AQ885" s="141"/>
      <c r="AR885" s="141"/>
      <c r="AS885" s="141"/>
      <c r="AT885" s="141"/>
      <c r="AU885" s="141"/>
      <c r="AV885" s="141"/>
      <c r="AW885" s="141"/>
      <c r="BA885" s="204"/>
    </row>
    <row r="886" spans="1:53">
      <c r="A886" s="52"/>
      <c r="B886" s="3659" t="s">
        <v>1137</v>
      </c>
      <c r="C886" s="585">
        <v>7110001</v>
      </c>
      <c r="D886" s="169" t="s">
        <v>1138</v>
      </c>
      <c r="E886" s="474">
        <f>IFERROR(VLOOKUP(C886,'פקודות נוספות'!$D$274:$F$797,3,0),0)</f>
        <v>690033</v>
      </c>
      <c r="F886" s="49">
        <f>SUMIF('פקודות נוספות'!C:C,C:C,'פקודות נוספות'!E:E)</f>
        <v>0</v>
      </c>
      <c r="J886" s="474">
        <f t="shared" ref="J886:J906" si="183">SUM(E886:I886)</f>
        <v>690033</v>
      </c>
      <c r="K886" s="42">
        <f>M886+SUMIF('פקודות נוספות'!C:C,'מאזן בוחן'!C886,'פקודות נוספות'!F:F)</f>
        <v>213674.26</v>
      </c>
      <c r="L886" s="49"/>
      <c r="M886" s="1341">
        <f>IFERROR(VLOOKUP(C886,'פקודות נוספות'!$D$273:$G$797,4,0),0)</f>
        <v>213674.26</v>
      </c>
      <c r="N886" s="1104">
        <f t="shared" ref="N886:N906" si="184">IF(K886=0,"-",J886/K886)</f>
        <v>3.2293688533190661</v>
      </c>
      <c r="O886" s="1133"/>
      <c r="P886" s="141">
        <v>13857.800000000003</v>
      </c>
      <c r="Q886" s="141">
        <f>'[39]מאזן בוחן'!AE750</f>
        <v>13240.670000000002</v>
      </c>
      <c r="R886" s="141">
        <v>15855.149999999991</v>
      </c>
      <c r="S886" s="141">
        <v>13805.830000000016</v>
      </c>
      <c r="T886" s="141">
        <f>'[20]מאזן בוחן'!AR805</f>
        <v>13536.640000000003</v>
      </c>
      <c r="U886" s="141">
        <f>'[21]מאזן בוחן'!AS715</f>
        <v>15408.159999999985</v>
      </c>
      <c r="V886" s="141">
        <f>'[22]מאזן בוחן'!AJ701</f>
        <v>13962.520000000004</v>
      </c>
      <c r="W886" s="141">
        <f>'[23]מאזן בוחן'!AK706</f>
        <v>13737.579999999998</v>
      </c>
      <c r="X886" s="141">
        <v>15492.109999999997</v>
      </c>
      <c r="Y886" s="141">
        <f>'[25]מאזן בוחן'!AM736</f>
        <v>14191.049999999988</v>
      </c>
      <c r="Z886" s="141"/>
      <c r="AA886" s="141">
        <f>'[32]מאזן בוחן'!AO748</f>
        <v>26201.72</v>
      </c>
      <c r="AB886" s="141">
        <f>'[26]מאזן בוחן'!AB756</f>
        <v>18428.14</v>
      </c>
      <c r="AC886" s="141">
        <f>'[27]מאזן בוחן'!AC765</f>
        <v>16899.699999999997</v>
      </c>
      <c r="AD886" s="141">
        <f>'[28]מאזן בוחן'!AD774</f>
        <v>16706.960000000006</v>
      </c>
      <c r="AE886" s="141">
        <f>'[29]מאזן בוחן'!AE783</f>
        <v>22097.009999999995</v>
      </c>
      <c r="AF886" s="141">
        <f>'[30]מאזן בוחן'!AF794</f>
        <v>16594.839999999997</v>
      </c>
      <c r="AG886" s="141">
        <f>'[31]מאזן בוחן'!AG799</f>
        <v>16559.820000000007</v>
      </c>
      <c r="AH886" s="141">
        <v>18608.410000000003</v>
      </c>
      <c r="AI886" s="141">
        <v>16833.179999999993</v>
      </c>
      <c r="AJ886" s="141">
        <v>16842.989999999991</v>
      </c>
      <c r="AK886" s="141">
        <v>17831.860000000015</v>
      </c>
      <c r="AL886" s="141">
        <v>17098.040000000008</v>
      </c>
      <c r="AM886" s="141">
        <f>$K886-SUM($AB886:AL886)</f>
        <v>19173.309999999998</v>
      </c>
      <c r="AN886" s="141"/>
      <c r="AO886" s="141"/>
      <c r="AP886" s="141"/>
      <c r="AQ886" s="141"/>
      <c r="AR886" s="141"/>
      <c r="AS886" s="141"/>
      <c r="AT886" s="141" t="s">
        <v>3701</v>
      </c>
      <c r="AU886" s="141"/>
      <c r="AV886" s="141"/>
      <c r="AW886" s="141" t="s">
        <v>3297</v>
      </c>
      <c r="BA886" s="204"/>
    </row>
    <row r="887" spans="1:53" ht="13.5" thickBot="1">
      <c r="A887" s="52"/>
      <c r="B887" s="3659" t="s">
        <v>1137</v>
      </c>
      <c r="C887" s="585">
        <v>7110002</v>
      </c>
      <c r="D887" s="169" t="s">
        <v>1139</v>
      </c>
      <c r="E887" s="474">
        <f>IFERROR(VLOOKUP(C887,'פקודות נוספות'!$D$274:$F$797,3,0),0)</f>
        <v>-9113.09</v>
      </c>
      <c r="F887" s="49">
        <f>SUMIF('פקודות נוספות'!C:C,C:C,'פקודות נוספות'!E:E)</f>
        <v>0</v>
      </c>
      <c r="J887" s="474">
        <f t="shared" si="183"/>
        <v>-9113.09</v>
      </c>
      <c r="K887" s="42">
        <f>M887+SUMIF('פקודות נוספות'!C:C,'מאזן בוחן'!C887,'פקודות נוספות'!F:F)</f>
        <v>-3016.64</v>
      </c>
      <c r="L887" s="49"/>
      <c r="M887" s="1341">
        <f>IFERROR(VLOOKUP(C887,'פקודות נוספות'!$D$273:$G$797,4,0),0)</f>
        <v>-3016.64</v>
      </c>
      <c r="N887" s="1104">
        <f t="shared" si="184"/>
        <v>3.020940516601252</v>
      </c>
      <c r="O887" s="1133"/>
      <c r="P887" s="141">
        <v>-40043.630000000005</v>
      </c>
      <c r="Q887" s="141">
        <f>'[39]מאזן בוחן'!AE751</f>
        <v>4395.0000000000027</v>
      </c>
      <c r="R887" s="141">
        <v>4395.0000000000009</v>
      </c>
      <c r="S887" s="141">
        <v>4394.9999999999991</v>
      </c>
      <c r="T887" s="141">
        <f>'[20]מאזן בוחן'!AR806</f>
        <v>4395.0000000000009</v>
      </c>
      <c r="U887" s="141">
        <f>'[21]מאזן בוחן'!AS716</f>
        <v>4394.9999999999991</v>
      </c>
      <c r="V887" s="141">
        <f>'[22]מאזן בוחן'!AJ702</f>
        <v>4394.9999999999991</v>
      </c>
      <c r="W887" s="141">
        <f>'[23]מאזן בוחן'!AK707</f>
        <v>-5822.829999999999</v>
      </c>
      <c r="X887" s="141">
        <v>4394.9999999999991</v>
      </c>
      <c r="Y887" s="141">
        <f>'[25]מאזן בוחן'!AM737</f>
        <v>4395</v>
      </c>
      <c r="Z887" s="141"/>
      <c r="AA887" s="141">
        <f>'[32]מאזן בוחן'!AO749</f>
        <v>19111.059999999998</v>
      </c>
      <c r="AB887" s="141">
        <f>'[26]מאזן בוחן'!AB757</f>
        <v>1943.18</v>
      </c>
      <c r="AC887" s="141">
        <f>'[27]מאזן בוחן'!AC766</f>
        <v>-15555.24</v>
      </c>
      <c r="AD887" s="141">
        <f>'[28]מאזן בוחן'!AD775</f>
        <v>3410.41</v>
      </c>
      <c r="AE887" s="141">
        <f>'[29]מאזן בוחן'!AE784</f>
        <v>2431</v>
      </c>
      <c r="AF887" s="141">
        <f>'[30]מאזן בוחן'!AF795</f>
        <v>2431</v>
      </c>
      <c r="AG887" s="141">
        <f>'[31]מאזן בוחן'!AG800</f>
        <v>2430.9999999999995</v>
      </c>
      <c r="AH887" s="141">
        <v>2431</v>
      </c>
      <c r="AI887" s="141">
        <v>2431</v>
      </c>
      <c r="AJ887" s="141">
        <v>2431.0000000000005</v>
      </c>
      <c r="AK887" s="141">
        <v>2431</v>
      </c>
      <c r="AL887" s="141">
        <v>2431</v>
      </c>
      <c r="AM887" s="141">
        <f>$K887-SUM($AB887:AL887)</f>
        <v>-12262.99</v>
      </c>
      <c r="AN887" s="141"/>
      <c r="AO887" s="141"/>
      <c r="AP887" s="141"/>
      <c r="AQ887" s="141"/>
      <c r="AR887" s="141"/>
      <c r="AS887" s="141"/>
      <c r="AT887" s="141"/>
      <c r="AU887" s="141"/>
      <c r="AV887" s="141"/>
      <c r="AW887" s="141"/>
      <c r="BA887" s="204"/>
    </row>
    <row r="888" spans="1:53" ht="13.5" thickBot="1">
      <c r="A888" s="52"/>
      <c r="B888" s="3659" t="s">
        <v>1137</v>
      </c>
      <c r="C888" s="585">
        <v>7110003</v>
      </c>
      <c r="D888" s="2199" t="s">
        <v>1140</v>
      </c>
      <c r="E888" s="474">
        <f>IFERROR(VLOOKUP(C888,'פקודות נוספות'!$D$274:$F$797,3,0),0)</f>
        <v>198693.96</v>
      </c>
      <c r="F888" s="49">
        <f>SUMIF('פקודות נוספות'!C:C,C:C,'פקודות נוספות'!E:E)</f>
        <v>0</v>
      </c>
      <c r="J888" s="474">
        <f t="shared" si="183"/>
        <v>198693.96</v>
      </c>
      <c r="K888" s="42">
        <f>M888+SUMIF('פקודות נוספות'!C:C,'מאזן בוחן'!C888,'פקודות נוספות'!F:F)</f>
        <v>74092.61</v>
      </c>
      <c r="L888" s="956">
        <f>$AS$888</f>
        <v>522.17000000002736</v>
      </c>
      <c r="M888" s="1341">
        <f>IFERROR(VLOOKUP(C888,'פקודות נוספות'!$D$273:$G$797,4,0),0)</f>
        <v>74092.61</v>
      </c>
      <c r="N888" s="1104">
        <f t="shared" si="184"/>
        <v>2.6816974054497473</v>
      </c>
      <c r="O888" s="1133"/>
      <c r="P888" s="2549">
        <v>0</v>
      </c>
      <c r="Q888" s="141">
        <f>'[39]מאזן בוחן'!AE752</f>
        <v>102139.16217081109</v>
      </c>
      <c r="R888" s="2549">
        <v>-102139.16217081109</v>
      </c>
      <c r="S888" s="2549">
        <v>0</v>
      </c>
      <c r="T888" s="2549">
        <f>'[20]מאזן בוחן'!AR807</f>
        <v>113760</v>
      </c>
      <c r="U888" s="2549">
        <f>'[21]מאזן בוחן'!AS717</f>
        <v>-113760</v>
      </c>
      <c r="V888" s="2540">
        <f>'[22]מאזן בוחן'!AJ703</f>
        <v>0</v>
      </c>
      <c r="W888" s="2540">
        <f>'[23]מאזן בוחן'!AK708</f>
        <v>79165.25</v>
      </c>
      <c r="X888" s="2549">
        <v>-79165.25</v>
      </c>
      <c r="Y888" s="141">
        <f>'[25]מאזן בוחן'!AM738</f>
        <v>0</v>
      </c>
      <c r="Z888" s="2549"/>
      <c r="AA888" s="2549">
        <f>'[32]מאזן בוחן'!AO750</f>
        <v>0</v>
      </c>
      <c r="AB888" s="2549">
        <f>'[26]מאזן בוחן'!AB758</f>
        <v>-158261.09</v>
      </c>
      <c r="AC888" s="2549">
        <f>'[27]מאזן בוחן'!AC767</f>
        <v>0</v>
      </c>
      <c r="AD888" s="2549">
        <f>'[28]מאזן בוחן'!AD776</f>
        <v>118312.04</v>
      </c>
      <c r="AE888" s="2549">
        <f>'[29]מאזן בוחן'!AE785</f>
        <v>-147729.03999999998</v>
      </c>
      <c r="AF888" s="2549">
        <f>'[30]מאזן בוחן'!AF796</f>
        <v>0</v>
      </c>
      <c r="AG888" s="2549">
        <f>'[31]מאזן בוחן'!AG801</f>
        <v>61922.609999999971</v>
      </c>
      <c r="AH888" s="2549">
        <v>-61922.61</v>
      </c>
      <c r="AI888" s="2549">
        <v>0</v>
      </c>
      <c r="AJ888" s="2549">
        <v>115868.39</v>
      </c>
      <c r="AK888" s="2549">
        <v>-115868.39</v>
      </c>
      <c r="AL888" s="141">
        <v>0</v>
      </c>
      <c r="AM888" s="141">
        <f>$K888-SUM($AB888:AL888)</f>
        <v>261770.7</v>
      </c>
      <c r="AN888" s="141"/>
      <c r="AO888" s="2549"/>
      <c r="AP888" s="2549"/>
      <c r="AQ888" s="2549"/>
      <c r="AR888" s="2549"/>
      <c r="AS888" s="3257">
        <f>AK888+AK890+AK894+AK898+AK901+AK903+AK905+AK907</f>
        <v>522.17000000002736</v>
      </c>
      <c r="AT888" s="2549"/>
      <c r="AV888" s="141"/>
      <c r="AZ888" s="2142"/>
    </row>
    <row r="889" spans="1:53">
      <c r="A889" s="52"/>
      <c r="B889" s="3659" t="s">
        <v>1137</v>
      </c>
      <c r="C889" s="585">
        <v>7110010</v>
      </c>
      <c r="D889" s="169" t="s">
        <v>3498</v>
      </c>
      <c r="E889" s="474">
        <f>IFERROR(VLOOKUP(C889,'פקודות נוספות'!$D$274:$F$797,3,0),0)</f>
        <v>1632.36</v>
      </c>
      <c r="F889" s="49">
        <f>SUMIF('פקודות נוספות'!C:C,C:C,'פקודות נוספות'!E:E)</f>
        <v>0</v>
      </c>
      <c r="J889" s="474">
        <f>SUM(E889:I889)</f>
        <v>1632.36</v>
      </c>
      <c r="K889" s="42">
        <f>M889+SUMIF('פקודות נוספות'!C:C,'מאזן בוחן'!C889,'פקודות נוספות'!F:F)</f>
        <v>524.88</v>
      </c>
      <c r="L889" s="49"/>
      <c r="M889" s="1341">
        <f>IFERROR(VLOOKUP(C889,'פקודות נוספות'!$D$273:$G$797,4,0),0)</f>
        <v>524.88</v>
      </c>
      <c r="N889" s="1104">
        <f>IF(K889=0,"-",J889/K889)</f>
        <v>3.1099679926840418</v>
      </c>
      <c r="O889" s="1133"/>
      <c r="P889" s="2549"/>
      <c r="Q889" s="141"/>
      <c r="R889" s="2549"/>
      <c r="S889" s="2549"/>
      <c r="T889" s="2549"/>
      <c r="U889" s="2549"/>
      <c r="V889" s="2540"/>
      <c r="W889" s="2540"/>
      <c r="X889" s="2549"/>
      <c r="Y889" s="141"/>
      <c r="Z889" s="2549"/>
      <c r="AA889" s="2549"/>
      <c r="AB889" s="141"/>
      <c r="AC889" s="141"/>
      <c r="AD889" s="141">
        <v>5798.04</v>
      </c>
      <c r="AE889" s="141">
        <f>'[29]מאזן בוחן'!AE786</f>
        <v>-5798.04</v>
      </c>
      <c r="AF889" s="141">
        <f>'[30]מאזן בוחן'!AF797</f>
        <v>0</v>
      </c>
      <c r="AG889" s="141">
        <f>'[31]מאזן בוחן'!AG802</f>
        <v>3517.11</v>
      </c>
      <c r="AH889" s="141">
        <v>-3517.11</v>
      </c>
      <c r="AI889" s="141">
        <v>0</v>
      </c>
      <c r="AJ889" s="141">
        <v>3536.2</v>
      </c>
      <c r="AK889" s="141">
        <v>-3536.2</v>
      </c>
      <c r="AL889" s="141">
        <v>0</v>
      </c>
      <c r="AM889" s="141">
        <f>$K889-SUM($AB889:AL889)</f>
        <v>524.88</v>
      </c>
      <c r="AN889" s="141"/>
      <c r="AO889" s="141"/>
      <c r="AP889" s="141"/>
      <c r="AQ889" s="141"/>
      <c r="AR889" s="141"/>
      <c r="AS889" s="141"/>
      <c r="AT889" s="141"/>
      <c r="AU889" s="141"/>
      <c r="AV889" s="141"/>
      <c r="AZ889" s="2142"/>
    </row>
    <row r="890" spans="1:53">
      <c r="A890" s="52"/>
      <c r="B890" s="3659" t="s">
        <v>1137</v>
      </c>
      <c r="C890" s="585">
        <v>7110004</v>
      </c>
      <c r="D890" s="2199" t="s">
        <v>1141</v>
      </c>
      <c r="E890" s="474">
        <f>IFERROR(VLOOKUP(C890,'פקודות נוספות'!$D$274:$F$797,3,0),0)</f>
        <v>527682</v>
      </c>
      <c r="F890" s="49">
        <f>SUMIF('פקודות נוספות'!C:C,C:C,'פקודות נוספות'!E:E)</f>
        <v>0</v>
      </c>
      <c r="J890" s="474">
        <f t="shared" si="183"/>
        <v>527682</v>
      </c>
      <c r="K890" s="42">
        <f>M890+SUMIF('פקודות נוספות'!C:C,'מאזן בוחן'!C890,'פקודות נוספות'!F:F)</f>
        <v>162144.18</v>
      </c>
      <c r="L890" s="49"/>
      <c r="M890" s="1341">
        <f>IFERROR(VLOOKUP(C890,'פקודות נוספות'!$D$273:$G$797,4,0),0)</f>
        <v>162144.18</v>
      </c>
      <c r="N890" s="1104">
        <f t="shared" si="184"/>
        <v>3.2543998804027381</v>
      </c>
      <c r="O890" s="1133"/>
      <c r="P890" s="2549">
        <v>0</v>
      </c>
      <c r="Q890" s="141">
        <f>'[39]מאזן בוחן'!AE753</f>
        <v>0</v>
      </c>
      <c r="R890" s="2549">
        <v>32135.14</v>
      </c>
      <c r="S890" s="2549">
        <v>0</v>
      </c>
      <c r="T890" s="2549">
        <f>'[20]מאזן בוחן'!AR808</f>
        <v>0</v>
      </c>
      <c r="U890" s="2549">
        <f>'[21]מאזן בוחן'!AS718</f>
        <v>21608.569999999992</v>
      </c>
      <c r="V890" s="2540">
        <f>'[22]מאזן בוחן'!AJ704</f>
        <v>0</v>
      </c>
      <c r="W890" s="2540">
        <f>'[23]מאזן בוחן'!AK709</f>
        <v>0</v>
      </c>
      <c r="X890" s="2549">
        <v>22978.380000000005</v>
      </c>
      <c r="Y890" s="141">
        <f>'[25]מאזן בוחן'!AM739</f>
        <v>0</v>
      </c>
      <c r="Z890" s="2549"/>
      <c r="AA890" s="2549">
        <f>'[32]מאזן בוחן'!AO751</f>
        <v>0</v>
      </c>
      <c r="AB890" s="2549">
        <f>'[26]מאזן בוחן'!AB759</f>
        <v>54932.54</v>
      </c>
      <c r="AC890" s="2549">
        <f>'[27]מאזן בוחן'!AC768</f>
        <v>0</v>
      </c>
      <c r="AD890" s="2549">
        <f>'[28]מאזן בוחן'!AD778</f>
        <v>0</v>
      </c>
      <c r="AE890" s="2549">
        <f>'[29]מאזן בוחן'!AE787</f>
        <v>72440.41</v>
      </c>
      <c r="AF890" s="2549">
        <f>'[30]מאזן בוחן'!AF798</f>
        <v>0</v>
      </c>
      <c r="AG890" s="2549">
        <f>'[31]מאזן בוחן'!AG803</f>
        <v>0</v>
      </c>
      <c r="AH890" s="2549">
        <v>25033.099999999977</v>
      </c>
      <c r="AI890" s="2549">
        <v>0</v>
      </c>
      <c r="AJ890" s="2549">
        <v>0</v>
      </c>
      <c r="AK890" s="2549">
        <v>9738.1300000000047</v>
      </c>
      <c r="AL890" s="141">
        <v>0</v>
      </c>
      <c r="AM890" s="141">
        <f>$K890-SUM($AB890:AL890)</f>
        <v>0</v>
      </c>
      <c r="AN890" s="141"/>
      <c r="AO890" s="2549"/>
      <c r="AP890" s="2549"/>
      <c r="AQ890" s="2549"/>
      <c r="AR890" s="2549"/>
      <c r="AS890" s="2549"/>
      <c r="AT890" s="2549"/>
      <c r="AU890" s="141"/>
      <c r="AV890" s="141"/>
      <c r="AW890" s="141"/>
      <c r="BA890" s="204"/>
    </row>
    <row r="891" spans="1:53">
      <c r="A891" s="52"/>
      <c r="B891" s="3659" t="s">
        <v>1137</v>
      </c>
      <c r="C891" s="585">
        <v>7110005</v>
      </c>
      <c r="D891" s="169" t="s">
        <v>1230</v>
      </c>
      <c r="E891" s="474">
        <f>IFERROR(VLOOKUP(C891,'פקודות נוספות'!$D$274:$F$797,3,0),0)</f>
        <v>0</v>
      </c>
      <c r="F891" s="49">
        <f>SUMIF('פקודות נוספות'!C:C,C:C,'פקודות נוספות'!E:E)</f>
        <v>0</v>
      </c>
      <c r="J891" s="474">
        <f>SUM(E891:I891)</f>
        <v>0</v>
      </c>
      <c r="K891" s="42">
        <f>M891+SUMIF('פקודות נוספות'!C:C,'מאזן בוחן'!C891,'פקודות נוספות'!F:F)</f>
        <v>0</v>
      </c>
      <c r="L891" s="49"/>
      <c r="M891" s="1341">
        <f>IFERROR(VLOOKUP(C891,'פקודות נוספות'!$D$273:$G$797,4,0),0)</f>
        <v>0</v>
      </c>
      <c r="N891" s="1104" t="str">
        <f>IF(K891=0,"-",J891/K891)</f>
        <v>-</v>
      </c>
      <c r="O891" s="1133"/>
      <c r="P891" s="141">
        <v>-20000</v>
      </c>
      <c r="Q891" s="141">
        <f>'[39]מאזן בוחן'!AE754</f>
        <v>0</v>
      </c>
      <c r="R891" s="141">
        <v>0</v>
      </c>
      <c r="S891" s="141">
        <v>0</v>
      </c>
      <c r="T891" s="141">
        <f>'[20]מאזן בוחן'!AR809</f>
        <v>0</v>
      </c>
      <c r="U891" s="141">
        <f>'[21]מאזן בוחן'!AS719</f>
        <v>0</v>
      </c>
      <c r="V891" s="726">
        <f>'[22]מאזן בוחן'!AJ705</f>
        <v>0</v>
      </c>
      <c r="W891" s="726">
        <f>'[23]מאזן בוחן'!AK710</f>
        <v>0</v>
      </c>
      <c r="X891" s="141">
        <v>0</v>
      </c>
      <c r="Y891" s="141">
        <f>'[25]מאזן בוחן'!AM740</f>
        <v>129.38000000000102</v>
      </c>
      <c r="AA891" s="141">
        <f>'[32]מאזן בוחן'!AO752</f>
        <v>0</v>
      </c>
      <c r="AB891" s="141">
        <f>'[26]מאזן בוחן'!AB760</f>
        <v>0</v>
      </c>
      <c r="AC891" s="141">
        <f>'[27]מאזן בוחן'!AC769</f>
        <v>0</v>
      </c>
      <c r="AD891" s="141">
        <f>'[28]מאזן בוחן'!AD779</f>
        <v>0</v>
      </c>
      <c r="AE891" s="141">
        <f>'[29]מאזן בוחן'!AE788</f>
        <v>0</v>
      </c>
      <c r="AF891" s="141">
        <f>'[30]מאזן בוחן'!AF799</f>
        <v>0</v>
      </c>
      <c r="AG891" s="141">
        <f>'[31]מאזן בוחן'!AG804</f>
        <v>0</v>
      </c>
      <c r="AH891" s="141">
        <v>0</v>
      </c>
      <c r="AI891" s="141">
        <v>0</v>
      </c>
      <c r="AJ891" s="141">
        <v>0</v>
      </c>
      <c r="AK891" s="141">
        <v>0</v>
      </c>
      <c r="AL891" s="141">
        <v>0</v>
      </c>
      <c r="AM891" s="141">
        <f>$K891-SUM($AB891:AL891)</f>
        <v>0</v>
      </c>
      <c r="AN891" s="141"/>
      <c r="AO891" s="141"/>
      <c r="AP891" s="141"/>
      <c r="AQ891" s="141"/>
      <c r="AR891" s="141"/>
      <c r="AS891" s="141"/>
      <c r="AT891" s="141"/>
      <c r="AU891" s="141"/>
      <c r="AV891" s="141"/>
      <c r="AW891" s="141"/>
      <c r="BA891" s="204"/>
    </row>
    <row r="892" spans="1:53">
      <c r="A892" s="52"/>
      <c r="B892" s="3659" t="s">
        <v>1137</v>
      </c>
      <c r="C892" s="585">
        <v>7110021</v>
      </c>
      <c r="D892" s="169" t="s">
        <v>305</v>
      </c>
      <c r="E892" s="474">
        <f>IFERROR(VLOOKUP(C892,'פקודות נוספות'!$D$274:$F$797,3,0),0)</f>
        <v>1054322.5900000001</v>
      </c>
      <c r="F892" s="49">
        <f>SUMIF('פקודות נוספות'!C:C,C:C,'פקודות נוספות'!E:E)</f>
        <v>0</v>
      </c>
      <c r="J892" s="474">
        <f t="shared" si="183"/>
        <v>1054322.5900000001</v>
      </c>
      <c r="K892" s="42">
        <f>M892+SUMIF('פקודות נוספות'!C:C,'מאזן בוחן'!C892,'פקודות נוספות'!F:F)</f>
        <v>325949.49</v>
      </c>
      <c r="L892" s="49"/>
      <c r="M892" s="1341">
        <f>IFERROR(VLOOKUP(C892,'פקודות נוספות'!$D$273:$G$797,4,0),0)</f>
        <v>325949.49</v>
      </c>
      <c r="N892" s="1104">
        <f t="shared" si="184"/>
        <v>3.2346195418191943</v>
      </c>
      <c r="O892" s="1133"/>
      <c r="P892" s="141">
        <v>26298.840000000004</v>
      </c>
      <c r="Q892" s="141">
        <f>'[39]מאזן בוחן'!AE755</f>
        <v>23308.840000000004</v>
      </c>
      <c r="R892" s="141">
        <v>25483.479999999996</v>
      </c>
      <c r="S892" s="141">
        <v>24456.9</v>
      </c>
      <c r="T892" s="141">
        <f>'[20]מאזן בוחן'!AR810</f>
        <v>25122.780000000006</v>
      </c>
      <c r="U892" s="141">
        <f>'[21]מאזן בוחן'!AS720</f>
        <v>27110.570000000007</v>
      </c>
      <c r="V892" s="726">
        <f>'[22]מאזן בוחן'!AJ706</f>
        <v>25277.000000000029</v>
      </c>
      <c r="W892" s="726">
        <f>'[23]מאזן בוחן'!AK711</f>
        <v>24342.07999999998</v>
      </c>
      <c r="X892" s="141">
        <v>24845.860000000008</v>
      </c>
      <c r="Y892" s="141">
        <f>'[25]מאזן בוחן'!AM741</f>
        <v>26073.639999999985</v>
      </c>
      <c r="AA892" s="141">
        <f>'[32]מאזן בוחן'!AO753</f>
        <v>14590.050000000017</v>
      </c>
      <c r="AB892" s="141">
        <f>'[26]מאזן בוחן'!AB761</f>
        <v>32986.54</v>
      </c>
      <c r="AC892" s="141">
        <f>'[27]מאזן בוחן'!AC770</f>
        <v>28741.71</v>
      </c>
      <c r="AD892" s="141">
        <f>'[28]מאזן בוחן'!AD780</f>
        <v>26084.58</v>
      </c>
      <c r="AE892" s="141">
        <f>'[29]מאזן בוחן'!AE789</f>
        <v>29500.080000000002</v>
      </c>
      <c r="AF892" s="141">
        <f>'[30]מאזן בוחן'!AF800</f>
        <v>26196.570000000007</v>
      </c>
      <c r="AG892" s="141">
        <f>'[31]מאזן בוחן'!AG805</f>
        <v>26214.339999999997</v>
      </c>
      <c r="AH892" s="141">
        <v>26041.380000000005</v>
      </c>
      <c r="AI892" s="141">
        <v>26028.53</v>
      </c>
      <c r="AJ892" s="141">
        <v>26106.789999999979</v>
      </c>
      <c r="AK892" s="141">
        <v>26347.139999999985</v>
      </c>
      <c r="AL892" s="141">
        <v>25739.610000000044</v>
      </c>
      <c r="AM892" s="141">
        <f>$K892-SUM($AB892:AL892)</f>
        <v>25962.219999999972</v>
      </c>
      <c r="AN892" s="141"/>
      <c r="AO892" s="141"/>
      <c r="AP892" s="141"/>
      <c r="AQ892" s="141"/>
      <c r="AR892" s="141"/>
      <c r="AS892" s="141"/>
      <c r="AT892" s="141"/>
      <c r="AU892" s="141"/>
      <c r="AV892" s="141"/>
      <c r="AW892" s="141"/>
      <c r="BA892" s="204"/>
    </row>
    <row r="893" spans="1:53">
      <c r="A893" s="52"/>
      <c r="B893" s="3659" t="s">
        <v>1137</v>
      </c>
      <c r="C893" s="585">
        <v>7110022</v>
      </c>
      <c r="D893" s="169" t="s">
        <v>1142</v>
      </c>
      <c r="E893" s="474">
        <f>IFERROR(VLOOKUP(C893,'פקודות נוספות'!$D$274:$F$797,3,0),0)</f>
        <v>69112.72</v>
      </c>
      <c r="F893" s="49">
        <f>SUMIF('פקודות נוספות'!C:C,C:C,'פקודות נוספות'!E:E)</f>
        <v>0</v>
      </c>
      <c r="J893" s="474">
        <f t="shared" si="183"/>
        <v>69112.72</v>
      </c>
      <c r="K893" s="42">
        <f>M893+SUMIF('פקודות נוספות'!C:C,'מאזן בוחן'!C893,'פקודות נוספות'!F:F)</f>
        <v>21197.52</v>
      </c>
      <c r="L893" s="49"/>
      <c r="M893" s="1341">
        <f>IFERROR(VLOOKUP(C893,'פקודות נוספות'!$D$273:$G$797,4,0),0)</f>
        <v>21197.52</v>
      </c>
      <c r="N893" s="1104">
        <f t="shared" si="184"/>
        <v>3.2604153693450932</v>
      </c>
      <c r="O893" s="1133"/>
      <c r="P893" s="141">
        <v>15039.41</v>
      </c>
      <c r="Q893" s="141">
        <f>'[39]מאזן בוחן'!AE756</f>
        <v>0</v>
      </c>
      <c r="R893" s="141">
        <v>0</v>
      </c>
      <c r="S893" s="141">
        <v>0</v>
      </c>
      <c r="T893" s="141">
        <f>'[20]מאזן בוחן'!AR811</f>
        <v>0</v>
      </c>
      <c r="U893" s="141">
        <f>'[21]מאזן בוחן'!AS721</f>
        <v>0</v>
      </c>
      <c r="V893" s="726">
        <f>'[22]מאזן בוחן'!AJ707</f>
        <v>0</v>
      </c>
      <c r="W893" s="726">
        <f>'[23]מאזן בוחן'!AK712</f>
        <v>0</v>
      </c>
      <c r="X893" s="141">
        <v>0</v>
      </c>
      <c r="Y893" s="141">
        <f>'[25]מאזן בוחן'!AM742</f>
        <v>1950.0900000000001</v>
      </c>
      <c r="AA893" s="141">
        <f>'[32]מאזן בוחן'!AO754</f>
        <v>-14808.810000000001</v>
      </c>
      <c r="AB893" s="141">
        <f>'[26]מאזן בוחן'!AB762</f>
        <v>0</v>
      </c>
      <c r="AC893" s="141">
        <f>'[27]מאזן בוחן'!AC771</f>
        <v>13009.29</v>
      </c>
      <c r="AD893" s="141">
        <f>'[28]מאזן בוחן'!AD781</f>
        <v>0</v>
      </c>
      <c r="AE893" s="141">
        <f>'[29]מאזן בוחן'!AE790</f>
        <v>0</v>
      </c>
      <c r="AF893" s="141">
        <f>'[30]מאזן בוחן'!AF801</f>
        <v>0</v>
      </c>
      <c r="AG893" s="141">
        <f>'[31]מאזן בוחן'!AG806</f>
        <v>0</v>
      </c>
      <c r="AH893" s="141">
        <v>0</v>
      </c>
      <c r="AI893" s="141">
        <v>0</v>
      </c>
      <c r="AJ893" s="141">
        <v>0</v>
      </c>
      <c r="AK893" s="141">
        <v>0</v>
      </c>
      <c r="AL893" s="141">
        <v>0</v>
      </c>
      <c r="AM893" s="141">
        <f>$K893-SUM($AB893:AL893)</f>
        <v>8188.23</v>
      </c>
      <c r="AN893" s="141"/>
      <c r="AO893" s="141"/>
      <c r="AP893" s="141"/>
      <c r="AQ893" s="141"/>
      <c r="AR893" s="141"/>
      <c r="AS893" s="141"/>
      <c r="AT893" s="141"/>
      <c r="AU893" s="141"/>
      <c r="AV893" s="141"/>
      <c r="AW893" s="141"/>
      <c r="BA893" s="204"/>
    </row>
    <row r="894" spans="1:53">
      <c r="A894" s="52"/>
      <c r="B894" s="3659" t="s">
        <v>1137</v>
      </c>
      <c r="C894" s="585">
        <v>7110023</v>
      </c>
      <c r="D894" s="2199" t="s">
        <v>561</v>
      </c>
      <c r="E894" s="474">
        <f>IFERROR(VLOOKUP(C894,'פקודות נוספות'!$D$274:$F$797,3,0),0)</f>
        <v>554130.52</v>
      </c>
      <c r="F894" s="49">
        <f>SUMIF('פקודות נוספות'!C:C,C:C,'פקודות נוספות'!E:E)</f>
        <v>0</v>
      </c>
      <c r="J894" s="474">
        <f t="shared" si="183"/>
        <v>554130.52</v>
      </c>
      <c r="K894" s="42">
        <f>M894+SUMIF('פקודות נוספות'!C:C,'מאזן בוחן'!C894,'פקודות נוספות'!F:F)</f>
        <v>170502.29</v>
      </c>
      <c r="L894" s="49"/>
      <c r="M894" s="1341">
        <f>IFERROR(VLOOKUP(C894,'פקודות נוספות'!$D$273:$G$797,4,0),0)</f>
        <v>170502.29</v>
      </c>
      <c r="N894" s="1104">
        <f t="shared" si="184"/>
        <v>3.2499887244916184</v>
      </c>
      <c r="O894" s="1133"/>
      <c r="P894" s="2549">
        <v>0</v>
      </c>
      <c r="Q894" s="141">
        <f>'[39]מאזן בוחן'!AE757</f>
        <v>519.96999999997206</v>
      </c>
      <c r="R894" s="2549">
        <v>18821.770000000019</v>
      </c>
      <c r="S894" s="2549">
        <v>1003.5100000000093</v>
      </c>
      <c r="T894" s="2549">
        <f>'[20]מאזן בוחן'!AR812</f>
        <v>0</v>
      </c>
      <c r="U894" s="2549">
        <f>'[21]מאזן בוחן'!AS722</f>
        <v>50358.039999999979</v>
      </c>
      <c r="V894" s="2540">
        <f>'[22]מאזן בוחן'!AJ708</f>
        <v>1883.5900000000256</v>
      </c>
      <c r="W894" s="2540">
        <f>'[23]מאזן בוחן'!AK713</f>
        <v>0</v>
      </c>
      <c r="X894" s="2549">
        <v>33329.789999999979</v>
      </c>
      <c r="Y894" s="141">
        <f>'[25]מאזן בוחן'!AM743</f>
        <v>0</v>
      </c>
      <c r="Z894" s="2549"/>
      <c r="AA894" s="2549">
        <f>'[32]מאזן בוחן'!AO755</f>
        <v>191419.26</v>
      </c>
      <c r="AB894" s="2549">
        <f>'[26]מאזן בוחן'!AB763</f>
        <v>43670.79</v>
      </c>
      <c r="AC894" s="2549">
        <f>'[27]מאזן בוחן'!AC772</f>
        <v>41.559999999997672</v>
      </c>
      <c r="AD894" s="2549">
        <f>'[28]מאזן בוחן'!AD782</f>
        <v>0</v>
      </c>
      <c r="AE894" s="2549">
        <f>'[29]מאזן בוחן'!AE791</f>
        <v>64646.51</v>
      </c>
      <c r="AF894" s="2549">
        <f>'[30]מאזן בוחן'!AF802</f>
        <v>0</v>
      </c>
      <c r="AG894" s="2549">
        <f>'[31]מאזן בוחן'!AG807</f>
        <v>0</v>
      </c>
      <c r="AH894" s="2549">
        <v>32989.999999999985</v>
      </c>
      <c r="AI894" s="2549">
        <v>0</v>
      </c>
      <c r="AJ894" s="2549">
        <v>0</v>
      </c>
      <c r="AK894" s="2549">
        <v>29153.430000000022</v>
      </c>
      <c r="AL894" s="141">
        <v>0</v>
      </c>
      <c r="AM894" s="141">
        <f>$K894-SUM($AB894:AL894)</f>
        <v>0</v>
      </c>
      <c r="AN894" s="141"/>
      <c r="AO894" s="2549"/>
      <c r="AP894" s="2549"/>
      <c r="AQ894" s="2549"/>
      <c r="AR894" s="2549"/>
      <c r="AS894" s="2549"/>
      <c r="AT894" s="2549"/>
      <c r="AU894" s="141"/>
      <c r="AV894" s="141"/>
      <c r="AW894" s="141"/>
      <c r="BA894" s="204"/>
    </row>
    <row r="895" spans="1:53">
      <c r="A895" s="52"/>
      <c r="B895" s="3659" t="s">
        <v>1137</v>
      </c>
      <c r="C895" s="585">
        <v>7110024</v>
      </c>
      <c r="D895" s="169" t="s">
        <v>306</v>
      </c>
      <c r="E895" s="474">
        <f>IFERROR(VLOOKUP(C895,'פקודות נוספות'!$D$274:$F$797,3,0),0)</f>
        <v>7792.82</v>
      </c>
      <c r="F895" s="49">
        <f>SUMIF('פקודות נוספות'!C:C,C:C,'פקודות נוספות'!E:E)</f>
        <v>0</v>
      </c>
      <c r="J895" s="474">
        <f t="shared" si="183"/>
        <v>7792.82</v>
      </c>
      <c r="K895" s="42">
        <f>M895+SUMIF('פקודות נוספות'!C:C,'מאזן בוחן'!C895,'פקודות נוספות'!F:F)</f>
        <v>2411.2800000000002</v>
      </c>
      <c r="L895" s="49"/>
      <c r="M895" s="1341">
        <f>IFERROR(VLOOKUP(C895,'פקודות נוספות'!$D$273:$G$797,4,0),0)</f>
        <v>2411.2800000000002</v>
      </c>
      <c r="N895" s="1104">
        <f t="shared" si="184"/>
        <v>3.231818785043628</v>
      </c>
      <c r="O895" s="1133"/>
      <c r="P895" s="141">
        <v>199.92000000000002</v>
      </c>
      <c r="Q895" s="141">
        <f>'[39]מאזן בוחן'!AE758</f>
        <v>179.71000000000004</v>
      </c>
      <c r="R895" s="141">
        <v>189.86999999999995</v>
      </c>
      <c r="S895" s="141">
        <v>187.97999999999996</v>
      </c>
      <c r="T895" s="141">
        <f>'[20]מאזן בוחן'!AR813</f>
        <v>193.68999999999983</v>
      </c>
      <c r="U895" s="141">
        <f>'[21]מאזן בוחן'!AS723</f>
        <v>192.66000000000014</v>
      </c>
      <c r="V895" s="726">
        <f>'[22]מאזן בוחן'!AJ709</f>
        <v>0</v>
      </c>
      <c r="W895" s="726">
        <f>'[23]מאזן בוחן'!AK714</f>
        <v>191.67000000000019</v>
      </c>
      <c r="X895" s="141">
        <v>191.66999999999985</v>
      </c>
      <c r="Y895" s="141">
        <f>'[25]מאזן בוחן'!AM744</f>
        <v>201.01999999999998</v>
      </c>
      <c r="AA895" s="141">
        <f>'[32]מאזן בוחן'!AO756</f>
        <v>0</v>
      </c>
      <c r="AB895" s="141">
        <f>'[26]מאזן בוחן'!AB764</f>
        <v>201.88</v>
      </c>
      <c r="AC895" s="141">
        <f>'[27]מאזן בוחן'!AC773</f>
        <v>202.74</v>
      </c>
      <c r="AD895" s="141">
        <f>'[28]מאזן בוחן'!AD783</f>
        <v>194.39</v>
      </c>
      <c r="AE895" s="141">
        <f>'[29]מאזן בוחן'!AE792</f>
        <v>199.35000000000002</v>
      </c>
      <c r="AF895" s="141">
        <f>'[30]מאזן בוחן'!AF803</f>
        <v>198.86</v>
      </c>
      <c r="AG895" s="141">
        <f>'[31]מאזן בוחן'!AG808</f>
        <v>201.14999999999986</v>
      </c>
      <c r="AH895" s="141">
        <v>199.21000000000004</v>
      </c>
      <c r="AI895" s="141">
        <v>200.13000000000011</v>
      </c>
      <c r="AJ895" s="141">
        <v>201.20000000000005</v>
      </c>
      <c r="AK895" s="141">
        <v>198.16999999999985</v>
      </c>
      <c r="AL895" s="141">
        <v>208.38999999999987</v>
      </c>
      <c r="AM895" s="141">
        <f>$K895-SUM($AB895:AL895)</f>
        <v>205.8100000000004</v>
      </c>
      <c r="AN895" s="141"/>
      <c r="AO895" s="141"/>
      <c r="AP895" s="141"/>
      <c r="AQ895" s="141"/>
      <c r="AR895" s="141"/>
      <c r="AS895" s="141"/>
      <c r="AT895" s="141"/>
      <c r="AU895" s="141"/>
      <c r="AV895" s="141"/>
      <c r="AW895" s="141"/>
      <c r="BA895" s="204"/>
    </row>
    <row r="896" spans="1:53">
      <c r="A896" s="52"/>
      <c r="B896" s="3659" t="s">
        <v>1137</v>
      </c>
      <c r="C896" s="585">
        <v>7110030</v>
      </c>
      <c r="D896" s="169" t="s">
        <v>559</v>
      </c>
      <c r="E896" s="474">
        <f>IFERROR(VLOOKUP(C896,'פקודות נוספות'!$D$274:$F$797,3,0),0)</f>
        <v>47841.67</v>
      </c>
      <c r="F896" s="49">
        <f>SUMIF('פקודות נוספות'!C:C,C:C,'פקודות נוספות'!E:E)</f>
        <v>0</v>
      </c>
      <c r="J896" s="474">
        <f t="shared" si="183"/>
        <v>47841.67</v>
      </c>
      <c r="K896" s="42">
        <f>M896+SUMIF('פקודות נוספות'!C:C,'מאזן בוחן'!C896,'פקודות נוספות'!F:F)</f>
        <v>14388.54</v>
      </c>
      <c r="L896" s="49"/>
      <c r="M896" s="1341">
        <f>IFERROR(VLOOKUP(C896,'פקודות נוספות'!$D$273:$G$797,4,0),0)</f>
        <v>14388.54</v>
      </c>
      <c r="N896" s="1104">
        <f t="shared" si="184"/>
        <v>3.3249843278053226</v>
      </c>
      <c r="O896" s="1133"/>
      <c r="P896" s="141">
        <v>0</v>
      </c>
      <c r="Q896" s="141">
        <f>'[39]מאזן בוחן'!AE763</f>
        <v>0</v>
      </c>
      <c r="R896" s="141">
        <v>0</v>
      </c>
      <c r="S896" s="141">
        <v>0</v>
      </c>
      <c r="T896" s="141">
        <f>'[20]מאזן בוחן'!AR818</f>
        <v>0</v>
      </c>
      <c r="U896" s="141">
        <f>'[21]מאזן בוחן'!AS728</f>
        <v>0</v>
      </c>
      <c r="V896" s="726">
        <f>'[22]מאזן בוחן'!AJ714</f>
        <v>0</v>
      </c>
      <c r="W896" s="726">
        <f>'[23]מאזן בוחן'!AK719</f>
        <v>0</v>
      </c>
      <c r="X896" s="141">
        <v>0</v>
      </c>
      <c r="Y896" s="141">
        <f>'[25]מאזן בוחן'!AM749</f>
        <v>0</v>
      </c>
      <c r="AA896" s="141">
        <f>'[32]מאזן בוחן'!AO760</f>
        <v>0</v>
      </c>
      <c r="AB896" s="141">
        <f>'[26]מאזן בוחן'!AB768</f>
        <v>0</v>
      </c>
      <c r="AC896" s="141">
        <f>'[27]מאזן בוחן'!AC777</f>
        <v>0</v>
      </c>
      <c r="AD896" s="141">
        <f>'[28]מאזן בוחן'!AD787</f>
        <v>0</v>
      </c>
      <c r="AE896" s="141">
        <f>'[29]מאזן בוחן'!AE793</f>
        <v>14041.69</v>
      </c>
      <c r="AF896" s="141">
        <f>'[30]מאזן בוחן'!AF804</f>
        <v>0</v>
      </c>
      <c r="AG896" s="141">
        <f>'[31]מאזן בוחן'!AG809</f>
        <v>0</v>
      </c>
      <c r="AH896" s="141">
        <v>0</v>
      </c>
      <c r="AI896" s="141">
        <v>0</v>
      </c>
      <c r="AJ896" s="141">
        <v>0</v>
      </c>
      <c r="AK896" s="141">
        <v>0</v>
      </c>
      <c r="AL896" s="141">
        <v>0</v>
      </c>
      <c r="AM896" s="141">
        <f>$K896-SUM($AB896:AL896)</f>
        <v>346.85000000000036</v>
      </c>
      <c r="AN896" s="141"/>
      <c r="AO896" s="141"/>
      <c r="AP896" s="141"/>
      <c r="AQ896" s="141"/>
      <c r="AR896" s="141"/>
      <c r="AS896" s="141"/>
      <c r="AT896" s="141"/>
      <c r="AU896" s="141"/>
      <c r="AV896" s="141"/>
      <c r="AW896" s="141"/>
      <c r="BA896" s="204"/>
    </row>
    <row r="897" spans="1:53">
      <c r="A897" s="52"/>
      <c r="B897" s="3659" t="s">
        <v>1137</v>
      </c>
      <c r="C897" s="585">
        <v>7110070</v>
      </c>
      <c r="D897" s="169" t="s">
        <v>1143</v>
      </c>
      <c r="E897" s="474">
        <f>IFERROR(VLOOKUP(C897,'פקודות נוספות'!$D$274:$F$797,3,0),0)</f>
        <v>496515.94</v>
      </c>
      <c r="F897" s="49">
        <f>SUMIF('פקודות נוספות'!C:C,C:C,'פקודות נוספות'!E:E)</f>
        <v>0</v>
      </c>
      <c r="J897" s="474">
        <f t="shared" si="183"/>
        <v>496515.94</v>
      </c>
      <c r="K897" s="42">
        <f>M897+SUMIF('פקודות נוספות'!C:C,'מאזן בוחן'!C897,'פקודות נוספות'!F:F)</f>
        <v>153559</v>
      </c>
      <c r="L897" s="49"/>
      <c r="M897" s="1341">
        <f>IFERROR(VLOOKUP(C897,'פקודות נוספות'!$D$273:$G$797,4,0),0)</f>
        <v>153559</v>
      </c>
      <c r="N897" s="1104">
        <f t="shared" si="184"/>
        <v>3.2333887300646658</v>
      </c>
      <c r="O897" s="1133"/>
      <c r="P897" s="141">
        <v>12033</v>
      </c>
      <c r="Q897" s="141">
        <f>'[39]מאזן בוחן'!AE767</f>
        <v>12033</v>
      </c>
      <c r="R897" s="141">
        <v>12033</v>
      </c>
      <c r="S897" s="141">
        <v>12033</v>
      </c>
      <c r="T897" s="141">
        <f>'[20]מאזן בוחן'!AR823</f>
        <v>12033</v>
      </c>
      <c r="U897" s="141">
        <f>'[21]מאזן בוחן'!AS733</f>
        <v>12033</v>
      </c>
      <c r="V897" s="726">
        <f>'[22]מאזן בוחן'!AJ719</f>
        <v>12033</v>
      </c>
      <c r="W897" s="726">
        <f>'[23]מאזן בוחן'!AK723</f>
        <v>12033</v>
      </c>
      <c r="X897" s="141">
        <v>12033</v>
      </c>
      <c r="Y897" s="141">
        <f>'[25]מאזן בוחן'!AM753</f>
        <v>12033</v>
      </c>
      <c r="AA897" s="141">
        <f>'[32]מאזן בוחן'!AO770</f>
        <v>12033</v>
      </c>
      <c r="AB897" s="141">
        <f>'[26]מאזן בוחן'!AB769</f>
        <v>12033</v>
      </c>
      <c r="AC897" s="141">
        <f>'[27]מאזן בוחן'!AC778</f>
        <v>12866</v>
      </c>
      <c r="AD897" s="141">
        <f>'[28]מאזן בוחן'!AD788</f>
        <v>12866</v>
      </c>
      <c r="AE897" s="141">
        <f>'[29]מאזן בוחן'!AE794</f>
        <v>12866</v>
      </c>
      <c r="AF897" s="141">
        <f>'[30]מאזן בוחן'!AF805</f>
        <v>12866</v>
      </c>
      <c r="AG897" s="141">
        <f>'[31]מאזן בוחן'!AG810</f>
        <v>12866</v>
      </c>
      <c r="AH897" s="141">
        <v>12866</v>
      </c>
      <c r="AI897" s="141">
        <v>12866</v>
      </c>
      <c r="AJ897" s="141">
        <v>12866</v>
      </c>
      <c r="AK897" s="141">
        <v>12866</v>
      </c>
      <c r="AL897" s="141">
        <v>12866</v>
      </c>
      <c r="AM897" s="141">
        <f>$K897-SUM($AB897:AL897)</f>
        <v>12866</v>
      </c>
      <c r="AN897" s="141"/>
      <c r="AO897" s="141"/>
      <c r="AP897" s="141"/>
      <c r="AQ897" s="141"/>
      <c r="AR897" s="141"/>
      <c r="AS897" s="141"/>
      <c r="AT897" s="141"/>
      <c r="AU897" s="141"/>
      <c r="AV897" s="141"/>
      <c r="AW897" s="141"/>
      <c r="BA897" s="204"/>
    </row>
    <row r="898" spans="1:53">
      <c r="A898" s="52"/>
      <c r="B898" s="3659" t="s">
        <v>1137</v>
      </c>
      <c r="C898" s="585">
        <v>7110071</v>
      </c>
      <c r="D898" s="2199" t="s">
        <v>560</v>
      </c>
      <c r="E898" s="474">
        <f>IFERROR(VLOOKUP(C898,'פקודות נוספות'!$D$274:$F$797,3,0),0)</f>
        <v>309913.95</v>
      </c>
      <c r="F898" s="49">
        <f>SUMIF('פקודות נוספות'!C:C,C:C,'פקודות נוספות'!E:E)</f>
        <v>0</v>
      </c>
      <c r="J898" s="474">
        <f t="shared" si="183"/>
        <v>309913.95</v>
      </c>
      <c r="K898" s="42">
        <f>M898+SUMIF('פקודות נוספות'!C:C,'מאזן בוחן'!C898,'פקודות נוספות'!F:F)</f>
        <v>95746</v>
      </c>
      <c r="L898" s="49"/>
      <c r="M898" s="1341">
        <f>IFERROR(VLOOKUP(C898,'פקודות נוספות'!$D$273:$G$797,4,0),0)</f>
        <v>95746</v>
      </c>
      <c r="N898" s="1104">
        <f t="shared" si="184"/>
        <v>3.2368344369477575</v>
      </c>
      <c r="O898" s="1133"/>
      <c r="P898" s="2549">
        <v>4378</v>
      </c>
      <c r="Q898" s="141">
        <f>'[39]מאזן בוחן'!AE768</f>
        <v>3305</v>
      </c>
      <c r="R898" s="2549">
        <v>518</v>
      </c>
      <c r="S898" s="2549">
        <v>2249</v>
      </c>
      <c r="T898" s="2549">
        <f>'[20]מאזן בוחן'!AR824</f>
        <v>584</v>
      </c>
      <c r="U898" s="2549">
        <f>'[21]מאזן בוחן'!AS734</f>
        <v>762</v>
      </c>
      <c r="V898" s="2540">
        <f>'[22]מאזן בוחן'!AJ720</f>
        <v>3398</v>
      </c>
      <c r="W898" s="2540">
        <f>'[23]מאזן בוחן'!AK724</f>
        <v>8699</v>
      </c>
      <c r="X898" s="2549">
        <v>8881</v>
      </c>
      <c r="Y898" s="141">
        <f>'[25]מאזן בוחן'!AM754</f>
        <v>2054</v>
      </c>
      <c r="Z898" s="2549"/>
      <c r="AA898" s="2549">
        <f>'[32]מאזן בוחן'!AO771</f>
        <v>1561</v>
      </c>
      <c r="AB898" s="2549">
        <f>'[26]מאזן בוחן'!AB770</f>
        <v>22778</v>
      </c>
      <c r="AC898" s="2549">
        <f>'[27]מאזן בוחן'!AC779</f>
        <v>0</v>
      </c>
      <c r="AD898" s="2549">
        <f>'[28]מאזן בוחן'!AD789</f>
        <v>6195</v>
      </c>
      <c r="AE898" s="2549">
        <f>'[29]מאזן בוחן'!AE795</f>
        <v>7535</v>
      </c>
      <c r="AF898" s="2549">
        <f>'[30]מאזן בוחן'!AF806</f>
        <v>3507</v>
      </c>
      <c r="AG898" s="2549">
        <f>'[31]מאזן בוחן'!AG811</f>
        <v>12976</v>
      </c>
      <c r="AH898" s="2549">
        <v>2011</v>
      </c>
      <c r="AI898" s="2549">
        <v>3575</v>
      </c>
      <c r="AJ898" s="2549">
        <v>3757</v>
      </c>
      <c r="AK898" s="2549">
        <v>29174</v>
      </c>
      <c r="AL898" s="141">
        <v>4120</v>
      </c>
      <c r="AM898" s="141">
        <f>$K898-SUM($AB898:AL898)</f>
        <v>118</v>
      </c>
      <c r="AN898" s="141"/>
      <c r="AO898" s="2549"/>
      <c r="AP898" s="2549"/>
      <c r="AQ898" s="2549"/>
      <c r="AR898" s="2549"/>
      <c r="AS898" s="2549"/>
      <c r="AT898" s="3069"/>
      <c r="AU898" s="141"/>
      <c r="AV898" s="141"/>
      <c r="AW898" s="141"/>
      <c r="BA898" s="204"/>
    </row>
    <row r="899" spans="1:53">
      <c r="A899" s="52"/>
      <c r="B899" s="3659" t="s">
        <v>1137</v>
      </c>
      <c r="C899" s="585">
        <v>7110072</v>
      </c>
      <c r="D899" s="169" t="s">
        <v>1144</v>
      </c>
      <c r="E899" s="474">
        <f>IFERROR(VLOOKUP(C899,'פקודות נוספות'!$D$274:$F$797,3,0),0)</f>
        <v>11519.48</v>
      </c>
      <c r="F899" s="49">
        <f>SUMIF('פקודות נוספות'!C:C,C:C,'פקודות נוספות'!E:E)</f>
        <v>0</v>
      </c>
      <c r="J899" s="474">
        <f t="shared" si="183"/>
        <v>11519.48</v>
      </c>
      <c r="K899" s="42">
        <f>M899+SUMIF('פקודות נוספות'!C:C,'מאזן בוחן'!C899,'פקודות נוספות'!F:F)</f>
        <v>3515</v>
      </c>
      <c r="L899" s="49"/>
      <c r="M899" s="1341">
        <f>IFERROR(VLOOKUP(C899,'פקודות נוספות'!$D$273:$G$797,4,0),0)</f>
        <v>3515</v>
      </c>
      <c r="N899" s="1104">
        <f t="shared" si="184"/>
        <v>3.2772347083926032</v>
      </c>
      <c r="O899" s="1133"/>
      <c r="P899" s="141">
        <v>0</v>
      </c>
      <c r="Q899" s="141">
        <f>'[39]מאזן בוחן'!AE769</f>
        <v>0</v>
      </c>
      <c r="R899" s="141">
        <v>0</v>
      </c>
      <c r="S899" s="141">
        <v>0</v>
      </c>
      <c r="T899" s="141">
        <f>'[20]מאזן בוחן'!AR825</f>
        <v>0</v>
      </c>
      <c r="U899" s="141">
        <f>'[21]מאזן בוחן'!AS735</f>
        <v>0</v>
      </c>
      <c r="V899" s="726">
        <f>'[22]מאזן בוחן'!AJ721</f>
        <v>0</v>
      </c>
      <c r="W899" s="726">
        <f>'[23]מאזן בוחן'!AK725</f>
        <v>0</v>
      </c>
      <c r="X899" s="141">
        <v>0</v>
      </c>
      <c r="Y899" s="141">
        <f>'[25]מאזן בוחן'!AM755</f>
        <v>0</v>
      </c>
      <c r="AA899" s="141">
        <f>'[32]מאזן בוחן'!AO772</f>
        <v>0</v>
      </c>
      <c r="AB899" s="141">
        <f>'[26]מאזן בוחן'!AB771</f>
        <v>0</v>
      </c>
      <c r="AC899" s="141">
        <f>'[27]מאזן בוחן'!AC780</f>
        <v>2297</v>
      </c>
      <c r="AD899" s="141">
        <f>'[28]מאזן בוחן'!AD790</f>
        <v>1218</v>
      </c>
      <c r="AE899" s="141">
        <f>'[29]מאזן בוחן'!AE796</f>
        <v>0</v>
      </c>
      <c r="AF899" s="141">
        <f>'[30]מאזן בוחן'!AF807</f>
        <v>0</v>
      </c>
      <c r="AG899" s="141">
        <f>'[31]מאזן בוחן'!AG812</f>
        <v>0</v>
      </c>
      <c r="AH899" s="141">
        <v>0</v>
      </c>
      <c r="AI899" s="141">
        <v>0</v>
      </c>
      <c r="AJ899" s="141">
        <v>0</v>
      </c>
      <c r="AK899" s="141">
        <v>0</v>
      </c>
      <c r="AL899" s="141">
        <v>0</v>
      </c>
      <c r="AM899" s="141">
        <f>$K899-SUM($AB899:AL899)</f>
        <v>0</v>
      </c>
      <c r="AN899" s="141"/>
      <c r="AO899" s="141"/>
      <c r="AP899" s="141"/>
      <c r="AQ899" s="141"/>
      <c r="AR899" s="141"/>
      <c r="AS899" s="141"/>
      <c r="AT899" s="141"/>
      <c r="AU899" s="141"/>
      <c r="AV899" s="141"/>
      <c r="AW899" s="141"/>
      <c r="BA899" s="204"/>
    </row>
    <row r="900" spans="1:53">
      <c r="A900" s="52"/>
      <c r="B900" s="3659" t="s">
        <v>1137</v>
      </c>
      <c r="C900" s="585">
        <v>7110081</v>
      </c>
      <c r="D900" s="169" t="s">
        <v>1625</v>
      </c>
      <c r="E900" s="474">
        <f>IFERROR(VLOOKUP(C900,'פקודות נוספות'!$D$274:$F$797,3,0),0)</f>
        <v>349569</v>
      </c>
      <c r="F900" s="49">
        <f>SUMIF('פקודות נוספות'!C:C,C:C,'פקודות נוספות'!E:E)</f>
        <v>0</v>
      </c>
      <c r="J900" s="474">
        <f>SUM(E900:I900)</f>
        <v>349569</v>
      </c>
      <c r="K900" s="42">
        <f>M900+SUMIF('פקודות נוספות'!C:C,'מאזן בוחן'!C900,'פקודות נוספות'!F:F)</f>
        <v>108000</v>
      </c>
      <c r="L900" s="49"/>
      <c r="M900" s="1341">
        <f>IFERROR(VLOOKUP(C900,'פקודות נוספות'!$D$273:$G$797,4,0),0)</f>
        <v>108000</v>
      </c>
      <c r="N900" s="1104">
        <f>IF(K900=0,"-",J900/K900)</f>
        <v>3.2367499999999998</v>
      </c>
      <c r="O900" s="1133"/>
      <c r="P900" s="141">
        <v>9000</v>
      </c>
      <c r="Q900" s="141">
        <f>'[39]מאזן בוחן'!AE770</f>
        <v>9000</v>
      </c>
      <c r="R900" s="141">
        <v>9000</v>
      </c>
      <c r="S900" s="141">
        <v>9000</v>
      </c>
      <c r="T900" s="141">
        <f>'[20]מאזן בוחן'!AR826</f>
        <v>9000</v>
      </c>
      <c r="U900" s="141">
        <f>'[21]מאזן בוחן'!AS736</f>
        <v>9000</v>
      </c>
      <c r="V900" s="726">
        <f>'[22]מאזן בוחן'!AJ722</f>
        <v>12825</v>
      </c>
      <c r="W900" s="726">
        <f>'[23]מאזן בוחן'!AK726</f>
        <v>5175</v>
      </c>
      <c r="X900" s="141">
        <v>9000</v>
      </c>
      <c r="Y900" s="141">
        <f>'[25]מאזן בוחן'!AM756</f>
        <v>9000</v>
      </c>
      <c r="AA900" s="141">
        <f>'[32]מאזן בוחן'!AO773</f>
        <v>9000</v>
      </c>
      <c r="AB900" s="141">
        <f>'[26]מאזן בוחן'!AB772</f>
        <v>9000</v>
      </c>
      <c r="AC900" s="141">
        <f>'[27]מאזן בוחן'!AC781</f>
        <v>9000</v>
      </c>
      <c r="AD900" s="141">
        <f>'[28]מאזן בוחן'!AD791</f>
        <v>9000</v>
      </c>
      <c r="AE900" s="141">
        <f>'[29]מאזן בוחן'!AE797</f>
        <v>9000</v>
      </c>
      <c r="AF900" s="141">
        <f>'[30]מאזן בוחן'!AF808</f>
        <v>9000</v>
      </c>
      <c r="AG900" s="141">
        <f>'[31]מאזן בוחן'!AG813</f>
        <v>9000</v>
      </c>
      <c r="AH900" s="141">
        <v>9000</v>
      </c>
      <c r="AI900" s="141">
        <v>9000</v>
      </c>
      <c r="AJ900" s="141">
        <v>9000</v>
      </c>
      <c r="AK900" s="141">
        <v>9000</v>
      </c>
      <c r="AL900" s="141">
        <v>9000</v>
      </c>
      <c r="AM900" s="141">
        <f>$K900-SUM($AB900:AL900)</f>
        <v>9000</v>
      </c>
      <c r="AN900" s="141"/>
      <c r="AO900" s="141"/>
      <c r="AP900" s="141"/>
      <c r="AQ900" s="141"/>
      <c r="AR900" s="141"/>
      <c r="AS900" s="141"/>
      <c r="AT900" s="141"/>
      <c r="AU900" s="141"/>
      <c r="AV900" s="141"/>
      <c r="AW900" s="141"/>
      <c r="BA900" s="204"/>
    </row>
    <row r="901" spans="1:53">
      <c r="A901" s="52"/>
      <c r="B901" s="3659" t="s">
        <v>1137</v>
      </c>
      <c r="C901" s="585">
        <v>7110082</v>
      </c>
      <c r="D901" s="2199" t="s">
        <v>1755</v>
      </c>
      <c r="E901" s="474">
        <f>IFERROR(VLOOKUP(C901,'פקודות נוספות'!$D$274:$F$797,3,0),0)</f>
        <v>308929.96999999997</v>
      </c>
      <c r="F901" s="49">
        <f>SUMIF('פקודות נוספות'!C:C,C:C,'פקודות נוספות'!E:E)</f>
        <v>0</v>
      </c>
      <c r="J901" s="474">
        <f>SUM(E901:I901)</f>
        <v>308929.96999999997</v>
      </c>
      <c r="K901" s="42">
        <f>M901+SUMIF('פקודות נוספות'!C:C,'מאזן בוחן'!C901,'פקודות נוספות'!F:F)</f>
        <v>95184</v>
      </c>
      <c r="L901" s="49"/>
      <c r="M901" s="1341">
        <f>IFERROR(VLOOKUP(C901,'פקודות נוספות'!$D$273:$G$797,4,0),0)</f>
        <v>95184</v>
      </c>
      <c r="N901" s="1104">
        <f>IF(K901=0,"-",J901/K901)</f>
        <v>3.2456081904521765</v>
      </c>
      <c r="O901" s="1133"/>
      <c r="P901" s="2549">
        <v>4283</v>
      </c>
      <c r="Q901" s="141">
        <f>'[39]מאזן בוחן'!AE771</f>
        <v>1532</v>
      </c>
      <c r="R901" s="2549">
        <v>525</v>
      </c>
      <c r="S901" s="2549">
        <v>973</v>
      </c>
      <c r="T901" s="2549">
        <f>'[20]מאזן בוחן'!AR827</f>
        <v>1205</v>
      </c>
      <c r="U901" s="2549">
        <f>'[21]מאזן בוחן'!AS737</f>
        <v>176</v>
      </c>
      <c r="V901" s="2540">
        <f>'[22]מאזן בוחן'!AJ723</f>
        <v>0</v>
      </c>
      <c r="W901" s="2540">
        <f>'[23]מאזן בוחן'!AK727</f>
        <v>6311</v>
      </c>
      <c r="X901" s="2549">
        <v>7276</v>
      </c>
      <c r="Y901" s="141">
        <f>'[25]מאזן בוחן'!AM757</f>
        <v>4818</v>
      </c>
      <c r="Z901" s="2549"/>
      <c r="AA901" s="2549">
        <f>'[32]מאזן בוחן'!AO774</f>
        <v>198</v>
      </c>
      <c r="AB901" s="2549">
        <f>'[26]מאזן בוחן'!AB773</f>
        <v>22530</v>
      </c>
      <c r="AC901" s="2549">
        <f>'[27]מאזן בוחן'!AC782</f>
        <v>3297</v>
      </c>
      <c r="AD901" s="2549">
        <f>'[28]מאזן בוחן'!AD792</f>
        <v>2550</v>
      </c>
      <c r="AE901" s="2549">
        <f>'[29]מאזן בוחן'!AE798</f>
        <v>1065</v>
      </c>
      <c r="AF901" s="2549">
        <f>'[30]מאזן בוחן'!AF809</f>
        <v>5253</v>
      </c>
      <c r="AG901" s="2549">
        <f>'[31]מאזן בוחן'!AG814</f>
        <v>23534</v>
      </c>
      <c r="AH901" s="2549">
        <v>647</v>
      </c>
      <c r="AI901" s="2549">
        <v>4963</v>
      </c>
      <c r="AJ901" s="2549">
        <v>898</v>
      </c>
      <c r="AK901" s="2549">
        <v>28372</v>
      </c>
      <c r="AL901" s="141">
        <v>2075</v>
      </c>
      <c r="AM901" s="141">
        <f>$K901-SUM($AB901:AL901)</f>
        <v>0</v>
      </c>
      <c r="AN901" s="141"/>
      <c r="AO901" s="2549"/>
      <c r="AP901" s="2549"/>
      <c r="AQ901" s="2549"/>
      <c r="AR901" s="2549"/>
      <c r="AS901" s="2549"/>
      <c r="AT901" s="3069"/>
      <c r="AU901" s="141"/>
      <c r="AV901" s="141"/>
      <c r="AW901" s="141"/>
      <c r="BA901" s="204"/>
    </row>
    <row r="902" spans="1:53">
      <c r="A902" s="52"/>
      <c r="B902" s="3659" t="s">
        <v>1137</v>
      </c>
      <c r="C902" s="585">
        <v>7110083</v>
      </c>
      <c r="D902" s="169" t="s">
        <v>1646</v>
      </c>
      <c r="E902" s="474">
        <f>IFERROR(VLOOKUP(C902,'פקודות נוספות'!$D$274:$F$797,3,0),0)</f>
        <v>271929</v>
      </c>
      <c r="F902" s="49">
        <f>SUMIF('פקודות נוספות'!C:C,C:C,'פקודות נוספות'!E:E)</f>
        <v>0</v>
      </c>
      <c r="J902" s="474">
        <f>SUM(E902:I902)</f>
        <v>271929</v>
      </c>
      <c r="K902" s="42">
        <f>M902+SUMIF('פקודות נוספות'!C:C,'מאזן בוחן'!C902,'פקודות נוספות'!F:F)</f>
        <v>84000</v>
      </c>
      <c r="L902" s="49"/>
      <c r="M902" s="1341">
        <f>IFERROR(VLOOKUP(C902,'פקודות נוספות'!$D$273:$G$797,4,0),0)</f>
        <v>84000</v>
      </c>
      <c r="N902" s="1104">
        <f>IF(K902=0,"-",J902/K902)</f>
        <v>3.23725</v>
      </c>
      <c r="O902" s="1133"/>
      <c r="P902" s="141">
        <v>7000</v>
      </c>
      <c r="Q902" s="141">
        <f>'[39]מאזן בוחן'!AE772</f>
        <v>7000</v>
      </c>
      <c r="R902" s="141">
        <v>7000</v>
      </c>
      <c r="S902" s="141">
        <v>7000</v>
      </c>
      <c r="T902" s="141">
        <f>'[20]מאזן בוחן'!AR828</f>
        <v>7000</v>
      </c>
      <c r="U902" s="141">
        <f>'[21]מאזן בוחן'!AS738</f>
        <v>7000</v>
      </c>
      <c r="V902" s="726">
        <f>'[22]מאזן בוחן'!AJ724</f>
        <v>7000</v>
      </c>
      <c r="W902" s="726">
        <f>'[23]מאזן בוחן'!AK728</f>
        <v>7000</v>
      </c>
      <c r="X902" s="141">
        <v>7000</v>
      </c>
      <c r="Y902" s="141">
        <f>'[25]מאזן בוחן'!AM758</f>
        <v>7000</v>
      </c>
      <c r="AA902" s="141">
        <f>'[32]מאזן בוחן'!AO775</f>
        <v>7000</v>
      </c>
      <c r="AB902" s="141">
        <f>'[26]מאזן בוחן'!AB774</f>
        <v>7000</v>
      </c>
      <c r="AC902" s="141">
        <f>'[27]מאזן בוחן'!AC783</f>
        <v>7000</v>
      </c>
      <c r="AD902" s="141">
        <f>'[28]מאזן בוחן'!AD793</f>
        <v>7000</v>
      </c>
      <c r="AE902" s="141">
        <f>'[29]מאזן בוחן'!AE799</f>
        <v>7000</v>
      </c>
      <c r="AF902" s="141">
        <f>'[30]מאזן בוחן'!AF810</f>
        <v>7000</v>
      </c>
      <c r="AG902" s="141">
        <f>'[31]מאזן בוחן'!AG815</f>
        <v>7000</v>
      </c>
      <c r="AH902" s="141">
        <v>7000</v>
      </c>
      <c r="AI902" s="141">
        <v>7000</v>
      </c>
      <c r="AJ902" s="141">
        <v>7000</v>
      </c>
      <c r="AK902" s="141">
        <v>7000</v>
      </c>
      <c r="AL902" s="141">
        <v>7000</v>
      </c>
      <c r="AM902" s="141">
        <f>$K902-SUM($AB902:AL902)</f>
        <v>7000</v>
      </c>
      <c r="AN902" s="141"/>
      <c r="AO902" s="141"/>
      <c r="AP902" s="141"/>
      <c r="AQ902" s="141"/>
      <c r="AR902" s="141"/>
      <c r="AS902" s="141"/>
      <c r="AT902" s="141"/>
      <c r="AU902" s="141"/>
      <c r="AV902" s="141"/>
      <c r="AW902" s="141"/>
      <c r="BA902" s="204"/>
    </row>
    <row r="903" spans="1:53">
      <c r="A903" s="52"/>
      <c r="B903" s="3659" t="s">
        <v>1137</v>
      </c>
      <c r="C903" s="585">
        <v>7110084</v>
      </c>
      <c r="D903" s="2199" t="s">
        <v>1722</v>
      </c>
      <c r="E903" s="474">
        <f>IFERROR(VLOOKUP(C903,'פקודות נוספות'!$D$274:$F$797,3,0),0)</f>
        <v>209951.75</v>
      </c>
      <c r="F903" s="49">
        <f>SUMIF('פקודות נוספות'!C:C,C:C,'פקודות נוספות'!E:E)</f>
        <v>0</v>
      </c>
      <c r="J903" s="474">
        <f>SUM(E903:I903)</f>
        <v>209951.75</v>
      </c>
      <c r="K903" s="42">
        <f>M903+SUMIF('פקודות נוספות'!C:C,'מאזן בוחן'!C903,'פקודות נוספות'!F:F)</f>
        <v>64486.68</v>
      </c>
      <c r="L903" s="49"/>
      <c r="M903" s="1341">
        <f>IFERROR(VLOOKUP(C903,'פקודות נוספות'!$D$273:$G$797,4,0),0)</f>
        <v>64486.68</v>
      </c>
      <c r="N903" s="1104">
        <f>IF(K903=0,"-",J903/K903)</f>
        <v>3.2557382392767003</v>
      </c>
      <c r="O903" s="1133"/>
      <c r="P903" s="2549">
        <v>6431</v>
      </c>
      <c r="Q903" s="141">
        <f>'[39]מאזן בוחן'!AE773</f>
        <v>1292</v>
      </c>
      <c r="R903" s="2549">
        <v>229</v>
      </c>
      <c r="S903" s="2549">
        <v>566.42000000000007</v>
      </c>
      <c r="T903" s="2549">
        <f>'[20]מאזן בוחן'!AR829</f>
        <v>881.25</v>
      </c>
      <c r="U903" s="2549">
        <f>'[21]מאזן בוחן'!AS739</f>
        <v>723.70999999999913</v>
      </c>
      <c r="V903" s="2540">
        <f>'[22]מאזן בוחן'!AJ725</f>
        <v>2337.4600000000009</v>
      </c>
      <c r="W903" s="2540">
        <f>'[23]מאזן בוחן'!AK729</f>
        <v>1458.6399999999976</v>
      </c>
      <c r="X903" s="2549">
        <v>5417.9700000000012</v>
      </c>
      <c r="Y903" s="141">
        <f>'[25]מאזן בוחן'!AM759</f>
        <v>2396.0500000000029</v>
      </c>
      <c r="Z903" s="2549"/>
      <c r="AA903" s="2549">
        <f>'[32]מאזן בוחן'!AO776</f>
        <v>419.41999999999825</v>
      </c>
      <c r="AB903" s="2549">
        <f>'[26]מאזן בוחן'!AB775</f>
        <v>15557.33</v>
      </c>
      <c r="AC903" s="2549">
        <f>'[27]מאזן בוחן'!AC784</f>
        <v>3182.5000000000018</v>
      </c>
      <c r="AD903" s="2549">
        <f>'[28]מאזן בוחן'!AD794</f>
        <v>5330.5099999999984</v>
      </c>
      <c r="AE903" s="2549">
        <f>'[29]מאזן בוחן'!AE800</f>
        <v>846.81000000000131</v>
      </c>
      <c r="AF903" s="2549">
        <f>'[30]מאזן בוחן'!AF811</f>
        <v>2531.1299999999974</v>
      </c>
      <c r="AG903" s="2549">
        <f>'[31]מאזן בוחן'!AG816</f>
        <v>12193.309999999998</v>
      </c>
      <c r="AH903" s="2549">
        <v>2209.9200000000055</v>
      </c>
      <c r="AI903" s="2549">
        <v>3922.1699999999983</v>
      </c>
      <c r="AJ903" s="2549">
        <v>872</v>
      </c>
      <c r="AK903" s="2549">
        <v>16833</v>
      </c>
      <c r="AL903" s="141">
        <v>1008</v>
      </c>
      <c r="AM903" s="141">
        <f>$K903-SUM($AB903:AL903)</f>
        <v>0</v>
      </c>
      <c r="AN903" s="141"/>
      <c r="AO903" s="2549"/>
      <c r="AP903" s="2549"/>
      <c r="AQ903" s="2549"/>
      <c r="AR903" s="2549"/>
      <c r="AS903" s="2549"/>
      <c r="AT903" s="3069"/>
      <c r="AU903" s="141"/>
      <c r="AV903" s="141"/>
      <c r="AW903" s="141"/>
      <c r="BA903" s="204"/>
    </row>
    <row r="904" spans="1:53">
      <c r="A904" s="52"/>
      <c r="B904" s="3659" t="s">
        <v>1137</v>
      </c>
      <c r="C904" s="585">
        <v>7110074</v>
      </c>
      <c r="D904" s="169" t="s">
        <v>1145</v>
      </c>
      <c r="E904" s="474">
        <f>IFERROR(VLOOKUP(C904,'פקודות נוספות'!$D$274:$F$797,3,0),0)</f>
        <v>381372.9</v>
      </c>
      <c r="F904" s="49">
        <f>SUMIF('פקודות נוספות'!C:C,C:C,'פקודות נוספות'!E:E)</f>
        <v>0</v>
      </c>
      <c r="J904" s="474">
        <f t="shared" si="183"/>
        <v>381372.9</v>
      </c>
      <c r="K904" s="42">
        <f>M904+SUMIF('פקודות נוספות'!C:C,'מאזן בוחן'!C904,'פקודות נוספות'!F:F)</f>
        <v>117996</v>
      </c>
      <c r="L904" s="49"/>
      <c r="M904" s="1341">
        <f>IFERROR(VLOOKUP(C904,'פקודות נוספות'!$D$273:$G$797,4,0),0)</f>
        <v>117996</v>
      </c>
      <c r="N904" s="1104">
        <f t="shared" si="184"/>
        <v>3.2320832909590158</v>
      </c>
      <c r="O904" s="1133"/>
      <c r="P904" s="141">
        <v>9833</v>
      </c>
      <c r="Q904" s="141">
        <f>'[39]מאזן בוחן'!AE774</f>
        <v>9833</v>
      </c>
      <c r="R904" s="141">
        <v>9833</v>
      </c>
      <c r="S904" s="141">
        <v>9833</v>
      </c>
      <c r="T904" s="141">
        <f>'[20]מאזן בוחן'!AR830</f>
        <v>9833</v>
      </c>
      <c r="U904" s="141">
        <f>'[21]מאזן בוחן'!AS740</f>
        <v>9833</v>
      </c>
      <c r="V904" s="726">
        <f>'[22]מאזן בוחן'!AJ726</f>
        <v>9833</v>
      </c>
      <c r="W904" s="726">
        <f>'[23]מאזן בוחן'!AK730</f>
        <v>9833</v>
      </c>
      <c r="X904" s="141">
        <v>9833</v>
      </c>
      <c r="Y904" s="141">
        <f>'[25]מאזן בוחן'!AM760</f>
        <v>9833</v>
      </c>
      <c r="AA904" s="141">
        <f>'[32]מאזן בוחן'!AO777</f>
        <v>9833</v>
      </c>
      <c r="AB904" s="141">
        <f>'[26]מאזן בוחן'!AB776</f>
        <v>9833</v>
      </c>
      <c r="AC904" s="141">
        <f>'[27]מאזן בוחן'!AC785</f>
        <v>9833</v>
      </c>
      <c r="AD904" s="141">
        <f>'[28]מאזן בוחן'!AD795</f>
        <v>9833</v>
      </c>
      <c r="AE904" s="141">
        <f>'[29]מאזן בוחן'!AE801</f>
        <v>9833</v>
      </c>
      <c r="AF904" s="141">
        <f>'[30]מאזן בוחן'!AF812</f>
        <v>9833</v>
      </c>
      <c r="AG904" s="141">
        <f>'[31]מאזן בוחן'!AG817</f>
        <v>9833</v>
      </c>
      <c r="AH904" s="141">
        <v>9833</v>
      </c>
      <c r="AI904" s="141">
        <v>9833</v>
      </c>
      <c r="AJ904" s="141">
        <v>9833</v>
      </c>
      <c r="AK904" s="141">
        <v>9833</v>
      </c>
      <c r="AL904" s="141">
        <v>9833</v>
      </c>
      <c r="AM904" s="141">
        <f>$K904-SUM($AB904:AL904)</f>
        <v>9833</v>
      </c>
      <c r="AN904" s="141"/>
      <c r="AO904" s="141"/>
      <c r="AP904" s="141"/>
      <c r="AQ904" s="141"/>
      <c r="AR904" s="141"/>
      <c r="AS904" s="141"/>
      <c r="AT904" s="141"/>
      <c r="AU904" s="141"/>
      <c r="AV904" s="141"/>
      <c r="AW904" s="141"/>
      <c r="BA904" s="204"/>
    </row>
    <row r="905" spans="1:53">
      <c r="A905" s="52"/>
      <c r="B905" s="3659" t="s">
        <v>1137</v>
      </c>
      <c r="C905" s="585">
        <v>7110075</v>
      </c>
      <c r="D905" s="2199" t="s">
        <v>562</v>
      </c>
      <c r="E905" s="474">
        <f>IFERROR(VLOOKUP(C905,'פקודות נוספות'!$D$274:$F$797,3,0),0)</f>
        <v>70946.350000000006</v>
      </c>
      <c r="F905" s="49">
        <f>SUMIF('פקודות נוספות'!C:C,C:C,'פקודות נוספות'!E:E)</f>
        <v>0</v>
      </c>
      <c r="J905" s="474">
        <f t="shared" si="183"/>
        <v>70946.350000000006</v>
      </c>
      <c r="K905" s="42">
        <f>M905+SUMIF('פקודות נוספות'!C:C,'מאזן בוחן'!C905,'פקודות נוספות'!F:F)</f>
        <v>21850.85</v>
      </c>
      <c r="L905" s="49"/>
      <c r="M905" s="1341">
        <f>IFERROR(VLOOKUP(C905,'פקודות נוספות'!$D$273:$G$797,4,0),0)</f>
        <v>21850.85</v>
      </c>
      <c r="N905" s="1104">
        <f t="shared" si="184"/>
        <v>3.246846232526424</v>
      </c>
      <c r="O905" s="1133"/>
      <c r="P905" s="2549">
        <v>74</v>
      </c>
      <c r="Q905" s="141">
        <f>'[39]מאזן בוחן'!AE775</f>
        <v>2254</v>
      </c>
      <c r="R905" s="2549">
        <v>183</v>
      </c>
      <c r="S905" s="2549">
        <v>102</v>
      </c>
      <c r="T905" s="2549">
        <f>'[20]מאזן בוחן'!AR831</f>
        <v>1123.8899999999994</v>
      </c>
      <c r="U905" s="2549">
        <f>'[21]מאזן בוחן'!AS741</f>
        <v>749.84000000000015</v>
      </c>
      <c r="V905" s="2540">
        <f>'[22]מאזן בוחן'!AJ727</f>
        <v>596.44000000000051</v>
      </c>
      <c r="W905" s="2540">
        <f>'[23]מאזן בוחן'!AK731</f>
        <v>4500</v>
      </c>
      <c r="X905" s="2549">
        <v>1311.9999999999982</v>
      </c>
      <c r="Y905" s="141">
        <f>'[25]מאזן בוחן'!AM761</f>
        <v>346.81000000000131</v>
      </c>
      <c r="Z905" s="2549"/>
      <c r="AA905" s="2549">
        <f>'[32]מאזן בוחן'!AO778</f>
        <v>941.36999999999898</v>
      </c>
      <c r="AB905" s="2549">
        <f>'[26]מאזן בוחן'!AB777</f>
        <v>1132.94</v>
      </c>
      <c r="AC905" s="2549">
        <f>'[27]מאזן בוחן'!AC786</f>
        <v>0</v>
      </c>
      <c r="AD905" s="2549">
        <f>'[28]מאזן בוחן'!AD796</f>
        <v>5859.17</v>
      </c>
      <c r="AE905" s="2549">
        <f>'[29]מאזן בוחן'!AE802</f>
        <v>3366.3799999999992</v>
      </c>
      <c r="AF905" s="2549">
        <f>'[30]מאזן בוחן'!AF813</f>
        <v>3289.76</v>
      </c>
      <c r="AG905" s="2549">
        <f>'[31]מאזן בוחן'!AG818</f>
        <v>358.71999999999935</v>
      </c>
      <c r="AH905" s="2549">
        <v>781.88000000000102</v>
      </c>
      <c r="AI905" s="2549">
        <v>0</v>
      </c>
      <c r="AJ905" s="2549">
        <v>1872.9999999999982</v>
      </c>
      <c r="AK905" s="2549">
        <v>3120</v>
      </c>
      <c r="AL905" s="141">
        <v>1701</v>
      </c>
      <c r="AM905" s="141">
        <f>$K905-SUM($AB905:AL905)</f>
        <v>368</v>
      </c>
      <c r="AN905" s="141"/>
      <c r="AO905" s="2549"/>
      <c r="AP905" s="2549"/>
      <c r="AQ905" s="2549"/>
      <c r="AR905" s="2549"/>
      <c r="AS905" s="2549"/>
      <c r="AT905" s="3069"/>
      <c r="AU905" s="141"/>
      <c r="AV905" s="141"/>
      <c r="AW905" s="141"/>
      <c r="BA905" s="204"/>
    </row>
    <row r="906" spans="1:53">
      <c r="A906" s="52"/>
      <c r="B906" s="3659" t="s">
        <v>1137</v>
      </c>
      <c r="C906" s="585">
        <v>7110076</v>
      </c>
      <c r="D906" s="169" t="s">
        <v>1146</v>
      </c>
      <c r="E906" s="474">
        <f>IFERROR(VLOOKUP(C906,'פקודות נוספות'!$D$274:$F$797,3,0),0)</f>
        <v>11141.75</v>
      </c>
      <c r="F906" s="49">
        <f>SUMIF('פקודות נוספות'!C:C,C:C,'פקודות נוספות'!E:E)</f>
        <v>0</v>
      </c>
      <c r="J906" s="474">
        <f t="shared" si="183"/>
        <v>11141.75</v>
      </c>
      <c r="K906" s="42">
        <f>M906+SUMIF('פקודות נוספות'!C:C,'מאזן בוחן'!C906,'פקודות נוספות'!F:F)</f>
        <v>3399</v>
      </c>
      <c r="L906" s="49"/>
      <c r="M906" s="1341">
        <f>IFERROR(VLOOKUP(C906,'פקודות נוספות'!$D$273:$G$797,4,0),0)</f>
        <v>3399</v>
      </c>
      <c r="N906" s="1104">
        <f t="shared" si="184"/>
        <v>3.2779493968814357</v>
      </c>
      <c r="O906" s="1133"/>
      <c r="P906" s="141">
        <v>3745</v>
      </c>
      <c r="Q906" s="141">
        <f>'[39]מאזן בוחן'!AE776</f>
        <v>0</v>
      </c>
      <c r="R906" s="141">
        <v>0</v>
      </c>
      <c r="S906" s="141">
        <v>0</v>
      </c>
      <c r="T906" s="141">
        <f>'[20]מאזן בוחן'!AR832</f>
        <v>0</v>
      </c>
      <c r="U906" s="141">
        <f>'[21]מאזן בוחן'!AS742</f>
        <v>0</v>
      </c>
      <c r="V906" s="726">
        <f>'[22]מאזן בוחן'!AJ728</f>
        <v>0</v>
      </c>
      <c r="W906" s="726">
        <f>'[23]מאזן בוחן'!AK732</f>
        <v>0</v>
      </c>
      <c r="X906" s="141">
        <v>0</v>
      </c>
      <c r="Y906" s="141">
        <f>'[25]מאזן בוחן'!AM762</f>
        <v>0</v>
      </c>
      <c r="AA906" s="141">
        <f>'[32]מאזן בוחן'!AO779</f>
        <v>0</v>
      </c>
      <c r="AB906" s="141">
        <f>'[26]מאזן בוחן'!AB778</f>
        <v>0</v>
      </c>
      <c r="AC906" s="141">
        <f>'[27]מאזן בוחן'!AC787</f>
        <v>2433</v>
      </c>
      <c r="AD906" s="141">
        <f>'[28]מאזן בוחן'!AD797</f>
        <v>966</v>
      </c>
      <c r="AE906" s="141">
        <f>'[29]מאזן בוחן'!AE803</f>
        <v>0</v>
      </c>
      <c r="AF906" s="141">
        <f>'[30]מאזן בוחן'!AF814</f>
        <v>0</v>
      </c>
      <c r="AG906" s="141">
        <f>'[31]מאזן בוחן'!AG819</f>
        <v>0</v>
      </c>
      <c r="AH906" s="141">
        <v>0</v>
      </c>
      <c r="AI906" s="141">
        <v>0</v>
      </c>
      <c r="AJ906" s="141">
        <v>0</v>
      </c>
      <c r="AK906" s="141">
        <v>0</v>
      </c>
      <c r="AL906" s="141">
        <v>0</v>
      </c>
      <c r="AM906" s="141">
        <f>$K906-SUM($AB906:AL906)</f>
        <v>0</v>
      </c>
      <c r="AN906" s="141"/>
      <c r="AO906" s="141"/>
      <c r="AP906" s="141"/>
      <c r="AQ906" s="141"/>
      <c r="AR906" s="141"/>
      <c r="AS906" s="141"/>
      <c r="AT906" s="141"/>
      <c r="AU906" s="141"/>
      <c r="AV906" s="141"/>
      <c r="AW906" s="141"/>
      <c r="BA906" s="204"/>
    </row>
    <row r="907" spans="1:53">
      <c r="A907" s="52"/>
      <c r="B907" s="3659" t="s">
        <v>1137</v>
      </c>
      <c r="C907" s="585">
        <v>7110086</v>
      </c>
      <c r="D907" s="2199" t="s">
        <v>3442</v>
      </c>
      <c r="E907" s="474">
        <f>IFERROR(VLOOKUP(C907,'פקודות נוספות'!$D$274:$F$797,3,0),0)</f>
        <v>150472.65</v>
      </c>
      <c r="F907" s="49">
        <f>SUMIF('פקודות נוספות'!C:C,C:C,'פקודות נוספות'!E:E)</f>
        <v>0</v>
      </c>
      <c r="J907" s="474">
        <f>SUM(E907:I907)</f>
        <v>150472.65</v>
      </c>
      <c r="K907" s="42">
        <f>M907+SUMIF('פקודות נוספות'!C:C,'מאזן בוחן'!C907,'פקודות נוספות'!F:F)</f>
        <v>45990.55</v>
      </c>
      <c r="L907" s="49"/>
      <c r="M907" s="1341">
        <f>IFERROR(VLOOKUP(C907,'פקודות נוספות'!$D$273:$G$797,4,0),0)</f>
        <v>45990.55</v>
      </c>
      <c r="N907" s="1104">
        <f>IF(K907=0,"-",J907/K907)</f>
        <v>3.2718167101719806</v>
      </c>
      <c r="O907" s="1133"/>
      <c r="P907" s="2549"/>
      <c r="Q907" s="141"/>
      <c r="R907" s="2549"/>
      <c r="S907" s="2549"/>
      <c r="T907" s="2549"/>
      <c r="U907" s="2549"/>
      <c r="V907" s="2540"/>
      <c r="W907" s="2540"/>
      <c r="X907" s="2549"/>
      <c r="Y907" s="141"/>
      <c r="Z907" s="2549"/>
      <c r="AA907" s="2549"/>
      <c r="AB907" s="2549"/>
      <c r="AC907" s="2549"/>
      <c r="AD907" s="2549">
        <v>29416.55</v>
      </c>
      <c r="AE907" s="2549">
        <f>'[29]מאזן בוחן'!AE804</f>
        <v>0</v>
      </c>
      <c r="AF907" s="2549">
        <f>'[30]מאזן בוחן'!AF815</f>
        <v>0</v>
      </c>
      <c r="AG907" s="2549">
        <f>'[31]מאזן בוחן'!AG820</f>
        <v>0</v>
      </c>
      <c r="AH907" s="2549">
        <v>0</v>
      </c>
      <c r="AI907" s="2549">
        <v>0</v>
      </c>
      <c r="AJ907" s="2549">
        <v>0</v>
      </c>
      <c r="AK907" s="2549">
        <v>0</v>
      </c>
      <c r="AL907" s="141">
        <v>0</v>
      </c>
      <c r="AM907" s="141">
        <f>$K907-SUM($AB907:AL907)</f>
        <v>16574.000000000004</v>
      </c>
      <c r="AN907" s="141"/>
      <c r="AO907" s="2549"/>
      <c r="AP907" s="2549"/>
      <c r="AQ907" s="2549"/>
      <c r="AR907" s="2549"/>
      <c r="AS907" s="2549"/>
      <c r="AT907" s="2549"/>
      <c r="AU907" s="141"/>
      <c r="AV907" s="141"/>
      <c r="AW907" s="141"/>
      <c r="BA907" s="204"/>
    </row>
    <row r="908" spans="1:53">
      <c r="A908" s="52"/>
      <c r="B908" s="3659" t="s">
        <v>563</v>
      </c>
      <c r="C908" s="585">
        <v>7120072</v>
      </c>
      <c r="D908" s="169" t="s">
        <v>3443</v>
      </c>
      <c r="E908" s="474">
        <f>IFERROR(VLOOKUP(C908,'פקודות נוספות'!$D$274:$F$797,3,0),0)</f>
        <v>2232.1</v>
      </c>
      <c r="F908" s="49">
        <f>SUMIF('פקודות נוספות'!C:C,C:C,'פקודות נוספות'!E:E)</f>
        <v>0</v>
      </c>
      <c r="J908" s="474">
        <f>SUM(E908:I908)</f>
        <v>2232.1</v>
      </c>
      <c r="K908" s="42">
        <f>M908+SUMIF('פקודות נוספות'!C:C,'מאזן בוחן'!C908,'פקודות נוספות'!F:F)</f>
        <v>676.6</v>
      </c>
      <c r="L908" s="49"/>
      <c r="M908" s="1341">
        <f>IFERROR(VLOOKUP(C908,'פקודות נוספות'!$D$273:$G$797,4,0),0)</f>
        <v>676.6</v>
      </c>
      <c r="N908" s="1104">
        <f>IF(K908=0,"-",J908/K908)</f>
        <v>3.2989949748743714</v>
      </c>
      <c r="O908" s="1133"/>
      <c r="P908" s="141"/>
      <c r="Q908" s="141"/>
      <c r="R908" s="141"/>
      <c r="S908" s="141"/>
      <c r="T908" s="141"/>
      <c r="U908" s="141"/>
      <c r="V908" s="726"/>
      <c r="W908" s="726"/>
      <c r="X908" s="141"/>
      <c r="Y908" s="141"/>
      <c r="AA908" s="141"/>
      <c r="AB908" s="141"/>
      <c r="AC908" s="141"/>
      <c r="AD908" s="141">
        <v>676.6</v>
      </c>
      <c r="AE908" s="141">
        <f>'[29]מאזן בוחן'!AE805</f>
        <v>0</v>
      </c>
      <c r="AF908" s="141">
        <f>'[30]מאזן בוחן'!AF816</f>
        <v>0</v>
      </c>
      <c r="AG908" s="141">
        <f>'[31]מאזן בוחן'!AG821</f>
        <v>0</v>
      </c>
      <c r="AH908" s="141">
        <v>0</v>
      </c>
      <c r="AI908" s="141">
        <v>0</v>
      </c>
      <c r="AJ908" s="141">
        <v>0</v>
      </c>
      <c r="AK908" s="141">
        <v>0</v>
      </c>
      <c r="AL908" s="141">
        <v>0</v>
      </c>
      <c r="AM908" s="141">
        <f>$K908-SUM($AB908:AL908)</f>
        <v>0</v>
      </c>
      <c r="AN908" s="141"/>
      <c r="AO908" s="141"/>
      <c r="AP908" s="141"/>
      <c r="AQ908" s="141"/>
      <c r="AR908" s="141"/>
      <c r="AS908" s="141"/>
      <c r="AT908" s="141"/>
      <c r="AU908" s="141"/>
      <c r="AV908" s="141"/>
      <c r="AW908" s="141"/>
      <c r="BA908" s="204"/>
    </row>
    <row r="909" spans="1:53">
      <c r="A909" s="52"/>
      <c r="B909" s="3659"/>
      <c r="C909" s="1489"/>
      <c r="D909" s="169"/>
      <c r="J909" s="474"/>
      <c r="K909" s="42"/>
      <c r="L909" s="49"/>
      <c r="M909" s="474"/>
      <c r="O909" s="1133"/>
      <c r="P909" s="141">
        <v>0</v>
      </c>
      <c r="Q909" s="141">
        <f>'[39]מאזן בוחן'!AE777</f>
        <v>0</v>
      </c>
      <c r="R909" s="141">
        <v>0</v>
      </c>
      <c r="S909" s="141">
        <v>0</v>
      </c>
      <c r="T909" s="141">
        <f>'[20]מאזן בוחן'!AR833</f>
        <v>0</v>
      </c>
      <c r="U909" s="141">
        <f>'[21]מאזן בוחן'!AS743</f>
        <v>0</v>
      </c>
      <c r="V909" s="726">
        <f>'[22]מאזן בוחן'!AJ729</f>
        <v>0</v>
      </c>
      <c r="W909" s="726">
        <f>'[23]מאזן בוחן'!AK733</f>
        <v>0</v>
      </c>
      <c r="X909" s="141">
        <v>0</v>
      </c>
      <c r="Y909" s="141">
        <f>'[25]מאזן בוחן'!AM763</f>
        <v>0</v>
      </c>
      <c r="AA909" s="141">
        <f>'[32]מאזן בוחן'!AO780</f>
        <v>0</v>
      </c>
      <c r="AB909" s="141">
        <f>'[26]מאזן בוחן'!AB779</f>
        <v>0</v>
      </c>
      <c r="AC909" s="141">
        <f>'[27]מאזן בוחן'!AC788</f>
        <v>0</v>
      </c>
      <c r="AD909" s="141">
        <f>'[28]מאזן בוחן'!AD800</f>
        <v>0</v>
      </c>
      <c r="AE909" s="141">
        <f>'[29]מאזן בוחן'!AE806</f>
        <v>0</v>
      </c>
      <c r="AF909" s="141">
        <f>'[30]מאזן בוחן'!AF817</f>
        <v>0</v>
      </c>
      <c r="AG909" s="141">
        <f>'[31]מאזן בוחן'!AG822</f>
        <v>0</v>
      </c>
      <c r="AH909" s="141">
        <v>0</v>
      </c>
      <c r="AI909" s="141">
        <v>0</v>
      </c>
      <c r="AJ909" s="141">
        <v>0</v>
      </c>
      <c r="AK909" s="141">
        <v>0</v>
      </c>
      <c r="AL909" s="141">
        <v>0</v>
      </c>
      <c r="AM909" s="141">
        <f>$K909-SUM($AB909:AL909)</f>
        <v>0</v>
      </c>
      <c r="AN909" s="141"/>
      <c r="AO909" s="141"/>
      <c r="AP909" s="141"/>
      <c r="AQ909" s="141"/>
      <c r="AR909" s="141"/>
      <c r="AS909" s="141"/>
      <c r="AT909" s="141"/>
      <c r="AU909" s="141"/>
      <c r="AV909" s="141"/>
      <c r="AW909" s="141"/>
      <c r="BA909" s="204"/>
    </row>
    <row r="910" spans="1:53">
      <c r="A910" s="52"/>
      <c r="B910" s="3659" t="s">
        <v>1156</v>
      </c>
      <c r="C910" s="585">
        <v>7140002</v>
      </c>
      <c r="D910" s="169" t="s">
        <v>1158</v>
      </c>
      <c r="E910" s="474">
        <f>IFERROR(VLOOKUP(C910,'פקודות נוספות'!$D$274:$F$797,3,0),0)</f>
        <v>-29037.39</v>
      </c>
      <c r="F910" s="49">
        <f>SUMIF('פקודות נוספות'!C:C,C:C,'פקודות נוספות'!E:E)</f>
        <v>0</v>
      </c>
      <c r="J910" s="474">
        <f>SUM(E910:I910)</f>
        <v>-29037.39</v>
      </c>
      <c r="K910" s="42">
        <f>M910+SUMIF('פקודות נוספות'!C:C,'מאזן בוחן'!C910,'פקודות נוספות'!F:F)</f>
        <v>-9031.85</v>
      </c>
      <c r="L910" s="49"/>
      <c r="M910" s="1341">
        <f>IFERROR(VLOOKUP(C910,'פקודות נוספות'!$D$273:$G$797,4,0),0)</f>
        <v>-9031.85</v>
      </c>
      <c r="N910" s="1104">
        <f>IF(K910=0,"-",J910/K910)</f>
        <v>3.2149991419255191</v>
      </c>
      <c r="O910" s="1133"/>
      <c r="P910" s="137">
        <v>-11127.86</v>
      </c>
      <c r="Q910" s="141">
        <f>'[39]מאזן בוחן'!AE779</f>
        <v>2711.0000000000005</v>
      </c>
      <c r="R910" s="137">
        <v>2710.9999999999995</v>
      </c>
      <c r="S910" s="137">
        <v>2711.0000000000005</v>
      </c>
      <c r="T910" s="141">
        <f>'[20]מאזן בוחן'!AR845</f>
        <v>2710.9999999999995</v>
      </c>
      <c r="U910" s="141">
        <f>'[21]מאזן בוחן'!AS745</f>
        <v>2711.0000000000005</v>
      </c>
      <c r="V910" s="726">
        <f>'[22]מאזן בוחן'!AJ731</f>
        <v>2711.0000000000005</v>
      </c>
      <c r="W910" s="726">
        <f>'[23]מאזן בוחן'!AK735</f>
        <v>-19561.759999999998</v>
      </c>
      <c r="X910" s="141">
        <v>2711.0000000000005</v>
      </c>
      <c r="Y910" s="141">
        <f>'[25]מאזן בוחן'!AM765</f>
        <v>2710.9999999999982</v>
      </c>
      <c r="AA910" s="141">
        <f>'[32]מאזן בוחן'!AO781</f>
        <v>0</v>
      </c>
      <c r="AB910" s="141">
        <f>'[26]מאזן בוחן'!AB780</f>
        <v>752.66</v>
      </c>
      <c r="AC910" s="141">
        <f>'[27]מאזן בוחן'!AC789</f>
        <v>-8279.880000000001</v>
      </c>
      <c r="AD910" s="141">
        <f>'[28]מאזן בוחן'!AD801</f>
        <v>1920.3700000000008</v>
      </c>
      <c r="AE910" s="141">
        <f>'[29]מאזן בוחן'!AE807</f>
        <v>1141</v>
      </c>
      <c r="AF910" s="141">
        <f>'[30]מאזן בוחן'!AF818</f>
        <v>1141.0000000000005</v>
      </c>
      <c r="AG910" s="141">
        <f>'[31]מאזן בוחן'!AG823</f>
        <v>1141</v>
      </c>
      <c r="AH910" s="141">
        <v>1141</v>
      </c>
      <c r="AI910" s="141">
        <v>1141</v>
      </c>
      <c r="AJ910" s="141">
        <v>1141</v>
      </c>
      <c r="AK910" s="141">
        <v>1141</v>
      </c>
      <c r="AL910" s="141">
        <v>1141</v>
      </c>
      <c r="AM910" s="141">
        <f>$K910-SUM($AB910:AL910)</f>
        <v>-12553</v>
      </c>
      <c r="AN910" s="141"/>
      <c r="AO910" s="141"/>
      <c r="AP910" s="141"/>
      <c r="AQ910" s="141"/>
      <c r="AR910" s="141"/>
      <c r="AS910" s="141"/>
      <c r="AT910" s="141"/>
      <c r="AU910" s="141"/>
      <c r="AV910" s="141"/>
      <c r="AW910" s="141"/>
      <c r="BA910" s="204"/>
    </row>
    <row r="911" spans="1:53">
      <c r="A911" s="52"/>
      <c r="B911" s="3659"/>
      <c r="C911" s="1489"/>
      <c r="D911" s="169"/>
      <c r="E911" s="474"/>
      <c r="J911" s="474"/>
      <c r="K911" s="42"/>
      <c r="L911" s="49"/>
      <c r="M911" s="474"/>
      <c r="O911" s="1133"/>
      <c r="P911" s="137">
        <v>0</v>
      </c>
      <c r="Q911" s="141">
        <f>'[39]מאזן בוחן'!AE784</f>
        <v>0</v>
      </c>
      <c r="R911" s="137">
        <v>0</v>
      </c>
      <c r="S911" s="137">
        <v>0</v>
      </c>
      <c r="T911" s="141">
        <f>'[20]מאזן בוחן'!AR850</f>
        <v>0</v>
      </c>
      <c r="U911" s="141">
        <f>'[21]מאזן בוחן'!AS750</f>
        <v>0</v>
      </c>
      <c r="V911" s="726">
        <f>'[22]מאזן בוחן'!AJ736</f>
        <v>0</v>
      </c>
      <c r="W911" s="726">
        <f>'[23]מאזן בוחן'!AK740</f>
        <v>0</v>
      </c>
      <c r="X911" s="141">
        <v>0</v>
      </c>
      <c r="Y911" s="141">
        <f>'[25]מאזן בוחן'!AM770</f>
        <v>0</v>
      </c>
      <c r="AA911" s="141">
        <f>'[32]מאזן בוחן'!AO782</f>
        <v>1483.8500000000004</v>
      </c>
      <c r="AB911" s="141">
        <f>'[26]מאזן בוחן'!AB781</f>
        <v>0</v>
      </c>
      <c r="AC911" s="141">
        <f>'[27]מאזן בוחן'!AC790</f>
        <v>0</v>
      </c>
      <c r="AD911" s="141">
        <f>'[28]מאזן בוחן'!AD802</f>
        <v>0</v>
      </c>
      <c r="AE911" s="141">
        <f>'[29]מאזן בוחן'!AE808</f>
        <v>0</v>
      </c>
      <c r="AF911" s="141">
        <f>'[30]מאזן בוחן'!AF819</f>
        <v>0</v>
      </c>
      <c r="AG911" s="141">
        <f>'[31]מאזן בוחן'!AG824</f>
        <v>0</v>
      </c>
      <c r="AH911" s="141">
        <v>0</v>
      </c>
      <c r="AI911" s="141">
        <v>0</v>
      </c>
      <c r="AJ911" s="141">
        <v>0</v>
      </c>
      <c r="AK911" s="141">
        <v>0</v>
      </c>
      <c r="AL911" s="141">
        <v>0</v>
      </c>
      <c r="AM911" s="141">
        <f>$K911-SUM($AB911:AL911)</f>
        <v>0</v>
      </c>
      <c r="AN911" s="141"/>
      <c r="AO911" s="141"/>
      <c r="AP911" s="141"/>
      <c r="AQ911" s="141"/>
      <c r="AR911" s="141"/>
      <c r="AS911" s="141"/>
      <c r="AT911" s="141"/>
      <c r="AU911" s="141"/>
      <c r="AV911" s="141"/>
      <c r="AW911" s="141"/>
      <c r="BA911" s="204"/>
    </row>
    <row r="912" spans="1:53">
      <c r="A912" s="52"/>
      <c r="B912" s="3659" t="s">
        <v>1137</v>
      </c>
      <c r="C912" s="585">
        <v>7110044</v>
      </c>
      <c r="D912" s="169" t="s">
        <v>1808</v>
      </c>
      <c r="E912" s="474">
        <f>IFERROR(VLOOKUP(C912,'פקודות נוספות'!$D$274:$F$797,3,0),0)</f>
        <v>430510.49</v>
      </c>
      <c r="F912" s="49">
        <f>SUMIF('פקודות נוספות'!C:C,C:C,'פקודות נוספות'!E:E)</f>
        <v>0</v>
      </c>
      <c r="J912" s="474">
        <f t="shared" ref="J912:J917" si="185">SUM(E912:I912)</f>
        <v>430510.49</v>
      </c>
      <c r="K912" s="42">
        <f>M912+SUMIF('פקודות נוספות'!C:C,'מאזן בוחן'!C912,'פקודות נוספות'!F:F)</f>
        <v>116894.28</v>
      </c>
      <c r="L912" s="49"/>
      <c r="M912" s="1341">
        <f>IFERROR(VLOOKUP(C912,'פקודות נוספות'!$D$273:$G$797,4,0),0)</f>
        <v>116894.28</v>
      </c>
      <c r="N912" s="1104">
        <f>IF(K912=0,"-",J912/K912)</f>
        <v>3.6829046724955234</v>
      </c>
      <c r="O912" s="1133"/>
      <c r="P912" s="137">
        <v>0</v>
      </c>
      <c r="Q912" s="141">
        <f>'[39]מאזן בוחן'!AE785</f>
        <v>48534.342624284443</v>
      </c>
      <c r="R912" s="137">
        <v>0</v>
      </c>
      <c r="S912" s="137">
        <v>-0.3426242844434455</v>
      </c>
      <c r="T912" s="141">
        <f>'[20]מאזן בוחן'!AR851</f>
        <v>45047</v>
      </c>
      <c r="U912" s="141">
        <f>'[21]מאזן בוחן'!AS751</f>
        <v>0</v>
      </c>
      <c r="V912" s="726">
        <f>'[22]מאזן בוחן'!AJ737</f>
        <v>0</v>
      </c>
      <c r="W912" s="726">
        <f>'[23]מאזן בוחן'!AK741</f>
        <v>41560</v>
      </c>
      <c r="X912" s="141">
        <v>0</v>
      </c>
      <c r="Y912" s="141">
        <f>'[25]מאזן בוחן'!AM771</f>
        <v>0</v>
      </c>
      <c r="AA912" s="141">
        <f>'[32]מאזן בוחן'!AO783</f>
        <v>0</v>
      </c>
      <c r="AB912" s="141">
        <f>'[26]מאזן בוחן'!AB782</f>
        <v>0</v>
      </c>
      <c r="AC912" s="141">
        <f>'[27]מאזן בוחן'!AC791</f>
        <v>0</v>
      </c>
      <c r="AD912" s="141">
        <f>'[28]מאזן בוחן'!AD803</f>
        <v>34586.089999999997</v>
      </c>
      <c r="AE912" s="141">
        <f>'[29]מאזן בוחן'!AE809</f>
        <v>0</v>
      </c>
      <c r="AF912" s="141">
        <f>'[30]מאזן בוחן'!AF820</f>
        <v>0</v>
      </c>
      <c r="AG912" s="141">
        <f>'[31]מאזן בוחן'!AG825</f>
        <v>31011.08</v>
      </c>
      <c r="AH912" s="141">
        <v>0</v>
      </c>
      <c r="AI912" s="141">
        <v>0</v>
      </c>
      <c r="AJ912" s="141">
        <v>27436.059999999998</v>
      </c>
      <c r="AK912" s="141">
        <v>0</v>
      </c>
      <c r="AL912" s="141">
        <v>0</v>
      </c>
      <c r="AM912" s="141">
        <f>$K912-SUM($AB912:AL912)</f>
        <v>23861.050000000003</v>
      </c>
      <c r="AN912" s="141"/>
      <c r="AO912" s="141"/>
      <c r="AP912" s="141"/>
      <c r="AQ912" s="141"/>
      <c r="AR912" s="141"/>
      <c r="AS912" s="141"/>
      <c r="AT912" s="141"/>
      <c r="AU912" s="141"/>
      <c r="AV912" s="141"/>
      <c r="AW912" s="141"/>
      <c r="BA912" s="204"/>
    </row>
    <row r="913" spans="1:53">
      <c r="A913" s="52"/>
      <c r="B913" s="3659" t="s">
        <v>1137</v>
      </c>
      <c r="C913" s="585">
        <v>7110055</v>
      </c>
      <c r="D913" s="169" t="s">
        <v>1813</v>
      </c>
      <c r="E913" s="474">
        <f>IFERROR(VLOOKUP(C913,'פקודות נוספות'!$D$274:$F$797,3,0),0)</f>
        <v>156279.57999999999</v>
      </c>
      <c r="F913" s="49">
        <f>SUMIF('פקודות נוספות'!C:C,C:C,'פקודות נוספות'!E:E)</f>
        <v>0</v>
      </c>
      <c r="J913" s="474">
        <f t="shared" si="185"/>
        <v>156279.57999999999</v>
      </c>
      <c r="K913" s="42">
        <f>M913+SUMIF('פקודות נוספות'!C:C,'מאזן בוחן'!C913,'פקודות נוספות'!F:F)</f>
        <v>44567.24</v>
      </c>
      <c r="L913" s="49"/>
      <c r="M913" s="1341">
        <f>IFERROR(VLOOKUP(C913,'פקודות נוספות'!$D$273:$G$797,4,0),0)</f>
        <v>44567.24</v>
      </c>
      <c r="N913" s="1104">
        <f>IF(K913=0,"-",J913/K913)</f>
        <v>3.5066021588951886</v>
      </c>
      <c r="O913" s="1133"/>
      <c r="P913" s="137">
        <v>0</v>
      </c>
      <c r="Q913" s="141">
        <f>'[39]מאזן בוחן'!AE786</f>
        <v>16149.60663914428</v>
      </c>
      <c r="R913" s="137">
        <v>0</v>
      </c>
      <c r="S913" s="137">
        <v>1.3933608557199477</v>
      </c>
      <c r="T913" s="141">
        <f>'[20]מאזן בוחן'!AR852</f>
        <v>15651</v>
      </c>
      <c r="U913" s="141">
        <f>'[21]מאזן בוחן'!AS752</f>
        <v>0</v>
      </c>
      <c r="V913" s="726">
        <f>'[22]מאזן בוחן'!AJ738</f>
        <v>0</v>
      </c>
      <c r="W913" s="726">
        <f>'[23]מאזן בוחן'!AK742</f>
        <v>12453</v>
      </c>
      <c r="X913" s="141">
        <v>0</v>
      </c>
      <c r="Y913" s="141">
        <f>'[25]מאזן בוחן'!AM772</f>
        <v>0</v>
      </c>
      <c r="AA913" s="141">
        <f>'[32]מאזן בוחן'!AO784</f>
        <v>0</v>
      </c>
      <c r="AB913" s="141">
        <f>'[26]מאזן בוחן'!AB783</f>
        <v>0</v>
      </c>
      <c r="AC913" s="141">
        <f>'[27]מאזן בוחן'!AC792</f>
        <v>0</v>
      </c>
      <c r="AD913" s="141">
        <f>'[28]מאזן בוחן'!AD804</f>
        <v>11293.19</v>
      </c>
      <c r="AE913" s="141">
        <f>'[29]מאזן בוחן'!AE810</f>
        <v>0</v>
      </c>
      <c r="AF913" s="141">
        <f>'[30]מאזן בוחן'!AF821</f>
        <v>0</v>
      </c>
      <c r="AG913" s="141">
        <f>'[31]מאזן בוחן'!AG826</f>
        <v>11091.69</v>
      </c>
      <c r="AH913" s="141">
        <v>0</v>
      </c>
      <c r="AI913" s="141">
        <v>0</v>
      </c>
      <c r="AJ913" s="141">
        <v>11091.689999999999</v>
      </c>
      <c r="AK913" s="141">
        <v>0</v>
      </c>
      <c r="AL913" s="141">
        <v>0</v>
      </c>
      <c r="AM913" s="141">
        <f>$K913-SUM($AB913:AL913)</f>
        <v>11090.669999999998</v>
      </c>
      <c r="AN913" s="141"/>
      <c r="AO913" s="141"/>
      <c r="AP913" s="141"/>
      <c r="AQ913" s="141"/>
      <c r="AR913" s="141"/>
      <c r="AS913" s="141"/>
      <c r="AT913" s="141"/>
      <c r="AU913" s="141"/>
      <c r="AV913" s="141"/>
      <c r="AW913" s="141"/>
      <c r="BA913" s="204"/>
    </row>
    <row r="914" spans="1:53">
      <c r="A914" s="52"/>
      <c r="B914" s="3659" t="s">
        <v>1137</v>
      </c>
      <c r="C914" s="585">
        <v>7110066</v>
      </c>
      <c r="D914" s="169" t="s">
        <v>2171</v>
      </c>
      <c r="E914" s="474">
        <f>IFERROR(VLOOKUP(C914,'פקודות נוספות'!$D$274:$F$797,3,0),0)</f>
        <v>255775.87</v>
      </c>
      <c r="F914" s="49">
        <f>SUMIF('פקודות נוספות'!C:C,C:C,'פקודות נוספות'!E:E)</f>
        <v>0</v>
      </c>
      <c r="J914" s="474">
        <f t="shared" si="185"/>
        <v>255775.87</v>
      </c>
      <c r="K914" s="42">
        <f>M914+SUMIF('פקודות נוספות'!C:C,'מאזן בוחן'!C914,'פקודות נוספות'!F:F)</f>
        <v>75665.38</v>
      </c>
      <c r="L914" s="49"/>
      <c r="M914" s="1341">
        <f>IFERROR(VLOOKUP(C914,'פקודות נוספות'!$D$273:$G$797,4,0),0)</f>
        <v>75665.38</v>
      </c>
      <c r="N914" s="1104">
        <f>IF(K914=0,"-",J914/K914)</f>
        <v>3.3803553223416043</v>
      </c>
      <c r="O914" s="1133"/>
      <c r="Q914" s="141">
        <f>'[39]מאזן בוחן'!AE787</f>
        <v>-59885.796351833967</v>
      </c>
      <c r="R914" s="137">
        <v>0</v>
      </c>
      <c r="S914" s="137">
        <v>-0.20364816603250802</v>
      </c>
      <c r="T914" s="141">
        <f>'[20]מאזן בוחן'!AR853</f>
        <v>-35575</v>
      </c>
      <c r="U914" s="141">
        <f>'[21]מאזן בוחן'!AS753</f>
        <v>0</v>
      </c>
      <c r="V914" s="726">
        <f>'[22]מאזן בוחן'!AJ739</f>
        <v>0</v>
      </c>
      <c r="W914" s="726">
        <f>'[23]מאזן בוחן'!AK743</f>
        <v>-56801</v>
      </c>
      <c r="X914" s="141">
        <v>0</v>
      </c>
      <c r="Y914" s="141">
        <f>'[25]מאזן בוחן'!AM773</f>
        <v>0</v>
      </c>
      <c r="AA914" s="141">
        <f>'[32]מאזן בוחן'!AO785</f>
        <v>0</v>
      </c>
      <c r="AB914" s="141">
        <f>'[26]מאזן בוחן'!AB784</f>
        <v>0</v>
      </c>
      <c r="AC914" s="141">
        <f>'[27]מאזן בוחן'!AC793</f>
        <v>0</v>
      </c>
      <c r="AD914" s="141">
        <f>'[28]מאזן בוחן'!AD805</f>
        <v>19541.97</v>
      </c>
      <c r="AE914" s="141">
        <f>'[29]מאזן בוחן'!AE811</f>
        <v>0</v>
      </c>
      <c r="AF914" s="141">
        <f>'[30]מאזן בוחן'!AF822</f>
        <v>0</v>
      </c>
      <c r="AG914" s="141">
        <f>'[31]מאזן בוחן'!AG827</f>
        <v>18827.269999999997</v>
      </c>
      <c r="AH914" s="141">
        <v>0</v>
      </c>
      <c r="AI914" s="141">
        <v>0</v>
      </c>
      <c r="AJ914" s="141">
        <v>18744.64</v>
      </c>
      <c r="AK914" s="141">
        <v>0</v>
      </c>
      <c r="AL914" s="141">
        <v>0</v>
      </c>
      <c r="AM914" s="141">
        <f>$K914-SUM($AB914:AL914)</f>
        <v>18551.500000000007</v>
      </c>
      <c r="AN914" s="141"/>
      <c r="AO914" s="141"/>
      <c r="AP914" s="141"/>
      <c r="AQ914" s="141"/>
      <c r="AR914" s="141"/>
      <c r="AS914" s="141"/>
      <c r="AT914" s="141"/>
      <c r="AU914" s="141"/>
      <c r="AV914" s="141"/>
      <c r="AW914" s="141"/>
      <c r="BA914" s="204"/>
    </row>
    <row r="915" spans="1:53">
      <c r="A915" s="52"/>
      <c r="B915" s="3659" t="s">
        <v>1137</v>
      </c>
      <c r="C915" s="585">
        <v>7110077</v>
      </c>
      <c r="D915" s="169" t="s">
        <v>3543</v>
      </c>
      <c r="E915" s="474">
        <f>IFERROR(VLOOKUP(C915,'פקודות נוספות'!$D$274:$F$797,3,0),0)</f>
        <v>-976486.39</v>
      </c>
      <c r="F915" s="49">
        <f>SUMIF('פקודות נוספות'!C:C,C:C,'פקודות נוספות'!E:E)</f>
        <v>0</v>
      </c>
      <c r="J915" s="474">
        <f t="shared" si="185"/>
        <v>-976486.39</v>
      </c>
      <c r="K915" s="42">
        <f>M915+SUMIF('פקודות נוספות'!C:C,'מאזן בוחן'!C915,'פקודות נוספות'!F:F)</f>
        <v>-304264.96999999997</v>
      </c>
      <c r="L915" s="49"/>
      <c r="M915" s="1341">
        <f>IFERROR(VLOOKUP(C915,'פקודות נוספות'!$D$273:$G$797,4,0),0)</f>
        <v>-304264.96999999997</v>
      </c>
      <c r="N915" s="1104">
        <f>IF(K915=0,"-",J915/K915)</f>
        <v>3.2093289937385827</v>
      </c>
      <c r="O915" s="1133"/>
      <c r="Q915" s="141"/>
      <c r="T915" s="141"/>
      <c r="U915" s="141"/>
      <c r="V915" s="726"/>
      <c r="W915" s="726"/>
      <c r="X915" s="141"/>
      <c r="Y915" s="141"/>
      <c r="AA915" s="141"/>
      <c r="AB915" s="141"/>
      <c r="AC915" s="141"/>
      <c r="AD915" s="141">
        <v>-79785.13</v>
      </c>
      <c r="AE915" s="141">
        <f>'[29]מאזן בוחן'!AE812</f>
        <v>0</v>
      </c>
      <c r="AF915" s="141">
        <f>'[30]מאזן בוחן'!AF823</f>
        <v>0</v>
      </c>
      <c r="AG915" s="141">
        <f>'[31]מאזן בוחן'!AG828</f>
        <v>-65385.869999999995</v>
      </c>
      <c r="AH915" s="141">
        <v>0</v>
      </c>
      <c r="AI915" s="141">
        <v>0</v>
      </c>
      <c r="AJ915" s="141">
        <v>-52447.09</v>
      </c>
      <c r="AK915" s="141">
        <v>0</v>
      </c>
      <c r="AL915" s="141">
        <v>0</v>
      </c>
      <c r="AM915" s="141">
        <f>$K915-SUM($AB915:AL915)</f>
        <v>-106646.87999999998</v>
      </c>
      <c r="AN915" s="141"/>
      <c r="AO915" s="141"/>
      <c r="AP915" s="141"/>
      <c r="AQ915" s="141"/>
      <c r="AR915" s="141"/>
      <c r="AS915" s="141"/>
      <c r="AT915" s="141"/>
      <c r="AU915" s="141"/>
      <c r="AV915" s="141"/>
      <c r="AW915" s="141"/>
      <c r="BA915" s="204"/>
    </row>
    <row r="916" spans="1:53">
      <c r="A916" s="52"/>
      <c r="B916" s="3659" t="s">
        <v>1137</v>
      </c>
      <c r="C916" s="585">
        <v>7110006</v>
      </c>
      <c r="D916" s="169" t="s">
        <v>1242</v>
      </c>
      <c r="E916" s="474">
        <f>IFERROR(VLOOKUP(C916,'פקודות נוספות'!$D$274:$F$797,3,0),0)</f>
        <v>109283.97</v>
      </c>
      <c r="F916" s="49">
        <f>SUMIF('פקודות נוספות'!C:C,C:C,'פקודות נוספות'!E:E)</f>
        <v>0</v>
      </c>
      <c r="J916" s="474">
        <f t="shared" si="185"/>
        <v>109283.97</v>
      </c>
      <c r="K916" s="42">
        <f>M916+SUMIF('פקודות נוספות'!C:C,'מאזן בוחן'!C916,'פקודות נוספות'!F:F)</f>
        <v>33774.370000000003</v>
      </c>
      <c r="L916" s="49"/>
      <c r="M916" s="1341">
        <f>IFERROR(VLOOKUP(C916,'פקודות נוספות'!$D$273:$G$797,4,0),0)</f>
        <v>33774.370000000003</v>
      </c>
      <c r="N916" s="1104">
        <f t="shared" ref="N916:N922" si="186">IF(K916=0,"-",J916/K916)</f>
        <v>3.2357071353218427</v>
      </c>
      <c r="O916" s="1133"/>
      <c r="P916" s="137">
        <v>0</v>
      </c>
      <c r="Q916" s="141">
        <f>'[39]מאזן בוחן'!AE788</f>
        <v>17207.885814271824</v>
      </c>
      <c r="R916" s="137">
        <v>0</v>
      </c>
      <c r="S916" s="137">
        <v>0.11418572817638051</v>
      </c>
      <c r="T916" s="141">
        <f>'[20]מאזן בוחן'!AR854</f>
        <v>6473.3697375046177</v>
      </c>
      <c r="U916" s="141">
        <f>'[21]מאזן בוחן'!AS754</f>
        <v>-0.36973750461766031</v>
      </c>
      <c r="V916" s="726">
        <f>'[22]מאזן בוחן'!AJ740</f>
        <v>0</v>
      </c>
      <c r="W916" s="726">
        <f>'[23]מאזן בוחן'!AK744</f>
        <v>7976.5</v>
      </c>
      <c r="X916" s="141">
        <v>0</v>
      </c>
      <c r="Y916" s="141">
        <f>'[25]מאזן בוחן'!AM774</f>
        <v>0</v>
      </c>
      <c r="AA916" s="141">
        <f>'[32]מאזן בוחן'!AO786</f>
        <v>0</v>
      </c>
      <c r="AB916" s="141">
        <f>'[26]מאזן בוחן'!AB785</f>
        <v>0</v>
      </c>
      <c r="AC916" s="141">
        <f>'[27]מאזן בוחן'!AC794</f>
        <v>0</v>
      </c>
      <c r="AD916" s="141">
        <f>'[28]מאזן בוחן'!AD807</f>
        <v>9977.81</v>
      </c>
      <c r="AE916" s="141">
        <f>'[29]מאזן בוחן'!AE813</f>
        <v>0</v>
      </c>
      <c r="AF916" s="141">
        <f>'[30]מאזן בוחן'!AF824</f>
        <v>0</v>
      </c>
      <c r="AG916" s="141">
        <f>'[31]מאזן בוחן'!AG829</f>
        <v>6617.7700000000023</v>
      </c>
      <c r="AH916" s="141">
        <v>0</v>
      </c>
      <c r="AI916" s="141">
        <v>0</v>
      </c>
      <c r="AJ916" s="141">
        <v>8554.6799999999967</v>
      </c>
      <c r="AK916" s="141">
        <v>0</v>
      </c>
      <c r="AL916" s="141">
        <v>0</v>
      </c>
      <c r="AM916" s="141">
        <f>$K916-SUM($AB916:AL916)</f>
        <v>8624.1100000000042</v>
      </c>
      <c r="AN916" s="141"/>
      <c r="AO916" s="141"/>
      <c r="AP916" s="141"/>
      <c r="AQ916" s="141"/>
      <c r="AR916" s="141"/>
      <c r="AS916" s="141"/>
      <c r="AT916" s="141"/>
      <c r="AU916" s="141"/>
      <c r="AV916" s="141"/>
      <c r="AW916" s="141"/>
      <c r="BA916" s="204"/>
    </row>
    <row r="917" spans="1:53">
      <c r="A917" s="52"/>
      <c r="B917" s="3659" t="s">
        <v>1137</v>
      </c>
      <c r="C917" s="1489">
        <v>7110100</v>
      </c>
      <c r="D917" s="549" t="s">
        <v>1254</v>
      </c>
      <c r="E917" s="474">
        <f>IFERROR(VLOOKUP(C917,'פקודות נוספות'!$D$274:$F$797,3,0),0)</f>
        <v>11236.28</v>
      </c>
      <c r="F917" s="49">
        <f>SUMIF('פקודות נוספות'!C:C,C:C,'פקודות נוספות'!E:E)</f>
        <v>0</v>
      </c>
      <c r="J917" s="474">
        <f t="shared" si="185"/>
        <v>11236.28</v>
      </c>
      <c r="K917" s="42">
        <f>M917+SUMIF('פקודות נוספות'!C:C,'מאזן בוחן'!C917,'פקודות נוספות'!F:F)</f>
        <v>3459.03</v>
      </c>
      <c r="L917" s="49"/>
      <c r="M917" s="1341">
        <f>IFERROR(VLOOKUP(C917,'פקודות נוספות'!$D$273:$G$797,4,0),0)</f>
        <v>3459.03</v>
      </c>
      <c r="N917" s="1104">
        <f t="shared" si="186"/>
        <v>3.2483904447200516</v>
      </c>
      <c r="O917" s="1133"/>
      <c r="P917" s="137">
        <v>0</v>
      </c>
      <c r="Q917" s="141">
        <f>'[39]מאזן בוחן'!AE789</f>
        <v>4818.4830851697379</v>
      </c>
      <c r="R917" s="137">
        <v>89.486114438866025</v>
      </c>
      <c r="S917" s="137">
        <v>-2.7691996086041399</v>
      </c>
      <c r="T917" s="141">
        <f>'[20]מאזן בוחן'!AR855</f>
        <v>4224.95</v>
      </c>
      <c r="U917" s="141">
        <f>'[21]מאזן בוחן'!AS755</f>
        <v>155.64999999999964</v>
      </c>
      <c r="V917" s="726">
        <f>'[22]מאזן בוחן'!AJ741</f>
        <v>127.05000000000109</v>
      </c>
      <c r="W917" s="726">
        <f>'[23]מאזן בוחן'!AK745</f>
        <v>-5103.6900000000005</v>
      </c>
      <c r="X917" s="141">
        <v>23.930000000000291</v>
      </c>
      <c r="Y917" s="141">
        <f>'[25]מאזן בוחן'!AM775</f>
        <v>149.31999999999971</v>
      </c>
      <c r="AA917" s="141">
        <f>'[32]מאזן בוחן'!AO787</f>
        <v>0</v>
      </c>
      <c r="AB917" s="141">
        <f>'[26]מאזן בוחן'!AB786</f>
        <v>0</v>
      </c>
      <c r="AC917" s="141">
        <f>'[27]מאזן בוחן'!AC795</f>
        <v>0</v>
      </c>
      <c r="AD917" s="141">
        <f>'[28]מאזן בוחן'!AD808</f>
        <v>7049.53</v>
      </c>
      <c r="AE917" s="141">
        <f>'[29]מאזן בוחן'!AE814</f>
        <v>188.88000000000011</v>
      </c>
      <c r="AF917" s="141">
        <f>'[30]מאזן בוחן'!AF825</f>
        <v>-188.88000000000011</v>
      </c>
      <c r="AG917" s="141">
        <f>'[31]מאזן בוחן'!AG830</f>
        <v>-287.9399999999996</v>
      </c>
      <c r="AH917" s="141">
        <v>0</v>
      </c>
      <c r="AI917" s="141">
        <v>0</v>
      </c>
      <c r="AJ917" s="141">
        <v>-8884.17</v>
      </c>
      <c r="AK917" s="141">
        <v>0</v>
      </c>
      <c r="AL917" s="141">
        <v>0</v>
      </c>
      <c r="AM917" s="141">
        <f>$K917-SUM($AB917:AL917)</f>
        <v>5581.6100000000006</v>
      </c>
      <c r="AN917" s="141"/>
      <c r="AO917" s="141"/>
      <c r="AP917" s="141"/>
      <c r="AQ917" s="141"/>
      <c r="AR917" s="141"/>
      <c r="AS917" s="141"/>
      <c r="AT917" s="141"/>
      <c r="AU917" s="141"/>
      <c r="AV917" s="141"/>
      <c r="AW917" s="141"/>
      <c r="BA917" s="204"/>
    </row>
    <row r="918" spans="1:53" ht="13.5" thickBot="1">
      <c r="A918" s="52"/>
      <c r="B918" s="3659"/>
      <c r="C918" s="156"/>
      <c r="D918" s="203"/>
      <c r="E918" s="474"/>
      <c r="J918" s="474"/>
      <c r="K918" s="42"/>
      <c r="L918" s="49"/>
      <c r="M918" s="474"/>
      <c r="N918" s="1104" t="str">
        <f t="shared" si="186"/>
        <v>-</v>
      </c>
      <c r="O918" s="1133"/>
      <c r="P918" s="137">
        <v>0</v>
      </c>
      <c r="Q918" s="141">
        <f>'[39]מאזן בוחן'!AE790</f>
        <v>0</v>
      </c>
      <c r="R918" s="137">
        <v>0</v>
      </c>
      <c r="S918" s="137">
        <v>0</v>
      </c>
      <c r="T918" s="141">
        <f>'[20]מאזן בוחן'!AR856</f>
        <v>0</v>
      </c>
      <c r="U918" s="141">
        <f>'[21]מאזן בוחן'!AS756</f>
        <v>0</v>
      </c>
      <c r="V918" s="726">
        <f>'[22]מאזן בוחן'!AJ742</f>
        <v>0</v>
      </c>
      <c r="W918" s="726">
        <f>'[23]מאזן בוחן'!AK746</f>
        <v>0</v>
      </c>
      <c r="X918" s="141">
        <v>0</v>
      </c>
      <c r="Y918" s="141">
        <f>'[25]מאזן בוחן'!AM776</f>
        <v>0</v>
      </c>
      <c r="AA918" s="141">
        <f>'[32]מאזן בוחן'!AO788</f>
        <v>38073.160000000003</v>
      </c>
      <c r="AB918" s="141">
        <f>'[26]מאזן בוחן'!AB787</f>
        <v>0</v>
      </c>
      <c r="AC918" s="141">
        <f>'[27]מאזן בוחן'!AC796</f>
        <v>0</v>
      </c>
      <c r="AD918" s="141">
        <f>'[28]מאזן בוחן'!AD809</f>
        <v>0</v>
      </c>
      <c r="AE918" s="141">
        <f>'[29]מאזן בוחן'!AE815</f>
        <v>0</v>
      </c>
      <c r="AF918" s="141">
        <f>'[30]מאזן בוחן'!AF826</f>
        <v>0</v>
      </c>
      <c r="AG918" s="141">
        <f>'[31]מאזן בוחן'!AG831</f>
        <v>0</v>
      </c>
      <c r="AH918" s="141">
        <v>0</v>
      </c>
      <c r="AI918" s="141">
        <v>0</v>
      </c>
      <c r="AJ918" s="141">
        <v>0</v>
      </c>
      <c r="AK918" s="141">
        <v>0</v>
      </c>
      <c r="AL918" s="141">
        <v>0</v>
      </c>
      <c r="AM918" s="141">
        <f>$K918-SUM($AB918:AL918)</f>
        <v>0</v>
      </c>
      <c r="AN918" s="141"/>
      <c r="AO918" s="141"/>
      <c r="AP918" s="141"/>
      <c r="AQ918" s="141"/>
      <c r="AR918" s="141"/>
      <c r="AS918" s="141"/>
      <c r="AT918" s="141"/>
      <c r="AU918" s="141"/>
      <c r="AV918" s="141"/>
      <c r="AW918" s="141"/>
      <c r="BA918" s="204"/>
    </row>
    <row r="919" spans="1:53" ht="13.5" thickBot="1">
      <c r="A919" s="52"/>
      <c r="B919" s="3659"/>
      <c r="C919" s="1535"/>
      <c r="D919" s="2201"/>
      <c r="E919" s="2200">
        <f t="shared" ref="E919:K919" si="187">SUM(E876:E918)</f>
        <v>12341909.469999999</v>
      </c>
      <c r="F919" s="2200">
        <f t="shared" si="187"/>
        <v>0</v>
      </c>
      <c r="G919" s="907">
        <f t="shared" si="187"/>
        <v>0</v>
      </c>
      <c r="H919" s="907">
        <f t="shared" si="187"/>
        <v>0</v>
      </c>
      <c r="I919" s="907">
        <f t="shared" si="187"/>
        <v>0</v>
      </c>
      <c r="J919" s="907">
        <f t="shared" si="187"/>
        <v>12341909.469999999</v>
      </c>
      <c r="K919" s="907">
        <f t="shared" si="187"/>
        <v>3801200.939999999</v>
      </c>
      <c r="L919" s="49"/>
      <c r="M919" s="907"/>
      <c r="N919" s="1104">
        <f t="shared" si="186"/>
        <v>3.2468447905834732</v>
      </c>
      <c r="O919" s="1133"/>
      <c r="P919" s="137">
        <v>291042.66000000003</v>
      </c>
      <c r="Q919" s="141">
        <f>'[39]מאזן בוחן'!AE791</f>
        <v>501948.01505699474</v>
      </c>
      <c r="R919" s="137">
        <v>347414.95303680107</v>
      </c>
      <c r="S919" s="137">
        <v>296365.70190620411</v>
      </c>
      <c r="T919" s="141">
        <f>'[20]מאזן בוחן'!AR857</f>
        <v>430990.94399875915</v>
      </c>
      <c r="U919" s="141">
        <f>'[21]מאזן בוחן'!AS757</f>
        <v>201507.01600123988</v>
      </c>
      <c r="V919" s="726">
        <f>'[22]מאזן בוחן'!AJ743</f>
        <v>240530.16000000027</v>
      </c>
      <c r="W919" s="726">
        <f>'[23]מאזן בוחן'!AK747</f>
        <v>230388.72000000079</v>
      </c>
      <c r="X919" s="141">
        <v>265633.6800000004</v>
      </c>
      <c r="Y919" s="141">
        <f>'[25]מאזן בוחן'!AM777</f>
        <v>282460.38000000035</v>
      </c>
      <c r="AA919" s="141">
        <f>'[32]מאזן בוחן'!AO789</f>
        <v>11938.599999999999</v>
      </c>
      <c r="AB919" s="141">
        <f>'[26]מאזן בוחן'!AB788</f>
        <v>272354.51</v>
      </c>
      <c r="AC919" s="141">
        <f>'[27]מאזן בוחן'!AC797</f>
        <v>244784.17999999993</v>
      </c>
      <c r="AD919" s="141">
        <f>'[28]מאזן בוחן'!AD810</f>
        <v>436813.45000000007</v>
      </c>
      <c r="AE919" s="141">
        <f>'[29]מאזן בוחן'!AE816</f>
        <v>276757.84999999998</v>
      </c>
      <c r="AF919" s="141">
        <f>'[30]מאזן בוחן'!AF827</f>
        <v>250616.27000000002</v>
      </c>
      <c r="AG919" s="141">
        <f>'[31]מאזן בוחן'!AG832</f>
        <v>384736.00000000047</v>
      </c>
      <c r="AH919" s="141">
        <v>265319.94999999949</v>
      </c>
      <c r="AI919" s="141">
        <v>267595.31000000006</v>
      </c>
      <c r="AJ919" s="141">
        <v>402239.58999999985</v>
      </c>
      <c r="AK919" s="141">
        <v>264011.19999999972</v>
      </c>
      <c r="AL919" s="141">
        <v>249879.56000000052</v>
      </c>
      <c r="AM919" s="141">
        <f>$K919-SUM($AB919:AL919)</f>
        <v>486093.0699999989</v>
      </c>
      <c r="AN919" s="141"/>
      <c r="AO919" s="141"/>
      <c r="AP919" s="141"/>
      <c r="AQ919" s="141"/>
      <c r="AR919" s="141"/>
      <c r="AS919" s="141"/>
      <c r="AT919" s="141"/>
      <c r="AU919" s="141"/>
      <c r="AV919" s="141"/>
      <c r="AW919" s="141"/>
      <c r="BA919" s="204"/>
    </row>
    <row r="920" spans="1:53">
      <c r="A920" s="52"/>
      <c r="B920" s="3659"/>
      <c r="C920" s="1160"/>
      <c r="D920" s="1649"/>
      <c r="E920" s="2197"/>
      <c r="F920" s="2197"/>
      <c r="G920" s="42"/>
      <c r="H920" s="909"/>
      <c r="I920" s="42"/>
      <c r="J920" s="42"/>
      <c r="K920" s="42"/>
      <c r="L920" s="49"/>
      <c r="M920" s="42"/>
      <c r="N920" s="1104" t="str">
        <f t="shared" si="186"/>
        <v>-</v>
      </c>
      <c r="O920" s="1133"/>
      <c r="P920" s="137">
        <v>0</v>
      </c>
      <c r="Q920" s="141">
        <f>'[39]מאזן בוחן'!AE792</f>
        <v>0</v>
      </c>
      <c r="R920" s="137">
        <v>0</v>
      </c>
      <c r="S920" s="137">
        <v>0</v>
      </c>
      <c r="T920" s="141">
        <f>'[20]מאזן בוחן'!AR858</f>
        <v>0</v>
      </c>
      <c r="U920" s="141">
        <f>'[21]מאזן בוחן'!AS758</f>
        <v>0</v>
      </c>
      <c r="V920" s="726">
        <f>'[22]מאזן בוחן'!AJ744</f>
        <v>0</v>
      </c>
      <c r="W920" s="726">
        <f>'[23]מאזן בוחן'!AK748</f>
        <v>0</v>
      </c>
      <c r="X920" s="141">
        <v>0</v>
      </c>
      <c r="Y920" s="141">
        <f>'[25]מאזן בוחן'!AM778</f>
        <v>0</v>
      </c>
      <c r="AA920" s="141">
        <f>'[32]מאזן בוחן'!AO790</f>
        <v>-87733.88</v>
      </c>
      <c r="AB920" s="141">
        <f>'[26]מאזן בוחן'!AB789</f>
        <v>0</v>
      </c>
      <c r="AC920" s="141">
        <f>'[27]מאזן בוחן'!AC798</f>
        <v>0</v>
      </c>
      <c r="AD920" s="141">
        <f>'[28]מאזן בוחן'!AD811</f>
        <v>0</v>
      </c>
      <c r="AE920" s="141">
        <f>'[29]מאזן בוחן'!AE817</f>
        <v>0</v>
      </c>
      <c r="AF920" s="141">
        <f>'[30]מאזן בוחן'!AF828</f>
        <v>0</v>
      </c>
      <c r="AG920" s="141">
        <f>'[31]מאזן בוחן'!AG833</f>
        <v>0</v>
      </c>
      <c r="AH920" s="141">
        <v>0</v>
      </c>
      <c r="AI920" s="141">
        <v>0</v>
      </c>
      <c r="AJ920" s="141">
        <v>0</v>
      </c>
      <c r="AK920" s="141">
        <v>0</v>
      </c>
      <c r="AL920" s="141">
        <v>0</v>
      </c>
      <c r="AM920" s="141">
        <f>$K920-SUM($AB920:AL920)</f>
        <v>0</v>
      </c>
      <c r="AN920" s="141"/>
      <c r="AO920" s="141"/>
      <c r="AP920" s="141"/>
      <c r="AQ920" s="141"/>
      <c r="AR920" s="141"/>
      <c r="AS920" s="141"/>
      <c r="AT920" s="141"/>
      <c r="AU920" s="141"/>
      <c r="AV920" s="141"/>
      <c r="AW920" s="141"/>
      <c r="BA920" s="204"/>
    </row>
    <row r="921" spans="1:53">
      <c r="A921" s="52"/>
      <c r="B921" s="3659"/>
      <c r="C921" s="1160"/>
      <c r="D921" s="1674" t="s">
        <v>87</v>
      </c>
      <c r="E921" s="1202"/>
      <c r="F921" s="1202"/>
      <c r="G921" s="42"/>
      <c r="H921" s="42"/>
      <c r="I921" s="42"/>
      <c r="J921" s="42"/>
      <c r="K921" s="42"/>
      <c r="L921" s="49"/>
      <c r="M921" s="42"/>
      <c r="N921" s="1104" t="str">
        <f t="shared" si="186"/>
        <v>-</v>
      </c>
      <c r="O921" s="1133"/>
      <c r="P921" s="137">
        <v>0</v>
      </c>
      <c r="Q921" s="141">
        <f>'[39]מאזן בוחן'!AE793</f>
        <v>0</v>
      </c>
      <c r="R921" s="137">
        <v>0</v>
      </c>
      <c r="S921" s="137">
        <v>0</v>
      </c>
      <c r="T921" s="141">
        <f>'[20]מאזן בוחן'!AR859</f>
        <v>0</v>
      </c>
      <c r="U921" s="141">
        <f>'[21]מאזן בוחן'!AS759</f>
        <v>0</v>
      </c>
      <c r="V921" s="726">
        <f>'[22]מאזן בוחן'!AJ745</f>
        <v>0</v>
      </c>
      <c r="W921" s="726">
        <f>'[23]מאזן בוחן'!AK749</f>
        <v>0</v>
      </c>
      <c r="X921" s="141">
        <v>0</v>
      </c>
      <c r="Y921" s="141">
        <f>'[25]מאזן בוחן'!AM779</f>
        <v>0</v>
      </c>
      <c r="AA921" s="141">
        <f>'[32]מאזן בוחן'!AO791</f>
        <v>8969.2799999999988</v>
      </c>
      <c r="AB921" s="141">
        <f>'[26]מאזן בוחן'!AB790</f>
        <v>0</v>
      </c>
      <c r="AC921" s="141">
        <f>'[27]מאזן בוחן'!AC799</f>
        <v>0</v>
      </c>
      <c r="AD921" s="141">
        <f>'[28]מאזן בוחן'!AD812</f>
        <v>0</v>
      </c>
      <c r="AE921" s="141">
        <f>'[29]מאזן בוחן'!AE818</f>
        <v>0</v>
      </c>
      <c r="AF921" s="141">
        <f>'[30]מאזן בוחן'!AF829</f>
        <v>0</v>
      </c>
      <c r="AG921" s="141">
        <f>'[31]מאזן בוחן'!AG834</f>
        <v>0</v>
      </c>
      <c r="AH921" s="141">
        <v>0</v>
      </c>
      <c r="AI921" s="141">
        <v>0</v>
      </c>
      <c r="AJ921" s="141">
        <v>0</v>
      </c>
      <c r="AK921" s="141">
        <v>0</v>
      </c>
      <c r="AL921" s="141">
        <v>0</v>
      </c>
      <c r="AM921" s="141">
        <f>$K921-SUM($AB921:AL921)</f>
        <v>0</v>
      </c>
      <c r="AN921" s="141"/>
      <c r="AO921" s="141"/>
      <c r="AP921" s="141"/>
      <c r="AQ921" s="141"/>
      <c r="AR921" s="141"/>
      <c r="AS921" s="141"/>
      <c r="AT921" s="141"/>
      <c r="AU921" s="141"/>
      <c r="AV921" s="141"/>
      <c r="AW921" s="141"/>
      <c r="BA921" s="204"/>
    </row>
    <row r="922" spans="1:53">
      <c r="A922" s="52"/>
      <c r="B922" s="3659"/>
      <c r="C922" s="1160"/>
      <c r="D922" s="203"/>
      <c r="E922" s="1202"/>
      <c r="F922" s="1202"/>
      <c r="G922" s="42"/>
      <c r="H922" s="42"/>
      <c r="I922" s="42"/>
      <c r="J922" s="474">
        <f>SUM(E922:I922)</f>
        <v>0</v>
      </c>
      <c r="K922" s="474"/>
      <c r="L922" s="49"/>
      <c r="M922" s="474"/>
      <c r="N922" s="1104" t="str">
        <f t="shared" si="186"/>
        <v>-</v>
      </c>
      <c r="O922" s="1133"/>
      <c r="P922" s="137">
        <v>0</v>
      </c>
      <c r="Q922" s="141">
        <f>'[39]מאזן בוחן'!AE794</f>
        <v>0</v>
      </c>
      <c r="R922" s="137">
        <v>0</v>
      </c>
      <c r="S922" s="137">
        <v>0</v>
      </c>
      <c r="T922" s="141">
        <f>'[20]מאזן בוחן'!AR860</f>
        <v>0</v>
      </c>
      <c r="U922" s="141">
        <f>'[21]מאזן בוחן'!AS760</f>
        <v>0</v>
      </c>
      <c r="V922" s="726">
        <f>'[22]מאזן בוחן'!AJ746</f>
        <v>0</v>
      </c>
      <c r="W922" s="726">
        <f>'[23]מאזן בוחן'!AK750</f>
        <v>0</v>
      </c>
      <c r="X922" s="141">
        <v>0</v>
      </c>
      <c r="Y922" s="141">
        <f>'[25]מאזן בוחן'!AM780</f>
        <v>0</v>
      </c>
      <c r="AA922" s="141">
        <f>'[32]מאזן בוחן'!AO792</f>
        <v>4660.59</v>
      </c>
      <c r="AB922" s="141">
        <f>'[26]מאזן בוחן'!AB791</f>
        <v>0</v>
      </c>
      <c r="AC922" s="141">
        <f>'[27]מאזן בוחן'!AC800</f>
        <v>0</v>
      </c>
      <c r="AD922" s="141">
        <f>'[28]מאזן בוחן'!AD813</f>
        <v>0</v>
      </c>
      <c r="AE922" s="141">
        <f>'[29]מאזן בוחן'!AE819</f>
        <v>0</v>
      </c>
      <c r="AF922" s="141">
        <f>'[30]מאזן בוחן'!AF830</f>
        <v>0</v>
      </c>
      <c r="AG922" s="141">
        <f>'[31]מאזן בוחן'!AG835</f>
        <v>0</v>
      </c>
      <c r="AH922" s="141">
        <v>0</v>
      </c>
      <c r="AI922" s="141">
        <v>0</v>
      </c>
      <c r="AJ922" s="141">
        <v>0</v>
      </c>
      <c r="AK922" s="141">
        <v>0</v>
      </c>
      <c r="AL922" s="141">
        <v>0</v>
      </c>
      <c r="AM922" s="141">
        <f>$K922-SUM($AB922:AL922)</f>
        <v>0</v>
      </c>
      <c r="AN922" s="141"/>
      <c r="AO922" s="141"/>
      <c r="AP922" s="141"/>
      <c r="AQ922" s="141"/>
      <c r="AR922" s="141"/>
      <c r="AS922" s="141"/>
      <c r="AT922" s="141"/>
      <c r="AU922" s="141"/>
      <c r="AV922" s="141"/>
      <c r="AW922" s="141"/>
      <c r="BA922" s="204"/>
    </row>
    <row r="923" spans="1:53">
      <c r="A923" s="52"/>
      <c r="B923" s="3659"/>
      <c r="C923" s="1160"/>
      <c r="D923" s="1649"/>
      <c r="E923" s="2198"/>
      <c r="F923" s="2198"/>
      <c r="G923" s="42"/>
      <c r="H923" s="1536"/>
      <c r="I923" s="42"/>
      <c r="J923" s="42"/>
      <c r="K923" s="42"/>
      <c r="L923" s="49"/>
      <c r="M923" s="42"/>
      <c r="N923" s="1104" t="str">
        <f t="shared" ref="N923:N928" si="188">IF(K923=0,"-",J923/K923)</f>
        <v>-</v>
      </c>
      <c r="O923" s="1133"/>
      <c r="P923" s="137">
        <v>0</v>
      </c>
      <c r="Q923" s="141">
        <f>'[39]מאזן בוחן'!AE795</f>
        <v>0</v>
      </c>
      <c r="R923" s="137">
        <v>0</v>
      </c>
      <c r="S923" s="137">
        <v>0</v>
      </c>
      <c r="T923" s="141">
        <f>'[20]מאזן בוחן'!AR861</f>
        <v>0</v>
      </c>
      <c r="U923" s="141">
        <f>'[21]מאזן בוחן'!AS761</f>
        <v>0</v>
      </c>
      <c r="V923" s="726">
        <f>'[22]מאזן בוחן'!AJ747</f>
        <v>0</v>
      </c>
      <c r="W923" s="726">
        <f>'[23]מאזן בוחן'!AK751</f>
        <v>0</v>
      </c>
      <c r="X923" s="141">
        <v>0</v>
      </c>
      <c r="Y923" s="141">
        <f>'[25]מאזן בוחן'!AM781</f>
        <v>0</v>
      </c>
      <c r="AA923" s="141">
        <f>'[32]מאזן בוחן'!AO793</f>
        <v>0</v>
      </c>
      <c r="AB923" s="141">
        <f>'[26]מאזן בוחן'!AB792</f>
        <v>0</v>
      </c>
      <c r="AC923" s="141">
        <f>'[27]מאזן בוחן'!AC801</f>
        <v>0</v>
      </c>
      <c r="AD923" s="141">
        <f>'[28]מאזן בוחן'!AD814</f>
        <v>0</v>
      </c>
      <c r="AE923" s="141">
        <f>'[29]מאזן בוחן'!AE820</f>
        <v>0</v>
      </c>
      <c r="AF923" s="141">
        <f>'[30]מאזן בוחן'!AF831</f>
        <v>0</v>
      </c>
      <c r="AG923" s="141">
        <f>'[31]מאזן בוחן'!AG836</f>
        <v>0</v>
      </c>
      <c r="AH923" s="141">
        <v>0</v>
      </c>
      <c r="AI923" s="141">
        <v>0</v>
      </c>
      <c r="AJ923" s="141">
        <v>0</v>
      </c>
      <c r="AK923" s="141">
        <v>0</v>
      </c>
      <c r="AL923" s="141">
        <v>0</v>
      </c>
      <c r="AM923" s="141">
        <f>$K923-SUM($AB923:AL923)</f>
        <v>0</v>
      </c>
      <c r="AN923" s="141"/>
      <c r="AO923" s="141"/>
      <c r="AP923" s="141"/>
      <c r="AQ923" s="141"/>
      <c r="AR923" s="141"/>
      <c r="AS923" s="141"/>
      <c r="AT923" s="141"/>
      <c r="AU923" s="141"/>
      <c r="AV923" s="141"/>
      <c r="AW923" s="141"/>
      <c r="BA923" s="204"/>
    </row>
    <row r="924" spans="1:53" ht="13.5" thickBot="1">
      <c r="A924" s="52"/>
      <c r="B924" s="3659"/>
      <c r="C924" s="1167"/>
      <c r="D924" s="2203"/>
      <c r="E924" s="2202">
        <f t="shared" ref="E924:K924" si="189">SUM(E922:E923)</f>
        <v>0</v>
      </c>
      <c r="F924" s="2202">
        <f>SUM(F922:F923)</f>
        <v>0</v>
      </c>
      <c r="G924" s="1537">
        <f t="shared" si="189"/>
        <v>0</v>
      </c>
      <c r="H924" s="1537">
        <f t="shared" si="189"/>
        <v>0</v>
      </c>
      <c r="I924" s="1537">
        <f t="shared" si="189"/>
        <v>0</v>
      </c>
      <c r="J924" s="1537">
        <f t="shared" si="189"/>
        <v>0</v>
      </c>
      <c r="K924" s="1537">
        <f t="shared" si="189"/>
        <v>0</v>
      </c>
      <c r="L924" s="49"/>
      <c r="M924" s="1537"/>
      <c r="N924" s="1104" t="str">
        <f t="shared" si="188"/>
        <v>-</v>
      </c>
      <c r="O924" s="1133"/>
      <c r="P924" s="137">
        <v>0</v>
      </c>
      <c r="Q924" s="141">
        <f>'[39]מאזן בוחן'!AE796</f>
        <v>0</v>
      </c>
      <c r="R924" s="137">
        <v>0</v>
      </c>
      <c r="S924" s="137">
        <v>0</v>
      </c>
      <c r="T924" s="141">
        <f>'[20]מאזן בוחן'!AR862</f>
        <v>0</v>
      </c>
      <c r="U924" s="141">
        <f>'[21]מאזן בוחן'!AS762</f>
        <v>0</v>
      </c>
      <c r="V924" s="726">
        <f>'[22]מאזן בוחן'!AJ748</f>
        <v>0</v>
      </c>
      <c r="W924" s="726">
        <f>'[23]מאזן בוחן'!AK752</f>
        <v>0</v>
      </c>
      <c r="X924" s="141">
        <v>0</v>
      </c>
      <c r="Y924" s="141">
        <f>'[25]מאזן בוחן'!AM782</f>
        <v>0</v>
      </c>
      <c r="AA924" s="141">
        <f>'[32]מאזן בוחן'!AO794</f>
        <v>385675.12999999989</v>
      </c>
      <c r="AB924" s="141">
        <f>'[26]מאזן בוחן'!AB793</f>
        <v>0</v>
      </c>
      <c r="AC924" s="141">
        <f>'[27]מאזן בוחן'!AC802</f>
        <v>0</v>
      </c>
      <c r="AD924" s="141">
        <f>'[28]מאזן בוחן'!AD815</f>
        <v>0</v>
      </c>
      <c r="AE924" s="141">
        <f>'[29]מאזן בוחן'!AE821</f>
        <v>0</v>
      </c>
      <c r="AF924" s="141">
        <f>'[30]מאזן בוחן'!AF832</f>
        <v>0</v>
      </c>
      <c r="AG924" s="141">
        <f>'[31]מאזן בוחן'!AG837</f>
        <v>0</v>
      </c>
      <c r="AH924" s="141">
        <v>0</v>
      </c>
      <c r="AI924" s="141">
        <v>0</v>
      </c>
      <c r="AJ924" s="141">
        <v>0</v>
      </c>
      <c r="AK924" s="141">
        <v>0</v>
      </c>
      <c r="AL924" s="141">
        <v>0</v>
      </c>
      <c r="AM924" s="141">
        <f>$K924-SUM($AB924:AL924)</f>
        <v>0</v>
      </c>
      <c r="AN924" s="141"/>
      <c r="AO924" s="141"/>
      <c r="AP924" s="141"/>
      <c r="AQ924" s="141"/>
      <c r="AR924" s="141"/>
      <c r="AS924" s="141"/>
      <c r="AT924" s="141"/>
      <c r="AU924" s="141"/>
      <c r="AV924" s="141"/>
      <c r="AW924" s="141"/>
      <c r="BA924" s="204"/>
    </row>
    <row r="925" spans="1:53">
      <c r="A925" s="52"/>
      <c r="B925" s="3659"/>
      <c r="C925" s="1160"/>
      <c r="D925" s="1649"/>
      <c r="E925" s="2197"/>
      <c r="J925" s="474"/>
      <c r="K925" s="474"/>
      <c r="L925" s="49"/>
      <c r="M925" s="474"/>
      <c r="N925" s="1104" t="str">
        <f t="shared" si="188"/>
        <v>-</v>
      </c>
      <c r="O925" s="1133"/>
      <c r="P925" s="137">
        <v>0</v>
      </c>
      <c r="Q925" s="141">
        <f>'[39]מאזן בוחן'!AE797</f>
        <v>0</v>
      </c>
      <c r="R925" s="137">
        <v>0</v>
      </c>
      <c r="S925" s="137">
        <v>0</v>
      </c>
      <c r="T925" s="141">
        <f>'[20]מאזן בוחן'!AR863</f>
        <v>0</v>
      </c>
      <c r="U925" s="141">
        <f>'[21]מאזן בוחן'!AS763</f>
        <v>0</v>
      </c>
      <c r="V925" s="726">
        <f>'[22]מאזן בוחן'!AJ749</f>
        <v>0</v>
      </c>
      <c r="W925" s="726">
        <f>'[23]מאזן בוחן'!AK753</f>
        <v>0</v>
      </c>
      <c r="X925" s="141">
        <v>0</v>
      </c>
      <c r="Y925" s="141">
        <f>'[25]מאזן בוחן'!AM783</f>
        <v>0</v>
      </c>
      <c r="AA925" s="141">
        <f>'[32]מאזן בוחן'!AO795</f>
        <v>0</v>
      </c>
      <c r="AB925" s="141">
        <f>'[26]מאזן בוחן'!AB794</f>
        <v>0</v>
      </c>
      <c r="AC925" s="141">
        <f>'[27]מאזן בוחן'!AC803</f>
        <v>0</v>
      </c>
      <c r="AD925" s="141">
        <f>'[28]מאזן בוחן'!AD816</f>
        <v>0</v>
      </c>
      <c r="AE925" s="141">
        <f>'[29]מאזן בוחן'!AE822</f>
        <v>0</v>
      </c>
      <c r="AF925" s="141">
        <f>'[30]מאזן בוחן'!AF833</f>
        <v>0</v>
      </c>
      <c r="AG925" s="141">
        <f>'[31]מאזן בוחן'!AG838</f>
        <v>0</v>
      </c>
      <c r="AH925" s="141">
        <v>0</v>
      </c>
      <c r="AI925" s="141">
        <v>0</v>
      </c>
      <c r="AJ925" s="141">
        <v>0</v>
      </c>
      <c r="AK925" s="141">
        <v>0</v>
      </c>
      <c r="AL925" s="141">
        <v>0</v>
      </c>
      <c r="AM925" s="141">
        <f>$K925-SUM($AB925:AL925)</f>
        <v>0</v>
      </c>
      <c r="AN925" s="141"/>
      <c r="AO925" s="141"/>
      <c r="AP925" s="141"/>
      <c r="AQ925" s="141"/>
      <c r="AR925" s="141"/>
      <c r="AS925" s="141"/>
      <c r="AT925" s="141"/>
      <c r="AU925" s="141"/>
      <c r="AV925" s="141"/>
      <c r="AW925" s="141"/>
      <c r="BA925" s="204"/>
    </row>
    <row r="926" spans="1:53">
      <c r="A926" s="52"/>
      <c r="B926" s="3659"/>
      <c r="C926" s="1160"/>
      <c r="D926" s="607" t="s">
        <v>1125</v>
      </c>
      <c r="E926" s="1202"/>
      <c r="J926" s="474"/>
      <c r="K926" s="474"/>
      <c r="L926" s="49"/>
      <c r="M926" s="474"/>
      <c r="N926" s="1104" t="str">
        <f t="shared" si="188"/>
        <v>-</v>
      </c>
      <c r="O926" s="1133"/>
      <c r="P926" s="137">
        <v>0</v>
      </c>
      <c r="Q926" s="141">
        <f>'[39]מאזן בוחן'!AE798</f>
        <v>0</v>
      </c>
      <c r="R926" s="137">
        <v>0</v>
      </c>
      <c r="S926" s="137">
        <v>0</v>
      </c>
      <c r="T926" s="141">
        <f>'[20]מאזן בוחן'!AR864</f>
        <v>0</v>
      </c>
      <c r="U926" s="141">
        <f>'[21]מאזן בוחן'!AS764</f>
        <v>0</v>
      </c>
      <c r="V926" s="726">
        <f>'[22]מאזן בוחן'!AJ750</f>
        <v>0</v>
      </c>
      <c r="W926" s="726">
        <f>'[23]מאזן בוחן'!AK754</f>
        <v>0</v>
      </c>
      <c r="X926" s="141">
        <v>0</v>
      </c>
      <c r="Y926" s="141">
        <f>'[25]מאזן בוחן'!AM784</f>
        <v>0</v>
      </c>
      <c r="AA926" s="141">
        <f>'[32]מאזן בוחן'!AO796</f>
        <v>0</v>
      </c>
      <c r="AB926" s="141">
        <f>'[26]מאזן בוחן'!AB795</f>
        <v>0</v>
      </c>
      <c r="AC926" s="141">
        <f>'[27]מאזן בוחן'!AC804</f>
        <v>0</v>
      </c>
      <c r="AD926" s="141">
        <f>'[28]מאזן בוחן'!AD817</f>
        <v>0</v>
      </c>
      <c r="AE926" s="141">
        <f>'[29]מאזן בוחן'!AE823</f>
        <v>0</v>
      </c>
      <c r="AF926" s="141">
        <f>'[30]מאזן בוחן'!AF834</f>
        <v>0</v>
      </c>
      <c r="AG926" s="141">
        <f>'[31]מאזן בוחן'!AG839</f>
        <v>0</v>
      </c>
      <c r="AH926" s="141">
        <v>0</v>
      </c>
      <c r="AI926" s="141">
        <v>0</v>
      </c>
      <c r="AJ926" s="141">
        <v>0</v>
      </c>
      <c r="AK926" s="141">
        <v>0</v>
      </c>
      <c r="AL926" s="141">
        <v>0</v>
      </c>
      <c r="AM926" s="141">
        <f>$K926-SUM($AB926:AL926)</f>
        <v>0</v>
      </c>
      <c r="AN926" s="141"/>
      <c r="AO926" s="141"/>
      <c r="AP926" s="141"/>
      <c r="AQ926" s="141"/>
      <c r="AR926" s="141"/>
      <c r="AS926" s="141"/>
      <c r="AT926" s="141"/>
      <c r="AU926" s="141"/>
      <c r="AV926" s="141"/>
      <c r="AW926" s="141"/>
      <c r="BA926" s="204"/>
    </row>
    <row r="927" spans="1:53">
      <c r="A927" s="52"/>
      <c r="B927" s="3659"/>
      <c r="C927" s="1160"/>
      <c r="D927" s="607"/>
      <c r="E927" s="1202"/>
      <c r="J927" s="474"/>
      <c r="K927" s="474"/>
      <c r="L927" s="49"/>
      <c r="M927" s="474"/>
      <c r="N927" s="1104" t="str">
        <f t="shared" si="188"/>
        <v>-</v>
      </c>
      <c r="O927" s="1133"/>
      <c r="P927" s="137">
        <v>0</v>
      </c>
      <c r="Q927" s="141">
        <f>'[39]מאזן בוחן'!AE799</f>
        <v>0</v>
      </c>
      <c r="R927" s="137">
        <v>0</v>
      </c>
      <c r="S927" s="137">
        <v>0</v>
      </c>
      <c r="T927" s="141">
        <f>'[20]מאזן בוחן'!AR865</f>
        <v>0</v>
      </c>
      <c r="U927" s="141">
        <f>'[21]מאזן בוחן'!AS765</f>
        <v>0</v>
      </c>
      <c r="V927" s="726">
        <f>'[22]מאזן בוחן'!AJ751</f>
        <v>0</v>
      </c>
      <c r="W927" s="726">
        <f>'[23]מאזן בוחן'!AK755</f>
        <v>0</v>
      </c>
      <c r="X927" s="141">
        <v>0</v>
      </c>
      <c r="Y927" s="141">
        <f>'[25]מאזן בוחן'!AM785</f>
        <v>0</v>
      </c>
      <c r="AA927" s="141">
        <f>'[32]מאזן בוחן'!AO797</f>
        <v>0</v>
      </c>
      <c r="AB927" s="141">
        <f>'[26]מאזן בוחן'!AB796</f>
        <v>0</v>
      </c>
      <c r="AC927" s="141">
        <f>'[27]מאזן בוחן'!AC805</f>
        <v>0</v>
      </c>
      <c r="AD927" s="141">
        <f>'[28]מאזן בוחן'!AD818</f>
        <v>0</v>
      </c>
      <c r="AE927" s="141">
        <f>'[29]מאזן בוחן'!AE824</f>
        <v>0</v>
      </c>
      <c r="AF927" s="141">
        <f>'[30]מאזן בוחן'!AF835</f>
        <v>0</v>
      </c>
      <c r="AG927" s="141">
        <f>'[31]מאזן בוחן'!AG840</f>
        <v>0</v>
      </c>
      <c r="AH927" s="141">
        <v>0</v>
      </c>
      <c r="AI927" s="141">
        <v>0</v>
      </c>
      <c r="AJ927" s="141">
        <v>0</v>
      </c>
      <c r="AK927" s="141">
        <v>0</v>
      </c>
      <c r="AL927" s="141">
        <v>0</v>
      </c>
      <c r="AM927" s="141">
        <f>$K927-SUM($AB927:AL927)</f>
        <v>0</v>
      </c>
      <c r="AN927" s="141"/>
      <c r="AO927" s="141"/>
      <c r="AP927" s="141"/>
      <c r="AQ927" s="141"/>
      <c r="AR927" s="141"/>
      <c r="AS927" s="141"/>
      <c r="AT927" s="141"/>
      <c r="AU927" s="141"/>
      <c r="AV927" s="141"/>
      <c r="AW927" s="141"/>
      <c r="BA927" s="204"/>
    </row>
    <row r="928" spans="1:53">
      <c r="A928" s="52"/>
      <c r="B928" s="3659" t="s">
        <v>558</v>
      </c>
      <c r="C928" s="585">
        <v>7020001</v>
      </c>
      <c r="D928" s="203" t="s">
        <v>1126</v>
      </c>
      <c r="E928" s="474">
        <f>IFERROR(VLOOKUP(C928,'פקודות נוספות'!$D$274:$F$797,3,0),0)</f>
        <v>15044.98</v>
      </c>
      <c r="F928" s="49">
        <f>SUMIF('פקודות נוספות'!C:C,C:C,'פקודות נוספות'!E:E)</f>
        <v>0</v>
      </c>
      <c r="J928" s="474">
        <f>SUM(E928:I928)</f>
        <v>15044.98</v>
      </c>
      <c r="K928" s="42">
        <f>M928+SUMIF('פקודות נוספות'!C:C,'מאזן בוחן'!C928,'פקודות נוספות'!F:F)</f>
        <v>4782.43</v>
      </c>
      <c r="L928" s="49"/>
      <c r="M928" s="1341">
        <f>IFERROR(VLOOKUP(C928,'פקודות נוספות'!$D$273:$G$797,4,0),0)</f>
        <v>4782.43</v>
      </c>
      <c r="N928" s="1104">
        <f t="shared" si="188"/>
        <v>3.1458860871983485</v>
      </c>
      <c r="O928" s="1133"/>
      <c r="P928" s="137">
        <v>5015.83</v>
      </c>
      <c r="Q928" s="141">
        <f>'[39]מאזן בוחן'!AE800</f>
        <v>688.57999999999993</v>
      </c>
      <c r="R928" s="137">
        <v>0</v>
      </c>
      <c r="S928" s="137">
        <v>-2047.9699999999993</v>
      </c>
      <c r="T928" s="141">
        <f>'[20]מאזן בוחן'!AR866</f>
        <v>0</v>
      </c>
      <c r="U928" s="141">
        <f>'[21]מאזן בוחן'!AS766</f>
        <v>0</v>
      </c>
      <c r="V928" s="726">
        <f>'[22]מאזן בוחן'!AJ752</f>
        <v>0</v>
      </c>
      <c r="W928" s="726">
        <f>'[23]מאזן בוחן'!AK756</f>
        <v>0</v>
      </c>
      <c r="X928" s="141">
        <v>0</v>
      </c>
      <c r="Y928" s="141">
        <f>'[25]מאזן בוחן'!AM786</f>
        <v>0</v>
      </c>
      <c r="AA928" s="141">
        <f>'[32]מאזן בוחן'!AO798</f>
        <v>0</v>
      </c>
      <c r="AB928" s="141">
        <f>'[26]מאזן בוחן'!AB797</f>
        <v>0</v>
      </c>
      <c r="AC928" s="141">
        <f>'[27]מאזן בוחן'!AC806</f>
        <v>0</v>
      </c>
      <c r="AD928" s="141">
        <f>'[28]מאזן בוחן'!AD819</f>
        <v>0</v>
      </c>
      <c r="AE928" s="141">
        <f>'[29]מאזן בוחן'!AE825</f>
        <v>0</v>
      </c>
      <c r="AF928" s="141">
        <f>'[30]מאזן בוחן'!AF836</f>
        <v>0</v>
      </c>
      <c r="AG928" s="141">
        <f>'[31]מאזן בוחן'!AG841</f>
        <v>0</v>
      </c>
      <c r="AH928" s="141">
        <v>-3087.11</v>
      </c>
      <c r="AI928" s="141">
        <v>2976.2400000000002</v>
      </c>
      <c r="AJ928" s="141">
        <v>-1.1368683772161603E-13</v>
      </c>
      <c r="AK928" s="141">
        <v>2738.48</v>
      </c>
      <c r="AL928" s="141">
        <v>1894.5499999999997</v>
      </c>
      <c r="AM928" s="141">
        <f>$K928-SUM($AB928:AL928)</f>
        <v>260.27000000000044</v>
      </c>
      <c r="AN928" s="141"/>
      <c r="AO928" s="141"/>
      <c r="AP928" s="141"/>
      <c r="AQ928" s="141"/>
      <c r="AR928" s="141"/>
      <c r="AS928" s="141"/>
      <c r="AT928" s="141"/>
      <c r="AU928" s="141"/>
      <c r="AV928" s="141"/>
      <c r="AW928" s="141"/>
      <c r="BA928" s="204"/>
    </row>
    <row r="929" spans="1:53">
      <c r="A929" s="52"/>
      <c r="B929" s="3659" t="s">
        <v>558</v>
      </c>
      <c r="C929" s="585">
        <v>7020002</v>
      </c>
      <c r="D929" s="203" t="s">
        <v>1127</v>
      </c>
      <c r="E929" s="474">
        <f>IFERROR(VLOOKUP(C929,'פקודות נוספות'!$D$274:$F$797,3,0),0)</f>
        <v>7147.06</v>
      </c>
      <c r="F929" s="49">
        <f>SUMIF('פקודות נוספות'!C:C,C:C,'פקודות נוספות'!E:E)</f>
        <v>0</v>
      </c>
      <c r="J929" s="474">
        <f>SUM(E929:I929)</f>
        <v>7147.06</v>
      </c>
      <c r="K929" s="42">
        <f>M929+SUMIF('פקודות נוספות'!C:C,'מאזן בוחן'!C929,'פקודות נוספות'!F:F)</f>
        <v>2275.66</v>
      </c>
      <c r="L929" s="49"/>
      <c r="M929" s="1341">
        <f>IFERROR(VLOOKUP(C929,'פקודות נוספות'!$D$273:$G$797,4,0),0)</f>
        <v>2275.66</v>
      </c>
      <c r="N929" s="1104">
        <f>IF(K929=0,"-",J929/K929)</f>
        <v>3.1406537004649207</v>
      </c>
      <c r="O929" s="1133"/>
      <c r="P929" s="137">
        <v>1132.57</v>
      </c>
      <c r="Q929" s="141">
        <f>'[39]מאזן בוחן'!AE801</f>
        <v>3521.4800000000005</v>
      </c>
      <c r="R929" s="137">
        <v>0</v>
      </c>
      <c r="S929" s="137">
        <v>0</v>
      </c>
      <c r="T929" s="141">
        <f>'[20]מאזן בוחן'!AR867</f>
        <v>0</v>
      </c>
      <c r="U929" s="141">
        <f>'[21]מאזן בוחן'!AS767</f>
        <v>0</v>
      </c>
      <c r="V929" s="726">
        <f>'[22]מאזן בוחן'!AJ753</f>
        <v>0</v>
      </c>
      <c r="W929" s="726">
        <f>'[23]מאזן בוחן'!AK757</f>
        <v>-2.5579538487363607E-13</v>
      </c>
      <c r="X929" s="141">
        <v>-2.5579538487363607E-13</v>
      </c>
      <c r="Y929" s="141">
        <f>'[25]מאזן בוחן'!AM787</f>
        <v>0</v>
      </c>
      <c r="AA929" s="141">
        <f>'[32]מאזן בוחן'!AO799</f>
        <v>0</v>
      </c>
      <c r="AB929" s="141">
        <f>'[26]מאזן בוחן'!AB798</f>
        <v>0</v>
      </c>
      <c r="AC929" s="141">
        <f>'[27]מאזן בוחן'!AC807</f>
        <v>0</v>
      </c>
      <c r="AD929" s="141">
        <f>'[28]מאזן בוחן'!AD820</f>
        <v>0</v>
      </c>
      <c r="AE929" s="141">
        <f>'[29]מאזן בוחן'!AE826</f>
        <v>0</v>
      </c>
      <c r="AF929" s="141">
        <f>'[30]מאזן בוחן'!AF837</f>
        <v>0</v>
      </c>
      <c r="AG929" s="141">
        <f>'[31]מאזן בוחן'!AG842</f>
        <v>0</v>
      </c>
      <c r="AH929" s="141">
        <v>0</v>
      </c>
      <c r="AI929" s="141">
        <v>664.23</v>
      </c>
      <c r="AJ929" s="141">
        <v>0</v>
      </c>
      <c r="AK929" s="141">
        <v>0</v>
      </c>
      <c r="AL929" s="141">
        <v>1611.4299999999998</v>
      </c>
      <c r="AM929" s="141">
        <f>$K929-SUM($AB929:AL929)</f>
        <v>0</v>
      </c>
      <c r="AN929" s="141"/>
      <c r="AO929" s="141"/>
      <c r="AP929" s="141"/>
      <c r="AQ929" s="141"/>
      <c r="AR929" s="141"/>
      <c r="AS929" s="141"/>
      <c r="AT929" s="141"/>
      <c r="AU929" s="141"/>
      <c r="AV929" s="141"/>
      <c r="AW929" s="141"/>
      <c r="BA929" s="204"/>
    </row>
    <row r="930" spans="1:53">
      <c r="A930" s="52"/>
      <c r="B930" s="3659" t="s">
        <v>558</v>
      </c>
      <c r="C930" s="585">
        <v>7020003</v>
      </c>
      <c r="D930" s="203" t="s">
        <v>1128</v>
      </c>
      <c r="E930" s="474">
        <f>IFERROR(VLOOKUP(C930,'פקודות נוספות'!$D$274:$F$797,3,0),0)</f>
        <v>4844.78</v>
      </c>
      <c r="F930" s="49">
        <f>SUMIF('פקודות נוספות'!C:C,C:C,'פקודות נוספות'!E:E)</f>
        <v>0</v>
      </c>
      <c r="J930" s="474">
        <f>SUM(E930:I930)</f>
        <v>4844.78</v>
      </c>
      <c r="K930" s="42">
        <f>M930+SUMIF('פקודות נוספות'!C:C,'מאזן בוחן'!C930,'פקודות נוספות'!F:F)</f>
        <v>1546.44</v>
      </c>
      <c r="L930" s="49"/>
      <c r="M930" s="1341">
        <f>IFERROR(VLOOKUP(C930,'פקודות נוספות'!$D$273:$G$797,4,0),0)</f>
        <v>1546.44</v>
      </c>
      <c r="N930" s="1104">
        <f>IF(K930=0,"-",J930/K930)</f>
        <v>3.1328599881017043</v>
      </c>
      <c r="O930" s="1133"/>
      <c r="P930" s="137">
        <v>1499.04</v>
      </c>
      <c r="Q930" s="141">
        <f>'[39]מאזן בוחן'!AE802</f>
        <v>3965.9700000000003</v>
      </c>
      <c r="R930" s="137">
        <v>0</v>
      </c>
      <c r="S930" s="137">
        <v>0</v>
      </c>
      <c r="T930" s="141">
        <f>'[20]מאזן בוחן'!AR868</f>
        <v>0</v>
      </c>
      <c r="U930" s="141">
        <f>'[21]מאזן בוחן'!AS768</f>
        <v>0</v>
      </c>
      <c r="V930" s="726">
        <f>'[22]מאזן בוחן'!AJ754</f>
        <v>0</v>
      </c>
      <c r="W930" s="726">
        <f>'[23]מאזן בוחן'!AK758</f>
        <v>0</v>
      </c>
      <c r="X930" s="141">
        <v>0</v>
      </c>
      <c r="Y930" s="141">
        <f>'[25]מאזן בוחן'!AM788</f>
        <v>0</v>
      </c>
      <c r="AA930" s="141">
        <f>'[32]מאזן בוחן'!AO800</f>
        <v>0</v>
      </c>
      <c r="AB930" s="141">
        <f>'[26]מאזן בוחן'!AB799</f>
        <v>0</v>
      </c>
      <c r="AC930" s="141">
        <f>'[27]מאזן בוחן'!AC808</f>
        <v>0</v>
      </c>
      <c r="AD930" s="141">
        <f>'[28]מאזן בוחן'!AD821</f>
        <v>0</v>
      </c>
      <c r="AE930" s="141">
        <f>'[29]מאזן בוחן'!AE827</f>
        <v>0</v>
      </c>
      <c r="AF930" s="141">
        <f>'[30]מאזן בוחן'!AF838</f>
        <v>0</v>
      </c>
      <c r="AG930" s="141">
        <f>'[31]מאזן בוחן'!AG843</f>
        <v>0</v>
      </c>
      <c r="AH930" s="141">
        <v>0</v>
      </c>
      <c r="AI930" s="141">
        <v>329.7</v>
      </c>
      <c r="AJ930" s="141">
        <v>0</v>
      </c>
      <c r="AK930" s="141">
        <v>0</v>
      </c>
      <c r="AL930" s="141">
        <v>1216.74</v>
      </c>
      <c r="AM930" s="141">
        <f>$K930-SUM($AB930:AL930)</f>
        <v>0</v>
      </c>
      <c r="AN930" s="141"/>
      <c r="AO930" s="141"/>
      <c r="AP930" s="141"/>
      <c r="AQ930" s="141"/>
      <c r="AR930" s="141"/>
      <c r="AS930" s="141"/>
      <c r="AT930" s="141"/>
      <c r="AU930" s="141"/>
      <c r="AV930" s="141"/>
      <c r="AW930" s="141"/>
      <c r="BA930" s="204"/>
    </row>
    <row r="931" spans="1:53">
      <c r="A931" s="52"/>
      <c r="B931" s="3659" t="s">
        <v>558</v>
      </c>
      <c r="C931" s="585">
        <v>7020004</v>
      </c>
      <c r="D931" s="203" t="s">
        <v>1129</v>
      </c>
      <c r="E931" s="474">
        <f>IFERROR(VLOOKUP(C931,'פקודות נוספות'!$D$274:$F$797,3,0),0)</f>
        <v>7723.24</v>
      </c>
      <c r="F931" s="49">
        <f>SUMIF('פקודות נוספות'!C:C,C:C,'פקודות נוספות'!E:E)</f>
        <v>0</v>
      </c>
      <c r="J931" s="474">
        <f>SUM(E931:I931)</f>
        <v>7723.24</v>
      </c>
      <c r="K931" s="42">
        <f>M931+SUMIF('פקודות נוספות'!C:C,'מאזן בוחן'!C931,'פקודות נוספות'!F:F)</f>
        <v>2491.5100000000002</v>
      </c>
      <c r="L931" s="49"/>
      <c r="M931" s="1341">
        <f>IFERROR(VLOOKUP(C931,'פקודות נוספות'!$D$273:$G$797,4,0),0)</f>
        <v>2491.5100000000002</v>
      </c>
      <c r="N931" s="1104">
        <f>IF(K931=0,"-",J931/K931)</f>
        <v>3.0998229989042785</v>
      </c>
      <c r="O931" s="1133"/>
      <c r="P931" s="137">
        <v>1194.49</v>
      </c>
      <c r="Q931" s="141">
        <f>'[39]מאזן בוחן'!AE803</f>
        <v>1292.22</v>
      </c>
      <c r="R931" s="137">
        <v>0</v>
      </c>
      <c r="S931" s="137">
        <v>0</v>
      </c>
      <c r="T931" s="141">
        <f>'[20]מאזן בוחן'!AR869</f>
        <v>0</v>
      </c>
      <c r="U931" s="141">
        <f>'[21]מאזן בוחן'!AS769</f>
        <v>0</v>
      </c>
      <c r="V931" s="726">
        <f>'[22]מאזן בוחן'!AJ755</f>
        <v>0</v>
      </c>
      <c r="W931" s="726">
        <f>'[23]מאזן בוחן'!AK759</f>
        <v>0</v>
      </c>
      <c r="X931" s="141">
        <v>0</v>
      </c>
      <c r="Y931" s="141">
        <f>'[25]מאזן בוחן'!AM789</f>
        <v>0</v>
      </c>
      <c r="AA931" s="141">
        <f>'[32]מאזן בוחן'!AO801</f>
        <v>0</v>
      </c>
      <c r="AB931" s="141">
        <f>'[26]מאזן בוחן'!AB800</f>
        <v>0</v>
      </c>
      <c r="AC931" s="141">
        <f>'[27]מאזן בוחן'!AC809</f>
        <v>0</v>
      </c>
      <c r="AD931" s="141">
        <f>'[28]מאזן בוחן'!AD822</f>
        <v>0</v>
      </c>
      <c r="AE931" s="141">
        <f>'[29]מאזן בוחן'!AE828</f>
        <v>0</v>
      </c>
      <c r="AF931" s="141">
        <f>'[30]מאזן בוחן'!AF839</f>
        <v>0</v>
      </c>
      <c r="AG931" s="141">
        <f>'[31]מאזן בוחן'!AG844</f>
        <v>0</v>
      </c>
      <c r="AH931" s="141">
        <v>0</v>
      </c>
      <c r="AI931" s="141">
        <v>239.15</v>
      </c>
      <c r="AJ931" s="141">
        <v>0</v>
      </c>
      <c r="AK931" s="141">
        <v>0</v>
      </c>
      <c r="AL931" s="141">
        <v>2252.36</v>
      </c>
      <c r="AM931" s="141">
        <f>$K931-SUM($AB931:AL931)</f>
        <v>0</v>
      </c>
      <c r="AN931" s="141"/>
      <c r="AO931" s="141"/>
      <c r="AP931" s="141"/>
      <c r="AQ931" s="141"/>
      <c r="AR931" s="141"/>
      <c r="AS931" s="141"/>
      <c r="AT931" s="141"/>
      <c r="AU931" s="141"/>
      <c r="AV931" s="141"/>
      <c r="AW931" s="141"/>
      <c r="BA931" s="204"/>
    </row>
    <row r="932" spans="1:53">
      <c r="A932" s="52"/>
      <c r="B932" s="3659" t="s">
        <v>558</v>
      </c>
      <c r="C932" s="585">
        <v>7020005</v>
      </c>
      <c r="D932" s="203" t="s">
        <v>1130</v>
      </c>
      <c r="E932" s="474">
        <f>IFERROR(VLOOKUP(C932,'פקודות נוספות'!$D$274:$F$797,3,0),0)</f>
        <v>5035.49</v>
      </c>
      <c r="F932" s="49">
        <f>SUMIF('פקודות נוספות'!C:C,C:C,'פקודות נוספות'!E:E)</f>
        <v>0</v>
      </c>
      <c r="J932" s="474">
        <f t="shared" ref="J932:J941" si="190">SUM(E932:I932)</f>
        <v>5035.49</v>
      </c>
      <c r="K932" s="42">
        <f>M932+SUMIF('פקודות נוספות'!C:C,'מאזן בוחן'!C932,'פקודות נוספות'!F:F)</f>
        <v>1614.55</v>
      </c>
      <c r="L932" s="49"/>
      <c r="M932" s="1341">
        <f>IFERROR(VLOOKUP(C932,'פקודות נוספות'!$D$273:$G$797,4,0),0)</f>
        <v>1614.55</v>
      </c>
      <c r="N932" s="1104">
        <f t="shared" ref="N932:N941" si="191">IF(K932=0,"-",J932/K932)</f>
        <v>3.1188194853055031</v>
      </c>
      <c r="O932" s="1133"/>
      <c r="P932" s="137">
        <v>1909.28</v>
      </c>
      <c r="Q932" s="141">
        <f>'[39]מאזן בוחן'!AE804</f>
        <v>552.50999999999988</v>
      </c>
      <c r="R932" s="137">
        <v>0</v>
      </c>
      <c r="S932" s="137">
        <v>1.1368683772161603E-13</v>
      </c>
      <c r="T932" s="141">
        <f>'[20]מאזן בוחן'!AR870</f>
        <v>0</v>
      </c>
      <c r="U932" s="141">
        <f>'[21]מאזן בוחן'!AS770</f>
        <v>0</v>
      </c>
      <c r="V932" s="726">
        <f>'[22]מאזן בוחן'!AJ756</f>
        <v>-1.4210854715202004E-13</v>
      </c>
      <c r="W932" s="726">
        <f>'[23]מאזן בוחן'!AK760</f>
        <v>3.1263880373444408E-13</v>
      </c>
      <c r="X932" s="141">
        <v>-3.694822225952521E-13</v>
      </c>
      <c r="Y932" s="141">
        <f>'[25]מאזן בוחן'!AM790</f>
        <v>0</v>
      </c>
      <c r="AA932" s="141">
        <f>'[32]מאזן בוחן'!AO802</f>
        <v>0</v>
      </c>
      <c r="AB932" s="141">
        <f>'[26]מאזן בוחן'!AB801</f>
        <v>0</v>
      </c>
      <c r="AC932" s="141">
        <f>'[27]מאזן בוחן'!AC810</f>
        <v>0</v>
      </c>
      <c r="AD932" s="141">
        <f>'[28]מאזן בוחן'!AD823</f>
        <v>0</v>
      </c>
      <c r="AE932" s="141">
        <f>'[29]מאזן בוחן'!AE829</f>
        <v>0</v>
      </c>
      <c r="AF932" s="141">
        <f>'[30]מאזן בוחן'!AF840</f>
        <v>0</v>
      </c>
      <c r="AG932" s="141">
        <f>'[31]מאזן בוחן'!AG845</f>
        <v>0</v>
      </c>
      <c r="AH932" s="141">
        <v>0</v>
      </c>
      <c r="AI932" s="141">
        <v>288.72000000000003</v>
      </c>
      <c r="AJ932" s="141">
        <v>0</v>
      </c>
      <c r="AK932" s="141">
        <v>0</v>
      </c>
      <c r="AL932" s="141">
        <v>1325.83</v>
      </c>
      <c r="AM932" s="141">
        <f>$K932-SUM($AB932:AL932)</f>
        <v>0</v>
      </c>
      <c r="AN932" s="141"/>
      <c r="AO932" s="141"/>
      <c r="AP932" s="141"/>
      <c r="AQ932" s="141"/>
      <c r="AR932" s="141"/>
      <c r="AS932" s="141"/>
      <c r="AT932" s="141"/>
      <c r="AU932" s="141"/>
      <c r="AV932" s="141"/>
      <c r="AW932" s="141"/>
      <c r="BA932" s="204"/>
    </row>
    <row r="933" spans="1:53">
      <c r="A933" s="52"/>
      <c r="B933" s="3659" t="s">
        <v>558</v>
      </c>
      <c r="C933" s="585">
        <v>7020006</v>
      </c>
      <c r="D933" s="203" t="s">
        <v>2162</v>
      </c>
      <c r="E933" s="474">
        <f>IFERROR(VLOOKUP(C933,'פקודות נוספות'!$D$274:$F$797,3,0),0)</f>
        <v>0</v>
      </c>
      <c r="F933" s="49">
        <f>SUMIF('פקודות נוספות'!C:C,C:C,'פקודות נוספות'!E:E)</f>
        <v>0</v>
      </c>
      <c r="J933" s="474">
        <f t="shared" si="190"/>
        <v>0</v>
      </c>
      <c r="K933" s="42">
        <f>M933+SUMIF('פקודות נוספות'!C:C,'מאזן בוחן'!C933,'פקודות נוספות'!F:F)</f>
        <v>0</v>
      </c>
      <c r="L933" s="49"/>
      <c r="M933" s="1341">
        <f>IFERROR(VLOOKUP(C933,'פקודות נוספות'!$D$273:$G$797,4,0),0)</f>
        <v>0</v>
      </c>
      <c r="N933" s="1104" t="str">
        <f t="shared" si="191"/>
        <v>-</v>
      </c>
      <c r="O933" s="1133"/>
      <c r="P933" s="137">
        <v>0</v>
      </c>
      <c r="Q933" s="141">
        <f>'[39]מאזן בוחן'!AE805</f>
        <v>1357.92</v>
      </c>
      <c r="R933" s="137">
        <v>0</v>
      </c>
      <c r="S933" s="137">
        <v>0</v>
      </c>
      <c r="T933" s="141">
        <f>'[20]מאזן בוחן'!AR871</f>
        <v>0</v>
      </c>
      <c r="U933" s="141">
        <f>'[21]מאזן בוחן'!AS771</f>
        <v>0</v>
      </c>
      <c r="V933" s="726">
        <f>'[22]מאזן בוחן'!AJ757</f>
        <v>0</v>
      </c>
      <c r="W933" s="726">
        <f>'[23]מאזן בוחן'!AK761</f>
        <v>0</v>
      </c>
      <c r="X933" s="141">
        <v>0</v>
      </c>
      <c r="Y933" s="141">
        <f>'[25]מאזן בוחן'!AM791</f>
        <v>0</v>
      </c>
      <c r="AA933" s="141">
        <f>'[32]מאזן בוחן'!AO803</f>
        <v>0</v>
      </c>
      <c r="AB933" s="141">
        <f>'[26]מאזן בוחן'!AB802</f>
        <v>0</v>
      </c>
      <c r="AC933" s="141">
        <f>'[27]מאזן בוחן'!AC811</f>
        <v>0</v>
      </c>
      <c r="AD933" s="141">
        <f>'[28]מאזן בוחן'!AD824</f>
        <v>0</v>
      </c>
      <c r="AE933" s="141">
        <f>'[29]מאזן בוחן'!AE830</f>
        <v>0</v>
      </c>
      <c r="AF933" s="141">
        <f>'[30]מאזן בוחן'!AF841</f>
        <v>0</v>
      </c>
      <c r="AG933" s="141">
        <f>'[31]מאזן בוחן'!AG846</f>
        <v>0</v>
      </c>
      <c r="AH933" s="141">
        <v>0</v>
      </c>
      <c r="AI933" s="141">
        <v>0</v>
      </c>
      <c r="AJ933" s="141">
        <v>0</v>
      </c>
      <c r="AK933" s="141">
        <v>0</v>
      </c>
      <c r="AL933" s="141">
        <v>0</v>
      </c>
      <c r="AM933" s="141">
        <f>$K933-SUM($AB933:AL933)</f>
        <v>0</v>
      </c>
      <c r="AN933" s="141"/>
      <c r="AO933" s="141"/>
      <c r="AP933" s="141"/>
      <c r="AQ933" s="141"/>
      <c r="AR933" s="141"/>
      <c r="AS933" s="141"/>
      <c r="AT933" s="141"/>
      <c r="AU933" s="141"/>
      <c r="AV933" s="141"/>
      <c r="AW933" s="141"/>
      <c r="BA933" s="204"/>
    </row>
    <row r="934" spans="1:53">
      <c r="A934" s="52"/>
      <c r="B934" s="3659"/>
      <c r="C934" s="585"/>
      <c r="D934" s="203"/>
      <c r="E934" s="474"/>
      <c r="J934" s="474"/>
      <c r="K934" s="42"/>
      <c r="L934" s="49"/>
      <c r="M934" s="1341">
        <f>IFERROR(VLOOKUP(C934,'פקודות נוספות'!$D$273:$G$797,4,0),0)</f>
        <v>0</v>
      </c>
      <c r="O934" s="1133"/>
      <c r="Q934" s="141">
        <f>'[39]מאזן בוחן'!AE806</f>
        <v>0</v>
      </c>
      <c r="R934" s="137">
        <v>0</v>
      </c>
      <c r="S934" s="137">
        <v>0</v>
      </c>
      <c r="T934" s="141">
        <f>'[20]מאזן בוחן'!AR872</f>
        <v>0</v>
      </c>
      <c r="U934" s="141">
        <f>'[21]מאזן בוחן'!AS772</f>
        <v>0</v>
      </c>
      <c r="V934" s="726">
        <f>'[22]מאזן בוחן'!AJ758</f>
        <v>0</v>
      </c>
      <c r="W934" s="726">
        <f>'[23]מאזן בוחן'!AK762</f>
        <v>0</v>
      </c>
      <c r="X934" s="141">
        <v>0</v>
      </c>
      <c r="Y934" s="141">
        <f>'[25]מאזן בוחן'!AM792</f>
        <v>0</v>
      </c>
      <c r="AA934" s="141">
        <f>'[32]מאזן בוחן'!AO804</f>
        <v>0</v>
      </c>
      <c r="AB934" s="141">
        <f>'[26]מאזן בוחן'!AB803</f>
        <v>0</v>
      </c>
      <c r="AC934" s="141">
        <f>'[27]מאזן בוחן'!AC812</f>
        <v>0</v>
      </c>
      <c r="AD934" s="141">
        <f>'[28]מאזן בוחן'!AD825</f>
        <v>0</v>
      </c>
      <c r="AE934" s="141">
        <f>'[29]מאזן בוחן'!AE831</f>
        <v>0</v>
      </c>
      <c r="AF934" s="141">
        <f>'[30]מאזן בוחן'!AF842</f>
        <v>0</v>
      </c>
      <c r="AG934" s="141">
        <f>'[31]מאזן בוחן'!AG847</f>
        <v>0</v>
      </c>
      <c r="AH934" s="141">
        <v>0</v>
      </c>
      <c r="AI934" s="141">
        <v>0</v>
      </c>
      <c r="AJ934" s="141">
        <v>0</v>
      </c>
      <c r="AK934" s="141">
        <v>0</v>
      </c>
      <c r="AL934" s="141">
        <v>0</v>
      </c>
      <c r="AM934" s="141">
        <f>$K934-SUM($AB934:AL934)</f>
        <v>0</v>
      </c>
      <c r="AN934" s="141"/>
      <c r="AO934" s="141"/>
      <c r="AP934" s="141"/>
      <c r="AQ934" s="141"/>
      <c r="AR934" s="141"/>
      <c r="AS934" s="141"/>
      <c r="AT934" s="141"/>
      <c r="AU934" s="141"/>
      <c r="AV934" s="141"/>
      <c r="AW934" s="141"/>
      <c r="BA934" s="204"/>
    </row>
    <row r="935" spans="1:53">
      <c r="A935" s="52"/>
      <c r="B935" s="3659" t="s">
        <v>558</v>
      </c>
      <c r="C935" s="585">
        <v>7020038</v>
      </c>
      <c r="D935" s="203" t="s">
        <v>2163</v>
      </c>
      <c r="E935" s="474">
        <f>IFERROR(VLOOKUP(C935,'פקודות נוספות'!$D$274:$F$797,3,0),0)</f>
        <v>1886525.37</v>
      </c>
      <c r="F935" s="49">
        <f>SUMIF('פקודות נוספות'!C:C,C:C,'פקודות נוספות'!E:E)</f>
        <v>0</v>
      </c>
      <c r="J935" s="474">
        <f>SUM(E935:I935)</f>
        <v>1886525.37</v>
      </c>
      <c r="K935" s="42">
        <f>M935+SUMIF('פקודות נוספות'!C:C,'מאזן בוחן'!C935,'פקודות נוספות'!F:F)</f>
        <v>588071.01</v>
      </c>
      <c r="L935" s="49"/>
      <c r="M935" s="1341">
        <f>IFERROR(VLOOKUP(C935,'פקודות נוספות'!$D$273:$G$797,4,0),0)</f>
        <v>588071.01</v>
      </c>
      <c r="N935" s="1104">
        <f>IF(K935=0,"-",J935/K935)</f>
        <v>3.207989065810267</v>
      </c>
      <c r="O935" s="1133"/>
      <c r="P935" s="141"/>
      <c r="Q935" s="141">
        <f>'[39]מאזן בוחן'!AE807</f>
        <v>8370.7000000000007</v>
      </c>
      <c r="R935" s="141">
        <v>12204.21</v>
      </c>
      <c r="S935" s="141">
        <v>3635.7200000000012</v>
      </c>
      <c r="T935" s="141">
        <f>'[20]מאזן בוחן'!AR873</f>
        <v>20875.329999999994</v>
      </c>
      <c r="U935" s="141">
        <f>'[21]מאזן בוחן'!AS773</f>
        <v>18240.440000000002</v>
      </c>
      <c r="V935" s="726">
        <f>'[22]מאזן בוחן'!AJ759</f>
        <v>20397.290000000008</v>
      </c>
      <c r="W935" s="726">
        <f>'[23]מאזן בוחן'!AK763</f>
        <v>17738.469999999994</v>
      </c>
      <c r="X935" s="141">
        <v>8261.46000000001</v>
      </c>
      <c r="Y935" s="141">
        <f>'[25]מאזן בוחן'!AM793</f>
        <v>3255.2699999999895</v>
      </c>
      <c r="AA935" s="141">
        <f>'[32]מאזן בוחן'!AO805</f>
        <v>208.76999999999953</v>
      </c>
      <c r="AB935" s="141">
        <f>'[26]מאזן בוחן'!AB804</f>
        <v>2494.75</v>
      </c>
      <c r="AC935" s="141">
        <f>'[27]מאזן בוחן'!AC813</f>
        <v>998.19999999999982</v>
      </c>
      <c r="AD935" s="141">
        <f>'[28]מאזן בוחן'!AD826</f>
        <v>6455.63</v>
      </c>
      <c r="AE935" s="141">
        <f>'[29]מאזן בוחן'!AE832</f>
        <v>998.20000000000073</v>
      </c>
      <c r="AF935" s="141">
        <f>'[30]מאזן בוחן'!AF843</f>
        <v>5998.1999999999989</v>
      </c>
      <c r="AG935" s="141">
        <f>'[31]מאזן בוחן'!AG848</f>
        <v>53839.56</v>
      </c>
      <c r="AH935" s="141">
        <v>53986.540000000008</v>
      </c>
      <c r="AI935" s="141">
        <v>64137.779999999984</v>
      </c>
      <c r="AJ935" s="141">
        <v>96589.440000000002</v>
      </c>
      <c r="AK935" s="141">
        <v>87837.260000000009</v>
      </c>
      <c r="AL935" s="141">
        <v>98903.489999999991</v>
      </c>
      <c r="AM935" s="141">
        <f>$K935-SUM($AB935:AL935)</f>
        <v>115831.96000000002</v>
      </c>
      <c r="AN935" s="141"/>
      <c r="AO935" s="141" t="s">
        <v>4556</v>
      </c>
      <c r="AP935" s="141"/>
      <c r="AQ935" s="141"/>
      <c r="AR935" s="141"/>
      <c r="AS935" s="141"/>
      <c r="AT935" s="141"/>
      <c r="AU935" s="141"/>
      <c r="AV935" s="141"/>
      <c r="AW935" s="141"/>
      <c r="BA935" s="204"/>
    </row>
    <row r="936" spans="1:53">
      <c r="A936" s="52"/>
      <c r="B936" s="3659" t="s">
        <v>558</v>
      </c>
      <c r="C936" s="585">
        <v>7020025</v>
      </c>
      <c r="D936" s="203" t="s">
        <v>4509</v>
      </c>
      <c r="E936" s="474">
        <f>IFERROR(VLOOKUP(C936,'פקודות נוספות'!$D$274:$F$797,3,0),0)</f>
        <v>31250</v>
      </c>
      <c r="F936" s="49">
        <f>SUMIF('פקודות נוספות'!C:C,C:C,'פקודות נוספות'!E:E)</f>
        <v>0</v>
      </c>
      <c r="J936" s="474">
        <f>SUM(E936:I936)</f>
        <v>31250</v>
      </c>
      <c r="K936" s="42">
        <f>M936+SUMIF('פקודות נוספות'!C:C,'מאזן בוחן'!C936,'פקודות נוספות'!F:F)</f>
        <v>9886.11</v>
      </c>
      <c r="L936" s="49"/>
      <c r="M936" s="1341">
        <f>IFERROR(VLOOKUP(C936,'פקודות נוספות'!$D$273:$G$797,4,0),0)</f>
        <v>9886.11</v>
      </c>
      <c r="N936" s="1104">
        <f>IF(K936=0,"-",J936/K936)</f>
        <v>3.1610006362462078</v>
      </c>
      <c r="O936" s="1133"/>
      <c r="P936" s="141"/>
      <c r="Q936" s="141"/>
      <c r="R936" s="141"/>
      <c r="S936" s="141"/>
      <c r="T936" s="141"/>
      <c r="U936" s="141"/>
      <c r="V936" s="726"/>
      <c r="W936" s="726"/>
      <c r="X936" s="141"/>
      <c r="Y936" s="141"/>
      <c r="AA936" s="141"/>
      <c r="AB936" s="141"/>
      <c r="AC936" s="141"/>
      <c r="AD936" s="141"/>
      <c r="AE936" s="141"/>
      <c r="AF936" s="141"/>
      <c r="AG936" s="141"/>
      <c r="AH936" s="141"/>
      <c r="AI936" s="141"/>
      <c r="AJ936" s="141"/>
      <c r="AK936" s="141"/>
      <c r="AL936" s="141">
        <v>9886.11</v>
      </c>
      <c r="AM936" s="141">
        <f>$K936-SUM($AB936:AL936)</f>
        <v>0</v>
      </c>
      <c r="AN936" s="141"/>
      <c r="AO936" s="141"/>
      <c r="AP936" s="141"/>
      <c r="AQ936" s="141"/>
      <c r="AR936" s="141"/>
      <c r="AS936" s="141"/>
      <c r="AT936" s="141"/>
      <c r="AU936" s="141"/>
      <c r="AV936" s="141"/>
      <c r="AW936" s="141"/>
      <c r="BA936" s="204"/>
    </row>
    <row r="937" spans="1:53">
      <c r="A937" s="52"/>
      <c r="B937" s="3659" t="s">
        <v>558</v>
      </c>
      <c r="C937" s="585">
        <v>7020031</v>
      </c>
      <c r="D937" s="203" t="s">
        <v>4682</v>
      </c>
      <c r="E937" s="474">
        <f>IFERROR(VLOOKUP(C937,'פקודות נוספות'!$D$274:$F$797,3,0),0)</f>
        <v>1990</v>
      </c>
      <c r="F937" s="49">
        <f>SUMIF('פקודות נוספות'!C:C,C:C,'פקודות נוספות'!E:E)</f>
        <v>0</v>
      </c>
      <c r="J937" s="474">
        <f>SUM(E937:I937)</f>
        <v>1990</v>
      </c>
      <c r="K937" s="42">
        <f>M937+SUMIF('פקודות נוספות'!C:C,'מאזן בוחן'!C937,'פקודות נוספות'!F:F)</f>
        <v>634.16</v>
      </c>
      <c r="L937" s="49"/>
      <c r="M937" s="1341">
        <f>IFERROR(VLOOKUP(C937,'פקודות נוספות'!$D$273:$G$797,4,0),0)</f>
        <v>634.16</v>
      </c>
      <c r="N937" s="1104">
        <f>IF(K937=0,"-",J937/K937)</f>
        <v>3.1380093351835501</v>
      </c>
      <c r="O937" s="1133"/>
      <c r="P937" s="141"/>
      <c r="Q937" s="141"/>
      <c r="R937" s="141"/>
      <c r="S937" s="141"/>
      <c r="T937" s="141"/>
      <c r="U937" s="141"/>
      <c r="V937" s="726"/>
      <c r="W937" s="726"/>
      <c r="X937" s="141"/>
      <c r="Y937" s="141"/>
      <c r="AA937" s="141"/>
      <c r="AB937" s="141"/>
      <c r="AC937" s="141"/>
      <c r="AD937" s="141"/>
      <c r="AE937" s="141"/>
      <c r="AF937" s="141"/>
      <c r="AG937" s="141"/>
      <c r="AH937" s="141"/>
      <c r="AI937" s="141"/>
      <c r="AJ937" s="141"/>
      <c r="AK937" s="141"/>
      <c r="AL937" s="141"/>
      <c r="AM937" s="141">
        <f>$K937-SUM($AB937:AL937)</f>
        <v>634.16</v>
      </c>
      <c r="AN937" s="141"/>
      <c r="AO937" s="141"/>
      <c r="AP937" s="141"/>
      <c r="AQ937" s="141"/>
      <c r="AR937" s="141"/>
      <c r="AS937" s="141"/>
      <c r="AT937" s="141"/>
      <c r="AU937" s="141"/>
      <c r="AV937" s="141"/>
      <c r="AW937" s="141"/>
      <c r="BA937" s="204"/>
    </row>
    <row r="938" spans="1:53">
      <c r="A938" s="52"/>
      <c r="B938" s="3659" t="s">
        <v>558</v>
      </c>
      <c r="C938" s="585">
        <v>7020026</v>
      </c>
      <c r="D938" s="203" t="s">
        <v>934</v>
      </c>
      <c r="E938" s="474">
        <f>IFERROR(VLOOKUP(C938,'פקודות נוספות'!$D$274:$F$797,3,0),0)</f>
        <v>1685233.43</v>
      </c>
      <c r="F938" s="49">
        <f>SUMIF('פקודות נוספות'!C:C,C:C,'פקודות נוספות'!E:E)</f>
        <v>0</v>
      </c>
      <c r="J938" s="474">
        <f t="shared" si="190"/>
        <v>1685233.43</v>
      </c>
      <c r="K938" s="42">
        <f>M938+SUMIF('פקודות נוספות'!C:C,'מאזן בוחן'!C938,'פקודות נוספות'!F:F)</f>
        <v>519318.31</v>
      </c>
      <c r="L938" s="49"/>
      <c r="M938" s="1341">
        <f>IFERROR(VLOOKUP(C938,'פקודות נוספות'!$D$273:$G$797,4,0),0)</f>
        <v>519318.31</v>
      </c>
      <c r="N938" s="1104">
        <f t="shared" si="191"/>
        <v>3.2450876419127219</v>
      </c>
      <c r="O938" s="1133"/>
      <c r="P938" s="141">
        <v>26491.600000000002</v>
      </c>
      <c r="Q938" s="141">
        <f>'[39]מאזן בוחן'!AE808</f>
        <v>11628.779999999999</v>
      </c>
      <c r="R938" s="141">
        <v>11342.349999999995</v>
      </c>
      <c r="S938" s="141">
        <v>22781.059999999994</v>
      </c>
      <c r="T938" s="141">
        <f>'[20]מאזן בוחן'!AR874</f>
        <v>8794.6000000000058</v>
      </c>
      <c r="U938" s="141">
        <f>'[21]מאזן בוחן'!AS774</f>
        <v>12600.690000000006</v>
      </c>
      <c r="V938" s="726">
        <f>'[22]מאזן בוחן'!AJ760</f>
        <v>11485.839999999997</v>
      </c>
      <c r="W938" s="726">
        <f>'[23]מאזן בוחן'!AK764</f>
        <v>17618.610000000004</v>
      </c>
      <c r="X938" s="141">
        <v>13403.639999999978</v>
      </c>
      <c r="Y938" s="141">
        <f>'[25]מאזן בוחן'!AM794</f>
        <v>10831.370000000024</v>
      </c>
      <c r="AA938" s="141">
        <f>'[32]מאזן בוחן'!AO806</f>
        <v>0</v>
      </c>
      <c r="AB938" s="141">
        <f>'[26]מאזן בוחן'!AB805</f>
        <v>11495.62</v>
      </c>
      <c r="AC938" s="141">
        <f>'[27]מאזן בוחן'!AC814</f>
        <v>31154.189999999995</v>
      </c>
      <c r="AD938" s="141">
        <f>'[28]מאזן בוחן'!AD827</f>
        <v>35422.449999999997</v>
      </c>
      <c r="AE938" s="141">
        <f>'[29]מאזן בוחן'!AE833</f>
        <v>57915.240000000005</v>
      </c>
      <c r="AF938" s="141">
        <f>'[30]מאזן בוחן'!AF844</f>
        <v>79049.98000000001</v>
      </c>
      <c r="AG938" s="141">
        <f>'[31]מאזן בוחן'!AG849</f>
        <v>51684.429999999964</v>
      </c>
      <c r="AH938" s="141">
        <v>39916.97000000003</v>
      </c>
      <c r="AI938" s="141">
        <v>30971.849999999977</v>
      </c>
      <c r="AJ938" s="141">
        <v>32067.73000000004</v>
      </c>
      <c r="AK938" s="141">
        <v>88990.94</v>
      </c>
      <c r="AL938" s="141">
        <v>35534.099999999977</v>
      </c>
      <c r="AM938" s="141">
        <f>$K938-SUM($AB938:AL938)</f>
        <v>25114.809999999998</v>
      </c>
      <c r="AN938" s="141"/>
      <c r="AO938" s="141"/>
      <c r="AP938" s="141"/>
      <c r="AQ938" s="141"/>
      <c r="AR938" s="141"/>
      <c r="AS938" s="141"/>
      <c r="AT938" s="141"/>
      <c r="AU938" s="141"/>
      <c r="AV938" s="141"/>
      <c r="AW938" s="141"/>
      <c r="BA938" s="204"/>
    </row>
    <row r="939" spans="1:53">
      <c r="A939" s="52"/>
      <c r="B939" s="3659" t="s">
        <v>3133</v>
      </c>
      <c r="C939" s="585" t="s">
        <v>3134</v>
      </c>
      <c r="D939" s="203" t="s">
        <v>3135</v>
      </c>
      <c r="E939" s="474">
        <f>IFERROR(VLOOKUP(C939,'פקודות נוספות'!$D$274:$F$797,3,0),0)</f>
        <v>120423</v>
      </c>
      <c r="F939" s="49">
        <f>SUMIF('פקודות נוספות'!C:C,C:C,'פקודות נוספות'!E:E)</f>
        <v>0</v>
      </c>
      <c r="J939" s="474">
        <f>SUM(E939:I939)</f>
        <v>120423</v>
      </c>
      <c r="K939" s="42">
        <f>M939+SUMIF('פקודות נוספות'!C:C,'מאזן בוחן'!C939,'פקודות נוספות'!F:F)</f>
        <v>38851.019999999997</v>
      </c>
      <c r="L939" s="49"/>
      <c r="M939" s="1341">
        <f>IFERROR(VLOOKUP(C939,'פקודות נוספות'!$D$273:$G$797,4,0),0)</f>
        <v>38851.019999999997</v>
      </c>
      <c r="N939" s="1104">
        <f>IF(K939=0,"-",J939/K939)</f>
        <v>3.0996097399759392</v>
      </c>
      <c r="O939" s="1133"/>
      <c r="P939" s="141"/>
      <c r="Q939" s="141">
        <f>'[39]מאזן בוחן'!AE809</f>
        <v>0</v>
      </c>
      <c r="R939" s="141"/>
      <c r="S939" s="141"/>
      <c r="T939" s="141"/>
      <c r="U939" s="141"/>
      <c r="V939" s="726"/>
      <c r="W939" s="726"/>
      <c r="X939" s="141"/>
      <c r="Y939" s="141"/>
      <c r="AA939" s="141">
        <f>'[32]מאזן בוחן'!AO807</f>
        <v>0</v>
      </c>
      <c r="AB939" s="141">
        <f>'[26]מאזן בוחן'!AB806</f>
        <v>-171.74</v>
      </c>
      <c r="AC939" s="141">
        <f>'[27]מאזן בוחן'!AC815</f>
        <v>14480.61</v>
      </c>
      <c r="AD939" s="141">
        <f>'[28]מאזן בוחן'!AD828</f>
        <v>5542.8099999999995</v>
      </c>
      <c r="AE939" s="141">
        <f>'[29]מאזן בוחן'!AE834</f>
        <v>9879.4500000000007</v>
      </c>
      <c r="AF939" s="141">
        <f>'[30]מאזן בוחן'!AF845</f>
        <v>12199.670000000002</v>
      </c>
      <c r="AG939" s="141">
        <f>'[31]מאזן בוחן'!AG850</f>
        <v>-12753.190000000002</v>
      </c>
      <c r="AH939" s="141">
        <v>9667.0500000000029</v>
      </c>
      <c r="AI939" s="141">
        <v>-3099.8000000000029</v>
      </c>
      <c r="AJ939" s="141">
        <v>-4536.6900000000023</v>
      </c>
      <c r="AK939" s="141">
        <v>2043.9300000000003</v>
      </c>
      <c r="AL939" s="141">
        <v>-7526.0599999999977</v>
      </c>
      <c r="AM939" s="141">
        <f>$K939-SUM($AB939:AL939)</f>
        <v>13124.979999999996</v>
      </c>
      <c r="AN939" s="141"/>
      <c r="AO939" s="141"/>
      <c r="AP939" s="141"/>
      <c r="AQ939" s="141"/>
      <c r="AR939" s="141"/>
      <c r="AS939" s="141"/>
      <c r="AT939" s="141"/>
      <c r="AU939" s="141"/>
      <c r="AV939" s="141"/>
      <c r="AW939" s="141"/>
      <c r="BA939" s="204"/>
    </row>
    <row r="940" spans="1:53">
      <c r="A940" s="52"/>
      <c r="B940" s="3659" t="s">
        <v>558</v>
      </c>
      <c r="C940" s="585">
        <v>7020027</v>
      </c>
      <c r="D940" s="203" t="s">
        <v>1131</v>
      </c>
      <c r="E940" s="474">
        <f>IFERROR(VLOOKUP(C940,'פקודות נוספות'!$D$274:$F$797,3,0),0)</f>
        <v>476013.71</v>
      </c>
      <c r="F940" s="49">
        <f>SUMIF('פקודות נוספות'!C:C,C:C,'פקודות נוספות'!E:E)</f>
        <v>0</v>
      </c>
      <c r="J940" s="474">
        <f t="shared" si="190"/>
        <v>476013.71</v>
      </c>
      <c r="K940" s="42">
        <f>M940+SUMIF('פקודות נוספות'!C:C,'מאזן בוחן'!C940,'פקודות נוספות'!F:F)</f>
        <v>149219.26</v>
      </c>
      <c r="L940" s="49"/>
      <c r="M940" s="1341">
        <f>IFERROR(VLOOKUP(C940,'פקודות נוספות'!$D$273:$G$797,4,0),0)</f>
        <v>149219.26</v>
      </c>
      <c r="N940" s="1104">
        <f t="shared" si="191"/>
        <v>3.1900286196299326</v>
      </c>
      <c r="O940" s="1133"/>
      <c r="P940" s="141">
        <v>7690.1500000000005</v>
      </c>
      <c r="Q940" s="141">
        <f>'[39]מאזן בוחן'!AE810</f>
        <v>11984.469999999998</v>
      </c>
      <c r="R940" s="141">
        <v>18254.05</v>
      </c>
      <c r="S940" s="141">
        <v>10785.059999999998</v>
      </c>
      <c r="T940" s="141">
        <f>'[20]מאזן בוחן'!AR875</f>
        <v>9195.8500000000095</v>
      </c>
      <c r="U940" s="141">
        <f>'[21]מאזן בוחן'!AS775</f>
        <v>9323.5599999999977</v>
      </c>
      <c r="V940" s="726">
        <f>'[22]מאזן בוחן'!AJ761</f>
        <v>3074.62</v>
      </c>
      <c r="W940" s="726">
        <f>'[23]מאזן בוחן'!AK765</f>
        <v>4178.8099999999922</v>
      </c>
      <c r="X940" s="141">
        <v>11542.23</v>
      </c>
      <c r="Y940" s="141">
        <f>'[25]מאזן בוחן'!AM795</f>
        <v>2890.9900000000198</v>
      </c>
      <c r="AA940" s="141">
        <f>'[32]מאזן בוחן'!AO808</f>
        <v>0</v>
      </c>
      <c r="AB940" s="141">
        <f>'[26]מאזן בוחן'!AB807</f>
        <v>2989.55</v>
      </c>
      <c r="AC940" s="141">
        <f>'[27]מאזן בוחן'!AC816</f>
        <v>13376.009999999998</v>
      </c>
      <c r="AD940" s="141">
        <f>'[28]מאזן בוחן'!AD829</f>
        <v>12642.010000000002</v>
      </c>
      <c r="AE940" s="141">
        <f>'[29]מאזן בוחן'!AE835</f>
        <v>4138.4000000000015</v>
      </c>
      <c r="AF940" s="141">
        <f>'[30]מאזן בוחן'!AF846</f>
        <v>15770.720000000001</v>
      </c>
      <c r="AG940" s="141">
        <f>'[31]מאזן בוחן'!AG851</f>
        <v>2397.7099999999991</v>
      </c>
      <c r="AH940" s="141">
        <v>6133.1199999999953</v>
      </c>
      <c r="AI940" s="141">
        <v>3849.9500000000044</v>
      </c>
      <c r="AJ940" s="141">
        <v>4418.6300000000047</v>
      </c>
      <c r="AK940" s="141">
        <v>27949.319999999992</v>
      </c>
      <c r="AL940" s="141">
        <v>2841.1000000000058</v>
      </c>
      <c r="AM940" s="141">
        <f>$K940-SUM($AB940:AL940)</f>
        <v>52712.740000000005</v>
      </c>
      <c r="AN940" s="141"/>
      <c r="AO940" s="141"/>
      <c r="AP940" s="141"/>
      <c r="AQ940" s="141"/>
      <c r="AR940" s="141"/>
      <c r="AS940" s="141"/>
      <c r="AT940" s="141"/>
      <c r="AU940" s="141"/>
      <c r="AV940" s="141"/>
      <c r="AW940" s="141"/>
      <c r="BA940" s="204"/>
    </row>
    <row r="941" spans="1:53">
      <c r="A941" s="52"/>
      <c r="B941" s="3659" t="s">
        <v>558</v>
      </c>
      <c r="C941" s="585">
        <v>7020029</v>
      </c>
      <c r="D941" s="203" t="s">
        <v>936</v>
      </c>
      <c r="E941" s="474">
        <f>IFERROR(VLOOKUP(C941,'פקודות נוספות'!$D$274:$F$797,3,0),0)</f>
        <v>264386.51</v>
      </c>
      <c r="F941" s="49">
        <f>SUMIF('פקודות נוספות'!C:C,C:C,'פקודות נוספות'!E:E)</f>
        <v>0</v>
      </c>
      <c r="J941" s="474">
        <f t="shared" si="190"/>
        <v>264386.51</v>
      </c>
      <c r="K941" s="42">
        <f>M941+SUMIF('פקודות נוספות'!C:C,'מאזן בוחן'!C941,'פקודות נוספות'!F:F)</f>
        <v>80073.88</v>
      </c>
      <c r="L941" s="49"/>
      <c r="M941" s="1341">
        <f>IFERROR(VLOOKUP(C941,'פקודות נוספות'!$D$273:$G$797,4,0),0)</f>
        <v>80073.88</v>
      </c>
      <c r="N941" s="1104">
        <f t="shared" si="191"/>
        <v>3.3017821791575481</v>
      </c>
      <c r="O941" s="1133"/>
      <c r="P941" s="141">
        <v>4063.71</v>
      </c>
      <c r="Q941" s="141">
        <f>'[39]מאזן בוחן'!AE811</f>
        <v>4063.7099999999991</v>
      </c>
      <c r="R941" s="141">
        <v>4063.7300000000023</v>
      </c>
      <c r="S941" s="141">
        <v>3970.1300000000019</v>
      </c>
      <c r="T941" s="141">
        <f>'[20]מאזן בוחן'!AR876</f>
        <v>3970.1299999999974</v>
      </c>
      <c r="U941" s="141">
        <f>'[21]מאזן בוחן'!AS776</f>
        <v>3970.13</v>
      </c>
      <c r="V941" s="726">
        <f>'[22]מאזן בוחן'!AJ762</f>
        <v>3970.130000000001</v>
      </c>
      <c r="W941" s="726">
        <f>'[23]מאזן בוחן'!AK766</f>
        <v>3970.1299999999992</v>
      </c>
      <c r="X941" s="141">
        <v>3970.0999999999985</v>
      </c>
      <c r="Y941" s="141">
        <f>'[25]מאזן בוחן'!AM796</f>
        <v>4374.2799999999988</v>
      </c>
      <c r="AA941" s="141">
        <f>'[32]מאזן בוחן'!AO809</f>
        <v>0</v>
      </c>
      <c r="AB941" s="141">
        <f>'[26]מאזן בוחן'!AB808</f>
        <v>4374.29</v>
      </c>
      <c r="AC941" s="141">
        <f>'[27]מאזן בוחן'!AC817</f>
        <v>4374.29</v>
      </c>
      <c r="AD941" s="141">
        <f>'[28]מאזן בוחן'!AD830</f>
        <v>4374.2900000000009</v>
      </c>
      <c r="AE941" s="141">
        <f>'[29]מאזן בוחן'!AE836</f>
        <v>4374.2999999999975</v>
      </c>
      <c r="AF941" s="141">
        <f>'[30]מאזן בוחן'!AF847</f>
        <v>6941.7000000000007</v>
      </c>
      <c r="AG941" s="141">
        <f>'[31]מאזן בוחן'!AG852</f>
        <v>6941.7100000000028</v>
      </c>
      <c r="AH941" s="141">
        <v>6941.7099999999991</v>
      </c>
      <c r="AI941" s="141">
        <v>6941.7099999999991</v>
      </c>
      <c r="AJ941" s="141">
        <v>6941.7300000000032</v>
      </c>
      <c r="AK941" s="141">
        <v>6745.1699999999983</v>
      </c>
      <c r="AL941" s="141">
        <v>6745.1700000000055</v>
      </c>
      <c r="AM941" s="141">
        <f>$K941-SUM($AB941:AL941)</f>
        <v>14377.809999999998</v>
      </c>
      <c r="AN941" s="141"/>
      <c r="AO941" s="141"/>
      <c r="AP941" s="141"/>
      <c r="AQ941" s="141"/>
      <c r="AR941" s="141"/>
      <c r="AS941" s="141"/>
      <c r="AT941" s="141"/>
      <c r="AU941" s="141"/>
      <c r="AV941" s="141"/>
      <c r="AW941" s="141"/>
      <c r="BA941" s="204"/>
    </row>
    <row r="942" spans="1:53">
      <c r="A942" s="52"/>
      <c r="B942" s="3659" t="s">
        <v>558</v>
      </c>
      <c r="C942" s="585">
        <v>7020037</v>
      </c>
      <c r="D942" s="203" t="s">
        <v>739</v>
      </c>
      <c r="E942" s="474">
        <f>IFERROR(VLOOKUP(C942,'פקודות נוספות'!$D$274:$F$797,3,0),0)</f>
        <v>740706.63</v>
      </c>
      <c r="F942" s="49">
        <f>SUMIF('פקודות נוספות'!C:C,C:C,'פקודות נוספות'!E:E)</f>
        <v>0</v>
      </c>
      <c r="J942" s="474">
        <f t="shared" ref="J942:J947" si="192">SUM(E942:I942)</f>
        <v>740706.63</v>
      </c>
      <c r="K942" s="42">
        <f>M942+SUMIF('פקודות נוספות'!C:C,'מאזן בוחן'!C942,'פקודות נוספות'!F:F)</f>
        <v>232200.08</v>
      </c>
      <c r="L942" s="49"/>
      <c r="M942" s="1341">
        <f>IFERROR(VLOOKUP(C942,'פקודות נוספות'!$D$273:$G$797,4,0),0)</f>
        <v>232200.08</v>
      </c>
      <c r="N942" s="1104">
        <f t="shared" ref="N942:N947" si="193">IF(K942=0,"-",J942/K942)</f>
        <v>3.1899499345564397</v>
      </c>
      <c r="O942" s="1133"/>
      <c r="P942" s="141">
        <v>30980.340000000004</v>
      </c>
      <c r="Q942" s="141">
        <f>'[39]מאזן בוחן'!AE812</f>
        <v>7719.179999999993</v>
      </c>
      <c r="R942" s="141">
        <v>5458.9900000000052</v>
      </c>
      <c r="S942" s="141">
        <v>1819.3499999999913</v>
      </c>
      <c r="T942" s="141">
        <f>'[20]מאזן בוחן'!AR881</f>
        <v>8501.9300000000076</v>
      </c>
      <c r="U942" s="141">
        <f>'[21]מאזן בוחן'!AS777</f>
        <v>558.09999999999127</v>
      </c>
      <c r="V942" s="726">
        <f>'[22]מאזן בוחן'!AJ763</f>
        <v>8330.2500000000073</v>
      </c>
      <c r="W942" s="726">
        <f>'[23]מאזן בוחן'!AK767</f>
        <v>11444.760000000017</v>
      </c>
      <c r="X942" s="141">
        <v>14162.090000000033</v>
      </c>
      <c r="Y942" s="141">
        <f>'[25]מאזן בוחן'!AM797</f>
        <v>13771.02999999997</v>
      </c>
      <c r="AA942" s="141">
        <f>'[32]מאזן בוחן'!AO810</f>
        <v>8536.4300000000076</v>
      </c>
      <c r="AB942" s="141">
        <f>'[26]מאזן בוחן'!AB809</f>
        <v>525.91999999999996</v>
      </c>
      <c r="AC942" s="141">
        <f>'[27]מאזן בוחן'!AC818</f>
        <v>820.14</v>
      </c>
      <c r="AD942" s="141">
        <f>'[28]מאזן בוחן'!AD831</f>
        <v>173.25</v>
      </c>
      <c r="AE942" s="141">
        <f>'[29]מאזן בוחן'!AE837</f>
        <v>176.55999999999995</v>
      </c>
      <c r="AF942" s="141">
        <f>'[30]מאזן בוחן'!AF848</f>
        <v>9429.7099999999991</v>
      </c>
      <c r="AG942" s="141">
        <f>'[31]מאזן בוחן'!AG853</f>
        <v>5289.18</v>
      </c>
      <c r="AH942" s="141">
        <v>40473.410000000003</v>
      </c>
      <c r="AI942" s="141">
        <v>11051.790000000008</v>
      </c>
      <c r="AJ942" s="141">
        <v>19700.979999999996</v>
      </c>
      <c r="AK942" s="141">
        <v>29162.229999999996</v>
      </c>
      <c r="AL942" s="141">
        <v>61194.930000000008</v>
      </c>
      <c r="AM942" s="141">
        <f>$K942-SUM($AB942:AL942)</f>
        <v>54201.979999999981</v>
      </c>
      <c r="AN942" s="141"/>
      <c r="AO942" s="141"/>
      <c r="AP942" s="141"/>
      <c r="AQ942" s="141"/>
      <c r="AR942" s="141"/>
      <c r="AS942" s="141"/>
      <c r="AT942" s="141"/>
      <c r="AU942" s="141"/>
      <c r="AV942" s="141"/>
      <c r="AW942" s="141"/>
      <c r="BA942" s="204"/>
    </row>
    <row r="943" spans="1:53">
      <c r="A943" s="52"/>
      <c r="B943" s="3659" t="s">
        <v>558</v>
      </c>
      <c r="C943" s="585">
        <v>7020039</v>
      </c>
      <c r="D943" s="203" t="s">
        <v>1132</v>
      </c>
      <c r="E943" s="474">
        <f>IFERROR(VLOOKUP(C943,'פקודות נוספות'!$D$274:$F$797,3,0),0)</f>
        <v>496174.66</v>
      </c>
      <c r="F943" s="49">
        <f>SUMIF('פקודות נוספות'!C:C,C:C,'פקודות נוספות'!E:E)</f>
        <v>0</v>
      </c>
      <c r="J943" s="474">
        <f t="shared" si="192"/>
        <v>496174.66</v>
      </c>
      <c r="K943" s="42">
        <f>M943+SUMIF('פקודות נוספות'!C:C,'מאזן בוחן'!C943,'פקודות נוספות'!F:F)</f>
        <v>152938.79999999999</v>
      </c>
      <c r="L943" s="49"/>
      <c r="M943" s="1341">
        <f>IFERROR(VLOOKUP(C943,'פקודות נוספות'!$D$273:$G$797,4,0),0)</f>
        <v>152938.79999999999</v>
      </c>
      <c r="N943" s="1104">
        <f t="shared" si="193"/>
        <v>3.2442693417236175</v>
      </c>
      <c r="O943" s="1133"/>
      <c r="P943" s="141">
        <v>0</v>
      </c>
      <c r="Q943" s="141">
        <f>'[39]מאזן בוחן'!AE813</f>
        <v>0</v>
      </c>
      <c r="R943" s="141">
        <v>0</v>
      </c>
      <c r="S943" s="141">
        <v>0</v>
      </c>
      <c r="T943" s="141">
        <f>'[20]מאזן בוחן'!AR882</f>
        <v>0</v>
      </c>
      <c r="U943" s="141">
        <f>'[21]מאזן בוחן'!AS778</f>
        <v>0</v>
      </c>
      <c r="V943" s="726">
        <f>'[22]מאזן בוחן'!AJ764</f>
        <v>0</v>
      </c>
      <c r="W943" s="726">
        <f>'[23]מאזן בוחן'!AK768</f>
        <v>0</v>
      </c>
      <c r="X943" s="141">
        <v>1750</v>
      </c>
      <c r="Y943" s="141">
        <f>'[25]מאזן בוחן'!AM798</f>
        <v>11844.08</v>
      </c>
      <c r="AA943" s="141">
        <f>'[32]מאזן בוחן'!AO811</f>
        <v>25914.039999999979</v>
      </c>
      <c r="AB943" s="141">
        <f>'[26]מאזן בוחן'!AB810</f>
        <v>28125</v>
      </c>
      <c r="AC943" s="141">
        <f>'[27]מאזן בוחן'!AC819</f>
        <v>15000</v>
      </c>
      <c r="AD943" s="141">
        <f>'[28]מאזן בוחן'!AD832</f>
        <v>15000</v>
      </c>
      <c r="AE943" s="141">
        <f>'[29]מאזן בוחן'!AE838</f>
        <v>15000</v>
      </c>
      <c r="AF943" s="141">
        <f>'[30]מאזן בוחן'!AF849</f>
        <v>15000</v>
      </c>
      <c r="AG943" s="141">
        <f>'[31]מאזן בוחן'!AG854</f>
        <v>0</v>
      </c>
      <c r="AH943" s="141">
        <v>28525.210000000006</v>
      </c>
      <c r="AI943" s="141">
        <v>2355.8299999999872</v>
      </c>
      <c r="AJ943" s="141">
        <v>1354.5300000000134</v>
      </c>
      <c r="AK943" s="141">
        <v>4070.2299999999959</v>
      </c>
      <c r="AL943" s="141">
        <v>1272.5</v>
      </c>
      <c r="AM943" s="141">
        <f>$K943-SUM($AB943:AL943)</f>
        <v>27235.499999999985</v>
      </c>
      <c r="AN943" s="141"/>
      <c r="AO943" s="141"/>
      <c r="AP943" s="141"/>
      <c r="AQ943" s="141"/>
      <c r="AR943" s="141"/>
      <c r="AS943" s="141"/>
      <c r="AT943" s="141"/>
      <c r="AU943" s="141"/>
      <c r="AV943" s="141"/>
      <c r="AW943" s="141"/>
      <c r="BA943" s="204"/>
    </row>
    <row r="944" spans="1:53">
      <c r="A944" s="52"/>
      <c r="B944" s="3659" t="s">
        <v>558</v>
      </c>
      <c r="C944" s="585">
        <v>7020045</v>
      </c>
      <c r="D944" s="203" t="s">
        <v>362</v>
      </c>
      <c r="E944" s="474">
        <f>IFERROR(VLOOKUP(C944,'פקודות נוספות'!$D$274:$F$797,3,0),0)</f>
        <v>0</v>
      </c>
      <c r="F944" s="49">
        <f>SUMIF('פקודות נוספות'!C:C,C:C,'פקודות נוספות'!E:E)</f>
        <v>0</v>
      </c>
      <c r="J944" s="474">
        <f t="shared" si="192"/>
        <v>0</v>
      </c>
      <c r="K944" s="42">
        <f>M944+SUMIF('פקודות נוספות'!C:C,'מאזן בוחן'!C944,'פקודות נוספות'!F:F)</f>
        <v>0</v>
      </c>
      <c r="L944" s="49"/>
      <c r="M944" s="1341">
        <f>IFERROR(VLOOKUP(C944,'פקודות נוספות'!$D$273:$G$797,4,0),0)</f>
        <v>0</v>
      </c>
      <c r="N944" s="1104" t="str">
        <f t="shared" si="193"/>
        <v>-</v>
      </c>
      <c r="O944" s="1133"/>
      <c r="P944" s="137">
        <v>0</v>
      </c>
      <c r="Q944" s="141">
        <f>'[39]מאזן בוחן'!AE815</f>
        <v>0</v>
      </c>
      <c r="R944" s="137">
        <v>0</v>
      </c>
      <c r="S944" s="137">
        <v>0</v>
      </c>
      <c r="T944" s="141">
        <f>'[20]מאזן בוחן'!AR884</f>
        <v>0</v>
      </c>
      <c r="U944" s="141">
        <f>'[21]מאזן בוחן'!AS780</f>
        <v>0</v>
      </c>
      <c r="V944" s="726">
        <f>'[22]מאזן בוחן'!AJ766</f>
        <v>0</v>
      </c>
      <c r="W944" s="726">
        <f>'[23]מאזן בוחן'!AK770</f>
        <v>0</v>
      </c>
      <c r="X944" s="141">
        <v>0</v>
      </c>
      <c r="Y944" s="141">
        <f>'[25]מאזן בוחן'!AM800</f>
        <v>0</v>
      </c>
      <c r="AA944" s="141">
        <f>'[32]מאזן בוחן'!AO813</f>
        <v>19739.899999999994</v>
      </c>
      <c r="AB944" s="141">
        <f>'[26]מאזן בוחן'!AB812</f>
        <v>0</v>
      </c>
      <c r="AC944" s="141">
        <f>'[27]מאזן בוחן'!AC821</f>
        <v>0</v>
      </c>
      <c r="AD944" s="141">
        <f>'[28]מאזן בוחן'!AD833</f>
        <v>0</v>
      </c>
      <c r="AE944" s="141">
        <f>'[29]מאזן בוחן'!AE839</f>
        <v>0</v>
      </c>
      <c r="AF944" s="141">
        <f>'[30]מאזן בוחן'!AF850</f>
        <v>0</v>
      </c>
      <c r="AG944" s="141">
        <f>'[31]מאזן בוחן'!AG855</f>
        <v>0</v>
      </c>
      <c r="AH944" s="141">
        <v>0</v>
      </c>
      <c r="AI944" s="141">
        <v>0</v>
      </c>
      <c r="AJ944" s="141">
        <v>0</v>
      </c>
      <c r="AK944" s="141">
        <v>0</v>
      </c>
      <c r="AL944" s="141">
        <v>0</v>
      </c>
      <c r="AM944" s="141">
        <f>$K944-SUM($AB944:AL944)</f>
        <v>0</v>
      </c>
      <c r="AN944" s="141"/>
      <c r="AO944" s="141"/>
      <c r="AP944" s="141"/>
      <c r="AQ944" s="141"/>
      <c r="AR944" s="141"/>
      <c r="AS944" s="141"/>
      <c r="AT944" s="141"/>
      <c r="AU944" s="141"/>
      <c r="AV944" s="141"/>
      <c r="AW944" s="141"/>
      <c r="BA944" s="204"/>
    </row>
    <row r="945" spans="1:53">
      <c r="A945" s="52"/>
      <c r="B945" s="3659" t="s">
        <v>558</v>
      </c>
      <c r="C945" s="585" t="s">
        <v>1650</v>
      </c>
      <c r="D945" s="203" t="s">
        <v>1651</v>
      </c>
      <c r="E945" s="474">
        <f>IFERROR(VLOOKUP(C945,'פקודות נוספות'!$D$274:$F$797,3,0),0)</f>
        <v>-14125</v>
      </c>
      <c r="F945" s="49">
        <f>SUMIF('פקודות נוספות'!C:C,C:C,'פקודות נוספות'!E:E)</f>
        <v>0</v>
      </c>
      <c r="J945" s="474">
        <f t="shared" si="192"/>
        <v>-14125</v>
      </c>
      <c r="K945" s="42">
        <f>M945+SUMIF('פקודות נוספות'!C:C,'מאזן בוחן'!C945,'פקודות נוספות'!F:F)</f>
        <v>-4393.47</v>
      </c>
      <c r="L945" s="49"/>
      <c r="M945" s="1341">
        <f>IFERROR(VLOOKUP(C945,'פקודות נוספות'!$D$273:$G$797,4,0),0)</f>
        <v>-4393.47</v>
      </c>
      <c r="N945" s="1104">
        <f t="shared" si="193"/>
        <v>3.2149986229563416</v>
      </c>
      <c r="O945" s="1133"/>
      <c r="P945" s="137">
        <v>9624.4599999999991</v>
      </c>
      <c r="Q945" s="141">
        <f>'[39]מאזן בוחן'!AE816</f>
        <v>-6246.9599999999991</v>
      </c>
      <c r="R945" s="137">
        <v>-1571.1100000000006</v>
      </c>
      <c r="S945" s="137">
        <v>99.659999999999854</v>
      </c>
      <c r="T945" s="141">
        <f>'[20]מאזן בוחן'!AR885</f>
        <v>1679.5500000000011</v>
      </c>
      <c r="U945" s="141">
        <f>'[21]מאזן בוחן'!AS781</f>
        <v>-1400.9000000000005</v>
      </c>
      <c r="V945" s="726">
        <f>'[22]מאזן בוחן'!AJ767</f>
        <v>138.02000000000089</v>
      </c>
      <c r="W945" s="726">
        <f>'[23]מאזן בוחן'!AK771</f>
        <v>-3431.4600000000014</v>
      </c>
      <c r="X945" s="141">
        <v>491.22000000000071</v>
      </c>
      <c r="Y945" s="141">
        <f>'[25]מאזן בוחן'!AM801</f>
        <v>152.89000000000033</v>
      </c>
      <c r="AA945" s="141">
        <f>'[32]מאזן בוחן'!AO814</f>
        <v>4374.2900000000009</v>
      </c>
      <c r="AB945" s="141">
        <f>'[26]מאזן בוחן'!AB813</f>
        <v>-3169.22</v>
      </c>
      <c r="AC945" s="141">
        <f>'[27]מאזן בוחן'!AC822</f>
        <v>-1224.2500000000005</v>
      </c>
      <c r="AD945" s="141">
        <f>'[28]מאזן בוחן'!AD834</f>
        <v>0</v>
      </c>
      <c r="AE945" s="141">
        <f>'[29]מאזן בוחן'!AE840</f>
        <v>0</v>
      </c>
      <c r="AF945" s="141">
        <f>'[30]מאזן בוחן'!AF851</f>
        <v>0</v>
      </c>
      <c r="AG945" s="141">
        <f>'[31]מאזן בוחן'!AG856</f>
        <v>0</v>
      </c>
      <c r="AH945" s="141">
        <v>0</v>
      </c>
      <c r="AI945" s="141">
        <v>0</v>
      </c>
      <c r="AJ945" s="141">
        <v>0</v>
      </c>
      <c r="AK945" s="141">
        <v>0</v>
      </c>
      <c r="AL945" s="141">
        <v>0</v>
      </c>
      <c r="AM945" s="141">
        <f>$K945-SUM($AB945:AL945)</f>
        <v>0</v>
      </c>
      <c r="AN945" s="141"/>
      <c r="AO945" s="141"/>
      <c r="AP945" s="141"/>
      <c r="AQ945" s="141"/>
      <c r="AR945" s="141"/>
      <c r="AS945" s="141"/>
      <c r="AT945" s="141"/>
      <c r="AU945" s="141"/>
      <c r="AV945" s="141"/>
      <c r="AW945" s="141"/>
      <c r="BA945" s="204"/>
    </row>
    <row r="946" spans="1:53">
      <c r="A946" s="52"/>
      <c r="B946" s="3659" t="s">
        <v>558</v>
      </c>
      <c r="C946" s="585">
        <v>7020046</v>
      </c>
      <c r="D946" s="203" t="s">
        <v>1133</v>
      </c>
      <c r="E946" s="474">
        <f>IFERROR(VLOOKUP(C946,'פקודות נוספות'!$D$274:$F$797,3,0),0)</f>
        <v>35207.839999999997</v>
      </c>
      <c r="F946" s="49">
        <f>SUMIF('פקודות נוספות'!C:C,C:C,'פקודות נוספות'!E:E)</f>
        <v>0</v>
      </c>
      <c r="J946" s="474">
        <f t="shared" si="192"/>
        <v>35207.839999999997</v>
      </c>
      <c r="K946" s="42">
        <f>M946+SUMIF('פקודות נוספות'!C:C,'מאזן בוחן'!C946,'פקודות נוספות'!F:F)</f>
        <v>11018.81</v>
      </c>
      <c r="L946" s="49"/>
      <c r="M946" s="1341">
        <f>IFERROR(VLOOKUP(C946,'פקודות נוספות'!$D$273:$G$797,4,0),0)</f>
        <v>11018.81</v>
      </c>
      <c r="N946" s="1104">
        <f t="shared" si="193"/>
        <v>3.1952488517362583</v>
      </c>
      <c r="O946" s="1133"/>
      <c r="P946" s="137">
        <v>499.99999999999989</v>
      </c>
      <c r="Q946" s="141">
        <f>'[39]מאזן בוחן'!AE817</f>
        <v>500.00000000000011</v>
      </c>
      <c r="R946" s="137">
        <v>1075.8799999999997</v>
      </c>
      <c r="S946" s="137">
        <v>500</v>
      </c>
      <c r="T946" s="141">
        <f>'[20]מאזן בוחן'!AR886</f>
        <v>500</v>
      </c>
      <c r="U946" s="141">
        <f>'[21]מאזן בוחן'!AS782</f>
        <v>500</v>
      </c>
      <c r="V946" s="726">
        <f>'[22]מאזן בוחן'!AJ768</f>
        <v>500.00000000000011</v>
      </c>
      <c r="W946" s="726">
        <f>'[23]מאזן בוחן'!AK772</f>
        <v>1299.9999999999995</v>
      </c>
      <c r="X946" s="141">
        <v>500.00000000000011</v>
      </c>
      <c r="Y946" s="141">
        <f>'[25]מאזן בוחן'!AM802</f>
        <v>500.00000000000091</v>
      </c>
      <c r="AA946" s="141">
        <f>'[32]מאזן בוחן'!AO815</f>
        <v>-2367.9500000000116</v>
      </c>
      <c r="AB946" s="141">
        <f>'[26]מאזן בוחן'!AB814</f>
        <v>500</v>
      </c>
      <c r="AC946" s="141">
        <f>'[27]מאזן בוחן'!AC823</f>
        <v>500</v>
      </c>
      <c r="AD946" s="141">
        <f>'[28]מאזן בוחן'!AD835</f>
        <v>500</v>
      </c>
      <c r="AE946" s="141">
        <f>'[29]מאזן בוחן'!AE841</f>
        <v>652.27</v>
      </c>
      <c r="AF946" s="141">
        <f>'[30]מאזן בוחן'!AF852</f>
        <v>652.26000000000022</v>
      </c>
      <c r="AG946" s="141">
        <f>'[31]מאזן בוחן'!AG857</f>
        <v>195.44999999999982</v>
      </c>
      <c r="AH946" s="141">
        <v>652.25999999999976</v>
      </c>
      <c r="AI946" s="141">
        <v>500</v>
      </c>
      <c r="AJ946" s="141">
        <v>1222</v>
      </c>
      <c r="AK946" s="141">
        <v>2765.9800000000005</v>
      </c>
      <c r="AL946" s="141">
        <v>1656.5899999999992</v>
      </c>
      <c r="AM946" s="141">
        <f>$K946-SUM($AB946:AL946)</f>
        <v>1222</v>
      </c>
      <c r="AN946" s="141"/>
      <c r="AO946" s="141"/>
      <c r="AP946" s="141"/>
      <c r="AQ946" s="141"/>
      <c r="AR946" s="141"/>
      <c r="AS946" s="141"/>
      <c r="AT946" s="141"/>
      <c r="AU946" s="141"/>
      <c r="AV946" s="141"/>
      <c r="AW946" s="141"/>
      <c r="BA946" s="204"/>
    </row>
    <row r="947" spans="1:53">
      <c r="A947" s="52"/>
      <c r="B947" s="3659" t="s">
        <v>558</v>
      </c>
      <c r="C947" s="585">
        <v>7020032</v>
      </c>
      <c r="D947" s="203" t="s">
        <v>1290</v>
      </c>
      <c r="E947" s="474">
        <f>IFERROR(VLOOKUP(C947,'פקודות נוספות'!$D$274:$F$797,3,0),0)</f>
        <v>0</v>
      </c>
      <c r="F947" s="49">
        <f>SUMIF('פקודות נוספות'!C:C,C:C,'פקודות נוספות'!E:E)</f>
        <v>0</v>
      </c>
      <c r="J947" s="474">
        <f t="shared" si="192"/>
        <v>0</v>
      </c>
      <c r="K947" s="42">
        <f>M947+SUMIF('פקודות נוספות'!C:C,'מאזן בוחן'!C947,'פקודות נוספות'!F:F)</f>
        <v>0</v>
      </c>
      <c r="L947" s="49"/>
      <c r="M947" s="1341">
        <f>IFERROR(VLOOKUP(C947,'פקודות נוספות'!$D$273:$G$797,4,0),0)</f>
        <v>0</v>
      </c>
      <c r="N947" s="1104" t="str">
        <f t="shared" si="193"/>
        <v>-</v>
      </c>
      <c r="O947" s="1133"/>
      <c r="P947" s="137">
        <v>0</v>
      </c>
      <c r="Q947" s="141">
        <f>'[39]מאזן בוחן'!AE818</f>
        <v>0</v>
      </c>
      <c r="R947" s="137">
        <v>0</v>
      </c>
      <c r="S947" s="137">
        <v>0</v>
      </c>
      <c r="T947" s="141">
        <f>'[20]מאזן בוחן'!AR887</f>
        <v>0</v>
      </c>
      <c r="U947" s="141">
        <f>'[21]מאזן בוחן'!AS783</f>
        <v>0</v>
      </c>
      <c r="V947" s="726">
        <f>'[22]מאזן בוחן'!AJ769</f>
        <v>0</v>
      </c>
      <c r="W947" s="726">
        <f>'[23]מאזן בוחן'!AK773</f>
        <v>0</v>
      </c>
      <c r="X947" s="141">
        <v>0</v>
      </c>
      <c r="Y947" s="141">
        <f>'[25]מאזן בוחן'!AM803</f>
        <v>0</v>
      </c>
      <c r="AA947" s="141">
        <f>'[32]מאזן בוחן'!AO816</f>
        <v>6875.0000000000018</v>
      </c>
      <c r="AB947" s="141">
        <f>'[26]מאזן בוחן'!AB815</f>
        <v>0</v>
      </c>
      <c r="AC947" s="141">
        <f>'[27]מאזן בוחן'!AC824</f>
        <v>0</v>
      </c>
      <c r="AD947" s="141">
        <f>'[28]מאזן בוחן'!AD836</f>
        <v>0</v>
      </c>
      <c r="AE947" s="141">
        <f>'[29]מאזן בוחן'!AE842</f>
        <v>0</v>
      </c>
      <c r="AF947" s="141">
        <f>'[30]מאזן בוחן'!AF853</f>
        <v>0</v>
      </c>
      <c r="AG947" s="141">
        <f>'[31]מאזן בוחן'!AG858</f>
        <v>0</v>
      </c>
      <c r="AH947" s="141">
        <v>0</v>
      </c>
      <c r="AI947" s="141">
        <v>0</v>
      </c>
      <c r="AJ947" s="141">
        <v>0</v>
      </c>
      <c r="AK947" s="141">
        <v>0</v>
      </c>
      <c r="AL947" s="141">
        <v>0</v>
      </c>
      <c r="AM947" s="141">
        <f>$K947-SUM($AB947:AL947)</f>
        <v>0</v>
      </c>
      <c r="AN947" s="141"/>
      <c r="AO947" s="141"/>
      <c r="AP947" s="141"/>
      <c r="AQ947" s="141"/>
      <c r="AR947" s="141"/>
      <c r="AS947" s="141"/>
      <c r="AT947" s="141"/>
      <c r="AU947" s="141"/>
      <c r="AV947" s="141"/>
      <c r="AW947" s="141"/>
      <c r="BA947" s="204"/>
    </row>
    <row r="948" spans="1:53">
      <c r="A948" s="52"/>
      <c r="B948" s="3659"/>
      <c r="C948" s="1489"/>
      <c r="D948" s="203"/>
      <c r="E948" s="1202"/>
      <c r="J948" s="474"/>
      <c r="K948" s="42"/>
      <c r="L948" s="49"/>
      <c r="M948" s="474"/>
      <c r="O948" s="1133"/>
      <c r="P948" s="137">
        <v>0</v>
      </c>
      <c r="Q948" s="141">
        <f>'[39]מאזן בוחן'!AE819</f>
        <v>0</v>
      </c>
      <c r="R948" s="137">
        <v>0</v>
      </c>
      <c r="S948" s="137">
        <v>0</v>
      </c>
      <c r="T948" s="141">
        <f>'[20]מאזן בוחן'!AR888</f>
        <v>0</v>
      </c>
      <c r="U948" s="141">
        <f>'[21]מאזן בוחן'!AS784</f>
        <v>0</v>
      </c>
      <c r="V948" s="726">
        <f>'[22]מאזן בוחן'!AJ770</f>
        <v>0</v>
      </c>
      <c r="W948" s="726">
        <f>'[23]מאזן בוחן'!AK774</f>
        <v>0</v>
      </c>
      <c r="X948" s="141">
        <v>0</v>
      </c>
      <c r="Y948" s="141">
        <f>'[25]מאזן בוחן'!AM804</f>
        <v>0</v>
      </c>
      <c r="AA948" s="141">
        <f>'[32]מאזן בוחן'!AO817</f>
        <v>0</v>
      </c>
      <c r="AB948" s="141">
        <f>'[26]מאזן בוחן'!AB816</f>
        <v>0</v>
      </c>
      <c r="AC948" s="141">
        <f>'[27]מאזן בוחן'!AC825</f>
        <v>0</v>
      </c>
      <c r="AD948" s="141">
        <f>'[28]מאזן בוחן'!AD837</f>
        <v>0</v>
      </c>
      <c r="AE948" s="141">
        <f>'[29]מאזן בוחן'!AE843</f>
        <v>0</v>
      </c>
      <c r="AF948" s="141">
        <f>'[30]מאזן בוחן'!AF854</f>
        <v>0</v>
      </c>
      <c r="AG948" s="141">
        <f>'[31]מאזן בוחן'!AG859</f>
        <v>0</v>
      </c>
      <c r="AH948" s="141">
        <v>0</v>
      </c>
      <c r="AI948" s="141">
        <v>0</v>
      </c>
      <c r="AJ948" s="141">
        <v>0</v>
      </c>
      <c r="AK948" s="141">
        <v>0</v>
      </c>
      <c r="AL948" s="141">
        <v>0</v>
      </c>
      <c r="AM948" s="141">
        <f>$K948-SUM($AB948:AL948)</f>
        <v>0</v>
      </c>
      <c r="AN948" s="141"/>
      <c r="AO948" s="141"/>
      <c r="AP948" s="141"/>
      <c r="AQ948" s="141"/>
      <c r="AR948" s="141"/>
      <c r="AS948" s="141"/>
      <c r="AT948" s="141"/>
      <c r="AU948" s="141"/>
      <c r="AV948" s="141"/>
      <c r="AW948" s="141"/>
      <c r="BA948" s="204"/>
    </row>
    <row r="949" spans="1:53">
      <c r="A949" s="52"/>
      <c r="B949" s="3659"/>
      <c r="C949" s="1489"/>
      <c r="D949" s="607" t="s">
        <v>1147</v>
      </c>
      <c r="E949" s="1202"/>
      <c r="J949" s="474"/>
      <c r="K949" s="42"/>
      <c r="L949" s="49"/>
      <c r="M949" s="474"/>
      <c r="O949" s="1133"/>
      <c r="P949" s="137">
        <v>0</v>
      </c>
      <c r="Q949" s="141">
        <f>'[39]מאזן בוחן'!AE820</f>
        <v>0</v>
      </c>
      <c r="R949" s="137">
        <v>0</v>
      </c>
      <c r="S949" s="137">
        <v>0</v>
      </c>
      <c r="T949" s="141">
        <f>'[20]מאזן בוחן'!AR889</f>
        <v>0</v>
      </c>
      <c r="U949" s="137">
        <f>'[21]מאזן בוחן'!AS785</f>
        <v>0</v>
      </c>
      <c r="V949" s="137">
        <f>'[22]מאזן בוחן'!AJ771</f>
        <v>0</v>
      </c>
      <c r="W949" s="726">
        <f>'[23]מאזן בוחן'!AK775</f>
        <v>0</v>
      </c>
      <c r="X949" s="141">
        <v>0</v>
      </c>
      <c r="Y949" s="141">
        <f>'[25]מאזן בוחן'!AM805</f>
        <v>0</v>
      </c>
      <c r="AA949" s="141">
        <f>'[32]מאזן בוחן'!AO818</f>
        <v>0</v>
      </c>
      <c r="AB949" s="141">
        <f>'[26]מאזן בוחן'!AB817</f>
        <v>0</v>
      </c>
      <c r="AC949" s="141">
        <f>'[27]מאזן בוחן'!AC826</f>
        <v>0</v>
      </c>
      <c r="AD949" s="141">
        <f>'[28]מאזן בוחן'!AD838</f>
        <v>0</v>
      </c>
      <c r="AE949" s="141">
        <f>'[29]מאזן בוחן'!AE844</f>
        <v>0</v>
      </c>
      <c r="AF949" s="141">
        <f>'[30]מאזן בוחן'!AF855</f>
        <v>0</v>
      </c>
      <c r="AG949" s="141">
        <f>'[31]מאזן בוחן'!AG860</f>
        <v>0</v>
      </c>
      <c r="AH949" s="141">
        <v>0</v>
      </c>
      <c r="AI949" s="141">
        <v>0</v>
      </c>
      <c r="AJ949" s="141">
        <v>0</v>
      </c>
      <c r="AK949" s="141">
        <v>0</v>
      </c>
      <c r="AL949" s="141">
        <v>0</v>
      </c>
      <c r="AM949" s="141">
        <f>$K949-SUM($AB949:AL949)</f>
        <v>0</v>
      </c>
      <c r="AN949" s="141"/>
      <c r="AO949" s="141"/>
      <c r="AP949" s="141"/>
      <c r="AQ949" s="141"/>
      <c r="AR949" s="141"/>
      <c r="AS949" s="141"/>
      <c r="AT949" s="141"/>
      <c r="AU949" s="141"/>
      <c r="AV949" s="141"/>
      <c r="AW949" s="141"/>
    </row>
    <row r="950" spans="1:53">
      <c r="A950" s="52"/>
      <c r="B950" s="3659"/>
      <c r="C950" s="1489"/>
      <c r="D950" s="203"/>
      <c r="E950" s="1202"/>
      <c r="J950" s="474"/>
      <c r="K950" s="42"/>
      <c r="L950" s="49"/>
      <c r="M950" s="474"/>
      <c r="O950" s="1133"/>
      <c r="P950" s="137">
        <v>0</v>
      </c>
      <c r="Q950" s="141">
        <f>'[39]מאזן בוחן'!AE821</f>
        <v>0</v>
      </c>
      <c r="R950" s="137">
        <v>0</v>
      </c>
      <c r="S950" s="137">
        <v>0</v>
      </c>
      <c r="T950" s="141">
        <f>'[20]מאזן בוחן'!AR890</f>
        <v>0</v>
      </c>
      <c r="U950" s="137">
        <f>'[21]מאזן בוחן'!AS786</f>
        <v>0</v>
      </c>
      <c r="V950" s="137">
        <f>'[22]מאזן בוחן'!AJ772</f>
        <v>0</v>
      </c>
      <c r="W950" s="726">
        <f>'[23]מאזן בוחן'!AK776</f>
        <v>0</v>
      </c>
      <c r="X950" s="141">
        <v>0</v>
      </c>
      <c r="Y950" s="141">
        <f>'[25]מאזן בוחן'!AM806</f>
        <v>0</v>
      </c>
      <c r="AA950" s="141">
        <f>'[32]מאזן בוחן'!AO819</f>
        <v>1172.4899999999998</v>
      </c>
      <c r="AB950" s="141">
        <f>'[26]מאזן בוחן'!AB818</f>
        <v>0</v>
      </c>
      <c r="AC950" s="141">
        <f>'[27]מאזן בוחן'!AC827</f>
        <v>0</v>
      </c>
      <c r="AD950" s="141">
        <f>'[28]מאזן בוחן'!AD839</f>
        <v>0</v>
      </c>
      <c r="AE950" s="141">
        <f>'[29]מאזן בוחן'!AE845</f>
        <v>0</v>
      </c>
      <c r="AF950" s="141">
        <f>'[30]מאזן בוחן'!AF856</f>
        <v>0</v>
      </c>
      <c r="AG950" s="141">
        <f>'[31]מאזן בוחן'!AG861</f>
        <v>0</v>
      </c>
      <c r="AH950" s="141">
        <v>0</v>
      </c>
      <c r="AI950" s="141">
        <v>0</v>
      </c>
      <c r="AJ950" s="141">
        <v>0</v>
      </c>
      <c r="AK950" s="141">
        <v>0</v>
      </c>
      <c r="AL950" s="141">
        <v>0</v>
      </c>
      <c r="AM950" s="141">
        <f>$K950-SUM($AB950:AL950)</f>
        <v>0</v>
      </c>
      <c r="AN950" s="141"/>
      <c r="AO950" s="141"/>
      <c r="AP950" s="141"/>
      <c r="AQ950" s="141"/>
      <c r="AR950" s="141"/>
      <c r="AS950" s="141"/>
      <c r="AT950" s="141"/>
      <c r="AU950" s="141"/>
      <c r="AV950" s="141"/>
      <c r="AW950" s="141"/>
    </row>
    <row r="951" spans="1:53">
      <c r="A951" s="52"/>
      <c r="B951" s="3659" t="s">
        <v>563</v>
      </c>
      <c r="C951" s="585">
        <v>7120001</v>
      </c>
      <c r="D951" s="203" t="s">
        <v>1148</v>
      </c>
      <c r="E951" s="474">
        <f>IFERROR(VLOOKUP(C951,'פקודות נוספות'!$D$274:$F$797,3,0),0)</f>
        <v>0</v>
      </c>
      <c r="F951" s="49">
        <f>SUMIF('פקודות נוספות'!C:C,C:C,'פקודות נוספות'!E:E)</f>
        <v>0</v>
      </c>
      <c r="J951" s="474">
        <f t="shared" ref="J951:J965" si="194">SUM(E951:I951)</f>
        <v>0</v>
      </c>
      <c r="K951" s="42">
        <f>M951+SUMIF('פקודות נוספות'!C:C,'מאזן בוחן'!C951,'פקודות נוספות'!F:F)</f>
        <v>0</v>
      </c>
      <c r="L951" s="49"/>
      <c r="M951" s="474"/>
      <c r="N951" s="1104" t="str">
        <f t="shared" ref="N951:N965" si="195">IF(K951=0,"-",J951/K951)</f>
        <v>-</v>
      </c>
      <c r="O951" s="1133"/>
      <c r="P951" s="137">
        <v>0</v>
      </c>
      <c r="Q951" s="141">
        <f>'[39]מאזן בוחן'!AE822</f>
        <v>0</v>
      </c>
      <c r="R951" s="137">
        <v>0</v>
      </c>
      <c r="S951" s="137">
        <v>0</v>
      </c>
      <c r="T951" s="141">
        <f>'[20]מאזן בוחן'!AR891</f>
        <v>0</v>
      </c>
      <c r="U951" s="137">
        <f>'[21]מאזן בוחן'!AS787</f>
        <v>0</v>
      </c>
      <c r="V951" s="137">
        <f>'[22]מאזן בוחן'!AJ773</f>
        <v>0</v>
      </c>
      <c r="W951" s="726">
        <f>'[23]מאזן בוחן'!AK777</f>
        <v>0</v>
      </c>
      <c r="X951" s="141">
        <v>0</v>
      </c>
      <c r="Y951" s="141">
        <f>'[25]מאזן בוחן'!AM807</f>
        <v>0</v>
      </c>
      <c r="AA951" s="141">
        <f>'[32]מאזן בוחן'!AO820</f>
        <v>500</v>
      </c>
      <c r="AB951" s="141">
        <f>'[26]מאזן בוחן'!AB819</f>
        <v>0</v>
      </c>
      <c r="AC951" s="141">
        <f>'[27]מאזן בוחן'!AC828</f>
        <v>0</v>
      </c>
      <c r="AD951" s="141">
        <f>'[28]מאזן בוחן'!AD840</f>
        <v>0</v>
      </c>
      <c r="AE951" s="141">
        <f>'[29]מאזן בוחן'!AE846</f>
        <v>0</v>
      </c>
      <c r="AF951" s="141">
        <f>'[30]מאזן בוחן'!AF857</f>
        <v>0</v>
      </c>
      <c r="AG951" s="141">
        <f>'[31]מאזן בוחן'!AG862</f>
        <v>0</v>
      </c>
      <c r="AH951" s="141">
        <v>0</v>
      </c>
      <c r="AI951" s="141">
        <v>0</v>
      </c>
      <c r="AJ951" s="141">
        <v>0</v>
      </c>
      <c r="AK951" s="141">
        <v>0</v>
      </c>
      <c r="AL951" s="141">
        <v>0</v>
      </c>
      <c r="AM951" s="141">
        <f>$K951-SUM($AB951:AL951)</f>
        <v>0</v>
      </c>
      <c r="AN951" s="141"/>
      <c r="AO951" s="141"/>
      <c r="AP951" s="141"/>
      <c r="AQ951" s="141"/>
      <c r="AR951" s="141"/>
      <c r="AS951" s="141"/>
      <c r="AT951" s="141"/>
      <c r="AU951" s="141"/>
      <c r="AV951" s="141"/>
      <c r="AW951" s="141"/>
    </row>
    <row r="952" spans="1:53">
      <c r="A952" s="52"/>
      <c r="B952" s="3659" t="s">
        <v>563</v>
      </c>
      <c r="C952" s="585">
        <v>7120002</v>
      </c>
      <c r="D952" s="203" t="s">
        <v>1149</v>
      </c>
      <c r="E952" s="474">
        <f>IFERROR(VLOOKUP(C952,'פקודות נוספות'!$D$274:$F$797,3,0),0)</f>
        <v>0</v>
      </c>
      <c r="F952" s="49">
        <f>SUMIF('פקודות נוספות'!C:C,C:C,'פקודות נוספות'!E:E)</f>
        <v>0</v>
      </c>
      <c r="J952" s="474">
        <f t="shared" si="194"/>
        <v>0</v>
      </c>
      <c r="K952" s="42">
        <f>M952+SUMIF('פקודות נוספות'!C:C,'מאזן בוחן'!C952,'פקודות נוספות'!F:F)</f>
        <v>0</v>
      </c>
      <c r="L952" s="49"/>
      <c r="M952" s="474"/>
      <c r="N952" s="1104" t="str">
        <f t="shared" si="195"/>
        <v>-</v>
      </c>
      <c r="O952" s="1133"/>
      <c r="P952" s="137">
        <v>0</v>
      </c>
      <c r="Q952" s="141">
        <f>'[39]מאזן בוחן'!AE823</f>
        <v>0</v>
      </c>
      <c r="R952" s="137">
        <v>0</v>
      </c>
      <c r="S952" s="137">
        <v>0</v>
      </c>
      <c r="T952" s="141">
        <f>'[20]מאזן בוחן'!AR892</f>
        <v>0</v>
      </c>
      <c r="U952" s="137">
        <f>'[21]מאזן בוחן'!AS788</f>
        <v>0</v>
      </c>
      <c r="V952" s="137">
        <f>'[22]מאזן בוחן'!AJ774</f>
        <v>0</v>
      </c>
      <c r="W952" s="726">
        <f>'[23]מאזן בוחן'!AK778</f>
        <v>0</v>
      </c>
      <c r="X952" s="141">
        <v>0</v>
      </c>
      <c r="Y952" s="141">
        <f>'[25]מאזן בוחן'!AM808</f>
        <v>0</v>
      </c>
      <c r="AA952" s="141">
        <f>'[32]מאזן בוחן'!AO821</f>
        <v>0</v>
      </c>
      <c r="AB952" s="141">
        <f>'[26]מאזן בוחן'!AB820</f>
        <v>0</v>
      </c>
      <c r="AC952" s="141">
        <f>'[27]מאזן בוחן'!AC829</f>
        <v>0</v>
      </c>
      <c r="AD952" s="141">
        <f>'[28]מאזן בוחן'!AD841</f>
        <v>0</v>
      </c>
      <c r="AE952" s="141">
        <f>'[29]מאזן בוחן'!AE847</f>
        <v>0</v>
      </c>
      <c r="AF952" s="141">
        <f>'[30]מאזן בוחן'!AF858</f>
        <v>0</v>
      </c>
      <c r="AG952" s="141">
        <f>'[31]מאזן בוחן'!AG863</f>
        <v>0</v>
      </c>
      <c r="AH952" s="141">
        <v>0</v>
      </c>
      <c r="AI952" s="141">
        <v>0</v>
      </c>
      <c r="AJ952" s="141">
        <v>0</v>
      </c>
      <c r="AK952" s="141">
        <v>0</v>
      </c>
      <c r="AL952" s="141">
        <v>0</v>
      </c>
      <c r="AM952" s="141">
        <f>$K952-SUM($AB952:AL952)</f>
        <v>0</v>
      </c>
      <c r="AN952" s="141"/>
      <c r="AO952" s="141"/>
      <c r="AP952" s="141"/>
      <c r="AQ952" s="141"/>
      <c r="AR952" s="141"/>
      <c r="AS952" s="141"/>
      <c r="AT952" s="141"/>
      <c r="AU952" s="141"/>
      <c r="AV952" s="141"/>
      <c r="AW952" s="141"/>
    </row>
    <row r="953" spans="1:53">
      <c r="A953" s="52"/>
      <c r="B953" s="3659" t="s">
        <v>563</v>
      </c>
      <c r="C953" s="585">
        <v>7120003</v>
      </c>
      <c r="D953" s="203" t="s">
        <v>1150</v>
      </c>
      <c r="E953" s="474">
        <f>IFERROR(VLOOKUP(C953,'פקודות נוספות'!$D$274:$F$797,3,0),0)</f>
        <v>0</v>
      </c>
      <c r="F953" s="49">
        <f>SUMIF('פקודות נוספות'!C:C,C:C,'פקודות נוספות'!E:E)</f>
        <v>0</v>
      </c>
      <c r="J953" s="474">
        <f t="shared" si="194"/>
        <v>0</v>
      </c>
      <c r="K953" s="42">
        <f>M953+SUMIF('פקודות נוספות'!C:C,'מאזן בוחן'!C953,'פקודות נוספות'!F:F)</f>
        <v>0</v>
      </c>
      <c r="L953" s="49"/>
      <c r="M953" s="474"/>
      <c r="N953" s="1104" t="str">
        <f t="shared" si="195"/>
        <v>-</v>
      </c>
      <c r="O953" s="1133"/>
      <c r="P953" s="137">
        <v>0</v>
      </c>
      <c r="Q953" s="141">
        <f>'[39]מאזן בוחן'!AE824</f>
        <v>0</v>
      </c>
      <c r="R953" s="137">
        <v>0</v>
      </c>
      <c r="S953" s="137">
        <v>0</v>
      </c>
      <c r="T953" s="141">
        <f>'[20]מאזן בוחן'!AR893</f>
        <v>0</v>
      </c>
      <c r="U953" s="137">
        <f>'[21]מאזן בוחן'!AS789</f>
        <v>0</v>
      </c>
      <c r="V953" s="137">
        <f>'[22]מאזן בוחן'!AJ775</f>
        <v>0</v>
      </c>
      <c r="W953" s="726">
        <f>'[23]מאזן בוחן'!AK779</f>
        <v>0</v>
      </c>
      <c r="X953" s="141">
        <v>0</v>
      </c>
      <c r="Y953" s="141">
        <f>'[25]מאזן בוחן'!AM809</f>
        <v>0</v>
      </c>
      <c r="AA953" s="141">
        <f>'[32]מאזן בוחן'!AO822</f>
        <v>0</v>
      </c>
      <c r="AB953" s="141">
        <f>'[26]מאזן בוחן'!AB821</f>
        <v>0</v>
      </c>
      <c r="AC953" s="141">
        <f>'[27]מאזן בוחן'!AC830</f>
        <v>0</v>
      </c>
      <c r="AD953" s="141">
        <f>'[28]מאזן בוחן'!AD842</f>
        <v>0</v>
      </c>
      <c r="AE953" s="141">
        <f>'[29]מאזן בוחן'!AE848</f>
        <v>0</v>
      </c>
      <c r="AF953" s="141">
        <f>'[30]מאזן בוחן'!AF859</f>
        <v>0</v>
      </c>
      <c r="AG953" s="141">
        <f>'[31]מאזן בוחן'!AG864</f>
        <v>0</v>
      </c>
      <c r="AH953" s="141">
        <v>0</v>
      </c>
      <c r="AI953" s="141">
        <v>0</v>
      </c>
      <c r="AJ953" s="141">
        <v>0</v>
      </c>
      <c r="AK953" s="141">
        <v>0</v>
      </c>
      <c r="AL953" s="141">
        <v>0</v>
      </c>
      <c r="AM953" s="141">
        <f>$K953-SUM($AB953:AL953)</f>
        <v>0</v>
      </c>
      <c r="AN953" s="141"/>
      <c r="AO953" s="141"/>
      <c r="AP953" s="141"/>
      <c r="AQ953" s="141"/>
      <c r="AR953" s="141"/>
      <c r="AS953" s="141"/>
      <c r="AT953" s="141"/>
      <c r="AU953" s="141"/>
      <c r="AV953" s="141"/>
      <c r="AW953" s="141"/>
    </row>
    <row r="954" spans="1:53">
      <c r="A954" s="52"/>
      <c r="B954" s="3659" t="s">
        <v>563</v>
      </c>
      <c r="C954" s="585">
        <v>7120004</v>
      </c>
      <c r="D954" s="203" t="s">
        <v>1151</v>
      </c>
      <c r="E954" s="474">
        <f>IFERROR(VLOOKUP(C954,'פקודות נוספות'!$D$274:$F$797,3,0),0)</f>
        <v>0</v>
      </c>
      <c r="F954" s="49">
        <f>SUMIF('פקודות נוספות'!C:C,C:C,'פקודות נוספות'!E:E)</f>
        <v>0</v>
      </c>
      <c r="J954" s="474">
        <f t="shared" si="194"/>
        <v>0</v>
      </c>
      <c r="K954" s="42">
        <f>M954+SUMIF('פקודות נוספות'!C:C,'מאזן בוחן'!C954,'פקודות נוספות'!F:F)</f>
        <v>0</v>
      </c>
      <c r="L954" s="49"/>
      <c r="M954" s="474"/>
      <c r="N954" s="1104" t="str">
        <f t="shared" si="195"/>
        <v>-</v>
      </c>
      <c r="O954" s="1133"/>
      <c r="P954" s="137">
        <v>0</v>
      </c>
      <c r="Q954" s="141">
        <f>'[39]מאזן בוחן'!AE825</f>
        <v>0</v>
      </c>
      <c r="R954" s="137">
        <v>0</v>
      </c>
      <c r="S954" s="137">
        <v>0</v>
      </c>
      <c r="T954" s="141">
        <f>'[20]מאזן בוחן'!AR894</f>
        <v>0</v>
      </c>
      <c r="U954" s="137">
        <f>'[21]מאזן בוחן'!AS790</f>
        <v>0</v>
      </c>
      <c r="V954" s="137">
        <f>'[22]מאזן בוחן'!AJ776</f>
        <v>0</v>
      </c>
      <c r="W954" s="726">
        <f>'[23]מאזן בוחן'!AK780</f>
        <v>0</v>
      </c>
      <c r="X954" s="141">
        <v>0</v>
      </c>
      <c r="Y954" s="141">
        <f>'[25]מאזן בוחן'!AM810</f>
        <v>0</v>
      </c>
      <c r="AA954" s="141">
        <f>'[32]מאזן בוחן'!AO823</f>
        <v>0</v>
      </c>
      <c r="AB954" s="141">
        <f>'[26]מאזן בוחן'!AB822</f>
        <v>0</v>
      </c>
      <c r="AC954" s="141">
        <f>'[27]מאזן בוחן'!AC831</f>
        <v>0</v>
      </c>
      <c r="AD954" s="141">
        <f>'[28]מאזן בוחן'!AD843</f>
        <v>0</v>
      </c>
      <c r="AE954" s="141">
        <f>'[29]מאזן בוחן'!AE849</f>
        <v>0</v>
      </c>
      <c r="AF954" s="141">
        <f>'[30]מאזן בוחן'!AF860</f>
        <v>0</v>
      </c>
      <c r="AG954" s="141">
        <f>'[31]מאזן בוחן'!AG865</f>
        <v>0</v>
      </c>
      <c r="AH954" s="141">
        <v>0</v>
      </c>
      <c r="AI954" s="141">
        <v>0</v>
      </c>
      <c r="AJ954" s="141">
        <v>0</v>
      </c>
      <c r="AK954" s="141">
        <v>0</v>
      </c>
      <c r="AL954" s="141">
        <v>0</v>
      </c>
      <c r="AM954" s="141">
        <f>$K954-SUM($AB954:AL954)</f>
        <v>0</v>
      </c>
      <c r="AN954" s="141"/>
      <c r="AO954" s="141"/>
      <c r="AP954" s="141"/>
      <c r="AQ954" s="141"/>
      <c r="AR954" s="141"/>
      <c r="AS954" s="141"/>
      <c r="AT954" s="141"/>
      <c r="AU954" s="141"/>
      <c r="AV954" s="141"/>
      <c r="AW954" s="141"/>
    </row>
    <row r="955" spans="1:53">
      <c r="A955" s="52"/>
      <c r="B955" s="3659" t="s">
        <v>563</v>
      </c>
      <c r="C955" s="585">
        <v>7120005</v>
      </c>
      <c r="D955" s="203" t="s">
        <v>1152</v>
      </c>
      <c r="E955" s="474">
        <f>IFERROR(VLOOKUP(C955,'פקודות נוספות'!$D$274:$F$797,3,0),0)</f>
        <v>0</v>
      </c>
      <c r="F955" s="49">
        <f>SUMIF('פקודות נוספות'!C:C,C:C,'פקודות נוספות'!E:E)</f>
        <v>0</v>
      </c>
      <c r="J955" s="474">
        <f t="shared" si="194"/>
        <v>0</v>
      </c>
      <c r="K955" s="42">
        <f>M955+SUMIF('פקודות נוספות'!C:C,'מאזן בוחן'!C955,'פקודות נוספות'!F:F)</f>
        <v>0</v>
      </c>
      <c r="L955" s="49"/>
      <c r="M955" s="474"/>
      <c r="N955" s="1104" t="str">
        <f t="shared" si="195"/>
        <v>-</v>
      </c>
      <c r="O955" s="1133"/>
      <c r="P955" s="137">
        <v>0</v>
      </c>
      <c r="Q955" s="141">
        <f>'[39]מאזן בוחן'!AE826</f>
        <v>0</v>
      </c>
      <c r="R955" s="137">
        <v>0</v>
      </c>
      <c r="S955" s="137">
        <v>0</v>
      </c>
      <c r="T955" s="141">
        <f>'[20]מאזן בוחן'!AR895</f>
        <v>0</v>
      </c>
      <c r="U955" s="137">
        <f>'[21]מאזן בוחן'!AS791</f>
        <v>0</v>
      </c>
      <c r="V955" s="137">
        <f>'[22]מאזן בוחן'!AJ777</f>
        <v>0</v>
      </c>
      <c r="W955" s="726">
        <f>'[23]מאזן בוחן'!AK781</f>
        <v>0</v>
      </c>
      <c r="X955" s="141">
        <v>0</v>
      </c>
      <c r="Y955" s="141">
        <f>'[25]מאזן בוחן'!AM811</f>
        <v>0</v>
      </c>
      <c r="AA955" s="141">
        <f>'[32]מאזן בוחן'!AO824</f>
        <v>0</v>
      </c>
      <c r="AB955" s="141">
        <f>'[26]מאזן בוחן'!AB823</f>
        <v>0</v>
      </c>
      <c r="AC955" s="141">
        <f>'[27]מאזן בוחן'!AC832</f>
        <v>0</v>
      </c>
      <c r="AD955" s="141">
        <f>'[28]מאזן בוחן'!AD844</f>
        <v>0</v>
      </c>
      <c r="AE955" s="141">
        <f>'[29]מאזן בוחן'!AE850</f>
        <v>0</v>
      </c>
      <c r="AF955" s="141">
        <f>'[30]מאזן בוחן'!AF861</f>
        <v>0</v>
      </c>
      <c r="AG955" s="141">
        <f>'[31]מאזן בוחן'!AG866</f>
        <v>0</v>
      </c>
      <c r="AH955" s="141">
        <v>0</v>
      </c>
      <c r="AI955" s="141">
        <v>0</v>
      </c>
      <c r="AJ955" s="141">
        <v>0</v>
      </c>
      <c r="AK955" s="141">
        <v>0</v>
      </c>
      <c r="AL955" s="141">
        <v>0</v>
      </c>
      <c r="AM955" s="141">
        <f>$K955-SUM($AB955:AL955)</f>
        <v>0</v>
      </c>
      <c r="AN955" s="141"/>
      <c r="AO955" s="141"/>
      <c r="AP955" s="141"/>
      <c r="AQ955" s="141"/>
      <c r="AR955" s="141"/>
      <c r="AS955" s="141"/>
      <c r="AT955" s="141"/>
      <c r="AU955" s="141"/>
      <c r="AV955" s="141"/>
      <c r="AW955" s="141"/>
    </row>
    <row r="956" spans="1:53">
      <c r="A956" s="52"/>
      <c r="B956" s="3659" t="s">
        <v>563</v>
      </c>
      <c r="C956" s="585">
        <v>7120010</v>
      </c>
      <c r="D956" s="203" t="s">
        <v>363</v>
      </c>
      <c r="E956" s="474">
        <f>IFERROR(VLOOKUP(C956,'פקודות נוספות'!$D$274:$F$797,3,0),0)</f>
        <v>0</v>
      </c>
      <c r="F956" s="49">
        <f>SUMIF('פקודות נוספות'!C:C,C:C,'פקודות נוספות'!E:E)</f>
        <v>0</v>
      </c>
      <c r="J956" s="474">
        <f t="shared" si="194"/>
        <v>0</v>
      </c>
      <c r="K956" s="42">
        <f>M956+SUMIF('פקודות נוספות'!C:C,'מאזן בוחן'!C956,'פקודות נוספות'!F:F)</f>
        <v>0</v>
      </c>
      <c r="L956" s="49"/>
      <c r="M956" s="1341">
        <f>IFERROR(VLOOKUP(C956,'פקודות נוספות'!$D$273:$G$797,4,0),0)</f>
        <v>0</v>
      </c>
      <c r="N956" s="1104" t="str">
        <f t="shared" si="195"/>
        <v>-</v>
      </c>
      <c r="O956" s="1133"/>
      <c r="P956" s="137">
        <v>2729.4700000000003</v>
      </c>
      <c r="Q956" s="141">
        <f>'[39]מאזן בוחן'!AE827</f>
        <v>0</v>
      </c>
      <c r="R956" s="137">
        <v>0</v>
      </c>
      <c r="S956" s="137">
        <v>-1009.9900000000002</v>
      </c>
      <c r="T956" s="141">
        <f>'[20]מאזן בוחן'!AR896</f>
        <v>0</v>
      </c>
      <c r="U956" s="137">
        <f>'[21]מאזן בוחן'!AS792</f>
        <v>0</v>
      </c>
      <c r="V956" s="137">
        <f>'[22]מאזן בוחן'!AJ778</f>
        <v>0</v>
      </c>
      <c r="W956" s="726">
        <f>'[23]מאזן בוחן'!AK782</f>
        <v>-1280</v>
      </c>
      <c r="X956" s="141">
        <v>0</v>
      </c>
      <c r="Y956" s="141">
        <f>'[25]מאזן בוחן'!AM812</f>
        <v>0</v>
      </c>
      <c r="AA956" s="141">
        <f>'[32]מאזן בוחן'!AO825</f>
        <v>0</v>
      </c>
      <c r="AB956" s="141">
        <f>'[26]מאזן בוחן'!AB824</f>
        <v>0</v>
      </c>
      <c r="AC956" s="141">
        <f>'[27]מאזן בוחן'!AC833</f>
        <v>0</v>
      </c>
      <c r="AD956" s="141">
        <f>'[28]מאזן בוחן'!AD845</f>
        <v>0</v>
      </c>
      <c r="AE956" s="141">
        <f>'[29]מאזן בוחן'!AE851</f>
        <v>0</v>
      </c>
      <c r="AF956" s="141">
        <f>'[30]מאזן בוחן'!AF862</f>
        <v>0</v>
      </c>
      <c r="AG956" s="141">
        <f>'[31]מאזן בוחן'!AG867</f>
        <v>0</v>
      </c>
      <c r="AH956" s="141">
        <v>0</v>
      </c>
      <c r="AI956" s="141">
        <v>0</v>
      </c>
      <c r="AJ956" s="141">
        <v>0</v>
      </c>
      <c r="AK956" s="141">
        <v>0</v>
      </c>
      <c r="AL956" s="141">
        <v>0</v>
      </c>
      <c r="AM956" s="141">
        <f>$K956-SUM($AB956:AL956)</f>
        <v>0</v>
      </c>
      <c r="AN956" s="141"/>
      <c r="AO956" s="141"/>
      <c r="AP956" s="141"/>
      <c r="AQ956" s="141"/>
      <c r="AR956" s="141"/>
      <c r="AS956" s="141"/>
      <c r="AT956" s="141"/>
      <c r="AU956" s="141"/>
      <c r="AV956" s="141"/>
      <c r="AW956" s="141"/>
    </row>
    <row r="957" spans="1:53">
      <c r="A957" s="52"/>
      <c r="B957" s="3659" t="s">
        <v>563</v>
      </c>
      <c r="C957" s="585">
        <v>7120018</v>
      </c>
      <c r="D957" s="203" t="s">
        <v>368</v>
      </c>
      <c r="E957" s="474">
        <f>IFERROR(VLOOKUP(C957,'פקודות נוספות'!$D$274:$F$797,3,0),0)</f>
        <v>0</v>
      </c>
      <c r="F957" s="49">
        <f>SUMIF('פקודות נוספות'!C:C,C:C,'פקודות נוספות'!E:E)</f>
        <v>0</v>
      </c>
      <c r="J957" s="474">
        <f t="shared" si="194"/>
        <v>0</v>
      </c>
      <c r="K957" s="42">
        <f>M957+SUMIF('פקודות נוספות'!C:C,'מאזן בוחן'!C957,'פקודות נוספות'!F:F)</f>
        <v>0</v>
      </c>
      <c r="L957" s="49"/>
      <c r="M957" s="1341">
        <f>IFERROR(VLOOKUP(C957,'פקודות נוספות'!$D$273:$G$797,4,0),0)</f>
        <v>0</v>
      </c>
      <c r="N957" s="1104" t="str">
        <f t="shared" si="195"/>
        <v>-</v>
      </c>
      <c r="O957" s="1133"/>
      <c r="P957" s="137">
        <v>6504.09</v>
      </c>
      <c r="Q957" s="141">
        <f>'[39]מאזן בוחן'!AE828</f>
        <v>0</v>
      </c>
      <c r="R957" s="137">
        <v>0</v>
      </c>
      <c r="S957" s="137">
        <v>-1876.9300000000003</v>
      </c>
      <c r="T957" s="141">
        <f>'[20]מאזן בוחן'!AR901</f>
        <v>0</v>
      </c>
      <c r="U957" s="137">
        <f>'[21]מאזן בוחן'!AS793</f>
        <v>0</v>
      </c>
      <c r="V957" s="137">
        <f>'[22]מאזן בוחן'!AJ779</f>
        <v>0</v>
      </c>
      <c r="W957" s="726">
        <f>'[23]מאזן בוחן'!AK783</f>
        <v>0</v>
      </c>
      <c r="X957" s="141">
        <v>0</v>
      </c>
      <c r="Y957" s="141">
        <f>'[25]מאזן בוחן'!AM813</f>
        <v>0</v>
      </c>
      <c r="AA957" s="141">
        <f>'[32]מאזן בוחן'!AO826</f>
        <v>0</v>
      </c>
      <c r="AB957" s="141">
        <f>'[26]מאזן בוחן'!AB825</f>
        <v>0</v>
      </c>
      <c r="AC957" s="141">
        <f>'[27]מאזן בוחן'!AC834</f>
        <v>0</v>
      </c>
      <c r="AD957" s="141">
        <f>'[28]מאזן בוחן'!AD846</f>
        <v>0</v>
      </c>
      <c r="AE957" s="141">
        <f>'[29]מאזן בוחן'!AE852</f>
        <v>0</v>
      </c>
      <c r="AF957" s="141">
        <f>'[30]מאזן בוחן'!AF863</f>
        <v>0</v>
      </c>
      <c r="AG957" s="141">
        <f>'[31]מאזן בוחן'!AG868</f>
        <v>0</v>
      </c>
      <c r="AH957" s="141">
        <v>0</v>
      </c>
      <c r="AI957" s="141">
        <v>0</v>
      </c>
      <c r="AJ957" s="141">
        <v>0</v>
      </c>
      <c r="AK957" s="141">
        <v>0</v>
      </c>
      <c r="AL957" s="141">
        <v>0</v>
      </c>
      <c r="AM957" s="141">
        <f>$K957-SUM($AB957:AL957)</f>
        <v>0</v>
      </c>
      <c r="AN957" s="141"/>
      <c r="AO957" s="141"/>
      <c r="AP957" s="141"/>
      <c r="AQ957" s="141"/>
      <c r="AR957" s="141"/>
      <c r="AS957" s="141"/>
      <c r="AT957" s="141"/>
      <c r="AU957" s="141"/>
      <c r="AV957" s="141"/>
      <c r="AW957" s="141"/>
    </row>
    <row r="958" spans="1:53">
      <c r="A958" s="52"/>
      <c r="B958" s="3659" t="s">
        <v>563</v>
      </c>
      <c r="C958" s="585">
        <v>7120019</v>
      </c>
      <c r="D958" s="203" t="s">
        <v>367</v>
      </c>
      <c r="E958" s="474">
        <f>IFERROR(VLOOKUP(C958,'פקודות נוספות'!$D$274:$F$797,3,0),0)</f>
        <v>-2252.6</v>
      </c>
      <c r="F958" s="49">
        <f>SUMIF('פקודות נוספות'!C:C,C:C,'פקודות נוספות'!E:E)</f>
        <v>0</v>
      </c>
      <c r="J958" s="474">
        <f t="shared" si="194"/>
        <v>-2252.6</v>
      </c>
      <c r="K958" s="42">
        <f>M958+SUMIF('פקודות נוספות'!C:C,'מאזן בוחן'!C958,'פקודות נוספות'!F:F)</f>
        <v>-700</v>
      </c>
      <c r="L958" s="49"/>
      <c r="M958" s="1341">
        <f>IFERROR(VLOOKUP(C958,'פקודות נוספות'!$D$273:$G$797,4,0),0)</f>
        <v>-700</v>
      </c>
      <c r="N958" s="1104">
        <f t="shared" si="195"/>
        <v>3.218</v>
      </c>
      <c r="O958" s="1133"/>
      <c r="P958" s="137">
        <v>4122.5</v>
      </c>
      <c r="Q958" s="141">
        <f>'[39]מאזן בוחן'!AE829</f>
        <v>130.30000000000018</v>
      </c>
      <c r="R958" s="137">
        <v>0</v>
      </c>
      <c r="S958" s="137">
        <v>-313.71000000000004</v>
      </c>
      <c r="T958" s="141">
        <f>'[20]מאזן בוחן'!AR902</f>
        <v>0</v>
      </c>
      <c r="U958" s="137">
        <f>'[21]מאזן בוחן'!AS794</f>
        <v>0</v>
      </c>
      <c r="V958" s="137">
        <f>'[22]מאזן בוחן'!AJ780</f>
        <v>0</v>
      </c>
      <c r="W958" s="726">
        <f>'[23]מאזן בוחן'!AK784</f>
        <v>0</v>
      </c>
      <c r="X958" s="141">
        <v>0</v>
      </c>
      <c r="Y958" s="141">
        <f>'[25]מאזן בוחן'!AM814</f>
        <v>0</v>
      </c>
      <c r="AA958" s="141">
        <f>'[32]מאזן בוחן'!AO827</f>
        <v>0</v>
      </c>
      <c r="AB958" s="141">
        <f>'[26]מאזן בוחן'!AB826</f>
        <v>0</v>
      </c>
      <c r="AC958" s="141">
        <f>'[27]מאזן בוחן'!AC835</f>
        <v>0</v>
      </c>
      <c r="AD958" s="141">
        <f>'[28]מאזן בוחן'!AD847</f>
        <v>0</v>
      </c>
      <c r="AE958" s="141">
        <f>'[29]מאזן בוחן'!AE853</f>
        <v>0</v>
      </c>
      <c r="AF958" s="141">
        <f>'[30]מאזן בוחן'!AF864</f>
        <v>0</v>
      </c>
      <c r="AG958" s="141">
        <f>'[31]מאזן בוחן'!AG869</f>
        <v>0</v>
      </c>
      <c r="AH958" s="141">
        <v>0</v>
      </c>
      <c r="AI958" s="141">
        <v>0</v>
      </c>
      <c r="AJ958" s="141">
        <v>0</v>
      </c>
      <c r="AK958" s="141">
        <v>-700</v>
      </c>
      <c r="AL958" s="141">
        <v>0</v>
      </c>
      <c r="AM958" s="141">
        <f>$K958-SUM($AB958:AL958)</f>
        <v>0</v>
      </c>
      <c r="AN958" s="141"/>
      <c r="AO958" s="141"/>
      <c r="AP958" s="141"/>
      <c r="AQ958" s="141"/>
      <c r="AR958" s="141"/>
      <c r="AS958" s="141"/>
      <c r="AT958" s="141"/>
      <c r="AU958" s="141"/>
      <c r="AV958" s="141"/>
      <c r="AW958" s="141"/>
    </row>
    <row r="959" spans="1:53">
      <c r="A959" s="52"/>
      <c r="B959" s="3659" t="s">
        <v>563</v>
      </c>
      <c r="C959" s="585">
        <v>7120030</v>
      </c>
      <c r="D959" s="203" t="s">
        <v>1153</v>
      </c>
      <c r="E959" s="474">
        <f>IFERROR(VLOOKUP(C959,'פקודות נוספות'!$D$274:$F$797,3,0),0)</f>
        <v>1192.73</v>
      </c>
      <c r="F959" s="49">
        <f>SUMIF('פקודות נוספות'!C:C,C:C,'פקודות נוספות'!E:E)</f>
        <v>0</v>
      </c>
      <c r="J959" s="474">
        <f t="shared" si="194"/>
        <v>1192.73</v>
      </c>
      <c r="K959" s="42">
        <f>M959+SUMIF('פקודות נוספות'!C:C,'מאזן בוחן'!C959,'פקודות נוספות'!F:F)</f>
        <v>371.81</v>
      </c>
      <c r="L959" s="49"/>
      <c r="M959" s="1341">
        <f>IFERROR(VLOOKUP(C959,'פקודות נוספות'!$D$273:$G$797,4,0),0)</f>
        <v>371.81</v>
      </c>
      <c r="N959" s="1104">
        <f t="shared" si="195"/>
        <v>3.2079018853715606</v>
      </c>
      <c r="O959" s="1133"/>
      <c r="P959" s="137">
        <v>17191.269999999997</v>
      </c>
      <c r="Q959" s="141">
        <f>'[39]מאזן בוחן'!AE832</f>
        <v>8885.0100000000039</v>
      </c>
      <c r="R959" s="137">
        <v>368.45999999999731</v>
      </c>
      <c r="S959" s="137">
        <v>103.70000000000437</v>
      </c>
      <c r="T959" s="141">
        <f>'[20]מאזן בוחן'!AR905</f>
        <v>109.93999999999505</v>
      </c>
      <c r="U959" s="137">
        <f>'[21]מאזן בוחן'!AS797</f>
        <v>0</v>
      </c>
      <c r="V959" s="137">
        <f>'[22]מאזן בוחן'!AJ783</f>
        <v>0</v>
      </c>
      <c r="W959" s="726">
        <f>'[23]מאזן בוחן'!AK787</f>
        <v>0</v>
      </c>
      <c r="X959" s="141">
        <v>0</v>
      </c>
      <c r="Y959" s="141">
        <f>'[25]מאזן בוחן'!AM817</f>
        <v>0</v>
      </c>
      <c r="AA959" s="141">
        <f>'[32]מאזן בוחן'!AO830</f>
        <v>0</v>
      </c>
      <c r="AB959" s="141">
        <f>'[26]מאזן בוחן'!AB829</f>
        <v>0</v>
      </c>
      <c r="AC959" s="141">
        <f>'[27]מאזן בוחן'!AC838</f>
        <v>0</v>
      </c>
      <c r="AD959" s="141">
        <f>'[28]מאזן בוחן'!AD850</f>
        <v>0</v>
      </c>
      <c r="AE959" s="141">
        <f>'[29]מאזן בוחן'!AE856</f>
        <v>0</v>
      </c>
      <c r="AF959" s="141">
        <f>'[30]מאזן בוחן'!AF867</f>
        <v>0</v>
      </c>
      <c r="AG959" s="141">
        <f>'[31]מאזן בוחן'!AG872</f>
        <v>0</v>
      </c>
      <c r="AH959" s="141">
        <v>0</v>
      </c>
      <c r="AI959" s="141">
        <v>0</v>
      </c>
      <c r="AJ959" s="141">
        <v>0</v>
      </c>
      <c r="AK959" s="141">
        <v>371.81</v>
      </c>
      <c r="AL959" s="141">
        <v>0</v>
      </c>
      <c r="AM959" s="141">
        <f>$K959-SUM($AB959:AL959)</f>
        <v>0</v>
      </c>
      <c r="AN959" s="141"/>
      <c r="AO959" s="141"/>
      <c r="AP959" s="141"/>
      <c r="AQ959" s="141"/>
      <c r="AR959" s="141"/>
      <c r="AS959" s="141"/>
      <c r="AT959" s="141"/>
      <c r="AU959" s="141"/>
      <c r="AV959" s="141"/>
      <c r="AW959" s="141"/>
    </row>
    <row r="960" spans="1:53">
      <c r="A960" s="52"/>
      <c r="B960" s="3659" t="s">
        <v>563</v>
      </c>
      <c r="C960" s="585">
        <v>7120034</v>
      </c>
      <c r="D960" s="203" t="s">
        <v>365</v>
      </c>
      <c r="E960" s="474">
        <f>IFERROR(VLOOKUP(C960,'פקודות נוספות'!$D$274:$F$797,3,0),0)</f>
        <v>62466.05</v>
      </c>
      <c r="F960" s="49">
        <f>SUMIF('פקודות נוספות'!C:C,C:C,'פקודות נוספות'!E:E)</f>
        <v>0</v>
      </c>
      <c r="J960" s="474">
        <f t="shared" si="194"/>
        <v>62466.05</v>
      </c>
      <c r="K960" s="42">
        <f>M960+SUMIF('פקודות נוספות'!C:C,'מאזן בוחן'!C960,'פקודות נוספות'!F:F)</f>
        <v>19300.73</v>
      </c>
      <c r="L960" s="49"/>
      <c r="M960" s="1341">
        <f>IFERROR(VLOOKUP(C960,'פקודות נוספות'!$D$273:$G$797,4,0),0)</f>
        <v>19300.73</v>
      </c>
      <c r="N960" s="1104">
        <f t="shared" si="195"/>
        <v>3.2364604862095891</v>
      </c>
      <c r="O960" s="1133"/>
      <c r="P960" s="137">
        <v>2558.9699999999998</v>
      </c>
      <c r="Q960" s="141">
        <f>'[39]מאזן בוחן'!AE833</f>
        <v>3798.9600000000005</v>
      </c>
      <c r="R960" s="137">
        <v>2193.1299999999997</v>
      </c>
      <c r="S960" s="137">
        <v>1169.4600000000009</v>
      </c>
      <c r="T960" s="141">
        <f>'[20]מאזן בוחן'!AR906</f>
        <v>655.34000000000015</v>
      </c>
      <c r="U960" s="137">
        <f>'[21]מאזן בוחן'!AS798</f>
        <v>1610.1999999999985</v>
      </c>
      <c r="V960" s="137">
        <f>'[22]מאזן בוחן'!AJ784</f>
        <v>1026.6200000000003</v>
      </c>
      <c r="W960" s="726">
        <f>'[23]מאזן בוחן'!AK788</f>
        <v>2216.1599999999994</v>
      </c>
      <c r="X960" s="141">
        <v>2695.8300000000013</v>
      </c>
      <c r="Y960" s="141">
        <f>'[25]מאזן בוחן'!AM818</f>
        <v>1757.6099999999969</v>
      </c>
      <c r="AA960" s="141">
        <f>'[32]מאזן בוחן'!AO831</f>
        <v>0</v>
      </c>
      <c r="AB960" s="141">
        <f>'[26]מאזן בוחן'!AB830</f>
        <v>2420.42</v>
      </c>
      <c r="AC960" s="141">
        <f>'[27]מאזן בוחן'!AC839</f>
        <v>1480.6599999999999</v>
      </c>
      <c r="AD960" s="141">
        <f>'[28]מאזן בוחן'!AD851</f>
        <v>1716.04</v>
      </c>
      <c r="AE960" s="141">
        <f>'[29]מאזן בוחן'!AE857</f>
        <v>1154.8000000000002</v>
      </c>
      <c r="AF960" s="141">
        <f>'[30]מאזן בוחן'!AF868</f>
        <v>1971.2199999999993</v>
      </c>
      <c r="AG960" s="141">
        <f>'[31]מאזן בוחן'!AG873</f>
        <v>1248.4800000000014</v>
      </c>
      <c r="AH960" s="141">
        <v>702.39999999999964</v>
      </c>
      <c r="AI960" s="141">
        <v>2298.9899999999998</v>
      </c>
      <c r="AJ960" s="141">
        <v>1471.5499999999993</v>
      </c>
      <c r="AK960" s="141">
        <v>2052.3500000000004</v>
      </c>
      <c r="AL960" s="141">
        <v>1271.8199999999997</v>
      </c>
      <c r="AM960" s="141">
        <f>$K960-SUM($AB960:AL960)</f>
        <v>1512</v>
      </c>
      <c r="AN960" s="141"/>
      <c r="AO960" s="141"/>
      <c r="AP960" s="141"/>
      <c r="AQ960" s="141"/>
      <c r="AR960" s="141"/>
      <c r="AS960" s="141"/>
      <c r="AT960" s="141"/>
      <c r="AU960" s="141"/>
      <c r="AV960" s="141"/>
      <c r="AW960" s="141"/>
    </row>
    <row r="961" spans="1:55">
      <c r="A961" s="52"/>
      <c r="B961" s="3659" t="s">
        <v>563</v>
      </c>
      <c r="C961" s="585">
        <v>7120041</v>
      </c>
      <c r="D961" s="203" t="s">
        <v>361</v>
      </c>
      <c r="E961" s="474">
        <f>IFERROR(VLOOKUP(C961,'פקודות נוספות'!$D$274:$F$797,3,0),0)</f>
        <v>764009.98</v>
      </c>
      <c r="F961" s="49">
        <f>SUMIF('פקודות נוספות'!C:C,C:C,'פקודות נוספות'!E:E)</f>
        <v>0</v>
      </c>
      <c r="J961" s="474">
        <f t="shared" si="194"/>
        <v>764009.98</v>
      </c>
      <c r="K961" s="42">
        <f>M961+SUMIF('פקודות נוספות'!C:C,'מאזן בוחן'!C961,'פקודות נוספות'!F:F)</f>
        <v>226106.2</v>
      </c>
      <c r="L961" s="49"/>
      <c r="M961" s="1341">
        <f>IFERROR(VLOOKUP(C961,'פקודות נוספות'!$D$273:$G$797,4,0),0)</f>
        <v>226106.2</v>
      </c>
      <c r="N961" s="1104">
        <f t="shared" si="195"/>
        <v>3.3789873077341528</v>
      </c>
      <c r="O961" s="1133"/>
      <c r="P961" s="1512">
        <v>20074.54</v>
      </c>
      <c r="Q961" s="141">
        <f>'[39]מאזן בוחן'!AE834</f>
        <v>16340.400000000001</v>
      </c>
      <c r="R961" s="1512">
        <v>16499.529999999992</v>
      </c>
      <c r="S961" s="1512">
        <v>18216.090000000004</v>
      </c>
      <c r="T961" s="141">
        <f>'[20]מאזן בוחן'!AR907</f>
        <v>16865.649999999987</v>
      </c>
      <c r="U961" s="137">
        <f>'[21]מאזן בוחן'!AS799</f>
        <v>17359.450000000019</v>
      </c>
      <c r="V961" s="137">
        <f>'[22]מאזן בוחן'!AJ785</f>
        <v>17703.120000000003</v>
      </c>
      <c r="W961" s="726">
        <f>'[23]מאזן בוחן'!AK789</f>
        <v>16803.120000000003</v>
      </c>
      <c r="X961" s="141">
        <v>18725.870000000003</v>
      </c>
      <c r="Y961" s="141">
        <f>'[25]מאזן בוחן'!AM819</f>
        <v>18291.339999999997</v>
      </c>
      <c r="AA961" s="141">
        <f>'[32]מאזן בוחן'!AO837</f>
        <v>18176.679999999993</v>
      </c>
      <c r="AB961" s="141">
        <f>'[26]מאזן בוחן'!AB831</f>
        <v>18165.91</v>
      </c>
      <c r="AC961" s="141">
        <f>'[27]מאזן בוחן'!AC840</f>
        <v>17710.12</v>
      </c>
      <c r="AD961" s="141">
        <f>'[28]מאזן בוחן'!AD852</f>
        <v>17710.160000000003</v>
      </c>
      <c r="AE961" s="141">
        <f>'[29]מאזן בוחן'!AE858</f>
        <v>16377.929999999993</v>
      </c>
      <c r="AF961" s="141">
        <f>'[30]מאזן בוחן'!AF869</f>
        <v>16868.040000000008</v>
      </c>
      <c r="AG961" s="141">
        <f>'[31]מאזן בוחן'!AG874</f>
        <v>22026.569999999992</v>
      </c>
      <c r="AH961" s="141">
        <v>18384.520000000004</v>
      </c>
      <c r="AI961" s="141">
        <v>19530.010000000009</v>
      </c>
      <c r="AJ961" s="141">
        <v>19255.929999999993</v>
      </c>
      <c r="AK961" s="141">
        <v>22726.989999999991</v>
      </c>
      <c r="AL961" s="141">
        <v>18714.320000000007</v>
      </c>
      <c r="AM961" s="141">
        <f>$K961-SUM($AB961:AL961)</f>
        <v>18635.700000000012</v>
      </c>
      <c r="AN961" s="141"/>
      <c r="AO961" s="141"/>
      <c r="AP961" s="141"/>
      <c r="AQ961" s="141"/>
      <c r="AR961" s="141"/>
      <c r="AS961" s="141"/>
      <c r="AT961" s="141"/>
      <c r="AU961" s="141"/>
      <c r="AV961" s="141"/>
      <c r="AW961" s="141"/>
      <c r="BC961" s="714"/>
    </row>
    <row r="962" spans="1:55">
      <c r="A962" s="52"/>
      <c r="B962" s="3659" t="s">
        <v>563</v>
      </c>
      <c r="C962" s="585">
        <v>7120042</v>
      </c>
      <c r="D962" s="203" t="s">
        <v>1154</v>
      </c>
      <c r="E962" s="474">
        <f>IFERROR(VLOOKUP(C962,'פקודות נוספות'!$D$274:$F$797,3,0),0)</f>
        <v>92456.87</v>
      </c>
      <c r="F962" s="49">
        <f>SUMIF('פקודות נוספות'!C:C,C:C,'פקודות נוספות'!E:E)</f>
        <v>0</v>
      </c>
      <c r="J962" s="474">
        <f t="shared" si="194"/>
        <v>92456.87</v>
      </c>
      <c r="K962" s="42">
        <f>M962+SUMIF('פקודות נוספות'!C:C,'מאזן בוחן'!C962,'פקודות נוספות'!F:F)</f>
        <v>28527.02</v>
      </c>
      <c r="L962" s="49"/>
      <c r="M962" s="1341">
        <f>IFERROR(VLOOKUP(C962,'פקודות נוספות'!$D$273:$G$797,4,0),0)</f>
        <v>28527.02</v>
      </c>
      <c r="N962" s="1104">
        <f t="shared" si="195"/>
        <v>3.2410279797889858</v>
      </c>
      <c r="O962" s="1133"/>
      <c r="P962" s="137">
        <v>0</v>
      </c>
      <c r="Q962" s="141">
        <f>'[39]מאזן בוחן'!AE835</f>
        <v>5208.41</v>
      </c>
      <c r="R962" s="137">
        <v>0</v>
      </c>
      <c r="S962" s="1406">
        <v>2565</v>
      </c>
      <c r="T962" s="141">
        <f>'[20]מאזן בוחן'!AR908</f>
        <v>2565</v>
      </c>
      <c r="U962" s="137">
        <f>'[21]מאזן בוחן'!AS800</f>
        <v>2565</v>
      </c>
      <c r="V962" s="137">
        <f>'[22]מאזן בוחן'!AJ786</f>
        <v>2565</v>
      </c>
      <c r="W962" s="726">
        <f>'[23]מאזן בוחן'!AK790</f>
        <v>2565</v>
      </c>
      <c r="X962" s="141">
        <v>0</v>
      </c>
      <c r="Y962" s="141">
        <f>'[25]מאזן בוחן'!AM820</f>
        <v>2565</v>
      </c>
      <c r="AA962" s="141">
        <f>'[32]מאזן בוחן'!AO838</f>
        <v>7707.77</v>
      </c>
      <c r="AB962" s="141">
        <f>'[26]מאזן בוחן'!AB832</f>
        <v>-12.77</v>
      </c>
      <c r="AC962" s="141">
        <f>'[27]מאזן בוחן'!AC841</f>
        <v>2765</v>
      </c>
      <c r="AD962" s="141">
        <f>'[28]מאזן בוחן'!AD853</f>
        <v>2640.61</v>
      </c>
      <c r="AE962" s="141">
        <f>'[29]מאזן בוחן'!AE859</f>
        <v>2615.1800000000003</v>
      </c>
      <c r="AF962" s="141">
        <f>'[30]מאזן בוחן'!AF870</f>
        <v>2564</v>
      </c>
      <c r="AG962" s="141">
        <f>'[31]מאזן בוחן'!AG875</f>
        <v>2565</v>
      </c>
      <c r="AH962" s="141">
        <v>2565</v>
      </c>
      <c r="AI962" s="141">
        <v>2565</v>
      </c>
      <c r="AJ962" s="141">
        <v>2565</v>
      </c>
      <c r="AK962" s="141">
        <v>2565</v>
      </c>
      <c r="AL962" s="141">
        <v>2565</v>
      </c>
      <c r="AM962" s="141">
        <f>$K962-SUM($AB962:AL962)</f>
        <v>2565</v>
      </c>
      <c r="AN962" s="141"/>
      <c r="AO962" s="141"/>
      <c r="AP962" s="141"/>
      <c r="AQ962" s="141"/>
      <c r="AR962" s="141"/>
      <c r="AS962" s="141"/>
      <c r="AT962" s="141"/>
      <c r="AU962" s="141"/>
      <c r="AV962" s="141"/>
      <c r="AW962" s="141"/>
      <c r="BC962" s="714"/>
    </row>
    <row r="963" spans="1:55">
      <c r="A963" s="52"/>
      <c r="B963" s="3659" t="s">
        <v>563</v>
      </c>
      <c r="C963" s="585">
        <v>7120064</v>
      </c>
      <c r="D963" s="203" t="s">
        <v>364</v>
      </c>
      <c r="E963" s="474">
        <f>IFERROR(VLOOKUP(C963,'פקודות נוספות'!$D$274:$F$797,3,0),0)</f>
        <v>76268.039999999994</v>
      </c>
      <c r="F963" s="49">
        <f>SUMIF('פקודות נוספות'!C:C,C:C,'פקודות נוספות'!E:E)</f>
        <v>0</v>
      </c>
      <c r="J963" s="474">
        <f t="shared" si="194"/>
        <v>76268.039999999994</v>
      </c>
      <c r="K963" s="42">
        <f>M963+SUMIF('פקודות נוספות'!C:C,'מאזן בוחן'!C963,'פקודות נוספות'!F:F)</f>
        <v>23636.82</v>
      </c>
      <c r="L963" s="49"/>
      <c r="M963" s="1341">
        <f>IFERROR(VLOOKUP(C963,'פקודות נוספות'!$D$273:$G$797,4,0),0)</f>
        <v>23636.82</v>
      </c>
      <c r="N963" s="1104">
        <f t="shared" si="195"/>
        <v>3.2266624698246207</v>
      </c>
      <c r="O963" s="1133"/>
      <c r="P963" s="137">
        <v>510.04</v>
      </c>
      <c r="Q963" s="141">
        <f>'[39]מאזן בוחן'!AE836</f>
        <v>0</v>
      </c>
      <c r="R963" s="137">
        <v>0</v>
      </c>
      <c r="S963" s="137">
        <v>0</v>
      </c>
      <c r="T963" s="141">
        <f>'[20]מאזן בוחן'!AR913</f>
        <v>378.27999999999969</v>
      </c>
      <c r="U963" s="137">
        <f>'[21]מאזן בוחן'!AS801</f>
        <v>-252.36999999999966</v>
      </c>
      <c r="V963" s="137">
        <f>'[22]מאזן בוחן'!AJ787</f>
        <v>0</v>
      </c>
      <c r="W963" s="726">
        <f>'[23]מאזן בוחן'!AK791</f>
        <v>0</v>
      </c>
      <c r="X963" s="141">
        <v>0</v>
      </c>
      <c r="Y963" s="141">
        <f>'[25]מאזן בוחן'!AM821</f>
        <v>1084.8899999999999</v>
      </c>
      <c r="AA963" s="141">
        <f>'[32]מאזן בוחן'!AO839</f>
        <v>0</v>
      </c>
      <c r="AB963" s="141">
        <f>'[26]מאזן בוחן'!AB833</f>
        <v>0</v>
      </c>
      <c r="AC963" s="141">
        <f>'[27]מאזן בוחן'!AC842</f>
        <v>5215.2</v>
      </c>
      <c r="AD963" s="141">
        <f>'[28]מאזן בוחן'!AD854</f>
        <v>0</v>
      </c>
      <c r="AE963" s="141">
        <f>'[29]מאזן בוחן'!AE860</f>
        <v>0</v>
      </c>
      <c r="AF963" s="141">
        <f>'[30]מאזן בוחן'!AF871</f>
        <v>2702.55</v>
      </c>
      <c r="AG963" s="141">
        <f>'[31]מאזן בוחן'!AG876</f>
        <v>551.13999999999942</v>
      </c>
      <c r="AH963" s="141">
        <v>0</v>
      </c>
      <c r="AI963" s="141">
        <v>0</v>
      </c>
      <c r="AJ963" s="141">
        <v>0</v>
      </c>
      <c r="AK963" s="141">
        <v>0</v>
      </c>
      <c r="AL963" s="141">
        <v>15167.93</v>
      </c>
      <c r="AM963" s="141">
        <f>$K963-SUM($AB963:AL963)</f>
        <v>0</v>
      </c>
      <c r="AN963" s="141"/>
      <c r="AO963" s="141"/>
      <c r="AP963" s="141"/>
      <c r="AQ963" s="141"/>
      <c r="AR963" s="141"/>
      <c r="AS963" s="141"/>
      <c r="AT963" s="141"/>
      <c r="AU963" s="141"/>
      <c r="AV963" s="141"/>
      <c r="AW963" s="141"/>
    </row>
    <row r="964" spans="1:55">
      <c r="A964" s="52"/>
      <c r="B964" s="3659" t="s">
        <v>563</v>
      </c>
      <c r="C964" s="585">
        <v>7120070</v>
      </c>
      <c r="D964" s="203" t="s">
        <v>278</v>
      </c>
      <c r="E964" s="474">
        <f>IFERROR(VLOOKUP(C964,'פקודות נוספות'!$D$274:$F$797,3,0),0)</f>
        <v>12181.8</v>
      </c>
      <c r="F964" s="49">
        <f>SUMIF('פקודות נוספות'!C:C,C:C,'פקודות נוספות'!E:E)</f>
        <v>0</v>
      </c>
      <c r="J964" s="474">
        <f t="shared" si="194"/>
        <v>12181.8</v>
      </c>
      <c r="K964" s="42">
        <f>M964+SUMIF('פקודות נוספות'!C:C,'מאזן בוחן'!C964,'פקודות נוספות'!F:F)</f>
        <v>3794</v>
      </c>
      <c r="L964" s="49"/>
      <c r="M964" s="1341">
        <f>IFERROR(VLOOKUP(C964,'פקודות נוספות'!$D$273:$G$797,4,0),0)</f>
        <v>3794</v>
      </c>
      <c r="N964" s="1104">
        <f t="shared" si="195"/>
        <v>3.2108065366367948</v>
      </c>
      <c r="O964" s="1133"/>
      <c r="P964" s="137">
        <v>979</v>
      </c>
      <c r="Q964" s="141">
        <f>'[39]מאזן בוחן'!AE837</f>
        <v>2385.17</v>
      </c>
      <c r="R964" s="137">
        <v>120</v>
      </c>
      <c r="S964" s="137">
        <v>120</v>
      </c>
      <c r="T964" s="141">
        <f>'[20]מאזן בוחן'!AR914</f>
        <v>120</v>
      </c>
      <c r="U964" s="141">
        <f>'[21]מאזן בוחן'!AS802</f>
        <v>117</v>
      </c>
      <c r="V964" s="726">
        <f>'[22]מאזן בוחן'!AJ788</f>
        <v>120</v>
      </c>
      <c r="W964" s="726">
        <f>'[23]מאזן בוחן'!AK792</f>
        <v>0</v>
      </c>
      <c r="X964" s="141">
        <v>248</v>
      </c>
      <c r="Y964" s="141">
        <f>'[25]מאזן בוחן'!AM822</f>
        <v>111</v>
      </c>
      <c r="AA964" s="141">
        <f>'[32]מאזן בוחן'!AO840</f>
        <v>0</v>
      </c>
      <c r="AB964" s="141">
        <f>'[26]מאזן בוחן'!AB834</f>
        <v>234</v>
      </c>
      <c r="AC964" s="141">
        <f>'[27]מאזן בוחן'!AC843</f>
        <v>0</v>
      </c>
      <c r="AD964" s="141">
        <f>'[28]מאזן בוחן'!AD855</f>
        <v>114</v>
      </c>
      <c r="AE964" s="141">
        <f>'[29]מאזן בוחן'!AE861</f>
        <v>219</v>
      </c>
      <c r="AF964" s="141">
        <f>'[30]מאזן בוחן'!AF872</f>
        <v>118</v>
      </c>
      <c r="AG964" s="141">
        <f>'[31]מאזן בוחן'!AG877</f>
        <v>0</v>
      </c>
      <c r="AH964" s="141">
        <v>1185</v>
      </c>
      <c r="AI964" s="141">
        <v>0</v>
      </c>
      <c r="AJ964" s="141">
        <v>120</v>
      </c>
      <c r="AK964" s="141">
        <v>238</v>
      </c>
      <c r="AL964" s="141">
        <v>0</v>
      </c>
      <c r="AM964" s="141">
        <f>$K964-SUM($AB964:AL964)</f>
        <v>1566</v>
      </c>
      <c r="AN964" s="141"/>
      <c r="AO964" s="141"/>
      <c r="AP964" s="141"/>
      <c r="AQ964" s="141"/>
      <c r="AR964" s="141"/>
      <c r="AS964" s="141"/>
      <c r="AT964" s="141"/>
      <c r="AU964" s="141"/>
      <c r="AV964" s="141"/>
      <c r="AW964" s="141"/>
      <c r="BA964" s="204"/>
    </row>
    <row r="965" spans="1:55">
      <c r="A965" s="52"/>
      <c r="B965" s="3659" t="s">
        <v>563</v>
      </c>
      <c r="C965" s="585">
        <v>7120071</v>
      </c>
      <c r="D965" s="203" t="s">
        <v>1155</v>
      </c>
      <c r="E965" s="474">
        <f>IFERROR(VLOOKUP(C965,'פקודות נוספות'!$D$274:$F$797,3,0),0)</f>
        <v>8810.24</v>
      </c>
      <c r="F965" s="49">
        <f>SUMIF('פקודות נוספות'!C:C,C:C,'פקודות נוספות'!E:E)</f>
        <v>0</v>
      </c>
      <c r="J965" s="474">
        <f t="shared" si="194"/>
        <v>8810.24</v>
      </c>
      <c r="K965" s="42">
        <f>M965+SUMIF('פקודות נוספות'!C:C,'מאזן בוחן'!C965,'פקודות נוספות'!F:F)</f>
        <v>2763.43</v>
      </c>
      <c r="L965" s="49"/>
      <c r="M965" s="1341">
        <f>IFERROR(VLOOKUP(C965,'פקודות נוספות'!$D$273:$G$797,4,0),0)</f>
        <v>2763.43</v>
      </c>
      <c r="N965" s="1104">
        <f t="shared" si="195"/>
        <v>3.1881538522777855</v>
      </c>
      <c r="O965" s="1133"/>
      <c r="P965" s="137">
        <v>1263.55</v>
      </c>
      <c r="Q965" s="141">
        <f>'[39]מאזן בוחן'!AE838</f>
        <v>651.57000000000016</v>
      </c>
      <c r="R965" s="137">
        <v>113.57000000000016</v>
      </c>
      <c r="S965" s="137">
        <v>742.92999999999961</v>
      </c>
      <c r="T965" s="141">
        <f>'[20]מאזן בוחן'!AR915</f>
        <v>113</v>
      </c>
      <c r="U965" s="141">
        <f>'[21]מאזן בוחן'!AS803</f>
        <v>-528.92999999999984</v>
      </c>
      <c r="V965" s="726">
        <f>'[22]מאזן בוחן'!AJ789</f>
        <v>113.00000000000017</v>
      </c>
      <c r="W965" s="726">
        <f>'[23]מאזן בוחן'!AK793</f>
        <v>114.99999999999994</v>
      </c>
      <c r="X965" s="141">
        <v>109.99999999999994</v>
      </c>
      <c r="Y965" s="141">
        <f>'[25]מאזן בוחן'!AM823</f>
        <v>112.00000000000045</v>
      </c>
      <c r="AA965" s="141">
        <f>'[32]מאזן בוחן'!AO841</f>
        <v>120</v>
      </c>
      <c r="AB965" s="141">
        <f>'[26]מאזן בוחן'!AB835</f>
        <v>112</v>
      </c>
      <c r="AC965" s="141">
        <f>'[27]מאזן בוחן'!AC844</f>
        <v>106</v>
      </c>
      <c r="AD965" s="141">
        <f>'[28]מאזן בוחן'!AD856</f>
        <v>103</v>
      </c>
      <c r="AE965" s="141">
        <f>'[29]מאזן בוחן'!AE862</f>
        <v>102</v>
      </c>
      <c r="AF965" s="141">
        <f>'[30]מאזן בוחן'!AF873</f>
        <v>109</v>
      </c>
      <c r="AG965" s="141">
        <f>'[31]מאזן בוחן'!AG878</f>
        <v>114</v>
      </c>
      <c r="AH965" s="141">
        <v>115</v>
      </c>
      <c r="AI965" s="141">
        <v>112</v>
      </c>
      <c r="AJ965" s="141">
        <v>113</v>
      </c>
      <c r="AK965" s="141">
        <v>90</v>
      </c>
      <c r="AL965" s="141">
        <v>167.57999999999993</v>
      </c>
      <c r="AM965" s="141">
        <f>$K965-SUM($AB965:AL965)</f>
        <v>1519.85</v>
      </c>
      <c r="AN965" s="141"/>
      <c r="AO965" s="141"/>
      <c r="AP965" s="141"/>
      <c r="AQ965" s="141"/>
      <c r="AR965" s="141"/>
      <c r="AS965" s="141"/>
      <c r="AT965" s="141"/>
      <c r="AU965" s="141"/>
      <c r="AV965" s="141"/>
      <c r="AW965" s="141"/>
      <c r="BA965" s="204"/>
    </row>
    <row r="966" spans="1:55">
      <c r="A966" s="52"/>
      <c r="B966" s="3659" t="s">
        <v>563</v>
      </c>
      <c r="C966" s="585">
        <v>7120076</v>
      </c>
      <c r="D966" s="203" t="s">
        <v>1647</v>
      </c>
      <c r="E966" s="474">
        <f>IFERROR(VLOOKUP(C966,'פקודות נוספות'!$D$274:$F$797,3,0),0)</f>
        <v>8007.62</v>
      </c>
      <c r="F966" s="49">
        <f>SUMIF('פקודות נוספות'!C:C,C:C,'פקודות נוספות'!E:E)</f>
        <v>0</v>
      </c>
      <c r="J966" s="474">
        <f>SUM(E966:I966)</f>
        <v>8007.62</v>
      </c>
      <c r="K966" s="42">
        <f>M966+SUMIF('פקודות נוספות'!C:C,'מאזן בוחן'!C966,'פקודות נוספות'!F:F)</f>
        <v>2514</v>
      </c>
      <c r="L966" s="49"/>
      <c r="M966" s="1341">
        <f>IFERROR(VLOOKUP(C966,'פקודות נוספות'!$D$273:$G$797,4,0),0)</f>
        <v>2514</v>
      </c>
      <c r="N966" s="1104">
        <f>IF(K966=0,"-",J966/K966)</f>
        <v>3.1852108194112967</v>
      </c>
      <c r="O966" s="1133"/>
      <c r="P966" s="137">
        <v>697</v>
      </c>
      <c r="Q966" s="141">
        <f>'[39]מאזן בוחן'!AE839</f>
        <v>609</v>
      </c>
      <c r="R966" s="137">
        <v>57</v>
      </c>
      <c r="S966" s="137">
        <v>53</v>
      </c>
      <c r="T966" s="141">
        <f>'[20]מאזן בוחן'!AR917</f>
        <v>71</v>
      </c>
      <c r="U966" s="141">
        <f>'[21]מאזן בוחן'!AS804</f>
        <v>50</v>
      </c>
      <c r="V966" s="726">
        <f>'[22]מאזן בוחן'!AJ790</f>
        <v>0</v>
      </c>
      <c r="W966" s="726">
        <f>'[23]מאזן בוחן'!AK794</f>
        <v>147</v>
      </c>
      <c r="X966" s="141">
        <v>49</v>
      </c>
      <c r="Y966" s="141">
        <f>'[25]מאזן בוחן'!AM824</f>
        <v>51</v>
      </c>
      <c r="AA966" s="141">
        <f>'[32]מאזן בוחן'!AO842</f>
        <v>72</v>
      </c>
      <c r="AB966" s="141">
        <f>'[26]מאזן בוחן'!AB836</f>
        <v>63</v>
      </c>
      <c r="AC966" s="141">
        <f>'[27]מאזן בוחן'!AC845</f>
        <v>111</v>
      </c>
      <c r="AD966" s="141">
        <f>'[28]מאזן בוחן'!AD857</f>
        <v>50</v>
      </c>
      <c r="AE966" s="141">
        <f>'[29]מאזן בוחן'!AE863</f>
        <v>45</v>
      </c>
      <c r="AF966" s="141">
        <f>'[30]מאזן בוחן'!AF874</f>
        <v>45</v>
      </c>
      <c r="AG966" s="141">
        <f>'[31]מאזן בוחן'!AG879</f>
        <v>55</v>
      </c>
      <c r="AH966" s="141">
        <v>103</v>
      </c>
      <c r="AI966" s="141">
        <v>114</v>
      </c>
      <c r="AJ966" s="141">
        <v>45</v>
      </c>
      <c r="AK966" s="141">
        <v>340</v>
      </c>
      <c r="AL966" s="141">
        <v>100</v>
      </c>
      <c r="AM966" s="141">
        <f>$K966-SUM($AB966:AL966)</f>
        <v>1443</v>
      </c>
      <c r="AN966" s="141"/>
      <c r="AO966" s="141"/>
      <c r="AP966" s="141"/>
      <c r="AQ966" s="141"/>
      <c r="AR966" s="141"/>
      <c r="AS966" s="141"/>
      <c r="AT966" s="141"/>
      <c r="AU966" s="141"/>
      <c r="AV966" s="141"/>
      <c r="AW966" s="141"/>
      <c r="BA966" s="204"/>
    </row>
    <row r="967" spans="1:55">
      <c r="A967" s="52"/>
      <c r="B967" s="3659" t="s">
        <v>563</v>
      </c>
      <c r="C967" s="585">
        <v>7120028</v>
      </c>
      <c r="D967" s="203" t="s">
        <v>1292</v>
      </c>
      <c r="E967" s="474">
        <f>IFERROR(VLOOKUP(C967,'פקודות נוספות'!$D$274:$F$797,3,0),0)</f>
        <v>471085.8</v>
      </c>
      <c r="F967" s="49">
        <f>SUMIF('פקודות נוספות'!C:C,C:C,'פקודות נוספות'!E:E)</f>
        <v>0</v>
      </c>
      <c r="J967" s="474">
        <f>SUM(E967:I967)</f>
        <v>471085.8</v>
      </c>
      <c r="K967" s="42">
        <f>M967+SUMIF('פקודות נוספות'!C:C,'מאזן בוחן'!C967,'פקודות נוספות'!F:F)</f>
        <v>145130.04999999999</v>
      </c>
      <c r="L967" s="49"/>
      <c r="M967" s="1341">
        <f>IFERROR(VLOOKUP(C967,'פקודות נוספות'!$D$273:$G$797,4,0),0)</f>
        <v>145130.04999999999</v>
      </c>
      <c r="N967" s="1104">
        <f>IF(K967=0,"-",J967/K967)</f>
        <v>3.2459562991951012</v>
      </c>
      <c r="O967" s="1133"/>
      <c r="P967" s="137">
        <v>5534.7299999999814</v>
      </c>
      <c r="Q967" s="141">
        <f>'[39]מאזן בוחן'!AE840</f>
        <v>0</v>
      </c>
      <c r="R967" s="137">
        <v>333.92000000004191</v>
      </c>
      <c r="S967" s="137">
        <v>-72.960000000020955</v>
      </c>
      <c r="T967" s="141">
        <f>'[20]מאזן בוחן'!AR918</f>
        <v>0</v>
      </c>
      <c r="U967" s="141">
        <f>'[21]מאזן בוחן'!AS805</f>
        <v>0</v>
      </c>
      <c r="V967" s="726">
        <f>'[22]מאזן בוחן'!AJ791</f>
        <v>0</v>
      </c>
      <c r="W967" s="726">
        <f>'[23]מאזן בוחן'!AK795</f>
        <v>0</v>
      </c>
      <c r="X967" s="141">
        <v>0</v>
      </c>
      <c r="Y967" s="141">
        <f>'[25]מאזן בוחן'!AM825</f>
        <v>0</v>
      </c>
      <c r="AA967" s="141">
        <f>'[32]מאזן בוחן'!AO843</f>
        <v>-16.919999999983702</v>
      </c>
      <c r="AB967" s="141">
        <f>'[26]מאזן בוחן'!AB837</f>
        <v>44799.040000000001</v>
      </c>
      <c r="AC967" s="141">
        <f>'[27]מאזן בוחן'!AC846</f>
        <v>80374.78</v>
      </c>
      <c r="AD967" s="141">
        <f>'[28]מאזן בוחן'!AD858</f>
        <v>778.65999999998894</v>
      </c>
      <c r="AE967" s="141">
        <f>'[29]מאזן בוחן'!AE864</f>
        <v>0</v>
      </c>
      <c r="AF967" s="141">
        <f>'[30]מאזן בוחן'!AF875</f>
        <v>913.80999999999767</v>
      </c>
      <c r="AG967" s="141">
        <f>'[31]מאזן בוחן'!AG880</f>
        <v>0</v>
      </c>
      <c r="AH967" s="141">
        <v>0</v>
      </c>
      <c r="AI967" s="141">
        <v>0</v>
      </c>
      <c r="AJ967" s="141">
        <v>0</v>
      </c>
      <c r="AK967" s="141">
        <v>0</v>
      </c>
      <c r="AL967" s="141">
        <v>18263.759999999995</v>
      </c>
      <c r="AM967" s="141">
        <f>$K967-SUM($AB967:AL967)</f>
        <v>0</v>
      </c>
      <c r="AN967" s="141"/>
      <c r="AO967" s="141" t="s">
        <v>4557</v>
      </c>
      <c r="AP967" s="141"/>
      <c r="AQ967" s="141"/>
      <c r="AR967" s="141"/>
      <c r="AS967" s="141"/>
      <c r="AT967" s="141"/>
      <c r="AU967" s="141"/>
      <c r="AV967" s="141"/>
      <c r="AW967" s="141"/>
      <c r="BA967" s="204"/>
    </row>
    <row r="968" spans="1:55">
      <c r="A968" s="52"/>
      <c r="B968" s="3659" t="s">
        <v>563</v>
      </c>
      <c r="C968" s="585">
        <v>7120079</v>
      </c>
      <c r="D968" s="203" t="s">
        <v>1648</v>
      </c>
      <c r="E968" s="474">
        <f>IFERROR(VLOOKUP(C968,'פקודות נוספות'!$D$274:$F$797,3,0),0)</f>
        <v>8111.31</v>
      </c>
      <c r="F968" s="49">
        <f>SUMIF('פקודות נוספות'!C:C,C:C,'פקודות נוספות'!E:E)</f>
        <v>0</v>
      </c>
      <c r="J968" s="474">
        <f>SUM(E968:I968)</f>
        <v>8111.31</v>
      </c>
      <c r="K968" s="42">
        <f>M968+SUMIF('פקודות נוספות'!C:C,'מאזן בוחן'!C968,'פקודות נוספות'!F:F)</f>
        <v>2562.1</v>
      </c>
      <c r="L968" s="49"/>
      <c r="M968" s="1341">
        <f>IFERROR(VLOOKUP(C968,'פקודות נוספות'!$D$273:$G$797,4,0),0)</f>
        <v>2562.1</v>
      </c>
      <c r="N968" s="1104">
        <f>IF(K968=0,"-",J968/K968)</f>
        <v>3.1658834549783386</v>
      </c>
      <c r="O968" s="1133"/>
      <c r="P968" s="137">
        <v>2230.9700000000003</v>
      </c>
      <c r="Q968" s="141">
        <f>'[39]מאזן בוחן'!AE842</f>
        <v>1611.3100000000002</v>
      </c>
      <c r="R968" s="137">
        <v>57.139999999999645</v>
      </c>
      <c r="S968" s="137">
        <v>71.140000000000327</v>
      </c>
      <c r="T968" s="141">
        <f>'[20]מאזן בוחן'!AR920</f>
        <v>0</v>
      </c>
      <c r="U968" s="141">
        <f>'[21]מאזן בוחן'!AS807</f>
        <v>190.82999999999993</v>
      </c>
      <c r="V968" s="726">
        <f>'[22]מאזן בוחן'!AJ793</f>
        <v>82.930000000000064</v>
      </c>
      <c r="W968" s="726">
        <f>'[23]מאזן בוחן'!AK797</f>
        <v>85.629999999998972</v>
      </c>
      <c r="X968" s="141">
        <v>80.259999999999991</v>
      </c>
      <c r="Y968" s="141">
        <f>'[25]מאזן בוחן'!AM827</f>
        <v>83.25</v>
      </c>
      <c r="AA968" s="141">
        <f>'[32]מאזן בוחן'!AO845</f>
        <v>87.5</v>
      </c>
      <c r="AB968" s="141">
        <f>'[26]מאזן בוחן'!AB838</f>
        <v>81.72</v>
      </c>
      <c r="AC968" s="141">
        <f>'[27]מאזן בוחן'!AC847</f>
        <v>83.43</v>
      </c>
      <c r="AD968" s="141">
        <f>'[28]מאזן בוחן'!AD859</f>
        <v>83</v>
      </c>
      <c r="AE968" s="141">
        <f>'[29]מאזן בוחן'!AE865</f>
        <v>83.619999999999976</v>
      </c>
      <c r="AF968" s="141">
        <f>'[30]מאזן בוחן'!AF876</f>
        <v>115.99000000000001</v>
      </c>
      <c r="AG968" s="141">
        <f>'[31]מאזן בוחן'!AG881</f>
        <v>81.019999999999982</v>
      </c>
      <c r="AH968" s="141">
        <v>99.550000000000068</v>
      </c>
      <c r="AI968" s="141">
        <v>93.509999999999991</v>
      </c>
      <c r="AJ968" s="141">
        <v>86.469999999999914</v>
      </c>
      <c r="AK968" s="141">
        <v>81.760000000000105</v>
      </c>
      <c r="AL968" s="141">
        <v>175.50999999999988</v>
      </c>
      <c r="AM968" s="141">
        <f>$K968-SUM($AB968:AL968)</f>
        <v>1496.52</v>
      </c>
      <c r="AN968" s="141"/>
      <c r="AO968" s="141"/>
      <c r="AP968" s="141"/>
      <c r="AQ968" s="141"/>
      <c r="AR968" s="141"/>
      <c r="AS968" s="141"/>
      <c r="AT968" s="141"/>
      <c r="AU968" s="141"/>
      <c r="AV968" s="141"/>
      <c r="AW968" s="141"/>
      <c r="BA968" s="204"/>
    </row>
    <row r="969" spans="1:55">
      <c r="A969" s="52"/>
      <c r="B969" s="3659" t="s">
        <v>563</v>
      </c>
      <c r="C969" s="585">
        <v>7120040</v>
      </c>
      <c r="D969" s="203" t="s">
        <v>3129</v>
      </c>
      <c r="E969" s="474">
        <f>IFERROR(VLOOKUP(C969,'פקודות נוספות'!$D$274:$F$797,3,0),0)</f>
        <v>27592</v>
      </c>
      <c r="F969" s="49">
        <f>SUMIF('פקודות נוספות'!C:C,C:C,'פקודות נוספות'!E:E)</f>
        <v>0</v>
      </c>
      <c r="J969" s="474">
        <f>SUM(E969:I969)</f>
        <v>27592</v>
      </c>
      <c r="K969" s="42">
        <f>M969+SUMIF('פקודות נוספות'!C:C,'מאזן בוחן'!C969,'פקודות נוספות'!F:F)</f>
        <v>8500</v>
      </c>
      <c r="L969" s="49"/>
      <c r="M969" s="1341">
        <f>IFERROR(VLOOKUP(C969,'פקודות נוספות'!$D$273:$G$797,4,0),0)</f>
        <v>8500</v>
      </c>
      <c r="N969" s="1104">
        <f>IF(K969=0,"-",J969/K969)</f>
        <v>3.2461176470588233</v>
      </c>
      <c r="O969" s="1133"/>
      <c r="P969" s="137">
        <v>0</v>
      </c>
      <c r="Q969" s="141">
        <f>'[39]מאזן בוחן'!AE843</f>
        <v>0</v>
      </c>
      <c r="R969" s="137">
        <v>0</v>
      </c>
      <c r="S969" s="137">
        <v>0</v>
      </c>
      <c r="T969" s="141">
        <f>'[20]מאזן בוחן'!AR921</f>
        <v>0</v>
      </c>
      <c r="U969" s="141">
        <f>'[21]מאזן בוחן'!AS808</f>
        <v>0</v>
      </c>
      <c r="V969" s="726">
        <f>'[22]מאזן בוחן'!AJ794</f>
        <v>0</v>
      </c>
      <c r="W969" s="726">
        <f>'[23]מאזן בוחן'!AK798</f>
        <v>0</v>
      </c>
      <c r="X969" s="141">
        <v>0</v>
      </c>
      <c r="Y969" s="141">
        <f>'[25]מאזן בוחן'!AM828</f>
        <v>0</v>
      </c>
      <c r="AA969" s="141">
        <f>'[32]מאזן בוחן'!AO846</f>
        <v>1000</v>
      </c>
      <c r="AB969" s="141">
        <f>'[26]מאזן בוחן'!AB839</f>
        <v>0</v>
      </c>
      <c r="AC969" s="141">
        <f>'[27]מאזן בוחן'!AC848</f>
        <v>0</v>
      </c>
      <c r="AD969" s="141">
        <f>'[28]מאזן בוחן'!AD860</f>
        <v>0</v>
      </c>
      <c r="AE969" s="141">
        <f>'[29]מאזן בוחן'!AE866</f>
        <v>0</v>
      </c>
      <c r="AF969" s="141">
        <f>'[30]מאזן בוחן'!AF877</f>
        <v>0</v>
      </c>
      <c r="AG969" s="141">
        <f>'[31]מאזן בוחן'!AG882</f>
        <v>5000</v>
      </c>
      <c r="AH969" s="141">
        <v>0</v>
      </c>
      <c r="AI969" s="141">
        <v>2000</v>
      </c>
      <c r="AJ969" s="141">
        <v>0</v>
      </c>
      <c r="AK969" s="141">
        <v>0</v>
      </c>
      <c r="AL969" s="141">
        <v>1500</v>
      </c>
      <c r="AM969" s="141">
        <f>$K969-SUM($AB969:AL969)</f>
        <v>0</v>
      </c>
      <c r="AN969" s="141"/>
      <c r="AO969" s="141"/>
      <c r="AP969" s="141"/>
      <c r="AQ969" s="141"/>
      <c r="AR969" s="141"/>
      <c r="AS969" s="141"/>
      <c r="AT969" s="141"/>
      <c r="AU969" s="141"/>
      <c r="AV969" s="141"/>
      <c r="AW969" s="141"/>
      <c r="BA969" s="204"/>
    </row>
    <row r="970" spans="1:55">
      <c r="A970" s="52"/>
      <c r="B970" s="3659" t="s">
        <v>1161</v>
      </c>
      <c r="C970" s="585">
        <v>7150001</v>
      </c>
      <c r="D970" s="203" t="s">
        <v>1162</v>
      </c>
      <c r="E970" s="474">
        <f>IFERROR(VLOOKUP(C970,'פקודות נוספות'!$D$274:$F$797,3,0),0)</f>
        <v>0</v>
      </c>
      <c r="F970" s="49">
        <f>SUMIF('פקודות נוספות'!C:C,C:C,'פקודות נוספות'!E:E)</f>
        <v>0</v>
      </c>
      <c r="J970" s="474">
        <f t="shared" ref="J970:J975" si="196">SUM(E970:I970)</f>
        <v>0</v>
      </c>
      <c r="K970" s="42">
        <f>M970+SUMIF('פקודות נוספות'!C:C,'מאזן בוחן'!C970,'פקודות נוספות'!F:F)</f>
        <v>0</v>
      </c>
      <c r="L970" s="49"/>
      <c r="M970" s="1341">
        <f>IFERROR(VLOOKUP(C970,'פקודות נוספות'!$D$273:$G$797,4,0),0)</f>
        <v>0</v>
      </c>
      <c r="N970" s="1104" t="str">
        <f t="shared" ref="N970:N975" si="197">IF(K970=0,"-",J970/K970)</f>
        <v>-</v>
      </c>
      <c r="O970" s="1133"/>
      <c r="P970" s="137">
        <v>0</v>
      </c>
      <c r="Q970" s="141">
        <f>'[39]מאזן בוחן'!AE844</f>
        <v>0</v>
      </c>
      <c r="R970" s="137">
        <v>0</v>
      </c>
      <c r="S970" s="137">
        <v>0</v>
      </c>
      <c r="T970" s="141">
        <f>'[20]מאזן בוחן'!AR923</f>
        <v>0</v>
      </c>
      <c r="U970" s="141">
        <f>'[21]מאזן בוחן'!AS809</f>
        <v>0</v>
      </c>
      <c r="V970" s="726">
        <f>'[22]מאזן בוחן'!AJ795</f>
        <v>0</v>
      </c>
      <c r="W970" s="726">
        <f>'[23]מאזן בוחן'!AK799</f>
        <v>0</v>
      </c>
      <c r="X970" s="141">
        <v>0</v>
      </c>
      <c r="Y970" s="141">
        <f>'[25]מאזן בוחן'!AM829</f>
        <v>0</v>
      </c>
      <c r="AA970" s="141">
        <f>'[32]מאזן בוחן'!AO847</f>
        <v>0</v>
      </c>
      <c r="AB970" s="141">
        <f>'[26]מאזן בוחן'!AB840</f>
        <v>0</v>
      </c>
      <c r="AC970" s="141">
        <f>'[27]מאזן בוחן'!AC849</f>
        <v>0</v>
      </c>
      <c r="AD970" s="141">
        <f>'[28]מאזן בוחן'!AD861</f>
        <v>0</v>
      </c>
      <c r="AE970" s="141">
        <f>'[29]מאזן בוחן'!AE867</f>
        <v>0</v>
      </c>
      <c r="AF970" s="141">
        <f>'[30]מאזן בוחן'!AF878</f>
        <v>0</v>
      </c>
      <c r="AG970" s="141">
        <f>'[31]מאזן בוחן'!AG883</f>
        <v>0</v>
      </c>
      <c r="AH970" s="141">
        <v>0</v>
      </c>
      <c r="AI970" s="141">
        <v>0</v>
      </c>
      <c r="AJ970" s="141">
        <v>0</v>
      </c>
      <c r="AK970" s="141">
        <v>0</v>
      </c>
      <c r="AL970" s="141">
        <v>0</v>
      </c>
      <c r="AM970" s="141">
        <f>$K970-SUM($AB970:AL970)</f>
        <v>0</v>
      </c>
      <c r="AN970" s="141"/>
      <c r="AO970" s="141"/>
      <c r="AP970" s="141"/>
      <c r="AQ970" s="141"/>
      <c r="AR970" s="141"/>
      <c r="AS970" s="141"/>
      <c r="AT970" s="141"/>
      <c r="AU970" s="141"/>
      <c r="AV970" s="141"/>
      <c r="AW970" s="141"/>
      <c r="BA970" s="204"/>
    </row>
    <row r="971" spans="1:55">
      <c r="A971" s="52"/>
      <c r="B971" s="3659" t="s">
        <v>1161</v>
      </c>
      <c r="C971" s="585">
        <v>7150002</v>
      </c>
      <c r="D971" s="203" t="s">
        <v>1163</v>
      </c>
      <c r="E971" s="474">
        <f>IFERROR(VLOOKUP(C971,'פקודות נוספות'!$D$274:$F$797,3,0),0)</f>
        <v>0</v>
      </c>
      <c r="F971" s="49">
        <f>SUMIF('פקודות נוספות'!C:C,C:C,'פקודות נוספות'!E:E)</f>
        <v>0</v>
      </c>
      <c r="J971" s="474">
        <f t="shared" si="196"/>
        <v>0</v>
      </c>
      <c r="K971" s="42">
        <f>M971+SUMIF('פקודות נוספות'!C:C,'מאזן בוחן'!C971,'פקודות נוספות'!F:F)</f>
        <v>0</v>
      </c>
      <c r="L971" s="49"/>
      <c r="M971" s="1341">
        <f>IFERROR(VLOOKUP(C971,'פקודות נוספות'!$D$273:$G$797,4,0),0)</f>
        <v>0</v>
      </c>
      <c r="N971" s="1104" t="str">
        <f t="shared" si="197"/>
        <v>-</v>
      </c>
      <c r="O971" s="1133"/>
      <c r="P971" s="137">
        <v>0</v>
      </c>
      <c r="Q971" s="141">
        <f>'[39]מאזן בוחן'!AE845</f>
        <v>0</v>
      </c>
      <c r="R971" s="137">
        <v>0</v>
      </c>
      <c r="S971" s="137">
        <v>0</v>
      </c>
      <c r="T971" s="141">
        <f>'[20]מאזן בוחן'!AR924</f>
        <v>0</v>
      </c>
      <c r="U971" s="141">
        <f>'[21]מאזן בוחן'!AS810</f>
        <v>0</v>
      </c>
      <c r="V971" s="726">
        <f>'[22]מאזן בוחן'!AJ796</f>
        <v>0</v>
      </c>
      <c r="W971" s="726">
        <f>'[23]מאזן בוחן'!AK800</f>
        <v>0</v>
      </c>
      <c r="X971" s="141">
        <v>0</v>
      </c>
      <c r="Y971" s="141">
        <f>'[25]מאזן בוחן'!AM830</f>
        <v>0</v>
      </c>
      <c r="AA971" s="141">
        <f>'[32]מאזן בוחן'!AO848</f>
        <v>0</v>
      </c>
      <c r="AB971" s="141">
        <f>'[26]מאזן בוחן'!AB841</f>
        <v>0</v>
      </c>
      <c r="AC971" s="141">
        <f>'[27]מאזן בוחן'!AC850</f>
        <v>0</v>
      </c>
      <c r="AD971" s="141">
        <f>'[28]מאזן בוחן'!AD862</f>
        <v>0</v>
      </c>
      <c r="AE971" s="141">
        <f>'[29]מאזן בוחן'!AE868</f>
        <v>0</v>
      </c>
      <c r="AF971" s="141">
        <f>'[30]מאזן בוחן'!AF879</f>
        <v>0</v>
      </c>
      <c r="AG971" s="141">
        <f>'[31]מאזן בוחן'!AG884</f>
        <v>0</v>
      </c>
      <c r="AH971" s="141">
        <v>0</v>
      </c>
      <c r="AI971" s="141">
        <v>0</v>
      </c>
      <c r="AJ971" s="141">
        <v>0</v>
      </c>
      <c r="AK971" s="141">
        <v>0</v>
      </c>
      <c r="AL971" s="141">
        <v>0</v>
      </c>
      <c r="AM971" s="141">
        <f>$K971-SUM($AB971:AL971)</f>
        <v>0</v>
      </c>
      <c r="AN971" s="141"/>
      <c r="AO971" s="141"/>
      <c r="AP971" s="141"/>
      <c r="AQ971" s="141"/>
      <c r="AR971" s="141"/>
      <c r="AS971" s="141"/>
      <c r="AT971" s="141"/>
      <c r="AU971" s="141"/>
      <c r="AV971" s="141"/>
      <c r="AW971" s="141"/>
      <c r="BA971" s="204"/>
    </row>
    <row r="972" spans="1:55">
      <c r="A972" s="52"/>
      <c r="B972" s="3659" t="s">
        <v>1161</v>
      </c>
      <c r="C972" s="585">
        <v>7150003</v>
      </c>
      <c r="D972" s="203" t="s">
        <v>1164</v>
      </c>
      <c r="E972" s="474">
        <f>IFERROR(VLOOKUP(C972,'פקודות נוספות'!$D$274:$F$797,3,0),0)</f>
        <v>0</v>
      </c>
      <c r="F972" s="49">
        <f>SUMIF('פקודות נוספות'!C:C,C:C,'פקודות נוספות'!E:E)</f>
        <v>0</v>
      </c>
      <c r="J972" s="474">
        <f t="shared" si="196"/>
        <v>0</v>
      </c>
      <c r="K972" s="42">
        <f>M972+SUMIF('פקודות נוספות'!C:C,'מאזן בוחן'!C972,'פקודות נוספות'!F:F)</f>
        <v>0</v>
      </c>
      <c r="L972" s="49"/>
      <c r="M972" s="1341">
        <f>IFERROR(VLOOKUP(C972,'פקודות נוספות'!$D$273:$G$797,4,0),0)</f>
        <v>0</v>
      </c>
      <c r="N972" s="1104" t="str">
        <f t="shared" si="197"/>
        <v>-</v>
      </c>
      <c r="O972" s="1133"/>
      <c r="P972" s="137">
        <v>0</v>
      </c>
      <c r="Q972" s="141">
        <f>'[39]מאזן בוחן'!AE846</f>
        <v>0</v>
      </c>
      <c r="R972" s="137">
        <v>0</v>
      </c>
      <c r="S972" s="137">
        <v>0</v>
      </c>
      <c r="T972" s="141">
        <f>'[20]מאזן בוחן'!AR925</f>
        <v>0</v>
      </c>
      <c r="U972" s="141">
        <f>'[21]מאזן בוחן'!AS811</f>
        <v>0</v>
      </c>
      <c r="V972" s="726">
        <f>'[22]מאזן בוחן'!AJ797</f>
        <v>0</v>
      </c>
      <c r="W972" s="726">
        <f>'[23]מאזן בוחן'!AK801</f>
        <v>0</v>
      </c>
      <c r="X972" s="141">
        <v>0</v>
      </c>
      <c r="Y972" s="141">
        <f>'[25]מאזן בוחן'!AM831</f>
        <v>0</v>
      </c>
      <c r="AA972" s="141">
        <f>'[32]מאזן בוחן'!AO849</f>
        <v>0</v>
      </c>
      <c r="AB972" s="141">
        <f>'[26]מאזן בוחן'!AB842</f>
        <v>0</v>
      </c>
      <c r="AC972" s="141">
        <f>'[27]מאזן בוחן'!AC851</f>
        <v>0</v>
      </c>
      <c r="AD972" s="141">
        <f>'[28]מאזן בוחן'!AD863</f>
        <v>0</v>
      </c>
      <c r="AE972" s="141">
        <f>'[29]מאזן בוחן'!AE869</f>
        <v>0</v>
      </c>
      <c r="AF972" s="141">
        <f>'[30]מאזן בוחן'!AF880</f>
        <v>0</v>
      </c>
      <c r="AG972" s="141">
        <f>'[31]מאזן בוחן'!AG885</f>
        <v>0</v>
      </c>
      <c r="AH972" s="141">
        <v>0</v>
      </c>
      <c r="AI972" s="141">
        <v>0</v>
      </c>
      <c r="AJ972" s="141">
        <v>0</v>
      </c>
      <c r="AK972" s="141">
        <v>0</v>
      </c>
      <c r="AL972" s="141">
        <v>0</v>
      </c>
      <c r="AM972" s="141">
        <f>$K972-SUM($AB972:AL972)</f>
        <v>0</v>
      </c>
      <c r="AN972" s="141"/>
      <c r="AO972" s="141"/>
      <c r="AP972" s="141"/>
      <c r="AQ972" s="141"/>
      <c r="AR972" s="141"/>
      <c r="AS972" s="141"/>
      <c r="AT972" s="141"/>
      <c r="AU972" s="141"/>
      <c r="AV972" s="141"/>
      <c r="AW972" s="141"/>
      <c r="BA972" s="204"/>
    </row>
    <row r="973" spans="1:55">
      <c r="A973" s="52"/>
      <c r="B973" s="3659" t="s">
        <v>1161</v>
      </c>
      <c r="C973" s="585">
        <v>7150004</v>
      </c>
      <c r="D973" s="203" t="s">
        <v>1165</v>
      </c>
      <c r="E973" s="474">
        <f>IFERROR(VLOOKUP(C973,'פקודות נוספות'!$D$274:$F$797,3,0),0)</f>
        <v>0</v>
      </c>
      <c r="F973" s="49">
        <f>SUMIF('פקודות נוספות'!C:C,C:C,'פקודות נוספות'!E:E)</f>
        <v>0</v>
      </c>
      <c r="J973" s="474">
        <f t="shared" si="196"/>
        <v>0</v>
      </c>
      <c r="K973" s="42">
        <f>M973+SUMIF('פקודות נוספות'!C:C,'מאזן בוחן'!C973,'פקודות נוספות'!F:F)</f>
        <v>0</v>
      </c>
      <c r="L973" s="49"/>
      <c r="M973" s="1341">
        <f>IFERROR(VLOOKUP(C973,'פקודות נוספות'!$D$273:$G$797,4,0),0)</f>
        <v>0</v>
      </c>
      <c r="N973" s="1104" t="str">
        <f t="shared" si="197"/>
        <v>-</v>
      </c>
      <c r="O973" s="1133"/>
      <c r="P973" s="137">
        <v>0</v>
      </c>
      <c r="Q973" s="141">
        <f>'[39]מאזן בוחן'!AE847</f>
        <v>0</v>
      </c>
      <c r="R973" s="137">
        <v>0</v>
      </c>
      <c r="S973" s="137">
        <v>0</v>
      </c>
      <c r="T973" s="141">
        <f>'[20]מאזן בוחן'!AR926</f>
        <v>0</v>
      </c>
      <c r="U973" s="141">
        <f>'[21]מאזן בוחן'!AS812</f>
        <v>0</v>
      </c>
      <c r="V973" s="726">
        <f>'[22]מאזן בוחן'!AJ798</f>
        <v>0</v>
      </c>
      <c r="W973" s="726">
        <f>'[23]מאזן בוחן'!AK802</f>
        <v>0</v>
      </c>
      <c r="X973" s="141">
        <v>0</v>
      </c>
      <c r="Y973" s="141">
        <f>'[25]מאזן בוחן'!AM832</f>
        <v>0</v>
      </c>
      <c r="AA973" s="141">
        <f>'[32]מאזן בוחן'!AO850</f>
        <v>0</v>
      </c>
      <c r="AB973" s="141">
        <f>'[26]מאזן בוחן'!AB843</f>
        <v>0</v>
      </c>
      <c r="AC973" s="141">
        <f>'[27]מאזן בוחן'!AC852</f>
        <v>0</v>
      </c>
      <c r="AD973" s="141">
        <f>'[28]מאזן בוחן'!AD864</f>
        <v>0</v>
      </c>
      <c r="AE973" s="141">
        <f>'[29]מאזן בוחן'!AE870</f>
        <v>0</v>
      </c>
      <c r="AF973" s="141">
        <f>'[30]מאזן בוחן'!AF881</f>
        <v>0</v>
      </c>
      <c r="AG973" s="141">
        <f>'[31]מאזן בוחן'!AG886</f>
        <v>0</v>
      </c>
      <c r="AH973" s="141">
        <v>0</v>
      </c>
      <c r="AI973" s="141">
        <v>0</v>
      </c>
      <c r="AJ973" s="141">
        <v>0</v>
      </c>
      <c r="AK973" s="141">
        <v>0</v>
      </c>
      <c r="AL973" s="141">
        <v>0</v>
      </c>
      <c r="AM973" s="141">
        <f>$K973-SUM($AB973:AL973)</f>
        <v>0</v>
      </c>
      <c r="AN973" s="141"/>
      <c r="AO973" s="141"/>
      <c r="AP973" s="141"/>
      <c r="AQ973" s="141"/>
      <c r="AR973" s="141"/>
      <c r="AS973" s="141"/>
      <c r="AT973" s="141"/>
      <c r="AU973" s="141"/>
      <c r="AV973" s="141"/>
      <c r="AW973" s="141"/>
      <c r="BA973" s="204"/>
    </row>
    <row r="974" spans="1:55">
      <c r="A974" s="52"/>
      <c r="B974" s="3659" t="s">
        <v>1161</v>
      </c>
      <c r="C974" s="585">
        <v>7150010</v>
      </c>
      <c r="D974" s="203" t="s">
        <v>1229</v>
      </c>
      <c r="E974" s="474">
        <f>IFERROR(VLOOKUP(C974,'פקודות נוספות'!$D$274:$F$797,3,0),0)</f>
        <v>0</v>
      </c>
      <c r="F974" s="49">
        <f>SUMIF('פקודות נוספות'!C:C,C:C,'פקודות נוספות'!E:E)</f>
        <v>0</v>
      </c>
      <c r="J974" s="474">
        <f t="shared" si="196"/>
        <v>0</v>
      </c>
      <c r="K974" s="42">
        <f>M974+SUMIF('פקודות נוספות'!C:C,'מאזן בוחן'!C974,'פקודות נוספות'!F:F)</f>
        <v>0</v>
      </c>
      <c r="L974" s="49"/>
      <c r="M974" s="1341">
        <f>IFERROR(VLOOKUP(C974,'פקודות נוספות'!$D$273:$G$797,4,0),0)</f>
        <v>0</v>
      </c>
      <c r="N974" s="1104" t="str">
        <f t="shared" si="197"/>
        <v>-</v>
      </c>
      <c r="O974" s="1133"/>
      <c r="P974" s="1512">
        <v>6987.24</v>
      </c>
      <c r="Q974" s="141">
        <f>'[39]מאזן בוחן'!AE848</f>
        <v>-3493.619999999999</v>
      </c>
      <c r="R974" s="1512">
        <v>3493.619999999999</v>
      </c>
      <c r="S974" s="1406">
        <v>3493.619999999999</v>
      </c>
      <c r="T974" s="141">
        <f>'[40]מאזן בוחן'!AR929</f>
        <v>3493.6200000000026</v>
      </c>
      <c r="U974" s="141">
        <f>'[21]מאזן בוחן'!AS813</f>
        <v>3493.6199999999972</v>
      </c>
      <c r="V974" s="726">
        <f>'[22]מאזן בוחן'!AJ799</f>
        <v>0</v>
      </c>
      <c r="W974" s="726">
        <f>'[23]מאזן בוחן'!AK803</f>
        <v>0</v>
      </c>
      <c r="X974" s="141">
        <v>0</v>
      </c>
      <c r="Y974" s="141">
        <f>'[25]מאזן בוחן'!AM833</f>
        <v>0</v>
      </c>
      <c r="AA974" s="141">
        <f>'[32]מאזן בוחן'!AO851</f>
        <v>0</v>
      </c>
      <c r="AB974" s="141">
        <f>'[26]מאזן בוחן'!AB844</f>
        <v>0</v>
      </c>
      <c r="AC974" s="141">
        <f>'[27]מאזן בוחן'!AC853</f>
        <v>0</v>
      </c>
      <c r="AD974" s="141">
        <f>'[28]מאזן בוחן'!AD865</f>
        <v>0</v>
      </c>
      <c r="AE974" s="141">
        <f>'[29]מאזן בוחן'!AE871</f>
        <v>0</v>
      </c>
      <c r="AF974" s="141">
        <f>'[30]מאזן בוחן'!AF882</f>
        <v>0</v>
      </c>
      <c r="AG974" s="141">
        <f>'[31]מאזן בוחן'!AG887</f>
        <v>0</v>
      </c>
      <c r="AH974" s="141">
        <v>0</v>
      </c>
      <c r="AI974" s="141">
        <v>0</v>
      </c>
      <c r="AJ974" s="141">
        <v>0</v>
      </c>
      <c r="AK974" s="141">
        <v>0</v>
      </c>
      <c r="AL974" s="141">
        <v>0</v>
      </c>
      <c r="AM974" s="141">
        <f>$K974-SUM($AB974:AL974)</f>
        <v>0</v>
      </c>
      <c r="AN974" s="141"/>
      <c r="AO974" s="141"/>
      <c r="AP974" s="141"/>
      <c r="AQ974" s="141"/>
      <c r="AR974" s="141"/>
      <c r="AS974" s="141"/>
      <c r="AT974" s="141"/>
      <c r="AU974" s="141"/>
      <c r="AV974" s="141"/>
      <c r="AW974" s="141"/>
      <c r="BA974" s="204"/>
    </row>
    <row r="975" spans="1:55">
      <c r="A975" s="52"/>
      <c r="B975" s="3659" t="s">
        <v>1161</v>
      </c>
      <c r="C975" s="585">
        <v>7150005</v>
      </c>
      <c r="D975" s="203" t="s">
        <v>1166</v>
      </c>
      <c r="E975" s="474">
        <f>IFERROR(VLOOKUP(C975,'פקודות נוספות'!$D$274:$F$797,3,0),0)</f>
        <v>0</v>
      </c>
      <c r="F975" s="49">
        <f>SUMIF('פקודות נוספות'!C:C,C:C,'פקודות נוספות'!E:E)</f>
        <v>0</v>
      </c>
      <c r="J975" s="474">
        <f t="shared" si="196"/>
        <v>0</v>
      </c>
      <c r="K975" s="42">
        <f>M975+SUMIF('פקודות נוספות'!C:C,'מאזן בוחן'!C975,'פקודות נוספות'!F:F)</f>
        <v>0</v>
      </c>
      <c r="L975" s="49"/>
      <c r="M975" s="1341">
        <f>IFERROR(VLOOKUP(C975,'פקודות נוספות'!$D$273:$G$797,4,0),0)</f>
        <v>0</v>
      </c>
      <c r="N975" s="1104" t="str">
        <f t="shared" si="197"/>
        <v>-</v>
      </c>
      <c r="O975" s="1133"/>
      <c r="P975" s="137">
        <v>0</v>
      </c>
      <c r="Q975" s="141">
        <f>'[39]מאזן בוחן'!AE849</f>
        <v>0</v>
      </c>
      <c r="R975" s="137">
        <v>0</v>
      </c>
      <c r="S975" s="137">
        <v>0</v>
      </c>
      <c r="T975" s="141">
        <f>'[40]מאזן בוחן'!AR930</f>
        <v>0</v>
      </c>
      <c r="U975" s="141">
        <f>'[21]מאזן בוחן'!AS814</f>
        <v>0</v>
      </c>
      <c r="V975" s="726">
        <f>'[22]מאזן בוחן'!AJ800</f>
        <v>0</v>
      </c>
      <c r="W975" s="726">
        <f>'[23]מאזן בוחן'!AK804</f>
        <v>0</v>
      </c>
      <c r="X975" s="141">
        <v>0</v>
      </c>
      <c r="Y975" s="141">
        <f>'[25]מאזן בוחן'!AM834</f>
        <v>0</v>
      </c>
      <c r="AA975" s="141">
        <f>'[32]מאזן בוחן'!AO852</f>
        <v>0</v>
      </c>
      <c r="AB975" s="141">
        <f>'[26]מאזן בוחן'!AB845</f>
        <v>0</v>
      </c>
      <c r="AC975" s="141">
        <f>'[27]מאזן בוחן'!AC854</f>
        <v>0</v>
      </c>
      <c r="AD975" s="141">
        <f>'[28]מאזן בוחן'!AD866</f>
        <v>0</v>
      </c>
      <c r="AE975" s="141">
        <f>'[29]מאזן בוחן'!AE872</f>
        <v>0</v>
      </c>
      <c r="AF975" s="141">
        <f>'[30]מאזן בוחן'!AF883</f>
        <v>0</v>
      </c>
      <c r="AG975" s="141">
        <f>'[31]מאזן בוחן'!AG888</f>
        <v>0</v>
      </c>
      <c r="AH975" s="141">
        <v>0</v>
      </c>
      <c r="AI975" s="141">
        <v>0</v>
      </c>
      <c r="AJ975" s="141">
        <v>0</v>
      </c>
      <c r="AK975" s="141">
        <v>0</v>
      </c>
      <c r="AL975" s="141">
        <v>0</v>
      </c>
      <c r="AM975" s="141">
        <f>$K975-SUM($AB975:AL975)</f>
        <v>0</v>
      </c>
      <c r="AN975" s="141"/>
      <c r="AO975" s="141"/>
      <c r="AP975" s="141"/>
      <c r="AQ975" s="141"/>
      <c r="AR975" s="141"/>
      <c r="AS975" s="141"/>
      <c r="AT975" s="141"/>
      <c r="AU975" s="141"/>
      <c r="AV975" s="141"/>
      <c r="AW975" s="141"/>
      <c r="BA975" s="204"/>
    </row>
    <row r="976" spans="1:55" ht="13.5" thickBot="1">
      <c r="A976" s="52"/>
      <c r="B976" s="3659"/>
      <c r="C976" s="156"/>
      <c r="D976" s="45"/>
      <c r="E976" s="79"/>
      <c r="G976" s="42"/>
      <c r="H976" s="1536"/>
      <c r="I976" s="42"/>
      <c r="J976" s="474"/>
      <c r="K976" s="42"/>
      <c r="L976" s="49"/>
      <c r="M976" s="474"/>
      <c r="O976" s="1133"/>
      <c r="P976" s="137">
        <v>0</v>
      </c>
      <c r="Q976" s="141">
        <f>'[39]מאזן בוחן'!AE850</f>
        <v>0</v>
      </c>
      <c r="R976" s="137">
        <v>0</v>
      </c>
      <c r="S976" s="137">
        <v>0</v>
      </c>
      <c r="T976" s="141">
        <f>'[40]מאזן בוחן'!AR931</f>
        <v>0</v>
      </c>
      <c r="U976" s="141">
        <f>'[21]מאזן בוחן'!AS815</f>
        <v>0</v>
      </c>
      <c r="V976" s="726">
        <f>'[22]מאזן בוחן'!AJ801</f>
        <v>0</v>
      </c>
      <c r="W976" s="726">
        <f>'[23]מאזן בוחן'!AK805</f>
        <v>0</v>
      </c>
      <c r="X976" s="141">
        <v>0</v>
      </c>
      <c r="Y976" s="141">
        <f>'[25]מאזן בוחן'!AM835</f>
        <v>0</v>
      </c>
      <c r="AA976" s="141">
        <f>'[32]מאזן בוחן'!AO853</f>
        <v>0</v>
      </c>
      <c r="AB976" s="141">
        <f>'[26]מאזן בוחן'!AB846</f>
        <v>0</v>
      </c>
      <c r="AC976" s="141">
        <f>'[27]מאזן בוחן'!AC855</f>
        <v>0</v>
      </c>
      <c r="AD976" s="141">
        <f>'[28]מאזן בוחן'!AD867</f>
        <v>0</v>
      </c>
      <c r="AE976" s="141">
        <f>'[29]מאזן בוחן'!AE873</f>
        <v>0</v>
      </c>
      <c r="AF976" s="141">
        <f>'[30]מאזן בוחן'!AF884</f>
        <v>0</v>
      </c>
      <c r="AG976" s="141">
        <f>'[31]מאזן בוחן'!AG889</f>
        <v>0</v>
      </c>
      <c r="AH976" s="141">
        <v>0</v>
      </c>
      <c r="AI976" s="141">
        <v>0</v>
      </c>
      <c r="AJ976" s="141">
        <v>0</v>
      </c>
      <c r="AK976" s="141">
        <v>0</v>
      </c>
      <c r="AL976" s="141">
        <v>0</v>
      </c>
      <c r="AM976" s="141">
        <f>$K976-SUM($AB976:AL976)</f>
        <v>0</v>
      </c>
      <c r="AN976" s="141"/>
      <c r="AO976" s="141"/>
      <c r="AP976" s="141"/>
      <c r="AQ976" s="141"/>
      <c r="AR976" s="141"/>
      <c r="AS976" s="141"/>
      <c r="AT976" s="141"/>
      <c r="AU976" s="141"/>
      <c r="AV976" s="141"/>
      <c r="AW976" s="141"/>
      <c r="BA976" s="204"/>
    </row>
    <row r="977" spans="1:55" ht="13.5" thickBot="1">
      <c r="A977" s="52"/>
      <c r="B977" s="3664"/>
      <c r="C977" s="1538"/>
      <c r="D977" s="56"/>
      <c r="E977" s="2779">
        <f t="shared" ref="E977:K977" si="198">SUM(E928:E976)</f>
        <v>7293511.540000001</v>
      </c>
      <c r="F977" s="2779">
        <f t="shared" si="198"/>
        <v>0</v>
      </c>
      <c r="G977" s="1542">
        <f t="shared" si="198"/>
        <v>0</v>
      </c>
      <c r="H977" s="1542">
        <f t="shared" si="198"/>
        <v>0</v>
      </c>
      <c r="I977" s="1542">
        <f t="shared" si="198"/>
        <v>0</v>
      </c>
      <c r="J977" s="1542">
        <f t="shared" si="198"/>
        <v>7293511.540000001</v>
      </c>
      <c r="K977" s="1542">
        <f t="shared" si="198"/>
        <v>2253034.7200000002</v>
      </c>
      <c r="L977" s="49"/>
      <c r="M977" s="1542">
        <f>SUM(M928:M976)</f>
        <v>2253034.7200000002</v>
      </c>
      <c r="N977" s="1104">
        <f>IF(K977=0,"-",J977/K977)</f>
        <v>3.2371944716413426</v>
      </c>
      <c r="O977" s="1133"/>
      <c r="P977" s="137">
        <v>165936.94999999995</v>
      </c>
      <c r="Q977" s="141">
        <f>'[39]מאזן בוחן'!AE851</f>
        <v>90850.059999999939</v>
      </c>
      <c r="R977" s="137">
        <v>74064.469999999972</v>
      </c>
      <c r="S977" s="137">
        <v>65389.650000000023</v>
      </c>
      <c r="T977" s="141">
        <f>'[40]מאזן בוחן'!AR932</f>
        <v>77986.380000000121</v>
      </c>
      <c r="U977" s="141">
        <f>'[21]מאזן בוחן'!AS816</f>
        <v>68299.660000000149</v>
      </c>
      <c r="V977" s="726">
        <f>'[22]מאזן בוחן'!AJ802</f>
        <v>69506.820000000065</v>
      </c>
      <c r="W977" s="726">
        <f>'[23]מאזן בוחן'!AK806</f>
        <v>73471.229999999865</v>
      </c>
      <c r="X977" s="141">
        <v>89313.699999999721</v>
      </c>
      <c r="Y977" s="141">
        <f>'[25]מאזן בוחן'!AM836</f>
        <v>71676</v>
      </c>
      <c r="AA977" s="141">
        <f>'[32]מאזן בוחן'!AO854</f>
        <v>97579.64000000013</v>
      </c>
      <c r="AB977" s="141">
        <f>'[26]מאזן בוחן'!AB847</f>
        <v>113027.48999999999</v>
      </c>
      <c r="AC977" s="141">
        <f>'[27]מאזן בוחן'!AC856</f>
        <v>187325.38000000006</v>
      </c>
      <c r="AD977" s="141">
        <f>'[28]מאזן בוחן'!AD868</f>
        <v>103305.90999999997</v>
      </c>
      <c r="AE977" s="141">
        <f>'[29]מאזן בוחן'!AE874</f>
        <v>113731.95000000001</v>
      </c>
      <c r="AF977" s="141">
        <f>'[30]מאזן בוחן'!AF885</f>
        <v>170449.85000000015</v>
      </c>
      <c r="AG977" s="141">
        <f>'[31]מאזן בוחן'!AG890</f>
        <v>139236.05999999994</v>
      </c>
      <c r="AH977" s="141">
        <v>206363.63</v>
      </c>
      <c r="AI977" s="141">
        <v>147920.66000000003</v>
      </c>
      <c r="AJ977" s="141">
        <v>181415.29999999981</v>
      </c>
      <c r="AK977" s="141">
        <v>280069.44999999995</v>
      </c>
      <c r="AL977" s="141">
        <v>276734.76000000071</v>
      </c>
      <c r="AM977" s="141">
        <f>$K977-SUM($AB977:AL977)</f>
        <v>333454.27999999956</v>
      </c>
      <c r="AN977" s="141"/>
      <c r="AO977" s="141"/>
      <c r="AP977" s="141"/>
      <c r="AQ977" s="141"/>
      <c r="AR977" s="141"/>
      <c r="AS977" s="141"/>
      <c r="AT977" s="141"/>
      <c r="AU977" s="141"/>
      <c r="AV977" s="141"/>
      <c r="AW977" s="141"/>
      <c r="BA977" s="204"/>
    </row>
    <row r="978" spans="1:55">
      <c r="A978" s="52"/>
      <c r="B978" s="3664"/>
      <c r="C978" s="407"/>
      <c r="D978" s="50"/>
      <c r="E978" s="79"/>
      <c r="F978" s="79"/>
      <c r="J978" s="474"/>
      <c r="K978" s="474"/>
      <c r="L978" s="49"/>
      <c r="M978" s="79"/>
      <c r="N978" s="1104" t="str">
        <f>IF(K978=0,"-",J978/K978)</f>
        <v>-</v>
      </c>
      <c r="O978" s="1133"/>
      <c r="P978" s="137">
        <v>0</v>
      </c>
      <c r="Q978" s="141">
        <f>'[39]מאזן בוחן'!AE852</f>
        <v>0</v>
      </c>
      <c r="R978" s="137">
        <v>0</v>
      </c>
      <c r="S978" s="137">
        <v>0</v>
      </c>
      <c r="T978" s="141">
        <f>'[40]מאזן בוחן'!AR933</f>
        <v>0</v>
      </c>
      <c r="U978" s="141">
        <f>'[21]מאזן בוחן'!AS817</f>
        <v>0</v>
      </c>
      <c r="V978" s="726">
        <f>'[22]מאזן בוחן'!AJ803</f>
        <v>0</v>
      </c>
      <c r="W978" s="726">
        <f>'[23]מאזן בוחן'!AK807</f>
        <v>0</v>
      </c>
      <c r="X978" s="141">
        <v>0</v>
      </c>
      <c r="Y978" s="141">
        <f>'[25]מאזן בוחן'!AM837</f>
        <v>0</v>
      </c>
      <c r="AA978" s="141">
        <f>'[32]מאזן בוחן'!AO855</f>
        <v>0</v>
      </c>
      <c r="AB978" s="141">
        <f>'[26]מאזן בוחן'!AB848</f>
        <v>0</v>
      </c>
      <c r="AC978" s="141">
        <f>'[27]מאזן בוחן'!AC857</f>
        <v>0</v>
      </c>
      <c r="AD978" s="141">
        <f>'[28]מאזן בוחן'!AD869</f>
        <v>0</v>
      </c>
      <c r="AE978" s="141">
        <f>'[29]מאזן בוחן'!AE875</f>
        <v>0</v>
      </c>
      <c r="AF978" s="141">
        <f>'[30]מאזן בוחן'!AF886</f>
        <v>0</v>
      </c>
      <c r="AG978" s="141">
        <f>'[31]מאזן בוחן'!AG891</f>
        <v>0</v>
      </c>
      <c r="AH978" s="141">
        <v>0</v>
      </c>
      <c r="AI978" s="141">
        <v>0</v>
      </c>
      <c r="AJ978" s="141">
        <v>0</v>
      </c>
      <c r="AK978" s="141">
        <v>0</v>
      </c>
      <c r="AL978" s="141">
        <v>0</v>
      </c>
      <c r="AM978" s="141">
        <f>$K978-SUM($AB978:AL978)</f>
        <v>0</v>
      </c>
      <c r="AN978" s="141"/>
      <c r="AO978" s="141"/>
      <c r="AP978" s="141"/>
      <c r="AQ978" s="141"/>
      <c r="AR978" s="141"/>
      <c r="AS978" s="141"/>
      <c r="AT978" s="141"/>
      <c r="AU978" s="141"/>
      <c r="AV978" s="141"/>
      <c r="AW978" s="141"/>
      <c r="BA978" s="204"/>
    </row>
    <row r="979" spans="1:55">
      <c r="A979" s="52"/>
      <c r="B979" s="3664"/>
      <c r="C979" s="1489"/>
      <c r="D979" s="45"/>
      <c r="E979" s="79"/>
      <c r="F979" s="79"/>
      <c r="J979" s="474"/>
      <c r="K979" s="42"/>
      <c r="L979" s="49"/>
      <c r="M979" s="79"/>
      <c r="O979" s="1133"/>
      <c r="P979" s="137">
        <v>0</v>
      </c>
      <c r="Q979" s="141">
        <f>'[39]מאזן בוחן'!AE853</f>
        <v>0</v>
      </c>
      <c r="R979" s="137">
        <v>0</v>
      </c>
      <c r="S979" s="137">
        <v>0</v>
      </c>
      <c r="T979" s="141">
        <f>'[40]מאזן בוחן'!AR934</f>
        <v>0</v>
      </c>
      <c r="U979" s="141">
        <f>'[21]מאזן בוחן'!AS818</f>
        <v>0</v>
      </c>
      <c r="V979" s="726">
        <f>'[22]מאזן בוחן'!AJ804</f>
        <v>0</v>
      </c>
      <c r="W979" s="726">
        <f>'[23]מאזן בוחן'!AK808</f>
        <v>0</v>
      </c>
      <c r="X979" s="141">
        <v>0</v>
      </c>
      <c r="Y979" s="141">
        <f>'[25]מאזן בוחן'!AM838</f>
        <v>0</v>
      </c>
      <c r="AA979" s="141">
        <f>'[32]מאזן בוחן'!AO856</f>
        <v>0</v>
      </c>
      <c r="AB979" s="141">
        <f>'[26]מאזן בוחן'!AB849</f>
        <v>0</v>
      </c>
      <c r="AC979" s="141">
        <f>'[27]מאזן בוחן'!AC858</f>
        <v>0</v>
      </c>
      <c r="AD979" s="141">
        <f>'[28]מאזן בוחן'!AD870</f>
        <v>0</v>
      </c>
      <c r="AE979" s="141">
        <f>'[29]מאזן בוחן'!AE876</f>
        <v>0</v>
      </c>
      <c r="AF979" s="141">
        <f>'[30]מאזן בוחן'!AF887</f>
        <v>0</v>
      </c>
      <c r="AG979" s="141">
        <f>'[31]מאזן בוחן'!AG892</f>
        <v>0</v>
      </c>
      <c r="AH979" s="141">
        <v>0</v>
      </c>
      <c r="AI979" s="141">
        <v>0</v>
      </c>
      <c r="AJ979" s="141">
        <v>0</v>
      </c>
      <c r="AK979" s="141">
        <v>0</v>
      </c>
      <c r="AL979" s="141">
        <v>0</v>
      </c>
      <c r="AM979" s="141">
        <f>$K979-SUM($AB979:AL979)</f>
        <v>0</v>
      </c>
      <c r="AN979" s="141"/>
      <c r="AO979" s="141"/>
      <c r="AP979" s="141"/>
      <c r="AQ979" s="141"/>
      <c r="AR979" s="141"/>
      <c r="AS979" s="141"/>
      <c r="AT979" s="141"/>
      <c r="AU979" s="141"/>
      <c r="AV979" s="141"/>
      <c r="AW979" s="141"/>
      <c r="BA979" s="204"/>
    </row>
    <row r="980" spans="1:55" ht="13.5" thickBot="1">
      <c r="A980" s="52"/>
      <c r="B980" s="3664"/>
      <c r="C980" s="1489"/>
      <c r="D980" s="203"/>
      <c r="E980" s="1202"/>
      <c r="F980" s="1202"/>
      <c r="J980" s="474"/>
      <c r="K980" s="42"/>
      <c r="L980" s="49"/>
      <c r="M980" s="79"/>
      <c r="O980" s="1133"/>
      <c r="P980" s="137">
        <v>0</v>
      </c>
      <c r="Q980" s="141">
        <f>'[39]מאזן בוחן'!AE854</f>
        <v>0</v>
      </c>
      <c r="R980" s="137">
        <v>0</v>
      </c>
      <c r="S980" s="137">
        <v>0</v>
      </c>
      <c r="T980" s="141">
        <f>'[40]מאזן בוחן'!AR935</f>
        <v>0</v>
      </c>
      <c r="U980" s="141">
        <f>'[21]מאזן בוחן'!AS819</f>
        <v>0</v>
      </c>
      <c r="V980" s="726">
        <f>'[22]מאזן בוחן'!AJ805</f>
        <v>0</v>
      </c>
      <c r="W980" s="726">
        <f>'[23]מאזן בוחן'!AK809</f>
        <v>0</v>
      </c>
      <c r="X980" s="141">
        <v>0</v>
      </c>
      <c r="Y980" s="141">
        <f>'[25]מאזן בוחן'!AM839</f>
        <v>0</v>
      </c>
      <c r="AA980" s="141">
        <f>'[32]מאזן בוחן'!AO857</f>
        <v>0</v>
      </c>
      <c r="AB980" s="141">
        <f>'[26]מאזן בוחן'!AB850</f>
        <v>0</v>
      </c>
      <c r="AC980" s="141">
        <f>'[27]מאזן בוחן'!AC859</f>
        <v>0</v>
      </c>
      <c r="AD980" s="141">
        <f>'[28]מאזן בוחן'!AD871</f>
        <v>0</v>
      </c>
      <c r="AE980" s="141">
        <f>'[29]מאזן בוחן'!AE877</f>
        <v>0</v>
      </c>
      <c r="AF980" s="141">
        <f>'[30]מאזן בוחן'!AF888</f>
        <v>0</v>
      </c>
      <c r="AG980" s="141">
        <f>'[31]מאזן בוחן'!AG893</f>
        <v>0</v>
      </c>
      <c r="AH980" s="141">
        <v>0</v>
      </c>
      <c r="AI980" s="141">
        <v>0</v>
      </c>
      <c r="AJ980" s="141">
        <v>0</v>
      </c>
      <c r="AK980" s="141">
        <v>0</v>
      </c>
      <c r="AL980" s="141">
        <v>0</v>
      </c>
      <c r="AM980" s="141">
        <f>$K980-SUM($AB980:AL980)</f>
        <v>0</v>
      </c>
      <c r="AN980" s="141"/>
      <c r="AO980" s="141"/>
      <c r="AP980" s="141"/>
      <c r="AQ980" s="141"/>
      <c r="AR980" s="141"/>
      <c r="AS980" s="141"/>
      <c r="AT980" s="141"/>
      <c r="AU980" s="141"/>
      <c r="AV980" s="141"/>
      <c r="AW980" s="141"/>
      <c r="BA980" s="204"/>
    </row>
    <row r="981" spans="1:55" ht="13.5" thickBot="1">
      <c r="A981" s="52"/>
      <c r="B981" s="3664"/>
      <c r="C981" s="1539"/>
      <c r="D981" s="2780"/>
      <c r="E981" s="1542">
        <f t="shared" ref="E981:K981" si="199">SUM(E979:E980)</f>
        <v>0</v>
      </c>
      <c r="F981" s="1542">
        <f>SUM(F979:F980)</f>
        <v>0</v>
      </c>
      <c r="G981" s="1542">
        <f t="shared" si="199"/>
        <v>0</v>
      </c>
      <c r="H981" s="1542">
        <f t="shared" si="199"/>
        <v>0</v>
      </c>
      <c r="I981" s="1542">
        <f t="shared" si="199"/>
        <v>0</v>
      </c>
      <c r="J981" s="1542">
        <f t="shared" si="199"/>
        <v>0</v>
      </c>
      <c r="K981" s="1542">
        <f t="shared" si="199"/>
        <v>0</v>
      </c>
      <c r="L981" s="49"/>
      <c r="M981" s="1542">
        <f>SUM(M979:M980)</f>
        <v>0</v>
      </c>
      <c r="N981" s="1104" t="str">
        <f t="shared" ref="N981:N987" si="200">IF(K981=0,"-",J981/K981)</f>
        <v>-</v>
      </c>
      <c r="O981" s="1133"/>
      <c r="P981" s="137">
        <v>0</v>
      </c>
      <c r="Q981" s="141">
        <f>'[39]מאזן בוחן'!AE855</f>
        <v>0</v>
      </c>
      <c r="R981" s="137">
        <v>0</v>
      </c>
      <c r="S981" s="137">
        <v>0</v>
      </c>
      <c r="T981" s="141">
        <f>'[40]מאזן בוחן'!AR936</f>
        <v>0</v>
      </c>
      <c r="U981" s="141">
        <f>'[21]מאזן בוחן'!AS820</f>
        <v>0</v>
      </c>
      <c r="V981" s="726">
        <f>'[22]מאזן בוחן'!AJ806</f>
        <v>0</v>
      </c>
      <c r="W981" s="726">
        <f>'[23]מאזן בוחן'!AK810</f>
        <v>0</v>
      </c>
      <c r="X981" s="141">
        <v>0</v>
      </c>
      <c r="Y981" s="141">
        <f>'[25]מאזן בוחן'!AM840</f>
        <v>0</v>
      </c>
      <c r="AA981" s="141">
        <f>'[32]מאזן בוחן'!AO858</f>
        <v>0</v>
      </c>
      <c r="AB981" s="141">
        <f>'[26]מאזן בוחן'!AB851</f>
        <v>0</v>
      </c>
      <c r="AC981" s="141">
        <f>'[27]מאזן בוחן'!AC860</f>
        <v>0</v>
      </c>
      <c r="AD981" s="141">
        <f>'[28]מאזן בוחן'!AD872</f>
        <v>0</v>
      </c>
      <c r="AE981" s="141">
        <f>'[29]מאזן בוחן'!AE878</f>
        <v>0</v>
      </c>
      <c r="AF981" s="141">
        <f>'[30]מאזן בוחן'!AF889</f>
        <v>0</v>
      </c>
      <c r="AG981" s="141">
        <f>'[31]מאזן בוחן'!AG894</f>
        <v>0</v>
      </c>
      <c r="AH981" s="141">
        <v>0</v>
      </c>
      <c r="AI981" s="141">
        <v>0</v>
      </c>
      <c r="AJ981" s="141">
        <v>0</v>
      </c>
      <c r="AK981" s="141">
        <v>0</v>
      </c>
      <c r="AL981" s="141">
        <v>0</v>
      </c>
      <c r="AM981" s="141">
        <f>$K981-SUM($AB981:AL981)</f>
        <v>0</v>
      </c>
      <c r="AN981" s="141"/>
      <c r="AO981" s="141"/>
      <c r="AP981" s="141"/>
      <c r="AQ981" s="141"/>
      <c r="AR981" s="141"/>
      <c r="AS981" s="141"/>
      <c r="AT981" s="141"/>
      <c r="AU981" s="141"/>
      <c r="AV981" s="141"/>
      <c r="AW981" s="141"/>
      <c r="BA981" s="204"/>
    </row>
    <row r="982" spans="1:55">
      <c r="A982" s="52"/>
      <c r="B982" s="3664"/>
      <c r="C982" s="1168"/>
      <c r="D982" s="169"/>
      <c r="E982" s="2198"/>
      <c r="F982" s="2198"/>
      <c r="J982" s="474"/>
      <c r="K982" s="474"/>
      <c r="L982" s="49"/>
      <c r="M982" s="474"/>
      <c r="N982" s="1104" t="str">
        <f t="shared" si="200"/>
        <v>-</v>
      </c>
      <c r="O982" s="1133"/>
      <c r="P982" s="137">
        <v>0</v>
      </c>
      <c r="R982" s="137">
        <v>0</v>
      </c>
      <c r="S982" s="137">
        <v>0</v>
      </c>
      <c r="T982" s="141">
        <f>'[40]מאזן בוחן'!AR941</f>
        <v>0</v>
      </c>
      <c r="U982" s="141">
        <f>'[21]מאזן בוחן'!AS821</f>
        <v>0</v>
      </c>
      <c r="V982" s="726">
        <f>'[22]מאזן בוחן'!AJ807</f>
        <v>0</v>
      </c>
      <c r="W982" s="726">
        <f>'[23]מאזן בוחן'!AK811</f>
        <v>0</v>
      </c>
      <c r="X982" s="141">
        <v>0</v>
      </c>
      <c r="Y982" s="141">
        <f>'[25]מאזן בוחן'!AM841</f>
        <v>0</v>
      </c>
      <c r="AA982" s="141">
        <f>'[32]מאזן בוחן'!AO859</f>
        <v>0</v>
      </c>
      <c r="AB982" s="141">
        <f>'[26]מאזן בוחן'!AB852</f>
        <v>0</v>
      </c>
      <c r="AC982" s="141">
        <f>'[27]מאזן בוחן'!AC861</f>
        <v>0</v>
      </c>
      <c r="AD982" s="141">
        <f>'[28]מאזן בוחן'!AD873</f>
        <v>0</v>
      </c>
      <c r="AE982" s="141">
        <f>'[29]מאזן בוחן'!AE879</f>
        <v>0</v>
      </c>
      <c r="AF982" s="141">
        <f>'[30]מאזן בוחן'!AF890</f>
        <v>0</v>
      </c>
      <c r="AG982" s="141">
        <f>'[31]מאזן בוחן'!AG895</f>
        <v>0</v>
      </c>
      <c r="AH982" s="141">
        <v>0</v>
      </c>
      <c r="AI982" s="141">
        <v>0</v>
      </c>
      <c r="AJ982" s="141">
        <v>0</v>
      </c>
      <c r="AK982" s="141">
        <v>0</v>
      </c>
      <c r="AL982" s="141">
        <v>0</v>
      </c>
      <c r="AM982" s="141">
        <f>$K982-SUM($AB982:AL982)</f>
        <v>0</v>
      </c>
      <c r="AN982" s="141"/>
      <c r="AO982" s="141"/>
      <c r="AP982" s="141"/>
      <c r="AQ982" s="141"/>
      <c r="AR982" s="141"/>
      <c r="AS982" s="141"/>
      <c r="AT982" s="141"/>
      <c r="AU982" s="141"/>
      <c r="AV982" s="141"/>
      <c r="AW982" s="141"/>
      <c r="BA982" s="204"/>
    </row>
    <row r="983" spans="1:55" ht="13.5" thickBot="1">
      <c r="A983" s="52"/>
      <c r="B983" s="3664"/>
      <c r="C983" s="1169"/>
      <c r="D983" s="2731"/>
      <c r="E983" s="1627"/>
      <c r="F983" s="1627"/>
      <c r="G983" s="1513"/>
      <c r="H983" s="1513"/>
      <c r="I983" s="1513"/>
      <c r="J983" s="1513"/>
      <c r="K983" s="1513"/>
      <c r="L983" s="49"/>
      <c r="M983" s="1513"/>
      <c r="N983" s="1104" t="str">
        <f t="shared" si="200"/>
        <v>-</v>
      </c>
      <c r="O983" s="1133"/>
      <c r="P983" s="137">
        <v>0</v>
      </c>
      <c r="R983" s="137">
        <v>0</v>
      </c>
      <c r="S983" s="137">
        <v>0</v>
      </c>
      <c r="T983" s="141">
        <f>'[40]מאזן בוחן'!AR942</f>
        <v>0</v>
      </c>
      <c r="U983" s="141">
        <f>'[21]מאזן בוחן'!AS822</f>
        <v>0</v>
      </c>
      <c r="V983" s="726">
        <f>'[22]מאזן בוחן'!AJ808</f>
        <v>0</v>
      </c>
      <c r="W983" s="726">
        <f>'[23]מאזן בוחן'!AK812</f>
        <v>0</v>
      </c>
      <c r="X983" s="141">
        <v>0</v>
      </c>
      <c r="Y983" s="141">
        <f>'[25]מאזן בוחן'!AM842</f>
        <v>0</v>
      </c>
      <c r="AA983" s="141">
        <f>'[32]מאזן בוחן'!AO860</f>
        <v>0</v>
      </c>
      <c r="AB983" s="141">
        <f>'[26]מאזן בוחן'!AB853</f>
        <v>0</v>
      </c>
      <c r="AC983" s="141">
        <f>'[27]מאזן בוחן'!AC862</f>
        <v>0</v>
      </c>
      <c r="AD983" s="141">
        <f>'[28]מאזן בוחן'!AD874</f>
        <v>0</v>
      </c>
      <c r="AE983" s="141">
        <f>'[29]מאזן בוחן'!AE880</f>
        <v>0</v>
      </c>
      <c r="AF983" s="141">
        <f>'[30]מאזן בוחן'!AF891</f>
        <v>0</v>
      </c>
      <c r="AG983" s="141">
        <f>'[31]מאזן בוחן'!AG896</f>
        <v>0</v>
      </c>
      <c r="AH983" s="141">
        <v>0</v>
      </c>
      <c r="AI983" s="141">
        <v>0</v>
      </c>
      <c r="AJ983" s="141">
        <v>0</v>
      </c>
      <c r="AK983" s="141">
        <v>0</v>
      </c>
      <c r="AL983" s="141">
        <v>0</v>
      </c>
      <c r="AM983" s="141">
        <f>$K983-SUM($AB983:AL983)</f>
        <v>0</v>
      </c>
      <c r="AN983" s="141"/>
      <c r="AO983" s="141"/>
      <c r="AP983" s="141"/>
      <c r="AQ983" s="141"/>
      <c r="AR983" s="141"/>
      <c r="AS983" s="141"/>
      <c r="AT983" s="141"/>
      <c r="AU983" s="141"/>
      <c r="AV983" s="141"/>
      <c r="AW983" s="141"/>
      <c r="BA983" s="204"/>
      <c r="BB983" s="63"/>
      <c r="BC983" s="63"/>
    </row>
    <row r="984" spans="1:55">
      <c r="A984" s="52"/>
      <c r="B984" s="3668" t="s">
        <v>1453</v>
      </c>
      <c r="C984" s="585">
        <v>7030001</v>
      </c>
      <c r="D984" s="608" t="s">
        <v>3305</v>
      </c>
      <c r="E984" s="474">
        <f>IFERROR(VLOOKUP(C984,'פקודות נוספות'!$D$274:$F$797,3,0),0)</f>
        <v>1764557.67</v>
      </c>
      <c r="F984" s="49">
        <f>SUMIF('פקודות נוספות'!C:C,C:C,'פקודות נוספות'!E:E)</f>
        <v>8.9947087690234184E-4</v>
      </c>
      <c r="J984" s="474">
        <f>SUM(E984:I984)</f>
        <v>1764557.6708994708</v>
      </c>
      <c r="K984" s="42">
        <f>M984+SUMIF('פקודות נוספות'!C:C,'מאזן בוחן'!C984,'פקודות נוספות'!F:F)</f>
        <v>536968.95891542803</v>
      </c>
      <c r="L984" s="49"/>
      <c r="M984" s="1341">
        <f>IFERROR(VLOOKUP(C984,'פקודות נוספות'!$D$273:$G$797,4,0),0)</f>
        <v>536968.95999999996</v>
      </c>
      <c r="N984" s="1104">
        <f t="shared" si="200"/>
        <v>3.2861446487773356</v>
      </c>
      <c r="O984" s="1133"/>
      <c r="P984" s="137">
        <v>0</v>
      </c>
      <c r="R984" s="141"/>
      <c r="S984" s="137">
        <v>0</v>
      </c>
      <c r="T984" s="141">
        <f>'[40]מאזן בוחן'!AR943</f>
        <v>281347.26926892984</v>
      </c>
      <c r="U984" s="141">
        <f>'[21]מאזן בוחן'!AS823</f>
        <v>28195.759250488365</v>
      </c>
      <c r="V984" s="726">
        <f>'[22]מאזן בוחן'!AJ809</f>
        <v>29116.536774787935</v>
      </c>
      <c r="W984" s="726">
        <f>'[23]מאזן בוחן'!AK813</f>
        <v>79176.769734587404</v>
      </c>
      <c r="X984" s="141">
        <v>29830.025502834236</v>
      </c>
      <c r="Y984" s="141">
        <f>'[25]מאזן בוחן'!AM843</f>
        <v>33633.729938650271</v>
      </c>
      <c r="AA984" s="141">
        <f>'[32]מאזן בוחן'!AO861</f>
        <v>60390.647472956218</v>
      </c>
      <c r="AB984" s="141">
        <f>'[26]מאזן בוחן'!AB854</f>
        <v>21438.274090909097</v>
      </c>
      <c r="AC984" s="141">
        <f>'[27]מאזן בוחן'!AC863</f>
        <v>20555.054999999989</v>
      </c>
      <c r="AD984" s="141">
        <f>'[28]מאזן בוחן'!AD875</f>
        <v>93352.910909090904</v>
      </c>
      <c r="AE984" s="141">
        <f>'[29]מאזן בוחן'!AE881</f>
        <v>21194.237452893605</v>
      </c>
      <c r="AF984" s="141">
        <f>'[30]מאזן בוחן'!AF892</f>
        <v>21505.005393604719</v>
      </c>
      <c r="AG984" s="141">
        <f>'[31]מאזן בוחן'!AG897</f>
        <v>79402.949723623315</v>
      </c>
      <c r="AH984" s="141">
        <v>23387.226937233674</v>
      </c>
      <c r="AI984" s="141">
        <v>23387.790655765682</v>
      </c>
      <c r="AJ984" s="141">
        <v>77159.409836879</v>
      </c>
      <c r="AK984" s="141">
        <v>23279.435253046744</v>
      </c>
      <c r="AL984" s="141">
        <v>26091.402954545454</v>
      </c>
      <c r="AM984" s="141">
        <f>$K984-SUM($AB984:AL984)</f>
        <v>106215.26070783584</v>
      </c>
      <c r="AN984" s="141"/>
      <c r="AO984" s="141"/>
      <c r="AP984" s="141"/>
      <c r="AQ984" s="141"/>
      <c r="AR984" s="141"/>
      <c r="AS984" s="141"/>
      <c r="AT984" s="141"/>
      <c r="AU984" s="141"/>
      <c r="AV984" s="141"/>
      <c r="AW984" s="141"/>
      <c r="AX984" s="137" t="s">
        <v>3148</v>
      </c>
      <c r="BA984" s="204"/>
      <c r="BB984" s="63"/>
      <c r="BC984" s="63"/>
    </row>
    <row r="985" spans="1:55" ht="13.5" thickBot="1">
      <c r="A985" s="52"/>
      <c r="B985" s="3664"/>
      <c r="C985" s="1169"/>
      <c r="D985" s="2731"/>
      <c r="E985" s="1627">
        <f t="shared" ref="E985:M985" si="201">SUM(E984:E984)</f>
        <v>1764557.67</v>
      </c>
      <c r="F985" s="1627">
        <f t="shared" si="201"/>
        <v>8.9947087690234184E-4</v>
      </c>
      <c r="G985" s="1513">
        <f t="shared" si="201"/>
        <v>0</v>
      </c>
      <c r="H985" s="1513">
        <f t="shared" si="201"/>
        <v>0</v>
      </c>
      <c r="I985" s="1513">
        <f t="shared" si="201"/>
        <v>0</v>
      </c>
      <c r="J985" s="1513">
        <f t="shared" si="201"/>
        <v>1764557.6708994708</v>
      </c>
      <c r="K985" s="1513">
        <f t="shared" si="201"/>
        <v>536968.95891542803</v>
      </c>
      <c r="L985" s="49"/>
      <c r="M985" s="1513">
        <f t="shared" si="201"/>
        <v>536968.95999999996</v>
      </c>
      <c r="N985" s="1104">
        <f t="shared" si="200"/>
        <v>3.2861446487773356</v>
      </c>
      <c r="O985" s="1133"/>
      <c r="R985" s="141"/>
      <c r="T985" s="141">
        <f>'[40]מאזן בוחן'!AR944</f>
        <v>0</v>
      </c>
      <c r="U985" s="141">
        <f>'[21]מאזן בוחן'!AS824</f>
        <v>309543.02851941821</v>
      </c>
      <c r="V985" s="726">
        <f>'[22]מאזן בוחן'!AJ810</f>
        <v>29116.536774787935</v>
      </c>
      <c r="W985" s="726">
        <f>'[23]מאזן בוחן'!AK814</f>
        <v>79176.769734587404</v>
      </c>
      <c r="X985" s="141">
        <v>29830.025502834236</v>
      </c>
      <c r="Y985" s="141">
        <f>'[25]מאזן בוחן'!AM844</f>
        <v>33633.729938650271</v>
      </c>
      <c r="AA985" s="141">
        <f>'[32]מאזן בוחן'!AO862</f>
        <v>60390.647472956218</v>
      </c>
      <c r="AB985" s="141">
        <f>'[26]מאזן בוחן'!AB855</f>
        <v>21438.274090909097</v>
      </c>
      <c r="AC985" s="141">
        <f>'[27]מאזן בוחן'!AC864</f>
        <v>20555.054999999989</v>
      </c>
      <c r="AD985" s="141">
        <f>'[28]מאזן בוחן'!AD876</f>
        <v>93352.910909090904</v>
      </c>
      <c r="AE985" s="141">
        <f>'[29]מאזן בוחן'!AE882</f>
        <v>21194.237452893605</v>
      </c>
      <c r="AF985" s="141">
        <f>'[30]מאזן בוחן'!AF893</f>
        <v>21505.005393604719</v>
      </c>
      <c r="AG985" s="141">
        <f>'[31]מאזן בוחן'!AG898</f>
        <v>79402.949723623315</v>
      </c>
      <c r="AH985" s="141">
        <v>23387.226937233674</v>
      </c>
      <c r="AI985" s="141">
        <v>23387.790655765682</v>
      </c>
      <c r="AJ985" s="141">
        <v>77159.409836879</v>
      </c>
      <c r="AK985" s="141">
        <v>23279.435253046744</v>
      </c>
      <c r="AL985" s="141">
        <v>26091.402954545454</v>
      </c>
      <c r="AM985" s="141">
        <f>$K985-SUM($AB985:AL985)</f>
        <v>106215.26070783584</v>
      </c>
      <c r="AN985" s="141"/>
      <c r="AO985" s="141"/>
      <c r="AP985" s="141"/>
      <c r="AQ985" s="141"/>
      <c r="AR985" s="141"/>
      <c r="AS985" s="141"/>
      <c r="AT985" s="141"/>
      <c r="AU985" s="141"/>
      <c r="AV985" s="141"/>
      <c r="AW985" s="141"/>
      <c r="BA985" s="204"/>
      <c r="BB985" s="63"/>
      <c r="BC985" s="63"/>
    </row>
    <row r="986" spans="1:55">
      <c r="A986" s="52"/>
      <c r="B986" s="3664"/>
      <c r="C986" s="155"/>
      <c r="D986" s="423"/>
      <c r="E986" s="2854"/>
      <c r="F986" s="180"/>
      <c r="G986" s="1540"/>
      <c r="H986" s="180"/>
      <c r="I986" s="180"/>
      <c r="J986" s="180"/>
      <c r="K986" s="180"/>
      <c r="L986" s="49"/>
      <c r="M986" s="180"/>
      <c r="N986" s="1104" t="str">
        <f t="shared" si="200"/>
        <v>-</v>
      </c>
      <c r="O986" s="1133"/>
      <c r="R986" s="141"/>
      <c r="T986" s="141">
        <f>'[40]מאזן בוחן'!AR945</f>
        <v>0</v>
      </c>
      <c r="U986" s="141">
        <f>'[21]מאזן בוחן'!AS825</f>
        <v>0</v>
      </c>
      <c r="V986" s="726">
        <f>'[22]מאזן בוחן'!AJ811</f>
        <v>0</v>
      </c>
      <c r="W986" s="726">
        <f>'[23]מאזן בוחן'!AK815</f>
        <v>0</v>
      </c>
      <c r="X986" s="141">
        <v>0</v>
      </c>
      <c r="Y986" s="141">
        <f>'[25]מאזן בוחן'!AM845</f>
        <v>0</v>
      </c>
      <c r="AA986" s="141">
        <f>'[32]מאזן בוחן'!AO863</f>
        <v>0</v>
      </c>
      <c r="AB986" s="141">
        <f>'[26]מאזן בוחן'!AB856</f>
        <v>0</v>
      </c>
      <c r="AC986" s="141">
        <f>'[27]מאזן בוחן'!AC865</f>
        <v>0</v>
      </c>
      <c r="AD986" s="141">
        <f>'[28]מאזן בוחן'!AD877</f>
        <v>0</v>
      </c>
      <c r="AE986" s="141">
        <f>'[29]מאזן בוחן'!AE883</f>
        <v>0</v>
      </c>
      <c r="AF986" s="141">
        <f>'[30]מאזן בוחן'!AF894</f>
        <v>0</v>
      </c>
      <c r="AG986" s="141">
        <f>'[31]מאזן בוחן'!AG899</f>
        <v>0</v>
      </c>
      <c r="AH986" s="141">
        <v>0</v>
      </c>
      <c r="AI986" s="141">
        <v>0</v>
      </c>
      <c r="AJ986" s="141">
        <v>0</v>
      </c>
      <c r="AK986" s="141">
        <v>0</v>
      </c>
      <c r="AL986" s="141">
        <v>0</v>
      </c>
      <c r="AM986" s="141">
        <f>$K986-SUM($AB986:AL986)</f>
        <v>0</v>
      </c>
      <c r="AN986" s="141"/>
      <c r="AO986" s="141"/>
      <c r="AP986" s="141"/>
      <c r="AQ986" s="141"/>
      <c r="AR986" s="141"/>
      <c r="AS986" s="141"/>
      <c r="AT986" s="141"/>
      <c r="AU986" s="141"/>
      <c r="AV986" s="141"/>
      <c r="AW986" s="141"/>
      <c r="BA986" s="204"/>
      <c r="BB986" s="63"/>
      <c r="BC986" s="63"/>
    </row>
    <row r="987" spans="1:55" ht="13.5" thickBot="1">
      <c r="A987" s="52"/>
      <c r="B987" s="3664"/>
      <c r="C987" s="1161"/>
      <c r="D987" s="2735" t="s">
        <v>455</v>
      </c>
      <c r="E987" s="2732">
        <f t="shared" ref="E987:K987" si="202">E919+E924+E977+E981+E985</f>
        <v>21399978.68</v>
      </c>
      <c r="F987" s="2732">
        <f t="shared" si="202"/>
        <v>8.9947087690234184E-4</v>
      </c>
      <c r="G987" s="1542">
        <f t="shared" si="202"/>
        <v>0</v>
      </c>
      <c r="H987" s="1542">
        <f t="shared" si="202"/>
        <v>0</v>
      </c>
      <c r="I987" s="1542">
        <f t="shared" si="202"/>
        <v>0</v>
      </c>
      <c r="J987" s="1542">
        <f t="shared" si="202"/>
        <v>21399978.680899467</v>
      </c>
      <c r="K987" s="1542">
        <f t="shared" si="202"/>
        <v>6591204.6189154275</v>
      </c>
      <c r="L987" s="49"/>
      <c r="M987" s="1542">
        <f>M919+M924+M977+M981+M985</f>
        <v>2790003.68</v>
      </c>
      <c r="N987" s="1104">
        <f t="shared" si="200"/>
        <v>3.2467477370503484</v>
      </c>
      <c r="O987" s="1133"/>
      <c r="R987" s="141"/>
      <c r="T987" s="141">
        <f>'[40]מאזן בוחן'!AR946</f>
        <v>0</v>
      </c>
      <c r="U987" s="141">
        <f>'[21]מאזן בוחן'!AS826</f>
        <v>3785866.4385194173</v>
      </c>
      <c r="V987" s="726">
        <f>'[22]מאזן בוחן'!AJ812</f>
        <v>339153.5167747885</v>
      </c>
      <c r="W987" s="726">
        <f>'[23]מאזן בוחן'!AK816</f>
        <v>383036.71973458771</v>
      </c>
      <c r="X987" s="141">
        <v>384777.40550283529</v>
      </c>
      <c r="Y987" s="141">
        <f>'[25]מאזן בוחן'!AM846</f>
        <v>387770.10993864946</v>
      </c>
      <c r="AA987" s="141">
        <f>'[32]מאזן בוחן'!AO864</f>
        <v>543645.4174729567</v>
      </c>
      <c r="AB987" s="141">
        <f>'[26]מאזן בוחן'!AB857</f>
        <v>406820.27409090911</v>
      </c>
      <c r="AC987" s="141">
        <f>'[27]מאזן בוחן'!AC866</f>
        <v>452664.61500000005</v>
      </c>
      <c r="AD987" s="141">
        <f>'[28]מאזן בוחן'!AD878</f>
        <v>633472.27090909076</v>
      </c>
      <c r="AE987" s="141">
        <f>'[29]מאזן בוחן'!AE884</f>
        <v>411684.03745289356</v>
      </c>
      <c r="AF987" s="141">
        <f>'[30]מאזן בוחן'!AF895</f>
        <v>442571.12539360533</v>
      </c>
      <c r="AG987" s="141">
        <f>'[31]מאזן בוחן'!AG900</f>
        <v>603375.00972362328</v>
      </c>
      <c r="AH987" s="141">
        <v>495070.80693723308</v>
      </c>
      <c r="AI987" s="141">
        <v>438903.76065576589</v>
      </c>
      <c r="AJ987" s="141">
        <v>660814.29983687913</v>
      </c>
      <c r="AK987" s="141">
        <v>567360.08525304589</v>
      </c>
      <c r="AL987" s="141">
        <v>552705.72295454703</v>
      </c>
      <c r="AM987" s="141">
        <f>$K987-SUM($AB987:AL987)</f>
        <v>925762.61070783436</v>
      </c>
      <c r="AN987" s="141"/>
      <c r="AO987" s="141"/>
      <c r="AP987" s="141"/>
      <c r="AQ987" s="141"/>
      <c r="AR987" s="141"/>
      <c r="AS987" s="141"/>
      <c r="AT987" s="141"/>
      <c r="AU987" s="141"/>
      <c r="AV987" s="141"/>
      <c r="AW987" s="141"/>
      <c r="BA987" s="204"/>
      <c r="BB987" s="63"/>
      <c r="BC987" s="63"/>
    </row>
    <row r="988" spans="1:55">
      <c r="A988" s="52"/>
      <c r="B988" s="3664"/>
      <c r="D988" s="465"/>
      <c r="E988" s="2197"/>
      <c r="F988" s="2197"/>
      <c r="K988" s="49"/>
      <c r="L988" s="49"/>
      <c r="M988" s="1580"/>
      <c r="O988" s="1133"/>
      <c r="R988" s="141"/>
      <c r="T988" s="141">
        <f>'[40]מאזן בוחן'!AR947</f>
        <v>0</v>
      </c>
      <c r="U988" s="141">
        <f>'[21]מאזן בוחן'!AS827</f>
        <v>0</v>
      </c>
      <c r="V988" s="726">
        <f>'[22]מאזן בוחן'!AJ813</f>
        <v>0</v>
      </c>
      <c r="W988" s="726">
        <f>'[23]מאזן בוחן'!AK817</f>
        <v>0</v>
      </c>
      <c r="X988" s="141">
        <v>0</v>
      </c>
      <c r="Y988" s="141">
        <f>'[25]מאזן בוחן'!AM847</f>
        <v>0</v>
      </c>
      <c r="AA988" s="141">
        <f>'[32]מאזן בוחן'!AO865</f>
        <v>0</v>
      </c>
      <c r="AB988" s="141">
        <f>'[26]מאזן בוחן'!AB858</f>
        <v>0</v>
      </c>
      <c r="AC988" s="141">
        <f>'[27]מאזן בוחן'!AC867</f>
        <v>0</v>
      </c>
      <c r="AD988" s="141">
        <f>'[28]מאזן בוחן'!AD879</f>
        <v>0</v>
      </c>
      <c r="AE988" s="141">
        <f>'[29]מאזן בוחן'!AE885</f>
        <v>0</v>
      </c>
      <c r="AF988" s="141">
        <f>'[30]מאזן בוחן'!AF896</f>
        <v>0</v>
      </c>
      <c r="AG988" s="141">
        <f>'[31]מאזן בוחן'!AG901</f>
        <v>0</v>
      </c>
      <c r="AH988" s="141">
        <v>0</v>
      </c>
      <c r="AI988" s="141">
        <v>0</v>
      </c>
      <c r="AJ988" s="141">
        <v>0</v>
      </c>
      <c r="AK988" s="141">
        <v>0</v>
      </c>
      <c r="AL988" s="141">
        <v>0</v>
      </c>
      <c r="AM988" s="141">
        <f>$K988-SUM($AB988:AL988)</f>
        <v>0</v>
      </c>
      <c r="AN988" s="141"/>
      <c r="AO988" s="141"/>
      <c r="AP988" s="141"/>
      <c r="AQ988" s="141"/>
      <c r="AR988" s="141"/>
      <c r="AS988" s="141"/>
      <c r="AT988" s="141"/>
      <c r="AU988" s="141"/>
      <c r="AV988" s="141"/>
      <c r="AW988" s="141"/>
      <c r="BA988" s="204"/>
      <c r="BB988" s="63"/>
      <c r="BC988" s="63"/>
    </row>
    <row r="989" spans="1:55">
      <c r="A989" s="52"/>
      <c r="B989" s="3664"/>
      <c r="C989" s="407"/>
      <c r="D989" s="465"/>
      <c r="E989" s="1202"/>
      <c r="F989" s="1202"/>
      <c r="K989" s="49"/>
      <c r="L989" s="49"/>
      <c r="O989" s="1133"/>
      <c r="R989" s="141"/>
      <c r="T989" s="141">
        <f>'[40]מאזן בוחן'!AR948</f>
        <v>0</v>
      </c>
      <c r="U989" s="141">
        <f>'[21]מאזן בוחן'!AS828</f>
        <v>0</v>
      </c>
      <c r="V989" s="726">
        <f>'[22]מאזן בוחן'!AJ814</f>
        <v>0</v>
      </c>
      <c r="W989" s="726">
        <f>'[23]מאזן בוחן'!AK818</f>
        <v>0</v>
      </c>
      <c r="X989" s="141">
        <v>0</v>
      </c>
      <c r="Y989" s="141">
        <f>'[25]מאזן בוחן'!AM848</f>
        <v>0</v>
      </c>
      <c r="AA989" s="141">
        <f>'[32]מאזן בוחן'!AO866</f>
        <v>0</v>
      </c>
      <c r="AB989" s="141">
        <f>'[26]מאזן בוחן'!AB859</f>
        <v>0</v>
      </c>
      <c r="AC989" s="141">
        <f>'[27]מאזן בוחן'!AC868</f>
        <v>0</v>
      </c>
      <c r="AD989" s="141">
        <f>'[28]מאזן בוחן'!AD880</f>
        <v>0</v>
      </c>
      <c r="AE989" s="141">
        <f>'[29]מאזן בוחן'!AE886</f>
        <v>0</v>
      </c>
      <c r="AF989" s="141">
        <f>'[30]מאזן בוחן'!AF897</f>
        <v>0</v>
      </c>
      <c r="AG989" s="141">
        <f>'[31]מאזן בוחן'!AG902</f>
        <v>0</v>
      </c>
      <c r="AH989" s="141">
        <v>0</v>
      </c>
      <c r="AI989" s="141">
        <v>0</v>
      </c>
      <c r="AJ989" s="141">
        <v>0</v>
      </c>
      <c r="AK989" s="141">
        <v>0</v>
      </c>
      <c r="AL989" s="141">
        <v>0</v>
      </c>
      <c r="AM989" s="141">
        <f>$K989-SUM($AB989:AL989)</f>
        <v>0</v>
      </c>
      <c r="AN989" s="141"/>
      <c r="AO989" s="141"/>
      <c r="AP989" s="141"/>
      <c r="AQ989" s="141"/>
      <c r="AR989" s="141"/>
      <c r="AS989" s="141"/>
      <c r="AT989" s="141"/>
      <c r="AU989" s="141"/>
      <c r="AV989" s="141"/>
      <c r="AW989" s="141"/>
      <c r="BA989" s="204"/>
      <c r="BB989" s="63"/>
      <c r="BC989" s="63"/>
    </row>
    <row r="990" spans="1:55" ht="13.5" thickBot="1">
      <c r="A990" s="52"/>
      <c r="B990" s="3664"/>
      <c r="C990" s="1541"/>
      <c r="D990" s="2862"/>
      <c r="E990" s="1542">
        <f t="shared" ref="E990:K990" si="203">SUM(E989:E989)</f>
        <v>0</v>
      </c>
      <c r="F990" s="1542">
        <f>SUM(F989:F989)</f>
        <v>0</v>
      </c>
      <c r="G990" s="1542">
        <f t="shared" si="203"/>
        <v>0</v>
      </c>
      <c r="H990" s="1542">
        <f t="shared" si="203"/>
        <v>0</v>
      </c>
      <c r="I990" s="1542">
        <f t="shared" si="203"/>
        <v>0</v>
      </c>
      <c r="J990" s="1542">
        <f t="shared" si="203"/>
        <v>0</v>
      </c>
      <c r="K990" s="1542">
        <f t="shared" si="203"/>
        <v>0</v>
      </c>
      <c r="L990" s="49"/>
      <c r="M990" s="1542">
        <f>SUM(M989:M989)</f>
        <v>0</v>
      </c>
      <c r="O990" s="1133"/>
      <c r="R990" s="141"/>
      <c r="T990" s="141">
        <f>'[40]מאזן בוחן'!AR949</f>
        <v>0</v>
      </c>
      <c r="U990" s="141">
        <f>'[21]מאזן בוחן'!AS829</f>
        <v>0</v>
      </c>
      <c r="V990" s="726">
        <f>'[22]מאזן בוחן'!AJ815</f>
        <v>0</v>
      </c>
      <c r="W990" s="726">
        <f>'[23]מאזן בוחן'!AK819</f>
        <v>0</v>
      </c>
      <c r="X990" s="141">
        <v>0</v>
      </c>
      <c r="Y990" s="141">
        <f>'[25]מאזן בוחן'!AM849</f>
        <v>0</v>
      </c>
      <c r="AA990" s="141">
        <f>'[32]מאזן בוחן'!AO867</f>
        <v>0</v>
      </c>
      <c r="AB990" s="141">
        <f>'[26]מאזן בוחן'!AB860</f>
        <v>0</v>
      </c>
      <c r="AC990" s="141">
        <f>'[27]מאזן בוחן'!AC869</f>
        <v>0</v>
      </c>
      <c r="AD990" s="141">
        <f>'[28]מאזן בוחן'!AD881</f>
        <v>0</v>
      </c>
      <c r="AE990" s="141">
        <f>'[29]מאזן בוחן'!AE887</f>
        <v>0</v>
      </c>
      <c r="AF990" s="141">
        <f>'[30]מאזן בוחן'!AF898</f>
        <v>0</v>
      </c>
      <c r="AG990" s="141">
        <f>'[31]מאזן בוחן'!AG903</f>
        <v>0</v>
      </c>
      <c r="AH990" s="141">
        <v>0</v>
      </c>
      <c r="AI990" s="141">
        <v>0</v>
      </c>
      <c r="AJ990" s="141">
        <v>0</v>
      </c>
      <c r="AK990" s="141">
        <v>0</v>
      </c>
      <c r="AL990" s="141">
        <v>0</v>
      </c>
      <c r="AM990" s="141">
        <f>$K990-SUM($AB990:AL990)</f>
        <v>0</v>
      </c>
      <c r="AN990" s="141"/>
      <c r="AO990" s="141"/>
      <c r="AP990" s="141"/>
      <c r="AQ990" s="141"/>
      <c r="AR990" s="141"/>
      <c r="AS990" s="141"/>
      <c r="AT990" s="141"/>
      <c r="AU990" s="141"/>
      <c r="AV990" s="141"/>
      <c r="AW990" s="141"/>
      <c r="BA990" s="204"/>
      <c r="BB990" s="63"/>
      <c r="BC990" s="63"/>
    </row>
    <row r="991" spans="1:55" ht="13.5" thickBot="1">
      <c r="A991" s="52"/>
      <c r="B991" s="3668"/>
      <c r="D991" s="465"/>
      <c r="E991" s="1202"/>
      <c r="J991" s="49">
        <f>SUM(E991:G991)</f>
        <v>0</v>
      </c>
      <c r="K991" s="49"/>
      <c r="L991" s="49"/>
      <c r="M991" s="79"/>
      <c r="O991" s="1133"/>
      <c r="R991" s="141"/>
      <c r="T991" s="141">
        <f>'[40]מאזן בוחן'!AR950</f>
        <v>0</v>
      </c>
      <c r="U991" s="141">
        <f>'[21]מאזן בוחן'!AS830</f>
        <v>0</v>
      </c>
      <c r="V991" s="726">
        <f>'[22]מאזן בוחן'!AJ816</f>
        <v>0</v>
      </c>
      <c r="W991" s="726">
        <f>'[23]מאזן בוחן'!AK820</f>
        <v>0</v>
      </c>
      <c r="X991" s="141">
        <v>0</v>
      </c>
      <c r="Y991" s="141">
        <f>'[25]מאזן בוחן'!AM850</f>
        <v>0</v>
      </c>
      <c r="AA991" s="141">
        <f>'[32]מאזן בוחן'!AO868</f>
        <v>0</v>
      </c>
      <c r="AB991" s="141">
        <f>'[26]מאזן בוחן'!AB861</f>
        <v>0</v>
      </c>
      <c r="AC991" s="141">
        <f>'[27]מאזן בוחן'!AC870</f>
        <v>0</v>
      </c>
      <c r="AD991" s="141">
        <f>'[28]מאזן בוחן'!AD882</f>
        <v>0</v>
      </c>
      <c r="AE991" s="141">
        <f>'[29]מאזן בוחן'!AE888</f>
        <v>0</v>
      </c>
      <c r="AF991" s="141">
        <f>'[30]מאזן בוחן'!AF899</f>
        <v>0</v>
      </c>
      <c r="AG991" s="141">
        <f>'[31]מאזן בוחן'!AG904</f>
        <v>0</v>
      </c>
      <c r="AH991" s="141">
        <v>0</v>
      </c>
      <c r="AI991" s="141">
        <v>0</v>
      </c>
      <c r="AJ991" s="141">
        <v>0</v>
      </c>
      <c r="AK991" s="141">
        <v>0</v>
      </c>
      <c r="AL991" s="141">
        <v>0</v>
      </c>
      <c r="AM991" s="141">
        <f>$K991-SUM($AB991:AL991)</f>
        <v>0</v>
      </c>
      <c r="AN991" s="141"/>
      <c r="AO991" s="141"/>
      <c r="AP991" s="141"/>
      <c r="AQ991" s="141"/>
      <c r="AR991" s="141"/>
      <c r="AS991" s="141"/>
      <c r="AT991" s="141"/>
      <c r="AU991" s="141"/>
      <c r="AV991" s="141"/>
      <c r="AW991" s="141"/>
      <c r="BA991" s="204"/>
      <c r="BB991" s="63"/>
      <c r="BC991" s="63"/>
    </row>
    <row r="992" spans="1:55" ht="13.5" thickBot="1">
      <c r="A992" s="52"/>
      <c r="B992" s="3659" t="s">
        <v>1218</v>
      </c>
      <c r="C992" s="1166">
        <v>9100004</v>
      </c>
      <c r="D992" s="465" t="s">
        <v>312</v>
      </c>
      <c r="E992" s="474">
        <f>IFERROR(VLOOKUP(C992,'פקודות נוספות'!$D$274:$F$797,3,0),0)</f>
        <v>316473</v>
      </c>
      <c r="F992" s="49">
        <f>SUMIF('פקודות נוספות'!C:C,C:C,'פקודות נוספות'!E:E)</f>
        <v>200859.97869457788</v>
      </c>
      <c r="J992" s="474">
        <f>SUM(E992:I992)</f>
        <v>517332.97869457788</v>
      </c>
      <c r="K992" s="474">
        <f>M992+SUMIF('פקודות נוספות'!C:C,'מאזן בוחן'!C992,'פקודות נוספות'!F:F)</f>
        <v>163021.59215259738</v>
      </c>
      <c r="L992" s="956">
        <f>SUM([41]גיליון1!$P$31-[41]גיליון1!$O$31-[41]גיליון1!$N$31)/$N$2-AI992</f>
        <v>3323.1833360574383</v>
      </c>
      <c r="M992" s="1341">
        <f>IFERROR(VLOOKUP(C992,'פקודות נוספות'!$D$273:$G$797,4,0),0)</f>
        <v>98436.39</v>
      </c>
      <c r="N992" s="1104">
        <f>IF(K992=0,"-",J992/K992)</f>
        <v>3.1734015835787268</v>
      </c>
      <c r="O992" s="1133"/>
      <c r="R992" s="141"/>
      <c r="T992" s="141">
        <f>'[40]מאזן בוחן'!AR951</f>
        <v>0</v>
      </c>
      <c r="U992" s="141">
        <f>'[21]מאזן בוחן'!AS831</f>
        <v>0</v>
      </c>
      <c r="V992" s="726">
        <f>'[22]מאזן בוחן'!AJ817</f>
        <v>0</v>
      </c>
      <c r="W992" s="726">
        <f>'[23]מאזן בוחן'!AK821</f>
        <v>0</v>
      </c>
      <c r="X992" s="141">
        <v>0</v>
      </c>
      <c r="Y992" s="141">
        <f>'[25]מאזן בוחן'!AM851</f>
        <v>0</v>
      </c>
      <c r="AA992" s="141">
        <f>'[32]מאזן בוחן'!AO869</f>
        <v>-391559.97</v>
      </c>
      <c r="AB992" s="141">
        <f>'[26]מאזן בוחן'!AB862</f>
        <v>0</v>
      </c>
      <c r="AC992" s="141">
        <f>'[27]מאזן בוחן'!AC871</f>
        <v>0</v>
      </c>
      <c r="AD992" s="141">
        <f>'[28]מאזן בוחן'!AD883</f>
        <v>0</v>
      </c>
      <c r="AE992" s="141">
        <f>'[29]מאזן בוחן'!AE889</f>
        <v>0</v>
      </c>
      <c r="AF992" s="141">
        <f>'[30]מאזן בוחן'!AF900</f>
        <v>0</v>
      </c>
      <c r="AG992" s="141">
        <f>'[31]מאזן בוחן'!AG905</f>
        <v>0</v>
      </c>
      <c r="AH992" s="141">
        <v>0</v>
      </c>
      <c r="AI992" s="141">
        <v>98436.39</v>
      </c>
      <c r="AJ992" s="141">
        <v>0</v>
      </c>
      <c r="AK992" s="141">
        <v>0</v>
      </c>
      <c r="AL992" s="141">
        <v>0</v>
      </c>
      <c r="AM992" s="141">
        <f>$K992-SUM($AB992:AL992)</f>
        <v>64585.202152597383</v>
      </c>
      <c r="AN992" s="141"/>
      <c r="AO992" s="141"/>
      <c r="AP992" s="141"/>
      <c r="AQ992" s="141"/>
      <c r="AR992" s="141"/>
      <c r="AS992" s="141"/>
      <c r="AT992" s="141"/>
      <c r="AU992" s="141"/>
      <c r="AV992" s="141"/>
      <c r="AW992" s="141"/>
      <c r="BA992" s="204"/>
      <c r="BB992" s="63"/>
      <c r="BC992" s="63"/>
    </row>
    <row r="993" spans="1:55">
      <c r="A993" s="52"/>
      <c r="B993" s="3659" t="s">
        <v>1218</v>
      </c>
      <c r="C993" s="1166">
        <v>9100003</v>
      </c>
      <c r="D993" s="45" t="s">
        <v>1395</v>
      </c>
      <c r="E993" s="474">
        <f>IFERROR(VLOOKUP(C993,'פקודות נוספות'!$D$274:$F$797,3,0),0)</f>
        <v>0</v>
      </c>
      <c r="F993" s="49">
        <f>SUMIF('פקודות נוספות'!C:C,C:C,'פקודות נוספות'!E:E)</f>
        <v>0</v>
      </c>
      <c r="J993" s="474">
        <f>SUM(E993:I993)</f>
        <v>0</v>
      </c>
      <c r="K993" s="474">
        <f>M993+SUMIF('פקודות נוספות'!C:C,'מאזן בוחן'!C993,'פקודות נוספות'!F:F)</f>
        <v>0</v>
      </c>
      <c r="L993" s="49"/>
      <c r="M993" s="1341">
        <f>IFERROR(VLOOKUP(C993,'פקודות נוספות'!$D$273:$G$797,4,0),0)</f>
        <v>0</v>
      </c>
      <c r="N993" s="1104" t="str">
        <f>IF(K993=0,"-",J993/K993)</f>
        <v>-</v>
      </c>
      <c r="O993" s="1133"/>
      <c r="T993" s="141">
        <f>'[40]מאזן בוחן'!AR952</f>
        <v>0</v>
      </c>
      <c r="U993" s="141">
        <f>'[21]מאזן בוחן'!AS832</f>
        <v>0</v>
      </c>
      <c r="V993" s="726">
        <f>'[22]מאזן בוחן'!AJ818</f>
        <v>0</v>
      </c>
      <c r="W993" s="726">
        <f>'[23]מאזן בוחן'!AK822</f>
        <v>0</v>
      </c>
      <c r="X993" s="141">
        <v>0</v>
      </c>
      <c r="Y993" s="141">
        <f>'[25]מאזן בוחן'!AM852</f>
        <v>0</v>
      </c>
      <c r="AA993" s="141">
        <f>'[32]מאזן בוחן'!AO870</f>
        <v>0</v>
      </c>
      <c r="AB993" s="141">
        <f>'[26]מאזן בוחן'!AB863</f>
        <v>0</v>
      </c>
      <c r="AC993" s="141">
        <f>'[27]מאזן בוחן'!AC872</f>
        <v>0</v>
      </c>
      <c r="AD993" s="141">
        <f>'[28]מאזן בוחן'!AD884</f>
        <v>0</v>
      </c>
      <c r="AE993" s="141">
        <f>'[29]מאזן בוחן'!AE890</f>
        <v>0</v>
      </c>
      <c r="AF993" s="141">
        <f>'[30]מאזן בוחן'!AF901</f>
        <v>0</v>
      </c>
      <c r="AG993" s="141">
        <f>'[31]מאזן בוחן'!AG906</f>
        <v>0</v>
      </c>
      <c r="AH993" s="141">
        <v>0</v>
      </c>
      <c r="AI993" s="141">
        <v>0</v>
      </c>
      <c r="AJ993" s="141">
        <v>0</v>
      </c>
      <c r="AK993" s="141">
        <v>0</v>
      </c>
      <c r="AL993" s="141">
        <v>0</v>
      </c>
      <c r="AM993" s="141">
        <f>$K993-SUM($AB993:AL993)</f>
        <v>0</v>
      </c>
      <c r="AN993" s="141"/>
      <c r="AO993" s="141"/>
      <c r="AP993" s="141"/>
      <c r="AQ993" s="141"/>
      <c r="AR993" s="141"/>
      <c r="AS993" s="141"/>
      <c r="AT993" s="141"/>
      <c r="AU993" s="141"/>
      <c r="AV993" s="141"/>
      <c r="AW993" s="141"/>
      <c r="BA993" s="204"/>
      <c r="BB993" s="63"/>
      <c r="BC993" s="63"/>
    </row>
    <row r="994" spans="1:55">
      <c r="A994" s="52"/>
      <c r="B994" s="3659" t="s">
        <v>1218</v>
      </c>
      <c r="C994" s="1166" t="s">
        <v>1649</v>
      </c>
      <c r="D994" s="45" t="s">
        <v>1536</v>
      </c>
      <c r="E994" s="474">
        <f>IFERROR(VLOOKUP(C994,'פקודות נוספות'!$D$274:$F$797,3,0),0)</f>
        <v>0</v>
      </c>
      <c r="F994" s="49">
        <f>SUMIF('פקודות נוספות'!C:C,C:C,'פקודות נוספות'!E:E)</f>
        <v>0</v>
      </c>
      <c r="J994" s="474">
        <f>SUM(E994:I994)</f>
        <v>0</v>
      </c>
      <c r="K994" s="474">
        <f>M994+SUMIF('פקודות נוספות'!C:C,'מאזן בוחן'!C994,'פקודות נוספות'!F:F)</f>
        <v>0</v>
      </c>
      <c r="L994" s="49"/>
      <c r="M994" s="1341">
        <f>IFERROR(VLOOKUP(C994,'פקודות נוספות'!$D$273:$G$797,4,0),0)</f>
        <v>0</v>
      </c>
      <c r="N994" s="1104" t="str">
        <f>IF(K994=0,"-",J994/K994)</f>
        <v>-</v>
      </c>
      <c r="O994" s="1133"/>
      <c r="T994" s="141">
        <f>'[40]מאזן בוחן'!AR953</f>
        <v>0</v>
      </c>
      <c r="U994" s="141">
        <f>'[21]מאזן בוחן'!AS833</f>
        <v>0</v>
      </c>
      <c r="V994" s="726">
        <f>'[22]מאזן בוחן'!AJ819</f>
        <v>0</v>
      </c>
      <c r="W994" s="726">
        <f>'[23]מאזן בוחן'!AK823</f>
        <v>0</v>
      </c>
      <c r="X994" s="141">
        <v>0</v>
      </c>
      <c r="Y994" s="141">
        <f>'[25]מאזן בוחן'!AM853</f>
        <v>0</v>
      </c>
      <c r="AA994" s="141">
        <f>'[32]מאזן בוחן'!AO871</f>
        <v>0</v>
      </c>
      <c r="AB994" s="141">
        <f>'[26]מאזן בוחן'!AB864</f>
        <v>0</v>
      </c>
      <c r="AC994" s="141">
        <f>'[27]מאזן בוחן'!AC873</f>
        <v>0</v>
      </c>
      <c r="AD994" s="141">
        <f>'[28]מאזן בוחן'!AD885</f>
        <v>0</v>
      </c>
      <c r="AE994" s="141">
        <f>'[29]מאזן בוחן'!AE891</f>
        <v>0</v>
      </c>
      <c r="AF994" s="141">
        <f>'[30]מאזן בוחן'!AF902</f>
        <v>0</v>
      </c>
      <c r="AG994" s="141">
        <f>'[31]מאזן בוחן'!AG907</f>
        <v>0</v>
      </c>
      <c r="AH994" s="141">
        <v>0</v>
      </c>
      <c r="AI994" s="141">
        <v>0</v>
      </c>
      <c r="AJ994" s="141">
        <v>0</v>
      </c>
      <c r="AK994" s="141">
        <v>0</v>
      </c>
      <c r="AL994" s="141">
        <v>0</v>
      </c>
      <c r="AM994" s="141">
        <f>$K994-SUM($AB994:AL994)</f>
        <v>0</v>
      </c>
      <c r="AN994" s="141"/>
      <c r="AO994" s="141"/>
      <c r="AP994" s="141"/>
      <c r="AQ994" s="141"/>
      <c r="AR994" s="141"/>
      <c r="AS994" s="141"/>
      <c r="AT994" s="141"/>
      <c r="AU994" s="141"/>
      <c r="AV994" s="141"/>
      <c r="AW994" s="141"/>
      <c r="BA994" s="204"/>
      <c r="BB994" s="63"/>
      <c r="BC994" s="63"/>
    </row>
    <row r="995" spans="1:55">
      <c r="A995" s="52"/>
      <c r="B995" s="3659" t="s">
        <v>1218</v>
      </c>
      <c r="C995" s="1119">
        <v>9100001</v>
      </c>
      <c r="D995" s="63" t="s">
        <v>2235</v>
      </c>
      <c r="E995" s="474">
        <f>IFERROR(VLOOKUP(C995,'פקודות נוספות'!$D$274:$F$797,3,0),0)</f>
        <v>1776397.1</v>
      </c>
      <c r="F995" s="49">
        <f>SUMIF('פקודות נוספות'!C:C,C:C,'פקודות נוספות'!E:E)</f>
        <v>44361.487209253115</v>
      </c>
      <c r="J995" s="474">
        <f>SUM(E995:I995)</f>
        <v>1820758.5872092531</v>
      </c>
      <c r="K995" s="474">
        <f>M995+SUMIF('פקודות נוספות'!C:C,'מאזן בוחן'!C995,'פקודות נוספות'!F:F)</f>
        <v>579464.96379718743</v>
      </c>
      <c r="L995" s="49"/>
      <c r="M995" s="1341">
        <f>IFERROR(VLOOKUP(C995,'פקודות נוספות'!$D$273:$G$797,4,0),0)</f>
        <v>565200.81999999995</v>
      </c>
      <c r="N995" s="1104">
        <f>IF(K995=0,"-",J995/K995)</f>
        <v>3.1421374905532997</v>
      </c>
      <c r="O995" s="1133"/>
      <c r="T995" s="141">
        <f>'[40]מאזן בוחן'!AR954</f>
        <v>0</v>
      </c>
      <c r="U995" s="141">
        <f>'[21]מאזן בוחן'!AS834</f>
        <v>0</v>
      </c>
      <c r="V995" s="726">
        <f>'[22]מאזן בוחן'!AJ820</f>
        <v>0</v>
      </c>
      <c r="W995" s="726">
        <f>'[23]מאזן בוחן'!AK824</f>
        <v>0</v>
      </c>
      <c r="X995" s="141">
        <v>0</v>
      </c>
      <c r="Y995" s="141">
        <f>'[25]מאזן בוחן'!AM854</f>
        <v>0</v>
      </c>
      <c r="AA995" s="141">
        <f>'[32]מאזן בוחן'!AO872</f>
        <v>301471.49975420337</v>
      </c>
      <c r="AB995" s="141">
        <f>'[26]מאזן בוחן'!AB865</f>
        <v>0</v>
      </c>
      <c r="AC995" s="141">
        <f>'[27]מאזן בוחן'!AC874</f>
        <v>0</v>
      </c>
      <c r="AD995" s="141">
        <f>'[28]מאזן בוחן'!AD886</f>
        <v>0</v>
      </c>
      <c r="AE995" s="141">
        <f>'[29]מאזן בוחן'!AE892</f>
        <v>52082</v>
      </c>
      <c r="AF995" s="141">
        <f>'[30]מאזן בוחן'!AF903</f>
        <v>0</v>
      </c>
      <c r="AG995" s="141">
        <f>'[31]מאזן בוחן'!AG908</f>
        <v>46377.03</v>
      </c>
      <c r="AH995" s="141">
        <v>0</v>
      </c>
      <c r="AI995" s="141">
        <v>0</v>
      </c>
      <c r="AJ995" s="141">
        <v>0</v>
      </c>
      <c r="AK995" s="141">
        <v>0</v>
      </c>
      <c r="AL995" s="141">
        <v>0</v>
      </c>
      <c r="AM995" s="141">
        <f>$K995-SUM($AB995:AL995)</f>
        <v>481005.9337971874</v>
      </c>
      <c r="AN995" s="141"/>
      <c r="AO995" s="141"/>
      <c r="AP995" s="141"/>
      <c r="AQ995" s="141"/>
      <c r="AR995" s="141"/>
      <c r="AS995" s="141"/>
      <c r="AT995" s="141"/>
      <c r="AU995" s="141"/>
      <c r="AV995" s="141"/>
      <c r="AW995" s="141"/>
      <c r="BA995" s="204"/>
      <c r="BB995" s="63"/>
      <c r="BC995" s="63"/>
    </row>
    <row r="996" spans="1:55" ht="13.5" thickBot="1">
      <c r="A996" s="52"/>
      <c r="B996" s="3664"/>
      <c r="C996" s="1543"/>
      <c r="D996" s="76"/>
      <c r="E996" s="1580">
        <f t="shared" ref="E996:K996" si="204">SUM(E991:E995)</f>
        <v>2092870.1</v>
      </c>
      <c r="F996" s="1580">
        <f t="shared" si="204"/>
        <v>245221.46590383101</v>
      </c>
      <c r="G996" s="1580">
        <f t="shared" si="204"/>
        <v>0</v>
      </c>
      <c r="H996" s="1580">
        <f t="shared" si="204"/>
        <v>0</v>
      </c>
      <c r="I996" s="1580">
        <f t="shared" si="204"/>
        <v>0</v>
      </c>
      <c r="J996" s="1580">
        <f t="shared" si="204"/>
        <v>2338091.5659038308</v>
      </c>
      <c r="K996" s="1580">
        <f t="shared" si="204"/>
        <v>742486.55594978482</v>
      </c>
      <c r="L996" s="49"/>
      <c r="M996" s="1542">
        <f>SUM(M991:M995)</f>
        <v>663637.21</v>
      </c>
      <c r="O996" s="1133"/>
      <c r="T996" s="141">
        <f>'[40]מאזן בוחן'!AR955</f>
        <v>0</v>
      </c>
      <c r="U996" s="141">
        <f>'[21]מאזן בוחן'!AS835</f>
        <v>0</v>
      </c>
      <c r="V996" s="726">
        <f>'[22]מאזן בוחן'!AJ821</f>
        <v>0</v>
      </c>
      <c r="W996" s="726">
        <f>'[23]מאזן בוחן'!AK825</f>
        <v>0</v>
      </c>
      <c r="X996" s="141">
        <v>0</v>
      </c>
      <c r="Y996" s="141">
        <f>'[25]מאזן בוחן'!AM855</f>
        <v>0</v>
      </c>
      <c r="AA996" s="141">
        <f>'[32]מאזן בוחן'!AO873</f>
        <v>-90088.470245796605</v>
      </c>
      <c r="AB996" s="141">
        <f>'[26]מאזן בוחן'!AB866</f>
        <v>0</v>
      </c>
      <c r="AC996" s="141">
        <f>'[27]מאזן בוחן'!AC875</f>
        <v>0</v>
      </c>
      <c r="AD996" s="141">
        <f>'[28]מאזן בוחן'!AD887</f>
        <v>0</v>
      </c>
      <c r="AE996" s="141">
        <f>'[29]מאזן בוחן'!AE893</f>
        <v>52082</v>
      </c>
      <c r="AF996" s="141">
        <f>'[30]מאזן בוחן'!AF904</f>
        <v>0</v>
      </c>
      <c r="AG996" s="141">
        <f>'[31]מאזן בוחן'!AG909</f>
        <v>46377.03</v>
      </c>
      <c r="AH996" s="141">
        <v>0</v>
      </c>
      <c r="AI996" s="141">
        <v>98436.389999999985</v>
      </c>
      <c r="AJ996" s="141">
        <v>0</v>
      </c>
      <c r="AK996" s="141">
        <v>0</v>
      </c>
      <c r="AL996" s="141">
        <v>0</v>
      </c>
      <c r="AM996" s="141">
        <f>$K996-SUM($AB996:AL996)</f>
        <v>545591.13594978489</v>
      </c>
      <c r="AN996" s="141"/>
      <c r="AO996" s="141"/>
      <c r="AP996" s="141"/>
      <c r="AQ996" s="141"/>
      <c r="AR996" s="141"/>
      <c r="AS996" s="141"/>
      <c r="AT996" s="141"/>
      <c r="AU996" s="141"/>
      <c r="AV996" s="141"/>
      <c r="AW996" s="141"/>
      <c r="BA996" s="204"/>
      <c r="BB996" s="63"/>
      <c r="BC996" s="63"/>
    </row>
    <row r="997" spans="1:55">
      <c r="A997" s="52"/>
      <c r="B997" s="3668"/>
      <c r="D997" s="61"/>
      <c r="E997" s="1532"/>
      <c r="K997" s="49"/>
      <c r="L997" s="49"/>
      <c r="O997" s="1133"/>
      <c r="T997" s="141">
        <f>'[40]מאזן בוחן'!AR956</f>
        <v>0</v>
      </c>
      <c r="U997" s="141">
        <f>'[21]מאזן בוחן'!AS836</f>
        <v>0</v>
      </c>
      <c r="V997" s="726">
        <f>'[22]מאזן בוחן'!AJ822</f>
        <v>0</v>
      </c>
      <c r="W997" s="726">
        <f>'[23]מאזן בוחן'!AK826</f>
        <v>0</v>
      </c>
      <c r="X997" s="141">
        <v>0</v>
      </c>
      <c r="Y997" s="141">
        <f>'[25]מאזן בוחן'!AM856</f>
        <v>0</v>
      </c>
      <c r="AA997" s="141">
        <f>'[32]מאזן בוחן'!AO874</f>
        <v>0</v>
      </c>
      <c r="AB997" s="141">
        <f>'[26]מאזן בוחן'!AB867</f>
        <v>0</v>
      </c>
      <c r="AC997" s="141">
        <f>'[27]מאזן בוחן'!AC876</f>
        <v>0</v>
      </c>
      <c r="AD997" s="141">
        <f>'[28]מאזן בוחן'!AD888</f>
        <v>0</v>
      </c>
      <c r="AE997" s="141">
        <f>'[29]מאזן בוחן'!AE894</f>
        <v>0</v>
      </c>
      <c r="AF997" s="141">
        <f>'[30]מאזן בוחן'!AF905</f>
        <v>0</v>
      </c>
      <c r="AG997" s="141">
        <f>'[31]מאזן בוחן'!AG910</f>
        <v>0</v>
      </c>
      <c r="AH997" s="141">
        <v>0</v>
      </c>
      <c r="AI997" s="141">
        <v>0</v>
      </c>
      <c r="AJ997" s="141">
        <v>0</v>
      </c>
      <c r="AK997" s="141">
        <v>0</v>
      </c>
      <c r="AL997" s="141">
        <v>0</v>
      </c>
      <c r="AM997" s="141">
        <f>$K997-SUM($AB997:AL997)</f>
        <v>0</v>
      </c>
      <c r="AN997" s="141"/>
      <c r="AO997" s="141"/>
      <c r="AP997" s="141"/>
      <c r="AQ997" s="141"/>
      <c r="AR997" s="141"/>
      <c r="AS997" s="141"/>
      <c r="AT997" s="141"/>
      <c r="AU997" s="141"/>
      <c r="AV997" s="141"/>
      <c r="AW997" s="141"/>
      <c r="BA997" s="204"/>
      <c r="BB997" s="63"/>
      <c r="BC997" s="63"/>
    </row>
    <row r="998" spans="1:55">
      <c r="A998" s="52"/>
      <c r="B998" s="3668"/>
      <c r="C998" s="154"/>
      <c r="D998" s="70" t="s">
        <v>99</v>
      </c>
      <c r="E998" s="78"/>
      <c r="J998" s="474"/>
      <c r="L998" s="49"/>
      <c r="M998" s="474"/>
      <c r="O998" s="1133"/>
      <c r="T998" s="141">
        <f>'[40]מאזן בוחן'!AR957</f>
        <v>0</v>
      </c>
      <c r="U998" s="141">
        <f>'[21]מאזן בוחן'!AS837</f>
        <v>0</v>
      </c>
      <c r="V998" s="726">
        <f>'[22]מאזן בוחן'!AJ823</f>
        <v>0</v>
      </c>
      <c r="W998" s="726">
        <f>'[23]מאזן בוחן'!AK827</f>
        <v>0</v>
      </c>
      <c r="X998" s="141">
        <v>0</v>
      </c>
      <c r="Y998" s="141">
        <f>'[25]מאזן בוחן'!AM857</f>
        <v>0</v>
      </c>
      <c r="AA998" s="141">
        <f>'[32]מאזן בוחן'!AO875</f>
        <v>0</v>
      </c>
      <c r="AB998" s="141">
        <f>'[26]מאזן בוחן'!AB868</f>
        <v>0</v>
      </c>
      <c r="AC998" s="141">
        <f>'[27]מאזן בוחן'!AC877</f>
        <v>0</v>
      </c>
      <c r="AD998" s="141">
        <f>'[28]מאזן בוחן'!AD889</f>
        <v>0</v>
      </c>
      <c r="AE998" s="141">
        <f>'[29]מאזן בוחן'!AE895</f>
        <v>0</v>
      </c>
      <c r="AF998" s="141">
        <f>'[30]מאזן בוחן'!AF906</f>
        <v>0</v>
      </c>
      <c r="AG998" s="141">
        <f>'[31]מאזן בוחן'!AG911</f>
        <v>0</v>
      </c>
      <c r="AH998" s="141">
        <v>0</v>
      </c>
      <c r="AI998" s="141">
        <v>0</v>
      </c>
      <c r="AJ998" s="141">
        <v>0</v>
      </c>
      <c r="AK998" s="141">
        <v>0</v>
      </c>
      <c r="AL998" s="141">
        <v>0</v>
      </c>
      <c r="AM998" s="141">
        <f>$K998-SUM($AB998:AL998)</f>
        <v>0</v>
      </c>
      <c r="AN998" s="141"/>
      <c r="AO998" s="141"/>
      <c r="AP998" s="141"/>
      <c r="AQ998" s="141"/>
      <c r="AR998" s="141"/>
      <c r="AS998" s="141"/>
      <c r="AT998" s="141"/>
      <c r="AU998" s="141"/>
      <c r="AV998" s="141"/>
      <c r="AW998" s="141"/>
      <c r="BA998" s="204"/>
      <c r="BB998" s="63"/>
      <c r="BC998" s="63"/>
    </row>
    <row r="999" spans="1:55">
      <c r="A999" s="52"/>
      <c r="B999" s="3659" t="s">
        <v>1216</v>
      </c>
      <c r="C999" s="585">
        <v>9010001</v>
      </c>
      <c r="D999" s="203" t="s">
        <v>157</v>
      </c>
      <c r="E999" s="474">
        <f>IFERROR(VLOOKUP(C999,'פקודות נוספות'!$D$274:$F$797,3,0),0)</f>
        <v>41793.120000000003</v>
      </c>
      <c r="F999" s="49">
        <f>SUMIF('פקודות נוספות'!C:C,C:C,'פקודות נוספות'!E:E)</f>
        <v>0</v>
      </c>
      <c r="J999" s="474">
        <f t="shared" ref="J999:J1004" si="205">SUM(E999:I999)</f>
        <v>41793.120000000003</v>
      </c>
      <c r="K999" s="42">
        <f>M999+SUMIF('פקודות נוספות'!C:C,'מאזן בוחן'!C999,'פקודות נוספות'!F:F)</f>
        <v>12941.36</v>
      </c>
      <c r="L999" s="49"/>
      <c r="M999" s="1341">
        <f>IFERROR(VLOOKUP(C999,'פקודות נוספות'!$D$273:$G$797,4,0),0)</f>
        <v>12941.36</v>
      </c>
      <c r="N999" s="1104">
        <f t="shared" ref="N999:N1004" si="206">IF(K999=0,"-",J999/K999)</f>
        <v>3.229422564552721</v>
      </c>
      <c r="O999" s="1133"/>
      <c r="Q999" s="141"/>
      <c r="R999" s="141"/>
      <c r="S999" s="141"/>
      <c r="T999" s="141">
        <f>'[40]מאזן בוחן'!AR958</f>
        <v>0</v>
      </c>
      <c r="U999" s="141">
        <f>'[21]מאזן בוחן'!AS838</f>
        <v>8525.4599999999991</v>
      </c>
      <c r="V999" s="726">
        <f>'[22]מאזן בוחן'!AJ824</f>
        <v>996.4900000000016</v>
      </c>
      <c r="W999" s="726">
        <f>'[23]מאזן בוחן'!AK828</f>
        <v>1313.4699999999993</v>
      </c>
      <c r="X999" s="141">
        <v>845.97999999999956</v>
      </c>
      <c r="Y999" s="141">
        <f>'[25]מאזן בוחן'!AM858</f>
        <v>1097.25</v>
      </c>
      <c r="Z999" s="141"/>
      <c r="AA999" s="141">
        <f>'[32]מאזן בוחן'!AO876</f>
        <v>1009.1100000000006</v>
      </c>
      <c r="AB999" s="141">
        <f>'[26]מאזן בוחן'!AB869</f>
        <v>1138.4100000000001</v>
      </c>
      <c r="AC999" s="141">
        <f>'[27]מאזן בוחן'!AC878</f>
        <v>2663.7</v>
      </c>
      <c r="AD999" s="141">
        <f>'[28]מאזן בוחן'!AD890</f>
        <v>-440.95999999999958</v>
      </c>
      <c r="AE999" s="141">
        <f>'[29]מאזן בוחן'!AE896</f>
        <v>721</v>
      </c>
      <c r="AF999" s="141">
        <f>'[30]מאזן בוחן'!AF907</f>
        <v>476.99000000000024</v>
      </c>
      <c r="AG999" s="141">
        <f>'[31]מאזן בוחן'!AG912</f>
        <v>1268.9399999999996</v>
      </c>
      <c r="AH999" s="141">
        <v>1398.2200000000003</v>
      </c>
      <c r="AI999" s="141">
        <v>1204.46</v>
      </c>
      <c r="AJ999" s="141">
        <v>905.88999999999942</v>
      </c>
      <c r="AK999" s="141">
        <v>1086.17</v>
      </c>
      <c r="AL999" s="141">
        <v>1129.7900000000009</v>
      </c>
      <c r="AM999" s="141">
        <f>$K999-SUM($AB999:AL999)</f>
        <v>1388.75</v>
      </c>
      <c r="AN999" s="141"/>
      <c r="AO999" s="141"/>
      <c r="AP999" s="141"/>
      <c r="AQ999" s="141"/>
      <c r="AR999" s="141"/>
      <c r="AS999" s="141"/>
      <c r="AT999" s="141"/>
      <c r="AU999" s="141"/>
      <c r="AV999" s="141"/>
      <c r="AW999" s="141"/>
      <c r="AX999" s="141"/>
      <c r="BA999" s="204"/>
      <c r="BB999" s="63"/>
      <c r="BC999" s="63"/>
    </row>
    <row r="1000" spans="1:55">
      <c r="A1000" s="52"/>
      <c r="B1000" s="3659" t="s">
        <v>1216</v>
      </c>
      <c r="C1000" s="1119">
        <v>9010002</v>
      </c>
      <c r="D1000" s="465" t="s">
        <v>158</v>
      </c>
      <c r="E1000" s="474">
        <f>IFERROR(VLOOKUP(C1000,'פקודות נוספות'!$D$274:$F$797,3,0),0)</f>
        <v>5012201.2300000004</v>
      </c>
      <c r="F1000" s="49">
        <f>SUMIF('פקודות נוספות'!C:C,C:C,'פקודות נוספות'!E:E)</f>
        <v>0</v>
      </c>
      <c r="J1000" s="474">
        <f t="shared" si="205"/>
        <v>5012201.2300000004</v>
      </c>
      <c r="K1000" s="42">
        <f>M1000+SUMIF('פקודות נוספות'!C:C,'מאזן בוחן'!C1000,'פקודות נוספות'!F:F)</f>
        <v>1353764.4521543407</v>
      </c>
      <c r="L1000" s="49"/>
      <c r="M1000" s="1341">
        <f>IFERROR(VLOOKUP(C1000,'פקודות נוספות'!$D$273:$G$797,4,0),0)</f>
        <v>1353764.45</v>
      </c>
      <c r="N1000" s="1104">
        <f t="shared" si="206"/>
        <v>3.7024175232432288</v>
      </c>
      <c r="O1000" s="1133"/>
      <c r="T1000" s="141">
        <f>'[40]מאזן בוחן'!AR959</f>
        <v>0</v>
      </c>
      <c r="U1000" s="141">
        <f>'[21]מאזן בוחן'!AS839</f>
        <v>-247962.03954547725</v>
      </c>
      <c r="V1000" s="726">
        <f>'[22]מאזן בוחן'!AJ825</f>
        <v>-110187.26310903742</v>
      </c>
      <c r="W1000" s="141">
        <f>'[23]מאזן בוחן'!AK829</f>
        <v>-511030.61734548537</v>
      </c>
      <c r="X1000" s="141">
        <v>-111680.28044326825</v>
      </c>
      <c r="Y1000" s="141">
        <f>'[25]מאזן בוחן'!AM859</f>
        <v>-274607.52485006046</v>
      </c>
      <c r="AA1000" s="141">
        <f>'[32]מאזן בוחן'!AO877</f>
        <v>444837.13529332879</v>
      </c>
      <c r="AB1000" s="141">
        <f>'[26]מאזן בוחן'!AB870</f>
        <v>-150569.73953240726</v>
      </c>
      <c r="AC1000" s="141">
        <f>'[27]מאזן בוחן'!AC879</f>
        <v>-428447.4756332637</v>
      </c>
      <c r="AD1000" s="141">
        <f>'[28]מאזן בוחן'!AD891</f>
        <v>1017036.0751656709</v>
      </c>
      <c r="AE1000" s="141">
        <f>'[29]מאזן בוחן'!AE897</f>
        <v>-256023.98875522468</v>
      </c>
      <c r="AF1000" s="141">
        <f>'[30]מאזן בוחן'!AF908</f>
        <v>-214624.57192078486</v>
      </c>
      <c r="AG1000" s="141">
        <f>'[31]מאזן בוחן'!AG913</f>
        <v>640618.61067600956</v>
      </c>
      <c r="AH1000" s="141">
        <v>135038.36834220088</v>
      </c>
      <c r="AI1000" s="141">
        <v>192412.79674672661</v>
      </c>
      <c r="AJ1000" s="141">
        <v>379041.58491107239</v>
      </c>
      <c r="AK1000" s="141">
        <v>-437010.25963889249</v>
      </c>
      <c r="AL1000" s="141">
        <v>495734.44780191779</v>
      </c>
      <c r="AM1000" s="141">
        <f>$K1000-SUM($AB1000:AL1000)</f>
        <v>-19441.396008684533</v>
      </c>
      <c r="AN1000" s="141"/>
      <c r="AO1000" s="141"/>
      <c r="AP1000" s="141"/>
      <c r="AQ1000" s="141"/>
      <c r="AR1000" s="141"/>
      <c r="AS1000" s="141"/>
      <c r="AT1000" s="141"/>
      <c r="AU1000" s="141"/>
      <c r="AV1000" s="141"/>
      <c r="AW1000" s="141"/>
      <c r="BA1000" s="204"/>
    </row>
    <row r="1001" spans="1:55" ht="13.5" thickBot="1">
      <c r="A1001" s="52"/>
      <c r="B1001" s="3659" t="s">
        <v>1216</v>
      </c>
      <c r="C1001" s="1119">
        <v>9010003</v>
      </c>
      <c r="D1001" s="465" t="s">
        <v>1487</v>
      </c>
      <c r="E1001" s="474">
        <f>IFERROR(VLOOKUP(C1001,'פקודות נוספות'!$D$274:$F$797,3,0),0)</f>
        <v>116.94</v>
      </c>
      <c r="F1001" s="49">
        <f>SUMIF('פקודות נוספות'!C:C,C:C,'פקודות נוספות'!E:E)</f>
        <v>0</v>
      </c>
      <c r="J1001" s="474">
        <f t="shared" si="205"/>
        <v>116.94</v>
      </c>
      <c r="K1001" s="42">
        <f>M1001+SUMIF('פקודות נוספות'!C:C,'מאזן בוחן'!C1001,'פקודות נוספות'!F:F)</f>
        <v>35.83</v>
      </c>
      <c r="L1001" s="49"/>
      <c r="M1001" s="1341">
        <f>IFERROR(VLOOKUP(C1001,'פקודות נוספות'!$D$273:$G$797,4,0),0)</f>
        <v>35.83</v>
      </c>
      <c r="N1001" s="1104">
        <f t="shared" si="206"/>
        <v>3.2637454646943902</v>
      </c>
      <c r="O1001" s="1133"/>
      <c r="P1001" s="141"/>
      <c r="T1001" s="141">
        <f>'[40]מאזן בוחן'!AR960</f>
        <v>0</v>
      </c>
      <c r="U1001" s="141">
        <f>'[21]מאזן בוחן'!AS840</f>
        <v>-25.54</v>
      </c>
      <c r="V1001" s="726">
        <f>'[22]מאזן בוחן'!AJ826</f>
        <v>-1.9899999999999984</v>
      </c>
      <c r="W1001" s="141">
        <f>'[23]מאזן בוחן'!AK830</f>
        <v>-0.66000000000000369</v>
      </c>
      <c r="X1001" s="141">
        <v>-3.09</v>
      </c>
      <c r="Y1001" s="141">
        <f>'[25]מאזן בוחן'!AM860</f>
        <v>-0.14999999999999858</v>
      </c>
      <c r="AA1001" s="141">
        <f>'[32]מאזן בוחן'!AO878</f>
        <v>-35.839999999999996</v>
      </c>
      <c r="AB1001" s="141">
        <f>'[26]מאזן בוחן'!AB871</f>
        <v>-0.13</v>
      </c>
      <c r="AC1001" s="141">
        <f>'[27]מאזן בוחן'!AC880</f>
        <v>-1.999999999999999E-2</v>
      </c>
      <c r="AD1001" s="141">
        <f>'[28]מאזן בוחן'!AD892</f>
        <v>-19.68</v>
      </c>
      <c r="AE1001" s="141">
        <f>'[29]מאזן בוחן'!AE898</f>
        <v>30.47</v>
      </c>
      <c r="AF1001" s="141">
        <f>'[30]מאזן בוחן'!AF909</f>
        <v>0.92999999999999972</v>
      </c>
      <c r="AG1001" s="141">
        <f>'[31]מאזן בוחן'!AG914</f>
        <v>0.85999999999999943</v>
      </c>
      <c r="AH1001" s="141">
        <v>1.08</v>
      </c>
      <c r="AI1001" s="141">
        <v>1.5999999999999996</v>
      </c>
      <c r="AJ1001" s="141">
        <v>1.0100000000000016</v>
      </c>
      <c r="AK1001" s="141">
        <v>18.289999999999996</v>
      </c>
      <c r="AL1001" s="141">
        <v>0.46000000000000085</v>
      </c>
      <c r="AM1001" s="141">
        <f>$K1001-SUM($AB1001:AL1001)</f>
        <v>0.96000000000000085</v>
      </c>
      <c r="AN1001" s="141"/>
      <c r="AO1001" s="141"/>
      <c r="AP1001" s="141"/>
      <c r="AQ1001" s="141"/>
      <c r="AR1001" s="141"/>
      <c r="AS1001" s="141"/>
      <c r="AT1001" s="141"/>
      <c r="AU1001" s="141"/>
      <c r="AV1001" s="141"/>
      <c r="AW1001" s="141"/>
      <c r="BA1001" s="204"/>
    </row>
    <row r="1002" spans="1:55" ht="13.5" thickBot="1">
      <c r="A1002" s="52"/>
      <c r="B1002" s="3659" t="s">
        <v>1216</v>
      </c>
      <c r="C1002" s="585">
        <v>9010004</v>
      </c>
      <c r="D1002" s="203" t="s">
        <v>1217</v>
      </c>
      <c r="E1002" s="474">
        <f>IFERROR(VLOOKUP(C1002,'פקודות נוספות'!$D$274:$F$797,3,0),0)</f>
        <v>142711.21</v>
      </c>
      <c r="F1002" s="49">
        <f>SUMIF('פקודות נוספות'!C:C,C:C,'פקודות נוספות'!E:E)</f>
        <v>0</v>
      </c>
      <c r="J1002" s="474">
        <f t="shared" si="205"/>
        <v>142711.21</v>
      </c>
      <c r="K1002" s="42">
        <f>M1002+SUMIF('פקודות נוספות'!C:C,'מאזן בוחן'!C1002,'פקודות נוספות'!F:F)</f>
        <v>45079.03</v>
      </c>
      <c r="L1002" s="956">
        <f>([41]גיליון1!$O$31+[41]גיליון1!$N$31)/$N$2-AI1002</f>
        <v>1129.5049363255239</v>
      </c>
      <c r="M1002" s="1341">
        <f>IFERROR(VLOOKUP(C1002,'פקודות נוספות'!$D$273:$G$797,4,0),0)</f>
        <v>45079.03</v>
      </c>
      <c r="N1002" s="1104">
        <f t="shared" si="206"/>
        <v>3.1658003732555913</v>
      </c>
      <c r="O1002" s="2453" t="s">
        <v>4848</v>
      </c>
      <c r="T1002" s="141">
        <f>'[40]מאזן בוחן'!AR961</f>
        <v>0</v>
      </c>
      <c r="U1002" s="141">
        <f>'[21]מאזן בוחן'!AS841</f>
        <v>-3313.88</v>
      </c>
      <c r="V1002" s="726">
        <f>'[22]מאזן בוחן'!AJ827</f>
        <v>0</v>
      </c>
      <c r="W1002" s="141">
        <f>'[23]מאזן בוחן'!AK831</f>
        <v>0</v>
      </c>
      <c r="X1002" s="141">
        <v>0</v>
      </c>
      <c r="Y1002" s="141">
        <f>'[25]מאזן בוחן'!AM861</f>
        <v>703.54</v>
      </c>
      <c r="AA1002" s="141">
        <f>'[32]מאזן בוחן'!AO879</f>
        <v>0</v>
      </c>
      <c r="AB1002" s="141">
        <f>'[26]מאזן בוחן'!AB872</f>
        <v>0</v>
      </c>
      <c r="AC1002" s="141">
        <f>'[27]מאזן בוחן'!AC881</f>
        <v>0</v>
      </c>
      <c r="AD1002" s="141">
        <f>'[28]מאזן בוחן'!AD893</f>
        <v>0</v>
      </c>
      <c r="AE1002" s="141">
        <f>'[29]מאזן בוחן'!AE899</f>
        <v>-1618.86</v>
      </c>
      <c r="AF1002" s="141">
        <f>'[30]מאזן בוחן'!AF910</f>
        <v>-711.87999999999988</v>
      </c>
      <c r="AG1002" s="141">
        <f>'[31]מאזן בוחן'!AG915</f>
        <v>0</v>
      </c>
      <c r="AH1002" s="141">
        <v>0</v>
      </c>
      <c r="AI1002" s="141">
        <v>33554.89</v>
      </c>
      <c r="AJ1002" s="141">
        <v>101.03999999999724</v>
      </c>
      <c r="AK1002" s="141">
        <v>-5.3799999999973807</v>
      </c>
      <c r="AL1002" s="141">
        <v>-27.120000000002619</v>
      </c>
      <c r="AM1002" s="141">
        <f>$K1002-SUM($AB1002:AL1002)</f>
        <v>13786.34</v>
      </c>
      <c r="AN1002" s="141"/>
      <c r="AO1002" s="141"/>
      <c r="AP1002" s="141"/>
      <c r="AQ1002" s="141"/>
      <c r="AR1002" s="141"/>
      <c r="AS1002" s="141"/>
      <c r="AT1002" s="141"/>
      <c r="AU1002" s="141"/>
      <c r="AV1002" s="141"/>
      <c r="AW1002" s="141"/>
    </row>
    <row r="1003" spans="1:55" ht="13.5" thickBot="1">
      <c r="A1003" s="52"/>
      <c r="B1003" s="3659" t="s">
        <v>1216</v>
      </c>
      <c r="C1003" s="585">
        <v>9010005</v>
      </c>
      <c r="D1003" s="203" t="s">
        <v>2207</v>
      </c>
      <c r="E1003" s="474">
        <f>IFERROR(VLOOKUP(C1003,'פקודות נוספות'!$D$274:$F$797,3,0),0)</f>
        <v>184777.79</v>
      </c>
      <c r="F1003" s="49">
        <f>SUMIF('פקודות נוספות'!C:C,C:C,'פקודות נוספות'!E:E)</f>
        <v>0</v>
      </c>
      <c r="J1003" s="474">
        <f t="shared" si="205"/>
        <v>184777.79</v>
      </c>
      <c r="K1003" s="42">
        <f>M1003+SUMIF('פקודות נוספות'!C:C,'מאזן בוחן'!C1003,'פקודות נוספות'!F:F)</f>
        <v>57200</v>
      </c>
      <c r="L1003" s="1202"/>
      <c r="M1003" s="1341">
        <f>IFERROR(VLOOKUP(C1003,'פקודות נוספות'!$D$273:$G$797,4,0),0)</f>
        <v>57200</v>
      </c>
      <c r="N1003" s="1104">
        <f t="shared" si="206"/>
        <v>3.2303809440559443</v>
      </c>
      <c r="O1003" s="2453" t="s">
        <v>2521</v>
      </c>
      <c r="T1003" s="141">
        <f>'[40]מאזן בוחן'!AR962</f>
        <v>0</v>
      </c>
      <c r="U1003" s="141">
        <f>'[21]מאזן בוחן'!AS842</f>
        <v>75547.399999999994</v>
      </c>
      <c r="V1003" s="726">
        <f>'[22]מאזן בוחן'!AJ828</f>
        <v>4858.0800000000017</v>
      </c>
      <c r="W1003" s="726">
        <f>'[23]מאזן בוחן'!AK832</f>
        <v>4701.3700000000099</v>
      </c>
      <c r="X1003" s="141">
        <v>4701.3699999999953</v>
      </c>
      <c r="Y1003" s="141">
        <f>'[25]מאזן בוחן'!AM862</f>
        <v>4858.0800000000017</v>
      </c>
      <c r="AA1003" s="141">
        <f>'[32]מאזן בוחן'!AO880</f>
        <v>4858.0800000000017</v>
      </c>
      <c r="AB1003" s="141">
        <f>'[26]מאזן בוחן'!AB873</f>
        <v>4544.66</v>
      </c>
      <c r="AC1003" s="141">
        <f>'[27]מאזן בוחן'!AC882</f>
        <v>4231.2299999999996</v>
      </c>
      <c r="AD1003" s="141">
        <f>'[28]מאזן בוחן'!AD894</f>
        <v>5328.2200000000012</v>
      </c>
      <c r="AE1003" s="141">
        <f>'[29]מאזן בוחן'!AE900</f>
        <v>4701.369999999999</v>
      </c>
      <c r="AF1003" s="141">
        <f>'[30]מאזן בוחן'!AF911</f>
        <v>4387.9500000000007</v>
      </c>
      <c r="AG1003" s="141">
        <f>'[31]מאזן בוחן'!AG916</f>
        <v>5171.5099999999984</v>
      </c>
      <c r="AH1003" s="141">
        <v>4701.369999999999</v>
      </c>
      <c r="AI1003" s="141">
        <v>5014.7900000000009</v>
      </c>
      <c r="AJ1003" s="141">
        <v>4701.3700000000026</v>
      </c>
      <c r="AK1003" s="141">
        <v>4544.6599999999962</v>
      </c>
      <c r="AL1003" s="141">
        <v>5014.7900000000009</v>
      </c>
      <c r="AM1003" s="141">
        <f>$K1003-SUM($AB1003:AL1003)</f>
        <v>4858.0800000000017</v>
      </c>
      <c r="AN1003" s="141"/>
      <c r="AO1003" s="141"/>
      <c r="AP1003" s="141"/>
      <c r="AQ1003" s="141"/>
      <c r="AR1003" s="141"/>
      <c r="AS1003" s="141"/>
      <c r="AT1003" s="141"/>
      <c r="AU1003" s="141"/>
      <c r="AV1003" s="141"/>
      <c r="AW1003" s="141"/>
    </row>
    <row r="1004" spans="1:55" ht="13.5" thickBot="1">
      <c r="A1004" s="52"/>
      <c r="B1004" s="3813" t="s">
        <v>1062</v>
      </c>
      <c r="C1004" s="585" t="s">
        <v>2918</v>
      </c>
      <c r="D1004" s="203" t="s">
        <v>2919</v>
      </c>
      <c r="E1004" s="474">
        <f>IFERROR(VLOOKUP(C1004,'פקודות נוספות'!$D$274:$F$797,3,0),0)</f>
        <v>-473.87</v>
      </c>
      <c r="F1004" s="49">
        <f>SUMIF('פקודות נוספות'!C:C,C:C,'פקודות נוספות'!E:E)</f>
        <v>0</v>
      </c>
      <c r="J1004" s="474">
        <f t="shared" si="205"/>
        <v>-473.87</v>
      </c>
      <c r="K1004" s="168">
        <f>M1004+SUMIF('פקודות נוספות'!C:C,'מאזן בוחן'!C1004,'פקודות נוספות'!F:F)</f>
        <v>-144.81</v>
      </c>
      <c r="L1004" s="956">
        <f>SUM([42]Sheet1!$F$16:$F$17)+K1004</f>
        <v>-37.400163934426217</v>
      </c>
      <c r="M1004" s="1341">
        <f>IFERROR(VLOOKUP(C1004,'פקודות נוספות'!$D$273:$G$797,4,0),0)</f>
        <v>-144.81</v>
      </c>
      <c r="N1004" s="1104">
        <f t="shared" si="206"/>
        <v>3.2723568814308406</v>
      </c>
      <c r="O1004" s="2453"/>
      <c r="T1004" s="141"/>
      <c r="U1004" s="141"/>
      <c r="V1004" s="726"/>
      <c r="W1004" s="726"/>
      <c r="X1004" s="726"/>
      <c r="Y1004" s="141">
        <f>'[25]מאזן בוחן'!AM863</f>
        <v>0</v>
      </c>
      <c r="AA1004" s="141">
        <f>'[32]מאזן בוחן'!AO881</f>
        <v>0</v>
      </c>
      <c r="AB1004" s="141">
        <f>'[26]מאזן בוחן'!AB874</f>
        <v>0</v>
      </c>
      <c r="AC1004" s="141">
        <f>'[27]מאזן בוחן'!AC883</f>
        <v>0</v>
      </c>
      <c r="AD1004" s="141">
        <f>'[28]מאזן בוחן'!AD895</f>
        <v>-53.11</v>
      </c>
      <c r="AE1004" s="141">
        <f>'[29]מאזן בוחן'!AE901</f>
        <v>0</v>
      </c>
      <c r="AF1004" s="141">
        <f>'[30]מאזן בוחן'!AF912</f>
        <v>0</v>
      </c>
      <c r="AG1004" s="141">
        <f>'[31]מאזן בוחן'!AG917</f>
        <v>-53.7</v>
      </c>
      <c r="AH1004" s="141">
        <v>0</v>
      </c>
      <c r="AI1004" s="141">
        <v>0</v>
      </c>
      <c r="AJ1004" s="141">
        <v>-38</v>
      </c>
      <c r="AK1004" s="141">
        <v>0</v>
      </c>
      <c r="AL1004" s="141">
        <v>0</v>
      </c>
      <c r="AM1004" s="141">
        <f>$K1004-SUM($AB1004:AL1004)</f>
        <v>0</v>
      </c>
      <c r="AN1004" s="141"/>
      <c r="AO1004" s="141"/>
      <c r="AP1004" s="141"/>
      <c r="AQ1004" s="141"/>
      <c r="AR1004" s="141"/>
      <c r="AS1004" s="141"/>
      <c r="AT1004" s="141"/>
      <c r="AU1004" s="141"/>
      <c r="AV1004" s="141"/>
      <c r="AY1004" s="204"/>
    </row>
    <row r="1005" spans="1:55">
      <c r="A1005" s="52"/>
      <c r="B1005" s="3659" t="s">
        <v>1216</v>
      </c>
      <c r="C1005" s="585">
        <v>99010</v>
      </c>
      <c r="D1005" s="203" t="s">
        <v>3027</v>
      </c>
      <c r="E1005" s="474">
        <f>IFERROR(VLOOKUP(C1005,'פקודות נוספות'!$D$274:$F$797,3,0),0)</f>
        <v>20327.740000000002</v>
      </c>
      <c r="F1005" s="49">
        <f>SUMIF('פקודות נוספות'!C:C,C:C,'פקודות נוספות'!E:E)</f>
        <v>0</v>
      </c>
      <c r="J1005" s="474">
        <f>SUM(E1005:I1005)</f>
        <v>20327.740000000002</v>
      </c>
      <c r="K1005" s="42">
        <f>M1005+SUMIF('פקודות נוספות'!C:C,'מאזן בוחן'!C1005,'פקודות נוספות'!F:F)</f>
        <v>3988.04</v>
      </c>
      <c r="L1005" s="1202"/>
      <c r="M1005" s="1341">
        <f>IFERROR(VLOOKUP(C1005,'פקודות נוספות'!$D$273:$G$797,4,0),0)</f>
        <v>3988.04</v>
      </c>
      <c r="N1005" s="1104">
        <f>IF(K1005=0,"-",J1005/K1005)</f>
        <v>5.0971755549091791</v>
      </c>
      <c r="O1005" s="2453" t="s">
        <v>2523</v>
      </c>
      <c r="R1005" s="490"/>
      <c r="T1005" s="141">
        <f>'[40]מאזן בוחן'!AR963</f>
        <v>0</v>
      </c>
      <c r="U1005" s="141" t="e">
        <f>K1005-#REF!-P1005-Q1005-R1005-S1005-T1005</f>
        <v>#REF!</v>
      </c>
      <c r="V1005" s="141"/>
      <c r="W1005" s="141"/>
      <c r="X1005" s="141"/>
      <c r="Y1005" s="141">
        <f>'[25]מאזן בוחן'!AM864</f>
        <v>0</v>
      </c>
      <c r="AA1005" s="141">
        <f>'[32]מאזן בוחן'!AO882</f>
        <v>0</v>
      </c>
      <c r="AB1005" s="141">
        <f>'[26]מאזן בוחן'!AB875</f>
        <v>0</v>
      </c>
      <c r="AC1005" s="141">
        <f>'[27]מאזן בוחן'!AC884</f>
        <v>0</v>
      </c>
      <c r="AD1005" s="141">
        <f>'[28]מאזן בוחן'!AD896</f>
        <v>9165.6</v>
      </c>
      <c r="AE1005" s="141">
        <f>'[29]מאזן בוחן'!AE902</f>
        <v>0</v>
      </c>
      <c r="AF1005" s="141">
        <f>'[30]מאזן בוחן'!AF913</f>
        <v>0</v>
      </c>
      <c r="AG1005" s="141">
        <f>'[31]מאזן בוחן'!AG918</f>
        <v>-3076.9100000000008</v>
      </c>
      <c r="AH1005" s="141">
        <v>0</v>
      </c>
      <c r="AI1005" s="141">
        <v>0</v>
      </c>
      <c r="AJ1005" s="141">
        <v>-1413.5999999999995</v>
      </c>
      <c r="AK1005" s="141">
        <v>0</v>
      </c>
      <c r="AL1005" s="141">
        <v>0</v>
      </c>
      <c r="AM1005" s="141">
        <f>$K1005-SUM($AB1005:AL1005)</f>
        <v>-687.05000000000018</v>
      </c>
      <c r="AN1005" s="141"/>
      <c r="AO1005" s="141"/>
      <c r="AP1005" s="141"/>
      <c r="AQ1005" s="141"/>
      <c r="AR1005" s="141"/>
      <c r="AS1005" s="141"/>
      <c r="AT1005" s="141"/>
      <c r="AU1005" s="141"/>
      <c r="AV1005" s="141"/>
      <c r="AW1005" s="141"/>
    </row>
    <row r="1006" spans="1:55">
      <c r="A1006" s="52"/>
      <c r="B1006" s="3659"/>
      <c r="C1006" s="156"/>
      <c r="D1006" s="2539"/>
      <c r="E1006" s="747"/>
      <c r="J1006" s="474"/>
      <c r="K1006" s="42"/>
      <c r="L1006" s="1202"/>
      <c r="M1006" s="474"/>
      <c r="O1006" s="1133"/>
      <c r="R1006" s="490"/>
      <c r="T1006" s="141">
        <f>'[40]מאזן בוחן'!AR964</f>
        <v>0</v>
      </c>
      <c r="U1006" s="141" t="e">
        <f>K1006-#REF!-P1006-Q1006-R1006-S1006-T1006</f>
        <v>#REF!</v>
      </c>
      <c r="V1006" s="141"/>
      <c r="W1006" s="141"/>
      <c r="X1006" s="141"/>
      <c r="Y1006" s="141"/>
    </row>
    <row r="1007" spans="1:55" ht="13.5" thickBot="1">
      <c r="A1007" s="52"/>
      <c r="B1007" s="3015"/>
      <c r="C1007" s="1544"/>
      <c r="D1007" s="2735" t="s">
        <v>100</v>
      </c>
      <c r="E1007" s="1580">
        <f t="shared" ref="E1007:M1007" si="207">SUM(E998:E1006)</f>
        <v>5401454.1600000011</v>
      </c>
      <c r="F1007" s="1580">
        <f t="shared" si="207"/>
        <v>0</v>
      </c>
      <c r="G1007" s="1542">
        <f t="shared" si="207"/>
        <v>0</v>
      </c>
      <c r="H1007" s="1542">
        <f t="shared" si="207"/>
        <v>0</v>
      </c>
      <c r="I1007" s="1542">
        <f t="shared" si="207"/>
        <v>0</v>
      </c>
      <c r="J1007" s="1542">
        <f t="shared" si="207"/>
        <v>5401454.1600000011</v>
      </c>
      <c r="K1007" s="1542">
        <f t="shared" si="207"/>
        <v>1472863.9021543409</v>
      </c>
      <c r="L1007" s="49"/>
      <c r="M1007" s="1542">
        <f t="shared" si="207"/>
        <v>1472863.9000000001</v>
      </c>
      <c r="O1007" s="1133"/>
      <c r="R1007" s="490"/>
      <c r="T1007" s="141">
        <f>'[20]מאזן בוחן'!AR954</f>
        <v>0</v>
      </c>
      <c r="U1007" s="141" t="e">
        <f>K1007-#REF!-P1007-Q1007-R1007-S1007-T1007</f>
        <v>#REF!</v>
      </c>
      <c r="V1007" s="141"/>
      <c r="W1007" s="141"/>
      <c r="X1007" s="141"/>
      <c r="Y1007" s="141"/>
    </row>
    <row r="1008" spans="1:55">
      <c r="A1008" s="52"/>
      <c r="C1008" s="1170"/>
      <c r="D1008" s="61"/>
      <c r="E1008" s="2235"/>
      <c r="F1008" s="1545"/>
      <c r="G1008" s="1545"/>
      <c r="H1008" s="1545"/>
      <c r="I1008" s="1545"/>
      <c r="J1008" s="1545"/>
      <c r="K1008" s="1545"/>
      <c r="L1008" s="49"/>
      <c r="M1008" s="474"/>
      <c r="O1008" s="1133"/>
      <c r="R1008" s="490"/>
      <c r="T1008" s="141">
        <f>'[20]מאזן בוחן'!AR955</f>
        <v>0</v>
      </c>
      <c r="U1008" s="141"/>
      <c r="V1008" s="141"/>
      <c r="W1008" s="141"/>
      <c r="X1008" s="141"/>
      <c r="Y1008" s="141"/>
    </row>
    <row r="1009" spans="1:50" ht="13.5" thickBot="1">
      <c r="C1009" s="1170"/>
      <c r="D1009" s="61"/>
      <c r="E1009" s="439"/>
      <c r="F1009" s="1511"/>
      <c r="G1009" s="1511"/>
      <c r="H1009" s="1511"/>
      <c r="I1009" s="1511"/>
      <c r="K1009" s="1511"/>
      <c r="L1009" s="49"/>
      <c r="M1009" s="474"/>
      <c r="O1009" s="1133"/>
      <c r="R1009" s="490"/>
      <c r="U1009" s="141"/>
      <c r="V1009" s="141"/>
      <c r="W1009" s="141"/>
      <c r="X1009" s="141"/>
      <c r="Y1009" s="141"/>
      <c r="Z1009" s="141"/>
      <c r="AA1009" s="52"/>
      <c r="AB1009" s="52"/>
      <c r="AC1009" s="52"/>
      <c r="AD1009" s="52"/>
      <c r="AE1009" s="52"/>
      <c r="AF1009" s="52"/>
      <c r="AG1009" s="52"/>
      <c r="AH1009" s="52"/>
      <c r="AI1009" s="52"/>
      <c r="AJ1009" s="52"/>
      <c r="AK1009" s="52"/>
      <c r="AL1009" s="52"/>
      <c r="AM1009" s="52"/>
      <c r="AN1009" s="52"/>
      <c r="AO1009" s="52"/>
      <c r="AP1009" s="52"/>
      <c r="AQ1009" s="52"/>
      <c r="AR1009" s="52"/>
      <c r="AS1009" s="52"/>
      <c r="AT1009" s="52"/>
      <c r="AU1009" s="52"/>
      <c r="AV1009" s="52"/>
      <c r="AW1009" s="52"/>
      <c r="AX1009" s="52"/>
    </row>
    <row r="1010" spans="1:50">
      <c r="C1010" s="1170"/>
      <c r="D1010" s="72" t="s">
        <v>456</v>
      </c>
      <c r="E1010" s="80">
        <f t="shared" ref="E1010:K1010" si="208">E190+E511+E523+E564+E632+E712+E871+E987+E996+E1007</f>
        <v>1.3969838619232178E-8</v>
      </c>
      <c r="F1010" s="80">
        <f>F190+F511+F523+F564+F632+F712+F871+F987+F996+F1007</f>
        <v>0</v>
      </c>
      <c r="G1010" s="80">
        <f t="shared" si="208"/>
        <v>0</v>
      </c>
      <c r="H1010" s="80">
        <f t="shared" si="208"/>
        <v>0</v>
      </c>
      <c r="I1010" s="80">
        <f t="shared" si="208"/>
        <v>0</v>
      </c>
      <c r="J1010" s="80">
        <f t="shared" si="208"/>
        <v>1.9557774066925049E-8</v>
      </c>
      <c r="K1010" s="80">
        <f t="shared" si="208"/>
        <v>-4.1909515857696533E-9</v>
      </c>
      <c r="L1010" s="49"/>
      <c r="M1010" s="474"/>
      <c r="O1010" s="1133"/>
      <c r="R1010" s="490"/>
      <c r="U1010" s="141"/>
      <c r="V1010" s="141"/>
      <c r="W1010" s="141"/>
      <c r="X1010" s="141"/>
      <c r="Y1010" s="141"/>
      <c r="Z1010" s="141"/>
      <c r="AA1010" s="52"/>
      <c r="AB1010" s="52"/>
      <c r="AC1010" s="52"/>
      <c r="AD1010" s="52"/>
      <c r="AE1010" s="52"/>
      <c r="AF1010" s="52"/>
      <c r="AG1010" s="52"/>
      <c r="AH1010" s="52"/>
      <c r="AI1010" s="52"/>
      <c r="AJ1010" s="52"/>
      <c r="AK1010" s="52"/>
      <c r="AL1010" s="52"/>
      <c r="AM1010" s="52"/>
      <c r="AN1010" s="52"/>
      <c r="AO1010" s="52"/>
      <c r="AP1010" s="52"/>
      <c r="AQ1010" s="52"/>
      <c r="AR1010" s="52"/>
      <c r="AS1010" s="52"/>
      <c r="AT1010" s="52"/>
      <c r="AU1010" s="52"/>
      <c r="AV1010" s="52"/>
      <c r="AW1010" s="52"/>
      <c r="AX1010" s="52"/>
    </row>
    <row r="1011" spans="1:50" ht="13.5" thickBot="1">
      <c r="C1011" s="1170"/>
      <c r="D1011" s="61"/>
      <c r="E1011" s="81">
        <f>E1010/2</f>
        <v>6.9849193096160889E-9</v>
      </c>
      <c r="F1011" s="81">
        <f>F1010/2</f>
        <v>0</v>
      </c>
      <c r="G1011" s="82"/>
      <c r="H1011" s="82">
        <f>H1010/2</f>
        <v>0</v>
      </c>
      <c r="I1011" s="82"/>
      <c r="J1011" s="82"/>
      <c r="K1011" s="1546" t="s">
        <v>102</v>
      </c>
      <c r="L1011" s="49"/>
      <c r="M1011" s="474"/>
      <c r="O1011" s="1133"/>
      <c r="U1011" s="141"/>
      <c r="V1011" s="141"/>
      <c r="W1011" s="141"/>
      <c r="X1011" s="141"/>
      <c r="Y1011" s="141"/>
      <c r="Z1011" s="141"/>
      <c r="AA1011" s="52"/>
      <c r="AB1011" s="52"/>
      <c r="AC1011" s="52"/>
      <c r="AD1011" s="52"/>
      <c r="AE1011" s="52"/>
      <c r="AF1011" s="52"/>
      <c r="AG1011" s="52"/>
      <c r="AH1011" s="52"/>
      <c r="AI1011" s="52"/>
      <c r="AJ1011" s="52"/>
      <c r="AK1011" s="52"/>
      <c r="AL1011" s="52"/>
      <c r="AM1011" s="52"/>
      <c r="AN1011" s="52"/>
      <c r="AO1011" s="52"/>
      <c r="AP1011" s="52"/>
      <c r="AQ1011" s="52"/>
      <c r="AR1011" s="52"/>
      <c r="AS1011" s="52"/>
      <c r="AT1011" s="52"/>
      <c r="AU1011" s="52"/>
      <c r="AV1011" s="52"/>
      <c r="AW1011" s="52"/>
      <c r="AX1011" s="52"/>
    </row>
    <row r="1012" spans="1:50">
      <c r="A1012" s="402" t="s">
        <v>169</v>
      </c>
      <c r="C1012" s="499"/>
      <c r="D1012" s="61"/>
      <c r="E1012" s="439"/>
      <c r="J1012" s="49">
        <f>J1011-E1011</f>
        <v>-6.9849193096160889E-9</v>
      </c>
      <c r="K1012" s="49"/>
      <c r="L1012" s="49"/>
      <c r="M1012" s="474"/>
      <c r="O1012" s="1133"/>
      <c r="R1012" s="490"/>
      <c r="U1012" s="141"/>
      <c r="V1012" s="141"/>
      <c r="W1012" s="141"/>
      <c r="X1012" s="141"/>
      <c r="Y1012" s="141"/>
      <c r="Z1012" s="141"/>
      <c r="AA1012" s="52"/>
      <c r="AB1012" s="52"/>
      <c r="AC1012" s="52"/>
      <c r="AD1012" s="52"/>
      <c r="AE1012" s="52"/>
      <c r="AF1012" s="52"/>
      <c r="AG1012" s="52"/>
      <c r="AH1012" s="52"/>
      <c r="AI1012" s="52"/>
      <c r="AJ1012" s="52"/>
      <c r="AK1012" s="52"/>
      <c r="AL1012" s="52"/>
      <c r="AM1012" s="52"/>
      <c r="AN1012" s="52"/>
      <c r="AO1012" s="52"/>
      <c r="AP1012" s="52"/>
      <c r="AQ1012" s="52"/>
      <c r="AR1012" s="52"/>
      <c r="AS1012" s="52"/>
      <c r="AT1012" s="52"/>
      <c r="AU1012" s="52"/>
      <c r="AV1012" s="52"/>
      <c r="AW1012" s="52"/>
      <c r="AX1012" s="52"/>
    </row>
    <row r="1013" spans="1:50">
      <c r="C1013" s="499"/>
      <c r="D1013" s="61"/>
      <c r="E1013" s="439"/>
      <c r="J1013" s="49" t="s">
        <v>103</v>
      </c>
      <c r="K1013" s="49">
        <f>K1010/2</f>
        <v>-2.0954757928848267E-9</v>
      </c>
      <c r="L1013" s="52"/>
      <c r="M1013" s="474"/>
      <c r="O1013" s="1133"/>
      <c r="AA1013" s="52"/>
      <c r="AB1013" s="52"/>
      <c r="AC1013" s="52"/>
      <c r="AD1013" s="52"/>
      <c r="AE1013" s="52"/>
      <c r="AF1013" s="52"/>
      <c r="AG1013" s="52"/>
      <c r="AH1013" s="52"/>
      <c r="AI1013" s="52"/>
      <c r="AJ1013" s="52"/>
      <c r="AK1013" s="52"/>
      <c r="AL1013" s="52"/>
      <c r="AM1013" s="52"/>
      <c r="AN1013" s="52"/>
      <c r="AO1013" s="52"/>
      <c r="AP1013" s="52"/>
      <c r="AQ1013" s="52"/>
      <c r="AR1013" s="52"/>
      <c r="AS1013" s="52"/>
      <c r="AT1013" s="52"/>
      <c r="AU1013" s="52"/>
      <c r="AV1013" s="52"/>
      <c r="AW1013" s="52"/>
      <c r="AX1013" s="52"/>
    </row>
    <row r="1014" spans="1:50">
      <c r="C1014" s="1170"/>
      <c r="D1014" s="61"/>
      <c r="E1014" s="439"/>
      <c r="J1014" s="474"/>
      <c r="L1014" s="52"/>
      <c r="M1014" s="474"/>
      <c r="O1014" s="432"/>
      <c r="AA1014" s="52"/>
      <c r="AB1014" s="52"/>
      <c r="AC1014" s="52"/>
      <c r="AD1014" s="52"/>
      <c r="AE1014" s="52"/>
      <c r="AF1014" s="52"/>
      <c r="AG1014" s="52"/>
      <c r="AH1014" s="52"/>
      <c r="AI1014" s="52"/>
      <c r="AJ1014" s="52"/>
      <c r="AK1014" s="52"/>
      <c r="AL1014" s="52"/>
      <c r="AM1014" s="52"/>
      <c r="AN1014" s="52"/>
      <c r="AO1014" s="52"/>
      <c r="AP1014" s="52"/>
      <c r="AQ1014" s="52"/>
      <c r="AR1014" s="52"/>
      <c r="AS1014" s="52"/>
      <c r="AT1014" s="52"/>
      <c r="AU1014" s="52"/>
      <c r="AV1014" s="52"/>
      <c r="AW1014" s="52"/>
      <c r="AX1014" s="52"/>
    </row>
    <row r="1015" spans="1:50">
      <c r="C1015" s="1170"/>
      <c r="D1015" s="61"/>
      <c r="E1015" s="439"/>
      <c r="J1015" s="474"/>
      <c r="L1015" s="52"/>
      <c r="M1015" s="474"/>
      <c r="N1015" s="1106"/>
      <c r="O1015" s="432"/>
      <c r="AA1015" s="52"/>
      <c r="AB1015" s="52"/>
      <c r="AC1015" s="52"/>
      <c r="AD1015" s="52"/>
      <c r="AE1015" s="52"/>
      <c r="AF1015" s="52"/>
      <c r="AG1015" s="52"/>
      <c r="AH1015" s="52"/>
      <c r="AI1015" s="52"/>
      <c r="AJ1015" s="52"/>
      <c r="AK1015" s="52"/>
      <c r="AL1015" s="52"/>
      <c r="AM1015" s="52"/>
      <c r="AN1015" s="52"/>
      <c r="AO1015" s="52"/>
      <c r="AP1015" s="52"/>
      <c r="AQ1015" s="52"/>
      <c r="AR1015" s="52"/>
      <c r="AS1015" s="52"/>
      <c r="AT1015" s="52"/>
      <c r="AU1015" s="52"/>
      <c r="AV1015" s="52"/>
      <c r="AW1015" s="52"/>
      <c r="AX1015" s="52"/>
    </row>
    <row r="1016" spans="1:50">
      <c r="C1016" s="1170"/>
      <c r="D1016" s="72" t="s">
        <v>457</v>
      </c>
      <c r="E1016" s="179">
        <f>E564+E632+E712+E871+E987+E996+E1007</f>
        <v>13352177.850000009</v>
      </c>
      <c r="F1016" s="180"/>
      <c r="G1016" s="180"/>
      <c r="H1016" s="180"/>
      <c r="I1016" s="180"/>
      <c r="J1016" s="181">
        <f>J564+J632+J712+J871+J987+J996+J1007</f>
        <v>13597399.315903831</v>
      </c>
      <c r="K1016" s="181">
        <f>K564+K632+K712+K871+K987+K996+K1007</f>
        <v>4351458.7281041238</v>
      </c>
      <c r="L1016" s="52"/>
      <c r="M1016" s="474"/>
      <c r="N1016" s="1106"/>
      <c r="O1016" s="432"/>
      <c r="AA1016" s="52"/>
      <c r="AB1016" s="52"/>
      <c r="AC1016" s="52"/>
      <c r="AD1016" s="52"/>
      <c r="AE1016" s="52"/>
      <c r="AF1016" s="52"/>
      <c r="AG1016" s="52"/>
      <c r="AH1016" s="52"/>
      <c r="AI1016" s="52"/>
      <c r="AJ1016" s="52"/>
      <c r="AK1016" s="52"/>
      <c r="AL1016" s="52"/>
      <c r="AM1016" s="52"/>
      <c r="AN1016" s="52"/>
      <c r="AO1016" s="52"/>
      <c r="AP1016" s="52"/>
      <c r="AQ1016" s="52"/>
      <c r="AR1016" s="52"/>
      <c r="AS1016" s="52"/>
      <c r="AT1016" s="52"/>
      <c r="AU1016" s="52"/>
      <c r="AV1016" s="52"/>
      <c r="AW1016" s="52"/>
      <c r="AX1016" s="52"/>
    </row>
    <row r="1017" spans="1:50">
      <c r="C1017" s="1170"/>
      <c r="D1017" s="61"/>
      <c r="E1017" s="439"/>
      <c r="J1017" s="474"/>
      <c r="K1017" s="474"/>
      <c r="L1017" s="52"/>
      <c r="M1017" s="474"/>
      <c r="N1017" s="1106"/>
      <c r="O1017" s="432"/>
      <c r="AA1017" s="52"/>
      <c r="AB1017" s="52"/>
      <c r="AC1017" s="52"/>
      <c r="AD1017" s="52"/>
      <c r="AE1017" s="52"/>
      <c r="AF1017" s="52"/>
      <c r="AG1017" s="52"/>
      <c r="AH1017" s="52"/>
      <c r="AI1017" s="52"/>
      <c r="AJ1017" s="52"/>
      <c r="AK1017" s="52"/>
      <c r="AL1017" s="52"/>
      <c r="AM1017" s="52"/>
      <c r="AN1017" s="52"/>
      <c r="AO1017" s="52"/>
      <c r="AP1017" s="52"/>
      <c r="AQ1017" s="52"/>
      <c r="AR1017" s="52"/>
      <c r="AS1017" s="52"/>
      <c r="AT1017" s="52"/>
      <c r="AU1017" s="52"/>
      <c r="AV1017" s="52"/>
      <c r="AW1017" s="52"/>
      <c r="AX1017" s="52"/>
    </row>
    <row r="1018" spans="1:50">
      <c r="A1018" s="494"/>
      <c r="C1018" s="1170"/>
      <c r="D1018" s="61"/>
      <c r="E1018" s="439"/>
      <c r="J1018" s="474"/>
      <c r="L1018" s="52"/>
      <c r="M1018" s="474"/>
      <c r="N1018" s="1106"/>
      <c r="O1018" s="432"/>
      <c r="P1018" s="52"/>
      <c r="Q1018" s="52"/>
      <c r="R1018" s="52"/>
      <c r="S1018" s="52"/>
      <c r="T1018" s="52"/>
      <c r="U1018" s="52"/>
      <c r="V1018" s="52"/>
      <c r="W1018" s="52"/>
      <c r="X1018" s="52"/>
      <c r="Y1018" s="52"/>
      <c r="Z1018" s="52"/>
      <c r="AA1018" s="52"/>
      <c r="AB1018" s="52"/>
      <c r="AC1018" s="52"/>
      <c r="AD1018" s="52"/>
      <c r="AE1018" s="52"/>
      <c r="AF1018" s="52"/>
      <c r="AG1018" s="52"/>
      <c r="AH1018" s="52"/>
      <c r="AI1018" s="52"/>
      <c r="AJ1018" s="52"/>
      <c r="AK1018" s="52"/>
      <c r="AL1018" s="52"/>
      <c r="AM1018" s="52"/>
      <c r="AN1018" s="52"/>
      <c r="AO1018" s="52"/>
      <c r="AP1018" s="52"/>
      <c r="AQ1018" s="52"/>
      <c r="AR1018" s="52"/>
      <c r="AS1018" s="52"/>
      <c r="AT1018" s="52"/>
      <c r="AU1018" s="52"/>
      <c r="AV1018" s="52"/>
      <c r="AW1018" s="52"/>
      <c r="AX1018" s="52"/>
    </row>
    <row r="1019" spans="1:50">
      <c r="C1019" s="1170"/>
      <c r="D1019" s="61"/>
      <c r="E1019" s="439"/>
      <c r="J1019" s="474"/>
      <c r="L1019" s="52"/>
      <c r="M1019" s="474"/>
      <c r="O1019" s="432"/>
      <c r="P1019" s="52"/>
      <c r="Q1019" s="52"/>
      <c r="R1019" s="52"/>
      <c r="S1019" s="52"/>
      <c r="T1019" s="52"/>
      <c r="U1019" s="52"/>
      <c r="V1019" s="52"/>
      <c r="W1019" s="52"/>
      <c r="X1019" s="52"/>
      <c r="Y1019" s="52"/>
      <c r="Z1019" s="52"/>
      <c r="AA1019" s="52"/>
      <c r="AB1019" s="52"/>
      <c r="AC1019" s="52"/>
      <c r="AD1019" s="52"/>
      <c r="AE1019" s="52"/>
      <c r="AF1019" s="52"/>
      <c r="AG1019" s="52"/>
      <c r="AH1019" s="52"/>
      <c r="AI1019" s="52"/>
      <c r="AJ1019" s="52"/>
      <c r="AK1019" s="52"/>
      <c r="AL1019" s="52"/>
      <c r="AM1019" s="52"/>
      <c r="AN1019" s="52"/>
      <c r="AO1019" s="52"/>
      <c r="AP1019" s="52"/>
      <c r="AQ1019" s="52"/>
      <c r="AR1019" s="52"/>
      <c r="AS1019" s="52"/>
      <c r="AT1019" s="52"/>
      <c r="AU1019" s="52"/>
      <c r="AV1019" s="52"/>
      <c r="AW1019" s="52"/>
      <c r="AX1019" s="52"/>
    </row>
  </sheetData>
  <autoFilter ref="J1:J1019" xr:uid="{00000000-0009-0000-0000-000001000000}"/>
  <dataConsolidate/>
  <customSheetViews>
    <customSheetView guid="{AE4A63B3-88A2-451A-9F53-7674162F018D}" scale="85" fitToPage="1" hiddenColumns="1">
      <pane xSplit="4" ySplit="7" topLeftCell="F264" activePane="bottomRight" state="frozen"/>
      <selection pane="bottomRight" activeCell="C273" sqref="C273:C274"/>
      <rowBreaks count="1" manualBreakCount="1">
        <brk id="361" min="1" max="10" man="1"/>
      </rowBreaks>
      <pageMargins left="0.51181102362204722" right="0.11811023622047245" top="0.51181102362204722" bottom="0.55118110236220474" header="0.51181102362204722" footer="0.51181102362204722"/>
      <printOptions horizontalCentered="1" gridLines="1"/>
      <pageSetup paperSize="9" scale="79" fitToHeight="6" orientation="landscape" blackAndWhite="1" cellComments="asDisplayed" horizontalDpi="300" verticalDpi="300" r:id="rId1"/>
      <headerFooter alignWithMargins="0"/>
    </customSheetView>
    <customSheetView guid="{6C6AF7F1-37F2-45B8-A395-4149314EE5A8}" scale="85" fitToPage="1" hiddenColumns="1">
      <pane xSplit="4" ySplit="7" topLeftCell="F264" activePane="bottomRight" state="frozen"/>
      <selection pane="bottomRight" activeCell="C271" sqref="C271:D276"/>
      <rowBreaks count="1" manualBreakCount="1">
        <brk id="361" min="1" max="10" man="1"/>
      </rowBreaks>
      <pageMargins left="0.51181102362204722" right="0.11811023622047245" top="0.51181102362204722" bottom="0.55118110236220474" header="0.51181102362204722" footer="0.51181102362204722"/>
      <printOptions horizontalCentered="1" gridLines="1"/>
      <pageSetup paperSize="9" scale="79" fitToHeight="6" orientation="landscape" blackAndWhite="1" cellComments="asDisplayed" horizontalDpi="300" verticalDpi="300" r:id="rId2"/>
      <headerFooter alignWithMargins="0"/>
    </customSheetView>
  </customSheetViews>
  <mergeCells count="9">
    <mergeCell ref="L543:L544"/>
    <mergeCell ref="E3:K3"/>
    <mergeCell ref="O145:O146"/>
    <mergeCell ref="O171:O179"/>
    <mergeCell ref="O159:O167"/>
    <mergeCell ref="L541:L542"/>
    <mergeCell ref="L449:L454"/>
    <mergeCell ref="L483:L484"/>
    <mergeCell ref="O483:O484"/>
  </mergeCells>
  <phoneticPr fontId="0" type="noConversion"/>
  <conditionalFormatting sqref="C907">
    <cfRule type="duplicateValues" dxfId="1061" priority="5"/>
  </conditionalFormatting>
  <conditionalFormatting sqref="C889:C890">
    <cfRule type="duplicateValues" dxfId="1060" priority="4"/>
  </conditionalFormatting>
  <conditionalFormatting sqref="C915">
    <cfRule type="duplicateValues" dxfId="1059" priority="3"/>
  </conditionalFormatting>
  <conditionalFormatting sqref="C781">
    <cfRule type="duplicateValues" dxfId="1058" priority="2"/>
  </conditionalFormatting>
  <conditionalFormatting sqref="C908:C914 C891:C906 C1:C653 C655:C780 C916:C1048576 C782:C888">
    <cfRule type="duplicateValues" dxfId="1057" priority="22277"/>
  </conditionalFormatting>
  <conditionalFormatting sqref="C654">
    <cfRule type="duplicateValues" dxfId="1056" priority="1"/>
  </conditionalFormatting>
  <hyperlinks>
    <hyperlink ref="O180" location="FA!A1" display="FA!A1" xr:uid="{2D732BF8-0AC4-4353-A13A-A7582DE41495}"/>
    <hyperlink ref="O456" location="'Accrued expenses'!A1" display="'Accrued expenses'!A1" xr:uid="{DA044400-E0A1-4946-A42F-69105108705A}"/>
    <hyperlink ref="O135" location="'Prepaid expenses'!A42" display="'Prepaid expenses'!A42" xr:uid="{E5913B2B-3AC3-4601-BCFB-DCA1F760F72D}"/>
    <hyperlink ref="O471" location="'Accrued expenses'!A38" display="'Accrued expenses'!A38" xr:uid="{4F8D8EC3-92F1-45AE-933B-A7B150760AD6}"/>
  </hyperlinks>
  <printOptions horizontalCentered="1" gridLines="1" gridLinesSet="0"/>
  <pageMargins left="0.51181102362204722" right="0.11811023622047245" top="0.51181102362204722" bottom="0.55118110236220474" header="0.51181102362204722" footer="0.51181102362204722"/>
  <pageSetup paperSize="9" scale="11" fitToHeight="6" orientation="landscape" blackAndWhite="1" cellComments="asDisplayed" verticalDpi="300" r:id="rId3"/>
  <headerFooter alignWithMargins="0"/>
  <rowBreaks count="1" manualBreakCount="1">
    <brk id="448" max="77" man="1"/>
  </rowBreaks>
  <ignoredErrors>
    <ignoredError sqref="J10:K10 F14 J14 J29 E117:E118 M92:M109 E92:E113" formula="1"/>
  </ignoredErrors>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8" tint="0.39997558519241921"/>
    <pageSetUpPr fitToPage="1"/>
  </sheetPr>
  <dimension ref="A1:Q827"/>
  <sheetViews>
    <sheetView rightToLeft="1" view="pageBreakPreview" topLeftCell="A232" zoomScale="80" zoomScaleNormal="85" zoomScaleSheetLayoutView="80" workbookViewId="0">
      <selection activeCell="B257" sqref="B257:G260"/>
    </sheetView>
  </sheetViews>
  <sheetFormatPr defaultColWidth="9.33203125" defaultRowHeight="12.75"/>
  <cols>
    <col min="1" max="1" width="27.5" style="141" bestFit="1" customWidth="1"/>
    <col min="2" max="2" width="18" style="141" bestFit="1" customWidth="1"/>
    <col min="3" max="3" width="45.5" style="461" customWidth="1"/>
    <col min="4" max="4" width="49.83203125" style="141" bestFit="1" customWidth="1"/>
    <col min="5" max="5" width="24.83203125" style="141" customWidth="1"/>
    <col min="6" max="6" width="19.1640625" style="141" customWidth="1"/>
    <col min="7" max="7" width="28.5" style="141" customWidth="1"/>
    <col min="8" max="8" width="33.1640625" style="141" customWidth="1"/>
    <col min="9" max="9" width="19.1640625" style="141" customWidth="1"/>
    <col min="10" max="10" width="15.1640625" style="141" customWidth="1"/>
    <col min="11" max="11" width="29.83203125" style="383" customWidth="1"/>
    <col min="12" max="12" width="24.83203125" style="383" customWidth="1"/>
    <col min="13" max="13" width="25.83203125" style="137" bestFit="1" customWidth="1"/>
    <col min="14" max="15" width="15.33203125" style="137" bestFit="1" customWidth="1"/>
    <col min="16" max="17" width="11.5" style="137" bestFit="1" customWidth="1"/>
    <col min="18" max="18" width="10.5" style="137" bestFit="1" customWidth="1"/>
    <col min="19" max="19" width="11.5" style="137" bestFit="1" customWidth="1"/>
    <col min="20" max="16384" width="9.33203125" style="137"/>
  </cols>
  <sheetData>
    <row r="1" spans="1:16" ht="13.5" thickBot="1">
      <c r="B1" s="4335" t="s">
        <v>279</v>
      </c>
      <c r="C1" s="4336"/>
      <c r="D1" s="4336"/>
      <c r="E1" s="4336"/>
      <c r="F1" s="4337"/>
      <c r="H1" s="52"/>
      <c r="I1" s="52"/>
      <c r="J1" s="52"/>
      <c r="K1" s="52"/>
    </row>
    <row r="2" spans="1:16" ht="13.5" thickBot="1">
      <c r="B2" s="4338">
        <f>'נתונים לשינוי'!C1</f>
        <v>44561</v>
      </c>
      <c r="C2" s="4339"/>
      <c r="D2" s="4339"/>
      <c r="E2" s="4339"/>
      <c r="F2" s="4340"/>
    </row>
    <row r="3" spans="1:16" ht="13.5" thickBot="1">
      <c r="B3" s="4341" t="s">
        <v>49</v>
      </c>
      <c r="C3" s="4342"/>
      <c r="D3" s="4342"/>
      <c r="E3" s="4342"/>
      <c r="F3" s="4343"/>
    </row>
    <row r="4" spans="1:16" ht="13.5" thickBot="1">
      <c r="B4" s="540" t="s">
        <v>57</v>
      </c>
      <c r="C4" s="580" t="s">
        <v>178</v>
      </c>
      <c r="D4" s="1583" t="s">
        <v>59</v>
      </c>
      <c r="E4" s="1584" t="s">
        <v>60</v>
      </c>
      <c r="F4" s="1554" t="s">
        <v>464</v>
      </c>
      <c r="G4" s="52"/>
      <c r="H4" s="52"/>
      <c r="I4" s="52"/>
      <c r="J4" s="52"/>
    </row>
    <row r="5" spans="1:16" ht="13.5" thickBot="1">
      <c r="B5" s="54"/>
      <c r="C5" s="1553"/>
      <c r="D5" s="54"/>
      <c r="E5" s="956">
        <f>SUM(E6:E238)</f>
        <v>0</v>
      </c>
      <c r="F5" s="956">
        <f>SUM(F6:F238)</f>
        <v>0</v>
      </c>
      <c r="G5" s="52"/>
      <c r="H5" s="52"/>
      <c r="I5" s="52"/>
      <c r="J5" s="52"/>
    </row>
    <row r="6" spans="1:16" ht="13.5" thickBot="1">
      <c r="A6" s="50"/>
      <c r="B6" s="1608">
        <v>1</v>
      </c>
      <c r="C6" s="3369" t="s">
        <v>1483</v>
      </c>
      <c r="D6" s="1344"/>
      <c r="E6" s="1197" t="s">
        <v>1458</v>
      </c>
      <c r="F6" s="1197" t="s">
        <v>294</v>
      </c>
      <c r="G6" s="4351" t="s">
        <v>2429</v>
      </c>
      <c r="H6" s="52"/>
      <c r="I6" s="52"/>
      <c r="J6" s="52"/>
      <c r="M6" s="383"/>
      <c r="N6" s="1469"/>
      <c r="O6" s="1469"/>
      <c r="P6" s="1468"/>
    </row>
    <row r="7" spans="1:16">
      <c r="B7" s="4348"/>
      <c r="C7" s="545">
        <v>2090001</v>
      </c>
      <c r="D7" s="544" t="str">
        <f>VLOOKUP(C7,'מאזן בוחן'!C:D,2,0)</f>
        <v xml:space="preserve">הכנסות מראש - מיון לקוחות בזכות </v>
      </c>
      <c r="E7" s="1702"/>
      <c r="F7" s="1702"/>
      <c r="G7" s="4352"/>
      <c r="H7" s="52"/>
      <c r="I7" s="52"/>
      <c r="J7" s="52"/>
      <c r="L7" s="52"/>
      <c r="M7" s="52"/>
    </row>
    <row r="8" spans="1:16" ht="13.5" thickBot="1">
      <c r="B8" s="4349"/>
      <c r="C8" s="546">
        <v>53602</v>
      </c>
      <c r="D8" s="1096" t="str">
        <f>VLOOKUP(C8,'מאזן בוחן'!C:D,2,0)</f>
        <v xml:space="preserve">הכנסות מראש - מיון לקוחות בזכות </v>
      </c>
      <c r="E8" s="1703">
        <f>-E7</f>
        <v>0</v>
      </c>
      <c r="F8" s="1701">
        <f>-F7</f>
        <v>0</v>
      </c>
      <c r="G8" s="4353"/>
      <c r="H8" s="52"/>
      <c r="I8" s="52"/>
      <c r="J8" s="52"/>
      <c r="L8" s="52"/>
      <c r="M8" s="52"/>
    </row>
    <row r="9" spans="1:16" ht="13.5" thickBot="1">
      <c r="B9" s="2220">
        <v>2</v>
      </c>
      <c r="C9" s="3369" t="s">
        <v>3718</v>
      </c>
      <c r="D9" s="1344"/>
      <c r="E9" s="1197" t="s">
        <v>1458</v>
      </c>
      <c r="F9" s="1606" t="s">
        <v>294</v>
      </c>
      <c r="G9" s="4351" t="s">
        <v>2427</v>
      </c>
      <c r="H9" s="52"/>
      <c r="I9" s="52"/>
      <c r="J9" s="52"/>
      <c r="L9" s="52"/>
      <c r="M9" s="52"/>
    </row>
    <row r="10" spans="1:16" ht="12.95" customHeight="1">
      <c r="B10" s="4348"/>
      <c r="C10" s="585">
        <v>1150001</v>
      </c>
      <c r="D10" s="544" t="str">
        <f>VLOOKUP(C10,'מאזן בוחן'!C:D,2,0)</f>
        <v>הכנסות לקבל</v>
      </c>
      <c r="E10" s="1702">
        <f>F10*'מאזן בוחן'!$N$2</f>
        <v>0</v>
      </c>
      <c r="F10" s="1702">
        <f>-F12</f>
        <v>0</v>
      </c>
      <c r="G10" s="4352"/>
      <c r="H10" s="52"/>
      <c r="I10" s="52"/>
      <c r="J10" s="52"/>
      <c r="L10" s="52"/>
      <c r="M10" s="52"/>
    </row>
    <row r="11" spans="1:16" ht="12.95" customHeight="1">
      <c r="B11" s="4350"/>
      <c r="C11" s="1548">
        <v>9010002</v>
      </c>
      <c r="D11" s="1698" t="str">
        <f>VLOOKUP(C11,'מאזן בוחן'!C:D,2,0)</f>
        <v>הפרשי שער</v>
      </c>
      <c r="E11" s="1704">
        <f>-E12-E10</f>
        <v>0</v>
      </c>
      <c r="F11" s="1704">
        <v>0</v>
      </c>
      <c r="G11" s="4352"/>
      <c r="H11" s="52"/>
      <c r="I11" s="52"/>
      <c r="J11" s="52"/>
      <c r="L11" s="52"/>
      <c r="M11" s="52"/>
    </row>
    <row r="12" spans="1:16" ht="13.5" customHeight="1" thickBot="1">
      <c r="B12" s="4349"/>
      <c r="C12" s="1119">
        <v>53581</v>
      </c>
      <c r="D12" s="544" t="str">
        <f>VLOOKUP(C12,'מאזן בוחן'!C:D,2,0)</f>
        <v>הכנסות מראש מטח Subsription פטורות חדש</v>
      </c>
      <c r="E12" s="1704"/>
      <c r="F12" s="1704"/>
      <c r="G12" s="4353"/>
      <c r="H12" s="52"/>
      <c r="I12" s="52"/>
      <c r="J12" s="52"/>
      <c r="L12" s="52"/>
      <c r="M12" s="52"/>
    </row>
    <row r="13" spans="1:16" ht="13.5" customHeight="1" thickBot="1">
      <c r="B13" s="2220">
        <f>B9+1</f>
        <v>3</v>
      </c>
      <c r="C13" s="3369" t="s">
        <v>4817</v>
      </c>
      <c r="D13" s="1344"/>
      <c r="E13" s="1197" t="s">
        <v>1458</v>
      </c>
      <c r="F13" s="1197" t="s">
        <v>294</v>
      </c>
      <c r="G13" s="4354" t="s">
        <v>2427</v>
      </c>
      <c r="H13" s="52"/>
      <c r="I13" s="52"/>
      <c r="J13" s="52"/>
      <c r="L13" s="52"/>
      <c r="M13" s="52"/>
    </row>
    <row r="14" spans="1:16" ht="13.5" customHeight="1">
      <c r="B14" s="4348"/>
      <c r="C14" s="3218">
        <v>2200001</v>
      </c>
      <c r="D14" s="1240" t="str">
        <f>VLOOKUP(C14,'מאזן בוחן'!C:D,2,0)</f>
        <v>הוצאות לשלם</v>
      </c>
      <c r="E14" s="1702"/>
      <c r="F14" s="2255">
        <f>E14/'מאזן בוחן'!$N$2</f>
        <v>0</v>
      </c>
      <c r="G14" s="4355"/>
      <c r="H14" s="52"/>
      <c r="I14" s="52"/>
      <c r="J14" s="52"/>
      <c r="L14" s="52"/>
      <c r="M14" s="52"/>
    </row>
    <row r="15" spans="1:16" ht="13.5" customHeight="1">
      <c r="B15" s="4350"/>
      <c r="C15" s="3218">
        <v>9010002</v>
      </c>
      <c r="D15" s="1698" t="str">
        <f>VLOOKUP(C15,'מאזן בוחן'!C:D,2,0)</f>
        <v>הפרשי שער</v>
      </c>
      <c r="E15" s="1704">
        <v>0</v>
      </c>
      <c r="F15" s="2255">
        <f>-F16-F14</f>
        <v>0</v>
      </c>
      <c r="G15" s="4355"/>
      <c r="H15" s="52"/>
      <c r="I15" s="52"/>
      <c r="J15" s="52"/>
      <c r="L15" s="52"/>
      <c r="M15" s="52"/>
    </row>
    <row r="16" spans="1:16" ht="13.5" customHeight="1" thickBot="1">
      <c r="B16" s="4349"/>
      <c r="C16" s="3219">
        <v>8410068</v>
      </c>
      <c r="D16" s="1241" t="str">
        <f>VLOOKUP(C16,'מאזן בוחן'!C:D,2,0)</f>
        <v>ביקורת ויעוץ רו"ח</v>
      </c>
      <c r="E16" s="1703">
        <f>-E14</f>
        <v>0</v>
      </c>
      <c r="F16" s="2255">
        <f>E16/'נתונים לשינוי'!$D$8</f>
        <v>0</v>
      </c>
      <c r="G16" s="4356"/>
      <c r="H16" s="52"/>
      <c r="I16" s="52"/>
      <c r="J16" s="52"/>
      <c r="L16" s="52"/>
      <c r="M16" s="52"/>
    </row>
    <row r="17" spans="2:13" ht="13.5" thickBot="1">
      <c r="B17" s="2220">
        <f>B13+1</f>
        <v>4</v>
      </c>
      <c r="C17" s="3369" t="s">
        <v>4822</v>
      </c>
      <c r="D17" s="1370"/>
      <c r="E17" s="1197" t="s">
        <v>1458</v>
      </c>
      <c r="F17" s="1345" t="s">
        <v>294</v>
      </c>
      <c r="G17" s="2428" t="s">
        <v>3478</v>
      </c>
      <c r="H17" s="52"/>
      <c r="I17" s="52"/>
      <c r="J17" s="52"/>
      <c r="L17" s="52"/>
      <c r="M17" s="52"/>
    </row>
    <row r="18" spans="2:13">
      <c r="B18" s="4348"/>
      <c r="C18" s="1548">
        <v>7110003</v>
      </c>
      <c r="D18" s="1240" t="str">
        <f>VLOOKUP(C18,'מאזן בוחן'!C:D,2,0)</f>
        <v>שכר מכירות- עמלות למאזן בלבד</v>
      </c>
      <c r="E18" s="1702">
        <f>F18*'מאזן בוחן'!$N$2</f>
        <v>0</v>
      </c>
      <c r="F18" s="2253"/>
      <c r="G18" s="3826" t="s">
        <v>1387</v>
      </c>
      <c r="H18" s="52"/>
      <c r="I18" s="52"/>
      <c r="J18" s="52"/>
      <c r="L18" s="52"/>
      <c r="M18" s="52"/>
    </row>
    <row r="19" spans="2:13" ht="13.5" thickBot="1">
      <c r="B19" s="4349"/>
      <c r="C19" s="1549">
        <v>2400001</v>
      </c>
      <c r="D19" s="1241" t="str">
        <f>VLOOKUP(C19,'מאזן בוחן'!C:D,2,0)</f>
        <v>הוצאות לשלם עובדים</v>
      </c>
      <c r="E19" s="1703">
        <f>-E18</f>
        <v>0</v>
      </c>
      <c r="F19" s="3410">
        <f>-F18</f>
        <v>0</v>
      </c>
      <c r="G19" s="3798" t="s">
        <v>2427</v>
      </c>
      <c r="H19" s="52"/>
      <c r="I19" s="52"/>
      <c r="J19" s="52"/>
      <c r="L19" s="52"/>
      <c r="M19" s="52"/>
    </row>
    <row r="20" spans="2:13" ht="13.5" thickBot="1">
      <c r="B20" s="2220">
        <f>B17+1</f>
        <v>5</v>
      </c>
      <c r="C20" s="3220" t="s">
        <v>4843</v>
      </c>
      <c r="D20" s="1370"/>
      <c r="E20" s="1197" t="s">
        <v>1458</v>
      </c>
      <c r="F20" s="1345" t="s">
        <v>294</v>
      </c>
      <c r="G20" s="4354" t="s">
        <v>3137</v>
      </c>
      <c r="H20" s="52"/>
      <c r="I20" s="52"/>
      <c r="J20" s="52"/>
      <c r="L20" s="52"/>
      <c r="M20" s="52"/>
    </row>
    <row r="21" spans="2:13" ht="12.95" customHeight="1">
      <c r="B21" s="4344"/>
      <c r="C21" s="3218">
        <v>1150001</v>
      </c>
      <c r="D21" s="1240" t="str">
        <f>VLOOKUP(C21,'מאזן בוחן'!C:D,2,0)</f>
        <v>הכנסות לקבל</v>
      </c>
      <c r="E21" s="1702">
        <f>F21*'מאזן בוחן'!N2</f>
        <v>0</v>
      </c>
      <c r="F21" s="2265"/>
      <c r="G21" s="4355"/>
      <c r="H21" s="52"/>
      <c r="I21" s="52"/>
      <c r="J21" s="52"/>
      <c r="L21" s="52"/>
      <c r="M21" s="52"/>
    </row>
    <row r="22" spans="2:13" ht="13.5" customHeight="1" thickBot="1">
      <c r="B22" s="4345"/>
      <c r="C22" s="3221" t="s">
        <v>3692</v>
      </c>
      <c r="D22" s="1241" t="str">
        <f>VLOOKUP(C22,'מאזן בוחן'!C:D,2,0)</f>
        <v>הכנסות פטורות תחזוקה לצורך מאזן בלבד</v>
      </c>
      <c r="E22" s="1703">
        <f>-E21</f>
        <v>0</v>
      </c>
      <c r="F22" s="2265">
        <f>-F21</f>
        <v>0</v>
      </c>
      <c r="G22" s="4356"/>
      <c r="I22" s="52"/>
      <c r="J22" s="52"/>
      <c r="L22" s="52"/>
      <c r="M22" s="52"/>
    </row>
    <row r="23" spans="2:13" ht="13.5" thickBot="1">
      <c r="B23" s="2220">
        <f>B20+1</f>
        <v>6</v>
      </c>
      <c r="C23" s="3369" t="s">
        <v>2467</v>
      </c>
      <c r="D23" s="1370"/>
      <c r="E23" s="1197" t="s">
        <v>1458</v>
      </c>
      <c r="F23" s="2648" t="s">
        <v>294</v>
      </c>
      <c r="G23" s="4351" t="s">
        <v>2429</v>
      </c>
      <c r="H23" s="52"/>
      <c r="I23" s="52"/>
      <c r="J23" s="52"/>
      <c r="L23" s="52"/>
      <c r="M23" s="52"/>
    </row>
    <row r="24" spans="2:13">
      <c r="B24" s="4348"/>
      <c r="C24" s="3218">
        <v>2600003</v>
      </c>
      <c r="D24" s="1240" t="str">
        <f>VLOOKUP(C24,'מאזן בוחן'!C:D,2,0)</f>
        <v xml:space="preserve">הוצ' מראש זמן ארוך </v>
      </c>
      <c r="E24" s="1704"/>
      <c r="F24" s="1700"/>
      <c r="G24" s="4352"/>
      <c r="H24" s="52"/>
      <c r="I24" s="52"/>
      <c r="J24" s="52"/>
    </row>
    <row r="25" spans="2:13" ht="13.5" thickBot="1">
      <c r="B25" s="4349"/>
      <c r="C25" s="3219">
        <v>1100001</v>
      </c>
      <c r="D25" s="1241" t="str">
        <f>VLOOKUP(C25,'מאזן בוחן'!C:D,2,0)</f>
        <v>הוצאות מראש</v>
      </c>
      <c r="E25" s="1703"/>
      <c r="F25" s="3411"/>
      <c r="G25" s="4353"/>
      <c r="H25" s="52"/>
      <c r="I25" s="52"/>
      <c r="J25" s="52"/>
    </row>
    <row r="26" spans="2:13" ht="13.5" thickBot="1">
      <c r="B26" s="2220">
        <f>B23+1</f>
        <v>7</v>
      </c>
      <c r="C26" s="3369" t="s">
        <v>2478</v>
      </c>
      <c r="D26" s="1370"/>
      <c r="E26" s="1197" t="s">
        <v>1458</v>
      </c>
      <c r="F26" s="1345" t="s">
        <v>294</v>
      </c>
      <c r="G26" s="4351" t="s">
        <v>2452</v>
      </c>
      <c r="H26" s="4376" t="s">
        <v>2821</v>
      </c>
      <c r="I26" s="52"/>
      <c r="J26" s="52"/>
    </row>
    <row r="27" spans="2:13" ht="12.95" customHeight="1">
      <c r="B27" s="4344"/>
      <c r="C27" s="3222">
        <v>6030001</v>
      </c>
      <c r="D27" s="1240" t="str">
        <f>VLOOKUP(C27,'מאזן בוחן'!C:D,2,0)</f>
        <v>העמסת הנכ"כ למחלקת  מו"פ</v>
      </c>
      <c r="E27" s="3478">
        <f>'העמסת הנה"כ'!I5</f>
        <v>-1.0582013055682182E-3</v>
      </c>
      <c r="F27" s="3479">
        <f>'העמסת הנה"כ'!J5</f>
        <v>1.7841299995779991E-4</v>
      </c>
      <c r="G27" s="4352"/>
      <c r="H27" s="4377"/>
      <c r="I27" s="52"/>
      <c r="J27" s="52"/>
    </row>
    <row r="28" spans="2:13" ht="12.95" customHeight="1">
      <c r="B28" s="4346"/>
      <c r="C28" s="3222">
        <v>7030001</v>
      </c>
      <c r="D28" s="1240" t="str">
        <f>VLOOKUP(C28,'מאזן בוחן'!C:D,2,0)</f>
        <v>העמסת הוצאות הנה"כ על השיווק</v>
      </c>
      <c r="E28" s="3478">
        <f>'העמסת הנה"כ'!I6</f>
        <v>8.9947087690234184E-4</v>
      </c>
      <c r="F28" s="3479">
        <f>'העמסת הנה"כ'!J6</f>
        <v>-1.0845719370990992E-3</v>
      </c>
      <c r="G28" s="4352"/>
      <c r="H28" s="4377"/>
      <c r="I28" s="52"/>
      <c r="J28" s="52"/>
      <c r="K28" s="2548"/>
    </row>
    <row r="29" spans="2:13" ht="12.95" customHeight="1">
      <c r="B29" s="4346"/>
      <c r="C29" s="3222">
        <v>5120001</v>
      </c>
      <c r="D29" s="1240" t="str">
        <f>VLOOKUP(C29,'מאזן בוחן'!C:D,2,0)</f>
        <v>העמסת הנה"כ לעלות המכר</v>
      </c>
      <c r="E29" s="3478">
        <f>'העמסת הנה"כ'!I7</f>
        <v>3.8095235358923674E-3</v>
      </c>
      <c r="F29" s="3479">
        <f>'העמסת הנה"כ'!J7</f>
        <v>7.5840688077732921E-4</v>
      </c>
      <c r="G29" s="4352"/>
      <c r="H29" s="4377"/>
      <c r="I29" s="52"/>
      <c r="J29" s="52"/>
    </row>
    <row r="30" spans="2:13" ht="13.5" customHeight="1" thickBot="1">
      <c r="B30" s="4345"/>
      <c r="C30" s="3223">
        <v>93100</v>
      </c>
      <c r="D30" s="1241" t="str">
        <f>VLOOKUP(C30,'מאזן בוחן'!C:D,2,0)</f>
        <v>העמסת הוצאות הנה"כ למחלקות אחרות</v>
      </c>
      <c r="E30" s="1703">
        <f>-SUM(E27:E29)</f>
        <v>-3.650793107226491E-3</v>
      </c>
      <c r="F30" s="1700">
        <f>-SUM(F27:F29)</f>
        <v>1.4775205636397004E-4</v>
      </c>
      <c r="G30" s="4353"/>
      <c r="H30" s="4378"/>
      <c r="I30" s="52"/>
      <c r="J30" s="52"/>
    </row>
    <row r="31" spans="2:13" ht="13.5" thickBot="1">
      <c r="B31" s="2220">
        <f>B26+1</f>
        <v>8</v>
      </c>
      <c r="C31" s="3369" t="s">
        <v>4820</v>
      </c>
      <c r="D31" s="1370"/>
      <c r="E31" s="1345" t="s">
        <v>1458</v>
      </c>
      <c r="F31" s="1606" t="s">
        <v>294</v>
      </c>
      <c r="G31" s="2428" t="s">
        <v>3478</v>
      </c>
      <c r="H31" s="52"/>
      <c r="I31" s="52"/>
      <c r="J31" s="52"/>
    </row>
    <row r="32" spans="2:13">
      <c r="B32" s="4344"/>
      <c r="C32" s="3218">
        <v>7110003</v>
      </c>
      <c r="D32" s="1240" t="str">
        <f>VLOOKUP(C32,'מאזן בוחן'!C:D,2,0)</f>
        <v>שכר מכירות- עמלות למאזן בלבד</v>
      </c>
      <c r="E32" s="2800">
        <f>F32*'מאזן בוחן'!$N$2</f>
        <v>0</v>
      </c>
      <c r="F32" s="1702">
        <v>0</v>
      </c>
      <c r="G32" s="3826" t="s">
        <v>1386</v>
      </c>
      <c r="H32" s="52"/>
      <c r="I32" s="52"/>
      <c r="J32" s="52"/>
    </row>
    <row r="33" spans="2:10">
      <c r="B33" s="4346"/>
      <c r="C33" s="3218">
        <v>7110003</v>
      </c>
      <c r="D33" s="1240" t="str">
        <f>VLOOKUP(C33,'מאזן בוחן'!C:D,2,0)</f>
        <v>שכר מכירות- עמלות למאזן בלבד</v>
      </c>
      <c r="E33" s="2265">
        <f>F33*'מאזן בוחן'!$N$2</f>
        <v>0</v>
      </c>
      <c r="F33" s="1700"/>
      <c r="G33" s="3826" t="s">
        <v>1387</v>
      </c>
      <c r="H33" s="52"/>
      <c r="I33" s="52"/>
      <c r="J33" s="52"/>
    </row>
    <row r="34" spans="2:10">
      <c r="B34" s="4346"/>
      <c r="C34" s="3218">
        <v>7110003</v>
      </c>
      <c r="D34" s="1240" t="str">
        <f>VLOOKUP(C34,'מאזן בוחן'!C:D,2,0)</f>
        <v>שכר מכירות- עמלות למאזן בלבד</v>
      </c>
      <c r="E34" s="2265">
        <f>F34*'מאזן בוחן'!$N$2</f>
        <v>0</v>
      </c>
      <c r="F34" s="1700">
        <v>0</v>
      </c>
      <c r="G34" s="3826" t="s">
        <v>3491</v>
      </c>
      <c r="H34" s="52"/>
      <c r="I34" s="52"/>
      <c r="J34" s="52"/>
    </row>
    <row r="35" spans="2:10" ht="13.5" thickBot="1">
      <c r="B35" s="4345"/>
      <c r="C35" s="3219">
        <v>2400001</v>
      </c>
      <c r="D35" s="1241" t="str">
        <f>VLOOKUP(C35,'מאזן בוחן'!C:D,2,0)</f>
        <v>הוצאות לשלם עובדים</v>
      </c>
      <c r="E35" s="2265">
        <f>F35*'מאזן בוחן'!$N$2</f>
        <v>0</v>
      </c>
      <c r="F35" s="1701">
        <f>-SUM(F32:F34)</f>
        <v>0</v>
      </c>
      <c r="G35" s="3798" t="s">
        <v>3137</v>
      </c>
      <c r="H35" s="52"/>
      <c r="I35" s="52"/>
      <c r="J35" s="52"/>
    </row>
    <row r="36" spans="2:10" ht="13.5" thickBot="1">
      <c r="B36" s="2220">
        <f>B31+1</f>
        <v>9</v>
      </c>
      <c r="C36" s="3369" t="s">
        <v>2481</v>
      </c>
      <c r="D36" s="1370"/>
      <c r="E36" s="2648" t="s">
        <v>1458</v>
      </c>
      <c r="F36" s="1197" t="s">
        <v>294</v>
      </c>
      <c r="G36" s="4357" t="s">
        <v>2452</v>
      </c>
      <c r="H36" s="52"/>
      <c r="I36" s="52"/>
      <c r="J36" s="52"/>
    </row>
    <row r="37" spans="2:10">
      <c r="B37" s="4344"/>
      <c r="C37" s="3218">
        <v>1130001</v>
      </c>
      <c r="D37" s="1240" t="str">
        <f>VLOOKUP(C37,'מאזן בוחן'!C:D,2,0)</f>
        <v>אלגוסק INC</v>
      </c>
      <c r="E37" s="3478"/>
      <c r="F37" s="2556"/>
      <c r="G37" s="4358"/>
      <c r="H37" s="52"/>
      <c r="I37" s="52"/>
      <c r="J37" s="52"/>
    </row>
    <row r="38" spans="2:10" ht="13.5" thickBot="1">
      <c r="B38" s="4345"/>
      <c r="C38" s="3221">
        <v>80093</v>
      </c>
      <c r="D38" s="1241" t="str">
        <f>VLOOKUP(C38,'מאזן בוחן'!C:D,2,0)</f>
        <v>הכנסות בין חברתיות-תיקון/ביטול שנים קודמות</v>
      </c>
      <c r="E38" s="3482"/>
      <c r="F38" s="2557"/>
      <c r="G38" s="4359"/>
      <c r="H38" s="52"/>
      <c r="I38" s="52"/>
      <c r="J38" s="52"/>
    </row>
    <row r="39" spans="2:10" ht="13.5" thickBot="1">
      <c r="B39" s="2220" t="s">
        <v>4971</v>
      </c>
      <c r="C39" s="3369" t="s">
        <v>2481</v>
      </c>
      <c r="D39" s="1370"/>
      <c r="E39" s="2648" t="s">
        <v>1458</v>
      </c>
      <c r="F39" s="1197" t="s">
        <v>294</v>
      </c>
      <c r="G39" s="4357" t="s">
        <v>2452</v>
      </c>
      <c r="H39" s="52"/>
      <c r="I39" s="52"/>
      <c r="J39" s="52"/>
    </row>
    <row r="40" spans="2:10">
      <c r="B40" s="4344"/>
      <c r="C40" s="3218">
        <v>1130001</v>
      </c>
      <c r="D40" s="1240" t="str">
        <f>VLOOKUP(C40,'מאזן בוחן'!C:D,2,0)</f>
        <v>אלגוסק INC</v>
      </c>
      <c r="E40" s="3478"/>
      <c r="F40" s="2556"/>
      <c r="G40" s="4358"/>
      <c r="H40" s="52"/>
      <c r="I40" s="52"/>
      <c r="J40" s="52"/>
    </row>
    <row r="41" spans="2:10" ht="13.5" thickBot="1">
      <c r="B41" s="4345"/>
      <c r="C41" s="3221">
        <v>80093</v>
      </c>
      <c r="D41" s="1241" t="str">
        <f>VLOOKUP(C41,'מאזן בוחן'!C:D,2,0)</f>
        <v>הכנסות בין חברתיות-תיקון/ביטול שנים קודמות</v>
      </c>
      <c r="E41" s="3482"/>
      <c r="F41" s="2557"/>
      <c r="G41" s="4359"/>
      <c r="H41" s="52"/>
      <c r="I41" s="52"/>
      <c r="J41" s="52"/>
    </row>
    <row r="42" spans="2:10" ht="13.5" thickBot="1">
      <c r="B42" s="2220">
        <f>B36+1</f>
        <v>10</v>
      </c>
      <c r="C42" s="3369" t="s">
        <v>2482</v>
      </c>
      <c r="D42" s="1697"/>
      <c r="E42" s="1197" t="s">
        <v>1458</v>
      </c>
      <c r="F42" s="1197" t="s">
        <v>294</v>
      </c>
      <c r="G42" s="1197" t="s">
        <v>794</v>
      </c>
      <c r="H42" s="4357" t="s">
        <v>2452</v>
      </c>
      <c r="I42" s="52"/>
      <c r="J42" s="52"/>
    </row>
    <row r="43" spans="2:10">
      <c r="B43" s="4348"/>
      <c r="C43" s="1548">
        <v>1130005</v>
      </c>
      <c r="D43" s="1698" t="str">
        <f>VLOOKUP(C43,'מאזן בוחן'!C:D,2,0)</f>
        <v>אלגוסק אוסטרליה</v>
      </c>
      <c r="E43" s="2556"/>
      <c r="F43" s="3480"/>
      <c r="G43" s="3480"/>
      <c r="H43" s="4358"/>
      <c r="I43" s="52"/>
      <c r="J43" s="52"/>
    </row>
    <row r="44" spans="2:10">
      <c r="B44" s="4350"/>
      <c r="C44" s="1548">
        <v>9010002</v>
      </c>
      <c r="D44" s="1698" t="str">
        <f>VLOOKUP(C44,'מאזן בוחן'!C:D,2,0)</f>
        <v>הפרשי שער</v>
      </c>
      <c r="E44" s="2556"/>
      <c r="F44" s="2556"/>
      <c r="G44" s="3480"/>
      <c r="H44" s="4358"/>
      <c r="I44" s="52"/>
      <c r="J44" s="52"/>
    </row>
    <row r="45" spans="2:10" ht="13.5" thickBot="1">
      <c r="B45" s="4349"/>
      <c r="C45" s="1549">
        <v>80093</v>
      </c>
      <c r="D45" s="1699" t="str">
        <f>VLOOKUP(C45,'מאזן בוחן'!C:D,2,0)</f>
        <v>הכנסות בין חברתיות-תיקון/ביטול שנים קודמות</v>
      </c>
      <c r="E45" s="2557"/>
      <c r="F45" s="2557"/>
      <c r="G45" s="3481"/>
      <c r="H45" s="4359"/>
      <c r="I45" s="52"/>
      <c r="J45" s="52"/>
    </row>
    <row r="46" spans="2:10" ht="13.5" thickBot="1">
      <c r="B46" s="2220">
        <f>B42+1</f>
        <v>11</v>
      </c>
      <c r="C46" s="3369" t="s">
        <v>2483</v>
      </c>
      <c r="D46" s="1697"/>
      <c r="E46" s="1197" t="s">
        <v>1458</v>
      </c>
      <c r="F46" s="1197" t="s">
        <v>294</v>
      </c>
      <c r="G46" s="1197" t="s">
        <v>794</v>
      </c>
      <c r="H46" s="4357" t="s">
        <v>2429</v>
      </c>
      <c r="I46" s="52"/>
      <c r="J46" s="52"/>
    </row>
    <row r="47" spans="2:10">
      <c r="B47" s="4348"/>
      <c r="C47" s="1548">
        <v>80093</v>
      </c>
      <c r="D47" s="1698" t="str">
        <f>VLOOKUP(C47,'מאזן בוחן'!C:D,2,0)</f>
        <v>הכנסות בין חברתיות-תיקון/ביטול שנים קודמות</v>
      </c>
      <c r="E47" s="2556">
        <f>F47*'מאזן בוחן'!$N$2</f>
        <v>0</v>
      </c>
      <c r="F47" s="3480"/>
      <c r="G47" s="3480"/>
      <c r="H47" s="4358"/>
      <c r="I47" s="52"/>
      <c r="J47" s="52"/>
    </row>
    <row r="48" spans="2:10">
      <c r="B48" s="4350"/>
      <c r="C48" s="1548">
        <v>53699</v>
      </c>
      <c r="D48" s="1698" t="str">
        <f>VLOOKUP(C48,'מאזן בוחן'!C:D,2,0)</f>
        <v>מיון הכנסות מראש מז"ק לז"א TP</v>
      </c>
      <c r="E48" s="2556">
        <f>F48*'מאזן בוחן'!$N$2</f>
        <v>0</v>
      </c>
      <c r="F48" s="2556"/>
      <c r="G48" s="3480"/>
      <c r="H48" s="4358"/>
      <c r="I48" s="52"/>
      <c r="J48" s="52"/>
    </row>
    <row r="49" spans="2:12" ht="13.5" thickBot="1">
      <c r="B49" s="4349"/>
      <c r="C49" s="1549">
        <v>53588</v>
      </c>
      <c r="D49" s="1699" t="str">
        <f>VLOOKUP(C49,'מאזן בוחן'!C:D,2,0)</f>
        <v>הכנסות מראש TP</v>
      </c>
      <c r="E49" s="2557">
        <f>F49*'מאזן בוחן'!$N$2</f>
        <v>0</v>
      </c>
      <c r="F49" s="2557"/>
      <c r="G49" s="3481"/>
      <c r="H49" s="4359"/>
      <c r="I49" s="52"/>
      <c r="J49" s="52"/>
    </row>
    <row r="50" spans="2:12" ht="13.5" thickBot="1">
      <c r="B50" s="2220">
        <f>B46+1</f>
        <v>12</v>
      </c>
      <c r="C50" s="3369" t="s">
        <v>2484</v>
      </c>
      <c r="D50" s="1697"/>
      <c r="E50" s="1197" t="s">
        <v>1458</v>
      </c>
      <c r="F50" s="1197" t="s">
        <v>294</v>
      </c>
      <c r="G50" s="1197" t="s">
        <v>400</v>
      </c>
      <c r="H50" s="4357" t="s">
        <v>2452</v>
      </c>
      <c r="I50" s="52"/>
      <c r="J50" s="52"/>
    </row>
    <row r="51" spans="2:12">
      <c r="B51" s="4344"/>
      <c r="C51" s="532">
        <v>1130002</v>
      </c>
      <c r="D51" s="544" t="str">
        <f>VLOOKUP(C51,'מאזן בוחן'!C:D,2,0)</f>
        <v>אלגוסק UK</v>
      </c>
      <c r="E51" s="2870"/>
      <c r="F51" s="3483"/>
      <c r="G51" s="3442"/>
      <c r="H51" s="4358"/>
      <c r="I51" s="52"/>
      <c r="J51" s="52"/>
    </row>
    <row r="52" spans="2:12">
      <c r="B52" s="4346"/>
      <c r="C52" s="532">
        <v>9010002</v>
      </c>
      <c r="D52" s="544" t="str">
        <f>VLOOKUP(C52,'מאזן בוחן'!C:D,2,0)</f>
        <v>הפרשי שער</v>
      </c>
      <c r="E52" s="2556"/>
      <c r="F52" s="3483"/>
      <c r="G52" s="3442"/>
      <c r="H52" s="4358"/>
      <c r="I52" s="52"/>
      <c r="J52" s="52"/>
    </row>
    <row r="53" spans="2:12" ht="13.5" thickBot="1">
      <c r="B53" s="4345"/>
      <c r="C53" s="1556">
        <v>80093</v>
      </c>
      <c r="D53" s="1096" t="str">
        <f>VLOOKUP(C53,'מאזן בוחן'!C:D,2,0)</f>
        <v>הכנסות בין חברתיות-תיקון/ביטול שנים קודמות</v>
      </c>
      <c r="E53" s="2557"/>
      <c r="F53" s="3484"/>
      <c r="G53" s="3444"/>
      <c r="H53" s="4359"/>
      <c r="I53" s="52"/>
      <c r="J53" s="52"/>
    </row>
    <row r="54" spans="2:12" ht="13.5" thickBot="1">
      <c r="B54" s="1608">
        <f>B50+1</f>
        <v>13</v>
      </c>
      <c r="C54" s="3369" t="s">
        <v>2485</v>
      </c>
      <c r="D54" s="1344"/>
      <c r="E54" s="1197" t="s">
        <v>1458</v>
      </c>
      <c r="F54" s="1345" t="s">
        <v>294</v>
      </c>
      <c r="G54" s="1197" t="s">
        <v>400</v>
      </c>
      <c r="H54" s="4357" t="s">
        <v>3137</v>
      </c>
      <c r="I54" s="52"/>
      <c r="J54" s="52"/>
    </row>
    <row r="55" spans="2:12">
      <c r="B55" s="4344"/>
      <c r="C55" s="532">
        <v>80093</v>
      </c>
      <c r="D55" s="544" t="str">
        <f>VLOOKUP(C55,'מאזן בוחן'!C:D,2,0)</f>
        <v>הכנסות בין חברתיות-תיקון/ביטול שנים קודמות</v>
      </c>
      <c r="E55" s="2556">
        <f>F55*'מאזן בוחן'!$N$2</f>
        <v>0</v>
      </c>
      <c r="F55" s="3441">
        <f>-'פ.נ. EUROPE'!F31</f>
        <v>0</v>
      </c>
      <c r="G55" s="3442">
        <f>-'פ.נ. EUROPE'!E31</f>
        <v>0</v>
      </c>
      <c r="H55" s="4358"/>
      <c r="I55" s="52"/>
      <c r="J55" s="52"/>
    </row>
    <row r="56" spans="2:12">
      <c r="B56" s="4346"/>
      <c r="C56" s="532">
        <v>53699</v>
      </c>
      <c r="D56" s="544" t="str">
        <f>VLOOKUP(C56,'מאזן בוחן'!C:D,2,0)</f>
        <v>מיון הכנסות מראש מז"ק לז"א TP</v>
      </c>
      <c r="E56" s="2556">
        <f>F56*'מאזן בוחן'!$N$2</f>
        <v>0</v>
      </c>
      <c r="F56" s="3441">
        <f>-'פ.נ. EUROPE'!F33</f>
        <v>0</v>
      </c>
      <c r="G56" s="3442">
        <f>-'פ.נ. EUROPE'!E33</f>
        <v>0</v>
      </c>
      <c r="H56" s="4358"/>
      <c r="I56" s="52"/>
      <c r="J56" s="52"/>
    </row>
    <row r="57" spans="2:12" ht="13.5" thickBot="1">
      <c r="B57" s="4345"/>
      <c r="C57" s="1552">
        <v>53588</v>
      </c>
      <c r="D57" s="1096" t="str">
        <f>VLOOKUP(C57,'מאזן בוחן'!C:D,2,0)</f>
        <v>הכנסות מראש TP</v>
      </c>
      <c r="E57" s="2556">
        <f>F57*'מאזן בוחן'!$N$2</f>
        <v>0</v>
      </c>
      <c r="F57" s="3443">
        <f>-'פ.נ. EUROPE'!F32</f>
        <v>0</v>
      </c>
      <c r="G57" s="3444">
        <f>-'פ.נ. EUROPE'!E32</f>
        <v>0</v>
      </c>
      <c r="H57" s="4359"/>
      <c r="I57" s="52"/>
      <c r="J57" s="52"/>
      <c r="L57" s="1737"/>
    </row>
    <row r="58" spans="2:12" ht="13.5" thickBot="1">
      <c r="B58" s="2220">
        <f>B54+1</f>
        <v>14</v>
      </c>
      <c r="C58" s="1696" t="s">
        <v>4211</v>
      </c>
      <c r="D58" s="1697"/>
      <c r="E58" s="1606" t="s">
        <v>1458</v>
      </c>
      <c r="F58" s="1197" t="s">
        <v>294</v>
      </c>
      <c r="G58" s="1936" t="s">
        <v>2628</v>
      </c>
      <c r="H58" s="4357" t="s">
        <v>3137</v>
      </c>
      <c r="I58" s="52"/>
      <c r="J58" s="52"/>
    </row>
    <row r="59" spans="2:12">
      <c r="B59" s="4344"/>
      <c r="C59" s="532" t="s">
        <v>718</v>
      </c>
      <c r="D59" s="544" t="str">
        <f>VLOOKUP(C59,'מאזן בוחן'!C:D,2,0)</f>
        <v>מיון הכנסות מוצר (רוה"ס)</v>
      </c>
      <c r="E59" s="1607">
        <f>F59*'מאזן בוחן'!$N$2</f>
        <v>0</v>
      </c>
      <c r="F59" s="1705"/>
      <c r="G59" s="4374" t="s">
        <v>4580</v>
      </c>
      <c r="H59" s="4358"/>
      <c r="I59" s="52"/>
      <c r="J59" s="52"/>
      <c r="K59" s="976"/>
      <c r="L59" s="1752"/>
    </row>
    <row r="60" spans="2:12" ht="13.5" thickBot="1">
      <c r="B60" s="4345"/>
      <c r="C60" s="1552">
        <v>53599</v>
      </c>
      <c r="D60" s="1096" t="str">
        <f>VLOOKUP(C60,'מאזן בוחן'!C:D,2,0)</f>
        <v>מיון מהכנסות</v>
      </c>
      <c r="E60" s="1582">
        <f>-E59</f>
        <v>0</v>
      </c>
      <c r="F60" s="1706">
        <f>-F59</f>
        <v>0</v>
      </c>
      <c r="G60" s="4375"/>
      <c r="H60" s="4359"/>
      <c r="I60" s="52"/>
      <c r="J60" s="52"/>
    </row>
    <row r="61" spans="2:12" ht="13.5" thickBot="1">
      <c r="B61" s="2220">
        <f>B58+1</f>
        <v>15</v>
      </c>
      <c r="C61" s="1696" t="s">
        <v>2624</v>
      </c>
      <c r="D61" s="1697"/>
      <c r="E61" s="1606" t="s">
        <v>1458</v>
      </c>
      <c r="F61" s="1197" t="s">
        <v>294</v>
      </c>
      <c r="G61" s="4357"/>
      <c r="I61" s="52"/>
      <c r="J61" s="52"/>
    </row>
    <row r="62" spans="2:12">
      <c r="B62" s="4344"/>
      <c r="C62" s="532">
        <v>6010008</v>
      </c>
      <c r="D62" s="544" t="str">
        <f>VLOOKUP(C62,'מאזן בוחן'!C:D,2,0)</f>
        <v>שרותי פיתוח מטריקס</v>
      </c>
      <c r="E62" s="1607"/>
      <c r="F62" s="1705"/>
      <c r="G62" s="4358"/>
      <c r="I62" s="52"/>
      <c r="J62" s="52"/>
    </row>
    <row r="63" spans="2:12" ht="13.5" thickBot="1">
      <c r="B63" s="4345"/>
      <c r="C63" s="1552">
        <v>6010010</v>
      </c>
      <c r="D63" s="1096" t="str">
        <f>VLOOKUP(C63,'מאזן בוחן'!C:D,2,0)</f>
        <v>בונוסים מטריקס</v>
      </c>
      <c r="E63" s="1582"/>
      <c r="F63" s="1706"/>
      <c r="G63" s="4359"/>
      <c r="I63" s="52"/>
      <c r="J63" s="52"/>
    </row>
    <row r="64" spans="2:12" ht="13.5" thickBot="1">
      <c r="B64" s="2220">
        <f>B61+1</f>
        <v>16</v>
      </c>
      <c r="C64" s="1696" t="s">
        <v>2668</v>
      </c>
      <c r="D64" s="1344"/>
      <c r="E64" s="1197" t="s">
        <v>1458</v>
      </c>
      <c r="F64" s="1197" t="s">
        <v>294</v>
      </c>
      <c r="G64" s="1345" t="s">
        <v>1225</v>
      </c>
      <c r="H64" s="4357" t="s">
        <v>2427</v>
      </c>
      <c r="I64" s="52"/>
      <c r="J64" s="52"/>
    </row>
    <row r="65" spans="2:10">
      <c r="B65" s="4344"/>
      <c r="C65" s="532">
        <v>1130008</v>
      </c>
      <c r="D65" s="544" t="str">
        <f>VLOOKUP(C65,'מאזן בוחן'!C:D,2,0)</f>
        <v>אלגוסק צרפת</v>
      </c>
      <c r="E65" s="1704">
        <f>F65*'מאזן בוחן'!$N$2</f>
        <v>0</v>
      </c>
      <c r="F65" s="1705"/>
      <c r="G65" s="2253"/>
      <c r="H65" s="4358"/>
      <c r="I65" s="52"/>
      <c r="J65" s="52"/>
    </row>
    <row r="66" spans="2:10">
      <c r="B66" s="4346"/>
      <c r="C66" s="532">
        <v>9010002</v>
      </c>
      <c r="D66" s="544" t="str">
        <f>VLOOKUP(C66,'מאזן בוחן'!C:D,2,0)</f>
        <v>הפרשי שער</v>
      </c>
      <c r="E66" s="1704">
        <f>-E67-E65</f>
        <v>0</v>
      </c>
      <c r="F66" s="1704"/>
      <c r="G66" s="2265"/>
      <c r="H66" s="4358"/>
      <c r="I66" s="52"/>
      <c r="J66" s="52"/>
    </row>
    <row r="67" spans="2:10" ht="13.5" thickBot="1">
      <c r="B67" s="4345"/>
      <c r="C67" s="1556">
        <v>80093</v>
      </c>
      <c r="D67" s="1096" t="str">
        <f>VLOOKUP(C67,'מאזן בוחן'!C:D,2,0)</f>
        <v>הכנסות בין חברתיות-תיקון/ביטול שנים קודמות</v>
      </c>
      <c r="E67" s="1703">
        <f>F67*'מאזן בוחן'!$N$2</f>
        <v>0</v>
      </c>
      <c r="F67" s="1706"/>
      <c r="G67" s="2254"/>
      <c r="H67" s="4359"/>
      <c r="I67" s="52"/>
      <c r="J67" s="52"/>
    </row>
    <row r="68" spans="2:10" ht="13.5" thickBot="1">
      <c r="B68" s="2220">
        <f>B64+1</f>
        <v>17</v>
      </c>
      <c r="C68" s="1696" t="s">
        <v>2970</v>
      </c>
      <c r="D68" s="1344"/>
      <c r="E68" s="1197" t="s">
        <v>1458</v>
      </c>
      <c r="F68" s="1197" t="s">
        <v>294</v>
      </c>
      <c r="G68" s="1345" t="s">
        <v>1225</v>
      </c>
      <c r="H68" s="4357" t="s">
        <v>3137</v>
      </c>
      <c r="I68" s="52"/>
      <c r="J68" s="52"/>
    </row>
    <row r="69" spans="2:10">
      <c r="B69" s="4344"/>
      <c r="C69" s="532">
        <v>80093</v>
      </c>
      <c r="D69" s="544" t="str">
        <f>VLOOKUP(C69,'מאזן בוחן'!C:D,2,0)</f>
        <v>הכנסות בין חברתיות-תיקון/ביטול שנים קודמות</v>
      </c>
      <c r="E69" s="1704">
        <f>F69*'מאזן בוחן'!$N$2</f>
        <v>0</v>
      </c>
      <c r="F69" s="1705">
        <f>-'פ.נ. צרפת'!F14</f>
        <v>0</v>
      </c>
      <c r="G69" s="2253">
        <f>-'פ.נ. צרפת'!E14</f>
        <v>0</v>
      </c>
      <c r="H69" s="4358"/>
      <c r="I69" s="52"/>
      <c r="J69" s="52"/>
    </row>
    <row r="70" spans="2:10">
      <c r="B70" s="4346"/>
      <c r="C70" s="532">
        <v>53699</v>
      </c>
      <c r="D70" s="544" t="str">
        <f>VLOOKUP(C70,'מאזן בוחן'!C:D,2,0)</f>
        <v>מיון הכנסות מראש מז"ק לז"א TP</v>
      </c>
      <c r="E70" s="1704">
        <f>-E71-E69</f>
        <v>0</v>
      </c>
      <c r="F70" s="2552">
        <f>-F71-F69</f>
        <v>0</v>
      </c>
      <c r="G70" s="2552">
        <f>-G71-G69</f>
        <v>0</v>
      </c>
      <c r="H70" s="4358"/>
      <c r="I70" s="52"/>
      <c r="J70" s="52"/>
    </row>
    <row r="71" spans="2:10" ht="13.5" thickBot="1">
      <c r="B71" s="4345"/>
      <c r="C71" s="1556">
        <v>53588</v>
      </c>
      <c r="D71" s="1096" t="str">
        <f>VLOOKUP(C71,'מאזן בוחן'!C:D,2,0)</f>
        <v>הכנסות מראש TP</v>
      </c>
      <c r="E71" s="1703">
        <f>F71*'מאזן בוחן'!$N$2</f>
        <v>0</v>
      </c>
      <c r="F71" s="1706">
        <f>-'פ.נ. צרפת'!F16</f>
        <v>0</v>
      </c>
      <c r="G71" s="2254">
        <f>-'פ.נ. צרפת'!E16</f>
        <v>0</v>
      </c>
      <c r="H71" s="4359"/>
      <c r="I71" s="52"/>
      <c r="J71" s="52"/>
    </row>
    <row r="72" spans="2:10" ht="13.5" thickBot="1">
      <c r="B72" s="2220">
        <f>B68+1</f>
        <v>18</v>
      </c>
      <c r="C72" s="1696" t="s">
        <v>4765</v>
      </c>
      <c r="D72" s="1344"/>
      <c r="E72" s="1197" t="s">
        <v>1458</v>
      </c>
      <c r="F72" s="1345" t="s">
        <v>294</v>
      </c>
      <c r="G72" s="2593"/>
      <c r="I72" s="52"/>
      <c r="J72" s="52"/>
    </row>
    <row r="73" spans="2:10" ht="12.95" customHeight="1">
      <c r="B73" s="4344"/>
      <c r="C73" s="4171" t="s">
        <v>1238</v>
      </c>
      <c r="D73" s="544" t="s">
        <v>1239</v>
      </c>
      <c r="E73" s="1704">
        <f>F73*'מאזן בוחן'!$N$2</f>
        <v>0</v>
      </c>
      <c r="F73" s="1976"/>
      <c r="G73" s="4357" t="s">
        <v>2486</v>
      </c>
      <c r="I73" s="52"/>
      <c r="J73" s="52"/>
    </row>
    <row r="74" spans="2:10" ht="12.95" customHeight="1">
      <c r="B74" s="4346"/>
      <c r="C74" s="4172">
        <v>6010004</v>
      </c>
      <c r="D74" s="544" t="s">
        <v>1240</v>
      </c>
      <c r="E74" s="1704">
        <f>F74*'מאזן בוחן'!$N$2</f>
        <v>0</v>
      </c>
      <c r="F74" s="1976"/>
      <c r="G74" s="4358"/>
      <c r="I74" s="52"/>
      <c r="J74" s="52"/>
    </row>
    <row r="75" spans="2:10" ht="12.95" customHeight="1">
      <c r="B75" s="4346"/>
      <c r="C75" s="4172">
        <v>6110004</v>
      </c>
      <c r="D75" s="544" t="s">
        <v>1241</v>
      </c>
      <c r="E75" s="1704">
        <f>F75*'מאזן בוחן'!$N$2</f>
        <v>0</v>
      </c>
      <c r="F75" s="1976"/>
      <c r="G75" s="4358"/>
      <c r="I75" s="52"/>
      <c r="J75" s="52"/>
    </row>
    <row r="76" spans="2:10" ht="12.95" customHeight="1">
      <c r="B76" s="4346"/>
      <c r="C76" s="4172">
        <v>7110006</v>
      </c>
      <c r="D76" s="544" t="s">
        <v>1242</v>
      </c>
      <c r="E76" s="1704">
        <f>F76*'מאזן בוחן'!$N$2</f>
        <v>0</v>
      </c>
      <c r="F76" s="1976"/>
      <c r="G76" s="4358"/>
      <c r="I76" s="52"/>
      <c r="J76" s="52"/>
    </row>
    <row r="77" spans="2:10" ht="12.95" customHeight="1">
      <c r="B77" s="4346"/>
      <c r="C77" s="4172">
        <v>70100025</v>
      </c>
      <c r="D77" s="544" t="s">
        <v>775</v>
      </c>
      <c r="E77" s="1704">
        <f>F77*'מאזן בוחן'!$N$2</f>
        <v>0</v>
      </c>
      <c r="F77" s="1976"/>
      <c r="G77" s="4358"/>
      <c r="I77" s="52"/>
      <c r="J77" s="52"/>
    </row>
    <row r="78" spans="2:10" ht="12.95" customHeight="1">
      <c r="B78" s="4346"/>
      <c r="C78" s="4172">
        <v>90102</v>
      </c>
      <c r="D78" s="544" t="s">
        <v>1243</v>
      </c>
      <c r="E78" s="1704">
        <f>F78*'מאזן בוחן'!$N$2</f>
        <v>0</v>
      </c>
      <c r="F78" s="1976"/>
      <c r="G78" s="4358"/>
      <c r="I78" s="52"/>
      <c r="J78" s="52"/>
    </row>
    <row r="79" spans="2:10" ht="13.5" customHeight="1" thickBot="1">
      <c r="B79" s="4345"/>
      <c r="C79" s="4173">
        <v>1130001</v>
      </c>
      <c r="D79" s="1096" t="s">
        <v>296</v>
      </c>
      <c r="E79" s="1704">
        <f>F79*'מאזן בוחן'!$N$2</f>
        <v>0</v>
      </c>
      <c r="F79" s="1701">
        <f>-SUM(F73:F78)</f>
        <v>0</v>
      </c>
      <c r="G79" s="4359"/>
      <c r="I79" s="52"/>
      <c r="J79" s="52"/>
    </row>
    <row r="80" spans="2:10" ht="13.5" thickBot="1">
      <c r="B80" s="2220">
        <f>B72+1</f>
        <v>19</v>
      </c>
      <c r="C80" s="1555" t="s">
        <v>3082</v>
      </c>
      <c r="D80" s="560"/>
      <c r="E80" s="1196" t="s">
        <v>1458</v>
      </c>
      <c r="F80" s="1953" t="s">
        <v>294</v>
      </c>
      <c r="G80" s="4357" t="s">
        <v>2427</v>
      </c>
      <c r="I80" s="52"/>
      <c r="J80" s="52"/>
    </row>
    <row r="81" spans="1:13" ht="12.95" customHeight="1">
      <c r="B81" s="4360"/>
      <c r="C81" s="545">
        <v>5800002</v>
      </c>
      <c r="D81" s="544" t="str">
        <f>VLOOKUP(C81,'מאזן בוחן'!C:D,2,0)</f>
        <v>רכיבים-ארו רפק ARROW</v>
      </c>
      <c r="E81" s="1704">
        <f>-E82</f>
        <v>0</v>
      </c>
      <c r="F81" s="1016"/>
      <c r="G81" s="4358"/>
      <c r="I81" s="52"/>
      <c r="J81" s="52"/>
    </row>
    <row r="82" spans="1:13" ht="13.5" thickBot="1">
      <c r="B82" s="4361"/>
      <c r="C82" s="545">
        <v>1100005</v>
      </c>
      <c r="D82" s="544" t="str">
        <f>VLOOKUP(C82,'מאזן בוחן'!C:D,2,0)</f>
        <v>הוצ' מראש ARROW</v>
      </c>
      <c r="E82" s="1704">
        <f>F82*'מאזן בוחן'!$N$2</f>
        <v>0</v>
      </c>
      <c r="F82" s="2265">
        <f>-F81</f>
        <v>0</v>
      </c>
      <c r="G82" s="4359"/>
      <c r="H82" s="1695"/>
      <c r="I82" s="52"/>
      <c r="J82" s="52"/>
    </row>
    <row r="83" spans="1:13" ht="13.5" thickBot="1">
      <c r="B83" s="2220">
        <f>B80+1</f>
        <v>20</v>
      </c>
      <c r="C83" s="1555" t="s">
        <v>3083</v>
      </c>
      <c r="D83" s="560"/>
      <c r="E83" s="1196" t="s">
        <v>1458</v>
      </c>
      <c r="F83" s="1953" t="s">
        <v>294</v>
      </c>
      <c r="G83" s="4357" t="s">
        <v>2427</v>
      </c>
      <c r="H83" s="1695"/>
      <c r="I83" s="52"/>
      <c r="J83" s="52"/>
    </row>
    <row r="84" spans="1:13">
      <c r="B84" s="4360"/>
      <c r="C84" s="545">
        <v>1100005</v>
      </c>
      <c r="D84" s="544" t="str">
        <f>VLOOKUP(C84,'מאזן בוחן'!C:D,2,0)</f>
        <v>הוצ' מראש ARROW</v>
      </c>
      <c r="E84" s="1704">
        <f>F84*'מאזן בוחן'!$N$2</f>
        <v>0</v>
      </c>
      <c r="F84" s="1016"/>
      <c r="G84" s="4358"/>
      <c r="H84" s="1695"/>
      <c r="I84" s="52"/>
      <c r="J84" s="52"/>
    </row>
    <row r="85" spans="1:13" ht="13.5" thickBot="1">
      <c r="B85" s="4361"/>
      <c r="C85" s="546">
        <v>5800002</v>
      </c>
      <c r="D85" s="1096" t="str">
        <f>VLOOKUP(C85,'מאזן בוחן'!C:D,2,0)</f>
        <v>רכיבים-ארו רפק ARROW</v>
      </c>
      <c r="E85" s="1703">
        <f>-E84</f>
        <v>0</v>
      </c>
      <c r="F85" s="2266">
        <f>-F84</f>
        <v>0</v>
      </c>
      <c r="G85" s="4359"/>
      <c r="H85" s="1695"/>
      <c r="I85" s="52"/>
      <c r="J85" s="52"/>
    </row>
    <row r="86" spans="1:13" ht="13.5" thickBot="1">
      <c r="B86" s="2220">
        <f>B83+1</f>
        <v>21</v>
      </c>
      <c r="C86" s="3187" t="s">
        <v>4885</v>
      </c>
      <c r="D86" s="560"/>
      <c r="E86" s="1196" t="s">
        <v>1458</v>
      </c>
      <c r="F86" s="1953" t="s">
        <v>294</v>
      </c>
      <c r="G86" s="4362" t="s">
        <v>2427</v>
      </c>
      <c r="H86" s="1695"/>
      <c r="I86" s="52"/>
      <c r="J86" s="52"/>
    </row>
    <row r="87" spans="1:13">
      <c r="B87" s="4360"/>
      <c r="C87" s="1239">
        <v>9010004</v>
      </c>
      <c r="D87" s="544" t="str">
        <f>VLOOKUP(C87,'מאזן בוחן'!C:D,2,0)</f>
        <v>ריבית והפרשי הצמדה ממוסדות</v>
      </c>
      <c r="E87" s="1704">
        <f>-E88</f>
        <v>0</v>
      </c>
      <c r="F87" s="2265">
        <f>E87/'מאזן בוחן'!$N$2</f>
        <v>0</v>
      </c>
      <c r="G87" s="4363"/>
      <c r="H87" s="1695"/>
      <c r="I87" s="52"/>
      <c r="J87" s="52"/>
    </row>
    <row r="88" spans="1:13" ht="13.5" thickBot="1">
      <c r="B88" s="4361"/>
      <c r="C88" s="1347">
        <v>8410300</v>
      </c>
      <c r="D88" s="1096" t="str">
        <f>VLOOKUP(C88,'מאזן בוחן'!C:D,2,0)</f>
        <v>שכר לגילום</v>
      </c>
      <c r="E88" s="1703"/>
      <c r="F88" s="2266">
        <f>-F87</f>
        <v>0</v>
      </c>
      <c r="G88" s="4364"/>
      <c r="H88" s="1695"/>
      <c r="I88" s="52"/>
      <c r="J88" s="52"/>
    </row>
    <row r="89" spans="1:13" ht="13.5" thickBot="1">
      <c r="B89" s="1608">
        <f>B86+1</f>
        <v>22</v>
      </c>
      <c r="C89" s="3187" t="s">
        <v>3497</v>
      </c>
      <c r="D89" s="560"/>
      <c r="E89" s="1196" t="s">
        <v>1458</v>
      </c>
      <c r="F89" s="1953" t="s">
        <v>294</v>
      </c>
      <c r="G89" s="2256" t="s">
        <v>3478</v>
      </c>
      <c r="H89" s="1695"/>
      <c r="I89" s="52"/>
      <c r="J89" s="52"/>
    </row>
    <row r="90" spans="1:13">
      <c r="B90" s="4347"/>
      <c r="C90" s="1239">
        <v>7110010</v>
      </c>
      <c r="D90" s="544" t="str">
        <f>VLOOKUP(C90,'מאזן בוחן'!C:D,2,0)</f>
        <v>הוצאות ביטוח לאומי מעביד - למאזן בלבד</v>
      </c>
      <c r="E90" s="1704"/>
      <c r="F90" s="2265">
        <f>-F91</f>
        <v>0</v>
      </c>
      <c r="G90" s="3827" t="s">
        <v>1386</v>
      </c>
      <c r="H90" s="1695"/>
      <c r="I90" s="52"/>
      <c r="J90" s="52"/>
    </row>
    <row r="91" spans="1:13" ht="13.5" thickBot="1">
      <c r="B91" s="4334"/>
      <c r="C91" s="1347">
        <v>2400001</v>
      </c>
      <c r="D91" s="1096" t="str">
        <f>VLOOKUP(C91,'מאזן בוחן'!C:D,2,0)</f>
        <v>הוצאות לשלם עובדים</v>
      </c>
      <c r="E91" s="1703">
        <f>-E90</f>
        <v>0</v>
      </c>
      <c r="F91" s="1703">
        <f>E91/'מאזן בוחן'!$N$2</f>
        <v>0</v>
      </c>
      <c r="G91" s="3413" t="s">
        <v>3137</v>
      </c>
      <c r="H91" s="1695"/>
      <c r="I91" s="52"/>
      <c r="J91" s="52"/>
    </row>
    <row r="92" spans="1:13" ht="13.5" thickBot="1">
      <c r="A92" s="544"/>
      <c r="B92" s="1608">
        <f>B89+1</f>
        <v>23</v>
      </c>
      <c r="C92" s="3187" t="s">
        <v>425</v>
      </c>
      <c r="D92" s="560"/>
      <c r="E92" s="1196" t="s">
        <v>1458</v>
      </c>
      <c r="F92" s="1953" t="s">
        <v>294</v>
      </c>
      <c r="G92" s="4362" t="s">
        <v>2429</v>
      </c>
      <c r="H92" s="41"/>
      <c r="I92" s="41"/>
      <c r="J92" s="41"/>
      <c r="K92" s="32"/>
      <c r="L92" s="32"/>
      <c r="M92" s="32"/>
    </row>
    <row r="93" spans="1:13" ht="12.95" customHeight="1">
      <c r="B93" s="4347"/>
      <c r="C93" s="1239">
        <v>53600</v>
      </c>
      <c r="D93" s="544" t="str">
        <f>VLOOKUP(C93,'מאזן בוחן'!C:D,2,0)</f>
        <v>מיון הכנסות מראש מז"ק לז"א</v>
      </c>
      <c r="E93" s="2267">
        <f>F93*'מאזן בוחן'!$N$2</f>
        <v>0</v>
      </c>
      <c r="F93" s="2268"/>
      <c r="G93" s="4363"/>
      <c r="H93" s="1695"/>
      <c r="I93" s="137"/>
      <c r="J93" s="137"/>
      <c r="K93" s="32"/>
      <c r="L93" s="32"/>
      <c r="M93" s="32"/>
    </row>
    <row r="94" spans="1:13" ht="13.5" thickBot="1">
      <c r="B94" s="4334"/>
      <c r="C94" s="1347" t="s">
        <v>1868</v>
      </c>
      <c r="D94" s="1096" t="s">
        <v>1020</v>
      </c>
      <c r="E94" s="2269">
        <f>-E93</f>
        <v>0</v>
      </c>
      <c r="F94" s="2270">
        <f>-F93</f>
        <v>0</v>
      </c>
      <c r="G94" s="4364"/>
      <c r="H94" s="137"/>
      <c r="I94" s="137"/>
      <c r="J94" s="137"/>
      <c r="K94" s="32"/>
      <c r="L94" s="32"/>
      <c r="M94" s="32"/>
    </row>
    <row r="95" spans="1:13">
      <c r="B95" s="1608">
        <f>B92+1</f>
        <v>24</v>
      </c>
      <c r="C95" s="3187" t="s">
        <v>1912</v>
      </c>
      <c r="D95" s="560"/>
      <c r="E95" s="1196" t="s">
        <v>1458</v>
      </c>
      <c r="F95" s="1953" t="s">
        <v>294</v>
      </c>
      <c r="G95" s="539"/>
      <c r="H95" s="137"/>
      <c r="I95" s="137"/>
      <c r="J95" s="137"/>
      <c r="K95" s="32"/>
      <c r="L95" s="32"/>
      <c r="M95" s="32"/>
    </row>
    <row r="96" spans="1:13">
      <c r="B96" s="4333"/>
      <c r="C96" s="1239">
        <v>1610005</v>
      </c>
      <c r="D96" s="544" t="str">
        <f>VLOOKUP(C96,'מאזן בוחן'!C:D,2,0)</f>
        <v xml:space="preserve">Prepaid Comm 606 - Long term </v>
      </c>
      <c r="E96" s="1704"/>
      <c r="F96" s="2265"/>
      <c r="G96" s="2243">
        <f>'מאזן בוחן'!N2</f>
        <v>3.11</v>
      </c>
      <c r="H96" s="137"/>
      <c r="I96" s="137"/>
      <c r="J96" s="137"/>
      <c r="K96" s="32"/>
      <c r="L96" s="32"/>
      <c r="M96" s="32"/>
    </row>
    <row r="97" spans="2:13" ht="13.5" thickBot="1">
      <c r="B97" s="4334"/>
      <c r="C97" s="1347">
        <v>1100099</v>
      </c>
      <c r="D97" s="1096" t="str">
        <f>VLOOKUP(C97,'מאזן בוחן'!C:D,2,0)</f>
        <v>Prepaid Comm</v>
      </c>
      <c r="E97" s="1703"/>
      <c r="F97" s="2266"/>
      <c r="G97" s="2244"/>
      <c r="H97" s="137"/>
      <c r="I97" s="137"/>
      <c r="J97" s="137"/>
      <c r="K97" s="32"/>
      <c r="L97" s="32"/>
      <c r="M97" s="32"/>
    </row>
    <row r="98" spans="2:13">
      <c r="B98" s="1608">
        <f>B95+1</f>
        <v>25</v>
      </c>
      <c r="C98" s="3187" t="s">
        <v>1917</v>
      </c>
      <c r="D98" s="560"/>
      <c r="E98" s="1196" t="s">
        <v>1458</v>
      </c>
      <c r="F98" s="1953" t="s">
        <v>294</v>
      </c>
      <c r="G98" s="539"/>
      <c r="H98" s="137"/>
      <c r="I98" s="137"/>
      <c r="J98" s="137"/>
      <c r="K98" s="32"/>
      <c r="L98" s="32"/>
      <c r="M98" s="32"/>
    </row>
    <row r="99" spans="2:13">
      <c r="B99" s="4333"/>
      <c r="C99" s="1239">
        <v>1100099</v>
      </c>
      <c r="D99" s="544" t="str">
        <f>VLOOKUP(C99,'מאזן בוחן'!C:D,2,0)</f>
        <v>Prepaid Comm</v>
      </c>
      <c r="E99" s="1704">
        <f>F99*$G$99</f>
        <v>0</v>
      </c>
      <c r="F99" s="2552">
        <f>-F100</f>
        <v>0</v>
      </c>
      <c r="G99" s="2243">
        <v>3.7480000000000002</v>
      </c>
      <c r="H99" s="137"/>
      <c r="I99" s="137"/>
      <c r="J99" s="137"/>
      <c r="K99" s="32"/>
      <c r="L99" s="32"/>
      <c r="M99" s="32"/>
    </row>
    <row r="100" spans="2:13" ht="13.5" thickBot="1">
      <c r="B100" s="4334"/>
      <c r="C100" s="1347">
        <v>7110044</v>
      </c>
      <c r="D100" s="1096" t="str">
        <f>VLOOKUP(C100,'מאזן בוחן'!C:D,2,0)</f>
        <v>עמלות - תקן 606</v>
      </c>
      <c r="E100" s="1703">
        <f>-E99</f>
        <v>0</v>
      </c>
      <c r="F100" s="2553"/>
      <c r="G100" s="2244"/>
      <c r="H100" s="137"/>
      <c r="I100" s="137"/>
      <c r="J100" s="137"/>
      <c r="K100" s="32"/>
      <c r="L100" s="32"/>
      <c r="M100" s="32"/>
    </row>
    <row r="101" spans="2:13">
      <c r="B101" s="1608">
        <f>B98+1</f>
        <v>26</v>
      </c>
      <c r="C101" s="3188" t="s">
        <v>4895</v>
      </c>
      <c r="D101" s="1561"/>
      <c r="E101" s="1196" t="s">
        <v>1458</v>
      </c>
      <c r="F101" s="2803" t="s">
        <v>294</v>
      </c>
      <c r="G101" s="539"/>
      <c r="H101" s="137"/>
      <c r="I101" s="137"/>
      <c r="J101" s="137"/>
      <c r="K101" s="32"/>
      <c r="L101" s="32"/>
      <c r="M101" s="32"/>
    </row>
    <row r="102" spans="2:13">
      <c r="B102" s="4333"/>
      <c r="C102" s="3189">
        <v>1100099</v>
      </c>
      <c r="D102" s="1240" t="str">
        <f>VLOOKUP(C102,'מאזן בוחן'!C:D,2,0)</f>
        <v>Prepaid Comm</v>
      </c>
      <c r="E102" s="1704">
        <f>F102*$G$102</f>
        <v>0</v>
      </c>
      <c r="F102" s="2552">
        <f>-F103</f>
        <v>0</v>
      </c>
      <c r="G102" s="2243">
        <v>3.6320000000000001</v>
      </c>
      <c r="H102" s="137"/>
      <c r="I102" s="137"/>
      <c r="J102" s="137"/>
      <c r="K102" s="32"/>
      <c r="L102" s="32"/>
      <c r="M102" s="32"/>
    </row>
    <row r="103" spans="2:13" ht="13.5" thickBot="1">
      <c r="B103" s="4334"/>
      <c r="C103" s="3190">
        <v>7110055</v>
      </c>
      <c r="D103" s="1241" t="str">
        <f>VLOOKUP(C103,'מאזן בוחן'!C:D,2,0)</f>
        <v>עמלות - תקן 606 - 2019</v>
      </c>
      <c r="E103" s="1703">
        <f>-E102</f>
        <v>0</v>
      </c>
      <c r="F103" s="2553"/>
      <c r="G103" s="2244"/>
      <c r="H103" s="137"/>
      <c r="I103" s="137"/>
      <c r="J103" s="137"/>
      <c r="K103" s="32"/>
      <c r="L103" s="32"/>
      <c r="M103" s="32"/>
    </row>
    <row r="104" spans="2:13">
      <c r="B104" s="1608">
        <f>B101+1</f>
        <v>27</v>
      </c>
      <c r="C104" s="3188" t="s">
        <v>4896</v>
      </c>
      <c r="D104" s="1561"/>
      <c r="E104" s="1196" t="s">
        <v>1458</v>
      </c>
      <c r="F104" s="2803" t="s">
        <v>294</v>
      </c>
      <c r="G104" s="539"/>
      <c r="H104" s="137"/>
      <c r="I104" s="137"/>
      <c r="J104" s="137"/>
      <c r="K104" s="32"/>
      <c r="L104" s="32"/>
      <c r="M104" s="32"/>
    </row>
    <row r="105" spans="2:13">
      <c r="B105" s="4333"/>
      <c r="C105" s="3189">
        <v>1100099</v>
      </c>
      <c r="D105" s="1240" t="str">
        <f>VLOOKUP(C105,'מאזן בוחן'!C:D,2,0)</f>
        <v>Prepaid Comm</v>
      </c>
      <c r="E105" s="1704">
        <f>F105*G105</f>
        <v>0</v>
      </c>
      <c r="F105" s="2552">
        <f>-F106</f>
        <v>0</v>
      </c>
      <c r="G105" s="2243">
        <v>3.5659999999999998</v>
      </c>
      <c r="H105" s="137"/>
      <c r="I105" s="137"/>
      <c r="J105" s="137"/>
      <c r="K105" s="32"/>
      <c r="L105" s="32"/>
      <c r="M105" s="32"/>
    </row>
    <row r="106" spans="2:13" ht="13.5" thickBot="1">
      <c r="B106" s="4334"/>
      <c r="C106" s="3190">
        <v>7110055</v>
      </c>
      <c r="D106" s="1241" t="str">
        <f>VLOOKUP(C106,'מאזן בוחן'!C:D,2,0)</f>
        <v>עמלות - תקן 606 - 2019</v>
      </c>
      <c r="E106" s="1703">
        <f>-E105</f>
        <v>0</v>
      </c>
      <c r="F106" s="2553"/>
      <c r="G106" s="2244"/>
      <c r="H106" s="137"/>
      <c r="I106" s="137"/>
      <c r="J106" s="137"/>
      <c r="K106" s="32"/>
      <c r="L106" s="32"/>
      <c r="M106" s="32"/>
    </row>
    <row r="107" spans="2:13">
      <c r="B107" s="1608">
        <f>B104+1</f>
        <v>28</v>
      </c>
      <c r="C107" s="3188" t="s">
        <v>4897</v>
      </c>
      <c r="D107" s="1561"/>
      <c r="E107" s="2584" t="s">
        <v>1458</v>
      </c>
      <c r="F107" s="3194" t="s">
        <v>294</v>
      </c>
      <c r="G107" s="539"/>
      <c r="H107" s="137"/>
      <c r="I107" s="137"/>
      <c r="J107" s="137"/>
      <c r="K107" s="32"/>
      <c r="L107" s="32"/>
      <c r="M107" s="32"/>
    </row>
    <row r="108" spans="2:13">
      <c r="B108" s="4333"/>
      <c r="C108" s="3189">
        <v>1100099</v>
      </c>
      <c r="D108" s="1240" t="str">
        <f>VLOOKUP(C108,'מאזן בוחן'!C:D,2,0)</f>
        <v>Prepaid Comm</v>
      </c>
      <c r="E108" s="1704">
        <f>F108*G108</f>
        <v>0</v>
      </c>
      <c r="F108" s="2552">
        <f>-F109</f>
        <v>0</v>
      </c>
      <c r="G108" s="2243">
        <v>3.4820000000000002</v>
      </c>
      <c r="H108" s="137"/>
      <c r="I108" s="137"/>
      <c r="J108" s="137"/>
      <c r="K108" s="32"/>
      <c r="L108" s="32"/>
      <c r="M108" s="32"/>
    </row>
    <row r="109" spans="2:13" ht="13.5" thickBot="1">
      <c r="B109" s="4334"/>
      <c r="C109" s="3190">
        <v>7110055</v>
      </c>
      <c r="D109" s="1241" t="str">
        <f>VLOOKUP(C109,'מאזן בוחן'!C:D,2,0)</f>
        <v>עמלות - תקן 606 - 2019</v>
      </c>
      <c r="E109" s="1703">
        <f>-E108</f>
        <v>0</v>
      </c>
      <c r="F109" s="2553"/>
      <c r="G109" s="2244"/>
      <c r="H109" s="137"/>
      <c r="I109" s="137"/>
      <c r="J109" s="137"/>
      <c r="K109" s="32"/>
      <c r="L109" s="32"/>
      <c r="M109" s="32"/>
    </row>
    <row r="110" spans="2:13">
      <c r="B110" s="1608">
        <f>B107+1</f>
        <v>29</v>
      </c>
      <c r="C110" s="3188" t="s">
        <v>4898</v>
      </c>
      <c r="D110" s="1561"/>
      <c r="E110" s="1196" t="s">
        <v>1458</v>
      </c>
      <c r="F110" s="2803" t="s">
        <v>294</v>
      </c>
      <c r="G110" s="539"/>
      <c r="H110" s="137"/>
      <c r="I110" s="137"/>
      <c r="J110" s="137"/>
      <c r="K110" s="32"/>
      <c r="L110" s="32"/>
      <c r="M110" s="32"/>
    </row>
    <row r="111" spans="2:13">
      <c r="B111" s="4333"/>
      <c r="C111" s="3189">
        <v>1100099</v>
      </c>
      <c r="D111" s="1240" t="str">
        <f>VLOOKUP(C111,'מאזן בוחן'!C:D,2,0)</f>
        <v>Prepaid Comm</v>
      </c>
      <c r="E111" s="1704">
        <f>F111*G111</f>
        <v>0</v>
      </c>
      <c r="F111" s="2552">
        <f>-F112</f>
        <v>0</v>
      </c>
      <c r="G111" s="2243">
        <v>3.456</v>
      </c>
      <c r="H111" s="137"/>
      <c r="I111" s="137"/>
      <c r="J111" s="137"/>
      <c r="K111" s="32"/>
      <c r="L111" s="32"/>
      <c r="M111" s="32"/>
    </row>
    <row r="112" spans="2:13" ht="13.5" thickBot="1">
      <c r="B112" s="4334"/>
      <c r="C112" s="3190">
        <v>7110055</v>
      </c>
      <c r="D112" s="1241" t="str">
        <f>VLOOKUP(C112,'מאזן בוחן'!C:D,2,0)</f>
        <v>עמלות - תקן 606 - 2019</v>
      </c>
      <c r="E112" s="1703">
        <f>-E111</f>
        <v>0</v>
      </c>
      <c r="F112" s="2553"/>
      <c r="G112" s="2244"/>
      <c r="H112" s="137"/>
      <c r="I112" s="137"/>
      <c r="J112" s="137"/>
      <c r="K112" s="32"/>
      <c r="L112" s="32"/>
      <c r="M112" s="32"/>
    </row>
    <row r="113" spans="2:13">
      <c r="B113" s="1608">
        <f>B110+1</f>
        <v>30</v>
      </c>
      <c r="C113" s="3188" t="s">
        <v>4899</v>
      </c>
      <c r="D113" s="1561"/>
      <c r="E113" s="1196" t="s">
        <v>1458</v>
      </c>
      <c r="F113" s="2803" t="s">
        <v>294</v>
      </c>
      <c r="G113" s="539"/>
      <c r="H113" s="137"/>
      <c r="I113" s="137"/>
      <c r="J113" s="137"/>
      <c r="K113" s="32"/>
      <c r="L113" s="32"/>
      <c r="M113" s="32"/>
    </row>
    <row r="114" spans="2:13">
      <c r="B114" s="4333"/>
      <c r="C114" s="3189">
        <v>1100099</v>
      </c>
      <c r="D114" s="1240" t="str">
        <f>VLOOKUP(C114,'מאזן בוחן'!C:D,2,0)</f>
        <v>Prepaid Comm</v>
      </c>
      <c r="E114" s="1704">
        <f>F114*G114</f>
        <v>0</v>
      </c>
      <c r="F114" s="2552">
        <f>-F115</f>
        <v>0</v>
      </c>
      <c r="G114" s="2243">
        <v>3.5649999999999999</v>
      </c>
      <c r="H114" s="137"/>
      <c r="I114" s="137"/>
      <c r="J114" s="137"/>
      <c r="K114" s="32"/>
      <c r="L114" s="32"/>
      <c r="M114" s="32"/>
    </row>
    <row r="115" spans="2:13" ht="13.5" thickBot="1">
      <c r="B115" s="4334"/>
      <c r="C115" s="3190">
        <v>7110066</v>
      </c>
      <c r="D115" s="1241" t="str">
        <f>VLOOKUP(C115,'מאזן בוחן'!C:D,2,0)</f>
        <v>עמלות - תקן 606 - 2020</v>
      </c>
      <c r="E115" s="1703">
        <f>-E114</f>
        <v>0</v>
      </c>
      <c r="F115" s="2553"/>
      <c r="G115" s="2244"/>
      <c r="H115" s="137"/>
      <c r="I115" s="137"/>
      <c r="J115" s="137"/>
      <c r="K115" s="32"/>
      <c r="L115" s="32"/>
      <c r="M115" s="32"/>
    </row>
    <row r="116" spans="2:13">
      <c r="B116" s="1608">
        <f>B113+1</f>
        <v>31</v>
      </c>
      <c r="C116" s="3188" t="s">
        <v>4900</v>
      </c>
      <c r="D116" s="1561"/>
      <c r="E116" s="1196" t="s">
        <v>1458</v>
      </c>
      <c r="F116" s="2803" t="s">
        <v>294</v>
      </c>
      <c r="G116" s="539"/>
      <c r="H116" s="137"/>
      <c r="I116" s="137"/>
      <c r="J116" s="137"/>
      <c r="K116" s="32"/>
      <c r="L116" s="32"/>
      <c r="M116" s="32"/>
    </row>
    <row r="117" spans="2:13">
      <c r="B117" s="4333"/>
      <c r="C117" s="3189">
        <v>1100099</v>
      </c>
      <c r="D117" s="1240" t="str">
        <f>VLOOKUP(C117,'מאזן בוחן'!C:D,2,0)</f>
        <v>Prepaid Comm</v>
      </c>
      <c r="E117" s="1704">
        <f>F117*G117</f>
        <v>0</v>
      </c>
      <c r="F117" s="2552">
        <f>-F118</f>
        <v>0</v>
      </c>
      <c r="G117" s="2243">
        <v>3.4660000000000002</v>
      </c>
      <c r="H117" s="137"/>
      <c r="I117" s="137"/>
      <c r="J117" s="137"/>
      <c r="K117" s="32"/>
      <c r="L117" s="32"/>
      <c r="M117" s="32"/>
    </row>
    <row r="118" spans="2:13" ht="13.5" thickBot="1">
      <c r="B118" s="4334"/>
      <c r="C118" s="3190">
        <v>7110066</v>
      </c>
      <c r="D118" s="1241" t="str">
        <f>VLOOKUP(C118,'מאזן בוחן'!C:D,2,0)</f>
        <v>עמלות - תקן 606 - 2020</v>
      </c>
      <c r="E118" s="1703">
        <f>-E117</f>
        <v>0</v>
      </c>
      <c r="F118" s="2553"/>
      <c r="G118" s="2244"/>
      <c r="H118" s="137"/>
      <c r="I118" s="137"/>
      <c r="J118" s="137"/>
      <c r="K118" s="32"/>
      <c r="L118" s="32"/>
      <c r="M118" s="32"/>
    </row>
    <row r="119" spans="2:13">
      <c r="B119" s="1608">
        <f>B116+1</f>
        <v>32</v>
      </c>
      <c r="C119" s="3188" t="s">
        <v>4901</v>
      </c>
      <c r="D119" s="1561"/>
      <c r="E119" s="1196" t="s">
        <v>1458</v>
      </c>
      <c r="F119" s="2803" t="s">
        <v>294</v>
      </c>
      <c r="G119" s="539"/>
      <c r="H119" s="137"/>
      <c r="I119" s="137"/>
      <c r="J119" s="137"/>
      <c r="K119" s="32"/>
      <c r="L119" s="32"/>
      <c r="M119" s="32"/>
    </row>
    <row r="120" spans="2:13">
      <c r="B120" s="4333"/>
      <c r="C120" s="3189">
        <v>1100099</v>
      </c>
      <c r="D120" s="1240" t="str">
        <f>VLOOKUP(C120,'מאזן בוחן'!C:D,2,0)</f>
        <v>Prepaid Comm</v>
      </c>
      <c r="E120" s="1704">
        <f>F120*G120</f>
        <v>0</v>
      </c>
      <c r="F120" s="2552">
        <f>-F121</f>
        <v>0</v>
      </c>
      <c r="G120" s="2243">
        <v>3.4409999999999998</v>
      </c>
      <c r="H120" s="137"/>
      <c r="I120" s="137"/>
      <c r="J120" s="137"/>
      <c r="K120" s="32"/>
      <c r="L120" s="32"/>
      <c r="M120" s="32"/>
    </row>
    <row r="121" spans="2:13" ht="13.5" thickBot="1">
      <c r="B121" s="4334"/>
      <c r="C121" s="3190">
        <v>7110066</v>
      </c>
      <c r="D121" s="1241" t="str">
        <f>VLOOKUP(C121,'מאזן בוחן'!C:D,2,0)</f>
        <v>עמלות - תקן 606 - 2020</v>
      </c>
      <c r="E121" s="1703">
        <f>-E120</f>
        <v>0</v>
      </c>
      <c r="F121" s="2553"/>
      <c r="G121" s="2244"/>
      <c r="H121" s="137"/>
      <c r="I121" s="137"/>
      <c r="J121" s="137"/>
      <c r="K121" s="32"/>
      <c r="L121" s="32"/>
      <c r="M121" s="32"/>
    </row>
    <row r="122" spans="2:13">
      <c r="B122" s="1608">
        <f>B119+1</f>
        <v>33</v>
      </c>
      <c r="C122" s="3188" t="s">
        <v>4902</v>
      </c>
      <c r="D122" s="1561"/>
      <c r="E122" s="1196" t="s">
        <v>1458</v>
      </c>
      <c r="F122" s="2803" t="s">
        <v>294</v>
      </c>
      <c r="G122" s="539"/>
      <c r="H122" s="137"/>
      <c r="I122" s="137"/>
      <c r="J122" s="137"/>
      <c r="K122" s="32"/>
      <c r="L122" s="32"/>
      <c r="M122" s="32"/>
    </row>
    <row r="123" spans="2:13">
      <c r="B123" s="4333"/>
      <c r="C123" s="3189">
        <v>1100099</v>
      </c>
      <c r="D123" s="1240" t="str">
        <f>VLOOKUP(C123,'מאזן בוחן'!C:D,2,0)</f>
        <v>Prepaid Comm</v>
      </c>
      <c r="E123" s="1704">
        <f>F123*G123</f>
        <v>0</v>
      </c>
      <c r="F123" s="2552">
        <f>-F124</f>
        <v>0</v>
      </c>
      <c r="G123" s="2243">
        <v>3.2149999999999999</v>
      </c>
      <c r="H123" s="137"/>
      <c r="I123" s="137"/>
      <c r="J123" s="137"/>
      <c r="K123" s="32"/>
      <c r="L123" s="32"/>
      <c r="M123" s="32"/>
    </row>
    <row r="124" spans="2:13" ht="13.5" thickBot="1">
      <c r="B124" s="4334"/>
      <c r="C124" s="3190">
        <v>7110066</v>
      </c>
      <c r="D124" s="1241" t="str">
        <f>VLOOKUP(C124,'מאזן בוחן'!C:D,2,0)</f>
        <v>עמלות - תקן 606 - 2020</v>
      </c>
      <c r="E124" s="1703">
        <f>-E123</f>
        <v>0</v>
      </c>
      <c r="F124" s="2553"/>
      <c r="G124" s="2244"/>
      <c r="H124" s="137"/>
      <c r="I124" s="137"/>
      <c r="J124" s="137"/>
      <c r="K124" s="32"/>
      <c r="L124" s="32"/>
      <c r="M124" s="32"/>
    </row>
    <row r="125" spans="2:13">
      <c r="B125" s="1608">
        <f>B122+1</f>
        <v>34</v>
      </c>
      <c r="C125" s="3188" t="s">
        <v>4903</v>
      </c>
      <c r="D125" s="1561"/>
      <c r="E125" s="1196" t="s">
        <v>1458</v>
      </c>
      <c r="F125" s="2803" t="s">
        <v>294</v>
      </c>
      <c r="G125" s="539"/>
      <c r="H125" s="137"/>
      <c r="I125" s="137"/>
      <c r="J125" s="137"/>
      <c r="K125" s="32"/>
      <c r="L125" s="32"/>
      <c r="M125" s="32"/>
    </row>
    <row r="126" spans="2:13">
      <c r="B126" s="4333"/>
      <c r="C126" s="3189">
        <v>1100099</v>
      </c>
      <c r="D126" s="1240" t="str">
        <f>VLOOKUP(C126,'מאזן בוחן'!C:D,2,0)</f>
        <v>Prepaid Comm</v>
      </c>
      <c r="E126" s="1704">
        <f>F126*G126</f>
        <v>0</v>
      </c>
      <c r="F126" s="2552">
        <f>-F127</f>
        <v>0</v>
      </c>
      <c r="G126" s="2243">
        <v>3.3340000000000001</v>
      </c>
      <c r="H126" s="137"/>
      <c r="I126" s="137"/>
      <c r="J126" s="137"/>
      <c r="K126" s="32"/>
      <c r="L126" s="32"/>
      <c r="M126" s="32"/>
    </row>
    <row r="127" spans="2:13" ht="13.5" thickBot="1">
      <c r="B127" s="4334"/>
      <c r="C127" s="3190">
        <v>7110077</v>
      </c>
      <c r="D127" s="1241" t="str">
        <f>VLOOKUP(C127,'מאזן בוחן'!C:D,2,0)</f>
        <v>עמלות - תקן 606 - 2021</v>
      </c>
      <c r="E127" s="1703">
        <f>-E126</f>
        <v>0</v>
      </c>
      <c r="F127" s="2553"/>
      <c r="G127" s="2244"/>
      <c r="H127" s="137"/>
      <c r="I127" s="137"/>
      <c r="J127" s="137"/>
      <c r="K127" s="32"/>
      <c r="L127" s="32"/>
      <c r="M127" s="32"/>
    </row>
    <row r="128" spans="2:13">
      <c r="B128" s="1608">
        <f>B125+1</f>
        <v>35</v>
      </c>
      <c r="C128" s="3188" t="s">
        <v>4904</v>
      </c>
      <c r="D128" s="1561"/>
      <c r="E128" s="1196" t="s">
        <v>1458</v>
      </c>
      <c r="F128" s="1953" t="s">
        <v>294</v>
      </c>
      <c r="G128" s="539"/>
      <c r="H128" s="137"/>
      <c r="I128" s="137"/>
      <c r="J128" s="137"/>
      <c r="K128" s="32"/>
      <c r="L128" s="32"/>
      <c r="M128" s="32"/>
    </row>
    <row r="129" spans="2:13">
      <c r="B129" s="4392"/>
      <c r="C129" s="1550">
        <v>1100099</v>
      </c>
      <c r="D129" s="1240" t="str">
        <f>VLOOKUP(C129,'מאזן בוחן'!C:D,2,0)</f>
        <v>Prepaid Comm</v>
      </c>
      <c r="E129" s="2556">
        <f>F129*G129</f>
        <v>0</v>
      </c>
      <c r="F129" s="2552">
        <f>-F130</f>
        <v>0</v>
      </c>
      <c r="G129" s="2243">
        <v>3.26</v>
      </c>
      <c r="H129" s="137"/>
      <c r="I129" s="137"/>
      <c r="J129" s="137"/>
      <c r="K129" s="32"/>
      <c r="L129" s="32"/>
      <c r="M129" s="32"/>
    </row>
    <row r="130" spans="2:13" ht="13.5" thickBot="1">
      <c r="B130" s="4361"/>
      <c r="C130" s="1551">
        <v>7110077</v>
      </c>
      <c r="D130" s="1241" t="str">
        <f>VLOOKUP(C130,'מאזן בוחן'!C:D,2,0)</f>
        <v>עמלות - תקן 606 - 2021</v>
      </c>
      <c r="E130" s="2557">
        <f>-E129</f>
        <v>0</v>
      </c>
      <c r="F130" s="2553"/>
      <c r="G130" s="2244"/>
      <c r="H130" s="137"/>
      <c r="I130" s="137"/>
      <c r="J130" s="137"/>
      <c r="K130" s="32"/>
      <c r="L130" s="32"/>
      <c r="M130" s="32"/>
    </row>
    <row r="131" spans="2:13">
      <c r="B131" s="1608">
        <f>B128+1</f>
        <v>36</v>
      </c>
      <c r="C131" s="3188" t="s">
        <v>4905</v>
      </c>
      <c r="D131" s="1561"/>
      <c r="E131" s="1196" t="s">
        <v>1458</v>
      </c>
      <c r="F131" s="1953" t="s">
        <v>294</v>
      </c>
      <c r="G131" s="539"/>
      <c r="H131" s="137"/>
      <c r="I131" s="137"/>
      <c r="J131" s="137"/>
      <c r="K131" s="32"/>
      <c r="L131" s="32"/>
      <c r="M131" s="32"/>
    </row>
    <row r="132" spans="2:13">
      <c r="B132" s="4392"/>
      <c r="C132" s="1550">
        <v>1100099</v>
      </c>
      <c r="D132" s="1240" t="str">
        <f>VLOOKUP(C132,'מאזן בוחן'!C:D,2,0)</f>
        <v>Prepaid Comm</v>
      </c>
      <c r="E132" s="2556">
        <f>F132*G132</f>
        <v>0</v>
      </c>
      <c r="F132" s="2552">
        <f>-F133</f>
        <v>0</v>
      </c>
      <c r="G132" s="2243">
        <v>3.2290000000000001</v>
      </c>
      <c r="H132" s="137"/>
      <c r="I132" s="137"/>
      <c r="J132" s="137"/>
      <c r="K132" s="32"/>
      <c r="L132" s="32"/>
      <c r="M132" s="32"/>
    </row>
    <row r="133" spans="2:13" ht="13.5" thickBot="1">
      <c r="B133" s="4361"/>
      <c r="C133" s="1551">
        <v>7110077</v>
      </c>
      <c r="D133" s="1241" t="str">
        <f>VLOOKUP(C133,'מאזן בוחן'!C:D,2,0)</f>
        <v>עמלות - תקן 606 - 2021</v>
      </c>
      <c r="E133" s="2557">
        <f>-E132</f>
        <v>0</v>
      </c>
      <c r="F133" s="2553"/>
      <c r="G133" s="2244"/>
      <c r="H133" s="137"/>
      <c r="I133" s="137"/>
      <c r="J133" s="137"/>
      <c r="K133" s="32"/>
      <c r="L133" s="32"/>
      <c r="M133" s="32"/>
    </row>
    <row r="134" spans="2:13" ht="13.5" thickBot="1">
      <c r="B134" s="1820">
        <f>B131+1</f>
        <v>37</v>
      </c>
      <c r="C134" s="1555" t="s">
        <v>4894</v>
      </c>
      <c r="D134" s="1559"/>
      <c r="E134" s="1196" t="s">
        <v>1458</v>
      </c>
      <c r="F134" s="1953" t="s">
        <v>294</v>
      </c>
      <c r="G134" s="3432"/>
      <c r="H134" s="137"/>
      <c r="I134" s="137"/>
      <c r="J134" s="137"/>
      <c r="K134" s="32"/>
      <c r="L134" s="32"/>
      <c r="M134" s="32"/>
    </row>
    <row r="135" spans="2:13" ht="12.95" customHeight="1">
      <c r="B135" s="4344"/>
      <c r="C135" s="545">
        <v>1100099</v>
      </c>
      <c r="D135" s="544" t="str">
        <f>VLOOKUP(C135,'מאזן בוחן'!C:D,2,0)</f>
        <v>Prepaid Comm</v>
      </c>
      <c r="E135" s="2556">
        <f>F135*G135</f>
        <v>0</v>
      </c>
      <c r="F135" s="2253">
        <f>-F136</f>
        <v>0</v>
      </c>
      <c r="G135" s="3434">
        <f>'מאזן בוחן'!$N$2</f>
        <v>3.11</v>
      </c>
      <c r="H135" s="137"/>
      <c r="I135" s="137"/>
      <c r="J135" s="137"/>
      <c r="K135" s="32"/>
      <c r="L135" s="32"/>
      <c r="M135" s="32"/>
    </row>
    <row r="136" spans="2:13" ht="13.5" customHeight="1" thickBot="1">
      <c r="B136" s="4345"/>
      <c r="C136" s="546">
        <v>7110077</v>
      </c>
      <c r="D136" s="1096" t="str">
        <f>VLOOKUP(C136,'מאזן בוחן'!C:D,2,0)</f>
        <v>עמלות - תקן 606 - 2021</v>
      </c>
      <c r="E136" s="2557">
        <f>-E135</f>
        <v>0</v>
      </c>
      <c r="F136" s="2254"/>
      <c r="G136" s="3433"/>
      <c r="H136" s="137"/>
      <c r="I136" s="137"/>
      <c r="J136" s="137"/>
      <c r="K136" s="32"/>
      <c r="L136" s="32"/>
      <c r="M136" s="32"/>
    </row>
    <row r="137" spans="2:13" ht="13.5" thickBot="1">
      <c r="B137" s="2220">
        <f>B134+1</f>
        <v>38</v>
      </c>
      <c r="C137" s="3220" t="s">
        <v>3538</v>
      </c>
      <c r="D137" s="1370"/>
      <c r="E137" s="1345" t="s">
        <v>1458</v>
      </c>
      <c r="F137" s="1197" t="s">
        <v>294</v>
      </c>
      <c r="G137" s="1197" t="s">
        <v>2507</v>
      </c>
      <c r="H137" s="4357" t="s">
        <v>2427</v>
      </c>
      <c r="J137" s="137"/>
      <c r="K137" s="32"/>
      <c r="L137" s="32"/>
      <c r="M137" s="32"/>
    </row>
    <row r="138" spans="2:13" ht="12.6" customHeight="1">
      <c r="B138" s="4347"/>
      <c r="C138" s="1239">
        <v>1130009</v>
      </c>
      <c r="D138" s="544" t="str">
        <f>VLOOKUP(C138,'מאזן בוחן'!C:D,2,0)</f>
        <v>אלגוסק הודו</v>
      </c>
      <c r="E138" s="1704"/>
      <c r="F138" s="1704"/>
      <c r="G138" s="3066"/>
      <c r="H138" s="4358"/>
      <c r="J138" s="137"/>
      <c r="K138" s="32"/>
      <c r="L138" s="32"/>
      <c r="M138" s="32"/>
    </row>
    <row r="139" spans="2:13" ht="12.95" customHeight="1" thickBot="1">
      <c r="B139" s="4334"/>
      <c r="C139" s="3409">
        <v>5900001</v>
      </c>
      <c r="D139" s="1096" t="str">
        <f>VLOOKUP(C139,'מאזן בוחן'!C:D,2,0)</f>
        <v>עלות המכר</v>
      </c>
      <c r="E139" s="1703"/>
      <c r="F139" s="1703"/>
      <c r="G139" s="3067"/>
      <c r="H139" s="4359"/>
      <c r="J139" s="137"/>
      <c r="K139" s="32"/>
      <c r="L139" s="32"/>
      <c r="M139" s="32"/>
    </row>
    <row r="140" spans="2:13" ht="13.5" thickBot="1">
      <c r="B140" s="2220">
        <f>B137+1</f>
        <v>39</v>
      </c>
      <c r="C140" s="3220" t="s">
        <v>4470</v>
      </c>
      <c r="D140" s="1370"/>
      <c r="E140" s="1345" t="s">
        <v>1458</v>
      </c>
      <c r="F140" s="1197" t="s">
        <v>294</v>
      </c>
      <c r="G140" s="1197" t="s">
        <v>2507</v>
      </c>
      <c r="H140" s="4351" t="s">
        <v>2718</v>
      </c>
      <c r="J140" s="137"/>
      <c r="K140" s="32"/>
      <c r="L140" s="32"/>
      <c r="M140" s="32"/>
    </row>
    <row r="141" spans="2:13">
      <c r="B141" s="4347"/>
      <c r="C141" s="1352">
        <v>1100999</v>
      </c>
      <c r="D141" s="1698" t="str">
        <f>VLOOKUP(C141,'מאזן בוחן'!C:D,2,0)</f>
        <v>Prepaid Expenses TP IC</v>
      </c>
      <c r="E141" s="1704"/>
      <c r="F141" s="1704"/>
      <c r="G141" s="1700"/>
      <c r="H141" s="4352"/>
      <c r="J141" s="137"/>
      <c r="K141" s="32"/>
      <c r="L141" s="32"/>
      <c r="M141" s="32"/>
    </row>
    <row r="142" spans="2:13">
      <c r="B142" s="4333"/>
      <c r="C142" s="1352">
        <v>9010002</v>
      </c>
      <c r="D142" s="544" t="str">
        <f>VLOOKUP(C142,'מאזן בוחן'!C:D,2,0)</f>
        <v>הפרשי שער</v>
      </c>
      <c r="E142" s="1704"/>
      <c r="F142" s="1704"/>
      <c r="G142" s="1700"/>
      <c r="H142" s="4352"/>
      <c r="J142" s="137"/>
      <c r="K142" s="32"/>
      <c r="L142" s="32"/>
      <c r="M142" s="32"/>
    </row>
    <row r="143" spans="2:13" ht="13.5" thickBot="1">
      <c r="B143" s="4334"/>
      <c r="C143" s="1239">
        <v>1130009</v>
      </c>
      <c r="D143" s="1096" t="str">
        <f>VLOOKUP(C143,'מאזן בוחן'!C:D,2,0)</f>
        <v>אלגוסק הודו</v>
      </c>
      <c r="E143" s="1704"/>
      <c r="F143" s="1703"/>
      <c r="G143" s="1701"/>
      <c r="H143" s="4353"/>
      <c r="J143" s="137"/>
      <c r="K143" s="32"/>
      <c r="L143" s="32"/>
      <c r="M143" s="32"/>
    </row>
    <row r="144" spans="2:13" ht="13.5" thickBot="1">
      <c r="B144" s="4181">
        <f>B140+1</f>
        <v>40</v>
      </c>
      <c r="C144" s="4184" t="s">
        <v>4883</v>
      </c>
      <c r="D144" s="4182" t="s">
        <v>4229</v>
      </c>
      <c r="E144" s="1196" t="s">
        <v>1458</v>
      </c>
      <c r="F144" s="1953" t="s">
        <v>294</v>
      </c>
      <c r="G144" s="4351" t="s">
        <v>2718</v>
      </c>
      <c r="H144" s="137"/>
      <c r="I144" s="137"/>
      <c r="J144" s="137"/>
      <c r="K144" s="32"/>
      <c r="L144" s="32"/>
      <c r="M144" s="32"/>
    </row>
    <row r="145" spans="1:13">
      <c r="B145" s="4382"/>
      <c r="C145" s="3059">
        <v>2600001</v>
      </c>
      <c r="D145" s="208" t="str">
        <f>VLOOKUP(C145,'מאזן בוחן'!C:D,2,0)</f>
        <v>עתודה לפיצויי פיטורין</v>
      </c>
      <c r="E145" s="1704"/>
      <c r="F145" s="1704">
        <f>E145/'מאזן בוחן'!N2</f>
        <v>0</v>
      </c>
      <c r="G145" s="4352"/>
      <c r="H145" s="137"/>
      <c r="I145" s="137"/>
      <c r="J145" s="137"/>
      <c r="K145" s="32"/>
      <c r="L145" s="32"/>
      <c r="M145" s="32"/>
    </row>
    <row r="146" spans="1:13" ht="13.5" thickBot="1">
      <c r="B146" s="4383"/>
      <c r="C146" s="3058">
        <v>2600002</v>
      </c>
      <c r="D146" s="3699" t="str">
        <f>VLOOKUP(C146,'מאזן בוחן'!C:D,2,0)</f>
        <v>יעודה לפיצויי פיטורין</v>
      </c>
      <c r="E146" s="1704">
        <f>-E145</f>
        <v>0</v>
      </c>
      <c r="F146" s="1703">
        <f>-F145</f>
        <v>0</v>
      </c>
      <c r="G146" s="4353"/>
      <c r="H146" s="137"/>
      <c r="I146" s="137"/>
      <c r="J146" s="137"/>
      <c r="K146" s="32"/>
      <c r="L146" s="32"/>
      <c r="M146" s="32"/>
    </row>
    <row r="147" spans="1:13" ht="13.5" thickBot="1">
      <c r="B147" s="4181">
        <f>B144+1</f>
        <v>41</v>
      </c>
      <c r="C147" s="4185" t="s">
        <v>4872</v>
      </c>
      <c r="D147" s="4182"/>
      <c r="E147" s="1196" t="s">
        <v>1458</v>
      </c>
      <c r="F147" s="1953" t="s">
        <v>294</v>
      </c>
      <c r="G147" s="4351" t="s">
        <v>2718</v>
      </c>
      <c r="H147" s="137"/>
      <c r="I147" s="137"/>
      <c r="J147" s="137"/>
      <c r="K147" s="32"/>
      <c r="L147" s="32"/>
      <c r="M147" s="32"/>
    </row>
    <row r="148" spans="1:13">
      <c r="B148" s="4379"/>
      <c r="C148" s="4186">
        <v>2600001</v>
      </c>
      <c r="D148" s="208" t="str">
        <f>VLOOKUP(C148,'מאזן בוחן'!C:D,2,0)</f>
        <v>עתודה לפיצויי פיטורין</v>
      </c>
      <c r="E148" s="1704">
        <f>-SUM(E149:E152)</f>
        <v>0</v>
      </c>
      <c r="F148" s="1704">
        <f>E148/'מאזן בוחן'!$N$2</f>
        <v>0</v>
      </c>
      <c r="G148" s="4352"/>
      <c r="H148" s="137"/>
      <c r="I148" s="137"/>
      <c r="J148" s="137"/>
      <c r="K148" s="32"/>
      <c r="L148" s="32"/>
      <c r="M148" s="32"/>
    </row>
    <row r="149" spans="1:13">
      <c r="B149" s="4380"/>
      <c r="C149" s="4187">
        <v>6010005</v>
      </c>
      <c r="D149" s="208" t="str">
        <f>VLOOKUP(C149,'מאזן בוחן'!C:D,2,0)</f>
        <v>הוצ' הפרשה בגין פיצויים וחופשה שכר מופ</v>
      </c>
      <c r="E149" s="2556"/>
      <c r="F149" s="2552">
        <f>E149/'מאזן בוחן'!$N$2</f>
        <v>0</v>
      </c>
      <c r="G149" s="4352"/>
      <c r="H149" s="137"/>
      <c r="I149" s="137"/>
      <c r="J149" s="137"/>
      <c r="K149" s="32"/>
      <c r="L149" s="32"/>
      <c r="M149" s="32"/>
    </row>
    <row r="150" spans="1:13">
      <c r="B150" s="4380"/>
      <c r="C150" s="4187">
        <v>7110100</v>
      </c>
      <c r="D150" s="208" t="str">
        <f>VLOOKUP(C150,'מאזן בוחן'!C:D,2,0)</f>
        <v>הפרשה לפיצויים ולחופשה מכירות</v>
      </c>
      <c r="E150" s="2556"/>
      <c r="F150" s="2552">
        <f>E150/'מאזן בוחן'!$N$2</f>
        <v>0</v>
      </c>
      <c r="G150" s="4352"/>
      <c r="H150" s="137"/>
      <c r="I150" s="137"/>
      <c r="J150" s="137"/>
      <c r="K150" s="32"/>
      <c r="L150" s="32"/>
      <c r="M150" s="32"/>
    </row>
    <row r="151" spans="1:13">
      <c r="B151" s="4380"/>
      <c r="C151" s="1550" t="s">
        <v>3551</v>
      </c>
      <c r="D151" s="208" t="str">
        <f>VLOOKUP(C151,'מאזן בוחן'!C:D,2,0)</f>
        <v>הוצאות הפרשה לפיצויים ולחופשה עלות מכר</v>
      </c>
      <c r="E151" s="2556"/>
      <c r="F151" s="2552">
        <f>E151/'מאזן בוחן'!$N$2</f>
        <v>0</v>
      </c>
      <c r="G151" s="4352"/>
      <c r="H151" s="137"/>
      <c r="I151" s="137"/>
      <c r="J151" s="137"/>
      <c r="K151" s="32"/>
      <c r="L151" s="32"/>
      <c r="M151" s="32"/>
    </row>
    <row r="152" spans="1:13" ht="13.5" thickBot="1">
      <c r="B152" s="4381"/>
      <c r="C152" s="3058">
        <v>8420020</v>
      </c>
      <c r="D152" s="3699" t="str">
        <f>VLOOKUP(C152,'מאזן בוחן'!C:D,2,0)</f>
        <v>הוצ' הפרשה בגין עתודות שכר הנה"ח</v>
      </c>
      <c r="E152" s="1704"/>
      <c r="F152" s="1703">
        <f>E152/'מאזן בוחן'!$N$2</f>
        <v>0</v>
      </c>
      <c r="G152" s="4353"/>
      <c r="H152" s="137"/>
      <c r="I152" s="137"/>
      <c r="J152" s="137"/>
      <c r="K152" s="32"/>
      <c r="L152" s="32"/>
      <c r="M152" s="32"/>
    </row>
    <row r="153" spans="1:13" ht="13.5" thickBot="1">
      <c r="B153" s="4181">
        <f>B147+1</f>
        <v>42</v>
      </c>
      <c r="C153" s="4185" t="s">
        <v>4829</v>
      </c>
      <c r="D153" s="4183"/>
      <c r="E153" s="1196" t="s">
        <v>1458</v>
      </c>
      <c r="F153" s="1953" t="s">
        <v>294</v>
      </c>
      <c r="G153" s="4371" t="s">
        <v>2718</v>
      </c>
      <c r="H153" s="137"/>
      <c r="I153" s="137"/>
      <c r="J153" s="137"/>
      <c r="K153" s="32"/>
      <c r="L153" s="32"/>
      <c r="M153" s="32"/>
    </row>
    <row r="154" spans="1:13">
      <c r="B154" s="4379"/>
      <c r="C154" s="4186">
        <v>2420001</v>
      </c>
      <c r="D154" s="208" t="str">
        <f>VLOOKUP(C154,'מאזן בוחן'!C:D,2,0)</f>
        <v>עתודה לחופשה</v>
      </c>
      <c r="E154" s="2556">
        <f>-SUM(E155:E160)</f>
        <v>0</v>
      </c>
      <c r="F154" s="2552">
        <f>E154/'מאזן בוחן'!$N$2</f>
        <v>0</v>
      </c>
      <c r="G154" s="4372"/>
      <c r="H154" s="140" t="e">
        <f>E154/F154</f>
        <v>#DIV/0!</v>
      </c>
      <c r="I154" s="137"/>
      <c r="J154" s="137"/>
      <c r="K154" s="32"/>
      <c r="L154" s="137"/>
      <c r="M154" s="32"/>
    </row>
    <row r="155" spans="1:13">
      <c r="B155" s="4380"/>
      <c r="C155" s="1550" t="s">
        <v>3551</v>
      </c>
      <c r="D155" s="208" t="str">
        <f>VLOOKUP(C155,'מאזן בוחן'!C:D,2,0)</f>
        <v>הוצאות הפרשה לפיצויים ולחופשה עלות מכר</v>
      </c>
      <c r="E155" s="2556"/>
      <c r="F155" s="2552">
        <f>E155/'מאזן בוחן'!$N$2</f>
        <v>0</v>
      </c>
      <c r="G155" s="4372"/>
      <c r="H155" s="140" t="e">
        <f t="shared" ref="H155:H160" si="0">E155/F155</f>
        <v>#DIV/0!</v>
      </c>
      <c r="I155" s="137"/>
      <c r="J155" s="137"/>
      <c r="K155" s="32"/>
      <c r="L155" s="137"/>
      <c r="M155" s="32"/>
    </row>
    <row r="156" spans="1:13">
      <c r="B156" s="4380"/>
      <c r="C156" s="4187">
        <v>6010005</v>
      </c>
      <c r="D156" s="208" t="str">
        <f>VLOOKUP(C156,'מאזן בוחן'!C:D,2,0)</f>
        <v>הוצ' הפרשה בגין פיצויים וחופשה שכר מופ</v>
      </c>
      <c r="E156" s="2556"/>
      <c r="F156" s="2552">
        <f>E156/'מאזן בוחן'!$N$2</f>
        <v>0</v>
      </c>
      <c r="G156" s="4372"/>
      <c r="H156" s="140" t="e">
        <f t="shared" si="0"/>
        <v>#DIV/0!</v>
      </c>
      <c r="I156" s="137"/>
      <c r="J156" s="137"/>
      <c r="K156" s="32"/>
      <c r="L156" s="137"/>
      <c r="M156" s="32"/>
    </row>
    <row r="157" spans="1:13">
      <c r="B157" s="4380"/>
      <c r="C157" s="4187">
        <v>6100090</v>
      </c>
      <c r="D157" s="208" t="str">
        <f>VLOOKUP(C157,'מאזן בוחן'!C:D,2,0)</f>
        <v>הפרשה לפיצויים ולחופשה ניהול מוצר</v>
      </c>
      <c r="E157" s="2556"/>
      <c r="F157" s="2552">
        <f>E157/'מאזן בוחן'!$N$2</f>
        <v>0</v>
      </c>
      <c r="G157" s="4372"/>
      <c r="H157" s="140" t="e">
        <f t="shared" si="0"/>
        <v>#DIV/0!</v>
      </c>
      <c r="I157" s="137"/>
      <c r="J157" s="137"/>
      <c r="K157" s="32"/>
      <c r="L157" s="137"/>
      <c r="M157" s="32"/>
    </row>
    <row r="158" spans="1:13">
      <c r="A158" s="544"/>
      <c r="B158" s="4380"/>
      <c r="C158" s="4187">
        <v>7010097</v>
      </c>
      <c r="D158" s="208" t="str">
        <f>VLOOKUP(C158,'מאזן בוחן'!C:D,2,0)</f>
        <v>הוצ' הפרשה לפיצויים ולחופשה שיווק</v>
      </c>
      <c r="E158" s="2556"/>
      <c r="F158" s="2552">
        <f>E158/'מאזן בוחן'!$N$2</f>
        <v>0</v>
      </c>
      <c r="G158" s="4372"/>
      <c r="H158" s="140" t="e">
        <f t="shared" si="0"/>
        <v>#DIV/0!</v>
      </c>
      <c r="I158" s="137"/>
      <c r="J158" s="137"/>
      <c r="K158" s="32"/>
      <c r="L158" s="137"/>
      <c r="M158" s="32"/>
    </row>
    <row r="159" spans="1:13">
      <c r="B159" s="4380"/>
      <c r="C159" s="4188">
        <v>7110100</v>
      </c>
      <c r="D159" s="208" t="str">
        <f>VLOOKUP(C159,'מאזן בוחן'!C:D,2,0)</f>
        <v>הפרשה לפיצויים ולחופשה מכירות</v>
      </c>
      <c r="E159" s="2556"/>
      <c r="F159" s="2552">
        <f>E159/'מאזן בוחן'!$N$2</f>
        <v>0</v>
      </c>
      <c r="G159" s="4372"/>
      <c r="H159" s="140" t="e">
        <f t="shared" si="0"/>
        <v>#DIV/0!</v>
      </c>
      <c r="I159" s="137"/>
      <c r="J159" s="137"/>
      <c r="K159" s="32"/>
      <c r="L159" s="137"/>
      <c r="M159" s="32"/>
    </row>
    <row r="160" spans="1:13" ht="13.5" thickBot="1">
      <c r="B160" s="4381"/>
      <c r="C160" s="3058">
        <v>8420020</v>
      </c>
      <c r="D160" s="3699" t="str">
        <f>VLOOKUP(C160,'מאזן בוחן'!C:D,2,0)</f>
        <v>הוצ' הפרשה בגין עתודות שכר הנה"ח</v>
      </c>
      <c r="E160" s="2556"/>
      <c r="F160" s="2552">
        <f>E160/'מאזן בוחן'!$N$2</f>
        <v>0</v>
      </c>
      <c r="G160" s="4373"/>
      <c r="H160" s="140" t="e">
        <f t="shared" si="0"/>
        <v>#DIV/0!</v>
      </c>
      <c r="I160" s="137"/>
      <c r="J160" s="137"/>
      <c r="K160" s="32"/>
      <c r="L160" s="32"/>
      <c r="M160" s="32"/>
    </row>
    <row r="161" spans="2:13" ht="13.5" thickBot="1">
      <c r="B161" s="3696">
        <f>B153+1</f>
        <v>43</v>
      </c>
      <c r="C161" s="2432" t="s">
        <v>3844</v>
      </c>
      <c r="D161" s="4070"/>
      <c r="E161" s="1345" t="s">
        <v>1458</v>
      </c>
      <c r="F161" s="1197" t="s">
        <v>294</v>
      </c>
      <c r="G161" s="4351" t="s">
        <v>2486</v>
      </c>
      <c r="H161" s="137"/>
      <c r="I161" s="137"/>
      <c r="J161" s="137"/>
      <c r="K161" s="32"/>
      <c r="L161" s="32"/>
      <c r="M161" s="32"/>
    </row>
    <row r="162" spans="2:13" ht="12.95" customHeight="1">
      <c r="B162" s="4382"/>
      <c r="C162" s="1550">
        <v>2502021</v>
      </c>
      <c r="D162" s="208" t="str">
        <f>VLOOKUP(C162,'מאזן בוחן'!C:D,2,0)</f>
        <v>סגירת מיסים 2021</v>
      </c>
      <c r="E162" s="1704">
        <f>-'מאזן בוחן'!E122-'מאזן בוחן'!E120-'מאזן בוחן'!E118</f>
        <v>0</v>
      </c>
      <c r="F162" s="1704">
        <f>-'מאזן בוחן'!M122-'מאזן בוחן'!M120-'מאזן בוחן'!M118</f>
        <v>0</v>
      </c>
      <c r="G162" s="4352"/>
      <c r="H162" s="137"/>
      <c r="I162" s="137"/>
      <c r="K162" s="32"/>
      <c r="L162" s="32"/>
      <c r="M162" s="32"/>
    </row>
    <row r="163" spans="2:13" ht="13.5" customHeight="1" thickBot="1">
      <c r="B163" s="4383"/>
      <c r="C163" s="1551">
        <v>9100001</v>
      </c>
      <c r="D163" s="3699" t="str">
        <f>VLOOKUP(C163,'מאזן בוחן'!C:D,2,0)</f>
        <v>מיסים על הכנסה</v>
      </c>
      <c r="E163" s="1703">
        <f>-E162</f>
        <v>0</v>
      </c>
      <c r="F163" s="2266">
        <f>-F162</f>
        <v>0</v>
      </c>
      <c r="G163" s="4353"/>
      <c r="H163" s="137"/>
      <c r="I163" s="137"/>
      <c r="J163" s="32"/>
      <c r="K163" s="32"/>
      <c r="L163" s="32"/>
      <c r="M163" s="32"/>
    </row>
    <row r="164" spans="2:13" ht="13.5" thickBot="1">
      <c r="B164" s="3696">
        <f>B161+1</f>
        <v>44</v>
      </c>
      <c r="C164" s="2432" t="s">
        <v>3159</v>
      </c>
      <c r="D164" s="4070"/>
      <c r="E164" s="1345" t="s">
        <v>1458</v>
      </c>
      <c r="F164" s="1197" t="s">
        <v>294</v>
      </c>
      <c r="G164" s="4368" t="s">
        <v>2718</v>
      </c>
      <c r="H164" s="153"/>
      <c r="I164" s="1562"/>
      <c r="J164" s="32"/>
      <c r="K164" s="32"/>
      <c r="L164" s="32"/>
      <c r="M164" s="32"/>
    </row>
    <row r="165" spans="2:13">
      <c r="B165" s="4382"/>
      <c r="C165" s="3059">
        <v>2600001</v>
      </c>
      <c r="D165" s="208" t="str">
        <f>VLOOKUP(C165,'מאזן בוחן'!C:D,2,0)</f>
        <v>עתודה לפיצויי פיטורין</v>
      </c>
      <c r="E165" s="2554"/>
      <c r="F165" s="2550"/>
      <c r="G165" s="4369"/>
      <c r="H165" s="137"/>
      <c r="I165" s="153"/>
      <c r="J165" s="32"/>
      <c r="K165" s="32"/>
      <c r="L165" s="32"/>
      <c r="M165" s="32"/>
    </row>
    <row r="166" spans="2:13" ht="13.5" thickBot="1">
      <c r="B166" s="4383"/>
      <c r="C166" s="3058">
        <v>2600002</v>
      </c>
      <c r="D166" s="3699" t="str">
        <f>VLOOKUP(C166,'מאזן בוחן'!C:D,2,0)</f>
        <v>יעודה לפיצויי פיטורין</v>
      </c>
      <c r="E166" s="2555"/>
      <c r="F166" s="2551"/>
      <c r="G166" s="4370"/>
      <c r="H166" s="137"/>
      <c r="I166" s="153"/>
      <c r="J166" s="32"/>
      <c r="K166" s="32"/>
      <c r="L166" s="32"/>
      <c r="M166" s="32"/>
    </row>
    <row r="167" spans="2:13" ht="13.5" thickBot="1">
      <c r="B167" s="4181">
        <f>B164+1</f>
        <v>45</v>
      </c>
      <c r="C167" s="2432" t="s">
        <v>3539</v>
      </c>
      <c r="D167" s="4070"/>
      <c r="E167" s="1345" t="s">
        <v>1458</v>
      </c>
      <c r="F167" s="1197" t="s">
        <v>294</v>
      </c>
      <c r="G167" s="1197" t="s">
        <v>2507</v>
      </c>
      <c r="H167" s="4351" t="s">
        <v>2718</v>
      </c>
      <c r="I167" s="1562"/>
      <c r="J167" s="32"/>
      <c r="K167" s="32"/>
      <c r="L167" s="32"/>
      <c r="M167" s="32"/>
    </row>
    <row r="168" spans="2:13">
      <c r="B168" s="4382"/>
      <c r="C168" s="3061">
        <v>1100999</v>
      </c>
      <c r="D168" s="3060" t="str">
        <f>VLOOKUP(C168,'מאזן בוחן'!C:D,2,0)</f>
        <v>Prepaid Expenses TP IC</v>
      </c>
      <c r="E168" s="2556"/>
      <c r="F168" s="2552"/>
      <c r="H168" s="4352"/>
      <c r="I168" s="1562"/>
      <c r="J168" s="32"/>
      <c r="K168" s="32"/>
      <c r="L168" s="32"/>
      <c r="M168" s="32"/>
    </row>
    <row r="169" spans="2:13" ht="13.5" thickBot="1">
      <c r="B169" s="4383"/>
      <c r="C169" s="3061">
        <v>5900001</v>
      </c>
      <c r="D169" s="3699" t="str">
        <f>VLOOKUP(C169,'מאזן בוחן'!C:D,2,0)</f>
        <v>עלות המכר</v>
      </c>
      <c r="E169" s="2556"/>
      <c r="F169" s="2556"/>
      <c r="H169" s="4353"/>
      <c r="I169" s="1562"/>
      <c r="J169" s="32"/>
      <c r="K169" s="32"/>
      <c r="L169" s="32"/>
      <c r="M169" s="32"/>
    </row>
    <row r="170" spans="2:13" ht="13.5" thickBot="1">
      <c r="B170" s="3696">
        <f>B167+1</f>
        <v>46</v>
      </c>
      <c r="C170" s="2432" t="s">
        <v>3287</v>
      </c>
      <c r="D170" s="4070"/>
      <c r="E170" s="1345" t="s">
        <v>1458</v>
      </c>
      <c r="F170" s="1197" t="s">
        <v>294</v>
      </c>
      <c r="G170" s="4365" t="s">
        <v>2718</v>
      </c>
      <c r="H170" s="153"/>
      <c r="I170" s="1562"/>
      <c r="J170" s="32"/>
      <c r="K170" s="32"/>
      <c r="L170" s="32"/>
      <c r="M170" s="32"/>
    </row>
    <row r="171" spans="2:13">
      <c r="B171" s="4382"/>
      <c r="C171" s="3059">
        <v>9100001</v>
      </c>
      <c r="D171" s="208" t="str">
        <f>VLOOKUP(C171,'מאזן בוחן'!C:D,2,0)</f>
        <v>מיסים על הכנסה</v>
      </c>
      <c r="E171" s="2556"/>
      <c r="F171" s="2552">
        <f>E171/'מאזן בוחן'!$N$2</f>
        <v>0</v>
      </c>
      <c r="G171" s="4366"/>
      <c r="H171" s="153"/>
      <c r="I171" s="1562"/>
      <c r="J171" s="32"/>
      <c r="K171" s="32"/>
      <c r="L171" s="32"/>
      <c r="M171" s="32"/>
    </row>
    <row r="172" spans="2:13" ht="13.5" thickBot="1">
      <c r="B172" s="4383"/>
      <c r="C172" s="3058" t="s">
        <v>3048</v>
      </c>
      <c r="D172" s="3699" t="e">
        <f>VLOOKUP(C172,'מאזן בוחן'!C:D,2,0)</f>
        <v>#N/A</v>
      </c>
      <c r="E172" s="2557">
        <f>-E171</f>
        <v>0</v>
      </c>
      <c r="F172" s="2553">
        <f>-F171</f>
        <v>0</v>
      </c>
      <c r="G172" s="4367"/>
      <c r="H172" s="4194"/>
      <c r="I172" s="1562"/>
      <c r="J172" s="32"/>
      <c r="K172" s="32"/>
      <c r="L172" s="32"/>
      <c r="M172" s="32"/>
    </row>
    <row r="173" spans="2:13" ht="13.5" thickBot="1">
      <c r="B173" s="3696">
        <v>44</v>
      </c>
      <c r="C173" s="2432" t="s">
        <v>3218</v>
      </c>
      <c r="D173" s="4070"/>
      <c r="E173" s="1345" t="s">
        <v>1458</v>
      </c>
      <c r="F173" s="1197" t="s">
        <v>294</v>
      </c>
      <c r="G173" s="2428" t="s">
        <v>4888</v>
      </c>
      <c r="H173" s="4194"/>
      <c r="I173" s="1562"/>
      <c r="J173" s="4192"/>
      <c r="K173" s="32"/>
      <c r="L173" s="32"/>
      <c r="M173" s="32"/>
    </row>
    <row r="174" spans="2:13">
      <c r="B174" s="4389"/>
      <c r="C174" s="3059">
        <v>6010003</v>
      </c>
      <c r="D174" s="208" t="str">
        <f>VLOOKUP(C174,'מאזן בוחן'!C:D,2,0)</f>
        <v>בונוס MBO  עובדי ישראל פיתוח</v>
      </c>
      <c r="E174" s="1704"/>
      <c r="F174" s="2265"/>
      <c r="G174" s="3826" t="s">
        <v>1386</v>
      </c>
      <c r="H174" s="4194" t="e">
        <f t="shared" ref="H174:H188" si="1">E174/F174</f>
        <v>#DIV/0!</v>
      </c>
      <c r="I174" s="4193"/>
      <c r="J174" s="4192"/>
      <c r="K174" s="1016"/>
      <c r="L174" s="32"/>
      <c r="M174" s="32"/>
    </row>
    <row r="175" spans="2:13">
      <c r="B175" s="4390"/>
      <c r="C175" s="3059">
        <v>6110003</v>
      </c>
      <c r="D175" s="208" t="str">
        <f>VLOOKUP(C175,'מאזן בוחן'!C:D,2,0)</f>
        <v>בונוס MBO ניהול מוצר</v>
      </c>
      <c r="E175" s="1704"/>
      <c r="F175" s="2265"/>
      <c r="G175" s="3826" t="s">
        <v>1386</v>
      </c>
      <c r="H175" s="4194" t="e">
        <f t="shared" si="1"/>
        <v>#DIV/0!</v>
      </c>
      <c r="I175" s="4193"/>
      <c r="J175" s="4192"/>
      <c r="K175" s="32"/>
      <c r="L175" s="32"/>
      <c r="M175" s="32"/>
    </row>
    <row r="176" spans="2:13">
      <c r="B176" s="4390"/>
      <c r="C176" s="3059">
        <v>8210003</v>
      </c>
      <c r="D176" s="208" t="str">
        <f>VLOOKUP(C176,'מאזן בוחן'!C:D,2,0)</f>
        <v>בונוס HR MBO</v>
      </c>
      <c r="E176" s="1704"/>
      <c r="F176" s="2265"/>
      <c r="G176" s="3826" t="s">
        <v>1386</v>
      </c>
      <c r="H176" s="4194" t="e">
        <f t="shared" si="1"/>
        <v>#DIV/0!</v>
      </c>
      <c r="I176" s="4193"/>
      <c r="J176" s="4192"/>
      <c r="K176" s="32"/>
      <c r="L176" s="32"/>
      <c r="M176" s="32"/>
    </row>
    <row r="177" spans="2:15">
      <c r="B177" s="4390"/>
      <c r="C177" s="3059">
        <v>7010003</v>
      </c>
      <c r="D177" s="208" t="str">
        <f>VLOOKUP(C177,'מאזן בוחן'!C:D,2,0)</f>
        <v>בונוס  MBO שיווק</v>
      </c>
      <c r="E177" s="1704"/>
      <c r="F177" s="2265"/>
      <c r="G177" s="3826" t="s">
        <v>1386</v>
      </c>
      <c r="H177" s="4194" t="e">
        <f t="shared" si="1"/>
        <v>#DIV/0!</v>
      </c>
      <c r="I177" s="4193"/>
      <c r="J177" s="4192"/>
      <c r="K177" s="32"/>
      <c r="L177" s="32"/>
      <c r="M177" s="32"/>
    </row>
    <row r="178" spans="2:15">
      <c r="B178" s="4390"/>
      <c r="C178" s="4172">
        <v>7140002</v>
      </c>
      <c r="D178" s="208" t="str">
        <f>VLOOKUP(C178,'מאזן בוחן'!C:D,2,0)</f>
        <v>בונוס SE MBO</v>
      </c>
      <c r="E178" s="1704"/>
      <c r="F178" s="2265"/>
      <c r="G178" s="3826" t="s">
        <v>3491</v>
      </c>
      <c r="H178" s="4194" t="e">
        <f t="shared" si="1"/>
        <v>#DIV/0!</v>
      </c>
      <c r="I178" s="4193"/>
      <c r="J178" s="4192"/>
      <c r="K178" s="32"/>
      <c r="L178" s="32"/>
      <c r="M178" s="32"/>
    </row>
    <row r="179" spans="2:15">
      <c r="B179" s="4390"/>
      <c r="C179" s="4172">
        <v>7140002</v>
      </c>
      <c r="D179" s="208" t="str">
        <f>VLOOKUP(C179,'מאזן בוחן'!C:D,2,0)</f>
        <v>בונוס SE MBO</v>
      </c>
      <c r="E179" s="1704"/>
      <c r="F179" s="2265"/>
      <c r="G179" s="3826" t="s">
        <v>1387</v>
      </c>
      <c r="H179" s="4194" t="e">
        <f t="shared" si="1"/>
        <v>#DIV/0!</v>
      </c>
      <c r="I179" s="4193"/>
      <c r="J179" s="4192"/>
      <c r="K179" s="32"/>
      <c r="L179" s="32"/>
      <c r="M179" s="32"/>
    </row>
    <row r="180" spans="2:15">
      <c r="B180" s="4390"/>
      <c r="C180" s="3059">
        <v>5100003</v>
      </c>
      <c r="D180" s="208" t="str">
        <f>VLOOKUP(C180,'מאזן בוחן'!C:D,2,0)</f>
        <v>בונוס MBO תמיכה ישראל</v>
      </c>
      <c r="E180" s="1704"/>
      <c r="F180" s="2265"/>
      <c r="G180" s="3826" t="s">
        <v>1386</v>
      </c>
      <c r="H180" s="4194" t="e">
        <f t="shared" si="1"/>
        <v>#DIV/0!</v>
      </c>
      <c r="I180" s="4193"/>
      <c r="J180" s="4192"/>
      <c r="K180" s="32"/>
      <c r="L180" s="32"/>
      <c r="M180" s="32"/>
    </row>
    <row r="181" spans="2:15">
      <c r="B181" s="4390"/>
      <c r="C181" s="3059">
        <v>5200003</v>
      </c>
      <c r="D181" s="208" t="str">
        <f>VLOOKUP(C181,'מאזן בוחן'!C:D,2,0)</f>
        <v>בונוס MBO שירותים מקצועיים</v>
      </c>
      <c r="E181" s="1704"/>
      <c r="F181" s="2265"/>
      <c r="G181" s="3826" t="s">
        <v>1386</v>
      </c>
      <c r="H181" s="4194" t="e">
        <f t="shared" si="1"/>
        <v>#DIV/0!</v>
      </c>
      <c r="I181" s="4193"/>
      <c r="J181" s="4192"/>
      <c r="K181" s="32"/>
      <c r="L181" s="32"/>
      <c r="M181" s="32"/>
    </row>
    <row r="182" spans="2:15">
      <c r="B182" s="4390"/>
      <c r="C182" s="3059">
        <v>8110003</v>
      </c>
      <c r="D182" s="208" t="str">
        <f>VLOOKUP(C182,'מאזן בוחן'!C:D,2,0)</f>
        <v>בונוס IT &amp; IS  MBO</v>
      </c>
      <c r="E182" s="1704"/>
      <c r="F182" s="2265"/>
      <c r="G182" s="3826" t="s">
        <v>1386</v>
      </c>
      <c r="H182" s="4194" t="e">
        <f t="shared" si="1"/>
        <v>#DIV/0!</v>
      </c>
      <c r="I182" s="4193"/>
      <c r="J182" s="4192"/>
      <c r="K182" s="32"/>
      <c r="L182" s="32"/>
      <c r="M182" s="32"/>
    </row>
    <row r="183" spans="2:15">
      <c r="B183" s="4390"/>
      <c r="C183" s="4187">
        <v>8420011</v>
      </c>
      <c r="D183" s="208" t="str">
        <f>VLOOKUP(C183,'מאזן בוחן'!C:D,2,0)</f>
        <v>בונוס MBO  הנה"כ Corporate &amp; G&amp;A</v>
      </c>
      <c r="E183" s="1704"/>
      <c r="F183" s="2265"/>
      <c r="G183" s="3826" t="s">
        <v>1386</v>
      </c>
      <c r="H183" s="4194" t="e">
        <f t="shared" si="1"/>
        <v>#DIV/0!</v>
      </c>
      <c r="I183" s="4193"/>
      <c r="J183" s="4192"/>
      <c r="K183" s="32"/>
      <c r="L183" s="32"/>
      <c r="M183" s="32"/>
    </row>
    <row r="184" spans="2:15">
      <c r="B184" s="4390"/>
      <c r="C184" s="4187">
        <v>7110002</v>
      </c>
      <c r="D184" s="208" t="str">
        <f>VLOOKUP(C184,'מאזן בוחן'!C:D,2,0)</f>
        <v>בונוס  MBO מכירות</v>
      </c>
      <c r="E184" s="1704"/>
      <c r="F184" s="2265"/>
      <c r="G184" s="3826" t="s">
        <v>1386</v>
      </c>
      <c r="H184" s="4194" t="e">
        <f t="shared" si="1"/>
        <v>#DIV/0!</v>
      </c>
      <c r="I184" s="4193"/>
      <c r="J184" s="4192"/>
      <c r="K184" s="32"/>
      <c r="L184" s="32"/>
      <c r="M184" s="32"/>
    </row>
    <row r="185" spans="2:15">
      <c r="B185" s="4390"/>
      <c r="C185" s="4187">
        <v>7110002</v>
      </c>
      <c r="D185" s="208" t="str">
        <f>VLOOKUP(C185,'מאזן בוחן'!C:D,2,0)</f>
        <v>בונוס  MBO מכירות</v>
      </c>
      <c r="E185" s="1704"/>
      <c r="F185" s="2265"/>
      <c r="G185" s="3826" t="s">
        <v>3491</v>
      </c>
      <c r="H185" s="4194" t="e">
        <f t="shared" si="1"/>
        <v>#DIV/0!</v>
      </c>
      <c r="I185" s="4193"/>
      <c r="J185" s="4192"/>
      <c r="K185" s="32"/>
      <c r="L185" s="32"/>
      <c r="M185" s="32"/>
    </row>
    <row r="186" spans="2:15">
      <c r="B186" s="4390"/>
      <c r="C186" s="3059">
        <v>7110002</v>
      </c>
      <c r="D186" s="208" t="str">
        <f>VLOOKUP(C186,'מאזן בוחן'!C:D,2,0)</f>
        <v>בונוס  MBO מכירות</v>
      </c>
      <c r="E186" s="1704"/>
      <c r="F186" s="2265"/>
      <c r="G186" s="3826" t="s">
        <v>1387</v>
      </c>
      <c r="H186" s="4194" t="e">
        <f t="shared" si="1"/>
        <v>#DIV/0!</v>
      </c>
      <c r="I186" s="4193"/>
      <c r="J186" s="4192"/>
      <c r="K186" s="32"/>
      <c r="L186" s="32"/>
      <c r="M186" s="32"/>
    </row>
    <row r="187" spans="2:15">
      <c r="B187" s="4390"/>
      <c r="C187" s="3059">
        <v>5400002</v>
      </c>
      <c r="D187" s="208" t="str">
        <f>VLOOKUP(C187,'מאזן בוחן'!C:D,2,0)</f>
        <v>בונוס Training MBO</v>
      </c>
      <c r="E187" s="1704"/>
      <c r="F187" s="2265"/>
      <c r="G187" s="3826" t="s">
        <v>1386</v>
      </c>
      <c r="H187" s="4194" t="e">
        <f t="shared" si="1"/>
        <v>#DIV/0!</v>
      </c>
      <c r="I187" s="4193"/>
      <c r="J187" s="4192"/>
      <c r="K187" s="32"/>
      <c r="L187" s="32"/>
      <c r="M187" s="32"/>
    </row>
    <row r="188" spans="2:15" ht="13.5" thickBot="1">
      <c r="B188" s="4391"/>
      <c r="C188" s="3058">
        <v>2400001</v>
      </c>
      <c r="D188" s="3699" t="str">
        <f>VLOOKUP(C188,'מאזן בוחן'!C:D,2,0)</f>
        <v>הוצאות לשלם עובדים</v>
      </c>
      <c r="E188" s="1703">
        <f>-SUM(E174:E187)</f>
        <v>0</v>
      </c>
      <c r="F188" s="1703">
        <f>-SUM(F174:F187)</f>
        <v>0</v>
      </c>
      <c r="G188" s="2430"/>
      <c r="H188" s="4194" t="e">
        <f t="shared" si="1"/>
        <v>#DIV/0!</v>
      </c>
      <c r="I188" s="4193"/>
      <c r="J188" s="4192"/>
      <c r="K188" s="32"/>
      <c r="L188" s="32"/>
      <c r="M188" s="32"/>
    </row>
    <row r="189" spans="2:15" ht="13.5" thickBot="1">
      <c r="B189" s="1820">
        <f>B173+1</f>
        <v>45</v>
      </c>
      <c r="C189" s="3220" t="s">
        <v>3201</v>
      </c>
      <c r="D189" s="1370"/>
      <c r="E189" s="1345" t="s">
        <v>1458</v>
      </c>
      <c r="F189" s="1197" t="s">
        <v>294</v>
      </c>
      <c r="G189" s="4368" t="s">
        <v>2427</v>
      </c>
      <c r="H189" s="4194"/>
      <c r="I189" s="1562"/>
      <c r="J189" s="32"/>
      <c r="K189" s="32"/>
      <c r="L189" s="32"/>
      <c r="M189" s="32"/>
    </row>
    <row r="190" spans="2:15" ht="12.95" customHeight="1">
      <c r="B190" s="4344"/>
      <c r="C190" s="1550">
        <v>2400001</v>
      </c>
      <c r="D190" s="208" t="str">
        <f>VLOOKUP(C190,'מאזן בוחן'!C:D,2,0)</f>
        <v>הוצאות לשלם עובדים</v>
      </c>
      <c r="E190" s="1704">
        <f>-SUM(E191:E201)</f>
        <v>0</v>
      </c>
      <c r="F190" s="1704">
        <f>-SUM(F191:F201)</f>
        <v>0</v>
      </c>
      <c r="G190" s="4369"/>
      <c r="H190" s="4194"/>
      <c r="I190" s="32"/>
      <c r="J190" s="32"/>
      <c r="K190" s="32"/>
      <c r="L190" s="32"/>
      <c r="M190" s="32"/>
      <c r="N190" s="32"/>
      <c r="O190" s="32"/>
    </row>
    <row r="191" spans="2:15" ht="12.95" customHeight="1">
      <c r="B191" s="4346"/>
      <c r="C191" s="1550">
        <v>6010024</v>
      </c>
      <c r="D191" s="208" t="str">
        <f>VLOOKUP(C191,'מאזן בוחן'!C:D,2,0)</f>
        <v>בונוסים פולין - MOJA FIRMA</v>
      </c>
      <c r="E191" s="1704">
        <f>F191*'מאזן בוחן'!$N$2</f>
        <v>0</v>
      </c>
      <c r="F191" s="1704"/>
      <c r="G191" s="4369"/>
      <c r="H191" s="4194"/>
      <c r="I191" s="32"/>
      <c r="J191" s="32"/>
      <c r="K191" s="32"/>
      <c r="L191" s="32"/>
      <c r="M191" s="32"/>
      <c r="N191" s="32"/>
      <c r="O191" s="32"/>
    </row>
    <row r="192" spans="2:15" ht="12.95" customHeight="1">
      <c r="B192" s="4346"/>
      <c r="C192" s="1550">
        <v>6010025</v>
      </c>
      <c r="D192" s="208" t="str">
        <f>VLOOKUP(C192,'מאזן בוחן'!C:D,2,0)</f>
        <v>בונוסים בלרוס - Belisoft International</v>
      </c>
      <c r="E192" s="1704">
        <f>F192*'מאזן בוחן'!$N$2</f>
        <v>0</v>
      </c>
      <c r="F192" s="1704"/>
      <c r="G192" s="4369"/>
      <c r="H192" s="4194"/>
      <c r="I192" s="32"/>
      <c r="J192" s="32"/>
      <c r="K192" s="32"/>
      <c r="L192" s="32"/>
      <c r="M192" s="32"/>
      <c r="N192" s="32"/>
      <c r="O192" s="32"/>
    </row>
    <row r="193" spans="2:15" ht="12.95" customHeight="1">
      <c r="B193" s="4346"/>
      <c r="C193" s="1550">
        <v>6010002</v>
      </c>
      <c r="D193" s="208" t="str">
        <f>VLOOKUP(C193,'מאזן בוחן'!C:D,2,0)</f>
        <v>בונוסים  עובדי ישראל פיתוח</v>
      </c>
      <c r="E193" s="1704">
        <f>F193*'מאזן בוחן'!$N$2</f>
        <v>0</v>
      </c>
      <c r="F193" s="1704"/>
      <c r="G193" s="4369"/>
      <c r="I193" s="32"/>
      <c r="J193" s="32"/>
      <c r="K193" s="32"/>
      <c r="L193" s="32"/>
      <c r="M193" s="32"/>
      <c r="N193" s="32"/>
      <c r="O193" s="32"/>
    </row>
    <row r="194" spans="2:15" ht="12.95" customHeight="1">
      <c r="B194" s="4346"/>
      <c r="C194" s="1550">
        <v>5100002</v>
      </c>
      <c r="D194" s="208" t="str">
        <f>VLOOKUP(C194,'מאזן בוחן'!C:D,2,0)</f>
        <v>בונוס תמיכה ישראל</v>
      </c>
      <c r="E194" s="1704">
        <f>F194*'מאזן בוחן'!$N$2</f>
        <v>0</v>
      </c>
      <c r="F194" s="1704"/>
      <c r="G194" s="4369"/>
      <c r="I194" s="32"/>
      <c r="J194" s="32"/>
      <c r="K194" s="32"/>
      <c r="L194" s="32"/>
      <c r="M194" s="32"/>
      <c r="N194" s="32"/>
      <c r="O194" s="32"/>
    </row>
    <row r="195" spans="2:15" ht="12.95" customHeight="1">
      <c r="B195" s="4346"/>
      <c r="C195" s="1550">
        <v>8110002</v>
      </c>
      <c r="D195" s="208" t="str">
        <f>VLOOKUP(C195,'מאזן בוחן'!C:D,2,0)</f>
        <v>בונוס IT &amp; IS</v>
      </c>
      <c r="E195" s="1704">
        <f>F195*'מאזן בוחן'!$N$2</f>
        <v>0</v>
      </c>
      <c r="F195" s="1704"/>
      <c r="G195" s="4369"/>
      <c r="I195" s="32"/>
      <c r="J195" s="32"/>
      <c r="K195" s="32"/>
      <c r="L195" s="32"/>
      <c r="M195" s="32"/>
      <c r="N195" s="32"/>
      <c r="O195" s="32"/>
    </row>
    <row r="196" spans="2:15" ht="12.95" customHeight="1">
      <c r="B196" s="4346"/>
      <c r="C196" s="1550">
        <v>8210002</v>
      </c>
      <c r="D196" s="208" t="str">
        <f>VLOOKUP(C196,'מאזן בוחן'!C:D,2,0)</f>
        <v>בונוס HR</v>
      </c>
      <c r="E196" s="1704">
        <f>F196*'מאזן בוחן'!$N$2</f>
        <v>0</v>
      </c>
      <c r="F196" s="1704"/>
      <c r="G196" s="4369"/>
      <c r="I196" s="32"/>
      <c r="J196" s="32"/>
      <c r="K196" s="32"/>
      <c r="L196" s="32"/>
      <c r="M196" s="32"/>
      <c r="N196" s="32"/>
      <c r="O196" s="32"/>
    </row>
    <row r="197" spans="2:15" ht="12.95" customHeight="1">
      <c r="B197" s="4346"/>
      <c r="C197" s="1550">
        <v>5400003</v>
      </c>
      <c r="D197" s="208" t="str">
        <f>VLOOKUP(C197,'מאזן בוחן'!C:D,2,0)</f>
        <v>בונוס Training</v>
      </c>
      <c r="E197" s="1704">
        <f>F197*'מאזן בוחן'!$N$2</f>
        <v>0</v>
      </c>
      <c r="F197" s="1704"/>
      <c r="G197" s="4369"/>
      <c r="I197" s="32"/>
      <c r="J197" s="32"/>
      <c r="K197" s="32"/>
      <c r="L197" s="32"/>
      <c r="M197" s="32"/>
      <c r="N197" s="32"/>
      <c r="O197" s="32"/>
    </row>
    <row r="198" spans="2:15" ht="12.95" customHeight="1">
      <c r="B198" s="4346"/>
      <c r="C198" s="1550">
        <v>5200002</v>
      </c>
      <c r="D198" s="208" t="str">
        <f>VLOOKUP(C198,'מאזן בוחן'!C:D,2,0)</f>
        <v>בונוס שירותים מקצועיים</v>
      </c>
      <c r="E198" s="1704">
        <f>F198*'מאזן בוחן'!$N$2</f>
        <v>0</v>
      </c>
      <c r="F198" s="1704"/>
      <c r="G198" s="4369"/>
      <c r="I198" s="32"/>
      <c r="J198" s="32"/>
      <c r="K198" s="32"/>
      <c r="L198" s="32"/>
      <c r="M198" s="32"/>
      <c r="N198" s="32"/>
      <c r="O198" s="32"/>
    </row>
    <row r="199" spans="2:15" ht="12.95" customHeight="1">
      <c r="B199" s="4346"/>
      <c r="C199" s="1550">
        <v>7010002</v>
      </c>
      <c r="D199" s="208" t="str">
        <f>VLOOKUP(C199,'מאזן בוחן'!C:D,2,0)</f>
        <v>בונוס  שיווק</v>
      </c>
      <c r="E199" s="1704">
        <f>F199*'מאזן בוחן'!$N$2</f>
        <v>0</v>
      </c>
      <c r="F199" s="1704"/>
      <c r="G199" s="4369"/>
      <c r="I199" s="32"/>
      <c r="J199" s="32"/>
      <c r="K199" s="32"/>
      <c r="L199" s="32"/>
      <c r="M199" s="32"/>
      <c r="N199" s="32"/>
      <c r="O199" s="32"/>
    </row>
    <row r="200" spans="2:15" ht="12.95" customHeight="1">
      <c r="B200" s="4346"/>
      <c r="C200" s="1550">
        <v>8420013</v>
      </c>
      <c r="D200" s="208" t="str">
        <f>VLOOKUP(C200,'מאזן בוחן'!C:D,2,0)</f>
        <v>בונוס עובדי הנה"כ Corporate &amp; G&amp;A</v>
      </c>
      <c r="E200" s="1704">
        <f>F200*'מאזן בוחן'!$N$2</f>
        <v>0</v>
      </c>
      <c r="F200" s="1704"/>
      <c r="G200" s="4369"/>
      <c r="I200" s="32"/>
      <c r="J200" s="32"/>
      <c r="K200" s="32"/>
      <c r="L200" s="32"/>
      <c r="M200" s="32"/>
      <c r="N200" s="32"/>
      <c r="O200" s="32"/>
    </row>
    <row r="201" spans="2:15" ht="13.5" customHeight="1" thickBot="1">
      <c r="B201" s="4345"/>
      <c r="C201" s="3058">
        <v>6110002</v>
      </c>
      <c r="D201" s="1094" t="str">
        <f>VLOOKUP(C201,'מאזן בוחן'!C:D,2,0)</f>
        <v>בונוס ניהול מוצר</v>
      </c>
      <c r="E201" s="1704">
        <f>F201*'מאזן בוחן'!$N$2</f>
        <v>0</v>
      </c>
      <c r="F201" s="1703"/>
      <c r="G201" s="4370"/>
      <c r="I201" s="32"/>
      <c r="J201" s="32"/>
      <c r="K201" s="32"/>
      <c r="L201" s="32"/>
      <c r="M201" s="32"/>
      <c r="N201" s="32"/>
      <c r="O201" s="32"/>
    </row>
    <row r="202" spans="2:15" ht="13.5" thickBot="1">
      <c r="B202" s="1820">
        <f>B189+1</f>
        <v>46</v>
      </c>
      <c r="C202" s="3220" t="s">
        <v>3549</v>
      </c>
      <c r="D202" s="1370"/>
      <c r="E202" s="1345" t="s">
        <v>1458</v>
      </c>
      <c r="F202" s="1197" t="s">
        <v>294</v>
      </c>
      <c r="G202" s="4365" t="s">
        <v>2718</v>
      </c>
      <c r="I202" s="32"/>
      <c r="J202" s="32"/>
      <c r="K202" s="32"/>
      <c r="L202" s="32"/>
      <c r="M202" s="32"/>
      <c r="N202" s="32"/>
      <c r="O202" s="32"/>
    </row>
    <row r="203" spans="2:15">
      <c r="B203" s="4347"/>
      <c r="C203" s="3059">
        <v>8010003</v>
      </c>
      <c r="D203" s="208" t="str">
        <f>VLOOKUP(C203,'מאזן בוחן'!C:D,2,0)</f>
        <v>בונוס FINANCE &amp; LEGAL MBO</v>
      </c>
      <c r="E203" s="2556"/>
      <c r="F203" s="2552">
        <f>-F204</f>
        <v>0</v>
      </c>
      <c r="G203" s="4366"/>
      <c r="I203" s="32"/>
      <c r="J203" s="32"/>
      <c r="K203" s="32"/>
      <c r="L203" s="32"/>
      <c r="M203" s="32"/>
      <c r="N203" s="32"/>
      <c r="O203" s="32"/>
    </row>
    <row r="204" spans="2:15" ht="13.5" thickBot="1">
      <c r="B204" s="4334"/>
      <c r="C204" s="3058">
        <v>8420011</v>
      </c>
      <c r="D204" s="1094" t="str">
        <f>VLOOKUP(C204,'מאזן בוחן'!C:D,2,0)</f>
        <v>בונוס MBO  הנה"כ Corporate &amp; G&amp;A</v>
      </c>
      <c r="E204" s="2557">
        <f>-E203</f>
        <v>0</v>
      </c>
      <c r="F204" s="2553">
        <f>E204/'מאזן בוחן'!$N$2</f>
        <v>0</v>
      </c>
      <c r="G204" s="4367"/>
      <c r="I204" s="32"/>
      <c r="J204" s="32"/>
      <c r="K204" s="32"/>
      <c r="L204" s="32"/>
      <c r="M204" s="32"/>
      <c r="N204" s="32"/>
      <c r="O204" s="32"/>
    </row>
    <row r="205" spans="2:15" ht="13.5" thickBot="1">
      <c r="B205" s="1820">
        <f>B202+1</f>
        <v>47</v>
      </c>
      <c r="C205" s="3220" t="s">
        <v>4766</v>
      </c>
      <c r="D205" s="1370"/>
      <c r="E205" s="1345" t="s">
        <v>1458</v>
      </c>
      <c r="F205" s="1197" t="s">
        <v>294</v>
      </c>
      <c r="G205" s="4357" t="s">
        <v>2427</v>
      </c>
      <c r="I205" s="32"/>
      <c r="J205" s="32"/>
      <c r="K205" s="32"/>
      <c r="L205" s="32"/>
      <c r="M205" s="32"/>
      <c r="N205" s="32"/>
      <c r="O205" s="32"/>
    </row>
    <row r="206" spans="2:15">
      <c r="B206" s="4347"/>
      <c r="C206" s="3059">
        <v>6010055</v>
      </c>
      <c r="D206" s="208" t="str">
        <f>VLOOKUP(C206,'מאזן בוחן'!C:D,2,0)</f>
        <v>הוצאות ביטוח לאומי מעביד - למאזן בלבד פיתוח</v>
      </c>
      <c r="E206" s="2556"/>
      <c r="F206" s="2552">
        <f>E206/'מאזן בוחן'!$N$2</f>
        <v>0</v>
      </c>
      <c r="G206" s="4358"/>
      <c r="H206" s="493"/>
      <c r="I206" s="32"/>
      <c r="J206" s="32"/>
      <c r="K206" s="32"/>
      <c r="L206" s="32"/>
      <c r="M206" s="32"/>
      <c r="N206" s="32"/>
      <c r="O206" s="32"/>
    </row>
    <row r="207" spans="2:15">
      <c r="B207" s="4333"/>
      <c r="C207" s="3059">
        <v>8420055</v>
      </c>
      <c r="D207" s="208" t="str">
        <f>VLOOKUP(C207,'מאזן בוחן'!C:D,2,0)</f>
        <v>הוצאות ביטוח לאומי מעביד - למאזן בלבד Corp &amp; GA</v>
      </c>
      <c r="E207" s="2556"/>
      <c r="F207" s="2552">
        <f>E207/'מאזן בוחן'!$N$2</f>
        <v>0</v>
      </c>
      <c r="G207" s="4358"/>
      <c r="H207" s="493"/>
      <c r="I207" s="32"/>
      <c r="J207" s="32"/>
      <c r="K207" s="32"/>
      <c r="L207" s="32"/>
      <c r="M207" s="32"/>
      <c r="N207" s="32"/>
      <c r="O207" s="32"/>
    </row>
    <row r="208" spans="2:15">
      <c r="B208" s="4333"/>
      <c r="C208" s="3059">
        <v>8210055</v>
      </c>
      <c r="D208" s="208" t="str">
        <f>VLOOKUP(C208,'מאזן בוחן'!C:D,2,0)</f>
        <v>הוצאות ביטוח לאומי מעביד - למאזן בלבד HR</v>
      </c>
      <c r="E208" s="2556"/>
      <c r="F208" s="2552">
        <f>E208/'מאזן בוחן'!$N$2</f>
        <v>0</v>
      </c>
      <c r="G208" s="4358"/>
      <c r="H208" s="493"/>
      <c r="I208" s="32"/>
      <c r="J208" s="32"/>
      <c r="K208" s="32"/>
      <c r="L208" s="32"/>
      <c r="M208" s="32"/>
      <c r="N208" s="32"/>
      <c r="O208" s="32"/>
    </row>
    <row r="209" spans="2:15">
      <c r="B209" s="4333"/>
      <c r="C209" s="3059">
        <v>8110055</v>
      </c>
      <c r="D209" s="208" t="str">
        <f>VLOOKUP(C209,'מאזן בוחן'!C:D,2,0)</f>
        <v>הוצאות ביטוח לאומי מעביד - למאזן בלבד IT &amp; IS</v>
      </c>
      <c r="E209" s="2556"/>
      <c r="F209" s="2552">
        <f>E209/'מאזן בוחן'!$N$2</f>
        <v>0</v>
      </c>
      <c r="G209" s="4358"/>
      <c r="H209" s="493"/>
      <c r="I209" s="32"/>
      <c r="J209" s="32"/>
      <c r="K209" s="32"/>
      <c r="L209" s="32"/>
      <c r="M209" s="32"/>
      <c r="N209" s="32"/>
      <c r="O209" s="32"/>
    </row>
    <row r="210" spans="2:15">
      <c r="B210" s="4333"/>
      <c r="C210" s="3059">
        <v>7010055</v>
      </c>
      <c r="D210" s="208" t="str">
        <f>VLOOKUP(C210,'מאזן בוחן'!C:D,2,0)</f>
        <v>הוצאות ביטוח לאומי מעביד - למאזן בלבד שיווק</v>
      </c>
      <c r="E210" s="2556"/>
      <c r="F210" s="2552">
        <f>E210/'מאזן בוחן'!$N$2</f>
        <v>0</v>
      </c>
      <c r="G210" s="4358"/>
      <c r="H210" s="493"/>
      <c r="I210" s="32"/>
      <c r="J210" s="32"/>
      <c r="K210" s="32"/>
      <c r="L210" s="32"/>
      <c r="M210" s="32"/>
      <c r="N210" s="32"/>
      <c r="O210" s="32"/>
    </row>
    <row r="211" spans="2:15">
      <c r="B211" s="4333"/>
      <c r="C211" s="3059">
        <v>6110055</v>
      </c>
      <c r="D211" s="208" t="str">
        <f>VLOOKUP(C211,'מאזן בוחן'!C:D,2,0)</f>
        <v>הוצאות ביטוח לאומי מעביד - למאזן בלבד מוצר</v>
      </c>
      <c r="E211" s="2556"/>
      <c r="F211" s="2552">
        <f>E211/'מאזן בוחן'!$N$2</f>
        <v>0</v>
      </c>
      <c r="G211" s="4358"/>
      <c r="H211" s="493"/>
      <c r="I211" s="32"/>
      <c r="J211" s="32"/>
      <c r="K211" s="32"/>
      <c r="L211" s="32"/>
      <c r="M211" s="32"/>
      <c r="N211" s="32"/>
      <c r="O211" s="32"/>
    </row>
    <row r="212" spans="2:15">
      <c r="B212" s="4333"/>
      <c r="C212" s="3059" t="s">
        <v>4799</v>
      </c>
      <c r="D212" s="208" t="str">
        <f>VLOOKUP(C212,'מאזן בוחן'!C:D,2,0)</f>
        <v>הוצאות ביטוח לאומי מעביד - למאזן בלבד שירותים מקצועיים</v>
      </c>
      <c r="E212" s="2556"/>
      <c r="F212" s="2552">
        <f>E212/'מאזן בוחן'!$N$2</f>
        <v>0</v>
      </c>
      <c r="G212" s="4358"/>
      <c r="H212" s="493"/>
      <c r="I212" s="32"/>
      <c r="J212" s="32"/>
      <c r="K212" s="32"/>
      <c r="L212" s="32"/>
      <c r="M212" s="32"/>
      <c r="N212" s="32"/>
      <c r="O212" s="32"/>
    </row>
    <row r="213" spans="2:15">
      <c r="B213" s="4333"/>
      <c r="C213" s="3059">
        <v>5400055</v>
      </c>
      <c r="D213" s="208" t="str">
        <f>VLOOKUP(C213,'מאזן בוחן'!C:D,2,0)</f>
        <v>הוצאות ביטוח לאומי מעביד - למאזן בלבד Training</v>
      </c>
      <c r="E213" s="2556"/>
      <c r="F213" s="2552">
        <f>E213/'מאזן בוחן'!$N$2</f>
        <v>0</v>
      </c>
      <c r="G213" s="4358"/>
      <c r="H213" s="493"/>
      <c r="I213" s="32"/>
      <c r="J213" s="32"/>
      <c r="K213" s="32"/>
      <c r="L213" s="32"/>
      <c r="M213" s="32"/>
      <c r="N213" s="32"/>
      <c r="O213" s="32"/>
    </row>
    <row r="214" spans="2:15" ht="13.5" thickBot="1">
      <c r="B214" s="4334"/>
      <c r="C214" s="3058">
        <v>2400001</v>
      </c>
      <c r="D214" s="1094" t="str">
        <f>VLOOKUP(C214,'מאזן בוחן'!C:D,2,0)</f>
        <v>הוצאות לשלם עובדים</v>
      </c>
      <c r="E214" s="2557">
        <f>-SUM(E206:E213)</f>
        <v>0</v>
      </c>
      <c r="F214" s="2557">
        <f>-SUM(F206:F213)</f>
        <v>0</v>
      </c>
      <c r="G214" s="4359"/>
      <c r="H214" s="493"/>
      <c r="I214" s="32"/>
      <c r="J214" s="32"/>
      <c r="K214" s="32"/>
      <c r="L214" s="32"/>
      <c r="M214" s="32"/>
      <c r="N214" s="32"/>
      <c r="O214" s="32"/>
    </row>
    <row r="215" spans="2:15" ht="13.5" thickBot="1">
      <c r="B215" s="2220">
        <f>B205+1</f>
        <v>48</v>
      </c>
      <c r="C215" s="3220" t="s">
        <v>4805</v>
      </c>
      <c r="D215" s="1370"/>
      <c r="E215" s="1345" t="s">
        <v>1458</v>
      </c>
      <c r="F215" s="1197" t="s">
        <v>294</v>
      </c>
      <c r="G215" s="4351" t="s">
        <v>2427</v>
      </c>
      <c r="I215" s="32"/>
      <c r="J215" s="32"/>
      <c r="K215" s="32"/>
      <c r="L215" s="32"/>
      <c r="M215" s="32"/>
      <c r="N215" s="32"/>
      <c r="O215" s="32"/>
    </row>
    <row r="216" spans="2:15">
      <c r="B216" s="4350"/>
      <c r="C216" s="1548">
        <v>1400001</v>
      </c>
      <c r="D216" s="1240" t="str">
        <f>VLOOKUP(C216,'מאזן בוחן'!C:D,2,0)</f>
        <v>מחשבים ותוכנות</v>
      </c>
      <c r="E216" s="2265"/>
      <c r="F216" s="1705"/>
      <c r="G216" s="4352"/>
      <c r="I216" s="32"/>
      <c r="J216" s="32"/>
      <c r="K216" s="32"/>
      <c r="L216" s="32"/>
      <c r="M216" s="32"/>
      <c r="N216" s="32"/>
      <c r="O216" s="32"/>
    </row>
    <row r="217" spans="2:15" ht="13.5" thickBot="1">
      <c r="B217" s="4349"/>
      <c r="C217" s="1549">
        <v>99010</v>
      </c>
      <c r="D217" s="1241" t="str">
        <f>VLOOKUP(C217,'מאזן בוחן'!C:D,2,0)</f>
        <v>רווח/הפסד הון ממכירת רכוש קבוע</v>
      </c>
      <c r="E217" s="2266">
        <f>-E216</f>
        <v>0</v>
      </c>
      <c r="F217" s="1703">
        <f>-F216</f>
        <v>0</v>
      </c>
      <c r="G217" s="4353"/>
      <c r="I217" s="32"/>
      <c r="J217" s="32"/>
      <c r="K217" s="32"/>
      <c r="L217" s="32"/>
      <c r="M217" s="32"/>
      <c r="N217" s="32"/>
      <c r="O217" s="32"/>
    </row>
    <row r="218" spans="2:15" ht="13.5" thickBot="1">
      <c r="B218" s="1820">
        <f>B215+1</f>
        <v>49</v>
      </c>
      <c r="C218" s="3220" t="s">
        <v>4810</v>
      </c>
      <c r="D218" s="1370"/>
      <c r="E218" s="1345" t="s">
        <v>1458</v>
      </c>
      <c r="F218" s="1197" t="s">
        <v>294</v>
      </c>
      <c r="G218" s="4368" t="s">
        <v>2427</v>
      </c>
      <c r="H218" s="1936"/>
      <c r="I218" s="1936"/>
      <c r="J218" s="32"/>
      <c r="K218" s="32"/>
      <c r="L218" s="32"/>
      <c r="M218" s="32"/>
      <c r="N218" s="32"/>
      <c r="O218" s="32"/>
    </row>
    <row r="219" spans="2:15">
      <c r="B219" s="4344"/>
      <c r="C219" s="1550">
        <v>1490001</v>
      </c>
      <c r="D219" s="208" t="str">
        <f>VLOOKUP(C219,'מאזן בוחן'!C:D,2,0)</f>
        <v>מחשבים פחת נצבר</v>
      </c>
      <c r="E219" s="1704"/>
      <c r="F219" s="1704"/>
      <c r="G219" s="4369"/>
      <c r="I219" s="1936"/>
      <c r="J219" s="32"/>
      <c r="K219" s="32"/>
      <c r="L219" s="32"/>
      <c r="M219" s="32"/>
      <c r="N219" s="32"/>
      <c r="O219" s="32"/>
    </row>
    <row r="220" spans="2:15">
      <c r="B220" s="4346"/>
      <c r="C220" s="1550">
        <v>1490002</v>
      </c>
      <c r="D220" s="208" t="str">
        <f>VLOOKUP(C220,'מאזן בוחן'!C:D,2,0)</f>
        <v>רהוט פחת נצבר</v>
      </c>
      <c r="E220" s="1704"/>
      <c r="F220" s="1704"/>
      <c r="G220" s="4369"/>
      <c r="I220" s="32"/>
      <c r="J220" s="32"/>
      <c r="K220" s="32"/>
      <c r="L220" s="32"/>
      <c r="M220" s="32"/>
      <c r="N220" s="32"/>
      <c r="O220" s="32"/>
    </row>
    <row r="221" spans="2:15">
      <c r="B221" s="4346"/>
      <c r="C221" s="1550">
        <v>1490003</v>
      </c>
      <c r="D221" s="208" t="str">
        <f>VLOOKUP(C221,'מאזן בוחן'!C:D,2,0)</f>
        <v>ציוד אלקטרוני פחת נצבר</v>
      </c>
      <c r="E221" s="1704"/>
      <c r="F221" s="1704"/>
      <c r="G221" s="4369"/>
      <c r="I221" s="32"/>
      <c r="J221" s="32"/>
      <c r="K221" s="32"/>
      <c r="L221" s="32"/>
      <c r="M221" s="32"/>
      <c r="N221" s="32"/>
      <c r="O221" s="32"/>
    </row>
    <row r="222" spans="2:15">
      <c r="B222" s="4346"/>
      <c r="C222" s="1550">
        <v>1490004</v>
      </c>
      <c r="D222" s="208" t="str">
        <f>VLOOKUP(C222,'מאזן בוחן'!C:D,2,0)</f>
        <v>שיפור במושכר פחת נצבר</v>
      </c>
      <c r="E222" s="1704"/>
      <c r="F222" s="1704"/>
      <c r="G222" s="4369"/>
      <c r="I222" s="32"/>
      <c r="J222" s="32"/>
      <c r="K222" s="32"/>
      <c r="L222" s="32"/>
      <c r="M222" s="32"/>
      <c r="N222" s="32"/>
      <c r="O222" s="32"/>
    </row>
    <row r="223" spans="2:15">
      <c r="B223" s="4346"/>
      <c r="C223" s="1550">
        <v>1490005</v>
      </c>
      <c r="D223" s="208" t="str">
        <f>VLOOKUP(C223,'מאזן בוחן'!C:D,2,0)</f>
        <v>ציוד תערוכות פחת נצבר</v>
      </c>
      <c r="E223" s="1704"/>
      <c r="F223" s="1704"/>
      <c r="G223" s="4369"/>
      <c r="I223" s="32"/>
      <c r="J223" s="32"/>
      <c r="K223" s="32"/>
      <c r="L223" s="32"/>
      <c r="M223" s="32"/>
      <c r="N223" s="32"/>
      <c r="O223" s="32"/>
    </row>
    <row r="224" spans="2:15">
      <c r="B224" s="4346"/>
      <c r="C224" s="1550">
        <v>1490006</v>
      </c>
      <c r="D224" s="208" t="str">
        <f>VLOOKUP(C224,'מאזן בוחן'!C:D,2,0)</f>
        <v>ריהוט משרדי-עבודה מהבית פחת נצבר</v>
      </c>
      <c r="E224" s="1704"/>
      <c r="F224" s="1704"/>
      <c r="G224" s="4369"/>
      <c r="I224" s="32"/>
      <c r="J224" s="32"/>
      <c r="K224" s="32"/>
      <c r="L224" s="32"/>
      <c r="M224" s="32"/>
      <c r="N224" s="32"/>
      <c r="O224" s="32"/>
    </row>
    <row r="225" spans="2:15">
      <c r="B225" s="4346"/>
      <c r="C225" s="1550">
        <v>1490007</v>
      </c>
      <c r="D225" s="208" t="str">
        <f>VLOOKUP(C225,'מאזן בוחן'!C:D,2,0)</f>
        <v>מחשבים למעבדה פחת נצבר</v>
      </c>
      <c r="E225" s="1704"/>
      <c r="F225" s="1704"/>
      <c r="G225" s="4369"/>
      <c r="I225" s="32"/>
      <c r="J225" s="32"/>
      <c r="K225" s="32"/>
      <c r="L225" s="32"/>
      <c r="M225" s="32"/>
      <c r="N225" s="32"/>
      <c r="O225" s="32"/>
    </row>
    <row r="226" spans="2:15">
      <c r="B226" s="4346"/>
      <c r="C226" s="1550">
        <v>1490008</v>
      </c>
      <c r="D226" s="208" t="str">
        <f>VLOOKUP(C226,'מאזן בוחן'!C:D,2,0)</f>
        <v>פחנ"צ VNT</v>
      </c>
      <c r="E226" s="1704"/>
      <c r="F226" s="1704"/>
      <c r="G226" s="4369"/>
      <c r="I226" s="32"/>
      <c r="J226" s="32"/>
      <c r="K226" s="32"/>
      <c r="L226" s="32"/>
      <c r="M226" s="32"/>
      <c r="N226" s="32"/>
      <c r="O226" s="32"/>
    </row>
    <row r="227" spans="2:15">
      <c r="B227" s="4346"/>
      <c r="C227" s="1550">
        <v>1490009</v>
      </c>
      <c r="D227" s="208" t="str">
        <f>VLOOKUP(C227,'מאזן בוחן'!C:D,2,0)</f>
        <v>ציוד אלקטרוני - עבודה מהבית פחת נצבר</v>
      </c>
      <c r="E227" s="1704"/>
      <c r="F227" s="1704"/>
      <c r="G227" s="4369"/>
      <c r="I227" s="32"/>
      <c r="J227" s="32"/>
      <c r="K227" s="32"/>
      <c r="L227" s="32"/>
      <c r="M227" s="32"/>
      <c r="N227" s="32"/>
      <c r="O227" s="32"/>
    </row>
    <row r="228" spans="2:15">
      <c r="B228" s="4346"/>
      <c r="C228" s="1550">
        <v>8030020</v>
      </c>
      <c r="D228" s="208" t="str">
        <f>VLOOKUP(C228,'מאזן בוחן'!C:D,2,0)</f>
        <v>פחת</v>
      </c>
      <c r="E228" s="1704">
        <f>-E227-E225-E224-E223-E222-E221-E220-E219</f>
        <v>0</v>
      </c>
      <c r="F228" s="1704">
        <f>-F227-F225-F224-F223-F222-F221-F220-F219</f>
        <v>0</v>
      </c>
      <c r="G228" s="4369"/>
      <c r="I228" s="32"/>
      <c r="J228" s="32"/>
      <c r="K228" s="32"/>
      <c r="L228" s="32"/>
      <c r="M228" s="32"/>
      <c r="N228" s="32"/>
      <c r="O228" s="32"/>
    </row>
    <row r="229" spans="2:15" ht="13.5" thickBot="1">
      <c r="B229" s="4345"/>
      <c r="C229" s="3058">
        <v>5810003</v>
      </c>
      <c r="D229" s="1094" t="str">
        <f>VLOOKUP(C229,'מאזן בוחן'!C:D,2,0)</f>
        <v>פחת VNT</v>
      </c>
      <c r="E229" s="1703">
        <f>-E226</f>
        <v>0</v>
      </c>
      <c r="F229" s="1703">
        <f>-F226</f>
        <v>0</v>
      </c>
      <c r="G229" s="4370"/>
      <c r="I229" s="32"/>
      <c r="J229" s="32"/>
      <c r="K229" s="32"/>
      <c r="L229" s="32"/>
      <c r="M229" s="32"/>
      <c r="N229" s="32"/>
      <c r="O229" s="32"/>
    </row>
    <row r="230" spans="2:15" ht="13.5" thickBot="1">
      <c r="B230" s="1820">
        <f>B218+1</f>
        <v>50</v>
      </c>
      <c r="C230" s="3220" t="s">
        <v>4806</v>
      </c>
      <c r="D230" s="1370"/>
      <c r="E230" s="1345" t="s">
        <v>1458</v>
      </c>
      <c r="F230" s="1197" t="s">
        <v>294</v>
      </c>
      <c r="G230" s="4357" t="s">
        <v>2427</v>
      </c>
      <c r="H230" s="141" t="s">
        <v>4807</v>
      </c>
      <c r="I230" s="32"/>
      <c r="J230" s="32"/>
      <c r="K230" s="32"/>
      <c r="L230" s="32"/>
      <c r="M230" s="32"/>
      <c r="N230" s="32"/>
      <c r="O230" s="32"/>
    </row>
    <row r="231" spans="2:15">
      <c r="B231" s="4384"/>
      <c r="C231" s="3059">
        <v>1400001</v>
      </c>
      <c r="D231" s="1240" t="str">
        <f>VLOOKUP(C231,'מאזן בוחן'!C:D,2,0)</f>
        <v>מחשבים ותוכנות</v>
      </c>
      <c r="E231" s="2556"/>
      <c r="F231" s="2265"/>
      <c r="G231" s="4358"/>
      <c r="H231" s="141" t="s">
        <v>4808</v>
      </c>
      <c r="I231" s="32" t="s">
        <v>4809</v>
      </c>
      <c r="J231" s="32"/>
      <c r="K231" s="32"/>
      <c r="L231" s="32"/>
      <c r="M231" s="32" t="s">
        <v>45</v>
      </c>
      <c r="N231" s="32"/>
      <c r="O231" s="32"/>
    </row>
    <row r="232" spans="2:15" ht="13.5" thickBot="1">
      <c r="B232" s="4385"/>
      <c r="C232" s="3058">
        <v>1490001</v>
      </c>
      <c r="D232" s="1241" t="str">
        <f>VLOOKUP(C232,'מאזן בוחן'!C:D,2,0)</f>
        <v>מחשבים פחת נצבר</v>
      </c>
      <c r="E232" s="2557">
        <f>-E231</f>
        <v>0</v>
      </c>
      <c r="F232" s="2266">
        <f>-F231</f>
        <v>0</v>
      </c>
      <c r="G232" s="4359"/>
      <c r="I232" s="32"/>
      <c r="J232" s="32"/>
      <c r="K232" s="32"/>
      <c r="L232" s="32"/>
      <c r="M232" s="32"/>
      <c r="N232" s="32"/>
      <c r="O232" s="32"/>
    </row>
    <row r="233" spans="2:15" ht="13.5" thickBot="1">
      <c r="B233" s="2220">
        <f>B230+1</f>
        <v>51</v>
      </c>
      <c r="C233" s="1696" t="s">
        <v>4211</v>
      </c>
      <c r="D233" s="1697"/>
      <c r="E233" s="1606" t="s">
        <v>1458</v>
      </c>
      <c r="F233" s="1197" t="s">
        <v>294</v>
      </c>
      <c r="G233" s="1936" t="s">
        <v>2628</v>
      </c>
      <c r="H233" s="4357" t="s">
        <v>3137</v>
      </c>
      <c r="I233" s="32"/>
      <c r="J233" s="32"/>
      <c r="K233" s="32"/>
      <c r="L233" s="32"/>
      <c r="M233" s="32"/>
      <c r="N233" s="32"/>
      <c r="O233" s="32"/>
    </row>
    <row r="234" spans="2:15">
      <c r="B234" s="4344"/>
      <c r="C234" s="532" t="s">
        <v>718</v>
      </c>
      <c r="D234" s="544" t="str">
        <f>VLOOKUP(C234,'מאזן בוחן'!C:D,2,0)</f>
        <v>מיון הכנסות מוצר (רוה"ס)</v>
      </c>
      <c r="E234" s="1607"/>
      <c r="F234" s="1705"/>
      <c r="G234" s="4374" t="s">
        <v>4835</v>
      </c>
      <c r="H234" s="4358"/>
      <c r="I234" s="32"/>
      <c r="J234" s="32"/>
      <c r="K234" s="32"/>
      <c r="L234" s="32"/>
      <c r="M234" s="32"/>
      <c r="N234" s="32"/>
      <c r="O234" s="32"/>
    </row>
    <row r="235" spans="2:15" ht="13.5" thickBot="1">
      <c r="B235" s="4345"/>
      <c r="C235" s="1552">
        <v>53599</v>
      </c>
      <c r="D235" s="1096" t="str">
        <f>VLOOKUP(C235,'מאזן בוחן'!C:D,2,0)</f>
        <v>מיון מהכנסות</v>
      </c>
      <c r="E235" s="1582">
        <f>-E234</f>
        <v>0</v>
      </c>
      <c r="F235" s="1706">
        <f>-F234</f>
        <v>0</v>
      </c>
      <c r="G235" s="4375"/>
      <c r="H235" s="4359"/>
      <c r="I235" s="32"/>
      <c r="J235" s="32"/>
      <c r="K235" s="32"/>
      <c r="L235" s="32"/>
      <c r="M235" s="32"/>
      <c r="N235" s="32"/>
      <c r="O235" s="32"/>
    </row>
    <row r="236" spans="2:15" ht="13.5" thickBot="1">
      <c r="B236" s="2220">
        <f>B233+1</f>
        <v>52</v>
      </c>
      <c r="C236" s="3220" t="s">
        <v>5028</v>
      </c>
      <c r="D236" s="1370"/>
      <c r="E236" s="1345" t="s">
        <v>1458</v>
      </c>
      <c r="F236" s="1197" t="s">
        <v>294</v>
      </c>
      <c r="G236" s="4357" t="s">
        <v>2427</v>
      </c>
      <c r="I236" s="32"/>
      <c r="J236" s="32"/>
      <c r="K236" s="32"/>
      <c r="L236" s="32"/>
      <c r="M236" s="32"/>
      <c r="N236" s="32"/>
      <c r="O236" s="32"/>
    </row>
    <row r="237" spans="2:15">
      <c r="B237" s="4347"/>
      <c r="C237" s="1239">
        <v>9010002</v>
      </c>
      <c r="D237" s="544" t="str">
        <f>VLOOKUP(C237,'מאזן בוחן'!C:D,2,0)</f>
        <v>הפרשי שער</v>
      </c>
      <c r="E237" s="1704">
        <f>-E238</f>
        <v>0</v>
      </c>
      <c r="F237" s="1704">
        <f>-F238</f>
        <v>2.1543408220168203E-3</v>
      </c>
      <c r="G237" s="4358"/>
      <c r="I237" s="32"/>
      <c r="J237" s="32"/>
      <c r="K237" s="32"/>
      <c r="L237" s="32"/>
      <c r="M237" s="32"/>
      <c r="N237" s="32"/>
      <c r="O237" s="32"/>
    </row>
    <row r="238" spans="2:15" ht="13.5" thickBot="1">
      <c r="B238" s="4334"/>
      <c r="C238" s="3409">
        <v>1510001</v>
      </c>
      <c r="D238" s="1096" t="str">
        <f>VLOOKUP(C238,'מאזן בוחן'!C:D,2,0)</f>
        <v>פקדון שכ"ד</v>
      </c>
      <c r="E238" s="1703">
        <f>460000+25304*'מאזן בוחן'!$N$2-'מאזן בוחן'!E147</f>
        <v>0</v>
      </c>
      <c r="F238" s="1703">
        <f>25304+460000/'מאזן בוחן'!$N$2-'מאזן בוחן'!M147</f>
        <v>-2.1543408220168203E-3</v>
      </c>
      <c r="G238" s="4359"/>
      <c r="I238" s="32"/>
      <c r="J238" s="32"/>
      <c r="K238" s="32"/>
      <c r="L238" s="32"/>
      <c r="M238" s="32"/>
      <c r="N238" s="32"/>
      <c r="O238" s="32"/>
    </row>
    <row r="239" spans="2:15" ht="13.5" thickBot="1">
      <c r="B239" s="3696">
        <v>44</v>
      </c>
      <c r="C239" s="2432" t="s">
        <v>3218</v>
      </c>
      <c r="D239" s="4070"/>
      <c r="E239" s="1345" t="s">
        <v>1458</v>
      </c>
      <c r="F239" s="1197" t="s">
        <v>294</v>
      </c>
      <c r="G239" s="2428" t="s">
        <v>4888</v>
      </c>
      <c r="H239" s="4194"/>
      <c r="I239" s="1562"/>
      <c r="J239" s="4192"/>
      <c r="K239" s="32"/>
      <c r="L239" s="32"/>
      <c r="M239" s="32"/>
      <c r="N239" s="32"/>
      <c r="O239" s="32"/>
    </row>
    <row r="240" spans="2:15">
      <c r="B240" s="4389"/>
      <c r="C240" s="3059">
        <v>6010003</v>
      </c>
      <c r="D240" s="208" t="str">
        <f>VLOOKUP(C240,'מאזן בוחן'!C:D,2,0)</f>
        <v>בונוס MBO  עובדי ישראל פיתוח</v>
      </c>
      <c r="E240" s="1704"/>
      <c r="F240" s="2265"/>
      <c r="G240" s="3826" t="s">
        <v>1386</v>
      </c>
      <c r="H240" s="4194" t="e">
        <f t="shared" ref="H240:H249" si="2">E240/F240</f>
        <v>#DIV/0!</v>
      </c>
      <c r="I240" s="4193">
        <f>J240*'מאזן בוחן'!$N$3</f>
        <v>648756.68209999998</v>
      </c>
      <c r="J240" s="4192">
        <f>[43]Sheet1!$G$11</f>
        <v>200897</v>
      </c>
      <c r="K240" s="1016">
        <f>I240/J240</f>
        <v>3.2292999999999998</v>
      </c>
      <c r="L240" s="32"/>
      <c r="M240" s="32"/>
      <c r="N240" s="32"/>
      <c r="O240" s="32"/>
    </row>
    <row r="241" spans="2:15">
      <c r="B241" s="4390"/>
      <c r="C241" s="3059">
        <v>6110003</v>
      </c>
      <c r="D241" s="208" t="str">
        <f>VLOOKUP(C241,'מאזן בוחן'!C:D,2,0)</f>
        <v>בונוס MBO ניהול מוצר</v>
      </c>
      <c r="E241" s="1704"/>
      <c r="F241" s="2265"/>
      <c r="G241" s="3826" t="s">
        <v>1386</v>
      </c>
      <c r="H241" s="4194" t="e">
        <f t="shared" si="2"/>
        <v>#DIV/0!</v>
      </c>
      <c r="I241" s="4193">
        <f>J241*'מאזן בוחן'!$N$3</f>
        <v>326081.70381348138</v>
      </c>
      <c r="J241" s="4192">
        <f>[43]Sheet1!$G$9</f>
        <v>100975.97120536382</v>
      </c>
      <c r="K241" s="1016">
        <f t="shared" ref="K241:K251" si="3">I241/J241</f>
        <v>3.2292999999999998</v>
      </c>
      <c r="L241" s="32"/>
      <c r="M241" s="32"/>
      <c r="N241" s="32"/>
      <c r="O241" s="32"/>
    </row>
    <row r="242" spans="2:15">
      <c r="B242" s="4390"/>
      <c r="C242" s="3059">
        <v>8210003</v>
      </c>
      <c r="D242" s="208" t="str">
        <f>VLOOKUP(C242,'מאזן בוחן'!C:D,2,0)</f>
        <v>בונוס HR MBO</v>
      </c>
      <c r="E242" s="1704"/>
      <c r="F242" s="2265"/>
      <c r="G242" s="3826" t="s">
        <v>1386</v>
      </c>
      <c r="H242" s="4194" t="e">
        <f t="shared" si="2"/>
        <v>#DIV/0!</v>
      </c>
      <c r="I242" s="4193">
        <f>J242*'מאזן בוחן'!$N$3</f>
        <v>133677.40085066279</v>
      </c>
      <c r="J242" s="4192">
        <f>[43]Sheet1!$G$6</f>
        <v>41395.163301849563</v>
      </c>
      <c r="K242" s="1016">
        <f t="shared" si="3"/>
        <v>3.2292999999999998</v>
      </c>
      <c r="L242" s="32"/>
      <c r="M242" s="32"/>
      <c r="N242" s="32"/>
      <c r="O242" s="32"/>
    </row>
    <row r="243" spans="2:15">
      <c r="B243" s="4390"/>
      <c r="C243" s="3059">
        <v>7010003</v>
      </c>
      <c r="D243" s="208" t="str">
        <f>VLOOKUP(C243,'מאזן בוחן'!C:D,2,0)</f>
        <v>בונוס  MBO שיווק</v>
      </c>
      <c r="E243" s="1704"/>
      <c r="F243" s="2265"/>
      <c r="G243" s="3826" t="s">
        <v>1386</v>
      </c>
      <c r="H243" s="4194" t="e">
        <f t="shared" si="2"/>
        <v>#DIV/0!</v>
      </c>
      <c r="I243" s="4193">
        <f>J243*'מאזן בוחן'!$N$3</f>
        <v>248900.76146811325</v>
      </c>
      <c r="J243" s="4192">
        <f>[43]Sheet1!$G$8</f>
        <v>77075.76300378202</v>
      </c>
      <c r="K243" s="1016">
        <f t="shared" si="3"/>
        <v>3.2292999999999998</v>
      </c>
      <c r="L243" s="32"/>
      <c r="M243" s="32"/>
      <c r="N243" s="32"/>
      <c r="O243" s="32"/>
    </row>
    <row r="244" spans="2:15">
      <c r="B244" s="4390"/>
      <c r="C244" s="3059">
        <v>5100003</v>
      </c>
      <c r="D244" s="208" t="str">
        <f>VLOOKUP(C244,'מאזן בוחן'!C:D,2,0)</f>
        <v>בונוס MBO תמיכה ישראל</v>
      </c>
      <c r="E244" s="1704"/>
      <c r="F244" s="2265"/>
      <c r="G244" s="3826" t="s">
        <v>1386</v>
      </c>
      <c r="H244" s="4194" t="e">
        <f t="shared" si="2"/>
        <v>#DIV/0!</v>
      </c>
      <c r="I244" s="4193">
        <f>J244*'מאזן בוחן'!$N$3</f>
        <v>110701.23497461245</v>
      </c>
      <c r="J244" s="4192">
        <f>[43]Sheet1!$G$19</f>
        <v>34280.257323448568</v>
      </c>
      <c r="K244" s="1016">
        <f t="shared" si="3"/>
        <v>3.2292999999999998</v>
      </c>
      <c r="L244" s="32"/>
      <c r="M244" s="32"/>
      <c r="N244" s="32"/>
      <c r="O244" s="32"/>
    </row>
    <row r="245" spans="2:15">
      <c r="B245" s="4390"/>
      <c r="C245" s="3059">
        <v>5200003</v>
      </c>
      <c r="D245" s="208" t="str">
        <f>VLOOKUP(C245,'מאזן בוחן'!C:D,2,0)</f>
        <v>בונוס MBO שירותים מקצועיים</v>
      </c>
      <c r="E245" s="1704"/>
      <c r="F245" s="2265"/>
      <c r="G245" s="3826" t="s">
        <v>1386</v>
      </c>
      <c r="H245" s="4194" t="e">
        <f t="shared" si="2"/>
        <v>#DIV/0!</v>
      </c>
      <c r="I245" s="4193">
        <f>J245*'מאזן בוחן'!$N$3</f>
        <v>207159.65738061711</v>
      </c>
      <c r="J245" s="4192">
        <f>[43]Sheet1!$G$10</f>
        <v>64150.019317070917</v>
      </c>
      <c r="K245" s="1016">
        <f t="shared" si="3"/>
        <v>3.2292999999999998</v>
      </c>
      <c r="L245" s="32"/>
      <c r="M245" s="32"/>
      <c r="N245" s="32"/>
      <c r="O245" s="32"/>
    </row>
    <row r="246" spans="2:15">
      <c r="B246" s="4390"/>
      <c r="C246" s="3059">
        <v>8110003</v>
      </c>
      <c r="D246" s="208" t="str">
        <f>VLOOKUP(C246,'מאזן בוחן'!C:D,2,0)</f>
        <v>בונוס IT &amp; IS  MBO</v>
      </c>
      <c r="E246" s="1704"/>
      <c r="F246" s="2265"/>
      <c r="G246" s="3826" t="s">
        <v>1386</v>
      </c>
      <c r="H246" s="4194" t="e">
        <f t="shared" si="2"/>
        <v>#DIV/0!</v>
      </c>
      <c r="I246" s="4193">
        <f>J246*'מאזן בוחן'!$N$3</f>
        <v>75622.031712286407</v>
      </c>
      <c r="J246" s="4192">
        <f>[43]Sheet1!$G$7</f>
        <v>23417.46871219348</v>
      </c>
      <c r="K246" s="1016">
        <f t="shared" si="3"/>
        <v>3.2292999999999998</v>
      </c>
      <c r="L246" s="32"/>
      <c r="M246" s="32"/>
      <c r="N246" s="32"/>
      <c r="O246" s="32"/>
    </row>
    <row r="247" spans="2:15">
      <c r="B247" s="4390"/>
      <c r="C247" s="4187">
        <v>8420011</v>
      </c>
      <c r="D247" s="208" t="str">
        <f>VLOOKUP(C247,'מאזן בוחן'!C:D,2,0)</f>
        <v>בונוס MBO  הנה"כ Corporate &amp; G&amp;A</v>
      </c>
      <c r="E247" s="1704"/>
      <c r="F247" s="2265"/>
      <c r="G247" s="3826" t="s">
        <v>1386</v>
      </c>
      <c r="H247" s="4194" t="e">
        <f t="shared" si="2"/>
        <v>#DIV/0!</v>
      </c>
      <c r="I247" s="4193">
        <f>J247*'מאזן בוחן'!$N$3</f>
        <v>1323457.5603999998</v>
      </c>
      <c r="J247" s="4192">
        <f>[43]Sheet1!$G$5</f>
        <v>409828</v>
      </c>
      <c r="K247" s="1016">
        <f t="shared" si="3"/>
        <v>3.2292999999999994</v>
      </c>
      <c r="L247" s="32"/>
      <c r="M247" s="32"/>
      <c r="N247" s="32"/>
      <c r="O247" s="32"/>
    </row>
    <row r="248" spans="2:15">
      <c r="B248" s="4390"/>
      <c r="C248" s="4187">
        <v>7110002</v>
      </c>
      <c r="D248" s="208" t="str">
        <f>VLOOKUP(C248,'מאזן בוחן'!C:D,2,0)</f>
        <v>בונוס  MBO מכירות</v>
      </c>
      <c r="E248" s="1704"/>
      <c r="F248" s="2265"/>
      <c r="G248" s="3826" t="s">
        <v>1386</v>
      </c>
      <c r="H248" s="4194" t="e">
        <f t="shared" si="2"/>
        <v>#DIV/0!</v>
      </c>
      <c r="I248" s="4193">
        <f>J248*'מאזן בוחן'!$N$3</f>
        <v>11409.116899999999</v>
      </c>
      <c r="J248" s="4192">
        <f>[43]Sheet1!$G$15</f>
        <v>3533</v>
      </c>
      <c r="K248" s="1016">
        <f t="shared" si="3"/>
        <v>3.2292999999999998</v>
      </c>
      <c r="L248" s="32"/>
      <c r="M248" s="32"/>
      <c r="N248" s="32"/>
      <c r="O248" s="32"/>
    </row>
    <row r="249" spans="2:15">
      <c r="B249" s="4390"/>
      <c r="C249" s="4187">
        <v>7110002</v>
      </c>
      <c r="D249" s="208" t="str">
        <f>VLOOKUP(C249,'מאזן בוחן'!C:D,2,0)</f>
        <v>בונוס  MBO מכירות</v>
      </c>
      <c r="E249" s="1704"/>
      <c r="F249" s="2265"/>
      <c r="G249" s="3826" t="s">
        <v>3491</v>
      </c>
      <c r="H249" s="4194" t="e">
        <f t="shared" si="2"/>
        <v>#DIV/0!</v>
      </c>
      <c r="I249" s="4193">
        <f>J249*'מאזן בוחן'!$N$3</f>
        <v>35351.186957099926</v>
      </c>
      <c r="J249" s="4192">
        <f>[43]Sheet1!$G$16</f>
        <v>10947.01234233423</v>
      </c>
      <c r="K249" s="1016">
        <f t="shared" si="3"/>
        <v>3.2292999999999998</v>
      </c>
      <c r="L249" s="32"/>
      <c r="M249" s="32"/>
      <c r="N249" s="32"/>
      <c r="O249" s="32"/>
    </row>
    <row r="250" spans="2:15">
      <c r="B250" s="4390"/>
      <c r="C250" s="3059">
        <v>7110022</v>
      </c>
      <c r="D250" s="208" t="str">
        <f>VLOOKUP(C250,'מאזן בוחן'!C:D,2,0)</f>
        <v>בונוסים עובדי סינגפור ו-MBO</v>
      </c>
      <c r="E250" s="1704"/>
      <c r="F250" s="2265"/>
      <c r="G250" s="3826" t="s">
        <v>1387</v>
      </c>
      <c r="H250" s="4194"/>
      <c r="I250" s="4193">
        <f>J250*'מאזן בוחן'!$N$3</f>
        <v>26442.248671054575</v>
      </c>
      <c r="J250" s="4192">
        <f>[43]Sheet1!$G$14</f>
        <v>8188.2292357645856</v>
      </c>
      <c r="K250" s="1016">
        <f t="shared" si="3"/>
        <v>3.2292999999999998</v>
      </c>
      <c r="L250" s="32"/>
      <c r="M250" s="32"/>
      <c r="N250" s="32"/>
      <c r="O250" s="32"/>
    </row>
    <row r="251" spans="2:15">
      <c r="B251" s="4390"/>
      <c r="C251" s="3059">
        <v>5400002</v>
      </c>
      <c r="D251" s="208" t="str">
        <f>VLOOKUP(C251,'מאזן בוחן'!C:D,2,0)</f>
        <v>בונוס Training MBO</v>
      </c>
      <c r="E251" s="1704"/>
      <c r="F251" s="2265"/>
      <c r="G251" s="3826" t="s">
        <v>1386</v>
      </c>
      <c r="H251" s="4194" t="e">
        <f>E251/F251</f>
        <v>#DIV/0!</v>
      </c>
      <c r="I251" s="4193">
        <f>J251*'מאזן בוחן'!$N$3</f>
        <v>60779.259150607511</v>
      </c>
      <c r="J251" s="4192">
        <f>[43]Sheet1!$G$20</f>
        <v>18821.186991176884</v>
      </c>
      <c r="K251" s="1016">
        <f t="shared" si="3"/>
        <v>3.2292999999999998</v>
      </c>
      <c r="L251" s="32"/>
      <c r="M251" s="32"/>
      <c r="N251" s="32"/>
      <c r="O251" s="32"/>
    </row>
    <row r="252" spans="2:15">
      <c r="B252" s="4390"/>
      <c r="C252" s="3059">
        <v>9010002</v>
      </c>
      <c r="D252" s="208" t="str">
        <f>VLOOKUP(C252,'מאזן בוחן'!C:D,2,0)</f>
        <v>הפרשי שער</v>
      </c>
      <c r="E252" s="1704">
        <f>-E253-SUM(E240:E251)</f>
        <v>0</v>
      </c>
      <c r="F252" s="2265">
        <f t="shared" ref="F252" si="4">J252</f>
        <v>0</v>
      </c>
      <c r="G252" s="3826"/>
      <c r="H252" s="4194"/>
      <c r="I252" s="4193"/>
      <c r="J252" s="4192"/>
      <c r="K252" s="1016"/>
      <c r="L252" s="32"/>
      <c r="M252" s="32"/>
      <c r="N252" s="32"/>
      <c r="O252" s="32"/>
    </row>
    <row r="253" spans="2:15" ht="13.5" thickBot="1">
      <c r="B253" s="4391"/>
      <c r="C253" s="3058">
        <v>2400001</v>
      </c>
      <c r="D253" s="3699" t="str">
        <f>VLOOKUP(C253,'מאזן בוחן'!C:D,2,0)</f>
        <v>הוצאות לשלם עובדים</v>
      </c>
      <c r="E253" s="1703">
        <f>F253*'מאזן בוחן'!$N$2</f>
        <v>0</v>
      </c>
      <c r="F253" s="1703">
        <f>-SUM(F240:F252)</f>
        <v>0</v>
      </c>
      <c r="G253" s="2430"/>
      <c r="H253" s="4194"/>
      <c r="I253" s="4193"/>
      <c r="J253" s="4192"/>
      <c r="K253" s="1016"/>
      <c r="L253" s="32"/>
      <c r="M253" s="32"/>
      <c r="N253" s="32"/>
      <c r="O253" s="32"/>
    </row>
    <row r="254" spans="2:15" ht="13.5" thickBot="1">
      <c r="B254" s="2220">
        <f>B239+1</f>
        <v>45</v>
      </c>
      <c r="C254" s="3220" t="s">
        <v>5042</v>
      </c>
      <c r="D254" s="1370"/>
      <c r="E254" s="1345" t="s">
        <v>1458</v>
      </c>
      <c r="F254" s="1197" t="s">
        <v>294</v>
      </c>
      <c r="G254" s="4357" t="s">
        <v>3137</v>
      </c>
      <c r="I254" s="32"/>
      <c r="J254" s="32"/>
      <c r="K254" s="32"/>
      <c r="L254" s="32"/>
      <c r="M254" s="32"/>
      <c r="N254" s="32"/>
      <c r="O254" s="32"/>
    </row>
    <row r="255" spans="2:15">
      <c r="B255" s="4347"/>
      <c r="C255" s="1239">
        <v>1100001</v>
      </c>
      <c r="D255" s="544" t="str">
        <f>VLOOKUP(C255,'מאזן בוחן'!C:D,2,0)</f>
        <v>הוצאות מראש</v>
      </c>
      <c r="E255" s="1704"/>
      <c r="F255" s="1704"/>
      <c r="G255" s="4358"/>
      <c r="I255" s="32"/>
      <c r="J255" s="32"/>
      <c r="K255" s="32"/>
      <c r="L255" s="32"/>
      <c r="M255" s="32"/>
      <c r="N255" s="32"/>
      <c r="O255" s="32"/>
    </row>
    <row r="256" spans="2:15" ht="13.5" thickBot="1">
      <c r="B256" s="4334"/>
      <c r="C256" s="3409">
        <v>2200005</v>
      </c>
      <c r="D256" s="1096" t="str">
        <f>VLOOKUP(C256,'מאזן בוחן'!C:D,2,0)</f>
        <v>הוצאות לשלם-ספקים בחובה</v>
      </c>
      <c r="E256" s="1703"/>
      <c r="F256" s="1703"/>
      <c r="G256" s="4359"/>
      <c r="I256" s="32"/>
      <c r="J256" s="32"/>
      <c r="K256" s="32"/>
      <c r="L256" s="32"/>
      <c r="M256" s="32"/>
      <c r="N256" s="32"/>
      <c r="O256" s="32"/>
    </row>
    <row r="257" spans="1:17" ht="13.5" thickBot="1">
      <c r="B257" s="2220">
        <f>B254+1</f>
        <v>46</v>
      </c>
      <c r="C257" s="3369" t="s">
        <v>5060</v>
      </c>
      <c r="D257" s="1370"/>
      <c r="E257" s="1345" t="s">
        <v>1458</v>
      </c>
      <c r="F257" s="1197" t="s">
        <v>294</v>
      </c>
      <c r="G257" s="4357" t="s">
        <v>3137</v>
      </c>
      <c r="I257" s="32"/>
      <c r="J257" s="32"/>
      <c r="K257" s="32"/>
      <c r="L257" s="32"/>
      <c r="M257" s="32"/>
      <c r="N257" s="32"/>
      <c r="O257" s="32"/>
    </row>
    <row r="258" spans="1:17">
      <c r="B258" s="4386"/>
      <c r="C258" s="3702" t="s">
        <v>5052</v>
      </c>
      <c r="D258" s="208" t="str">
        <f>VLOOKUP(C258,'מאזן בוחן'!C:D,2,0)</f>
        <v xml:space="preserve">עתודה למס - FIN 48 </v>
      </c>
      <c r="E258" s="1704">
        <f>-E260-E259</f>
        <v>-245221.46590383101</v>
      </c>
      <c r="F258" s="1704">
        <f>-F260-F259</f>
        <v>-78849.345949784896</v>
      </c>
      <c r="G258" s="4358"/>
      <c r="I258" s="32"/>
      <c r="J258" s="32"/>
      <c r="K258" s="32"/>
      <c r="L258" s="32"/>
      <c r="M258" s="32"/>
      <c r="N258" s="32"/>
      <c r="O258" s="32"/>
    </row>
    <row r="259" spans="1:17">
      <c r="B259" s="4387"/>
      <c r="C259" s="1550">
        <v>9100001</v>
      </c>
      <c r="D259" s="208" t="str">
        <f>VLOOKUP(C259,'מאזן בוחן'!C:D,2,0)</f>
        <v>מיסים על הכנסה</v>
      </c>
      <c r="E259" s="1704">
        <f>[18]TOTAL!$C$20</f>
        <v>44361.487209253115</v>
      </c>
      <c r="F259" s="1704">
        <f>[18]TOTAL!$D$20</f>
        <v>14264.143797187497</v>
      </c>
      <c r="G259" s="4358"/>
      <c r="I259" s="32"/>
      <c r="J259" s="32"/>
      <c r="K259" s="32"/>
      <c r="L259" s="32"/>
      <c r="M259" s="32"/>
      <c r="N259" s="32"/>
      <c r="O259" s="32"/>
    </row>
    <row r="260" spans="1:17" ht="13.5" thickBot="1">
      <c r="B260" s="4388"/>
      <c r="C260" s="4303">
        <v>9100004</v>
      </c>
      <c r="D260" s="3699" t="str">
        <f>VLOOKUP(C260,'מאזן בוחן'!C:D,2,0)</f>
        <v>הוצ' מס' שנים קודמות</v>
      </c>
      <c r="E260" s="1703">
        <f>[18]TOTAL!$C$11+[18]TOTAL!$C$8-E259</f>
        <v>200859.97869457788</v>
      </c>
      <c r="F260" s="1703">
        <f>[18]TOTAL!$D$11+[18]TOTAL!$D$8-F259</f>
        <v>64585.202152597398</v>
      </c>
      <c r="G260" s="4359"/>
      <c r="I260" s="32"/>
      <c r="J260" s="32"/>
      <c r="K260" s="32"/>
      <c r="L260" s="32"/>
      <c r="M260" s="32"/>
      <c r="N260" s="32"/>
      <c r="O260" s="32"/>
    </row>
    <row r="261" spans="1:17">
      <c r="C261" s="141"/>
      <c r="I261" s="32"/>
      <c r="J261" s="32"/>
      <c r="K261" s="32"/>
      <c r="L261" s="32"/>
      <c r="M261" s="32"/>
      <c r="N261" s="32"/>
      <c r="O261" s="32"/>
    </row>
    <row r="262" spans="1:17">
      <c r="C262" s="141"/>
      <c r="I262" s="32"/>
      <c r="J262" s="32"/>
      <c r="K262" s="32"/>
      <c r="L262" s="32"/>
      <c r="M262" s="32"/>
      <c r="N262" s="32"/>
      <c r="O262" s="32"/>
    </row>
    <row r="263" spans="1:17">
      <c r="C263" s="141"/>
      <c r="I263" s="32"/>
      <c r="J263" s="32"/>
      <c r="K263" s="32"/>
      <c r="L263" s="32"/>
      <c r="M263" s="32"/>
      <c r="N263" s="32"/>
      <c r="O263" s="32"/>
    </row>
    <row r="264" spans="1:17">
      <c r="C264" s="141"/>
      <c r="I264" s="32"/>
      <c r="J264" s="32"/>
      <c r="K264" s="32"/>
      <c r="L264" s="32"/>
      <c r="M264" s="32"/>
      <c r="N264" s="32"/>
      <c r="O264" s="32"/>
    </row>
    <row r="265" spans="1:17">
      <c r="C265" s="141"/>
      <c r="I265" s="32"/>
      <c r="J265" s="32"/>
      <c r="K265" s="32"/>
      <c r="L265" s="32"/>
      <c r="M265" s="32"/>
      <c r="N265" s="32"/>
      <c r="O265" s="32"/>
    </row>
    <row r="266" spans="1:17">
      <c r="C266" s="141"/>
      <c r="I266" s="32"/>
      <c r="J266" s="32"/>
      <c r="K266" s="32"/>
      <c r="L266" s="32"/>
      <c r="M266" s="32"/>
      <c r="N266" s="32"/>
      <c r="O266" s="32"/>
    </row>
    <row r="267" spans="1:17">
      <c r="C267" s="141"/>
      <c r="I267" s="32"/>
      <c r="J267" s="32"/>
      <c r="K267" s="32"/>
      <c r="L267" s="32"/>
      <c r="M267" s="32"/>
      <c r="N267" s="32"/>
      <c r="O267" s="32"/>
    </row>
    <row r="268" spans="1:17">
      <c r="C268" s="141"/>
      <c r="I268" s="32"/>
      <c r="J268" s="32"/>
      <c r="K268" s="32"/>
      <c r="L268" s="32"/>
      <c r="M268" s="32"/>
      <c r="N268" s="32"/>
      <c r="O268" s="32"/>
    </row>
    <row r="269" spans="1:17">
      <c r="C269" s="141"/>
      <c r="I269" s="32"/>
      <c r="J269" s="32"/>
      <c r="K269" s="32"/>
      <c r="L269" s="32"/>
      <c r="M269" s="32"/>
      <c r="N269" s="32"/>
      <c r="O269" s="32"/>
    </row>
    <row r="270" spans="1:17" ht="13.5" thickBot="1">
      <c r="C270" s="4168"/>
      <c r="D270" s="3699"/>
      <c r="E270" s="3411"/>
      <c r="F270" s="3411"/>
      <c r="G270" s="3716"/>
      <c r="H270" s="4169"/>
      <c r="I270" s="32"/>
      <c r="J270" s="32"/>
      <c r="K270" s="32"/>
      <c r="L270" s="32"/>
      <c r="M270" s="32"/>
      <c r="N270" s="32"/>
      <c r="O270" s="32"/>
    </row>
    <row r="271" spans="1:17" ht="13.5" thickBot="1">
      <c r="A271" s="4335" t="s">
        <v>4847</v>
      </c>
      <c r="B271" s="4336"/>
      <c r="C271" s="4336"/>
      <c r="D271" s="4336"/>
      <c r="E271" s="4336"/>
      <c r="F271" s="4336"/>
      <c r="G271" s="4336"/>
      <c r="H271" s="4336"/>
      <c r="I271" s="4337"/>
      <c r="J271" s="137"/>
      <c r="K271" s="137"/>
      <c r="L271" s="32"/>
      <c r="M271" s="32"/>
      <c r="N271" s="32"/>
      <c r="O271" s="32"/>
    </row>
    <row r="272" spans="1:17">
      <c r="I272" s="137"/>
      <c r="J272" s="137"/>
      <c r="K272" s="137"/>
      <c r="L272" s="32"/>
      <c r="M272" s="32"/>
      <c r="N272" s="32"/>
      <c r="O272" s="32"/>
      <c r="P272" s="32"/>
      <c r="Q272" s="32"/>
    </row>
    <row r="273" spans="1:17">
      <c r="A273" s="1572" t="s">
        <v>427</v>
      </c>
      <c r="B273" s="1572" t="s">
        <v>428</v>
      </c>
      <c r="C273" s="1572" t="s">
        <v>429</v>
      </c>
      <c r="D273" s="1572" t="s">
        <v>430</v>
      </c>
      <c r="E273" s="1572" t="s">
        <v>1255</v>
      </c>
      <c r="F273" s="1574" t="s">
        <v>1256</v>
      </c>
      <c r="G273" s="1573" t="s">
        <v>1257</v>
      </c>
      <c r="H273" s="1575" t="s">
        <v>2283</v>
      </c>
      <c r="I273" s="1575" t="s">
        <v>2465</v>
      </c>
      <c r="K273" s="141"/>
      <c r="L273" s="32"/>
      <c r="M273" s="32"/>
      <c r="N273" s="32"/>
      <c r="O273" s="32"/>
      <c r="P273" s="32"/>
      <c r="Q273" s="32"/>
    </row>
    <row r="274" spans="1:17">
      <c r="A274" s="153" t="s">
        <v>1258</v>
      </c>
      <c r="B274" s="153" t="s">
        <v>1259</v>
      </c>
      <c r="C274" s="153" t="s">
        <v>340</v>
      </c>
      <c r="D274" s="587">
        <v>1000020</v>
      </c>
      <c r="E274" s="153" t="s">
        <v>2898</v>
      </c>
      <c r="F274" s="1333">
        <v>5177110.03</v>
      </c>
      <c r="G274" s="1333">
        <v>1664665.6000000001</v>
      </c>
      <c r="H274" s="1333">
        <f>VLOOKUP(D274,'מאזן בוחן'!$C:$M,11,0)-G274</f>
        <v>0</v>
      </c>
      <c r="I274" s="1333">
        <f>VLOOKUP(D274,'מאזן בוחן'!C:J,3,0)-F274</f>
        <v>0</v>
      </c>
      <c r="K274" s="137"/>
      <c r="L274" s="137"/>
      <c r="N274" s="32"/>
      <c r="O274" s="32"/>
      <c r="P274" s="32"/>
      <c r="Q274" s="32"/>
    </row>
    <row r="275" spans="1:17">
      <c r="A275" s="153" t="s">
        <v>1258</v>
      </c>
      <c r="B275" s="153" t="s">
        <v>1259</v>
      </c>
      <c r="C275" s="153" t="s">
        <v>340</v>
      </c>
      <c r="D275" s="587">
        <v>1000021</v>
      </c>
      <c r="E275" s="153" t="s">
        <v>565</v>
      </c>
      <c r="F275" s="1333">
        <v>7928898.9699999997</v>
      </c>
      <c r="G275" s="1333">
        <v>2549485.2000000002</v>
      </c>
      <c r="H275" s="1333">
        <f>VLOOKUP(D275,'מאזן בוחן'!$C:$M,11,0)-G275</f>
        <v>0</v>
      </c>
      <c r="I275" s="1333">
        <f>VLOOKUP(D275,'מאזן בוחן'!C:J,3,0)-F275</f>
        <v>0</v>
      </c>
      <c r="K275" s="137"/>
      <c r="L275" s="137"/>
      <c r="N275" s="32"/>
      <c r="O275" s="32"/>
      <c r="P275" s="32"/>
      <c r="Q275" s="32"/>
    </row>
    <row r="276" spans="1:17">
      <c r="A276" s="153" t="s">
        <v>1258</v>
      </c>
      <c r="B276" s="153" t="s">
        <v>1259</v>
      </c>
      <c r="C276" s="153" t="s">
        <v>340</v>
      </c>
      <c r="D276" s="587">
        <v>1000022</v>
      </c>
      <c r="E276" s="153" t="s">
        <v>341</v>
      </c>
      <c r="F276" s="1333">
        <v>1092819.26</v>
      </c>
      <c r="G276" s="1333">
        <v>351388.83</v>
      </c>
      <c r="H276" s="1333">
        <f>VLOOKUP(D276,'מאזן בוחן'!$C:$M,11,0)-G276</f>
        <v>0</v>
      </c>
      <c r="I276" s="1333">
        <f>VLOOKUP(D276,'מאזן בוחן'!C:J,3,0)-F276</f>
        <v>0</v>
      </c>
      <c r="K276" s="137"/>
      <c r="L276" s="137"/>
      <c r="N276" s="32"/>
      <c r="O276" s="32"/>
      <c r="P276" s="32"/>
      <c r="Q276" s="32"/>
    </row>
    <row r="277" spans="1:17">
      <c r="A277" s="153" t="s">
        <v>1258</v>
      </c>
      <c r="B277" s="153" t="s">
        <v>1259</v>
      </c>
      <c r="C277" s="153" t="s">
        <v>340</v>
      </c>
      <c r="D277" s="587">
        <v>1000023</v>
      </c>
      <c r="E277" s="153" t="s">
        <v>566</v>
      </c>
      <c r="F277" s="1333">
        <v>524796.36</v>
      </c>
      <c r="G277" s="1333">
        <v>168744.81</v>
      </c>
      <c r="H277" s="1333">
        <f>VLOOKUP(D277,'מאזן בוחן'!$C:$M,11,0)-G277</f>
        <v>0</v>
      </c>
      <c r="I277" s="1333">
        <f>VLOOKUP(D277,'מאזן בוחן'!C:J,3,0)-F277</f>
        <v>0</v>
      </c>
      <c r="K277" s="137"/>
      <c r="L277" s="137"/>
      <c r="N277" s="32"/>
      <c r="O277" s="32"/>
      <c r="P277" s="32"/>
      <c r="Q277" s="32"/>
    </row>
    <row r="278" spans="1:17">
      <c r="A278" s="153" t="s">
        <v>1258</v>
      </c>
      <c r="B278" s="153" t="s">
        <v>1259</v>
      </c>
      <c r="C278" s="153" t="s">
        <v>340</v>
      </c>
      <c r="D278" s="587">
        <v>1000024</v>
      </c>
      <c r="E278" s="153" t="s">
        <v>4451</v>
      </c>
      <c r="F278" s="1333">
        <v>2942170</v>
      </c>
      <c r="G278" s="1333">
        <v>946035.37</v>
      </c>
      <c r="H278" s="1333">
        <f>VLOOKUP(D278,'מאזן בוחן'!$C:$M,11,0)-G278</f>
        <v>0</v>
      </c>
      <c r="I278" s="1333">
        <f>VLOOKUP(D278,'מאזן בוחן'!C:J,3,0)-F278</f>
        <v>0</v>
      </c>
      <c r="K278" s="137"/>
      <c r="L278" s="137"/>
      <c r="N278" s="32"/>
      <c r="O278" s="32"/>
      <c r="P278" s="32"/>
      <c r="Q278" s="32"/>
    </row>
    <row r="279" spans="1:17">
      <c r="A279" s="153" t="s">
        <v>1258</v>
      </c>
      <c r="B279" s="153" t="s">
        <v>1259</v>
      </c>
      <c r="C279" s="153" t="s">
        <v>340</v>
      </c>
      <c r="D279" s="587">
        <v>1000030</v>
      </c>
      <c r="E279" s="153" t="s">
        <v>567</v>
      </c>
      <c r="F279" s="1333">
        <v>428.02</v>
      </c>
      <c r="G279" s="1333">
        <v>137.63</v>
      </c>
      <c r="H279" s="1333">
        <f>VLOOKUP(D279,'מאזן בוחן'!$C:$M,11,0)-G279</f>
        <v>0</v>
      </c>
      <c r="I279" s="1333">
        <f>VLOOKUP(D279,'מאזן בוחן'!C:J,3,0)-F279</f>
        <v>0</v>
      </c>
      <c r="K279" s="137"/>
      <c r="L279" s="137"/>
      <c r="N279" s="32"/>
      <c r="O279" s="32"/>
      <c r="P279" s="32"/>
      <c r="Q279" s="32"/>
    </row>
    <row r="280" spans="1:17">
      <c r="A280" s="153" t="s">
        <v>1258</v>
      </c>
      <c r="B280" s="153" t="s">
        <v>1260</v>
      </c>
      <c r="C280" s="153" t="s">
        <v>568</v>
      </c>
      <c r="D280" s="587">
        <v>1100001</v>
      </c>
      <c r="E280" s="153" t="s">
        <v>25</v>
      </c>
      <c r="F280" s="1333">
        <v>1746205.1</v>
      </c>
      <c r="G280" s="1333">
        <v>538632.67000000004</v>
      </c>
      <c r="H280" s="1333">
        <f>VLOOKUP(D280,'מאזן בוחן'!$C:$M,11,0)-G280</f>
        <v>0</v>
      </c>
      <c r="I280" s="1333">
        <f>VLOOKUP(D280,'מאזן בוחן'!C:J,3,0)-F280</f>
        <v>0</v>
      </c>
      <c r="K280" s="137"/>
      <c r="L280" s="137"/>
      <c r="N280" s="32"/>
      <c r="O280" s="32"/>
      <c r="P280" s="32"/>
      <c r="Q280" s="32"/>
    </row>
    <row r="281" spans="1:17">
      <c r="A281" s="153" t="s">
        <v>1258</v>
      </c>
      <c r="B281" s="153" t="s">
        <v>1260</v>
      </c>
      <c r="C281" s="153" t="s">
        <v>568</v>
      </c>
      <c r="D281" s="587">
        <v>1100005</v>
      </c>
      <c r="E281" s="153" t="s">
        <v>1495</v>
      </c>
      <c r="F281" s="1333">
        <v>89214.94</v>
      </c>
      <c r="G281" s="1333">
        <v>3125.36</v>
      </c>
      <c r="H281" s="1333">
        <f>VLOOKUP(D281,'מאזן בוחן'!$C:$M,11,0)-G281</f>
        <v>0</v>
      </c>
      <c r="I281" s="1333">
        <f>VLOOKUP(D281,'מאזן בוחן'!C:J,3,0)-F281</f>
        <v>0</v>
      </c>
      <c r="K281" s="137"/>
      <c r="L281" s="137"/>
      <c r="N281" s="32"/>
      <c r="O281" s="32"/>
      <c r="P281" s="32"/>
      <c r="Q281" s="32"/>
    </row>
    <row r="282" spans="1:17">
      <c r="A282" s="153" t="s">
        <v>1258</v>
      </c>
      <c r="B282" s="153" t="s">
        <v>1260</v>
      </c>
      <c r="C282" s="153" t="s">
        <v>568</v>
      </c>
      <c r="D282" s="587">
        <v>1100099</v>
      </c>
      <c r="E282" s="153" t="s">
        <v>1835</v>
      </c>
      <c r="F282" s="1333">
        <v>823299.57</v>
      </c>
      <c r="G282" s="1333">
        <v>263650.31</v>
      </c>
      <c r="H282" s="1333">
        <f>VLOOKUP(D282,'מאזן בוחן'!$C:$M,11,0)-G282</f>
        <v>0</v>
      </c>
      <c r="I282" s="1333">
        <f>VLOOKUP(D282,'מאזן בוחן'!C:J,3,0)-F282</f>
        <v>0</v>
      </c>
      <c r="K282" s="137"/>
      <c r="L282" s="137"/>
      <c r="N282" s="32"/>
      <c r="O282" s="32"/>
      <c r="P282" s="32"/>
      <c r="Q282" s="32"/>
    </row>
    <row r="283" spans="1:17">
      <c r="A283" s="153" t="s">
        <v>1258</v>
      </c>
      <c r="B283" s="153" t="s">
        <v>1260</v>
      </c>
      <c r="C283" s="153" t="s">
        <v>568</v>
      </c>
      <c r="D283" s="587">
        <v>1100999</v>
      </c>
      <c r="E283" s="153" t="s">
        <v>1918</v>
      </c>
      <c r="F283" s="1333">
        <v>2182707.52</v>
      </c>
      <c r="G283" s="1333">
        <v>701835.21</v>
      </c>
      <c r="H283" s="1333">
        <f>VLOOKUP(D283,'מאזן בוחן'!$C:$M,11,0)-G283</f>
        <v>0</v>
      </c>
      <c r="I283" s="1333">
        <f>VLOOKUP(D283,'מאזן בוחן'!C:J,3,0)-F283</f>
        <v>0</v>
      </c>
      <c r="K283" s="137"/>
      <c r="L283" s="137"/>
      <c r="N283" s="32"/>
      <c r="O283" s="32"/>
      <c r="P283" s="32"/>
      <c r="Q283" s="32"/>
    </row>
    <row r="284" spans="1:17">
      <c r="A284" s="153" t="s">
        <v>1258</v>
      </c>
      <c r="B284" s="153" t="s">
        <v>1260</v>
      </c>
      <c r="C284" s="153" t="s">
        <v>569</v>
      </c>
      <c r="D284" s="587">
        <v>1120001</v>
      </c>
      <c r="E284" s="153" t="s">
        <v>346</v>
      </c>
      <c r="F284" s="1333">
        <v>0.01</v>
      </c>
      <c r="G284" s="1333">
        <v>0</v>
      </c>
      <c r="H284" s="1333">
        <f>VLOOKUP(D284,'מאזן בוחן'!$C:$M,11,0)-G284</f>
        <v>0</v>
      </c>
      <c r="I284" s="1333">
        <f>VLOOKUP(D284,'מאזן בוחן'!C:J,3,0)-F284</f>
        <v>0</v>
      </c>
      <c r="K284" s="137"/>
      <c r="L284" s="137"/>
      <c r="N284" s="32"/>
      <c r="O284" s="32"/>
      <c r="P284" s="32"/>
      <c r="Q284" s="32"/>
    </row>
    <row r="285" spans="1:17">
      <c r="A285" s="153" t="s">
        <v>1258</v>
      </c>
      <c r="B285" s="153" t="s">
        <v>1260</v>
      </c>
      <c r="C285" s="153" t="s">
        <v>570</v>
      </c>
      <c r="D285" s="587">
        <v>1130001</v>
      </c>
      <c r="E285" s="153" t="s">
        <v>296</v>
      </c>
      <c r="F285" s="1333">
        <v>-16043023.880000001</v>
      </c>
      <c r="G285" s="1333">
        <v>-5158528.58</v>
      </c>
      <c r="H285" s="1333">
        <f>VLOOKUP(D285,'מאזן בוחן'!$C:$M,11,0)-G285</f>
        <v>0</v>
      </c>
      <c r="I285" s="1333">
        <f>VLOOKUP(D285,'מאזן בוחן'!C:J,3,0)-F285</f>
        <v>0</v>
      </c>
      <c r="K285" s="137"/>
      <c r="L285" s="137"/>
      <c r="N285" s="32"/>
      <c r="O285" s="32"/>
      <c r="P285" s="32"/>
      <c r="Q285" s="32"/>
    </row>
    <row r="286" spans="1:17">
      <c r="A286" s="153" t="s">
        <v>1258</v>
      </c>
      <c r="B286" s="153" t="s">
        <v>1260</v>
      </c>
      <c r="C286" s="153" t="s">
        <v>570</v>
      </c>
      <c r="D286" s="587">
        <v>1130002</v>
      </c>
      <c r="E286" s="153" t="s">
        <v>356</v>
      </c>
      <c r="F286" s="1333">
        <v>16102708.630000001</v>
      </c>
      <c r="G286" s="1333">
        <v>5177719.82</v>
      </c>
      <c r="H286" s="1333">
        <f>VLOOKUP(D286,'מאזן בוחן'!$C:$M,11,0)-G286</f>
        <v>0</v>
      </c>
      <c r="I286" s="1333">
        <f>VLOOKUP(D286,'מאזן בוחן'!C:J,3,0)-F286</f>
        <v>0</v>
      </c>
      <c r="K286" s="137"/>
      <c r="L286" s="137"/>
      <c r="N286" s="32"/>
      <c r="O286" s="32"/>
      <c r="P286" s="32"/>
      <c r="Q286" s="32"/>
    </row>
    <row r="287" spans="1:17">
      <c r="A287" s="153" t="s">
        <v>1258</v>
      </c>
      <c r="B287" s="153" t="s">
        <v>1260</v>
      </c>
      <c r="C287" s="153" t="s">
        <v>570</v>
      </c>
      <c r="D287" s="587">
        <v>1130005</v>
      </c>
      <c r="E287" s="153" t="s">
        <v>998</v>
      </c>
      <c r="F287" s="1333">
        <v>21072458.32</v>
      </c>
      <c r="G287" s="1333">
        <v>6775705.6299999999</v>
      </c>
      <c r="H287" s="1333">
        <f>VLOOKUP(D287,'מאזן בוחן'!$C:$M,11,0)-G287</f>
        <v>0</v>
      </c>
      <c r="I287" s="1333">
        <f>VLOOKUP(D287,'מאזן בוחן'!C:J,3,0)-F287</f>
        <v>0</v>
      </c>
      <c r="K287" s="137"/>
      <c r="L287" s="137"/>
      <c r="N287" s="32"/>
      <c r="O287" s="32"/>
      <c r="P287" s="32"/>
      <c r="Q287" s="32"/>
    </row>
    <row r="288" spans="1:17">
      <c r="A288" s="153" t="s">
        <v>1258</v>
      </c>
      <c r="B288" s="153" t="s">
        <v>1260</v>
      </c>
      <c r="C288" s="153" t="s">
        <v>570</v>
      </c>
      <c r="D288" s="587">
        <v>1130008</v>
      </c>
      <c r="E288" s="153" t="s">
        <v>2430</v>
      </c>
      <c r="F288" s="1333">
        <v>13156948.52</v>
      </c>
      <c r="G288" s="1333">
        <v>4230530.07</v>
      </c>
      <c r="H288" s="1333">
        <f>VLOOKUP(D288,'מאזן בוחן'!$C:$M,11,0)-G288</f>
        <v>0</v>
      </c>
      <c r="I288" s="1333">
        <f>VLOOKUP(D288,'מאזן בוחן'!C:J,3,0)-F288</f>
        <v>0</v>
      </c>
      <c r="K288" s="137"/>
      <c r="L288" s="137"/>
      <c r="N288" s="32"/>
      <c r="O288" s="32"/>
      <c r="P288" s="32"/>
      <c r="Q288" s="32"/>
    </row>
    <row r="289" spans="1:17">
      <c r="A289" s="153" t="s">
        <v>1258</v>
      </c>
      <c r="B289" s="153" t="s">
        <v>1260</v>
      </c>
      <c r="C289" s="153" t="s">
        <v>570</v>
      </c>
      <c r="D289" s="587" t="s">
        <v>2943</v>
      </c>
      <c r="E289" s="153" t="s">
        <v>3008</v>
      </c>
      <c r="F289" s="1333">
        <v>5068.5</v>
      </c>
      <c r="G289" s="1333">
        <v>1500</v>
      </c>
      <c r="H289" s="1333">
        <f>VLOOKUP(D289,'מאזן בוחן'!$C:$M,11,0)-G289</f>
        <v>0</v>
      </c>
      <c r="I289" s="1333">
        <f>VLOOKUP(D289,'מאזן בוחן'!C:J,3,0)-F289</f>
        <v>0</v>
      </c>
      <c r="K289" s="137"/>
      <c r="L289" s="137"/>
      <c r="N289" s="32"/>
      <c r="O289" s="32"/>
      <c r="P289" s="32"/>
      <c r="Q289" s="32"/>
    </row>
    <row r="290" spans="1:17">
      <c r="A290" s="153" t="s">
        <v>1258</v>
      </c>
      <c r="B290" s="153" t="s">
        <v>1260</v>
      </c>
      <c r="C290" s="153" t="s">
        <v>2022</v>
      </c>
      <c r="D290" s="587" t="s">
        <v>1994</v>
      </c>
      <c r="E290" s="153" t="s">
        <v>2899</v>
      </c>
      <c r="F290" s="1333">
        <v>479</v>
      </c>
      <c r="G290" s="1333">
        <v>128</v>
      </c>
      <c r="H290" s="1333">
        <f>VLOOKUP(D290,'מאזן בוחן'!$C:$M,11,0)-G290</f>
        <v>0</v>
      </c>
      <c r="I290" s="1333">
        <f>VLOOKUP(D290,'מאזן בוחן'!C:J,3,0)-F290</f>
        <v>0</v>
      </c>
      <c r="K290" s="137"/>
      <c r="L290" s="137"/>
      <c r="N290" s="32"/>
      <c r="O290" s="32"/>
      <c r="P290" s="32"/>
      <c r="Q290" s="32"/>
    </row>
    <row r="291" spans="1:17">
      <c r="A291" s="153" t="s">
        <v>1258</v>
      </c>
      <c r="B291" s="153" t="s">
        <v>1260</v>
      </c>
      <c r="C291" s="153" t="s">
        <v>2045</v>
      </c>
      <c r="D291" s="587">
        <v>1150001</v>
      </c>
      <c r="E291" s="153" t="s">
        <v>2046</v>
      </c>
      <c r="F291" s="1333">
        <v>502282.7</v>
      </c>
      <c r="G291" s="1333">
        <v>161505.69</v>
      </c>
      <c r="H291" s="1333">
        <f>VLOOKUP(D291,'מאזן בוחן'!$C:$M,11,0)-G291</f>
        <v>0</v>
      </c>
      <c r="I291" s="1333">
        <f>VLOOKUP(D291,'מאזן בוחן'!C:J,3,0)-F291</f>
        <v>0</v>
      </c>
      <c r="K291" s="137"/>
      <c r="L291" s="137"/>
      <c r="N291" s="32"/>
      <c r="O291" s="32"/>
      <c r="P291" s="32"/>
      <c r="Q291" s="32"/>
    </row>
    <row r="292" spans="1:17">
      <c r="A292" s="153" t="s">
        <v>1258</v>
      </c>
      <c r="B292" s="153" t="s">
        <v>1261</v>
      </c>
      <c r="C292" s="153" t="s">
        <v>571</v>
      </c>
      <c r="D292" s="587">
        <v>200022</v>
      </c>
      <c r="E292" s="153" t="s">
        <v>3009</v>
      </c>
      <c r="F292" s="1333">
        <v>591176.61</v>
      </c>
      <c r="G292" s="1333">
        <v>190088.94</v>
      </c>
      <c r="H292" s="1333">
        <f>VLOOKUP(D292,'מאזן בוחן'!$C:$M,11,0)-G292</f>
        <v>0</v>
      </c>
      <c r="I292" s="1333">
        <f>VLOOKUP(D292,'מאזן בוחן'!C:J,3,0)-F292</f>
        <v>0</v>
      </c>
      <c r="K292" s="137"/>
      <c r="L292" s="137"/>
      <c r="N292" s="32"/>
      <c r="O292" s="32"/>
      <c r="P292" s="32"/>
      <c r="Q292" s="32"/>
    </row>
    <row r="293" spans="1:17">
      <c r="A293" s="153" t="s">
        <v>1258</v>
      </c>
      <c r="B293" s="153" t="s">
        <v>1261</v>
      </c>
      <c r="C293" s="153" t="s">
        <v>571</v>
      </c>
      <c r="D293" s="587">
        <v>201267</v>
      </c>
      <c r="E293" s="153" t="s">
        <v>4658</v>
      </c>
      <c r="F293" s="1333">
        <v>267932.14</v>
      </c>
      <c r="G293" s="1333">
        <v>86151.81</v>
      </c>
      <c r="H293" s="1333">
        <f>VLOOKUP(D293,'מאזן בוחן'!$C:$M,11,0)-G293</f>
        <v>0</v>
      </c>
      <c r="I293" s="1333">
        <f>VLOOKUP(D293,'מאזן בוחן'!C:J,3,0)-F293</f>
        <v>0</v>
      </c>
      <c r="K293" s="137"/>
      <c r="L293" s="137"/>
      <c r="N293" s="32"/>
      <c r="O293" s="32"/>
      <c r="P293" s="32"/>
      <c r="Q293" s="32"/>
    </row>
    <row r="294" spans="1:17">
      <c r="A294" s="153" t="s">
        <v>1258</v>
      </c>
      <c r="B294" s="153" t="s">
        <v>1261</v>
      </c>
      <c r="C294" s="153" t="s">
        <v>571</v>
      </c>
      <c r="D294" s="587">
        <v>201599</v>
      </c>
      <c r="E294" s="153" t="s">
        <v>4452</v>
      </c>
      <c r="F294" s="1333">
        <v>23153.27</v>
      </c>
      <c r="G294" s="1333">
        <v>7444.78</v>
      </c>
      <c r="H294" s="1333">
        <f>VLOOKUP(D294,'מאזן בוחן'!$C:$M,11,0)-G294</f>
        <v>0</v>
      </c>
      <c r="I294" s="1333">
        <f>VLOOKUP(D294,'מאזן בוחן'!C:J,3,0)-F294</f>
        <v>0</v>
      </c>
      <c r="K294" s="137"/>
      <c r="L294" s="137"/>
      <c r="N294" s="32"/>
      <c r="O294" s="32"/>
      <c r="P294" s="32"/>
      <c r="Q294" s="32"/>
    </row>
    <row r="295" spans="1:17">
      <c r="A295" s="153" t="s">
        <v>1258</v>
      </c>
      <c r="B295" s="153" t="s">
        <v>1261</v>
      </c>
      <c r="C295" s="153" t="s">
        <v>571</v>
      </c>
      <c r="D295" s="587">
        <v>207734</v>
      </c>
      <c r="E295" s="153" t="s">
        <v>3120</v>
      </c>
      <c r="F295" s="1333">
        <v>7146.82</v>
      </c>
      <c r="G295" s="1333">
        <v>2298.0100000000002</v>
      </c>
      <c r="H295" s="1333">
        <f>VLOOKUP(D295,'מאזן בוחן'!$C:$M,11,0)-G295</f>
        <v>0</v>
      </c>
      <c r="I295" s="1333">
        <f>VLOOKUP(D295,'מאזן בוחן'!C:J,3,0)-F295</f>
        <v>0</v>
      </c>
      <c r="K295" s="137"/>
      <c r="L295" s="137"/>
      <c r="N295" s="32"/>
      <c r="O295" s="32"/>
      <c r="P295" s="32"/>
      <c r="Q295" s="32"/>
    </row>
    <row r="296" spans="1:17">
      <c r="A296" s="153" t="s">
        <v>1258</v>
      </c>
      <c r="B296" s="153" t="s">
        <v>1261</v>
      </c>
      <c r="C296" s="153" t="s">
        <v>571</v>
      </c>
      <c r="D296" s="587">
        <v>209280</v>
      </c>
      <c r="E296" s="153" t="s">
        <v>4659</v>
      </c>
      <c r="F296" s="1333">
        <v>82957.7</v>
      </c>
      <c r="G296" s="1333">
        <v>26674.5</v>
      </c>
      <c r="H296" s="1333">
        <f>VLOOKUP(D296,'מאזן בוחן'!$C:$M,11,0)-G296</f>
        <v>0</v>
      </c>
      <c r="I296" s="1333">
        <f>VLOOKUP(D296,'מאזן בוחן'!C:J,3,0)-F296</f>
        <v>0</v>
      </c>
      <c r="K296" s="137"/>
      <c r="L296" s="137"/>
      <c r="N296" s="32"/>
      <c r="O296" s="32"/>
      <c r="P296" s="32"/>
      <c r="Q296" s="32"/>
    </row>
    <row r="297" spans="1:17">
      <c r="A297" s="153" t="s">
        <v>1258</v>
      </c>
      <c r="B297" s="153" t="s">
        <v>1261</v>
      </c>
      <c r="C297" s="153" t="s">
        <v>571</v>
      </c>
      <c r="D297" s="587">
        <v>217664</v>
      </c>
      <c r="E297" s="153" t="s">
        <v>4453</v>
      </c>
      <c r="F297" s="1333">
        <v>22330.62</v>
      </c>
      <c r="G297" s="1333">
        <v>7180.26</v>
      </c>
      <c r="H297" s="1333">
        <f>VLOOKUP(D297,'מאזן בוחן'!$C:$M,11,0)-G297</f>
        <v>0</v>
      </c>
      <c r="I297" s="1333">
        <f>VLOOKUP(D297,'מאזן בוחן'!C:J,3,0)-F297</f>
        <v>0</v>
      </c>
      <c r="K297" s="137"/>
      <c r="L297" s="137"/>
      <c r="N297" s="32"/>
      <c r="O297" s="32"/>
      <c r="P297" s="32"/>
      <c r="Q297" s="32"/>
    </row>
    <row r="298" spans="1:17">
      <c r="A298" s="153" t="s">
        <v>1258</v>
      </c>
      <c r="B298" s="153" t="s">
        <v>1261</v>
      </c>
      <c r="C298" s="153" t="s">
        <v>571</v>
      </c>
      <c r="D298" s="587">
        <v>221716</v>
      </c>
      <c r="E298" s="153" t="s">
        <v>3121</v>
      </c>
      <c r="F298" s="1333">
        <v>293490.11</v>
      </c>
      <c r="G298" s="1333">
        <v>94369.81</v>
      </c>
      <c r="H298" s="1333">
        <f>VLOOKUP(D298,'מאזן בוחן'!$C:$M,11,0)-G298</f>
        <v>0</v>
      </c>
      <c r="I298" s="1333">
        <f>VLOOKUP(D298,'מאזן בוחן'!C:J,3,0)-F298</f>
        <v>0</v>
      </c>
      <c r="K298" s="137"/>
      <c r="L298" s="137"/>
      <c r="N298" s="32"/>
      <c r="O298" s="32"/>
      <c r="P298" s="32"/>
      <c r="Q298" s="32"/>
    </row>
    <row r="299" spans="1:17">
      <c r="A299" s="153" t="s">
        <v>1258</v>
      </c>
      <c r="B299" s="153" t="s">
        <v>1261</v>
      </c>
      <c r="C299" s="153" t="s">
        <v>571</v>
      </c>
      <c r="D299" s="587">
        <v>226550</v>
      </c>
      <c r="E299" s="153" t="s">
        <v>4660</v>
      </c>
      <c r="F299" s="1333">
        <v>99271.2</v>
      </c>
      <c r="G299" s="1333">
        <v>31920</v>
      </c>
      <c r="H299" s="1333">
        <f>VLOOKUP(D299,'מאזן בוחן'!$C:$M,11,0)-G299</f>
        <v>0</v>
      </c>
      <c r="I299" s="1333">
        <f>VLOOKUP(D299,'מאזן בוחן'!C:J,3,0)-F299</f>
        <v>0</v>
      </c>
      <c r="K299" s="137"/>
      <c r="L299" s="137"/>
      <c r="N299" s="32"/>
      <c r="O299" s="32"/>
      <c r="P299" s="32"/>
      <c r="Q299" s="32"/>
    </row>
    <row r="300" spans="1:17">
      <c r="A300" s="153" t="s">
        <v>1258</v>
      </c>
      <c r="B300" s="153" t="s">
        <v>1261</v>
      </c>
      <c r="C300" s="153" t="s">
        <v>571</v>
      </c>
      <c r="D300" s="587">
        <v>228747</v>
      </c>
      <c r="E300" s="153" t="s">
        <v>3122</v>
      </c>
      <c r="F300" s="1333">
        <v>512643.75</v>
      </c>
      <c r="G300" s="1333">
        <v>164837.22</v>
      </c>
      <c r="H300" s="1333">
        <f>VLOOKUP(D300,'מאזן בוחן'!$C:$M,11,0)-G300</f>
        <v>0</v>
      </c>
      <c r="I300" s="1333">
        <f>VLOOKUP(D300,'מאזן בוחן'!C:J,3,0)-F300</f>
        <v>0</v>
      </c>
      <c r="K300" s="137"/>
      <c r="L300" s="137"/>
      <c r="N300" s="32"/>
      <c r="O300" s="32"/>
      <c r="P300" s="32"/>
      <c r="Q300" s="32"/>
    </row>
    <row r="301" spans="1:17">
      <c r="A301" s="153" t="s">
        <v>1258</v>
      </c>
      <c r="B301" s="153" t="s">
        <v>1261</v>
      </c>
      <c r="C301" s="153" t="s">
        <v>571</v>
      </c>
      <c r="D301" s="587">
        <v>232025</v>
      </c>
      <c r="E301" s="153" t="s">
        <v>4179</v>
      </c>
      <c r="F301" s="1333">
        <v>67919.199999999997</v>
      </c>
      <c r="G301" s="1333">
        <v>21838.97</v>
      </c>
      <c r="H301" s="1333">
        <f>VLOOKUP(D301,'מאזן בוחן'!$C:$M,11,0)-G301</f>
        <v>0</v>
      </c>
      <c r="I301" s="1333">
        <f>VLOOKUP(D301,'מאזן בוחן'!C:J,3,0)-F301</f>
        <v>0</v>
      </c>
      <c r="K301" s="137"/>
      <c r="L301" s="137"/>
      <c r="N301" s="32"/>
      <c r="O301" s="32"/>
      <c r="P301" s="32"/>
      <c r="Q301" s="32"/>
    </row>
    <row r="302" spans="1:17">
      <c r="A302" s="153" t="s">
        <v>1258</v>
      </c>
      <c r="B302" s="153" t="s">
        <v>1261</v>
      </c>
      <c r="C302" s="153" t="s">
        <v>571</v>
      </c>
      <c r="D302" s="587">
        <v>232189</v>
      </c>
      <c r="E302" s="153" t="s">
        <v>4454</v>
      </c>
      <c r="F302" s="1333">
        <v>429804.55</v>
      </c>
      <c r="G302" s="1333">
        <v>138200.82</v>
      </c>
      <c r="H302" s="1333">
        <f>VLOOKUP(D302,'מאזן בוחן'!$C:$M,11,0)-G302</f>
        <v>0</v>
      </c>
      <c r="I302" s="1333">
        <f>VLOOKUP(D302,'מאזן בוחן'!C:J,3,0)-F302</f>
        <v>0</v>
      </c>
      <c r="K302" s="137"/>
      <c r="L302" s="137"/>
      <c r="N302" s="32"/>
      <c r="O302" s="32"/>
      <c r="P302" s="32"/>
      <c r="Q302" s="32"/>
    </row>
    <row r="303" spans="1:17">
      <c r="A303" s="153" t="s">
        <v>1258</v>
      </c>
      <c r="B303" s="153" t="s">
        <v>1261</v>
      </c>
      <c r="C303" s="153" t="s">
        <v>572</v>
      </c>
      <c r="D303" s="587">
        <v>202272</v>
      </c>
      <c r="E303" s="153" t="s">
        <v>4038</v>
      </c>
      <c r="F303" s="1333">
        <v>231213.29</v>
      </c>
      <c r="G303" s="1333">
        <v>74345.11</v>
      </c>
      <c r="H303" s="1333">
        <f>VLOOKUP(D303,'מאזן בוחן'!$C:$M,11,0)-G303</f>
        <v>0</v>
      </c>
      <c r="I303" s="1333">
        <f>VLOOKUP(D303,'מאזן בוחן'!C:J,3,0)-F303</f>
        <v>0</v>
      </c>
      <c r="K303" s="137"/>
      <c r="L303" s="137"/>
      <c r="N303" s="32"/>
      <c r="O303" s="32"/>
      <c r="P303" s="32"/>
      <c r="Q303" s="32"/>
    </row>
    <row r="304" spans="1:17">
      <c r="A304" s="153" t="s">
        <v>1258</v>
      </c>
      <c r="B304" s="153" t="s">
        <v>1261</v>
      </c>
      <c r="C304" s="153" t="s">
        <v>572</v>
      </c>
      <c r="D304" s="587">
        <v>202339</v>
      </c>
      <c r="E304" s="153" t="s">
        <v>4180</v>
      </c>
      <c r="F304" s="1333">
        <v>35507.800000000003</v>
      </c>
      <c r="G304" s="1333">
        <v>11417.3</v>
      </c>
      <c r="H304" s="1333">
        <f>VLOOKUP(D304,'מאזן בוחן'!$C:$M,11,0)-G304</f>
        <v>0</v>
      </c>
      <c r="I304" s="1333">
        <f>VLOOKUP(D304,'מאזן בוחן'!C:J,3,0)-F304</f>
        <v>0</v>
      </c>
      <c r="K304" s="137"/>
      <c r="L304" s="137"/>
      <c r="N304" s="32"/>
      <c r="O304" s="32"/>
      <c r="P304" s="32"/>
      <c r="Q304" s="32"/>
    </row>
    <row r="305" spans="1:17">
      <c r="A305" s="153" t="s">
        <v>1258</v>
      </c>
      <c r="B305" s="153" t="s">
        <v>1261</v>
      </c>
      <c r="C305" s="153" t="s">
        <v>572</v>
      </c>
      <c r="D305" s="587">
        <v>203122</v>
      </c>
      <c r="E305" s="153" t="s">
        <v>1262</v>
      </c>
      <c r="F305" s="1333">
        <v>3200.81</v>
      </c>
      <c r="G305" s="1333">
        <v>1029.2</v>
      </c>
      <c r="H305" s="1333">
        <f>VLOOKUP(D305,'מאזן בוחן'!$C:$M,11,0)-G305</f>
        <v>0</v>
      </c>
      <c r="I305" s="1333">
        <f>VLOOKUP(D305,'מאזן בוחן'!C:J,3,0)-F305</f>
        <v>0</v>
      </c>
      <c r="K305" s="137"/>
      <c r="L305" s="137"/>
      <c r="N305" s="32"/>
      <c r="O305" s="32"/>
      <c r="P305" s="32"/>
      <c r="Q305" s="32"/>
    </row>
    <row r="306" spans="1:17">
      <c r="A306" s="153" t="s">
        <v>1258</v>
      </c>
      <c r="B306" s="153" t="s">
        <v>1261</v>
      </c>
      <c r="C306" s="153" t="s">
        <v>572</v>
      </c>
      <c r="D306" s="587">
        <v>204961</v>
      </c>
      <c r="E306" s="153" t="s">
        <v>551</v>
      </c>
      <c r="F306" s="1333">
        <v>352948.68</v>
      </c>
      <c r="G306" s="1333">
        <v>113488.32000000001</v>
      </c>
      <c r="H306" s="1333">
        <f>VLOOKUP(D306,'מאזן בוחן'!$C:$M,11,0)-G306</f>
        <v>0</v>
      </c>
      <c r="I306" s="1333">
        <f>VLOOKUP(D306,'מאזן בוחן'!C:J,3,0)-F306</f>
        <v>0</v>
      </c>
      <c r="K306" s="137"/>
      <c r="L306" s="137"/>
      <c r="N306" s="32"/>
      <c r="O306" s="32"/>
      <c r="P306" s="32"/>
      <c r="Q306" s="32"/>
    </row>
    <row r="307" spans="1:17">
      <c r="A307" s="153" t="s">
        <v>1258</v>
      </c>
      <c r="B307" s="153" t="s">
        <v>1261</v>
      </c>
      <c r="C307" s="153" t="s">
        <v>572</v>
      </c>
      <c r="D307" s="587">
        <v>205455</v>
      </c>
      <c r="E307" s="153" t="s">
        <v>2900</v>
      </c>
      <c r="F307" s="1333">
        <v>211069.32</v>
      </c>
      <c r="G307" s="1333">
        <v>67867.95</v>
      </c>
      <c r="H307" s="1333">
        <f>VLOOKUP(D307,'מאזן בוחן'!$C:$M,11,0)-G307</f>
        <v>0</v>
      </c>
      <c r="I307" s="1333">
        <f>VLOOKUP(D307,'מאזן בוחן'!C:J,3,0)-F307</f>
        <v>0</v>
      </c>
      <c r="K307" s="137"/>
      <c r="L307" s="137"/>
      <c r="N307" s="32"/>
      <c r="O307" s="32"/>
      <c r="P307" s="32"/>
      <c r="Q307" s="32"/>
    </row>
    <row r="308" spans="1:17">
      <c r="A308" s="153" t="s">
        <v>1258</v>
      </c>
      <c r="B308" s="153" t="s">
        <v>1261</v>
      </c>
      <c r="C308" s="153" t="s">
        <v>572</v>
      </c>
      <c r="D308" s="587">
        <v>205457</v>
      </c>
      <c r="E308" s="153" t="s">
        <v>3437</v>
      </c>
      <c r="F308" s="1333">
        <v>23004.67</v>
      </c>
      <c r="G308" s="1333">
        <v>7397</v>
      </c>
      <c r="H308" s="1333">
        <f>VLOOKUP(D308,'מאזן בוחן'!$C:$M,11,0)-G308</f>
        <v>0</v>
      </c>
      <c r="I308" s="1333">
        <f>VLOOKUP(D308,'מאזן בוחן'!C:J,3,0)-F308</f>
        <v>0</v>
      </c>
      <c r="K308" s="137"/>
      <c r="L308" s="137"/>
      <c r="N308" s="32"/>
      <c r="O308" s="32"/>
      <c r="P308" s="32"/>
      <c r="Q308" s="32"/>
    </row>
    <row r="309" spans="1:17">
      <c r="A309" s="153" t="s">
        <v>1258</v>
      </c>
      <c r="B309" s="153" t="s">
        <v>1261</v>
      </c>
      <c r="C309" s="153" t="s">
        <v>572</v>
      </c>
      <c r="D309" s="587">
        <v>206331</v>
      </c>
      <c r="E309" s="153" t="s">
        <v>432</v>
      </c>
      <c r="F309" s="1333">
        <v>29382.38</v>
      </c>
      <c r="G309" s="1333">
        <v>9447.7099999999991</v>
      </c>
      <c r="H309" s="1333">
        <f>VLOOKUP(D309,'מאזן בוחן'!$C:$M,11,0)-G309</f>
        <v>0</v>
      </c>
      <c r="I309" s="1333">
        <f>VLOOKUP(D309,'מאזן בוחן'!C:J,3,0)-F309</f>
        <v>0</v>
      </c>
      <c r="K309" s="137"/>
      <c r="L309" s="137"/>
      <c r="N309" s="32"/>
      <c r="O309" s="32"/>
      <c r="P309" s="32"/>
      <c r="Q309" s="32"/>
    </row>
    <row r="310" spans="1:17">
      <c r="A310" s="153" t="s">
        <v>1258</v>
      </c>
      <c r="B310" s="153" t="s">
        <v>1261</v>
      </c>
      <c r="C310" s="153" t="s">
        <v>572</v>
      </c>
      <c r="D310" s="587">
        <v>206364</v>
      </c>
      <c r="E310" s="153" t="s">
        <v>4661</v>
      </c>
      <c r="F310" s="1333">
        <v>30135.9</v>
      </c>
      <c r="G310" s="1333">
        <v>9690</v>
      </c>
      <c r="H310" s="1333">
        <f>VLOOKUP(D310,'מאזן בוחן'!$C:$M,11,0)-G310</f>
        <v>0</v>
      </c>
      <c r="I310" s="1333">
        <f>VLOOKUP(D310,'מאזן בוחן'!C:J,3,0)-F310</f>
        <v>0</v>
      </c>
      <c r="K310" s="137"/>
      <c r="L310" s="137"/>
      <c r="N310" s="32"/>
      <c r="O310" s="32"/>
      <c r="P310" s="32"/>
      <c r="Q310" s="32"/>
    </row>
    <row r="311" spans="1:17">
      <c r="A311" s="153" t="s">
        <v>1258</v>
      </c>
      <c r="B311" s="153" t="s">
        <v>1261</v>
      </c>
      <c r="C311" s="153" t="s">
        <v>572</v>
      </c>
      <c r="D311" s="587">
        <v>207238</v>
      </c>
      <c r="E311" s="153" t="s">
        <v>3622</v>
      </c>
      <c r="F311" s="1333">
        <v>4731602.24</v>
      </c>
      <c r="G311" s="1333">
        <v>1521415.51</v>
      </c>
      <c r="H311" s="1333">
        <f>VLOOKUP(D311,'מאזן בוחן'!$C:$M,11,0)-G311</f>
        <v>0</v>
      </c>
      <c r="I311" s="1333">
        <f>VLOOKUP(D311,'מאזן בוחן'!C:J,3,0)-F311</f>
        <v>0</v>
      </c>
      <c r="K311" s="137"/>
      <c r="L311" s="137"/>
      <c r="N311" s="32"/>
      <c r="O311" s="32"/>
      <c r="P311" s="32"/>
      <c r="Q311" s="32"/>
    </row>
    <row r="312" spans="1:17">
      <c r="A312" s="153" t="s">
        <v>1258</v>
      </c>
      <c r="B312" s="153" t="s">
        <v>1261</v>
      </c>
      <c r="C312" s="153" t="s">
        <v>572</v>
      </c>
      <c r="D312" s="587">
        <v>209223</v>
      </c>
      <c r="E312" s="153" t="s">
        <v>2901</v>
      </c>
      <c r="F312" s="1333">
        <v>2554788.4300000002</v>
      </c>
      <c r="G312" s="1333">
        <v>821475.38</v>
      </c>
      <c r="H312" s="1333">
        <f>VLOOKUP(D312,'מאזן בוחן'!$C:$M,11,0)-G312</f>
        <v>0</v>
      </c>
      <c r="I312" s="1333">
        <f>VLOOKUP(D312,'מאזן בוחן'!C:J,3,0)-F312</f>
        <v>0</v>
      </c>
      <c r="K312" s="137"/>
      <c r="L312" s="137"/>
      <c r="N312" s="32"/>
      <c r="O312" s="32"/>
      <c r="P312" s="32"/>
      <c r="Q312" s="32"/>
    </row>
    <row r="313" spans="1:17">
      <c r="A313" s="153" t="s">
        <v>1258</v>
      </c>
      <c r="B313" s="153" t="s">
        <v>1261</v>
      </c>
      <c r="C313" s="153" t="s">
        <v>572</v>
      </c>
      <c r="D313" s="587">
        <v>209224</v>
      </c>
      <c r="E313" s="153" t="s">
        <v>3569</v>
      </c>
      <c r="F313" s="1333">
        <v>178617.63</v>
      </c>
      <c r="G313" s="1333">
        <v>57433.32</v>
      </c>
      <c r="H313" s="1333">
        <f>VLOOKUP(D313,'מאזן בוחן'!$C:$M,11,0)-G313</f>
        <v>0</v>
      </c>
      <c r="I313" s="1333">
        <f>VLOOKUP(D313,'מאזן בוחן'!C:J,3,0)-F313</f>
        <v>0</v>
      </c>
      <c r="K313" s="137"/>
      <c r="L313" s="137"/>
      <c r="N313" s="32"/>
      <c r="O313" s="32"/>
      <c r="P313" s="32"/>
      <c r="Q313" s="32"/>
    </row>
    <row r="314" spans="1:17">
      <c r="A314" s="153" t="s">
        <v>1258</v>
      </c>
      <c r="B314" s="153" t="s">
        <v>1261</v>
      </c>
      <c r="C314" s="153" t="s">
        <v>572</v>
      </c>
      <c r="D314" s="587">
        <v>212681</v>
      </c>
      <c r="E314" s="153" t="s">
        <v>2902</v>
      </c>
      <c r="F314" s="1333">
        <v>663666.26</v>
      </c>
      <c r="G314" s="1333">
        <v>213397.51</v>
      </c>
      <c r="H314" s="1333">
        <f>VLOOKUP(D314,'מאזן בוחן'!$C:$M,11,0)-G314</f>
        <v>0</v>
      </c>
      <c r="I314" s="1333">
        <f>VLOOKUP(D314,'מאזן בוחן'!C:J,3,0)-F314</f>
        <v>0</v>
      </c>
      <c r="K314" s="137"/>
      <c r="L314" s="137"/>
      <c r="N314" s="32"/>
      <c r="O314" s="32"/>
      <c r="P314" s="32"/>
      <c r="Q314" s="32"/>
    </row>
    <row r="315" spans="1:17">
      <c r="A315" s="153" t="s">
        <v>1258</v>
      </c>
      <c r="B315" s="153" t="s">
        <v>1261</v>
      </c>
      <c r="C315" s="153" t="s">
        <v>572</v>
      </c>
      <c r="D315" s="587">
        <v>222011</v>
      </c>
      <c r="E315" s="153" t="s">
        <v>1574</v>
      </c>
      <c r="F315" s="1333">
        <v>217620.94</v>
      </c>
      <c r="G315" s="1333">
        <v>69974.58</v>
      </c>
      <c r="H315" s="1333">
        <f>VLOOKUP(D315,'מאזן בוחן'!$C:$M,11,0)-G315</f>
        <v>0</v>
      </c>
      <c r="I315" s="1333">
        <f>VLOOKUP(D315,'מאזן בוחן'!C:J,3,0)-F315</f>
        <v>0</v>
      </c>
      <c r="K315" s="137"/>
      <c r="L315" s="137"/>
      <c r="N315" s="32"/>
      <c r="O315" s="32"/>
      <c r="P315" s="32"/>
      <c r="Q315" s="32"/>
    </row>
    <row r="316" spans="1:17">
      <c r="A316" s="153" t="s">
        <v>1258</v>
      </c>
      <c r="B316" s="153" t="s">
        <v>1261</v>
      </c>
      <c r="C316" s="153" t="s">
        <v>572</v>
      </c>
      <c r="D316" s="587">
        <v>231045</v>
      </c>
      <c r="E316" s="153" t="s">
        <v>4662</v>
      </c>
      <c r="F316" s="1333">
        <v>1754002.68</v>
      </c>
      <c r="G316" s="1333">
        <v>563988</v>
      </c>
      <c r="H316" s="1333">
        <f>VLOOKUP(D316,'מאזן בוחן'!$C:$M,11,0)-G316</f>
        <v>0</v>
      </c>
      <c r="I316" s="1333">
        <f>VLOOKUP(D316,'מאזן בוחן'!C:J,3,0)-F316</f>
        <v>0</v>
      </c>
      <c r="K316" s="137"/>
      <c r="L316" s="137"/>
      <c r="N316" s="32"/>
      <c r="O316" s="32"/>
      <c r="P316" s="32"/>
      <c r="Q316" s="32"/>
    </row>
    <row r="317" spans="1:17">
      <c r="A317" s="153" t="s">
        <v>1258</v>
      </c>
      <c r="B317" s="153" t="s">
        <v>1263</v>
      </c>
      <c r="C317" s="153" t="s">
        <v>1001</v>
      </c>
      <c r="D317" s="587">
        <v>1400001</v>
      </c>
      <c r="E317" s="153" t="s">
        <v>347</v>
      </c>
      <c r="F317" s="1333">
        <v>11115980.779999999</v>
      </c>
      <c r="G317" s="1333">
        <v>3095069.88</v>
      </c>
      <c r="H317" s="1333">
        <f>VLOOKUP(D317,'מאזן בוחן'!$C:$M,11,0)-G317</f>
        <v>0</v>
      </c>
      <c r="I317" s="1333">
        <f>VLOOKUP(D317,'מאזן בוחן'!C:J,3,0)-F317</f>
        <v>0</v>
      </c>
      <c r="K317" s="137"/>
      <c r="L317" s="137"/>
      <c r="N317" s="32"/>
      <c r="O317" s="32"/>
      <c r="P317" s="32"/>
      <c r="Q317" s="32"/>
    </row>
    <row r="318" spans="1:17">
      <c r="A318" s="153" t="s">
        <v>1258</v>
      </c>
      <c r="B318" s="153" t="s">
        <v>1263</v>
      </c>
      <c r="C318" s="153" t="s">
        <v>1001</v>
      </c>
      <c r="D318" s="587">
        <v>1400002</v>
      </c>
      <c r="E318" s="153" t="s">
        <v>1438</v>
      </c>
      <c r="F318" s="1333">
        <v>2319883.5499999998</v>
      </c>
      <c r="G318" s="1333">
        <v>671303.01</v>
      </c>
      <c r="H318" s="1333">
        <f>VLOOKUP(D318,'מאזן בוחן'!$C:$M,11,0)-G318</f>
        <v>0</v>
      </c>
      <c r="I318" s="1333">
        <f>VLOOKUP(D318,'מאזן בוחן'!C:J,3,0)-F318</f>
        <v>0</v>
      </c>
      <c r="K318" s="137"/>
      <c r="L318" s="137"/>
      <c r="N318" s="32"/>
      <c r="O318" s="32"/>
      <c r="P318" s="32"/>
      <c r="Q318" s="32"/>
    </row>
    <row r="319" spans="1:17">
      <c r="A319" s="153" t="s">
        <v>1258</v>
      </c>
      <c r="B319" s="153" t="s">
        <v>1263</v>
      </c>
      <c r="C319" s="153" t="s">
        <v>1001</v>
      </c>
      <c r="D319" s="587">
        <v>1400003</v>
      </c>
      <c r="E319" s="153" t="s">
        <v>1717</v>
      </c>
      <c r="F319" s="1333">
        <v>4995289</v>
      </c>
      <c r="G319" s="1333">
        <v>1332159.1599999999</v>
      </c>
      <c r="H319" s="1333">
        <f>VLOOKUP(D319,'מאזן בוחן'!$C:$M,11,0)-G319</f>
        <v>0</v>
      </c>
      <c r="I319" s="1333">
        <f>VLOOKUP(D319,'מאזן בוחן'!C:J,3,0)-F319</f>
        <v>0</v>
      </c>
      <c r="K319" s="137"/>
      <c r="L319" s="137"/>
      <c r="N319" s="32"/>
      <c r="O319" s="32"/>
      <c r="P319" s="32"/>
      <c r="Q319" s="32"/>
    </row>
    <row r="320" spans="1:17">
      <c r="A320" s="153" t="s">
        <v>1258</v>
      </c>
      <c r="B320" s="153" t="s">
        <v>1263</v>
      </c>
      <c r="C320" s="153" t="s">
        <v>1002</v>
      </c>
      <c r="D320" s="587">
        <v>1410001</v>
      </c>
      <c r="E320" s="153" t="s">
        <v>1003</v>
      </c>
      <c r="F320" s="1333">
        <v>754015.49</v>
      </c>
      <c r="G320" s="1333">
        <v>209293.15</v>
      </c>
      <c r="H320" s="1333">
        <f>VLOOKUP(D320,'מאזן בוחן'!$C:$M,11,0)-G320</f>
        <v>0</v>
      </c>
      <c r="I320" s="1333">
        <f>VLOOKUP(D320,'מאזן בוחן'!C:J,3,0)-F320</f>
        <v>0</v>
      </c>
      <c r="K320" s="137"/>
      <c r="L320" s="137"/>
      <c r="N320" s="32"/>
      <c r="O320" s="32"/>
      <c r="P320" s="32"/>
      <c r="Q320" s="32"/>
    </row>
    <row r="321" spans="1:17">
      <c r="A321" s="153" t="s">
        <v>1258</v>
      </c>
      <c r="B321" s="153" t="s">
        <v>1263</v>
      </c>
      <c r="C321" s="153" t="s">
        <v>1002</v>
      </c>
      <c r="D321" s="587">
        <v>1410002</v>
      </c>
      <c r="E321" s="153" t="s">
        <v>2903</v>
      </c>
      <c r="F321" s="1333">
        <v>42685.59</v>
      </c>
      <c r="G321" s="1333">
        <v>12905.03</v>
      </c>
      <c r="H321" s="1333">
        <f>VLOOKUP(D321,'מאזן בוחן'!$C:$M,11,0)-G321</f>
        <v>0</v>
      </c>
      <c r="I321" s="1333">
        <f>VLOOKUP(D321,'מאזן בוחן'!C:J,3,0)-F321</f>
        <v>0</v>
      </c>
      <c r="K321" s="137"/>
      <c r="L321" s="137"/>
      <c r="N321" s="32"/>
      <c r="O321" s="32"/>
      <c r="P321" s="32"/>
      <c r="Q321" s="32"/>
    </row>
    <row r="322" spans="1:17">
      <c r="A322" s="153" t="s">
        <v>1258</v>
      </c>
      <c r="B322" s="153" t="s">
        <v>1263</v>
      </c>
      <c r="C322" s="153" t="s">
        <v>1004</v>
      </c>
      <c r="D322" s="587">
        <v>1420001</v>
      </c>
      <c r="E322" s="153" t="s">
        <v>1005</v>
      </c>
      <c r="F322" s="1333">
        <v>1323858.8400000001</v>
      </c>
      <c r="G322" s="1333">
        <v>365555.69</v>
      </c>
      <c r="H322" s="1333">
        <f>VLOOKUP(D322,'מאזן בוחן'!$C:$M,11,0)-G322</f>
        <v>0</v>
      </c>
      <c r="I322" s="1333">
        <f>VLOOKUP(D322,'מאזן בוחן'!C:J,3,0)-F322</f>
        <v>0</v>
      </c>
      <c r="K322" s="137"/>
      <c r="L322" s="137"/>
      <c r="N322" s="32"/>
      <c r="O322" s="32"/>
      <c r="P322" s="32"/>
      <c r="Q322" s="32"/>
    </row>
    <row r="323" spans="1:17">
      <c r="A323" s="153" t="s">
        <v>1258</v>
      </c>
      <c r="B323" s="153" t="s">
        <v>1263</v>
      </c>
      <c r="C323" s="153" t="s">
        <v>1004</v>
      </c>
      <c r="D323" s="587">
        <v>1420002</v>
      </c>
      <c r="E323" s="153" t="s">
        <v>2904</v>
      </c>
      <c r="F323" s="1333">
        <v>49953.81</v>
      </c>
      <c r="G323" s="1333">
        <v>15123.69</v>
      </c>
      <c r="H323" s="1333">
        <f>VLOOKUP(D323,'מאזן בוחן'!$C:$M,11,0)-G323</f>
        <v>0</v>
      </c>
      <c r="I323" s="1333">
        <f>VLOOKUP(D323,'מאזן בוחן'!C:J,3,0)-F323</f>
        <v>0</v>
      </c>
      <c r="K323" s="137"/>
      <c r="L323" s="137"/>
      <c r="N323" s="32"/>
      <c r="O323" s="32"/>
      <c r="P323" s="32"/>
      <c r="Q323" s="32"/>
    </row>
    <row r="324" spans="1:17">
      <c r="A324" s="153" t="s">
        <v>1258</v>
      </c>
      <c r="B324" s="153" t="s">
        <v>1263</v>
      </c>
      <c r="C324" s="153" t="s">
        <v>1004</v>
      </c>
      <c r="D324" s="587">
        <v>1420003</v>
      </c>
      <c r="E324" s="153" t="s">
        <v>190</v>
      </c>
      <c r="F324" s="1333">
        <v>14336.4</v>
      </c>
      <c r="G324" s="1333">
        <v>3741.56</v>
      </c>
      <c r="H324" s="1333">
        <f>VLOOKUP(D324,'מאזן בוחן'!$C:$M,11,0)-G324</f>
        <v>0</v>
      </c>
      <c r="I324" s="1333">
        <f>VLOOKUP(D324,'מאזן בוחן'!C:J,3,0)-F324</f>
        <v>0</v>
      </c>
      <c r="K324" s="137"/>
      <c r="L324" s="137"/>
      <c r="N324" s="32"/>
      <c r="O324" s="32"/>
      <c r="P324" s="32"/>
      <c r="Q324" s="32"/>
    </row>
    <row r="325" spans="1:17">
      <c r="A325" s="153" t="s">
        <v>1258</v>
      </c>
      <c r="B325" s="153" t="s">
        <v>1263</v>
      </c>
      <c r="C325" s="153" t="s">
        <v>1006</v>
      </c>
      <c r="D325" s="587">
        <v>1430001</v>
      </c>
      <c r="E325" s="153" t="s">
        <v>170</v>
      </c>
      <c r="F325" s="1333">
        <v>1843756.79</v>
      </c>
      <c r="G325" s="1333">
        <v>515171.71</v>
      </c>
      <c r="H325" s="1333">
        <f>VLOOKUP(D325,'מאזן בוחן'!$C:$M,11,0)-G325</f>
        <v>0</v>
      </c>
      <c r="I325" s="1333">
        <f>VLOOKUP(D325,'מאזן בוחן'!C:J,3,0)-F325</f>
        <v>0</v>
      </c>
      <c r="K325" s="137"/>
      <c r="L325" s="137"/>
      <c r="N325" s="32"/>
      <c r="O325" s="32"/>
      <c r="P325" s="32"/>
      <c r="Q325" s="32"/>
    </row>
    <row r="326" spans="1:17">
      <c r="A326" s="153" t="s">
        <v>1258</v>
      </c>
      <c r="B326" s="153" t="s">
        <v>1263</v>
      </c>
      <c r="C326" s="153" t="s">
        <v>1007</v>
      </c>
      <c r="D326" s="587">
        <v>1490001</v>
      </c>
      <c r="E326" s="153" t="s">
        <v>1008</v>
      </c>
      <c r="F326" s="1333">
        <v>-9946766</v>
      </c>
      <c r="G326" s="1333">
        <v>-2743428.89</v>
      </c>
      <c r="H326" s="1333">
        <f>VLOOKUP(D326,'מאזן בוחן'!$C:$M,11,0)-G326</f>
        <v>0</v>
      </c>
      <c r="I326" s="1333">
        <f>VLOOKUP(D326,'מאזן בוחן'!C:J,3,0)-F326</f>
        <v>0</v>
      </c>
      <c r="K326" s="137"/>
      <c r="L326" s="137"/>
      <c r="N326" s="32"/>
      <c r="O326" s="32"/>
      <c r="P326" s="32"/>
      <c r="Q326" s="32"/>
    </row>
    <row r="327" spans="1:17">
      <c r="A327" s="153" t="s">
        <v>1258</v>
      </c>
      <c r="B327" s="153" t="s">
        <v>1263</v>
      </c>
      <c r="C327" s="153" t="s">
        <v>1007</v>
      </c>
      <c r="D327" s="587">
        <v>1490002</v>
      </c>
      <c r="E327" s="153" t="s">
        <v>1009</v>
      </c>
      <c r="F327" s="1333">
        <v>-466062</v>
      </c>
      <c r="G327" s="1333">
        <v>-126929.16</v>
      </c>
      <c r="H327" s="1333">
        <f>VLOOKUP(D327,'מאזן בוחן'!$C:$M,11,0)-G327</f>
        <v>0</v>
      </c>
      <c r="I327" s="1333">
        <f>VLOOKUP(D327,'מאזן בוחן'!C:J,3,0)-F327</f>
        <v>0</v>
      </c>
      <c r="K327" s="137"/>
      <c r="L327" s="137"/>
      <c r="N327" s="32"/>
      <c r="O327" s="32"/>
      <c r="P327" s="32"/>
      <c r="Q327" s="32"/>
    </row>
    <row r="328" spans="1:17">
      <c r="A328" s="153" t="s">
        <v>1258</v>
      </c>
      <c r="B328" s="153" t="s">
        <v>1263</v>
      </c>
      <c r="C328" s="153" t="s">
        <v>1007</v>
      </c>
      <c r="D328" s="587">
        <v>1490003</v>
      </c>
      <c r="E328" s="153" t="s">
        <v>1010</v>
      </c>
      <c r="F328" s="1333">
        <v>-555718</v>
      </c>
      <c r="G328" s="1333">
        <v>-152379.14000000001</v>
      </c>
      <c r="H328" s="1333">
        <f>VLOOKUP(D328,'מאזן בוחן'!$C:$M,11,0)-G328</f>
        <v>0</v>
      </c>
      <c r="I328" s="1333">
        <f>VLOOKUP(D328,'מאזן בוחן'!C:J,3,0)-F328</f>
        <v>0</v>
      </c>
      <c r="K328" s="137"/>
      <c r="L328" s="137"/>
      <c r="N328" s="32"/>
      <c r="O328" s="32"/>
      <c r="P328" s="32"/>
      <c r="Q328" s="32"/>
    </row>
    <row r="329" spans="1:17">
      <c r="A329" s="153" t="s">
        <v>1258</v>
      </c>
      <c r="B329" s="153" t="s">
        <v>1263</v>
      </c>
      <c r="C329" s="153" t="s">
        <v>1007</v>
      </c>
      <c r="D329" s="587">
        <v>1490004</v>
      </c>
      <c r="E329" s="153" t="s">
        <v>1011</v>
      </c>
      <c r="F329" s="1333">
        <v>-1380404</v>
      </c>
      <c r="G329" s="1333">
        <v>-382655</v>
      </c>
      <c r="H329" s="1333">
        <f>VLOOKUP(D329,'מאזן בוחן'!$C:$M,11,0)-G329</f>
        <v>0</v>
      </c>
      <c r="I329" s="1333">
        <f>VLOOKUP(D329,'מאזן בוחן'!C:J,3,0)-F329</f>
        <v>0</v>
      </c>
      <c r="K329" s="137"/>
      <c r="L329" s="137"/>
      <c r="N329" s="32"/>
      <c r="O329" s="32"/>
      <c r="P329" s="32"/>
      <c r="Q329" s="32"/>
    </row>
    <row r="330" spans="1:17">
      <c r="A330" s="153" t="s">
        <v>1258</v>
      </c>
      <c r="B330" s="153" t="s">
        <v>1263</v>
      </c>
      <c r="C330" s="153" t="s">
        <v>1007</v>
      </c>
      <c r="D330" s="587">
        <v>1490005</v>
      </c>
      <c r="E330" s="153" t="s">
        <v>1012</v>
      </c>
      <c r="F330" s="1333">
        <v>-14337</v>
      </c>
      <c r="G330" s="1333">
        <v>-3740.52</v>
      </c>
      <c r="H330" s="1333">
        <f>VLOOKUP(D330,'מאזן בוחן'!$C:$M,11,0)-G330</f>
        <v>0</v>
      </c>
      <c r="I330" s="1333">
        <f>VLOOKUP(D330,'מאזן בוחן'!C:J,3,0)-F330</f>
        <v>0</v>
      </c>
      <c r="K330" s="137"/>
      <c r="L330" s="137"/>
      <c r="N330" s="32"/>
      <c r="O330" s="32"/>
      <c r="P330" s="32"/>
      <c r="Q330" s="32"/>
    </row>
    <row r="331" spans="1:17">
      <c r="A331" s="153" t="s">
        <v>1258</v>
      </c>
      <c r="B331" s="153" t="s">
        <v>1263</v>
      </c>
      <c r="C331" s="153" t="s">
        <v>1007</v>
      </c>
      <c r="D331" s="587">
        <v>1490006</v>
      </c>
      <c r="E331" s="153" t="s">
        <v>3273</v>
      </c>
      <c r="F331" s="1333">
        <v>-2584</v>
      </c>
      <c r="G331" s="1333">
        <v>-787.74</v>
      </c>
      <c r="H331" s="1333">
        <f>VLOOKUP(D331,'מאזן בוחן'!$C:$M,11,0)-G331</f>
        <v>0</v>
      </c>
      <c r="I331" s="1333">
        <f>VLOOKUP(D331,'מאזן בוחן'!C:J,3,0)-F331</f>
        <v>0</v>
      </c>
      <c r="K331" s="137"/>
      <c r="L331" s="137"/>
      <c r="N331" s="32"/>
      <c r="O331" s="32"/>
      <c r="P331" s="32"/>
      <c r="Q331" s="32"/>
    </row>
    <row r="332" spans="1:17">
      <c r="A332" s="153" t="s">
        <v>1258</v>
      </c>
      <c r="B332" s="153" t="s">
        <v>1263</v>
      </c>
      <c r="C332" s="153" t="s">
        <v>1007</v>
      </c>
      <c r="D332" s="587">
        <v>1490007</v>
      </c>
      <c r="E332" s="153" t="s">
        <v>1496</v>
      </c>
      <c r="F332" s="1333">
        <v>-1394332</v>
      </c>
      <c r="G332" s="1333">
        <v>-393987</v>
      </c>
      <c r="H332" s="1333">
        <f>VLOOKUP(D332,'מאזן בוחן'!$C:$M,11,0)-G332</f>
        <v>0</v>
      </c>
      <c r="I332" s="1333">
        <f>VLOOKUP(D332,'מאזן בוחן'!C:J,3,0)-F332</f>
        <v>0</v>
      </c>
      <c r="K332" s="137"/>
      <c r="L332" s="137"/>
      <c r="N332" s="32"/>
      <c r="O332" s="32"/>
      <c r="P332" s="32"/>
      <c r="Q332" s="32"/>
    </row>
    <row r="333" spans="1:17">
      <c r="A333" s="153" t="s">
        <v>1258</v>
      </c>
      <c r="B333" s="153" t="s">
        <v>1263</v>
      </c>
      <c r="C333" s="153" t="s">
        <v>1007</v>
      </c>
      <c r="D333" s="587">
        <v>1490008</v>
      </c>
      <c r="E333" s="153" t="s">
        <v>3274</v>
      </c>
      <c r="F333" s="1333">
        <v>-2997174</v>
      </c>
      <c r="G333" s="1333">
        <v>-799672.99</v>
      </c>
      <c r="H333" s="1333">
        <f>VLOOKUP(D333,'מאזן בוחן'!$C:$M,11,0)-G333</f>
        <v>0</v>
      </c>
      <c r="I333" s="1333">
        <f>VLOOKUP(D333,'מאזן בוחן'!C:J,3,0)-F333</f>
        <v>0</v>
      </c>
      <c r="K333" s="137"/>
      <c r="L333" s="137"/>
      <c r="N333" s="32"/>
      <c r="O333" s="32"/>
      <c r="P333" s="32"/>
      <c r="Q333" s="32"/>
    </row>
    <row r="334" spans="1:17">
      <c r="A334" s="153" t="s">
        <v>1258</v>
      </c>
      <c r="B334" s="153" t="s">
        <v>1263</v>
      </c>
      <c r="C334" s="153" t="s">
        <v>1007</v>
      </c>
      <c r="D334" s="587">
        <v>1490009</v>
      </c>
      <c r="E334" s="153" t="s">
        <v>3275</v>
      </c>
      <c r="F334" s="1333">
        <v>-5569</v>
      </c>
      <c r="G334" s="1333">
        <v>-1418</v>
      </c>
      <c r="H334" s="1333">
        <f>VLOOKUP(D334,'מאזן בוחן'!$C:$M,11,0)-G334</f>
        <v>0</v>
      </c>
      <c r="I334" s="1333">
        <f>VLOOKUP(D334,'מאזן בוחן'!C:J,3,0)-F334</f>
        <v>0</v>
      </c>
      <c r="K334" s="137"/>
      <c r="L334" s="137"/>
      <c r="N334" s="32"/>
      <c r="O334" s="32"/>
      <c r="P334" s="32"/>
      <c r="Q334" s="32"/>
    </row>
    <row r="335" spans="1:17">
      <c r="A335" s="153" t="s">
        <v>1258</v>
      </c>
      <c r="B335" s="153" t="s">
        <v>1264</v>
      </c>
      <c r="C335" s="153" t="s">
        <v>1013</v>
      </c>
      <c r="D335" s="587">
        <v>1510001</v>
      </c>
      <c r="E335" s="153" t="s">
        <v>1014</v>
      </c>
      <c r="F335" s="1333">
        <v>538695.43999999994</v>
      </c>
      <c r="G335" s="1333">
        <v>173213.97</v>
      </c>
      <c r="H335" s="1333">
        <f>VLOOKUP(D335,'מאזן בוחן'!$C:$M,11,0)-G335</f>
        <v>0</v>
      </c>
      <c r="I335" s="1333">
        <f>VLOOKUP(D335,'מאזן בוחן'!C:J,3,0)-F335</f>
        <v>0</v>
      </c>
      <c r="K335" s="137"/>
      <c r="L335" s="137"/>
      <c r="N335" s="32"/>
      <c r="O335" s="32"/>
      <c r="P335" s="32"/>
      <c r="Q335" s="32"/>
    </row>
    <row r="336" spans="1:17">
      <c r="A336" s="153" t="s">
        <v>1258</v>
      </c>
      <c r="B336" s="153" t="s">
        <v>1264</v>
      </c>
      <c r="C336" s="153" t="s">
        <v>1013</v>
      </c>
      <c r="D336" s="587">
        <v>1510003</v>
      </c>
      <c r="E336" s="153" t="s">
        <v>344</v>
      </c>
      <c r="F336" s="1333">
        <v>5000</v>
      </c>
      <c r="G336" s="1333">
        <v>1440.51</v>
      </c>
      <c r="H336" s="1333">
        <f>VLOOKUP(D336,'מאזן בוחן'!$C:$M,11,0)-G336</f>
        <v>0</v>
      </c>
      <c r="I336" s="1333">
        <f>VLOOKUP(D336,'מאזן בוחן'!C:J,3,0)-F336</f>
        <v>0</v>
      </c>
      <c r="K336" s="137"/>
      <c r="L336" s="137"/>
      <c r="N336" s="32"/>
      <c r="O336" s="32"/>
      <c r="P336" s="32"/>
      <c r="Q336" s="32"/>
    </row>
    <row r="337" spans="1:17">
      <c r="A337" s="153" t="s">
        <v>1258</v>
      </c>
      <c r="B337" s="153" t="s">
        <v>1264</v>
      </c>
      <c r="C337" s="153" t="s">
        <v>1013</v>
      </c>
      <c r="D337" s="587">
        <v>1510004</v>
      </c>
      <c r="E337" s="153" t="s">
        <v>313</v>
      </c>
      <c r="F337" s="1333">
        <v>234413</v>
      </c>
      <c r="G337" s="1333">
        <v>75373.95</v>
      </c>
      <c r="H337" s="1333">
        <f>VLOOKUP(D337,'מאזן בוחן'!$C:$M,11,0)-G337</f>
        <v>0</v>
      </c>
      <c r="I337" s="1333">
        <f>VLOOKUP(D337,'מאזן בוחן'!C:J,3,0)-F337</f>
        <v>0</v>
      </c>
      <c r="K337" s="137"/>
      <c r="L337" s="137"/>
      <c r="N337" s="32"/>
      <c r="O337" s="32"/>
      <c r="P337" s="32"/>
      <c r="Q337" s="32"/>
    </row>
    <row r="338" spans="1:17">
      <c r="A338" s="153" t="s">
        <v>1258</v>
      </c>
      <c r="B338" s="153" t="s">
        <v>1264</v>
      </c>
      <c r="C338" s="153" t="s">
        <v>1013</v>
      </c>
      <c r="D338" s="587">
        <v>1510005</v>
      </c>
      <c r="E338" s="153" t="s">
        <v>314</v>
      </c>
      <c r="F338" s="1333">
        <v>-234413</v>
      </c>
      <c r="G338" s="1333">
        <v>-75373.95</v>
      </c>
      <c r="H338" s="1333">
        <f>VLOOKUP(D338,'מאזן בוחן'!$C:$M,11,0)-G338</f>
        <v>0</v>
      </c>
      <c r="I338" s="1333">
        <f>VLOOKUP(D338,'מאזן בוחן'!C:J,3,0)-F338</f>
        <v>0</v>
      </c>
      <c r="K338" s="137"/>
      <c r="L338" s="137"/>
      <c r="N338" s="32"/>
      <c r="O338" s="32"/>
      <c r="P338" s="32"/>
      <c r="Q338" s="32"/>
    </row>
    <row r="339" spans="1:17">
      <c r="A339" s="153" t="s">
        <v>1258</v>
      </c>
      <c r="B339" s="153" t="s">
        <v>1265</v>
      </c>
      <c r="C339" s="153" t="s">
        <v>1016</v>
      </c>
      <c r="D339" s="587">
        <v>1610005</v>
      </c>
      <c r="E339" s="153" t="s">
        <v>1940</v>
      </c>
      <c r="F339" s="1333">
        <v>1091708.8400000001</v>
      </c>
      <c r="G339" s="1333">
        <v>308476.88</v>
      </c>
      <c r="H339" s="1333">
        <f>VLOOKUP(D339,'מאזן בוחן'!$C:$M,11,0)-G339</f>
        <v>0</v>
      </c>
      <c r="I339" s="1333">
        <f>VLOOKUP(D339,'מאזן בוחן'!C:J,3,0)-F339</f>
        <v>0</v>
      </c>
      <c r="K339" s="137"/>
      <c r="L339" s="137"/>
      <c r="N339" s="32"/>
      <c r="O339" s="32"/>
      <c r="P339" s="32"/>
      <c r="Q339" s="32"/>
    </row>
    <row r="340" spans="1:17">
      <c r="A340" s="153" t="s">
        <v>1258</v>
      </c>
      <c r="B340" s="153" t="s">
        <v>1265</v>
      </c>
      <c r="C340" s="153" t="s">
        <v>1016</v>
      </c>
      <c r="D340" s="587">
        <v>2600003</v>
      </c>
      <c r="E340" s="153" t="s">
        <v>4946</v>
      </c>
      <c r="F340" s="1333">
        <v>25997.919999999998</v>
      </c>
      <c r="G340" s="1333">
        <v>7435.79</v>
      </c>
      <c r="H340" s="1333">
        <f>VLOOKUP(D340,'מאזן בוחן'!$C:$M,11,0)-G340</f>
        <v>0</v>
      </c>
      <c r="I340" s="1333">
        <f>VLOOKUP(D340,'מאזן בוחן'!C:J,3,0)-F340</f>
        <v>0</v>
      </c>
      <c r="K340" s="137"/>
      <c r="L340" s="137"/>
      <c r="N340" s="32"/>
      <c r="O340" s="32"/>
      <c r="P340" s="32"/>
      <c r="Q340" s="32"/>
    </row>
    <row r="341" spans="1:17">
      <c r="A341" s="153" t="s">
        <v>1266</v>
      </c>
      <c r="B341" s="153" t="s">
        <v>1267</v>
      </c>
      <c r="C341" s="153" t="s">
        <v>1019</v>
      </c>
      <c r="D341" s="587" t="s">
        <v>1868</v>
      </c>
      <c r="E341" s="153" t="s">
        <v>1869</v>
      </c>
      <c r="F341" s="1333">
        <v>11325681</v>
      </c>
      <c r="G341" s="1333">
        <v>3596654</v>
      </c>
      <c r="H341" s="1333">
        <f>VLOOKUP(D341,'מאזן בוחן'!$C:$M,11,0)-G341</f>
        <v>0</v>
      </c>
      <c r="I341" s="1333">
        <f>VLOOKUP(D341,'מאזן בוחן'!C:J,3,0)-F341</f>
        <v>0</v>
      </c>
      <c r="K341" s="137"/>
      <c r="L341" s="137"/>
      <c r="N341" s="32"/>
      <c r="O341" s="32"/>
      <c r="P341" s="32"/>
      <c r="Q341" s="32"/>
    </row>
    <row r="342" spans="1:17">
      <c r="A342" s="153" t="s">
        <v>1266</v>
      </c>
      <c r="B342" s="153" t="s">
        <v>1267</v>
      </c>
      <c r="C342" s="153" t="s">
        <v>1019</v>
      </c>
      <c r="D342" s="587">
        <v>53501</v>
      </c>
      <c r="E342" s="153" t="s">
        <v>1020</v>
      </c>
      <c r="F342" s="1333">
        <v>-900865.9</v>
      </c>
      <c r="G342" s="1333">
        <v>-281791.51</v>
      </c>
      <c r="H342" s="1333">
        <f>VLOOKUP(D342,'מאזן בוחן'!$C:$M,11,0)-G342</f>
        <v>0</v>
      </c>
      <c r="I342" s="1333">
        <f>VLOOKUP(D342,'מאזן בוחן'!C:J,3,0)-F342</f>
        <v>0</v>
      </c>
      <c r="K342" s="137"/>
      <c r="L342" s="137"/>
      <c r="N342" s="32"/>
      <c r="O342" s="32"/>
      <c r="P342" s="32"/>
      <c r="Q342" s="32"/>
    </row>
    <row r="343" spans="1:17">
      <c r="A343" s="153" t="s">
        <v>1266</v>
      </c>
      <c r="B343" s="153" t="s">
        <v>1267</v>
      </c>
      <c r="C343" s="153" t="s">
        <v>1019</v>
      </c>
      <c r="D343" s="587">
        <v>53502</v>
      </c>
      <c r="E343" s="153" t="s">
        <v>1021</v>
      </c>
      <c r="F343" s="1333">
        <v>-16764894.039999999</v>
      </c>
      <c r="G343" s="1333">
        <v>-5029161.25</v>
      </c>
      <c r="H343" s="1333">
        <f>VLOOKUP(D343,'מאזן בוחן'!$C:$M,11,0)-G343</f>
        <v>0</v>
      </c>
      <c r="I343" s="1333">
        <f>VLOOKUP(D343,'מאזן בוחן'!C:J,3,0)-F343</f>
        <v>0</v>
      </c>
      <c r="K343" s="137"/>
      <c r="L343" s="137"/>
      <c r="N343" s="32"/>
      <c r="O343" s="32"/>
      <c r="P343" s="32"/>
      <c r="Q343" s="32"/>
    </row>
    <row r="344" spans="1:17">
      <c r="A344" s="153" t="s">
        <v>1266</v>
      </c>
      <c r="B344" s="153" t="s">
        <v>1267</v>
      </c>
      <c r="C344" s="153" t="s">
        <v>1019</v>
      </c>
      <c r="D344" s="587">
        <v>53513</v>
      </c>
      <c r="E344" s="153" t="s">
        <v>1344</v>
      </c>
      <c r="F344" s="1333">
        <v>-67014.48</v>
      </c>
      <c r="G344" s="1333">
        <v>-18549.37</v>
      </c>
      <c r="H344" s="1333">
        <f>VLOOKUP(D344,'מאזן בוחן'!$C:$M,11,0)-G344</f>
        <v>0</v>
      </c>
      <c r="I344" s="1333">
        <f>VLOOKUP(D344,'מאזן בוחן'!C:J,3,0)-F344</f>
        <v>0</v>
      </c>
      <c r="K344" s="137"/>
      <c r="L344" s="137"/>
      <c r="N344" s="32"/>
      <c r="O344" s="32"/>
      <c r="P344" s="32"/>
      <c r="Q344" s="32"/>
    </row>
    <row r="345" spans="1:17">
      <c r="A345" s="153" t="s">
        <v>1266</v>
      </c>
      <c r="B345" s="153" t="s">
        <v>1267</v>
      </c>
      <c r="C345" s="153" t="s">
        <v>1019</v>
      </c>
      <c r="D345" s="587">
        <v>53514</v>
      </c>
      <c r="E345" s="153" t="s">
        <v>1022</v>
      </c>
      <c r="F345" s="1333">
        <v>-379767.84</v>
      </c>
      <c r="G345" s="1333">
        <v>-113768.83</v>
      </c>
      <c r="H345" s="1333">
        <f>VLOOKUP(D345,'מאזן בוחן'!$C:$M,11,0)-G345</f>
        <v>0</v>
      </c>
      <c r="I345" s="1333">
        <f>VLOOKUP(D345,'מאזן בוחן'!C:J,3,0)-F345</f>
        <v>0</v>
      </c>
      <c r="K345" s="137"/>
      <c r="L345" s="137"/>
      <c r="N345" s="32"/>
      <c r="O345" s="32"/>
      <c r="P345" s="32"/>
      <c r="Q345" s="32"/>
    </row>
    <row r="346" spans="1:17">
      <c r="A346" s="153" t="s">
        <v>1266</v>
      </c>
      <c r="B346" s="153" t="s">
        <v>1267</v>
      </c>
      <c r="C346" s="153" t="s">
        <v>1019</v>
      </c>
      <c r="D346" s="587">
        <v>53515</v>
      </c>
      <c r="E346" s="153" t="s">
        <v>1590</v>
      </c>
      <c r="F346" s="1333">
        <v>-400391.45</v>
      </c>
      <c r="G346" s="1333">
        <v>-121490.82</v>
      </c>
      <c r="H346" s="1333">
        <f>VLOOKUP(D346,'מאזן בוחן'!$C:$M,11,0)-G346</f>
        <v>0</v>
      </c>
      <c r="I346" s="1333">
        <f>VLOOKUP(D346,'מאזן בוחן'!C:J,3,0)-F346</f>
        <v>0</v>
      </c>
      <c r="K346" s="137"/>
      <c r="L346" s="137"/>
      <c r="N346" s="32"/>
      <c r="O346" s="32"/>
      <c r="P346" s="32"/>
      <c r="Q346" s="32"/>
    </row>
    <row r="347" spans="1:17">
      <c r="A347" s="153" t="s">
        <v>1266</v>
      </c>
      <c r="B347" s="153" t="s">
        <v>1267</v>
      </c>
      <c r="C347" s="153" t="s">
        <v>1019</v>
      </c>
      <c r="D347" s="587">
        <v>53550</v>
      </c>
      <c r="E347" s="153" t="s">
        <v>351</v>
      </c>
      <c r="F347" s="1333">
        <v>-856154.48</v>
      </c>
      <c r="G347" s="1333">
        <v>-230203.49</v>
      </c>
      <c r="H347" s="1333">
        <f>VLOOKUP(D347,'מאזן בוחן'!$C:$M,11,0)-G347</f>
        <v>0</v>
      </c>
      <c r="I347" s="1333">
        <f>VLOOKUP(D347,'מאזן בוחן'!C:J,3,0)-F347</f>
        <v>0</v>
      </c>
      <c r="K347" s="137"/>
      <c r="L347" s="137"/>
      <c r="N347" s="32"/>
      <c r="O347" s="32"/>
      <c r="P347" s="32"/>
      <c r="Q347" s="32"/>
    </row>
    <row r="348" spans="1:17">
      <c r="A348" s="153" t="s">
        <v>1266</v>
      </c>
      <c r="B348" s="153" t="s">
        <v>1267</v>
      </c>
      <c r="C348" s="153" t="s">
        <v>1019</v>
      </c>
      <c r="D348" s="587">
        <v>53580</v>
      </c>
      <c r="E348" s="153" t="s">
        <v>1661</v>
      </c>
      <c r="F348" s="1333">
        <v>-41509.440000000002</v>
      </c>
      <c r="G348" s="1333">
        <v>-12975.11</v>
      </c>
      <c r="H348" s="1333">
        <f>VLOOKUP(D348,'מאזן בוחן'!$C:$M,11,0)-G348</f>
        <v>0</v>
      </c>
      <c r="I348" s="1333">
        <f>VLOOKUP(D348,'מאזן בוחן'!C:J,3,0)-F348</f>
        <v>0</v>
      </c>
      <c r="K348" s="137"/>
      <c r="L348" s="137"/>
      <c r="N348" s="32"/>
      <c r="O348" s="32"/>
      <c r="P348" s="32"/>
      <c r="Q348" s="32"/>
    </row>
    <row r="349" spans="1:17">
      <c r="A349" s="153" t="s">
        <v>1266</v>
      </c>
      <c r="B349" s="153" t="s">
        <v>1267</v>
      </c>
      <c r="C349" s="153" t="s">
        <v>1019</v>
      </c>
      <c r="D349" s="587">
        <v>53581</v>
      </c>
      <c r="E349" s="153" t="s">
        <v>1662</v>
      </c>
      <c r="F349" s="1333">
        <v>-5456294.1299999999</v>
      </c>
      <c r="G349" s="1333">
        <v>-1636591.72</v>
      </c>
      <c r="H349" s="1333">
        <f>VLOOKUP(D349,'מאזן בוחן'!$C:$M,11,0)-G349</f>
        <v>0</v>
      </c>
      <c r="I349" s="1333">
        <f>VLOOKUP(D349,'מאזן בוחן'!C:J,3,0)-F349</f>
        <v>0</v>
      </c>
      <c r="K349" s="137"/>
      <c r="L349" s="137"/>
      <c r="N349" s="32"/>
      <c r="O349" s="32"/>
      <c r="P349" s="32"/>
      <c r="Q349" s="32"/>
    </row>
    <row r="350" spans="1:17">
      <c r="A350" s="153" t="s">
        <v>1266</v>
      </c>
      <c r="B350" s="153" t="s">
        <v>1267</v>
      </c>
      <c r="C350" s="153" t="s">
        <v>1019</v>
      </c>
      <c r="D350" s="587">
        <v>53588</v>
      </c>
      <c r="E350" s="153" t="s">
        <v>4947</v>
      </c>
      <c r="F350" s="1333">
        <v>-35665054.710000001</v>
      </c>
      <c r="G350" s="1333">
        <v>-11467863.26</v>
      </c>
      <c r="H350" s="1333">
        <f>VLOOKUP(D350,'מאזן בוחן'!$C:$M,11,0)-G350</f>
        <v>0</v>
      </c>
      <c r="I350" s="1333">
        <f>VLOOKUP(D350,'מאזן בוחן'!C:J,3,0)-F350</f>
        <v>0</v>
      </c>
      <c r="K350" s="137"/>
      <c r="L350" s="137"/>
      <c r="N350" s="32"/>
      <c r="O350" s="32"/>
      <c r="P350" s="32"/>
      <c r="Q350" s="32"/>
    </row>
    <row r="351" spans="1:17">
      <c r="A351" s="153" t="s">
        <v>1266</v>
      </c>
      <c r="B351" s="153" t="s">
        <v>1267</v>
      </c>
      <c r="C351" s="153" t="s">
        <v>1019</v>
      </c>
      <c r="D351" s="587">
        <v>53599</v>
      </c>
      <c r="E351" s="153" t="s">
        <v>1952</v>
      </c>
      <c r="F351" s="1333">
        <v>-1292732.26</v>
      </c>
      <c r="G351" s="1333">
        <v>-390041.9</v>
      </c>
      <c r="H351" s="1333">
        <f>VLOOKUP(D351,'מאזן בוחן'!$C:$M,11,0)-G351</f>
        <v>0</v>
      </c>
      <c r="I351" s="1333">
        <f>VLOOKUP(D351,'מאזן בוחן'!C:J,3,0)-F351</f>
        <v>0</v>
      </c>
      <c r="K351" s="137"/>
      <c r="L351" s="137"/>
      <c r="N351" s="32"/>
      <c r="O351" s="32"/>
      <c r="P351" s="32"/>
      <c r="Q351" s="32"/>
    </row>
    <row r="352" spans="1:17">
      <c r="A352" s="153" t="s">
        <v>1266</v>
      </c>
      <c r="B352" s="153" t="s">
        <v>1267</v>
      </c>
      <c r="C352" s="153" t="s">
        <v>1019</v>
      </c>
      <c r="D352" s="587">
        <v>53600</v>
      </c>
      <c r="E352" s="153" t="s">
        <v>498</v>
      </c>
      <c r="F352" s="1333">
        <v>-10470146</v>
      </c>
      <c r="G352" s="1333">
        <v>-3366606</v>
      </c>
      <c r="H352" s="1333">
        <f>VLOOKUP(D352,'מאזן בוחן'!$C:$M,11,0)-G352</f>
        <v>0</v>
      </c>
      <c r="I352" s="1333">
        <f>VLOOKUP(D352,'מאזן בוחן'!C:J,3,0)-F352</f>
        <v>0</v>
      </c>
      <c r="K352" s="137"/>
      <c r="L352" s="137"/>
      <c r="N352" s="32"/>
      <c r="O352" s="32"/>
      <c r="P352" s="32"/>
      <c r="Q352" s="32"/>
    </row>
    <row r="353" spans="1:17">
      <c r="A353" s="153" t="s">
        <v>1266</v>
      </c>
      <c r="B353" s="153" t="s">
        <v>1267</v>
      </c>
      <c r="C353" s="153" t="s">
        <v>1019</v>
      </c>
      <c r="D353" s="587">
        <v>53699</v>
      </c>
      <c r="E353" s="153" t="s">
        <v>4948</v>
      </c>
      <c r="F353" s="1333">
        <v>-21497740.960000001</v>
      </c>
      <c r="G353" s="1333">
        <v>-6912456.9000000004</v>
      </c>
      <c r="H353" s="1333">
        <f>VLOOKUP(D353,'מאזן בוחן'!$C:$M,11,0)-G353</f>
        <v>0</v>
      </c>
      <c r="I353" s="1333">
        <f>VLOOKUP(D353,'מאזן בוחן'!C:J,3,0)-F353</f>
        <v>0</v>
      </c>
      <c r="K353" s="137"/>
      <c r="L353" s="137"/>
      <c r="N353" s="32"/>
      <c r="O353" s="32"/>
      <c r="P353" s="32"/>
      <c r="Q353" s="32"/>
    </row>
    <row r="354" spans="1:17">
      <c r="A354" s="153" t="s">
        <v>1266</v>
      </c>
      <c r="B354" s="153" t="s">
        <v>1268</v>
      </c>
      <c r="C354" s="153" t="s">
        <v>1025</v>
      </c>
      <c r="D354" s="587">
        <v>2100003</v>
      </c>
      <c r="E354" s="153" t="s">
        <v>1785</v>
      </c>
      <c r="F354" s="1333">
        <v>-21991.02</v>
      </c>
      <c r="G354" s="1333">
        <v>-7071.07</v>
      </c>
      <c r="H354" s="1333">
        <f>VLOOKUP(D354,'מאזן בוחן'!$C:$M,11,0)-G354</f>
        <v>0</v>
      </c>
      <c r="I354" s="1333">
        <f>VLOOKUP(D354,'מאזן בוחן'!C:J,3,0)-F354</f>
        <v>0</v>
      </c>
      <c r="K354" s="137"/>
      <c r="L354" s="137"/>
      <c r="N354" s="32"/>
      <c r="O354" s="32"/>
      <c r="P354" s="32"/>
      <c r="Q354" s="32"/>
    </row>
    <row r="355" spans="1:17">
      <c r="A355" s="153" t="s">
        <v>1266</v>
      </c>
      <c r="B355" s="153" t="s">
        <v>1268</v>
      </c>
      <c r="C355" s="153" t="s">
        <v>1025</v>
      </c>
      <c r="D355" s="587">
        <v>2100007</v>
      </c>
      <c r="E355" s="153" t="s">
        <v>1026</v>
      </c>
      <c r="F355" s="1333">
        <v>-1813.22</v>
      </c>
      <c r="G355" s="1333">
        <v>-583.03</v>
      </c>
      <c r="H355" s="1333">
        <f>VLOOKUP(D355,'מאזן בוחן'!$C:$M,11,0)-G355</f>
        <v>0</v>
      </c>
      <c r="I355" s="1333">
        <f>VLOOKUP(D355,'מאזן בוחן'!C:J,3,0)-F355</f>
        <v>0</v>
      </c>
      <c r="K355" s="137"/>
      <c r="L355" s="137"/>
      <c r="N355" s="32"/>
      <c r="O355" s="32"/>
      <c r="P355" s="32"/>
      <c r="Q355" s="32"/>
    </row>
    <row r="356" spans="1:17">
      <c r="A356" s="153" t="s">
        <v>1266</v>
      </c>
      <c r="B356" s="153" t="s">
        <v>1268</v>
      </c>
      <c r="C356" s="153" t="s">
        <v>1025</v>
      </c>
      <c r="D356" s="587">
        <v>2100008</v>
      </c>
      <c r="E356" s="153" t="s">
        <v>1027</v>
      </c>
      <c r="F356" s="1333">
        <v>-7.75</v>
      </c>
      <c r="G356" s="1333">
        <v>-2.4900000000000002</v>
      </c>
      <c r="H356" s="1333">
        <f>VLOOKUP(D356,'מאזן בוחן'!$C:$M,11,0)-G356</f>
        <v>0</v>
      </c>
      <c r="I356" s="1333">
        <f>VLOOKUP(D356,'מאזן בוחן'!C:J,3,0)-F356</f>
        <v>0</v>
      </c>
      <c r="K356" s="137"/>
      <c r="L356" s="137"/>
      <c r="N356" s="32"/>
      <c r="O356" s="32"/>
      <c r="P356" s="32"/>
      <c r="Q356" s="32"/>
    </row>
    <row r="357" spans="1:17">
      <c r="A357" s="153" t="s">
        <v>1266</v>
      </c>
      <c r="B357" s="153" t="s">
        <v>1268</v>
      </c>
      <c r="C357" s="153" t="s">
        <v>1025</v>
      </c>
      <c r="D357" s="587">
        <v>2100022</v>
      </c>
      <c r="E357" s="153" t="s">
        <v>2054</v>
      </c>
      <c r="F357" s="1333">
        <v>-1426</v>
      </c>
      <c r="G357" s="1333">
        <v>-458.52</v>
      </c>
      <c r="H357" s="1333">
        <f>VLOOKUP(D357,'מאזן בוחן'!$C:$M,11,0)-G357</f>
        <v>0</v>
      </c>
      <c r="I357" s="1333">
        <f>VLOOKUP(D357,'מאזן בוחן'!C:J,3,0)-F357</f>
        <v>0</v>
      </c>
      <c r="K357" s="137"/>
      <c r="L357" s="137"/>
      <c r="N357" s="32"/>
      <c r="O357" s="32"/>
      <c r="P357" s="32"/>
      <c r="Q357" s="32"/>
    </row>
    <row r="358" spans="1:17">
      <c r="A358" s="153" t="s">
        <v>1266</v>
      </c>
      <c r="B358" s="153" t="s">
        <v>1268</v>
      </c>
      <c r="C358" s="153" t="s">
        <v>1025</v>
      </c>
      <c r="D358" s="587">
        <v>2100087</v>
      </c>
      <c r="E358" s="153" t="s">
        <v>309</v>
      </c>
      <c r="F358" s="1333">
        <v>-31635</v>
      </c>
      <c r="G358" s="1333">
        <v>-10172.030000000001</v>
      </c>
      <c r="H358" s="1333">
        <f>VLOOKUP(D358,'מאזן בוחן'!$C:$M,11,0)-G358</f>
        <v>0</v>
      </c>
      <c r="I358" s="1333">
        <f>VLOOKUP(D358,'מאזן בוחן'!C:J,3,0)-F358</f>
        <v>0</v>
      </c>
      <c r="K358" s="137"/>
      <c r="L358" s="137"/>
      <c r="N358" s="32"/>
      <c r="O358" s="32"/>
      <c r="P358" s="32"/>
      <c r="Q358" s="32"/>
    </row>
    <row r="359" spans="1:17">
      <c r="A359" s="153" t="s">
        <v>1266</v>
      </c>
      <c r="B359" s="153" t="s">
        <v>1268</v>
      </c>
      <c r="C359" s="153" t="s">
        <v>1025</v>
      </c>
      <c r="D359" s="587">
        <v>2100088</v>
      </c>
      <c r="E359" s="153" t="s">
        <v>3614</v>
      </c>
      <c r="F359" s="1333">
        <v>300</v>
      </c>
      <c r="G359" s="1333">
        <v>96.46</v>
      </c>
      <c r="H359" s="1333">
        <f>VLOOKUP(D359,'מאזן בוחן'!$C:$M,11,0)-G359</f>
        <v>0</v>
      </c>
      <c r="I359" s="1333">
        <f>VLOOKUP(D359,'מאזן בוחן'!C:J,3,0)-F359</f>
        <v>0</v>
      </c>
      <c r="K359" s="137"/>
      <c r="L359" s="137"/>
      <c r="N359" s="32"/>
      <c r="O359" s="32"/>
      <c r="P359" s="32"/>
      <c r="Q359" s="32"/>
    </row>
    <row r="360" spans="1:17">
      <c r="A360" s="153" t="s">
        <v>1266</v>
      </c>
      <c r="B360" s="153" t="s">
        <v>1268</v>
      </c>
      <c r="C360" s="153" t="s">
        <v>1025</v>
      </c>
      <c r="D360" s="587">
        <v>2100091</v>
      </c>
      <c r="E360" s="153" t="s">
        <v>3570</v>
      </c>
      <c r="F360" s="1333">
        <v>-228296</v>
      </c>
      <c r="G360" s="1333">
        <v>-73407.070000000007</v>
      </c>
      <c r="H360" s="1333">
        <f>VLOOKUP(D360,'מאזן בוחן'!$C:$M,11,0)-G360</f>
        <v>0</v>
      </c>
      <c r="I360" s="1333">
        <f>VLOOKUP(D360,'מאזן בוחן'!C:J,3,0)-F360</f>
        <v>0</v>
      </c>
      <c r="K360" s="137"/>
      <c r="L360" s="137"/>
      <c r="N360" s="32"/>
      <c r="O360" s="32"/>
      <c r="P360" s="32"/>
      <c r="Q360" s="32"/>
    </row>
    <row r="361" spans="1:17">
      <c r="A361" s="153" t="s">
        <v>1266</v>
      </c>
      <c r="B361" s="153" t="s">
        <v>1268</v>
      </c>
      <c r="C361" s="153" t="s">
        <v>1025</v>
      </c>
      <c r="D361" s="587">
        <v>2100093</v>
      </c>
      <c r="E361" s="153" t="s">
        <v>3438</v>
      </c>
      <c r="F361" s="1333">
        <v>-1345</v>
      </c>
      <c r="G361" s="1333">
        <v>-432.48</v>
      </c>
      <c r="H361" s="1333">
        <f>VLOOKUP(D361,'מאזן בוחן'!$C:$M,11,0)-G361</f>
        <v>0</v>
      </c>
      <c r="I361" s="1333">
        <f>VLOOKUP(D361,'מאזן בוחן'!C:J,3,0)-F361</f>
        <v>0</v>
      </c>
      <c r="K361" s="137"/>
      <c r="L361" s="137"/>
      <c r="N361" s="32"/>
      <c r="O361" s="32"/>
      <c r="P361" s="32"/>
      <c r="Q361" s="32"/>
    </row>
    <row r="362" spans="1:17">
      <c r="A362" s="153" t="s">
        <v>1266</v>
      </c>
      <c r="B362" s="153" t="s">
        <v>1268</v>
      </c>
      <c r="C362" s="153" t="s">
        <v>1025</v>
      </c>
      <c r="D362" s="587">
        <v>2100142</v>
      </c>
      <c r="E362" s="153" t="s">
        <v>1945</v>
      </c>
      <c r="F362" s="1333">
        <v>-111490.52</v>
      </c>
      <c r="G362" s="1333">
        <v>-35849.040000000001</v>
      </c>
      <c r="H362" s="1333">
        <f>VLOOKUP(D362,'מאזן בוחן'!$C:$M,11,0)-G362</f>
        <v>0</v>
      </c>
      <c r="I362" s="1333">
        <f>VLOOKUP(D362,'מאזן בוחן'!C:J,3,0)-F362</f>
        <v>0</v>
      </c>
      <c r="K362" s="137"/>
      <c r="L362" s="137"/>
      <c r="N362" s="32"/>
      <c r="O362" s="32"/>
      <c r="P362" s="32"/>
      <c r="Q362" s="32"/>
    </row>
    <row r="363" spans="1:17">
      <c r="A363" s="153" t="s">
        <v>1266</v>
      </c>
      <c r="B363" s="153" t="s">
        <v>1268</v>
      </c>
      <c r="C363" s="153" t="s">
        <v>1025</v>
      </c>
      <c r="D363" s="587">
        <v>2100163</v>
      </c>
      <c r="E363" s="153" t="s">
        <v>307</v>
      </c>
      <c r="F363" s="1333">
        <v>-342559</v>
      </c>
      <c r="G363" s="1333">
        <v>-110147.59</v>
      </c>
      <c r="H363" s="1333">
        <f>VLOOKUP(D363,'מאזן בוחן'!$C:$M,11,0)-G363</f>
        <v>0</v>
      </c>
      <c r="I363" s="1333">
        <f>VLOOKUP(D363,'מאזן בוחן'!C:J,3,0)-F363</f>
        <v>0</v>
      </c>
      <c r="K363" s="137"/>
      <c r="L363" s="137"/>
      <c r="N363" s="32"/>
      <c r="O363" s="32"/>
      <c r="P363" s="32"/>
      <c r="Q363" s="32"/>
    </row>
    <row r="364" spans="1:17">
      <c r="A364" s="153" t="s">
        <v>1266</v>
      </c>
      <c r="B364" s="153" t="s">
        <v>1268</v>
      </c>
      <c r="C364" s="153" t="s">
        <v>1025</v>
      </c>
      <c r="D364" s="587">
        <v>2100187</v>
      </c>
      <c r="E364" s="153" t="s">
        <v>1269</v>
      </c>
      <c r="F364" s="1333">
        <v>-1744.47</v>
      </c>
      <c r="G364" s="1333">
        <v>-560.91999999999996</v>
      </c>
      <c r="H364" s="1333">
        <f>VLOOKUP(D364,'מאזן בוחן'!$C:$M,11,0)-G364</f>
        <v>0</v>
      </c>
      <c r="I364" s="1333">
        <f>VLOOKUP(D364,'מאזן בוחן'!C:J,3,0)-F364</f>
        <v>0</v>
      </c>
      <c r="K364" s="137"/>
      <c r="L364" s="137"/>
      <c r="N364" s="32"/>
      <c r="O364" s="32"/>
      <c r="P364" s="32"/>
      <c r="Q364" s="32"/>
    </row>
    <row r="365" spans="1:17">
      <c r="A365" s="153" t="s">
        <v>1266</v>
      </c>
      <c r="B365" s="153" t="s">
        <v>1268</v>
      </c>
      <c r="C365" s="153" t="s">
        <v>1025</v>
      </c>
      <c r="D365" s="587">
        <v>2100212</v>
      </c>
      <c r="E365" s="153" t="s">
        <v>308</v>
      </c>
      <c r="F365" s="1333">
        <v>-23870.49</v>
      </c>
      <c r="G365" s="1333">
        <v>-7675.4</v>
      </c>
      <c r="H365" s="1333">
        <f>VLOOKUP(D365,'מאזן בוחן'!$C:$M,11,0)-G365</f>
        <v>0</v>
      </c>
      <c r="I365" s="1333">
        <f>VLOOKUP(D365,'מאזן בוחן'!C:J,3,0)-F365</f>
        <v>0</v>
      </c>
      <c r="K365" s="137"/>
      <c r="L365" s="137"/>
      <c r="N365" s="32"/>
      <c r="O365" s="32"/>
      <c r="P365" s="32"/>
      <c r="Q365" s="32"/>
    </row>
    <row r="366" spans="1:17">
      <c r="A366" s="153" t="s">
        <v>1266</v>
      </c>
      <c r="B366" s="153" t="s">
        <v>1268</v>
      </c>
      <c r="C366" s="153" t="s">
        <v>1025</v>
      </c>
      <c r="D366" s="587">
        <v>2100213</v>
      </c>
      <c r="E366" s="153" t="s">
        <v>3969</v>
      </c>
      <c r="F366" s="1333">
        <v>-37440</v>
      </c>
      <c r="G366" s="1333">
        <v>-12038.59</v>
      </c>
      <c r="H366" s="1333">
        <f>VLOOKUP(D366,'מאזן בוחן'!$C:$M,11,0)-G366</f>
        <v>0</v>
      </c>
      <c r="I366" s="1333">
        <f>VLOOKUP(D366,'מאזן בוחן'!C:J,3,0)-F366</f>
        <v>0</v>
      </c>
      <c r="K366" s="137"/>
      <c r="L366" s="137"/>
      <c r="N366" s="32"/>
      <c r="O366" s="32"/>
      <c r="P366" s="32"/>
      <c r="Q366" s="32"/>
    </row>
    <row r="367" spans="1:17">
      <c r="A367" s="153" t="s">
        <v>1266</v>
      </c>
      <c r="B367" s="153" t="s">
        <v>1268</v>
      </c>
      <c r="C367" s="153" t="s">
        <v>1025</v>
      </c>
      <c r="D367" s="587">
        <v>2100238</v>
      </c>
      <c r="E367" s="153" t="s">
        <v>1028</v>
      </c>
      <c r="F367" s="1333">
        <v>-1241</v>
      </c>
      <c r="G367" s="1333">
        <v>-399.04</v>
      </c>
      <c r="H367" s="1333">
        <f>VLOOKUP(D367,'מאזן בוחן'!$C:$M,11,0)-G367</f>
        <v>0</v>
      </c>
      <c r="I367" s="1333">
        <f>VLOOKUP(D367,'מאזן בוחן'!C:J,3,0)-F367</f>
        <v>0</v>
      </c>
      <c r="K367" s="137"/>
      <c r="L367" s="137"/>
      <c r="N367" s="32"/>
      <c r="O367" s="32"/>
      <c r="P367" s="32"/>
      <c r="Q367" s="32"/>
    </row>
    <row r="368" spans="1:17">
      <c r="A368" s="153" t="s">
        <v>1266</v>
      </c>
      <c r="B368" s="153" t="s">
        <v>1268</v>
      </c>
      <c r="C368" s="153" t="s">
        <v>1025</v>
      </c>
      <c r="D368" s="587">
        <v>2100240</v>
      </c>
      <c r="E368" s="153" t="s">
        <v>316</v>
      </c>
      <c r="F368" s="1333">
        <v>-94372.160000000003</v>
      </c>
      <c r="G368" s="1333">
        <v>-30344.75</v>
      </c>
      <c r="H368" s="1333">
        <f>VLOOKUP(D368,'מאזן בוחן'!$C:$M,11,0)-G368</f>
        <v>0</v>
      </c>
      <c r="I368" s="1333">
        <f>VLOOKUP(D368,'מאזן בוחן'!C:J,3,0)-F368</f>
        <v>0</v>
      </c>
      <c r="K368" s="137"/>
      <c r="L368" s="137"/>
      <c r="N368" s="32"/>
      <c r="O368" s="32"/>
      <c r="P368" s="32"/>
      <c r="Q368" s="32"/>
    </row>
    <row r="369" spans="1:17">
      <c r="A369" s="153" t="s">
        <v>1266</v>
      </c>
      <c r="B369" s="153" t="s">
        <v>1268</v>
      </c>
      <c r="C369" s="153" t="s">
        <v>1025</v>
      </c>
      <c r="D369" s="587">
        <v>2100255</v>
      </c>
      <c r="E369" s="153" t="s">
        <v>1718</v>
      </c>
      <c r="F369" s="1333">
        <v>-211</v>
      </c>
      <c r="G369" s="1333">
        <v>-67.849999999999994</v>
      </c>
      <c r="H369" s="1333">
        <f>VLOOKUP(D369,'מאזן בוחן'!$C:$M,11,0)-G369</f>
        <v>0</v>
      </c>
      <c r="I369" s="1333">
        <f>VLOOKUP(D369,'מאזן בוחן'!C:J,3,0)-F369</f>
        <v>0</v>
      </c>
      <c r="K369" s="137"/>
      <c r="L369" s="137"/>
      <c r="N369" s="32"/>
      <c r="O369" s="32"/>
      <c r="P369" s="32"/>
      <c r="Q369" s="32"/>
    </row>
    <row r="370" spans="1:17">
      <c r="A370" s="153" t="s">
        <v>1266</v>
      </c>
      <c r="B370" s="153" t="s">
        <v>1268</v>
      </c>
      <c r="C370" s="153" t="s">
        <v>1025</v>
      </c>
      <c r="D370" s="587">
        <v>2100292</v>
      </c>
      <c r="E370" s="153" t="s">
        <v>3363</v>
      </c>
      <c r="F370" s="1333">
        <v>-39780</v>
      </c>
      <c r="G370" s="1333">
        <v>-12791</v>
      </c>
      <c r="H370" s="1333">
        <f>VLOOKUP(D370,'מאזן בוחן'!$C:$M,11,0)-G370</f>
        <v>0</v>
      </c>
      <c r="I370" s="1333">
        <f>VLOOKUP(D370,'מאזן בוחן'!C:J,3,0)-F370</f>
        <v>0</v>
      </c>
      <c r="K370" s="137"/>
      <c r="L370" s="137"/>
      <c r="N370" s="32"/>
      <c r="O370" s="32"/>
      <c r="P370" s="32"/>
      <c r="Q370" s="32"/>
    </row>
    <row r="371" spans="1:17">
      <c r="A371" s="153" t="s">
        <v>1266</v>
      </c>
      <c r="B371" s="153" t="s">
        <v>1268</v>
      </c>
      <c r="C371" s="153" t="s">
        <v>1025</v>
      </c>
      <c r="D371" s="587">
        <v>2100298</v>
      </c>
      <c r="E371" s="153" t="s">
        <v>2736</v>
      </c>
      <c r="F371" s="1333">
        <v>-28943</v>
      </c>
      <c r="G371" s="1333">
        <v>-9306.43</v>
      </c>
      <c r="H371" s="1333">
        <f>VLOOKUP(D371,'מאזן בוחן'!$C:$M,11,0)-G371</f>
        <v>0</v>
      </c>
      <c r="I371" s="1333">
        <f>VLOOKUP(D371,'מאזן בוחן'!C:J,3,0)-F371</f>
        <v>0</v>
      </c>
      <c r="K371" s="137"/>
      <c r="L371" s="137"/>
      <c r="N371" s="32"/>
      <c r="O371" s="32"/>
      <c r="P371" s="32"/>
      <c r="Q371" s="32"/>
    </row>
    <row r="372" spans="1:17">
      <c r="A372" s="153" t="s">
        <v>1266</v>
      </c>
      <c r="B372" s="153" t="s">
        <v>1268</v>
      </c>
      <c r="C372" s="153" t="s">
        <v>1025</v>
      </c>
      <c r="D372" s="587">
        <v>2100323</v>
      </c>
      <c r="E372" s="153" t="s">
        <v>4181</v>
      </c>
      <c r="F372" s="1333">
        <v>-249176.58</v>
      </c>
      <c r="G372" s="1333">
        <v>-80121.09</v>
      </c>
      <c r="H372" s="1333">
        <f>VLOOKUP(D372,'מאזן בוחן'!$C:$M,11,0)-G372</f>
        <v>0</v>
      </c>
      <c r="I372" s="1333">
        <f>VLOOKUP(D372,'מאזן בוחן'!C:J,3,0)-F372</f>
        <v>0</v>
      </c>
      <c r="K372" s="137"/>
      <c r="L372" s="137"/>
      <c r="N372" s="32"/>
      <c r="O372" s="32"/>
      <c r="P372" s="32"/>
      <c r="Q372" s="32"/>
    </row>
    <row r="373" spans="1:17">
      <c r="A373" s="153" t="s">
        <v>1266</v>
      </c>
      <c r="B373" s="153" t="s">
        <v>1268</v>
      </c>
      <c r="C373" s="153" t="s">
        <v>1025</v>
      </c>
      <c r="D373" s="587">
        <v>2100329</v>
      </c>
      <c r="E373" s="153" t="s">
        <v>4663</v>
      </c>
      <c r="F373" s="1333">
        <v>-13474.5</v>
      </c>
      <c r="G373" s="1333">
        <v>-4332.6400000000003</v>
      </c>
      <c r="H373" s="1333">
        <f>VLOOKUP(D373,'מאזן בוחן'!$C:$M,11,0)-G373</f>
        <v>0</v>
      </c>
      <c r="I373" s="1333">
        <f>VLOOKUP(D373,'מאזן בוחן'!C:J,3,0)-F373</f>
        <v>0</v>
      </c>
      <c r="K373" s="137"/>
      <c r="L373" s="137"/>
      <c r="N373" s="32"/>
      <c r="O373" s="32"/>
      <c r="P373" s="32"/>
      <c r="Q373" s="32"/>
    </row>
    <row r="374" spans="1:17">
      <c r="A374" s="153" t="s">
        <v>1266</v>
      </c>
      <c r="B374" s="153" t="s">
        <v>1268</v>
      </c>
      <c r="C374" s="153" t="s">
        <v>1025</v>
      </c>
      <c r="D374" s="587">
        <v>2100349</v>
      </c>
      <c r="E374" s="153" t="s">
        <v>3198</v>
      </c>
      <c r="F374" s="1333">
        <v>-122157</v>
      </c>
      <c r="G374" s="1333">
        <v>-39278.78</v>
      </c>
      <c r="H374" s="1333">
        <f>VLOOKUP(D374,'מאזן בוחן'!$C:$M,11,0)-G374</f>
        <v>0</v>
      </c>
      <c r="I374" s="1333">
        <f>VLOOKUP(D374,'מאזן בוחן'!C:J,3,0)-F374</f>
        <v>0</v>
      </c>
      <c r="K374" s="137"/>
      <c r="L374" s="137"/>
      <c r="N374" s="32"/>
      <c r="O374" s="32"/>
      <c r="P374" s="32"/>
      <c r="Q374" s="32"/>
    </row>
    <row r="375" spans="1:17">
      <c r="A375" s="153" t="s">
        <v>1266</v>
      </c>
      <c r="B375" s="153" t="s">
        <v>1268</v>
      </c>
      <c r="C375" s="153" t="s">
        <v>1025</v>
      </c>
      <c r="D375" s="587">
        <v>2100370</v>
      </c>
      <c r="E375" s="153" t="s">
        <v>2614</v>
      </c>
      <c r="F375" s="1333">
        <v>-11232</v>
      </c>
      <c r="G375" s="1333">
        <v>-3611.58</v>
      </c>
      <c r="H375" s="1333">
        <f>VLOOKUP(D375,'מאזן בוחן'!$C:$M,11,0)-G375</f>
        <v>0</v>
      </c>
      <c r="I375" s="1333">
        <f>VLOOKUP(D375,'מאזן בוחן'!C:J,3,0)-F375</f>
        <v>0</v>
      </c>
      <c r="K375" s="137"/>
      <c r="L375" s="137"/>
      <c r="N375" s="32"/>
      <c r="O375" s="32"/>
      <c r="P375" s="32"/>
      <c r="Q375" s="32"/>
    </row>
    <row r="376" spans="1:17">
      <c r="A376" s="153" t="s">
        <v>1266</v>
      </c>
      <c r="B376" s="153" t="s">
        <v>1268</v>
      </c>
      <c r="C376" s="153" t="s">
        <v>1025</v>
      </c>
      <c r="D376" s="587">
        <v>2100411</v>
      </c>
      <c r="E376" s="153" t="s">
        <v>3364</v>
      </c>
      <c r="F376" s="1333">
        <v>-1089.1400000000001</v>
      </c>
      <c r="G376" s="1333">
        <v>-350.21</v>
      </c>
      <c r="H376" s="1333">
        <f>VLOOKUP(D376,'מאזן בוחן'!$C:$M,11,0)-G376</f>
        <v>0</v>
      </c>
      <c r="I376" s="1333">
        <f>VLOOKUP(D376,'מאזן בוחן'!C:J,3,0)-F376</f>
        <v>0</v>
      </c>
      <c r="K376" s="137"/>
      <c r="L376" s="137"/>
      <c r="N376" s="32"/>
      <c r="O376" s="32"/>
      <c r="P376" s="32"/>
      <c r="Q376" s="32"/>
    </row>
    <row r="377" spans="1:17">
      <c r="A377" s="153" t="s">
        <v>1266</v>
      </c>
      <c r="B377" s="153" t="s">
        <v>1268</v>
      </c>
      <c r="C377" s="153" t="s">
        <v>1025</v>
      </c>
      <c r="D377" s="587">
        <v>2100414</v>
      </c>
      <c r="E377" s="153" t="s">
        <v>3365</v>
      </c>
      <c r="F377" s="1333">
        <v>-20417</v>
      </c>
      <c r="G377" s="1333">
        <v>-6564.95</v>
      </c>
      <c r="H377" s="1333">
        <f>VLOOKUP(D377,'מאזן בוחן'!$C:$M,11,0)-G377</f>
        <v>0</v>
      </c>
      <c r="I377" s="1333">
        <f>VLOOKUP(D377,'מאזן בוחן'!C:J,3,0)-F377</f>
        <v>0</v>
      </c>
      <c r="K377" s="137"/>
      <c r="L377" s="137"/>
      <c r="N377" s="32"/>
      <c r="O377" s="32"/>
      <c r="P377" s="32"/>
      <c r="Q377" s="32"/>
    </row>
    <row r="378" spans="1:17">
      <c r="A378" s="153" t="s">
        <v>1266</v>
      </c>
      <c r="B378" s="153" t="s">
        <v>1268</v>
      </c>
      <c r="C378" s="153" t="s">
        <v>1025</v>
      </c>
      <c r="D378" s="587">
        <v>2100425</v>
      </c>
      <c r="E378" s="153" t="s">
        <v>348</v>
      </c>
      <c r="F378" s="1333">
        <v>-2372548.81</v>
      </c>
      <c r="G378" s="1333">
        <v>-762877.43</v>
      </c>
      <c r="H378" s="1333">
        <f>VLOOKUP(D378,'מאזן בוחן'!$C:$M,11,0)-G378</f>
        <v>0</v>
      </c>
      <c r="I378" s="1333">
        <f>VLOOKUP(D378,'מאזן בוחן'!C:J,3,0)-F378</f>
        <v>0</v>
      </c>
      <c r="K378" s="137"/>
      <c r="L378" s="137"/>
      <c r="N378" s="32"/>
      <c r="O378" s="32"/>
      <c r="P378" s="32"/>
      <c r="Q378" s="32"/>
    </row>
    <row r="379" spans="1:17">
      <c r="A379" s="153" t="s">
        <v>1266</v>
      </c>
      <c r="B379" s="153" t="s">
        <v>1268</v>
      </c>
      <c r="C379" s="153" t="s">
        <v>1025</v>
      </c>
      <c r="D379" s="587">
        <v>2100453</v>
      </c>
      <c r="E379" s="153" t="s">
        <v>1719</v>
      </c>
      <c r="F379" s="1333">
        <v>-119325</v>
      </c>
      <c r="G379" s="1333">
        <v>-38368.17</v>
      </c>
      <c r="H379" s="1333">
        <f>VLOOKUP(D379,'מאזן בוחן'!$C:$M,11,0)-G379</f>
        <v>0</v>
      </c>
      <c r="I379" s="1333">
        <f>VLOOKUP(D379,'מאזן בוחן'!C:J,3,0)-F379</f>
        <v>0</v>
      </c>
      <c r="K379" s="137"/>
      <c r="L379" s="137"/>
      <c r="N379" s="32"/>
      <c r="O379" s="32"/>
      <c r="P379" s="32"/>
      <c r="Q379" s="32"/>
    </row>
    <row r="380" spans="1:17">
      <c r="A380" s="153" t="s">
        <v>1266</v>
      </c>
      <c r="B380" s="153" t="s">
        <v>1268</v>
      </c>
      <c r="C380" s="153" t="s">
        <v>1025</v>
      </c>
      <c r="D380" s="587">
        <v>2100462</v>
      </c>
      <c r="E380" s="153" t="s">
        <v>349</v>
      </c>
      <c r="F380" s="1333">
        <v>-2012</v>
      </c>
      <c r="G380" s="1333">
        <v>-646.95000000000005</v>
      </c>
      <c r="H380" s="1333">
        <f>VLOOKUP(D380,'מאזן בוחן'!$C:$M,11,0)-G380</f>
        <v>0</v>
      </c>
      <c r="I380" s="1333">
        <f>VLOOKUP(D380,'מאזן בוחן'!C:J,3,0)-F380</f>
        <v>0</v>
      </c>
      <c r="K380" s="137"/>
      <c r="L380" s="137"/>
      <c r="N380" s="32"/>
      <c r="O380" s="32"/>
      <c r="P380" s="32"/>
      <c r="Q380" s="32"/>
    </row>
    <row r="381" spans="1:17">
      <c r="A381" s="153" t="s">
        <v>1266</v>
      </c>
      <c r="B381" s="153" t="s">
        <v>1268</v>
      </c>
      <c r="C381" s="153" t="s">
        <v>1025</v>
      </c>
      <c r="D381" s="587">
        <v>2100488</v>
      </c>
      <c r="E381" s="153" t="s">
        <v>438</v>
      </c>
      <c r="F381" s="1333">
        <v>-111359.76</v>
      </c>
      <c r="G381" s="1333">
        <v>-35807</v>
      </c>
      <c r="H381" s="1333">
        <f>VLOOKUP(D381,'מאזן בוחן'!$C:$M,11,0)-G381</f>
        <v>0</v>
      </c>
      <c r="I381" s="1333">
        <f>VLOOKUP(D381,'מאזן בוחן'!C:J,3,0)-F381</f>
        <v>0</v>
      </c>
      <c r="K381" s="137"/>
      <c r="L381" s="137"/>
      <c r="N381" s="32"/>
      <c r="O381" s="32"/>
      <c r="P381" s="32"/>
      <c r="Q381" s="32"/>
    </row>
    <row r="382" spans="1:17">
      <c r="A382" s="153" t="s">
        <v>1266</v>
      </c>
      <c r="B382" s="153" t="s">
        <v>1268</v>
      </c>
      <c r="C382" s="153" t="s">
        <v>1025</v>
      </c>
      <c r="D382" s="587">
        <v>2100528</v>
      </c>
      <c r="E382" s="153" t="s">
        <v>3680</v>
      </c>
      <c r="F382" s="1333">
        <v>-30307</v>
      </c>
      <c r="G382" s="1333">
        <v>-9745.02</v>
      </c>
      <c r="H382" s="1333">
        <f>VLOOKUP(D382,'מאזן בוחן'!$C:$M,11,0)-G382</f>
        <v>0</v>
      </c>
      <c r="I382" s="1333">
        <f>VLOOKUP(D382,'מאזן בוחן'!C:J,3,0)-F382</f>
        <v>0</v>
      </c>
      <c r="K382" s="137"/>
      <c r="L382" s="137"/>
      <c r="N382" s="32"/>
      <c r="O382" s="32"/>
      <c r="P382" s="32"/>
      <c r="Q382" s="32"/>
    </row>
    <row r="383" spans="1:17">
      <c r="A383" s="153" t="s">
        <v>1266</v>
      </c>
      <c r="B383" s="153" t="s">
        <v>1268</v>
      </c>
      <c r="C383" s="153" t="s">
        <v>1025</v>
      </c>
      <c r="D383" s="587">
        <v>2100547</v>
      </c>
      <c r="E383" s="153" t="s">
        <v>3574</v>
      </c>
      <c r="F383" s="1333">
        <v>-51648</v>
      </c>
      <c r="G383" s="1333">
        <v>-16607.07</v>
      </c>
      <c r="H383" s="1333">
        <f>VLOOKUP(D383,'מאזן בוחן'!$C:$M,11,0)-G383</f>
        <v>0</v>
      </c>
      <c r="I383" s="1333">
        <f>VLOOKUP(D383,'מאזן בוחן'!C:J,3,0)-F383</f>
        <v>0</v>
      </c>
      <c r="K383" s="137"/>
      <c r="L383" s="137"/>
      <c r="N383" s="32"/>
      <c r="O383" s="32"/>
      <c r="P383" s="32"/>
      <c r="Q383" s="32"/>
    </row>
    <row r="384" spans="1:17">
      <c r="A384" s="153" t="s">
        <v>1266</v>
      </c>
      <c r="B384" s="153" t="s">
        <v>1268</v>
      </c>
      <c r="C384" s="153" t="s">
        <v>1025</v>
      </c>
      <c r="D384" s="587">
        <v>2100594</v>
      </c>
      <c r="E384" s="153" t="s">
        <v>2738</v>
      </c>
      <c r="F384" s="1333">
        <v>-1793.61</v>
      </c>
      <c r="G384" s="1333">
        <v>-576.72</v>
      </c>
      <c r="H384" s="1333">
        <f>VLOOKUP(D384,'מאזן בוחן'!$C:$M,11,0)-G384</f>
        <v>0</v>
      </c>
      <c r="I384" s="1333">
        <f>VLOOKUP(D384,'מאזן בוחן'!C:J,3,0)-F384</f>
        <v>0</v>
      </c>
      <c r="K384" s="137"/>
      <c r="L384" s="137"/>
      <c r="N384" s="32"/>
      <c r="O384" s="32"/>
      <c r="P384" s="32"/>
      <c r="Q384" s="32"/>
    </row>
    <row r="385" spans="1:17">
      <c r="A385" s="153" t="s">
        <v>1266</v>
      </c>
      <c r="B385" s="153" t="s">
        <v>1268</v>
      </c>
      <c r="C385" s="153" t="s">
        <v>1025</v>
      </c>
      <c r="D385" s="587">
        <v>2100607</v>
      </c>
      <c r="E385" s="153" t="s">
        <v>3125</v>
      </c>
      <c r="F385" s="1333">
        <v>-6480</v>
      </c>
      <c r="G385" s="1333">
        <v>-2083.6</v>
      </c>
      <c r="H385" s="1333">
        <f>VLOOKUP(D385,'מאזן בוחן'!$C:$M,11,0)-G385</f>
        <v>0</v>
      </c>
      <c r="I385" s="1333">
        <f>VLOOKUP(D385,'מאזן בוחן'!C:J,3,0)-F385</f>
        <v>0</v>
      </c>
      <c r="K385" s="137"/>
      <c r="L385" s="137"/>
      <c r="N385" s="32"/>
      <c r="O385" s="32"/>
      <c r="P385" s="32"/>
      <c r="Q385" s="32"/>
    </row>
    <row r="386" spans="1:17">
      <c r="A386" s="153" t="s">
        <v>1266</v>
      </c>
      <c r="B386" s="153" t="s">
        <v>1268</v>
      </c>
      <c r="C386" s="153" t="s">
        <v>1025</v>
      </c>
      <c r="D386" s="587">
        <v>2100628</v>
      </c>
      <c r="E386" s="153" t="s">
        <v>4804</v>
      </c>
      <c r="F386" s="1333">
        <v>-20349.009999999998</v>
      </c>
      <c r="G386" s="1333">
        <v>-6543.09</v>
      </c>
      <c r="H386" s="1333">
        <f>VLOOKUP(D386,'מאזן בוחן'!$C:$M,11,0)-G386</f>
        <v>0</v>
      </c>
      <c r="I386" s="1333">
        <f>VLOOKUP(D386,'מאזן בוחן'!C:J,3,0)-F386</f>
        <v>0</v>
      </c>
      <c r="K386" s="137"/>
      <c r="L386" s="137"/>
      <c r="N386" s="32"/>
      <c r="O386" s="32"/>
      <c r="P386" s="32"/>
      <c r="Q386" s="32"/>
    </row>
    <row r="387" spans="1:17">
      <c r="A387" s="153" t="s">
        <v>1266</v>
      </c>
      <c r="B387" s="153" t="s">
        <v>1268</v>
      </c>
      <c r="C387" s="153" t="s">
        <v>1025</v>
      </c>
      <c r="D387" s="587">
        <v>2150063</v>
      </c>
      <c r="E387" s="153" t="s">
        <v>1031</v>
      </c>
      <c r="F387" s="1333">
        <v>-236639.18</v>
      </c>
      <c r="G387" s="1333">
        <v>-76089.77</v>
      </c>
      <c r="H387" s="1333">
        <f>VLOOKUP(D387,'מאזן בוחן'!$C:$M,11,0)-G387</f>
        <v>0</v>
      </c>
      <c r="I387" s="1333">
        <f>VLOOKUP(D387,'מאזן בוחן'!C:J,3,0)-F387</f>
        <v>0</v>
      </c>
      <c r="K387" s="137"/>
      <c r="L387" s="137"/>
      <c r="N387" s="32"/>
      <c r="O387" s="32"/>
      <c r="P387" s="32"/>
      <c r="Q387" s="32"/>
    </row>
    <row r="388" spans="1:17">
      <c r="A388" s="153" t="s">
        <v>1266</v>
      </c>
      <c r="B388" s="153" t="s">
        <v>1268</v>
      </c>
      <c r="C388" s="153" t="s">
        <v>1025</v>
      </c>
      <c r="D388" s="587">
        <v>2150064</v>
      </c>
      <c r="E388" s="153" t="s">
        <v>2023</v>
      </c>
      <c r="F388" s="1333">
        <v>-67567.5</v>
      </c>
      <c r="G388" s="1333">
        <v>-21725.88</v>
      </c>
      <c r="H388" s="1333">
        <f>VLOOKUP(D388,'מאזן בוחן'!$C:$M,11,0)-G388</f>
        <v>0</v>
      </c>
      <c r="I388" s="1333">
        <f>VLOOKUP(D388,'מאזן בוחן'!C:J,3,0)-F388</f>
        <v>0</v>
      </c>
      <c r="K388" s="137"/>
      <c r="L388" s="137"/>
      <c r="N388" s="32"/>
      <c r="O388" s="32"/>
      <c r="P388" s="32"/>
      <c r="Q388" s="32"/>
    </row>
    <row r="389" spans="1:17">
      <c r="A389" s="153" t="s">
        <v>1266</v>
      </c>
      <c r="B389" s="153" t="s">
        <v>1268</v>
      </c>
      <c r="C389" s="153" t="s">
        <v>1025</v>
      </c>
      <c r="D389" s="587">
        <v>2150074</v>
      </c>
      <c r="E389" s="153" t="s">
        <v>1984</v>
      </c>
      <c r="F389" s="1333">
        <v>-5008</v>
      </c>
      <c r="G389" s="1333">
        <v>-1610.29</v>
      </c>
      <c r="H389" s="1333">
        <f>VLOOKUP(D389,'מאזן בוחן'!$C:$M,11,0)-G389</f>
        <v>0</v>
      </c>
      <c r="I389" s="1333">
        <f>VLOOKUP(D389,'מאזן בוחן'!C:J,3,0)-F389</f>
        <v>0</v>
      </c>
      <c r="K389" s="137"/>
      <c r="L389" s="137"/>
      <c r="N389" s="32"/>
      <c r="O389" s="32"/>
      <c r="P389" s="32"/>
      <c r="Q389" s="32"/>
    </row>
    <row r="390" spans="1:17">
      <c r="A390" s="153" t="s">
        <v>1266</v>
      </c>
      <c r="B390" s="153" t="s">
        <v>1268</v>
      </c>
      <c r="C390" s="153" t="s">
        <v>1025</v>
      </c>
      <c r="D390" s="587">
        <v>2150076</v>
      </c>
      <c r="E390" s="153" t="s">
        <v>4664</v>
      </c>
      <c r="F390" s="1333">
        <v>-28080</v>
      </c>
      <c r="G390" s="1333">
        <v>-9028.94</v>
      </c>
      <c r="H390" s="1333">
        <f>VLOOKUP(D390,'מאזן בוחן'!$C:$M,11,0)-G390</f>
        <v>0</v>
      </c>
      <c r="I390" s="1333">
        <f>VLOOKUP(D390,'מאזן בוחן'!C:J,3,0)-F390</f>
        <v>0</v>
      </c>
      <c r="K390" s="137"/>
      <c r="L390" s="137"/>
      <c r="N390" s="32"/>
      <c r="O390" s="32"/>
      <c r="P390" s="32"/>
      <c r="Q390" s="32"/>
    </row>
    <row r="391" spans="1:17">
      <c r="A391" s="153" t="s">
        <v>1266</v>
      </c>
      <c r="B391" s="153" t="s">
        <v>1268</v>
      </c>
      <c r="C391" s="153" t="s">
        <v>1025</v>
      </c>
      <c r="D391" s="587">
        <v>2150084</v>
      </c>
      <c r="E391" s="153" t="s">
        <v>1959</v>
      </c>
      <c r="F391" s="1333">
        <v>-49023</v>
      </c>
      <c r="G391" s="1333">
        <v>-15763.02</v>
      </c>
      <c r="H391" s="1333">
        <f>VLOOKUP(D391,'מאזן בוחן'!$C:$M,11,0)-G391</f>
        <v>0</v>
      </c>
      <c r="I391" s="1333">
        <f>VLOOKUP(D391,'מאזן בוחן'!C:J,3,0)-F391</f>
        <v>0</v>
      </c>
      <c r="K391" s="137"/>
      <c r="L391" s="137"/>
      <c r="N391" s="32"/>
      <c r="O391" s="32"/>
      <c r="P391" s="32"/>
      <c r="Q391" s="32"/>
    </row>
    <row r="392" spans="1:17">
      <c r="A392" s="153" t="s">
        <v>1266</v>
      </c>
      <c r="B392" s="153" t="s">
        <v>1268</v>
      </c>
      <c r="C392" s="153" t="s">
        <v>1025</v>
      </c>
      <c r="D392" s="587">
        <v>2150103</v>
      </c>
      <c r="E392" s="153" t="s">
        <v>1985</v>
      </c>
      <c r="F392" s="1333">
        <v>-3685.5</v>
      </c>
      <c r="G392" s="1333">
        <v>-1185.05</v>
      </c>
      <c r="H392" s="1333">
        <f>VLOOKUP(D392,'מאזן בוחן'!$C:$M,11,0)-G392</f>
        <v>0</v>
      </c>
      <c r="I392" s="1333">
        <f>VLOOKUP(D392,'מאזן בוחן'!C:J,3,0)-F392</f>
        <v>0</v>
      </c>
      <c r="K392" s="137"/>
      <c r="L392" s="137"/>
      <c r="N392" s="32"/>
      <c r="O392" s="32"/>
      <c r="P392" s="32"/>
      <c r="Q392" s="32"/>
    </row>
    <row r="393" spans="1:17">
      <c r="A393" s="153" t="s">
        <v>1266</v>
      </c>
      <c r="B393" s="153" t="s">
        <v>1268</v>
      </c>
      <c r="C393" s="153" t="s">
        <v>1025</v>
      </c>
      <c r="D393" s="587">
        <v>2150159</v>
      </c>
      <c r="E393" s="153" t="s">
        <v>1439</v>
      </c>
      <c r="F393" s="1333">
        <v>-1200</v>
      </c>
      <c r="G393" s="1333">
        <v>-385.85</v>
      </c>
      <c r="H393" s="1333">
        <f>VLOOKUP(D393,'מאזן בוחן'!$C:$M,11,0)-G393</f>
        <v>0</v>
      </c>
      <c r="I393" s="1333">
        <f>VLOOKUP(D393,'מאזן בוחן'!C:J,3,0)-F393</f>
        <v>0</v>
      </c>
      <c r="K393" s="137"/>
      <c r="L393" s="137"/>
      <c r="N393" s="32"/>
      <c r="O393" s="32"/>
      <c r="P393" s="32"/>
      <c r="Q393" s="32"/>
    </row>
    <row r="394" spans="1:17">
      <c r="A394" s="153" t="s">
        <v>1266</v>
      </c>
      <c r="B394" s="153" t="s">
        <v>1268</v>
      </c>
      <c r="C394" s="153" t="s">
        <v>1025</v>
      </c>
      <c r="D394" s="587">
        <v>2150160</v>
      </c>
      <c r="E394" s="153" t="s">
        <v>2056</v>
      </c>
      <c r="F394" s="1333">
        <v>-2182.1</v>
      </c>
      <c r="G394" s="1333">
        <v>-701.64</v>
      </c>
      <c r="H394" s="1333">
        <f>VLOOKUP(D394,'מאזן בוחן'!$C:$M,11,0)-G394</f>
        <v>0</v>
      </c>
      <c r="I394" s="1333">
        <f>VLOOKUP(D394,'מאזן בוחן'!C:J,3,0)-F394</f>
        <v>0</v>
      </c>
      <c r="K394" s="137"/>
      <c r="L394" s="137"/>
      <c r="N394" s="32"/>
      <c r="O394" s="32"/>
      <c r="P394" s="32"/>
      <c r="Q394" s="32"/>
    </row>
    <row r="395" spans="1:17">
      <c r="A395" s="153" t="s">
        <v>1266</v>
      </c>
      <c r="B395" s="153" t="s">
        <v>1268</v>
      </c>
      <c r="C395" s="153" t="s">
        <v>1025</v>
      </c>
      <c r="D395" s="587">
        <v>2150162</v>
      </c>
      <c r="E395" s="153" t="s">
        <v>1641</v>
      </c>
      <c r="F395" s="1333">
        <v>-32434</v>
      </c>
      <c r="G395" s="1333">
        <v>-10428.94</v>
      </c>
      <c r="H395" s="1333">
        <f>VLOOKUP(D395,'מאזן בוחן'!$C:$M,11,0)-G395</f>
        <v>0</v>
      </c>
      <c r="I395" s="1333">
        <f>VLOOKUP(D395,'מאזן בוחן'!C:J,3,0)-F395</f>
        <v>0</v>
      </c>
      <c r="K395" s="137"/>
      <c r="L395" s="137"/>
      <c r="N395" s="32"/>
      <c r="O395" s="32"/>
      <c r="P395" s="32"/>
      <c r="Q395" s="32"/>
    </row>
    <row r="396" spans="1:17">
      <c r="A396" s="153" t="s">
        <v>1266</v>
      </c>
      <c r="B396" s="153" t="s">
        <v>1268</v>
      </c>
      <c r="C396" s="153" t="s">
        <v>1025</v>
      </c>
      <c r="D396" s="587">
        <v>2150172</v>
      </c>
      <c r="E396" s="153" t="s">
        <v>2742</v>
      </c>
      <c r="F396" s="1333">
        <v>-82</v>
      </c>
      <c r="G396" s="1333">
        <v>-26.37</v>
      </c>
      <c r="H396" s="1333">
        <f>VLOOKUP(D396,'מאזן בוחן'!$C:$M,11,0)-G396</f>
        <v>0</v>
      </c>
      <c r="I396" s="1333">
        <f>VLOOKUP(D396,'מאזן בוחן'!C:J,3,0)-F396</f>
        <v>0</v>
      </c>
      <c r="K396" s="137"/>
      <c r="L396" s="137"/>
      <c r="N396" s="32"/>
      <c r="O396" s="32"/>
      <c r="P396" s="32"/>
      <c r="Q396" s="32"/>
    </row>
    <row r="397" spans="1:17">
      <c r="A397" s="153" t="s">
        <v>1266</v>
      </c>
      <c r="B397" s="153" t="s">
        <v>1268</v>
      </c>
      <c r="C397" s="153" t="s">
        <v>1025</v>
      </c>
      <c r="D397" s="587">
        <v>2150175</v>
      </c>
      <c r="E397" s="153" t="s">
        <v>2907</v>
      </c>
      <c r="F397" s="1333">
        <v>-2024.1</v>
      </c>
      <c r="G397" s="1333">
        <v>-650.84</v>
      </c>
      <c r="H397" s="1333">
        <f>VLOOKUP(D397,'מאזן בוחן'!$C:$M,11,0)-G397</f>
        <v>0</v>
      </c>
      <c r="I397" s="1333">
        <f>VLOOKUP(D397,'מאזן בוחן'!C:J,3,0)-F397</f>
        <v>0</v>
      </c>
      <c r="K397" s="137"/>
      <c r="L397" s="137"/>
      <c r="N397" s="32"/>
      <c r="O397" s="32"/>
      <c r="P397" s="32"/>
      <c r="Q397" s="32"/>
    </row>
    <row r="398" spans="1:17">
      <c r="A398" s="153" t="s">
        <v>1266</v>
      </c>
      <c r="B398" s="153" t="s">
        <v>1268</v>
      </c>
      <c r="C398" s="153" t="s">
        <v>1025</v>
      </c>
      <c r="D398" s="587">
        <v>2150182</v>
      </c>
      <c r="E398" s="153" t="s">
        <v>1486</v>
      </c>
      <c r="F398" s="1333">
        <v>-1254</v>
      </c>
      <c r="G398" s="1333">
        <v>-403.22</v>
      </c>
      <c r="H398" s="1333">
        <f>VLOOKUP(D398,'מאזן בוחן'!$C:$M,11,0)-G398</f>
        <v>0</v>
      </c>
      <c r="I398" s="1333">
        <f>VLOOKUP(D398,'מאזן בוחן'!C:J,3,0)-F398</f>
        <v>0</v>
      </c>
      <c r="K398" s="137"/>
      <c r="L398" s="137"/>
      <c r="N398" s="32"/>
      <c r="O398" s="32"/>
      <c r="P398" s="32"/>
      <c r="Q398" s="32"/>
    </row>
    <row r="399" spans="1:17">
      <c r="A399" s="153" t="s">
        <v>1266</v>
      </c>
      <c r="B399" s="153" t="s">
        <v>1268</v>
      </c>
      <c r="C399" s="153" t="s">
        <v>1025</v>
      </c>
      <c r="D399" s="587">
        <v>2170223</v>
      </c>
      <c r="E399" s="153" t="s">
        <v>4665</v>
      </c>
      <c r="F399" s="1333">
        <v>-758</v>
      </c>
      <c r="G399" s="1333">
        <v>-243.73</v>
      </c>
      <c r="H399" s="1333">
        <f>VLOOKUP(D399,'מאזן בוחן'!$C:$M,11,0)-G399</f>
        <v>0</v>
      </c>
      <c r="I399" s="1333">
        <f>VLOOKUP(D399,'מאזן בוחן'!C:J,3,0)-F399</f>
        <v>0</v>
      </c>
      <c r="K399" s="137"/>
      <c r="L399" s="137"/>
      <c r="N399" s="32"/>
      <c r="O399" s="32"/>
      <c r="P399" s="32"/>
      <c r="Q399" s="32"/>
    </row>
    <row r="400" spans="1:17">
      <c r="A400" s="153" t="s">
        <v>1266</v>
      </c>
      <c r="B400" s="153" t="s">
        <v>1268</v>
      </c>
      <c r="C400" s="153" t="s">
        <v>1025</v>
      </c>
      <c r="D400" s="587">
        <v>2170233</v>
      </c>
      <c r="E400" s="153" t="s">
        <v>3575</v>
      </c>
      <c r="F400" s="1333">
        <v>-220245</v>
      </c>
      <c r="G400" s="1333">
        <v>-70818.33</v>
      </c>
      <c r="H400" s="1333">
        <f>VLOOKUP(D400,'מאזן בוחן'!$C:$M,11,0)-G400</f>
        <v>0</v>
      </c>
      <c r="I400" s="1333">
        <f>VLOOKUP(D400,'מאזן בוחן'!C:J,3,0)-F400</f>
        <v>0</v>
      </c>
      <c r="K400" s="137"/>
      <c r="L400" s="137"/>
      <c r="N400" s="32"/>
      <c r="O400" s="32"/>
      <c r="P400" s="32"/>
      <c r="Q400" s="32"/>
    </row>
    <row r="401" spans="1:17">
      <c r="A401" s="153" t="s">
        <v>1266</v>
      </c>
      <c r="B401" s="153" t="s">
        <v>1268</v>
      </c>
      <c r="C401" s="153" t="s">
        <v>1025</v>
      </c>
      <c r="D401" s="587">
        <v>2170242</v>
      </c>
      <c r="E401" s="153" t="s">
        <v>4558</v>
      </c>
      <c r="F401" s="1333">
        <v>-10914.16</v>
      </c>
      <c r="G401" s="1333">
        <v>-3509.38</v>
      </c>
      <c r="H401" s="1333">
        <f>VLOOKUP(D401,'מאזן בוחן'!$C:$M,11,0)-G401</f>
        <v>0</v>
      </c>
      <c r="I401" s="1333">
        <f>VLOOKUP(D401,'מאזן בוחן'!C:J,3,0)-F401</f>
        <v>0</v>
      </c>
      <c r="K401" s="137"/>
      <c r="L401" s="137"/>
      <c r="N401" s="32"/>
      <c r="O401" s="32"/>
      <c r="P401" s="32"/>
      <c r="Q401" s="32"/>
    </row>
    <row r="402" spans="1:17">
      <c r="A402" s="153" t="s">
        <v>1266</v>
      </c>
      <c r="B402" s="153" t="s">
        <v>1268</v>
      </c>
      <c r="C402" s="153" t="s">
        <v>1025</v>
      </c>
      <c r="D402" s="587">
        <v>2170243</v>
      </c>
      <c r="E402" s="153" t="s">
        <v>1643</v>
      </c>
      <c r="F402" s="1333">
        <v>-6762</v>
      </c>
      <c r="G402" s="1333">
        <v>-2174.2800000000002</v>
      </c>
      <c r="H402" s="1333">
        <f>VLOOKUP(D402,'מאזן בוחן'!$C:$M,11,0)-G402</f>
        <v>0</v>
      </c>
      <c r="I402" s="1333">
        <f>VLOOKUP(D402,'מאזן בוחן'!C:J,3,0)-F402</f>
        <v>0</v>
      </c>
      <c r="K402" s="137"/>
      <c r="L402" s="137"/>
      <c r="N402" s="32"/>
      <c r="O402" s="32"/>
      <c r="P402" s="32"/>
      <c r="Q402" s="32"/>
    </row>
    <row r="403" spans="1:17">
      <c r="A403" s="153" t="s">
        <v>1266</v>
      </c>
      <c r="B403" s="153" t="s">
        <v>1268</v>
      </c>
      <c r="C403" s="153" t="s">
        <v>1025</v>
      </c>
      <c r="D403" s="587">
        <v>2170300</v>
      </c>
      <c r="E403" s="153" t="s">
        <v>2945</v>
      </c>
      <c r="F403" s="1333">
        <v>-9604.6200000000008</v>
      </c>
      <c r="G403" s="1333">
        <v>-3088.3</v>
      </c>
      <c r="H403" s="1333">
        <f>VLOOKUP(D403,'מאזן בוחן'!$C:$M,11,0)-G403</f>
        <v>0</v>
      </c>
      <c r="I403" s="1333">
        <f>VLOOKUP(D403,'מאזן בוחן'!C:J,3,0)-F403</f>
        <v>0</v>
      </c>
      <c r="K403" s="137"/>
      <c r="L403" s="137"/>
      <c r="N403" s="32"/>
      <c r="O403" s="32"/>
      <c r="P403" s="32"/>
      <c r="Q403" s="32"/>
    </row>
    <row r="404" spans="1:17">
      <c r="A404" s="153" t="s">
        <v>1266</v>
      </c>
      <c r="B404" s="153" t="s">
        <v>1268</v>
      </c>
      <c r="C404" s="153" t="s">
        <v>1025</v>
      </c>
      <c r="D404" s="587">
        <v>2170308</v>
      </c>
      <c r="E404" s="153" t="s">
        <v>1848</v>
      </c>
      <c r="F404" s="1333">
        <v>-31676.53</v>
      </c>
      <c r="G404" s="1333">
        <v>-10185.379999999999</v>
      </c>
      <c r="H404" s="1333">
        <f>VLOOKUP(D404,'מאזן בוחן'!$C:$M,11,0)-G404</f>
        <v>0</v>
      </c>
      <c r="I404" s="1333">
        <f>VLOOKUP(D404,'מאזן בוחן'!C:J,3,0)-F404</f>
        <v>0</v>
      </c>
      <c r="K404" s="137"/>
      <c r="L404" s="137"/>
      <c r="N404" s="32"/>
      <c r="O404" s="32"/>
      <c r="P404" s="32"/>
      <c r="Q404" s="32"/>
    </row>
    <row r="405" spans="1:17">
      <c r="A405" s="153" t="s">
        <v>1266</v>
      </c>
      <c r="B405" s="153" t="s">
        <v>1268</v>
      </c>
      <c r="C405" s="153" t="s">
        <v>1025</v>
      </c>
      <c r="D405" s="587">
        <v>2170309</v>
      </c>
      <c r="E405" s="153" t="s">
        <v>1870</v>
      </c>
      <c r="F405" s="1333">
        <v>-37562.86</v>
      </c>
      <c r="G405" s="1333">
        <v>-12078.09</v>
      </c>
      <c r="H405" s="1333">
        <f>VLOOKUP(D405,'מאזן בוחן'!$C:$M,11,0)-G405</f>
        <v>0</v>
      </c>
      <c r="I405" s="1333">
        <f>VLOOKUP(D405,'מאזן בוחן'!C:J,3,0)-F405</f>
        <v>0</v>
      </c>
      <c r="K405" s="137"/>
      <c r="L405" s="137"/>
      <c r="N405" s="32"/>
      <c r="O405" s="32"/>
      <c r="P405" s="32"/>
      <c r="Q405" s="32"/>
    </row>
    <row r="406" spans="1:17">
      <c r="A406" s="153" t="s">
        <v>1266</v>
      </c>
      <c r="B406" s="153" t="s">
        <v>1268</v>
      </c>
      <c r="C406" s="153" t="s">
        <v>1025</v>
      </c>
      <c r="D406" s="587">
        <v>2170320</v>
      </c>
      <c r="E406" s="153" t="s">
        <v>4666</v>
      </c>
      <c r="F406" s="1333">
        <v>-3042</v>
      </c>
      <c r="G406" s="1333">
        <v>-978.14</v>
      </c>
      <c r="H406" s="1333">
        <f>VLOOKUP(D406,'מאזן בוחן'!$C:$M,11,0)-G406</f>
        <v>0</v>
      </c>
      <c r="I406" s="1333">
        <f>VLOOKUP(D406,'מאזן בוחן'!C:J,3,0)-F406</f>
        <v>0</v>
      </c>
      <c r="K406" s="137"/>
      <c r="L406" s="137"/>
      <c r="N406" s="32"/>
      <c r="O406" s="32"/>
      <c r="P406" s="32"/>
      <c r="Q406" s="32"/>
    </row>
    <row r="407" spans="1:17">
      <c r="A407" s="153" t="s">
        <v>1266</v>
      </c>
      <c r="B407" s="153" t="s">
        <v>1268</v>
      </c>
      <c r="C407" s="153" t="s">
        <v>1025</v>
      </c>
      <c r="D407" s="587">
        <v>2170373</v>
      </c>
      <c r="E407" s="153" t="s">
        <v>2205</v>
      </c>
      <c r="F407" s="1333">
        <v>-65732</v>
      </c>
      <c r="G407" s="1333">
        <v>-21135.69</v>
      </c>
      <c r="H407" s="1333">
        <f>VLOOKUP(D407,'מאזן בוחן'!$C:$M,11,0)-G407</f>
        <v>0</v>
      </c>
      <c r="I407" s="1333">
        <f>VLOOKUP(D407,'מאזן בוחן'!C:J,3,0)-F407</f>
        <v>0</v>
      </c>
      <c r="K407" s="137"/>
      <c r="L407" s="137"/>
      <c r="N407" s="32"/>
      <c r="O407" s="32"/>
      <c r="P407" s="32"/>
      <c r="Q407" s="32"/>
    </row>
    <row r="408" spans="1:17">
      <c r="A408" s="153" t="s">
        <v>1266</v>
      </c>
      <c r="B408" s="153" t="s">
        <v>1268</v>
      </c>
      <c r="C408" s="153" t="s">
        <v>1025</v>
      </c>
      <c r="D408" s="587">
        <v>2170374</v>
      </c>
      <c r="E408" s="153" t="s">
        <v>4456</v>
      </c>
      <c r="F408" s="1333">
        <v>-874.1</v>
      </c>
      <c r="G408" s="1333">
        <v>-281.06</v>
      </c>
      <c r="H408" s="1333">
        <f>VLOOKUP(D408,'מאזן בוחן'!$C:$M,11,0)-G408</f>
        <v>0</v>
      </c>
      <c r="I408" s="1333">
        <f>VLOOKUP(D408,'מאזן בוחן'!C:J,3,0)-F408</f>
        <v>0</v>
      </c>
      <c r="K408" s="137"/>
      <c r="L408" s="137"/>
      <c r="N408" s="32"/>
      <c r="O408" s="32"/>
      <c r="P408" s="32"/>
      <c r="Q408" s="32"/>
    </row>
    <row r="409" spans="1:17">
      <c r="A409" s="153" t="s">
        <v>1266</v>
      </c>
      <c r="B409" s="153" t="s">
        <v>1268</v>
      </c>
      <c r="C409" s="153" t="s">
        <v>1025</v>
      </c>
      <c r="D409" s="587">
        <v>2170381</v>
      </c>
      <c r="E409" s="153" t="s">
        <v>2909</v>
      </c>
      <c r="F409" s="1333">
        <v>-33103.089999999997</v>
      </c>
      <c r="G409" s="1333">
        <v>-10644.08</v>
      </c>
      <c r="H409" s="1333">
        <f>VLOOKUP(D409,'מאזן בוחן'!$C:$M,11,0)-G409</f>
        <v>0</v>
      </c>
      <c r="I409" s="1333">
        <f>VLOOKUP(D409,'מאזן בוחן'!C:J,3,0)-F409</f>
        <v>0</v>
      </c>
      <c r="K409" s="137"/>
      <c r="L409" s="137"/>
      <c r="N409" s="32"/>
      <c r="O409" s="32"/>
      <c r="P409" s="32"/>
      <c r="Q409" s="32"/>
    </row>
    <row r="410" spans="1:17">
      <c r="A410" s="153" t="s">
        <v>1266</v>
      </c>
      <c r="B410" s="153" t="s">
        <v>1268</v>
      </c>
      <c r="C410" s="153" t="s">
        <v>1025</v>
      </c>
      <c r="D410" s="587">
        <v>2170385</v>
      </c>
      <c r="E410" s="153" t="s">
        <v>2910</v>
      </c>
      <c r="F410" s="1333">
        <v>-68504</v>
      </c>
      <c r="G410" s="1333">
        <v>-22027.01</v>
      </c>
      <c r="H410" s="1333">
        <f>VLOOKUP(D410,'מאזן בוחן'!$C:$M,11,0)-G410</f>
        <v>0</v>
      </c>
      <c r="I410" s="1333">
        <f>VLOOKUP(D410,'מאזן בוחן'!C:J,3,0)-F410</f>
        <v>0</v>
      </c>
      <c r="K410" s="137"/>
      <c r="L410" s="137"/>
      <c r="N410" s="32"/>
      <c r="O410" s="32"/>
      <c r="P410" s="32"/>
      <c r="Q410" s="32"/>
    </row>
    <row r="411" spans="1:17">
      <c r="A411" s="153" t="s">
        <v>1266</v>
      </c>
      <c r="B411" s="153" t="s">
        <v>1268</v>
      </c>
      <c r="C411" s="153" t="s">
        <v>1025</v>
      </c>
      <c r="D411" s="587">
        <v>2170390</v>
      </c>
      <c r="E411" s="153" t="s">
        <v>3017</v>
      </c>
      <c r="F411" s="1333">
        <v>-16626.87</v>
      </c>
      <c r="G411" s="1333">
        <v>-5346.26</v>
      </c>
      <c r="H411" s="1333">
        <f>VLOOKUP(D411,'מאזן בוחן'!$C:$M,11,0)-G411</f>
        <v>0</v>
      </c>
      <c r="I411" s="1333">
        <f>VLOOKUP(D411,'מאזן בוחן'!C:J,3,0)-F411</f>
        <v>0</v>
      </c>
      <c r="K411" s="137"/>
      <c r="L411" s="137"/>
      <c r="N411" s="32"/>
      <c r="O411" s="32"/>
      <c r="P411" s="32"/>
      <c r="Q411" s="32"/>
    </row>
    <row r="412" spans="1:17">
      <c r="A412" s="153" t="s">
        <v>1266</v>
      </c>
      <c r="B412" s="153" t="s">
        <v>1268</v>
      </c>
      <c r="C412" s="153" t="s">
        <v>1025</v>
      </c>
      <c r="D412" s="587">
        <v>2170404</v>
      </c>
      <c r="E412" s="153" t="s">
        <v>3440</v>
      </c>
      <c r="F412" s="1333">
        <v>-350</v>
      </c>
      <c r="G412" s="1333">
        <v>-112.54</v>
      </c>
      <c r="H412" s="1333">
        <f>VLOOKUP(D412,'מאזן בוחן'!$C:$M,11,0)-G412</f>
        <v>0</v>
      </c>
      <c r="I412" s="1333">
        <f>VLOOKUP(D412,'מאזן בוחן'!C:J,3,0)-F412</f>
        <v>0</v>
      </c>
      <c r="K412" s="137"/>
      <c r="L412" s="137"/>
      <c r="N412" s="32"/>
      <c r="O412" s="32"/>
      <c r="P412" s="32"/>
      <c r="Q412" s="32"/>
    </row>
    <row r="413" spans="1:17">
      <c r="A413" s="153" t="s">
        <v>1266</v>
      </c>
      <c r="B413" s="153" t="s">
        <v>1268</v>
      </c>
      <c r="C413" s="153" t="s">
        <v>1025</v>
      </c>
      <c r="D413" s="587">
        <v>2170412</v>
      </c>
      <c r="E413" s="153" t="s">
        <v>4667</v>
      </c>
      <c r="F413" s="1333">
        <v>-5031</v>
      </c>
      <c r="G413" s="1333">
        <v>-1617.68</v>
      </c>
      <c r="H413" s="1333">
        <f>VLOOKUP(D413,'מאזן בוחן'!$C:$M,11,0)-G413</f>
        <v>0</v>
      </c>
      <c r="I413" s="1333">
        <f>VLOOKUP(D413,'מאזן בוחן'!C:J,3,0)-F413</f>
        <v>0</v>
      </c>
      <c r="K413" s="137"/>
      <c r="L413" s="137"/>
      <c r="N413" s="32"/>
      <c r="O413" s="32"/>
      <c r="P413" s="32"/>
      <c r="Q413" s="32"/>
    </row>
    <row r="414" spans="1:17">
      <c r="A414" s="153" t="s">
        <v>1266</v>
      </c>
      <c r="B414" s="153" t="s">
        <v>1268</v>
      </c>
      <c r="C414" s="153" t="s">
        <v>1025</v>
      </c>
      <c r="D414" s="587">
        <v>2170416</v>
      </c>
      <c r="E414" s="153" t="s">
        <v>3682</v>
      </c>
      <c r="F414" s="1333">
        <v>-11165.54</v>
      </c>
      <c r="G414" s="1333">
        <v>-3590.21</v>
      </c>
      <c r="H414" s="1333">
        <f>VLOOKUP(D414,'מאזן בוחן'!$C:$M,11,0)-G414</f>
        <v>0</v>
      </c>
      <c r="I414" s="1333">
        <f>VLOOKUP(D414,'מאזן בוחן'!C:J,3,0)-F414</f>
        <v>0</v>
      </c>
      <c r="K414" s="137"/>
      <c r="L414" s="137"/>
      <c r="N414" s="32"/>
      <c r="O414" s="32"/>
      <c r="P414" s="32"/>
      <c r="Q414" s="32"/>
    </row>
    <row r="415" spans="1:17">
      <c r="A415" s="153" t="s">
        <v>1266</v>
      </c>
      <c r="B415" s="153" t="s">
        <v>1268</v>
      </c>
      <c r="C415" s="153" t="s">
        <v>1025</v>
      </c>
      <c r="D415" s="587">
        <v>2170418</v>
      </c>
      <c r="E415" s="153" t="s">
        <v>3799</v>
      </c>
      <c r="F415" s="1333">
        <v>-4335</v>
      </c>
      <c r="G415" s="1333">
        <v>-1393.89</v>
      </c>
      <c r="H415" s="1333">
        <f>VLOOKUP(D415,'מאזן בוחן'!$C:$M,11,0)-G415</f>
        <v>0</v>
      </c>
      <c r="I415" s="1333">
        <f>VLOOKUP(D415,'מאזן בוחן'!C:J,3,0)-F415</f>
        <v>0</v>
      </c>
      <c r="K415" s="137"/>
      <c r="L415" s="137"/>
      <c r="N415" s="32"/>
      <c r="O415" s="32"/>
      <c r="P415" s="32"/>
      <c r="Q415" s="32"/>
    </row>
    <row r="416" spans="1:17">
      <c r="A416" s="153" t="s">
        <v>1266</v>
      </c>
      <c r="B416" s="153" t="s">
        <v>1268</v>
      </c>
      <c r="C416" s="153" t="s">
        <v>1025</v>
      </c>
      <c r="D416" s="587">
        <v>2170420</v>
      </c>
      <c r="E416" s="153" t="s">
        <v>3683</v>
      </c>
      <c r="F416" s="1333">
        <v>-2326.5</v>
      </c>
      <c r="G416" s="1333">
        <v>-748.07</v>
      </c>
      <c r="H416" s="1333">
        <f>VLOOKUP(D416,'מאזן בוחן'!$C:$M,11,0)-G416</f>
        <v>0</v>
      </c>
      <c r="I416" s="1333">
        <f>VLOOKUP(D416,'מאזן בוחן'!C:J,3,0)-F416</f>
        <v>0</v>
      </c>
      <c r="K416" s="137"/>
      <c r="L416" s="137"/>
      <c r="N416" s="32"/>
      <c r="O416" s="32"/>
      <c r="P416" s="32"/>
      <c r="Q416" s="32"/>
    </row>
    <row r="417" spans="1:17">
      <c r="A417" s="153" t="s">
        <v>1266</v>
      </c>
      <c r="B417" s="153" t="s">
        <v>1268</v>
      </c>
      <c r="C417" s="153" t="s">
        <v>1025</v>
      </c>
      <c r="D417" s="587">
        <v>2170424</v>
      </c>
      <c r="E417" s="153" t="s">
        <v>3981</v>
      </c>
      <c r="F417" s="1333">
        <v>-1839.7</v>
      </c>
      <c r="G417" s="1333">
        <v>-591.54</v>
      </c>
      <c r="H417" s="1333">
        <f>VLOOKUP(D417,'מאזן בוחן'!$C:$M,11,0)-G417</f>
        <v>0</v>
      </c>
      <c r="I417" s="1333">
        <f>VLOOKUP(D417,'מאזן בוחן'!C:J,3,0)-F417</f>
        <v>0</v>
      </c>
      <c r="K417" s="137"/>
      <c r="L417" s="137"/>
      <c r="N417" s="32"/>
      <c r="O417" s="32"/>
      <c r="P417" s="32"/>
      <c r="Q417" s="32"/>
    </row>
    <row r="418" spans="1:17">
      <c r="A418" s="153" t="s">
        <v>1266</v>
      </c>
      <c r="B418" s="153" t="s">
        <v>1268</v>
      </c>
      <c r="C418" s="153" t="s">
        <v>1025</v>
      </c>
      <c r="D418" s="587">
        <v>2170428</v>
      </c>
      <c r="E418" s="153" t="s">
        <v>3949</v>
      </c>
      <c r="F418" s="1333">
        <v>-4401.55</v>
      </c>
      <c r="G418" s="1333">
        <v>-1415.29</v>
      </c>
      <c r="H418" s="1333">
        <f>VLOOKUP(D418,'מאזן בוחן'!$C:$M,11,0)-G418</f>
        <v>0</v>
      </c>
      <c r="I418" s="1333">
        <f>VLOOKUP(D418,'מאזן בוחן'!C:J,3,0)-F418</f>
        <v>0</v>
      </c>
      <c r="K418" s="137"/>
      <c r="L418" s="137"/>
      <c r="N418" s="32"/>
      <c r="O418" s="32"/>
      <c r="P418" s="32"/>
      <c r="Q418" s="32"/>
    </row>
    <row r="419" spans="1:17">
      <c r="A419" s="153" t="s">
        <v>1266</v>
      </c>
      <c r="B419" s="153" t="s">
        <v>1268</v>
      </c>
      <c r="C419" s="153" t="s">
        <v>1025</v>
      </c>
      <c r="D419" s="587">
        <v>2170430</v>
      </c>
      <c r="E419" s="153" t="s">
        <v>4457</v>
      </c>
      <c r="F419" s="1333">
        <v>-8804.25</v>
      </c>
      <c r="G419" s="1333">
        <v>-2830.95</v>
      </c>
      <c r="H419" s="1333">
        <f>VLOOKUP(D419,'מאזן בוחן'!$C:$M,11,0)-G419</f>
        <v>0</v>
      </c>
      <c r="I419" s="1333">
        <f>VLOOKUP(D419,'מאזן בוחן'!C:J,3,0)-F419</f>
        <v>0</v>
      </c>
      <c r="K419" s="137"/>
      <c r="L419" s="137"/>
      <c r="N419" s="32"/>
      <c r="O419" s="32"/>
      <c r="P419" s="32"/>
      <c r="Q419" s="32"/>
    </row>
    <row r="420" spans="1:17">
      <c r="A420" s="153" t="s">
        <v>1266</v>
      </c>
      <c r="B420" s="153" t="s">
        <v>1268</v>
      </c>
      <c r="C420" s="153" t="s">
        <v>1025</v>
      </c>
      <c r="D420" s="587">
        <v>2170434</v>
      </c>
      <c r="E420" s="153" t="s">
        <v>4041</v>
      </c>
      <c r="F420" s="1333">
        <v>-203.65</v>
      </c>
      <c r="G420" s="1333">
        <v>-65.48</v>
      </c>
      <c r="H420" s="1333">
        <f>VLOOKUP(D420,'מאזן בוחן'!$C:$M,11,0)-G420</f>
        <v>0</v>
      </c>
      <c r="I420" s="1333">
        <f>VLOOKUP(D420,'מאזן בוחן'!C:J,3,0)-F420</f>
        <v>0</v>
      </c>
      <c r="K420" s="137"/>
      <c r="L420" s="137"/>
      <c r="N420" s="32"/>
      <c r="O420" s="32"/>
      <c r="P420" s="32"/>
      <c r="Q420" s="32"/>
    </row>
    <row r="421" spans="1:17">
      <c r="A421" s="153" t="s">
        <v>1266</v>
      </c>
      <c r="B421" s="153" t="s">
        <v>1268</v>
      </c>
      <c r="C421" s="153" t="s">
        <v>1025</v>
      </c>
      <c r="D421" s="587">
        <v>2170442</v>
      </c>
      <c r="E421" s="153" t="s">
        <v>4042</v>
      </c>
      <c r="F421" s="1333">
        <v>-3335</v>
      </c>
      <c r="G421" s="1333">
        <v>-1072.3499999999999</v>
      </c>
      <c r="H421" s="1333">
        <f>VLOOKUP(D421,'מאזן בוחן'!$C:$M,11,0)-G421</f>
        <v>0</v>
      </c>
      <c r="I421" s="1333">
        <f>VLOOKUP(D421,'מאזן בוחן'!C:J,3,0)-F421</f>
        <v>0</v>
      </c>
      <c r="K421" s="137"/>
      <c r="L421" s="137"/>
      <c r="N421" s="32"/>
      <c r="O421" s="32"/>
      <c r="P421" s="32"/>
      <c r="Q421" s="32"/>
    </row>
    <row r="422" spans="1:17">
      <c r="A422" s="153" t="s">
        <v>1266</v>
      </c>
      <c r="B422" s="153" t="s">
        <v>1268</v>
      </c>
      <c r="C422" s="153" t="s">
        <v>1025</v>
      </c>
      <c r="D422" s="587">
        <v>2170444</v>
      </c>
      <c r="E422" s="153" t="s">
        <v>3912</v>
      </c>
      <c r="F422" s="1333">
        <v>-51480</v>
      </c>
      <c r="G422" s="1333">
        <v>-16553.05</v>
      </c>
      <c r="H422" s="1333">
        <f>VLOOKUP(D422,'מאזן בוחן'!$C:$M,11,0)-G422</f>
        <v>0</v>
      </c>
      <c r="I422" s="1333">
        <f>VLOOKUP(D422,'מאזן בוחן'!C:J,3,0)-F422</f>
        <v>0</v>
      </c>
      <c r="K422" s="137"/>
      <c r="L422" s="137"/>
      <c r="N422" s="32"/>
      <c r="O422" s="32"/>
      <c r="P422" s="32"/>
      <c r="Q422" s="32"/>
    </row>
    <row r="423" spans="1:17">
      <c r="A423" s="153" t="s">
        <v>1266</v>
      </c>
      <c r="B423" s="153" t="s">
        <v>1268</v>
      </c>
      <c r="C423" s="153" t="s">
        <v>1025</v>
      </c>
      <c r="D423" s="587">
        <v>2170450</v>
      </c>
      <c r="E423" s="153" t="s">
        <v>4044</v>
      </c>
      <c r="F423" s="1333">
        <v>-92487</v>
      </c>
      <c r="G423" s="1333">
        <v>-29738.59</v>
      </c>
      <c r="H423" s="1333">
        <f>VLOOKUP(D423,'מאזן בוחן'!$C:$M,11,0)-G423</f>
        <v>0</v>
      </c>
      <c r="I423" s="1333">
        <f>VLOOKUP(D423,'מאזן בוחן'!C:J,3,0)-F423</f>
        <v>0</v>
      </c>
      <c r="K423" s="137"/>
      <c r="L423" s="137"/>
      <c r="N423" s="32"/>
      <c r="O423" s="32"/>
      <c r="P423" s="32"/>
      <c r="Q423" s="32"/>
    </row>
    <row r="424" spans="1:17">
      <c r="A424" s="153" t="s">
        <v>1266</v>
      </c>
      <c r="B424" s="153" t="s">
        <v>1268</v>
      </c>
      <c r="C424" s="153" t="s">
        <v>1025</v>
      </c>
      <c r="D424" s="587">
        <v>2170459</v>
      </c>
      <c r="E424" s="153" t="s">
        <v>4281</v>
      </c>
      <c r="F424" s="1333">
        <v>-233</v>
      </c>
      <c r="G424" s="1333">
        <v>-74.92</v>
      </c>
      <c r="H424" s="1333">
        <f>VLOOKUP(D424,'מאזן בוחן'!$C:$M,11,0)-G424</f>
        <v>0</v>
      </c>
      <c r="I424" s="1333">
        <f>VLOOKUP(D424,'מאזן בוחן'!C:J,3,0)-F424</f>
        <v>0</v>
      </c>
      <c r="K424" s="137"/>
      <c r="L424" s="137"/>
      <c r="N424" s="32"/>
      <c r="O424" s="32"/>
      <c r="P424" s="32"/>
      <c r="Q424" s="32"/>
    </row>
    <row r="425" spans="1:17">
      <c r="A425" s="153" t="s">
        <v>1266</v>
      </c>
      <c r="B425" s="153" t="s">
        <v>1268</v>
      </c>
      <c r="C425" s="153" t="s">
        <v>1025</v>
      </c>
      <c r="D425" s="587">
        <v>2170461</v>
      </c>
      <c r="E425" s="153" t="s">
        <v>4759</v>
      </c>
      <c r="F425" s="1333">
        <v>-162779.76</v>
      </c>
      <c r="G425" s="1333">
        <v>-52340.76</v>
      </c>
      <c r="H425" s="1333">
        <f>VLOOKUP(D425,'מאזן בוחן'!$C:$M,11,0)-G425</f>
        <v>0</v>
      </c>
      <c r="I425" s="1333">
        <f>VLOOKUP(D425,'מאזן בוחן'!C:J,3,0)-F425</f>
        <v>0</v>
      </c>
      <c r="K425" s="137"/>
      <c r="L425" s="137"/>
      <c r="N425" s="32"/>
      <c r="O425" s="32"/>
      <c r="P425" s="32"/>
      <c r="Q425" s="32"/>
    </row>
    <row r="426" spans="1:17">
      <c r="A426" s="153" t="s">
        <v>1266</v>
      </c>
      <c r="B426" s="153" t="s">
        <v>1268</v>
      </c>
      <c r="C426" s="153" t="s">
        <v>1025</v>
      </c>
      <c r="D426" s="587">
        <v>2170463</v>
      </c>
      <c r="E426" s="153" t="s">
        <v>4668</v>
      </c>
      <c r="F426" s="1333">
        <v>-94126.5</v>
      </c>
      <c r="G426" s="1333">
        <v>-30265.759999999998</v>
      </c>
      <c r="H426" s="1333">
        <f>VLOOKUP(D426,'מאזן בוחן'!$C:$M,11,0)-G426</f>
        <v>0</v>
      </c>
      <c r="I426" s="1333">
        <f>VLOOKUP(D426,'מאזן בוחן'!C:J,3,0)-F426</f>
        <v>0</v>
      </c>
      <c r="K426" s="137"/>
      <c r="L426" s="137"/>
      <c r="N426" s="32"/>
      <c r="O426" s="32"/>
      <c r="P426" s="32"/>
      <c r="Q426" s="32"/>
    </row>
    <row r="427" spans="1:17">
      <c r="A427" s="153" t="s">
        <v>1266</v>
      </c>
      <c r="B427" s="153" t="s">
        <v>1268</v>
      </c>
      <c r="C427" s="153" t="s">
        <v>1025</v>
      </c>
      <c r="D427" s="587">
        <v>2170464</v>
      </c>
      <c r="E427" s="153" t="s">
        <v>4669</v>
      </c>
      <c r="F427" s="1333">
        <v>-9454.4</v>
      </c>
      <c r="G427" s="1333">
        <v>-3040</v>
      </c>
      <c r="H427" s="1333">
        <f>VLOOKUP(D427,'מאזן בוחן'!$C:$M,11,0)-G427</f>
        <v>0</v>
      </c>
      <c r="I427" s="1333">
        <f>VLOOKUP(D427,'מאזן בוחן'!C:J,3,0)-F427</f>
        <v>0</v>
      </c>
      <c r="K427" s="137"/>
      <c r="L427" s="137"/>
      <c r="N427" s="32"/>
      <c r="O427" s="32"/>
      <c r="P427" s="32"/>
      <c r="Q427" s="32"/>
    </row>
    <row r="428" spans="1:17">
      <c r="A428" s="153" t="s">
        <v>1266</v>
      </c>
      <c r="B428" s="153" t="s">
        <v>1268</v>
      </c>
      <c r="C428" s="153" t="s">
        <v>1025</v>
      </c>
      <c r="D428" s="587">
        <v>2170466</v>
      </c>
      <c r="E428" s="153" t="s">
        <v>4670</v>
      </c>
      <c r="F428" s="1333">
        <v>-18660</v>
      </c>
      <c r="G428" s="1333">
        <v>-6000</v>
      </c>
      <c r="H428" s="1333">
        <f>VLOOKUP(D428,'מאזן בוחן'!$C:$M,11,0)-G428</f>
        <v>0</v>
      </c>
      <c r="I428" s="1333">
        <f>VLOOKUP(D428,'מאזן בוחן'!C:J,3,0)-F428</f>
        <v>0</v>
      </c>
      <c r="K428" s="137"/>
      <c r="L428" s="137"/>
      <c r="N428" s="32"/>
      <c r="O428" s="32"/>
      <c r="P428" s="32"/>
      <c r="Q428" s="32"/>
    </row>
    <row r="429" spans="1:17">
      <c r="A429" s="153" t="s">
        <v>1266</v>
      </c>
      <c r="B429" s="153" t="s">
        <v>1268</v>
      </c>
      <c r="C429" s="153" t="s">
        <v>1025</v>
      </c>
      <c r="D429" s="587">
        <v>2170467</v>
      </c>
      <c r="E429" s="153" t="s">
        <v>4671</v>
      </c>
      <c r="F429" s="1333">
        <v>-4212</v>
      </c>
      <c r="G429" s="1333">
        <v>-1354.34</v>
      </c>
      <c r="H429" s="1333">
        <f>VLOOKUP(D429,'מאזן בוחן'!$C:$M,11,0)-G429</f>
        <v>0</v>
      </c>
      <c r="I429" s="1333">
        <f>VLOOKUP(D429,'מאזן בוחן'!C:J,3,0)-F429</f>
        <v>0</v>
      </c>
      <c r="K429" s="137"/>
      <c r="L429" s="137"/>
      <c r="N429" s="32"/>
      <c r="O429" s="32"/>
      <c r="P429" s="32"/>
      <c r="Q429" s="32"/>
    </row>
    <row r="430" spans="1:17">
      <c r="A430" s="153" t="s">
        <v>1266</v>
      </c>
      <c r="B430" s="153" t="s">
        <v>1268</v>
      </c>
      <c r="C430" s="153" t="s">
        <v>1025</v>
      </c>
      <c r="D430" s="587">
        <v>2170468</v>
      </c>
      <c r="E430" s="153" t="s">
        <v>4672</v>
      </c>
      <c r="F430" s="1333">
        <v>-1990</v>
      </c>
      <c r="G430" s="1333">
        <v>-639.87</v>
      </c>
      <c r="H430" s="1333">
        <f>VLOOKUP(D430,'מאזן בוחן'!$C:$M,11,0)-G430</f>
        <v>0</v>
      </c>
      <c r="I430" s="1333">
        <f>VLOOKUP(D430,'מאזן בוחן'!C:J,3,0)-F430</f>
        <v>0</v>
      </c>
      <c r="K430" s="137"/>
      <c r="L430" s="137"/>
      <c r="N430" s="32"/>
      <c r="O430" s="32"/>
      <c r="P430" s="32"/>
      <c r="Q430" s="32"/>
    </row>
    <row r="431" spans="1:17">
      <c r="A431" s="153" t="s">
        <v>1266</v>
      </c>
      <c r="B431" s="153" t="s">
        <v>1268</v>
      </c>
      <c r="C431" s="153" t="s">
        <v>1025</v>
      </c>
      <c r="D431" s="587">
        <v>2170473</v>
      </c>
      <c r="E431" s="153" t="s">
        <v>4760</v>
      </c>
      <c r="F431" s="1333">
        <v>-44460</v>
      </c>
      <c r="G431" s="1333">
        <v>-14295.82</v>
      </c>
      <c r="H431" s="1333">
        <f>VLOOKUP(D431,'מאזן בוחן'!$C:$M,11,0)-G431</f>
        <v>0</v>
      </c>
      <c r="I431" s="1333">
        <f>VLOOKUP(D431,'מאזן בוחן'!C:J,3,0)-F431</f>
        <v>0</v>
      </c>
      <c r="K431" s="137"/>
      <c r="L431" s="137"/>
      <c r="N431" s="32"/>
      <c r="O431" s="32"/>
      <c r="P431" s="32"/>
      <c r="Q431" s="32"/>
    </row>
    <row r="432" spans="1:17">
      <c r="A432" s="153" t="s">
        <v>1266</v>
      </c>
      <c r="B432" s="153" t="s">
        <v>1268</v>
      </c>
      <c r="C432" s="153" t="s">
        <v>1025</v>
      </c>
      <c r="D432" s="587">
        <v>2170479</v>
      </c>
      <c r="E432" s="153" t="s">
        <v>4461</v>
      </c>
      <c r="F432" s="1333">
        <v>-18205</v>
      </c>
      <c r="G432" s="1333">
        <v>-5853.7</v>
      </c>
      <c r="H432" s="1333">
        <f>VLOOKUP(D432,'מאזן בוחן'!$C:$M,11,0)-G432</f>
        <v>0</v>
      </c>
      <c r="I432" s="1333">
        <f>VLOOKUP(D432,'מאזן בוחן'!C:J,3,0)-F432</f>
        <v>0</v>
      </c>
      <c r="K432" s="137"/>
      <c r="L432" s="137"/>
      <c r="N432" s="32"/>
      <c r="O432" s="32"/>
      <c r="P432" s="32"/>
      <c r="Q432" s="32"/>
    </row>
    <row r="433" spans="1:17">
      <c r="A433" s="153" t="s">
        <v>1266</v>
      </c>
      <c r="B433" s="153" t="s">
        <v>1268</v>
      </c>
      <c r="C433" s="153" t="s">
        <v>1025</v>
      </c>
      <c r="D433" s="587">
        <v>2170483</v>
      </c>
      <c r="E433" s="153" t="s">
        <v>4350</v>
      </c>
      <c r="F433" s="1333">
        <v>-67392</v>
      </c>
      <c r="G433" s="1333">
        <v>-21669.45</v>
      </c>
      <c r="H433" s="1333">
        <f>VLOOKUP(D433,'מאזן בוחן'!$C:$M,11,0)-G433</f>
        <v>0</v>
      </c>
      <c r="I433" s="1333">
        <f>VLOOKUP(D433,'מאזן בוחן'!C:J,3,0)-F433</f>
        <v>0</v>
      </c>
      <c r="K433" s="137"/>
      <c r="L433" s="137"/>
      <c r="N433" s="32"/>
      <c r="O433" s="32"/>
      <c r="P433" s="32"/>
      <c r="Q433" s="32"/>
    </row>
    <row r="434" spans="1:17">
      <c r="A434" s="153" t="s">
        <v>1266</v>
      </c>
      <c r="B434" s="153" t="s">
        <v>1268</v>
      </c>
      <c r="C434" s="153" t="s">
        <v>1025</v>
      </c>
      <c r="D434" s="587">
        <v>2170488</v>
      </c>
      <c r="E434" s="153" t="s">
        <v>4673</v>
      </c>
      <c r="F434" s="1333">
        <v>-27772.880000000001</v>
      </c>
      <c r="G434" s="1333">
        <v>-8930.19</v>
      </c>
      <c r="H434" s="1333">
        <f>VLOOKUP(D434,'מאזן בוחן'!$C:$M,11,0)-G434</f>
        <v>0</v>
      </c>
      <c r="I434" s="1333">
        <f>VLOOKUP(D434,'מאזן בוחן'!C:J,3,0)-F434</f>
        <v>0</v>
      </c>
      <c r="K434" s="137"/>
      <c r="L434" s="137"/>
      <c r="N434" s="32"/>
      <c r="O434" s="32"/>
      <c r="P434" s="32"/>
      <c r="Q434" s="32"/>
    </row>
    <row r="435" spans="1:17">
      <c r="A435" s="153" t="s">
        <v>1266</v>
      </c>
      <c r="B435" s="153" t="s">
        <v>1268</v>
      </c>
      <c r="C435" s="153" t="s">
        <v>1025</v>
      </c>
      <c r="D435" s="587">
        <v>2170494</v>
      </c>
      <c r="E435" s="153" t="s">
        <v>4674</v>
      </c>
      <c r="F435" s="1333">
        <v>-544</v>
      </c>
      <c r="G435" s="1333">
        <v>-174.92</v>
      </c>
      <c r="H435" s="1333">
        <f>VLOOKUP(D435,'מאזן בוחן'!$C:$M,11,0)-G435</f>
        <v>0</v>
      </c>
      <c r="I435" s="1333">
        <f>VLOOKUP(D435,'מאזן בוחן'!C:J,3,0)-F435</f>
        <v>0</v>
      </c>
      <c r="K435" s="137"/>
      <c r="L435" s="137"/>
      <c r="N435" s="32"/>
      <c r="O435" s="32"/>
      <c r="P435" s="32"/>
      <c r="Q435" s="32"/>
    </row>
    <row r="436" spans="1:17">
      <c r="A436" s="153" t="s">
        <v>1266</v>
      </c>
      <c r="B436" s="153" t="s">
        <v>1268</v>
      </c>
      <c r="C436" s="153" t="s">
        <v>1025</v>
      </c>
      <c r="D436" s="587">
        <v>2170496</v>
      </c>
      <c r="E436" s="153" t="s">
        <v>4675</v>
      </c>
      <c r="F436" s="1333">
        <v>-37548.89</v>
      </c>
      <c r="G436" s="1333">
        <v>-12073.6</v>
      </c>
      <c r="H436" s="1333">
        <f>VLOOKUP(D436,'מאזן בוחן'!$C:$M,11,0)-G436</f>
        <v>0</v>
      </c>
      <c r="I436" s="1333">
        <f>VLOOKUP(D436,'מאזן בוחן'!C:J,3,0)-F436</f>
        <v>0</v>
      </c>
      <c r="K436" s="137"/>
      <c r="L436" s="137"/>
      <c r="N436" s="32"/>
      <c r="O436" s="32"/>
      <c r="P436" s="32"/>
      <c r="Q436" s="32"/>
    </row>
    <row r="437" spans="1:17">
      <c r="A437" s="153" t="s">
        <v>1266</v>
      </c>
      <c r="B437" s="153" t="s">
        <v>1268</v>
      </c>
      <c r="C437" s="153" t="s">
        <v>1025</v>
      </c>
      <c r="D437" s="587">
        <v>2170498</v>
      </c>
      <c r="E437" s="153" t="s">
        <v>4676</v>
      </c>
      <c r="F437" s="1333">
        <v>-1146.5999999999999</v>
      </c>
      <c r="G437" s="1333">
        <v>-368.68</v>
      </c>
      <c r="H437" s="1333">
        <f>VLOOKUP(D437,'מאזן בוחן'!$C:$M,11,0)-G437</f>
        <v>0</v>
      </c>
      <c r="I437" s="1333">
        <f>VLOOKUP(D437,'מאזן בוחן'!C:J,3,0)-F437</f>
        <v>0</v>
      </c>
      <c r="K437" s="137"/>
      <c r="L437" s="137"/>
      <c r="N437" s="32"/>
      <c r="O437" s="32"/>
      <c r="P437" s="32"/>
      <c r="Q437" s="32"/>
    </row>
    <row r="438" spans="1:17">
      <c r="A438" s="153" t="s">
        <v>1266</v>
      </c>
      <c r="B438" s="153" t="s">
        <v>1268</v>
      </c>
      <c r="C438" s="153" t="s">
        <v>1025</v>
      </c>
      <c r="D438" s="587">
        <v>2170502</v>
      </c>
      <c r="E438" s="153" t="s">
        <v>4677</v>
      </c>
      <c r="F438" s="1333">
        <v>-1457</v>
      </c>
      <c r="G438" s="1333">
        <v>-468.49</v>
      </c>
      <c r="H438" s="1333">
        <f>VLOOKUP(D438,'מאזן בוחן'!$C:$M,11,0)-G438</f>
        <v>0</v>
      </c>
      <c r="I438" s="1333">
        <f>VLOOKUP(D438,'מאזן בוחן'!C:J,3,0)-F438</f>
        <v>0</v>
      </c>
      <c r="K438" s="137"/>
      <c r="L438" s="137"/>
      <c r="N438" s="32"/>
      <c r="O438" s="32"/>
      <c r="P438" s="32"/>
      <c r="Q438" s="32"/>
    </row>
    <row r="439" spans="1:17">
      <c r="A439" s="153" t="s">
        <v>1266</v>
      </c>
      <c r="B439" s="153" t="s">
        <v>1268</v>
      </c>
      <c r="C439" s="153" t="s">
        <v>1025</v>
      </c>
      <c r="D439" s="587">
        <v>2170505</v>
      </c>
      <c r="E439" s="153" t="s">
        <v>4761</v>
      </c>
      <c r="F439" s="1333">
        <v>-89431.97</v>
      </c>
      <c r="G439" s="1333">
        <v>-28756.26</v>
      </c>
      <c r="H439" s="1333">
        <f>VLOOKUP(D439,'מאזן בוחן'!$C:$M,11,0)-G439</f>
        <v>0</v>
      </c>
      <c r="I439" s="1333">
        <f>VLOOKUP(D439,'מאזן בוחן'!C:J,3,0)-F439</f>
        <v>0</v>
      </c>
      <c r="K439" s="137"/>
      <c r="L439" s="137"/>
      <c r="N439" s="32"/>
      <c r="O439" s="32"/>
      <c r="P439" s="32"/>
      <c r="Q439" s="32"/>
    </row>
    <row r="440" spans="1:17">
      <c r="A440" s="153" t="s">
        <v>1266</v>
      </c>
      <c r="B440" s="153" t="s">
        <v>1268</v>
      </c>
      <c r="C440" s="153" t="s">
        <v>1032</v>
      </c>
      <c r="D440" s="587">
        <v>2110007</v>
      </c>
      <c r="E440" s="153" t="s">
        <v>441</v>
      </c>
      <c r="F440" s="1333">
        <v>3110</v>
      </c>
      <c r="G440" s="1333">
        <v>1000</v>
      </c>
      <c r="H440" s="1333">
        <f>VLOOKUP(D440,'מאזן בוחן'!$C:$M,11,0)-G440</f>
        <v>0</v>
      </c>
      <c r="I440" s="1333">
        <f>VLOOKUP(D440,'מאזן בוחן'!C:J,3,0)-F440</f>
        <v>0</v>
      </c>
      <c r="K440" s="137"/>
      <c r="L440" s="137"/>
      <c r="N440" s="32"/>
      <c r="O440" s="32"/>
      <c r="P440" s="32"/>
      <c r="Q440" s="32"/>
    </row>
    <row r="441" spans="1:17">
      <c r="A441" s="153" t="s">
        <v>1266</v>
      </c>
      <c r="B441" s="153" t="s">
        <v>1268</v>
      </c>
      <c r="C441" s="153" t="s">
        <v>1032</v>
      </c>
      <c r="D441" s="587">
        <v>2120244</v>
      </c>
      <c r="E441" s="153" t="s">
        <v>3983</v>
      </c>
      <c r="F441" s="1333">
        <v>-47579.23</v>
      </c>
      <c r="G441" s="1333">
        <v>-15298.79</v>
      </c>
      <c r="H441" s="1333">
        <f>VLOOKUP(D441,'מאזן בוחן'!$C:$M,11,0)-G441</f>
        <v>0</v>
      </c>
      <c r="I441" s="1333">
        <f>VLOOKUP(D441,'מאזן בוחן'!C:J,3,0)-F441</f>
        <v>0</v>
      </c>
      <c r="K441" s="137"/>
      <c r="L441" s="137"/>
      <c r="N441" s="32"/>
      <c r="O441" s="32"/>
      <c r="P441" s="32"/>
      <c r="Q441" s="32"/>
    </row>
    <row r="442" spans="1:17">
      <c r="A442" s="153" t="s">
        <v>1266</v>
      </c>
      <c r="B442" s="153" t="s">
        <v>1268</v>
      </c>
      <c r="C442" s="153" t="s">
        <v>1033</v>
      </c>
      <c r="D442" s="587">
        <v>2120083</v>
      </c>
      <c r="E442" s="153" t="s">
        <v>3690</v>
      </c>
      <c r="F442" s="1333">
        <v>-20768.580000000002</v>
      </c>
      <c r="G442" s="1333">
        <v>-6678</v>
      </c>
      <c r="H442" s="1333">
        <f>VLOOKUP(D442,'מאזן בוחן'!$C:$M,11,0)-G442</f>
        <v>0</v>
      </c>
      <c r="I442" s="1333">
        <f>VLOOKUP(D442,'מאזן בוחן'!C:J,3,0)-F442</f>
        <v>0</v>
      </c>
      <c r="K442" s="137"/>
      <c r="L442" s="137"/>
      <c r="N442" s="32"/>
      <c r="O442" s="32"/>
      <c r="P442" s="32"/>
      <c r="Q442" s="32"/>
    </row>
    <row r="443" spans="1:17">
      <c r="A443" s="153" t="s">
        <v>1266</v>
      </c>
      <c r="B443" s="153" t="s">
        <v>1268</v>
      </c>
      <c r="C443" s="153" t="s">
        <v>1033</v>
      </c>
      <c r="D443" s="587">
        <v>2120088</v>
      </c>
      <c r="E443" s="153" t="s">
        <v>432</v>
      </c>
      <c r="F443" s="1333">
        <v>-6220</v>
      </c>
      <c r="G443" s="1333">
        <v>-2000</v>
      </c>
      <c r="H443" s="1333">
        <f>VLOOKUP(D443,'מאזן בוחן'!$C:$M,11,0)-G443</f>
        <v>0</v>
      </c>
      <c r="I443" s="1333">
        <f>VLOOKUP(D443,'מאזן בוחן'!C:J,3,0)-F443</f>
        <v>0</v>
      </c>
      <c r="K443" s="137"/>
      <c r="L443" s="137"/>
      <c r="N443" s="32"/>
      <c r="O443" s="32"/>
      <c r="P443" s="32"/>
      <c r="Q443" s="32"/>
    </row>
    <row r="444" spans="1:17">
      <c r="A444" s="153" t="s">
        <v>1266</v>
      </c>
      <c r="B444" s="153" t="s">
        <v>1268</v>
      </c>
      <c r="C444" s="153" t="s">
        <v>1033</v>
      </c>
      <c r="D444" s="587">
        <v>2120095</v>
      </c>
      <c r="E444" s="153" t="s">
        <v>3802</v>
      </c>
      <c r="F444" s="1333">
        <v>-7977.15</v>
      </c>
      <c r="G444" s="1333">
        <v>-2565</v>
      </c>
      <c r="H444" s="1333">
        <f>VLOOKUP(D444,'מאזן בוחן'!$C:$M,11,0)-G444</f>
        <v>0</v>
      </c>
      <c r="I444" s="1333">
        <f>VLOOKUP(D444,'מאזן בוחן'!C:J,3,0)-F444</f>
        <v>0</v>
      </c>
      <c r="K444" s="137"/>
      <c r="L444" s="137"/>
      <c r="N444" s="32"/>
      <c r="O444" s="32"/>
      <c r="P444" s="32"/>
      <c r="Q444" s="32"/>
    </row>
    <row r="445" spans="1:17">
      <c r="A445" s="153" t="s">
        <v>1266</v>
      </c>
      <c r="B445" s="153" t="s">
        <v>1268</v>
      </c>
      <c r="C445" s="153" t="s">
        <v>1033</v>
      </c>
      <c r="D445" s="587">
        <v>2170224</v>
      </c>
      <c r="E445" s="153" t="s">
        <v>1576</v>
      </c>
      <c r="F445" s="1333">
        <v>-2052.6</v>
      </c>
      <c r="G445" s="1333">
        <v>-660</v>
      </c>
      <c r="H445" s="1333">
        <f>VLOOKUP(D445,'מאזן בוחן'!$C:$M,11,0)-G445</f>
        <v>0</v>
      </c>
      <c r="I445" s="1333">
        <f>VLOOKUP(D445,'מאזן בוחן'!C:J,3,0)-F445</f>
        <v>0</v>
      </c>
      <c r="K445" s="137"/>
      <c r="L445" s="137"/>
      <c r="N445" s="32"/>
      <c r="O445" s="32"/>
      <c r="P445" s="32"/>
      <c r="Q445" s="32"/>
    </row>
    <row r="446" spans="1:17">
      <c r="A446" s="153" t="s">
        <v>1266</v>
      </c>
      <c r="B446" s="153" t="s">
        <v>1268</v>
      </c>
      <c r="C446" s="153" t="s">
        <v>1033</v>
      </c>
      <c r="D446" s="587">
        <v>2170314</v>
      </c>
      <c r="E446" s="153" t="s">
        <v>2206</v>
      </c>
      <c r="F446" s="1333">
        <v>-127076.31</v>
      </c>
      <c r="G446" s="1333">
        <v>-40860.550000000003</v>
      </c>
      <c r="H446" s="1333">
        <f>VLOOKUP(D446,'מאזן בוחן'!$C:$M,11,0)-G446</f>
        <v>0</v>
      </c>
      <c r="I446" s="1333">
        <f>VLOOKUP(D446,'מאזן בוחן'!C:J,3,0)-F446</f>
        <v>0</v>
      </c>
      <c r="K446" s="137"/>
      <c r="L446" s="137"/>
      <c r="N446" s="32"/>
      <c r="O446" s="32"/>
      <c r="P446" s="32"/>
      <c r="Q446" s="32"/>
    </row>
    <row r="447" spans="1:17">
      <c r="A447" s="153" t="s">
        <v>1266</v>
      </c>
      <c r="B447" s="153" t="s">
        <v>1268</v>
      </c>
      <c r="C447" s="153" t="s">
        <v>1033</v>
      </c>
      <c r="D447" s="587">
        <v>2170339</v>
      </c>
      <c r="E447" s="153" t="s">
        <v>1946</v>
      </c>
      <c r="F447" s="1333">
        <v>-1025797.52</v>
      </c>
      <c r="G447" s="1333">
        <v>-329838.43</v>
      </c>
      <c r="H447" s="1333">
        <f>VLOOKUP(D447,'מאזן בוחן'!$C:$M,11,0)-G447</f>
        <v>0</v>
      </c>
      <c r="I447" s="1333">
        <f>VLOOKUP(D447,'מאזן בוחן'!C:J,3,0)-F447</f>
        <v>0</v>
      </c>
      <c r="K447" s="137"/>
      <c r="L447" s="137"/>
      <c r="N447" s="32"/>
      <c r="O447" s="32"/>
      <c r="P447" s="32"/>
      <c r="Q447" s="32"/>
    </row>
    <row r="448" spans="1:17">
      <c r="A448" s="153" t="s">
        <v>1266</v>
      </c>
      <c r="B448" s="153" t="s">
        <v>1268</v>
      </c>
      <c r="C448" s="153" t="s">
        <v>1033</v>
      </c>
      <c r="D448" s="587">
        <v>2170358</v>
      </c>
      <c r="E448" s="153" t="s">
        <v>2057</v>
      </c>
      <c r="F448" s="1333">
        <v>-36946.800000000003</v>
      </c>
      <c r="G448" s="1333">
        <v>-11880</v>
      </c>
      <c r="H448" s="1333">
        <f>VLOOKUP(D448,'מאזן בוחן'!$C:$M,11,0)-G448</f>
        <v>0</v>
      </c>
      <c r="I448" s="1333">
        <f>VLOOKUP(D448,'מאזן בוחן'!C:J,3,0)-F448</f>
        <v>0</v>
      </c>
      <c r="K448" s="137"/>
      <c r="L448" s="137"/>
      <c r="N448" s="32"/>
      <c r="O448" s="32"/>
      <c r="P448" s="32"/>
      <c r="Q448" s="32"/>
    </row>
    <row r="449" spans="1:17">
      <c r="A449" s="153" t="s">
        <v>1266</v>
      </c>
      <c r="B449" s="153" t="s">
        <v>1268</v>
      </c>
      <c r="C449" s="153" t="s">
        <v>1033</v>
      </c>
      <c r="D449" s="587">
        <v>2170380</v>
      </c>
      <c r="E449" s="153" t="s">
        <v>2744</v>
      </c>
      <c r="F449" s="1333">
        <v>-47272</v>
      </c>
      <c r="G449" s="1333">
        <v>-15200</v>
      </c>
      <c r="H449" s="1333">
        <f>VLOOKUP(D449,'מאזן בוחן'!$C:$M,11,0)-G449</f>
        <v>0</v>
      </c>
      <c r="I449" s="1333">
        <f>VLOOKUP(D449,'מאזן בוחן'!C:J,3,0)-F449</f>
        <v>0</v>
      </c>
      <c r="K449" s="137"/>
      <c r="L449" s="137"/>
      <c r="N449" s="32"/>
      <c r="O449" s="32"/>
      <c r="P449" s="32"/>
      <c r="Q449" s="32"/>
    </row>
    <row r="450" spans="1:17">
      <c r="A450" s="153" t="s">
        <v>1266</v>
      </c>
      <c r="B450" s="153" t="s">
        <v>1268</v>
      </c>
      <c r="C450" s="153" t="s">
        <v>1033</v>
      </c>
      <c r="D450" s="587">
        <v>2170382</v>
      </c>
      <c r="E450" s="153" t="s">
        <v>3127</v>
      </c>
      <c r="F450" s="1333">
        <v>-335.97</v>
      </c>
      <c r="G450" s="1333">
        <v>-108.03</v>
      </c>
      <c r="H450" s="1333">
        <f>VLOOKUP(D450,'מאזן בוחן'!$C:$M,11,0)-G450</f>
        <v>0</v>
      </c>
      <c r="I450" s="1333">
        <f>VLOOKUP(D450,'מאזן בוחן'!C:J,3,0)-F450</f>
        <v>0</v>
      </c>
      <c r="K450" s="137"/>
      <c r="L450" s="137"/>
      <c r="N450" s="32"/>
      <c r="O450" s="32"/>
      <c r="P450" s="32"/>
      <c r="Q450" s="32"/>
    </row>
    <row r="451" spans="1:17">
      <c r="A451" s="153" t="s">
        <v>1266</v>
      </c>
      <c r="B451" s="153" t="s">
        <v>1268</v>
      </c>
      <c r="C451" s="153" t="s">
        <v>1033</v>
      </c>
      <c r="D451" s="587">
        <v>2170389</v>
      </c>
      <c r="E451" s="153" t="s">
        <v>4540</v>
      </c>
      <c r="F451" s="1333">
        <v>-214590</v>
      </c>
      <c r="G451" s="1333">
        <v>-69000</v>
      </c>
      <c r="H451" s="1333">
        <f>VLOOKUP(D451,'מאזן בוחן'!$C:$M,11,0)-G451</f>
        <v>0</v>
      </c>
      <c r="I451" s="1333">
        <f>VLOOKUP(D451,'מאזן בוחן'!C:J,3,0)-F451</f>
        <v>0</v>
      </c>
      <c r="K451" s="137"/>
      <c r="L451" s="137"/>
      <c r="N451" s="32"/>
      <c r="O451" s="32"/>
      <c r="P451" s="32"/>
      <c r="Q451" s="32"/>
    </row>
    <row r="452" spans="1:17">
      <c r="A452" s="153" t="s">
        <v>1266</v>
      </c>
      <c r="B452" s="153" t="s">
        <v>1268</v>
      </c>
      <c r="C452" s="153" t="s">
        <v>1033</v>
      </c>
      <c r="D452" s="587">
        <v>2170391</v>
      </c>
      <c r="E452" s="153" t="s">
        <v>3023</v>
      </c>
      <c r="F452" s="1333">
        <v>-13062</v>
      </c>
      <c r="G452" s="1333">
        <v>-4200</v>
      </c>
      <c r="H452" s="1333">
        <f>VLOOKUP(D452,'מאזן בוחן'!$C:$M,11,0)-G452</f>
        <v>0</v>
      </c>
      <c r="I452" s="1333">
        <f>VLOOKUP(D452,'מאזן בוחן'!C:J,3,0)-F452</f>
        <v>0</v>
      </c>
      <c r="K452" s="137"/>
      <c r="L452" s="137"/>
      <c r="N452" s="32"/>
      <c r="O452" s="32"/>
      <c r="P452" s="32"/>
      <c r="Q452" s="32"/>
    </row>
    <row r="453" spans="1:17">
      <c r="A453" s="153" t="s">
        <v>1266</v>
      </c>
      <c r="B453" s="153" t="s">
        <v>1268</v>
      </c>
      <c r="C453" s="153" t="s">
        <v>1033</v>
      </c>
      <c r="D453" s="587">
        <v>2170447</v>
      </c>
      <c r="E453" s="153" t="s">
        <v>4046</v>
      </c>
      <c r="F453" s="1333">
        <v>-1542.93</v>
      </c>
      <c r="G453" s="1333">
        <v>-496.12</v>
      </c>
      <c r="H453" s="1333">
        <f>VLOOKUP(D453,'מאזן בוחן'!$C:$M,11,0)-G453</f>
        <v>0</v>
      </c>
      <c r="I453" s="1333">
        <f>VLOOKUP(D453,'מאזן בוחן'!C:J,3,0)-F453</f>
        <v>0</v>
      </c>
      <c r="K453" s="137"/>
      <c r="L453" s="137"/>
      <c r="N453" s="32"/>
      <c r="O453" s="32"/>
      <c r="P453" s="32"/>
      <c r="Q453" s="32"/>
    </row>
    <row r="454" spans="1:17">
      <c r="A454" s="153" t="s">
        <v>1266</v>
      </c>
      <c r="B454" s="153" t="s">
        <v>1268</v>
      </c>
      <c r="C454" s="153" t="s">
        <v>1033</v>
      </c>
      <c r="D454" s="587">
        <v>2170448</v>
      </c>
      <c r="E454" s="153" t="s">
        <v>4188</v>
      </c>
      <c r="F454" s="1333">
        <v>-24996.62</v>
      </c>
      <c r="G454" s="1333">
        <v>-8037.5</v>
      </c>
      <c r="H454" s="1333">
        <f>VLOOKUP(D454,'מאזן בוחן'!$C:$M,11,0)-G454</f>
        <v>0</v>
      </c>
      <c r="I454" s="1333">
        <f>VLOOKUP(D454,'מאזן בוחן'!C:J,3,0)-F454</f>
        <v>0</v>
      </c>
      <c r="K454" s="137"/>
      <c r="L454" s="137"/>
      <c r="N454" s="32"/>
      <c r="O454" s="32"/>
      <c r="P454" s="32"/>
      <c r="Q454" s="32"/>
    </row>
    <row r="455" spans="1:17">
      <c r="A455" s="153" t="s">
        <v>1266</v>
      </c>
      <c r="B455" s="153" t="s">
        <v>1268</v>
      </c>
      <c r="C455" s="153" t="s">
        <v>1033</v>
      </c>
      <c r="D455" s="587">
        <v>2170451</v>
      </c>
      <c r="E455" s="153" t="s">
        <v>4047</v>
      </c>
      <c r="F455" s="1333">
        <v>-10263</v>
      </c>
      <c r="G455" s="1333">
        <v>-3300</v>
      </c>
      <c r="H455" s="1333">
        <f>VLOOKUP(D455,'מאזן בוחן'!$C:$M,11,0)-G455</f>
        <v>0</v>
      </c>
      <c r="I455" s="1333">
        <f>VLOOKUP(D455,'מאזן בוחן'!C:J,3,0)-F455</f>
        <v>0</v>
      </c>
      <c r="K455" s="137"/>
      <c r="L455" s="137"/>
      <c r="N455" s="32"/>
      <c r="O455" s="32"/>
      <c r="P455" s="32"/>
      <c r="Q455" s="32"/>
    </row>
    <row r="456" spans="1:17">
      <c r="A456" s="153" t="s">
        <v>1266</v>
      </c>
      <c r="B456" s="153" t="s">
        <v>1268</v>
      </c>
      <c r="C456" s="153" t="s">
        <v>1033</v>
      </c>
      <c r="D456" s="587">
        <v>2170492</v>
      </c>
      <c r="E456" s="153" t="s">
        <v>4679</v>
      </c>
      <c r="F456" s="1333">
        <v>-3660.47</v>
      </c>
      <c r="G456" s="1333">
        <v>-1177</v>
      </c>
      <c r="H456" s="1333">
        <f>VLOOKUP(D456,'מאזן בוחן'!$C:$M,11,0)-G456</f>
        <v>0</v>
      </c>
      <c r="I456" s="1333">
        <f>VLOOKUP(D456,'מאזן בוחן'!C:J,3,0)-F456</f>
        <v>0</v>
      </c>
      <c r="K456" s="137"/>
      <c r="L456" s="137"/>
      <c r="N456" s="32"/>
      <c r="O456" s="32"/>
      <c r="P456" s="32"/>
      <c r="Q456" s="32"/>
    </row>
    <row r="457" spans="1:17">
      <c r="A457" s="153" t="s">
        <v>1266</v>
      </c>
      <c r="B457" s="153" t="s">
        <v>1268</v>
      </c>
      <c r="C457" s="153" t="s">
        <v>1033</v>
      </c>
      <c r="D457" s="587">
        <v>2170493</v>
      </c>
      <c r="E457" s="153" t="s">
        <v>4680</v>
      </c>
      <c r="F457" s="1333">
        <v>-62200</v>
      </c>
      <c r="G457" s="1333">
        <v>-20000</v>
      </c>
      <c r="H457" s="1333">
        <f>VLOOKUP(D457,'מאזן בוחן'!$C:$M,11,0)-G457</f>
        <v>0</v>
      </c>
      <c r="I457" s="1333">
        <f>VLOOKUP(D457,'מאזן בוחן'!C:J,3,0)-F457</f>
        <v>0</v>
      </c>
      <c r="K457" s="137"/>
      <c r="L457" s="137"/>
      <c r="N457" s="32"/>
      <c r="O457" s="32"/>
      <c r="P457" s="32"/>
      <c r="Q457" s="32"/>
    </row>
    <row r="458" spans="1:17">
      <c r="A458" s="153" t="s">
        <v>1266</v>
      </c>
      <c r="B458" s="153" t="s">
        <v>1270</v>
      </c>
      <c r="C458" s="153" t="s">
        <v>1037</v>
      </c>
      <c r="D458" s="587">
        <v>2200001</v>
      </c>
      <c r="E458" s="153" t="s">
        <v>151</v>
      </c>
      <c r="F458" s="1333">
        <v>-1198804</v>
      </c>
      <c r="G458" s="1333">
        <v>-385467.52</v>
      </c>
      <c r="H458" s="1333">
        <f>VLOOKUP(D458,'מאזן בוחן'!$C:$M,11,0)-G458</f>
        <v>0</v>
      </c>
      <c r="I458" s="1333">
        <f>VLOOKUP(D458,'מאזן בוחן'!C:J,3,0)-F458</f>
        <v>0</v>
      </c>
      <c r="K458" s="137"/>
      <c r="L458" s="137"/>
      <c r="N458" s="32"/>
      <c r="O458" s="32"/>
      <c r="P458" s="32"/>
      <c r="Q458" s="32"/>
    </row>
    <row r="459" spans="1:17">
      <c r="A459" s="153" t="s">
        <v>1266</v>
      </c>
      <c r="B459" s="153" t="s">
        <v>1270</v>
      </c>
      <c r="C459" s="153" t="s">
        <v>1037</v>
      </c>
      <c r="D459" s="587">
        <v>2200005</v>
      </c>
      <c r="E459" s="153" t="s">
        <v>1498</v>
      </c>
      <c r="F459" s="1333">
        <v>360283.61</v>
      </c>
      <c r="G459" s="1333">
        <v>115846.82</v>
      </c>
      <c r="H459" s="1333">
        <f>VLOOKUP(D459,'מאזן בוחן'!$C:$M,11,0)-G459</f>
        <v>0</v>
      </c>
      <c r="I459" s="1333">
        <f>VLOOKUP(D459,'מאזן בוחן'!C:J,3,0)-F459</f>
        <v>0</v>
      </c>
      <c r="K459" s="137"/>
      <c r="L459" s="137"/>
      <c r="N459" s="32"/>
      <c r="O459" s="32"/>
      <c r="P459" s="32"/>
      <c r="Q459" s="32"/>
    </row>
    <row r="460" spans="1:17">
      <c r="A460" s="153" t="s">
        <v>1266</v>
      </c>
      <c r="B460" s="153" t="s">
        <v>2912</v>
      </c>
      <c r="C460" s="153" t="s">
        <v>1038</v>
      </c>
      <c r="D460" s="587">
        <v>2300001</v>
      </c>
      <c r="E460" s="153" t="s">
        <v>442</v>
      </c>
      <c r="F460" s="1333">
        <v>-29783.18</v>
      </c>
      <c r="G460" s="1333">
        <v>-9576.59</v>
      </c>
      <c r="H460" s="1333">
        <f>VLOOKUP(D460,'מאזן בוחן'!$C:$M,11,0)-G460</f>
        <v>0</v>
      </c>
      <c r="I460" s="1333">
        <f>VLOOKUP(D460,'מאזן בוחן'!C:J,3,0)-F460</f>
        <v>0</v>
      </c>
      <c r="K460" s="137"/>
      <c r="L460" s="137"/>
      <c r="N460" s="32"/>
      <c r="O460" s="32"/>
      <c r="P460" s="32"/>
      <c r="Q460" s="32"/>
    </row>
    <row r="461" spans="1:17">
      <c r="A461" s="153" t="s">
        <v>1266</v>
      </c>
      <c r="B461" s="153" t="s">
        <v>2912</v>
      </c>
      <c r="C461" s="153" t="s">
        <v>1038</v>
      </c>
      <c r="D461" s="587">
        <v>2300002</v>
      </c>
      <c r="E461" s="153" t="s">
        <v>2913</v>
      </c>
      <c r="F461" s="1333">
        <v>-42794.17</v>
      </c>
      <c r="G461" s="1333">
        <v>-13760.18</v>
      </c>
      <c r="H461" s="1333">
        <f>VLOOKUP(D461,'מאזן בוחן'!$C:$M,11,0)-G461</f>
        <v>0</v>
      </c>
      <c r="I461" s="1333">
        <f>VLOOKUP(D461,'מאזן בוחן'!C:J,3,0)-F461</f>
        <v>0</v>
      </c>
      <c r="K461" s="137"/>
      <c r="L461" s="137"/>
      <c r="N461" s="32"/>
      <c r="O461" s="32"/>
      <c r="P461" s="32"/>
      <c r="Q461" s="32"/>
    </row>
    <row r="462" spans="1:17">
      <c r="A462" s="153" t="s">
        <v>1266</v>
      </c>
      <c r="B462" s="153" t="s">
        <v>2912</v>
      </c>
      <c r="C462" s="153" t="s">
        <v>1038</v>
      </c>
      <c r="D462" s="587">
        <v>2300003</v>
      </c>
      <c r="E462" s="153" t="s">
        <v>2914</v>
      </c>
      <c r="F462" s="1333">
        <v>-23641.54</v>
      </c>
      <c r="G462" s="1333">
        <v>-7601.78</v>
      </c>
      <c r="H462" s="1333">
        <f>VLOOKUP(D462,'מאזן בוחן'!$C:$M,11,0)-G462</f>
        <v>0</v>
      </c>
      <c r="I462" s="1333">
        <f>VLOOKUP(D462,'מאזן בוחן'!C:J,3,0)-F462</f>
        <v>0</v>
      </c>
      <c r="K462" s="137"/>
      <c r="L462" s="137"/>
      <c r="N462" s="32"/>
      <c r="O462" s="32"/>
      <c r="P462" s="32"/>
      <c r="Q462" s="32"/>
    </row>
    <row r="463" spans="1:17">
      <c r="A463" s="153" t="s">
        <v>1266</v>
      </c>
      <c r="B463" s="153" t="s">
        <v>2912</v>
      </c>
      <c r="C463" s="153" t="s">
        <v>1038</v>
      </c>
      <c r="D463" s="587">
        <v>2300004</v>
      </c>
      <c r="E463" s="153" t="s">
        <v>443</v>
      </c>
      <c r="F463" s="1333">
        <v>3410.55</v>
      </c>
      <c r="G463" s="1333">
        <v>1096.6400000000001</v>
      </c>
      <c r="H463" s="1333">
        <f>VLOOKUP(D463,'מאזן בוחן'!$C:$M,11,0)-G463</f>
        <v>0</v>
      </c>
      <c r="I463" s="1333">
        <f>VLOOKUP(D463,'מאזן בוחן'!C:J,3,0)-F463</f>
        <v>0</v>
      </c>
      <c r="K463" s="137"/>
      <c r="L463" s="137"/>
      <c r="N463" s="32"/>
      <c r="O463" s="32"/>
      <c r="P463" s="32"/>
      <c r="Q463" s="32"/>
    </row>
    <row r="464" spans="1:17">
      <c r="A464" s="153" t="s">
        <v>1266</v>
      </c>
      <c r="B464" s="153" t="s">
        <v>2912</v>
      </c>
      <c r="C464" s="153" t="s">
        <v>1038</v>
      </c>
      <c r="D464" s="587">
        <v>2300008</v>
      </c>
      <c r="E464" s="153" t="s">
        <v>444</v>
      </c>
      <c r="F464" s="1333">
        <v>-80021</v>
      </c>
      <c r="G464" s="1333">
        <v>-25730.23</v>
      </c>
      <c r="H464" s="1333">
        <f>VLOOKUP(D464,'מאזן בוחן'!$C:$M,11,0)-G464</f>
        <v>0</v>
      </c>
      <c r="I464" s="1333">
        <f>VLOOKUP(D464,'מאזן בוחן'!C:J,3,0)-F464</f>
        <v>0</v>
      </c>
      <c r="K464" s="137"/>
      <c r="L464" s="137"/>
      <c r="N464" s="32"/>
      <c r="O464" s="32"/>
      <c r="P464" s="32"/>
      <c r="Q464" s="32"/>
    </row>
    <row r="465" spans="1:17">
      <c r="A465" s="153" t="s">
        <v>1266</v>
      </c>
      <c r="B465" s="153" t="s">
        <v>2912</v>
      </c>
      <c r="C465" s="153" t="s">
        <v>1038</v>
      </c>
      <c r="D465" s="587">
        <v>2300010</v>
      </c>
      <c r="E465" s="153" t="s">
        <v>1039</v>
      </c>
      <c r="F465" s="1333">
        <v>-169.9</v>
      </c>
      <c r="G465" s="1333">
        <v>-54.63</v>
      </c>
      <c r="H465" s="1333">
        <f>VLOOKUP(D465,'מאזן בוחן'!$C:$M,11,0)-G465</f>
        <v>0</v>
      </c>
      <c r="I465" s="1333">
        <f>VLOOKUP(D465,'מאזן בוחן'!C:J,3,0)-F465</f>
        <v>0</v>
      </c>
      <c r="K465" s="137"/>
      <c r="L465" s="137"/>
      <c r="N465" s="32"/>
      <c r="O465" s="32"/>
      <c r="P465" s="32"/>
      <c r="Q465" s="32"/>
    </row>
    <row r="466" spans="1:17">
      <c r="A466" s="153" t="s">
        <v>1266</v>
      </c>
      <c r="B466" s="153" t="s">
        <v>1271</v>
      </c>
      <c r="C466" s="153" t="s">
        <v>1040</v>
      </c>
      <c r="D466" s="587">
        <v>2400001</v>
      </c>
      <c r="E466" s="153" t="s">
        <v>421</v>
      </c>
      <c r="F466" s="1333">
        <v>-5270839.55</v>
      </c>
      <c r="G466" s="1333">
        <v>-1694803.71</v>
      </c>
      <c r="H466" s="1333">
        <f>VLOOKUP(D466,'מאזן בוחן'!$C:$M,11,0)-G466</f>
        <v>0</v>
      </c>
      <c r="I466" s="1333">
        <f>VLOOKUP(D466,'מאזן בוחן'!C:J,3,0)-F466</f>
        <v>0</v>
      </c>
      <c r="K466" s="137"/>
      <c r="L466" s="137"/>
      <c r="N466" s="32"/>
      <c r="O466" s="32"/>
      <c r="P466" s="32"/>
      <c r="Q466" s="32"/>
    </row>
    <row r="467" spans="1:17">
      <c r="A467" s="153" t="s">
        <v>1266</v>
      </c>
      <c r="B467" s="153" t="s">
        <v>1271</v>
      </c>
      <c r="C467" s="153" t="s">
        <v>1040</v>
      </c>
      <c r="D467" s="587">
        <v>2400002</v>
      </c>
      <c r="E467" s="153" t="s">
        <v>1041</v>
      </c>
      <c r="F467" s="1333">
        <v>-3253330</v>
      </c>
      <c r="G467" s="1333">
        <v>-1046086.82</v>
      </c>
      <c r="H467" s="1333">
        <f>VLOOKUP(D467,'מאזן בוחן'!$C:$M,11,0)-G467</f>
        <v>0</v>
      </c>
      <c r="I467" s="1333">
        <f>VLOOKUP(D467,'מאזן בוחן'!C:J,3,0)-F467</f>
        <v>0</v>
      </c>
      <c r="K467" s="137"/>
      <c r="L467" s="137"/>
      <c r="N467" s="32"/>
      <c r="O467" s="32"/>
      <c r="P467" s="32"/>
      <c r="Q467" s="32"/>
    </row>
    <row r="468" spans="1:17">
      <c r="A468" s="153" t="s">
        <v>1266</v>
      </c>
      <c r="B468" s="153" t="s">
        <v>1271</v>
      </c>
      <c r="C468" s="153" t="s">
        <v>1042</v>
      </c>
      <c r="D468" s="587">
        <v>2410300</v>
      </c>
      <c r="E468" s="153" t="s">
        <v>352</v>
      </c>
      <c r="F468" s="1333">
        <v>-948610</v>
      </c>
      <c r="G468" s="1333">
        <v>-305019.28999999998</v>
      </c>
      <c r="H468" s="1333">
        <f>VLOOKUP(D468,'מאזן בוחן'!$C:$M,11,0)-G468</f>
        <v>0</v>
      </c>
      <c r="I468" s="1333">
        <f>VLOOKUP(D468,'מאזן בוחן'!C:J,3,0)-F468</f>
        <v>0</v>
      </c>
      <c r="K468" s="137"/>
      <c r="L468" s="137"/>
      <c r="N468" s="32"/>
      <c r="O468" s="32"/>
      <c r="P468" s="32"/>
      <c r="Q468" s="32"/>
    </row>
    <row r="469" spans="1:17">
      <c r="A469" s="153" t="s">
        <v>1266</v>
      </c>
      <c r="B469" s="153" t="s">
        <v>1271</v>
      </c>
      <c r="C469" s="153" t="s">
        <v>1042</v>
      </c>
      <c r="D469" s="587">
        <v>2410301</v>
      </c>
      <c r="E469" s="153" t="s">
        <v>353</v>
      </c>
      <c r="F469" s="1333">
        <v>-1194168</v>
      </c>
      <c r="G469" s="1333">
        <v>-383976.85</v>
      </c>
      <c r="H469" s="1333">
        <f>VLOOKUP(D469,'מאזן בוחן'!$C:$M,11,0)-G469</f>
        <v>0</v>
      </c>
      <c r="I469" s="1333">
        <f>VLOOKUP(D469,'מאזן בוחן'!C:J,3,0)-F469</f>
        <v>0</v>
      </c>
      <c r="K469" s="137"/>
      <c r="L469" s="137"/>
      <c r="N469" s="32"/>
      <c r="O469" s="32"/>
      <c r="P469" s="32"/>
      <c r="Q469" s="32"/>
    </row>
    <row r="470" spans="1:17">
      <c r="A470" s="153" t="s">
        <v>1266</v>
      </c>
      <c r="B470" s="153" t="s">
        <v>1271</v>
      </c>
      <c r="C470" s="153" t="s">
        <v>1042</v>
      </c>
      <c r="D470" s="587">
        <v>2410305</v>
      </c>
      <c r="E470" s="153" t="s">
        <v>2915</v>
      </c>
      <c r="F470" s="1333">
        <v>-1421745</v>
      </c>
      <c r="G470" s="1333">
        <v>-457152.73</v>
      </c>
      <c r="H470" s="1333">
        <f>VLOOKUP(D470,'מאזן בוחן'!$C:$M,11,0)-G470</f>
        <v>0</v>
      </c>
      <c r="I470" s="1333">
        <f>VLOOKUP(D470,'מאזן בוחן'!C:J,3,0)-F470</f>
        <v>0</v>
      </c>
      <c r="K470" s="137"/>
      <c r="L470" s="137"/>
      <c r="N470" s="32"/>
      <c r="O470" s="32"/>
      <c r="P470" s="32"/>
      <c r="Q470" s="32"/>
    </row>
    <row r="471" spans="1:17">
      <c r="A471" s="153" t="s">
        <v>1266</v>
      </c>
      <c r="B471" s="153" t="s">
        <v>1271</v>
      </c>
      <c r="C471" s="153" t="s">
        <v>1043</v>
      </c>
      <c r="D471" s="587">
        <v>2420001</v>
      </c>
      <c r="E471" s="153" t="s">
        <v>354</v>
      </c>
      <c r="F471" s="1333">
        <v>-5748162.0700000003</v>
      </c>
      <c r="G471" s="1333">
        <v>-1848283.62</v>
      </c>
      <c r="H471" s="1333">
        <f>VLOOKUP(D471,'מאזן בוחן'!$C:$M,11,0)-G471</f>
        <v>0</v>
      </c>
      <c r="I471" s="1333">
        <f>VLOOKUP(D471,'מאזן בוחן'!C:J,3,0)-F471</f>
        <v>0</v>
      </c>
      <c r="K471" s="137"/>
      <c r="L471" s="137"/>
      <c r="N471" s="32"/>
      <c r="O471" s="32"/>
      <c r="P471" s="32"/>
      <c r="Q471" s="32"/>
    </row>
    <row r="472" spans="1:17">
      <c r="A472" s="153" t="s">
        <v>1266</v>
      </c>
      <c r="B472" s="153" t="s">
        <v>1272</v>
      </c>
      <c r="C472" s="153" t="s">
        <v>1044</v>
      </c>
      <c r="D472" s="587">
        <v>2500001</v>
      </c>
      <c r="E472" s="153" t="s">
        <v>342</v>
      </c>
      <c r="F472" s="1333">
        <v>57528.99</v>
      </c>
      <c r="G472" s="1333">
        <v>18498.07</v>
      </c>
      <c r="H472" s="1333">
        <f>VLOOKUP(D472,'מאזן בוחן'!$C:$M,11,0)-G472</f>
        <v>0</v>
      </c>
      <c r="I472" s="1333">
        <f>VLOOKUP(D472,'מאזן בוחן'!C:J,3,0)-F472</f>
        <v>0</v>
      </c>
      <c r="K472" s="137"/>
      <c r="L472" s="137"/>
      <c r="N472" s="32"/>
      <c r="O472" s="32"/>
      <c r="P472" s="32"/>
      <c r="Q472" s="32"/>
    </row>
    <row r="473" spans="1:17">
      <c r="A473" s="153" t="s">
        <v>1266</v>
      </c>
      <c r="B473" s="153" t="s">
        <v>1272</v>
      </c>
      <c r="C473" s="153" t="s">
        <v>1044</v>
      </c>
      <c r="D473" s="587">
        <v>2500003</v>
      </c>
      <c r="E473" s="153" t="s">
        <v>1045</v>
      </c>
      <c r="F473" s="1333">
        <v>-1186.6600000000001</v>
      </c>
      <c r="G473" s="1333">
        <v>-381.56</v>
      </c>
      <c r="H473" s="1333">
        <f>VLOOKUP(D473,'מאזן בוחן'!$C:$M,11,0)-G473</f>
        <v>0</v>
      </c>
      <c r="I473" s="1333">
        <f>VLOOKUP(D473,'מאזן בוחן'!C:J,3,0)-F473</f>
        <v>0</v>
      </c>
      <c r="K473" s="137"/>
      <c r="L473" s="137"/>
      <c r="N473" s="32"/>
      <c r="O473" s="32"/>
      <c r="P473" s="32"/>
      <c r="Q473" s="32"/>
    </row>
    <row r="474" spans="1:17">
      <c r="A474" s="153" t="s">
        <v>1266</v>
      </c>
      <c r="B474" s="153" t="s">
        <v>1272</v>
      </c>
      <c r="C474" s="153" t="s">
        <v>1044</v>
      </c>
      <c r="D474" s="587">
        <v>2500004</v>
      </c>
      <c r="E474" s="153" t="s">
        <v>343</v>
      </c>
      <c r="F474" s="1333">
        <v>797939.14</v>
      </c>
      <c r="G474" s="1333">
        <v>256572.07</v>
      </c>
      <c r="H474" s="1333">
        <f>VLOOKUP(D474,'מאזן בוחן'!$C:$M,11,0)-G474</f>
        <v>0</v>
      </c>
      <c r="I474" s="1333">
        <f>VLOOKUP(D474,'מאזן בוחן'!C:J,3,0)-F474</f>
        <v>0</v>
      </c>
      <c r="K474" s="137"/>
      <c r="L474" s="137"/>
      <c r="N474" s="32"/>
      <c r="O474" s="32"/>
      <c r="P474" s="32"/>
      <c r="Q474" s="32"/>
    </row>
    <row r="475" spans="1:17">
      <c r="A475" s="153" t="s">
        <v>1266</v>
      </c>
      <c r="B475" s="153" t="s">
        <v>1272</v>
      </c>
      <c r="C475" s="153" t="s">
        <v>1044</v>
      </c>
      <c r="D475" s="587">
        <v>2500007</v>
      </c>
      <c r="E475" s="153" t="s">
        <v>433</v>
      </c>
      <c r="F475" s="1333">
        <v>19981.240000000002</v>
      </c>
      <c r="G475" s="1333">
        <v>6424.84</v>
      </c>
      <c r="H475" s="1333">
        <f>VLOOKUP(D475,'מאזן בוחן'!$C:$M,11,0)-G475</f>
        <v>0</v>
      </c>
      <c r="I475" s="1333">
        <f>VLOOKUP(D475,'מאזן בוחן'!C:J,3,0)-F475</f>
        <v>0</v>
      </c>
      <c r="K475" s="137"/>
      <c r="L475" s="137"/>
      <c r="N475" s="32"/>
      <c r="O475" s="32"/>
      <c r="P475" s="32"/>
      <c r="Q475" s="32"/>
    </row>
    <row r="476" spans="1:17">
      <c r="A476" s="153" t="s">
        <v>1266</v>
      </c>
      <c r="B476" s="153" t="s">
        <v>1272</v>
      </c>
      <c r="C476" s="153" t="s">
        <v>1044</v>
      </c>
      <c r="D476" s="587">
        <v>2500016</v>
      </c>
      <c r="E476" s="153" t="s">
        <v>295</v>
      </c>
      <c r="F476" s="1333">
        <v>-0.35</v>
      </c>
      <c r="G476" s="1333">
        <v>0.31</v>
      </c>
      <c r="H476" s="1333">
        <f>VLOOKUP(D476,'מאזן בוחן'!$C:$M,11,0)-G476</f>
        <v>0</v>
      </c>
      <c r="I476" s="1333">
        <f>VLOOKUP(D476,'מאזן בוחן'!C:J,3,0)-F476</f>
        <v>0</v>
      </c>
      <c r="K476" s="137"/>
      <c r="L476" s="137"/>
      <c r="N476" s="32"/>
      <c r="O476" s="32"/>
      <c r="P476" s="32"/>
      <c r="Q476" s="32"/>
    </row>
    <row r="477" spans="1:17">
      <c r="A477" s="153" t="s">
        <v>1266</v>
      </c>
      <c r="B477" s="153" t="s">
        <v>1272</v>
      </c>
      <c r="C477" s="153" t="s">
        <v>1044</v>
      </c>
      <c r="D477" s="587">
        <v>2500023</v>
      </c>
      <c r="E477" s="153" t="s">
        <v>434</v>
      </c>
      <c r="F477" s="1333">
        <v>574795.76</v>
      </c>
      <c r="G477" s="1333">
        <v>184821.79</v>
      </c>
      <c r="H477" s="1333">
        <f>VLOOKUP(D477,'מאזן בוחן'!$C:$M,11,0)-G477</f>
        <v>0</v>
      </c>
      <c r="I477" s="1333">
        <f>VLOOKUP(D477,'מאזן בוחן'!C:J,3,0)-F477</f>
        <v>0</v>
      </c>
      <c r="K477" s="137"/>
      <c r="L477" s="137"/>
      <c r="N477" s="32"/>
      <c r="O477" s="32"/>
      <c r="P477" s="32"/>
      <c r="Q477" s="32"/>
    </row>
    <row r="478" spans="1:17">
      <c r="A478" s="153" t="s">
        <v>1266</v>
      </c>
      <c r="B478" s="153" t="s">
        <v>1272</v>
      </c>
      <c r="C478" s="153" t="s">
        <v>1044</v>
      </c>
      <c r="D478" s="587">
        <v>2500024</v>
      </c>
      <c r="E478" s="153" t="s">
        <v>552</v>
      </c>
      <c r="F478" s="1333">
        <v>803750.86</v>
      </c>
      <c r="G478" s="1333">
        <v>258440.79</v>
      </c>
      <c r="H478" s="1333">
        <f>VLOOKUP(D478,'מאזן בוחן'!$C:$M,11,0)-G478</f>
        <v>0</v>
      </c>
      <c r="I478" s="1333">
        <f>VLOOKUP(D478,'מאזן בוחן'!C:J,3,0)-F478</f>
        <v>0</v>
      </c>
      <c r="K478" s="137"/>
      <c r="L478" s="137"/>
      <c r="N478" s="32"/>
      <c r="O478" s="32"/>
      <c r="P478" s="32"/>
      <c r="Q478" s="32"/>
    </row>
    <row r="479" spans="1:17">
      <c r="A479" s="153" t="s">
        <v>1266</v>
      </c>
      <c r="B479" s="153" t="s">
        <v>1272</v>
      </c>
      <c r="C479" s="153" t="s">
        <v>1044</v>
      </c>
      <c r="D479" s="587">
        <v>2500025</v>
      </c>
      <c r="E479" s="153" t="s">
        <v>1046</v>
      </c>
      <c r="F479" s="1333">
        <v>1250940.81</v>
      </c>
      <c r="G479" s="1333">
        <v>402231.77</v>
      </c>
      <c r="H479" s="1333">
        <f>VLOOKUP(D479,'מאזן בוחן'!$C:$M,11,0)-G479</f>
        <v>0</v>
      </c>
      <c r="I479" s="1333">
        <f>VLOOKUP(D479,'מאזן בוחן'!C:J,3,0)-F479</f>
        <v>0</v>
      </c>
      <c r="K479" s="137"/>
      <c r="L479" s="137"/>
      <c r="N479" s="32"/>
      <c r="O479" s="32"/>
      <c r="P479" s="32"/>
      <c r="Q479" s="32"/>
    </row>
    <row r="480" spans="1:17">
      <c r="A480" s="153" t="s">
        <v>1266</v>
      </c>
      <c r="B480" s="153" t="s">
        <v>1272</v>
      </c>
      <c r="C480" s="153" t="s">
        <v>1044</v>
      </c>
      <c r="D480" s="587">
        <v>2500027</v>
      </c>
      <c r="E480" s="153" t="s">
        <v>435</v>
      </c>
      <c r="F480" s="1333">
        <v>269741</v>
      </c>
      <c r="G480" s="1333">
        <v>86733.440000000002</v>
      </c>
      <c r="H480" s="1333">
        <f>VLOOKUP(D480,'מאזן בוחן'!$C:$M,11,0)-G480</f>
        <v>0</v>
      </c>
      <c r="I480" s="1333">
        <f>VLOOKUP(D480,'מאזן בוחן'!C:J,3,0)-F480</f>
        <v>0</v>
      </c>
      <c r="K480" s="137"/>
      <c r="L480" s="137"/>
      <c r="N480" s="32"/>
      <c r="O480" s="32"/>
      <c r="P480" s="32"/>
      <c r="Q480" s="32"/>
    </row>
    <row r="481" spans="1:17">
      <c r="A481" s="153" t="s">
        <v>1266</v>
      </c>
      <c r="B481" s="153" t="s">
        <v>1272</v>
      </c>
      <c r="C481" s="153" t="s">
        <v>1044</v>
      </c>
      <c r="D481" s="587">
        <v>2500028</v>
      </c>
      <c r="E481" s="153" t="s">
        <v>436</v>
      </c>
      <c r="F481" s="1333">
        <v>67500</v>
      </c>
      <c r="G481" s="1333">
        <v>21704.18</v>
      </c>
      <c r="H481" s="1333">
        <f>VLOOKUP(D481,'מאזן בוחן'!$C:$M,11,0)-G481</f>
        <v>0</v>
      </c>
      <c r="I481" s="1333">
        <f>VLOOKUP(D481,'מאזן בוחן'!C:J,3,0)-F481</f>
        <v>0</v>
      </c>
      <c r="K481" s="137"/>
      <c r="L481" s="137"/>
      <c r="N481" s="32"/>
      <c r="O481" s="32"/>
      <c r="P481" s="32"/>
      <c r="Q481" s="32"/>
    </row>
    <row r="482" spans="1:17">
      <c r="A482" s="153" t="s">
        <v>1266</v>
      </c>
      <c r="B482" s="153" t="s">
        <v>1272</v>
      </c>
      <c r="C482" s="153" t="s">
        <v>1044</v>
      </c>
      <c r="D482" s="587">
        <v>2500029</v>
      </c>
      <c r="E482" s="153" t="s">
        <v>553</v>
      </c>
      <c r="F482" s="1333">
        <v>106032</v>
      </c>
      <c r="G482" s="1333">
        <v>34093.89</v>
      </c>
      <c r="H482" s="1333">
        <f>VLOOKUP(D482,'מאזן בוחן'!$C:$M,11,0)-G482</f>
        <v>0</v>
      </c>
      <c r="I482" s="1333">
        <f>VLOOKUP(D482,'מאזן בוחן'!C:J,3,0)-F482</f>
        <v>0</v>
      </c>
      <c r="K482" s="137"/>
      <c r="L482" s="137"/>
      <c r="N482" s="32"/>
      <c r="O482" s="32"/>
      <c r="P482" s="32"/>
      <c r="Q482" s="32"/>
    </row>
    <row r="483" spans="1:17">
      <c r="A483" s="153" t="s">
        <v>1266</v>
      </c>
      <c r="B483" s="153" t="s">
        <v>1272</v>
      </c>
      <c r="C483" s="153" t="s">
        <v>1044</v>
      </c>
      <c r="D483" s="587">
        <v>2500030</v>
      </c>
      <c r="E483" s="153" t="s">
        <v>554</v>
      </c>
      <c r="F483" s="1333">
        <v>78751</v>
      </c>
      <c r="G483" s="1333">
        <v>25321.86</v>
      </c>
      <c r="H483" s="1333">
        <f>VLOOKUP(D483,'מאזן בוחן'!$C:$M,11,0)-G483</f>
        <v>0</v>
      </c>
      <c r="I483" s="1333">
        <f>VLOOKUP(D483,'מאזן בוחן'!C:J,3,0)-F483</f>
        <v>0</v>
      </c>
      <c r="K483" s="137"/>
      <c r="L483" s="137"/>
      <c r="N483" s="32"/>
      <c r="O483" s="32"/>
      <c r="P483" s="32"/>
      <c r="Q483" s="32"/>
    </row>
    <row r="484" spans="1:17">
      <c r="A484" s="153" t="s">
        <v>1266</v>
      </c>
      <c r="B484" s="153" t="s">
        <v>1272</v>
      </c>
      <c r="C484" s="153" t="s">
        <v>1044</v>
      </c>
      <c r="D484" s="587">
        <v>2500031</v>
      </c>
      <c r="E484" s="153" t="s">
        <v>1047</v>
      </c>
      <c r="F484" s="1333">
        <v>598426</v>
      </c>
      <c r="G484" s="1333">
        <v>192419.94</v>
      </c>
      <c r="H484" s="1333">
        <f>VLOOKUP(D484,'מאזן בוחן'!$C:$M,11,0)-G484</f>
        <v>0</v>
      </c>
      <c r="I484" s="1333">
        <f>VLOOKUP(D484,'מאזן בוחן'!C:J,3,0)-F484</f>
        <v>0</v>
      </c>
      <c r="K484" s="137"/>
      <c r="L484" s="137"/>
      <c r="N484" s="32"/>
      <c r="O484" s="32"/>
      <c r="P484" s="32"/>
      <c r="Q484" s="32"/>
    </row>
    <row r="485" spans="1:17">
      <c r="A485" s="153" t="s">
        <v>1266</v>
      </c>
      <c r="B485" s="153" t="s">
        <v>1272</v>
      </c>
      <c r="C485" s="153" t="s">
        <v>1044</v>
      </c>
      <c r="D485" s="587">
        <v>2500032</v>
      </c>
      <c r="E485" s="153" t="s">
        <v>1048</v>
      </c>
      <c r="F485" s="1333">
        <v>113400</v>
      </c>
      <c r="G485" s="1333">
        <v>36463.019999999997</v>
      </c>
      <c r="H485" s="1333">
        <f>VLOOKUP(D485,'מאזן בוחן'!$C:$M,11,0)-G485</f>
        <v>0</v>
      </c>
      <c r="I485" s="1333">
        <f>VLOOKUP(D485,'מאזן בוחן'!C:J,3,0)-F485</f>
        <v>0</v>
      </c>
      <c r="K485" s="137"/>
      <c r="L485" s="137"/>
      <c r="N485" s="32"/>
      <c r="O485" s="32"/>
      <c r="P485" s="32"/>
      <c r="Q485" s="32"/>
    </row>
    <row r="486" spans="1:17">
      <c r="A486" s="153" t="s">
        <v>1266</v>
      </c>
      <c r="B486" s="153" t="s">
        <v>1272</v>
      </c>
      <c r="C486" s="153" t="s">
        <v>1044</v>
      </c>
      <c r="D486" s="587">
        <v>2500033</v>
      </c>
      <c r="E486" s="153" t="s">
        <v>1660</v>
      </c>
      <c r="F486" s="1333">
        <v>180000</v>
      </c>
      <c r="G486" s="1333">
        <v>57877.81</v>
      </c>
      <c r="H486" s="1333">
        <f>VLOOKUP(D486,'מאזן בוחן'!$C:$M,11,0)-G486</f>
        <v>0</v>
      </c>
      <c r="I486" s="1333">
        <f>VLOOKUP(D486,'מאזן בוחן'!C:J,3,0)-F486</f>
        <v>0</v>
      </c>
      <c r="K486" s="137"/>
      <c r="L486" s="137"/>
      <c r="N486" s="32"/>
      <c r="O486" s="32"/>
      <c r="P486" s="32"/>
      <c r="Q486" s="32"/>
    </row>
    <row r="487" spans="1:17">
      <c r="A487" s="153" t="s">
        <v>1266</v>
      </c>
      <c r="B487" s="153" t="s">
        <v>1272</v>
      </c>
      <c r="C487" s="153" t="s">
        <v>1044</v>
      </c>
      <c r="D487" s="587">
        <v>2500037</v>
      </c>
      <c r="E487" s="153" t="s">
        <v>603</v>
      </c>
      <c r="F487" s="1333">
        <v>-107894</v>
      </c>
      <c r="G487" s="1333">
        <v>-34692.6</v>
      </c>
      <c r="H487" s="1333">
        <f>VLOOKUP(D487,'מאזן בוחן'!$C:$M,11,0)-G487</f>
        <v>0</v>
      </c>
      <c r="I487" s="1333">
        <f>VLOOKUP(D487,'מאזן בוחן'!C:J,3,0)-F487</f>
        <v>0</v>
      </c>
      <c r="K487" s="137"/>
      <c r="L487" s="137"/>
      <c r="N487" s="32"/>
      <c r="O487" s="32"/>
      <c r="P487" s="32"/>
      <c r="Q487" s="32"/>
    </row>
    <row r="488" spans="1:17">
      <c r="A488" s="153" t="s">
        <v>1266</v>
      </c>
      <c r="B488" s="153" t="s">
        <v>1272</v>
      </c>
      <c r="C488" s="153" t="s">
        <v>1044</v>
      </c>
      <c r="D488" s="587" t="s">
        <v>1440</v>
      </c>
      <c r="E488" s="153" t="s">
        <v>1441</v>
      </c>
      <c r="F488" s="1333">
        <v>-189441</v>
      </c>
      <c r="G488" s="1333">
        <v>-60913.5</v>
      </c>
      <c r="H488" s="1333">
        <f>VLOOKUP(D488,'מאזן בוחן'!$C:$M,11,0)-G488</f>
        <v>0</v>
      </c>
      <c r="I488" s="1333">
        <f>VLOOKUP(D488,'מאזן בוחן'!C:J,3,0)-F488</f>
        <v>0</v>
      </c>
      <c r="K488" s="137"/>
      <c r="L488" s="137"/>
      <c r="N488" s="32"/>
      <c r="O488" s="32"/>
      <c r="P488" s="32"/>
      <c r="Q488" s="32"/>
    </row>
    <row r="489" spans="1:17">
      <c r="A489" s="153" t="s">
        <v>1266</v>
      </c>
      <c r="B489" s="153" t="s">
        <v>1272</v>
      </c>
      <c r="C489" s="153" t="s">
        <v>1044</v>
      </c>
      <c r="D489" s="587">
        <v>2500038</v>
      </c>
      <c r="E489" s="153" t="s">
        <v>1273</v>
      </c>
      <c r="F489" s="1333">
        <v>243521</v>
      </c>
      <c r="G489" s="1333">
        <v>78302.570000000007</v>
      </c>
      <c r="H489" s="1333">
        <f>VLOOKUP(D489,'מאזן בוחן'!$C:$M,11,0)-G489</f>
        <v>0</v>
      </c>
      <c r="I489" s="1333">
        <f>VLOOKUP(D489,'מאזן בוחן'!C:J,3,0)-F489</f>
        <v>0</v>
      </c>
      <c r="K489" s="137"/>
      <c r="L489" s="137"/>
      <c r="N489" s="32"/>
      <c r="O489" s="32"/>
      <c r="P489" s="32"/>
      <c r="Q489" s="32"/>
    </row>
    <row r="490" spans="1:17">
      <c r="A490" s="153" t="s">
        <v>1266</v>
      </c>
      <c r="B490" s="153" t="s">
        <v>1272</v>
      </c>
      <c r="C490" s="153" t="s">
        <v>1044</v>
      </c>
      <c r="D490" s="587">
        <v>2500040</v>
      </c>
      <c r="E490" s="153" t="s">
        <v>1274</v>
      </c>
      <c r="F490" s="1333">
        <v>1088905.02</v>
      </c>
      <c r="G490" s="1333">
        <v>350130.23</v>
      </c>
      <c r="H490" s="1333">
        <f>VLOOKUP(D490,'מאזן בוחן'!$C:$M,11,0)-G490</f>
        <v>0</v>
      </c>
      <c r="I490" s="1333">
        <f>VLOOKUP(D490,'מאזן בוחן'!C:J,3,0)-F490</f>
        <v>0</v>
      </c>
      <c r="K490" s="137"/>
      <c r="L490" s="137"/>
      <c r="N490" s="32"/>
      <c r="O490" s="32"/>
      <c r="P490" s="32"/>
      <c r="Q490" s="32"/>
    </row>
    <row r="491" spans="1:17">
      <c r="A491" s="153" t="s">
        <v>1266</v>
      </c>
      <c r="B491" s="153" t="s">
        <v>1272</v>
      </c>
      <c r="C491" s="153" t="s">
        <v>1044</v>
      </c>
      <c r="D491" s="587">
        <v>2500041</v>
      </c>
      <c r="E491" s="153" t="s">
        <v>1720</v>
      </c>
      <c r="F491" s="1333">
        <v>985319.1</v>
      </c>
      <c r="G491" s="1333">
        <v>316822.86</v>
      </c>
      <c r="H491" s="1333">
        <f>VLOOKUP(D491,'מאזן בוחן'!$C:$M,11,0)-G491</f>
        <v>0</v>
      </c>
      <c r="I491" s="1333">
        <f>VLOOKUP(D491,'מאזן בוחן'!C:J,3,0)-F491</f>
        <v>0</v>
      </c>
      <c r="K491" s="137"/>
      <c r="L491" s="137"/>
      <c r="N491" s="32"/>
      <c r="O491" s="32"/>
      <c r="P491" s="32"/>
      <c r="Q491" s="32"/>
    </row>
    <row r="492" spans="1:17">
      <c r="A492" s="153" t="s">
        <v>1266</v>
      </c>
      <c r="B492" s="153" t="s">
        <v>1272</v>
      </c>
      <c r="C492" s="153" t="s">
        <v>1044</v>
      </c>
      <c r="D492" s="587">
        <v>2500042</v>
      </c>
      <c r="E492" s="153" t="s">
        <v>1754</v>
      </c>
      <c r="F492" s="1333">
        <v>2980</v>
      </c>
      <c r="G492" s="1333">
        <v>862.27</v>
      </c>
      <c r="H492" s="1333">
        <f>VLOOKUP(D492,'מאזן בוחן'!$C:$M,11,0)-G492</f>
        <v>0</v>
      </c>
      <c r="I492" s="1333">
        <f>VLOOKUP(D492,'מאזן בוחן'!C:J,3,0)-F492</f>
        <v>0</v>
      </c>
      <c r="K492" s="137"/>
      <c r="L492" s="137"/>
      <c r="N492" s="32"/>
      <c r="O492" s="32"/>
      <c r="P492" s="32"/>
      <c r="Q492" s="32"/>
    </row>
    <row r="493" spans="1:17">
      <c r="A493" s="153" t="s">
        <v>1266</v>
      </c>
      <c r="B493" s="153" t="s">
        <v>1272</v>
      </c>
      <c r="C493" s="153" t="s">
        <v>1044</v>
      </c>
      <c r="D493" s="587">
        <v>2500043</v>
      </c>
      <c r="E493" s="153" t="s">
        <v>2160</v>
      </c>
      <c r="F493" s="1333">
        <v>84416</v>
      </c>
      <c r="G493" s="1333">
        <v>27143.41</v>
      </c>
      <c r="H493" s="1333">
        <f>VLOOKUP(D493,'מאזן בוחן'!$C:$M,11,0)-G493</f>
        <v>0</v>
      </c>
      <c r="I493" s="1333">
        <f>VLOOKUP(D493,'מאזן בוחן'!C:J,3,0)-F493</f>
        <v>0</v>
      </c>
      <c r="K493" s="137"/>
      <c r="L493" s="137"/>
      <c r="N493" s="32"/>
      <c r="O493" s="32"/>
      <c r="P493" s="32"/>
      <c r="Q493" s="32"/>
    </row>
    <row r="494" spans="1:17">
      <c r="A494" s="153" t="s">
        <v>1266</v>
      </c>
      <c r="B494" s="153" t="s">
        <v>1272</v>
      </c>
      <c r="C494" s="153" t="s">
        <v>1044</v>
      </c>
      <c r="D494" s="587">
        <v>2500044</v>
      </c>
      <c r="E494" s="153" t="s">
        <v>3026</v>
      </c>
      <c r="F494" s="1333">
        <v>78000</v>
      </c>
      <c r="G494" s="1333">
        <v>25080.39</v>
      </c>
      <c r="H494" s="1333">
        <f>VLOOKUP(D494,'מאזן בוחן'!$C:$M,11,0)-G494</f>
        <v>0</v>
      </c>
      <c r="I494" s="1333">
        <f>VLOOKUP(D494,'מאזן בוחן'!C:J,3,0)-F494</f>
        <v>0</v>
      </c>
      <c r="K494" s="137"/>
      <c r="L494" s="137"/>
      <c r="N494" s="32"/>
      <c r="O494" s="32"/>
      <c r="P494" s="32"/>
      <c r="Q494" s="32"/>
    </row>
    <row r="495" spans="1:17">
      <c r="A495" s="153" t="s">
        <v>1266</v>
      </c>
      <c r="B495" s="153" t="s">
        <v>1272</v>
      </c>
      <c r="C495" s="153" t="s">
        <v>1044</v>
      </c>
      <c r="D495" s="587">
        <v>2500045</v>
      </c>
      <c r="E495" s="153" t="s">
        <v>2116</v>
      </c>
      <c r="F495" s="1333">
        <v>1173839.53</v>
      </c>
      <c r="G495" s="1333">
        <v>377440.36</v>
      </c>
      <c r="H495" s="1333">
        <f>VLOOKUP(D495,'מאזן בוחן'!$C:$M,11,0)-G495</f>
        <v>0</v>
      </c>
      <c r="I495" s="1333">
        <f>VLOOKUP(D495,'מאזן בוחן'!C:J,3,0)-F495</f>
        <v>0</v>
      </c>
      <c r="K495" s="137"/>
      <c r="L495" s="137"/>
      <c r="N495" s="32"/>
      <c r="O495" s="32"/>
      <c r="P495" s="32"/>
      <c r="Q495" s="32"/>
    </row>
    <row r="496" spans="1:17">
      <c r="A496" s="153" t="s">
        <v>1266</v>
      </c>
      <c r="B496" s="153" t="s">
        <v>1272</v>
      </c>
      <c r="C496" s="153" t="s">
        <v>1044</v>
      </c>
      <c r="D496" s="587">
        <v>2500046</v>
      </c>
      <c r="E496" s="153" t="s">
        <v>3283</v>
      </c>
      <c r="F496" s="1333">
        <v>1708397.1</v>
      </c>
      <c r="G496" s="1333">
        <v>549323.82999999996</v>
      </c>
      <c r="H496" s="1333">
        <f>VLOOKUP(D496,'מאזן בוחן'!$C:$M,11,0)-G496</f>
        <v>0</v>
      </c>
      <c r="I496" s="1333">
        <f>VLOOKUP(D496,'מאזן בוחן'!C:J,3,0)-F496</f>
        <v>0</v>
      </c>
      <c r="K496" s="137"/>
      <c r="L496" s="137"/>
      <c r="N496" s="32"/>
      <c r="O496" s="32"/>
      <c r="P496" s="32"/>
      <c r="Q496" s="32"/>
    </row>
    <row r="497" spans="1:17">
      <c r="A497" s="153" t="s">
        <v>1266</v>
      </c>
      <c r="B497" s="153" t="s">
        <v>1272</v>
      </c>
      <c r="C497" s="153" t="s">
        <v>1044</v>
      </c>
      <c r="D497" s="587">
        <v>2500047</v>
      </c>
      <c r="E497" s="153" t="s">
        <v>3382</v>
      </c>
      <c r="F497" s="1333">
        <v>196207.05</v>
      </c>
      <c r="G497" s="1333">
        <v>60427.18</v>
      </c>
      <c r="H497" s="1333">
        <f>VLOOKUP(D497,'מאזן בוחן'!$C:$M,11,0)-G497</f>
        <v>0</v>
      </c>
      <c r="I497" s="1333">
        <f>VLOOKUP(D497,'מאזן בוחן'!C:J,3,0)-F497</f>
        <v>0</v>
      </c>
      <c r="K497" s="137"/>
      <c r="L497" s="137"/>
      <c r="N497" s="32"/>
      <c r="O497" s="32"/>
      <c r="P497" s="32"/>
      <c r="Q497" s="32"/>
    </row>
    <row r="498" spans="1:17">
      <c r="A498" s="153" t="s">
        <v>1266</v>
      </c>
      <c r="B498" s="153" t="s">
        <v>1272</v>
      </c>
      <c r="C498" s="153" t="s">
        <v>1044</v>
      </c>
      <c r="D498" s="587">
        <v>2500048</v>
      </c>
      <c r="E498" s="153" t="s">
        <v>3643</v>
      </c>
      <c r="F498" s="1333">
        <v>920507</v>
      </c>
      <c r="G498" s="1333">
        <v>295982.96000000002</v>
      </c>
      <c r="H498" s="1333">
        <f>VLOOKUP(D498,'מאזן בוחן'!$C:$M,11,0)-G498</f>
        <v>0</v>
      </c>
      <c r="I498" s="1333">
        <f>VLOOKUP(D498,'מאזן בוחן'!C:J,3,0)-F498</f>
        <v>0</v>
      </c>
      <c r="K498" s="137"/>
      <c r="L498" s="137"/>
      <c r="N498" s="32"/>
      <c r="O498" s="32"/>
      <c r="P498" s="32"/>
      <c r="Q498" s="32"/>
    </row>
    <row r="499" spans="1:17">
      <c r="A499" s="153" t="s">
        <v>1266</v>
      </c>
      <c r="B499" s="153" t="s">
        <v>1272</v>
      </c>
      <c r="C499" s="153" t="s">
        <v>1044</v>
      </c>
      <c r="D499" s="587">
        <v>2500079</v>
      </c>
      <c r="E499" s="153" t="s">
        <v>4681</v>
      </c>
      <c r="F499" s="1333">
        <v>68000</v>
      </c>
      <c r="G499" s="1333">
        <v>21864.95</v>
      </c>
      <c r="H499" s="1333">
        <f>VLOOKUP(D499,'מאזן בוחן'!$C:$M,11,0)-G499</f>
        <v>0</v>
      </c>
      <c r="I499" s="1333">
        <f>VLOOKUP(D499,'מאזן בוחן'!C:J,3,0)-F499</f>
        <v>0</v>
      </c>
      <c r="K499" s="137"/>
      <c r="L499" s="137"/>
      <c r="N499" s="32"/>
      <c r="O499" s="32"/>
      <c r="P499" s="32"/>
      <c r="Q499" s="32"/>
    </row>
    <row r="500" spans="1:17">
      <c r="A500" s="153" t="s">
        <v>1266</v>
      </c>
      <c r="B500" s="153" t="s">
        <v>1272</v>
      </c>
      <c r="C500" s="153" t="s">
        <v>1044</v>
      </c>
      <c r="D500" s="587">
        <v>2500116</v>
      </c>
      <c r="E500" s="153" t="s">
        <v>1442</v>
      </c>
      <c r="F500" s="1333">
        <v>-106032</v>
      </c>
      <c r="G500" s="1333">
        <v>-34093.89</v>
      </c>
      <c r="H500" s="1333">
        <f>VLOOKUP(D500,'מאזן בוחן'!$C:$M,11,0)-G500</f>
        <v>0</v>
      </c>
      <c r="I500" s="1333">
        <f>VLOOKUP(D500,'מאזן בוחן'!C:J,3,0)-F500</f>
        <v>0</v>
      </c>
      <c r="K500" s="137"/>
      <c r="L500" s="137"/>
      <c r="N500" s="32"/>
      <c r="O500" s="32"/>
      <c r="P500" s="32"/>
      <c r="Q500" s="32"/>
    </row>
    <row r="501" spans="1:17">
      <c r="A501" s="153" t="s">
        <v>1266</v>
      </c>
      <c r="B501" s="153" t="s">
        <v>1272</v>
      </c>
      <c r="C501" s="153" t="s">
        <v>1044</v>
      </c>
      <c r="D501" s="587">
        <v>2500117</v>
      </c>
      <c r="E501" s="153" t="s">
        <v>1443</v>
      </c>
      <c r="F501" s="1333">
        <v>-192540</v>
      </c>
      <c r="G501" s="1333">
        <v>-61909.97</v>
      </c>
      <c r="H501" s="1333">
        <f>VLOOKUP(D501,'מאזן בוחן'!$C:$M,11,0)-G501</f>
        <v>0</v>
      </c>
      <c r="I501" s="1333">
        <f>VLOOKUP(D501,'מאזן בוחן'!C:J,3,0)-F501</f>
        <v>0</v>
      </c>
      <c r="K501" s="137"/>
      <c r="L501" s="137"/>
      <c r="N501" s="32"/>
      <c r="O501" s="32"/>
      <c r="P501" s="32"/>
      <c r="Q501" s="32"/>
    </row>
    <row r="502" spans="1:17">
      <c r="A502" s="153" t="s">
        <v>1266</v>
      </c>
      <c r="B502" s="153" t="s">
        <v>1272</v>
      </c>
      <c r="C502" s="153" t="s">
        <v>1044</v>
      </c>
      <c r="D502" s="587">
        <v>2500118</v>
      </c>
      <c r="E502" s="153" t="s">
        <v>1911</v>
      </c>
      <c r="F502" s="1333">
        <v>-598426</v>
      </c>
      <c r="G502" s="1333">
        <v>-192419.94</v>
      </c>
      <c r="H502" s="1333">
        <f>VLOOKUP(D502,'מאזן בוחן'!$C:$M,11,0)-G502</f>
        <v>0</v>
      </c>
      <c r="I502" s="1333">
        <f>VLOOKUP(D502,'מאזן בוחן'!C:J,3,0)-F502</f>
        <v>0</v>
      </c>
      <c r="K502" s="137"/>
      <c r="L502" s="137"/>
      <c r="N502" s="32"/>
      <c r="O502" s="32"/>
      <c r="P502" s="32"/>
      <c r="Q502" s="32"/>
    </row>
    <row r="503" spans="1:17">
      <c r="A503" s="153" t="s">
        <v>1266</v>
      </c>
      <c r="B503" s="153" t="s">
        <v>1272</v>
      </c>
      <c r="C503" s="153" t="s">
        <v>1044</v>
      </c>
      <c r="D503" s="587">
        <v>2500119</v>
      </c>
      <c r="E503" s="153" t="s">
        <v>2161</v>
      </c>
      <c r="F503" s="1333">
        <v>-243521</v>
      </c>
      <c r="G503" s="1333">
        <v>-78302.570000000007</v>
      </c>
      <c r="H503" s="1333">
        <f>VLOOKUP(D503,'מאזן בוחן'!$C:$M,11,0)-G503</f>
        <v>0</v>
      </c>
      <c r="I503" s="1333">
        <f>VLOOKUP(D503,'מאזן בוחן'!C:J,3,0)-F503</f>
        <v>0</v>
      </c>
      <c r="K503" s="137"/>
      <c r="L503" s="137"/>
      <c r="N503" s="32"/>
      <c r="O503" s="32"/>
      <c r="P503" s="32"/>
      <c r="Q503" s="32"/>
    </row>
    <row r="504" spans="1:17">
      <c r="A504" s="153" t="s">
        <v>1266</v>
      </c>
      <c r="B504" s="153" t="s">
        <v>1272</v>
      </c>
      <c r="C504" s="153" t="s">
        <v>1044</v>
      </c>
      <c r="D504" s="587">
        <v>2502015</v>
      </c>
      <c r="E504" s="153" t="s">
        <v>1790</v>
      </c>
      <c r="F504" s="1333">
        <v>-550036.73</v>
      </c>
      <c r="G504" s="1333">
        <v>-176860.68</v>
      </c>
      <c r="H504" s="1333">
        <f>VLOOKUP(D504,'מאזן בוחן'!$C:$M,11,0)-G504</f>
        <v>0</v>
      </c>
      <c r="I504" s="1333">
        <f>VLOOKUP(D504,'מאזן בוחן'!C:J,3,0)-F504</f>
        <v>0</v>
      </c>
      <c r="K504" s="137"/>
      <c r="L504" s="137"/>
      <c r="N504" s="32"/>
      <c r="O504" s="32"/>
      <c r="P504" s="32"/>
      <c r="Q504" s="32"/>
    </row>
    <row r="505" spans="1:17">
      <c r="A505" s="153" t="s">
        <v>1266</v>
      </c>
      <c r="B505" s="153" t="s">
        <v>1272</v>
      </c>
      <c r="C505" s="153" t="s">
        <v>1044</v>
      </c>
      <c r="D505" s="587">
        <v>2502016</v>
      </c>
      <c r="E505" s="153" t="s">
        <v>1791</v>
      </c>
      <c r="F505" s="1333">
        <v>-774608</v>
      </c>
      <c r="G505" s="1333">
        <v>-249070.1</v>
      </c>
      <c r="H505" s="1333">
        <f>VLOOKUP(D505,'מאזן בוחן'!$C:$M,11,0)-G505</f>
        <v>0</v>
      </c>
      <c r="I505" s="1333">
        <f>VLOOKUP(D505,'מאזן בוחן'!C:J,3,0)-F505</f>
        <v>0</v>
      </c>
      <c r="K505" s="137"/>
      <c r="L505" s="137"/>
      <c r="N505" s="32"/>
      <c r="O505" s="32"/>
      <c r="P505" s="32"/>
      <c r="Q505" s="32"/>
    </row>
    <row r="506" spans="1:17">
      <c r="A506" s="153" t="s">
        <v>1266</v>
      </c>
      <c r="B506" s="153" t="s">
        <v>1272</v>
      </c>
      <c r="C506" s="153" t="s">
        <v>1044</v>
      </c>
      <c r="D506" s="587">
        <v>2502017</v>
      </c>
      <c r="E506" s="153" t="s">
        <v>1792</v>
      </c>
      <c r="F506" s="1333">
        <v>-1364340</v>
      </c>
      <c r="G506" s="1333">
        <v>-438694.53</v>
      </c>
      <c r="H506" s="1333">
        <f>VLOOKUP(D506,'מאזן בוחן'!$C:$M,11,0)-G506</f>
        <v>0</v>
      </c>
      <c r="I506" s="1333">
        <f>VLOOKUP(D506,'מאזן בוחן'!C:J,3,0)-F506</f>
        <v>0</v>
      </c>
      <c r="K506" s="137"/>
      <c r="L506" s="137"/>
      <c r="N506" s="32"/>
      <c r="O506" s="32"/>
      <c r="P506" s="32"/>
      <c r="Q506" s="32"/>
    </row>
    <row r="507" spans="1:17">
      <c r="A507" s="153" t="s">
        <v>1266</v>
      </c>
      <c r="B507" s="153" t="s">
        <v>1272</v>
      </c>
      <c r="C507" s="153" t="s">
        <v>1044</v>
      </c>
      <c r="D507" s="587">
        <v>2502018</v>
      </c>
      <c r="E507" s="153" t="s">
        <v>1793</v>
      </c>
      <c r="F507" s="1333">
        <v>-1268905.22</v>
      </c>
      <c r="G507" s="1333">
        <v>-408008.11</v>
      </c>
      <c r="H507" s="1333">
        <f>VLOOKUP(D507,'מאזן בוחן'!$C:$M,11,0)-G507</f>
        <v>0</v>
      </c>
      <c r="I507" s="1333">
        <f>VLOOKUP(D507,'מאזן בוחן'!C:J,3,0)-F507</f>
        <v>0</v>
      </c>
      <c r="K507" s="137"/>
      <c r="L507" s="137"/>
      <c r="N507" s="32"/>
      <c r="O507" s="32"/>
      <c r="P507" s="32"/>
      <c r="Q507" s="32"/>
    </row>
    <row r="508" spans="1:17">
      <c r="A508" s="153" t="s">
        <v>1266</v>
      </c>
      <c r="B508" s="153" t="s">
        <v>1272</v>
      </c>
      <c r="C508" s="153" t="s">
        <v>1044</v>
      </c>
      <c r="D508" s="587">
        <v>2502019</v>
      </c>
      <c r="E508" s="153" t="s">
        <v>3180</v>
      </c>
      <c r="F508" s="1333">
        <v>-1072714.8400000001</v>
      </c>
      <c r="G508" s="1333">
        <v>-344924.39</v>
      </c>
      <c r="H508" s="1333">
        <f>VLOOKUP(D508,'מאזן בוחן'!$C:$M,11,0)-G508</f>
        <v>0</v>
      </c>
      <c r="I508" s="1333">
        <f>VLOOKUP(D508,'מאזן בוחן'!C:J,3,0)-F508</f>
        <v>0</v>
      </c>
      <c r="K508" s="137"/>
      <c r="L508" s="137"/>
      <c r="N508" s="32"/>
      <c r="O508" s="32"/>
      <c r="P508" s="32"/>
      <c r="Q508" s="32"/>
    </row>
    <row r="509" spans="1:17">
      <c r="A509" s="153" t="s">
        <v>1266</v>
      </c>
      <c r="B509" s="153" t="s">
        <v>1272</v>
      </c>
      <c r="C509" s="153" t="s">
        <v>1044</v>
      </c>
      <c r="D509" s="587">
        <v>2502020</v>
      </c>
      <c r="E509" s="153" t="s">
        <v>3284</v>
      </c>
      <c r="F509" s="1333">
        <v>-1251840</v>
      </c>
      <c r="G509" s="1333">
        <v>-402520.9</v>
      </c>
      <c r="H509" s="1333">
        <f>VLOOKUP(D509,'מאזן בוחן'!$C:$M,11,0)-G509</f>
        <v>0</v>
      </c>
      <c r="I509" s="1333">
        <f>VLOOKUP(D509,'מאזן בוחן'!C:J,3,0)-F509</f>
        <v>0</v>
      </c>
      <c r="K509" s="137"/>
      <c r="L509" s="137"/>
      <c r="N509" s="32"/>
      <c r="O509" s="32"/>
      <c r="P509" s="32"/>
      <c r="Q509" s="32"/>
    </row>
    <row r="510" spans="1:17">
      <c r="A510" s="153" t="s">
        <v>1266</v>
      </c>
      <c r="B510" s="153" t="s">
        <v>1272</v>
      </c>
      <c r="C510" s="153" t="s">
        <v>1044</v>
      </c>
      <c r="D510" s="587">
        <v>2502021</v>
      </c>
      <c r="E510" s="153" t="s">
        <v>3623</v>
      </c>
      <c r="F510" s="1333">
        <v>-1776397.1</v>
      </c>
      <c r="G510" s="1333">
        <v>-571188.78</v>
      </c>
      <c r="H510" s="1333">
        <f>VLOOKUP(D510,'מאזן בוחן'!$C:$M,11,0)-G510</f>
        <v>0</v>
      </c>
      <c r="I510" s="1333">
        <f>VLOOKUP(D510,'מאזן בוחן'!C:J,3,0)-F510</f>
        <v>0</v>
      </c>
      <c r="K510" s="137"/>
      <c r="L510" s="137"/>
      <c r="N510" s="32"/>
      <c r="O510" s="32"/>
      <c r="P510" s="32"/>
      <c r="Q510" s="32"/>
    </row>
    <row r="511" spans="1:17">
      <c r="A511" s="153" t="s">
        <v>1266</v>
      </c>
      <c r="B511" s="153" t="s">
        <v>2916</v>
      </c>
      <c r="C511" s="153" t="s">
        <v>1049</v>
      </c>
      <c r="D511" s="587">
        <v>2600001</v>
      </c>
      <c r="E511" s="153" t="s">
        <v>355</v>
      </c>
      <c r="F511" s="1333">
        <v>-5367790.24</v>
      </c>
      <c r="G511" s="1333">
        <v>-1725977.56</v>
      </c>
      <c r="H511" s="1333">
        <f>VLOOKUP(D511,'מאזן בוחן'!$C:$M,11,0)-G511</f>
        <v>0</v>
      </c>
      <c r="I511" s="1333">
        <f>VLOOKUP(D511,'מאזן בוחן'!C:J,3,0)-F511</f>
        <v>0</v>
      </c>
      <c r="K511" s="137"/>
      <c r="L511" s="137"/>
      <c r="N511" s="32"/>
      <c r="O511" s="32"/>
      <c r="P511" s="32"/>
      <c r="Q511" s="32"/>
    </row>
    <row r="512" spans="1:17">
      <c r="A512" s="153" t="s">
        <v>1266</v>
      </c>
      <c r="B512" s="153" t="s">
        <v>2916</v>
      </c>
      <c r="C512" s="153" t="s">
        <v>1049</v>
      </c>
      <c r="D512" s="587">
        <v>2600002</v>
      </c>
      <c r="E512" s="153" t="s">
        <v>1444</v>
      </c>
      <c r="F512" s="1333">
        <v>786662</v>
      </c>
      <c r="G512" s="1333">
        <v>252945.98</v>
      </c>
      <c r="H512" s="1333">
        <f>VLOOKUP(D512,'מאזן בוחן'!$C:$M,11,0)-G512</f>
        <v>0</v>
      </c>
      <c r="I512" s="1333">
        <f>VLOOKUP(D512,'מאזן בוחן'!C:J,3,0)-F512</f>
        <v>0</v>
      </c>
      <c r="K512" s="137"/>
      <c r="L512" s="137"/>
      <c r="N512" s="32"/>
      <c r="O512" s="32"/>
      <c r="P512" s="32"/>
      <c r="Q512" s="32"/>
    </row>
    <row r="513" spans="1:17">
      <c r="A513" s="153" t="s">
        <v>1275</v>
      </c>
      <c r="B513" s="153" t="s">
        <v>1276</v>
      </c>
      <c r="C513" s="153" t="s">
        <v>1050</v>
      </c>
      <c r="D513" s="587">
        <v>3030001</v>
      </c>
      <c r="E513" s="153" t="s">
        <v>1051</v>
      </c>
      <c r="F513" s="1333">
        <v>41295819.770000003</v>
      </c>
      <c r="G513" s="1333">
        <v>12114927.24</v>
      </c>
      <c r="H513" s="1333">
        <f>VLOOKUP(D513,'מאזן בוחן'!$C:$M,11,0)-G513</f>
        <v>0</v>
      </c>
      <c r="I513" s="1333">
        <f>VLOOKUP(D513,'מאזן בוחן'!C:J,3,0)-F513</f>
        <v>0</v>
      </c>
      <c r="K513" s="137"/>
      <c r="L513" s="137"/>
      <c r="N513" s="32"/>
      <c r="O513" s="32"/>
      <c r="P513" s="32"/>
      <c r="Q513" s="32"/>
    </row>
    <row r="514" spans="1:17">
      <c r="A514" s="153" t="s">
        <v>1275</v>
      </c>
      <c r="B514" s="153" t="s">
        <v>1276</v>
      </c>
      <c r="C514" s="153" t="s">
        <v>1050</v>
      </c>
      <c r="D514" s="587">
        <v>3030002</v>
      </c>
      <c r="E514" s="153" t="s">
        <v>304</v>
      </c>
      <c r="F514" s="1333">
        <v>-1312149.1399999999</v>
      </c>
      <c r="G514" s="1333">
        <v>-264085.38</v>
      </c>
      <c r="H514" s="1333">
        <f>VLOOKUP(D514,'מאזן בוחן'!$C:$M,11,0)-G514</f>
        <v>0</v>
      </c>
      <c r="I514" s="1333">
        <f>VLOOKUP(D514,'מאזן בוחן'!C:J,3,0)-F514</f>
        <v>0</v>
      </c>
      <c r="K514" s="137"/>
      <c r="L514" s="137"/>
      <c r="N514" s="32"/>
      <c r="O514" s="32"/>
      <c r="P514" s="32"/>
      <c r="Q514" s="32"/>
    </row>
    <row r="515" spans="1:17">
      <c r="A515" s="153" t="s">
        <v>1275</v>
      </c>
      <c r="B515" s="153" t="s">
        <v>1276</v>
      </c>
      <c r="C515" s="153" t="s">
        <v>1050</v>
      </c>
      <c r="D515" s="587">
        <v>3030099</v>
      </c>
      <c r="E515" s="153" t="s">
        <v>1836</v>
      </c>
      <c r="F515" s="1333">
        <v>-20037608</v>
      </c>
      <c r="G515" s="1333">
        <v>-5635961</v>
      </c>
      <c r="H515" s="1333">
        <f>VLOOKUP(D515,'מאזן בוחן'!$C:$M,11,0)-G515</f>
        <v>0</v>
      </c>
      <c r="I515" s="1333">
        <f>VLOOKUP(D515,'מאזן בוחן'!C:J,3,0)-F515</f>
        <v>0</v>
      </c>
      <c r="K515" s="137"/>
      <c r="L515" s="137"/>
      <c r="N515" s="32"/>
      <c r="O515" s="32"/>
      <c r="P515" s="32"/>
      <c r="Q515" s="32"/>
    </row>
    <row r="516" spans="1:17">
      <c r="A516" s="153" t="s">
        <v>1277</v>
      </c>
      <c r="B516" s="153" t="s">
        <v>1278</v>
      </c>
      <c r="C516" s="153" t="s">
        <v>1052</v>
      </c>
      <c r="D516" s="587">
        <v>80001</v>
      </c>
      <c r="E516" s="153" t="s">
        <v>1053</v>
      </c>
      <c r="F516" s="1333">
        <v>-356069.11</v>
      </c>
      <c r="G516" s="1333">
        <v>-111900.27</v>
      </c>
      <c r="H516" s="1333">
        <f>VLOOKUP(D516,'מאזן בוחן'!$C:$M,11,0)-G516</f>
        <v>0</v>
      </c>
      <c r="I516" s="1333">
        <f>VLOOKUP(D516,'מאזן בוחן'!C:J,3,0)-F516</f>
        <v>0</v>
      </c>
      <c r="K516" s="137"/>
      <c r="L516" s="137"/>
      <c r="N516" s="32"/>
      <c r="O516" s="32"/>
      <c r="P516" s="32"/>
      <c r="Q516" s="32"/>
    </row>
    <row r="517" spans="1:17">
      <c r="A517" s="153" t="s">
        <v>1277</v>
      </c>
      <c r="B517" s="153" t="s">
        <v>1278</v>
      </c>
      <c r="C517" s="153" t="s">
        <v>1052</v>
      </c>
      <c r="D517" s="587">
        <v>80101</v>
      </c>
      <c r="E517" s="153" t="s">
        <v>1054</v>
      </c>
      <c r="F517" s="1333">
        <v>-11836974.220000001</v>
      </c>
      <c r="G517" s="1333">
        <v>-3699130.42</v>
      </c>
      <c r="H517" s="1333">
        <f>VLOOKUP(D517,'מאזן בוחן'!$C:$M,11,0)-G517</f>
        <v>0</v>
      </c>
      <c r="I517" s="1333">
        <f>VLOOKUP(D517,'מאזן בוחן'!C:J,3,0)-F517</f>
        <v>0</v>
      </c>
      <c r="K517" s="137"/>
      <c r="L517" s="137"/>
      <c r="N517" s="32"/>
      <c r="O517" s="32"/>
      <c r="P517" s="32"/>
      <c r="Q517" s="32"/>
    </row>
    <row r="518" spans="1:17">
      <c r="A518" s="153" t="s">
        <v>1277</v>
      </c>
      <c r="B518" s="153" t="s">
        <v>1278</v>
      </c>
      <c r="C518" s="153" t="s">
        <v>1052</v>
      </c>
      <c r="D518" s="587">
        <v>80103</v>
      </c>
      <c r="E518" s="153" t="s">
        <v>1055</v>
      </c>
      <c r="F518" s="1333">
        <v>-629071.53</v>
      </c>
      <c r="G518" s="1333">
        <v>-199975.95</v>
      </c>
      <c r="H518" s="1333">
        <f>VLOOKUP(D518,'מאזן בוחן'!$C:$M,11,0)-G518</f>
        <v>0</v>
      </c>
      <c r="I518" s="1333">
        <f>VLOOKUP(D518,'מאזן בוחן'!C:J,3,0)-F518</f>
        <v>0</v>
      </c>
      <c r="K518" s="137"/>
      <c r="L518" s="137"/>
      <c r="N518" s="32"/>
      <c r="O518" s="32"/>
      <c r="P518" s="32"/>
      <c r="Q518" s="32"/>
    </row>
    <row r="519" spans="1:17">
      <c r="A519" s="153" t="s">
        <v>1277</v>
      </c>
      <c r="B519" s="153" t="s">
        <v>1278</v>
      </c>
      <c r="C519" s="153" t="s">
        <v>1052</v>
      </c>
      <c r="D519" s="587" t="s">
        <v>718</v>
      </c>
      <c r="E519" s="153" t="s">
        <v>1056</v>
      </c>
      <c r="F519" s="1333">
        <v>631254.56999999995</v>
      </c>
      <c r="G519" s="1333">
        <v>199476.35</v>
      </c>
      <c r="H519" s="1333">
        <f>VLOOKUP(D519,'מאזן בוחן'!$C:$M,11,0)-G519</f>
        <v>0</v>
      </c>
      <c r="I519" s="1333">
        <f>VLOOKUP(D519,'מאזן בוחן'!C:J,3,0)-F519</f>
        <v>0</v>
      </c>
      <c r="K519" s="137"/>
      <c r="L519" s="137"/>
      <c r="N519" s="32"/>
      <c r="O519" s="32"/>
      <c r="P519" s="32"/>
      <c r="Q519" s="32"/>
    </row>
    <row r="520" spans="1:17">
      <c r="A520" s="153" t="s">
        <v>1277</v>
      </c>
      <c r="B520" s="153" t="s">
        <v>1278</v>
      </c>
      <c r="C520" s="153" t="s">
        <v>1057</v>
      </c>
      <c r="D520" s="587">
        <v>80060</v>
      </c>
      <c r="E520" s="153" t="s">
        <v>1058</v>
      </c>
      <c r="F520" s="1333">
        <v>-640369.46</v>
      </c>
      <c r="G520" s="1333">
        <v>-190769.86</v>
      </c>
      <c r="H520" s="1333">
        <f>VLOOKUP(D520,'מאזן בוחן'!$C:$M,11,0)-G520</f>
        <v>0</v>
      </c>
      <c r="I520" s="1333">
        <f>VLOOKUP(D520,'מאזן בוחן'!C:J,3,0)-F520</f>
        <v>0</v>
      </c>
      <c r="K520" s="137"/>
      <c r="L520" s="137"/>
      <c r="N520" s="32"/>
      <c r="O520" s="32"/>
      <c r="P520" s="32"/>
      <c r="Q520" s="32"/>
    </row>
    <row r="521" spans="1:17">
      <c r="A521" s="153" t="s">
        <v>1277</v>
      </c>
      <c r="B521" s="153" t="s">
        <v>1278</v>
      </c>
      <c r="C521" s="153" t="s">
        <v>1057</v>
      </c>
      <c r="D521" s="587">
        <v>80061</v>
      </c>
      <c r="E521" s="153" t="s">
        <v>1059</v>
      </c>
      <c r="F521" s="1333">
        <v>-11695140.060000001</v>
      </c>
      <c r="G521" s="1333">
        <v>-3455475.78</v>
      </c>
      <c r="H521" s="1333">
        <f>VLOOKUP(D521,'מאזן בוחן'!$C:$M,11,0)-G521</f>
        <v>0</v>
      </c>
      <c r="I521" s="1333">
        <f>VLOOKUP(D521,'מאזן בוחן'!C:J,3,0)-F521</f>
        <v>0</v>
      </c>
      <c r="K521" s="137"/>
      <c r="L521" s="137"/>
      <c r="N521" s="32"/>
      <c r="O521" s="32"/>
      <c r="P521" s="32"/>
      <c r="Q521" s="32"/>
    </row>
    <row r="522" spans="1:17">
      <c r="A522" s="153" t="s">
        <v>1277</v>
      </c>
      <c r="B522" s="153" t="s">
        <v>1278</v>
      </c>
      <c r="C522" s="153" t="s">
        <v>1057</v>
      </c>
      <c r="D522" s="587">
        <v>80062</v>
      </c>
      <c r="E522" s="153" t="s">
        <v>1060</v>
      </c>
      <c r="F522" s="1333">
        <v>-1333.32</v>
      </c>
      <c r="G522" s="1333">
        <v>-378.69</v>
      </c>
      <c r="H522" s="1333">
        <f>VLOOKUP(D522,'מאזן בוחן'!$C:$M,11,0)-G522</f>
        <v>0</v>
      </c>
      <c r="I522" s="1333">
        <f>VLOOKUP(D522,'מאזן בוחן'!C:J,3,0)-F522</f>
        <v>0</v>
      </c>
      <c r="K522" s="137"/>
      <c r="L522" s="137"/>
      <c r="N522" s="32"/>
      <c r="O522" s="32"/>
      <c r="P522" s="32"/>
      <c r="Q522" s="32"/>
    </row>
    <row r="523" spans="1:17">
      <c r="A523" s="153" t="s">
        <v>1277</v>
      </c>
      <c r="B523" s="153" t="s">
        <v>1278</v>
      </c>
      <c r="C523" s="153" t="s">
        <v>1057</v>
      </c>
      <c r="D523" s="587">
        <v>80064</v>
      </c>
      <c r="E523" s="153" t="s">
        <v>2917</v>
      </c>
      <c r="F523" s="1333">
        <v>-310825.78999999998</v>
      </c>
      <c r="G523" s="1333">
        <v>-91584.2</v>
      </c>
      <c r="H523" s="1333">
        <f>VLOOKUP(D523,'מאזן בוחן'!$C:$M,11,0)-G523</f>
        <v>0</v>
      </c>
      <c r="I523" s="1333">
        <f>VLOOKUP(D523,'מאזן בוחן'!C:J,3,0)-F523</f>
        <v>0</v>
      </c>
      <c r="K523" s="137"/>
      <c r="L523" s="137"/>
      <c r="N523" s="32"/>
      <c r="O523" s="32"/>
      <c r="P523" s="32"/>
      <c r="Q523" s="32"/>
    </row>
    <row r="524" spans="1:17">
      <c r="A524" s="153" t="s">
        <v>1277</v>
      </c>
      <c r="B524" s="153" t="s">
        <v>1278</v>
      </c>
      <c r="C524" s="153" t="s">
        <v>1057</v>
      </c>
      <c r="D524" s="587" t="s">
        <v>2618</v>
      </c>
      <c r="E524" s="153" t="s">
        <v>2619</v>
      </c>
      <c r="F524" s="1333">
        <v>208359.03</v>
      </c>
      <c r="G524" s="1333">
        <v>58551.75</v>
      </c>
      <c r="H524" s="1333">
        <f>VLOOKUP(D524,'מאזן בוחן'!$C:$M,11,0)-G524</f>
        <v>0</v>
      </c>
      <c r="I524" s="1333">
        <f>VLOOKUP(D524,'מאזן בוחן'!C:J,3,0)-F524</f>
        <v>0</v>
      </c>
      <c r="K524" s="137"/>
      <c r="L524" s="137"/>
      <c r="N524" s="32"/>
      <c r="O524" s="32"/>
      <c r="P524" s="32"/>
      <c r="Q524" s="32"/>
    </row>
    <row r="525" spans="1:17">
      <c r="A525" s="153" t="s">
        <v>1277</v>
      </c>
      <c r="B525" s="153" t="s">
        <v>1278</v>
      </c>
      <c r="C525" s="153" t="s">
        <v>1057</v>
      </c>
      <c r="D525" s="587" t="s">
        <v>3692</v>
      </c>
      <c r="E525" s="153" t="s">
        <v>3689</v>
      </c>
      <c r="F525" s="1333">
        <v>-315019.95</v>
      </c>
      <c r="G525" s="1333">
        <v>-99668.52</v>
      </c>
      <c r="H525" s="1333">
        <f>VLOOKUP(D525,'מאזן בוחן'!$C:$M,11,0)-G525</f>
        <v>0</v>
      </c>
      <c r="I525" s="1333">
        <f>VLOOKUP(D525,'מאזן בוחן'!C:J,3,0)-F525</f>
        <v>0</v>
      </c>
      <c r="K525" s="137"/>
      <c r="L525" s="137"/>
      <c r="N525" s="32"/>
      <c r="O525" s="32"/>
      <c r="P525" s="32"/>
      <c r="Q525" s="32"/>
    </row>
    <row r="526" spans="1:17">
      <c r="A526" s="153" t="s">
        <v>1277</v>
      </c>
      <c r="B526" s="153" t="s">
        <v>1278</v>
      </c>
      <c r="C526" s="153" t="s">
        <v>1062</v>
      </c>
      <c r="D526" s="587" t="s">
        <v>2918</v>
      </c>
      <c r="E526" s="153" t="s">
        <v>2919</v>
      </c>
      <c r="F526" s="1333">
        <v>-473.87</v>
      </c>
      <c r="G526" s="1333">
        <v>-144.81</v>
      </c>
      <c r="H526" s="1333">
        <f>VLOOKUP(D526,'מאזן בוחן'!$C:$M,11,0)-G526</f>
        <v>0</v>
      </c>
      <c r="I526" s="1333">
        <f>VLOOKUP(D526,'מאזן בוחן'!C:J,3,0)-F526</f>
        <v>0</v>
      </c>
      <c r="K526" s="137"/>
      <c r="L526" s="137"/>
      <c r="N526" s="32"/>
      <c r="O526" s="32"/>
      <c r="P526" s="32"/>
      <c r="Q526" s="32"/>
    </row>
    <row r="527" spans="1:17">
      <c r="A527" s="153" t="s">
        <v>1277</v>
      </c>
      <c r="B527" s="153" t="s">
        <v>1278</v>
      </c>
      <c r="C527" s="153" t="s">
        <v>1062</v>
      </c>
      <c r="D527" s="587">
        <v>80150</v>
      </c>
      <c r="E527" s="153" t="s">
        <v>1063</v>
      </c>
      <c r="F527" s="1333">
        <v>-254877.43</v>
      </c>
      <c r="G527" s="1333">
        <v>-78854.77</v>
      </c>
      <c r="H527" s="1333">
        <f>VLOOKUP(D527,'מאזן בוחן'!$C:$M,11,0)-G527</f>
        <v>0</v>
      </c>
      <c r="I527" s="1333">
        <f>VLOOKUP(D527,'מאזן בוחן'!C:J,3,0)-F527</f>
        <v>0</v>
      </c>
      <c r="K527" s="137"/>
      <c r="L527" s="137"/>
      <c r="N527" s="32"/>
      <c r="O527" s="32"/>
      <c r="P527" s="32"/>
      <c r="Q527" s="32"/>
    </row>
    <row r="528" spans="1:17">
      <c r="A528" s="153" t="s">
        <v>1277</v>
      </c>
      <c r="B528" s="153" t="s">
        <v>1278</v>
      </c>
      <c r="C528" s="153" t="s">
        <v>1062</v>
      </c>
      <c r="D528" s="587">
        <v>80151</v>
      </c>
      <c r="E528" s="153" t="s">
        <v>1644</v>
      </c>
      <c r="F528" s="1333">
        <v>-2010.96</v>
      </c>
      <c r="G528" s="1333">
        <v>-641.25</v>
      </c>
      <c r="H528" s="1333">
        <f>VLOOKUP(D528,'מאזן בוחן'!$C:$M,11,0)-G528</f>
        <v>0</v>
      </c>
      <c r="I528" s="1333">
        <f>VLOOKUP(D528,'מאזן בוחן'!C:J,3,0)-F528</f>
        <v>0</v>
      </c>
      <c r="K528" s="137"/>
      <c r="L528" s="137"/>
      <c r="N528" s="32"/>
      <c r="O528" s="32"/>
      <c r="P528" s="32"/>
      <c r="Q528" s="32"/>
    </row>
    <row r="529" spans="1:17">
      <c r="A529" s="153" t="s">
        <v>1277</v>
      </c>
      <c r="B529" s="153" t="s">
        <v>1278</v>
      </c>
      <c r="C529" s="153" t="s">
        <v>1062</v>
      </c>
      <c r="D529" s="587">
        <v>80152</v>
      </c>
      <c r="E529" s="153" t="s">
        <v>2920</v>
      </c>
      <c r="F529" s="1333">
        <v>-855138.77</v>
      </c>
      <c r="G529" s="1333">
        <v>-255985.23</v>
      </c>
      <c r="H529" s="1333">
        <f>VLOOKUP(D529,'מאזן בוחן'!$C:$M,11,0)-G529</f>
        <v>0</v>
      </c>
      <c r="I529" s="1333">
        <f>VLOOKUP(D529,'מאזן בוחן'!C:J,3,0)-F529</f>
        <v>0</v>
      </c>
      <c r="K529" s="137"/>
      <c r="L529" s="137"/>
      <c r="N529" s="32"/>
      <c r="O529" s="32"/>
      <c r="P529" s="32"/>
      <c r="Q529" s="32"/>
    </row>
    <row r="530" spans="1:17">
      <c r="A530" s="153" t="s">
        <v>1277</v>
      </c>
      <c r="B530" s="153" t="s">
        <v>1278</v>
      </c>
      <c r="C530" s="153" t="s">
        <v>1062</v>
      </c>
      <c r="D530" s="587">
        <v>80170</v>
      </c>
      <c r="E530" s="153" t="s">
        <v>446</v>
      </c>
      <c r="F530" s="1333">
        <v>28940.21</v>
      </c>
      <c r="G530" s="1333">
        <v>8917.0400000000009</v>
      </c>
      <c r="H530" s="1333">
        <f>VLOOKUP(D530,'מאזן בוחן'!$C:$M,11,0)-G530</f>
        <v>0</v>
      </c>
      <c r="I530" s="1333">
        <f>VLOOKUP(D530,'מאזן בוחן'!C:J,3,0)-F530</f>
        <v>0</v>
      </c>
      <c r="K530" s="137"/>
      <c r="L530" s="137"/>
      <c r="N530" s="32"/>
      <c r="O530" s="32"/>
      <c r="P530" s="32"/>
      <c r="Q530" s="32"/>
    </row>
    <row r="531" spans="1:17">
      <c r="A531" s="153" t="s">
        <v>1277</v>
      </c>
      <c r="B531" s="153" t="s">
        <v>1278</v>
      </c>
      <c r="C531" s="153" t="s">
        <v>1062</v>
      </c>
      <c r="D531" s="587">
        <v>80200</v>
      </c>
      <c r="E531" s="153" t="s">
        <v>1279</v>
      </c>
      <c r="F531" s="1333">
        <v>-16690693.52</v>
      </c>
      <c r="G531" s="1333">
        <v>-5170270.76</v>
      </c>
      <c r="H531" s="1333">
        <f>VLOOKUP(D531,'מאזן בוחן'!$C:$M,11,0)-G531</f>
        <v>0</v>
      </c>
      <c r="I531" s="1333">
        <f>VLOOKUP(D531,'מאזן בוחן'!C:J,3,0)-F531</f>
        <v>0</v>
      </c>
      <c r="K531" s="137"/>
      <c r="L531" s="137"/>
      <c r="N531" s="32"/>
      <c r="O531" s="32"/>
      <c r="P531" s="32"/>
      <c r="Q531" s="32"/>
    </row>
    <row r="532" spans="1:17">
      <c r="A532" s="153" t="s">
        <v>1277</v>
      </c>
      <c r="B532" s="153" t="s">
        <v>1278</v>
      </c>
      <c r="C532" s="153" t="s">
        <v>1062</v>
      </c>
      <c r="D532" s="587">
        <v>80201</v>
      </c>
      <c r="E532" s="153" t="s">
        <v>1280</v>
      </c>
      <c r="F532" s="1333">
        <v>16690693.52</v>
      </c>
      <c r="G532" s="1333">
        <v>5170270.76</v>
      </c>
      <c r="H532" s="1333">
        <f>VLOOKUP(D532,'מאזן בוחן'!$C:$M,11,0)-G532</f>
        <v>0</v>
      </c>
      <c r="I532" s="1333">
        <f>VLOOKUP(D532,'מאזן בוחן'!C:J,3,0)-F532</f>
        <v>0</v>
      </c>
      <c r="K532" s="137"/>
      <c r="L532" s="137"/>
      <c r="N532" s="32"/>
      <c r="O532" s="32"/>
      <c r="P532" s="32"/>
      <c r="Q532" s="32"/>
    </row>
    <row r="533" spans="1:17">
      <c r="A533" s="153" t="s">
        <v>1277</v>
      </c>
      <c r="B533" s="153" t="s">
        <v>1278</v>
      </c>
      <c r="C533" s="153" t="s">
        <v>1765</v>
      </c>
      <c r="D533" s="587">
        <v>80080</v>
      </c>
      <c r="E533" s="153" t="s">
        <v>1667</v>
      </c>
      <c r="F533" s="1333">
        <v>-3185441.66</v>
      </c>
      <c r="G533" s="1333">
        <v>-933160.91</v>
      </c>
      <c r="H533" s="1333">
        <f>VLOOKUP(D533,'מאזן בוחן'!$C:$M,11,0)-G533</f>
        <v>0</v>
      </c>
      <c r="I533" s="1333">
        <f>VLOOKUP(D533,'מאזן בוחן'!C:J,3,0)-F533</f>
        <v>0</v>
      </c>
      <c r="K533" s="137"/>
      <c r="L533" s="137"/>
      <c r="N533" s="32"/>
      <c r="O533" s="32"/>
      <c r="P533" s="32"/>
      <c r="Q533" s="32"/>
    </row>
    <row r="534" spans="1:17">
      <c r="A534" s="153" t="s">
        <v>1277</v>
      </c>
      <c r="B534" s="153" t="s">
        <v>1278</v>
      </c>
      <c r="C534" s="153" t="s">
        <v>1765</v>
      </c>
      <c r="D534" s="587">
        <v>80081</v>
      </c>
      <c r="E534" s="153" t="s">
        <v>2044</v>
      </c>
      <c r="F534" s="1333">
        <v>-17717</v>
      </c>
      <c r="G534" s="1333">
        <v>-5219.63</v>
      </c>
      <c r="H534" s="1333">
        <f>VLOOKUP(D534,'מאזן בוחן'!$C:$M,11,0)-G534</f>
        <v>0</v>
      </c>
      <c r="I534" s="1333">
        <f>VLOOKUP(D534,'מאזן בוחן'!C:J,3,0)-F534</f>
        <v>0</v>
      </c>
      <c r="K534" s="137"/>
      <c r="L534" s="137"/>
      <c r="N534" s="32"/>
      <c r="O534" s="32"/>
      <c r="P534" s="32"/>
      <c r="Q534" s="32"/>
    </row>
    <row r="535" spans="1:17">
      <c r="A535" s="153" t="s">
        <v>1277</v>
      </c>
      <c r="B535" s="153" t="s">
        <v>1278</v>
      </c>
      <c r="C535" s="153" t="s">
        <v>1766</v>
      </c>
      <c r="D535" s="587">
        <v>80070</v>
      </c>
      <c r="E535" s="153" t="s">
        <v>1665</v>
      </c>
      <c r="F535" s="1333">
        <v>-5095330.78</v>
      </c>
      <c r="G535" s="1333">
        <v>-1573336.55</v>
      </c>
      <c r="H535" s="1333">
        <f>VLOOKUP(D535,'מאזן בוחן'!$C:$M,11,0)-G535</f>
        <v>0</v>
      </c>
      <c r="I535" s="1333">
        <f>VLOOKUP(D535,'מאזן בוחן'!C:J,3,0)-F535</f>
        <v>0</v>
      </c>
      <c r="K535" s="137"/>
      <c r="L535" s="137"/>
      <c r="N535" s="32"/>
      <c r="O535" s="32"/>
      <c r="P535" s="32"/>
      <c r="Q535" s="32"/>
    </row>
    <row r="536" spans="1:17">
      <c r="A536" s="153" t="s">
        <v>1277</v>
      </c>
      <c r="B536" s="153" t="s">
        <v>1278</v>
      </c>
      <c r="C536" s="153" t="s">
        <v>1766</v>
      </c>
      <c r="D536" s="587">
        <v>80071</v>
      </c>
      <c r="E536" s="153" t="s">
        <v>2123</v>
      </c>
      <c r="F536" s="1333">
        <v>-74074.47</v>
      </c>
      <c r="G536" s="1333">
        <v>-23020.7</v>
      </c>
      <c r="H536" s="1333">
        <f>VLOOKUP(D536,'מאזן בוחן'!$C:$M,11,0)-G536</f>
        <v>0</v>
      </c>
      <c r="I536" s="1333">
        <f>VLOOKUP(D536,'מאזן בוחן'!C:J,3,0)-F536</f>
        <v>0</v>
      </c>
      <c r="K536" s="137"/>
      <c r="L536" s="137"/>
      <c r="N536" s="32"/>
      <c r="O536" s="32"/>
      <c r="P536" s="32"/>
      <c r="Q536" s="32"/>
    </row>
    <row r="537" spans="1:17">
      <c r="A537" s="153" t="s">
        <v>1277</v>
      </c>
      <c r="B537" s="153" t="s">
        <v>1278</v>
      </c>
      <c r="C537" s="153" t="s">
        <v>1065</v>
      </c>
      <c r="D537" s="587">
        <v>80090</v>
      </c>
      <c r="E537" s="153" t="s">
        <v>447</v>
      </c>
      <c r="F537" s="1333">
        <v>-52608916.390000001</v>
      </c>
      <c r="G537" s="1333">
        <v>-16359278.279999999</v>
      </c>
      <c r="H537" s="1333">
        <f>VLOOKUP(D537,'מאזן בוחן'!$C:$M,11,0)-G537</f>
        <v>0</v>
      </c>
      <c r="I537" s="1333">
        <f>VLOOKUP(D537,'מאזן בוחן'!C:J,3,0)-F537</f>
        <v>0</v>
      </c>
      <c r="K537" s="137"/>
      <c r="L537" s="137"/>
      <c r="N537" s="32"/>
      <c r="O537" s="32"/>
      <c r="P537" s="32"/>
      <c r="Q537" s="32"/>
    </row>
    <row r="538" spans="1:17">
      <c r="A538" s="153" t="s">
        <v>1277</v>
      </c>
      <c r="B538" s="153" t="s">
        <v>1278</v>
      </c>
      <c r="C538" s="153" t="s">
        <v>1065</v>
      </c>
      <c r="D538" s="587">
        <v>80091</v>
      </c>
      <c r="E538" s="153" t="s">
        <v>448</v>
      </c>
      <c r="F538" s="1333">
        <v>-66483608.549999997</v>
      </c>
      <c r="G538" s="1333">
        <v>-20438092.949999999</v>
      </c>
      <c r="H538" s="1333">
        <f>VLOOKUP(D538,'מאזן בוחן'!$C:$M,11,0)-G538</f>
        <v>0</v>
      </c>
      <c r="I538" s="1333">
        <f>VLOOKUP(D538,'מאזן בוחן'!C:J,3,0)-F538</f>
        <v>0</v>
      </c>
      <c r="K538" s="137"/>
      <c r="L538" s="137"/>
      <c r="N538" s="32"/>
      <c r="O538" s="32"/>
      <c r="P538" s="32"/>
      <c r="Q538" s="32"/>
    </row>
    <row r="539" spans="1:17">
      <c r="A539" s="153" t="s">
        <v>1277</v>
      </c>
      <c r="B539" s="153" t="s">
        <v>1278</v>
      </c>
      <c r="C539" s="153" t="s">
        <v>1065</v>
      </c>
      <c r="D539" s="587">
        <v>80092</v>
      </c>
      <c r="E539" s="153" t="s">
        <v>3804</v>
      </c>
      <c r="F539" s="1333">
        <v>-24333802.370000001</v>
      </c>
      <c r="G539" s="1333">
        <v>-7526271.3099999996</v>
      </c>
      <c r="H539" s="1333">
        <f>VLOOKUP(D539,'מאזן בוחן'!$C:$M,11,0)-G539</f>
        <v>0</v>
      </c>
      <c r="I539" s="1333">
        <f>VLOOKUP(D539,'מאזן בוחן'!C:J,3,0)-F539</f>
        <v>0</v>
      </c>
      <c r="K539" s="137"/>
      <c r="L539" s="137"/>
      <c r="N539" s="32"/>
      <c r="O539" s="32"/>
      <c r="P539" s="32"/>
      <c r="Q539" s="32"/>
    </row>
    <row r="540" spans="1:17">
      <c r="A540" s="153" t="s">
        <v>1277</v>
      </c>
      <c r="B540" s="153" t="s">
        <v>1278</v>
      </c>
      <c r="C540" s="153" t="s">
        <v>1065</v>
      </c>
      <c r="D540" s="587">
        <v>80093</v>
      </c>
      <c r="E540" s="153" t="s">
        <v>2921</v>
      </c>
      <c r="F540" s="1333">
        <v>36253219.060000002</v>
      </c>
      <c r="G540" s="1333">
        <v>11491700.83</v>
      </c>
      <c r="H540" s="1333">
        <f>VLOOKUP(D540,'מאזן בוחן'!$C:$M,11,0)-G540</f>
        <v>0</v>
      </c>
      <c r="I540" s="1333">
        <f>VLOOKUP(D540,'מאזן בוחן'!C:J,3,0)-F540</f>
        <v>0</v>
      </c>
      <c r="K540" s="137"/>
      <c r="L540" s="137"/>
      <c r="N540" s="32"/>
      <c r="O540" s="32"/>
      <c r="P540" s="32"/>
      <c r="Q540" s="32"/>
    </row>
    <row r="541" spans="1:17">
      <c r="A541" s="153" t="s">
        <v>1281</v>
      </c>
      <c r="B541" s="153" t="s">
        <v>1282</v>
      </c>
      <c r="C541" s="153" t="s">
        <v>1066</v>
      </c>
      <c r="D541" s="587">
        <v>5100001</v>
      </c>
      <c r="E541" s="153" t="s">
        <v>458</v>
      </c>
      <c r="F541" s="1333">
        <v>2449184</v>
      </c>
      <c r="G541" s="1333">
        <v>758981.05</v>
      </c>
      <c r="H541" s="1333">
        <f>VLOOKUP(D541,'מאזן בוחן'!$C:$M,11,0)-G541</f>
        <v>0</v>
      </c>
      <c r="I541" s="1333">
        <f>VLOOKUP(D541,'מאזן בוחן'!C:J,3,0)-F541</f>
        <v>0</v>
      </c>
      <c r="K541" s="137"/>
      <c r="L541" s="137"/>
      <c r="N541" s="32"/>
      <c r="O541" s="32"/>
      <c r="P541" s="32"/>
      <c r="Q541" s="32"/>
    </row>
    <row r="542" spans="1:17">
      <c r="A542" s="153" t="s">
        <v>1281</v>
      </c>
      <c r="B542" s="153" t="s">
        <v>1282</v>
      </c>
      <c r="C542" s="153" t="s">
        <v>1066</v>
      </c>
      <c r="D542" s="587">
        <v>5100002</v>
      </c>
      <c r="E542" s="153" t="s">
        <v>1067</v>
      </c>
      <c r="F542" s="1333">
        <v>694</v>
      </c>
      <c r="G542" s="1333">
        <v>176.62</v>
      </c>
      <c r="H542" s="1333">
        <f>VLOOKUP(D542,'מאזן בוחן'!$C:$M,11,0)-G542</f>
        <v>0</v>
      </c>
      <c r="I542" s="1333">
        <f>VLOOKUP(D542,'מאזן בוחן'!C:J,3,0)-F542</f>
        <v>0</v>
      </c>
      <c r="K542" s="137"/>
      <c r="L542" s="137"/>
      <c r="N542" s="32"/>
      <c r="O542" s="32"/>
      <c r="P542" s="32"/>
      <c r="Q542" s="32"/>
    </row>
    <row r="543" spans="1:17">
      <c r="A543" s="153" t="s">
        <v>1281</v>
      </c>
      <c r="B543" s="153" t="s">
        <v>1282</v>
      </c>
      <c r="C543" s="153" t="s">
        <v>1066</v>
      </c>
      <c r="D543" s="587">
        <v>5100003</v>
      </c>
      <c r="E543" s="153" t="s">
        <v>1068</v>
      </c>
      <c r="F543" s="1333">
        <v>92823.75</v>
      </c>
      <c r="G543" s="1333">
        <v>28246.66</v>
      </c>
      <c r="H543" s="1333">
        <f>VLOOKUP(D543,'מאזן בוחן'!$C:$M,11,0)-G543</f>
        <v>0</v>
      </c>
      <c r="I543" s="1333">
        <f>VLOOKUP(D543,'מאזן בוחן'!C:J,3,0)-F543</f>
        <v>0</v>
      </c>
      <c r="K543" s="137"/>
      <c r="L543" s="137"/>
      <c r="N543" s="32"/>
      <c r="O543" s="32"/>
      <c r="P543" s="32"/>
      <c r="Q543" s="32"/>
    </row>
    <row r="544" spans="1:17">
      <c r="A544" s="153" t="s">
        <v>1281</v>
      </c>
      <c r="B544" s="153" t="s">
        <v>1282</v>
      </c>
      <c r="C544" s="153" t="s">
        <v>1066</v>
      </c>
      <c r="D544" s="587" t="s">
        <v>3551</v>
      </c>
      <c r="E544" s="153" t="s">
        <v>1445</v>
      </c>
      <c r="F544" s="1333">
        <v>-175642.2</v>
      </c>
      <c r="G544" s="1333">
        <v>-56227.4</v>
      </c>
      <c r="H544" s="1333">
        <f>VLOOKUP(D544,'מאזן בוחן'!$C:$M,11,0)-G544</f>
        <v>0</v>
      </c>
      <c r="I544" s="1333">
        <f>VLOOKUP(D544,'מאזן בוחן'!C:J,3,0)-F544</f>
        <v>0</v>
      </c>
      <c r="K544" s="137"/>
      <c r="L544" s="137"/>
      <c r="N544" s="32"/>
      <c r="O544" s="32"/>
      <c r="P544" s="32"/>
      <c r="Q544" s="32"/>
    </row>
    <row r="545" spans="1:17">
      <c r="A545" s="153" t="s">
        <v>1281</v>
      </c>
      <c r="B545" s="153" t="s">
        <v>1282</v>
      </c>
      <c r="C545" s="153" t="s">
        <v>1066</v>
      </c>
      <c r="D545" s="587" t="s">
        <v>1238</v>
      </c>
      <c r="E545" s="153" t="s">
        <v>1239</v>
      </c>
      <c r="F545" s="1333">
        <v>159169.04</v>
      </c>
      <c r="G545" s="1333">
        <v>49333</v>
      </c>
      <c r="H545" s="1333">
        <f>VLOOKUP(D545,'מאזן בוחן'!$C:$M,11,0)-G545</f>
        <v>0</v>
      </c>
      <c r="I545" s="1333">
        <f>VLOOKUP(D545,'מאזן בוחן'!C:J,3,0)-F545</f>
        <v>0</v>
      </c>
      <c r="K545" s="137"/>
      <c r="L545" s="137"/>
      <c r="N545" s="32"/>
      <c r="O545" s="32"/>
      <c r="P545" s="32"/>
      <c r="Q545" s="32"/>
    </row>
    <row r="546" spans="1:17">
      <c r="A546" s="153" t="s">
        <v>1281</v>
      </c>
      <c r="B546" s="153" t="s">
        <v>1282</v>
      </c>
      <c r="C546" s="153" t="s">
        <v>1066</v>
      </c>
      <c r="D546" s="587">
        <v>5110020</v>
      </c>
      <c r="E546" s="153" t="s">
        <v>2058</v>
      </c>
      <c r="F546" s="1333">
        <v>274906.83</v>
      </c>
      <c r="G546" s="1333">
        <v>85166.67</v>
      </c>
      <c r="H546" s="1333">
        <f>VLOOKUP(D546,'מאזן בוחן'!$C:$M,11,0)-G546</f>
        <v>0</v>
      </c>
      <c r="I546" s="1333">
        <f>VLOOKUP(D546,'מאזן בוחן'!C:J,3,0)-F546</f>
        <v>0</v>
      </c>
      <c r="K546" s="137"/>
      <c r="L546" s="137"/>
      <c r="N546" s="32"/>
      <c r="O546" s="32"/>
      <c r="P546" s="32"/>
      <c r="Q546" s="32"/>
    </row>
    <row r="547" spans="1:17">
      <c r="A547" s="153" t="s">
        <v>1281</v>
      </c>
      <c r="B547" s="153" t="s">
        <v>1282</v>
      </c>
      <c r="C547" s="153" t="s">
        <v>1066</v>
      </c>
      <c r="D547" s="587">
        <v>5110021</v>
      </c>
      <c r="E547" s="153" t="s">
        <v>3577</v>
      </c>
      <c r="F547" s="1333">
        <v>75137.58</v>
      </c>
      <c r="G547" s="1333">
        <v>23306.45</v>
      </c>
      <c r="H547" s="1333">
        <f>VLOOKUP(D547,'מאזן בוחן'!$C:$M,11,0)-G547</f>
        <v>0</v>
      </c>
      <c r="I547" s="1333">
        <f>VLOOKUP(D547,'מאזן בוחן'!C:J,3,0)-F547</f>
        <v>0</v>
      </c>
      <c r="K547" s="137"/>
      <c r="L547" s="137"/>
      <c r="N547" s="32"/>
      <c r="O547" s="32"/>
      <c r="P547" s="32"/>
      <c r="Q547" s="32"/>
    </row>
    <row r="548" spans="1:17">
      <c r="A548" s="153" t="s">
        <v>1281</v>
      </c>
      <c r="B548" s="153" t="s">
        <v>1282</v>
      </c>
      <c r="C548" s="153" t="s">
        <v>1066</v>
      </c>
      <c r="D548" s="587">
        <v>5110022</v>
      </c>
      <c r="E548" s="153" t="s">
        <v>4541</v>
      </c>
      <c r="F548" s="1333">
        <v>16642.919999999998</v>
      </c>
      <c r="G548" s="1333">
        <v>5113</v>
      </c>
      <c r="H548" s="1333">
        <f>VLOOKUP(D548,'מאזן בוחן'!$C:$M,11,0)-G548</f>
        <v>0</v>
      </c>
      <c r="I548" s="1333">
        <f>VLOOKUP(D548,'מאזן בוחן'!C:J,3,0)-F548</f>
        <v>0</v>
      </c>
      <c r="K548" s="137"/>
      <c r="L548" s="137"/>
      <c r="N548" s="32"/>
      <c r="O548" s="32"/>
      <c r="P548" s="32"/>
      <c r="Q548" s="32"/>
    </row>
    <row r="549" spans="1:17">
      <c r="A549" s="153" t="s">
        <v>1281</v>
      </c>
      <c r="B549" s="153" t="s">
        <v>1282</v>
      </c>
      <c r="C549" s="153" t="s">
        <v>1066</v>
      </c>
      <c r="D549" s="587">
        <v>5110023</v>
      </c>
      <c r="E549" s="153" t="s">
        <v>3686</v>
      </c>
      <c r="F549" s="1333">
        <v>78872.5</v>
      </c>
      <c r="G549" s="1333">
        <v>24500</v>
      </c>
      <c r="H549" s="1333">
        <f>VLOOKUP(D549,'מאזן בוחן'!$C:$M,11,0)-G549</f>
        <v>0</v>
      </c>
      <c r="I549" s="1333">
        <f>VLOOKUP(D549,'מאזן בוחן'!C:J,3,0)-F549</f>
        <v>0</v>
      </c>
      <c r="K549" s="137"/>
      <c r="L549" s="137"/>
      <c r="N549" s="32"/>
      <c r="O549" s="32"/>
      <c r="P549" s="32"/>
      <c r="Q549" s="32"/>
    </row>
    <row r="550" spans="1:17">
      <c r="A550" s="153" t="s">
        <v>1281</v>
      </c>
      <c r="B550" s="153" t="s">
        <v>1282</v>
      </c>
      <c r="C550" s="153" t="s">
        <v>1066</v>
      </c>
      <c r="D550" s="587">
        <v>5110025</v>
      </c>
      <c r="E550" s="153" t="s">
        <v>4189</v>
      </c>
      <c r="F550" s="1333">
        <v>32801.599999999999</v>
      </c>
      <c r="G550" s="1333">
        <v>10400</v>
      </c>
      <c r="H550" s="1333">
        <f>VLOOKUP(D550,'מאזן בוחן'!$C:$M,11,0)-G550</f>
        <v>0</v>
      </c>
      <c r="I550" s="1333">
        <f>VLOOKUP(D550,'מאזן בוחן'!C:J,3,0)-F550</f>
        <v>0</v>
      </c>
      <c r="K550" s="137"/>
      <c r="L550" s="137"/>
      <c r="N550" s="32"/>
      <c r="O550" s="32"/>
      <c r="P550" s="32"/>
      <c r="Q550" s="32"/>
    </row>
    <row r="551" spans="1:17">
      <c r="A551" s="153" t="s">
        <v>1281</v>
      </c>
      <c r="B551" s="153" t="s">
        <v>1282</v>
      </c>
      <c r="C551" s="153" t="s">
        <v>1066</v>
      </c>
      <c r="D551" s="587">
        <v>5110027</v>
      </c>
      <c r="E551" s="153" t="s">
        <v>4345</v>
      </c>
      <c r="F551" s="1333">
        <v>129.16</v>
      </c>
      <c r="G551" s="1333">
        <v>40</v>
      </c>
      <c r="H551" s="1333">
        <f>VLOOKUP(D551,'מאזן בוחן'!$C:$M,11,0)-G551</f>
        <v>0</v>
      </c>
      <c r="I551" s="1333">
        <f>VLOOKUP(D551,'מאזן בוחן'!C:J,3,0)-F551</f>
        <v>0</v>
      </c>
      <c r="K551" s="137"/>
      <c r="L551" s="137"/>
      <c r="N551" s="32"/>
      <c r="O551" s="32"/>
      <c r="P551" s="32"/>
      <c r="Q551" s="32"/>
    </row>
    <row r="552" spans="1:17">
      <c r="A552" s="153" t="s">
        <v>1281</v>
      </c>
      <c r="B552" s="153" t="s">
        <v>1282</v>
      </c>
      <c r="C552" s="153" t="s">
        <v>1076</v>
      </c>
      <c r="D552" s="587">
        <v>5110001</v>
      </c>
      <c r="E552" s="153" t="s">
        <v>1077</v>
      </c>
      <c r="F552" s="1333">
        <v>1891.29</v>
      </c>
      <c r="G552" s="1333">
        <v>598.89</v>
      </c>
      <c r="H552" s="1333">
        <f>VLOOKUP(D552,'מאזן בוחן'!$C:$M,11,0)-G552</f>
        <v>0</v>
      </c>
      <c r="I552" s="1333">
        <f>VLOOKUP(D552,'מאזן בוחן'!C:J,3,0)-F552</f>
        <v>0</v>
      </c>
      <c r="K552" s="137"/>
      <c r="L552" s="137"/>
      <c r="N552" s="32"/>
      <c r="O552" s="32"/>
      <c r="P552" s="32"/>
      <c r="Q552" s="32"/>
    </row>
    <row r="553" spans="1:17">
      <c r="A553" s="153" t="s">
        <v>1281</v>
      </c>
      <c r="B553" s="153" t="s">
        <v>1282</v>
      </c>
      <c r="C553" s="153" t="s">
        <v>1076</v>
      </c>
      <c r="D553" s="587">
        <v>5110002</v>
      </c>
      <c r="E553" s="153" t="s">
        <v>1078</v>
      </c>
      <c r="F553" s="1333">
        <v>1750.01</v>
      </c>
      <c r="G553" s="1333">
        <v>555.21</v>
      </c>
      <c r="H553" s="1333">
        <f>VLOOKUP(D553,'מאזן בוחן'!$C:$M,11,0)-G553</f>
        <v>0</v>
      </c>
      <c r="I553" s="1333">
        <f>VLOOKUP(D553,'מאזן בוחן'!C:J,3,0)-F553</f>
        <v>0</v>
      </c>
      <c r="K553" s="137"/>
      <c r="L553" s="137"/>
      <c r="N553" s="32"/>
      <c r="O553" s="32"/>
      <c r="P553" s="32"/>
      <c r="Q553" s="32"/>
    </row>
    <row r="554" spans="1:17">
      <c r="A554" s="153" t="s">
        <v>1281</v>
      </c>
      <c r="B554" s="153" t="s">
        <v>1282</v>
      </c>
      <c r="C554" s="153" t="s">
        <v>1076</v>
      </c>
      <c r="D554" s="587">
        <v>5110003</v>
      </c>
      <c r="E554" s="153" t="s">
        <v>1079</v>
      </c>
      <c r="F554" s="1333">
        <v>844.8</v>
      </c>
      <c r="G554" s="1333">
        <v>268.02</v>
      </c>
      <c r="H554" s="1333">
        <f>VLOOKUP(D554,'מאזן בוחן'!$C:$M,11,0)-G554</f>
        <v>0</v>
      </c>
      <c r="I554" s="1333">
        <f>VLOOKUP(D554,'מאזן בוחן'!C:J,3,0)-F554</f>
        <v>0</v>
      </c>
      <c r="K554" s="137"/>
      <c r="L554" s="137"/>
      <c r="N554" s="32"/>
      <c r="O554" s="32"/>
      <c r="P554" s="32"/>
      <c r="Q554" s="32"/>
    </row>
    <row r="555" spans="1:17">
      <c r="A555" s="153" t="s">
        <v>1281</v>
      </c>
      <c r="B555" s="153" t="s">
        <v>1282</v>
      </c>
      <c r="C555" s="153" t="s">
        <v>1076</v>
      </c>
      <c r="D555" s="587">
        <v>5110004</v>
      </c>
      <c r="E555" s="153" t="s">
        <v>1080</v>
      </c>
      <c r="F555" s="1333">
        <v>900.62</v>
      </c>
      <c r="G555" s="1333">
        <v>285.73</v>
      </c>
      <c r="H555" s="1333">
        <f>VLOOKUP(D555,'מאזן בוחן'!$C:$M,11,0)-G555</f>
        <v>0</v>
      </c>
      <c r="I555" s="1333">
        <f>VLOOKUP(D555,'מאזן בוחן'!C:J,3,0)-F555</f>
        <v>0</v>
      </c>
      <c r="K555" s="137"/>
      <c r="L555" s="137"/>
      <c r="N555" s="32"/>
      <c r="O555" s="32"/>
      <c r="P555" s="32"/>
      <c r="Q555" s="32"/>
    </row>
    <row r="556" spans="1:17">
      <c r="A556" s="153" t="s">
        <v>1281</v>
      </c>
      <c r="B556" s="153" t="s">
        <v>1282</v>
      </c>
      <c r="C556" s="153" t="s">
        <v>1076</v>
      </c>
      <c r="D556" s="587">
        <v>5110005</v>
      </c>
      <c r="E556" s="153" t="s">
        <v>1081</v>
      </c>
      <c r="F556" s="1333">
        <v>636.48</v>
      </c>
      <c r="G556" s="1333">
        <v>201.93</v>
      </c>
      <c r="H556" s="1333">
        <f>VLOOKUP(D556,'מאזן בוחן'!$C:$M,11,0)-G556</f>
        <v>0</v>
      </c>
      <c r="I556" s="1333">
        <f>VLOOKUP(D556,'מאזן בוחן'!C:J,3,0)-F556</f>
        <v>0</v>
      </c>
      <c r="K556" s="137"/>
      <c r="L556" s="137"/>
      <c r="N556" s="32"/>
      <c r="O556" s="32"/>
      <c r="P556" s="32"/>
      <c r="Q556" s="32"/>
    </row>
    <row r="557" spans="1:17">
      <c r="A557" s="153" t="s">
        <v>1281</v>
      </c>
      <c r="B557" s="153" t="s">
        <v>1282</v>
      </c>
      <c r="C557" s="153" t="s">
        <v>1076</v>
      </c>
      <c r="D557" s="587">
        <v>5110007</v>
      </c>
      <c r="E557" s="153" t="s">
        <v>2922</v>
      </c>
      <c r="F557" s="1333">
        <v>123459.96</v>
      </c>
      <c r="G557" s="1333">
        <v>38027.31</v>
      </c>
      <c r="H557" s="1333">
        <f>VLOOKUP(D557,'מאזן בוחן'!$C:$M,11,0)-G557</f>
        <v>0</v>
      </c>
      <c r="I557" s="1333">
        <f>VLOOKUP(D557,'מאזן בוחן'!C:J,3,0)-F557</f>
        <v>0</v>
      </c>
      <c r="K557" s="137"/>
      <c r="L557" s="137"/>
      <c r="N557" s="32"/>
      <c r="O557" s="32"/>
      <c r="P557" s="32"/>
      <c r="Q557" s="32"/>
    </row>
    <row r="558" spans="1:17">
      <c r="A558" s="153" t="s">
        <v>1281</v>
      </c>
      <c r="B558" s="153" t="s">
        <v>1282</v>
      </c>
      <c r="C558" s="153" t="s">
        <v>1076</v>
      </c>
      <c r="D558" s="587">
        <v>5110009</v>
      </c>
      <c r="E558" s="153" t="s">
        <v>1626</v>
      </c>
      <c r="F558" s="1333">
        <v>48833.23</v>
      </c>
      <c r="G558" s="1333">
        <v>15130.19</v>
      </c>
      <c r="H558" s="1333">
        <f>VLOOKUP(D558,'מאזן בוחן'!$C:$M,11,0)-G558</f>
        <v>0</v>
      </c>
      <c r="I558" s="1333">
        <f>VLOOKUP(D558,'מאזן בוחן'!C:J,3,0)-F558</f>
        <v>0</v>
      </c>
      <c r="K558" s="137"/>
      <c r="L558" s="137"/>
      <c r="N558" s="32"/>
      <c r="O558" s="32"/>
      <c r="P558" s="32"/>
      <c r="Q558" s="32"/>
    </row>
    <row r="559" spans="1:17">
      <c r="A559" s="153" t="s">
        <v>1281</v>
      </c>
      <c r="B559" s="153" t="s">
        <v>1282</v>
      </c>
      <c r="C559" s="153" t="s">
        <v>1076</v>
      </c>
      <c r="D559" s="587">
        <v>5110010</v>
      </c>
      <c r="E559" s="153" t="s">
        <v>1721</v>
      </c>
      <c r="F559" s="1333">
        <v>301694.40000000002</v>
      </c>
      <c r="G559" s="1333">
        <v>92617.18</v>
      </c>
      <c r="H559" s="1333">
        <f>VLOOKUP(D559,'מאזן בוחן'!$C:$M,11,0)-G559</f>
        <v>0</v>
      </c>
      <c r="I559" s="1333">
        <f>VLOOKUP(D559,'מאזן בוחן'!C:J,3,0)-F559</f>
        <v>0</v>
      </c>
      <c r="K559" s="137"/>
      <c r="L559" s="137"/>
      <c r="N559" s="32"/>
      <c r="O559" s="32"/>
      <c r="P559" s="32"/>
      <c r="Q559" s="32"/>
    </row>
    <row r="560" spans="1:17">
      <c r="A560" s="153" t="s">
        <v>1281</v>
      </c>
      <c r="B560" s="153" t="s">
        <v>1282</v>
      </c>
      <c r="C560" s="153" t="s">
        <v>1076</v>
      </c>
      <c r="D560" s="587">
        <v>5110030</v>
      </c>
      <c r="E560" s="153" t="s">
        <v>2059</v>
      </c>
      <c r="F560" s="1333">
        <v>9700.8799999999992</v>
      </c>
      <c r="G560" s="1333">
        <v>3081.55</v>
      </c>
      <c r="H560" s="1333">
        <f>VLOOKUP(D560,'מאזן בוחן'!$C:$M,11,0)-G560</f>
        <v>0</v>
      </c>
      <c r="I560" s="1333">
        <f>VLOOKUP(D560,'מאזן בוחן'!C:J,3,0)-F560</f>
        <v>0</v>
      </c>
      <c r="K560" s="137"/>
      <c r="L560" s="137"/>
      <c r="N560" s="32"/>
      <c r="O560" s="32"/>
      <c r="P560" s="32"/>
      <c r="Q560" s="32"/>
    </row>
    <row r="561" spans="1:17">
      <c r="A561" s="153" t="s">
        <v>1281</v>
      </c>
      <c r="B561" s="153" t="s">
        <v>1282</v>
      </c>
      <c r="C561" s="153" t="s">
        <v>1076</v>
      </c>
      <c r="D561" s="587">
        <v>5110031</v>
      </c>
      <c r="E561" s="153" t="s">
        <v>3805</v>
      </c>
      <c r="F561" s="1333">
        <v>2090.29</v>
      </c>
      <c r="G561" s="1333">
        <v>647.87</v>
      </c>
      <c r="H561" s="1333">
        <f>VLOOKUP(D561,'מאזן בוחן'!$C:$M,11,0)-G561</f>
        <v>0</v>
      </c>
      <c r="I561" s="1333">
        <f>VLOOKUP(D561,'מאזן בוחן'!C:J,3,0)-F561</f>
        <v>0</v>
      </c>
      <c r="K561" s="137"/>
      <c r="L561" s="137"/>
      <c r="N561" s="32"/>
      <c r="O561" s="32"/>
      <c r="P561" s="32"/>
      <c r="Q561" s="32"/>
    </row>
    <row r="562" spans="1:17">
      <c r="A562" s="153" t="s">
        <v>1281</v>
      </c>
      <c r="B562" s="153" t="s">
        <v>1282</v>
      </c>
      <c r="C562" s="153" t="s">
        <v>1076</v>
      </c>
      <c r="D562" s="587">
        <v>5110032</v>
      </c>
      <c r="E562" s="153" t="s">
        <v>3687</v>
      </c>
      <c r="F562" s="1333">
        <v>949.46</v>
      </c>
      <c r="G562" s="1333">
        <v>295</v>
      </c>
      <c r="H562" s="1333">
        <f>VLOOKUP(D562,'מאזן בוחן'!$C:$M,11,0)-G562</f>
        <v>0</v>
      </c>
      <c r="I562" s="1333">
        <f>VLOOKUP(D562,'מאזן בוחן'!C:J,3,0)-F562</f>
        <v>0</v>
      </c>
      <c r="K562" s="137"/>
      <c r="L562" s="137"/>
      <c r="N562" s="32"/>
      <c r="O562" s="32"/>
      <c r="P562" s="32"/>
      <c r="Q562" s="32"/>
    </row>
    <row r="563" spans="1:17">
      <c r="A563" s="153" t="s">
        <v>1281</v>
      </c>
      <c r="B563" s="153" t="s">
        <v>1282</v>
      </c>
      <c r="C563" s="153" t="s">
        <v>1076</v>
      </c>
      <c r="D563" s="587">
        <v>5110033</v>
      </c>
      <c r="E563" s="153" t="s">
        <v>4190</v>
      </c>
      <c r="F563" s="1333">
        <v>1686.67</v>
      </c>
      <c r="G563" s="1333">
        <v>528.89</v>
      </c>
      <c r="H563" s="1333">
        <f>VLOOKUP(D563,'מאזן בוחן'!$C:$M,11,0)-G563</f>
        <v>0</v>
      </c>
      <c r="I563" s="1333">
        <f>VLOOKUP(D563,'מאזן בוחן'!C:J,3,0)-F563</f>
        <v>0</v>
      </c>
      <c r="K563" s="137"/>
      <c r="L563" s="137"/>
      <c r="N563" s="32"/>
      <c r="O563" s="32"/>
      <c r="P563" s="32"/>
      <c r="Q563" s="32"/>
    </row>
    <row r="564" spans="1:17">
      <c r="A564" s="153" t="s">
        <v>1281</v>
      </c>
      <c r="B564" s="153" t="s">
        <v>1282</v>
      </c>
      <c r="C564" s="153" t="s">
        <v>1447</v>
      </c>
      <c r="D564" s="587">
        <v>5120001</v>
      </c>
      <c r="E564" s="153" t="s">
        <v>1448</v>
      </c>
      <c r="F564" s="1333">
        <v>1101733.7</v>
      </c>
      <c r="G564" s="1333">
        <v>333035.2</v>
      </c>
      <c r="H564" s="1333">
        <f>VLOOKUP(D564,'מאזן בוחן'!$C:$M,11,0)-G564</f>
        <v>0</v>
      </c>
      <c r="I564" s="1333">
        <f>VLOOKUP(D564,'מאזן בוחן'!C:J,3,0)-F564</f>
        <v>0</v>
      </c>
      <c r="K564" s="137"/>
      <c r="L564" s="137"/>
      <c r="N564" s="32"/>
      <c r="O564" s="32"/>
      <c r="P564" s="32"/>
      <c r="Q564" s="32"/>
    </row>
    <row r="565" spans="1:17">
      <c r="A565" s="153" t="s">
        <v>1281</v>
      </c>
      <c r="B565" s="153" t="s">
        <v>1283</v>
      </c>
      <c r="C565" s="153" t="s">
        <v>1070</v>
      </c>
      <c r="D565" s="587">
        <v>5200001</v>
      </c>
      <c r="E565" s="153" t="s">
        <v>1637</v>
      </c>
      <c r="F565" s="1333">
        <v>4445537</v>
      </c>
      <c r="G565" s="1333">
        <v>1373614.68</v>
      </c>
      <c r="H565" s="1333">
        <f>VLOOKUP(D565,'מאזן בוחן'!$C:$M,11,0)-G565</f>
        <v>0</v>
      </c>
      <c r="I565" s="1333">
        <f>VLOOKUP(D565,'מאזן בוחן'!C:J,3,0)-F565</f>
        <v>0</v>
      </c>
      <c r="K565" s="137"/>
      <c r="L565" s="137"/>
      <c r="N565" s="32"/>
      <c r="O565" s="32"/>
      <c r="P565" s="32"/>
      <c r="Q565" s="32"/>
    </row>
    <row r="566" spans="1:17">
      <c r="A566" s="153" t="s">
        <v>1281</v>
      </c>
      <c r="B566" s="153" t="s">
        <v>1283</v>
      </c>
      <c r="C566" s="153" t="s">
        <v>1070</v>
      </c>
      <c r="D566" s="587">
        <v>5200002</v>
      </c>
      <c r="E566" s="153" t="s">
        <v>1736</v>
      </c>
      <c r="F566" s="1333">
        <v>108849.69</v>
      </c>
      <c r="G566" s="1333">
        <v>34938.26</v>
      </c>
      <c r="H566" s="1333">
        <f>VLOOKUP(D566,'מאזן בוחן'!$C:$M,11,0)-G566</f>
        <v>0</v>
      </c>
      <c r="I566" s="1333">
        <f>VLOOKUP(D566,'מאזן בוחן'!C:J,3,0)-F566</f>
        <v>0</v>
      </c>
      <c r="K566" s="137"/>
      <c r="L566" s="137"/>
      <c r="N566" s="32"/>
      <c r="O566" s="32"/>
      <c r="P566" s="32"/>
      <c r="Q566" s="32"/>
    </row>
    <row r="567" spans="1:17">
      <c r="A567" s="153" t="s">
        <v>1281</v>
      </c>
      <c r="B567" s="153" t="s">
        <v>1283</v>
      </c>
      <c r="C567" s="153" t="s">
        <v>1070</v>
      </c>
      <c r="D567" s="587">
        <v>5200003</v>
      </c>
      <c r="E567" s="153" t="s">
        <v>1734</v>
      </c>
      <c r="F567" s="1333">
        <v>201250.41</v>
      </c>
      <c r="G567" s="1333">
        <v>61020.36</v>
      </c>
      <c r="H567" s="1333">
        <f>VLOOKUP(D567,'מאזן בוחן'!$C:$M,11,0)-G567</f>
        <v>0</v>
      </c>
      <c r="I567" s="1333">
        <f>VLOOKUP(D567,'מאזן בוחן'!C:J,3,0)-F567</f>
        <v>0</v>
      </c>
      <c r="K567" s="137"/>
      <c r="L567" s="137"/>
      <c r="N567" s="32"/>
      <c r="O567" s="32"/>
      <c r="P567" s="32"/>
      <c r="Q567" s="32"/>
    </row>
    <row r="568" spans="1:17">
      <c r="A568" s="153" t="s">
        <v>1281</v>
      </c>
      <c r="B568" s="153" t="s">
        <v>1283</v>
      </c>
      <c r="C568" s="153" t="s">
        <v>1070</v>
      </c>
      <c r="D568" s="587">
        <v>5200020</v>
      </c>
      <c r="E568" s="153" t="s">
        <v>3901</v>
      </c>
      <c r="F568" s="1333">
        <v>24000</v>
      </c>
      <c r="G568" s="1333">
        <v>7717.04</v>
      </c>
      <c r="H568" s="1333">
        <f>VLOOKUP(D568,'מאזן בוחן'!$C:$M,11,0)-G568</f>
        <v>0</v>
      </c>
      <c r="I568" s="1333">
        <f>VLOOKUP(D568,'מאזן בוחן'!C:J,3,0)-F568</f>
        <v>0</v>
      </c>
      <c r="K568" s="137"/>
      <c r="L568" s="137"/>
      <c r="N568" s="32"/>
      <c r="O568" s="32"/>
      <c r="P568" s="32"/>
      <c r="Q568" s="32"/>
    </row>
    <row r="569" spans="1:17">
      <c r="A569" s="153" t="s">
        <v>1281</v>
      </c>
      <c r="B569" s="153" t="s">
        <v>1283</v>
      </c>
      <c r="C569" s="153" t="s">
        <v>1082</v>
      </c>
      <c r="D569" s="587">
        <v>5200051</v>
      </c>
      <c r="E569" s="153" t="s">
        <v>2527</v>
      </c>
      <c r="F569" s="1333">
        <v>32330</v>
      </c>
      <c r="G569" s="1333">
        <v>10000</v>
      </c>
      <c r="H569" s="1333">
        <f>VLOOKUP(D569,'מאזן בוחן'!$C:$M,11,0)-G569</f>
        <v>0</v>
      </c>
      <c r="I569" s="1333">
        <f>VLOOKUP(D569,'מאזן בוחן'!C:J,3,0)-F569</f>
        <v>0</v>
      </c>
      <c r="K569" s="137"/>
      <c r="L569" s="137"/>
      <c r="N569" s="32"/>
      <c r="O569" s="32"/>
      <c r="P569" s="32"/>
      <c r="Q569" s="32"/>
    </row>
    <row r="570" spans="1:17">
      <c r="A570" s="153" t="s">
        <v>1281</v>
      </c>
      <c r="B570" s="153" t="s">
        <v>1283</v>
      </c>
      <c r="C570" s="153" t="s">
        <v>1082</v>
      </c>
      <c r="D570" s="587">
        <v>5210001</v>
      </c>
      <c r="E570" s="153" t="s">
        <v>4050</v>
      </c>
      <c r="F570" s="1333">
        <v>6550.2</v>
      </c>
      <c r="G570" s="1333">
        <v>2069.52</v>
      </c>
      <c r="H570" s="1333">
        <f>VLOOKUP(D570,'מאזן בוחן'!$C:$M,11,0)-G570</f>
        <v>0</v>
      </c>
      <c r="I570" s="1333">
        <f>VLOOKUP(D570,'מאזן בוחן'!C:J,3,0)-F570</f>
        <v>0</v>
      </c>
      <c r="K570" s="137"/>
      <c r="L570" s="137"/>
      <c r="N570" s="32"/>
      <c r="O570" s="32"/>
      <c r="P570" s="32"/>
      <c r="Q570" s="32"/>
    </row>
    <row r="571" spans="1:17">
      <c r="A571" s="153" t="s">
        <v>1281</v>
      </c>
      <c r="B571" s="153" t="s">
        <v>1283</v>
      </c>
      <c r="C571" s="153" t="s">
        <v>1082</v>
      </c>
      <c r="D571" s="587">
        <v>5210002</v>
      </c>
      <c r="E571" s="153" t="s">
        <v>4051</v>
      </c>
      <c r="F571" s="1333">
        <v>4920.66</v>
      </c>
      <c r="G571" s="1333">
        <v>1586.96</v>
      </c>
      <c r="H571" s="1333">
        <f>VLOOKUP(D571,'מאזן בוחן'!$C:$M,11,0)-G571</f>
        <v>0</v>
      </c>
      <c r="I571" s="1333">
        <f>VLOOKUP(D571,'מאזן בוחן'!C:J,3,0)-F571</f>
        <v>0</v>
      </c>
      <c r="K571" s="137"/>
      <c r="L571" s="137"/>
      <c r="N571" s="32"/>
      <c r="O571" s="32"/>
      <c r="P571" s="32"/>
      <c r="Q571" s="32"/>
    </row>
    <row r="572" spans="1:17">
      <c r="A572" s="153" t="s">
        <v>1281</v>
      </c>
      <c r="B572" s="153" t="s">
        <v>1283</v>
      </c>
      <c r="C572" s="153" t="s">
        <v>1082</v>
      </c>
      <c r="D572" s="587">
        <v>5210003</v>
      </c>
      <c r="E572" s="153" t="s">
        <v>1085</v>
      </c>
      <c r="F572" s="1333">
        <v>2329.7399999999998</v>
      </c>
      <c r="G572" s="1333">
        <v>750.39</v>
      </c>
      <c r="H572" s="1333">
        <f>VLOOKUP(D572,'מאזן בוחן'!$C:$M,11,0)-G572</f>
        <v>0</v>
      </c>
      <c r="I572" s="1333">
        <f>VLOOKUP(D572,'מאזן בוחן'!C:J,3,0)-F572</f>
        <v>0</v>
      </c>
      <c r="K572" s="137"/>
      <c r="L572" s="137"/>
      <c r="N572" s="32"/>
      <c r="O572" s="32"/>
      <c r="P572" s="32"/>
      <c r="Q572" s="32"/>
    </row>
    <row r="573" spans="1:17">
      <c r="A573" s="153" t="s">
        <v>1281</v>
      </c>
      <c r="B573" s="153" t="s">
        <v>1283</v>
      </c>
      <c r="C573" s="153" t="s">
        <v>1082</v>
      </c>
      <c r="D573" s="587">
        <v>5210004</v>
      </c>
      <c r="E573" s="153" t="s">
        <v>1086</v>
      </c>
      <c r="F573" s="1333">
        <v>2632.72</v>
      </c>
      <c r="G573" s="1333">
        <v>845.46</v>
      </c>
      <c r="H573" s="1333">
        <f>VLOOKUP(D573,'מאזן בוחן'!$C:$M,11,0)-G573</f>
        <v>0</v>
      </c>
      <c r="I573" s="1333">
        <f>VLOOKUP(D573,'מאזן בוחן'!C:J,3,0)-F573</f>
        <v>0</v>
      </c>
      <c r="K573" s="137"/>
      <c r="L573" s="137"/>
      <c r="N573" s="32"/>
      <c r="O573" s="32"/>
      <c r="P573" s="32"/>
      <c r="Q573" s="32"/>
    </row>
    <row r="574" spans="1:17">
      <c r="A574" s="153" t="s">
        <v>1281</v>
      </c>
      <c r="B574" s="153" t="s">
        <v>1283</v>
      </c>
      <c r="C574" s="153" t="s">
        <v>1082</v>
      </c>
      <c r="D574" s="587">
        <v>5210005</v>
      </c>
      <c r="E574" s="153" t="s">
        <v>4468</v>
      </c>
      <c r="F574" s="1333">
        <v>3622.75</v>
      </c>
      <c r="G574" s="1333">
        <v>1176.93</v>
      </c>
      <c r="H574" s="1333">
        <f>VLOOKUP(D574,'מאזן בוחן'!$C:$M,11,0)-G574</f>
        <v>0</v>
      </c>
      <c r="I574" s="1333">
        <f>VLOOKUP(D574,'מאזן בוחן'!C:J,3,0)-F574</f>
        <v>0</v>
      </c>
      <c r="K574" s="137"/>
      <c r="L574" s="137"/>
      <c r="N574" s="32"/>
      <c r="O574" s="32"/>
      <c r="P574" s="32"/>
      <c r="Q574" s="32"/>
    </row>
    <row r="575" spans="1:17">
      <c r="A575" s="153" t="s">
        <v>1281</v>
      </c>
      <c r="B575" s="153" t="s">
        <v>1283</v>
      </c>
      <c r="C575" s="153" t="s">
        <v>1082</v>
      </c>
      <c r="D575" s="587">
        <v>5210006</v>
      </c>
      <c r="E575" s="153" t="s">
        <v>2042</v>
      </c>
      <c r="F575" s="1333">
        <v>41744.68</v>
      </c>
      <c r="G575" s="1333">
        <v>13081.06</v>
      </c>
      <c r="H575" s="1333">
        <f>VLOOKUP(D575,'מאזן בוחן'!$C:$M,11,0)-G575</f>
        <v>0</v>
      </c>
      <c r="I575" s="1333">
        <f>VLOOKUP(D575,'מאזן בוחן'!C:J,3,0)-F575</f>
        <v>0</v>
      </c>
      <c r="K575" s="137"/>
      <c r="L575" s="137"/>
      <c r="N575" s="32"/>
      <c r="O575" s="32"/>
      <c r="P575" s="32"/>
      <c r="Q575" s="32"/>
    </row>
    <row r="576" spans="1:17">
      <c r="A576" s="153" t="s">
        <v>1281</v>
      </c>
      <c r="B576" s="153" t="s">
        <v>1283</v>
      </c>
      <c r="C576" s="153" t="s">
        <v>1082</v>
      </c>
      <c r="D576" s="587">
        <v>5210010</v>
      </c>
      <c r="E576" s="153" t="s">
        <v>2923</v>
      </c>
      <c r="F576" s="1333">
        <v>80579</v>
      </c>
      <c r="G576" s="1333">
        <v>23991.85</v>
      </c>
      <c r="H576" s="1333">
        <f>VLOOKUP(D576,'מאזן בוחן'!$C:$M,11,0)-G576</f>
        <v>0</v>
      </c>
      <c r="I576" s="1333">
        <f>VLOOKUP(D576,'מאזן בוחן'!C:J,3,0)-F576</f>
        <v>0</v>
      </c>
      <c r="K576" s="137"/>
      <c r="L576" s="137"/>
      <c r="N576" s="32"/>
      <c r="O576" s="32"/>
      <c r="P576" s="32"/>
      <c r="Q576" s="32"/>
    </row>
    <row r="577" spans="1:17">
      <c r="A577" s="153" t="s">
        <v>1281</v>
      </c>
      <c r="B577" s="153" t="s">
        <v>1284</v>
      </c>
      <c r="C577" s="153" t="s">
        <v>1073</v>
      </c>
      <c r="D577" s="587">
        <v>5400001</v>
      </c>
      <c r="E577" s="153" t="s">
        <v>1074</v>
      </c>
      <c r="F577" s="1333">
        <v>1818745</v>
      </c>
      <c r="G577" s="1333">
        <v>563105.4</v>
      </c>
      <c r="H577" s="1333">
        <f>VLOOKUP(D577,'מאזן בוחן'!$C:$M,11,0)-G577</f>
        <v>0</v>
      </c>
      <c r="I577" s="1333">
        <f>VLOOKUP(D577,'מאזן בוחן'!C:J,3,0)-F577</f>
        <v>0</v>
      </c>
      <c r="K577" s="137"/>
      <c r="L577" s="137"/>
      <c r="N577" s="32"/>
      <c r="O577" s="32"/>
      <c r="P577" s="32"/>
      <c r="Q577" s="32"/>
    </row>
    <row r="578" spans="1:17">
      <c r="A578" s="153" t="s">
        <v>1281</v>
      </c>
      <c r="B578" s="153" t="s">
        <v>1284</v>
      </c>
      <c r="C578" s="153" t="s">
        <v>1073</v>
      </c>
      <c r="D578" s="587">
        <v>5400002</v>
      </c>
      <c r="E578" s="153" t="s">
        <v>1075</v>
      </c>
      <c r="F578" s="1333">
        <v>59048.98</v>
      </c>
      <c r="G578" s="1333">
        <v>17904.57</v>
      </c>
      <c r="H578" s="1333">
        <f>VLOOKUP(D578,'מאזן בוחן'!$C:$M,11,0)-G578</f>
        <v>0</v>
      </c>
      <c r="I578" s="1333">
        <f>VLOOKUP(D578,'מאזן בוחן'!C:J,3,0)-F578</f>
        <v>0</v>
      </c>
      <c r="K578" s="137"/>
      <c r="L578" s="137"/>
      <c r="N578" s="32"/>
      <c r="O578" s="32"/>
      <c r="P578" s="32"/>
      <c r="Q578" s="32"/>
    </row>
    <row r="579" spans="1:17">
      <c r="A579" s="153" t="s">
        <v>1281</v>
      </c>
      <c r="B579" s="153" t="s">
        <v>1284</v>
      </c>
      <c r="C579" s="153" t="s">
        <v>1073</v>
      </c>
      <c r="D579" s="587">
        <v>5400003</v>
      </c>
      <c r="E579" s="153" t="s">
        <v>1228</v>
      </c>
      <c r="F579" s="1333">
        <v>17975.18</v>
      </c>
      <c r="G579" s="1333">
        <v>5755.14</v>
      </c>
      <c r="H579" s="1333">
        <f>VLOOKUP(D579,'מאזן בוחן'!$C:$M,11,0)-G579</f>
        <v>0</v>
      </c>
      <c r="I579" s="1333">
        <f>VLOOKUP(D579,'מאזן בוחן'!C:J,3,0)-F579</f>
        <v>0</v>
      </c>
      <c r="K579" s="137"/>
      <c r="L579" s="137"/>
      <c r="N579" s="32"/>
      <c r="O579" s="32"/>
      <c r="P579" s="32"/>
      <c r="Q579" s="32"/>
    </row>
    <row r="580" spans="1:17">
      <c r="A580" s="153" t="s">
        <v>1281</v>
      </c>
      <c r="B580" s="153" t="s">
        <v>1284</v>
      </c>
      <c r="C580" s="153" t="s">
        <v>1073</v>
      </c>
      <c r="D580" s="587">
        <v>5400055</v>
      </c>
      <c r="E580" s="153" t="s">
        <v>4801</v>
      </c>
      <c r="F580" s="1333">
        <v>900</v>
      </c>
      <c r="G580" s="1333">
        <v>289.39</v>
      </c>
      <c r="H580" s="1333">
        <f>VLOOKUP(D580,'מאזן בוחן'!$C:$M,11,0)-G580</f>
        <v>0</v>
      </c>
      <c r="I580" s="1333">
        <f>VLOOKUP(D580,'מאזן בוחן'!C:J,3,0)-F580</f>
        <v>0</v>
      </c>
      <c r="K580" s="137"/>
      <c r="L580" s="137"/>
      <c r="N580" s="32"/>
      <c r="O580" s="32"/>
      <c r="P580" s="32"/>
      <c r="Q580" s="32"/>
    </row>
    <row r="581" spans="1:17">
      <c r="A581" s="153" t="s">
        <v>1281</v>
      </c>
      <c r="B581" s="153" t="s">
        <v>1284</v>
      </c>
      <c r="C581" s="153" t="s">
        <v>1088</v>
      </c>
      <c r="D581" s="587">
        <v>5420004</v>
      </c>
      <c r="E581" s="153" t="s">
        <v>1095</v>
      </c>
      <c r="F581" s="1333">
        <v>271746.33</v>
      </c>
      <c r="G581" s="1333">
        <v>84086.39</v>
      </c>
      <c r="H581" s="1333">
        <f>VLOOKUP(D581,'מאזן בוחן'!$C:$M,11,0)-G581</f>
        <v>0</v>
      </c>
      <c r="I581" s="1333">
        <f>VLOOKUP(D581,'מאזן בוחן'!C:J,3,0)-F581</f>
        <v>0</v>
      </c>
      <c r="K581" s="137"/>
      <c r="L581" s="137"/>
      <c r="N581" s="32"/>
      <c r="O581" s="32"/>
      <c r="P581" s="32"/>
      <c r="Q581" s="32"/>
    </row>
    <row r="582" spans="1:17">
      <c r="A582" s="153" t="s">
        <v>1281</v>
      </c>
      <c r="B582" s="153" t="s">
        <v>1284</v>
      </c>
      <c r="C582" s="153" t="s">
        <v>1088</v>
      </c>
      <c r="D582" s="587">
        <v>5420005</v>
      </c>
      <c r="E582" s="153" t="s">
        <v>1961</v>
      </c>
      <c r="F582" s="1333">
        <v>21205.55</v>
      </c>
      <c r="G582" s="1333">
        <v>6787.98</v>
      </c>
      <c r="H582" s="1333">
        <f>VLOOKUP(D582,'מאזן בוחן'!$C:$M,11,0)-G582</f>
        <v>0</v>
      </c>
      <c r="I582" s="1333">
        <f>VLOOKUP(D582,'מאזן בוחן'!C:J,3,0)-F582</f>
        <v>0</v>
      </c>
      <c r="K582" s="137"/>
      <c r="L582" s="137"/>
      <c r="N582" s="32"/>
      <c r="O582" s="32"/>
      <c r="P582" s="32"/>
      <c r="Q582" s="32"/>
    </row>
    <row r="583" spans="1:17">
      <c r="A583" s="153" t="s">
        <v>1281</v>
      </c>
      <c r="B583" s="153" t="s">
        <v>1284</v>
      </c>
      <c r="C583" s="153" t="s">
        <v>1088</v>
      </c>
      <c r="D583" s="587">
        <v>5420007</v>
      </c>
      <c r="E583" s="153" t="s">
        <v>1624</v>
      </c>
      <c r="F583" s="1333">
        <v>704418.13</v>
      </c>
      <c r="G583" s="1333">
        <v>217483.86</v>
      </c>
      <c r="H583" s="1333">
        <f>VLOOKUP(D583,'מאזן בוחן'!$C:$M,11,0)-G583</f>
        <v>0</v>
      </c>
      <c r="I583" s="1333">
        <f>VLOOKUP(D583,'מאזן בוחן'!C:J,3,0)-F583</f>
        <v>0</v>
      </c>
      <c r="K583" s="137"/>
      <c r="L583" s="137"/>
      <c r="N583" s="32"/>
      <c r="O583" s="32"/>
      <c r="P583" s="32"/>
      <c r="Q583" s="32"/>
    </row>
    <row r="584" spans="1:17">
      <c r="A584" s="153" t="s">
        <v>1281</v>
      </c>
      <c r="B584" s="153" t="s">
        <v>2924</v>
      </c>
      <c r="C584" s="153" t="s">
        <v>1096</v>
      </c>
      <c r="D584" s="587">
        <v>5800001</v>
      </c>
      <c r="E584" s="153" t="s">
        <v>357</v>
      </c>
      <c r="F584" s="1333">
        <v>101911.3</v>
      </c>
      <c r="G584" s="1333">
        <v>32984.879999999997</v>
      </c>
      <c r="H584" s="1333">
        <f>VLOOKUP(D584,'מאזן בוחן'!$C:$M,11,0)-G584</f>
        <v>0</v>
      </c>
      <c r="I584" s="1333">
        <f>VLOOKUP(D584,'מאזן בוחן'!C:J,3,0)-F584</f>
        <v>0</v>
      </c>
      <c r="K584" s="137"/>
      <c r="L584" s="137"/>
      <c r="N584" s="32"/>
      <c r="O584" s="32"/>
      <c r="P584" s="32"/>
      <c r="Q584" s="32"/>
    </row>
    <row r="585" spans="1:17">
      <c r="A585" s="153" t="s">
        <v>1281</v>
      </c>
      <c r="B585" s="153" t="s">
        <v>2924</v>
      </c>
      <c r="C585" s="153" t="s">
        <v>1096</v>
      </c>
      <c r="D585" s="587">
        <v>5800002</v>
      </c>
      <c r="E585" s="153" t="s">
        <v>358</v>
      </c>
      <c r="F585" s="1333">
        <v>4686359.2699999996</v>
      </c>
      <c r="G585" s="1333">
        <v>1464782.04</v>
      </c>
      <c r="H585" s="1333">
        <f>VLOOKUP(D585,'מאזן בוחן'!$C:$M,11,0)-G585</f>
        <v>0</v>
      </c>
      <c r="I585" s="1333">
        <f>VLOOKUP(D585,'מאזן בוחן'!C:J,3,0)-F585</f>
        <v>0</v>
      </c>
      <c r="K585" s="137"/>
      <c r="L585" s="137"/>
      <c r="N585" s="32"/>
      <c r="O585" s="32"/>
      <c r="P585" s="32"/>
      <c r="Q585" s="32"/>
    </row>
    <row r="586" spans="1:17">
      <c r="A586" s="153" t="s">
        <v>1281</v>
      </c>
      <c r="B586" s="153" t="s">
        <v>2924</v>
      </c>
      <c r="C586" s="153" t="s">
        <v>1097</v>
      </c>
      <c r="D586" s="587">
        <v>5810003</v>
      </c>
      <c r="E586" s="153" t="s">
        <v>2178</v>
      </c>
      <c r="F586" s="1333">
        <v>999058</v>
      </c>
      <c r="G586" s="1333">
        <v>218724.28</v>
      </c>
      <c r="H586" s="1333">
        <f>VLOOKUP(D586,'מאזן בוחן'!$C:$M,11,0)-G586</f>
        <v>0</v>
      </c>
      <c r="I586" s="1333">
        <f>VLOOKUP(D586,'מאזן בוחן'!C:J,3,0)-F586</f>
        <v>0</v>
      </c>
      <c r="K586" s="137"/>
      <c r="L586" s="137"/>
      <c r="N586" s="32"/>
      <c r="O586" s="32"/>
      <c r="P586" s="32"/>
      <c r="Q586" s="32"/>
    </row>
    <row r="587" spans="1:17">
      <c r="A587" s="153" t="s">
        <v>1281</v>
      </c>
      <c r="B587" s="153" t="s">
        <v>1834</v>
      </c>
      <c r="C587" s="153" t="s">
        <v>1098</v>
      </c>
      <c r="D587" s="587">
        <v>5900001</v>
      </c>
      <c r="E587" s="153" t="s">
        <v>1099</v>
      </c>
      <c r="F587" s="1333">
        <v>9389680.8499999996</v>
      </c>
      <c r="G587" s="1333">
        <v>2876821.84</v>
      </c>
      <c r="H587" s="1333">
        <f>VLOOKUP(D587,'מאזן בוחן'!$C:$M,11,0)-G587</f>
        <v>0</v>
      </c>
      <c r="I587" s="1333">
        <f>VLOOKUP(D587,'מאזן בוחן'!C:J,3,0)-F587</f>
        <v>0</v>
      </c>
      <c r="K587" s="137"/>
      <c r="L587" s="137"/>
      <c r="N587" s="32"/>
      <c r="O587" s="32"/>
      <c r="P587" s="32"/>
      <c r="Q587" s="32"/>
    </row>
    <row r="588" spans="1:17">
      <c r="A588" s="153" t="s">
        <v>1285</v>
      </c>
      <c r="B588" s="153" t="s">
        <v>1286</v>
      </c>
      <c r="C588" s="153" t="s">
        <v>1100</v>
      </c>
      <c r="D588" s="587">
        <v>6010001</v>
      </c>
      <c r="E588" s="153" t="s">
        <v>173</v>
      </c>
      <c r="F588" s="1333">
        <v>42935547</v>
      </c>
      <c r="G588" s="1333">
        <v>13298811.26</v>
      </c>
      <c r="H588" s="1333">
        <f>VLOOKUP(D588,'מאזן בוחן'!$C:$M,11,0)-G588</f>
        <v>0</v>
      </c>
      <c r="I588" s="1333">
        <f>VLOOKUP(D588,'מאזן בוחן'!C:J,3,0)-F588</f>
        <v>0</v>
      </c>
      <c r="K588" s="137"/>
      <c r="L588" s="137"/>
      <c r="N588" s="32"/>
      <c r="O588" s="32"/>
      <c r="P588" s="32"/>
      <c r="Q588" s="32"/>
    </row>
    <row r="589" spans="1:17">
      <c r="A589" s="153" t="s">
        <v>1285</v>
      </c>
      <c r="B589" s="153" t="s">
        <v>1286</v>
      </c>
      <c r="C589" s="153" t="s">
        <v>1100</v>
      </c>
      <c r="D589" s="587">
        <v>6010002</v>
      </c>
      <c r="E589" s="153" t="s">
        <v>2925</v>
      </c>
      <c r="F589" s="1333">
        <v>769301.76</v>
      </c>
      <c r="G589" s="1333">
        <v>247140.71</v>
      </c>
      <c r="H589" s="1333">
        <f>VLOOKUP(D589,'מאזן בוחן'!$C:$M,11,0)-G589</f>
        <v>0</v>
      </c>
      <c r="I589" s="1333">
        <f>VLOOKUP(D589,'מאזן בוחן'!C:J,3,0)-F589</f>
        <v>0</v>
      </c>
      <c r="K589" s="137"/>
      <c r="L589" s="137"/>
      <c r="N589" s="32"/>
      <c r="O589" s="32"/>
      <c r="P589" s="32"/>
      <c r="Q589" s="32"/>
    </row>
    <row r="590" spans="1:17">
      <c r="A590" s="153" t="s">
        <v>1285</v>
      </c>
      <c r="B590" s="153" t="s">
        <v>1286</v>
      </c>
      <c r="C590" s="153" t="s">
        <v>1100</v>
      </c>
      <c r="D590" s="587">
        <v>6010003</v>
      </c>
      <c r="E590" s="153" t="s">
        <v>1102</v>
      </c>
      <c r="F590" s="1333">
        <v>559546.64</v>
      </c>
      <c r="G590" s="1333">
        <v>168966.1</v>
      </c>
      <c r="H590" s="1333">
        <f>VLOOKUP(D590,'מאזן בוחן'!$C:$M,11,0)-G590</f>
        <v>0</v>
      </c>
      <c r="I590" s="1333">
        <f>VLOOKUP(D590,'מאזן בוחן'!C:J,3,0)-F590</f>
        <v>0</v>
      </c>
      <c r="K590" s="137"/>
      <c r="L590" s="137"/>
      <c r="N590" s="32"/>
      <c r="O590" s="32"/>
      <c r="P590" s="32"/>
      <c r="Q590" s="32"/>
    </row>
    <row r="591" spans="1:17">
      <c r="A591" s="153" t="s">
        <v>1285</v>
      </c>
      <c r="B591" s="153" t="s">
        <v>1286</v>
      </c>
      <c r="C591" s="153" t="s">
        <v>1100</v>
      </c>
      <c r="D591" s="587">
        <v>6010004</v>
      </c>
      <c r="E591" s="153" t="s">
        <v>1240</v>
      </c>
      <c r="F591" s="1333">
        <v>1496488.98</v>
      </c>
      <c r="G591" s="1333">
        <v>462350.56</v>
      </c>
      <c r="H591" s="1333">
        <f>VLOOKUP(D591,'מאזן בוחן'!$C:$M,11,0)-G591</f>
        <v>0</v>
      </c>
      <c r="I591" s="1333">
        <f>VLOOKUP(D591,'מאזן בוחן'!C:J,3,0)-F591</f>
        <v>0</v>
      </c>
      <c r="K591" s="137"/>
      <c r="L591" s="137"/>
      <c r="N591" s="32"/>
      <c r="O591" s="32"/>
      <c r="P591" s="32"/>
      <c r="Q591" s="32"/>
    </row>
    <row r="592" spans="1:17">
      <c r="A592" s="153" t="s">
        <v>1285</v>
      </c>
      <c r="B592" s="153" t="s">
        <v>1286</v>
      </c>
      <c r="C592" s="153" t="s">
        <v>1100</v>
      </c>
      <c r="D592" s="587">
        <v>6010005</v>
      </c>
      <c r="E592" s="153" t="s">
        <v>1449</v>
      </c>
      <c r="F592" s="1333">
        <v>-33114.800000000003</v>
      </c>
      <c r="G592" s="1333">
        <v>-11077.85</v>
      </c>
      <c r="H592" s="1333">
        <f>VLOOKUP(D592,'מאזן בוחן'!$C:$M,11,0)-G592</f>
        <v>0</v>
      </c>
      <c r="I592" s="1333">
        <f>VLOOKUP(D592,'מאזן בוחן'!C:J,3,0)-F592</f>
        <v>0</v>
      </c>
      <c r="K592" s="137"/>
      <c r="L592" s="137"/>
      <c r="N592" s="32"/>
      <c r="O592" s="32"/>
      <c r="P592" s="32"/>
      <c r="Q592" s="32"/>
    </row>
    <row r="593" spans="1:17">
      <c r="A593" s="153" t="s">
        <v>1285</v>
      </c>
      <c r="B593" s="153" t="s">
        <v>1286</v>
      </c>
      <c r="C593" s="153" t="s">
        <v>1100</v>
      </c>
      <c r="D593" s="587">
        <v>6010007</v>
      </c>
      <c r="E593" s="153" t="s">
        <v>1103</v>
      </c>
      <c r="F593" s="1333">
        <v>681924.37</v>
      </c>
      <c r="G593" s="1333">
        <v>211865.86</v>
      </c>
      <c r="H593" s="1333">
        <f>VLOOKUP(D593,'מאזן בוחן'!$C:$M,11,0)-G593</f>
        <v>0</v>
      </c>
      <c r="I593" s="1333">
        <f>VLOOKUP(D593,'מאזן בוחן'!C:J,3,0)-F593</f>
        <v>0</v>
      </c>
      <c r="K593" s="137"/>
      <c r="L593" s="137"/>
      <c r="N593" s="32"/>
      <c r="O593" s="32"/>
      <c r="P593" s="32"/>
      <c r="Q593" s="32"/>
    </row>
    <row r="594" spans="1:17">
      <c r="A594" s="153" t="s">
        <v>1285</v>
      </c>
      <c r="B594" s="153" t="s">
        <v>1286</v>
      </c>
      <c r="C594" s="153" t="s">
        <v>1100</v>
      </c>
      <c r="D594" s="587">
        <v>6010008</v>
      </c>
      <c r="E594" s="153" t="s">
        <v>282</v>
      </c>
      <c r="F594" s="1333">
        <v>1403425</v>
      </c>
      <c r="G594" s="1333">
        <v>432295.75</v>
      </c>
      <c r="H594" s="1333">
        <f>VLOOKUP(D594,'מאזן בוחן'!$C:$M,11,0)-G594</f>
        <v>0</v>
      </c>
      <c r="I594" s="1333">
        <f>VLOOKUP(D594,'מאזן בוחן'!C:J,3,0)-F594</f>
        <v>0</v>
      </c>
      <c r="K594" s="137"/>
      <c r="L594" s="137"/>
      <c r="N594" s="32"/>
      <c r="O594" s="32"/>
      <c r="P594" s="32"/>
      <c r="Q594" s="32"/>
    </row>
    <row r="595" spans="1:17">
      <c r="A595" s="153" t="s">
        <v>1285</v>
      </c>
      <c r="B595" s="153" t="s">
        <v>1286</v>
      </c>
      <c r="C595" s="153" t="s">
        <v>1100</v>
      </c>
      <c r="D595" s="587">
        <v>6010010</v>
      </c>
      <c r="E595" s="153" t="s">
        <v>1505</v>
      </c>
      <c r="F595" s="1333">
        <v>42677.39</v>
      </c>
      <c r="G595" s="1333">
        <v>13143.64</v>
      </c>
      <c r="H595" s="1333">
        <f>VLOOKUP(D595,'מאזן בוחן'!$C:$M,11,0)-G595</f>
        <v>0</v>
      </c>
      <c r="I595" s="1333">
        <f>VLOOKUP(D595,'מאזן בוחן'!C:J,3,0)-F595</f>
        <v>0</v>
      </c>
      <c r="K595" s="137"/>
      <c r="L595" s="137"/>
      <c r="N595" s="32"/>
      <c r="O595" s="32"/>
      <c r="P595" s="32"/>
      <c r="Q595" s="32"/>
    </row>
    <row r="596" spans="1:17">
      <c r="A596" s="153" t="s">
        <v>1285</v>
      </c>
      <c r="B596" s="153" t="s">
        <v>1286</v>
      </c>
      <c r="C596" s="153" t="s">
        <v>1100</v>
      </c>
      <c r="D596" s="587">
        <v>6010018</v>
      </c>
      <c r="E596" s="153" t="s">
        <v>1104</v>
      </c>
      <c r="F596" s="1333">
        <v>2506614.38</v>
      </c>
      <c r="G596" s="1333">
        <v>766357.42</v>
      </c>
      <c r="H596" s="1333">
        <f>VLOOKUP(D596,'מאזן בוחן'!$C:$M,11,0)-G596</f>
        <v>0</v>
      </c>
      <c r="I596" s="1333">
        <f>VLOOKUP(D596,'מאזן בוחן'!C:J,3,0)-F596</f>
        <v>0</v>
      </c>
      <c r="K596" s="137"/>
      <c r="L596" s="137"/>
      <c r="N596" s="32"/>
      <c r="O596" s="32"/>
      <c r="P596" s="32"/>
      <c r="Q596" s="32"/>
    </row>
    <row r="597" spans="1:17">
      <c r="A597" s="153" t="s">
        <v>1285</v>
      </c>
      <c r="B597" s="153" t="s">
        <v>1286</v>
      </c>
      <c r="C597" s="153" t="s">
        <v>1100</v>
      </c>
      <c r="D597" s="587">
        <v>6010021</v>
      </c>
      <c r="E597" s="153" t="s">
        <v>3441</v>
      </c>
      <c r="F597" s="1333">
        <v>476787.95</v>
      </c>
      <c r="G597" s="1333">
        <v>148814.28</v>
      </c>
      <c r="H597" s="1333">
        <f>VLOOKUP(D597,'מאזן בוחן'!$C:$M,11,0)-G597</f>
        <v>0</v>
      </c>
      <c r="I597" s="1333">
        <f>VLOOKUP(D597,'מאזן בוחן'!C:J,3,0)-F597</f>
        <v>0</v>
      </c>
      <c r="K597" s="137"/>
      <c r="L597" s="137"/>
      <c r="N597" s="32"/>
      <c r="O597" s="32"/>
      <c r="P597" s="32"/>
      <c r="Q597" s="32"/>
    </row>
    <row r="598" spans="1:17">
      <c r="A598" s="153" t="s">
        <v>1285</v>
      </c>
      <c r="B598" s="153" t="s">
        <v>1286</v>
      </c>
      <c r="C598" s="153" t="s">
        <v>1100</v>
      </c>
      <c r="D598" s="587">
        <v>6010022</v>
      </c>
      <c r="E598" s="153" t="s">
        <v>3578</v>
      </c>
      <c r="F598" s="1333">
        <v>7198685.0300000003</v>
      </c>
      <c r="G598" s="1333">
        <v>2233704</v>
      </c>
      <c r="H598" s="1333">
        <f>VLOOKUP(D598,'מאזן בוחן'!$C:$M,11,0)-G598</f>
        <v>0</v>
      </c>
      <c r="I598" s="1333">
        <f>VLOOKUP(D598,'מאזן בוחן'!C:J,3,0)-F598</f>
        <v>0</v>
      </c>
      <c r="K598" s="137"/>
      <c r="L598" s="137"/>
      <c r="N598" s="32"/>
      <c r="O598" s="32"/>
      <c r="P598" s="32"/>
      <c r="Q598" s="32"/>
    </row>
    <row r="599" spans="1:17">
      <c r="A599" s="153" t="s">
        <v>1285</v>
      </c>
      <c r="B599" s="153" t="s">
        <v>1286</v>
      </c>
      <c r="C599" s="153" t="s">
        <v>1100</v>
      </c>
      <c r="D599" s="587">
        <v>6010023</v>
      </c>
      <c r="E599" s="153" t="s">
        <v>3579</v>
      </c>
      <c r="F599" s="1333">
        <v>345205.33</v>
      </c>
      <c r="G599" s="1333">
        <v>108032.15</v>
      </c>
      <c r="H599" s="1333">
        <f>VLOOKUP(D599,'מאזן בוחן'!$C:$M,11,0)-G599</f>
        <v>0</v>
      </c>
      <c r="I599" s="1333">
        <f>VLOOKUP(D599,'מאזן בוחן'!C:J,3,0)-F599</f>
        <v>0</v>
      </c>
      <c r="K599" s="137"/>
      <c r="L599" s="137"/>
      <c r="N599" s="32"/>
      <c r="O599" s="32"/>
      <c r="P599" s="32"/>
      <c r="Q599" s="32"/>
    </row>
    <row r="600" spans="1:17">
      <c r="A600" s="153" t="s">
        <v>1285</v>
      </c>
      <c r="B600" s="153" t="s">
        <v>1286</v>
      </c>
      <c r="C600" s="153" t="s">
        <v>1100</v>
      </c>
      <c r="D600" s="587">
        <v>6010024</v>
      </c>
      <c r="E600" s="153" t="s">
        <v>4845</v>
      </c>
      <c r="F600" s="1333">
        <v>3732</v>
      </c>
      <c r="G600" s="1333">
        <v>1200</v>
      </c>
      <c r="H600" s="1333">
        <f>VLOOKUP(D600,'מאזן בוחן'!$C:$M,11,0)-G600</f>
        <v>0</v>
      </c>
      <c r="I600" s="1333">
        <f>VLOOKUP(D600,'מאזן בוחן'!C:J,3,0)-F600</f>
        <v>0</v>
      </c>
      <c r="K600" s="137"/>
      <c r="L600" s="137"/>
      <c r="N600" s="32"/>
      <c r="O600" s="32"/>
      <c r="P600" s="32"/>
      <c r="Q600" s="32"/>
    </row>
    <row r="601" spans="1:17">
      <c r="A601" s="153" t="s">
        <v>1285</v>
      </c>
      <c r="B601" s="153" t="s">
        <v>1286</v>
      </c>
      <c r="C601" s="153" t="s">
        <v>1100</v>
      </c>
      <c r="D601" s="587">
        <v>6010025</v>
      </c>
      <c r="E601" s="153" t="s">
        <v>4846</v>
      </c>
      <c r="F601" s="1333">
        <v>38564</v>
      </c>
      <c r="G601" s="1333">
        <v>12400</v>
      </c>
      <c r="H601" s="1333">
        <f>VLOOKUP(D601,'מאזן בוחן'!$C:$M,11,0)-G601</f>
        <v>0</v>
      </c>
      <c r="I601" s="1333">
        <f>VLOOKUP(D601,'מאזן בוחן'!C:J,3,0)-F601</f>
        <v>0</v>
      </c>
      <c r="K601" s="137"/>
      <c r="L601" s="137"/>
      <c r="N601" s="32"/>
      <c r="O601" s="32"/>
      <c r="P601" s="32"/>
      <c r="Q601" s="32"/>
    </row>
    <row r="602" spans="1:17">
      <c r="A602" s="153" t="s">
        <v>1285</v>
      </c>
      <c r="B602" s="153" t="s">
        <v>1286</v>
      </c>
      <c r="C602" s="153" t="s">
        <v>1100</v>
      </c>
      <c r="D602" s="587">
        <v>6010055</v>
      </c>
      <c r="E602" s="153" t="s">
        <v>4802</v>
      </c>
      <c r="F602" s="1333">
        <v>29363.33</v>
      </c>
      <c r="G602" s="1333">
        <v>9441.59</v>
      </c>
      <c r="H602" s="1333">
        <f>VLOOKUP(D602,'מאזן בוחן'!$C:$M,11,0)-G602</f>
        <v>0</v>
      </c>
      <c r="I602" s="1333">
        <f>VLOOKUP(D602,'מאזן בוחן'!C:J,3,0)-F602</f>
        <v>0</v>
      </c>
      <c r="K602" s="137"/>
      <c r="L602" s="137"/>
      <c r="N602" s="32"/>
      <c r="O602" s="32"/>
      <c r="P602" s="32"/>
      <c r="Q602" s="32"/>
    </row>
    <row r="603" spans="1:17">
      <c r="A603" s="153" t="s">
        <v>1285</v>
      </c>
      <c r="B603" s="153" t="s">
        <v>1286</v>
      </c>
      <c r="C603" s="153" t="s">
        <v>1105</v>
      </c>
      <c r="D603" s="587">
        <v>6020008</v>
      </c>
      <c r="E603" s="153" t="s">
        <v>1787</v>
      </c>
      <c r="F603" s="1333">
        <v>1404209.47</v>
      </c>
      <c r="G603" s="1333">
        <v>436910.67</v>
      </c>
      <c r="H603" s="1333">
        <f>VLOOKUP(D603,'מאזן בוחן'!$C:$M,11,0)-G603</f>
        <v>0</v>
      </c>
      <c r="I603" s="1333">
        <f>VLOOKUP(D603,'מאזן בוחן'!C:J,3,0)-F603</f>
        <v>0</v>
      </c>
      <c r="K603" s="137"/>
      <c r="L603" s="137"/>
      <c r="N603" s="32"/>
      <c r="O603" s="32"/>
      <c r="P603" s="32"/>
      <c r="Q603" s="32"/>
    </row>
    <row r="604" spans="1:17">
      <c r="A604" s="153" t="s">
        <v>1285</v>
      </c>
      <c r="B604" s="153" t="s">
        <v>1286</v>
      </c>
      <c r="C604" s="153" t="s">
        <v>1105</v>
      </c>
      <c r="D604" s="587">
        <v>6020011</v>
      </c>
      <c r="E604" s="153" t="s">
        <v>152</v>
      </c>
      <c r="F604" s="1333">
        <v>13877.83</v>
      </c>
      <c r="G604" s="1333">
        <v>4100</v>
      </c>
      <c r="H604" s="1333">
        <f>VLOOKUP(D604,'מאזן בוחן'!$C:$M,11,0)-G604</f>
        <v>0</v>
      </c>
      <c r="I604" s="1333">
        <f>VLOOKUP(D604,'מאזן בוחן'!C:J,3,0)-F604</f>
        <v>0</v>
      </c>
      <c r="K604" s="137"/>
      <c r="L604" s="137"/>
      <c r="N604" s="32"/>
      <c r="O604" s="32"/>
      <c r="P604" s="32"/>
      <c r="Q604" s="32"/>
    </row>
    <row r="605" spans="1:17">
      <c r="A605" s="153" t="s">
        <v>1285</v>
      </c>
      <c r="B605" s="153" t="s">
        <v>1286</v>
      </c>
      <c r="C605" s="153" t="s">
        <v>1105</v>
      </c>
      <c r="D605" s="587">
        <v>6020014</v>
      </c>
      <c r="E605" s="153" t="s">
        <v>1788</v>
      </c>
      <c r="F605" s="1333">
        <v>4921603.2699999996</v>
      </c>
      <c r="G605" s="1333">
        <v>1518841.59</v>
      </c>
      <c r="H605" s="1333">
        <f>VLOOKUP(D605,'מאזן בוחן'!$C:$M,11,0)-G605</f>
        <v>0</v>
      </c>
      <c r="I605" s="1333">
        <f>VLOOKUP(D605,'מאזן בוחן'!C:J,3,0)-F605</f>
        <v>0</v>
      </c>
      <c r="K605" s="137"/>
      <c r="L605" s="137"/>
      <c r="N605" s="32"/>
      <c r="O605" s="32"/>
      <c r="P605" s="32"/>
      <c r="Q605" s="32"/>
    </row>
    <row r="606" spans="1:17">
      <c r="A606" s="153" t="s">
        <v>1285</v>
      </c>
      <c r="B606" s="153" t="s">
        <v>1286</v>
      </c>
      <c r="C606" s="153" t="s">
        <v>1105</v>
      </c>
      <c r="D606" s="587">
        <v>6020019</v>
      </c>
      <c r="E606" s="153" t="s">
        <v>1112</v>
      </c>
      <c r="F606" s="1333">
        <v>-719.4</v>
      </c>
      <c r="G606" s="1333">
        <v>-200</v>
      </c>
      <c r="H606" s="1333">
        <f>VLOOKUP(D606,'מאזן בוחן'!$C:$M,11,0)-G606</f>
        <v>0</v>
      </c>
      <c r="I606" s="1333">
        <f>VLOOKUP(D606,'מאזן בוחן'!C:J,3,0)-F606</f>
        <v>0</v>
      </c>
      <c r="K606" s="137"/>
      <c r="L606" s="137"/>
      <c r="N606" s="32"/>
      <c r="O606" s="32"/>
      <c r="P606" s="32"/>
      <c r="Q606" s="32"/>
    </row>
    <row r="607" spans="1:17">
      <c r="A607" s="153" t="s">
        <v>1285</v>
      </c>
      <c r="B607" s="153" t="s">
        <v>1286</v>
      </c>
      <c r="C607" s="153" t="s">
        <v>1105</v>
      </c>
      <c r="D607" s="587">
        <v>6020024</v>
      </c>
      <c r="E607" s="153" t="s">
        <v>1113</v>
      </c>
      <c r="F607" s="1333">
        <v>30133.39</v>
      </c>
      <c r="G607" s="1333">
        <v>9509.9599999999991</v>
      </c>
      <c r="H607" s="1333">
        <f>VLOOKUP(D607,'מאזן בוחן'!$C:$M,11,0)-G607</f>
        <v>0</v>
      </c>
      <c r="I607" s="1333">
        <f>VLOOKUP(D607,'מאזן בוחן'!C:J,3,0)-F607</f>
        <v>0</v>
      </c>
      <c r="K607" s="137"/>
      <c r="L607" s="137"/>
      <c r="N607" s="32"/>
      <c r="O607" s="32"/>
      <c r="P607" s="32"/>
      <c r="Q607" s="32"/>
    </row>
    <row r="608" spans="1:17">
      <c r="A608" s="153" t="s">
        <v>1285</v>
      </c>
      <c r="B608" s="153" t="s">
        <v>1286</v>
      </c>
      <c r="C608" s="153" t="s">
        <v>1450</v>
      </c>
      <c r="D608" s="587">
        <v>6030001</v>
      </c>
      <c r="E608" s="153" t="s">
        <v>1451</v>
      </c>
      <c r="F608" s="1333">
        <v>6956062.0099999998</v>
      </c>
      <c r="G608" s="1333">
        <v>2099606.67</v>
      </c>
      <c r="H608" s="1333">
        <f>VLOOKUP(D608,'מאזן בוחן'!$C:$M,11,0)-G608</f>
        <v>0</v>
      </c>
      <c r="I608" s="1333">
        <f>VLOOKUP(D608,'מאזן בוחן'!C:J,3,0)-F608</f>
        <v>0</v>
      </c>
      <c r="K608" s="137"/>
      <c r="L608" s="137"/>
      <c r="N608" s="32"/>
      <c r="O608" s="32"/>
      <c r="P608" s="32"/>
      <c r="Q608" s="32"/>
    </row>
    <row r="609" spans="1:17">
      <c r="A609" s="153" t="s">
        <v>1285</v>
      </c>
      <c r="B609" s="153" t="s">
        <v>2926</v>
      </c>
      <c r="C609" s="153" t="s">
        <v>557</v>
      </c>
      <c r="D609" s="587">
        <v>6100090</v>
      </c>
      <c r="E609" s="153" t="s">
        <v>1252</v>
      </c>
      <c r="F609" s="1333">
        <v>-10952.78</v>
      </c>
      <c r="G609" s="1333">
        <v>-3168.07</v>
      </c>
      <c r="H609" s="1333">
        <f>VLOOKUP(D609,'מאזן בוחן'!$C:$M,11,0)-G609</f>
        <v>0</v>
      </c>
      <c r="I609" s="1333">
        <f>VLOOKUP(D609,'מאזן בוחן'!C:J,3,0)-F609</f>
        <v>0</v>
      </c>
      <c r="K609" s="137"/>
      <c r="L609" s="137"/>
      <c r="N609" s="32"/>
      <c r="O609" s="32"/>
      <c r="P609" s="32"/>
      <c r="Q609" s="32"/>
    </row>
    <row r="610" spans="1:17">
      <c r="A610" s="153" t="s">
        <v>1285</v>
      </c>
      <c r="B610" s="153" t="s">
        <v>2926</v>
      </c>
      <c r="C610" s="153" t="s">
        <v>557</v>
      </c>
      <c r="D610" s="587">
        <v>6110001</v>
      </c>
      <c r="E610" s="153" t="s">
        <v>292</v>
      </c>
      <c r="F610" s="1333">
        <v>6566407</v>
      </c>
      <c r="G610" s="1333">
        <v>2032569.37</v>
      </c>
      <c r="H610" s="1333">
        <f>VLOOKUP(D610,'מאזן בוחן'!$C:$M,11,0)-G610</f>
        <v>0</v>
      </c>
      <c r="I610" s="1333">
        <f>VLOOKUP(D610,'מאזן בוחן'!C:J,3,0)-F610</f>
        <v>0</v>
      </c>
      <c r="K610" s="137"/>
      <c r="L610" s="137"/>
      <c r="N610" s="32"/>
      <c r="O610" s="32"/>
      <c r="P610" s="32"/>
      <c r="Q610" s="32"/>
    </row>
    <row r="611" spans="1:17">
      <c r="A611" s="153" t="s">
        <v>1285</v>
      </c>
      <c r="B611" s="153" t="s">
        <v>2926</v>
      </c>
      <c r="C611" s="153" t="s">
        <v>557</v>
      </c>
      <c r="D611" s="587">
        <v>6110002</v>
      </c>
      <c r="E611" s="153" t="s">
        <v>1114</v>
      </c>
      <c r="F611" s="1333">
        <v>187014.56</v>
      </c>
      <c r="G611" s="1333">
        <v>59350.79</v>
      </c>
      <c r="H611" s="1333">
        <f>VLOOKUP(D611,'מאזן בוחן'!$C:$M,11,0)-G611</f>
        <v>0</v>
      </c>
      <c r="I611" s="1333">
        <f>VLOOKUP(D611,'מאזן בוחן'!C:J,3,0)-F611</f>
        <v>0</v>
      </c>
      <c r="K611" s="137"/>
      <c r="L611" s="137"/>
      <c r="N611" s="32"/>
      <c r="O611" s="32"/>
      <c r="P611" s="32"/>
      <c r="Q611" s="32"/>
    </row>
    <row r="612" spans="1:17">
      <c r="A612" s="153" t="s">
        <v>1285</v>
      </c>
      <c r="B612" s="153" t="s">
        <v>2926</v>
      </c>
      <c r="C612" s="153" t="s">
        <v>557</v>
      </c>
      <c r="D612" s="587">
        <v>6110003</v>
      </c>
      <c r="E612" s="153" t="s">
        <v>1115</v>
      </c>
      <c r="F612" s="1333">
        <v>316692.84000000003</v>
      </c>
      <c r="G612" s="1333">
        <v>96003.59</v>
      </c>
      <c r="H612" s="1333">
        <f>VLOOKUP(D612,'מאזן בוחן'!$C:$M,11,0)-G612</f>
        <v>0</v>
      </c>
      <c r="I612" s="1333">
        <f>VLOOKUP(D612,'מאזן בוחן'!C:J,3,0)-F612</f>
        <v>0</v>
      </c>
      <c r="K612" s="137"/>
      <c r="L612" s="137"/>
      <c r="N612" s="32"/>
      <c r="O612" s="32"/>
      <c r="P612" s="32"/>
      <c r="Q612" s="32"/>
    </row>
    <row r="613" spans="1:17">
      <c r="A613" s="153" t="s">
        <v>1285</v>
      </c>
      <c r="B613" s="153" t="s">
        <v>2926</v>
      </c>
      <c r="C613" s="153" t="s">
        <v>557</v>
      </c>
      <c r="D613" s="587">
        <v>6110004</v>
      </c>
      <c r="E613" s="153" t="s">
        <v>1241</v>
      </c>
      <c r="F613" s="1333">
        <v>313910.38</v>
      </c>
      <c r="G613" s="1333">
        <v>97115.12</v>
      </c>
      <c r="H613" s="1333">
        <f>VLOOKUP(D613,'מאזן בוחן'!$C:$M,11,0)-G613</f>
        <v>0</v>
      </c>
      <c r="I613" s="1333">
        <f>VLOOKUP(D613,'מאזן בוחן'!C:J,3,0)-F613</f>
        <v>0</v>
      </c>
      <c r="K613" s="137"/>
      <c r="L613" s="137"/>
      <c r="N613" s="32"/>
      <c r="O613" s="32"/>
      <c r="P613" s="32"/>
      <c r="Q613" s="32"/>
    </row>
    <row r="614" spans="1:17">
      <c r="A614" s="153" t="s">
        <v>1285</v>
      </c>
      <c r="B614" s="153" t="s">
        <v>2926</v>
      </c>
      <c r="C614" s="153" t="s">
        <v>557</v>
      </c>
      <c r="D614" s="587">
        <v>6110055</v>
      </c>
      <c r="E614" s="153" t="s">
        <v>4798</v>
      </c>
      <c r="F614" s="1333">
        <v>1575</v>
      </c>
      <c r="G614" s="1333">
        <v>506.43</v>
      </c>
      <c r="H614" s="1333">
        <f>VLOOKUP(D614,'מאזן בוחן'!$C:$M,11,0)-G614</f>
        <v>0</v>
      </c>
      <c r="I614" s="1333">
        <f>VLOOKUP(D614,'מאזן בוחן'!C:J,3,0)-F614</f>
        <v>0</v>
      </c>
      <c r="K614" s="137"/>
      <c r="L614" s="137"/>
      <c r="N614" s="32"/>
      <c r="O614" s="32"/>
      <c r="P614" s="32"/>
      <c r="Q614" s="32"/>
    </row>
    <row r="615" spans="1:17">
      <c r="A615" s="153" t="s">
        <v>1285</v>
      </c>
      <c r="B615" s="153" t="s">
        <v>2926</v>
      </c>
      <c r="C615" s="153" t="s">
        <v>1116</v>
      </c>
      <c r="D615" s="587">
        <v>6120006</v>
      </c>
      <c r="E615" s="153" t="s">
        <v>2927</v>
      </c>
      <c r="F615" s="1333">
        <v>578730.06000000006</v>
      </c>
      <c r="G615" s="1333">
        <v>179674.4</v>
      </c>
      <c r="H615" s="1333">
        <f>VLOOKUP(D615,'מאזן בוחן'!$C:$M,11,0)-G615</f>
        <v>0</v>
      </c>
      <c r="I615" s="1333">
        <f>VLOOKUP(D615,'מאזן בוחן'!C:J,3,0)-F615</f>
        <v>0</v>
      </c>
      <c r="K615" s="137"/>
      <c r="L615" s="137"/>
      <c r="N615" s="32"/>
      <c r="O615" s="32"/>
      <c r="P615" s="32"/>
      <c r="Q615" s="32"/>
    </row>
    <row r="616" spans="1:17">
      <c r="A616" s="153" t="s">
        <v>1285</v>
      </c>
      <c r="B616" s="153" t="s">
        <v>2926</v>
      </c>
      <c r="C616" s="153" t="s">
        <v>1116</v>
      </c>
      <c r="D616" s="587">
        <v>6120007</v>
      </c>
      <c r="E616" s="153" t="s">
        <v>232</v>
      </c>
      <c r="F616" s="1333">
        <v>1181.25</v>
      </c>
      <c r="G616" s="1333">
        <v>366.66</v>
      </c>
      <c r="H616" s="1333">
        <f>VLOOKUP(D616,'מאזן בוחן'!$C:$M,11,0)-G616</f>
        <v>0</v>
      </c>
      <c r="I616" s="1333">
        <f>VLOOKUP(D616,'מאזן בוחן'!C:J,3,0)-F616</f>
        <v>0</v>
      </c>
      <c r="K616" s="137"/>
      <c r="L616" s="137"/>
      <c r="N616" s="32"/>
      <c r="O616" s="32"/>
      <c r="P616" s="32"/>
      <c r="Q616" s="32"/>
    </row>
    <row r="617" spans="1:17">
      <c r="A617" s="153" t="s">
        <v>1285</v>
      </c>
      <c r="B617" s="153" t="s">
        <v>2926</v>
      </c>
      <c r="C617" s="153" t="s">
        <v>1116</v>
      </c>
      <c r="D617" s="587">
        <v>6120008</v>
      </c>
      <c r="E617" s="153" t="s">
        <v>1287</v>
      </c>
      <c r="F617" s="1333">
        <v>78065.39</v>
      </c>
      <c r="G617" s="1333">
        <v>23931.59</v>
      </c>
      <c r="H617" s="1333">
        <f>VLOOKUP(D617,'מאזן בוחן'!$C:$M,11,0)-G617</f>
        <v>0</v>
      </c>
      <c r="I617" s="1333">
        <f>VLOOKUP(D617,'מאזן בוחן'!C:J,3,0)-F617</f>
        <v>0</v>
      </c>
      <c r="K617" s="137"/>
      <c r="L617" s="137"/>
      <c r="N617" s="32"/>
      <c r="O617" s="32"/>
      <c r="P617" s="32"/>
      <c r="Q617" s="32"/>
    </row>
    <row r="618" spans="1:17">
      <c r="A618" s="153" t="s">
        <v>1285</v>
      </c>
      <c r="B618" s="153" t="s">
        <v>2926</v>
      </c>
      <c r="C618" s="153" t="s">
        <v>1116</v>
      </c>
      <c r="D618" s="587">
        <v>6120009</v>
      </c>
      <c r="E618" s="153" t="s">
        <v>1962</v>
      </c>
      <c r="F618" s="1333">
        <v>31298.98</v>
      </c>
      <c r="G618" s="1333">
        <v>9985.2800000000007</v>
      </c>
      <c r="H618" s="1333">
        <f>VLOOKUP(D618,'מאזן בוחן'!$C:$M,11,0)-G618</f>
        <v>0</v>
      </c>
      <c r="I618" s="1333">
        <f>VLOOKUP(D618,'מאזן בוחן'!C:J,3,0)-F618</f>
        <v>0</v>
      </c>
      <c r="K618" s="137"/>
      <c r="L618" s="137"/>
      <c r="N618" s="32"/>
      <c r="O618" s="32"/>
      <c r="P618" s="32"/>
      <c r="Q618" s="32"/>
    </row>
    <row r="619" spans="1:17">
      <c r="A619" s="153" t="s">
        <v>1288</v>
      </c>
      <c r="B619" s="153" t="s">
        <v>1289</v>
      </c>
      <c r="C619" s="153" t="s">
        <v>1122</v>
      </c>
      <c r="D619" s="587">
        <v>7010001</v>
      </c>
      <c r="E619" s="153" t="s">
        <v>174</v>
      </c>
      <c r="F619" s="1333">
        <v>5933376</v>
      </c>
      <c r="G619" s="1333">
        <v>1837818.45</v>
      </c>
      <c r="H619" s="1333">
        <f>VLOOKUP(D619,'מאזן בוחן'!$C:$M,11,0)-G619</f>
        <v>0</v>
      </c>
      <c r="I619" s="1333">
        <f>VLOOKUP(D619,'מאזן בוחן'!C:J,3,0)-F619</f>
        <v>0</v>
      </c>
      <c r="K619" s="137"/>
      <c r="L619" s="137"/>
      <c r="N619" s="32"/>
      <c r="O619" s="32"/>
      <c r="P619" s="32"/>
      <c r="Q619" s="32"/>
    </row>
    <row r="620" spans="1:17">
      <c r="A620" s="153" t="s">
        <v>1288</v>
      </c>
      <c r="B620" s="153" t="s">
        <v>1289</v>
      </c>
      <c r="C620" s="153" t="s">
        <v>1122</v>
      </c>
      <c r="D620" s="587">
        <v>7010002</v>
      </c>
      <c r="E620" s="153" t="s">
        <v>1123</v>
      </c>
      <c r="F620" s="1333">
        <v>293735.39</v>
      </c>
      <c r="G620" s="1333">
        <v>91204.35</v>
      </c>
      <c r="H620" s="1333">
        <f>VLOOKUP(D620,'מאזן בוחן'!$C:$M,11,0)-G620</f>
        <v>0</v>
      </c>
      <c r="I620" s="1333">
        <f>VLOOKUP(D620,'מאזן בוחן'!C:J,3,0)-F620</f>
        <v>0</v>
      </c>
      <c r="K620" s="137"/>
      <c r="L620" s="137"/>
      <c r="N620" s="32"/>
      <c r="O620" s="32"/>
      <c r="P620" s="32"/>
      <c r="Q620" s="32"/>
    </row>
    <row r="621" spans="1:17">
      <c r="A621" s="153" t="s">
        <v>1288</v>
      </c>
      <c r="B621" s="153" t="s">
        <v>1289</v>
      </c>
      <c r="C621" s="153" t="s">
        <v>1122</v>
      </c>
      <c r="D621" s="587">
        <v>70100025</v>
      </c>
      <c r="E621" s="153" t="s">
        <v>775</v>
      </c>
      <c r="F621" s="1333">
        <v>285252.46999999997</v>
      </c>
      <c r="G621" s="1333">
        <v>88287.08</v>
      </c>
      <c r="H621" s="1333">
        <f>VLOOKUP(D621,'מאזן בוחן'!$C:$M,11,0)-G621</f>
        <v>0</v>
      </c>
      <c r="I621" s="1333">
        <f>VLOOKUP(D621,'מאזן בוחן'!C:J,3,0)-F621</f>
        <v>0</v>
      </c>
      <c r="K621" s="137"/>
      <c r="L621" s="137"/>
      <c r="N621" s="32"/>
      <c r="O621" s="32"/>
      <c r="P621" s="32"/>
      <c r="Q621" s="32"/>
    </row>
    <row r="622" spans="1:17">
      <c r="A622" s="153" t="s">
        <v>1288</v>
      </c>
      <c r="B622" s="153" t="s">
        <v>1289</v>
      </c>
      <c r="C622" s="153" t="s">
        <v>1122</v>
      </c>
      <c r="D622" s="587">
        <v>7010003</v>
      </c>
      <c r="E622" s="153" t="s">
        <v>1124</v>
      </c>
      <c r="F622" s="1333">
        <v>243420.65</v>
      </c>
      <c r="G622" s="1333">
        <v>74173.75</v>
      </c>
      <c r="H622" s="1333">
        <f>VLOOKUP(D622,'מאזן בוחן'!$C:$M,11,0)-G622</f>
        <v>0</v>
      </c>
      <c r="I622" s="1333">
        <f>VLOOKUP(D622,'מאזן בוחן'!C:J,3,0)-F622</f>
        <v>0</v>
      </c>
      <c r="K622" s="137"/>
      <c r="L622" s="137"/>
      <c r="N622" s="32"/>
      <c r="O622" s="32"/>
      <c r="P622" s="32"/>
      <c r="Q622" s="32"/>
    </row>
    <row r="623" spans="1:17">
      <c r="A623" s="153" t="s">
        <v>1288</v>
      </c>
      <c r="B623" s="153" t="s">
        <v>1289</v>
      </c>
      <c r="C623" s="153" t="s">
        <v>1122</v>
      </c>
      <c r="D623" s="587">
        <v>7010010</v>
      </c>
      <c r="E623" s="153" t="s">
        <v>1740</v>
      </c>
      <c r="F623" s="1333">
        <v>24721.57</v>
      </c>
      <c r="G623" s="1333">
        <v>7641.47</v>
      </c>
      <c r="H623" s="1333">
        <f>VLOOKUP(D623,'מאזן בוחן'!$C:$M,11,0)-G623</f>
        <v>0</v>
      </c>
      <c r="I623" s="1333">
        <f>VLOOKUP(D623,'מאזן בוחן'!C:J,3,0)-F623</f>
        <v>0</v>
      </c>
      <c r="K623" s="137"/>
      <c r="L623" s="137"/>
      <c r="N623" s="32"/>
      <c r="O623" s="32"/>
      <c r="P623" s="32"/>
      <c r="Q623" s="32"/>
    </row>
    <row r="624" spans="1:17">
      <c r="A624" s="153" t="s">
        <v>1288</v>
      </c>
      <c r="B624" s="153" t="s">
        <v>1289</v>
      </c>
      <c r="C624" s="153" t="s">
        <v>1122</v>
      </c>
      <c r="D624" s="587">
        <v>7010055</v>
      </c>
      <c r="E624" s="153" t="s">
        <v>4794</v>
      </c>
      <c r="F624" s="1333">
        <v>1400</v>
      </c>
      <c r="G624" s="1333">
        <v>450.16</v>
      </c>
      <c r="H624" s="1333">
        <f>VLOOKUP(D624,'מאזן בוחן'!$C:$M,11,0)-G624</f>
        <v>0</v>
      </c>
      <c r="I624" s="1333">
        <f>VLOOKUP(D624,'מאזן בוחן'!C:J,3,0)-F624</f>
        <v>0</v>
      </c>
      <c r="K624" s="137"/>
      <c r="L624" s="137"/>
      <c r="N624" s="32"/>
      <c r="O624" s="32"/>
      <c r="P624" s="32"/>
      <c r="Q624" s="32"/>
    </row>
    <row r="625" spans="1:17">
      <c r="A625" s="153" t="s">
        <v>1288</v>
      </c>
      <c r="B625" s="153" t="s">
        <v>1289</v>
      </c>
      <c r="C625" s="153" t="s">
        <v>1122</v>
      </c>
      <c r="D625" s="587">
        <v>7010097</v>
      </c>
      <c r="E625" s="153" t="s">
        <v>1452</v>
      </c>
      <c r="F625" s="1333">
        <v>-114182.41</v>
      </c>
      <c r="G625" s="1333">
        <v>-35709.89</v>
      </c>
      <c r="H625" s="1333">
        <f>VLOOKUP(D625,'מאזן בוחן'!$C:$M,11,0)-G625</f>
        <v>0</v>
      </c>
      <c r="I625" s="1333">
        <f>VLOOKUP(D625,'מאזן בוחן'!C:J,3,0)-F625</f>
        <v>0</v>
      </c>
      <c r="K625" s="137"/>
      <c r="L625" s="137"/>
      <c r="N625" s="32"/>
      <c r="O625" s="32"/>
      <c r="P625" s="32"/>
      <c r="Q625" s="32"/>
    </row>
    <row r="626" spans="1:17">
      <c r="A626" s="153" t="s">
        <v>1288</v>
      </c>
      <c r="B626" s="153" t="s">
        <v>1289</v>
      </c>
      <c r="C626" s="153" t="s">
        <v>558</v>
      </c>
      <c r="D626" s="587">
        <v>7020001</v>
      </c>
      <c r="E626" s="153" t="s">
        <v>1126</v>
      </c>
      <c r="F626" s="1333">
        <v>15044.98</v>
      </c>
      <c r="G626" s="1333">
        <v>4782.43</v>
      </c>
      <c r="H626" s="1333">
        <f>VLOOKUP(D626,'מאזן בוחן'!$C:$M,11,0)-G626</f>
        <v>0</v>
      </c>
      <c r="I626" s="1333">
        <f>VLOOKUP(D626,'מאזן בוחן'!C:J,3,0)-F626</f>
        <v>0</v>
      </c>
      <c r="K626" s="137"/>
      <c r="L626" s="137"/>
      <c r="N626" s="32"/>
      <c r="O626" s="32"/>
      <c r="P626" s="32"/>
      <c r="Q626" s="32"/>
    </row>
    <row r="627" spans="1:17">
      <c r="A627" s="153" t="s">
        <v>1288</v>
      </c>
      <c r="B627" s="153" t="s">
        <v>1289</v>
      </c>
      <c r="C627" s="153" t="s">
        <v>558</v>
      </c>
      <c r="D627" s="587">
        <v>7020002</v>
      </c>
      <c r="E627" s="153" t="s">
        <v>1127</v>
      </c>
      <c r="F627" s="1333">
        <v>7147.06</v>
      </c>
      <c r="G627" s="1333">
        <v>2275.66</v>
      </c>
      <c r="H627" s="1333">
        <f>VLOOKUP(D627,'מאזן בוחן'!$C:$M,11,0)-G627</f>
        <v>0</v>
      </c>
      <c r="I627" s="1333">
        <f>VLOOKUP(D627,'מאזן בוחן'!C:J,3,0)-F627</f>
        <v>0</v>
      </c>
      <c r="K627" s="137"/>
      <c r="L627" s="137"/>
      <c r="N627" s="32"/>
      <c r="O627" s="32"/>
      <c r="P627" s="32"/>
      <c r="Q627" s="32"/>
    </row>
    <row r="628" spans="1:17">
      <c r="A628" s="153" t="s">
        <v>1288</v>
      </c>
      <c r="B628" s="153" t="s">
        <v>1289</v>
      </c>
      <c r="C628" s="153" t="s">
        <v>558</v>
      </c>
      <c r="D628" s="587">
        <v>7020003</v>
      </c>
      <c r="E628" s="153" t="s">
        <v>1128</v>
      </c>
      <c r="F628" s="1333">
        <v>4844.78</v>
      </c>
      <c r="G628" s="1333">
        <v>1546.44</v>
      </c>
      <c r="H628" s="1333">
        <f>VLOOKUP(D628,'מאזן בוחן'!$C:$M,11,0)-G628</f>
        <v>0</v>
      </c>
      <c r="I628" s="1333">
        <f>VLOOKUP(D628,'מאזן בוחן'!C:J,3,0)-F628</f>
        <v>0</v>
      </c>
      <c r="K628" s="137"/>
      <c r="L628" s="137"/>
      <c r="N628" s="32"/>
      <c r="O628" s="32"/>
      <c r="P628" s="32"/>
      <c r="Q628" s="32"/>
    </row>
    <row r="629" spans="1:17">
      <c r="A629" s="153" t="s">
        <v>1288</v>
      </c>
      <c r="B629" s="153" t="s">
        <v>1289</v>
      </c>
      <c r="C629" s="153" t="s">
        <v>558</v>
      </c>
      <c r="D629" s="587">
        <v>7020004</v>
      </c>
      <c r="E629" s="153" t="s">
        <v>1129</v>
      </c>
      <c r="F629" s="1333">
        <v>7723.24</v>
      </c>
      <c r="G629" s="1333">
        <v>2491.5100000000002</v>
      </c>
      <c r="H629" s="1333">
        <f>VLOOKUP(D629,'מאזן בוחן'!$C:$M,11,0)-G629</f>
        <v>0</v>
      </c>
      <c r="I629" s="1333">
        <f>VLOOKUP(D629,'מאזן בוחן'!C:J,3,0)-F629</f>
        <v>0</v>
      </c>
      <c r="K629" s="137"/>
      <c r="L629" s="137"/>
      <c r="N629" s="32"/>
      <c r="O629" s="32"/>
      <c r="P629" s="32"/>
      <c r="Q629" s="32"/>
    </row>
    <row r="630" spans="1:17">
      <c r="A630" s="153" t="s">
        <v>1288</v>
      </c>
      <c r="B630" s="153" t="s">
        <v>1289</v>
      </c>
      <c r="C630" s="153" t="s">
        <v>558</v>
      </c>
      <c r="D630" s="587">
        <v>7020005</v>
      </c>
      <c r="E630" s="153" t="s">
        <v>4052</v>
      </c>
      <c r="F630" s="1333">
        <v>5035.49</v>
      </c>
      <c r="G630" s="1333">
        <v>1614.55</v>
      </c>
      <c r="H630" s="1333">
        <f>VLOOKUP(D630,'מאזן בוחן'!$C:$M,11,0)-G630</f>
        <v>0</v>
      </c>
      <c r="I630" s="1333">
        <f>VLOOKUP(D630,'מאזן בוחן'!C:J,3,0)-F630</f>
        <v>0</v>
      </c>
      <c r="K630" s="137"/>
      <c r="L630" s="137"/>
      <c r="N630" s="32"/>
      <c r="O630" s="32"/>
      <c r="P630" s="32"/>
      <c r="Q630" s="32"/>
    </row>
    <row r="631" spans="1:17">
      <c r="A631" s="153" t="s">
        <v>1288</v>
      </c>
      <c r="B631" s="153" t="s">
        <v>1289</v>
      </c>
      <c r="C631" s="153" t="s">
        <v>558</v>
      </c>
      <c r="D631" s="587">
        <v>7020025</v>
      </c>
      <c r="E631" s="153" t="s">
        <v>4509</v>
      </c>
      <c r="F631" s="1333">
        <v>31250</v>
      </c>
      <c r="G631" s="1333">
        <v>9886.11</v>
      </c>
      <c r="H631" s="1333">
        <f>VLOOKUP(D631,'מאזן בוחן'!$C:$M,11,0)-G631</f>
        <v>0</v>
      </c>
      <c r="I631" s="1333">
        <f>VLOOKUP(D631,'מאזן בוחן'!C:J,3,0)-F631</f>
        <v>0</v>
      </c>
      <c r="K631" s="137"/>
      <c r="L631" s="137"/>
      <c r="N631" s="32"/>
      <c r="O631" s="32"/>
      <c r="P631" s="32"/>
      <c r="Q631" s="32"/>
    </row>
    <row r="632" spans="1:17">
      <c r="A632" s="153" t="s">
        <v>1288</v>
      </c>
      <c r="B632" s="153" t="s">
        <v>1289</v>
      </c>
      <c r="C632" s="153" t="s">
        <v>558</v>
      </c>
      <c r="D632" s="587">
        <v>7020026</v>
      </c>
      <c r="E632" s="153" t="s">
        <v>934</v>
      </c>
      <c r="F632" s="1333">
        <v>1685233.43</v>
      </c>
      <c r="G632" s="1333">
        <v>519318.31</v>
      </c>
      <c r="H632" s="1333">
        <f>VLOOKUP(D632,'מאזן בוחן'!$C:$M,11,0)-G632</f>
        <v>0</v>
      </c>
      <c r="I632" s="1333">
        <f>VLOOKUP(D632,'מאזן בוחן'!C:J,3,0)-F632</f>
        <v>0</v>
      </c>
      <c r="K632" s="137"/>
      <c r="L632" s="137"/>
      <c r="N632" s="32"/>
      <c r="O632" s="32"/>
      <c r="P632" s="32"/>
      <c r="Q632" s="32"/>
    </row>
    <row r="633" spans="1:17">
      <c r="A633" s="153" t="s">
        <v>1288</v>
      </c>
      <c r="B633" s="153" t="s">
        <v>1289</v>
      </c>
      <c r="C633" s="153" t="s">
        <v>558</v>
      </c>
      <c r="D633" s="587" t="s">
        <v>3134</v>
      </c>
      <c r="E633" s="153" t="s">
        <v>3135</v>
      </c>
      <c r="F633" s="1333">
        <v>120423</v>
      </c>
      <c r="G633" s="1333">
        <v>38851.019999999997</v>
      </c>
      <c r="H633" s="1333">
        <f>VLOOKUP(D633,'מאזן בוחן'!$C:$M,11,0)-G633</f>
        <v>0</v>
      </c>
      <c r="I633" s="1333">
        <f>VLOOKUP(D633,'מאזן בוחן'!C:J,3,0)-F633</f>
        <v>0</v>
      </c>
      <c r="K633" s="137"/>
      <c r="L633" s="137"/>
      <c r="N633" s="32"/>
      <c r="O633" s="32"/>
      <c r="P633" s="32"/>
      <c r="Q633" s="32"/>
    </row>
    <row r="634" spans="1:17">
      <c r="A634" s="153" t="s">
        <v>1288</v>
      </c>
      <c r="B634" s="153" t="s">
        <v>1289</v>
      </c>
      <c r="C634" s="153" t="s">
        <v>558</v>
      </c>
      <c r="D634" s="587">
        <v>7020027</v>
      </c>
      <c r="E634" s="153" t="s">
        <v>1131</v>
      </c>
      <c r="F634" s="1333">
        <v>476013.71</v>
      </c>
      <c r="G634" s="1333">
        <v>149219.26</v>
      </c>
      <c r="H634" s="1333">
        <f>VLOOKUP(D634,'מאזן בוחן'!$C:$M,11,0)-G634</f>
        <v>0</v>
      </c>
      <c r="I634" s="1333">
        <f>VLOOKUP(D634,'מאזן בוחן'!C:J,3,0)-F634</f>
        <v>0</v>
      </c>
      <c r="K634" s="137"/>
      <c r="L634" s="137"/>
      <c r="N634" s="32"/>
      <c r="O634" s="32"/>
      <c r="P634" s="32"/>
      <c r="Q634" s="32"/>
    </row>
    <row r="635" spans="1:17">
      <c r="A635" s="153" t="s">
        <v>1288</v>
      </c>
      <c r="B635" s="153" t="s">
        <v>1289</v>
      </c>
      <c r="C635" s="153" t="s">
        <v>558</v>
      </c>
      <c r="D635" s="587">
        <v>7020029</v>
      </c>
      <c r="E635" s="153" t="s">
        <v>936</v>
      </c>
      <c r="F635" s="1333">
        <v>264386.51</v>
      </c>
      <c r="G635" s="1333">
        <v>80073.88</v>
      </c>
      <c r="H635" s="1333">
        <f>VLOOKUP(D635,'מאזן בוחן'!$C:$M,11,0)-G635</f>
        <v>0</v>
      </c>
      <c r="I635" s="1333">
        <f>VLOOKUP(D635,'מאזן בוחן'!C:J,3,0)-F635</f>
        <v>0</v>
      </c>
      <c r="K635" s="137"/>
      <c r="L635" s="137"/>
      <c r="N635" s="32"/>
      <c r="O635" s="32"/>
      <c r="P635" s="32"/>
      <c r="Q635" s="32"/>
    </row>
    <row r="636" spans="1:17">
      <c r="A636" s="153" t="s">
        <v>1288</v>
      </c>
      <c r="B636" s="153" t="s">
        <v>1289</v>
      </c>
      <c r="C636" s="153" t="s">
        <v>558</v>
      </c>
      <c r="D636" s="587">
        <v>7020031</v>
      </c>
      <c r="E636" s="153" t="s">
        <v>4682</v>
      </c>
      <c r="F636" s="1333">
        <v>1990</v>
      </c>
      <c r="G636" s="1333">
        <v>634.16</v>
      </c>
      <c r="H636" s="1333">
        <f>VLOOKUP(D636,'מאזן בוחן'!$C:$M,11,0)-G636</f>
        <v>0</v>
      </c>
      <c r="I636" s="1333">
        <f>VLOOKUP(D636,'מאזן בוחן'!C:J,3,0)-F636</f>
        <v>0</v>
      </c>
      <c r="K636" s="137"/>
      <c r="L636" s="137"/>
      <c r="N636" s="32"/>
      <c r="O636" s="32"/>
      <c r="P636" s="32"/>
      <c r="Q636" s="32"/>
    </row>
    <row r="637" spans="1:17">
      <c r="A637" s="153" t="s">
        <v>1288</v>
      </c>
      <c r="B637" s="153" t="s">
        <v>1289</v>
      </c>
      <c r="C637" s="153" t="s">
        <v>558</v>
      </c>
      <c r="D637" s="587" t="s">
        <v>1650</v>
      </c>
      <c r="E637" s="153" t="s">
        <v>1651</v>
      </c>
      <c r="F637" s="1333">
        <v>-14125</v>
      </c>
      <c r="G637" s="1333">
        <v>-4393.47</v>
      </c>
      <c r="H637" s="1333">
        <f>VLOOKUP(D637,'מאזן בוחן'!$C:$M,11,0)-G637</f>
        <v>0</v>
      </c>
      <c r="I637" s="1333">
        <f>VLOOKUP(D637,'מאזן בוחן'!C:J,3,0)-F637</f>
        <v>0</v>
      </c>
      <c r="K637" s="137"/>
      <c r="L637" s="137"/>
      <c r="N637" s="32"/>
      <c r="O637" s="32"/>
      <c r="P637" s="32"/>
      <c r="Q637" s="32"/>
    </row>
    <row r="638" spans="1:17">
      <c r="A638" s="153" t="s">
        <v>1288</v>
      </c>
      <c r="B638" s="153" t="s">
        <v>1289</v>
      </c>
      <c r="C638" s="153" t="s">
        <v>558</v>
      </c>
      <c r="D638" s="587">
        <v>7020037</v>
      </c>
      <c r="E638" s="153" t="s">
        <v>739</v>
      </c>
      <c r="F638" s="1333">
        <v>740706.63</v>
      </c>
      <c r="G638" s="1333">
        <v>232200.08</v>
      </c>
      <c r="H638" s="1333">
        <f>VLOOKUP(D638,'מאזן בוחן'!$C:$M,11,0)-G638</f>
        <v>0</v>
      </c>
      <c r="I638" s="1333">
        <f>VLOOKUP(D638,'מאזן בוחן'!C:J,3,0)-F638</f>
        <v>0</v>
      </c>
      <c r="K638" s="137"/>
      <c r="L638" s="137"/>
      <c r="N638" s="32"/>
      <c r="O638" s="32"/>
      <c r="P638" s="32"/>
      <c r="Q638" s="32"/>
    </row>
    <row r="639" spans="1:17">
      <c r="A639" s="153" t="s">
        <v>1288</v>
      </c>
      <c r="B639" s="153" t="s">
        <v>1289</v>
      </c>
      <c r="C639" s="153" t="s">
        <v>558</v>
      </c>
      <c r="D639" s="587">
        <v>7020038</v>
      </c>
      <c r="E639" s="153" t="s">
        <v>2163</v>
      </c>
      <c r="F639" s="1333">
        <v>1886525.37</v>
      </c>
      <c r="G639" s="1333">
        <v>588071.01</v>
      </c>
      <c r="H639" s="1333">
        <f>VLOOKUP(D639,'מאזן בוחן'!$C:$M,11,0)-G639</f>
        <v>0</v>
      </c>
      <c r="I639" s="1333">
        <f>VLOOKUP(D639,'מאזן בוחן'!C:J,3,0)-F639</f>
        <v>0</v>
      </c>
      <c r="J639" s="1333"/>
      <c r="K639" s="137"/>
      <c r="L639" s="137"/>
      <c r="N639" s="32"/>
      <c r="O639" s="32"/>
      <c r="P639" s="32"/>
      <c r="Q639" s="32"/>
    </row>
    <row r="640" spans="1:17">
      <c r="A640" s="153" t="s">
        <v>1288</v>
      </c>
      <c r="B640" s="153" t="s">
        <v>1289</v>
      </c>
      <c r="C640" s="153" t="s">
        <v>558</v>
      </c>
      <c r="D640" s="587">
        <v>7020039</v>
      </c>
      <c r="E640" s="153" t="s">
        <v>1132</v>
      </c>
      <c r="F640" s="1333">
        <v>496174.66</v>
      </c>
      <c r="G640" s="1333">
        <v>152938.79999999999</v>
      </c>
      <c r="H640" s="1333">
        <f>VLOOKUP(D640,'מאזן בוחן'!$C:$M,11,0)-G640</f>
        <v>0</v>
      </c>
      <c r="I640" s="1333">
        <f>VLOOKUP(D640,'מאזן בוחן'!C:J,3,0)-F640</f>
        <v>0</v>
      </c>
      <c r="J640" s="1333"/>
      <c r="K640" s="137"/>
      <c r="L640" s="137"/>
      <c r="N640" s="32"/>
      <c r="O640" s="32"/>
      <c r="P640" s="32"/>
      <c r="Q640" s="32"/>
    </row>
    <row r="641" spans="1:17">
      <c r="A641" s="153" t="s">
        <v>1288</v>
      </c>
      <c r="B641" s="153" t="s">
        <v>1289</v>
      </c>
      <c r="C641" s="153" t="s">
        <v>558</v>
      </c>
      <c r="D641" s="587">
        <v>7020046</v>
      </c>
      <c r="E641" s="153" t="s">
        <v>1133</v>
      </c>
      <c r="F641" s="1333">
        <v>35207.839999999997</v>
      </c>
      <c r="G641" s="1333">
        <v>11018.81</v>
      </c>
      <c r="H641" s="1333">
        <f>VLOOKUP(D641,'מאזן בוחן'!$C:$M,11,0)-G641</f>
        <v>0</v>
      </c>
      <c r="I641" s="1333">
        <f>VLOOKUP(D641,'מאזן בוחן'!C:J,3,0)-F641</f>
        <v>0</v>
      </c>
      <c r="J641" s="1333"/>
      <c r="K641" s="137"/>
      <c r="L641" s="137"/>
      <c r="N641" s="32"/>
      <c r="O641" s="32"/>
      <c r="P641" s="32"/>
      <c r="Q641" s="32"/>
    </row>
    <row r="642" spans="1:17">
      <c r="A642" s="153" t="s">
        <v>1288</v>
      </c>
      <c r="B642" s="153" t="s">
        <v>1289</v>
      </c>
      <c r="C642" s="153" t="s">
        <v>1453</v>
      </c>
      <c r="D642" s="587">
        <v>7030001</v>
      </c>
      <c r="E642" s="153" t="s">
        <v>3552</v>
      </c>
      <c r="F642" s="1333">
        <v>1764557.67</v>
      </c>
      <c r="G642" s="1333">
        <v>536968.95999999996</v>
      </c>
      <c r="H642" s="1333">
        <f>VLOOKUP(D642,'מאזן בוחן'!$C:$M,11,0)-G642</f>
        <v>0</v>
      </c>
      <c r="I642" s="1333">
        <f>VLOOKUP(D642,'מאזן בוחן'!C:J,3,0)-F642</f>
        <v>0</v>
      </c>
      <c r="J642" s="1333"/>
      <c r="K642" s="137"/>
      <c r="L642" s="137"/>
      <c r="N642" s="32"/>
      <c r="O642" s="32"/>
      <c r="P642" s="32"/>
      <c r="Q642" s="32"/>
    </row>
    <row r="643" spans="1:17">
      <c r="A643" s="153" t="s">
        <v>1288</v>
      </c>
      <c r="B643" s="153" t="s">
        <v>1291</v>
      </c>
      <c r="C643" s="153" t="s">
        <v>1137</v>
      </c>
      <c r="D643" s="587">
        <v>7110001</v>
      </c>
      <c r="E643" s="153" t="s">
        <v>1138</v>
      </c>
      <c r="F643" s="1333">
        <v>690033</v>
      </c>
      <c r="G643" s="1333">
        <v>213674.26</v>
      </c>
      <c r="H643" s="1333">
        <f>VLOOKUP(D643,'מאזן בוחן'!$C:$M,11,0)-G643</f>
        <v>0</v>
      </c>
      <c r="I643" s="1333">
        <f>VLOOKUP(D643,'מאזן בוחן'!C:J,3,0)-F643</f>
        <v>0</v>
      </c>
      <c r="J643" s="1333"/>
      <c r="K643" s="137"/>
      <c r="L643" s="137"/>
      <c r="N643" s="32"/>
      <c r="O643" s="32"/>
      <c r="P643" s="32"/>
      <c r="Q643" s="32"/>
    </row>
    <row r="644" spans="1:17">
      <c r="A644" s="153" t="s">
        <v>1288</v>
      </c>
      <c r="B644" s="153" t="s">
        <v>1291</v>
      </c>
      <c r="C644" s="153" t="s">
        <v>1137</v>
      </c>
      <c r="D644" s="587">
        <v>7110002</v>
      </c>
      <c r="E644" s="153" t="s">
        <v>1139</v>
      </c>
      <c r="F644" s="1333">
        <v>-9113.09</v>
      </c>
      <c r="G644" s="1333">
        <v>-3016.64</v>
      </c>
      <c r="H644" s="1333">
        <f>VLOOKUP(D644,'מאזן בוחן'!$C:$M,11,0)-G644</f>
        <v>0</v>
      </c>
      <c r="I644" s="1333">
        <f>VLOOKUP(D644,'מאזן בוחן'!C:J,3,0)-F644</f>
        <v>0</v>
      </c>
      <c r="J644" s="1333"/>
      <c r="K644" s="137"/>
      <c r="L644" s="137"/>
      <c r="N644" s="32"/>
      <c r="O644" s="32"/>
      <c r="P644" s="32"/>
      <c r="Q644" s="32"/>
    </row>
    <row r="645" spans="1:17">
      <c r="A645" s="153" t="s">
        <v>1288</v>
      </c>
      <c r="B645" s="153" t="s">
        <v>1291</v>
      </c>
      <c r="C645" s="153" t="s">
        <v>1137</v>
      </c>
      <c r="D645" s="587">
        <v>7110003</v>
      </c>
      <c r="E645" s="153" t="s">
        <v>1140</v>
      </c>
      <c r="F645" s="1333">
        <v>198693.96</v>
      </c>
      <c r="G645" s="1333">
        <v>74092.61</v>
      </c>
      <c r="H645" s="1333">
        <f>VLOOKUP(D645,'מאזן בוחן'!$C:$M,11,0)-G645</f>
        <v>0</v>
      </c>
      <c r="I645" s="1333">
        <f>VLOOKUP(D645,'מאזן בוחן'!C:J,3,0)-F645</f>
        <v>0</v>
      </c>
      <c r="J645" s="1333"/>
      <c r="K645" s="137"/>
      <c r="L645" s="137"/>
      <c r="N645" s="32"/>
      <c r="O645" s="32"/>
      <c r="P645" s="32"/>
      <c r="Q645" s="32"/>
    </row>
    <row r="646" spans="1:17">
      <c r="A646" s="153" t="s">
        <v>1288</v>
      </c>
      <c r="B646" s="153" t="s">
        <v>1291</v>
      </c>
      <c r="C646" s="153" t="s">
        <v>1137</v>
      </c>
      <c r="D646" s="587">
        <v>7110004</v>
      </c>
      <c r="E646" s="153" t="s">
        <v>1141</v>
      </c>
      <c r="F646" s="1333">
        <v>527682</v>
      </c>
      <c r="G646" s="1333">
        <v>162144.18</v>
      </c>
      <c r="H646" s="1333">
        <f>VLOOKUP(D646,'מאזן בוחן'!$C:$M,11,0)-G646</f>
        <v>0</v>
      </c>
      <c r="I646" s="1333">
        <f>VLOOKUP(D646,'מאזן בוחן'!C:J,3,0)-F646</f>
        <v>0</v>
      </c>
      <c r="J646" s="1333"/>
      <c r="K646" s="137"/>
      <c r="L646" s="137"/>
      <c r="N646" s="32"/>
      <c r="O646" s="32"/>
      <c r="P646" s="32"/>
      <c r="Q646" s="32"/>
    </row>
    <row r="647" spans="1:17">
      <c r="A647" s="153" t="s">
        <v>1288</v>
      </c>
      <c r="B647" s="153" t="s">
        <v>1291</v>
      </c>
      <c r="C647" s="153" t="s">
        <v>1137</v>
      </c>
      <c r="D647" s="587">
        <v>7110006</v>
      </c>
      <c r="E647" s="153" t="s">
        <v>1242</v>
      </c>
      <c r="F647" s="1333">
        <v>109283.97</v>
      </c>
      <c r="G647" s="1333">
        <v>33774.370000000003</v>
      </c>
      <c r="H647" s="1333">
        <f>VLOOKUP(D647,'מאזן בוחן'!$C:$M,11,0)-G647</f>
        <v>0</v>
      </c>
      <c r="I647" s="1333">
        <f>VLOOKUP(D647,'מאזן בוחן'!C:J,3,0)-F647</f>
        <v>0</v>
      </c>
      <c r="J647" s="1333"/>
      <c r="K647" s="137"/>
      <c r="L647" s="137"/>
      <c r="N647" s="32"/>
      <c r="O647" s="32"/>
      <c r="P647" s="32"/>
      <c r="Q647" s="32"/>
    </row>
    <row r="648" spans="1:17">
      <c r="A648" s="153" t="s">
        <v>1288</v>
      </c>
      <c r="B648" s="153" t="s">
        <v>1291</v>
      </c>
      <c r="C648" s="153" t="s">
        <v>1137</v>
      </c>
      <c r="D648" s="587">
        <v>7110010</v>
      </c>
      <c r="E648" s="153" t="s">
        <v>3498</v>
      </c>
      <c r="F648" s="1333">
        <v>1632.36</v>
      </c>
      <c r="G648" s="1333">
        <v>524.88</v>
      </c>
      <c r="H648" s="1333">
        <f>VLOOKUP(D648,'מאזן בוחן'!$C:$M,11,0)-G648</f>
        <v>0</v>
      </c>
      <c r="I648" s="1333">
        <f>VLOOKUP(D648,'מאזן בוחן'!C:J,3,0)-F648</f>
        <v>0</v>
      </c>
      <c r="J648" s="1333"/>
      <c r="K648" s="137"/>
      <c r="L648" s="137"/>
      <c r="N648" s="32"/>
      <c r="O648" s="32"/>
      <c r="P648" s="32"/>
      <c r="Q648" s="32"/>
    </row>
    <row r="649" spans="1:17">
      <c r="A649" s="153" t="s">
        <v>1288</v>
      </c>
      <c r="B649" s="153" t="s">
        <v>1291</v>
      </c>
      <c r="C649" s="153" t="s">
        <v>1137</v>
      </c>
      <c r="D649" s="587">
        <v>7110021</v>
      </c>
      <c r="E649" s="153" t="s">
        <v>305</v>
      </c>
      <c r="F649" s="1333">
        <v>1054322.5900000001</v>
      </c>
      <c r="G649" s="1333">
        <v>325949.49</v>
      </c>
      <c r="H649" s="1333">
        <f>VLOOKUP(D649,'מאזן בוחן'!$C:$M,11,0)-G649</f>
        <v>0</v>
      </c>
      <c r="I649" s="1333">
        <f>VLOOKUP(D649,'מאזן בוחן'!C:J,3,0)-F649</f>
        <v>0</v>
      </c>
      <c r="J649" s="1333"/>
      <c r="K649" s="137"/>
      <c r="L649" s="137"/>
      <c r="N649" s="32"/>
      <c r="O649" s="32"/>
      <c r="P649" s="32"/>
      <c r="Q649" s="32"/>
    </row>
    <row r="650" spans="1:17">
      <c r="A650" s="153" t="s">
        <v>1288</v>
      </c>
      <c r="B650" s="153" t="s">
        <v>1291</v>
      </c>
      <c r="C650" s="153" t="s">
        <v>1137</v>
      </c>
      <c r="D650" s="587">
        <v>7110022</v>
      </c>
      <c r="E650" s="153" t="s">
        <v>1142</v>
      </c>
      <c r="F650" s="1333">
        <v>69112.72</v>
      </c>
      <c r="G650" s="1333">
        <v>21197.52</v>
      </c>
      <c r="H650" s="1333">
        <f>VLOOKUP(D650,'מאזן בוחן'!$C:$M,11,0)-G650</f>
        <v>0</v>
      </c>
      <c r="I650" s="1333">
        <f>VLOOKUP(D650,'מאזן בוחן'!C:J,3,0)-F650</f>
        <v>0</v>
      </c>
      <c r="J650" s="1333"/>
      <c r="K650" s="137"/>
      <c r="L650" s="137"/>
      <c r="N650" s="32"/>
      <c r="O650" s="32"/>
      <c r="P650" s="32"/>
      <c r="Q650" s="32"/>
    </row>
    <row r="651" spans="1:17">
      <c r="A651" s="153" t="s">
        <v>1288</v>
      </c>
      <c r="B651" s="153" t="s">
        <v>1291</v>
      </c>
      <c r="C651" s="153" t="s">
        <v>1137</v>
      </c>
      <c r="D651" s="587">
        <v>7110023</v>
      </c>
      <c r="E651" s="153" t="s">
        <v>561</v>
      </c>
      <c r="F651" s="1333">
        <v>554130.52</v>
      </c>
      <c r="G651" s="1333">
        <v>170502.29</v>
      </c>
      <c r="H651" s="1333">
        <f>VLOOKUP(D651,'מאזן בוחן'!$C:$M,11,0)-G651</f>
        <v>0</v>
      </c>
      <c r="I651" s="1333">
        <f>VLOOKUP(D651,'מאזן בוחן'!C:J,3,0)-F651</f>
        <v>0</v>
      </c>
      <c r="J651" s="1333"/>
      <c r="K651" s="137"/>
      <c r="L651" s="137"/>
      <c r="N651" s="32"/>
      <c r="O651" s="32"/>
      <c r="P651" s="32"/>
      <c r="Q651" s="32"/>
    </row>
    <row r="652" spans="1:17">
      <c r="A652" s="153" t="s">
        <v>1288</v>
      </c>
      <c r="B652" s="153" t="s">
        <v>1291</v>
      </c>
      <c r="C652" s="153" t="s">
        <v>1137</v>
      </c>
      <c r="D652" s="587">
        <v>7110024</v>
      </c>
      <c r="E652" s="153" t="s">
        <v>306</v>
      </c>
      <c r="F652" s="1333">
        <v>7792.82</v>
      </c>
      <c r="G652" s="1333">
        <v>2411.2800000000002</v>
      </c>
      <c r="H652" s="1333">
        <f>VLOOKUP(D652,'מאזן בוחן'!$C:$M,11,0)-G652</f>
        <v>0</v>
      </c>
      <c r="I652" s="1333">
        <f>VLOOKUP(D652,'מאזן בוחן'!C:J,3,0)-F652</f>
        <v>0</v>
      </c>
      <c r="J652" s="1333"/>
      <c r="K652" s="137"/>
      <c r="L652" s="137"/>
      <c r="N652" s="32"/>
      <c r="O652" s="32"/>
      <c r="P652" s="32"/>
      <c r="Q652" s="32"/>
    </row>
    <row r="653" spans="1:17">
      <c r="A653" s="153" t="s">
        <v>1288</v>
      </c>
      <c r="B653" s="153" t="s">
        <v>1291</v>
      </c>
      <c r="C653" s="153" t="s">
        <v>1137</v>
      </c>
      <c r="D653" s="587">
        <v>7110030</v>
      </c>
      <c r="E653" s="153" t="s">
        <v>3562</v>
      </c>
      <c r="F653" s="1333">
        <v>47841.67</v>
      </c>
      <c r="G653" s="1333">
        <v>14388.54</v>
      </c>
      <c r="H653" s="1333">
        <f>VLOOKUP(D653,'מאזן בוחן'!$C:$M,11,0)-G653</f>
        <v>0</v>
      </c>
      <c r="I653" s="1333">
        <f>VLOOKUP(D653,'מאזן בוחן'!C:J,3,0)-F653</f>
        <v>0</v>
      </c>
      <c r="J653" s="1333"/>
      <c r="K653" s="137"/>
      <c r="L653" s="137"/>
      <c r="N653" s="32"/>
      <c r="O653" s="32"/>
      <c r="P653" s="32"/>
      <c r="Q653" s="32"/>
    </row>
    <row r="654" spans="1:17">
      <c r="A654" s="153" t="s">
        <v>1288</v>
      </c>
      <c r="B654" s="153" t="s">
        <v>1291</v>
      </c>
      <c r="C654" s="153" t="s">
        <v>1137</v>
      </c>
      <c r="D654" s="587">
        <v>7110044</v>
      </c>
      <c r="E654" s="153" t="s">
        <v>1837</v>
      </c>
      <c r="F654" s="1333">
        <v>430510.49</v>
      </c>
      <c r="G654" s="1333">
        <v>116894.28</v>
      </c>
      <c r="H654" s="1333">
        <f>VLOOKUP(D654,'מאזן בוחן'!$C:$M,11,0)-G654</f>
        <v>0</v>
      </c>
      <c r="I654" s="1333">
        <f>VLOOKUP(D654,'מאזן בוחן'!C:J,3,0)-F654</f>
        <v>0</v>
      </c>
      <c r="J654" s="1333"/>
      <c r="K654" s="137"/>
      <c r="L654" s="137"/>
      <c r="N654" s="32"/>
      <c r="O654" s="32"/>
      <c r="P654" s="32"/>
      <c r="Q654" s="32"/>
    </row>
    <row r="655" spans="1:17">
      <c r="A655" s="153" t="s">
        <v>1288</v>
      </c>
      <c r="B655" s="153" t="s">
        <v>1291</v>
      </c>
      <c r="C655" s="153" t="s">
        <v>1137</v>
      </c>
      <c r="D655" s="587">
        <v>7110055</v>
      </c>
      <c r="E655" s="153" t="s">
        <v>1838</v>
      </c>
      <c r="F655" s="1333">
        <v>156279.57999999999</v>
      </c>
      <c r="G655" s="1333">
        <v>44567.24</v>
      </c>
      <c r="H655" s="1333">
        <f>VLOOKUP(D655,'מאזן בוחן'!$C:$M,11,0)-G655</f>
        <v>0</v>
      </c>
      <c r="I655" s="1333">
        <f>VLOOKUP(D655,'מאזן בוחן'!C:J,3,0)-F655</f>
        <v>0</v>
      </c>
      <c r="J655" s="1333"/>
      <c r="K655" s="137"/>
      <c r="L655" s="137"/>
      <c r="N655" s="32"/>
      <c r="O655" s="32"/>
      <c r="P655" s="32"/>
      <c r="Q655" s="32"/>
    </row>
    <row r="656" spans="1:17">
      <c r="A656" s="153" t="s">
        <v>1288</v>
      </c>
      <c r="B656" s="153" t="s">
        <v>1291</v>
      </c>
      <c r="C656" s="153" t="s">
        <v>1137</v>
      </c>
      <c r="D656" s="587">
        <v>7110066</v>
      </c>
      <c r="E656" s="153" t="s">
        <v>2173</v>
      </c>
      <c r="F656" s="1333">
        <v>255775.87</v>
      </c>
      <c r="G656" s="1333">
        <v>75665.38</v>
      </c>
      <c r="H656" s="1333">
        <f>VLOOKUP(D656,'מאזן בוחן'!$C:$M,11,0)-G656</f>
        <v>0</v>
      </c>
      <c r="I656" s="1333">
        <f>VLOOKUP(D656,'מאזן בוחן'!C:J,3,0)-F656</f>
        <v>0</v>
      </c>
      <c r="J656" s="1333"/>
      <c r="K656" s="137"/>
      <c r="L656" s="137"/>
      <c r="N656" s="32"/>
      <c r="O656" s="32"/>
      <c r="P656" s="32"/>
      <c r="Q656" s="32"/>
    </row>
    <row r="657" spans="1:17">
      <c r="A657" s="153" t="s">
        <v>1288</v>
      </c>
      <c r="B657" s="153" t="s">
        <v>1291</v>
      </c>
      <c r="C657" s="153" t="s">
        <v>1137</v>
      </c>
      <c r="D657" s="587">
        <v>7110070</v>
      </c>
      <c r="E657" s="153" t="s">
        <v>1143</v>
      </c>
      <c r="F657" s="1333">
        <v>496515.94</v>
      </c>
      <c r="G657" s="1333">
        <v>153559</v>
      </c>
      <c r="H657" s="1333">
        <f>VLOOKUP(D657,'מאזן בוחן'!$C:$M,11,0)-G657</f>
        <v>0</v>
      </c>
      <c r="I657" s="1333">
        <f>VLOOKUP(D657,'מאזן בוחן'!C:J,3,0)-F657</f>
        <v>0</v>
      </c>
      <c r="J657" s="1333"/>
      <c r="K657" s="137"/>
      <c r="L657" s="137"/>
      <c r="N657" s="32"/>
      <c r="O657" s="32"/>
      <c r="P657" s="32"/>
      <c r="Q657" s="32"/>
    </row>
    <row r="658" spans="1:17">
      <c r="A658" s="153" t="s">
        <v>1288</v>
      </c>
      <c r="B658" s="153" t="s">
        <v>1291</v>
      </c>
      <c r="C658" s="153" t="s">
        <v>1137</v>
      </c>
      <c r="D658" s="587">
        <v>7110071</v>
      </c>
      <c r="E658" s="153" t="s">
        <v>3300</v>
      </c>
      <c r="F658" s="1333">
        <v>309913.95</v>
      </c>
      <c r="G658" s="1333">
        <v>95746</v>
      </c>
      <c r="H658" s="1333">
        <f>VLOOKUP(D658,'מאזן בוחן'!$C:$M,11,0)-G658</f>
        <v>0</v>
      </c>
      <c r="I658" s="1333">
        <f>VLOOKUP(D658,'מאזן בוחן'!C:J,3,0)-F658</f>
        <v>0</v>
      </c>
      <c r="J658" s="1333"/>
      <c r="K658" s="137"/>
      <c r="L658" s="137"/>
      <c r="N658" s="32"/>
      <c r="O658" s="32"/>
      <c r="P658" s="32"/>
      <c r="Q658" s="32"/>
    </row>
    <row r="659" spans="1:17">
      <c r="A659" s="153" t="s">
        <v>1288</v>
      </c>
      <c r="B659" s="153" t="s">
        <v>1291</v>
      </c>
      <c r="C659" s="153" t="s">
        <v>1137</v>
      </c>
      <c r="D659" s="587">
        <v>7110072</v>
      </c>
      <c r="E659" s="153" t="s">
        <v>1144</v>
      </c>
      <c r="F659" s="1333">
        <v>11519.48</v>
      </c>
      <c r="G659" s="1333">
        <v>3515</v>
      </c>
      <c r="H659" s="1333">
        <f>VLOOKUP(D659,'מאזן בוחן'!$C:$M,11,0)-G659</f>
        <v>0</v>
      </c>
      <c r="I659" s="1333">
        <f>VLOOKUP(D659,'מאזן בוחן'!C:J,3,0)-F659</f>
        <v>0</v>
      </c>
      <c r="J659" s="1333"/>
      <c r="K659" s="137"/>
      <c r="L659" s="137"/>
      <c r="N659" s="32"/>
      <c r="O659" s="32"/>
      <c r="P659" s="32"/>
      <c r="Q659" s="32"/>
    </row>
    <row r="660" spans="1:17">
      <c r="A660" s="153" t="s">
        <v>1288</v>
      </c>
      <c r="B660" s="153" t="s">
        <v>1291</v>
      </c>
      <c r="C660" s="153" t="s">
        <v>1137</v>
      </c>
      <c r="D660" s="587">
        <v>7110077</v>
      </c>
      <c r="E660" s="153" t="s">
        <v>3546</v>
      </c>
      <c r="F660" s="1333">
        <v>-976486.39</v>
      </c>
      <c r="G660" s="1333">
        <v>-304264.96999999997</v>
      </c>
      <c r="H660" s="1333">
        <f>VLOOKUP(D660,'מאזן בוחן'!$C:$M,11,0)-G660</f>
        <v>0</v>
      </c>
      <c r="I660" s="1333">
        <f>VLOOKUP(D660,'מאזן בוחן'!C:J,3,0)-F660</f>
        <v>0</v>
      </c>
      <c r="J660" s="1333"/>
      <c r="K660" s="137"/>
      <c r="L660" s="137"/>
      <c r="N660" s="32"/>
      <c r="O660" s="32"/>
      <c r="P660" s="32"/>
      <c r="Q660" s="32"/>
    </row>
    <row r="661" spans="1:17">
      <c r="A661" s="153" t="s">
        <v>1288</v>
      </c>
      <c r="B661" s="153" t="s">
        <v>1291</v>
      </c>
      <c r="C661" s="153" t="s">
        <v>1137</v>
      </c>
      <c r="D661" s="587">
        <v>7110081</v>
      </c>
      <c r="E661" s="153" t="s">
        <v>1625</v>
      </c>
      <c r="F661" s="1333">
        <v>349569</v>
      </c>
      <c r="G661" s="1333">
        <v>108000</v>
      </c>
      <c r="H661" s="1333">
        <f>VLOOKUP(D661,'מאזן בוחן'!$C:$M,11,0)-G661</f>
        <v>0</v>
      </c>
      <c r="I661" s="1333">
        <f>VLOOKUP(D661,'מאזן בוחן'!C:J,3,0)-F661</f>
        <v>0</v>
      </c>
      <c r="J661" s="1333"/>
      <c r="K661" s="137"/>
      <c r="L661" s="137"/>
      <c r="N661" s="32"/>
      <c r="O661" s="32"/>
      <c r="P661" s="32"/>
      <c r="Q661" s="32"/>
    </row>
    <row r="662" spans="1:17">
      <c r="A662" s="153" t="s">
        <v>1288</v>
      </c>
      <c r="B662" s="153" t="s">
        <v>1291</v>
      </c>
      <c r="C662" s="153" t="s">
        <v>1137</v>
      </c>
      <c r="D662" s="587">
        <v>7110082</v>
      </c>
      <c r="E662" s="153" t="s">
        <v>1755</v>
      </c>
      <c r="F662" s="1333">
        <v>308929.96999999997</v>
      </c>
      <c r="G662" s="1333">
        <v>95184</v>
      </c>
      <c r="H662" s="1333">
        <f>VLOOKUP(D662,'מאזן בוחן'!$C:$M,11,0)-G662</f>
        <v>0</v>
      </c>
      <c r="I662" s="1333">
        <f>VLOOKUP(D662,'מאזן בוחן'!C:J,3,0)-F662</f>
        <v>0</v>
      </c>
      <c r="J662" s="1333"/>
      <c r="K662" s="137"/>
      <c r="L662" s="137"/>
      <c r="N662" s="32"/>
      <c r="O662" s="32"/>
      <c r="P662" s="32"/>
      <c r="Q662" s="32"/>
    </row>
    <row r="663" spans="1:17">
      <c r="A663" s="153" t="s">
        <v>1288</v>
      </c>
      <c r="B663" s="153" t="s">
        <v>1291</v>
      </c>
      <c r="C663" s="153" t="s">
        <v>1137</v>
      </c>
      <c r="D663" s="587">
        <v>7110083</v>
      </c>
      <c r="E663" s="153" t="s">
        <v>1646</v>
      </c>
      <c r="F663" s="1333">
        <v>271929</v>
      </c>
      <c r="G663" s="1333">
        <v>84000</v>
      </c>
      <c r="H663" s="1333">
        <f>VLOOKUP(D663,'מאזן בוחן'!$C:$M,11,0)-G663</f>
        <v>0</v>
      </c>
      <c r="I663" s="1333">
        <f>VLOOKUP(D663,'מאזן בוחן'!C:J,3,0)-F663</f>
        <v>0</v>
      </c>
      <c r="J663" s="1333"/>
      <c r="K663" s="137"/>
      <c r="L663" s="137"/>
      <c r="N663" s="32"/>
      <c r="O663" s="32"/>
      <c r="P663" s="32"/>
      <c r="Q663" s="32"/>
    </row>
    <row r="664" spans="1:17">
      <c r="A664" s="153" t="s">
        <v>1288</v>
      </c>
      <c r="B664" s="153" t="s">
        <v>1291</v>
      </c>
      <c r="C664" s="153" t="s">
        <v>1137</v>
      </c>
      <c r="D664" s="587">
        <v>7110084</v>
      </c>
      <c r="E664" s="153" t="s">
        <v>1722</v>
      </c>
      <c r="F664" s="1333">
        <v>209951.75</v>
      </c>
      <c r="G664" s="1333">
        <v>64486.68</v>
      </c>
      <c r="H664" s="1333">
        <f>VLOOKUP(D664,'מאזן בוחן'!$C:$M,11,0)-G664</f>
        <v>0</v>
      </c>
      <c r="I664" s="1333">
        <f>VLOOKUP(D664,'מאזן בוחן'!C:J,3,0)-F664</f>
        <v>0</v>
      </c>
      <c r="J664" s="1333"/>
      <c r="K664" s="137"/>
      <c r="L664" s="137"/>
      <c r="N664" s="32"/>
      <c r="O664" s="32"/>
      <c r="P664" s="32"/>
      <c r="Q664" s="32"/>
    </row>
    <row r="665" spans="1:17">
      <c r="A665" s="153" t="s">
        <v>1288</v>
      </c>
      <c r="B665" s="153" t="s">
        <v>1291</v>
      </c>
      <c r="C665" s="153" t="s">
        <v>1137</v>
      </c>
      <c r="D665" s="587">
        <v>7110086</v>
      </c>
      <c r="E665" s="153" t="s">
        <v>3442</v>
      </c>
      <c r="F665" s="1333">
        <v>150472.65</v>
      </c>
      <c r="G665" s="1333">
        <v>45990.55</v>
      </c>
      <c r="H665" s="1333">
        <f>VLOOKUP(D665,'מאזן בוחן'!$C:$M,11,0)-G665</f>
        <v>0</v>
      </c>
      <c r="I665" s="1333">
        <f>VLOOKUP(D665,'מאזן בוחן'!C:J,3,0)-F665</f>
        <v>0</v>
      </c>
      <c r="J665" s="1333"/>
      <c r="K665" s="137"/>
      <c r="L665" s="137"/>
      <c r="N665" s="32"/>
      <c r="O665" s="32"/>
      <c r="P665" s="32"/>
      <c r="Q665" s="32"/>
    </row>
    <row r="666" spans="1:17">
      <c r="A666" s="153" t="s">
        <v>1288</v>
      </c>
      <c r="B666" s="153" t="s">
        <v>1291</v>
      </c>
      <c r="C666" s="153" t="s">
        <v>1137</v>
      </c>
      <c r="D666" s="587">
        <v>7110100</v>
      </c>
      <c r="E666" s="153" t="s">
        <v>1254</v>
      </c>
      <c r="F666" s="1333">
        <v>11236.28</v>
      </c>
      <c r="G666" s="1333">
        <v>3459.03</v>
      </c>
      <c r="H666" s="1333">
        <f>VLOOKUP(D666,'מאזן בוחן'!$C:$M,11,0)-G666</f>
        <v>0</v>
      </c>
      <c r="I666" s="1333">
        <f>VLOOKUP(D666,'מאזן בוחן'!C:J,3,0)-F666</f>
        <v>0</v>
      </c>
      <c r="J666" s="1333"/>
      <c r="K666" s="137"/>
      <c r="L666" s="137"/>
      <c r="N666" s="32"/>
      <c r="O666" s="32"/>
      <c r="P666" s="32"/>
      <c r="Q666" s="32"/>
    </row>
    <row r="667" spans="1:17">
      <c r="A667" s="153" t="s">
        <v>1288</v>
      </c>
      <c r="B667" s="153" t="s">
        <v>1291</v>
      </c>
      <c r="C667" s="153" t="s">
        <v>563</v>
      </c>
      <c r="D667" s="587">
        <v>7120019</v>
      </c>
      <c r="E667" s="153" t="s">
        <v>367</v>
      </c>
      <c r="F667" s="1333">
        <v>-2252.6</v>
      </c>
      <c r="G667" s="1333">
        <v>-700</v>
      </c>
      <c r="H667" s="1333">
        <f>VLOOKUP(D667,'מאזן בוחן'!$C:$M,11,0)-G667</f>
        <v>0</v>
      </c>
      <c r="I667" s="1333">
        <f>VLOOKUP(D667,'מאזן בוחן'!C:J,3,0)-F667</f>
        <v>0</v>
      </c>
      <c r="J667" s="1333"/>
      <c r="K667" s="137"/>
      <c r="L667" s="137"/>
      <c r="N667" s="32"/>
      <c r="O667" s="32"/>
      <c r="P667" s="32"/>
      <c r="Q667" s="32"/>
    </row>
    <row r="668" spans="1:17">
      <c r="A668" s="153" t="s">
        <v>1288</v>
      </c>
      <c r="B668" s="153" t="s">
        <v>1291</v>
      </c>
      <c r="C668" s="153" t="s">
        <v>563</v>
      </c>
      <c r="D668" s="587">
        <v>7120028</v>
      </c>
      <c r="E668" s="153" t="s">
        <v>2928</v>
      </c>
      <c r="F668" s="1333">
        <v>471085.8</v>
      </c>
      <c r="G668" s="1333">
        <v>145130.04999999999</v>
      </c>
      <c r="H668" s="1333">
        <f>VLOOKUP(D668,'מאזן בוחן'!$C:$M,11,0)-G668</f>
        <v>0</v>
      </c>
      <c r="I668" s="1333">
        <f>VLOOKUP(D668,'מאזן בוחן'!C:J,3,0)-F668</f>
        <v>0</v>
      </c>
      <c r="J668" s="1333"/>
      <c r="K668" s="137"/>
      <c r="L668" s="137"/>
      <c r="N668" s="32"/>
      <c r="O668" s="32"/>
      <c r="P668" s="32"/>
      <c r="Q668" s="32"/>
    </row>
    <row r="669" spans="1:17">
      <c r="A669" s="153" t="s">
        <v>1288</v>
      </c>
      <c r="B669" s="153" t="s">
        <v>1291</v>
      </c>
      <c r="C669" s="153" t="s">
        <v>563</v>
      </c>
      <c r="D669" s="587">
        <v>7120030</v>
      </c>
      <c r="E669" s="153" t="s">
        <v>1153</v>
      </c>
      <c r="F669" s="1333">
        <v>1192.73</v>
      </c>
      <c r="G669" s="1333">
        <v>371.81</v>
      </c>
      <c r="H669" s="1333">
        <f>VLOOKUP(D669,'מאזן בוחן'!$C:$M,11,0)-G669</f>
        <v>0</v>
      </c>
      <c r="I669" s="1333">
        <f>VLOOKUP(D669,'מאזן בוחן'!C:J,3,0)-F669</f>
        <v>0</v>
      </c>
      <c r="J669" s="1333"/>
      <c r="K669" s="137"/>
      <c r="L669" s="137"/>
      <c r="N669" s="32"/>
      <c r="O669" s="32"/>
      <c r="P669" s="32"/>
      <c r="Q669" s="32"/>
    </row>
    <row r="670" spans="1:17">
      <c r="A670" s="153" t="s">
        <v>1288</v>
      </c>
      <c r="B670" s="153" t="s">
        <v>1291</v>
      </c>
      <c r="C670" s="153" t="s">
        <v>563</v>
      </c>
      <c r="D670" s="587">
        <v>7120034</v>
      </c>
      <c r="E670" s="153" t="s">
        <v>365</v>
      </c>
      <c r="F670" s="1333">
        <v>62466.05</v>
      </c>
      <c r="G670" s="1333">
        <v>19300.73</v>
      </c>
      <c r="H670" s="1333">
        <f>VLOOKUP(D670,'מאזן בוחן'!$C:$M,11,0)-G670</f>
        <v>0</v>
      </c>
      <c r="I670" s="1333">
        <f>VLOOKUP(D670,'מאזן בוחן'!C:J,3,0)-F670</f>
        <v>0</v>
      </c>
      <c r="J670" s="1333"/>
      <c r="K670" s="137"/>
      <c r="L670" s="137"/>
      <c r="N670" s="32"/>
      <c r="O670" s="32"/>
      <c r="P670" s="32"/>
      <c r="Q670" s="32"/>
    </row>
    <row r="671" spans="1:17">
      <c r="A671" s="153" t="s">
        <v>1288</v>
      </c>
      <c r="B671" s="153" t="s">
        <v>1291</v>
      </c>
      <c r="C671" s="153" t="s">
        <v>563</v>
      </c>
      <c r="D671" s="587">
        <v>7120040</v>
      </c>
      <c r="E671" s="153" t="s">
        <v>3129</v>
      </c>
      <c r="F671" s="1333">
        <v>27592</v>
      </c>
      <c r="G671" s="1333">
        <v>8500</v>
      </c>
      <c r="H671" s="1333">
        <f>VLOOKUP(D671,'מאזן בוחן'!$C:$M,11,0)-G671</f>
        <v>0</v>
      </c>
      <c r="I671" s="1333">
        <f>VLOOKUP(D671,'מאזן בוחן'!C:J,3,0)-F671</f>
        <v>0</v>
      </c>
      <c r="J671" s="1333"/>
      <c r="K671" s="137"/>
      <c r="L671" s="137"/>
      <c r="N671" s="32"/>
      <c r="O671" s="32"/>
      <c r="P671" s="32"/>
      <c r="Q671" s="32"/>
    </row>
    <row r="672" spans="1:17">
      <c r="A672" s="153" t="s">
        <v>1288</v>
      </c>
      <c r="B672" s="153" t="s">
        <v>1291</v>
      </c>
      <c r="C672" s="153" t="s">
        <v>563</v>
      </c>
      <c r="D672" s="587">
        <v>7120041</v>
      </c>
      <c r="E672" s="153" t="s">
        <v>361</v>
      </c>
      <c r="F672" s="1333">
        <v>764009.98</v>
      </c>
      <c r="G672" s="1333">
        <v>226106.2</v>
      </c>
      <c r="H672" s="1333">
        <f>VLOOKUP(D672,'מאזן בוחן'!$C:$M,11,0)-G672</f>
        <v>0</v>
      </c>
      <c r="I672" s="1333">
        <f>VLOOKUP(D672,'מאזן בוחן'!C:J,3,0)-F672</f>
        <v>0</v>
      </c>
      <c r="J672" s="1333"/>
      <c r="K672" s="137"/>
      <c r="L672" s="137"/>
      <c r="N672" s="32"/>
      <c r="O672" s="32"/>
      <c r="P672" s="32"/>
      <c r="Q672" s="32"/>
    </row>
    <row r="673" spans="1:17" s="141" customFormat="1">
      <c r="A673" s="153" t="s">
        <v>1288</v>
      </c>
      <c r="B673" s="153" t="s">
        <v>1291</v>
      </c>
      <c r="C673" s="153" t="s">
        <v>563</v>
      </c>
      <c r="D673" s="587">
        <v>7120042</v>
      </c>
      <c r="E673" s="153" t="s">
        <v>1154</v>
      </c>
      <c r="F673" s="1333">
        <v>92456.87</v>
      </c>
      <c r="G673" s="1333">
        <v>28527.02</v>
      </c>
      <c r="H673" s="1333">
        <f>VLOOKUP(D673,'מאזן בוחן'!$C:$M,11,0)-G673</f>
        <v>0</v>
      </c>
      <c r="I673" s="1333">
        <f>VLOOKUP(D673,'מאזן בוחן'!C:J,3,0)-F673</f>
        <v>0</v>
      </c>
      <c r="J673" s="1333"/>
      <c r="N673" s="32"/>
      <c r="O673" s="380"/>
      <c r="P673" s="380"/>
      <c r="Q673" s="380"/>
    </row>
    <row r="674" spans="1:17">
      <c r="A674" s="153" t="s">
        <v>1288</v>
      </c>
      <c r="B674" s="153" t="s">
        <v>1291</v>
      </c>
      <c r="C674" s="153" t="s">
        <v>563</v>
      </c>
      <c r="D674" s="587">
        <v>7120064</v>
      </c>
      <c r="E674" s="153" t="s">
        <v>364</v>
      </c>
      <c r="F674" s="1333">
        <v>76268.039999999994</v>
      </c>
      <c r="G674" s="1333">
        <v>23636.82</v>
      </c>
      <c r="H674" s="1333">
        <f>VLOOKUP(D674,'מאזן בוחן'!$C:$M,11,0)-G674</f>
        <v>0</v>
      </c>
      <c r="I674" s="1333">
        <f>VLOOKUP(D674,'מאזן בוחן'!C:J,3,0)-F674</f>
        <v>0</v>
      </c>
      <c r="J674" s="1333"/>
      <c r="K674" s="137"/>
      <c r="L674" s="137"/>
      <c r="N674" s="32"/>
      <c r="O674" s="32"/>
      <c r="P674" s="32"/>
      <c r="Q674" s="32"/>
    </row>
    <row r="675" spans="1:17">
      <c r="A675" s="153" t="s">
        <v>1288</v>
      </c>
      <c r="B675" s="153" t="s">
        <v>1291</v>
      </c>
      <c r="C675" s="153" t="s">
        <v>563</v>
      </c>
      <c r="D675" s="587">
        <v>7120070</v>
      </c>
      <c r="E675" s="153" t="s">
        <v>278</v>
      </c>
      <c r="F675" s="1333">
        <v>12181.8</v>
      </c>
      <c r="G675" s="1333">
        <v>3794</v>
      </c>
      <c r="H675" s="1333">
        <f>VLOOKUP(D675,'מאזן בוחן'!$C:$M,11,0)-G675</f>
        <v>0</v>
      </c>
      <c r="I675" s="1333">
        <f>VLOOKUP(D675,'מאזן בוחן'!C:J,3,0)-F675</f>
        <v>0</v>
      </c>
      <c r="J675" s="1333"/>
      <c r="K675" s="137"/>
      <c r="L675" s="137"/>
      <c r="N675" s="32"/>
      <c r="O675" s="32"/>
      <c r="P675" s="32"/>
      <c r="Q675" s="32"/>
    </row>
    <row r="676" spans="1:17">
      <c r="A676" s="153" t="s">
        <v>1288</v>
      </c>
      <c r="B676" s="153" t="s">
        <v>1291</v>
      </c>
      <c r="C676" s="153" t="s">
        <v>563</v>
      </c>
      <c r="D676" s="587">
        <v>7120071</v>
      </c>
      <c r="E676" s="153" t="s">
        <v>1155</v>
      </c>
      <c r="F676" s="1333">
        <v>8810.24</v>
      </c>
      <c r="G676" s="1333">
        <v>2763.43</v>
      </c>
      <c r="H676" s="1333">
        <f>VLOOKUP(D676,'מאזן בוחן'!$C:$M,11,0)-G676</f>
        <v>0</v>
      </c>
      <c r="I676" s="1333">
        <f>VLOOKUP(D676,'מאזן בוחן'!C:J,3,0)-F676</f>
        <v>0</v>
      </c>
      <c r="J676" s="1333"/>
      <c r="K676" s="137"/>
      <c r="L676" s="137"/>
      <c r="N676" s="32"/>
      <c r="O676" s="32"/>
      <c r="P676" s="32"/>
      <c r="Q676" s="32"/>
    </row>
    <row r="677" spans="1:17">
      <c r="A677" s="153" t="s">
        <v>1288</v>
      </c>
      <c r="B677" s="153" t="s">
        <v>1291</v>
      </c>
      <c r="C677" s="153" t="s">
        <v>563</v>
      </c>
      <c r="D677" s="587">
        <v>7120072</v>
      </c>
      <c r="E677" s="153" t="s">
        <v>3443</v>
      </c>
      <c r="F677" s="1333">
        <v>2232.1</v>
      </c>
      <c r="G677" s="1333">
        <v>676.6</v>
      </c>
      <c r="H677" s="1333">
        <f>VLOOKUP(D677,'מאזן בוחן'!$C:$M,11,0)-G677</f>
        <v>0</v>
      </c>
      <c r="I677" s="1333">
        <f>VLOOKUP(D677,'מאזן בוחן'!C:J,3,0)-F677</f>
        <v>0</v>
      </c>
      <c r="J677" s="1333"/>
      <c r="K677" s="137"/>
      <c r="L677" s="137"/>
      <c r="N677" s="32"/>
      <c r="O677" s="32"/>
      <c r="P677" s="32"/>
      <c r="Q677" s="32"/>
    </row>
    <row r="678" spans="1:17">
      <c r="A678" s="153" t="s">
        <v>1288</v>
      </c>
      <c r="B678" s="153" t="s">
        <v>1291</v>
      </c>
      <c r="C678" s="153" t="s">
        <v>563</v>
      </c>
      <c r="D678" s="587">
        <v>7120076</v>
      </c>
      <c r="E678" s="153" t="s">
        <v>1647</v>
      </c>
      <c r="F678" s="1333">
        <v>8007.62</v>
      </c>
      <c r="G678" s="1333">
        <v>2514</v>
      </c>
      <c r="H678" s="1333">
        <f>VLOOKUP(D678,'מאזן בוחן'!$C:$M,11,0)-G678</f>
        <v>0</v>
      </c>
      <c r="I678" s="1333">
        <f>VLOOKUP(D678,'מאזן בוחן'!C:J,3,0)-F678</f>
        <v>0</v>
      </c>
      <c r="J678" s="1333"/>
      <c r="K678" s="137"/>
      <c r="L678" s="137"/>
      <c r="N678" s="32"/>
      <c r="O678" s="32"/>
      <c r="P678" s="32"/>
      <c r="Q678" s="32"/>
    </row>
    <row r="679" spans="1:17">
      <c r="A679" s="153" t="s">
        <v>1288</v>
      </c>
      <c r="B679" s="153" t="s">
        <v>1291</v>
      </c>
      <c r="C679" s="153" t="s">
        <v>563</v>
      </c>
      <c r="D679" s="587">
        <v>7120079</v>
      </c>
      <c r="E679" s="153" t="s">
        <v>1648</v>
      </c>
      <c r="F679" s="1333">
        <v>8111.31</v>
      </c>
      <c r="G679" s="1333">
        <v>2562.1</v>
      </c>
      <c r="H679" s="1333">
        <f>VLOOKUP(D679,'מאזן בוחן'!$C:$M,11,0)-G679</f>
        <v>0</v>
      </c>
      <c r="I679" s="1333">
        <f>VLOOKUP(D679,'מאזן בוחן'!C:J,3,0)-F679</f>
        <v>0</v>
      </c>
      <c r="J679" s="1333"/>
      <c r="K679" s="137"/>
      <c r="L679" s="137"/>
      <c r="N679" s="32"/>
      <c r="O679" s="32"/>
      <c r="P679" s="32"/>
      <c r="Q679" s="32"/>
    </row>
    <row r="680" spans="1:17">
      <c r="A680" s="153" t="s">
        <v>1288</v>
      </c>
      <c r="B680" s="153" t="s">
        <v>1291</v>
      </c>
      <c r="C680" s="153" t="s">
        <v>1156</v>
      </c>
      <c r="D680" s="587">
        <v>7110074</v>
      </c>
      <c r="E680" s="153" t="s">
        <v>1145</v>
      </c>
      <c r="F680" s="1333">
        <v>381372.9</v>
      </c>
      <c r="G680" s="1333">
        <v>117996</v>
      </c>
      <c r="H680" s="1333">
        <f>VLOOKUP(D680,'מאזן בוחן'!$C:$M,11,0)-G680</f>
        <v>0</v>
      </c>
      <c r="I680" s="1333">
        <f>VLOOKUP(D680,'מאזן בוחן'!C:J,3,0)-F680</f>
        <v>0</v>
      </c>
      <c r="J680" s="1333"/>
      <c r="K680" s="137"/>
      <c r="L680" s="137"/>
      <c r="N680" s="32"/>
      <c r="O680" s="32"/>
      <c r="P680" s="32"/>
      <c r="Q680" s="32"/>
    </row>
    <row r="681" spans="1:17">
      <c r="A681" s="153" t="s">
        <v>1288</v>
      </c>
      <c r="B681" s="153" t="s">
        <v>1291</v>
      </c>
      <c r="C681" s="153" t="s">
        <v>1156</v>
      </c>
      <c r="D681" s="587">
        <v>7110075</v>
      </c>
      <c r="E681" s="153" t="s">
        <v>3301</v>
      </c>
      <c r="F681" s="1333">
        <v>70946.350000000006</v>
      </c>
      <c r="G681" s="1333">
        <v>21850.85</v>
      </c>
      <c r="H681" s="1333">
        <f>VLOOKUP(D681,'מאזן בוחן'!$C:$M,11,0)-G681</f>
        <v>0</v>
      </c>
      <c r="I681" s="1333">
        <f>VLOOKUP(D681,'מאזן בוחן'!C:J,3,0)-F681</f>
        <v>0</v>
      </c>
      <c r="J681" s="1333"/>
      <c r="K681" s="137"/>
      <c r="L681" s="137"/>
      <c r="N681" s="32"/>
      <c r="O681" s="32"/>
      <c r="P681" s="32"/>
      <c r="Q681" s="32"/>
    </row>
    <row r="682" spans="1:17">
      <c r="A682" s="153" t="s">
        <v>1288</v>
      </c>
      <c r="B682" s="153" t="s">
        <v>1291</v>
      </c>
      <c r="C682" s="153" t="s">
        <v>1156</v>
      </c>
      <c r="D682" s="587">
        <v>7110076</v>
      </c>
      <c r="E682" s="153" t="s">
        <v>3371</v>
      </c>
      <c r="F682" s="1333">
        <v>11141.75</v>
      </c>
      <c r="G682" s="1333">
        <v>3399</v>
      </c>
      <c r="H682" s="1333">
        <f>VLOOKUP(D682,'מאזן בוחן'!$C:$M,11,0)-G682</f>
        <v>0</v>
      </c>
      <c r="I682" s="1333">
        <f>VLOOKUP(D682,'מאזן בוחן'!C:J,3,0)-F682</f>
        <v>0</v>
      </c>
      <c r="J682" s="1333"/>
      <c r="K682" s="137"/>
      <c r="L682" s="137"/>
      <c r="N682" s="32"/>
      <c r="O682" s="32"/>
      <c r="P682" s="32"/>
      <c r="Q682" s="32"/>
    </row>
    <row r="683" spans="1:17">
      <c r="A683" s="153" t="s">
        <v>1288</v>
      </c>
      <c r="B683" s="153" t="s">
        <v>1291</v>
      </c>
      <c r="C683" s="153" t="s">
        <v>1156</v>
      </c>
      <c r="D683" s="587">
        <v>7140002</v>
      </c>
      <c r="E683" s="153" t="s">
        <v>1158</v>
      </c>
      <c r="F683" s="1333">
        <v>-29037.39</v>
      </c>
      <c r="G683" s="1333">
        <v>-9031.85</v>
      </c>
      <c r="H683" s="1333">
        <f>VLOOKUP(D683,'מאזן בוחן'!$C:$M,11,0)-G683</f>
        <v>0</v>
      </c>
      <c r="I683" s="1333">
        <f>VLOOKUP(D683,'מאזן בוחן'!C:J,3,0)-F683</f>
        <v>0</v>
      </c>
      <c r="J683" s="1333"/>
      <c r="K683" s="137"/>
      <c r="L683" s="137"/>
      <c r="N683" s="32"/>
      <c r="O683" s="32"/>
      <c r="P683" s="32"/>
      <c r="Q683" s="32"/>
    </row>
    <row r="684" spans="1:17">
      <c r="A684" s="153" t="s">
        <v>1293</v>
      </c>
      <c r="B684" s="153" t="s">
        <v>1294</v>
      </c>
      <c r="C684" s="153" t="s">
        <v>1167</v>
      </c>
      <c r="D684" s="587">
        <v>8010001</v>
      </c>
      <c r="E684" s="153" t="s">
        <v>2929</v>
      </c>
      <c r="F684" s="1333">
        <v>3352053</v>
      </c>
      <c r="G684" s="1333">
        <v>1036695.46</v>
      </c>
      <c r="H684" s="1333">
        <f>VLOOKUP(D684,'מאזן בוחן'!$C:$M,11,0)-G684</f>
        <v>0</v>
      </c>
      <c r="I684" s="1333">
        <f>VLOOKUP(D684,'מאזן בוחן'!C:J,3,0)-F684</f>
        <v>0</v>
      </c>
      <c r="J684" s="1333"/>
      <c r="K684" s="137"/>
      <c r="L684" s="137"/>
      <c r="N684" s="32"/>
      <c r="O684" s="32"/>
      <c r="P684" s="32"/>
      <c r="Q684" s="32"/>
    </row>
    <row r="685" spans="1:17">
      <c r="A685" s="153" t="s">
        <v>1293</v>
      </c>
      <c r="B685" s="153" t="s">
        <v>1294</v>
      </c>
      <c r="C685" s="153" t="s">
        <v>1167</v>
      </c>
      <c r="D685" s="587">
        <v>8010002</v>
      </c>
      <c r="E685" s="153" t="s">
        <v>3372</v>
      </c>
      <c r="F685" s="1333">
        <v>48975</v>
      </c>
      <c r="G685" s="1333">
        <v>15025.03</v>
      </c>
      <c r="H685" s="1333">
        <f>VLOOKUP(D685,'מאזן בוחן'!$C:$M,11,0)-G685</f>
        <v>0</v>
      </c>
      <c r="I685" s="1333">
        <f>VLOOKUP(D685,'מאזן בוחן'!C:J,3,0)-F685</f>
        <v>0</v>
      </c>
      <c r="J685" s="1333"/>
      <c r="K685" s="137"/>
      <c r="L685" s="137"/>
      <c r="N685" s="32"/>
      <c r="O685" s="32"/>
      <c r="P685" s="32"/>
      <c r="Q685" s="32"/>
    </row>
    <row r="686" spans="1:17">
      <c r="A686" s="153" t="s">
        <v>1293</v>
      </c>
      <c r="B686" s="153" t="s">
        <v>1294</v>
      </c>
      <c r="C686" s="153" t="s">
        <v>1167</v>
      </c>
      <c r="D686" s="587">
        <v>8010003</v>
      </c>
      <c r="E686" s="153" t="s">
        <v>3296</v>
      </c>
      <c r="F686" s="1333">
        <v>264668.15000000002</v>
      </c>
      <c r="G686" s="1333">
        <v>79974.559999999998</v>
      </c>
      <c r="H686" s="1333">
        <f>VLOOKUP(D686,'מאזן בוחן'!$C:$M,11,0)-G686</f>
        <v>0</v>
      </c>
      <c r="I686" s="1333">
        <f>VLOOKUP(D686,'מאזן בוחן'!C:J,3,0)-F686</f>
        <v>0</v>
      </c>
      <c r="J686" s="1333"/>
      <c r="K686" s="137"/>
      <c r="L686" s="137"/>
      <c r="N686" s="32"/>
      <c r="O686" s="32"/>
      <c r="P686" s="32"/>
      <c r="Q686" s="32"/>
    </row>
    <row r="687" spans="1:17">
      <c r="A687" s="153" t="s">
        <v>1293</v>
      </c>
      <c r="B687" s="153" t="s">
        <v>1294</v>
      </c>
      <c r="C687" s="153" t="s">
        <v>1167</v>
      </c>
      <c r="D687" s="587">
        <v>8010032</v>
      </c>
      <c r="E687" s="153" t="s">
        <v>1171</v>
      </c>
      <c r="F687" s="1333">
        <v>84600</v>
      </c>
      <c r="G687" s="1333">
        <v>26517.69</v>
      </c>
      <c r="H687" s="1333">
        <f>VLOOKUP(D687,'מאזן בוחן'!$C:$M,11,0)-G687</f>
        <v>0</v>
      </c>
      <c r="I687" s="1333">
        <f>VLOOKUP(D687,'מאזן בוחן'!C:J,3,0)-F687</f>
        <v>0</v>
      </c>
      <c r="J687" s="1333"/>
      <c r="K687" s="137"/>
      <c r="L687" s="137"/>
      <c r="N687" s="32"/>
      <c r="O687" s="32"/>
      <c r="P687" s="32"/>
      <c r="Q687" s="32"/>
    </row>
    <row r="688" spans="1:17">
      <c r="A688" s="153" t="s">
        <v>1293</v>
      </c>
      <c r="B688" s="153" t="s">
        <v>1294</v>
      </c>
      <c r="C688" s="153" t="s">
        <v>1167</v>
      </c>
      <c r="D688" s="587">
        <v>8420020</v>
      </c>
      <c r="E688" s="153" t="s">
        <v>3553</v>
      </c>
      <c r="F688" s="1333">
        <v>331334.2</v>
      </c>
      <c r="G688" s="1333">
        <v>101141.89</v>
      </c>
      <c r="H688" s="1333">
        <f>VLOOKUP(D688,'מאזן בוחן'!$C:$M,11,0)-G688</f>
        <v>0</v>
      </c>
      <c r="I688" s="1333">
        <f>VLOOKUP(D688,'מאזן בוחן'!C:J,3,0)-F688</f>
        <v>0</v>
      </c>
      <c r="J688" s="1333"/>
      <c r="K688" s="137"/>
      <c r="L688" s="137"/>
      <c r="N688" s="32"/>
      <c r="O688" s="32"/>
      <c r="P688" s="32"/>
      <c r="Q688" s="32"/>
    </row>
    <row r="689" spans="1:17">
      <c r="A689" s="153" t="s">
        <v>1293</v>
      </c>
      <c r="B689" s="153" t="s">
        <v>1294</v>
      </c>
      <c r="C689" s="153" t="s">
        <v>1167</v>
      </c>
      <c r="D689" s="587">
        <v>90102</v>
      </c>
      <c r="E689" s="153" t="s">
        <v>1243</v>
      </c>
      <c r="F689" s="1333">
        <v>3209613.5</v>
      </c>
      <c r="G689" s="1333">
        <v>992082.23</v>
      </c>
      <c r="H689" s="1333">
        <f>VLOOKUP(D689,'מאזן בוחן'!$C:$M,11,0)-G689</f>
        <v>0</v>
      </c>
      <c r="I689" s="1333">
        <f>VLOOKUP(D689,'מאזן בוחן'!C:J,3,0)-F689</f>
        <v>0</v>
      </c>
      <c r="J689" s="1333"/>
      <c r="K689" s="137"/>
      <c r="L689" s="137"/>
      <c r="N689" s="32"/>
      <c r="O689" s="32"/>
      <c r="P689" s="32"/>
      <c r="Q689" s="32"/>
    </row>
    <row r="690" spans="1:17">
      <c r="A690" s="153" t="s">
        <v>1293</v>
      </c>
      <c r="B690" s="153" t="s">
        <v>1294</v>
      </c>
      <c r="C690" s="153" t="s">
        <v>2930</v>
      </c>
      <c r="D690" s="587">
        <v>8020013</v>
      </c>
      <c r="E690" s="153" t="s">
        <v>370</v>
      </c>
      <c r="F690" s="1333">
        <v>104790.34</v>
      </c>
      <c r="G690" s="1333">
        <v>32458.44</v>
      </c>
      <c r="H690" s="1333">
        <f>VLOOKUP(D690,'מאזן בוחן'!$C:$M,11,0)-G690</f>
        <v>0</v>
      </c>
      <c r="I690" s="1333">
        <f>VLOOKUP(D690,'מאזן בוחן'!C:J,3,0)-F690</f>
        <v>0</v>
      </c>
      <c r="J690" s="1333"/>
      <c r="K690" s="137"/>
      <c r="L690" s="137"/>
      <c r="N690" s="32"/>
      <c r="O690" s="32"/>
      <c r="P690" s="32"/>
      <c r="Q690" s="32"/>
    </row>
    <row r="691" spans="1:17">
      <c r="A691" s="153" t="s">
        <v>1293</v>
      </c>
      <c r="B691" s="153" t="s">
        <v>1294</v>
      </c>
      <c r="C691" s="153" t="s">
        <v>1183</v>
      </c>
      <c r="D691" s="587">
        <v>8030001</v>
      </c>
      <c r="E691" s="153" t="s">
        <v>394</v>
      </c>
      <c r="F691" s="1333">
        <v>1819066.38</v>
      </c>
      <c r="G691" s="1333">
        <v>557731.57999999996</v>
      </c>
      <c r="H691" s="1333">
        <f>VLOOKUP(D691,'מאזן בוחן'!$C:$M,11,0)-G691</f>
        <v>0</v>
      </c>
      <c r="I691" s="1333">
        <f>VLOOKUP(D691,'מאזן בוחן'!C:J,3,0)-F691</f>
        <v>0</v>
      </c>
      <c r="J691" s="1333"/>
      <c r="K691" s="137"/>
      <c r="L691" s="137"/>
      <c r="N691" s="32"/>
      <c r="O691" s="32"/>
      <c r="P691" s="32"/>
      <c r="Q691" s="32"/>
    </row>
    <row r="692" spans="1:17">
      <c r="A692" s="153" t="s">
        <v>1293</v>
      </c>
      <c r="B692" s="153" t="s">
        <v>1294</v>
      </c>
      <c r="C692" s="153" t="s">
        <v>1183</v>
      </c>
      <c r="D692" s="587">
        <v>8030002</v>
      </c>
      <c r="E692" s="153" t="s">
        <v>163</v>
      </c>
      <c r="F692" s="1333">
        <v>332476.92</v>
      </c>
      <c r="G692" s="1333">
        <v>103078.12</v>
      </c>
      <c r="H692" s="1333">
        <f>VLOOKUP(D692,'מאזן בוחן'!$C:$M,11,0)-G692</f>
        <v>0</v>
      </c>
      <c r="I692" s="1333">
        <f>VLOOKUP(D692,'מאזן בוחן'!C:J,3,0)-F692</f>
        <v>0</v>
      </c>
      <c r="J692" s="1333"/>
      <c r="K692" s="137"/>
      <c r="L692" s="137"/>
      <c r="N692" s="32"/>
      <c r="O692" s="32"/>
      <c r="P692" s="32"/>
      <c r="Q692" s="32"/>
    </row>
    <row r="693" spans="1:17">
      <c r="A693" s="153" t="s">
        <v>1293</v>
      </c>
      <c r="B693" s="153" t="s">
        <v>1294</v>
      </c>
      <c r="C693" s="153" t="s">
        <v>1183</v>
      </c>
      <c r="D693" s="587">
        <v>8030003</v>
      </c>
      <c r="E693" s="153" t="s">
        <v>164</v>
      </c>
      <c r="F693" s="1333">
        <v>343149.8</v>
      </c>
      <c r="G693" s="1333">
        <v>106261.21</v>
      </c>
      <c r="H693" s="1333">
        <f>VLOOKUP(D693,'מאזן בוחן'!$C:$M,11,0)-G693</f>
        <v>0</v>
      </c>
      <c r="I693" s="1333">
        <f>VLOOKUP(D693,'מאזן בוחן'!C:J,3,0)-F693</f>
        <v>0</v>
      </c>
      <c r="J693" s="1333"/>
      <c r="K693" s="137"/>
      <c r="L693" s="137"/>
      <c r="N693" s="32"/>
      <c r="O693" s="32"/>
      <c r="P693" s="32"/>
      <c r="Q693" s="32"/>
    </row>
    <row r="694" spans="1:17">
      <c r="A694" s="153" t="s">
        <v>1293</v>
      </c>
      <c r="B694" s="153" t="s">
        <v>1294</v>
      </c>
      <c r="C694" s="153" t="s">
        <v>1183</v>
      </c>
      <c r="D694" s="587">
        <v>8030004</v>
      </c>
      <c r="E694" s="153" t="s">
        <v>369</v>
      </c>
      <c r="F694" s="1333">
        <v>189274.77</v>
      </c>
      <c r="G694" s="1333">
        <v>58559.31</v>
      </c>
      <c r="H694" s="1333">
        <f>VLOOKUP(D694,'מאזן בוחן'!$C:$M,11,0)-G694</f>
        <v>0</v>
      </c>
      <c r="I694" s="1333">
        <f>VLOOKUP(D694,'מאזן בוחן'!C:J,3,0)-F694</f>
        <v>0</v>
      </c>
      <c r="J694" s="1333"/>
      <c r="K694" s="137"/>
      <c r="L694" s="137"/>
      <c r="N694" s="32"/>
      <c r="O694" s="32"/>
      <c r="P694" s="32"/>
      <c r="Q694" s="32"/>
    </row>
    <row r="695" spans="1:17">
      <c r="A695" s="153" t="s">
        <v>1293</v>
      </c>
      <c r="B695" s="153" t="s">
        <v>1294</v>
      </c>
      <c r="C695" s="153" t="s">
        <v>1183</v>
      </c>
      <c r="D695" s="587">
        <v>8030005</v>
      </c>
      <c r="E695" s="153" t="s">
        <v>154</v>
      </c>
      <c r="F695" s="1333">
        <v>4934.87</v>
      </c>
      <c r="G695" s="1333">
        <v>1528.78</v>
      </c>
      <c r="H695" s="1333">
        <f>VLOOKUP(D695,'מאזן בוחן'!$C:$M,11,0)-G695</f>
        <v>0</v>
      </c>
      <c r="I695" s="1333">
        <f>VLOOKUP(D695,'מאזן בוחן'!C:J,3,0)-F695</f>
        <v>0</v>
      </c>
      <c r="J695" s="1333"/>
      <c r="K695" s="137"/>
      <c r="L695" s="137"/>
      <c r="N695" s="32"/>
      <c r="O695" s="32"/>
      <c r="P695" s="32"/>
      <c r="Q695" s="32"/>
    </row>
    <row r="696" spans="1:17">
      <c r="A696" s="153" t="s">
        <v>1293</v>
      </c>
      <c r="B696" s="153" t="s">
        <v>1294</v>
      </c>
      <c r="C696" s="153" t="s">
        <v>1183</v>
      </c>
      <c r="D696" s="587">
        <v>8030006</v>
      </c>
      <c r="E696" s="153" t="s">
        <v>155</v>
      </c>
      <c r="F696" s="1333">
        <v>43089.95</v>
      </c>
      <c r="G696" s="1333">
        <v>13348.02</v>
      </c>
      <c r="H696" s="1333">
        <f>VLOOKUP(D696,'מאזן בוחן'!$C:$M,11,0)-G696</f>
        <v>0</v>
      </c>
      <c r="I696" s="1333">
        <f>VLOOKUP(D696,'מאזן בוחן'!C:J,3,0)-F696</f>
        <v>0</v>
      </c>
      <c r="J696" s="1333"/>
      <c r="K696" s="137"/>
      <c r="L696" s="137"/>
      <c r="N696" s="32"/>
      <c r="O696" s="32"/>
      <c r="P696" s="32"/>
      <c r="Q696" s="32"/>
    </row>
    <row r="697" spans="1:17">
      <c r="A697" s="153" t="s">
        <v>1293</v>
      </c>
      <c r="B697" s="153" t="s">
        <v>1294</v>
      </c>
      <c r="C697" s="153" t="s">
        <v>1183</v>
      </c>
      <c r="D697" s="587">
        <v>8030008</v>
      </c>
      <c r="E697" s="153" t="s">
        <v>2931</v>
      </c>
      <c r="F697" s="3130">
        <v>6577</v>
      </c>
      <c r="G697" s="3130">
        <v>2170.42</v>
      </c>
      <c r="H697" s="1333">
        <f>VLOOKUP(D697,'מאזן בוחן'!$C:$M,11,0)-G697</f>
        <v>0</v>
      </c>
      <c r="I697" s="1333">
        <f>VLOOKUP(D697,'מאזן בוחן'!C:J,3,0)-F697</f>
        <v>0</v>
      </c>
      <c r="J697" s="1333"/>
      <c r="K697" s="137"/>
      <c r="L697" s="137"/>
      <c r="N697" s="32"/>
      <c r="O697" s="32"/>
      <c r="P697" s="32"/>
      <c r="Q697" s="32"/>
    </row>
    <row r="698" spans="1:17">
      <c r="A698" s="153" t="s">
        <v>1293</v>
      </c>
      <c r="B698" s="153" t="s">
        <v>1294</v>
      </c>
      <c r="C698" s="153" t="s">
        <v>1183</v>
      </c>
      <c r="D698" s="587">
        <v>8030009</v>
      </c>
      <c r="E698" s="153" t="s">
        <v>1186</v>
      </c>
      <c r="F698" s="3130">
        <v>265441.56</v>
      </c>
      <c r="G698" s="3130">
        <v>81422.720000000001</v>
      </c>
      <c r="H698" s="1333">
        <f>VLOOKUP(D698,'מאזן בוחן'!$C:$M,11,0)-G698</f>
        <v>0</v>
      </c>
      <c r="I698" s="1333">
        <f>VLOOKUP(D698,'מאזן בוחן'!C:J,3,0)-F698</f>
        <v>0</v>
      </c>
      <c r="J698" s="1333"/>
      <c r="K698" s="137"/>
      <c r="L698" s="137"/>
      <c r="N698" s="32"/>
      <c r="O698" s="32"/>
      <c r="P698" s="32"/>
      <c r="Q698" s="32"/>
    </row>
    <row r="699" spans="1:17">
      <c r="A699" s="153" t="s">
        <v>1293</v>
      </c>
      <c r="B699" s="153" t="s">
        <v>1294</v>
      </c>
      <c r="C699" s="153" t="s">
        <v>1183</v>
      </c>
      <c r="D699" s="587">
        <v>8030010</v>
      </c>
      <c r="E699" s="153" t="s">
        <v>171</v>
      </c>
      <c r="F699" s="3130">
        <v>14714.53</v>
      </c>
      <c r="G699" s="3130">
        <v>4557.28</v>
      </c>
      <c r="H699" s="1333">
        <f>VLOOKUP(D699,'מאזן בוחן'!$C:$M,11,0)-G699</f>
        <v>0</v>
      </c>
      <c r="I699" s="1333">
        <f>VLOOKUP(D699,'מאזן בוחן'!C:J,3,0)-F699</f>
        <v>0</v>
      </c>
      <c r="J699" s="1333"/>
      <c r="K699" s="137"/>
      <c r="L699" s="137"/>
      <c r="M699" s="32"/>
      <c r="N699" s="32"/>
      <c r="O699" s="32"/>
      <c r="P699" s="32"/>
      <c r="Q699" s="32"/>
    </row>
    <row r="700" spans="1:17">
      <c r="A700" s="153" t="s">
        <v>1293</v>
      </c>
      <c r="B700" s="153" t="s">
        <v>1294</v>
      </c>
      <c r="C700" s="153" t="s">
        <v>1183</v>
      </c>
      <c r="D700" s="587">
        <v>8030011</v>
      </c>
      <c r="E700" s="153" t="s">
        <v>172</v>
      </c>
      <c r="F700" s="3130">
        <v>19860.52</v>
      </c>
      <c r="G700" s="3130">
        <v>6132.12</v>
      </c>
      <c r="H700" s="1333">
        <f>VLOOKUP(D700,'מאזן בוחן'!$C:$M,11,0)-G700</f>
        <v>0</v>
      </c>
      <c r="I700" s="1333">
        <f>VLOOKUP(D700,'מאזן בוחן'!C:J,3,0)-F700</f>
        <v>0</v>
      </c>
      <c r="J700" s="1333"/>
      <c r="K700" s="137"/>
      <c r="L700" s="137"/>
      <c r="M700" s="32"/>
      <c r="N700" s="32"/>
      <c r="O700" s="32"/>
      <c r="P700" s="32"/>
      <c r="Q700" s="32"/>
    </row>
    <row r="701" spans="1:17">
      <c r="A701" s="153" t="s">
        <v>1293</v>
      </c>
      <c r="B701" s="153" t="s">
        <v>1294</v>
      </c>
      <c r="C701" s="153" t="s">
        <v>1183</v>
      </c>
      <c r="D701" s="587">
        <v>8030012</v>
      </c>
      <c r="E701" s="153" t="s">
        <v>1187</v>
      </c>
      <c r="F701" s="3130">
        <v>99742.86</v>
      </c>
      <c r="G701" s="3130">
        <v>31012.99</v>
      </c>
      <c r="H701" s="1333">
        <f>VLOOKUP(D701,'מאזן בוחן'!$C:$M,11,0)-G701</f>
        <v>0</v>
      </c>
      <c r="I701" s="1333">
        <f>VLOOKUP(D701,'מאזן בוחן'!C:J,3,0)-F701</f>
        <v>0</v>
      </c>
      <c r="J701" s="1333"/>
      <c r="K701" s="137"/>
      <c r="L701" s="137"/>
      <c r="M701" s="32"/>
      <c r="N701" s="32"/>
      <c r="O701" s="32"/>
      <c r="P701" s="32"/>
      <c r="Q701" s="32"/>
    </row>
    <row r="702" spans="1:17">
      <c r="A702" s="153" t="s">
        <v>1293</v>
      </c>
      <c r="B702" s="153" t="s">
        <v>1294</v>
      </c>
      <c r="C702" s="153" t="s">
        <v>1183</v>
      </c>
      <c r="D702" s="587">
        <v>8030013</v>
      </c>
      <c r="E702" s="153" t="s">
        <v>395</v>
      </c>
      <c r="F702" s="3130">
        <v>3358.69</v>
      </c>
      <c r="G702" s="3130">
        <v>1039.1400000000001</v>
      </c>
      <c r="H702" s="1333">
        <f>VLOOKUP(D702,'מאזן בוחן'!$C:$M,11,0)-G702</f>
        <v>0</v>
      </c>
      <c r="I702" s="1333">
        <f>VLOOKUP(D702,'מאזן בוחן'!C:J,3,0)-F702</f>
        <v>0</v>
      </c>
      <c r="J702" s="1333"/>
      <c r="K702" s="137"/>
      <c r="L702" s="137"/>
      <c r="M702" s="32"/>
      <c r="N702" s="32"/>
      <c r="O702" s="32"/>
      <c r="P702" s="32"/>
      <c r="Q702" s="32"/>
    </row>
    <row r="703" spans="1:17">
      <c r="A703" s="153" t="s">
        <v>1293</v>
      </c>
      <c r="B703" s="153" t="s">
        <v>1294</v>
      </c>
      <c r="C703" s="153" t="s">
        <v>1183</v>
      </c>
      <c r="D703" s="587">
        <v>8030014</v>
      </c>
      <c r="E703" s="153" t="s">
        <v>396</v>
      </c>
      <c r="F703" s="3130">
        <v>40497.46</v>
      </c>
      <c r="G703" s="3130">
        <v>12597.79</v>
      </c>
      <c r="H703" s="1333">
        <f>VLOOKUP(D703,'מאזן בוחן'!$C:$M,11,0)-G703</f>
        <v>0</v>
      </c>
      <c r="I703" s="1333">
        <f>VLOOKUP(D703,'מאזן בוחן'!C:J,3,0)-F703</f>
        <v>0</v>
      </c>
      <c r="J703" s="1333"/>
      <c r="K703" s="137"/>
      <c r="L703" s="137"/>
      <c r="M703" s="32"/>
      <c r="N703" s="32"/>
      <c r="O703" s="32"/>
      <c r="P703" s="32"/>
      <c r="Q703" s="32"/>
    </row>
    <row r="704" spans="1:17">
      <c r="A704" s="153" t="s">
        <v>1293</v>
      </c>
      <c r="B704" s="153" t="s">
        <v>1294</v>
      </c>
      <c r="C704" s="153" t="s">
        <v>1183</v>
      </c>
      <c r="D704" s="587">
        <v>8030015</v>
      </c>
      <c r="E704" s="153" t="s">
        <v>156</v>
      </c>
      <c r="F704" s="3130">
        <v>391387.86</v>
      </c>
      <c r="G704" s="3130">
        <v>120291.86</v>
      </c>
      <c r="H704" s="1333">
        <f>VLOOKUP(D704,'מאזן בוחן'!$C:$M,11,0)-G704</f>
        <v>0</v>
      </c>
      <c r="I704" s="1333">
        <f>VLOOKUP(D704,'מאזן בוחן'!C:J,3,0)-F704</f>
        <v>0</v>
      </c>
      <c r="J704" s="1333"/>
      <c r="K704" s="137"/>
      <c r="L704" s="137"/>
      <c r="M704" s="32"/>
      <c r="N704" s="32"/>
      <c r="O704" s="32"/>
      <c r="P704" s="32"/>
      <c r="Q704" s="32"/>
    </row>
    <row r="705" spans="1:17">
      <c r="A705" s="153" t="s">
        <v>1293</v>
      </c>
      <c r="B705" s="153" t="s">
        <v>1294</v>
      </c>
      <c r="C705" s="153" t="s">
        <v>1183</v>
      </c>
      <c r="D705" s="587" t="s">
        <v>1652</v>
      </c>
      <c r="E705" s="153" t="s">
        <v>1653</v>
      </c>
      <c r="F705" s="3130">
        <v>32399</v>
      </c>
      <c r="G705" s="3130">
        <v>10454.76</v>
      </c>
      <c r="H705" s="1333">
        <f>VLOOKUP(D705,'מאזן בוחן'!$C:$M,11,0)-G705</f>
        <v>0</v>
      </c>
      <c r="I705" s="1333">
        <f>VLOOKUP(D705,'מאזן בוחן'!C:J,3,0)-F705</f>
        <v>0</v>
      </c>
      <c r="J705" s="1333"/>
      <c r="K705" s="137"/>
      <c r="L705" s="137"/>
      <c r="M705" s="32"/>
      <c r="N705" s="32"/>
      <c r="O705" s="32"/>
      <c r="P705" s="32"/>
      <c r="Q705" s="32"/>
    </row>
    <row r="706" spans="1:17">
      <c r="A706" s="153" t="s">
        <v>1293</v>
      </c>
      <c r="B706" s="153" t="s">
        <v>1294</v>
      </c>
      <c r="C706" s="153" t="s">
        <v>1183</v>
      </c>
      <c r="D706" s="587">
        <v>8030017</v>
      </c>
      <c r="E706" s="153" t="s">
        <v>1188</v>
      </c>
      <c r="F706" s="3130">
        <v>97577.919999999998</v>
      </c>
      <c r="G706" s="3130">
        <v>30950.35</v>
      </c>
      <c r="H706" s="1333">
        <f>VLOOKUP(D706,'מאזן בוחן'!$C:$M,11,0)-G706</f>
        <v>0</v>
      </c>
      <c r="I706" s="1333">
        <f>VLOOKUP(D706,'מאזן בוחן'!C:J,3,0)-F706</f>
        <v>0</v>
      </c>
      <c r="J706" s="1333"/>
      <c r="K706" s="137"/>
      <c r="L706" s="137"/>
      <c r="M706" s="32"/>
      <c r="N706" s="32"/>
      <c r="O706" s="32"/>
      <c r="P706" s="32"/>
      <c r="Q706" s="32"/>
    </row>
    <row r="707" spans="1:17">
      <c r="A707" s="153" t="s">
        <v>1293</v>
      </c>
      <c r="B707" s="153" t="s">
        <v>1294</v>
      </c>
      <c r="C707" s="153" t="s">
        <v>1183</v>
      </c>
      <c r="D707" s="587">
        <v>8030018</v>
      </c>
      <c r="E707" s="153" t="s">
        <v>175</v>
      </c>
      <c r="F707" s="3130">
        <v>1302335.7</v>
      </c>
      <c r="G707" s="3130">
        <v>405190.74</v>
      </c>
      <c r="H707" s="1333">
        <f>VLOOKUP(D707,'מאזן בוחן'!$C:$M,11,0)-G707</f>
        <v>0</v>
      </c>
      <c r="I707" s="1333">
        <f>VLOOKUP(D707,'מאזן בוחן'!C:J,3,0)-F707</f>
        <v>0</v>
      </c>
      <c r="J707" s="1333"/>
      <c r="K707" s="137"/>
      <c r="L707" s="137"/>
      <c r="M707" s="32"/>
      <c r="N707" s="32"/>
      <c r="O707" s="32"/>
      <c r="P707" s="32"/>
      <c r="Q707" s="32"/>
    </row>
    <row r="708" spans="1:17">
      <c r="A708" s="153" t="s">
        <v>1293</v>
      </c>
      <c r="B708" s="153" t="s">
        <v>1294</v>
      </c>
      <c r="C708" s="153" t="s">
        <v>1183</v>
      </c>
      <c r="D708" s="587">
        <v>8030019</v>
      </c>
      <c r="E708" s="153" t="s">
        <v>4683</v>
      </c>
      <c r="F708" s="3130">
        <v>3511</v>
      </c>
      <c r="G708" s="3130">
        <v>1121.74</v>
      </c>
      <c r="H708" s="1333">
        <f>VLOOKUP(D708,'מאזן בוחן'!$C:$M,11,0)-G708</f>
        <v>0</v>
      </c>
      <c r="I708" s="1333">
        <f>VLOOKUP(D708,'מאזן בוחן'!C:J,3,0)-F708</f>
        <v>0</v>
      </c>
      <c r="J708" s="1333"/>
      <c r="K708" s="137"/>
      <c r="L708" s="137"/>
      <c r="M708" s="32"/>
      <c r="N708" s="32"/>
      <c r="O708" s="32"/>
      <c r="P708" s="32"/>
      <c r="Q708" s="32"/>
    </row>
    <row r="709" spans="1:17">
      <c r="A709" s="153" t="s">
        <v>1293</v>
      </c>
      <c r="B709" s="153" t="s">
        <v>1294</v>
      </c>
      <c r="C709" s="153" t="s">
        <v>1183</v>
      </c>
      <c r="D709" s="587">
        <v>8030020</v>
      </c>
      <c r="E709" s="153" t="s">
        <v>19</v>
      </c>
      <c r="F709" s="1333">
        <v>1890485.66</v>
      </c>
      <c r="G709" s="1333">
        <v>515370.41</v>
      </c>
      <c r="H709" s="1333">
        <f>VLOOKUP(D709,'מאזן בוחן'!$C:$M,11,0)-G709</f>
        <v>0</v>
      </c>
      <c r="I709" s="1333">
        <f>VLOOKUP(D709,'מאזן בוחן'!C:J,3,0)-F709</f>
        <v>0</v>
      </c>
      <c r="J709" s="1333"/>
      <c r="K709" s="137"/>
      <c r="L709" s="137"/>
      <c r="M709" s="32"/>
      <c r="N709" s="32"/>
      <c r="O709" s="32"/>
      <c r="P709" s="32"/>
      <c r="Q709" s="32"/>
    </row>
    <row r="710" spans="1:17">
      <c r="A710" s="153" t="s">
        <v>1293</v>
      </c>
      <c r="B710" s="153" t="s">
        <v>1294</v>
      </c>
      <c r="C710" s="153" t="s">
        <v>1183</v>
      </c>
      <c r="D710" s="587">
        <v>8030022</v>
      </c>
      <c r="E710" s="153" t="s">
        <v>176</v>
      </c>
      <c r="F710" s="1333">
        <v>199002.25</v>
      </c>
      <c r="G710" s="1333">
        <v>61038.46</v>
      </c>
      <c r="H710" s="1333">
        <f>VLOOKUP(D710,'מאזן בוחן'!$C:$M,11,0)-G710</f>
        <v>0</v>
      </c>
      <c r="I710" s="1333">
        <f>VLOOKUP(D710,'מאזן בוחן'!C:J,3,0)-F710</f>
        <v>0</v>
      </c>
      <c r="J710" s="1333"/>
      <c r="K710" s="137"/>
      <c r="L710" s="137"/>
      <c r="M710" s="32"/>
      <c r="N710" s="32"/>
      <c r="O710" s="32"/>
      <c r="P710" s="32"/>
      <c r="Q710" s="32"/>
    </row>
    <row r="711" spans="1:17">
      <c r="A711" s="153" t="s">
        <v>1293</v>
      </c>
      <c r="B711" s="153" t="s">
        <v>1294</v>
      </c>
      <c r="C711" s="153" t="s">
        <v>1183</v>
      </c>
      <c r="D711" s="587">
        <v>8030023</v>
      </c>
      <c r="E711" s="153" t="s">
        <v>95</v>
      </c>
      <c r="F711" s="1333">
        <v>99828.97</v>
      </c>
      <c r="G711" s="1333">
        <v>31045.07</v>
      </c>
      <c r="H711" s="1333">
        <f>VLOOKUP(D711,'מאזן בוחן'!$C:$M,11,0)-G711</f>
        <v>0</v>
      </c>
      <c r="I711" s="1333">
        <f>VLOOKUP(D711,'מאזן בוחן'!C:J,3,0)-F711</f>
        <v>0</v>
      </c>
      <c r="J711" s="1333"/>
      <c r="K711" s="137"/>
      <c r="L711" s="137"/>
      <c r="M711" s="32"/>
      <c r="N711" s="32"/>
      <c r="O711" s="32"/>
      <c r="P711" s="32"/>
      <c r="Q711" s="32"/>
    </row>
    <row r="712" spans="1:17">
      <c r="A712" s="153" t="s">
        <v>1293</v>
      </c>
      <c r="B712" s="153" t="s">
        <v>1294</v>
      </c>
      <c r="C712" s="153" t="s">
        <v>1183</v>
      </c>
      <c r="D712" s="587">
        <v>8030025</v>
      </c>
      <c r="E712" s="153" t="s">
        <v>213</v>
      </c>
      <c r="F712" s="1333">
        <v>548024</v>
      </c>
      <c r="G712" s="1333">
        <v>170263.35</v>
      </c>
      <c r="H712" s="1333">
        <f>VLOOKUP(D712,'מאזן בוחן'!$C:$M,11,0)-G712</f>
        <v>0</v>
      </c>
      <c r="I712" s="1333">
        <f>VLOOKUP(D712,'מאזן בוחן'!C:J,3,0)-F712</f>
        <v>0</v>
      </c>
      <c r="J712" s="1333"/>
      <c r="K712" s="137"/>
      <c r="L712" s="137"/>
      <c r="M712" s="32"/>
      <c r="N712" s="32"/>
      <c r="O712" s="32"/>
      <c r="P712" s="32"/>
      <c r="Q712" s="32"/>
    </row>
    <row r="713" spans="1:17">
      <c r="A713" s="153" t="s">
        <v>1293</v>
      </c>
      <c r="B713" s="153" t="s">
        <v>1294</v>
      </c>
      <c r="C713" s="153" t="s">
        <v>1183</v>
      </c>
      <c r="D713" s="587">
        <v>93100</v>
      </c>
      <c r="E713" s="153" t="s">
        <v>186</v>
      </c>
      <c r="F713" s="1333">
        <v>-9822353.3800000008</v>
      </c>
      <c r="G713" s="1333">
        <v>-2969610.83</v>
      </c>
      <c r="H713" s="1333">
        <f>VLOOKUP(D713,'מאזן בוחן'!$C:$M,11,0)-G713</f>
        <v>0</v>
      </c>
      <c r="I713" s="1333">
        <f>VLOOKUP(D713,'מאזן בוחן'!C:J,3,0)-F713</f>
        <v>0</v>
      </c>
      <c r="J713" s="1333"/>
      <c r="K713" s="137"/>
      <c r="L713" s="137"/>
      <c r="M713" s="32"/>
      <c r="N713" s="32"/>
      <c r="O713" s="32"/>
      <c r="P713" s="32"/>
      <c r="Q713" s="32"/>
    </row>
    <row r="714" spans="1:17">
      <c r="A714" s="153" t="s">
        <v>1293</v>
      </c>
      <c r="B714" s="153" t="s">
        <v>2932</v>
      </c>
      <c r="C714" s="153" t="s">
        <v>1173</v>
      </c>
      <c r="D714" s="587">
        <v>8110001</v>
      </c>
      <c r="E714" s="153" t="s">
        <v>1174</v>
      </c>
      <c r="F714" s="1333">
        <v>2886700</v>
      </c>
      <c r="G714" s="1333">
        <v>893668.39</v>
      </c>
      <c r="H714" s="1333">
        <f>VLOOKUP(D714,'מאזן בוחן'!$C:$M,11,0)-G714</f>
        <v>0</v>
      </c>
      <c r="I714" s="1333">
        <f>VLOOKUP(D714,'מאזן בוחן'!C:J,3,0)-F714</f>
        <v>0</v>
      </c>
      <c r="J714" s="1333"/>
      <c r="K714" s="137"/>
      <c r="L714" s="137"/>
      <c r="M714" s="32"/>
      <c r="N714" s="32"/>
      <c r="O714" s="32"/>
      <c r="P714" s="32"/>
      <c r="Q714" s="32"/>
    </row>
    <row r="715" spans="1:17">
      <c r="A715" s="153" t="s">
        <v>1293</v>
      </c>
      <c r="B715" s="153" t="s">
        <v>2932</v>
      </c>
      <c r="C715" s="153" t="s">
        <v>1173</v>
      </c>
      <c r="D715" s="587">
        <v>8110002</v>
      </c>
      <c r="E715" s="153" t="s">
        <v>1175</v>
      </c>
      <c r="F715" s="1333">
        <v>43668.25</v>
      </c>
      <c r="G715" s="1333">
        <v>13862.65</v>
      </c>
      <c r="H715" s="1333">
        <f>VLOOKUP(D715,'מאזן בוחן'!$C:$M,11,0)-G715</f>
        <v>0</v>
      </c>
      <c r="I715" s="1333">
        <f>VLOOKUP(D715,'מאזן בוחן'!C:J,3,0)-F715</f>
        <v>0</v>
      </c>
      <c r="J715" s="1333"/>
      <c r="K715" s="137"/>
      <c r="L715" s="137"/>
      <c r="M715" s="32"/>
      <c r="N715" s="32"/>
      <c r="O715" s="32"/>
      <c r="P715" s="32"/>
      <c r="Q715" s="32"/>
    </row>
    <row r="716" spans="1:17">
      <c r="A716" s="153" t="s">
        <v>1293</v>
      </c>
      <c r="B716" s="153" t="s">
        <v>2932</v>
      </c>
      <c r="C716" s="153" t="s">
        <v>1173</v>
      </c>
      <c r="D716" s="587">
        <v>8110003</v>
      </c>
      <c r="E716" s="153" t="s">
        <v>3293</v>
      </c>
      <c r="F716" s="1333">
        <v>73855.27</v>
      </c>
      <c r="G716" s="1333">
        <v>22481.82</v>
      </c>
      <c r="H716" s="1333">
        <f>VLOOKUP(D716,'מאזן בוחן'!$C:$M,11,0)-G716</f>
        <v>0</v>
      </c>
      <c r="I716" s="1333">
        <f>VLOOKUP(D716,'מאזן בוחן'!C:J,3,0)-F716</f>
        <v>0</v>
      </c>
      <c r="J716" s="1333"/>
      <c r="K716" s="137"/>
      <c r="L716" s="137"/>
      <c r="M716" s="32"/>
      <c r="N716" s="32"/>
      <c r="O716" s="32"/>
      <c r="P716" s="32"/>
      <c r="Q716" s="32"/>
    </row>
    <row r="717" spans="1:17">
      <c r="A717" s="153" t="s">
        <v>1293</v>
      </c>
      <c r="B717" s="153" t="s">
        <v>2932</v>
      </c>
      <c r="C717" s="153" t="s">
        <v>1173</v>
      </c>
      <c r="D717" s="587">
        <v>8110055</v>
      </c>
      <c r="E717" s="153" t="s">
        <v>4797</v>
      </c>
      <c r="F717" s="1333">
        <v>1550</v>
      </c>
      <c r="G717" s="1333">
        <v>498.39</v>
      </c>
      <c r="H717" s="1333">
        <f>VLOOKUP(D717,'מאזן בוחן'!$C:$M,11,0)-G717</f>
        <v>0</v>
      </c>
      <c r="I717" s="1333">
        <f>VLOOKUP(D717,'מאזן בוחן'!C:J,3,0)-F717</f>
        <v>0</v>
      </c>
      <c r="J717" s="1333"/>
      <c r="K717" s="137"/>
      <c r="L717" s="137"/>
      <c r="M717" s="32"/>
      <c r="N717" s="32"/>
      <c r="O717" s="32"/>
      <c r="P717" s="32"/>
      <c r="Q717" s="32"/>
    </row>
    <row r="718" spans="1:17">
      <c r="A718" s="153" t="s">
        <v>1293</v>
      </c>
      <c r="B718" s="153" t="s">
        <v>2932</v>
      </c>
      <c r="C718" s="153" t="s">
        <v>1189</v>
      </c>
      <c r="D718" s="587">
        <v>8120020</v>
      </c>
      <c r="E718" s="153" t="s">
        <v>1295</v>
      </c>
      <c r="F718" s="1333">
        <v>52426.29</v>
      </c>
      <c r="G718" s="1333">
        <v>16411.04</v>
      </c>
      <c r="H718" s="1333">
        <f>VLOOKUP(D718,'מאזן בוחן'!$C:$M,11,0)-G718</f>
        <v>0</v>
      </c>
      <c r="I718" s="1333">
        <f>VLOOKUP(D718,'מאזן בוחן'!C:J,3,0)-F718</f>
        <v>0</v>
      </c>
      <c r="J718" s="1333"/>
      <c r="K718" s="137"/>
      <c r="L718" s="137"/>
      <c r="M718" s="32"/>
      <c r="N718" s="32"/>
      <c r="O718" s="32"/>
      <c r="P718" s="32"/>
      <c r="Q718" s="32"/>
    </row>
    <row r="719" spans="1:17">
      <c r="A719" s="153" t="s">
        <v>1293</v>
      </c>
      <c r="B719" s="153" t="s">
        <v>1296</v>
      </c>
      <c r="C719" s="153" t="s">
        <v>1176</v>
      </c>
      <c r="D719" s="587">
        <v>8210001</v>
      </c>
      <c r="E719" s="153" t="s">
        <v>1177</v>
      </c>
      <c r="F719" s="1333">
        <v>2969614</v>
      </c>
      <c r="G719" s="1333">
        <v>921000.03</v>
      </c>
      <c r="H719" s="1333">
        <f>VLOOKUP(D719,'מאזן בוחן'!$C:$M,11,0)-G719</f>
        <v>0</v>
      </c>
      <c r="I719" s="1333">
        <f>VLOOKUP(D719,'מאזן בוחן'!C:J,3,0)-F719</f>
        <v>0</v>
      </c>
      <c r="J719" s="1333"/>
      <c r="K719" s="137"/>
      <c r="L719" s="137"/>
      <c r="M719" s="32"/>
      <c r="N719" s="32"/>
      <c r="O719" s="32"/>
      <c r="P719" s="32"/>
      <c r="Q719" s="32"/>
    </row>
    <row r="720" spans="1:17">
      <c r="A720" s="153" t="s">
        <v>1293</v>
      </c>
      <c r="B720" s="153" t="s">
        <v>1296</v>
      </c>
      <c r="C720" s="153" t="s">
        <v>1176</v>
      </c>
      <c r="D720" s="587">
        <v>8210002</v>
      </c>
      <c r="E720" s="153" t="s">
        <v>1178</v>
      </c>
      <c r="F720" s="1333">
        <v>119869</v>
      </c>
      <c r="G720" s="1333">
        <v>38110.559999999998</v>
      </c>
      <c r="H720" s="1333">
        <f>VLOOKUP(D720,'מאזן בוחן'!$C:$M,11,0)-G720</f>
        <v>0</v>
      </c>
      <c r="I720" s="1333">
        <f>VLOOKUP(D720,'מאזן בוחן'!C:J,3,0)-F720</f>
        <v>0</v>
      </c>
      <c r="J720" s="1333"/>
      <c r="K720" s="137"/>
      <c r="L720" s="137"/>
      <c r="M720" s="32"/>
      <c r="N720" s="32"/>
      <c r="O720" s="32"/>
      <c r="P720" s="32"/>
      <c r="Q720" s="32"/>
    </row>
    <row r="721" spans="1:17">
      <c r="A721" s="153" t="s">
        <v>1293</v>
      </c>
      <c r="B721" s="153" t="s">
        <v>1296</v>
      </c>
      <c r="C721" s="153" t="s">
        <v>1176</v>
      </c>
      <c r="D721" s="587">
        <v>8210003</v>
      </c>
      <c r="E721" s="153" t="s">
        <v>1179</v>
      </c>
      <c r="F721" s="1333">
        <v>128627.55</v>
      </c>
      <c r="G721" s="1333">
        <v>39149.800000000003</v>
      </c>
      <c r="H721" s="1333">
        <f>VLOOKUP(D721,'מאזן בוחן'!$C:$M,11,0)-G721</f>
        <v>0</v>
      </c>
      <c r="I721" s="1333">
        <f>VLOOKUP(D721,'מאזן בוחן'!C:J,3,0)-F721</f>
        <v>0</v>
      </c>
      <c r="J721" s="1333"/>
      <c r="K721" s="137"/>
      <c r="L721" s="137"/>
      <c r="M721" s="32"/>
      <c r="N721" s="32"/>
      <c r="O721" s="32"/>
      <c r="P721" s="32"/>
      <c r="Q721" s="32"/>
    </row>
    <row r="722" spans="1:17">
      <c r="A722" s="153" t="s">
        <v>1293</v>
      </c>
      <c r="B722" s="153" t="s">
        <v>1296</v>
      </c>
      <c r="C722" s="153" t="s">
        <v>1176</v>
      </c>
      <c r="D722" s="587">
        <v>8210055</v>
      </c>
      <c r="E722" s="153" t="s">
        <v>4796</v>
      </c>
      <c r="F722" s="1333">
        <v>4750</v>
      </c>
      <c r="G722" s="1333">
        <v>1527.33</v>
      </c>
      <c r="H722" s="1333">
        <f>VLOOKUP(D722,'מאזן בוחן'!$C:$M,11,0)-G722</f>
        <v>0</v>
      </c>
      <c r="I722" s="1333">
        <f>VLOOKUP(D722,'מאזן בוחן'!C:J,3,0)-F722</f>
        <v>0</v>
      </c>
      <c r="J722" s="1333"/>
      <c r="K722" s="137"/>
      <c r="L722" s="137"/>
      <c r="M722" s="32"/>
      <c r="N722" s="32"/>
      <c r="O722" s="32"/>
      <c r="P722" s="32"/>
      <c r="Q722" s="32"/>
    </row>
    <row r="723" spans="1:17">
      <c r="A723" s="153" t="s">
        <v>1293</v>
      </c>
      <c r="B723" s="153" t="s">
        <v>1296</v>
      </c>
      <c r="C723" s="153" t="s">
        <v>1195</v>
      </c>
      <c r="D723" s="587">
        <v>8020012</v>
      </c>
      <c r="E723" s="153" t="s">
        <v>3444</v>
      </c>
      <c r="F723" s="1333">
        <v>31800</v>
      </c>
      <c r="G723" s="1333">
        <v>9645</v>
      </c>
      <c r="H723" s="1333">
        <f>VLOOKUP(D723,'מאזן בוחן'!$C:$M,11,0)-G723</f>
        <v>0</v>
      </c>
      <c r="I723" s="1333">
        <f>VLOOKUP(D723,'מאזן בוחן'!C:J,3,0)-F723</f>
        <v>0</v>
      </c>
      <c r="J723" s="1333"/>
      <c r="K723" s="137"/>
      <c r="L723" s="137"/>
      <c r="M723" s="32"/>
      <c r="N723" s="32"/>
      <c r="O723" s="32"/>
      <c r="P723" s="32"/>
      <c r="Q723" s="32"/>
    </row>
    <row r="724" spans="1:17">
      <c r="A724" s="153" t="s">
        <v>1293</v>
      </c>
      <c r="B724" s="153" t="s">
        <v>1296</v>
      </c>
      <c r="C724" s="153" t="s">
        <v>1195</v>
      </c>
      <c r="D724" s="587">
        <v>8220006</v>
      </c>
      <c r="E724" s="153" t="s">
        <v>2060</v>
      </c>
      <c r="F724" s="1333">
        <v>7525</v>
      </c>
      <c r="G724" s="1333">
        <v>2320.79</v>
      </c>
      <c r="H724" s="1333">
        <f>VLOOKUP(D724,'מאזן בוחן'!$C:$M,11,0)-G724</f>
        <v>0</v>
      </c>
      <c r="I724" s="1333">
        <f>VLOOKUP(D724,'מאזן בוחן'!C:J,3,0)-F724</f>
        <v>0</v>
      </c>
      <c r="J724" s="1333"/>
      <c r="K724" s="137"/>
      <c r="L724" s="137"/>
      <c r="M724" s="32"/>
      <c r="N724" s="32"/>
      <c r="O724" s="32"/>
      <c r="P724" s="32"/>
      <c r="Q724" s="32"/>
    </row>
    <row r="725" spans="1:17">
      <c r="A725" s="153" t="s">
        <v>1293</v>
      </c>
      <c r="B725" s="153" t="s">
        <v>1296</v>
      </c>
      <c r="C725" s="153" t="s">
        <v>1195</v>
      </c>
      <c r="D725" s="587">
        <v>8220010</v>
      </c>
      <c r="E725" s="153" t="s">
        <v>1201</v>
      </c>
      <c r="F725" s="1333">
        <v>184255.73</v>
      </c>
      <c r="G725" s="1333">
        <v>57205.48</v>
      </c>
      <c r="H725" s="1333">
        <f>VLOOKUP(D725,'מאזן בוחן'!$C:$M,11,0)-G725</f>
        <v>0</v>
      </c>
      <c r="I725" s="1333">
        <f>VLOOKUP(D725,'מאזן בוחן'!C:J,3,0)-F725</f>
        <v>0</v>
      </c>
      <c r="J725" s="1333"/>
      <c r="K725" s="137"/>
      <c r="L725" s="137"/>
      <c r="M725" s="32"/>
      <c r="N725" s="32"/>
      <c r="O725" s="32"/>
      <c r="P725" s="32"/>
      <c r="Q725" s="32"/>
    </row>
    <row r="726" spans="1:17">
      <c r="A726" s="153" t="s">
        <v>1293</v>
      </c>
      <c r="B726" s="153" t="s">
        <v>1296</v>
      </c>
      <c r="C726" s="153" t="s">
        <v>1195</v>
      </c>
      <c r="D726" s="587">
        <v>8220048</v>
      </c>
      <c r="E726" s="153" t="s">
        <v>1726</v>
      </c>
      <c r="F726" s="1333">
        <v>146666.56</v>
      </c>
      <c r="G726" s="1333">
        <v>44253.7</v>
      </c>
      <c r="H726" s="1333">
        <f>VLOOKUP(D726,'מאזן בוחן'!$C:$M,11,0)-G726</f>
        <v>0</v>
      </c>
      <c r="I726" s="1333">
        <f>VLOOKUP(D726,'מאזן בוחן'!C:J,3,0)-F726</f>
        <v>0</v>
      </c>
      <c r="J726" s="1333"/>
      <c r="K726" s="137"/>
      <c r="L726" s="137"/>
      <c r="M726" s="32"/>
      <c r="N726" s="32"/>
      <c r="O726" s="32"/>
      <c r="P726" s="32"/>
      <c r="Q726" s="32"/>
    </row>
    <row r="727" spans="1:17" ht="11.25" customHeight="1">
      <c r="A727" s="153" t="s">
        <v>1293</v>
      </c>
      <c r="B727" s="153" t="s">
        <v>2933</v>
      </c>
      <c r="C727" s="153" t="s">
        <v>2934</v>
      </c>
      <c r="D727" s="587">
        <v>8310001</v>
      </c>
      <c r="E727" s="153" t="s">
        <v>1180</v>
      </c>
      <c r="F727" s="1333">
        <v>474181</v>
      </c>
      <c r="G727" s="1333">
        <v>146756.51</v>
      </c>
      <c r="H727" s="1333">
        <f>VLOOKUP(D727,'מאזן בוחן'!$C:$M,11,0)-G727</f>
        <v>0</v>
      </c>
      <c r="I727" s="1333">
        <f>VLOOKUP(D727,'מאזן בוחן'!C:J,3,0)-F727</f>
        <v>0</v>
      </c>
      <c r="J727" s="1333"/>
      <c r="K727" s="137"/>
      <c r="L727" s="137"/>
      <c r="M727" s="32"/>
      <c r="N727" s="32"/>
      <c r="O727" s="32"/>
      <c r="P727" s="32"/>
      <c r="Q727" s="32"/>
    </row>
    <row r="728" spans="1:17">
      <c r="A728" s="153" t="s">
        <v>1293</v>
      </c>
      <c r="B728" s="153" t="s">
        <v>2933</v>
      </c>
      <c r="C728" s="153" t="s">
        <v>2934</v>
      </c>
      <c r="D728" s="587">
        <v>8310002</v>
      </c>
      <c r="E728" s="153" t="s">
        <v>1298</v>
      </c>
      <c r="F728" s="1333">
        <v>1500</v>
      </c>
      <c r="G728" s="1333">
        <v>455.79</v>
      </c>
      <c r="H728" s="1333">
        <f>VLOOKUP(D728,'מאזן בוחן'!$C:$M,11,0)-G728</f>
        <v>0</v>
      </c>
      <c r="I728" s="1333">
        <f>VLOOKUP(D728,'מאזן בוחן'!C:J,3,0)-F728</f>
        <v>0</v>
      </c>
      <c r="J728" s="1333"/>
      <c r="K728" s="137"/>
      <c r="L728" s="137"/>
      <c r="M728" s="32"/>
      <c r="N728" s="32"/>
      <c r="O728" s="32"/>
      <c r="P728" s="32"/>
      <c r="Q728" s="32"/>
    </row>
    <row r="729" spans="1:17">
      <c r="A729" s="153" t="s">
        <v>1293</v>
      </c>
      <c r="B729" s="153" t="s">
        <v>1299</v>
      </c>
      <c r="C729" s="153" t="s">
        <v>1185</v>
      </c>
      <c r="D729" s="587">
        <v>8410010</v>
      </c>
      <c r="E729" s="153" t="s">
        <v>315</v>
      </c>
      <c r="F729" s="1333">
        <v>29650</v>
      </c>
      <c r="G729" s="1333">
        <v>9036.8799999999992</v>
      </c>
      <c r="H729" s="1333">
        <f>VLOOKUP(D729,'מאזן בוחן'!$C:$M,11,0)-G729</f>
        <v>0</v>
      </c>
      <c r="I729" s="1333">
        <f>VLOOKUP(D729,'מאזן בוחן'!C:J,3,0)-F729</f>
        <v>0</v>
      </c>
      <c r="J729" s="1333"/>
      <c r="K729" s="137"/>
      <c r="L729" s="137"/>
      <c r="M729" s="32"/>
      <c r="N729" s="32"/>
      <c r="O729" s="32"/>
      <c r="P729" s="32"/>
      <c r="Q729" s="32"/>
    </row>
    <row r="730" spans="1:17">
      <c r="A730" s="153" t="s">
        <v>1293</v>
      </c>
      <c r="B730" s="153" t="s">
        <v>1299</v>
      </c>
      <c r="C730" s="153" t="s">
        <v>1185</v>
      </c>
      <c r="D730" s="587">
        <v>8410027</v>
      </c>
      <c r="E730" s="153" t="s">
        <v>311</v>
      </c>
      <c r="F730" s="1333">
        <v>-636.05999999999995</v>
      </c>
      <c r="G730" s="1333">
        <v>-198.04</v>
      </c>
      <c r="H730" s="1333">
        <f>VLOOKUP(D730,'מאזן בוחן'!$C:$M,11,0)-G730</f>
        <v>0</v>
      </c>
      <c r="I730" s="1333">
        <f>VLOOKUP(D730,'מאזן בוחן'!C:J,3,0)-F730</f>
        <v>0</v>
      </c>
      <c r="J730" s="1333"/>
      <c r="K730" s="137"/>
      <c r="L730" s="137"/>
      <c r="M730" s="32"/>
      <c r="N730" s="32"/>
      <c r="O730" s="32"/>
      <c r="P730" s="32"/>
      <c r="Q730" s="32"/>
    </row>
    <row r="731" spans="1:17">
      <c r="A731" s="153" t="s">
        <v>1293</v>
      </c>
      <c r="B731" s="153" t="s">
        <v>1299</v>
      </c>
      <c r="C731" s="153" t="s">
        <v>1185</v>
      </c>
      <c r="D731" s="587">
        <v>8410048</v>
      </c>
      <c r="E731" s="153" t="s">
        <v>397</v>
      </c>
      <c r="F731" s="1333">
        <v>1156602.47</v>
      </c>
      <c r="G731" s="1333">
        <v>348085.63</v>
      </c>
      <c r="H731" s="1333">
        <f>VLOOKUP(D731,'מאזן בוחן'!$C:$M,11,0)-G731</f>
        <v>0</v>
      </c>
      <c r="I731" s="1333">
        <f>VLOOKUP(D731,'מאזן בוחן'!C:J,3,0)-F731</f>
        <v>0</v>
      </c>
      <c r="J731" s="1333"/>
      <c r="K731" s="137"/>
      <c r="L731" s="137"/>
      <c r="M731" s="32"/>
      <c r="N731" s="32"/>
      <c r="O731" s="32"/>
      <c r="P731" s="32"/>
      <c r="Q731" s="32"/>
    </row>
    <row r="732" spans="1:17">
      <c r="A732" s="153" t="s">
        <v>1293</v>
      </c>
      <c r="B732" s="153" t="s">
        <v>1299</v>
      </c>
      <c r="C732" s="153" t="s">
        <v>1185</v>
      </c>
      <c r="D732" s="587">
        <v>8410049</v>
      </c>
      <c r="E732" s="153" t="s">
        <v>3806</v>
      </c>
      <c r="F732" s="1333">
        <v>45170.97</v>
      </c>
      <c r="G732" s="1333">
        <v>13896.33</v>
      </c>
      <c r="H732" s="1333">
        <f>VLOOKUP(D732,'מאזן בוחן'!$C:$M,11,0)-G732</f>
        <v>0</v>
      </c>
      <c r="I732" s="1333">
        <f>VLOOKUP(D732,'מאזן בוחן'!C:J,3,0)-F732</f>
        <v>0</v>
      </c>
      <c r="J732" s="1333"/>
      <c r="K732" s="137"/>
      <c r="L732" s="137"/>
      <c r="M732" s="32"/>
      <c r="N732" s="32"/>
      <c r="O732" s="32"/>
      <c r="P732" s="32"/>
      <c r="Q732" s="32"/>
    </row>
    <row r="733" spans="1:17">
      <c r="A733" s="153" t="s">
        <v>1293</v>
      </c>
      <c r="B733" s="153" t="s">
        <v>1299</v>
      </c>
      <c r="C733" s="153" t="s">
        <v>1185</v>
      </c>
      <c r="D733" s="587">
        <v>8410065</v>
      </c>
      <c r="E733" s="153" t="s">
        <v>1210</v>
      </c>
      <c r="F733" s="1333">
        <v>194279.01</v>
      </c>
      <c r="G733" s="1333">
        <v>58787.83</v>
      </c>
      <c r="H733" s="1333">
        <f>VLOOKUP(D733,'מאזן בוחן'!$C:$M,11,0)-G733</f>
        <v>0</v>
      </c>
      <c r="I733" s="1333">
        <f>VLOOKUP(D733,'מאזן בוחן'!C:J,3,0)-F733</f>
        <v>0</v>
      </c>
      <c r="J733" s="1333"/>
      <c r="K733" s="137"/>
      <c r="L733" s="137"/>
      <c r="M733" s="32"/>
      <c r="N733" s="32"/>
      <c r="O733" s="32"/>
      <c r="P733" s="32"/>
      <c r="Q733" s="32"/>
    </row>
    <row r="734" spans="1:17">
      <c r="A734" s="153" t="s">
        <v>1293</v>
      </c>
      <c r="B734" s="153" t="s">
        <v>1299</v>
      </c>
      <c r="C734" s="153" t="s">
        <v>1185</v>
      </c>
      <c r="D734" s="587">
        <v>8410066</v>
      </c>
      <c r="E734" s="153" t="s">
        <v>399</v>
      </c>
      <c r="F734" s="1333">
        <v>23991.75</v>
      </c>
      <c r="G734" s="1333">
        <v>7212.49</v>
      </c>
      <c r="H734" s="1333">
        <f>VLOOKUP(D734,'מאזן בוחן'!$C:$M,11,0)-G734</f>
        <v>0</v>
      </c>
      <c r="I734" s="1333">
        <f>VLOOKUP(D734,'מאזן בוחן'!C:J,3,0)-F734</f>
        <v>0</v>
      </c>
      <c r="J734" s="1333"/>
      <c r="K734" s="137"/>
      <c r="L734" s="137"/>
      <c r="M734" s="32"/>
      <c r="N734" s="32"/>
      <c r="O734" s="32"/>
      <c r="P734" s="32"/>
      <c r="Q734" s="32"/>
    </row>
    <row r="735" spans="1:17">
      <c r="A735" s="153" t="s">
        <v>1293</v>
      </c>
      <c r="B735" s="153" t="s">
        <v>1299</v>
      </c>
      <c r="C735" s="153" t="s">
        <v>1185</v>
      </c>
      <c r="D735" s="587">
        <v>8410068</v>
      </c>
      <c r="E735" s="153" t="s">
        <v>371</v>
      </c>
      <c r="F735" s="1333">
        <v>187070.68</v>
      </c>
      <c r="G735" s="1333">
        <v>57634.39</v>
      </c>
      <c r="H735" s="1333">
        <f>VLOOKUP(D735,'מאזן בוחן'!$C:$M,11,0)-G735</f>
        <v>0</v>
      </c>
      <c r="I735" s="1333">
        <f>VLOOKUP(D735,'מאזן בוחן'!C:J,3,0)-F735</f>
        <v>0</v>
      </c>
      <c r="J735" s="1333"/>
      <c r="K735" s="137"/>
      <c r="L735" s="137"/>
      <c r="M735" s="32"/>
      <c r="N735" s="32"/>
      <c r="O735" s="32"/>
      <c r="P735" s="32"/>
      <c r="Q735" s="32"/>
    </row>
    <row r="736" spans="1:17">
      <c r="A736" s="153" t="s">
        <v>1293</v>
      </c>
      <c r="B736" s="153" t="s">
        <v>1299</v>
      </c>
      <c r="C736" s="153" t="s">
        <v>1185</v>
      </c>
      <c r="D736" s="587">
        <v>8410070</v>
      </c>
      <c r="E736" s="153" t="s">
        <v>98</v>
      </c>
      <c r="F736" s="1333">
        <v>199008.06</v>
      </c>
      <c r="G736" s="1333">
        <v>62862.38</v>
      </c>
      <c r="H736" s="1333">
        <f>VLOOKUP(D736,'מאזן בוחן'!$C:$M,11,0)-G736</f>
        <v>0</v>
      </c>
      <c r="I736" s="1333">
        <f>VLOOKUP(D736,'מאזן בוחן'!C:J,3,0)-F736</f>
        <v>0</v>
      </c>
      <c r="J736" s="1333"/>
      <c r="K736" s="137"/>
      <c r="L736" s="137"/>
      <c r="M736" s="32"/>
      <c r="N736" s="32"/>
      <c r="O736" s="32"/>
      <c r="P736" s="32"/>
      <c r="Q736" s="32"/>
    </row>
    <row r="737" spans="1:17">
      <c r="A737" s="153" t="s">
        <v>1293</v>
      </c>
      <c r="B737" s="153" t="s">
        <v>1299</v>
      </c>
      <c r="C737" s="153" t="s">
        <v>1185</v>
      </c>
      <c r="D737" s="587">
        <v>8410300</v>
      </c>
      <c r="E737" s="153" t="s">
        <v>4884</v>
      </c>
      <c r="F737" s="1333">
        <v>266838.59000000003</v>
      </c>
      <c r="G737" s="1333">
        <v>85800.19</v>
      </c>
      <c r="H737" s="1333">
        <f>VLOOKUP(D737,'מאזן בוחן'!$C:$M,11,0)-G737</f>
        <v>0</v>
      </c>
      <c r="I737" s="1333">
        <f>VLOOKUP(D737,'מאזן בוחן'!C:J,3,0)-F737</f>
        <v>0</v>
      </c>
      <c r="J737" s="1333"/>
      <c r="K737" s="137"/>
      <c r="L737" s="137"/>
      <c r="M737" s="32"/>
      <c r="N737" s="32"/>
      <c r="O737" s="32"/>
      <c r="P737" s="32"/>
      <c r="Q737" s="32"/>
    </row>
    <row r="738" spans="1:17">
      <c r="A738" s="153" t="s">
        <v>1293</v>
      </c>
      <c r="B738" s="153" t="s">
        <v>1299</v>
      </c>
      <c r="C738" s="153" t="s">
        <v>2935</v>
      </c>
      <c r="D738" s="587">
        <v>8420010</v>
      </c>
      <c r="E738" s="153" t="s">
        <v>1181</v>
      </c>
      <c r="F738" s="1333">
        <v>2434913</v>
      </c>
      <c r="G738" s="1333">
        <v>754076.64</v>
      </c>
      <c r="H738" s="1333">
        <f>VLOOKUP(D738,'מאזן בוחן'!$C:$M,11,0)-G738</f>
        <v>0</v>
      </c>
      <c r="I738" s="1333">
        <f>VLOOKUP(D738,'מאזן בוחן'!C:J,3,0)-F738</f>
        <v>0</v>
      </c>
      <c r="J738" s="1333"/>
      <c r="K738" s="137"/>
      <c r="L738" s="137"/>
      <c r="M738" s="32"/>
      <c r="N738" s="32"/>
      <c r="O738" s="32"/>
      <c r="P738" s="32"/>
      <c r="Q738" s="32"/>
    </row>
    <row r="739" spans="1:17">
      <c r="A739" s="153" t="s">
        <v>1293</v>
      </c>
      <c r="B739" s="153" t="s">
        <v>1299</v>
      </c>
      <c r="C739" s="153" t="s">
        <v>2935</v>
      </c>
      <c r="D739" s="587">
        <v>8420011</v>
      </c>
      <c r="E739" s="153" t="s">
        <v>1300</v>
      </c>
      <c r="F739" s="1333">
        <v>1021069.17</v>
      </c>
      <c r="G739" s="1333">
        <v>309542.63</v>
      </c>
      <c r="H739" s="1333">
        <f>VLOOKUP(D739,'מאזן בוחן'!$C:$M,11,0)-G739</f>
        <v>0</v>
      </c>
      <c r="I739" s="1333">
        <f>VLOOKUP(D739,'מאזן בוחן'!C:J,3,0)-F739</f>
        <v>0</v>
      </c>
      <c r="J739" s="1333"/>
      <c r="K739" s="137"/>
      <c r="L739" s="137"/>
      <c r="M739" s="32"/>
      <c r="N739" s="32"/>
      <c r="O739" s="32"/>
      <c r="P739" s="32"/>
      <c r="Q739" s="32"/>
    </row>
    <row r="740" spans="1:17">
      <c r="A740" s="153" t="s">
        <v>1293</v>
      </c>
      <c r="B740" s="153" t="s">
        <v>1299</v>
      </c>
      <c r="C740" s="153" t="s">
        <v>2935</v>
      </c>
      <c r="D740" s="587">
        <v>8420013</v>
      </c>
      <c r="E740" s="153" t="s">
        <v>1182</v>
      </c>
      <c r="F740" s="1333">
        <v>70389.679999999993</v>
      </c>
      <c r="G740" s="1333">
        <v>22579</v>
      </c>
      <c r="H740" s="1333">
        <f>VLOOKUP(D740,'מאזן בוחן'!$C:$M,11,0)-G740</f>
        <v>0</v>
      </c>
      <c r="I740" s="1333">
        <f>VLOOKUP(D740,'מאזן בוחן'!C:J,3,0)-F740</f>
        <v>0</v>
      </c>
      <c r="J740" s="1333"/>
      <c r="K740" s="137"/>
      <c r="L740" s="137"/>
      <c r="M740" s="32"/>
      <c r="N740" s="32"/>
      <c r="O740" s="32"/>
      <c r="P740" s="32"/>
      <c r="Q740" s="32"/>
    </row>
    <row r="741" spans="1:17">
      <c r="A741" s="153" t="s">
        <v>1293</v>
      </c>
      <c r="B741" s="153" t="s">
        <v>1299</v>
      </c>
      <c r="C741" s="153" t="s">
        <v>2935</v>
      </c>
      <c r="D741" s="587">
        <v>8420055</v>
      </c>
      <c r="E741" s="153" t="s">
        <v>4795</v>
      </c>
      <c r="F741" s="1333">
        <v>4000</v>
      </c>
      <c r="G741" s="1333">
        <v>1286.17</v>
      </c>
      <c r="H741" s="1333">
        <f>VLOOKUP(D741,'מאזן בוחן'!$C:$M,11,0)-G741</f>
        <v>0</v>
      </c>
      <c r="I741" s="1333">
        <f>VLOOKUP(D741,'מאזן בוחן'!C:J,3,0)-F741</f>
        <v>0</v>
      </c>
      <c r="J741" s="1333"/>
      <c r="K741" s="137"/>
      <c r="L741" s="137"/>
      <c r="M741" s="32"/>
      <c r="N741" s="32"/>
      <c r="O741" s="32"/>
      <c r="P741" s="32"/>
      <c r="Q741" s="32"/>
    </row>
    <row r="742" spans="1:17">
      <c r="A742" s="153" t="s">
        <v>1293</v>
      </c>
      <c r="B742" s="153" t="s">
        <v>2936</v>
      </c>
      <c r="C742" s="153" t="s">
        <v>1723</v>
      </c>
      <c r="D742" s="587">
        <v>8510001</v>
      </c>
      <c r="E742" s="153" t="s">
        <v>1724</v>
      </c>
      <c r="F742" s="1333">
        <v>482308</v>
      </c>
      <c r="G742" s="1333">
        <v>149390.91</v>
      </c>
      <c r="H742" s="1333">
        <f>VLOOKUP(D742,'מאזן בוחן'!$C:$M,11,0)-G742</f>
        <v>0</v>
      </c>
      <c r="I742" s="1333">
        <f>VLOOKUP(D742,'מאזן בוחן'!C:J,3,0)-F742</f>
        <v>0</v>
      </c>
      <c r="J742" s="1333"/>
      <c r="K742" s="137"/>
      <c r="L742" s="137"/>
      <c r="M742" s="32"/>
      <c r="N742" s="32"/>
      <c r="O742" s="32"/>
      <c r="P742" s="32"/>
      <c r="Q742" s="32"/>
    </row>
    <row r="743" spans="1:17">
      <c r="A743" s="153" t="s">
        <v>1293</v>
      </c>
      <c r="B743" s="153" t="s">
        <v>2936</v>
      </c>
      <c r="C743" s="153" t="s">
        <v>1723</v>
      </c>
      <c r="D743" s="587">
        <v>8510002</v>
      </c>
      <c r="E743" s="153" t="s">
        <v>1756</v>
      </c>
      <c r="F743" s="1333">
        <v>649</v>
      </c>
      <c r="G743" s="1333">
        <v>201.56</v>
      </c>
      <c r="H743" s="1333">
        <f>VLOOKUP(D743,'מאזן בוחן'!$C:$M,11,0)-G743</f>
        <v>0</v>
      </c>
      <c r="I743" s="1333">
        <f>VLOOKUP(D743,'מאזן בוחן'!C:J,3,0)-F743</f>
        <v>0</v>
      </c>
      <c r="J743" s="1333"/>
      <c r="K743" s="137"/>
      <c r="L743" s="137"/>
      <c r="M743" s="32"/>
      <c r="N743" s="32"/>
      <c r="O743" s="32"/>
      <c r="P743" s="32"/>
      <c r="Q743" s="32"/>
    </row>
    <row r="744" spans="1:17">
      <c r="A744" s="153" t="s">
        <v>1293</v>
      </c>
      <c r="B744" s="153" t="s">
        <v>2936</v>
      </c>
      <c r="C744" s="153" t="s">
        <v>1723</v>
      </c>
      <c r="D744" s="587">
        <v>8510003</v>
      </c>
      <c r="E744" s="153" t="s">
        <v>1757</v>
      </c>
      <c r="F744" s="1333">
        <v>-583.88</v>
      </c>
      <c r="G744" s="1333">
        <v>-309.39999999999998</v>
      </c>
      <c r="H744" s="1333">
        <f>VLOOKUP(D744,'מאזן בוחן'!$C:$M,11,0)-G744</f>
        <v>0</v>
      </c>
      <c r="I744" s="1333">
        <f>VLOOKUP(D744,'מאזן בוחן'!C:J,3,0)-F744</f>
        <v>0</v>
      </c>
      <c r="J744" s="1333"/>
      <c r="K744" s="137"/>
      <c r="L744" s="137"/>
      <c r="M744" s="32"/>
      <c r="N744" s="32"/>
      <c r="O744" s="32"/>
      <c r="P744" s="32"/>
      <c r="Q744" s="32"/>
    </row>
    <row r="745" spans="1:17">
      <c r="A745" s="153" t="s">
        <v>1301</v>
      </c>
      <c r="B745" s="153" t="s">
        <v>1302</v>
      </c>
      <c r="C745" s="153" t="s">
        <v>1216</v>
      </c>
      <c r="D745" s="587">
        <v>9010001</v>
      </c>
      <c r="E745" s="153" t="s">
        <v>157</v>
      </c>
      <c r="F745" s="1333">
        <v>41793.120000000003</v>
      </c>
      <c r="G745" s="1333">
        <v>12941.36</v>
      </c>
      <c r="H745" s="1333">
        <f>VLOOKUP(D745,'מאזן בוחן'!$C:$M,11,0)-G745</f>
        <v>0</v>
      </c>
      <c r="I745" s="1333">
        <f>VLOOKUP(D745,'מאזן בוחן'!C:J,3,0)-F745</f>
        <v>0</v>
      </c>
      <c r="J745" s="1333"/>
      <c r="K745" s="137"/>
      <c r="L745" s="137"/>
      <c r="M745" s="32"/>
      <c r="N745" s="32"/>
      <c r="O745" s="32"/>
      <c r="P745" s="32"/>
      <c r="Q745" s="32"/>
    </row>
    <row r="746" spans="1:17">
      <c r="A746" s="153" t="s">
        <v>1301</v>
      </c>
      <c r="B746" s="153" t="s">
        <v>1302</v>
      </c>
      <c r="C746" s="153" t="s">
        <v>1216</v>
      </c>
      <c r="D746" s="587">
        <v>9010002</v>
      </c>
      <c r="E746" s="153" t="s">
        <v>158</v>
      </c>
      <c r="F746" s="1333">
        <v>5012201.2300000004</v>
      </c>
      <c r="G746" s="1333">
        <v>1353764.45</v>
      </c>
      <c r="H746" s="1333">
        <f>VLOOKUP(D746,'מאזן בוחן'!$C:$M,11,0)-G746</f>
        <v>0</v>
      </c>
      <c r="I746" s="1333">
        <f>VLOOKUP(D746,'מאזן בוחן'!C:J,3,0)-F746</f>
        <v>0</v>
      </c>
      <c r="J746" s="1333"/>
      <c r="K746" s="137"/>
      <c r="L746" s="137"/>
      <c r="M746" s="32"/>
      <c r="N746" s="32"/>
      <c r="O746" s="32"/>
      <c r="P746" s="32"/>
      <c r="Q746" s="32"/>
    </row>
    <row r="747" spans="1:17">
      <c r="A747" s="153" t="s">
        <v>1301</v>
      </c>
      <c r="B747" s="153" t="s">
        <v>1302</v>
      </c>
      <c r="C747" s="153" t="s">
        <v>1216</v>
      </c>
      <c r="D747" s="587">
        <v>9010003</v>
      </c>
      <c r="E747" s="153" t="s">
        <v>2937</v>
      </c>
      <c r="F747" s="1333">
        <v>116.94</v>
      </c>
      <c r="G747" s="1333">
        <v>35.83</v>
      </c>
      <c r="H747" s="1333">
        <f>VLOOKUP(D747,'מאזן בוחן'!$C:$M,11,0)-G747</f>
        <v>0</v>
      </c>
      <c r="I747" s="1333">
        <f>VLOOKUP(D747,'מאזן בוחן'!C:J,3,0)-F747</f>
        <v>0</v>
      </c>
      <c r="J747" s="1333"/>
      <c r="K747" s="137"/>
      <c r="L747" s="137"/>
      <c r="M747" s="32"/>
      <c r="N747" s="32"/>
      <c r="O747" s="32"/>
      <c r="P747" s="32"/>
      <c r="Q747" s="32"/>
    </row>
    <row r="748" spans="1:17">
      <c r="A748" s="153" t="s">
        <v>1301</v>
      </c>
      <c r="B748" s="153" t="s">
        <v>1302</v>
      </c>
      <c r="C748" s="153" t="s">
        <v>1216</v>
      </c>
      <c r="D748" s="587">
        <v>9010004</v>
      </c>
      <c r="E748" s="153" t="s">
        <v>2938</v>
      </c>
      <c r="F748" s="1333">
        <v>142711.21</v>
      </c>
      <c r="G748" s="1333">
        <v>45079.03</v>
      </c>
      <c r="H748" s="1333">
        <f>VLOOKUP(D748,'מאזן בוחן'!$C:$M,11,0)-G748</f>
        <v>0</v>
      </c>
      <c r="I748" s="1333">
        <f>VLOOKUP(D748,'מאזן בוחן'!C:J,3,0)-F748</f>
        <v>0</v>
      </c>
      <c r="J748" s="1333"/>
      <c r="K748" s="137"/>
      <c r="L748" s="137"/>
      <c r="M748" s="32"/>
      <c r="N748" s="32"/>
      <c r="O748" s="32"/>
      <c r="P748" s="32"/>
      <c r="Q748" s="32"/>
    </row>
    <row r="749" spans="1:17">
      <c r="A749" s="153" t="s">
        <v>1301</v>
      </c>
      <c r="B749" s="153" t="s">
        <v>1302</v>
      </c>
      <c r="C749" s="153" t="s">
        <v>1216</v>
      </c>
      <c r="D749" s="587">
        <v>9010005</v>
      </c>
      <c r="E749" s="153" t="s">
        <v>2207</v>
      </c>
      <c r="F749" s="1333">
        <v>184777.79</v>
      </c>
      <c r="G749" s="1333">
        <v>57200</v>
      </c>
      <c r="H749" s="1333">
        <f>VLOOKUP(D749,'מאזן בוחן'!$C:$M,11,0)-G749</f>
        <v>0</v>
      </c>
      <c r="I749" s="1333">
        <f>VLOOKUP(D749,'מאזן בוחן'!C:J,3,0)-F749</f>
        <v>0</v>
      </c>
      <c r="J749" s="1333"/>
      <c r="K749" s="137"/>
      <c r="L749" s="137"/>
      <c r="M749" s="32"/>
      <c r="N749" s="32"/>
      <c r="O749" s="32"/>
      <c r="P749" s="32"/>
      <c r="Q749" s="32"/>
    </row>
    <row r="750" spans="1:17">
      <c r="A750" s="153" t="s">
        <v>1301</v>
      </c>
      <c r="B750" s="153" t="s">
        <v>1302</v>
      </c>
      <c r="C750" s="153" t="s">
        <v>1216</v>
      </c>
      <c r="D750" s="587">
        <v>99010</v>
      </c>
      <c r="E750" s="153" t="s">
        <v>3027</v>
      </c>
      <c r="F750" s="1333">
        <v>20327.740000000002</v>
      </c>
      <c r="G750" s="1333">
        <v>3988.04</v>
      </c>
      <c r="H750" s="1333">
        <f>VLOOKUP(D750,'מאזן בוחן'!$C:$M,11,0)-G750</f>
        <v>0</v>
      </c>
      <c r="I750" s="1333">
        <f>VLOOKUP(D750,'מאזן בוחן'!C:J,3,0)-F750</f>
        <v>0</v>
      </c>
      <c r="J750" s="1333"/>
      <c r="K750" s="137"/>
      <c r="L750" s="137"/>
      <c r="M750" s="32"/>
      <c r="N750" s="32"/>
      <c r="O750" s="32"/>
      <c r="P750" s="32"/>
      <c r="Q750" s="32"/>
    </row>
    <row r="751" spans="1:17">
      <c r="A751" s="153" t="s">
        <v>1301</v>
      </c>
      <c r="B751" s="153" t="s">
        <v>3448</v>
      </c>
      <c r="C751" s="153" t="s">
        <v>1218</v>
      </c>
      <c r="D751" s="587">
        <v>9100001</v>
      </c>
      <c r="E751" s="153" t="s">
        <v>2235</v>
      </c>
      <c r="F751" s="1333">
        <v>1776397.1</v>
      </c>
      <c r="G751" s="1333">
        <v>565200.81999999995</v>
      </c>
      <c r="H751" s="1333">
        <f>VLOOKUP(D751,'מאזן בוחן'!$C:$M,11,0)-G751</f>
        <v>0</v>
      </c>
      <c r="I751" s="1333">
        <f>VLOOKUP(D751,'מאזן בוחן'!C:J,3,0)-F751</f>
        <v>0</v>
      </c>
      <c r="J751" s="1333"/>
      <c r="K751" s="137"/>
      <c r="L751" s="137"/>
      <c r="M751" s="32"/>
      <c r="N751" s="32"/>
      <c r="O751" s="32"/>
      <c r="P751" s="32"/>
      <c r="Q751" s="32"/>
    </row>
    <row r="752" spans="1:17">
      <c r="A752" s="153" t="s">
        <v>1301</v>
      </c>
      <c r="B752" s="153" t="s">
        <v>3448</v>
      </c>
      <c r="C752" s="153" t="s">
        <v>1218</v>
      </c>
      <c r="D752" s="587">
        <v>9100004</v>
      </c>
      <c r="E752" s="153" t="s">
        <v>1454</v>
      </c>
      <c r="F752" s="1333">
        <v>316473</v>
      </c>
      <c r="G752" s="1333">
        <v>98436.39</v>
      </c>
      <c r="H752" s="1333">
        <f>VLOOKUP(D752,'מאזן בוחן'!$C:$M,11,0)-G752</f>
        <v>0</v>
      </c>
      <c r="I752" s="1333">
        <f>VLOOKUP(D752,'מאזן בוחן'!C:J,3,0)-F752</f>
        <v>0</v>
      </c>
      <c r="J752" s="1333"/>
      <c r="K752" s="137"/>
      <c r="L752" s="137"/>
      <c r="M752" s="32"/>
      <c r="N752" s="32"/>
      <c r="O752" s="32"/>
      <c r="P752" s="32"/>
      <c r="Q752" s="32"/>
    </row>
    <row r="753" spans="1:17">
      <c r="A753" s="153" t="s">
        <v>1301</v>
      </c>
      <c r="B753" s="153" t="s">
        <v>2939</v>
      </c>
      <c r="C753" s="153" t="s">
        <v>372</v>
      </c>
      <c r="D753" s="737">
        <v>9950000</v>
      </c>
      <c r="E753" s="153" t="s">
        <v>373</v>
      </c>
      <c r="F753" s="1333">
        <v>61072991</v>
      </c>
      <c r="G753" s="1333">
        <v>18912385.84</v>
      </c>
      <c r="H753" s="1333">
        <f>VLOOKUP(D753,'מאזן בוחן'!$C:$M,11,0)-G753</f>
        <v>0</v>
      </c>
      <c r="I753" s="1333">
        <f>VLOOKUP(D753,'מאזן בוחן'!C:J,3,0)-F753</f>
        <v>0</v>
      </c>
      <c r="J753" s="1333"/>
      <c r="K753" s="137"/>
      <c r="L753" s="137"/>
      <c r="M753" s="32"/>
      <c r="N753" s="32"/>
      <c r="O753" s="32"/>
      <c r="P753" s="32"/>
      <c r="Q753" s="32"/>
    </row>
    <row r="754" spans="1:17">
      <c r="A754" s="153" t="s">
        <v>1301</v>
      </c>
      <c r="B754" s="153" t="s">
        <v>2939</v>
      </c>
      <c r="C754" s="153" t="s">
        <v>372</v>
      </c>
      <c r="D754" s="737">
        <v>9950001</v>
      </c>
      <c r="E754" s="153" t="s">
        <v>374</v>
      </c>
      <c r="F754" s="1333">
        <v>4187416</v>
      </c>
      <c r="G754" s="1333">
        <v>1296435.25</v>
      </c>
      <c r="H754" s="1333">
        <f>VLOOKUP(D754,'מאזן בוחן'!$C:$M,11,0)-G754</f>
        <v>0</v>
      </c>
      <c r="I754" s="1333">
        <f>VLOOKUP(D754,'מאזן בוחן'!C:J,3,0)-F754</f>
        <v>0</v>
      </c>
      <c r="J754" s="1333"/>
      <c r="K754" s="137"/>
      <c r="L754" s="137"/>
      <c r="M754" s="32"/>
      <c r="N754" s="32"/>
      <c r="O754" s="32"/>
      <c r="P754" s="32"/>
      <c r="Q754" s="32"/>
    </row>
    <row r="755" spans="1:17">
      <c r="A755" s="153" t="s">
        <v>1301</v>
      </c>
      <c r="B755" s="153" t="s">
        <v>2939</v>
      </c>
      <c r="C755" s="153" t="s">
        <v>372</v>
      </c>
      <c r="D755" s="737">
        <v>9950002</v>
      </c>
      <c r="E755" s="153" t="s">
        <v>375</v>
      </c>
      <c r="F755" s="1333">
        <v>3555427</v>
      </c>
      <c r="G755" s="1333">
        <v>1101002.01</v>
      </c>
      <c r="H755" s="1333">
        <f>VLOOKUP(D755,'מאזן בוחן'!$C:$M,11,0)-G755</f>
        <v>0</v>
      </c>
      <c r="I755" s="1333">
        <f>VLOOKUP(D755,'מאזן בוחן'!C:J,3,0)-F755</f>
        <v>0</v>
      </c>
      <c r="J755" s="1333"/>
      <c r="K755" s="137"/>
      <c r="L755" s="137"/>
      <c r="M755" s="32"/>
      <c r="N755" s="32"/>
      <c r="O755" s="32"/>
      <c r="P755" s="32"/>
      <c r="Q755" s="32"/>
    </row>
    <row r="756" spans="1:17">
      <c r="A756" s="153" t="s">
        <v>1301</v>
      </c>
      <c r="B756" s="153" t="s">
        <v>2939</v>
      </c>
      <c r="C756" s="153" t="s">
        <v>372</v>
      </c>
      <c r="D756" s="737">
        <v>9950003</v>
      </c>
      <c r="E756" s="153" t="s">
        <v>376</v>
      </c>
      <c r="F756" s="1333">
        <v>4925093</v>
      </c>
      <c r="G756" s="1333">
        <v>1525100.4</v>
      </c>
      <c r="H756" s="1333">
        <f>VLOOKUP(D756,'מאזן בוחן'!$C:$M,11,0)-G756</f>
        <v>0</v>
      </c>
      <c r="I756" s="1333">
        <f>VLOOKUP(D756,'מאזן בוחן'!C:J,3,0)-F756</f>
        <v>0</v>
      </c>
      <c r="J756" s="1333"/>
      <c r="K756" s="137"/>
      <c r="L756" s="137"/>
      <c r="M756" s="32"/>
      <c r="N756" s="32"/>
      <c r="O756" s="32"/>
      <c r="P756" s="32"/>
      <c r="Q756" s="32"/>
    </row>
    <row r="757" spans="1:17">
      <c r="A757" s="153" t="s">
        <v>1301</v>
      </c>
      <c r="B757" s="153" t="s">
        <v>2939</v>
      </c>
      <c r="C757" s="153" t="s">
        <v>372</v>
      </c>
      <c r="D757" s="737">
        <v>9950004</v>
      </c>
      <c r="E757" s="153" t="s">
        <v>377</v>
      </c>
      <c r="F757" s="1333">
        <v>299213</v>
      </c>
      <c r="G757" s="1333">
        <v>92630.87</v>
      </c>
      <c r="H757" s="1333">
        <f>VLOOKUP(D757,'מאזן בוחן'!$C:$M,11,0)-G757</f>
        <v>0</v>
      </c>
      <c r="I757" s="1333">
        <f>VLOOKUP(D757,'מאזן בוחן'!C:J,3,0)-F757</f>
        <v>0</v>
      </c>
      <c r="J757" s="1333"/>
      <c r="K757" s="137"/>
      <c r="L757" s="137"/>
      <c r="M757" s="32"/>
      <c r="N757" s="32"/>
      <c r="O757" s="32"/>
      <c r="P757" s="32"/>
      <c r="Q757" s="32"/>
    </row>
    <row r="758" spans="1:17">
      <c r="A758" s="153" t="s">
        <v>1301</v>
      </c>
      <c r="B758" s="153" t="s">
        <v>2939</v>
      </c>
      <c r="C758" s="153" t="s">
        <v>372</v>
      </c>
      <c r="D758" s="737">
        <v>9950005</v>
      </c>
      <c r="E758" s="153" t="s">
        <v>378</v>
      </c>
      <c r="F758" s="1333">
        <v>3441424</v>
      </c>
      <c r="G758" s="1333">
        <v>1065731.78</v>
      </c>
      <c r="H758" s="1333">
        <f>VLOOKUP(D758,'מאזן בוחן'!$C:$M,11,0)-G758</f>
        <v>0</v>
      </c>
      <c r="I758" s="1333">
        <f>VLOOKUP(D758,'מאזן בוחן'!C:J,3,0)-F758</f>
        <v>0</v>
      </c>
      <c r="J758" s="1333"/>
      <c r="K758" s="137"/>
      <c r="L758" s="137"/>
      <c r="M758" s="32"/>
      <c r="N758" s="32"/>
      <c r="O758" s="32"/>
      <c r="P758" s="32"/>
      <c r="Q758" s="32"/>
    </row>
    <row r="759" spans="1:17">
      <c r="A759" s="153" t="s">
        <v>1301</v>
      </c>
      <c r="B759" s="153" t="s">
        <v>2939</v>
      </c>
      <c r="C759" s="153" t="s">
        <v>372</v>
      </c>
      <c r="D759" s="737">
        <v>9950007</v>
      </c>
      <c r="E759" s="153" t="s">
        <v>1211</v>
      </c>
      <c r="F759" s="1333">
        <v>610129</v>
      </c>
      <c r="G759" s="1333">
        <v>187997.72</v>
      </c>
      <c r="H759" s="1333">
        <f>VLOOKUP(D759,'מאזן בוחן'!$C:$M,11,0)-G759</f>
        <v>0</v>
      </c>
      <c r="I759" s="1333">
        <f>VLOOKUP(D759,'מאזן בוחן'!C:J,3,0)-F759</f>
        <v>0</v>
      </c>
      <c r="J759" s="1333"/>
      <c r="K759" s="137"/>
      <c r="L759" s="137"/>
      <c r="M759" s="32"/>
      <c r="N759" s="32"/>
      <c r="O759" s="32"/>
      <c r="P759" s="32"/>
      <c r="Q759" s="32"/>
    </row>
    <row r="760" spans="1:17">
      <c r="A760" s="153" t="s">
        <v>1301</v>
      </c>
      <c r="B760" s="153" t="s">
        <v>2939</v>
      </c>
      <c r="C760" s="153" t="s">
        <v>372</v>
      </c>
      <c r="D760" s="737">
        <v>9950008</v>
      </c>
      <c r="E760" s="153" t="s">
        <v>1212</v>
      </c>
      <c r="F760" s="535">
        <v>3138822</v>
      </c>
      <c r="G760" s="153">
        <v>956845.64</v>
      </c>
      <c r="H760" s="1333">
        <f>VLOOKUP(D760,'מאזן בוחן'!$C:$M,11,0)-G760</f>
        <v>0</v>
      </c>
      <c r="I760" s="1333">
        <f>VLOOKUP(D760,'מאזן בוחן'!C:J,3,0)-F760</f>
        <v>0</v>
      </c>
      <c r="J760" s="1333"/>
      <c r="K760" s="32"/>
      <c r="L760" s="1083"/>
      <c r="M760" s="32"/>
      <c r="N760" s="32"/>
      <c r="O760" s="32"/>
      <c r="P760" s="32"/>
      <c r="Q760" s="32"/>
    </row>
    <row r="761" spans="1:17">
      <c r="A761" s="153" t="s">
        <v>1301</v>
      </c>
      <c r="B761" s="153" t="s">
        <v>2939</v>
      </c>
      <c r="C761" s="153" t="s">
        <v>372</v>
      </c>
      <c r="D761" s="737">
        <v>9950009</v>
      </c>
      <c r="E761" s="153" t="s">
        <v>1213</v>
      </c>
      <c r="F761" s="535">
        <v>527682</v>
      </c>
      <c r="G761" s="153">
        <v>162144.18</v>
      </c>
      <c r="H761" s="1333">
        <f>VLOOKUP(D761,'מאזן בוחן'!$C:$M,11,0)-G761</f>
        <v>0</v>
      </c>
      <c r="I761" s="1333">
        <f>VLOOKUP(D761,'מאזן בוחן'!C:J,3,0)-F761</f>
        <v>0</v>
      </c>
      <c r="J761" s="1333"/>
      <c r="K761" s="32"/>
      <c r="L761" s="1083"/>
      <c r="M761" s="32"/>
      <c r="N761" s="32"/>
      <c r="O761" s="32"/>
      <c r="P761" s="32"/>
      <c r="Q761" s="32"/>
    </row>
    <row r="762" spans="1:17">
      <c r="A762" s="153" t="s">
        <v>1301</v>
      </c>
      <c r="B762" s="153" t="s">
        <v>2939</v>
      </c>
      <c r="C762" s="153" t="s">
        <v>372</v>
      </c>
      <c r="D762" s="737">
        <v>9950021</v>
      </c>
      <c r="E762" s="153" t="s">
        <v>380</v>
      </c>
      <c r="F762" s="535">
        <v>1120382</v>
      </c>
      <c r="G762" s="153">
        <v>346955.32</v>
      </c>
      <c r="H762" s="1333">
        <f>VLOOKUP(D762,'מאזן בוחן'!$C:$M,11,0)-G762</f>
        <v>0</v>
      </c>
      <c r="I762" s="1333">
        <f>VLOOKUP(D762,'מאזן בוחן'!C:J,3,0)-F762</f>
        <v>0</v>
      </c>
      <c r="J762" s="1333"/>
      <c r="K762" s="32"/>
      <c r="L762" s="1083"/>
      <c r="M762" s="32"/>
      <c r="N762" s="32"/>
      <c r="O762" s="32"/>
      <c r="P762" s="32"/>
      <c r="Q762" s="32"/>
    </row>
    <row r="763" spans="1:17">
      <c r="A763" s="153" t="s">
        <v>1301</v>
      </c>
      <c r="B763" s="153" t="s">
        <v>2939</v>
      </c>
      <c r="C763" s="153" t="s">
        <v>372</v>
      </c>
      <c r="D763" s="737">
        <v>9950022</v>
      </c>
      <c r="E763" s="153" t="s">
        <v>381</v>
      </c>
      <c r="F763" s="153">
        <v>539853</v>
      </c>
      <c r="G763" s="153">
        <v>167167.16</v>
      </c>
      <c r="H763" s="1333">
        <f>VLOOKUP(D763,'מאזן בוחן'!$C:$M,11,0)-G763</f>
        <v>0</v>
      </c>
      <c r="I763" s="1333">
        <f>VLOOKUP(D763,'מאזן בוחן'!C:J,3,0)-F763</f>
        <v>0</v>
      </c>
      <c r="J763" s="1333"/>
      <c r="K763" s="32"/>
      <c r="L763" s="1083"/>
      <c r="M763" s="32"/>
      <c r="N763" s="32"/>
      <c r="O763" s="32"/>
      <c r="P763" s="32"/>
      <c r="Q763" s="32"/>
    </row>
    <row r="764" spans="1:17">
      <c r="A764" s="153" t="s">
        <v>1301</v>
      </c>
      <c r="B764" s="153" t="s">
        <v>2939</v>
      </c>
      <c r="C764" s="153" t="s">
        <v>372</v>
      </c>
      <c r="D764" s="737">
        <v>9950023</v>
      </c>
      <c r="E764" s="153" t="s">
        <v>382</v>
      </c>
      <c r="F764" s="535">
        <v>420</v>
      </c>
      <c r="G764" s="153">
        <v>130.07</v>
      </c>
      <c r="H764" s="1333">
        <f>VLOOKUP(D764,'מאזן בוחן'!$C:$M,11,0)-G764</f>
        <v>0</v>
      </c>
      <c r="I764" s="1333">
        <f>VLOOKUP(D764,'מאזן בוחן'!C:J,3,0)-F764</f>
        <v>0</v>
      </c>
      <c r="J764" s="1333"/>
      <c r="K764" s="32"/>
      <c r="L764" s="1083"/>
      <c r="M764" s="32"/>
      <c r="N764" s="32"/>
      <c r="O764" s="32"/>
      <c r="P764" s="32"/>
      <c r="Q764" s="32"/>
    </row>
    <row r="765" spans="1:17">
      <c r="A765" s="153" t="s">
        <v>1301</v>
      </c>
      <c r="B765" s="153" t="s">
        <v>2939</v>
      </c>
      <c r="C765" s="153" t="s">
        <v>372</v>
      </c>
      <c r="D765" s="737">
        <v>9950024</v>
      </c>
      <c r="E765" s="153" t="s">
        <v>383</v>
      </c>
      <c r="F765" s="535">
        <v>1214573</v>
      </c>
      <c r="G765" s="153">
        <v>377277.48</v>
      </c>
      <c r="H765" s="1333">
        <f>VLOOKUP(D765,'מאזן בוחן'!$C:$M,11,0)-G765</f>
        <v>0</v>
      </c>
      <c r="I765" s="1333">
        <f>VLOOKUP(D765,'מאזן בוחן'!C:J,3,0)-F765</f>
        <v>0</v>
      </c>
      <c r="J765" s="1333"/>
      <c r="K765" s="32"/>
      <c r="L765" s="1083"/>
      <c r="M765" s="32"/>
      <c r="N765" s="32"/>
      <c r="O765" s="32"/>
      <c r="P765" s="32"/>
      <c r="Q765" s="32"/>
    </row>
    <row r="766" spans="1:17">
      <c r="A766" s="153" t="s">
        <v>1301</v>
      </c>
      <c r="B766" s="153" t="s">
        <v>2939</v>
      </c>
      <c r="C766" s="153" t="s">
        <v>372</v>
      </c>
      <c r="D766" s="737">
        <v>9950025</v>
      </c>
      <c r="E766" s="153" t="s">
        <v>384</v>
      </c>
      <c r="F766" s="535">
        <v>113022</v>
      </c>
      <c r="G766" s="153">
        <v>34143.4</v>
      </c>
      <c r="H766" s="1333">
        <f>VLOOKUP(D766,'מאזן בוחן'!$C:$M,11,0)-G766</f>
        <v>0</v>
      </c>
      <c r="I766" s="1333">
        <f>VLOOKUP(D766,'מאזן בוחן'!C:J,3,0)-F766</f>
        <v>0</v>
      </c>
      <c r="J766" s="1333"/>
      <c r="K766" s="32"/>
      <c r="L766" s="1083"/>
      <c r="M766" s="32"/>
      <c r="N766" s="32"/>
      <c r="O766" s="32"/>
      <c r="P766" s="32"/>
      <c r="Q766" s="32"/>
    </row>
    <row r="767" spans="1:17">
      <c r="A767" s="153" t="s">
        <v>1301</v>
      </c>
      <c r="B767" s="153" t="s">
        <v>2939</v>
      </c>
      <c r="C767" s="153" t="s">
        <v>372</v>
      </c>
      <c r="D767" s="737">
        <v>9950026</v>
      </c>
      <c r="E767" s="153" t="s">
        <v>1214</v>
      </c>
      <c r="F767" s="153">
        <v>454470</v>
      </c>
      <c r="G767" s="153">
        <v>140774.47</v>
      </c>
      <c r="H767" s="1333">
        <f>VLOOKUP(D767,'מאזן בוחן'!$C:$M,11,0)-G767</f>
        <v>0</v>
      </c>
      <c r="I767" s="1333">
        <f>VLOOKUP(D767,'מאזן בוחן'!C:J,3,0)-F767</f>
        <v>0</v>
      </c>
      <c r="J767" s="1333"/>
      <c r="K767" s="32"/>
      <c r="L767" s="1083"/>
      <c r="M767" s="32"/>
      <c r="N767" s="32"/>
      <c r="O767" s="32"/>
      <c r="P767" s="32"/>
      <c r="Q767" s="32"/>
    </row>
    <row r="768" spans="1:17">
      <c r="A768" s="153" t="s">
        <v>1301</v>
      </c>
      <c r="B768" s="153" t="s">
        <v>2939</v>
      </c>
      <c r="C768" s="153" t="s">
        <v>372</v>
      </c>
      <c r="D768" s="737">
        <v>9950027</v>
      </c>
      <c r="E768" s="153" t="s">
        <v>4684</v>
      </c>
      <c r="F768" s="535">
        <v>331641</v>
      </c>
      <c r="G768" s="153">
        <v>106636.98</v>
      </c>
      <c r="H768" s="1333">
        <f>VLOOKUP(D768,'מאזן בוחן'!$C:$M,11,0)-G768</f>
        <v>0</v>
      </c>
      <c r="I768" s="1333">
        <f>VLOOKUP(D768,'מאזן בוחן'!C:J,3,0)-F768</f>
        <v>0</v>
      </c>
      <c r="J768" s="1333"/>
      <c r="K768" s="32"/>
      <c r="L768" s="1083"/>
      <c r="M768" s="32"/>
      <c r="N768" s="32"/>
      <c r="O768" s="32"/>
      <c r="P768" s="32"/>
      <c r="Q768" s="32"/>
    </row>
    <row r="769" spans="1:17">
      <c r="A769" s="153" t="s">
        <v>1301</v>
      </c>
      <c r="B769" s="153" t="s">
        <v>2939</v>
      </c>
      <c r="C769" s="153" t="s">
        <v>372</v>
      </c>
      <c r="D769" s="737">
        <v>9950031</v>
      </c>
      <c r="E769" s="153" t="s">
        <v>386</v>
      </c>
      <c r="F769" s="535">
        <v>-1120382</v>
      </c>
      <c r="G769" s="153">
        <v>-346955.32</v>
      </c>
      <c r="H769" s="1333">
        <f>VLOOKUP(D769,'מאזן בוחן'!$C:$M,11,0)-G769</f>
        <v>0</v>
      </c>
      <c r="I769" s="1333">
        <f>VLOOKUP(D769,'מאזן בוחן'!C:J,3,0)-F769</f>
        <v>0</v>
      </c>
      <c r="J769" s="1333"/>
      <c r="K769" s="32"/>
      <c r="L769" s="1083"/>
      <c r="M769" s="32"/>
      <c r="N769" s="32"/>
      <c r="O769" s="32"/>
      <c r="P769" s="32"/>
      <c r="Q769" s="32"/>
    </row>
    <row r="770" spans="1:17">
      <c r="A770" s="153" t="s">
        <v>1301</v>
      </c>
      <c r="B770" s="153" t="s">
        <v>2939</v>
      </c>
      <c r="C770" s="153" t="s">
        <v>372</v>
      </c>
      <c r="D770" s="737">
        <v>9950032</v>
      </c>
      <c r="E770" s="153" t="s">
        <v>387</v>
      </c>
      <c r="F770" s="153">
        <v>-539853</v>
      </c>
      <c r="G770" s="153">
        <v>-167167.16</v>
      </c>
      <c r="H770" s="1333">
        <f>VLOOKUP(D770,'מאזן בוחן'!$C:$M,11,0)-G770</f>
        <v>0</v>
      </c>
      <c r="I770" s="1333">
        <f>VLOOKUP(D770,'מאזן בוחן'!C:J,3,0)-F770</f>
        <v>0</v>
      </c>
      <c r="J770" s="1333"/>
      <c r="K770" s="32"/>
      <c r="L770" s="1083"/>
      <c r="M770" s="32"/>
      <c r="N770" s="32"/>
      <c r="O770" s="32"/>
      <c r="P770" s="32"/>
      <c r="Q770" s="32"/>
    </row>
    <row r="771" spans="1:17">
      <c r="A771" s="153" t="s">
        <v>1301</v>
      </c>
      <c r="B771" s="153" t="s">
        <v>2939</v>
      </c>
      <c r="C771" s="153" t="s">
        <v>372</v>
      </c>
      <c r="D771" s="737">
        <v>9950033</v>
      </c>
      <c r="E771" s="153" t="s">
        <v>388</v>
      </c>
      <c r="F771" s="535">
        <v>-420</v>
      </c>
      <c r="G771" s="153">
        <v>-130.07</v>
      </c>
      <c r="H771" s="1333">
        <f>VLOOKUP(D771,'מאזן בוחן'!$C:$M,11,0)-G771</f>
        <v>0</v>
      </c>
      <c r="I771" s="1333">
        <f>VLOOKUP(D771,'מאזן בוחן'!C:J,3,0)-F771</f>
        <v>0</v>
      </c>
      <c r="J771" s="1333"/>
      <c r="K771" s="32"/>
      <c r="L771" s="1083"/>
      <c r="M771" s="32"/>
      <c r="N771" s="32"/>
      <c r="O771" s="32"/>
      <c r="P771" s="32"/>
      <c r="Q771" s="32"/>
    </row>
    <row r="772" spans="1:17">
      <c r="A772" s="153" t="s">
        <v>1301</v>
      </c>
      <c r="B772" s="153" t="s">
        <v>2939</v>
      </c>
      <c r="C772" s="153" t="s">
        <v>372</v>
      </c>
      <c r="D772" s="737">
        <v>9950034</v>
      </c>
      <c r="E772" s="153" t="s">
        <v>389</v>
      </c>
      <c r="F772" s="535">
        <v>-1214573</v>
      </c>
      <c r="G772" s="153">
        <v>-377277.48</v>
      </c>
      <c r="H772" s="1333">
        <f>VLOOKUP(D772,'מאזן בוחן'!$C:$M,11,0)-G772</f>
        <v>0</v>
      </c>
      <c r="I772" s="1333">
        <f>VLOOKUP(D772,'מאזן בוחן'!C:J,3,0)-F772</f>
        <v>0</v>
      </c>
      <c r="J772" s="1333"/>
      <c r="K772" s="32"/>
      <c r="L772" s="1083"/>
      <c r="M772" s="32"/>
      <c r="N772" s="32"/>
      <c r="O772" s="32"/>
      <c r="P772" s="32"/>
      <c r="Q772" s="32"/>
    </row>
    <row r="773" spans="1:17">
      <c r="A773" s="153" t="s">
        <v>1301</v>
      </c>
      <c r="B773" s="153" t="s">
        <v>2939</v>
      </c>
      <c r="C773" s="153" t="s">
        <v>372</v>
      </c>
      <c r="D773" s="737">
        <v>9950035</v>
      </c>
      <c r="E773" s="153" t="s">
        <v>390</v>
      </c>
      <c r="F773" s="153">
        <v>-113022</v>
      </c>
      <c r="G773" s="153">
        <v>-34143.4</v>
      </c>
      <c r="H773" s="1333">
        <f>VLOOKUP(D773,'מאזן בוחן'!$C:$M,11,0)-G773</f>
        <v>0</v>
      </c>
      <c r="I773" s="1333">
        <f>VLOOKUP(D773,'מאזן בוחן'!C:J,3,0)-F773</f>
        <v>0</v>
      </c>
      <c r="J773" s="1333"/>
      <c r="K773" s="32"/>
      <c r="L773" s="1083"/>
      <c r="M773" s="32"/>
      <c r="N773" s="32"/>
      <c r="O773" s="32"/>
    </row>
    <row r="774" spans="1:17">
      <c r="A774" s="153" t="s">
        <v>1301</v>
      </c>
      <c r="B774" s="153" t="s">
        <v>2939</v>
      </c>
      <c r="C774" s="153" t="s">
        <v>372</v>
      </c>
      <c r="D774" s="737">
        <v>9950036</v>
      </c>
      <c r="E774" s="153" t="s">
        <v>1215</v>
      </c>
      <c r="F774" s="535">
        <v>-454470</v>
      </c>
      <c r="G774" s="153">
        <v>-140774.47</v>
      </c>
      <c r="H774" s="1333">
        <f>VLOOKUP(D774,'מאזן בוחן'!$C:$M,11,0)-G774</f>
        <v>0</v>
      </c>
      <c r="I774" s="1333">
        <f>VLOOKUP(D774,'מאזן בוחן'!C:J,3,0)-F774</f>
        <v>0</v>
      </c>
      <c r="J774" s="1333"/>
      <c r="K774" s="32"/>
      <c r="L774" s="1083"/>
      <c r="M774" s="32"/>
      <c r="N774" s="32"/>
      <c r="O774" s="32"/>
    </row>
    <row r="775" spans="1:17">
      <c r="A775" s="153" t="s">
        <v>1301</v>
      </c>
      <c r="B775" s="153" t="s">
        <v>2939</v>
      </c>
      <c r="C775" s="153" t="s">
        <v>372</v>
      </c>
      <c r="D775" s="737">
        <v>9950037</v>
      </c>
      <c r="E775" s="153" t="s">
        <v>4685</v>
      </c>
      <c r="F775" s="535">
        <v>-331641</v>
      </c>
      <c r="G775" s="153">
        <v>-106636.98</v>
      </c>
      <c r="H775" s="1333">
        <f>VLOOKUP(D775,'מאזן בוחן'!$C:$M,11,0)-G775</f>
        <v>0</v>
      </c>
      <c r="I775" s="1333">
        <f>VLOOKUP(D775,'מאזן בוחן'!C:J,3,0)-F775</f>
        <v>0</v>
      </c>
      <c r="J775" s="1333"/>
      <c r="K775" s="32"/>
      <c r="L775" s="1083"/>
      <c r="M775" s="32"/>
      <c r="N775" s="32"/>
      <c r="O775" s="32"/>
    </row>
    <row r="776" spans="1:17">
      <c r="A776" s="153" t="s">
        <v>1301</v>
      </c>
      <c r="B776" s="153" t="s">
        <v>2939</v>
      </c>
      <c r="C776" s="153" t="s">
        <v>372</v>
      </c>
      <c r="D776" s="737">
        <v>9950550</v>
      </c>
      <c r="E776" s="153" t="s">
        <v>391</v>
      </c>
      <c r="F776" s="160">
        <v>1119.27</v>
      </c>
      <c r="G776" s="153">
        <v>375.73</v>
      </c>
      <c r="H776" s="1333">
        <f>VLOOKUP(D776,'מאזן בוחן'!$C:$M,11,0)-G776</f>
        <v>0</v>
      </c>
      <c r="I776" s="1333">
        <f>VLOOKUP(D776,'מאזן בוחן'!C:J,3,0)-F776</f>
        <v>0</v>
      </c>
      <c r="J776" s="1333"/>
      <c r="K776" s="32"/>
      <c r="L776" s="1083"/>
      <c r="M776" s="32"/>
      <c r="N776" s="32"/>
      <c r="O776" s="32"/>
    </row>
    <row r="777" spans="1:17">
      <c r="A777" s="153" t="s">
        <v>1301</v>
      </c>
      <c r="B777" s="153" t="s">
        <v>2939</v>
      </c>
      <c r="C777" s="153" t="s">
        <v>372</v>
      </c>
      <c r="D777" s="737">
        <v>9950551</v>
      </c>
      <c r="E777" s="153" t="s">
        <v>209</v>
      </c>
      <c r="F777" s="160">
        <v>-44578</v>
      </c>
      <c r="G777" s="153">
        <v>-13577.52</v>
      </c>
      <c r="H777" s="1333">
        <f>VLOOKUP(D777,'מאזן בוחן'!$C:$M,11,0)-G777</f>
        <v>0</v>
      </c>
      <c r="I777" s="1333">
        <f>VLOOKUP(D777,'מאזן בוחן'!C:J,3,0)-F777</f>
        <v>0</v>
      </c>
      <c r="J777" s="1333"/>
      <c r="K777" s="32"/>
      <c r="L777" s="1083"/>
      <c r="M777" s="32"/>
      <c r="N777" s="32"/>
      <c r="O777" s="32"/>
    </row>
    <row r="778" spans="1:17">
      <c r="A778" s="153" t="s">
        <v>1301</v>
      </c>
      <c r="B778" s="153" t="s">
        <v>2939</v>
      </c>
      <c r="C778" s="153" t="s">
        <v>372</v>
      </c>
      <c r="D778" s="737">
        <v>9950599</v>
      </c>
      <c r="E778" s="153" t="s">
        <v>392</v>
      </c>
      <c r="F778" s="160">
        <v>-81715166</v>
      </c>
      <c r="G778" s="153">
        <v>-25287129.329999998</v>
      </c>
      <c r="H778" s="1333">
        <f>VLOOKUP(D778,'מאזן בוחן'!$C:$M,11,0)-G778</f>
        <v>0</v>
      </c>
      <c r="I778" s="1333">
        <f>VLOOKUP(D778,'מאזן בוחן'!C:J,3,0)-F778</f>
        <v>0</v>
      </c>
      <c r="J778" s="1333"/>
      <c r="K778" s="32"/>
      <c r="L778" s="1083"/>
      <c r="M778" s="32"/>
      <c r="N778" s="32"/>
      <c r="O778" s="32"/>
    </row>
    <row r="779" spans="1:17">
      <c r="A779" s="153"/>
      <c r="B779" s="153"/>
      <c r="C779" s="153"/>
      <c r="D779" s="737"/>
      <c r="E779" s="153"/>
      <c r="F779" s="160"/>
      <c r="G779" s="153"/>
      <c r="H779" s="1333"/>
      <c r="I779" s="1333"/>
      <c r="J779" s="1333"/>
      <c r="K779" s="32"/>
      <c r="L779" s="1083"/>
      <c r="M779" s="32"/>
      <c r="N779" s="32"/>
      <c r="O779" s="32"/>
    </row>
    <row r="780" spans="1:17">
      <c r="A780" s="159"/>
      <c r="B780" s="159"/>
      <c r="C780" s="159"/>
      <c r="D780" s="587"/>
      <c r="E780" s="159"/>
      <c r="F780" s="160"/>
      <c r="G780" s="161"/>
      <c r="H780" s="1333"/>
      <c r="I780" s="1333"/>
      <c r="J780" s="1333"/>
      <c r="K780" s="32"/>
      <c r="L780" s="1083"/>
      <c r="M780" s="32"/>
      <c r="N780" s="32"/>
      <c r="O780" s="32"/>
    </row>
    <row r="781" spans="1:17">
      <c r="A781" s="159"/>
      <c r="B781" s="159"/>
      <c r="C781" s="159"/>
      <c r="D781" s="587"/>
      <c r="E781" s="159"/>
      <c r="F781" s="160"/>
      <c r="G781" s="161"/>
      <c r="H781" s="1333"/>
      <c r="I781" s="1333"/>
      <c r="J781" s="1333"/>
      <c r="K781" s="32"/>
      <c r="L781" s="1083"/>
      <c r="M781" s="32"/>
      <c r="N781" s="32"/>
      <c r="O781" s="32"/>
    </row>
    <row r="782" spans="1:17">
      <c r="A782" s="159"/>
      <c r="B782" s="159"/>
      <c r="C782" s="159"/>
      <c r="D782" s="587"/>
      <c r="E782" s="159"/>
      <c r="F782" s="160"/>
      <c r="G782" s="161"/>
      <c r="H782" s="1333"/>
      <c r="I782" s="1333"/>
      <c r="J782" s="1333"/>
      <c r="K782" s="32"/>
      <c r="L782" s="1083"/>
      <c r="M782" s="32"/>
      <c r="N782" s="32"/>
      <c r="O782" s="32"/>
    </row>
    <row r="783" spans="1:17">
      <c r="A783" s="159"/>
      <c r="B783" s="159"/>
      <c r="C783" s="159"/>
      <c r="D783" s="587"/>
      <c r="E783" s="159"/>
      <c r="F783" s="160"/>
      <c r="G783" s="161"/>
      <c r="H783" s="1333"/>
      <c r="I783" s="1333"/>
      <c r="J783" s="1333"/>
      <c r="K783" s="32"/>
      <c r="L783" s="1083"/>
      <c r="M783" s="32"/>
      <c r="N783" s="32"/>
      <c r="O783" s="32"/>
    </row>
    <row r="784" spans="1:17">
      <c r="A784" s="159"/>
      <c r="B784" s="159"/>
      <c r="C784" s="159"/>
      <c r="D784" s="587"/>
      <c r="E784" s="159"/>
      <c r="F784" s="160"/>
      <c r="G784" s="161"/>
      <c r="H784" s="1333"/>
      <c r="I784" s="1333"/>
      <c r="J784" s="1333"/>
      <c r="K784" s="32"/>
      <c r="L784" s="1083"/>
      <c r="M784" s="32"/>
      <c r="N784" s="32"/>
      <c r="O784" s="32"/>
    </row>
    <row r="785" spans="1:15">
      <c r="A785" s="159"/>
      <c r="B785" s="159"/>
      <c r="C785" s="159"/>
      <c r="D785" s="587"/>
      <c r="E785" s="159"/>
      <c r="F785" s="160"/>
      <c r="G785" s="161"/>
      <c r="H785" s="1333"/>
      <c r="I785" s="1333"/>
      <c r="J785" s="1333"/>
      <c r="K785" s="32"/>
      <c r="L785" s="1083"/>
      <c r="M785" s="32"/>
      <c r="N785" s="32"/>
      <c r="O785" s="32"/>
    </row>
    <row r="786" spans="1:15">
      <c r="A786" s="159"/>
      <c r="B786" s="159"/>
      <c r="C786" s="159"/>
      <c r="D786" s="587"/>
      <c r="E786" s="159"/>
      <c r="F786" s="160"/>
      <c r="G786" s="161"/>
      <c r="H786" s="1333"/>
      <c r="I786" s="1333"/>
      <c r="J786" s="1333"/>
      <c r="K786" s="32"/>
      <c r="L786" s="1083"/>
      <c r="M786" s="32"/>
      <c r="N786" s="32"/>
      <c r="O786" s="32"/>
    </row>
    <row r="787" spans="1:15">
      <c r="A787" s="159"/>
      <c r="B787" s="159"/>
      <c r="C787" s="159"/>
      <c r="D787" s="587"/>
      <c r="E787" s="159"/>
      <c r="F787" s="160"/>
      <c r="G787" s="161"/>
      <c r="H787" s="1333"/>
      <c r="I787" s="1333"/>
      <c r="J787" s="1333"/>
      <c r="K787" s="32"/>
      <c r="L787" s="1083"/>
      <c r="M787" s="32"/>
      <c r="N787" s="32"/>
      <c r="O787" s="32"/>
    </row>
    <row r="788" spans="1:15">
      <c r="A788" s="159"/>
      <c r="B788" s="159"/>
      <c r="C788" s="159"/>
      <c r="D788" s="587"/>
      <c r="E788" s="159"/>
      <c r="F788" s="160"/>
      <c r="G788" s="161"/>
      <c r="H788" s="1333"/>
      <c r="I788" s="1333"/>
      <c r="J788" s="32"/>
      <c r="K788" s="32"/>
      <c r="L788" s="1083"/>
    </row>
    <row r="789" spans="1:15">
      <c r="A789" s="159"/>
      <c r="B789" s="159"/>
      <c r="C789" s="159"/>
      <c r="D789" s="587"/>
      <c r="E789" s="159"/>
      <c r="F789" s="160"/>
      <c r="G789" s="161"/>
      <c r="H789" s="1333"/>
      <c r="I789" s="1333"/>
      <c r="J789" s="32"/>
      <c r="K789" s="32"/>
      <c r="L789" s="1083"/>
    </row>
    <row r="790" spans="1:15">
      <c r="A790" s="159"/>
      <c r="B790" s="159"/>
      <c r="C790" s="159"/>
      <c r="D790" s="587"/>
      <c r="E790" s="159"/>
      <c r="F790" s="160"/>
      <c r="G790" s="161"/>
      <c r="H790" s="1333"/>
      <c r="I790" s="1333"/>
      <c r="J790" s="32"/>
      <c r="K790" s="32"/>
      <c r="L790" s="1083"/>
    </row>
    <row r="791" spans="1:15">
      <c r="A791" s="159"/>
      <c r="B791" s="159"/>
      <c r="C791" s="159"/>
      <c r="D791" s="587"/>
      <c r="E791" s="159"/>
      <c r="F791" s="160"/>
      <c r="G791" s="161"/>
      <c r="H791" s="1333"/>
      <c r="I791" s="1333"/>
      <c r="J791" s="32"/>
      <c r="K791" s="32"/>
      <c r="L791" s="1083"/>
    </row>
    <row r="792" spans="1:15">
      <c r="A792" s="159"/>
      <c r="B792" s="159"/>
      <c r="C792" s="159"/>
      <c r="D792" s="587"/>
      <c r="E792" s="159"/>
      <c r="F792" s="160"/>
      <c r="G792" s="161"/>
      <c r="H792" s="1333"/>
      <c r="I792" s="1333"/>
      <c r="J792" s="32"/>
      <c r="K792" s="32"/>
      <c r="L792" s="1083"/>
    </row>
    <row r="793" spans="1:15">
      <c r="A793" s="159"/>
      <c r="B793" s="159"/>
      <c r="C793" s="159"/>
      <c r="D793" s="587"/>
      <c r="E793" s="159"/>
      <c r="F793" s="160"/>
      <c r="G793" s="161"/>
      <c r="H793" s="1333"/>
      <c r="I793" s="1333"/>
      <c r="J793" s="32"/>
      <c r="K793" s="32"/>
      <c r="L793" s="1083"/>
    </row>
    <row r="794" spans="1:15">
      <c r="A794" s="159"/>
      <c r="B794" s="159"/>
      <c r="C794" s="159"/>
      <c r="D794" s="587"/>
      <c r="E794" s="159"/>
      <c r="F794" s="160"/>
      <c r="G794" s="161"/>
      <c r="H794" s="1333"/>
      <c r="I794" s="1333"/>
      <c r="J794" s="32"/>
      <c r="K794" s="32"/>
      <c r="L794" s="1083"/>
    </row>
    <row r="795" spans="1:15">
      <c r="A795" s="159"/>
      <c r="B795" s="159"/>
      <c r="C795" s="159"/>
      <c r="D795" s="587"/>
      <c r="E795" s="159"/>
      <c r="F795" s="160"/>
      <c r="G795" s="161"/>
      <c r="H795" s="1333"/>
      <c r="I795" s="1333"/>
      <c r="J795" s="32"/>
      <c r="K795" s="32"/>
      <c r="L795" s="1083"/>
    </row>
    <row r="796" spans="1:15">
      <c r="A796" s="159"/>
      <c r="B796" s="159"/>
      <c r="C796" s="159"/>
      <c r="D796" s="587"/>
      <c r="E796" s="159"/>
      <c r="F796" s="160"/>
      <c r="G796" s="161"/>
      <c r="H796" s="1333"/>
      <c r="I796" s="1333"/>
      <c r="J796" s="32"/>
      <c r="K796" s="32"/>
      <c r="L796" s="1083"/>
    </row>
    <row r="797" spans="1:15">
      <c r="A797" s="159"/>
      <c r="B797" s="159"/>
      <c r="C797" s="159"/>
      <c r="D797" s="587"/>
      <c r="E797" s="159"/>
      <c r="F797" s="160"/>
      <c r="G797" s="161"/>
      <c r="H797" s="1333"/>
      <c r="I797" s="1333"/>
      <c r="J797" s="32"/>
      <c r="K797" s="32"/>
      <c r="L797" s="1083"/>
    </row>
    <row r="798" spans="1:15">
      <c r="D798" s="1376"/>
      <c r="H798" s="1333"/>
      <c r="I798" s="1333"/>
      <c r="J798" s="32"/>
      <c r="K798" s="32"/>
      <c r="L798" s="1083"/>
    </row>
    <row r="799" spans="1:15">
      <c r="D799" s="1376"/>
      <c r="H799" s="1333"/>
      <c r="I799" s="1333"/>
      <c r="J799" s="32"/>
      <c r="K799" s="32"/>
      <c r="L799" s="1083"/>
    </row>
    <row r="800" spans="1:15">
      <c r="D800" s="1376"/>
      <c r="H800" s="1333"/>
      <c r="I800" s="1333"/>
      <c r="J800" s="32"/>
      <c r="K800" s="32"/>
      <c r="L800" s="1083"/>
    </row>
    <row r="801" spans="4:12">
      <c r="D801" s="1376"/>
      <c r="H801" s="1333"/>
      <c r="I801" s="1333"/>
      <c r="J801" s="32"/>
      <c r="K801" s="32"/>
      <c r="L801" s="1083"/>
    </row>
    <row r="802" spans="4:12">
      <c r="D802" s="1376"/>
      <c r="H802" s="1333"/>
      <c r="I802" s="1333"/>
      <c r="J802" s="32"/>
      <c r="K802" s="32"/>
      <c r="L802" s="1083"/>
    </row>
    <row r="803" spans="4:12">
      <c r="D803" s="1376"/>
      <c r="H803" s="1333"/>
      <c r="I803" s="1333"/>
      <c r="J803" s="32"/>
      <c r="K803" s="32"/>
      <c r="L803" s="1083"/>
    </row>
    <row r="804" spans="4:12">
      <c r="D804" s="1376"/>
      <c r="H804" s="1333"/>
      <c r="I804" s="1333"/>
      <c r="J804" s="32"/>
      <c r="K804" s="32"/>
      <c r="L804" s="1083"/>
    </row>
    <row r="805" spans="4:12">
      <c r="D805" s="1376"/>
      <c r="H805" s="1333"/>
      <c r="I805" s="1333"/>
      <c r="J805" s="32"/>
      <c r="K805" s="32"/>
      <c r="L805" s="1083"/>
    </row>
    <row r="806" spans="4:12">
      <c r="D806" s="1376"/>
      <c r="H806" s="1333"/>
      <c r="I806" s="1333"/>
      <c r="J806" s="32"/>
      <c r="K806" s="32"/>
      <c r="L806" s="1083"/>
    </row>
    <row r="807" spans="4:12">
      <c r="D807" s="1376"/>
      <c r="H807" s="1333"/>
      <c r="I807" s="1333"/>
      <c r="J807" s="32"/>
      <c r="K807" s="32"/>
      <c r="L807" s="1083"/>
    </row>
    <row r="808" spans="4:12">
      <c r="D808" s="1376"/>
      <c r="H808" s="1333"/>
      <c r="I808" s="1333"/>
      <c r="J808" s="32"/>
      <c r="K808" s="32"/>
      <c r="L808" s="1083"/>
    </row>
    <row r="809" spans="4:12">
      <c r="D809" s="1376"/>
      <c r="H809" s="1333"/>
      <c r="I809" s="1333"/>
      <c r="J809" s="32"/>
      <c r="K809" s="32"/>
      <c r="L809" s="1083"/>
    </row>
    <row r="810" spans="4:12">
      <c r="D810" s="1376"/>
      <c r="H810" s="1333"/>
      <c r="I810" s="1333"/>
      <c r="J810" s="32"/>
      <c r="K810" s="32"/>
      <c r="L810" s="1083"/>
    </row>
    <row r="811" spans="4:12">
      <c r="D811" s="1376"/>
      <c r="H811" s="1333"/>
      <c r="I811" s="1333"/>
      <c r="J811" s="32"/>
      <c r="K811" s="32"/>
      <c r="L811" s="1083"/>
    </row>
    <row r="812" spans="4:12">
      <c r="D812" s="1376"/>
      <c r="H812" s="1333"/>
      <c r="I812" s="1333"/>
      <c r="J812" s="32"/>
      <c r="K812" s="32"/>
      <c r="L812" s="1083"/>
    </row>
    <row r="813" spans="4:12">
      <c r="D813" s="1376"/>
      <c r="H813" s="1333"/>
      <c r="I813" s="1333"/>
      <c r="J813" s="32"/>
      <c r="K813" s="32"/>
      <c r="L813" s="1083"/>
    </row>
    <row r="814" spans="4:12">
      <c r="D814" s="1376"/>
      <c r="H814" s="1333"/>
      <c r="I814" s="1333"/>
      <c r="J814" s="32"/>
      <c r="K814" s="32"/>
      <c r="L814" s="1083"/>
    </row>
    <row r="815" spans="4:12">
      <c r="D815" s="1376"/>
      <c r="H815" s="1333"/>
      <c r="I815" s="1333"/>
      <c r="J815" s="32"/>
      <c r="K815" s="32"/>
      <c r="L815" s="1083"/>
    </row>
    <row r="816" spans="4:12">
      <c r="D816" s="1376"/>
      <c r="H816" s="1333"/>
      <c r="I816" s="1333"/>
      <c r="J816" s="32"/>
      <c r="K816" s="32"/>
      <c r="L816" s="1083"/>
    </row>
    <row r="817" spans="4:12">
      <c r="D817" s="1376"/>
      <c r="H817" s="1333"/>
      <c r="I817" s="1333"/>
      <c r="J817" s="32"/>
      <c r="K817" s="32"/>
      <c r="L817" s="1083"/>
    </row>
    <row r="818" spans="4:12">
      <c r="D818" s="1376"/>
      <c r="H818" s="1333"/>
      <c r="I818" s="1333"/>
      <c r="J818" s="32"/>
      <c r="K818" s="32"/>
      <c r="L818" s="1083"/>
    </row>
    <row r="819" spans="4:12">
      <c r="D819" s="1376"/>
      <c r="H819" s="1333"/>
      <c r="I819" s="1333"/>
      <c r="J819" s="32"/>
      <c r="K819" s="32"/>
      <c r="L819" s="1083"/>
    </row>
    <row r="820" spans="4:12">
      <c r="D820" s="1376"/>
      <c r="H820" s="1333"/>
      <c r="I820" s="1333"/>
      <c r="J820" s="32"/>
      <c r="K820" s="32"/>
      <c r="L820" s="1083"/>
    </row>
    <row r="821" spans="4:12">
      <c r="D821" s="1376"/>
      <c r="H821" s="1333"/>
      <c r="I821" s="1333"/>
      <c r="J821" s="32"/>
      <c r="K821" s="32"/>
      <c r="L821" s="1083"/>
    </row>
    <row r="822" spans="4:12">
      <c r="D822" s="1376"/>
      <c r="H822" s="1333"/>
      <c r="I822" s="1333"/>
      <c r="J822" s="32"/>
      <c r="K822" s="32"/>
      <c r="L822" s="1083"/>
    </row>
    <row r="823" spans="4:12">
      <c r="D823" s="1376"/>
      <c r="J823" s="32"/>
      <c r="K823" s="32"/>
      <c r="L823" s="1083"/>
    </row>
    <row r="824" spans="4:12">
      <c r="D824" s="1376"/>
      <c r="J824" s="32"/>
      <c r="K824" s="32"/>
      <c r="L824" s="1083"/>
    </row>
    <row r="825" spans="4:12">
      <c r="D825" s="1376"/>
      <c r="J825" s="32"/>
      <c r="K825" s="32"/>
      <c r="L825" s="1083"/>
    </row>
    <row r="826" spans="4:12">
      <c r="D826" s="1376"/>
      <c r="J826" s="32"/>
      <c r="K826" s="32"/>
      <c r="L826" s="1083"/>
    </row>
    <row r="827" spans="4:12">
      <c r="D827" s="1376"/>
      <c r="J827" s="32"/>
      <c r="K827" s="32"/>
      <c r="L827" s="1083"/>
    </row>
  </sheetData>
  <autoFilter ref="H273:H725" xr:uid="{7F5ED866-7ED1-4850-81F0-1DD50F73B895}"/>
  <customSheetViews>
    <customSheetView guid="{AE4A63B3-88A2-451A-9F53-7674162F018D}" scale="85" fitToPage="1" topLeftCell="A67">
      <selection activeCell="D88" sqref="D88"/>
      <pageMargins left="0.74803149606299213" right="0.74803149606299213" top="0.98425196850393704" bottom="0.98425196850393704" header="0.51181102362204722" footer="0.51181102362204722"/>
      <pageSetup paperSize="9" scale="82" fitToHeight="3" orientation="landscape" r:id="rId1"/>
      <headerFooter alignWithMargins="0"/>
    </customSheetView>
    <customSheetView guid="{6C6AF7F1-37F2-45B8-A395-4149314EE5A8}" scale="85" fitToPage="1" topLeftCell="A70">
      <selection activeCell="E82" sqref="E82:F85"/>
      <pageMargins left="0.74803149606299213" right="0.74803149606299213" top="0.98425196850393704" bottom="0.98425196850393704" header="0.51181102362204722" footer="0.51181102362204722"/>
      <pageSetup paperSize="9" scale="82" fitToHeight="3" orientation="landscape" r:id="rId2"/>
      <headerFooter alignWithMargins="0"/>
    </customSheetView>
  </customSheetViews>
  <mergeCells count="106">
    <mergeCell ref="G257:G260"/>
    <mergeCell ref="B258:B260"/>
    <mergeCell ref="B240:B253"/>
    <mergeCell ref="B132:B133"/>
    <mergeCell ref="B174:B188"/>
    <mergeCell ref="B171:B172"/>
    <mergeCell ref="B138:B139"/>
    <mergeCell ref="B135:B136"/>
    <mergeCell ref="B129:B130"/>
    <mergeCell ref="G254:G256"/>
    <mergeCell ref="B255:B256"/>
    <mergeCell ref="G236:G238"/>
    <mergeCell ref="G205:G214"/>
    <mergeCell ref="G215:G217"/>
    <mergeCell ref="G230:G232"/>
    <mergeCell ref="G161:G163"/>
    <mergeCell ref="G218:G229"/>
    <mergeCell ref="G189:G201"/>
    <mergeCell ref="B126:B127"/>
    <mergeCell ref="B141:B143"/>
    <mergeCell ref="B154:B160"/>
    <mergeCell ref="B165:B166"/>
    <mergeCell ref="B145:B146"/>
    <mergeCell ref="B148:B152"/>
    <mergeCell ref="B162:B163"/>
    <mergeCell ref="B237:B238"/>
    <mergeCell ref="B168:B169"/>
    <mergeCell ref="B190:B201"/>
    <mergeCell ref="B231:B232"/>
    <mergeCell ref="B206:B214"/>
    <mergeCell ref="B216:B217"/>
    <mergeCell ref="B219:B229"/>
    <mergeCell ref="H58:H60"/>
    <mergeCell ref="G61:G63"/>
    <mergeCell ref="G59:G60"/>
    <mergeCell ref="H64:H67"/>
    <mergeCell ref="G86:G88"/>
    <mergeCell ref="G83:G85"/>
    <mergeCell ref="H26:H30"/>
    <mergeCell ref="H42:H45"/>
    <mergeCell ref="H46:H49"/>
    <mergeCell ref="H50:H53"/>
    <mergeCell ref="H54:H57"/>
    <mergeCell ref="B114:B115"/>
    <mergeCell ref="A271:I271"/>
    <mergeCell ref="G36:G38"/>
    <mergeCell ref="G92:G94"/>
    <mergeCell ref="H68:H71"/>
    <mergeCell ref="G170:G172"/>
    <mergeCell ref="G164:G166"/>
    <mergeCell ref="G144:G146"/>
    <mergeCell ref="G153:G160"/>
    <mergeCell ref="G147:G152"/>
    <mergeCell ref="H167:H169"/>
    <mergeCell ref="H137:H139"/>
    <mergeCell ref="H140:H143"/>
    <mergeCell ref="G202:G204"/>
    <mergeCell ref="G73:G79"/>
    <mergeCell ref="G80:G82"/>
    <mergeCell ref="B59:B60"/>
    <mergeCell ref="B203:B204"/>
    <mergeCell ref="H233:H235"/>
    <mergeCell ref="B234:B235"/>
    <mergeCell ref="G234:G235"/>
    <mergeCell ref="B73:B79"/>
    <mergeCell ref="B81:B82"/>
    <mergeCell ref="B84:B85"/>
    <mergeCell ref="B108:B109"/>
    <mergeCell ref="G6:G8"/>
    <mergeCell ref="G9:G12"/>
    <mergeCell ref="B7:B8"/>
    <mergeCell ref="B10:B12"/>
    <mergeCell ref="G20:G22"/>
    <mergeCell ref="G13:G16"/>
    <mergeCell ref="B14:B16"/>
    <mergeCell ref="B18:B19"/>
    <mergeCell ref="B21:B22"/>
    <mergeCell ref="B105:B106"/>
    <mergeCell ref="G23:G25"/>
    <mergeCell ref="G26:G30"/>
    <mergeCell ref="G39:G41"/>
    <mergeCell ref="B87:B88"/>
    <mergeCell ref="B123:B124"/>
    <mergeCell ref="B120:B121"/>
    <mergeCell ref="B111:B112"/>
    <mergeCell ref="B1:F1"/>
    <mergeCell ref="B2:F2"/>
    <mergeCell ref="B3:F3"/>
    <mergeCell ref="B62:B63"/>
    <mergeCell ref="B69:B71"/>
    <mergeCell ref="B40:B41"/>
    <mergeCell ref="B93:B94"/>
    <mergeCell ref="B102:B103"/>
    <mergeCell ref="B99:B100"/>
    <mergeCell ref="B24:B25"/>
    <mergeCell ref="B27:B30"/>
    <mergeCell ref="B96:B97"/>
    <mergeCell ref="B32:B35"/>
    <mergeCell ref="B37:B38"/>
    <mergeCell ref="B43:B45"/>
    <mergeCell ref="B55:B57"/>
    <mergeCell ref="B90:B91"/>
    <mergeCell ref="B47:B49"/>
    <mergeCell ref="B51:B53"/>
    <mergeCell ref="B65:B67"/>
    <mergeCell ref="B117:B118"/>
  </mergeCells>
  <phoneticPr fontId="75" type="noConversion"/>
  <conditionalFormatting sqref="H194:H199 H201">
    <cfRule type="cellIs" dxfId="1055" priority="396" operator="lessThan">
      <formula>-1</formula>
    </cfRule>
    <cfRule type="cellIs" dxfId="1054" priority="397" operator="greaterThan">
      <formula>1</formula>
    </cfRule>
  </conditionalFormatting>
  <conditionalFormatting sqref="C51">
    <cfRule type="duplicateValues" dxfId="1053" priority="366" stopIfTrue="1"/>
    <cfRule type="duplicateValues" dxfId="1052" priority="367" stopIfTrue="1"/>
  </conditionalFormatting>
  <conditionalFormatting sqref="C45">
    <cfRule type="duplicateValues" dxfId="1051" priority="364" stopIfTrue="1"/>
    <cfRule type="duplicateValues" dxfId="1050" priority="365" stopIfTrue="1"/>
  </conditionalFormatting>
  <conditionalFormatting sqref="C43:C44">
    <cfRule type="duplicateValues" dxfId="1049" priority="352" stopIfTrue="1"/>
    <cfRule type="duplicateValues" dxfId="1048" priority="353" stopIfTrue="1"/>
  </conditionalFormatting>
  <conditionalFormatting sqref="C52">
    <cfRule type="duplicateValues" dxfId="1047" priority="346" stopIfTrue="1"/>
    <cfRule type="duplicateValues" dxfId="1046" priority="347" stopIfTrue="1"/>
  </conditionalFormatting>
  <conditionalFormatting sqref="C102:C103">
    <cfRule type="duplicateValues" dxfId="1045" priority="279" stopIfTrue="1"/>
    <cfRule type="duplicateValues" dxfId="1044" priority="280" stopIfTrue="1"/>
  </conditionalFormatting>
  <conditionalFormatting sqref="C55">
    <cfRule type="duplicateValues" dxfId="1043" priority="267" stopIfTrue="1"/>
    <cfRule type="duplicateValues" dxfId="1042" priority="268" stopIfTrue="1"/>
  </conditionalFormatting>
  <conditionalFormatting sqref="C56:C57">
    <cfRule type="duplicateValues" dxfId="1041" priority="265" stopIfTrue="1"/>
    <cfRule type="duplicateValues" dxfId="1040" priority="266" stopIfTrue="1"/>
  </conditionalFormatting>
  <conditionalFormatting sqref="C105:C106">
    <cfRule type="duplicateValues" dxfId="1039" priority="239" stopIfTrue="1"/>
    <cfRule type="duplicateValues" dxfId="1038" priority="240" stopIfTrue="1"/>
  </conditionalFormatting>
  <conditionalFormatting sqref="C108:C109">
    <cfRule type="duplicateValues" dxfId="1037" priority="237" stopIfTrue="1"/>
    <cfRule type="duplicateValues" dxfId="1036" priority="238" stopIfTrue="1"/>
  </conditionalFormatting>
  <conditionalFormatting sqref="C120:C121">
    <cfRule type="duplicateValues" dxfId="1035" priority="231" stopIfTrue="1"/>
    <cfRule type="duplicateValues" dxfId="1034" priority="232" stopIfTrue="1"/>
  </conditionalFormatting>
  <conditionalFormatting sqref="C114:C115">
    <cfRule type="duplicateValues" dxfId="1033" priority="207" stopIfTrue="1"/>
    <cfRule type="duplicateValues" dxfId="1032" priority="208" stopIfTrue="1"/>
  </conditionalFormatting>
  <conditionalFormatting sqref="C49">
    <cfRule type="duplicateValues" dxfId="1031" priority="205" stopIfTrue="1"/>
    <cfRule type="duplicateValues" dxfId="1030" priority="206" stopIfTrue="1"/>
  </conditionalFormatting>
  <conditionalFormatting sqref="C47:C48">
    <cfRule type="duplicateValues" dxfId="1029" priority="203" stopIfTrue="1"/>
    <cfRule type="duplicateValues" dxfId="1028" priority="204" stopIfTrue="1"/>
  </conditionalFormatting>
  <conditionalFormatting sqref="C59">
    <cfRule type="duplicateValues" dxfId="1027" priority="201" stopIfTrue="1"/>
    <cfRule type="duplicateValues" dxfId="1026" priority="202" stopIfTrue="1"/>
  </conditionalFormatting>
  <conditionalFormatting sqref="C62">
    <cfRule type="duplicateValues" dxfId="1025" priority="195" stopIfTrue="1"/>
    <cfRule type="duplicateValues" dxfId="1024" priority="196" stopIfTrue="1"/>
  </conditionalFormatting>
  <conditionalFormatting sqref="C63">
    <cfRule type="duplicateValues" dxfId="1023" priority="197" stopIfTrue="1"/>
    <cfRule type="duplicateValues" dxfId="1022" priority="198" stopIfTrue="1"/>
  </conditionalFormatting>
  <conditionalFormatting sqref="E5">
    <cfRule type="cellIs" dxfId="1021" priority="186" operator="notBetween">
      <formula>10</formula>
      <formula>-10</formula>
    </cfRule>
  </conditionalFormatting>
  <conditionalFormatting sqref="G59">
    <cfRule type="duplicateValues" dxfId="1020" priority="183" stopIfTrue="1"/>
    <cfRule type="duplicateValues" dxfId="1019" priority="184" stopIfTrue="1"/>
  </conditionalFormatting>
  <conditionalFormatting sqref="C65">
    <cfRule type="duplicateValues" dxfId="1018" priority="181" stopIfTrue="1"/>
    <cfRule type="duplicateValues" dxfId="1017" priority="182" stopIfTrue="1"/>
  </conditionalFormatting>
  <conditionalFormatting sqref="C66">
    <cfRule type="duplicateValues" dxfId="1016" priority="179" stopIfTrue="1"/>
    <cfRule type="duplicateValues" dxfId="1015" priority="180" stopIfTrue="1"/>
  </conditionalFormatting>
  <conditionalFormatting sqref="C117:C118">
    <cfRule type="duplicateValues" dxfId="1014" priority="177" stopIfTrue="1"/>
    <cfRule type="duplicateValues" dxfId="1013" priority="178" stopIfTrue="1"/>
  </conditionalFormatting>
  <conditionalFormatting sqref="C74:C78">
    <cfRule type="duplicateValues" dxfId="1012" priority="18767" stopIfTrue="1"/>
    <cfRule type="duplicateValues" dxfId="1011" priority="18768" stopIfTrue="1"/>
  </conditionalFormatting>
  <conditionalFormatting sqref="C60">
    <cfRule type="duplicateValues" dxfId="1010" priority="19463" stopIfTrue="1"/>
    <cfRule type="duplicateValues" dxfId="1009" priority="19464" stopIfTrue="1"/>
  </conditionalFormatting>
  <conditionalFormatting sqref="C111:C112">
    <cfRule type="duplicateValues" dxfId="1008" priority="19467" stopIfTrue="1"/>
    <cfRule type="duplicateValues" dxfId="1007" priority="19468" stopIfTrue="1"/>
  </conditionalFormatting>
  <conditionalFormatting sqref="C160">
    <cfRule type="duplicateValues" dxfId="1006" priority="167" stopIfTrue="1"/>
    <cfRule type="duplicateValues" dxfId="1005" priority="168" stopIfTrue="1"/>
  </conditionalFormatting>
  <conditionalFormatting sqref="C152">
    <cfRule type="duplicateValues" dxfId="1004" priority="165" stopIfTrue="1"/>
    <cfRule type="duplicateValues" dxfId="1003" priority="166" stopIfTrue="1"/>
  </conditionalFormatting>
  <conditionalFormatting sqref="C159">
    <cfRule type="duplicateValues" dxfId="1002" priority="163" stopIfTrue="1"/>
    <cfRule type="duplicateValues" dxfId="1001" priority="164" stopIfTrue="1"/>
  </conditionalFormatting>
  <conditionalFormatting sqref="C145">
    <cfRule type="duplicateValues" dxfId="1000" priority="159" stopIfTrue="1"/>
    <cfRule type="duplicateValues" dxfId="999" priority="160" stopIfTrue="1"/>
  </conditionalFormatting>
  <conditionalFormatting sqref="C146">
    <cfRule type="duplicateValues" dxfId="998" priority="156" stopIfTrue="1"/>
  </conditionalFormatting>
  <conditionalFormatting sqref="C146">
    <cfRule type="duplicateValues" dxfId="997" priority="157" stopIfTrue="1"/>
    <cfRule type="duplicateValues" dxfId="996" priority="158" stopIfTrue="1"/>
  </conditionalFormatting>
  <conditionalFormatting sqref="C165">
    <cfRule type="duplicateValues" dxfId="995" priority="154" stopIfTrue="1"/>
    <cfRule type="duplicateValues" dxfId="994" priority="155" stopIfTrue="1"/>
  </conditionalFormatting>
  <conditionalFormatting sqref="C69">
    <cfRule type="duplicateValues" dxfId="993" priority="134" stopIfTrue="1"/>
    <cfRule type="duplicateValues" dxfId="992" priority="135" stopIfTrue="1"/>
  </conditionalFormatting>
  <conditionalFormatting sqref="C70">
    <cfRule type="duplicateValues" dxfId="991" priority="132" stopIfTrue="1"/>
    <cfRule type="duplicateValues" dxfId="990" priority="133" stopIfTrue="1"/>
  </conditionalFormatting>
  <conditionalFormatting sqref="C172">
    <cfRule type="duplicateValues" dxfId="989" priority="114" stopIfTrue="1"/>
  </conditionalFormatting>
  <conditionalFormatting sqref="C172">
    <cfRule type="duplicateValues" dxfId="988" priority="115" stopIfTrue="1"/>
    <cfRule type="duplicateValues" dxfId="987" priority="116" stopIfTrue="1"/>
  </conditionalFormatting>
  <conditionalFormatting sqref="C171">
    <cfRule type="duplicateValues" dxfId="986" priority="111" stopIfTrue="1"/>
  </conditionalFormatting>
  <conditionalFormatting sqref="C171">
    <cfRule type="duplicateValues" dxfId="985" priority="112" stopIfTrue="1"/>
    <cfRule type="duplicateValues" dxfId="984" priority="113" stopIfTrue="1"/>
  </conditionalFormatting>
  <conditionalFormatting sqref="C188">
    <cfRule type="duplicateValues" dxfId="983" priority="108" stopIfTrue="1"/>
  </conditionalFormatting>
  <conditionalFormatting sqref="C188">
    <cfRule type="duplicateValues" dxfId="982" priority="109" stopIfTrue="1"/>
    <cfRule type="duplicateValues" dxfId="981" priority="110" stopIfTrue="1"/>
  </conditionalFormatting>
  <conditionalFormatting sqref="C174">
    <cfRule type="duplicateValues" dxfId="980" priority="105" stopIfTrue="1"/>
  </conditionalFormatting>
  <conditionalFormatting sqref="C174">
    <cfRule type="duplicateValues" dxfId="979" priority="106" stopIfTrue="1"/>
    <cfRule type="duplicateValues" dxfId="978" priority="107" stopIfTrue="1"/>
  </conditionalFormatting>
  <conditionalFormatting sqref="C129:C130">
    <cfRule type="duplicateValues" dxfId="977" priority="100" stopIfTrue="1"/>
    <cfRule type="duplicateValues" dxfId="976" priority="101" stopIfTrue="1"/>
  </conditionalFormatting>
  <conditionalFormatting sqref="F5">
    <cfRule type="cellIs" dxfId="975" priority="99" operator="notBetween">
      <formula>10</formula>
      <formula>-10</formula>
    </cfRule>
  </conditionalFormatting>
  <conditionalFormatting sqref="C190:C195">
    <cfRule type="duplicateValues" dxfId="974" priority="97" stopIfTrue="1"/>
    <cfRule type="duplicateValues" dxfId="973" priority="98" stopIfTrue="1"/>
  </conditionalFormatting>
  <conditionalFormatting sqref="C200">
    <cfRule type="duplicateValues" dxfId="972" priority="92" stopIfTrue="1"/>
    <cfRule type="duplicateValues" dxfId="971" priority="93" stopIfTrue="1"/>
  </conditionalFormatting>
  <conditionalFormatting sqref="C196:C197">
    <cfRule type="duplicateValues" dxfId="970" priority="88" stopIfTrue="1"/>
    <cfRule type="duplicateValues" dxfId="969" priority="89" stopIfTrue="1"/>
  </conditionalFormatting>
  <conditionalFormatting sqref="C201">
    <cfRule type="duplicateValues" dxfId="968" priority="85" stopIfTrue="1"/>
  </conditionalFormatting>
  <conditionalFormatting sqref="C201">
    <cfRule type="duplicateValues" dxfId="967" priority="86" stopIfTrue="1"/>
    <cfRule type="duplicateValues" dxfId="966" priority="87" stopIfTrue="1"/>
  </conditionalFormatting>
  <conditionalFormatting sqref="C166">
    <cfRule type="duplicateValues" dxfId="965" priority="20579" stopIfTrue="1"/>
  </conditionalFormatting>
  <conditionalFormatting sqref="C166">
    <cfRule type="duplicateValues" dxfId="964" priority="20580" stopIfTrue="1"/>
    <cfRule type="duplicateValues" dxfId="963" priority="20581" stopIfTrue="1"/>
  </conditionalFormatting>
  <conditionalFormatting sqref="C198:C199">
    <cfRule type="duplicateValues" dxfId="962" priority="83" stopIfTrue="1"/>
    <cfRule type="duplicateValues" dxfId="961" priority="84" stopIfTrue="1"/>
  </conditionalFormatting>
  <conditionalFormatting sqref="C123:C124">
    <cfRule type="duplicateValues" dxfId="960" priority="74" stopIfTrue="1"/>
    <cfRule type="duplicateValues" dxfId="959" priority="75" stopIfTrue="1"/>
  </conditionalFormatting>
  <conditionalFormatting sqref="C138">
    <cfRule type="duplicateValues" dxfId="958" priority="73"/>
  </conditionalFormatting>
  <conditionalFormatting sqref="C143">
    <cfRule type="duplicateValues" dxfId="957" priority="71"/>
  </conditionalFormatting>
  <conditionalFormatting sqref="C155">
    <cfRule type="duplicateValues" dxfId="956" priority="68"/>
  </conditionalFormatting>
  <conditionalFormatting sqref="C126:C127">
    <cfRule type="duplicateValues" dxfId="955" priority="64" stopIfTrue="1"/>
    <cfRule type="duplicateValues" dxfId="954" priority="65" stopIfTrue="1"/>
  </conditionalFormatting>
  <conditionalFormatting sqref="C203">
    <cfRule type="duplicateValues" dxfId="953" priority="63"/>
  </conditionalFormatting>
  <conditionalFormatting sqref="C204">
    <cfRule type="duplicateValues" dxfId="952" priority="62"/>
  </conditionalFormatting>
  <conditionalFormatting sqref="C19">
    <cfRule type="duplicateValues" dxfId="951" priority="58" stopIfTrue="1"/>
    <cfRule type="duplicateValues" dxfId="950" priority="59" stopIfTrue="1"/>
  </conditionalFormatting>
  <conditionalFormatting sqref="C12">
    <cfRule type="duplicateValues" dxfId="949" priority="21049"/>
  </conditionalFormatting>
  <conditionalFormatting sqref="C10">
    <cfRule type="duplicateValues" dxfId="948" priority="21069"/>
  </conditionalFormatting>
  <conditionalFormatting sqref="C11">
    <cfRule type="duplicateValues" dxfId="947" priority="54" stopIfTrue="1"/>
    <cfRule type="duplicateValues" dxfId="946" priority="55" stopIfTrue="1"/>
  </conditionalFormatting>
  <conditionalFormatting sqref="C162">
    <cfRule type="duplicateValues" dxfId="945" priority="52"/>
  </conditionalFormatting>
  <conditionalFormatting sqref="C214">
    <cfRule type="duplicateValues" dxfId="944" priority="50"/>
  </conditionalFormatting>
  <conditionalFormatting sqref="C217">
    <cfRule type="duplicateValues" dxfId="943" priority="46" stopIfTrue="1"/>
    <cfRule type="duplicateValues" dxfId="942" priority="47" stopIfTrue="1"/>
  </conditionalFormatting>
  <conditionalFormatting sqref="C219:C222">
    <cfRule type="duplicateValues" dxfId="941" priority="44" stopIfTrue="1"/>
    <cfRule type="duplicateValues" dxfId="940" priority="45" stopIfTrue="1"/>
  </conditionalFormatting>
  <conditionalFormatting sqref="C227:C228">
    <cfRule type="duplicateValues" dxfId="939" priority="42" stopIfTrue="1"/>
    <cfRule type="duplicateValues" dxfId="938" priority="43" stopIfTrue="1"/>
  </conditionalFormatting>
  <conditionalFormatting sqref="C223:C224">
    <cfRule type="duplicateValues" dxfId="937" priority="40" stopIfTrue="1"/>
    <cfRule type="duplicateValues" dxfId="936" priority="41" stopIfTrue="1"/>
  </conditionalFormatting>
  <conditionalFormatting sqref="C229">
    <cfRule type="duplicateValues" dxfId="935" priority="37" stopIfTrue="1"/>
  </conditionalFormatting>
  <conditionalFormatting sqref="C229">
    <cfRule type="duplicateValues" dxfId="934" priority="38" stopIfTrue="1"/>
    <cfRule type="duplicateValues" dxfId="933" priority="39" stopIfTrue="1"/>
  </conditionalFormatting>
  <conditionalFormatting sqref="C225:C226">
    <cfRule type="duplicateValues" dxfId="932" priority="35" stopIfTrue="1"/>
    <cfRule type="duplicateValues" dxfId="931" priority="36" stopIfTrue="1"/>
  </conditionalFormatting>
  <conditionalFormatting sqref="C231">
    <cfRule type="duplicateValues" dxfId="930" priority="34"/>
  </conditionalFormatting>
  <conditionalFormatting sqref="C232">
    <cfRule type="duplicateValues" dxfId="929" priority="33"/>
  </conditionalFormatting>
  <conditionalFormatting sqref="C216">
    <cfRule type="duplicateValues" dxfId="928" priority="22309" stopIfTrue="1"/>
    <cfRule type="duplicateValues" dxfId="927" priority="22310" stopIfTrue="1"/>
  </conditionalFormatting>
  <conditionalFormatting sqref="C18">
    <cfRule type="duplicateValues" dxfId="926" priority="22311" stopIfTrue="1"/>
    <cfRule type="duplicateValues" dxfId="925" priority="22312" stopIfTrue="1"/>
  </conditionalFormatting>
  <conditionalFormatting sqref="C206:C213">
    <cfRule type="duplicateValues" dxfId="924" priority="22313"/>
  </conditionalFormatting>
  <conditionalFormatting sqref="C234">
    <cfRule type="duplicateValues" dxfId="923" priority="29" stopIfTrue="1"/>
    <cfRule type="duplicateValues" dxfId="922" priority="30" stopIfTrue="1"/>
  </conditionalFormatting>
  <conditionalFormatting sqref="G234">
    <cfRule type="duplicateValues" dxfId="921" priority="27" stopIfTrue="1"/>
    <cfRule type="duplicateValues" dxfId="920" priority="28" stopIfTrue="1"/>
  </conditionalFormatting>
  <conditionalFormatting sqref="C235">
    <cfRule type="duplicateValues" dxfId="919" priority="31" stopIfTrue="1"/>
    <cfRule type="duplicateValues" dxfId="918" priority="32" stopIfTrue="1"/>
  </conditionalFormatting>
  <conditionalFormatting sqref="C151">
    <cfRule type="duplicateValues" dxfId="917" priority="26"/>
  </conditionalFormatting>
  <conditionalFormatting sqref="C237">
    <cfRule type="duplicateValues" dxfId="916" priority="25"/>
  </conditionalFormatting>
  <conditionalFormatting sqref="C176:C177 C180">
    <cfRule type="duplicateValues" dxfId="915" priority="22"/>
  </conditionalFormatting>
  <conditionalFormatting sqref="C178:C179">
    <cfRule type="duplicateValues" dxfId="914" priority="18" stopIfTrue="1"/>
    <cfRule type="duplicateValues" dxfId="913" priority="19" stopIfTrue="1"/>
  </conditionalFormatting>
  <conditionalFormatting sqref="C253">
    <cfRule type="duplicateValues" dxfId="912" priority="12" stopIfTrue="1"/>
  </conditionalFormatting>
  <conditionalFormatting sqref="C253">
    <cfRule type="duplicateValues" dxfId="911" priority="13" stopIfTrue="1"/>
    <cfRule type="duplicateValues" dxfId="910" priority="14" stopIfTrue="1"/>
  </conditionalFormatting>
  <conditionalFormatting sqref="C240">
    <cfRule type="duplicateValues" dxfId="909" priority="9" stopIfTrue="1"/>
  </conditionalFormatting>
  <conditionalFormatting sqref="C240">
    <cfRule type="duplicateValues" dxfId="908" priority="10" stopIfTrue="1"/>
    <cfRule type="duplicateValues" dxfId="907" priority="11" stopIfTrue="1"/>
  </conditionalFormatting>
  <conditionalFormatting sqref="C242:C244">
    <cfRule type="duplicateValues" dxfId="906" priority="8"/>
  </conditionalFormatting>
  <conditionalFormatting sqref="C186:C187 C175 C181:C182">
    <cfRule type="duplicateValues" dxfId="905" priority="22334" stopIfTrue="1"/>
  </conditionalFormatting>
  <conditionalFormatting sqref="C186:C187 C175 C181:C182">
    <cfRule type="duplicateValues" dxfId="904" priority="22338" stopIfTrue="1"/>
    <cfRule type="duplicateValues" dxfId="903" priority="22339" stopIfTrue="1"/>
  </conditionalFormatting>
  <conditionalFormatting sqref="C250:C252 C241 C245:C246">
    <cfRule type="duplicateValues" dxfId="902" priority="22340" stopIfTrue="1"/>
  </conditionalFormatting>
  <conditionalFormatting sqref="C250:C252 C241 C245:C246">
    <cfRule type="duplicateValues" dxfId="901" priority="22343" stopIfTrue="1"/>
    <cfRule type="duplicateValues" dxfId="900" priority="22344" stopIfTrue="1"/>
  </conditionalFormatting>
  <conditionalFormatting sqref="C132:C133">
    <cfRule type="duplicateValues" dxfId="899" priority="4" stopIfTrue="1"/>
    <cfRule type="duplicateValues" dxfId="898" priority="5" stopIfTrue="1"/>
  </conditionalFormatting>
  <conditionalFormatting sqref="C255">
    <cfRule type="duplicateValues" dxfId="897" priority="3"/>
  </conditionalFormatting>
  <conditionalFormatting sqref="C258:C259">
    <cfRule type="duplicateValues" dxfId="896" priority="2"/>
  </conditionalFormatting>
  <conditionalFormatting sqref="C260">
    <cfRule type="duplicateValues" dxfId="895" priority="1"/>
  </conditionalFormatting>
  <pageMargins left="0.74803149606299202" right="0.74803149606299202" top="0.98425196850393704" bottom="0.98425196850393704" header="0.511811023622047" footer="0.511811023622047"/>
  <pageSetup paperSize="9" scale="10" orientation="landscape" r:id="rId3"/>
  <headerFooter alignWithMargins="0"/>
  <ignoredErrors>
    <ignoredError sqref="E70 E66" formula="1"/>
  </ignoredError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FCF7-88A3-415B-B1BC-9B180CFF3D3D}">
  <sheetPr codeName="Sheet3">
    <tabColor theme="8" tint="0.39997558519241921"/>
    <pageSetUpPr fitToPage="1"/>
  </sheetPr>
  <dimension ref="A1:S117"/>
  <sheetViews>
    <sheetView rightToLeft="1" zoomScaleNormal="100" workbookViewId="0">
      <selection activeCell="D41" sqref="D41"/>
    </sheetView>
  </sheetViews>
  <sheetFormatPr defaultColWidth="9.33203125" defaultRowHeight="12.75"/>
  <cols>
    <col min="1" max="1" width="62.1640625" style="2299" customWidth="1"/>
    <col min="2" max="2" width="37.5" style="2299" customWidth="1"/>
    <col min="3" max="3" width="21.33203125" style="2299" customWidth="1"/>
    <col min="4" max="4" width="23.1640625" style="2299" bestFit="1" customWidth="1"/>
    <col min="5" max="5" width="4.5" style="2299" customWidth="1"/>
    <col min="6" max="6" width="3.83203125" style="2299" customWidth="1"/>
    <col min="7" max="7" width="30.83203125" style="2299" customWidth="1"/>
    <col min="8" max="8" width="23.33203125" style="2299" customWidth="1"/>
    <col min="9" max="9" width="20.6640625" style="2299" customWidth="1"/>
    <col min="10" max="10" width="26.5" style="2299" customWidth="1"/>
    <col min="11" max="11" width="53.33203125" style="2299" bestFit="1" customWidth="1"/>
    <col min="12" max="12" width="20.5" style="2299" bestFit="1" customWidth="1"/>
    <col min="13" max="13" width="11.5" style="2299" customWidth="1"/>
    <col min="14" max="14" width="11.6640625" style="2299" bestFit="1" customWidth="1"/>
    <col min="15" max="16" width="9.33203125" style="2299"/>
    <col min="17" max="17" width="12.5" style="2299" customWidth="1"/>
    <col min="18" max="18" width="9.33203125" style="2299"/>
    <col min="19" max="19" width="15.33203125" style="2299" customWidth="1"/>
    <col min="20" max="16384" width="9.33203125" style="2299"/>
  </cols>
  <sheetData>
    <row r="1" spans="1:15" ht="15.75" thickBot="1">
      <c r="A1" s="2345" t="s">
        <v>3542</v>
      </c>
      <c r="B1" s="2346"/>
      <c r="C1" s="2346"/>
      <c r="D1" s="2347"/>
      <c r="G1" s="2356" t="s">
        <v>1396</v>
      </c>
      <c r="H1" s="2357" t="s">
        <v>2460</v>
      </c>
      <c r="I1" s="2356" t="s">
        <v>220</v>
      </c>
      <c r="J1" s="2357" t="s">
        <v>2460</v>
      </c>
    </row>
    <row r="2" spans="1:15">
      <c r="A2" s="2300" t="s">
        <v>180</v>
      </c>
      <c r="C2" s="2301"/>
      <c r="D2" s="2302">
        <f>דוחות!$P$12</f>
        <v>141573948.94999999</v>
      </c>
      <c r="G2" s="2300" t="s">
        <v>2778</v>
      </c>
      <c r="H2" s="2358">
        <f>'[44]מיסים שוטפים 2020'!$H$4</f>
        <v>5748419</v>
      </c>
      <c r="I2" s="2300" t="s">
        <v>2781</v>
      </c>
      <c r="J2" s="2358">
        <f>'[44]מיסים שוטפים 2020'!$J$4</f>
        <v>4572193</v>
      </c>
      <c r="K2" s="2348"/>
      <c r="L2" s="2348"/>
      <c r="M2" s="2348"/>
      <c r="N2" s="2348"/>
      <c r="O2" s="2348"/>
    </row>
    <row r="3" spans="1:15" ht="13.5" thickBot="1">
      <c r="A3" s="2304" t="s">
        <v>195</v>
      </c>
      <c r="C3" s="2301"/>
      <c r="D3" s="2302">
        <f>דוחות!$P$63</f>
        <v>-11259307.219100535</v>
      </c>
      <c r="G3" s="2300" t="s">
        <v>2780</v>
      </c>
      <c r="H3" s="2066">
        <f>H4-H2</f>
        <v>-257</v>
      </c>
      <c r="I3" s="2300" t="s">
        <v>2780</v>
      </c>
      <c r="J3" s="2066">
        <f>J4-J2</f>
        <v>8935</v>
      </c>
      <c r="K3" s="2348"/>
      <c r="L3" s="2348"/>
      <c r="M3" s="2348"/>
      <c r="N3" s="2348"/>
      <c r="O3" s="2348"/>
    </row>
    <row r="4" spans="1:15" ht="13.5" thickBot="1">
      <c r="A4" s="387" t="s">
        <v>511</v>
      </c>
      <c r="B4" s="2305"/>
      <c r="C4" s="2306"/>
      <c r="D4" s="2307"/>
      <c r="G4" s="2304" t="s">
        <v>2779</v>
      </c>
      <c r="H4" s="2359">
        <f>דוחות!$J$15</f>
        <v>5748162</v>
      </c>
      <c r="I4" s="2304" t="s">
        <v>2782</v>
      </c>
      <c r="J4" s="2359">
        <f>דוחות!$J$29-דוחות!$C$37</f>
        <v>4581128</v>
      </c>
      <c r="K4" s="2349"/>
      <c r="L4" s="2349"/>
      <c r="M4" s="2349"/>
      <c r="N4" s="2349"/>
      <c r="O4" s="2349"/>
    </row>
    <row r="5" spans="1:15">
      <c r="A5" s="2368" t="s">
        <v>2792</v>
      </c>
      <c r="B5" s="2369"/>
      <c r="C5" s="3740">
        <f>J3</f>
        <v>8935</v>
      </c>
      <c r="D5" s="2370"/>
      <c r="G5" s="2301"/>
      <c r="J5" s="2351"/>
      <c r="K5" s="2351"/>
      <c r="L5" s="2351"/>
      <c r="M5" s="2351"/>
      <c r="N5" s="2351"/>
      <c r="O5" s="2351"/>
    </row>
    <row r="6" spans="1:15">
      <c r="A6" s="2368" t="s">
        <v>2791</v>
      </c>
      <c r="B6" s="2369"/>
      <c r="C6" s="3740">
        <f>H3</f>
        <v>-257</v>
      </c>
      <c r="D6" s="2370"/>
      <c r="G6" s="2301"/>
      <c r="J6" s="2351"/>
      <c r="K6" s="2351"/>
      <c r="L6" s="2351"/>
      <c r="M6" s="2351"/>
      <c r="N6" s="2351"/>
      <c r="O6" s="2351"/>
    </row>
    <row r="7" spans="1:15">
      <c r="A7" s="2368" t="s">
        <v>4849</v>
      </c>
      <c r="B7" s="2369"/>
      <c r="C7" s="3740">
        <v>100532.8</v>
      </c>
      <c r="D7" s="2370"/>
      <c r="G7" s="2301"/>
      <c r="J7" s="2351"/>
      <c r="K7" s="2351"/>
      <c r="L7" s="2351"/>
      <c r="M7" s="2351"/>
      <c r="N7" s="2351"/>
      <c r="O7" s="2351"/>
    </row>
    <row r="8" spans="1:15">
      <c r="A8" s="2368" t="s">
        <v>276</v>
      </c>
      <c r="B8" s="2369"/>
      <c r="C8" s="3740">
        <f>+'מאזן בוחן'!$J$916+'מאזן בוחן'!$J$584+'מאזן בוחן'!$J$591+'מאזן בוחן'!$J$657+'מאזן בוחן'!$J$743+'מאזן בוחן'!$J$881</f>
        <v>5573718.3399999999</v>
      </c>
      <c r="D8" s="2370"/>
      <c r="J8" s="2351"/>
      <c r="K8" s="2351"/>
      <c r="L8" s="2351"/>
      <c r="M8" s="2351"/>
      <c r="N8" s="2351"/>
      <c r="O8" s="2351"/>
    </row>
    <row r="9" spans="1:15">
      <c r="A9" s="2300" t="s">
        <v>423</v>
      </c>
      <c r="C9" s="3740">
        <f>FA!$G$15</f>
        <v>2889374</v>
      </c>
      <c r="D9" s="2309"/>
      <c r="F9" s="2310"/>
      <c r="L9" s="716"/>
      <c r="M9" s="2301"/>
    </row>
    <row r="10" spans="1:15">
      <c r="A10" s="2373" t="s">
        <v>3840</v>
      </c>
      <c r="C10" s="3740">
        <f>-D66</f>
        <v>1183657.2235897435</v>
      </c>
      <c r="D10" s="2309"/>
      <c r="F10" s="2310"/>
      <c r="L10" s="716"/>
      <c r="M10" s="2301"/>
    </row>
    <row r="11" spans="1:15">
      <c r="A11" s="2373" t="s">
        <v>4853</v>
      </c>
      <c r="C11" s="4124">
        <f>'[45]בדיקת הפקדה לבעל שליטה'!$E$47</f>
        <v>25223.52</v>
      </c>
      <c r="D11" s="2309"/>
      <c r="F11" s="2310"/>
      <c r="L11" s="716"/>
      <c r="M11" s="2301"/>
    </row>
    <row r="12" spans="1:15">
      <c r="A12" s="2373" t="s">
        <v>4854</v>
      </c>
      <c r="C12" s="4124">
        <f>16837084*0.99*'[46]Reference Rates (2)'!$K$15/9*12</f>
        <v>1006380.9339614341</v>
      </c>
      <c r="D12" s="2309"/>
      <c r="F12" s="2310"/>
      <c r="L12" s="716"/>
      <c r="M12" s="2301"/>
    </row>
    <row r="13" spans="1:15">
      <c r="A13" s="2373" t="s">
        <v>3843</v>
      </c>
      <c r="C13" s="3740">
        <f>'מאזן בוחן'!$J$1005</f>
        <v>20327.740000000002</v>
      </c>
      <c r="D13" s="2309"/>
      <c r="F13" s="2310"/>
      <c r="L13" s="716"/>
      <c r="M13" s="2301"/>
    </row>
    <row r="14" spans="1:15">
      <c r="A14" s="2373" t="s">
        <v>3139</v>
      </c>
      <c r="C14" s="3740">
        <f>'מאזן בוחן'!$J$912</f>
        <v>430510.49</v>
      </c>
      <c r="D14" s="2309"/>
      <c r="F14" s="2310"/>
      <c r="L14" s="716"/>
      <c r="M14" s="2301"/>
    </row>
    <row r="15" spans="1:15">
      <c r="A15" s="2311" t="s">
        <v>4855</v>
      </c>
      <c r="C15" s="4126">
        <f>SUM('Tax - Inc'!F50)*'מאזן בוחן'!N2</f>
        <v>759209.35736708576</v>
      </c>
      <c r="D15" s="2309"/>
      <c r="G15" s="2303"/>
      <c r="J15" s="2301"/>
      <c r="M15" s="2301"/>
    </row>
    <row r="16" spans="1:15">
      <c r="A16" s="2300" t="s">
        <v>3544</v>
      </c>
      <c r="C16" s="4102">
        <f>+D76</f>
        <v>5636927.58227548</v>
      </c>
      <c r="D16" s="2309"/>
      <c r="G16" s="2301"/>
      <c r="H16" s="2701"/>
      <c r="I16" s="2365"/>
      <c r="K16" s="2301"/>
      <c r="L16" s="716"/>
    </row>
    <row r="17" spans="1:13">
      <c r="A17" s="2300" t="s">
        <v>226</v>
      </c>
      <c r="C17" s="3797">
        <f>SUM('[47]חישוב עודפות'!$F$13)</f>
        <v>149649.81723699998</v>
      </c>
      <c r="D17" s="2312"/>
      <c r="G17" s="3447"/>
      <c r="H17" s="2350"/>
      <c r="I17" s="2365"/>
      <c r="J17" s="2301"/>
      <c r="L17" s="716"/>
    </row>
    <row r="18" spans="1:13">
      <c r="C18" s="2301"/>
      <c r="D18" s="2309">
        <f>SUM(C5:C17)</f>
        <v>17784189.804430746</v>
      </c>
      <c r="G18" s="2301"/>
      <c r="H18" s="2350"/>
      <c r="I18" s="2366"/>
      <c r="J18" s="2301"/>
      <c r="K18" s="2301"/>
      <c r="L18" s="716"/>
    </row>
    <row r="19" spans="1:13">
      <c r="A19" s="387" t="s">
        <v>510</v>
      </c>
      <c r="D19" s="2309"/>
      <c r="G19" s="2301"/>
      <c r="H19" s="2301"/>
      <c r="I19" s="2301"/>
      <c r="J19" s="2301"/>
      <c r="L19" s="716"/>
    </row>
    <row r="20" spans="1:13">
      <c r="A20" s="2300" t="s">
        <v>422</v>
      </c>
      <c r="B20" s="2299" t="s">
        <v>2787</v>
      </c>
      <c r="C20" s="4102">
        <v>3544478</v>
      </c>
      <c r="D20" s="2309"/>
      <c r="G20" s="2301"/>
      <c r="H20" s="2353"/>
      <c r="I20" s="2354"/>
      <c r="J20" s="2352"/>
      <c r="L20" s="2301"/>
      <c r="M20" s="2301"/>
    </row>
    <row r="21" spans="1:13">
      <c r="A21" s="2300" t="s">
        <v>2788</v>
      </c>
      <c r="C21" s="4102">
        <f>D82</f>
        <v>2504274.9810992503</v>
      </c>
      <c r="D21" s="2309"/>
      <c r="G21" s="3451"/>
      <c r="H21" s="3452"/>
      <c r="I21" s="3453"/>
      <c r="J21" s="3454"/>
      <c r="L21" s="716"/>
    </row>
    <row r="22" spans="1:13">
      <c r="A22" s="2300" t="s">
        <v>3540</v>
      </c>
      <c r="C22" s="4102">
        <f>D86</f>
        <v>2596973.8303042003</v>
      </c>
      <c r="D22" s="2309"/>
      <c r="G22" s="3451"/>
      <c r="H22" s="3452"/>
      <c r="I22" s="3453"/>
      <c r="J22" s="3454"/>
      <c r="L22" s="716"/>
    </row>
    <row r="23" spans="1:13">
      <c r="A23" s="2300" t="s">
        <v>4858</v>
      </c>
      <c r="C23" s="4102">
        <f>D65</f>
        <v>1183657.2235897435</v>
      </c>
      <c r="D23" s="2309"/>
      <c r="G23" s="3451"/>
      <c r="H23" s="3452"/>
      <c r="I23" s="3453"/>
      <c r="J23" s="3454"/>
      <c r="L23" s="716"/>
    </row>
    <row r="24" spans="1:13">
      <c r="A24" s="2300" t="s">
        <v>4347</v>
      </c>
      <c r="C24" s="4102">
        <f>[48]מרכז!$R$31</f>
        <v>377286</v>
      </c>
      <c r="D24" s="2309"/>
      <c r="G24" s="3451"/>
      <c r="H24" s="3452"/>
      <c r="I24" s="3453"/>
      <c r="J24" s="3454"/>
      <c r="L24" s="716"/>
    </row>
    <row r="25" spans="1:13">
      <c r="A25" s="2300"/>
      <c r="C25" s="2314"/>
      <c r="D25" s="4131"/>
      <c r="G25" s="2308"/>
      <c r="H25" s="3452"/>
      <c r="I25" s="3453"/>
      <c r="J25" s="3454"/>
      <c r="M25" s="2301"/>
    </row>
    <row r="26" spans="1:13">
      <c r="A26" s="2300"/>
      <c r="D26" s="4132">
        <f>SUM(C20:C25)</f>
        <v>10206670.034993194</v>
      </c>
      <c r="G26" s="2308"/>
      <c r="H26" s="3455"/>
      <c r="I26" s="3453"/>
      <c r="J26" s="3454"/>
    </row>
    <row r="27" spans="1:13">
      <c r="A27" s="2300"/>
      <c r="D27" s="2315"/>
      <c r="G27" s="3451"/>
      <c r="H27" s="3456"/>
      <c r="I27" s="3457"/>
      <c r="J27" s="3458"/>
    </row>
    <row r="28" spans="1:13">
      <c r="A28" s="2300" t="s">
        <v>45</v>
      </c>
      <c r="C28" s="2301"/>
      <c r="D28" s="565">
        <f>D3+D18-D26</f>
        <v>-3681787.4496629834</v>
      </c>
      <c r="G28" s="3451"/>
      <c r="H28" s="3459"/>
      <c r="I28" s="3457"/>
      <c r="J28" s="3460"/>
    </row>
    <row r="29" spans="1:13">
      <c r="A29" s="2300"/>
      <c r="C29" s="2301"/>
      <c r="D29" s="2309"/>
      <c r="G29" s="3451"/>
      <c r="H29" s="3461"/>
      <c r="I29" s="3461"/>
      <c r="J29" s="3461"/>
    </row>
    <row r="30" spans="1:13">
      <c r="A30" s="2300" t="s">
        <v>4859</v>
      </c>
      <c r="B30" s="2316"/>
      <c r="C30" s="2301"/>
      <c r="D30" s="3014">
        <v>0</v>
      </c>
      <c r="G30" s="3451"/>
      <c r="H30" s="3462"/>
      <c r="I30" s="3461"/>
      <c r="J30" s="3461"/>
    </row>
    <row r="31" spans="1:13">
      <c r="A31" s="2300" t="s">
        <v>191</v>
      </c>
      <c r="B31" s="2299" t="s">
        <v>2787</v>
      </c>
      <c r="C31" s="2301"/>
      <c r="D31" s="4125">
        <v>-72</v>
      </c>
      <c r="G31" s="3451"/>
      <c r="H31" s="3451"/>
      <c r="I31" s="3451"/>
      <c r="J31" s="3451"/>
    </row>
    <row r="32" spans="1:13">
      <c r="A32" s="2300"/>
      <c r="C32" s="2301"/>
      <c r="D32" s="4133"/>
      <c r="G32" s="3451"/>
      <c r="H32" s="3448"/>
      <c r="I32" s="3463"/>
      <c r="J32" s="3464"/>
    </row>
    <row r="33" spans="1:15">
      <c r="A33" s="2300" t="s">
        <v>2076</v>
      </c>
      <c r="C33" s="2301"/>
      <c r="D33" s="4134"/>
      <c r="G33" s="3451"/>
      <c r="H33" s="3448"/>
      <c r="I33" s="3451"/>
      <c r="J33" s="3451"/>
    </row>
    <row r="34" spans="1:15">
      <c r="A34" s="2300" t="s">
        <v>2794</v>
      </c>
      <c r="D34" s="565">
        <f>SUM($D$28:$D$32)</f>
        <v>-3681859.4496629834</v>
      </c>
      <c r="G34" s="726"/>
      <c r="H34" s="3448"/>
      <c r="I34" s="3451"/>
      <c r="J34" s="3451"/>
    </row>
    <row r="35" spans="1:15">
      <c r="A35" s="2300" t="s">
        <v>424</v>
      </c>
      <c r="D35" s="3641">
        <v>0</v>
      </c>
      <c r="G35" s="726"/>
      <c r="H35" s="3450"/>
      <c r="I35" s="3451"/>
      <c r="J35" s="3451"/>
    </row>
    <row r="36" spans="1:15">
      <c r="A36" s="2300" t="s">
        <v>339</v>
      </c>
      <c r="D36" s="565">
        <f>SUM(D34:D35)</f>
        <v>-3681859.4496629834</v>
      </c>
      <c r="G36" s="726"/>
      <c r="H36" s="3451"/>
      <c r="I36" s="3451"/>
      <c r="J36" s="3451"/>
    </row>
    <row r="37" spans="1:15">
      <c r="A37" s="2300" t="s">
        <v>2783</v>
      </c>
      <c r="B37" s="2320">
        <v>0.12</v>
      </c>
      <c r="C37" s="2321"/>
      <c r="D37" s="565">
        <f>D36*B37</f>
        <v>-441823.13395955798</v>
      </c>
      <c r="L37" s="2301"/>
      <c r="M37" s="2301"/>
    </row>
    <row r="38" spans="1:15">
      <c r="A38" s="2300" t="s">
        <v>230</v>
      </c>
      <c r="B38" s="2320">
        <v>0.26500000000000001</v>
      </c>
      <c r="C38" s="2321"/>
      <c r="D38" s="2309"/>
      <c r="G38" s="2301"/>
      <c r="L38" s="2301"/>
    </row>
    <row r="39" spans="1:15">
      <c r="A39" s="2300"/>
      <c r="B39" s="2321"/>
      <c r="D39" s="2309"/>
      <c r="O39" s="2322"/>
    </row>
    <row r="40" spans="1:15">
      <c r="A40" s="2300" t="s">
        <v>231</v>
      </c>
      <c r="D40" s="565"/>
      <c r="G40" s="2301"/>
      <c r="O40" s="2322"/>
    </row>
    <row r="41" spans="1:15">
      <c r="A41" s="2300" t="s">
        <v>2804</v>
      </c>
      <c r="B41" s="2321"/>
      <c r="D41" s="4128">
        <f>'[49]מיסים שוטפים 2020'!$D$48</f>
        <v>3146824.7773746625</v>
      </c>
      <c r="O41" s="2322"/>
    </row>
    <row r="42" spans="1:15">
      <c r="A42" s="2300" t="s">
        <v>4860</v>
      </c>
      <c r="B42" s="2321"/>
      <c r="D42" s="4136">
        <f>(1755380+2105000+1643000+575157)*'[46]Reference Rates (2)'!$K$15</f>
        <v>275245.7711249229</v>
      </c>
      <c r="O42" s="2322"/>
    </row>
    <row r="43" spans="1:15">
      <c r="A43" s="2300" t="s">
        <v>2803</v>
      </c>
      <c r="B43" s="2321"/>
      <c r="D43" s="4128">
        <f>SUM('מאזן בוחן'!$J$118)</f>
        <v>1708397.1</v>
      </c>
      <c r="F43" s="2323"/>
      <c r="O43" s="2322"/>
    </row>
    <row r="44" spans="1:15">
      <c r="A44" s="2300" t="s">
        <v>3140</v>
      </c>
      <c r="B44" s="2321"/>
      <c r="D44" s="146">
        <f>-D36*B37*G45</f>
        <v>438996.79445140262</v>
      </c>
      <c r="G44" s="4127">
        <f>[50]Main!$F$3</f>
        <v>6.3969930293737865E-3</v>
      </c>
      <c r="O44" s="2322"/>
    </row>
    <row r="45" spans="1:15" ht="13.5" thickBot="1">
      <c r="A45" s="388" t="s">
        <v>2077</v>
      </c>
      <c r="B45" s="2321"/>
      <c r="D45" s="2324">
        <f>SUM(D41:D44)</f>
        <v>5569464.4429509882</v>
      </c>
      <c r="G45" s="4127">
        <f>1-G44</f>
        <v>0.9936030069706262</v>
      </c>
      <c r="O45" s="2322"/>
    </row>
    <row r="46" spans="1:15" ht="13.5" thickTop="1">
      <c r="A46" s="2300"/>
      <c r="B46" s="2321"/>
      <c r="D46" s="2325"/>
      <c r="O46" s="2322"/>
    </row>
    <row r="47" spans="1:15" ht="13.5" thickBot="1">
      <c r="A47" s="2326" t="s">
        <v>229</v>
      </c>
      <c r="B47" s="2321"/>
      <c r="D47" s="4135">
        <f>-C13</f>
        <v>-20327.740000000002</v>
      </c>
      <c r="O47" s="2322"/>
    </row>
    <row r="48" spans="1:15" ht="13.5" thickTop="1">
      <c r="A48" s="2300"/>
      <c r="B48" s="2321"/>
      <c r="D48" s="2325"/>
      <c r="O48" s="2322"/>
    </row>
    <row r="49" spans="1:19">
      <c r="A49" s="2300"/>
      <c r="D49" s="2315"/>
      <c r="P49" s="2355"/>
      <c r="Q49" s="2355"/>
      <c r="R49" s="2355"/>
      <c r="S49" s="2355"/>
    </row>
    <row r="50" spans="1:19">
      <c r="A50" s="2327"/>
      <c r="B50" s="2328"/>
      <c r="C50" s="2328"/>
      <c r="D50" s="2329"/>
    </row>
    <row r="51" spans="1:19">
      <c r="A51" s="2300"/>
      <c r="B51" s="2373"/>
      <c r="C51" s="2373"/>
      <c r="D51" s="2309"/>
    </row>
    <row r="52" spans="1:19">
      <c r="A52" s="2300" t="s">
        <v>3155</v>
      </c>
      <c r="B52" s="2373"/>
      <c r="C52" s="2373"/>
      <c r="D52" s="2309">
        <f>D44+D37</f>
        <v>-2826.3395081553608</v>
      </c>
    </row>
    <row r="53" spans="1:19">
      <c r="A53" s="2330" t="s">
        <v>3182</v>
      </c>
      <c r="D53" s="2317">
        <f>SUM([11]עודפות!$D$5:$F$15)</f>
        <v>572110.21112819179</v>
      </c>
      <c r="P53" s="2319"/>
      <c r="Q53" s="2319"/>
      <c r="R53" s="2319"/>
      <c r="S53" s="2319"/>
    </row>
    <row r="54" spans="1:19">
      <c r="A54" s="2331" t="s">
        <v>4258</v>
      </c>
      <c r="D54" s="4125">
        <f>'מאזן בוחן'!$J$121</f>
        <v>920507</v>
      </c>
    </row>
    <row r="55" spans="1:19" ht="13.5" thickBot="1">
      <c r="A55" s="2300" t="s">
        <v>2078</v>
      </c>
      <c r="D55" s="2332">
        <f>D52+D53+D54</f>
        <v>1489790.8716200364</v>
      </c>
    </row>
    <row r="56" spans="1:19" ht="14.25" thickTop="1" thickBot="1">
      <c r="A56" s="2304"/>
      <c r="B56" s="2333"/>
      <c r="C56" s="2333"/>
      <c r="D56" s="4137">
        <f>SUM([11]עודפות!$J$5:$J$15)-D55</f>
        <v>-917680.66049184464</v>
      </c>
      <c r="I56" s="2318"/>
    </row>
    <row r="57" spans="1:19">
      <c r="A57" s="2334"/>
      <c r="B57" s="2305"/>
      <c r="C57" s="2305"/>
      <c r="D57" s="2335"/>
      <c r="L57" s="2301"/>
    </row>
    <row r="58" spans="1:19">
      <c r="A58" s="2336" t="s">
        <v>334</v>
      </c>
      <c r="D58" s="2315"/>
    </row>
    <row r="59" spans="1:19">
      <c r="A59" s="2300"/>
      <c r="D59" s="2315"/>
    </row>
    <row r="60" spans="1:19">
      <c r="A60" s="2330" t="s">
        <v>335</v>
      </c>
      <c r="B60" s="1036"/>
      <c r="D60" s="4125">
        <f>דוחות!$P$23</f>
        <v>79843837.008941799</v>
      </c>
    </row>
    <row r="61" spans="1:19">
      <c r="A61" s="2371" t="s">
        <v>2087</v>
      </c>
      <c r="B61" s="2372"/>
      <c r="C61" s="2342"/>
      <c r="D61" s="2317">
        <v>0</v>
      </c>
      <c r="G61" s="2301"/>
    </row>
    <row r="62" spans="1:19">
      <c r="A62" s="2330" t="s">
        <v>651</v>
      </c>
      <c r="B62" s="1036"/>
      <c r="D62" s="4125">
        <f>-'העמסת הנה"כ'!$H$33*'העמסת הנה"כ'!$C$19</f>
        <v>-1210310.9251851852</v>
      </c>
      <c r="G62" s="2301"/>
      <c r="H62" s="2301"/>
    </row>
    <row r="63" spans="1:19">
      <c r="A63" s="2330" t="s">
        <v>336</v>
      </c>
      <c r="B63" s="1036"/>
      <c r="D63" s="4125">
        <f>-'מאזן בוחן'!$J$584-'מאזן בוחן'!$J$591</f>
        <v>-1810399.3599999999</v>
      </c>
    </row>
    <row r="64" spans="1:19">
      <c r="A64" s="2330" t="s">
        <v>4852</v>
      </c>
      <c r="B64" s="1036"/>
      <c r="D64" s="4125">
        <f>-'מאזן בוחן'!J585-'מאזן בוחן'!J593</f>
        <v>44067.58</v>
      </c>
    </row>
    <row r="65" spans="1:11">
      <c r="A65" s="2330" t="s">
        <v>3841</v>
      </c>
      <c r="B65" s="1036"/>
      <c r="D65" s="4125">
        <f>-'[49]מיסים שוטפים 2020'!$D$69</f>
        <v>1183657.2235897435</v>
      </c>
    </row>
    <row r="66" spans="1:11">
      <c r="A66" s="2330" t="s">
        <v>3842</v>
      </c>
      <c r="D66" s="2317">
        <f>-D65</f>
        <v>-1183657.2235897435</v>
      </c>
    </row>
    <row r="67" spans="1:11">
      <c r="A67" s="2300"/>
      <c r="B67" s="2301"/>
      <c r="C67" s="137"/>
      <c r="D67" s="2337"/>
    </row>
    <row r="68" spans="1:11" ht="13.5" thickBot="1">
      <c r="A68" s="2300" t="s">
        <v>512</v>
      </c>
      <c r="D68" s="2338">
        <f>SUM(D60:D66)</f>
        <v>76867194.30375661</v>
      </c>
      <c r="I68" s="716"/>
    </row>
    <row r="69" spans="1:11" ht="13.5" thickTop="1">
      <c r="A69" s="2300"/>
      <c r="B69" s="2301"/>
      <c r="D69" s="146"/>
      <c r="H69" s="2339"/>
      <c r="I69" s="716"/>
    </row>
    <row r="70" spans="1:11">
      <c r="A70" s="2300" t="s">
        <v>4856</v>
      </c>
      <c r="B70" s="4127">
        <v>0.89</v>
      </c>
      <c r="D70" s="565">
        <f>D68*B70</f>
        <v>68411802.93034339</v>
      </c>
      <c r="G70" s="4127">
        <f>'[51]מופ מוכר (2019)'!$B$11</f>
        <v>0.88711005989258351</v>
      </c>
      <c r="H70" s="2342" t="s">
        <v>4857</v>
      </c>
    </row>
    <row r="71" spans="1:11">
      <c r="A71" s="2300"/>
      <c r="B71" s="2301"/>
      <c r="D71" s="146"/>
    </row>
    <row r="72" spans="1:11">
      <c r="A72" s="2300" t="s">
        <v>2793</v>
      </c>
      <c r="B72" s="647"/>
      <c r="D72" s="146">
        <f>D68-D70</f>
        <v>8455391.37341322</v>
      </c>
    </row>
    <row r="73" spans="1:11">
      <c r="A73" s="2300"/>
      <c r="B73" s="2301"/>
      <c r="D73" s="4129">
        <f>-D61</f>
        <v>0</v>
      </c>
      <c r="H73" s="716"/>
    </row>
    <row r="74" spans="1:11">
      <c r="A74" s="2300"/>
      <c r="B74" s="2301"/>
      <c r="D74" s="146">
        <f>SUM(D72:D73)</f>
        <v>8455391.37341322</v>
      </c>
      <c r="H74" s="716"/>
    </row>
    <row r="75" spans="1:11">
      <c r="A75" s="2300"/>
      <c r="B75" s="2301"/>
      <c r="D75" s="146"/>
      <c r="H75" s="716"/>
    </row>
    <row r="76" spans="1:11" ht="13.5" thickBot="1">
      <c r="A76" s="2300" t="s">
        <v>337</v>
      </c>
      <c r="B76" s="2301"/>
      <c r="C76" s="137"/>
      <c r="D76" s="2338">
        <f>+D74*2/3</f>
        <v>5636927.58227548</v>
      </c>
    </row>
    <row r="77" spans="1:11" ht="14.25" thickTop="1" thickBot="1">
      <c r="A77" s="2304"/>
      <c r="B77" s="2340"/>
      <c r="C77" s="2333"/>
      <c r="D77" s="152"/>
    </row>
    <row r="78" spans="1:11">
      <c r="A78" s="2334"/>
      <c r="B78" s="2306"/>
      <c r="C78" s="2305"/>
      <c r="D78" s="553"/>
      <c r="H78" s="716"/>
    </row>
    <row r="79" spans="1:11">
      <c r="A79" s="2336" t="s">
        <v>338</v>
      </c>
      <c r="B79" s="2301"/>
      <c r="D79" s="146"/>
      <c r="G79" s="3448"/>
      <c r="H79" s="1531"/>
      <c r="I79" s="3449"/>
      <c r="J79" s="3450"/>
      <c r="K79" s="716"/>
    </row>
    <row r="80" spans="1:11">
      <c r="A80" s="2300"/>
      <c r="B80" s="2301"/>
      <c r="D80" s="146"/>
      <c r="G80" s="735"/>
      <c r="H80" s="735"/>
      <c r="I80" s="3450"/>
      <c r="J80" s="3450"/>
    </row>
    <row r="81" spans="1:10">
      <c r="A81" s="387" t="s">
        <v>2789</v>
      </c>
      <c r="B81" s="2301"/>
      <c r="D81" s="146"/>
      <c r="G81" s="3450"/>
      <c r="H81" s="3450"/>
      <c r="I81" s="3450"/>
      <c r="J81" s="3450"/>
    </row>
    <row r="82" spans="1:10" ht="13.5" thickBot="1">
      <c r="A82" s="2300" t="s">
        <v>2790</v>
      </c>
      <c r="B82" s="2301"/>
      <c r="D82" s="4130">
        <f>'[52]מופ מוכר (2019)'!$E$46</f>
        <v>2504274.9810992503</v>
      </c>
      <c r="G82" s="3450"/>
      <c r="H82" s="52"/>
      <c r="I82" s="3450"/>
      <c r="J82" s="3450"/>
    </row>
    <row r="83" spans="1:10" ht="13.5" thickTop="1">
      <c r="A83" s="2300"/>
      <c r="B83" s="2301"/>
      <c r="D83" s="3057"/>
      <c r="G83" s="3450"/>
      <c r="H83" s="3450"/>
      <c r="I83" s="3450"/>
      <c r="J83" s="3450"/>
    </row>
    <row r="84" spans="1:10">
      <c r="A84" s="2373"/>
      <c r="B84" s="2301"/>
      <c r="D84" s="146"/>
      <c r="G84" s="3450"/>
      <c r="H84" s="3450"/>
      <c r="I84" s="3450"/>
      <c r="J84" s="3450"/>
    </row>
    <row r="85" spans="1:10">
      <c r="A85" s="387" t="s">
        <v>3541</v>
      </c>
      <c r="B85" s="2301"/>
      <c r="D85" s="146"/>
      <c r="G85" s="3450"/>
      <c r="H85" s="3450"/>
      <c r="I85" s="3450"/>
      <c r="J85" s="3450"/>
    </row>
    <row r="86" spans="1:10" ht="13.5" thickBot="1">
      <c r="A86" s="2300" t="s">
        <v>4257</v>
      </c>
      <c r="B86" s="2301"/>
      <c r="D86" s="4130">
        <f>SUM('[49]מיסים שוטפים 2020'!$D$79)/2</f>
        <v>2596973.8303042003</v>
      </c>
      <c r="G86" s="3450"/>
      <c r="H86" s="3450"/>
      <c r="I86" s="3450"/>
      <c r="J86" s="3450"/>
    </row>
    <row r="87" spans="1:10" ht="13.5" thickTop="1">
      <c r="A87" s="2300"/>
      <c r="B87" s="2301"/>
      <c r="D87" s="146"/>
    </row>
    <row r="88" spans="1:10">
      <c r="A88" s="2300"/>
      <c r="B88" s="2301"/>
      <c r="D88" s="146"/>
    </row>
    <row r="89" spans="1:10">
      <c r="A89" s="2300"/>
      <c r="B89" s="2301"/>
      <c r="D89" s="146"/>
    </row>
    <row r="90" spans="1:10" ht="13.5" thickBot="1">
      <c r="A90" s="2304"/>
      <c r="B90" s="2340"/>
      <c r="C90" s="2333"/>
      <c r="D90" s="152"/>
    </row>
    <row r="98" spans="8:11">
      <c r="H98" s="2342" t="s">
        <v>2079</v>
      </c>
      <c r="I98" s="2343">
        <v>2017</v>
      </c>
      <c r="J98" s="2343">
        <v>2018</v>
      </c>
      <c r="K98" s="2343">
        <v>2019</v>
      </c>
    </row>
    <row r="99" spans="8:11">
      <c r="H99" s="2299" t="s">
        <v>2080</v>
      </c>
    </row>
    <row r="100" spans="8:11">
      <c r="H100" s="2299" t="s">
        <v>2081</v>
      </c>
      <c r="I100" s="2344">
        <f>+C21</f>
        <v>2504274.9810992503</v>
      </c>
      <c r="J100" s="2344">
        <f>+I100</f>
        <v>2504274.9810992503</v>
      </c>
      <c r="K100" s="2344">
        <f>+J100</f>
        <v>2504274.9810992503</v>
      </c>
    </row>
    <row r="101" spans="8:11">
      <c r="H101" s="2299" t="s">
        <v>2082</v>
      </c>
      <c r="I101" s="2344">
        <f>SUM(I99:I100)</f>
        <v>2504274.9810992503</v>
      </c>
      <c r="J101" s="2344">
        <f>SUM(J99:J100)</f>
        <v>2504274.9810992503</v>
      </c>
      <c r="K101" s="2344">
        <f>SUM(K99:K100)</f>
        <v>2504274.9810992503</v>
      </c>
    </row>
    <row r="102" spans="8:11">
      <c r="H102" s="2299" t="s">
        <v>2083</v>
      </c>
      <c r="I102" s="2299">
        <f>+I101</f>
        <v>2504274.9810992503</v>
      </c>
      <c r="J102" s="2299">
        <f>+J101+I102</f>
        <v>5008549.9621985005</v>
      </c>
      <c r="K102" s="2299">
        <f>+K101+J102</f>
        <v>7512824.9432977512</v>
      </c>
    </row>
    <row r="105" spans="8:11">
      <c r="H105" s="2342" t="s">
        <v>2084</v>
      </c>
    </row>
    <row r="107" spans="8:11">
      <c r="H107" s="2299" t="s">
        <v>2082</v>
      </c>
      <c r="I107" s="2344">
        <f>3116481/3</f>
        <v>1038827</v>
      </c>
      <c r="J107" s="2344">
        <f>+I107</f>
        <v>1038827</v>
      </c>
      <c r="K107" s="2344">
        <f>+J107</f>
        <v>1038827</v>
      </c>
    </row>
    <row r="108" spans="8:11">
      <c r="H108" s="2299" t="s">
        <v>2083</v>
      </c>
      <c r="I108" s="2299">
        <f>+I107</f>
        <v>1038827</v>
      </c>
      <c r="J108" s="2313">
        <f>+J107+I108</f>
        <v>2077654</v>
      </c>
      <c r="K108" s="2299">
        <f>+K107+J108</f>
        <v>3116481</v>
      </c>
    </row>
    <row r="110" spans="8:11">
      <c r="H110" s="2342" t="s">
        <v>2085</v>
      </c>
    </row>
    <row r="111" spans="8:11">
      <c r="H111" s="2299" t="s">
        <v>2080</v>
      </c>
      <c r="I111" s="2299">
        <f>50086046-48811445</f>
        <v>1274601</v>
      </c>
      <c r="J111" s="2299">
        <f>-K111</f>
        <v>-424867</v>
      </c>
      <c r="K111" s="2299">
        <f>I111/3</f>
        <v>424867</v>
      </c>
    </row>
    <row r="112" spans="8:11">
      <c r="H112" s="2299" t="s">
        <v>2081</v>
      </c>
      <c r="I112" s="2344">
        <f>+I100</f>
        <v>2504274.9810992503</v>
      </c>
      <c r="J112" s="2344">
        <f>+I112</f>
        <v>2504274.9810992503</v>
      </c>
      <c r="K112" s="2344">
        <f>J112</f>
        <v>2504274.9810992503</v>
      </c>
    </row>
    <row r="113" spans="8:11">
      <c r="H113" s="2299" t="s">
        <v>2082</v>
      </c>
      <c r="I113" s="2344">
        <f>SUM(I111:I112)</f>
        <v>3778875.9810992503</v>
      </c>
      <c r="J113" s="2344">
        <f>SUM(J111:J112)</f>
        <v>2079407.9810992503</v>
      </c>
      <c r="K113" s="2344">
        <f>SUM(K111:K112)</f>
        <v>2929141.9810992503</v>
      </c>
    </row>
    <row r="114" spans="8:11">
      <c r="H114" s="2299" t="s">
        <v>2083</v>
      </c>
      <c r="I114" s="2299">
        <f>+I113</f>
        <v>3778875.9810992503</v>
      </c>
      <c r="J114" s="2313">
        <f>+J113+I114</f>
        <v>5858283.9621985005</v>
      </c>
      <c r="K114" s="2299">
        <f>+K113+J114</f>
        <v>8787425.9432977512</v>
      </c>
    </row>
    <row r="117" spans="8:11">
      <c r="J117" s="2299" t="s">
        <v>2086</v>
      </c>
    </row>
  </sheetData>
  <pageMargins left="0.75" right="0.75" top="1" bottom="1" header="0.5" footer="0.5"/>
  <pageSetup paperSize="9" scale="29" orientation="landscape" r:id="rId1"/>
  <headerFooter alignWithMargins="0">
    <oddHeader>&amp;L&amp;A&amp;C&amp;F&amp;R&amp;D</oddHead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8" tint="0.39997558519241921"/>
    <pageSetUpPr fitToPage="1"/>
  </sheetPr>
  <dimension ref="A2:L99"/>
  <sheetViews>
    <sheetView zoomScale="90" zoomScaleNormal="90" workbookViewId="0">
      <selection activeCell="H33" sqref="H33"/>
    </sheetView>
  </sheetViews>
  <sheetFormatPr defaultColWidth="9.33203125" defaultRowHeight="12.75"/>
  <cols>
    <col min="1" max="1" width="40.6640625" style="213" customWidth="1"/>
    <col min="2" max="2" width="23.83203125" style="213" customWidth="1"/>
    <col min="3" max="3" width="33.5" style="213" customWidth="1"/>
    <col min="4" max="4" width="16.33203125" style="213" customWidth="1"/>
    <col min="5" max="5" width="34.83203125" style="213" customWidth="1"/>
    <col min="6" max="6" width="16.33203125" style="213" bestFit="1" customWidth="1"/>
    <col min="7" max="7" width="28.33203125" style="213" customWidth="1"/>
    <col min="8" max="8" width="16.33203125" style="213" bestFit="1" customWidth="1"/>
    <col min="9" max="9" width="14" style="213" bestFit="1" customWidth="1"/>
    <col min="10" max="10" width="13.33203125" style="213" customWidth="1"/>
    <col min="11" max="11" width="13.6640625" style="213" bestFit="1" customWidth="1"/>
    <col min="12" max="12" width="14.83203125" style="213" bestFit="1" customWidth="1"/>
    <col min="13" max="13" width="9.33203125" style="213" customWidth="1"/>
    <col min="14" max="14" width="17.1640625" style="213" bestFit="1" customWidth="1"/>
    <col min="15" max="15" width="9.33203125" style="213" customWidth="1"/>
    <col min="16" max="16384" width="9.33203125" style="213"/>
  </cols>
  <sheetData>
    <row r="2" spans="1:12" ht="13.5" thickBot="1">
      <c r="A2" s="1254" t="s">
        <v>1383</v>
      </c>
      <c r="B2" s="212"/>
      <c r="C2" s="212"/>
      <c r="D2" s="212"/>
      <c r="E2" s="212"/>
      <c r="F2" s="212"/>
      <c r="G2" s="212"/>
    </row>
    <row r="3" spans="1:12" ht="15.75" thickBot="1">
      <c r="A3" s="1255"/>
      <c r="B3" s="1677"/>
      <c r="C3" s="214"/>
      <c r="D3" s="214"/>
      <c r="E3" s="212"/>
      <c r="F3" s="212"/>
      <c r="G3" s="2699" t="s">
        <v>1535</v>
      </c>
      <c r="H3" s="2700"/>
    </row>
    <row r="4" spans="1:12" ht="13.5" thickBot="1">
      <c r="A4" s="225"/>
      <c r="B4" s="4080" t="s">
        <v>4840</v>
      </c>
      <c r="D4" s="214"/>
      <c r="E4" s="1258" t="s">
        <v>470</v>
      </c>
      <c r="F4" s="1678"/>
      <c r="G4" s="1679" t="s">
        <v>147</v>
      </c>
      <c r="H4" s="1679" t="s">
        <v>4</v>
      </c>
      <c r="I4" s="1680" t="s">
        <v>147</v>
      </c>
      <c r="J4" s="1681" t="s">
        <v>4</v>
      </c>
      <c r="L4" s="2874" t="s">
        <v>3306</v>
      </c>
    </row>
    <row r="5" spans="1:12">
      <c r="A5" s="1262" t="s">
        <v>1384</v>
      </c>
      <c r="B5" s="1264" t="s">
        <v>466</v>
      </c>
      <c r="C5" s="4081"/>
      <c r="D5" s="214"/>
      <c r="E5" s="1265">
        <v>6030001</v>
      </c>
      <c r="F5" s="1682" t="s">
        <v>89</v>
      </c>
      <c r="G5" s="362">
        <f>VLOOKUP(E5,'מאזן בוחן'!C:M,3,0)</f>
        <v>6956062.0099999998</v>
      </c>
      <c r="H5" s="362">
        <f>VLOOKUP(E5,'מאזן בוחן'!$C:$N,11,0)</f>
        <v>2099606.67</v>
      </c>
      <c r="I5" s="1683">
        <f>E15+E16+G15+G16+E66-G5</f>
        <v>-1.0582013055682182E-3</v>
      </c>
      <c r="J5" s="1453">
        <f>F15+F16+H15+H16+F66-H5</f>
        <v>1.7841299995779991E-4</v>
      </c>
    </row>
    <row r="6" spans="1:12">
      <c r="A6" s="217" t="s">
        <v>193</v>
      </c>
      <c r="B6" s="2719">
        <f>2+12+4+9+3</f>
        <v>30</v>
      </c>
      <c r="C6" s="4081"/>
      <c r="D6" s="220"/>
      <c r="E6" s="1265">
        <v>7030001</v>
      </c>
      <c r="F6" s="1682" t="s">
        <v>187</v>
      </c>
      <c r="G6" s="362">
        <f>VLOOKUP(E6,'מאזן בוחן'!C:M,3,0)</f>
        <v>1764557.67</v>
      </c>
      <c r="H6" s="362">
        <f>VLOOKUP(E6,'מאזן בוחן'!C:N,11,0)</f>
        <v>536968.95999999996</v>
      </c>
      <c r="I6" s="1683">
        <f>E17+G17+E68-G6</f>
        <v>8.9947087690234184E-4</v>
      </c>
      <c r="J6" s="1453">
        <f>F17+H17+F68-H6</f>
        <v>-1.0845719370990992E-3</v>
      </c>
    </row>
    <row r="7" spans="1:12">
      <c r="A7" s="221" t="s">
        <v>192</v>
      </c>
      <c r="B7" s="2719">
        <f>3+106+12</f>
        <v>121</v>
      </c>
      <c r="C7" s="4081"/>
      <c r="D7" s="220"/>
      <c r="E7" s="1265">
        <v>5120001</v>
      </c>
      <c r="F7" s="1682" t="s">
        <v>199</v>
      </c>
      <c r="G7" s="362">
        <f>VLOOKUP(E7,'מאזן בוחן'!C:M,3,0)</f>
        <v>1101733.7</v>
      </c>
      <c r="H7" s="362">
        <f>VLOOKUP(E7,'מאזן בוחן'!C:N,11,0)</f>
        <v>333035.2</v>
      </c>
      <c r="I7" s="1683">
        <f>E13+E14+G13+G14+E70-G7</f>
        <v>3.8095235358923674E-3</v>
      </c>
      <c r="J7" s="1453">
        <f>F13+F14+H13+H14+F70-H7</f>
        <v>7.5840688077732921E-4</v>
      </c>
    </row>
    <row r="8" spans="1:12" ht="13.5" thickBot="1">
      <c r="A8" s="222" t="s">
        <v>254</v>
      </c>
      <c r="B8" s="2719">
        <f>2/2+2+15+2</f>
        <v>20</v>
      </c>
      <c r="C8" s="4081"/>
      <c r="D8" s="220"/>
      <c r="E8" s="1268">
        <v>93100</v>
      </c>
      <c r="F8" s="1684" t="s">
        <v>186</v>
      </c>
      <c r="G8" s="363">
        <f>VLOOKUP(E8,'מאזן בוחן'!C:M,3,0)</f>
        <v>-9822353.3800000008</v>
      </c>
      <c r="H8" s="363">
        <f>VLOOKUP(E8,'מאזן בוחן'!C:N,11,0)</f>
        <v>-2969610.83</v>
      </c>
      <c r="I8" s="1685">
        <f>-SUM(I5:I7)</f>
        <v>-3.650793107226491E-3</v>
      </c>
      <c r="J8" s="1271">
        <f>-SUM(J5:J7)</f>
        <v>1.4775205636397004E-4</v>
      </c>
    </row>
    <row r="9" spans="1:12" ht="13.5" thickBot="1">
      <c r="A9" s="2720" t="s">
        <v>1385</v>
      </c>
      <c r="B9" s="2721">
        <f>2/2+5+5+7</f>
        <v>18</v>
      </c>
      <c r="C9" s="4081"/>
      <c r="D9" s="220"/>
      <c r="E9" s="225"/>
      <c r="F9" s="225"/>
      <c r="G9" s="225">
        <f>SUM(G5:G8)</f>
        <v>0</v>
      </c>
      <c r="H9" s="213">
        <f>SUM(H5:H8)</f>
        <v>0</v>
      </c>
      <c r="I9" s="226">
        <f>SUM(E13:E17)+SUM(G13:G17)+SUM(E66:E70)+I8+G8</f>
        <v>0</v>
      </c>
      <c r="J9" s="226">
        <f>SUM(F13:F17)+SUM(H13:H17)+SUM(F59:F70)+J8+H8</f>
        <v>0</v>
      </c>
    </row>
    <row r="10" spans="1:12" ht="13.5" thickBot="1">
      <c r="A10" s="2722"/>
      <c r="B10" s="2723">
        <f>SUM(B6:B9)</f>
        <v>189</v>
      </c>
      <c r="C10" s="3258"/>
      <c r="D10" s="220"/>
      <c r="F10" s="225"/>
      <c r="G10" s="225"/>
      <c r="H10" s="225"/>
      <c r="I10" s="226"/>
      <c r="J10" s="226"/>
      <c r="K10" s="226"/>
    </row>
    <row r="11" spans="1:12">
      <c r="A11" s="225"/>
      <c r="B11" s="1272"/>
      <c r="C11" s="214"/>
      <c r="D11" s="1272"/>
      <c r="E11" s="1274" t="s">
        <v>410</v>
      </c>
      <c r="F11" s="1274" t="s">
        <v>410</v>
      </c>
      <c r="G11" s="1274" t="s">
        <v>193</v>
      </c>
      <c r="H11" s="1274" t="s">
        <v>193</v>
      </c>
    </row>
    <row r="12" spans="1:12">
      <c r="A12" s="212"/>
      <c r="B12" s="230"/>
      <c r="C12" s="212"/>
      <c r="D12" s="243"/>
      <c r="E12" s="231" t="s">
        <v>104</v>
      </c>
      <c r="F12" s="231" t="s">
        <v>294</v>
      </c>
      <c r="G12" s="231" t="s">
        <v>104</v>
      </c>
      <c r="H12" s="231" t="s">
        <v>294</v>
      </c>
    </row>
    <row r="13" spans="1:12">
      <c r="A13" s="212"/>
      <c r="B13" s="230"/>
      <c r="C13" s="212"/>
      <c r="D13" s="243"/>
      <c r="E13" s="232">
        <f t="shared" ref="E13:E18" si="0">+$G$27*C17</f>
        <v>237589.81904761901</v>
      </c>
      <c r="F13" s="232">
        <f t="shared" ref="F13:F18" si="1">+$H$27*C17</f>
        <v>73054.372380952365</v>
      </c>
      <c r="G13" s="232">
        <f t="shared" ref="G13:G18" si="2">$H$55*C17</f>
        <v>612297.8847619046</v>
      </c>
      <c r="H13" s="232">
        <f t="shared" ref="H13:H18" si="3">$I$55*C17</f>
        <v>182121.11333333337</v>
      </c>
    </row>
    <row r="14" spans="1:12" ht="13.5" thickBot="1">
      <c r="A14" s="212"/>
      <c r="B14" s="218"/>
      <c r="C14" s="212"/>
      <c r="D14" s="243"/>
      <c r="E14" s="232">
        <f t="shared" si="0"/>
        <v>0</v>
      </c>
      <c r="F14" s="232">
        <f t="shared" si="1"/>
        <v>0</v>
      </c>
      <c r="G14" s="232">
        <f t="shared" si="2"/>
        <v>0</v>
      </c>
      <c r="H14" s="232">
        <f t="shared" si="3"/>
        <v>0</v>
      </c>
      <c r="I14" s="212"/>
    </row>
    <row r="15" spans="1:12">
      <c r="A15" s="1948"/>
      <c r="B15" s="2724"/>
      <c r="C15" s="2725"/>
      <c r="D15" s="243"/>
      <c r="E15" s="233">
        <f t="shared" si="0"/>
        <v>1597131.5613756613</v>
      </c>
      <c r="F15" s="233">
        <f t="shared" si="1"/>
        <v>491087.72544973542</v>
      </c>
      <c r="G15" s="233">
        <f t="shared" si="2"/>
        <v>4116002.4475661372</v>
      </c>
      <c r="H15" s="233">
        <f t="shared" si="3"/>
        <v>1224258.5951851855</v>
      </c>
    </row>
    <row r="16" spans="1:12">
      <c r="A16" s="307"/>
      <c r="B16" s="2729" t="s">
        <v>466</v>
      </c>
      <c r="C16" s="2730" t="s">
        <v>3144</v>
      </c>
      <c r="D16" s="243"/>
      <c r="E16" s="233">
        <f t="shared" si="0"/>
        <v>0</v>
      </c>
      <c r="F16" s="233">
        <f t="shared" si="1"/>
        <v>0</v>
      </c>
      <c r="G16" s="233">
        <f t="shared" si="2"/>
        <v>0</v>
      </c>
      <c r="H16" s="233">
        <f t="shared" si="3"/>
        <v>0</v>
      </c>
    </row>
    <row r="17" spans="1:10">
      <c r="A17" s="224" t="s">
        <v>412</v>
      </c>
      <c r="B17" s="309">
        <f>B9</f>
        <v>18</v>
      </c>
      <c r="C17" s="311">
        <f>B17/$B$23</f>
        <v>9.5238095238095233E-2</v>
      </c>
      <c r="D17" s="243"/>
      <c r="E17" s="234">
        <f t="shared" si="0"/>
        <v>263988.68783068779</v>
      </c>
      <c r="F17" s="234">
        <f t="shared" si="1"/>
        <v>81171.52486772486</v>
      </c>
      <c r="G17" s="234">
        <f t="shared" si="2"/>
        <v>680330.98306878295</v>
      </c>
      <c r="H17" s="234">
        <f t="shared" si="3"/>
        <v>202356.79259259262</v>
      </c>
    </row>
    <row r="18" spans="1:10">
      <c r="A18" s="224" t="s">
        <v>413</v>
      </c>
      <c r="B18" s="309"/>
      <c r="C18" s="311"/>
      <c r="D18" s="243"/>
      <c r="E18" s="235">
        <f t="shared" si="0"/>
        <v>395983.03174603166</v>
      </c>
      <c r="F18" s="235">
        <f t="shared" si="1"/>
        <v>121757.28730158728</v>
      </c>
      <c r="G18" s="235">
        <f t="shared" si="2"/>
        <v>1020496.4746031744</v>
      </c>
      <c r="H18" s="235">
        <f t="shared" si="3"/>
        <v>303535.18888888892</v>
      </c>
    </row>
    <row r="19" spans="1:10" ht="13.5" thickBot="1">
      <c r="A19" s="221" t="s">
        <v>192</v>
      </c>
      <c r="B19" s="309">
        <f>B7</f>
        <v>121</v>
      </c>
      <c r="C19" s="311">
        <f>B19/$B$23</f>
        <v>0.64021164021164023</v>
      </c>
      <c r="D19" s="243"/>
      <c r="E19" s="238">
        <f>SUM(E13:E18)</f>
        <v>2494693.1</v>
      </c>
      <c r="F19" s="238">
        <f>SUM(F13:F18)</f>
        <v>767070.90999999992</v>
      </c>
      <c r="G19" s="238">
        <f>SUM(G13:G18)</f>
        <v>6429127.7899999991</v>
      </c>
      <c r="H19" s="238">
        <f>SUM(H13:H18)</f>
        <v>1912271.6900000004</v>
      </c>
    </row>
    <row r="20" spans="1:10" ht="13.5" thickTop="1">
      <c r="A20" s="221" t="s">
        <v>414</v>
      </c>
      <c r="B20" s="309"/>
      <c r="C20" s="311"/>
      <c r="D20" s="243"/>
      <c r="E20" s="239">
        <f>G27-E19</f>
        <v>0</v>
      </c>
      <c r="F20" s="239">
        <f>H27-F19</f>
        <v>0</v>
      </c>
      <c r="G20" s="239">
        <f>G19-H55</f>
        <v>0</v>
      </c>
      <c r="H20" s="239">
        <f>H19-I55</f>
        <v>0</v>
      </c>
    </row>
    <row r="21" spans="1:10">
      <c r="A21" s="222" t="s">
        <v>415</v>
      </c>
      <c r="B21" s="309">
        <f>B8</f>
        <v>20</v>
      </c>
      <c r="C21" s="311">
        <f>B21/$B$23</f>
        <v>0.10582010582010581</v>
      </c>
      <c r="D21" s="243"/>
    </row>
    <row r="22" spans="1:10">
      <c r="A22" s="312" t="s">
        <v>193</v>
      </c>
      <c r="B22" s="309">
        <f>B6</f>
        <v>30</v>
      </c>
      <c r="C22" s="311">
        <f>B22/$B$23</f>
        <v>0.15873015873015872</v>
      </c>
      <c r="D22" s="243"/>
      <c r="E22" s="212"/>
      <c r="F22" s="240"/>
      <c r="G22" s="240"/>
      <c r="H22" s="241"/>
    </row>
    <row r="23" spans="1:10" ht="13.5" thickBot="1">
      <c r="A23" s="307"/>
      <c r="B23" s="236">
        <f>SUM(B17:B22)</f>
        <v>189</v>
      </c>
      <c r="C23" s="313">
        <f>SUM(C17:C22)</f>
        <v>1</v>
      </c>
      <c r="D23" s="243"/>
      <c r="E23" s="212"/>
      <c r="F23" s="240"/>
      <c r="G23" s="242" t="s">
        <v>467</v>
      </c>
      <c r="H23" s="231" t="s">
        <v>294</v>
      </c>
    </row>
    <row r="24" spans="1:10" ht="14.25" thickTop="1" thickBot="1">
      <c r="A24" s="227"/>
      <c r="B24" s="2123">
        <f>+B10-B23</f>
        <v>0</v>
      </c>
      <c r="C24" s="315"/>
      <c r="D24" s="243"/>
      <c r="E24" s="1789">
        <v>8030001</v>
      </c>
      <c r="F24" s="212" t="s">
        <v>394</v>
      </c>
      <c r="G24" s="244">
        <f>VLOOKUP(E24,'מאזן בוחן'!C:K,8,0)</f>
        <v>1819066.38</v>
      </c>
      <c r="H24" s="244">
        <f>VLOOKUP(E24,'מאזן בוחן'!C:K,9,0)</f>
        <v>557731.57999999996</v>
      </c>
      <c r="I24" s="245">
        <f>G24/H24</f>
        <v>3.2615445229047277</v>
      </c>
    </row>
    <row r="25" spans="1:10">
      <c r="A25" s="212"/>
      <c r="B25" s="212"/>
      <c r="C25" s="212"/>
      <c r="D25" s="243"/>
      <c r="E25" s="1789">
        <v>8030002</v>
      </c>
      <c r="F25" s="212" t="s">
        <v>163</v>
      </c>
      <c r="G25" s="244">
        <f>VLOOKUP(E25,'מאזן בוחן'!C:K,8,0)</f>
        <v>332476.92</v>
      </c>
      <c r="H25" s="244">
        <f>VLOOKUP(E25,'מאזן בוחן'!C:K,9,0)</f>
        <v>103078.12</v>
      </c>
      <c r="I25" s="246">
        <f>G25/H25</f>
        <v>3.2254849040708153</v>
      </c>
    </row>
    <row r="26" spans="1:10">
      <c r="A26" s="212"/>
      <c r="B26" s="212"/>
      <c r="C26" s="212"/>
      <c r="D26" s="243"/>
      <c r="E26" s="1789">
        <v>8030003</v>
      </c>
      <c r="F26" s="212" t="s">
        <v>164</v>
      </c>
      <c r="G26" s="244">
        <f>VLOOKUP(E26,'מאזן בוחן'!C:K,8,0)</f>
        <v>343149.8</v>
      </c>
      <c r="H26" s="244">
        <f>VLOOKUP(E26,'מאזן בוחן'!C:K,9,0)</f>
        <v>106261.21</v>
      </c>
      <c r="I26" s="246">
        <f>G26/H26</f>
        <v>3.2293044658535317</v>
      </c>
    </row>
    <row r="27" spans="1:10" ht="13.5" thickBot="1">
      <c r="A27" s="243"/>
      <c r="D27" s="243"/>
      <c r="E27" s="247"/>
      <c r="F27" s="248" t="s">
        <v>468</v>
      </c>
      <c r="G27" s="1811">
        <f>SUM(G24:G26)</f>
        <v>2494693.0999999996</v>
      </c>
      <c r="H27" s="249">
        <f>SUM(H24:H26)</f>
        <v>767070.90999999992</v>
      </c>
    </row>
    <row r="28" spans="1:10" ht="14.25" thickTop="1" thickBot="1">
      <c r="A28" s="243"/>
      <c r="D28" s="243"/>
      <c r="E28" s="247"/>
      <c r="F28" s="212"/>
      <c r="G28" s="2123">
        <f>SUM('מאזן בוחן'!J759:J761)-G27</f>
        <v>0</v>
      </c>
      <c r="H28" s="2123">
        <f>SUM('מאזן בוחן'!K759:K761)-H27</f>
        <v>0</v>
      </c>
    </row>
    <row r="29" spans="1:10" ht="13.5" thickBot="1">
      <c r="A29" s="243"/>
      <c r="D29" s="243"/>
      <c r="E29" s="243"/>
    </row>
    <row r="30" spans="1:10">
      <c r="A30" s="243"/>
      <c r="D30" s="243"/>
      <c r="E30" s="1948"/>
      <c r="F30" s="2702"/>
      <c r="G30" s="1301" t="s">
        <v>469</v>
      </c>
      <c r="H30" s="2703"/>
      <c r="I30" s="293"/>
      <c r="J30" s="287"/>
    </row>
    <row r="31" spans="1:10">
      <c r="A31" s="212"/>
      <c r="B31" s="212"/>
      <c r="C31" s="212"/>
      <c r="D31" s="212"/>
      <c r="E31" s="307"/>
      <c r="F31" s="305"/>
      <c r="G31" s="295"/>
      <c r="H31" s="295"/>
      <c r="I31" s="295"/>
      <c r="J31" s="290"/>
    </row>
    <row r="32" spans="1:10">
      <c r="C32" s="212"/>
      <c r="D32" s="212"/>
      <c r="E32" s="307"/>
      <c r="F32" s="2704"/>
      <c r="G32" s="302"/>
      <c r="H32" s="3602" t="s">
        <v>467</v>
      </c>
      <c r="I32" s="3603" t="s">
        <v>294</v>
      </c>
      <c r="J32" s="2705"/>
    </row>
    <row r="33" spans="1:10">
      <c r="C33" s="212"/>
      <c r="D33" s="212"/>
      <c r="E33" s="294"/>
      <c r="F33" s="2706">
        <v>8030020</v>
      </c>
      <c r="G33" s="250" t="s">
        <v>19</v>
      </c>
      <c r="H33" s="244">
        <f>VLOOKUP(F33,'מאזן בוחן'!C:K,8,0)</f>
        <v>1890485.66</v>
      </c>
      <c r="I33" s="244">
        <f>VLOOKUP(F33,'מאזן בוחן'!C:K,9,0)</f>
        <v>515370.41</v>
      </c>
      <c r="J33" s="2707">
        <f>H33/I33</f>
        <v>3.6682076101342336</v>
      </c>
    </row>
    <row r="34" spans="1:10">
      <c r="C34" s="212"/>
      <c r="D34" s="212"/>
      <c r="E34" s="294"/>
      <c r="F34" s="2706">
        <v>8030004</v>
      </c>
      <c r="G34" s="250" t="s">
        <v>369</v>
      </c>
      <c r="H34" s="244">
        <f>VLOOKUP(F34,'מאזן בוחן'!C:K,8,0)</f>
        <v>189274.77</v>
      </c>
      <c r="I34" s="244">
        <f>VLOOKUP(F34,'מאזן בוחן'!C:K,9,0)</f>
        <v>58559.31</v>
      </c>
      <c r="J34" s="2707">
        <f t="shared" ref="J34:J46" si="4">H34/I34</f>
        <v>3.2321892112458293</v>
      </c>
    </row>
    <row r="35" spans="1:10">
      <c r="C35" s="212"/>
      <c r="D35" s="212"/>
      <c r="E35" s="294"/>
      <c r="F35" s="2706">
        <v>8030005</v>
      </c>
      <c r="G35" s="250" t="s">
        <v>154</v>
      </c>
      <c r="H35" s="244">
        <f>VLOOKUP(F35,'מאזן בוחן'!C:K,8,0)</f>
        <v>4934.87</v>
      </c>
      <c r="I35" s="244">
        <f>VLOOKUP(F35,'מאזן בוחן'!C:K,9,0)</f>
        <v>1528.78</v>
      </c>
      <c r="J35" s="2707">
        <f t="shared" si="4"/>
        <v>3.2279791729352816</v>
      </c>
    </row>
    <row r="36" spans="1:10">
      <c r="A36" s="212"/>
      <c r="B36" s="230"/>
      <c r="C36" s="212"/>
      <c r="D36" s="212"/>
      <c r="E36" s="294"/>
      <c r="F36" s="2706">
        <v>8030006</v>
      </c>
      <c r="G36" s="250" t="s">
        <v>155</v>
      </c>
      <c r="H36" s="244">
        <f>VLOOKUP(F36,'מאזן בוחן'!C:K,8,0)</f>
        <v>43089.95</v>
      </c>
      <c r="I36" s="244">
        <f>VLOOKUP(F36,'מאזן בוחן'!C:K,9,0)</f>
        <v>13348.02</v>
      </c>
      <c r="J36" s="2707">
        <f t="shared" si="4"/>
        <v>3.2281903982762983</v>
      </c>
    </row>
    <row r="37" spans="1:10">
      <c r="A37" s="212"/>
      <c r="B37" s="230"/>
      <c r="C37" s="212"/>
      <c r="D37" s="212"/>
      <c r="E37" s="294"/>
      <c r="F37" s="2706">
        <v>8030008</v>
      </c>
      <c r="G37" s="1256" t="s">
        <v>182</v>
      </c>
      <c r="H37" s="244">
        <f>VLOOKUP(F37,'מאזן בוחן'!C:K,8,0)</f>
        <v>6577</v>
      </c>
      <c r="I37" s="244">
        <f>VLOOKUP(F37,'מאזן בוחן'!C:K,9,0)</f>
        <v>2170.42</v>
      </c>
      <c r="J37" s="2707">
        <f t="shared" si="4"/>
        <v>3.0302890684752257</v>
      </c>
    </row>
    <row r="38" spans="1:10">
      <c r="A38" s="212"/>
      <c r="B38" s="230"/>
      <c r="C38" s="212"/>
      <c r="D38" s="212"/>
      <c r="E38" s="294"/>
      <c r="F38" s="2706">
        <v>8030009</v>
      </c>
      <c r="G38" s="250" t="s">
        <v>1186</v>
      </c>
      <c r="H38" s="244">
        <f>VLOOKUP(F38,'מאזן בוחן'!C:K,8,0)</f>
        <v>265441.56</v>
      </c>
      <c r="I38" s="244">
        <f>VLOOKUP(F38,'מאזן בוחן'!C:K,9,0)</f>
        <v>81422.720000000001</v>
      </c>
      <c r="J38" s="2707">
        <f t="shared" si="4"/>
        <v>3.2600428971176596</v>
      </c>
    </row>
    <row r="39" spans="1:10">
      <c r="E39" s="294"/>
      <c r="F39" s="2706">
        <v>8030010</v>
      </c>
      <c r="G39" s="250" t="s">
        <v>171</v>
      </c>
      <c r="H39" s="244">
        <f>VLOOKUP(F39,'מאזן בוחן'!C:K,8,0)</f>
        <v>14714.53</v>
      </c>
      <c r="I39" s="244">
        <f>VLOOKUP(F39,'מאזן בוחן'!C:K,9,0)</f>
        <v>4557.28</v>
      </c>
      <c r="J39" s="2707">
        <f t="shared" si="4"/>
        <v>3.2287965628620583</v>
      </c>
    </row>
    <row r="40" spans="1:10">
      <c r="E40" s="294"/>
      <c r="F40" s="2706">
        <v>8030011</v>
      </c>
      <c r="G40" s="250" t="s">
        <v>172</v>
      </c>
      <c r="H40" s="244">
        <f>VLOOKUP(F40,'מאזן בוחן'!C:K,8,0)</f>
        <v>19860.52</v>
      </c>
      <c r="I40" s="244">
        <f>VLOOKUP(F40,'מאזן בוחן'!C:K,9,0)</f>
        <v>6132.12</v>
      </c>
      <c r="J40" s="2707">
        <f t="shared" si="4"/>
        <v>3.2387689738622205</v>
      </c>
    </row>
    <row r="41" spans="1:10">
      <c r="E41" s="294"/>
      <c r="F41" s="2706">
        <v>8030012</v>
      </c>
      <c r="G41" s="250" t="s">
        <v>1187</v>
      </c>
      <c r="H41" s="244">
        <f>VLOOKUP(F41,'מאזן בוחן'!C:K,8,0)</f>
        <v>99742.86</v>
      </c>
      <c r="I41" s="244">
        <f>VLOOKUP(F41,'מאזן בוחן'!C:K,9,0)</f>
        <v>31012.99</v>
      </c>
      <c r="J41" s="2707">
        <f t="shared" si="4"/>
        <v>3.2161639364666224</v>
      </c>
    </row>
    <row r="42" spans="1:10">
      <c r="E42" s="294"/>
      <c r="F42" s="2706">
        <v>8030013</v>
      </c>
      <c r="G42" s="250" t="s">
        <v>395</v>
      </c>
      <c r="H42" s="244">
        <f>VLOOKUP(F42,'מאזן בוחן'!C:K,8,0)</f>
        <v>3358.69</v>
      </c>
      <c r="I42" s="244">
        <f>VLOOKUP(F42,'מאזן בוחן'!C:K,9,0)</f>
        <v>1039.1400000000001</v>
      </c>
      <c r="J42" s="2707">
        <f t="shared" si="4"/>
        <v>3.2321823815847717</v>
      </c>
    </row>
    <row r="43" spans="1:10">
      <c r="E43" s="294"/>
      <c r="F43" s="2706">
        <v>8030014</v>
      </c>
      <c r="G43" s="250" t="s">
        <v>396</v>
      </c>
      <c r="H43" s="244">
        <f>VLOOKUP(F43,'מאזן בוחן'!C:K,8,0)</f>
        <v>40497.46</v>
      </c>
      <c r="I43" s="244">
        <f>VLOOKUP(F43,'מאזן בוחן'!C:K,9,0)</f>
        <v>12597.79</v>
      </c>
      <c r="J43" s="2707">
        <f t="shared" si="4"/>
        <v>3.2146479660321372</v>
      </c>
    </row>
    <row r="44" spans="1:10">
      <c r="E44" s="294"/>
      <c r="F44" s="2706">
        <v>8030015</v>
      </c>
      <c r="G44" s="250" t="s">
        <v>156</v>
      </c>
      <c r="H44" s="244">
        <f>VLOOKUP(F44,'מאזן בוחן'!C:K,8,0)</f>
        <v>391387.86</v>
      </c>
      <c r="I44" s="244">
        <f>VLOOKUP(F44,'מאזן בוחן'!C:K,9,0)</f>
        <v>120291.86</v>
      </c>
      <c r="J44" s="2707">
        <f t="shared" si="4"/>
        <v>3.2536520758761234</v>
      </c>
    </row>
    <row r="45" spans="1:10">
      <c r="E45" s="294"/>
      <c r="F45" s="2706">
        <v>8410066</v>
      </c>
      <c r="G45" s="250" t="s">
        <v>399</v>
      </c>
      <c r="H45" s="244">
        <f>VLOOKUP(F45,'מאזן בוחן'!C:K,8,0)</f>
        <v>23991.75</v>
      </c>
      <c r="I45" s="244">
        <f>VLOOKUP(F45,'מאזן בוחן'!C:K,9,0)</f>
        <v>7212.49</v>
      </c>
      <c r="J45" s="2707">
        <f t="shared" ref="J45" si="5">H45/I45</f>
        <v>3.3264170903529848</v>
      </c>
    </row>
    <row r="46" spans="1:10">
      <c r="E46" s="294"/>
      <c r="F46" s="295" t="s">
        <v>1652</v>
      </c>
      <c r="G46" s="250" t="s">
        <v>156</v>
      </c>
      <c r="H46" s="244">
        <f>VLOOKUP(F46,'מאזן בוחן'!C:K,8,0)</f>
        <v>32399</v>
      </c>
      <c r="I46" s="244">
        <f>VLOOKUP(F46,'מאזן בוחן'!C:K,9,0)</f>
        <v>10454.76</v>
      </c>
      <c r="J46" s="2707">
        <f t="shared" si="4"/>
        <v>3.098971186330437</v>
      </c>
    </row>
    <row r="47" spans="1:10">
      <c r="E47" s="294"/>
      <c r="F47" s="2706">
        <v>8030017</v>
      </c>
      <c r="G47" s="250" t="s">
        <v>1188</v>
      </c>
      <c r="H47" s="244">
        <f>VLOOKUP(F47,'מאזן בוחן'!C:K,8,0)</f>
        <v>97577.919999999998</v>
      </c>
      <c r="I47" s="244">
        <f>VLOOKUP(F47,'מאזן בוחן'!C:K,9,0)</f>
        <v>30950.35</v>
      </c>
      <c r="J47" s="2707">
        <f t="shared" ref="J47:J53" si="6">H47/I47</f>
        <v>3.1527242826010045</v>
      </c>
    </row>
    <row r="48" spans="1:10">
      <c r="E48" s="294"/>
      <c r="F48" s="2706">
        <v>8030018</v>
      </c>
      <c r="G48" s="250" t="s">
        <v>175</v>
      </c>
      <c r="H48" s="244">
        <f>VLOOKUP(F48,'מאזן בוחן'!C:K,8,0)</f>
        <v>1302335.7</v>
      </c>
      <c r="I48" s="244">
        <f>VLOOKUP(F48,'מאזן בוחן'!C:K,9,0)</f>
        <v>405190.74</v>
      </c>
      <c r="J48" s="2707">
        <f t="shared" si="6"/>
        <v>3.2141299675308472</v>
      </c>
    </row>
    <row r="49" spans="1:10">
      <c r="E49" s="307"/>
      <c r="F49" s="2706">
        <v>8030022</v>
      </c>
      <c r="G49" s="250" t="s">
        <v>176</v>
      </c>
      <c r="H49" s="244">
        <f>VLOOKUP(F49,'מאזן בוחן'!C:K,8,0)</f>
        <v>199002.25</v>
      </c>
      <c r="I49" s="244">
        <f>VLOOKUP(F49,'מאזן בוחן'!C:K,9,0)</f>
        <v>61038.46</v>
      </c>
      <c r="J49" s="2707">
        <f t="shared" si="6"/>
        <v>3.2602763896730029</v>
      </c>
    </row>
    <row r="50" spans="1:10">
      <c r="E50" s="307"/>
      <c r="F50" s="2706">
        <v>8030023</v>
      </c>
      <c r="G50" s="250" t="s">
        <v>95</v>
      </c>
      <c r="H50" s="244">
        <f>VLOOKUP(F50,'מאזן בוחן'!C:K,8,0)</f>
        <v>99828.97</v>
      </c>
      <c r="I50" s="244">
        <f>VLOOKUP(F50,'מאזן בוחן'!C:K,9,0)</f>
        <v>31045.07</v>
      </c>
      <c r="J50" s="2707">
        <f t="shared" si="6"/>
        <v>3.2156142666130241</v>
      </c>
    </row>
    <row r="51" spans="1:10">
      <c r="E51" s="307"/>
      <c r="F51" s="2706">
        <v>8030025</v>
      </c>
      <c r="G51" s="250" t="s">
        <v>213</v>
      </c>
      <c r="H51" s="244">
        <f>VLOOKUP(F51,'מאזן בוחן'!C:K,8,0)</f>
        <v>548024</v>
      </c>
      <c r="I51" s="244">
        <f>VLOOKUP(F51,'מאזן בוחן'!C:K,9,0)</f>
        <v>170263.35</v>
      </c>
      <c r="J51" s="2707">
        <f t="shared" si="6"/>
        <v>3.2186844673266441</v>
      </c>
    </row>
    <row r="52" spans="1:10">
      <c r="E52" s="307"/>
      <c r="F52" s="2706">
        <v>8030026</v>
      </c>
      <c r="G52" s="250" t="s">
        <v>393</v>
      </c>
      <c r="H52" s="244">
        <f>VLOOKUP(F52,'מאזן בוחן'!C:K,8,0)</f>
        <v>0</v>
      </c>
      <c r="I52" s="244">
        <f>VLOOKUP(F52,'מאזן בוחן'!C:K,9,0)</f>
        <v>0</v>
      </c>
      <c r="J52" s="2707" t="e">
        <f t="shared" si="6"/>
        <v>#DIV/0!</v>
      </c>
    </row>
    <row r="53" spans="1:10">
      <c r="E53" s="307"/>
      <c r="F53" s="2706">
        <v>8410048</v>
      </c>
      <c r="G53" s="250" t="s">
        <v>397</v>
      </c>
      <c r="H53" s="244">
        <f>VLOOKUP(F53,'מאזן בוחן'!C:K,8,0)</f>
        <v>1156602.47</v>
      </c>
      <c r="I53" s="244">
        <f>VLOOKUP(F53,'מאזן בוחן'!C:K,9,0)</f>
        <v>348085.63</v>
      </c>
      <c r="J53" s="2707">
        <f t="shared" si="6"/>
        <v>3.3227527088664934</v>
      </c>
    </row>
    <row r="54" spans="1:10">
      <c r="E54" s="307"/>
      <c r="F54" s="2708"/>
      <c r="G54" s="214"/>
      <c r="H54" s="214"/>
      <c r="I54" s="295"/>
      <c r="J54" s="290"/>
    </row>
    <row r="55" spans="1:10" ht="13.5" thickBot="1">
      <c r="A55" s="212"/>
      <c r="B55" s="1275"/>
      <c r="E55" s="307"/>
      <c r="F55" s="305"/>
      <c r="G55" s="214"/>
      <c r="H55" s="3604">
        <f>SUM(H33:H53)</f>
        <v>6429127.7899999991</v>
      </c>
      <c r="I55" s="3604">
        <f>SUM(I33:I53)</f>
        <v>1912271.6900000004</v>
      </c>
      <c r="J55" s="290"/>
    </row>
    <row r="56" spans="1:10" ht="14.25" thickTop="1" thickBot="1">
      <c r="A56" s="212"/>
      <c r="B56" s="1275"/>
      <c r="E56" s="294"/>
      <c r="F56" s="2708"/>
      <c r="G56" s="214"/>
      <c r="H56" s="295">
        <f>SUM('מאזן בוחן'!J748,'מאזן בוחן'!J762,'מאזן בוחן'!J765:J778,'מאזן בוחן'!J861:J865)</f>
        <v>6429127.7899999991</v>
      </c>
      <c r="I56" s="295">
        <f>SUM('מאזן בוחן'!K748,'מאזן בוחן'!K762,'מאזן בוחן'!K765:K778,'מאזן בוחן'!K861:K865)</f>
        <v>1912271.6900000002</v>
      </c>
      <c r="J56" s="290"/>
    </row>
    <row r="57" spans="1:10" ht="13.5" thickBot="1">
      <c r="A57" s="212"/>
      <c r="B57" s="1275"/>
      <c r="E57" s="4395"/>
      <c r="F57" s="4396"/>
      <c r="G57" s="214"/>
      <c r="H57" s="2123">
        <f>H56-H55</f>
        <v>0</v>
      </c>
      <c r="I57" s="2123">
        <f>I56-I55</f>
        <v>0</v>
      </c>
      <c r="J57" s="290"/>
    </row>
    <row r="58" spans="1:10">
      <c r="A58" s="212"/>
      <c r="B58" s="230"/>
      <c r="C58" s="212"/>
      <c r="D58" s="212"/>
      <c r="E58" s="4397"/>
      <c r="F58" s="4398"/>
      <c r="G58" s="295"/>
      <c r="H58" s="295"/>
      <c r="I58" s="295">
        <f>I55+H27</f>
        <v>2679342.6000000006</v>
      </c>
      <c r="J58" s="290"/>
    </row>
    <row r="59" spans="1:10" ht="13.5" thickBot="1">
      <c r="A59" s="212"/>
      <c r="B59" s="230"/>
      <c r="C59" s="212"/>
      <c r="D59" s="212"/>
      <c r="E59" s="3593"/>
      <c r="F59" s="3594"/>
      <c r="G59" s="3594"/>
      <c r="H59" s="3594"/>
      <c r="I59" s="3594"/>
      <c r="J59" s="3605"/>
    </row>
    <row r="60" spans="1:10">
      <c r="A60" s="212"/>
      <c r="B60" s="230"/>
      <c r="C60" s="212"/>
      <c r="D60" s="212"/>
    </row>
    <row r="61" spans="1:10">
      <c r="A61" s="212"/>
      <c r="B61" s="230"/>
      <c r="C61" s="212"/>
      <c r="D61" s="212"/>
    </row>
    <row r="62" spans="1:10" ht="13.5" thickBot="1"/>
    <row r="63" spans="1:10" ht="13.5" thickBot="1">
      <c r="A63" s="2710"/>
      <c r="B63" s="293"/>
      <c r="C63" s="4394" t="s">
        <v>3520</v>
      </c>
      <c r="D63" s="4394"/>
      <c r="E63" s="293"/>
      <c r="F63" s="293"/>
      <c r="G63" s="287"/>
    </row>
    <row r="64" spans="1:10" ht="13.5" thickBot="1">
      <c r="A64" s="294"/>
      <c r="B64" s="295"/>
      <c r="C64" s="1686" t="s">
        <v>147</v>
      </c>
      <c r="D64" s="1687" t="s">
        <v>4</v>
      </c>
      <c r="E64" s="295"/>
      <c r="F64" s="295"/>
      <c r="G64" s="290"/>
    </row>
    <row r="65" spans="1:7">
      <c r="A65" s="294"/>
      <c r="B65" s="295"/>
      <c r="C65" s="216"/>
      <c r="D65" s="216"/>
      <c r="E65" s="295"/>
      <c r="F65" s="295"/>
      <c r="G65" s="290"/>
    </row>
    <row r="66" spans="1:7">
      <c r="A66" s="2711" t="s">
        <v>1794</v>
      </c>
      <c r="B66" s="2712">
        <f>C66/D66</f>
        <v>3.3340000000000001</v>
      </c>
      <c r="C66" s="343">
        <f>111963+116606+86397</f>
        <v>314966</v>
      </c>
      <c r="D66" s="1253">
        <f>C66/3.334</f>
        <v>94470.905818836225</v>
      </c>
      <c r="E66" s="2713">
        <f>C66+C75+C84+C93</f>
        <v>1242928</v>
      </c>
      <c r="F66" s="2714">
        <f>D66+D75+D84+D93</f>
        <v>384260.34954349196</v>
      </c>
      <c r="G66" s="2715">
        <f>E66/F66</f>
        <v>3.2345986294881071</v>
      </c>
    </row>
    <row r="67" spans="1:7">
      <c r="A67" s="2716"/>
      <c r="B67" s="295"/>
      <c r="C67" s="343"/>
      <c r="D67" s="347"/>
      <c r="E67" s="295"/>
      <c r="F67" s="295"/>
      <c r="G67" s="290"/>
    </row>
    <row r="68" spans="1:7">
      <c r="A68" s="2711" t="s">
        <v>1795</v>
      </c>
      <c r="B68" s="2712">
        <f>C68/D68</f>
        <v>3.3340000000000001</v>
      </c>
      <c r="C68" s="343">
        <f>65340+117864+56340</f>
        <v>239544</v>
      </c>
      <c r="D68" s="1253">
        <f>C68/3.334</f>
        <v>71848.830233953209</v>
      </c>
      <c r="E68" s="2717">
        <f>C68+C77+C86+C95</f>
        <v>820238</v>
      </c>
      <c r="F68" s="2718">
        <f>D68+D77+D86+D95</f>
        <v>253440.64145511051</v>
      </c>
      <c r="G68" s="2715">
        <f>E68/F68</f>
        <v>3.2364106849267142</v>
      </c>
    </row>
    <row r="69" spans="1:7">
      <c r="A69" s="2716"/>
      <c r="B69" s="295"/>
      <c r="C69" s="343"/>
      <c r="D69" s="295"/>
      <c r="E69" s="295"/>
      <c r="F69" s="295"/>
      <c r="G69" s="290"/>
    </row>
    <row r="70" spans="1:7">
      <c r="A70" s="2711" t="s">
        <v>1796</v>
      </c>
      <c r="B70" s="2712">
        <f>C70/D70</f>
        <v>3.3340000000000001</v>
      </c>
      <c r="C70" s="343">
        <f>(40793+62147+37912)/2</f>
        <v>70426</v>
      </c>
      <c r="D70" s="1253">
        <f>C70/3.334</f>
        <v>21123.57528494301</v>
      </c>
      <c r="E70" s="370">
        <f>C70+C79+C88+C97</f>
        <v>251846</v>
      </c>
      <c r="F70" s="371">
        <f>D70+D79+D88+D97</f>
        <v>77859.715044121112</v>
      </c>
      <c r="G70" s="2715">
        <f>E70/F70</f>
        <v>3.2346124033113313</v>
      </c>
    </row>
    <row r="71" spans="1:7">
      <c r="A71" s="294"/>
      <c r="B71" s="295"/>
      <c r="C71" s="295"/>
      <c r="D71" s="295"/>
      <c r="E71" s="295"/>
      <c r="F71" s="295"/>
      <c r="G71" s="290"/>
    </row>
    <row r="72" spans="1:7" ht="13.5" thickBot="1">
      <c r="A72" s="294"/>
      <c r="B72" s="295"/>
      <c r="C72" s="4393" t="s">
        <v>4231</v>
      </c>
      <c r="D72" s="4393"/>
      <c r="E72" s="295"/>
      <c r="F72" s="295"/>
      <c r="G72" s="290"/>
    </row>
    <row r="73" spans="1:7" ht="13.5" thickBot="1">
      <c r="A73" s="294"/>
      <c r="B73" s="295"/>
      <c r="C73" s="1686" t="s">
        <v>147</v>
      </c>
      <c r="D73" s="1687" t="s">
        <v>4</v>
      </c>
      <c r="E73" s="295"/>
      <c r="F73" s="295"/>
      <c r="G73" s="290"/>
    </row>
    <row r="74" spans="1:7">
      <c r="A74" s="294"/>
      <c r="B74" s="295"/>
      <c r="C74" s="295"/>
      <c r="D74" s="295"/>
      <c r="E74" s="295"/>
      <c r="F74" s="295"/>
      <c r="G74" s="290"/>
    </row>
    <row r="75" spans="1:7">
      <c r="A75" s="2711" t="s">
        <v>1794</v>
      </c>
      <c r="B75" s="2712">
        <f>C75/D75</f>
        <v>3.26</v>
      </c>
      <c r="C75" s="295">
        <f>61746+102303+90714+29891</f>
        <v>284654</v>
      </c>
      <c r="D75" s="1253">
        <f>C75/3.26</f>
        <v>87317.177914110434</v>
      </c>
      <c r="E75" s="295"/>
      <c r="F75" s="295"/>
      <c r="G75" s="290"/>
    </row>
    <row r="76" spans="1:7">
      <c r="A76" s="2716"/>
      <c r="B76" s="2712"/>
      <c r="C76" s="295"/>
      <c r="D76" s="1253"/>
      <c r="E76" s="295"/>
      <c r="F76" s="295"/>
      <c r="G76" s="290"/>
    </row>
    <row r="77" spans="1:7">
      <c r="A77" s="2711" t="s">
        <v>1795</v>
      </c>
      <c r="B77" s="2712">
        <f>C77/D77</f>
        <v>3.26</v>
      </c>
      <c r="C77" s="295">
        <f>115113+77156</f>
        <v>192269</v>
      </c>
      <c r="D77" s="1253">
        <f>C77/3.26</f>
        <v>58978.220858895707</v>
      </c>
      <c r="E77" s="295"/>
      <c r="F77" s="295"/>
      <c r="G77" s="290"/>
    </row>
    <row r="78" spans="1:7">
      <c r="A78" s="2716"/>
      <c r="B78" s="2712"/>
      <c r="C78" s="295"/>
      <c r="D78" s="1253"/>
      <c r="E78" s="295"/>
      <c r="F78" s="295"/>
      <c r="G78" s="290"/>
    </row>
    <row r="79" spans="1:7" ht="12" customHeight="1">
      <c r="A79" s="2711" t="s">
        <v>1796</v>
      </c>
      <c r="B79" s="2712">
        <f>C79/D79</f>
        <v>3.2600000000000002</v>
      </c>
      <c r="C79" s="295">
        <f>(66672+52866)/2</f>
        <v>59769</v>
      </c>
      <c r="D79" s="1253">
        <f>C79/3.26</f>
        <v>18334.049079754601</v>
      </c>
      <c r="E79" s="295"/>
      <c r="F79" s="295"/>
      <c r="G79" s="290"/>
    </row>
    <row r="80" spans="1:7">
      <c r="A80" s="294"/>
      <c r="B80" s="295"/>
      <c r="C80" s="295"/>
      <c r="D80" s="295"/>
      <c r="E80" s="295"/>
      <c r="F80" s="295"/>
      <c r="G80" s="290"/>
    </row>
    <row r="81" spans="1:7" ht="13.5" thickBot="1">
      <c r="A81" s="294"/>
      <c r="B81" s="295"/>
      <c r="C81" s="4393" t="s">
        <v>4232</v>
      </c>
      <c r="D81" s="4393"/>
      <c r="E81" s="295"/>
      <c r="F81" s="295"/>
      <c r="G81" s="290"/>
    </row>
    <row r="82" spans="1:7" ht="13.5" thickBot="1">
      <c r="A82" s="294"/>
      <c r="B82" s="295"/>
      <c r="C82" s="1686" t="s">
        <v>147</v>
      </c>
      <c r="D82" s="1687" t="s">
        <v>4</v>
      </c>
      <c r="E82" s="295"/>
      <c r="F82" s="295"/>
      <c r="G82" s="290"/>
    </row>
    <row r="83" spans="1:7">
      <c r="A83" s="294"/>
      <c r="B83" s="295"/>
      <c r="C83" s="295"/>
      <c r="D83" s="295"/>
      <c r="E83" s="295"/>
      <c r="F83" s="295"/>
      <c r="G83" s="290"/>
    </row>
    <row r="84" spans="1:7">
      <c r="A84" s="2711" t="s">
        <v>1794</v>
      </c>
      <c r="B84" s="2712">
        <f>C84/D84</f>
        <v>3.2290000000000001</v>
      </c>
      <c r="C84" s="295">
        <f>61842+102432+100911+104366</f>
        <v>369551</v>
      </c>
      <c r="D84" s="1253">
        <f>C84/3.229</f>
        <v>114447.50696810157</v>
      </c>
      <c r="E84" s="295"/>
      <c r="F84" s="295"/>
      <c r="G84" s="290"/>
    </row>
    <row r="85" spans="1:7">
      <c r="A85" s="2716"/>
      <c r="B85" s="2712"/>
      <c r="C85" s="295"/>
      <c r="D85" s="295"/>
      <c r="E85" s="295"/>
      <c r="F85" s="295"/>
      <c r="G85" s="290"/>
    </row>
    <row r="86" spans="1:7">
      <c r="A86" s="2711" t="s">
        <v>1795</v>
      </c>
      <c r="B86" s="2712">
        <f>C86/D86</f>
        <v>3.2290000000000001</v>
      </c>
      <c r="C86" s="295">
        <f>115288+77278</f>
        <v>192566</v>
      </c>
      <c r="D86" s="1253">
        <f>C86/3.229</f>
        <v>59636.419944255184</v>
      </c>
      <c r="E86" s="295"/>
      <c r="F86" s="295"/>
      <c r="G86" s="290"/>
    </row>
    <row r="87" spans="1:7">
      <c r="A87" s="2716"/>
      <c r="B87" s="2712"/>
      <c r="C87" s="295"/>
      <c r="D87" s="295"/>
      <c r="E87" s="295"/>
      <c r="F87" s="295"/>
      <c r="G87" s="290"/>
    </row>
    <row r="88" spans="1:7">
      <c r="A88" s="2711" t="s">
        <v>1796</v>
      </c>
      <c r="B88" s="2712">
        <f>C88/D88</f>
        <v>3.2290000000000001</v>
      </c>
      <c r="C88" s="295">
        <f>(67146+53358)/2</f>
        <v>60252</v>
      </c>
      <c r="D88" s="1253">
        <f>C88/3.229</f>
        <v>18659.646949519974</v>
      </c>
      <c r="E88" s="295"/>
      <c r="F88" s="295"/>
      <c r="G88" s="290"/>
    </row>
    <row r="89" spans="1:7">
      <c r="A89" s="294"/>
      <c r="B89" s="295"/>
      <c r="C89" s="295"/>
      <c r="D89" s="295"/>
      <c r="E89" s="295"/>
      <c r="F89" s="295"/>
      <c r="G89" s="290"/>
    </row>
    <row r="90" spans="1:7" ht="13.5" thickBot="1">
      <c r="A90" s="294"/>
      <c r="B90" s="295"/>
      <c r="C90" s="4393" t="s">
        <v>4233</v>
      </c>
      <c r="D90" s="4393"/>
      <c r="E90" s="295"/>
      <c r="F90" s="295"/>
      <c r="G90" s="290"/>
    </row>
    <row r="91" spans="1:7" ht="13.5" thickBot="1">
      <c r="A91" s="294"/>
      <c r="B91" s="295"/>
      <c r="C91" s="1686" t="s">
        <v>147</v>
      </c>
      <c r="D91" s="1687" t="s">
        <v>4</v>
      </c>
      <c r="E91" s="295"/>
      <c r="F91" s="295"/>
      <c r="G91" s="290"/>
    </row>
    <row r="92" spans="1:7">
      <c r="A92" s="294"/>
      <c r="B92" s="295"/>
      <c r="C92" s="295"/>
      <c r="D92" s="295"/>
      <c r="E92" s="295"/>
      <c r="F92" s="295"/>
      <c r="G92" s="290"/>
    </row>
    <row r="93" spans="1:7">
      <c r="A93" s="2711" t="s">
        <v>1794</v>
      </c>
      <c r="B93" s="2712">
        <f>C93/D93</f>
        <v>3.11</v>
      </c>
      <c r="C93" s="295">
        <f>63286+104437+106034</f>
        <v>273757</v>
      </c>
      <c r="D93" s="1253">
        <f>C93/'מאזן בוחן'!$N$2</f>
        <v>88024.758842443727</v>
      </c>
      <c r="E93" s="295"/>
      <c r="F93" s="295"/>
      <c r="G93" s="290"/>
    </row>
    <row r="94" spans="1:7">
      <c r="A94" s="2716"/>
      <c r="B94" s="2712"/>
      <c r="C94" s="295"/>
      <c r="D94" s="295"/>
      <c r="E94" s="295"/>
      <c r="F94" s="295"/>
      <c r="G94" s="290"/>
    </row>
    <row r="95" spans="1:7">
      <c r="A95" s="2711" t="s">
        <v>1795</v>
      </c>
      <c r="B95" s="2712">
        <f>C95/D95</f>
        <v>3.11</v>
      </c>
      <c r="C95" s="295">
        <f>116909+78950</f>
        <v>195859</v>
      </c>
      <c r="D95" s="1253">
        <f>C95/'מאזן בוחן'!$N$2</f>
        <v>62977.170418006433</v>
      </c>
      <c r="E95" s="295"/>
      <c r="F95" s="295"/>
      <c r="G95" s="290"/>
    </row>
    <row r="96" spans="1:7">
      <c r="A96" s="2716"/>
      <c r="B96" s="2712"/>
      <c r="C96" s="295"/>
      <c r="D96" s="295"/>
      <c r="E96" s="295"/>
      <c r="F96" s="295"/>
      <c r="G96" s="290"/>
    </row>
    <row r="97" spans="1:7">
      <c r="A97" s="2711" t="s">
        <v>1796</v>
      </c>
      <c r="B97" s="2712">
        <f>C97/D97</f>
        <v>3.11</v>
      </c>
      <c r="C97" s="295">
        <f>(68336+54462)/2</f>
        <v>61399</v>
      </c>
      <c r="D97" s="1253">
        <f>C97/'מאזן בוחן'!$N$2</f>
        <v>19742.443729903538</v>
      </c>
      <c r="E97" s="295"/>
      <c r="F97" s="295"/>
      <c r="G97" s="290"/>
    </row>
    <row r="98" spans="1:7">
      <c r="A98" s="294"/>
      <c r="B98" s="295"/>
      <c r="C98" s="295"/>
      <c r="D98" s="295"/>
      <c r="E98" s="295"/>
      <c r="F98" s="295"/>
      <c r="G98" s="290"/>
    </row>
    <row r="99" spans="1:7" ht="13.5" thickBot="1">
      <c r="A99" s="296"/>
      <c r="B99" s="297"/>
      <c r="C99" s="297"/>
      <c r="D99" s="297"/>
      <c r="E99" s="297"/>
      <c r="F99" s="297"/>
      <c r="G99" s="2709"/>
    </row>
  </sheetData>
  <customSheetViews>
    <customSheetView guid="{AE4A63B3-88A2-451A-9F53-7674162F018D}" fitToPage="1" hiddenColumns="1" topLeftCell="J8">
      <selection activeCell="L30" sqref="L30"/>
      <pageMargins left="0.75" right="0.75" top="1" bottom="1" header="0.5" footer="0.5"/>
      <pageSetup paperSize="9" scale="69" orientation="landscape" r:id="rId1"/>
      <headerFooter alignWithMargins="0"/>
    </customSheetView>
    <customSheetView guid="{6C6AF7F1-37F2-45B8-A395-4149314EE5A8}" fitToPage="1" hiddenColumns="1" topLeftCell="J8">
      <selection activeCell="L30" sqref="L30"/>
      <pageMargins left="0.75" right="0.75" top="1" bottom="1" header="0.5" footer="0.5"/>
      <pageSetup paperSize="9" scale="69" orientation="landscape" r:id="rId2"/>
      <headerFooter alignWithMargins="0"/>
    </customSheetView>
  </customSheetViews>
  <mergeCells count="6">
    <mergeCell ref="C90:D90"/>
    <mergeCell ref="C81:D81"/>
    <mergeCell ref="C63:D63"/>
    <mergeCell ref="E57:F57"/>
    <mergeCell ref="E58:F58"/>
    <mergeCell ref="C72:D72"/>
  </mergeCells>
  <phoneticPr fontId="75" type="noConversion"/>
  <conditionalFormatting sqref="G20 F22:G22">
    <cfRule type="cellIs" dxfId="894" priority="30" operator="lessThan">
      <formula>-3</formula>
    </cfRule>
    <cfRule type="cellIs" dxfId="893" priority="31" operator="greaterThan">
      <formula>3</formula>
    </cfRule>
  </conditionalFormatting>
  <conditionalFormatting sqref="E20:F20">
    <cfRule type="cellIs" dxfId="892" priority="28" operator="lessThan">
      <formula>-3</formula>
    </cfRule>
    <cfRule type="cellIs" dxfId="891" priority="29" operator="greaterThan">
      <formula>3</formula>
    </cfRule>
  </conditionalFormatting>
  <conditionalFormatting sqref="H20">
    <cfRule type="cellIs" dxfId="890" priority="24" operator="lessThan">
      <formula>-3</formula>
    </cfRule>
    <cfRule type="cellIs" dxfId="889" priority="25" operator="greaterThan">
      <formula>3</formula>
    </cfRule>
  </conditionalFormatting>
  <conditionalFormatting sqref="F23">
    <cfRule type="cellIs" dxfId="888" priority="17" operator="lessThan">
      <formula>-3</formula>
    </cfRule>
    <cfRule type="cellIs" dxfId="887" priority="18" operator="greaterThan">
      <formula>3</formula>
    </cfRule>
  </conditionalFormatting>
  <pageMargins left="0.75" right="0.75" top="1" bottom="1" header="0.5" footer="0.5"/>
  <pageSetup paperSize="9" scale="35" orientation="landscape" r:id="rId3"/>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53B3-B980-4D6C-A691-10F8B37FB4B5}">
  <sheetPr codeName="Sheet5"/>
  <dimension ref="A9:V204"/>
  <sheetViews>
    <sheetView zoomScale="70" zoomScaleNormal="70" workbookViewId="0">
      <pane ySplit="7" topLeftCell="A159" activePane="bottomLeft" state="frozen"/>
      <selection pane="bottomLeft" activeCell="E198" sqref="E198"/>
    </sheetView>
  </sheetViews>
  <sheetFormatPr defaultColWidth="9.33203125" defaultRowHeight="12.75"/>
  <cols>
    <col min="1" max="1" width="45.6640625" style="32" customWidth="1"/>
    <col min="2" max="2" width="30.83203125" style="32" customWidth="1"/>
    <col min="3" max="3" width="17.1640625" style="32" bestFit="1" customWidth="1"/>
    <col min="4" max="4" width="24.83203125" style="32" bestFit="1" customWidth="1"/>
    <col min="5" max="5" width="23" style="32" bestFit="1" customWidth="1"/>
    <col min="6" max="6" width="18.83203125" style="32" customWidth="1"/>
    <col min="7" max="7" width="13.6640625" style="32" bestFit="1" customWidth="1"/>
    <col min="8" max="8" width="12.6640625" style="32" customWidth="1"/>
    <col min="9" max="9" width="10.33203125" style="32" bestFit="1" customWidth="1"/>
    <col min="10" max="11" width="9.33203125" style="32"/>
    <col min="12" max="12" width="12" style="32" bestFit="1" customWidth="1"/>
    <col min="13" max="13" width="10.33203125" style="32" customWidth="1"/>
    <col min="14" max="14" width="16" style="32" customWidth="1"/>
    <col min="15" max="15" width="17.6640625" style="32" customWidth="1"/>
    <col min="16" max="21" width="18.83203125" style="32" customWidth="1"/>
    <col min="22" max="22" width="18.1640625" style="32" customWidth="1"/>
    <col min="23" max="16384" width="9.33203125" style="32"/>
  </cols>
  <sheetData>
    <row r="9" spans="1:22">
      <c r="A9" s="997" t="s">
        <v>1877</v>
      </c>
    </row>
    <row r="11" spans="1:22">
      <c r="A11" s="32" t="str">
        <f>'נתונים לשינוי'!C4</f>
        <v>As at December 31, 2021</v>
      </c>
    </row>
    <row r="12" spans="1:22" ht="13.5" thickBot="1">
      <c r="I12" s="4399" t="str">
        <f>'נתונים לשינוי'!C4</f>
        <v>As at December 31, 2021</v>
      </c>
      <c r="J12" s="4399"/>
      <c r="K12" s="4399"/>
      <c r="L12" s="4399"/>
      <c r="M12" s="1002"/>
      <c r="N12" s="1002"/>
    </row>
    <row r="13" spans="1:22">
      <c r="A13" s="33" t="s">
        <v>2009</v>
      </c>
      <c r="B13" s="1003" t="s">
        <v>279</v>
      </c>
      <c r="C13" s="1003" t="s">
        <v>575</v>
      </c>
      <c r="D13" s="1003" t="s">
        <v>772</v>
      </c>
      <c r="E13" s="1003" t="s">
        <v>405</v>
      </c>
      <c r="F13" s="1003" t="s">
        <v>656</v>
      </c>
      <c r="I13" s="2747" t="s">
        <v>1839</v>
      </c>
      <c r="J13" s="2748" t="s">
        <v>1513</v>
      </c>
      <c r="K13" s="2748" t="s">
        <v>1512</v>
      </c>
      <c r="L13" s="2748" t="s">
        <v>1585</v>
      </c>
      <c r="M13" s="2748" t="s">
        <v>1823</v>
      </c>
      <c r="N13" s="2748" t="s">
        <v>2176</v>
      </c>
      <c r="O13" s="2748" t="s">
        <v>2212</v>
      </c>
      <c r="P13" s="2748" t="s">
        <v>2690</v>
      </c>
      <c r="Q13" s="2748" t="s">
        <v>3158</v>
      </c>
      <c r="R13" s="2748" t="s">
        <v>3504</v>
      </c>
      <c r="S13" s="2748" t="s">
        <v>3816</v>
      </c>
      <c r="T13" s="2748" t="s">
        <v>4242</v>
      </c>
      <c r="U13" s="2748" t="s">
        <v>4893</v>
      </c>
      <c r="V13" s="2749" t="s">
        <v>233</v>
      </c>
    </row>
    <row r="14" spans="1:22" ht="13.5" thickBot="1">
      <c r="A14" s="615" t="s">
        <v>1878</v>
      </c>
      <c r="B14" s="3607">
        <f>SUM('[53]Final '!$AU$3:$AX$3)</f>
        <v>40175.612250852821</v>
      </c>
      <c r="C14" s="3607">
        <f>SUM('[53]Final '!$AU$4:$AX$4)</f>
        <v>57347.494014964039</v>
      </c>
      <c r="D14" s="3607">
        <f>SUM('[53]Final '!$AU$6:$AX$6)</f>
        <v>3377.4106444641025</v>
      </c>
      <c r="E14" s="3607">
        <f>SUM('[53]Final '!$AU$5:$AX$5)</f>
        <v>21011.967556582997</v>
      </c>
      <c r="F14" s="33">
        <f>SUM(B14:E14)</f>
        <v>121912.48446686397</v>
      </c>
      <c r="I14" s="3439">
        <f>SUM('[53]Final '!$AU$7:$AX$7)</f>
        <v>121912.48446686396</v>
      </c>
      <c r="J14" s="3437">
        <f>SUM([54]ALL!$AE$33:$AM$33)</f>
        <v>40569.146793831162</v>
      </c>
      <c r="K14" s="3437">
        <f>SUM([55]ALL!$AE$33:$AO$33)</f>
        <v>53574.645543231964</v>
      </c>
      <c r="L14" s="3437">
        <f>SUM([56]ALL!$AE$33:$AR$33)</f>
        <v>63690.213185578934</v>
      </c>
      <c r="M14" s="3437">
        <f>SUM([57]ALL!$AE$33:$BB$33)</f>
        <v>243232.28139292751</v>
      </c>
      <c r="N14" s="3437">
        <f>SUM([58]ALL!$AE$33:$AAA$33)</f>
        <v>99933.597546629375</v>
      </c>
      <c r="O14" s="3437">
        <f>SUM([59]ALL!$AE$33:$BD$33)</f>
        <v>361759.59275327827</v>
      </c>
      <c r="P14" s="3437">
        <f>SUM([60]ALL!$AE$33:$BE$33)</f>
        <v>237161.32098725924</v>
      </c>
      <c r="Q14" s="3437">
        <f>SUM([61]ALL!$AE$33:$XFD$33)</f>
        <v>444351.64121073915</v>
      </c>
      <c r="R14" s="3438">
        <f>SUM([62]ALL!$AE$33:$BC$33)</f>
        <v>235967.4563463114</v>
      </c>
      <c r="S14" s="4258">
        <f>SUM([63]ALL!$AE$33:$BJ$33)</f>
        <v>351483.73011538538</v>
      </c>
      <c r="T14" s="3440">
        <f>SUM([64]ALL!$AE$33:$BJ$33)</f>
        <v>520656.59796893538</v>
      </c>
      <c r="U14" s="3440">
        <f>SUM([65]ALL!$AE$33:$BC$33)</f>
        <v>869751.94005741039</v>
      </c>
      <c r="V14" s="2750">
        <f>SUM(I14:U14)</f>
        <v>3644044.6483683824</v>
      </c>
    </row>
    <row r="15" spans="1:22" ht="13.5" thickBot="1">
      <c r="A15" s="615" t="s">
        <v>1879</v>
      </c>
      <c r="B15" s="3607"/>
      <c r="C15" s="3607"/>
      <c r="D15" s="3607"/>
      <c r="E15" s="3607"/>
      <c r="F15" s="1004">
        <f>SUM(B15:E15)</f>
        <v>0</v>
      </c>
      <c r="G15" s="956">
        <f>Consolidation!N19-דוחות!D38-F15-F18-F21-F24-F27-F30-F33-F36-F39-F42-F45-F48-F51</f>
        <v>-0.25093654287047684</v>
      </c>
      <c r="H15" s="254" t="s">
        <v>299</v>
      </c>
      <c r="V15" s="2745">
        <f>V14-F54</f>
        <v>-6.2177963554859161E-3</v>
      </c>
    </row>
    <row r="16" spans="1:22">
      <c r="A16" s="1005" t="s">
        <v>1513</v>
      </c>
      <c r="B16" s="320"/>
      <c r="C16" s="320"/>
      <c r="D16" s="320"/>
      <c r="F16" s="978"/>
      <c r="G16" s="380"/>
      <c r="H16" s="380"/>
    </row>
    <row r="17" spans="1:14">
      <c r="A17" s="615" t="s">
        <v>1878</v>
      </c>
      <c r="B17" s="3607">
        <f>SUM([54]ALL!$AE$29:$AH$29)</f>
        <v>8658.8667857142846</v>
      </c>
      <c r="C17" s="3607">
        <f>SUM([54]ALL!$AE$30:$AH$30)</f>
        <v>10782.008993506492</v>
      </c>
      <c r="D17" s="3607">
        <f>SUM([54]ALL!$AE$32:$AH$32)</f>
        <v>8843.516785714286</v>
      </c>
      <c r="E17" s="3607">
        <f>SUM([54]ALL!$AE$31:$AH$31)</f>
        <v>5424.5611038961051</v>
      </c>
      <c r="F17" s="978">
        <f>SUM(B17:E17)</f>
        <v>33708.953668831171</v>
      </c>
      <c r="G17" s="380"/>
      <c r="H17" s="380"/>
    </row>
    <row r="18" spans="1:14">
      <c r="A18" s="615" t="s">
        <v>1879</v>
      </c>
      <c r="B18" s="3616">
        <f>SUM([54]ALL!$AL$29:$AM$29)</f>
        <v>2138.2381249999999</v>
      </c>
      <c r="C18" s="3616">
        <f>SUM([54]ALL!$AL$30:$AO$30)</f>
        <v>2398.5949999999998</v>
      </c>
      <c r="D18" s="3616">
        <f>SUM([54]ALL!$AL$32:$AO$32)</f>
        <v>1040.5725</v>
      </c>
      <c r="E18" s="3616">
        <f>SUM([54]ALL!$AL$31:$AL$31)</f>
        <v>1282.7875000000004</v>
      </c>
      <c r="F18" s="1004">
        <f>SUM(B18:E18)</f>
        <v>6860.1931249999998</v>
      </c>
      <c r="G18" s="380"/>
      <c r="H18" s="380"/>
    </row>
    <row r="19" spans="1:14" ht="13.5" thickBot="1">
      <c r="A19" s="1005" t="s">
        <v>1512</v>
      </c>
      <c r="B19" s="320"/>
      <c r="C19" s="320"/>
      <c r="D19" s="320"/>
      <c r="F19" s="978"/>
      <c r="G19" s="380"/>
      <c r="H19" s="380"/>
    </row>
    <row r="20" spans="1:14">
      <c r="A20" s="615" t="s">
        <v>1878</v>
      </c>
      <c r="B20" s="3607">
        <f>SUM([55]ALL!$AE$29:$AH$29)</f>
        <v>4313.8012988460496</v>
      </c>
      <c r="C20" s="3607">
        <f>SUM([55]ALL!$AE$30:$AH$30)</f>
        <v>22988.809713380917</v>
      </c>
      <c r="D20" s="3607">
        <f>SUM([55]ALL!$AE$32:$AH$32)</f>
        <v>2081.3174999999992</v>
      </c>
      <c r="E20" s="3607">
        <f>SUM([55]ALL!$AE$31:$AH$31)</f>
        <v>9260.4820267013674</v>
      </c>
      <c r="F20" s="978">
        <f>SUM(B20:E20)</f>
        <v>38644.410538928336</v>
      </c>
      <c r="G20" s="380"/>
      <c r="H20" s="380"/>
      <c r="I20" s="648" t="s">
        <v>1927</v>
      </c>
      <c r="J20" s="717"/>
      <c r="K20" s="717" t="s">
        <v>286</v>
      </c>
      <c r="L20" s="734">
        <f>'New TB INC'!J270</f>
        <v>1152543.54</v>
      </c>
      <c r="M20" s="320"/>
      <c r="N20" s="320"/>
    </row>
    <row r="21" spans="1:14">
      <c r="A21" s="615" t="s">
        <v>1879</v>
      </c>
      <c r="B21" s="3616">
        <f>SUM([55]ALL!$AL$29:$AO$29)</f>
        <v>2045.6612499999983</v>
      </c>
      <c r="C21" s="3616">
        <f>SUM([55]ALL!$AL$30:$AO$30)</f>
        <v>8706.3987543036401</v>
      </c>
      <c r="D21" s="3616">
        <f>SUM([55]ALL!$AL$32:$AO$32)</f>
        <v>1040.6587499999996</v>
      </c>
      <c r="E21" s="3616">
        <f>SUM([55]ALL!$AL$31:$AO$31)</f>
        <v>3137.5162499999997</v>
      </c>
      <c r="F21" s="1004">
        <f>SUM(B21:E21)</f>
        <v>14930.235004303639</v>
      </c>
      <c r="G21" s="380"/>
      <c r="H21" s="380"/>
      <c r="I21" s="650"/>
      <c r="J21" s="320"/>
      <c r="K21" s="320" t="s">
        <v>406</v>
      </c>
      <c r="L21" s="530">
        <f>'FS EU'!C15</f>
        <v>377994.78</v>
      </c>
      <c r="M21" s="320"/>
      <c r="N21" s="320"/>
    </row>
    <row r="22" spans="1:14">
      <c r="A22" s="1005" t="s">
        <v>1585</v>
      </c>
      <c r="B22" s="320"/>
      <c r="C22" s="320"/>
      <c r="D22" s="320"/>
      <c r="F22" s="978"/>
      <c r="G22" s="380"/>
      <c r="H22" s="380"/>
      <c r="I22" s="650"/>
      <c r="J22" s="320"/>
      <c r="K22" s="320" t="s">
        <v>794</v>
      </c>
      <c r="L22" s="530">
        <f>'FS AU'!C15</f>
        <v>121809.95429235764</v>
      </c>
      <c r="M22" s="320"/>
      <c r="N22" s="320"/>
    </row>
    <row r="23" spans="1:14">
      <c r="A23" s="615" t="s">
        <v>1878</v>
      </c>
      <c r="B23" s="3607">
        <f>SUM([56]ALL!$AE$29:$AH$29)</f>
        <v>5399.3376162790755</v>
      </c>
      <c r="C23" s="3607">
        <f>SUM([56]ALL!$AE$30:$AH$30)</f>
        <v>10725.208532608689</v>
      </c>
      <c r="D23" s="3607">
        <f>SUM([56]ALL!$AE$32:$AH$32)</f>
        <v>9409.000699481865</v>
      </c>
      <c r="E23" s="3607">
        <f>SUM([56]ALL!$AE$31:$AH$31)</f>
        <v>22800.671337209304</v>
      </c>
      <c r="F23" s="978">
        <f>SUM(B23:E23)</f>
        <v>48334.218185578939</v>
      </c>
      <c r="G23" s="380"/>
      <c r="H23" s="380"/>
      <c r="I23" s="650"/>
      <c r="J23" s="320"/>
      <c r="K23" s="320" t="s">
        <v>146</v>
      </c>
      <c r="L23" s="2746">
        <f>'מאזן בוחן'!K186</f>
        <v>308476.88</v>
      </c>
      <c r="M23" s="320"/>
      <c r="N23" s="320"/>
    </row>
    <row r="24" spans="1:14" ht="13.5" thickBot="1">
      <c r="A24" s="615" t="s">
        <v>1879</v>
      </c>
      <c r="B24" s="3616">
        <f>SUM([56]ALL!$AL$29:$AO$29)</f>
        <v>4003.9218750000041</v>
      </c>
      <c r="C24" s="3616">
        <f>SUM([56]ALL!$AL$30:$AO$30)</f>
        <v>7098.3337499999943</v>
      </c>
      <c r="D24" s="3616">
        <f>SUM([56]ALL!$AL$32:$AO$32)</f>
        <v>1081.1325000000008</v>
      </c>
      <c r="E24" s="3616">
        <f>SUM([56]ALL!$AL$31:$AO$31)</f>
        <v>3172.6068750000027</v>
      </c>
      <c r="F24" s="1004">
        <f>SUM(B24:E24)</f>
        <v>15355.995000000003</v>
      </c>
      <c r="G24" s="380"/>
      <c r="H24" s="380"/>
      <c r="I24" s="651"/>
      <c r="J24" s="718"/>
      <c r="K24" s="718"/>
      <c r="L24" s="2416">
        <f>SUM(L20:L23)</f>
        <v>1960825.1542923576</v>
      </c>
      <c r="M24" s="978"/>
      <c r="N24" s="978"/>
    </row>
    <row r="25" spans="1:14" ht="13.5" thickBot="1">
      <c r="A25" s="1005" t="s">
        <v>1823</v>
      </c>
      <c r="B25" s="320"/>
      <c r="C25" s="320"/>
      <c r="D25" s="320"/>
      <c r="F25" s="978"/>
      <c r="L25" s="2745">
        <f>F24+F21+F18+F15+F27+F30+F33+F36-L24+F39+F42+F45+F48+F51</f>
        <v>0.37093654135242105</v>
      </c>
    </row>
    <row r="26" spans="1:14">
      <c r="A26" s="615" t="s">
        <v>1878</v>
      </c>
      <c r="B26" s="3612">
        <f>SUM([57]ALL!$AE$29:$AH$29)</f>
        <v>25424.767945624062</v>
      </c>
      <c r="C26" s="3612">
        <f>SUM([57]ALL!$AE$30:$AH$30)</f>
        <v>102986.68840172367</v>
      </c>
      <c r="D26" s="3612">
        <f>SUM([57]ALL!$AE$32:$AH$32)</f>
        <v>395.95250000000124</v>
      </c>
      <c r="E26" s="3607">
        <f>SUM([57]ALL!$AE$31:$AH$31)</f>
        <v>48205.005275913296</v>
      </c>
      <c r="F26" s="978">
        <f>SUM(B26:E26)</f>
        <v>177012.41412326103</v>
      </c>
    </row>
    <row r="27" spans="1:14">
      <c r="A27" s="615" t="s">
        <v>1879</v>
      </c>
      <c r="B27" s="3611">
        <f>SUM([57]ALL!$AL$29:$AV$29)</f>
        <v>11372.777557022802</v>
      </c>
      <c r="C27" s="3611">
        <f>SUM([57]ALL!$AL$30:$AV$30)</f>
        <v>31262.832500000004</v>
      </c>
      <c r="D27" s="3611">
        <f>SUM([57]ALL!$AL$32:$AV$32)</f>
        <v>395.95250000000124</v>
      </c>
      <c r="E27" s="3616">
        <f>SUM([57]ALL!$AL$31:$AX$31)</f>
        <v>23188.304712643661</v>
      </c>
      <c r="F27" s="1004">
        <f>SUM(B27:E27)</f>
        <v>66219.867269666473</v>
      </c>
    </row>
    <row r="28" spans="1:14">
      <c r="A28" s="1005" t="s">
        <v>2176</v>
      </c>
      <c r="B28" s="320"/>
      <c r="C28" s="320"/>
      <c r="D28" s="320"/>
      <c r="F28" s="978"/>
    </row>
    <row r="29" spans="1:14">
      <c r="A29" s="615" t="s">
        <v>1878</v>
      </c>
      <c r="B29" s="3612">
        <f>SUM([58]ALL!$AE$29:$AH$29)</f>
        <v>15384.78952727091</v>
      </c>
      <c r="C29" s="3612">
        <f>SUM([58]ALL!$AE$30:$AH$30)</f>
        <v>30607.920364302736</v>
      </c>
      <c r="D29" s="3612">
        <f>SUM([58]ALL!$AE$32:$AH$32)</f>
        <v>355.78499999999997</v>
      </c>
      <c r="E29" s="3607">
        <f>SUM([58]ALL!$AE$31:$AH$31)</f>
        <v>6966.5323305952115</v>
      </c>
      <c r="F29" s="978">
        <f>SUM(B29:E29)</f>
        <v>53315.027222168857</v>
      </c>
    </row>
    <row r="30" spans="1:14">
      <c r="A30" s="615" t="s">
        <v>1879</v>
      </c>
      <c r="B30" s="3611">
        <f>SUM([58]ALL!$AL$29:$BC$29)</f>
        <v>14694.111190078051</v>
      </c>
      <c r="C30" s="3611">
        <f>SUM([58]ALL!$AL$30:$AV$30)</f>
        <v>23275.078215195183</v>
      </c>
      <c r="D30" s="3611">
        <f>SUM([58]ALL!$AL$32:$AV$32)</f>
        <v>444.73124999999993</v>
      </c>
      <c r="E30" s="3616">
        <f>SUM([58]ALL!$AL$31:$BC$31)</f>
        <v>8204.6496691872635</v>
      </c>
      <c r="F30" s="1004">
        <f>SUM(B30:E30)</f>
        <v>46618.570324460496</v>
      </c>
    </row>
    <row r="31" spans="1:14">
      <c r="A31" s="2183" t="s">
        <v>2212</v>
      </c>
      <c r="B31" s="320"/>
      <c r="C31" s="320"/>
      <c r="D31" s="320"/>
      <c r="F31" s="978"/>
    </row>
    <row r="32" spans="1:14">
      <c r="A32" s="615" t="s">
        <v>1878</v>
      </c>
      <c r="B32" s="3612">
        <f>SUM([59]ALL!$AE$29:$AH$29)</f>
        <v>10553.229163319942</v>
      </c>
      <c r="C32" s="3612">
        <f>SUM([59]ALL!$AE$30:$AH$30)</f>
        <v>192165.40346679496</v>
      </c>
      <c r="D32" s="3612">
        <f>SUM([59]ALL!$AE$32:$AH$32)</f>
        <v>4011.3547440484381</v>
      </c>
      <c r="E32" s="3607">
        <f>SUM([59]ALL!$AE$31:$AH$31)</f>
        <v>11784.303214285716</v>
      </c>
      <c r="F32" s="978">
        <f>SUM(B32:E32)</f>
        <v>218514.29058844908</v>
      </c>
    </row>
    <row r="33" spans="1:6">
      <c r="A33" s="615" t="s">
        <v>1879</v>
      </c>
      <c r="B33" s="3611">
        <f>SUM([59]ALL!$AL$29:$AU$29)</f>
        <v>13402.968192771077</v>
      </c>
      <c r="C33" s="3611">
        <f>SUM([59]ALL!$AL$30:$AT$30)</f>
        <v>114569.92124289111</v>
      </c>
      <c r="D33" s="3611">
        <f>SUM([59]ALL!$AL$32:$AT$32)</f>
        <v>2814.6023720242183</v>
      </c>
      <c r="E33" s="3616">
        <f>SUM([59]ALL!$AL$31:$AV$31)</f>
        <v>12457.810357142858</v>
      </c>
      <c r="F33" s="1004">
        <f>SUM(B33:E33)</f>
        <v>143245.30216482928</v>
      </c>
    </row>
    <row r="34" spans="1:6">
      <c r="A34" s="2183" t="s">
        <v>2690</v>
      </c>
      <c r="B34" s="320"/>
      <c r="C34" s="320"/>
      <c r="D34" s="320"/>
      <c r="F34" s="978"/>
    </row>
    <row r="35" spans="1:6">
      <c r="A35" s="615" t="s">
        <v>1878</v>
      </c>
      <c r="B35" s="3612">
        <f>SUM([60]ALL!$AE$29:$AH$29)</f>
        <v>17463.032510686906</v>
      </c>
      <c r="C35" s="3612">
        <f>SUM([60]ALL!$AE$30:$AH$30)</f>
        <v>53001.141564061065</v>
      </c>
      <c r="D35" s="3612">
        <f>SUM([60]ALL!$AE$32:$AH$32)</f>
        <v>3176.1847720364735</v>
      </c>
      <c r="E35" s="3607">
        <f>SUM([60]ALL!$AE$31:$AH$31)</f>
        <v>39039.649777478538</v>
      </c>
      <c r="F35" s="978">
        <f>SUM(B35:E35)</f>
        <v>112680.00862426299</v>
      </c>
    </row>
    <row r="36" spans="1:6">
      <c r="A36" s="615" t="s">
        <v>1879</v>
      </c>
      <c r="B36" s="3611">
        <f>SUM([60]ALL!$AL$29:$BE$29)</f>
        <v>23457.261979691146</v>
      </c>
      <c r="C36" s="3611">
        <f>SUM([60]ALL!$AL$30:$BE$30)</f>
        <v>60053.505856548654</v>
      </c>
      <c r="D36" s="3611">
        <f>SUM([60]ALL!$AL$32:$BE$32)</f>
        <v>5026.9004939209726</v>
      </c>
      <c r="E36" s="3616">
        <f>SUM([60]ALL!$AL$31:$BC$31)</f>
        <v>35943.644032835487</v>
      </c>
      <c r="F36" s="1004">
        <f>SUM(B36:E36)</f>
        <v>124481.31236299625</v>
      </c>
    </row>
    <row r="37" spans="1:6">
      <c r="A37" s="2183" t="s">
        <v>3158</v>
      </c>
      <c r="B37" s="320"/>
      <c r="C37" s="320"/>
      <c r="D37" s="320"/>
      <c r="F37" s="978"/>
    </row>
    <row r="38" spans="1:6">
      <c r="A38" s="615" t="s">
        <v>1878</v>
      </c>
      <c r="B38" s="3612">
        <f>SUM([66]ALL!$AE$29:$AH$29)</f>
        <v>25378.05556617659</v>
      </c>
      <c r="C38" s="3612">
        <f>SUM([61]ALL!$AE$30:$AH$30)</f>
        <v>104530.3949954375</v>
      </c>
      <c r="D38" s="3612">
        <f>SUM([61]ALL!$AE$32:$AH$32)</f>
        <v>22518.372488932837</v>
      </c>
      <c r="E38" s="3607">
        <f>SUM([61]ALL!$AE$31:$AH$31)</f>
        <v>17805.689156428689</v>
      </c>
      <c r="F38" s="978">
        <f>SUM(B38:E38)</f>
        <v>170232.5122069756</v>
      </c>
    </row>
    <row r="39" spans="1:6">
      <c r="A39" s="615" t="s">
        <v>1879</v>
      </c>
      <c r="B39" s="3611">
        <f>SUM([66]ALL!$AL$29:$BE$29)</f>
        <v>43996.643066176584</v>
      </c>
      <c r="C39" s="3611">
        <f>SUM([61]ALL!$AL$30:$BE$30)</f>
        <v>147086.30862169203</v>
      </c>
      <c r="D39" s="3611">
        <f>SUM([61]ALL!$AL$32:$BE$32)</f>
        <v>42488.480088403536</v>
      </c>
      <c r="E39" s="3616">
        <f>SUM([61]ALL!$AL$31:$BC$31)</f>
        <v>40547.697227491321</v>
      </c>
      <c r="F39" s="1004">
        <f>SUM(B39:E39)</f>
        <v>274119.12900376349</v>
      </c>
    </row>
    <row r="40" spans="1:6">
      <c r="A40" s="2183" t="s">
        <v>3504</v>
      </c>
      <c r="B40" s="320"/>
      <c r="C40" s="320"/>
      <c r="D40" s="320"/>
      <c r="F40" s="978"/>
    </row>
    <row r="41" spans="1:6">
      <c r="A41" s="615" t="s">
        <v>1878</v>
      </c>
      <c r="B41" s="3612">
        <f>SUM([67]ALL!$AE$29:$AH$29)</f>
        <v>20202.475907831616</v>
      </c>
      <c r="C41" s="3612">
        <f>SUM([62]ALL!$AE$30:$AH$30)</f>
        <v>50235.01818715741</v>
      </c>
      <c r="D41" s="3612">
        <f>SUM([67]ALL!$AE$32:$AH$32)</f>
        <v>2522.2238973928497</v>
      </c>
      <c r="E41" s="3607">
        <f>SUM([67]ALL!$AE$31:$AH$31)</f>
        <v>21046.901959711267</v>
      </c>
      <c r="F41" s="978">
        <f>SUM(B41:E41)</f>
        <v>94006.61995209314</v>
      </c>
    </row>
    <row r="42" spans="1:6">
      <c r="A42" s="615" t="s">
        <v>1879</v>
      </c>
      <c r="B42" s="3616">
        <f>SUM([67]ALL!$AL$29:$BC$29)</f>
        <v>43015.801602668951</v>
      </c>
      <c r="C42" s="3616">
        <f>SUM([62]ALL!$AL$30:$BF$30)</f>
        <v>63863.14922227549</v>
      </c>
      <c r="D42" s="3616">
        <f>SUM([67]ALL!$AL$32:$BC$32)</f>
        <v>5400.9947590361444</v>
      </c>
      <c r="E42" s="3607">
        <f>SUM([67]ALL!$AL$31:$BC$31)</f>
        <v>29680.897028035044</v>
      </c>
      <c r="F42" s="1004">
        <f>SUM(B42:E42)</f>
        <v>141960.84261201564</v>
      </c>
    </row>
    <row r="43" spans="1:6">
      <c r="A43" s="2183" t="s">
        <v>3816</v>
      </c>
      <c r="B43" s="320"/>
      <c r="C43" s="320"/>
      <c r="D43" s="320"/>
      <c r="F43" s="978"/>
    </row>
    <row r="44" spans="1:6">
      <c r="A44" s="615" t="s">
        <v>1878</v>
      </c>
      <c r="B44" s="3612">
        <f>SUM([68]ALL!$AE$29:$AH$29)</f>
        <v>19590.472837254354</v>
      </c>
      <c r="C44" s="4255">
        <f>SUM([63]ALL!$AE$30:$AH$30)</f>
        <v>79192.502662931394</v>
      </c>
      <c r="D44" s="3612">
        <f>SUM([68]ALL!$AE$32:$AH$32)</f>
        <v>421.72507201646056</v>
      </c>
      <c r="E44" s="4257">
        <f>SUM([63]ALL!$AE$31:$AH$31)</f>
        <v>25034.472163183484</v>
      </c>
      <c r="F44" s="978">
        <f>SUM(B44:E44)</f>
        <v>124239.17273538568</v>
      </c>
    </row>
    <row r="45" spans="1:6">
      <c r="A45" s="615" t="s">
        <v>1879</v>
      </c>
      <c r="B45" s="3616">
        <f>SUM([68]ALL!$AL$29:$BJ$29)</f>
        <v>41279.443723533332</v>
      </c>
      <c r="C45" s="4256">
        <f>SUM([63]ALL!$AL$30:$BJ$30)</f>
        <v>130926.53725025567</v>
      </c>
      <c r="D45" s="3616">
        <f>SUM([68]ALL!$AL$32:$BJ$32)</f>
        <v>1021.0562499999992</v>
      </c>
      <c r="E45" s="4257">
        <f>SUM([63]ALL!$AL$31:$BJ$31)</f>
        <v>54017.520156210601</v>
      </c>
      <c r="F45" s="1004">
        <f>SUM(B45:E45)</f>
        <v>227244.55737999961</v>
      </c>
    </row>
    <row r="46" spans="1:6">
      <c r="A46" s="2183" t="s">
        <v>4242</v>
      </c>
      <c r="B46" s="320"/>
      <c r="C46" s="320"/>
      <c r="D46" s="320"/>
      <c r="E46" s="320"/>
      <c r="F46" s="978"/>
    </row>
    <row r="47" spans="1:6">
      <c r="A47" s="615" t="s">
        <v>1878</v>
      </c>
      <c r="B47" s="3612">
        <f>SUM([64]ALL!$AE$29:$AH$29)</f>
        <v>18843.222814514662</v>
      </c>
      <c r="C47" s="4207">
        <f>SUM([64]ALL!$AE$30:$AH$30)</f>
        <v>129805.66751095442</v>
      </c>
      <c r="D47" s="3612">
        <f>SUM([64]ALL!$AE$32:$AH$32)</f>
        <v>23710.027587135934</v>
      </c>
      <c r="E47" s="3612">
        <f>SUM([64]ALL!$AE$31:$AH$31)</f>
        <v>14065.336849191151</v>
      </c>
      <c r="F47" s="978">
        <f>SUM(B47:E47)</f>
        <v>186424.25476179615</v>
      </c>
    </row>
    <row r="48" spans="1:6">
      <c r="A48" s="615" t="s">
        <v>1879</v>
      </c>
      <c r="B48" s="3616">
        <f>SUM([64]ALL!$AL$29:$BJ$29)</f>
        <v>39400.356691809015</v>
      </c>
      <c r="C48" s="3616">
        <f>SUM([64]ALL!$AL$30:$BJ$30)</f>
        <v>237263.35338209302</v>
      </c>
      <c r="D48" s="3616">
        <f>SUM([64]ALL!$AL$32:$BJ$32)</f>
        <v>44506.745607734796</v>
      </c>
      <c r="E48" s="3616">
        <f>SUM([64]ALL!$AL$31:$BJ$31)</f>
        <v>13061.887525502369</v>
      </c>
      <c r="F48" s="1004">
        <f>SUM(B48:E48)</f>
        <v>334232.34320713917</v>
      </c>
    </row>
    <row r="49" spans="1:6">
      <c r="A49" s="2183" t="s">
        <v>4893</v>
      </c>
      <c r="B49" s="320"/>
      <c r="C49" s="320"/>
      <c r="D49" s="320"/>
      <c r="E49" s="320"/>
      <c r="F49" s="978"/>
    </row>
    <row r="50" spans="1:6">
      <c r="A50" s="615" t="s">
        <v>1878</v>
      </c>
      <c r="B50" s="3612">
        <f>SUM([65]ALL!$AE$29:$AH$29)</f>
        <v>52263.778680201045</v>
      </c>
      <c r="C50" s="4207">
        <f>SUM([65]ALL!$AE$30:$AH$30)</f>
        <v>165885.5203108213</v>
      </c>
      <c r="D50" s="3612">
        <f>SUM([65]ALL!$AE$32:$AH$32)</f>
        <v>6702.0894531831709</v>
      </c>
      <c r="E50" s="3612">
        <f>SUM([65]ALL!$AE$31:$AH$31)</f>
        <v>79343.373838479602</v>
      </c>
      <c r="F50" s="978">
        <f>SUM(B50:E50)</f>
        <v>304194.76228268514</v>
      </c>
    </row>
    <row r="51" spans="1:6">
      <c r="A51" s="615" t="s">
        <v>1879</v>
      </c>
      <c r="B51" s="3616">
        <f>SUM([65]ALL!$AL$29:$BJ$29)</f>
        <v>69669.699088607143</v>
      </c>
      <c r="C51" s="3616">
        <f>SUM([65]ALL!$AL$30:$BJ$30)</f>
        <v>326039.89680470777</v>
      </c>
      <c r="D51" s="3616">
        <f>SUM([65]ALL!$AL$32:$BJ$32)</f>
        <v>16548.12722123797</v>
      </c>
      <c r="E51" s="3616">
        <f>SUM([65]ALL!$AL$31:$BJ$31)</f>
        <v>153299.45466017225</v>
      </c>
      <c r="F51" s="1004">
        <f>SUM(B51:E51)</f>
        <v>565557.17777472513</v>
      </c>
    </row>
    <row r="52" spans="1:6">
      <c r="A52" s="615"/>
      <c r="B52" s="320"/>
      <c r="C52" s="320"/>
      <c r="D52" s="320"/>
      <c r="E52" s="320"/>
      <c r="F52" s="978"/>
    </row>
    <row r="53" spans="1:6">
      <c r="A53" s="615"/>
      <c r="B53" s="383"/>
      <c r="C53" s="383"/>
      <c r="D53" s="383"/>
      <c r="E53" s="383"/>
      <c r="F53" s="978"/>
    </row>
    <row r="54" spans="1:6" ht="13.5" thickBot="1">
      <c r="B54" s="33">
        <f>SUM(B14:B53)</f>
        <v>572128.32724693033</v>
      </c>
      <c r="C54" s="33">
        <f>SUM(C14:C53)</f>
        <v>2162797.6893186071</v>
      </c>
      <c r="D54" s="33">
        <f>SUM(D14:D53)</f>
        <v>209334.91543676401</v>
      </c>
      <c r="E54" s="33">
        <f>SUM(E14:E53)</f>
        <v>699783.7225838775</v>
      </c>
      <c r="F54" s="33">
        <f>SUM(F14:F53)</f>
        <v>3644044.6545861787</v>
      </c>
    </row>
    <row r="55" spans="1:6" ht="13.5" thickBot="1">
      <c r="B55" s="956">
        <f>'מאזן בוחן'!K138+'מאזן בוחן'!K186-B54</f>
        <v>-1.1372469303896651</v>
      </c>
      <c r="C55" s="956">
        <f>'New TB INC'!J242+'New TB INC'!J270-C54</f>
        <v>0.49068139307200909</v>
      </c>
      <c r="D55" s="956">
        <f>'מאזן בוחן Australia'!K35+'מאזן בוחן Australia'!K64-D54</f>
        <v>0.60456323600374162</v>
      </c>
      <c r="E55" s="956">
        <f>'מאזן בוחן EUROPE'!K186+'מאזן בוחן EUROPE'!K212-E54</f>
        <v>40.717416122439317</v>
      </c>
    </row>
    <row r="56" spans="1:6" ht="13.5" thickBot="1"/>
    <row r="57" spans="1:6">
      <c r="A57" s="2462" t="s">
        <v>1587</v>
      </c>
      <c r="B57" s="2736">
        <f t="shared" ref="B57:E58" si="0">B14+B17+B20+B23+B26+B29+B32+B35+B38+B41+B44+B47+B50</f>
        <v>263651.44290457229</v>
      </c>
      <c r="C57" s="2736">
        <f t="shared" si="0"/>
        <v>1010253.7787186445</v>
      </c>
      <c r="D57" s="2736">
        <f t="shared" si="0"/>
        <v>87524.961144406407</v>
      </c>
      <c r="E57" s="2736">
        <f t="shared" si="0"/>
        <v>321788.94658965676</v>
      </c>
      <c r="F57" s="734"/>
    </row>
    <row r="58" spans="1:6" ht="13.5" thickBot="1">
      <c r="A58" s="1324" t="s">
        <v>1586</v>
      </c>
      <c r="B58" s="2417">
        <f t="shared" si="0"/>
        <v>308476.8843423581</v>
      </c>
      <c r="C58" s="2417">
        <f t="shared" si="0"/>
        <v>1152543.9105999626</v>
      </c>
      <c r="D58" s="2417">
        <f t="shared" si="0"/>
        <v>121809.95429235764</v>
      </c>
      <c r="E58" s="2417">
        <f t="shared" si="0"/>
        <v>377994.77599422086</v>
      </c>
      <c r="F58" s="531"/>
    </row>
    <row r="59" spans="1:6">
      <c r="A59" s="33" t="s">
        <v>3817</v>
      </c>
      <c r="B59" s="33">
        <f>'מאזן בוחן'!$M$186</f>
        <v>308476.88</v>
      </c>
      <c r="C59" s="33">
        <f>'New TB INC'!$E$270</f>
        <v>1152543.54</v>
      </c>
      <c r="D59" s="33">
        <f>'מאזן בוחן Australia'!$M$64</f>
        <v>121809.95</v>
      </c>
      <c r="E59" s="33">
        <f>'מאזן בוחן EUROPE'!$M$212</f>
        <v>377994.78</v>
      </c>
      <c r="F59" s="33"/>
    </row>
    <row r="61" spans="1:6">
      <c r="A61" s="32" t="s">
        <v>1880</v>
      </c>
      <c r="C61" s="32">
        <v>0</v>
      </c>
    </row>
    <row r="62" spans="1:6">
      <c r="A62" s="32" t="s">
        <v>1881</v>
      </c>
      <c r="C62" s="32">
        <f>+'[69]Final '!$P$112</f>
        <v>607841.20806669409</v>
      </c>
    </row>
    <row r="63" spans="1:6">
      <c r="A63" s="32" t="s">
        <v>1882</v>
      </c>
      <c r="C63" s="32">
        <f>+'[69]Final '!$Q$112</f>
        <v>981166.65060025221</v>
      </c>
    </row>
    <row r="64" spans="1:6">
      <c r="A64" s="32" t="s">
        <v>1883</v>
      </c>
      <c r="C64" s="32">
        <f>-'[69]Final '!$BG$7</f>
        <v>-151960.30201667349</v>
      </c>
    </row>
    <row r="65" spans="1:3">
      <c r="A65" s="32" t="s">
        <v>1889</v>
      </c>
      <c r="C65" s="32">
        <f>-'[69]Final '!$BM$7</f>
        <v>-151960.30201667349</v>
      </c>
    </row>
    <row r="66" spans="1:3">
      <c r="A66" s="32" t="s">
        <v>2005</v>
      </c>
      <c r="C66" s="380">
        <f>-'[69]Final '!$BS$7</f>
        <v>-151960.30201667349</v>
      </c>
    </row>
    <row r="67" spans="1:3">
      <c r="A67" s="32" t="s">
        <v>2068</v>
      </c>
      <c r="C67" s="380">
        <f>-'[69]Final '!$BG$7</f>
        <v>-151960.30201667349</v>
      </c>
    </row>
    <row r="68" spans="1:3">
      <c r="A68" s="32" t="s">
        <v>2166</v>
      </c>
      <c r="C68" s="380">
        <f>-'[69]Final '!$CE$7</f>
        <v>-151960.30201667349</v>
      </c>
    </row>
    <row r="69" spans="1:3">
      <c r="A69" s="32" t="s">
        <v>2215</v>
      </c>
      <c r="C69" s="380">
        <f>-'[69]Final '!$CK$7</f>
        <v>-139273.22389167349</v>
      </c>
    </row>
    <row r="70" spans="1:3">
      <c r="A70" s="32" t="s">
        <v>2691</v>
      </c>
      <c r="C70" s="380">
        <f>-'[53]Final '!$CQ$7</f>
        <v>-126586.14576667351</v>
      </c>
    </row>
    <row r="71" spans="1:3">
      <c r="A71" s="32" t="s">
        <v>3168</v>
      </c>
      <c r="C71" s="380">
        <f>-'[53]Final '!$CW$7</f>
        <v>-113899.06764167351</v>
      </c>
    </row>
    <row r="72" spans="1:3">
      <c r="A72" s="32" t="s">
        <v>3505</v>
      </c>
      <c r="C72" s="380">
        <f>-'[53]Final '!$AO$7</f>
        <v>-101211.98951667351</v>
      </c>
    </row>
    <row r="73" spans="1:3">
      <c r="A73" s="32" t="s">
        <v>3707</v>
      </c>
      <c r="C73" s="380">
        <f>-'[53]Final '!$AP$7</f>
        <v>-88326.567641673508</v>
      </c>
    </row>
    <row r="74" spans="1:3">
      <c r="A74" s="32" t="s">
        <v>4243</v>
      </c>
      <c r="C74" s="380">
        <f>-'[53]Final '!$AQ$7</f>
        <v>-75441.145766673508</v>
      </c>
    </row>
    <row r="75" spans="1:3">
      <c r="A75" s="32" t="s">
        <v>4972</v>
      </c>
      <c r="C75" s="380">
        <f>-'[53]Final '!$AR$7</f>
        <v>-62555.723891673522</v>
      </c>
    </row>
    <row r="77" spans="1:3">
      <c r="A77" s="32" t="s">
        <v>1891</v>
      </c>
      <c r="C77" s="32">
        <f>+[70]ALL!$C$33</f>
        <v>214076.19142164307</v>
      </c>
    </row>
    <row r="78" spans="1:3">
      <c r="A78" s="32" t="s">
        <v>1890</v>
      </c>
      <c r="C78" s="32">
        <f>-[71]ALL!$K$33</f>
        <v>-18179.416057575516</v>
      </c>
    </row>
    <row r="79" spans="1:3">
      <c r="A79" s="32" t="s">
        <v>2006</v>
      </c>
      <c r="C79" s="380">
        <f>-[72]ALL!$L$33</f>
        <v>-18088.837724242185</v>
      </c>
    </row>
    <row r="80" spans="1:3">
      <c r="A80" s="32" t="s">
        <v>2065</v>
      </c>
      <c r="C80" s="380">
        <v>-17935.644390908852</v>
      </c>
    </row>
    <row r="81" spans="1:3">
      <c r="A81" s="32" t="s">
        <v>2167</v>
      </c>
      <c r="C81" s="380">
        <v>-17667.945835353297</v>
      </c>
    </row>
    <row r="82" spans="1:3">
      <c r="A82" s="32" t="s">
        <v>2216</v>
      </c>
      <c r="C82" s="380">
        <v>-15562.519434559646</v>
      </c>
    </row>
    <row r="83" spans="1:3">
      <c r="A83" s="32" t="s">
        <v>2692</v>
      </c>
      <c r="C83" s="380">
        <f>-[54]ALL!$S$33</f>
        <v>-15562.519434559646</v>
      </c>
    </row>
    <row r="84" spans="1:3">
      <c r="A84" s="32" t="s">
        <v>3167</v>
      </c>
      <c r="C84" s="380">
        <f>-[54]ALL!$T$33</f>
        <v>-15562.519434559646</v>
      </c>
    </row>
    <row r="85" spans="1:3">
      <c r="A85" s="32" t="s">
        <v>3506</v>
      </c>
      <c r="C85" s="380">
        <f>-[54]ALL!$X$33</f>
        <v>-15562.519434559646</v>
      </c>
    </row>
    <row r="86" spans="1:3" ht="14.25" customHeight="1">
      <c r="A86" s="32" t="s">
        <v>3708</v>
      </c>
      <c r="C86" s="380">
        <f>-[54]ALL!$Y$33</f>
        <v>-13128.374293831168</v>
      </c>
    </row>
    <row r="87" spans="1:3" ht="14.25" customHeight="1">
      <c r="A87" s="32" t="s">
        <v>4244</v>
      </c>
      <c r="C87" s="380">
        <f>-[54]ALL!$Z$33</f>
        <v>-13128.374293831168</v>
      </c>
    </row>
    <row r="88" spans="1:3" ht="14.25" customHeight="1">
      <c r="A88" s="32" t="s">
        <v>4973</v>
      </c>
      <c r="C88" s="380">
        <f>-[54]ALL!$AA$33</f>
        <v>-13128.374293831168</v>
      </c>
    </row>
    <row r="90" spans="1:3">
      <c r="A90" s="32" t="s">
        <v>1892</v>
      </c>
      <c r="C90" s="380">
        <f>[73]ALL!$D$33</f>
        <v>182639.23330877459</v>
      </c>
    </row>
    <row r="91" spans="1:3">
      <c r="A91" s="32" t="s">
        <v>2007</v>
      </c>
      <c r="C91" s="380">
        <f>-[73]ALL!$L$33</f>
        <v>-15206.257557949877</v>
      </c>
    </row>
    <row r="92" spans="1:3">
      <c r="A92" s="32" t="s">
        <v>2066</v>
      </c>
      <c r="C92" s="380">
        <v>-15006.216723857173</v>
      </c>
    </row>
    <row r="93" spans="1:3">
      <c r="A93" s="32" t="s">
        <v>2168</v>
      </c>
      <c r="C93" s="380">
        <v>-14997.395530788843</v>
      </c>
    </row>
    <row r="94" spans="1:3">
      <c r="A94" s="32" t="s">
        <v>2217</v>
      </c>
      <c r="C94" s="380">
        <v>-14993.356600921343</v>
      </c>
    </row>
    <row r="95" spans="1:3">
      <c r="A95" s="32" t="s">
        <v>2693</v>
      </c>
      <c r="C95" s="380">
        <v>-11476.92526300871</v>
      </c>
    </row>
    <row r="96" spans="1:3">
      <c r="A96" s="32" t="s">
        <v>3166</v>
      </c>
      <c r="C96" s="380">
        <v>-11476.92526300871</v>
      </c>
    </row>
    <row r="97" spans="1:3">
      <c r="A97" s="32" t="s">
        <v>3508</v>
      </c>
      <c r="C97" s="380">
        <v>-11476.92526300871</v>
      </c>
    </row>
    <row r="98" spans="1:3">
      <c r="A98" s="32" t="s">
        <v>3709</v>
      </c>
      <c r="C98" s="380">
        <v>-11476.92526300871</v>
      </c>
    </row>
    <row r="99" spans="1:3">
      <c r="A99" s="32" t="s">
        <v>4245</v>
      </c>
      <c r="C99" s="380">
        <f>-[55]ALL!$Z$33</f>
        <v>-11476.92526300871</v>
      </c>
    </row>
    <row r="100" spans="1:3">
      <c r="A100" s="32" t="s">
        <v>4974</v>
      </c>
      <c r="C100" s="380">
        <f>-[55]ALL!$AA$33</f>
        <v>-11476.92526300871</v>
      </c>
    </row>
    <row r="101" spans="1:3">
      <c r="C101" s="320"/>
    </row>
    <row r="102" spans="1:3">
      <c r="A102" s="32" t="s">
        <v>2008</v>
      </c>
      <c r="C102" s="383">
        <f>SUM([74]ALL!$E$33)</f>
        <v>224681.81688833371</v>
      </c>
    </row>
    <row r="103" spans="1:3">
      <c r="A103" s="32" t="s">
        <v>2067</v>
      </c>
      <c r="C103" s="383">
        <v>-21713.88236195116</v>
      </c>
    </row>
    <row r="104" spans="1:3">
      <c r="A104" s="32" t="s">
        <v>2169</v>
      </c>
      <c r="C104" s="383">
        <v>-22224.547542308515</v>
      </c>
    </row>
    <row r="105" spans="1:3">
      <c r="A105" s="32" t="s">
        <v>2218</v>
      </c>
      <c r="C105" s="383">
        <v>-21881.772531760362</v>
      </c>
    </row>
    <row r="106" spans="1:3">
      <c r="A106" s="32" t="s">
        <v>2694</v>
      </c>
      <c r="C106" s="383">
        <f>-[56]ALL!$S$33</f>
        <v>-22706.027225433558</v>
      </c>
    </row>
    <row r="107" spans="1:3">
      <c r="A107" s="32" t="s">
        <v>3165</v>
      </c>
      <c r="C107" s="383">
        <f>-[56]ALL!$T$33</f>
        <v>-14539.518970141302</v>
      </c>
    </row>
    <row r="108" spans="1:3">
      <c r="A108" s="32" t="s">
        <v>3507</v>
      </c>
      <c r="C108" s="383">
        <f>-[56]ALL!$X$33</f>
        <v>-14511.247773571356</v>
      </c>
    </row>
    <row r="109" spans="1:3">
      <c r="A109" s="32" t="s">
        <v>3710</v>
      </c>
      <c r="C109" s="383">
        <f>-[56]ALL!$Y$33</f>
        <v>-14504.707773571356</v>
      </c>
    </row>
    <row r="110" spans="1:3">
      <c r="A110" s="32" t="s">
        <v>4246</v>
      </c>
      <c r="C110" s="383">
        <f>-[56]ALL!$Z$33</f>
        <v>-14504.707773571356</v>
      </c>
    </row>
    <row r="111" spans="1:3">
      <c r="A111" s="32" t="s">
        <v>4975</v>
      </c>
      <c r="C111" s="383">
        <f>-[56]ALL!$AA$33</f>
        <v>-14405.184395192977</v>
      </c>
    </row>
    <row r="112" spans="1:3">
      <c r="C112" s="320"/>
    </row>
    <row r="113" spans="1:3">
      <c r="A113" s="32" t="s">
        <v>2070</v>
      </c>
      <c r="C113" s="320">
        <v>680643.41809911223</v>
      </c>
    </row>
    <row r="114" spans="1:3">
      <c r="A114" s="32" t="s">
        <v>2170</v>
      </c>
      <c r="C114" s="320">
        <v>-62062.34748204342</v>
      </c>
    </row>
    <row r="115" spans="1:3">
      <c r="A115" s="32" t="s">
        <v>2213</v>
      </c>
      <c r="C115" s="320">
        <v>-62006.829550025082</v>
      </c>
    </row>
    <row r="116" spans="1:3">
      <c r="A116" s="32" t="s">
        <v>2695</v>
      </c>
      <c r="C116" s="320">
        <f>-[57]ALL!$S$33</f>
        <v>-59256.515671765635</v>
      </c>
    </row>
    <row r="117" spans="1:3">
      <c r="A117" s="32" t="s">
        <v>3164</v>
      </c>
      <c r="C117" s="320">
        <f>-[57]ALL!$T$33</f>
        <v>-59244.735671765637</v>
      </c>
    </row>
    <row r="118" spans="1:3">
      <c r="A118" s="32" t="s">
        <v>3509</v>
      </c>
      <c r="C118" s="320">
        <f>-[57]ALL!$X$33</f>
        <v>-48712.303826695628</v>
      </c>
    </row>
    <row r="119" spans="1:3">
      <c r="A119" s="32" t="s">
        <v>3711</v>
      </c>
      <c r="C119" s="320">
        <f>-[57]ALL!$Y$33</f>
        <v>-48709.810459186279</v>
      </c>
    </row>
    <row r="120" spans="1:3">
      <c r="A120" s="32" t="s">
        <v>4247</v>
      </c>
      <c r="C120" s="320">
        <f>-[57]ALL!$Z$33</f>
        <v>-48709.810459186279</v>
      </c>
    </row>
    <row r="121" spans="1:3">
      <c r="A121" s="32" t="s">
        <v>4976</v>
      </c>
      <c r="C121" s="320">
        <f>-[57]ALL!$AA$33</f>
        <v>-48708.797718017624</v>
      </c>
    </row>
    <row r="122" spans="1:3">
      <c r="C122" s="320"/>
    </row>
    <row r="123" spans="1:3">
      <c r="A123" s="32" t="s">
        <v>2177</v>
      </c>
      <c r="C123" s="320">
        <f>[75]ALL!$C$33</f>
        <v>212147.21517892269</v>
      </c>
    </row>
    <row r="124" spans="1:3">
      <c r="A124" s="32" t="s">
        <v>2214</v>
      </c>
      <c r="C124" s="320">
        <f>-SUM([75]ALL!$R$33)</f>
        <v>-17630.037467444301</v>
      </c>
    </row>
    <row r="125" spans="1:3">
      <c r="A125" s="32" t="s">
        <v>2696</v>
      </c>
      <c r="C125" s="320">
        <f>-[58]ALL!$S$33</f>
        <v>-17587.494551464071</v>
      </c>
    </row>
    <row r="126" spans="1:3">
      <c r="A126" s="32" t="s">
        <v>3163</v>
      </c>
      <c r="C126" s="320">
        <f>-[58]ALL!$T$33</f>
        <v>-17557.14963784795</v>
      </c>
    </row>
    <row r="127" spans="1:3">
      <c r="A127" s="32" t="s">
        <v>3510</v>
      </c>
      <c r="C127" s="320">
        <f>-[58]ALL!$X$33</f>
        <v>-17545.958134251006</v>
      </c>
    </row>
    <row r="128" spans="1:3">
      <c r="A128" s="32" t="s">
        <v>3712</v>
      </c>
      <c r="C128" s="320">
        <f>-[58]ALL!$Y$33</f>
        <v>-13966.387750498587</v>
      </c>
    </row>
    <row r="129" spans="1:3">
      <c r="A129" s="32" t="s">
        <v>4248</v>
      </c>
      <c r="C129" s="320">
        <f>-[58]ALL!$Z$33</f>
        <v>-13966.387750498587</v>
      </c>
    </row>
    <row r="130" spans="1:3">
      <c r="A130" s="32" t="s">
        <v>4977</v>
      </c>
      <c r="C130" s="320">
        <f>-[58]ALL!$AA$33</f>
        <v>-13960.206351565568</v>
      </c>
    </row>
    <row r="131" spans="1:3">
      <c r="C131" s="320"/>
    </row>
    <row r="132" spans="1:3">
      <c r="A132" s="32" t="s">
        <v>2219</v>
      </c>
      <c r="C132" s="320">
        <f>SUM([76]ALL!$D$33)</f>
        <v>697792.74728240806</v>
      </c>
    </row>
    <row r="133" spans="1:3">
      <c r="A133" s="32" t="s">
        <v>2697</v>
      </c>
      <c r="C133" s="320">
        <f>-[59]ALL!$S$33</f>
        <v>-56332.817305871889</v>
      </c>
    </row>
    <row r="134" spans="1:3">
      <c r="A134" s="32" t="s">
        <v>3160</v>
      </c>
      <c r="C134" s="320">
        <f>-[59]ALL!$T$33</f>
        <v>-56332.817305871889</v>
      </c>
    </row>
    <row r="135" spans="1:3">
      <c r="A135" s="32" t="s">
        <v>3511</v>
      </c>
      <c r="C135" s="320">
        <f>-[59]ALL!$X$33</f>
        <v>-56320.909496883127</v>
      </c>
    </row>
    <row r="136" spans="1:3">
      <c r="A136" s="32" t="s">
        <v>3713</v>
      </c>
      <c r="C136" s="320">
        <f>-[59]ALL!$Y$33</f>
        <v>-56320.909496883127</v>
      </c>
    </row>
    <row r="137" spans="1:3">
      <c r="A137" s="32" t="s">
        <v>4249</v>
      </c>
      <c r="C137" s="320">
        <f>-[59]ALL!$Z$33</f>
        <v>-55362.850461809874</v>
      </c>
    </row>
    <row r="138" spans="1:3">
      <c r="A138" s="32" t="s">
        <v>4978</v>
      </c>
      <c r="C138" s="320">
        <f>-[59]ALL!$AA$33</f>
        <v>-55362.850461809874</v>
      </c>
    </row>
    <row r="139" spans="1:3">
      <c r="C139" s="320"/>
    </row>
    <row r="140" spans="1:3">
      <c r="A140" s="32" t="s">
        <v>2698</v>
      </c>
      <c r="C140" s="320">
        <f>[60]ALL!$E$33</f>
        <v>386477.86670767399</v>
      </c>
    </row>
    <row r="141" spans="1:3">
      <c r="A141" s="32" t="s">
        <v>3161</v>
      </c>
      <c r="C141" s="320">
        <f>-[60]ALL!$T$33</f>
        <v>-30256.21186428317</v>
      </c>
    </row>
    <row r="142" spans="1:3">
      <c r="A142" s="32" t="s">
        <v>3512</v>
      </c>
      <c r="C142" s="320">
        <f>-[60]ALL!$X$33</f>
        <v>-30192.099979983352</v>
      </c>
    </row>
    <row r="143" spans="1:3">
      <c r="A143" s="32" t="s">
        <v>3714</v>
      </c>
      <c r="C143" s="320">
        <f>-[60]ALL!$Y$33</f>
        <v>-30192.099979983352</v>
      </c>
    </row>
    <row r="144" spans="1:3">
      <c r="A144" s="32" t="s">
        <v>4250</v>
      </c>
      <c r="C144" s="320">
        <f>-[60]ALL!$Z$33</f>
        <v>-30192.099979983352</v>
      </c>
    </row>
    <row r="145" spans="1:3">
      <c r="A145" s="32" t="s">
        <v>4979</v>
      </c>
      <c r="C145" s="320">
        <f>-[60]ALL!$AA$33</f>
        <v>-28484.035987539901</v>
      </c>
    </row>
    <row r="146" spans="1:3">
      <c r="C146" s="320"/>
    </row>
    <row r="147" spans="1:3">
      <c r="A147" s="32" t="s">
        <v>3162</v>
      </c>
      <c r="C147" s="320">
        <f>[61]ALL!$F$33</f>
        <v>632523.60528137221</v>
      </c>
    </row>
    <row r="148" spans="1:3">
      <c r="A148" s="32" t="s">
        <v>3513</v>
      </c>
      <c r="C148" s="320">
        <f>-[61]ALL!$X$33</f>
        <v>-47102.350791883015</v>
      </c>
    </row>
    <row r="149" spans="1:3">
      <c r="A149" s="32" t="s">
        <v>3715</v>
      </c>
      <c r="C149" s="320">
        <f>-[61]ALL!$Y$33</f>
        <v>-47032.068221070265</v>
      </c>
    </row>
    <row r="150" spans="1:3">
      <c r="A150" s="32" t="s">
        <v>4251</v>
      </c>
      <c r="C150" s="320">
        <f>-[61]ALL!$Z$33</f>
        <v>-47032.068221070265</v>
      </c>
    </row>
    <row r="151" spans="1:3">
      <c r="A151" s="32" t="s">
        <v>4980</v>
      </c>
      <c r="C151" s="320">
        <f>-[61]ALL!$AA$33</f>
        <v>-47006.260833350825</v>
      </c>
    </row>
    <row r="152" spans="1:3">
      <c r="C152" s="320"/>
    </row>
    <row r="153" spans="1:3">
      <c r="A153" s="32" t="s">
        <v>3514</v>
      </c>
      <c r="C153" s="320">
        <f>[67]ALL!$C$33</f>
        <v>315067.84856771864</v>
      </c>
    </row>
    <row r="154" spans="1:3">
      <c r="A154" s="32" t="s">
        <v>3716</v>
      </c>
      <c r="C154" s="320">
        <f>-[67]ALL!$Y$33</f>
        <v>-26375.022896854942</v>
      </c>
    </row>
    <row r="155" spans="1:3">
      <c r="A155" s="32" t="s">
        <v>4252</v>
      </c>
      <c r="C155" s="320">
        <f>-[67]ALL!$Z$33</f>
        <v>-26362.690614102197</v>
      </c>
    </row>
    <row r="156" spans="1:3">
      <c r="A156" s="32" t="s">
        <v>4252</v>
      </c>
      <c r="C156" s="320">
        <f>-SUM([62]ALL!$AA$33)</f>
        <v>-26362.690614102197</v>
      </c>
    </row>
    <row r="157" spans="1:3">
      <c r="C157" s="320"/>
    </row>
    <row r="158" spans="1:3">
      <c r="A158" s="32" t="s">
        <v>3717</v>
      </c>
      <c r="C158" s="383">
        <f>SUM([63]ALL!$D$33)</f>
        <v>414584.25137843797</v>
      </c>
    </row>
    <row r="159" spans="1:3">
      <c r="A159" s="32" t="s">
        <v>4254</v>
      </c>
      <c r="C159" s="383">
        <f>-SUM([63]ALL!$Z$33)</f>
        <v>-31708.318530964782</v>
      </c>
    </row>
    <row r="160" spans="1:3">
      <c r="A160" s="32" t="s">
        <v>4981</v>
      </c>
      <c r="C160" s="383">
        <f>-SUM([63]ALL!$AA$33)</f>
        <v>-31392.482462125332</v>
      </c>
    </row>
    <row r="161" spans="1:7">
      <c r="C161" s="383"/>
    </row>
    <row r="162" spans="1:7">
      <c r="A162" s="32" t="s">
        <v>4253</v>
      </c>
      <c r="C162" s="320">
        <f>[64]ALL!$E$33</f>
        <v>567617.96018442651</v>
      </c>
    </row>
    <row r="163" spans="1:7">
      <c r="A163" s="32" t="s">
        <v>4982</v>
      </c>
      <c r="C163" s="320">
        <f>-SUM([77]ALL!$AA$33)</f>
        <v>-46961.484007783074</v>
      </c>
    </row>
    <row r="164" spans="1:7">
      <c r="C164" s="320"/>
    </row>
    <row r="165" spans="1:7">
      <c r="A165" s="32" t="s">
        <v>4983</v>
      </c>
      <c r="C165" s="320">
        <f>SUM([78]ALL!$F$33)</f>
        <v>869751.95640308922</v>
      </c>
    </row>
    <row r="166" spans="1:7">
      <c r="C166" s="320"/>
    </row>
    <row r="167" spans="1:7">
      <c r="C167" s="320"/>
    </row>
    <row r="168" spans="1:7" ht="13.5" thickBot="1">
      <c r="C168" s="204">
        <f>SUM(C61:C167)</f>
        <v>3644043.2642054274</v>
      </c>
    </row>
    <row r="169" spans="1:7" ht="13.5" thickBot="1">
      <c r="A169" s="32" t="s">
        <v>299</v>
      </c>
      <c r="C169" s="956">
        <f>+C168-F54</f>
        <v>-1.3903807513415813</v>
      </c>
    </row>
    <row r="173" spans="1:7">
      <c r="A173" s="997" t="s">
        <v>1884</v>
      </c>
    </row>
    <row r="174" spans="1:7">
      <c r="B174" s="1003" t="s">
        <v>279</v>
      </c>
      <c r="C174" s="1003" t="s">
        <v>575</v>
      </c>
      <c r="D174" s="1003" t="s">
        <v>772</v>
      </c>
      <c r="E174" s="1003" t="s">
        <v>405</v>
      </c>
      <c r="F174" s="1003" t="s">
        <v>2259</v>
      </c>
      <c r="G174" s="1003" t="s">
        <v>656</v>
      </c>
    </row>
    <row r="175" spans="1:7">
      <c r="B175" s="1006"/>
      <c r="C175" s="1006"/>
      <c r="D175" s="1006"/>
      <c r="E175" s="1006"/>
      <c r="F175" s="1006"/>
      <c r="G175" s="1006"/>
    </row>
    <row r="176" spans="1:7">
      <c r="A176" s="961" t="s">
        <v>3208</v>
      </c>
      <c r="B176" s="1006"/>
      <c r="C176" s="1006"/>
      <c r="D176" s="1006"/>
      <c r="E176" s="1006"/>
      <c r="G176" s="1006"/>
    </row>
    <row r="177" spans="1:8">
      <c r="A177" s="32" t="s">
        <v>1885</v>
      </c>
      <c r="B177" s="3607">
        <f>SUM('[36]ALL Automated'!$K$101)</f>
        <v>369928.59268876235</v>
      </c>
      <c r="C177" s="3612">
        <f>SUM('[79]ALL Automated'!$K$172)</f>
        <v>2222197.9237098657</v>
      </c>
      <c r="D177" s="3612">
        <f>SUM('[80]ALL Automated'!$K$26)</f>
        <v>169905.78518995745</v>
      </c>
      <c r="E177" s="3612">
        <f>SUM('[81]ALL Automated'!$J$130)</f>
        <v>912429.54353056767</v>
      </c>
      <c r="F177" s="3607">
        <f>SUM('[82]ALL Automated'!$K$24)</f>
        <v>47416.182637558166</v>
      </c>
      <c r="G177" s="33"/>
    </row>
    <row r="178" spans="1:8">
      <c r="A178" s="32" t="s">
        <v>1886</v>
      </c>
      <c r="B178" s="3613">
        <f>'[36]ALL Automated'!$K$102</f>
        <v>474571.73276774178</v>
      </c>
      <c r="C178" s="3613">
        <f>SUM('[79]ALL Automated'!$K$173)</f>
        <v>3282380.4352784939</v>
      </c>
      <c r="D178" s="3613">
        <f>SUM('[80]ALL Automated'!$K$27)</f>
        <v>277761.27766931651</v>
      </c>
      <c r="E178" s="3753">
        <f>SUM('[81]ALL Automated'!$J$131)</f>
        <v>1380657.3711504475</v>
      </c>
      <c r="F178" s="3607">
        <f>'[82]ALL Automated'!$K$25</f>
        <v>75798.540925097797</v>
      </c>
      <c r="G178" s="1004"/>
    </row>
    <row r="179" spans="1:8">
      <c r="B179" s="33">
        <f t="shared" ref="B179:G179" si="1">SUM(B177:B178)</f>
        <v>844500.32545650413</v>
      </c>
      <c r="C179" s="33">
        <f t="shared" si="1"/>
        <v>5504578.3589883596</v>
      </c>
      <c r="D179" s="33">
        <f t="shared" si="1"/>
        <v>447667.06285927398</v>
      </c>
      <c r="E179" s="997">
        <f t="shared" si="1"/>
        <v>2293086.9146810151</v>
      </c>
      <c r="F179" s="33">
        <f t="shared" si="1"/>
        <v>123214.72356265597</v>
      </c>
      <c r="G179" s="33">
        <f t="shared" si="1"/>
        <v>0</v>
      </c>
    </row>
    <row r="180" spans="1:8">
      <c r="B180" s="1006"/>
      <c r="C180" s="1006"/>
      <c r="D180" s="1006"/>
      <c r="E180" s="3754"/>
      <c r="F180" s="1006"/>
      <c r="G180" s="1006"/>
    </row>
    <row r="181" spans="1:8">
      <c r="A181" s="961" t="s">
        <v>3205</v>
      </c>
      <c r="B181" s="1006"/>
      <c r="C181" s="1006"/>
      <c r="D181" s="1006"/>
      <c r="E181" s="3754"/>
      <c r="G181" s="1006"/>
    </row>
    <row r="182" spans="1:8">
      <c r="A182" s="32" t="s">
        <v>1885</v>
      </c>
      <c r="B182" s="3607">
        <f>SUM('[38]ALL Automated'!$AJ$69:$AU$69)</f>
        <v>320221.20593276434</v>
      </c>
      <c r="C182" s="3607">
        <f>SUM('[83]ALL Automated'!$AJ$127:$AU$127)</f>
        <v>1511177.3975012442</v>
      </c>
      <c r="D182" s="3607">
        <f>SUM('[84]ALL Automated'!$AJ$24:$AU$24)</f>
        <v>54536.342252283757</v>
      </c>
      <c r="E182" s="3755">
        <f>SUM([85]ALL!$AJ$93:$AU$93)</f>
        <v>404199.36324800976</v>
      </c>
      <c r="G182" s="33">
        <f>SUM(B182:E182)</f>
        <v>2290134.3089343021</v>
      </c>
    </row>
    <row r="183" spans="1:8">
      <c r="A183" s="32" t="s">
        <v>1886</v>
      </c>
      <c r="B183" s="3611">
        <f>SUM('[38]ALL Automated'!$AV$69:$CE$69)</f>
        <v>208265.25440999144</v>
      </c>
      <c r="C183" s="3611">
        <f>SUM('[83]ALL Automated'!$AV$127:$BR$127)</f>
        <v>823082.48002611205</v>
      </c>
      <c r="D183" s="3611">
        <f>SUM('[84]ALL Automated'!$AV$24:$BU$24)</f>
        <v>36845.314576208337</v>
      </c>
      <c r="E183" s="3756">
        <f>SUM([85]ALL!$AV$93:$CE$93)</f>
        <v>349886.7225800876</v>
      </c>
      <c r="F183" s="2543"/>
      <c r="G183" s="1004">
        <f>SUM(B183:E183)</f>
        <v>1418079.7715923993</v>
      </c>
    </row>
    <row r="184" spans="1:8">
      <c r="B184" s="33">
        <f t="shared" ref="B184:G184" si="2">SUM(B182:B183)</f>
        <v>528486.46034275577</v>
      </c>
      <c r="C184" s="33">
        <f t="shared" si="2"/>
        <v>2334259.8775273561</v>
      </c>
      <c r="D184" s="33">
        <f t="shared" si="2"/>
        <v>91381.656828492094</v>
      </c>
      <c r="E184" s="997">
        <f t="shared" si="2"/>
        <v>754086.0858280973</v>
      </c>
      <c r="F184" s="33">
        <f t="shared" si="2"/>
        <v>0</v>
      </c>
      <c r="G184" s="33">
        <f t="shared" si="2"/>
        <v>3708214.0805267012</v>
      </c>
    </row>
    <row r="185" spans="1:8">
      <c r="B185" s="33"/>
      <c r="C185" s="33"/>
      <c r="D185" s="33"/>
      <c r="E185" s="997"/>
      <c r="G185" s="33"/>
    </row>
    <row r="186" spans="1:8">
      <c r="B186" s="1003" t="s">
        <v>279</v>
      </c>
      <c r="C186" s="1003" t="s">
        <v>575</v>
      </c>
      <c r="D186" s="1003" t="s">
        <v>772</v>
      </c>
      <c r="E186" s="3757" t="s">
        <v>405</v>
      </c>
      <c r="F186" s="1003" t="s">
        <v>2259</v>
      </c>
      <c r="G186" s="1003" t="s">
        <v>656</v>
      </c>
    </row>
    <row r="187" spans="1:8">
      <c r="A187" s="961" t="s">
        <v>3206</v>
      </c>
      <c r="B187" s="1006"/>
      <c r="C187" s="1006"/>
      <c r="D187" s="1006"/>
      <c r="E187" s="3754"/>
      <c r="G187" s="1006"/>
    </row>
    <row r="188" spans="1:8">
      <c r="A188" s="32" t="s">
        <v>1885</v>
      </c>
      <c r="B188" s="3607">
        <f>SUM([37]ALL!$AZ$80:$BK$80)</f>
        <v>308592.47818405612</v>
      </c>
      <c r="C188" s="3607">
        <f>SUM([86]ALL!$AZ$99:$BK$99)</f>
        <v>664203.07698214357</v>
      </c>
      <c r="D188" s="3607">
        <f>SUM([87]ALL!$AZ$17:$BE$17)</f>
        <v>85118.407916794182</v>
      </c>
      <c r="E188" s="3755">
        <f>SUM([88]ALL!$AZ$101:$BK$101)</f>
        <v>343709.93263209163</v>
      </c>
      <c r="F188" s="380"/>
      <c r="G188" s="33">
        <f>SUM(B188:E188)</f>
        <v>1401623.8957150856</v>
      </c>
    </row>
    <row r="189" spans="1:8">
      <c r="A189" s="32" t="s">
        <v>1886</v>
      </c>
      <c r="B189" s="3614">
        <f>SUM([37]ALL!$BL$80:$BO$80)</f>
        <v>1412.7906976744184</v>
      </c>
      <c r="C189" s="3615">
        <v>0</v>
      </c>
      <c r="D189" s="529"/>
      <c r="E189" s="3758">
        <f>SUM([88]ALL!$BL$101:$CK$101)</f>
        <v>12763.660603324681</v>
      </c>
      <c r="F189" s="2543"/>
      <c r="G189" s="1004">
        <f>SUM(B189:E189)</f>
        <v>14176.451300999099</v>
      </c>
      <c r="H189" s="380"/>
    </row>
    <row r="190" spans="1:8">
      <c r="B190" s="33">
        <f t="shared" ref="B190:G190" si="3">SUM(B188:B189)</f>
        <v>310005.26888173056</v>
      </c>
      <c r="C190" s="33">
        <f t="shared" si="3"/>
        <v>664203.07698214357</v>
      </c>
      <c r="D190" s="33">
        <f t="shared" si="3"/>
        <v>85118.407916794182</v>
      </c>
      <c r="E190" s="997">
        <f t="shared" si="3"/>
        <v>356473.59323541634</v>
      </c>
      <c r="F190" s="33">
        <f t="shared" si="3"/>
        <v>0</v>
      </c>
      <c r="G190" s="33">
        <f t="shared" si="3"/>
        <v>1415800.3470160847</v>
      </c>
    </row>
    <row r="191" spans="1:8">
      <c r="E191" s="3759"/>
    </row>
    <row r="192" spans="1:8">
      <c r="B192" s="1003" t="s">
        <v>279</v>
      </c>
      <c r="C192" s="1003" t="s">
        <v>575</v>
      </c>
      <c r="D192" s="1003" t="s">
        <v>772</v>
      </c>
      <c r="E192" s="3757" t="s">
        <v>405</v>
      </c>
      <c r="F192" s="1003" t="s">
        <v>2259</v>
      </c>
      <c r="G192" s="1003" t="s">
        <v>656</v>
      </c>
    </row>
    <row r="193" spans="1:8">
      <c r="A193" s="961" t="s">
        <v>3207</v>
      </c>
      <c r="B193" s="1006"/>
      <c r="C193" s="1006"/>
      <c r="D193" s="1006"/>
      <c r="E193" s="3754"/>
      <c r="G193" s="1006"/>
    </row>
    <row r="194" spans="1:8">
      <c r="A194" s="32" t="s">
        <v>1885</v>
      </c>
      <c r="B194" s="380"/>
      <c r="C194" s="380"/>
      <c r="D194" s="380"/>
      <c r="E194" s="3755">
        <f>SUM([89]all!$CR$327:$DC$327)</f>
        <v>44159.269526095646</v>
      </c>
      <c r="F194" s="380"/>
      <c r="G194" s="33">
        <f>SUM(B194:E194)</f>
        <v>44159.269526095646</v>
      </c>
    </row>
    <row r="195" spans="1:8">
      <c r="A195" s="32" t="s">
        <v>1886</v>
      </c>
      <c r="B195" s="994"/>
      <c r="C195" s="529"/>
      <c r="D195" s="994"/>
      <c r="E195" s="3760"/>
      <c r="F195" s="2543"/>
      <c r="G195" s="1004">
        <f>SUM(B195:E195)</f>
        <v>0</v>
      </c>
    </row>
    <row r="196" spans="1:8">
      <c r="B196" s="33">
        <f t="shared" ref="B196:G196" si="4">SUM(B194:B195)</f>
        <v>0</v>
      </c>
      <c r="C196" s="33">
        <f t="shared" si="4"/>
        <v>0</v>
      </c>
      <c r="D196" s="33">
        <f t="shared" si="4"/>
        <v>0</v>
      </c>
      <c r="E196" s="997">
        <f t="shared" si="4"/>
        <v>44159.269526095646</v>
      </c>
      <c r="F196" s="33">
        <f t="shared" si="4"/>
        <v>0</v>
      </c>
      <c r="G196" s="33">
        <f t="shared" si="4"/>
        <v>44159.269526095646</v>
      </c>
    </row>
    <row r="197" spans="1:8" ht="13.5" thickBot="1"/>
    <row r="198" spans="1:8" ht="13.5" thickBot="1">
      <c r="B198" s="956" cm="1">
        <f t="array" ref="B198">SUM(-'[16]53599 - Ltd'!$E$33:$O$34,'מאזן בוחן'!K483:K484)+B196+B190+B184+B179</f>
        <v>1959.2943853397155</v>
      </c>
      <c r="C198" s="956">
        <f>SUM('New TB INC'!J399,'New TB INC'!J401,'New TB INC'!J400)+C196+C190+C184+C179-[79]BCG_GuidePoint!$B$8</f>
        <v>100.86349785867787</v>
      </c>
      <c r="D198" s="956">
        <f>SUM('מאזן בוחן Australia'!K126:K129)+D196+D190+D184+D179</f>
        <v>-5.9723954397486523</v>
      </c>
      <c r="E198" s="956">
        <f>SUM('[33]53599 - UK'!$P$51:$CA$51,'מאזן בוחן EUROPE'!K284,'מאזן בוחן EUROPE'!K285,'מאזן בוחן EUROPE'!K287,'מאזן בוחן EUROPE'!K288)+E196+E190+E184+E179</f>
        <v>28.195204326417297</v>
      </c>
      <c r="F198" s="956">
        <f>SUM('מאזן בוחן צרפת'!$K$150)+F196+F190+F184+F179</f>
        <v>-12.986437344035949</v>
      </c>
    </row>
    <row r="199" spans="1:8" ht="13.5" thickBot="1"/>
    <row r="200" spans="1:8">
      <c r="A200" s="2742" t="s">
        <v>1587</v>
      </c>
      <c r="B200" s="2743">
        <f t="shared" ref="B200:F201" si="5">B182+B188+B194+B177</f>
        <v>998742.27680558281</v>
      </c>
      <c r="C200" s="2743">
        <f t="shared" si="5"/>
        <v>4397578.3981932532</v>
      </c>
      <c r="D200" s="2743">
        <f t="shared" si="5"/>
        <v>309560.53535903536</v>
      </c>
      <c r="E200" s="2743">
        <f t="shared" si="5"/>
        <v>1704498.1089367648</v>
      </c>
      <c r="F200" s="2743">
        <f t="shared" si="5"/>
        <v>47416.182637558166</v>
      </c>
      <c r="G200" s="380"/>
      <c r="H200" s="380"/>
    </row>
    <row r="201" spans="1:8" ht="13.5" thickBot="1">
      <c r="A201" s="1959" t="s">
        <v>1586</v>
      </c>
      <c r="B201" s="2417">
        <f t="shared" si="5"/>
        <v>684249.7778754076</v>
      </c>
      <c r="C201" s="2417">
        <f t="shared" si="5"/>
        <v>4105462.9153046058</v>
      </c>
      <c r="D201" s="2417">
        <f t="shared" si="5"/>
        <v>314606.59224552487</v>
      </c>
      <c r="E201" s="2417">
        <f t="shared" si="5"/>
        <v>1743307.7543338598</v>
      </c>
      <c r="F201" s="2417">
        <f t="shared" si="5"/>
        <v>75798.540925097797</v>
      </c>
    </row>
    <row r="204" spans="1:8">
      <c r="D204" s="647"/>
    </row>
  </sheetData>
  <mergeCells count="1">
    <mergeCell ref="I12:L12"/>
  </mergeCells>
  <phoneticPr fontId="75" type="noConversion"/>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K186"/>
  <sheetViews>
    <sheetView topLeftCell="A148" zoomScaleNormal="100" workbookViewId="0">
      <selection activeCell="F171" sqref="F171"/>
    </sheetView>
  </sheetViews>
  <sheetFormatPr defaultColWidth="9.33203125" defaultRowHeight="12.75"/>
  <cols>
    <col min="1" max="1" width="32.5" style="32" customWidth="1"/>
    <col min="2" max="2" width="37.5" style="32" customWidth="1"/>
    <col min="3" max="3" width="42.5" style="32" customWidth="1"/>
    <col min="4" max="4" width="37.1640625" style="32" customWidth="1"/>
    <col min="5" max="5" width="20.33203125" style="1333" customWidth="1"/>
    <col min="6" max="6" width="23" style="32" bestFit="1" customWidth="1"/>
    <col min="7" max="8" width="23" style="32" customWidth="1"/>
    <col min="9" max="9" width="28.1640625" style="32" customWidth="1"/>
    <col min="10" max="11" width="22.5" style="32" bestFit="1" customWidth="1"/>
    <col min="12" max="12" width="22.5" style="32" customWidth="1"/>
    <col min="13" max="13" width="27.33203125" style="32" bestFit="1" customWidth="1"/>
    <col min="14" max="14" width="18.6640625" style="32" bestFit="1" customWidth="1"/>
    <col min="15" max="16" width="16.5" style="32" customWidth="1"/>
    <col min="17" max="17" width="18.83203125" style="32" customWidth="1"/>
    <col min="18" max="16384" width="9.33203125" style="32"/>
  </cols>
  <sheetData>
    <row r="1" spans="1:5" ht="13.5" thickBot="1"/>
    <row r="2" spans="1:5">
      <c r="A2" s="2462" t="s">
        <v>2889</v>
      </c>
      <c r="B2" s="2998"/>
      <c r="E2" s="32"/>
    </row>
    <row r="3" spans="1:5">
      <c r="A3" s="650"/>
      <c r="B3" s="530"/>
      <c r="E3" s="32"/>
    </row>
    <row r="4" spans="1:5">
      <c r="A4" s="650" t="s">
        <v>286</v>
      </c>
      <c r="B4" s="2999">
        <f>SUM('New TB INC'!J445)</f>
        <v>-11488367.98</v>
      </c>
      <c r="E4" s="32"/>
    </row>
    <row r="5" spans="1:5">
      <c r="A5" s="650" t="s">
        <v>406</v>
      </c>
      <c r="B5" s="3000">
        <f>SUM('מאזן בוחן EUROPE'!K303,'מאזן בוחן EUROPE'!K305)</f>
        <v>-354154.95</v>
      </c>
      <c r="E5" s="32"/>
    </row>
    <row r="6" spans="1:5">
      <c r="A6" s="650"/>
      <c r="B6" s="2999">
        <f>SUM(B4:B5)</f>
        <v>-11842522.93</v>
      </c>
      <c r="E6" s="32"/>
    </row>
    <row r="7" spans="1:5">
      <c r="A7" s="650"/>
      <c r="B7" s="2999"/>
      <c r="E7" s="32"/>
    </row>
    <row r="8" spans="1:5" ht="13.5" thickBot="1">
      <c r="A8" s="650" t="s">
        <v>2765</v>
      </c>
      <c r="B8" s="4082">
        <f>SUM('[90]Expense Amortization'!$X$1190)</f>
        <v>11837802.540000027</v>
      </c>
      <c r="E8" s="32"/>
    </row>
    <row r="9" spans="1:5" ht="13.5" thickBot="1">
      <c r="A9" s="651" t="s">
        <v>2766</v>
      </c>
      <c r="B9" s="2472">
        <f>SUM(B6:B8)</f>
        <v>-4720.3899999726564</v>
      </c>
      <c r="E9" s="32"/>
    </row>
    <row r="10" spans="1:5" ht="13.5" thickBot="1">
      <c r="E10" s="32"/>
    </row>
    <row r="11" spans="1:5">
      <c r="A11" s="2784" t="s">
        <v>3174</v>
      </c>
      <c r="B11" s="569"/>
      <c r="E11" s="32"/>
    </row>
    <row r="12" spans="1:5">
      <c r="A12" s="719" t="s">
        <v>3465</v>
      </c>
      <c r="B12" s="2994">
        <v>-9290163.5299999993</v>
      </c>
      <c r="E12" s="32"/>
    </row>
    <row r="13" spans="1:5">
      <c r="A13" s="719" t="s">
        <v>1513</v>
      </c>
      <c r="B13" s="2994">
        <v>-619693</v>
      </c>
      <c r="E13" s="32"/>
    </row>
    <row r="14" spans="1:5">
      <c r="A14" s="719" t="s">
        <v>1512</v>
      </c>
      <c r="B14" s="2994">
        <v>-511584</v>
      </c>
      <c r="E14" s="32"/>
    </row>
    <row r="15" spans="1:5">
      <c r="A15" s="719" t="s">
        <v>1585</v>
      </c>
      <c r="B15" s="2994">
        <v>-533569</v>
      </c>
      <c r="E15" s="32"/>
    </row>
    <row r="16" spans="1:5">
      <c r="A16" s="719" t="s">
        <v>1823</v>
      </c>
      <c r="B16" s="2994">
        <f>-SUM('[91]Department &amp; Entity'!$H$19)+'[91]Department &amp; Entity'!$C$19</f>
        <v>-533357.86</v>
      </c>
      <c r="E16" s="32"/>
    </row>
    <row r="17" spans="1:11" ht="13.5" thickBot="1">
      <c r="A17" s="719" t="s">
        <v>3464</v>
      </c>
      <c r="B17" s="2995">
        <f>SUM(B12:B16)</f>
        <v>-11488367.389999999</v>
      </c>
      <c r="E17" s="32"/>
    </row>
    <row r="18" spans="1:11" ht="13.5" thickBot="1">
      <c r="A18" s="719"/>
      <c r="B18" s="956">
        <f>-'New TB INC'!J445+B17</f>
        <v>0.59000000171363354</v>
      </c>
      <c r="E18" s="32"/>
    </row>
    <row r="19" spans="1:11">
      <c r="A19" s="2790" t="s">
        <v>3176</v>
      </c>
      <c r="B19" s="558"/>
      <c r="E19" s="32"/>
    </row>
    <row r="20" spans="1:11">
      <c r="A20" s="719" t="s">
        <v>3465</v>
      </c>
      <c r="B20" s="2996">
        <v>-156149</v>
      </c>
      <c r="E20" s="32"/>
    </row>
    <row r="21" spans="1:11">
      <c r="A21" s="719" t="s">
        <v>1513</v>
      </c>
      <c r="B21" s="2996">
        <v>-11611.039492646885</v>
      </c>
      <c r="E21" s="32"/>
    </row>
    <row r="22" spans="1:11">
      <c r="A22" s="719" t="s">
        <v>1512</v>
      </c>
      <c r="B22" s="2996">
        <v>-11441.95</v>
      </c>
      <c r="E22" s="32"/>
    </row>
    <row r="23" spans="1:11">
      <c r="A23" s="719" t="s">
        <v>1585</v>
      </c>
      <c r="B23" s="2996">
        <v>-9406.68</v>
      </c>
      <c r="E23" s="32"/>
    </row>
    <row r="24" spans="1:11">
      <c r="A24" s="719" t="s">
        <v>1823</v>
      </c>
      <c r="B24" s="2996">
        <f>-'[92]99911'!$D$16</f>
        <v>-12752.050000000003</v>
      </c>
      <c r="E24" s="32"/>
    </row>
    <row r="25" spans="1:11">
      <c r="A25" s="719" t="s">
        <v>4841</v>
      </c>
      <c r="B25" s="2997">
        <f>-'[92]99911'!$D$17</f>
        <v>93551.540000000008</v>
      </c>
      <c r="E25" s="32"/>
    </row>
    <row r="26" spans="1:11" ht="13.5" thickBot="1">
      <c r="A26" s="719"/>
      <c r="B26" s="2996">
        <f>SUM(B20:B25)</f>
        <v>-107809.17949264686</v>
      </c>
      <c r="E26" s="32"/>
    </row>
    <row r="27" spans="1:11" ht="13.5" thickBot="1">
      <c r="A27" s="1192"/>
      <c r="B27" s="956">
        <f>'מאזן בוחן EUROPE'!J303-'ביאורים לדוחות הכספיים'!B26</f>
        <v>0.56949264685681555</v>
      </c>
      <c r="E27" s="32"/>
    </row>
    <row r="28" spans="1:11" ht="13.5" thickBot="1">
      <c r="E28" s="32"/>
    </row>
    <row r="29" spans="1:11" ht="13.5" thickBot="1">
      <c r="A29" s="3229" t="s">
        <v>3156</v>
      </c>
      <c r="B29" s="2988" t="s">
        <v>4227</v>
      </c>
      <c r="C29" s="2992" t="s">
        <v>406</v>
      </c>
      <c r="D29" s="2993" t="s">
        <v>3848</v>
      </c>
      <c r="E29" s="2987" t="s">
        <v>3196</v>
      </c>
      <c r="F29" s="2993" t="s">
        <v>3194</v>
      </c>
      <c r="G29" s="2993" t="s">
        <v>3858</v>
      </c>
      <c r="H29" s="3810" t="s">
        <v>4793</v>
      </c>
      <c r="I29" s="2993" t="s">
        <v>3859</v>
      </c>
      <c r="J29" s="2988" t="s">
        <v>67</v>
      </c>
      <c r="K29" s="734"/>
    </row>
    <row r="30" spans="1:11" ht="13.5" thickBot="1">
      <c r="A30" s="650" t="s">
        <v>1758</v>
      </c>
      <c r="B30" s="2801">
        <f>'[93]One-Time Bonus '!$C$21*0.73993005162856</f>
        <v>12318.126121196261</v>
      </c>
      <c r="C30" s="2989">
        <f>'[93]One-Time Bonus '!$C$46*0.73993005162856</f>
        <v>8095.3083200494875</v>
      </c>
      <c r="D30" s="2990">
        <f>'[93]One-Time Bonus '!$C$34*0.73993005162856</f>
        <v>4222.8178011467735</v>
      </c>
      <c r="E30" s="2990">
        <v>0</v>
      </c>
      <c r="F30" s="2990">
        <v>0</v>
      </c>
      <c r="G30" s="2990">
        <v>0</v>
      </c>
      <c r="H30" s="2990">
        <v>0</v>
      </c>
      <c r="I30" s="2990">
        <v>0</v>
      </c>
      <c r="J30" s="2644">
        <f>I30+H30+G30+F30+E30+D30+C30-B30</f>
        <v>0</v>
      </c>
      <c r="K30" s="530"/>
    </row>
    <row r="31" spans="1:11">
      <c r="A31" s="650"/>
      <c r="B31" s="2801"/>
      <c r="C31" s="3803">
        <f>SUM(C30:C30)</f>
        <v>8095.3083200494875</v>
      </c>
      <c r="D31" s="3804">
        <f>SUM(D30:D30)</f>
        <v>4222.8178011467735</v>
      </c>
      <c r="E31" s="3804">
        <f>SUM(E30:E30)</f>
        <v>0</v>
      </c>
      <c r="F31" s="3804">
        <f>SUM(F30:F30)</f>
        <v>0</v>
      </c>
      <c r="G31" s="3804">
        <f>SUM(G30:G30)</f>
        <v>0</v>
      </c>
      <c r="H31" s="3804"/>
      <c r="I31" s="3804">
        <f>SUM(I30:I30)</f>
        <v>0</v>
      </c>
      <c r="J31" s="2983"/>
      <c r="K31" s="530"/>
    </row>
    <row r="32" spans="1:11">
      <c r="A32" s="650" t="s">
        <v>3860</v>
      </c>
      <c r="B32" s="2801"/>
      <c r="C32" s="3241">
        <v>0.11</v>
      </c>
      <c r="D32" s="2991">
        <v>0</v>
      </c>
      <c r="E32" s="2991">
        <v>0</v>
      </c>
      <c r="F32" s="2991">
        <v>0.31419999999999998</v>
      </c>
      <c r="G32" s="2991">
        <v>0</v>
      </c>
      <c r="H32" s="3238">
        <v>0.2</v>
      </c>
      <c r="I32" s="2991">
        <v>0</v>
      </c>
      <c r="J32" s="990"/>
      <c r="K32" s="530"/>
    </row>
    <row r="33" spans="1:11" ht="13.5" thickBot="1">
      <c r="A33" s="651" t="s">
        <v>3053</v>
      </c>
      <c r="B33" s="2802"/>
      <c r="C33" s="3805">
        <f t="shared" ref="C33:I33" si="0">C31*C32</f>
        <v>890.48391520544362</v>
      </c>
      <c r="D33" s="3806">
        <f t="shared" si="0"/>
        <v>0</v>
      </c>
      <c r="E33" s="3806">
        <f t="shared" si="0"/>
        <v>0</v>
      </c>
      <c r="F33" s="3806">
        <f t="shared" si="0"/>
        <v>0</v>
      </c>
      <c r="G33" s="3806">
        <f t="shared" si="0"/>
        <v>0</v>
      </c>
      <c r="H33" s="3806"/>
      <c r="I33" s="3807">
        <f t="shared" si="0"/>
        <v>0</v>
      </c>
      <c r="J33" s="2984">
        <f>SUM(C33:I33)</f>
        <v>890.48391520544362</v>
      </c>
      <c r="K33" s="530"/>
    </row>
    <row r="34" spans="1:11" ht="13.5" thickBot="1">
      <c r="A34" s="650"/>
      <c r="B34" s="320"/>
      <c r="C34" s="320"/>
      <c r="D34" s="320"/>
      <c r="E34" s="3225"/>
      <c r="F34" s="320"/>
      <c r="G34" s="320"/>
      <c r="H34" s="320"/>
      <c r="I34" s="320"/>
      <c r="J34" s="320"/>
      <c r="K34" s="530"/>
    </row>
    <row r="35" spans="1:11" ht="13.5" thickBot="1">
      <c r="A35" s="3229" t="s">
        <v>3492</v>
      </c>
      <c r="B35" s="2988" t="s">
        <v>4227</v>
      </c>
      <c r="C35" s="2992" t="s">
        <v>2468</v>
      </c>
      <c r="D35" s="2987" t="s">
        <v>3494</v>
      </c>
      <c r="E35" s="3003" t="s">
        <v>3195</v>
      </c>
      <c r="F35" s="2988" t="s">
        <v>67</v>
      </c>
      <c r="G35" s="3237"/>
      <c r="H35" s="3237"/>
      <c r="I35" s="320"/>
      <c r="J35" s="320"/>
      <c r="K35" s="530"/>
    </row>
    <row r="36" spans="1:11" ht="13.5" thickBot="1">
      <c r="A36" s="650" t="s">
        <v>3052</v>
      </c>
      <c r="B36" s="3005">
        <f>[94]Main!$E$7+[94]Main!$E$16+[94]Main!$E$24</f>
        <v>115868.39151572916</v>
      </c>
      <c r="C36" s="3006">
        <f>[94]Main!$E$7</f>
        <v>9524.083213356811</v>
      </c>
      <c r="D36" s="3007">
        <f>[94]Main!$E$16</f>
        <v>28945.270374372361</v>
      </c>
      <c r="E36" s="3008">
        <f>[94]Main!$E$24</f>
        <v>77399.037927999991</v>
      </c>
      <c r="F36" s="2531">
        <f>SUM($C$36:$E$36)-$B$36</f>
        <v>0</v>
      </c>
      <c r="G36" s="320"/>
      <c r="H36" s="320"/>
      <c r="I36" s="320"/>
      <c r="J36" s="320"/>
      <c r="K36" s="530"/>
    </row>
    <row r="37" spans="1:11" ht="25.5">
      <c r="A37" s="3002" t="s">
        <v>3495</v>
      </c>
      <c r="B37" s="650"/>
      <c r="C37" s="3799">
        <v>0.05</v>
      </c>
      <c r="D37" s="3004" t="s">
        <v>3496</v>
      </c>
      <c r="E37" s="3010"/>
      <c r="F37" s="3011"/>
      <c r="G37" s="320"/>
      <c r="H37" s="320"/>
      <c r="I37" s="320"/>
      <c r="J37" s="320"/>
      <c r="K37" s="530"/>
    </row>
    <row r="38" spans="1:11" ht="13.5" thickBot="1">
      <c r="A38" s="651"/>
      <c r="B38" s="651"/>
      <c r="C38" s="3009">
        <f>$C$36*$C$37</f>
        <v>476.2041606678406</v>
      </c>
      <c r="D38" s="3001">
        <f>3*1020</f>
        <v>3060</v>
      </c>
      <c r="E38" s="2922"/>
      <c r="F38" s="3012">
        <f>SUM(C38:E38)</f>
        <v>3536.2041606678404</v>
      </c>
      <c r="G38" s="2788"/>
      <c r="H38" s="2788"/>
      <c r="I38" s="320"/>
      <c r="J38" s="320"/>
      <c r="K38" s="530"/>
    </row>
    <row r="39" spans="1:11">
      <c r="A39" s="650"/>
      <c r="B39" s="3225"/>
      <c r="C39" s="320"/>
      <c r="D39" s="320"/>
      <c r="E39" s="3228"/>
      <c r="F39" s="320"/>
      <c r="G39" s="320"/>
      <c r="H39" s="320"/>
      <c r="I39" s="320"/>
      <c r="J39" s="320"/>
      <c r="K39" s="530"/>
    </row>
    <row r="40" spans="1:11">
      <c r="A40" s="554" t="s">
        <v>3861</v>
      </c>
      <c r="B40" s="320"/>
      <c r="C40" s="320"/>
      <c r="D40" s="320"/>
      <c r="E40" s="3225"/>
      <c r="F40" s="320"/>
      <c r="G40" s="320"/>
      <c r="H40" s="320"/>
      <c r="I40" s="320"/>
      <c r="J40" s="320"/>
      <c r="K40" s="530"/>
    </row>
    <row r="41" spans="1:11">
      <c r="A41" s="650"/>
      <c r="B41" s="3808"/>
      <c r="C41" s="3809"/>
      <c r="D41" s="3809" t="s">
        <v>4792</v>
      </c>
      <c r="E41" s="320"/>
      <c r="F41" s="320"/>
      <c r="G41" s="320"/>
      <c r="H41" s="320"/>
      <c r="I41" s="320"/>
      <c r="J41" s="320"/>
      <c r="K41" s="530"/>
    </row>
    <row r="42" spans="1:11">
      <c r="A42" s="2797" t="s">
        <v>3862</v>
      </c>
      <c r="B42" s="3225"/>
      <c r="C42" s="320"/>
      <c r="D42" s="320"/>
      <c r="E42" s="320"/>
      <c r="F42" s="320"/>
      <c r="G42" s="320"/>
      <c r="H42" s="320"/>
      <c r="I42" s="320"/>
      <c r="J42" s="320"/>
      <c r="K42" s="530"/>
    </row>
    <row r="43" spans="1:11">
      <c r="A43" s="650" t="s">
        <v>3863</v>
      </c>
      <c r="B43" s="3225"/>
      <c r="C43" s="320"/>
      <c r="D43" s="320"/>
      <c r="E43" s="320"/>
      <c r="F43" s="320"/>
      <c r="G43" s="320"/>
      <c r="H43" s="320"/>
      <c r="I43" s="320"/>
      <c r="J43" s="320"/>
      <c r="K43" s="530"/>
    </row>
    <row r="44" spans="1:11">
      <c r="A44" s="650"/>
      <c r="B44" s="3225"/>
      <c r="C44" s="320"/>
      <c r="D44" s="320"/>
      <c r="E44" s="320"/>
      <c r="F44" s="320"/>
      <c r="G44" s="320"/>
      <c r="H44" s="320"/>
      <c r="I44" s="320"/>
      <c r="J44" s="320"/>
      <c r="K44" s="3226"/>
    </row>
    <row r="45" spans="1:11">
      <c r="A45" s="2797" t="s">
        <v>3864</v>
      </c>
      <c r="B45" s="3225"/>
      <c r="C45" s="320"/>
      <c r="D45" s="320"/>
      <c r="E45" s="320"/>
      <c r="F45" s="320"/>
      <c r="G45" s="320"/>
      <c r="H45" s="320"/>
      <c r="I45" s="320"/>
      <c r="J45" s="320"/>
      <c r="K45" s="530"/>
    </row>
    <row r="46" spans="1:11">
      <c r="A46" s="650" t="s">
        <v>3865</v>
      </c>
      <c r="B46" s="3225"/>
      <c r="C46" s="320"/>
      <c r="D46" s="320"/>
      <c r="E46" s="320"/>
      <c r="F46" s="320"/>
      <c r="G46" s="320"/>
      <c r="H46" s="320"/>
      <c r="I46" s="320"/>
      <c r="J46" s="320"/>
      <c r="K46" s="530"/>
    </row>
    <row r="47" spans="1:11">
      <c r="A47" s="650"/>
      <c r="B47" s="3225"/>
      <c r="C47" s="320"/>
      <c r="D47" s="320"/>
      <c r="E47" s="320"/>
      <c r="F47" s="320"/>
      <c r="G47" s="320"/>
      <c r="H47" s="320"/>
      <c r="I47" s="320"/>
      <c r="J47" s="320"/>
      <c r="K47" s="3226" t="s">
        <v>3637</v>
      </c>
    </row>
    <row r="48" spans="1:11">
      <c r="A48" s="650"/>
      <c r="B48" s="3225"/>
      <c r="C48" s="320"/>
      <c r="D48" s="320"/>
      <c r="E48" s="320"/>
      <c r="F48" s="320"/>
      <c r="G48" s="320"/>
      <c r="H48" s="320"/>
      <c r="I48" s="320"/>
      <c r="J48" s="320"/>
      <c r="K48" s="530" t="s">
        <v>3638</v>
      </c>
    </row>
    <row r="49" spans="1:11">
      <c r="A49" s="650"/>
      <c r="B49" s="3225"/>
      <c r="C49" s="320"/>
      <c r="D49" s="320"/>
      <c r="E49" s="320"/>
      <c r="F49" s="320"/>
      <c r="G49" s="320"/>
      <c r="H49" s="320"/>
      <c r="I49" s="320"/>
      <c r="J49" s="320"/>
      <c r="K49" s="3227" t="s">
        <v>3847</v>
      </c>
    </row>
    <row r="50" spans="1:11">
      <c r="A50" s="650"/>
      <c r="B50" s="3225"/>
      <c r="C50" s="320"/>
      <c r="D50" s="320"/>
      <c r="E50" s="320"/>
      <c r="F50" s="320"/>
      <c r="G50" s="320"/>
      <c r="H50" s="320"/>
      <c r="I50" s="320"/>
      <c r="J50" s="320"/>
      <c r="K50" s="3227"/>
    </row>
    <row r="51" spans="1:11">
      <c r="A51" s="650"/>
      <c r="B51" s="3225"/>
      <c r="C51" s="320"/>
      <c r="D51" s="320"/>
      <c r="E51" s="320"/>
      <c r="F51" s="320"/>
      <c r="G51" s="320"/>
      <c r="H51" s="320"/>
      <c r="I51" s="320"/>
      <c r="J51" s="320"/>
      <c r="K51" s="3226" t="s">
        <v>3672</v>
      </c>
    </row>
    <row r="52" spans="1:11">
      <c r="A52" s="650"/>
      <c r="B52" s="3225"/>
      <c r="C52" s="320"/>
      <c r="D52" s="320"/>
      <c r="E52" s="320"/>
      <c r="F52" s="320"/>
      <c r="G52" s="320"/>
      <c r="H52" s="320"/>
      <c r="I52" s="320"/>
      <c r="J52" s="320"/>
      <c r="K52" s="530" t="s">
        <v>3673</v>
      </c>
    </row>
    <row r="53" spans="1:11">
      <c r="A53" s="650"/>
      <c r="B53" s="3225"/>
      <c r="C53" s="320"/>
      <c r="D53" s="320"/>
      <c r="E53" s="320"/>
      <c r="F53" s="320"/>
      <c r="G53" s="320"/>
      <c r="H53" s="320"/>
      <c r="I53" s="320"/>
      <c r="J53" s="320"/>
      <c r="K53" s="530"/>
    </row>
    <row r="54" spans="1:11">
      <c r="A54" s="650"/>
      <c r="B54" s="3225"/>
      <c r="C54" s="320"/>
      <c r="D54" s="320"/>
      <c r="E54" s="320"/>
      <c r="F54" s="320"/>
      <c r="G54" s="320"/>
      <c r="H54" s="320"/>
      <c r="I54" s="320"/>
      <c r="J54" s="320"/>
      <c r="K54" s="3226" t="s">
        <v>3703</v>
      </c>
    </row>
    <row r="55" spans="1:11">
      <c r="A55" s="650"/>
      <c r="B55" s="3225"/>
      <c r="C55" s="320"/>
      <c r="D55" s="320"/>
      <c r="E55" s="320"/>
      <c r="F55" s="320"/>
      <c r="G55" s="320"/>
      <c r="H55" s="320"/>
      <c r="I55" s="320"/>
      <c r="J55" s="320"/>
      <c r="K55" s="530" t="s">
        <v>3704</v>
      </c>
    </row>
    <row r="56" spans="1:11">
      <c r="A56" s="650"/>
      <c r="B56" s="3225"/>
      <c r="C56" s="320"/>
      <c r="D56" s="320"/>
      <c r="E56" s="320"/>
      <c r="F56" s="320"/>
      <c r="G56" s="320"/>
      <c r="H56" s="320"/>
      <c r="I56" s="320"/>
      <c r="J56" s="320"/>
      <c r="K56" s="530"/>
    </row>
    <row r="57" spans="1:11">
      <c r="A57" s="650"/>
      <c r="B57" s="3225"/>
      <c r="C57" s="320"/>
      <c r="D57" s="320"/>
      <c r="E57" s="320"/>
      <c r="F57" s="320"/>
      <c r="G57" s="320"/>
      <c r="H57" s="320"/>
      <c r="I57" s="320"/>
      <c r="J57" s="320"/>
      <c r="K57" s="3226" t="s">
        <v>3705</v>
      </c>
    </row>
    <row r="58" spans="1:11" ht="13.5" thickBot="1">
      <c r="A58" s="651"/>
      <c r="B58" s="2922"/>
      <c r="C58" s="718"/>
      <c r="D58" s="718"/>
      <c r="E58" s="718"/>
      <c r="F58" s="718"/>
      <c r="G58" s="718"/>
      <c r="H58" s="718"/>
      <c r="I58" s="718"/>
      <c r="J58" s="718"/>
      <c r="K58" s="531" t="s">
        <v>3706</v>
      </c>
    </row>
    <row r="60" spans="1:11" ht="13.5" thickBot="1"/>
    <row r="61" spans="1:11" ht="13.5" thickBot="1">
      <c r="A61" s="4400" t="s">
        <v>3169</v>
      </c>
      <c r="B61" s="4401"/>
      <c r="E61" s="32"/>
    </row>
    <row r="62" spans="1:11">
      <c r="A62" s="650"/>
      <c r="B62" s="530"/>
      <c r="E62" s="32"/>
    </row>
    <row r="63" spans="1:11">
      <c r="A63" s="650" t="s">
        <v>146</v>
      </c>
      <c r="B63" s="530">
        <f>'Accrued expenses'!$O$60/'מאזן בוחן'!$N$2</f>
        <v>993509.0714329842</v>
      </c>
      <c r="E63" s="32"/>
    </row>
    <row r="64" spans="1:11">
      <c r="A64" s="650" t="s">
        <v>286</v>
      </c>
      <c r="B64" s="530">
        <f>'Accrued expenses'!$O$132</f>
        <v>361328.25150278024</v>
      </c>
      <c r="E64" s="32"/>
    </row>
    <row r="65" spans="1:5">
      <c r="A65" s="650" t="s">
        <v>2767</v>
      </c>
      <c r="B65" s="530">
        <f>'Accrued expenses'!$O$91/'מאזן בוחן צרפת'!$O$2</f>
        <v>37696.559225053454</v>
      </c>
      <c r="E65" s="32"/>
    </row>
    <row r="66" spans="1:5">
      <c r="A66" s="650" t="s">
        <v>406</v>
      </c>
      <c r="B66" s="530">
        <f>'Accrued expenses'!$O$155/'מאזן בוחן EUROPE'!$N$2</f>
        <v>76806.885241410113</v>
      </c>
      <c r="E66" s="32"/>
    </row>
    <row r="67" spans="1:5">
      <c r="A67" s="650" t="s">
        <v>2768</v>
      </c>
      <c r="B67" s="530">
        <f>'Accrued expenses'!$O$221/'מאזן בוחן הודו'!$O$2</f>
        <v>24339.002184833829</v>
      </c>
      <c r="E67" s="32"/>
    </row>
    <row r="68" spans="1:5">
      <c r="A68" s="650" t="s">
        <v>2769</v>
      </c>
      <c r="B68" s="2746">
        <f>'Accrued expenses'!$O$192/'מאזן בוחן Australia'!$O$2</f>
        <v>31447.790594414881</v>
      </c>
      <c r="E68" s="32"/>
    </row>
    <row r="69" spans="1:5">
      <c r="A69" s="650"/>
      <c r="B69" s="530">
        <f>SUM(B63:B68)</f>
        <v>1525127.5601814766</v>
      </c>
      <c r="E69" s="32"/>
    </row>
    <row r="70" spans="1:5">
      <c r="A70" s="650"/>
      <c r="B70" s="530"/>
      <c r="E70" s="32"/>
    </row>
    <row r="71" spans="1:5" ht="13.5" thickBot="1">
      <c r="A71" s="650" t="s">
        <v>2770</v>
      </c>
      <c r="B71" s="2751">
        <f>SUM([95]Sheet1!$H$22-[95]Sheet1!$E$22)+[96]Sheet1!$B$24</f>
        <v>1525536.5601814766</v>
      </c>
      <c r="E71" s="32"/>
    </row>
    <row r="72" spans="1:5" ht="13.5" thickBot="1">
      <c r="A72" s="651"/>
      <c r="B72" s="2531">
        <f>B71-B69</f>
        <v>409</v>
      </c>
      <c r="C72" s="698" t="s">
        <v>3828</v>
      </c>
      <c r="E72" s="32"/>
    </row>
    <row r="73" spans="1:5" ht="13.5" thickBot="1">
      <c r="E73" s="32"/>
    </row>
    <row r="74" spans="1:5">
      <c r="A74" s="550" t="s">
        <v>84</v>
      </c>
      <c r="B74" s="717"/>
      <c r="C74" s="734"/>
      <c r="E74" s="32"/>
    </row>
    <row r="75" spans="1:5">
      <c r="A75" s="554"/>
      <c r="B75" s="320"/>
      <c r="C75" s="530"/>
      <c r="E75" s="32"/>
    </row>
    <row r="76" spans="1:5">
      <c r="A76" s="2797" t="s">
        <v>3197</v>
      </c>
      <c r="B76" s="1460" t="s">
        <v>294</v>
      </c>
      <c r="C76" s="2798" t="s">
        <v>3190</v>
      </c>
      <c r="E76" s="32"/>
    </row>
    <row r="77" spans="1:5">
      <c r="A77" s="650" t="s">
        <v>3183</v>
      </c>
      <c r="B77" s="320">
        <f>-SUM('מאזן בוחן EUROPE'!$K$342:$K$343,'מאזן בוחן'!$K$556,'מאזן בוחן'!$K$530:$K$531,'מאזן בוחן EUROPE'!$K$314:$K$315,'מאזן בוחן Australia'!$K$156:$K$157,'מאזן בוחן Australia'!$K$178,'New TB INC'!$J$457:$J$458,'מאזן בוחן צרפת'!$K$182)</f>
        <v>15420086.91</v>
      </c>
      <c r="C77" s="2799">
        <f t="shared" ref="C77:C84" si="1">B77/$B$85</f>
        <v>0.2099943868571631</v>
      </c>
    </row>
    <row r="78" spans="1:5">
      <c r="A78" s="650" t="s">
        <v>3184</v>
      </c>
      <c r="B78" s="320">
        <f>-SUM('מאזן בוחן EUROPE'!$K$317:$K$318,'מאזן בוחן Australia'!$K$159,'New TB INC'!$J$460:$J$462,'מאזן בוחן צרפת'!K184,'מאזן בוחן'!$K$533:$K$534)</f>
        <v>1640769.9800000002</v>
      </c>
      <c r="C78" s="2799">
        <f t="shared" si="1"/>
        <v>2.2344393253730357E-2</v>
      </c>
    </row>
    <row r="79" spans="1:5">
      <c r="A79" s="650" t="s">
        <v>3186</v>
      </c>
      <c r="B79" s="320">
        <f>-SUM('מאזן בוחן צרפת'!$K$186:$K$188,'New TB INC'!$J$464:$J$466,'מאזן בוחן Australia'!$K$163:$K$165,'מאזן בוחן EUROPE'!$K$324:$K$326,'מאזן בוחן'!$K$536:$K$538)</f>
        <v>28542152.309999999</v>
      </c>
      <c r="C79" s="2799">
        <f t="shared" si="1"/>
        <v>0.38869377383568915</v>
      </c>
    </row>
    <row r="80" spans="1:5">
      <c r="A80" s="650" t="s">
        <v>3185</v>
      </c>
      <c r="B80" s="320">
        <f>-SUM('New TB INC'!$J$468:$J$470,'מאזן בוחן Australia'!$K$161,'מאזן בוחן EUROPE'!$K$320:$K$322,'מאזן בוחן'!$K$546:$K$548)</f>
        <v>1196200.19</v>
      </c>
      <c r="C80" s="2799">
        <f t="shared" si="1"/>
        <v>1.629013681463563E-2</v>
      </c>
    </row>
    <row r="81" spans="1:3">
      <c r="A81" s="650" t="s">
        <v>2475</v>
      </c>
      <c r="B81" s="320">
        <f>-SUM('מאזן בוחן צרפת'!K193,'New TB INC'!$J$472:$J$473,'מאזן בוחן Australia'!$K$176:$K$177,'מאזן בוחן EUROPE'!$K$328:$K$329,'מאזן בוחן'!$K$550:$K$551)</f>
        <v>517780.82999999996</v>
      </c>
      <c r="C81" s="2799">
        <f t="shared" si="1"/>
        <v>7.0512616794481467E-3</v>
      </c>
    </row>
    <row r="82" spans="1:3">
      <c r="A82" s="650" t="s">
        <v>2516</v>
      </c>
      <c r="B82" s="320">
        <f>-SUM('מאזן בוחן צרפת'!$K$196,'New TB INC'!$J$475:$J$476,'מאזן בוחן Australia'!$K$167:$K$168,'מאזן בוחן EUROPE'!$K$331:$K$333,'מאזן בוחן'!$K$553:$K$554)</f>
        <v>4632737.2800000012</v>
      </c>
      <c r="C82" s="2799">
        <f t="shared" si="1"/>
        <v>6.3089710859737413E-2</v>
      </c>
    </row>
    <row r="83" spans="1:3">
      <c r="A83" s="650" t="s">
        <v>2474</v>
      </c>
      <c r="B83" s="320">
        <f>-SUM('מאזן בוחן'!$K$540:$K$544,'מאזן בוחן צרפת'!$K$190:$K$191,'New TB INC'!$J$478:$J$482,'מאזן בוחן Australia'!$K$170:$K$174,'מאזן בוחן EUROPE'!$K$335:$K$340)</f>
        <v>21481220.539999999</v>
      </c>
      <c r="C83" s="2799">
        <f t="shared" si="1"/>
        <v>0.29253633669959633</v>
      </c>
    </row>
    <row r="84" spans="1:3">
      <c r="A84" s="650" t="s">
        <v>3187</v>
      </c>
      <c r="B84" s="2628"/>
      <c r="C84" s="2799">
        <f t="shared" si="1"/>
        <v>0</v>
      </c>
    </row>
    <row r="85" spans="1:3" ht="13.5" thickBot="1">
      <c r="A85" s="650"/>
      <c r="B85" s="978">
        <f>SUM(B77:B84)</f>
        <v>73430948.039999992</v>
      </c>
      <c r="C85" s="530"/>
    </row>
    <row r="86" spans="1:3" ht="13.5" thickBot="1">
      <c r="A86" s="650"/>
      <c r="B86" s="1243">
        <f>B85-Consolidation!N64</f>
        <v>0</v>
      </c>
      <c r="C86" s="530"/>
    </row>
    <row r="87" spans="1:3" ht="13.5" thickBot="1">
      <c r="A87" s="651"/>
      <c r="B87" s="718"/>
      <c r="C87" s="531"/>
    </row>
    <row r="88" spans="1:3" ht="13.5" thickBot="1"/>
    <row r="89" spans="1:3">
      <c r="A89" s="648"/>
      <c r="B89" s="717"/>
      <c r="C89" s="734"/>
    </row>
    <row r="90" spans="1:3" ht="13.5" thickBot="1">
      <c r="A90" s="650" t="s">
        <v>4984</v>
      </c>
      <c r="B90" s="320"/>
      <c r="C90" s="4259">
        <f>'מאזן בוחן'!K1003</f>
        <v>57200</v>
      </c>
    </row>
    <row r="91" spans="1:3" ht="14.25" thickTop="1" thickBot="1">
      <c r="A91" s="651"/>
      <c r="B91" s="718"/>
      <c r="C91" s="531"/>
    </row>
    <row r="92" spans="1:3" ht="13.5" thickBot="1"/>
    <row r="93" spans="1:3">
      <c r="A93" s="550" t="s">
        <v>3489</v>
      </c>
      <c r="B93" s="717"/>
      <c r="C93" s="734"/>
    </row>
    <row r="94" spans="1:3">
      <c r="A94" s="554"/>
      <c r="B94" s="320"/>
      <c r="C94" s="530"/>
    </row>
    <row r="95" spans="1:3">
      <c r="A95" s="554" t="s">
        <v>2816</v>
      </c>
      <c r="B95" s="970"/>
      <c r="C95" s="3787"/>
    </row>
    <row r="96" spans="1:3">
      <c r="A96" s="1322"/>
      <c r="B96" s="732"/>
      <c r="C96" s="530"/>
    </row>
    <row r="97" spans="1:3">
      <c r="A97" s="2797" t="s">
        <v>2477</v>
      </c>
      <c r="B97" s="320"/>
      <c r="C97" s="530"/>
    </row>
    <row r="98" spans="1:3">
      <c r="A98" s="650" t="s">
        <v>4582</v>
      </c>
      <c r="B98" s="985">
        <v>117996.75</v>
      </c>
      <c r="C98" s="530" t="s">
        <v>4583</v>
      </c>
    </row>
    <row r="99" spans="1:3">
      <c r="A99" s="650" t="s">
        <v>4836</v>
      </c>
      <c r="B99" s="985">
        <v>133729.79999999999</v>
      </c>
      <c r="C99" s="530" t="s">
        <v>4583</v>
      </c>
    </row>
    <row r="100" spans="1:3">
      <c r="A100" s="650" t="s">
        <v>4837</v>
      </c>
      <c r="B100" s="985">
        <v>42967.5</v>
      </c>
      <c r="C100" s="530" t="s">
        <v>4583</v>
      </c>
    </row>
    <row r="101" spans="1:3">
      <c r="A101" s="650" t="s">
        <v>4837</v>
      </c>
      <c r="B101" s="4100">
        <v>214837.5</v>
      </c>
      <c r="C101" s="530" t="s">
        <v>4583</v>
      </c>
    </row>
    <row r="102" spans="1:3">
      <c r="A102" s="650"/>
      <c r="B102" s="320">
        <f>SUM(B98:B101)</f>
        <v>509531.55</v>
      </c>
      <c r="C102" s="530"/>
    </row>
    <row r="103" spans="1:3">
      <c r="A103" s="650"/>
      <c r="B103" s="320"/>
      <c r="C103" s="530"/>
    </row>
    <row r="104" spans="1:3">
      <c r="A104" s="554" t="s">
        <v>3493</v>
      </c>
      <c r="B104" s="978"/>
      <c r="C104" s="530"/>
    </row>
    <row r="105" spans="1:3">
      <c r="A105" s="1322"/>
      <c r="B105" s="978"/>
      <c r="C105" s="530"/>
    </row>
    <row r="106" spans="1:3">
      <c r="A106" s="2797" t="s">
        <v>2477</v>
      </c>
      <c r="B106" s="978"/>
      <c r="C106" s="530"/>
    </row>
    <row r="107" spans="1:3">
      <c r="A107" s="650" t="s">
        <v>4580</v>
      </c>
      <c r="B107" s="985">
        <v>55605</v>
      </c>
      <c r="C107" s="530" t="s">
        <v>4583</v>
      </c>
    </row>
    <row r="108" spans="1:3">
      <c r="A108" s="650" t="s">
        <v>4835</v>
      </c>
      <c r="B108" s="4100">
        <v>60660</v>
      </c>
      <c r="C108" s="530" t="s">
        <v>4583</v>
      </c>
    </row>
    <row r="109" spans="1:3">
      <c r="A109" s="2797"/>
      <c r="B109" s="978">
        <f>SUM(B107:B108)</f>
        <v>116265</v>
      </c>
      <c r="C109" s="530"/>
    </row>
    <row r="110" spans="1:3">
      <c r="A110" s="554" t="s">
        <v>1226</v>
      </c>
      <c r="B110" s="978"/>
      <c r="C110" s="530"/>
    </row>
    <row r="111" spans="1:3">
      <c r="A111" s="1322"/>
      <c r="B111" s="978"/>
      <c r="C111" s="530"/>
    </row>
    <row r="112" spans="1:3">
      <c r="A112" s="2797" t="s">
        <v>2477</v>
      </c>
      <c r="B112" s="978"/>
      <c r="C112" s="530"/>
    </row>
    <row r="113" spans="1:3">
      <c r="A113" s="650"/>
      <c r="B113" s="320"/>
      <c r="C113" s="2550"/>
    </row>
    <row r="114" spans="1:3">
      <c r="A114" s="2797"/>
      <c r="B114" s="978"/>
      <c r="C114" s="530"/>
    </row>
    <row r="115" spans="1:3">
      <c r="A115" s="554" t="s">
        <v>2439</v>
      </c>
      <c r="B115" s="978"/>
      <c r="C115" s="530"/>
    </row>
    <row r="116" spans="1:3">
      <c r="A116" s="650" t="s">
        <v>4581</v>
      </c>
      <c r="B116" s="985">
        <v>16513</v>
      </c>
      <c r="C116" s="530" t="s">
        <v>4583</v>
      </c>
    </row>
    <row r="117" spans="1:3">
      <c r="A117" s="2797"/>
      <c r="B117" s="985"/>
      <c r="C117" s="530"/>
    </row>
    <row r="118" spans="1:3">
      <c r="A118" s="2797"/>
      <c r="B118" s="4100"/>
      <c r="C118" s="530"/>
    </row>
    <row r="119" spans="1:3">
      <c r="A119" s="2797"/>
      <c r="B119" s="985">
        <f>B116+B109+B102</f>
        <v>642309.55000000005</v>
      </c>
      <c r="C119" s="530"/>
    </row>
    <row r="120" spans="1:3">
      <c r="A120" s="2797"/>
      <c r="B120" s="985"/>
      <c r="C120" s="530"/>
    </row>
    <row r="121" spans="1:3">
      <c r="A121" s="554" t="s">
        <v>2816</v>
      </c>
      <c r="B121" s="978"/>
      <c r="C121" s="530"/>
    </row>
    <row r="122" spans="1:3">
      <c r="A122" s="2797" t="s">
        <v>3422</v>
      </c>
      <c r="B122" s="970"/>
      <c r="C122" s="3787"/>
    </row>
    <row r="123" spans="1:3">
      <c r="A123" s="650" t="s">
        <v>4838</v>
      </c>
      <c r="B123" s="985">
        <v>147000</v>
      </c>
      <c r="C123" s="530" t="s">
        <v>4583</v>
      </c>
    </row>
    <row r="124" spans="1:3">
      <c r="A124" s="650"/>
      <c r="B124" s="2159"/>
      <c r="C124" s="530"/>
    </row>
    <row r="125" spans="1:3">
      <c r="A125" s="650"/>
      <c r="B125" s="978">
        <f>SUM(B123:B124)</f>
        <v>147000</v>
      </c>
      <c r="C125" s="530"/>
    </row>
    <row r="126" spans="1:3">
      <c r="A126" s="650"/>
      <c r="B126" s="978"/>
      <c r="C126" s="530"/>
    </row>
    <row r="127" spans="1:3" ht="13.5" thickBot="1">
      <c r="A127" s="3427"/>
      <c r="B127" s="3505"/>
      <c r="C127" s="4269"/>
    </row>
    <row r="129" spans="1:8" ht="13.5" thickBot="1">
      <c r="A129" s="961" t="s">
        <v>3885</v>
      </c>
    </row>
    <row r="130" spans="1:8" ht="13.5" thickBot="1">
      <c r="C130" s="2869" t="s">
        <v>3887</v>
      </c>
      <c r="D130" s="2869" t="s">
        <v>3886</v>
      </c>
      <c r="E130" s="2869" t="s">
        <v>4240</v>
      </c>
      <c r="F130" s="2869" t="s">
        <v>4241</v>
      </c>
    </row>
    <row r="131" spans="1:8">
      <c r="A131" s="648" t="s">
        <v>3493</v>
      </c>
      <c r="B131" s="3430">
        <v>8030001</v>
      </c>
      <c r="C131" s="2181">
        <v>112861.93</v>
      </c>
      <c r="D131" s="2181">
        <v>255784.22</v>
      </c>
      <c r="E131" s="2181">
        <v>405012.58</v>
      </c>
      <c r="F131" s="2181">
        <f>VLOOKUP(B131,'מאזן בוחן'!$C:$K,9,0)</f>
        <v>557731.57999999996</v>
      </c>
    </row>
    <row r="132" spans="1:8">
      <c r="A132" s="650" t="s">
        <v>2816</v>
      </c>
      <c r="B132" s="3431">
        <v>8030001</v>
      </c>
      <c r="C132" s="990">
        <v>38380.879999999997</v>
      </c>
      <c r="D132" s="990">
        <v>77121.5</v>
      </c>
      <c r="E132" s="990">
        <v>108252.41</v>
      </c>
      <c r="F132" s="990">
        <f>VLOOKUP(B132,'New TB INC'!$C:$J,8,0)</f>
        <v>148030.57</v>
      </c>
    </row>
    <row r="133" spans="1:8">
      <c r="A133" s="650" t="s">
        <v>2512</v>
      </c>
      <c r="B133" s="3431">
        <v>8030001</v>
      </c>
      <c r="C133" s="3428">
        <v>16149.77</v>
      </c>
      <c r="D133" s="3428">
        <v>32251.25</v>
      </c>
      <c r="E133" s="3428">
        <v>48265.24</v>
      </c>
      <c r="F133" s="3428">
        <f>VLOOKUP(B133,'מאזן בוחן הודו'!$C:$M,9,0)</f>
        <v>64099.48</v>
      </c>
    </row>
    <row r="134" spans="1:8" ht="13.5" thickBot="1">
      <c r="A134" s="3427"/>
      <c r="B134" s="2182"/>
      <c r="C134" s="3429">
        <v>167392.57999999999</v>
      </c>
      <c r="D134" s="3429">
        <v>365156.97</v>
      </c>
      <c r="E134" s="3429">
        <v>561530.23</v>
      </c>
      <c r="F134" s="3429">
        <f>SUM(F131:F133)</f>
        <v>769861.62999999989</v>
      </c>
    </row>
    <row r="135" spans="1:8" ht="13.5" thickBot="1">
      <c r="A135" s="320"/>
      <c r="B135" s="320"/>
      <c r="C135" s="320"/>
      <c r="D135" s="32">
        <v>197764.38999999998</v>
      </c>
      <c r="E135" s="1333">
        <v>196373.26</v>
      </c>
      <c r="F135" s="1333">
        <f>F134-E134</f>
        <v>208331.39999999991</v>
      </c>
    </row>
    <row r="136" spans="1:8">
      <c r="A136" s="648"/>
      <c r="B136" s="717"/>
      <c r="C136" s="717"/>
      <c r="D136" s="717"/>
      <c r="E136" s="4274"/>
      <c r="F136" s="717"/>
      <c r="G136" s="717"/>
      <c r="H136" s="734"/>
    </row>
    <row r="137" spans="1:8">
      <c r="A137" s="554" t="s">
        <v>4998</v>
      </c>
      <c r="B137" s="320" t="str">
        <f>Consolidation!C4</f>
        <v>Algosec System Ltd</v>
      </c>
      <c r="C137" s="320" t="str">
        <f>Consolidation!D4</f>
        <v>Algosec Inc</v>
      </c>
      <c r="D137" s="320" t="str">
        <f>Consolidation!E4</f>
        <v>Algosec Europe</v>
      </c>
      <c r="E137" s="320" t="str">
        <f>Consolidation!F4</f>
        <v xml:space="preserve">Algosec Australia </v>
      </c>
      <c r="F137" s="320" t="str">
        <f>Consolidation!G4</f>
        <v>Algosec India</v>
      </c>
      <c r="G137" s="320" t="str">
        <f>Consolidation!H4</f>
        <v>Algosec France</v>
      </c>
      <c r="H137" s="4277" t="s">
        <v>5001</v>
      </c>
    </row>
    <row r="138" spans="1:8">
      <c r="A138" s="650"/>
      <c r="B138" s="320"/>
      <c r="C138" s="320"/>
      <c r="D138" s="320"/>
      <c r="E138" s="3225"/>
      <c r="F138" s="320"/>
      <c r="G138" s="320"/>
      <c r="H138" s="530"/>
    </row>
    <row r="139" spans="1:8">
      <c r="A139" s="650" t="s">
        <v>4999</v>
      </c>
      <c r="B139" s="320">
        <f>SUM('מאזן בוחן'!K123)</f>
        <v>631003.27</v>
      </c>
      <c r="C139" s="320">
        <f>'New TB INC'!J218</f>
        <v>147391</v>
      </c>
      <c r="D139" s="320"/>
      <c r="E139" s="3225"/>
      <c r="F139" s="320">
        <f>'מאזן בוחן הודו'!K45</f>
        <v>119887.34000000001</v>
      </c>
      <c r="G139" s="320"/>
      <c r="H139" s="4275">
        <f>SUM(B139:G139)</f>
        <v>898281.61</v>
      </c>
    </row>
    <row r="140" spans="1:8">
      <c r="A140" s="650" t="s">
        <v>5000</v>
      </c>
      <c r="B140" s="320"/>
      <c r="C140" s="320">
        <f>'New TB INC'!J237</f>
        <v>277680.40000000002</v>
      </c>
      <c r="D140" s="320">
        <f>'מאזן בוחן EUROPE'!K184</f>
        <v>504116.47</v>
      </c>
      <c r="E140" s="3225">
        <f>'מאזן בוחן Australia'!K36</f>
        <v>152989.12</v>
      </c>
      <c r="F140" s="320"/>
      <c r="G140" s="320"/>
      <c r="H140" s="4275">
        <f t="shared" ref="H140:H141" si="2">SUM(B140:G140)</f>
        <v>934785.99</v>
      </c>
    </row>
    <row r="141" spans="1:8">
      <c r="A141" s="650" t="s">
        <v>5002</v>
      </c>
      <c r="B141" s="320">
        <f>SUM('מאזן בוחן'!K141)</f>
        <v>805408.34000000008</v>
      </c>
      <c r="C141" s="320">
        <f>SUM('New TB INC'!J249)-C140</f>
        <v>1050732.56</v>
      </c>
      <c r="D141" s="320">
        <f>'מאזן בוחן EUROPE'!K183+'מאזן בוחן EUROPE'!K186</f>
        <v>341272.77999999997</v>
      </c>
      <c r="E141" s="3225">
        <f>'מאזן בוחן Australia'!K35</f>
        <v>87525.565707642367</v>
      </c>
      <c r="F141" s="320">
        <f>'מאזן בוחן הודו'!K55</f>
        <v>16456.93</v>
      </c>
      <c r="G141" s="320">
        <f>'מאזן בוחן צרפת'!K59</f>
        <v>1308.58</v>
      </c>
      <c r="H141" s="4275">
        <f t="shared" si="2"/>
        <v>2302704.755707643</v>
      </c>
    </row>
    <row r="142" spans="1:8">
      <c r="A142" s="650"/>
      <c r="B142" s="320"/>
      <c r="C142" s="320"/>
      <c r="D142" s="320"/>
      <c r="E142" s="3225"/>
      <c r="F142" s="320"/>
      <c r="G142" s="320"/>
      <c r="H142" s="530"/>
    </row>
    <row r="143" spans="1:8">
      <c r="A143" s="650"/>
      <c r="B143" s="978">
        <f t="shared" ref="B143:F143" si="3">SUM(B138:B142)</f>
        <v>1436411.61</v>
      </c>
      <c r="C143" s="978">
        <f>SUM(C138:C141)</f>
        <v>1475803.96</v>
      </c>
      <c r="D143" s="978">
        <f t="shared" si="3"/>
        <v>845389.25</v>
      </c>
      <c r="E143" s="978">
        <f t="shared" si="3"/>
        <v>240514.68570764235</v>
      </c>
      <c r="F143" s="978">
        <f t="shared" si="3"/>
        <v>136344.27000000002</v>
      </c>
      <c r="G143" s="978">
        <f>SUM(G138:G142)</f>
        <v>1308.58</v>
      </c>
      <c r="H143" s="4275">
        <f>SUM(H138:H142)</f>
        <v>4135772.3557076431</v>
      </c>
    </row>
    <row r="144" spans="1:8" ht="13.5" thickBot="1">
      <c r="A144" s="3427"/>
      <c r="B144" s="3505"/>
      <c r="C144" s="3505"/>
      <c r="D144" s="3505"/>
      <c r="E144" s="4276"/>
      <c r="F144" s="3505"/>
      <c r="G144" s="3505"/>
      <c r="H144" s="4269"/>
    </row>
    <row r="145" spans="1:8">
      <c r="A145" s="648"/>
      <c r="B145" s="717"/>
      <c r="C145" s="717"/>
      <c r="D145" s="717"/>
      <c r="E145" s="4274"/>
      <c r="F145" s="717"/>
      <c r="G145" s="717"/>
      <c r="H145" s="734"/>
    </row>
    <row r="146" spans="1:8">
      <c r="A146" s="554" t="s">
        <v>5015</v>
      </c>
      <c r="B146" s="320" t="str">
        <f>B137</f>
        <v>Algosec System Ltd</v>
      </c>
      <c r="C146" s="320" t="str">
        <f t="shared" ref="C146:G146" si="4">C137</f>
        <v>Algosec Inc</v>
      </c>
      <c r="D146" s="320" t="str">
        <f t="shared" si="4"/>
        <v>Algosec Europe</v>
      </c>
      <c r="E146" s="320" t="str">
        <f t="shared" si="4"/>
        <v xml:space="preserve">Algosec Australia </v>
      </c>
      <c r="F146" s="320" t="str">
        <f t="shared" si="4"/>
        <v>Algosec India</v>
      </c>
      <c r="G146" s="320" t="str">
        <f t="shared" si="4"/>
        <v>Algosec France</v>
      </c>
      <c r="H146" s="4277" t="s">
        <v>5001</v>
      </c>
    </row>
    <row r="147" spans="1:8">
      <c r="A147" s="650"/>
      <c r="B147" s="320"/>
      <c r="C147" s="320"/>
      <c r="D147" s="320"/>
      <c r="E147" s="3225"/>
      <c r="F147" s="320"/>
      <c r="G147" s="320"/>
      <c r="H147" s="530"/>
    </row>
    <row r="148" spans="1:8">
      <c r="A148" s="650" t="s">
        <v>78</v>
      </c>
      <c r="B148" s="320">
        <f>-(דוחות!K14+דוחות!K15+דוחות!K17)</f>
        <v>-5735324</v>
      </c>
      <c r="C148" s="320"/>
      <c r="D148" s="320">
        <f>'מאזן בוחן EUROPE'!K276</f>
        <v>-997619.53000000014</v>
      </c>
      <c r="E148" s="3225">
        <f>'מאזן בוחן Australia'!K113</f>
        <v>-151571.94999999998</v>
      </c>
      <c r="F148" s="320">
        <f>'מאזן בוחן הודו'!K143</f>
        <v>-233439.4</v>
      </c>
      <c r="G148" s="320">
        <f>'מאזן בוחן צרפת'!K143</f>
        <v>-527882.88</v>
      </c>
      <c r="H148" s="4275">
        <f>SUM(B148:G148)</f>
        <v>-7645837.7600000007</v>
      </c>
    </row>
    <row r="149" spans="1:8">
      <c r="A149" s="650" t="s">
        <v>5016</v>
      </c>
      <c r="B149" s="320">
        <f>-דוחות!K18</f>
        <v>-441094</v>
      </c>
      <c r="C149" s="320">
        <f>'New TB INC'!J392</f>
        <v>-1565918.37</v>
      </c>
      <c r="D149" s="320">
        <f>'מאזן בוחן EUROPE'!K239</f>
        <v>-15073.54</v>
      </c>
      <c r="E149" s="3225">
        <f>'מאזן בוחן Australia'!K117</f>
        <v>-1676.32</v>
      </c>
      <c r="F149" s="320">
        <f>'מאזן בוחן הודו'!K146</f>
        <v>-9131.52</v>
      </c>
      <c r="G149" s="320">
        <f>'מאזן בוחן צרפת'!K146</f>
        <v>-6479.56</v>
      </c>
      <c r="H149" s="4275">
        <f t="shared" ref="H149:H150" si="5">SUM(B149:G149)</f>
        <v>-2039373.3100000003</v>
      </c>
    </row>
    <row r="150" spans="1:8">
      <c r="A150" s="650" t="s">
        <v>5017</v>
      </c>
      <c r="B150" s="320"/>
      <c r="C150" s="320">
        <f>SUM('New TB INC'!J409:J428)</f>
        <v>-137530.75</v>
      </c>
      <c r="D150" s="320">
        <f>'מאזן בוחן EUROPE'!K265</f>
        <v>-78996.820000000022</v>
      </c>
      <c r="E150" s="3225">
        <f>'מאזן בוחן Australia'!K104</f>
        <v>-120566.46999999999</v>
      </c>
      <c r="F150" s="320">
        <f>'מאזן בוחן הודו'!K128+'מאזן בוחן הודו'!K151</f>
        <v>-19953.520036473812</v>
      </c>
      <c r="G150" s="320">
        <f>'מאזן בוחן צרפת'!K117</f>
        <v>-283421.07</v>
      </c>
      <c r="H150" s="4275">
        <f t="shared" si="5"/>
        <v>-640468.63003647374</v>
      </c>
    </row>
    <row r="151" spans="1:8">
      <c r="A151" s="650"/>
      <c r="B151" s="320"/>
      <c r="C151" s="320"/>
      <c r="D151" s="320"/>
      <c r="E151" s="3225"/>
      <c r="F151" s="320"/>
      <c r="G151" s="320"/>
      <c r="H151" s="530"/>
    </row>
    <row r="152" spans="1:8">
      <c r="A152" s="650"/>
      <c r="B152" s="978">
        <f t="shared" ref="B152" si="6">SUM(B147:B151)</f>
        <v>-6176418</v>
      </c>
      <c r="C152" s="978">
        <f>SUM(C147:C150)</f>
        <v>-1703449.12</v>
      </c>
      <c r="D152" s="978">
        <f t="shared" ref="D152" si="7">SUM(D147:D151)</f>
        <v>-1091689.8900000001</v>
      </c>
      <c r="E152" s="978">
        <f t="shared" ref="E152" si="8">SUM(E147:E151)</f>
        <v>-273814.74</v>
      </c>
      <c r="F152" s="978">
        <f t="shared" ref="F152" si="9">SUM(F147:F151)</f>
        <v>-262524.4400364738</v>
      </c>
      <c r="G152" s="978">
        <f>SUM(G147:G151)</f>
        <v>-817783.51</v>
      </c>
      <c r="H152" s="4275">
        <f>SUM(H147:H151)</f>
        <v>-10325679.700036474</v>
      </c>
    </row>
    <row r="153" spans="1:8" ht="13.5" thickBot="1">
      <c r="A153" s="3427"/>
      <c r="B153" s="3505"/>
      <c r="C153" s="3505"/>
      <c r="D153" s="3505"/>
      <c r="E153" s="4276"/>
      <c r="F153" s="3505"/>
      <c r="G153" s="3505"/>
      <c r="H153" s="4269"/>
    </row>
    <row r="154" spans="1:8">
      <c r="A154" s="648"/>
      <c r="B154" s="717"/>
      <c r="C154" s="717"/>
      <c r="D154" s="717"/>
      <c r="E154" s="4274"/>
      <c r="F154" s="717"/>
      <c r="G154" s="717"/>
      <c r="H154" s="734"/>
    </row>
    <row r="155" spans="1:8">
      <c r="A155" s="650" t="s">
        <v>5018</v>
      </c>
      <c r="B155" s="1247" t="str">
        <f>B146</f>
        <v>Algosec System Ltd</v>
      </c>
      <c r="C155" s="1247" t="str">
        <f t="shared" ref="C155:G155" si="10">C146</f>
        <v>Algosec Inc</v>
      </c>
      <c r="D155" s="1247" t="str">
        <f t="shared" si="10"/>
        <v>Algosec Europe</v>
      </c>
      <c r="E155" s="1247" t="str">
        <f t="shared" si="10"/>
        <v xml:space="preserve">Algosec Australia </v>
      </c>
      <c r="F155" s="1247" t="str">
        <f t="shared" si="10"/>
        <v>Algosec India</v>
      </c>
      <c r="G155" s="1247" t="str">
        <f t="shared" si="10"/>
        <v>Algosec France</v>
      </c>
      <c r="H155" s="4277" t="s">
        <v>67</v>
      </c>
    </row>
    <row r="156" spans="1:8">
      <c r="A156" s="650"/>
      <c r="B156" s="320"/>
      <c r="C156" s="320"/>
      <c r="D156" s="320"/>
      <c r="E156" s="3225"/>
      <c r="F156" s="320"/>
      <c r="G156" s="320"/>
      <c r="H156" s="530"/>
    </row>
    <row r="157" spans="1:8">
      <c r="A157" s="650" t="s">
        <v>5019</v>
      </c>
      <c r="B157" s="320">
        <f>'מאזן בוחן'!K995</f>
        <v>579464.96379718743</v>
      </c>
      <c r="C157" s="320">
        <f>SUM('New TB INC'!J1004:J1005,'New TB INC'!J1007:J1017)-C158</f>
        <v>138798.12999999998</v>
      </c>
      <c r="D157" s="320">
        <f>'מאזן בוחן EUROPE'!K491+'מאזן בוחן EUROPE'!K493</f>
        <v>42998.9</v>
      </c>
      <c r="E157" s="3225"/>
      <c r="F157" s="320">
        <f>'מאזן בוחן הודו'!K336</f>
        <v>141985.61998582681</v>
      </c>
      <c r="G157" s="320">
        <f>'מאזן בוחן צרפת'!K314</f>
        <v>7070.36</v>
      </c>
      <c r="H157" s="530">
        <f>SUM(B157:G157)</f>
        <v>910317.97378301423</v>
      </c>
    </row>
    <row r="158" spans="1:8">
      <c r="A158" s="650" t="s">
        <v>5020</v>
      </c>
      <c r="B158" s="320">
        <f>'מאזן בוחן'!K992</f>
        <v>163021.59215259738</v>
      </c>
      <c r="C158" s="320">
        <f>-147391+'New TB INC'!J1005</f>
        <v>-134546.21458397969</v>
      </c>
      <c r="D158" s="320">
        <f>'מאזן בוחן EUROPE'!K494</f>
        <v>9741.02</v>
      </c>
      <c r="E158" s="3225"/>
      <c r="F158" s="320"/>
      <c r="G158" s="320"/>
      <c r="H158" s="530">
        <f t="shared" ref="H158:H163" si="11">SUM(B158:G158)</f>
        <v>38216.3975686177</v>
      </c>
    </row>
    <row r="159" spans="1:8">
      <c r="A159" s="650" t="s">
        <v>5021</v>
      </c>
      <c r="B159" s="320"/>
      <c r="C159" s="320">
        <f>'New TB INC'!J1006</f>
        <v>6430.11</v>
      </c>
      <c r="D159" s="320">
        <f>'מאזן בוחן EUROPE'!K492</f>
        <v>8123.22</v>
      </c>
      <c r="E159" s="3225"/>
      <c r="F159" s="320">
        <f>'מאזן בוחן הודו'!K337</f>
        <v>-302.43994935298599</v>
      </c>
      <c r="G159" s="320"/>
      <c r="H159" s="4280">
        <f t="shared" si="11"/>
        <v>14250.890050647015</v>
      </c>
    </row>
    <row r="160" spans="1:8">
      <c r="A160" s="650"/>
      <c r="B160" s="320"/>
      <c r="C160" s="320"/>
      <c r="D160" s="320"/>
      <c r="E160" s="3225"/>
      <c r="F160" s="320"/>
      <c r="G160" s="320"/>
      <c r="H160" s="4275">
        <f>SUM(H157:H159)</f>
        <v>962785.26140227891</v>
      </c>
    </row>
    <row r="161" spans="1:8">
      <c r="A161" s="650"/>
      <c r="B161" s="320"/>
      <c r="C161" s="320"/>
      <c r="D161" s="320"/>
      <c r="E161" s="3225"/>
      <c r="F161" s="320"/>
      <c r="G161" s="320"/>
      <c r="H161" s="530"/>
    </row>
    <row r="162" spans="1:8">
      <c r="A162" s="650" t="s">
        <v>5022</v>
      </c>
      <c r="B162" s="320"/>
      <c r="C162" s="320">
        <f>SUM(C157:C159)</f>
        <v>10682.025416020289</v>
      </c>
      <c r="D162" s="320"/>
      <c r="E162" s="3225"/>
      <c r="F162" s="320"/>
      <c r="G162" s="320"/>
      <c r="H162" s="530">
        <f t="shared" si="11"/>
        <v>10682.025416020289</v>
      </c>
    </row>
    <row r="163" spans="1:8">
      <c r="A163" s="650" t="s">
        <v>5023</v>
      </c>
      <c r="B163" s="320">
        <f>SUM(B157:B162)</f>
        <v>742486.55594978482</v>
      </c>
      <c r="C163" s="320"/>
      <c r="D163" s="320">
        <f>SUM(D157:D162)</f>
        <v>60863.14</v>
      </c>
      <c r="E163" s="320">
        <f>SUM(E157:E162)</f>
        <v>0</v>
      </c>
      <c r="F163" s="320">
        <f>SUM(F157:F162)</f>
        <v>141683.18003647382</v>
      </c>
      <c r="G163" s="320">
        <f>SUM(G157:G162)</f>
        <v>7070.36</v>
      </c>
      <c r="H163" s="530">
        <f t="shared" si="11"/>
        <v>952103.2359862586</v>
      </c>
    </row>
    <row r="164" spans="1:8" ht="13.5" thickBot="1">
      <c r="A164" s="3427"/>
      <c r="B164" s="3505"/>
      <c r="C164" s="3505"/>
      <c r="D164" s="3505"/>
      <c r="E164" s="4276"/>
      <c r="F164" s="3505"/>
      <c r="G164" s="3505"/>
      <c r="H164" s="4269"/>
    </row>
    <row r="166" spans="1:8">
      <c r="A166" s="961" t="s">
        <v>5039</v>
      </c>
    </row>
    <row r="167" spans="1:8">
      <c r="A167" s="477" t="s">
        <v>5040</v>
      </c>
    </row>
    <row r="168" spans="1:8">
      <c r="A168" s="32" t="s">
        <v>5038</v>
      </c>
      <c r="B168" s="996">
        <f>318580.29*'נתונים לשינוי'!C21/'נתונים לשינוי'!C22</f>
        <v>360569.37709678453</v>
      </c>
    </row>
    <row r="169" spans="1:8">
      <c r="A169" s="32" t="s">
        <v>2516</v>
      </c>
      <c r="B169" s="996">
        <f>86750.87*'נתונים לשינוי'!C21/'נתונים לשינוי'!C22</f>
        <v>98184.690454340831</v>
      </c>
    </row>
    <row r="170" spans="1:8">
      <c r="A170" s="32" t="s">
        <v>1385</v>
      </c>
      <c r="B170" s="996">
        <f>SUM('[97]Priority Automated'!$R$406:$R$442)</f>
        <v>114365.79944272446</v>
      </c>
    </row>
    <row r="171" spans="1:8">
      <c r="A171" s="32" t="s">
        <v>5037</v>
      </c>
      <c r="B171" s="996">
        <f>'[97]Priority Automated'!$R$405</f>
        <v>148553.44055727552</v>
      </c>
    </row>
    <row r="172" spans="1:8">
      <c r="B172" s="996"/>
    </row>
    <row r="173" spans="1:8" ht="13.5" thickBot="1"/>
    <row r="174" spans="1:8">
      <c r="A174" s="648"/>
      <c r="B174" s="717"/>
      <c r="C174" s="717"/>
      <c r="D174" s="717"/>
      <c r="E174" s="4274"/>
      <c r="F174" s="717"/>
      <c r="G174" s="717"/>
      <c r="H174" s="734"/>
    </row>
    <row r="175" spans="1:8">
      <c r="A175" s="1322" t="s">
        <v>516</v>
      </c>
      <c r="B175" s="986" t="s">
        <v>279</v>
      </c>
      <c r="C175" s="986" t="s">
        <v>250</v>
      </c>
      <c r="D175" s="986" t="s">
        <v>405</v>
      </c>
      <c r="E175" s="986" t="s">
        <v>772</v>
      </c>
      <c r="F175" s="986" t="s">
        <v>2487</v>
      </c>
      <c r="G175" s="986" t="s">
        <v>2259</v>
      </c>
      <c r="H175" s="4300" t="s">
        <v>67</v>
      </c>
    </row>
    <row r="176" spans="1:8">
      <c r="A176" s="650"/>
      <c r="B176" s="320"/>
      <c r="C176" s="320"/>
      <c r="D176" s="320"/>
      <c r="E176" s="3225"/>
      <c r="F176" s="320"/>
      <c r="G176" s="320"/>
      <c r="H176" s="530"/>
    </row>
    <row r="177" spans="1:8">
      <c r="A177" s="650" t="s">
        <v>5048</v>
      </c>
      <c r="B177" s="320">
        <f>'מאזן בוחן'!K999</f>
        <v>12941.36</v>
      </c>
      <c r="C177" s="320">
        <f>'New TB INC'!J1022</f>
        <v>12236.94</v>
      </c>
      <c r="D177" s="320">
        <f>'מאזן בוחן EUROPE'!K500</f>
        <v>13702.69</v>
      </c>
      <c r="E177" s="3225">
        <f>'מאזן בוחן Australia'!K275</f>
        <v>3145.02</v>
      </c>
      <c r="F177" s="3120">
        <f>'מאזן בוחן הודו'!K343</f>
        <v>294.87</v>
      </c>
      <c r="G177" s="320">
        <f>'מאזן בוחן צרפת'!K321</f>
        <v>10730.36</v>
      </c>
      <c r="H177" s="1463">
        <f>SUM(B177:G177)</f>
        <v>53051.240000000005</v>
      </c>
    </row>
    <row r="178" spans="1:8">
      <c r="A178" s="650"/>
      <c r="B178" s="320"/>
      <c r="C178" s="320"/>
      <c r="D178" s="518">
        <v>0</v>
      </c>
      <c r="E178" s="2290">
        <f>'מאזן בוחן Australia'!K277</f>
        <v>0</v>
      </c>
      <c r="G178" s="518">
        <v>0</v>
      </c>
      <c r="H178" s="1463">
        <f>SUM(B178:G178)</f>
        <v>0</v>
      </c>
    </row>
    <row r="179" spans="1:8">
      <c r="A179" s="650" t="s">
        <v>5047</v>
      </c>
      <c r="B179" s="320">
        <f>'מאזן בוחן'!K1000</f>
        <v>1353764.4521543407</v>
      </c>
      <c r="C179" s="320">
        <f>'New TB INC'!J1023</f>
        <v>25089.13</v>
      </c>
      <c r="D179" s="320">
        <f>'מאזן בוחן EUROPE'!K502</f>
        <v>32415.72</v>
      </c>
      <c r="E179" s="3225">
        <f>'מאזן בוחן Australia'!K276</f>
        <v>-183903.51</v>
      </c>
      <c r="F179" s="3120">
        <f>'מאזן בוחן הודו'!K345</f>
        <v>20363.12</v>
      </c>
      <c r="G179" s="320">
        <f>'מאזן בוחן צרפת'!K322</f>
        <v>-141794.06</v>
      </c>
      <c r="H179" s="1463">
        <f t="shared" ref="H179:H180" si="12">SUM(B179:G179)</f>
        <v>1105934.8521543406</v>
      </c>
    </row>
    <row r="180" spans="1:8">
      <c r="A180" s="650" t="s">
        <v>3187</v>
      </c>
      <c r="B180" s="320">
        <f>+'מאזן בוחן'!K1001+'מאזן בוחן'!K1005+'מאזן בוחן'!K1002+'מאזן בוחן'!K1004</f>
        <v>48958.090000000004</v>
      </c>
      <c r="C180" s="320">
        <f>+'New TB INC'!J1024+'New TB INC'!J1027+'New TB INC'!J1028+'New TB INC'!J1026</f>
        <v>1945.11</v>
      </c>
      <c r="E180" s="32"/>
      <c r="F180" s="1108">
        <f>'מאזן בוחן הודו'!K344</f>
        <v>1457.32</v>
      </c>
      <c r="H180" s="1463">
        <f t="shared" si="12"/>
        <v>52360.520000000004</v>
      </c>
    </row>
    <row r="181" spans="1:8">
      <c r="A181" s="650" t="s">
        <v>5046</v>
      </c>
      <c r="B181" s="320">
        <f>'מאזן בוחן'!K1003</f>
        <v>57200</v>
      </c>
      <c r="C181" s="518">
        <v>0</v>
      </c>
      <c r="D181" s="518">
        <v>0</v>
      </c>
      <c r="E181" s="2290">
        <v>0</v>
      </c>
      <c r="F181" s="144">
        <v>0</v>
      </c>
      <c r="G181" s="518">
        <v>0</v>
      </c>
      <c r="H181" s="1463">
        <f>SUM(B181:G181)</f>
        <v>57200</v>
      </c>
    </row>
    <row r="182" spans="1:8">
      <c r="A182" s="650" t="s">
        <v>5045</v>
      </c>
      <c r="B182" s="320"/>
      <c r="C182" s="320">
        <f>'New TB INC'!J1025</f>
        <v>467953.24</v>
      </c>
      <c r="D182" s="3120">
        <v>0</v>
      </c>
      <c r="E182" s="3120">
        <v>0</v>
      </c>
      <c r="F182" s="3120">
        <v>0</v>
      </c>
      <c r="G182" s="518">
        <v>0</v>
      </c>
      <c r="H182" s="1463">
        <f t="shared" ref="H182" si="13">SUM(B182:G182)</f>
        <v>467953.24</v>
      </c>
    </row>
    <row r="183" spans="1:8">
      <c r="A183" s="650"/>
      <c r="B183" s="320"/>
      <c r="C183" s="320"/>
      <c r="D183" s="320"/>
      <c r="E183" s="3225"/>
      <c r="F183" s="3120"/>
      <c r="G183" s="320"/>
      <c r="H183" s="530"/>
    </row>
    <row r="184" spans="1:8" ht="13.5" thickBot="1">
      <c r="A184" s="1322" t="s">
        <v>67</v>
      </c>
      <c r="B184" s="4301">
        <f>SUM(B177:B183)</f>
        <v>1472863.9021543409</v>
      </c>
      <c r="C184" s="4301">
        <f t="shared" ref="C184" si="14">SUM(C177:C183)</f>
        <v>507224.42</v>
      </c>
      <c r="D184" s="4301">
        <f>SUM(D177:D183)</f>
        <v>46118.41</v>
      </c>
      <c r="E184" s="4301">
        <f>SUM(E177:E183)</f>
        <v>-180758.49000000002</v>
      </c>
      <c r="F184" s="4301">
        <f>SUM(F177:F183)</f>
        <v>22115.309999999998</v>
      </c>
      <c r="G184" s="4301">
        <f>SUM(G177:G183)</f>
        <v>-131063.7</v>
      </c>
      <c r="H184" s="4302">
        <f t="shared" ref="H184" si="15">SUM(B184:G184)</f>
        <v>1736499.8521543408</v>
      </c>
    </row>
    <row r="185" spans="1:8" ht="14.25" thickTop="1" thickBot="1">
      <c r="A185" s="3427"/>
      <c r="B185" s="3505"/>
      <c r="C185" s="3505"/>
      <c r="D185" s="3505"/>
      <c r="E185" s="4276"/>
      <c r="F185" s="3505"/>
      <c r="G185" s="3505"/>
      <c r="H185" s="956">
        <f>H184-Consolidation!N74</f>
        <v>-2.127845659153536</v>
      </c>
    </row>
    <row r="186" spans="1:8">
      <c r="B186" s="32">
        <f>'מאזן בוחן'!K1007-B184</f>
        <v>0</v>
      </c>
      <c r="C186" s="320">
        <f>'New TB INC'!J1030-C184</f>
        <v>0</v>
      </c>
      <c r="D186" s="320">
        <f>'מאזן בוחן EUROPE'!K504-D184</f>
        <v>0</v>
      </c>
      <c r="E186" s="3225">
        <f>'מאזן בוחן Australia'!K278-E184</f>
        <v>0</v>
      </c>
      <c r="F186" s="3120">
        <f>'מאזן בוחן הודו'!K347-F184</f>
        <v>2.9999999998835847E-2</v>
      </c>
      <c r="G186" s="320">
        <f>'מאזן בוחן צרפת'!K324-G184</f>
        <v>0</v>
      </c>
    </row>
  </sheetData>
  <mergeCells count="1">
    <mergeCell ref="A61:B61"/>
  </mergeCells>
  <conditionalFormatting sqref="A92:A94">
    <cfRule type="duplicateValues" dxfId="886" priority="21123"/>
  </conditionalFormatting>
  <conditionalFormatting sqref="B131">
    <cfRule type="duplicateValues" dxfId="885" priority="3"/>
  </conditionalFormatting>
  <conditionalFormatting sqref="B132">
    <cfRule type="duplicateValues" dxfId="884" priority="2"/>
  </conditionalFormatting>
  <conditionalFormatting sqref="B133">
    <cfRule type="duplicateValues" dxfId="883" priority="1"/>
  </conditionalFormatting>
  <pageMargins left="0.7" right="0.7" top="0.75" bottom="0.75" header="0.3" footer="0.3"/>
  <pageSetup paperSize="9" orientation="portrait" r:id="rId1"/>
  <ignoredErrors>
    <ignoredError sqref="C31:F31 C30:D30 C41 E41:F41 C33:F40 D32 F32" evalError="1"/>
  </ignoredErrors>
  <drawing r:id="rId2"/>
  <legacyDrawing r:id="rId3"/>
  <oleObjects>
    <mc:AlternateContent xmlns:mc="http://schemas.openxmlformats.org/markup-compatibility/2006">
      <mc:Choice Requires="x14">
        <oleObject progId="Packager Shell Object" dvAspect="DVASPECT_ICON" shapeId="418823" r:id="rId4">
          <objectPr defaultSize="0" autoPict="0" r:id="rId5">
            <anchor moveWithCells="1">
              <from>
                <xdr:col>8</xdr:col>
                <xdr:colOff>1200150</xdr:colOff>
                <xdr:row>46</xdr:row>
                <xdr:rowOff>47625</xdr:rowOff>
              </from>
              <to>
                <xdr:col>9</xdr:col>
                <xdr:colOff>0</xdr:colOff>
                <xdr:row>48</xdr:row>
                <xdr:rowOff>0</xdr:rowOff>
              </to>
            </anchor>
          </objectPr>
        </oleObject>
      </mc:Choice>
      <mc:Fallback>
        <oleObject progId="Packager Shell Object" dvAspect="DVASPECT_ICON" shapeId="418823"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2:K78"/>
  <sheetViews>
    <sheetView topLeftCell="A13" workbookViewId="0">
      <selection activeCell="J24" sqref="J24"/>
    </sheetView>
  </sheetViews>
  <sheetFormatPr defaultColWidth="9.33203125" defaultRowHeight="12.75"/>
  <cols>
    <col min="1" max="1" width="15" style="32" customWidth="1"/>
    <col min="2" max="2" width="37.6640625" style="32" customWidth="1"/>
    <col min="3" max="3" width="19.6640625" style="32" customWidth="1"/>
    <col min="4" max="4" width="25.83203125" style="32" customWidth="1"/>
    <col min="5" max="5" width="15.83203125" style="32" bestFit="1" customWidth="1"/>
    <col min="6" max="6" width="31.6640625" style="32" customWidth="1"/>
    <col min="7" max="7" width="16.1640625" style="32" customWidth="1"/>
    <col min="8" max="9" width="9.33203125" style="32"/>
    <col min="10" max="10" width="10.83203125" style="32" bestFit="1" customWidth="1"/>
    <col min="11" max="11" width="11.6640625" style="32" bestFit="1" customWidth="1"/>
    <col min="12" max="16384" width="9.33203125" style="32"/>
  </cols>
  <sheetData>
    <row r="2" spans="1:7">
      <c r="A2" s="699" t="s">
        <v>1220</v>
      </c>
      <c r="B2" s="674"/>
      <c r="C2" s="674"/>
    </row>
    <row r="3" spans="1:7">
      <c r="A3" s="515"/>
      <c r="B3" s="153"/>
      <c r="C3" s="153"/>
    </row>
    <row r="4" spans="1:7">
      <c r="A4" s="700" t="s">
        <v>1221</v>
      </c>
      <c r="B4" s="153"/>
      <c r="C4" s="675" t="s">
        <v>1455</v>
      </c>
      <c r="D4" s="33" t="s">
        <v>400</v>
      </c>
      <c r="E4" s="33" t="s">
        <v>794</v>
      </c>
      <c r="F4" s="33" t="s">
        <v>1225</v>
      </c>
      <c r="G4" s="33" t="s">
        <v>2507</v>
      </c>
    </row>
    <row r="5" spans="1:7">
      <c r="A5" s="676" t="s">
        <v>146</v>
      </c>
      <c r="B5" s="674"/>
      <c r="C5" s="674"/>
    </row>
    <row r="6" spans="1:7">
      <c r="A6" s="677">
        <v>1130001</v>
      </c>
      <c r="B6" s="678" t="s">
        <v>250</v>
      </c>
      <c r="C6" s="1691">
        <f>'מאזן בוחן'!K501</f>
        <v>-5158528.58</v>
      </c>
    </row>
    <row r="7" spans="1:7">
      <c r="A7" s="677">
        <v>1130002</v>
      </c>
      <c r="B7" s="678" t="s">
        <v>405</v>
      </c>
      <c r="C7" s="1693">
        <f>'מאזן בוחן'!K502</f>
        <v>5177719.82</v>
      </c>
      <c r="D7" s="1694">
        <f>C7*'נתונים לשינוי'!C22/'נתונים לשינוי'!C20</f>
        <v>3831150.4937308179</v>
      </c>
    </row>
    <row r="8" spans="1:7">
      <c r="A8" s="677">
        <v>1130004</v>
      </c>
      <c r="B8" s="678" t="s">
        <v>445</v>
      </c>
      <c r="C8" s="679">
        <f>'מאזן בוחן'!K503</f>
        <v>0</v>
      </c>
    </row>
    <row r="9" spans="1:7">
      <c r="A9" s="677" t="s">
        <v>997</v>
      </c>
      <c r="B9" s="678" t="s">
        <v>998</v>
      </c>
      <c r="C9" s="680">
        <f>'מאזן בוחן'!K504</f>
        <v>6775705.6299999999</v>
      </c>
      <c r="E9" s="681">
        <f>C9*'מאזן בוחן Australia'!O2</f>
        <v>9324915.704619877</v>
      </c>
    </row>
    <row r="10" spans="1:7">
      <c r="A10" s="2291">
        <v>1130009</v>
      </c>
      <c r="B10" s="2292" t="s">
        <v>2487</v>
      </c>
      <c r="C10" s="2363">
        <f>'מאזן בוחן'!K497</f>
        <v>0</v>
      </c>
      <c r="G10" s="2363">
        <f>C10*'מאזן בוחן הודו'!$O$2</f>
        <v>0</v>
      </c>
    </row>
    <row r="11" spans="1:7">
      <c r="A11" s="678"/>
      <c r="B11" s="674"/>
      <c r="C11" s="682"/>
    </row>
    <row r="12" spans="1:7">
      <c r="A12" s="676" t="s">
        <v>286</v>
      </c>
      <c r="B12" s="674"/>
      <c r="C12" s="682"/>
    </row>
    <row r="13" spans="1:7">
      <c r="A13" s="677" t="s">
        <v>995</v>
      </c>
      <c r="B13" s="678" t="s">
        <v>1222</v>
      </c>
      <c r="C13" s="1691">
        <f>'New TB INC'!J271</f>
        <v>5158528.63</v>
      </c>
    </row>
    <row r="14" spans="1:7">
      <c r="A14" s="677" t="s">
        <v>1223</v>
      </c>
      <c r="B14" s="678" t="s">
        <v>1224</v>
      </c>
      <c r="C14" s="683">
        <f>'New TB INC'!J272</f>
        <v>0</v>
      </c>
    </row>
    <row r="15" spans="1:7">
      <c r="A15" s="677" t="s">
        <v>996</v>
      </c>
      <c r="B15" s="678" t="s">
        <v>445</v>
      </c>
      <c r="C15" s="679">
        <f>'New TB INC'!J432</f>
        <v>0</v>
      </c>
    </row>
    <row r="16" spans="1:7">
      <c r="A16" s="678" t="s">
        <v>608</v>
      </c>
      <c r="B16" s="674" t="s">
        <v>690</v>
      </c>
      <c r="C16" s="684">
        <f>+'New TB INC'!J275</f>
        <v>14383.75</v>
      </c>
    </row>
    <row r="17" spans="1:7">
      <c r="A17" s="2293">
        <v>1130012</v>
      </c>
      <c r="B17" s="2292" t="s">
        <v>2487</v>
      </c>
      <c r="C17" s="2294">
        <f>+'New TB INC'!J273</f>
        <v>40926.910000000003</v>
      </c>
      <c r="G17" s="2363">
        <f>C17*'נתונים לשינוי'!$B$17</f>
        <v>3040971.7321000015</v>
      </c>
    </row>
    <row r="18" spans="1:7">
      <c r="A18" s="678"/>
      <c r="B18" s="674"/>
      <c r="C18" s="674"/>
    </row>
    <row r="19" spans="1:7">
      <c r="A19" s="676" t="s">
        <v>1225</v>
      </c>
      <c r="B19" s="674"/>
      <c r="C19" s="682"/>
    </row>
    <row r="20" spans="1:7">
      <c r="A20" s="677">
        <v>1130002</v>
      </c>
      <c r="B20" s="678" t="s">
        <v>688</v>
      </c>
      <c r="C20" s="1693">
        <f>'מאזן בוחן EUROPE'!K171</f>
        <v>-5177719.82</v>
      </c>
      <c r="D20" s="1693">
        <f>'מאזן בוחן EUROPE'!J171</f>
        <v>-3831150.49</v>
      </c>
    </row>
    <row r="21" spans="1:7">
      <c r="A21" s="677">
        <v>1130003</v>
      </c>
      <c r="B21" s="678" t="s">
        <v>689</v>
      </c>
      <c r="C21" s="683">
        <f>'מאזן בוחן EUROPE'!K172</f>
        <v>0</v>
      </c>
    </row>
    <row r="22" spans="1:7">
      <c r="A22" s="677" t="s">
        <v>780</v>
      </c>
      <c r="B22" s="678" t="s">
        <v>998</v>
      </c>
      <c r="C22" s="685">
        <f>'מאזן בוחן EUROPE'!K177</f>
        <v>0</v>
      </c>
      <c r="E22" s="685">
        <f>C22*'נתונים לשינוי'!C22/'נתונים לשינוי'!C23</f>
        <v>0</v>
      </c>
    </row>
    <row r="23" spans="1:7">
      <c r="A23" s="701"/>
      <c r="B23" s="678" t="s">
        <v>2259</v>
      </c>
      <c r="C23" s="702">
        <f>'מאזן בוחן צרפת'!K164</f>
        <v>0</v>
      </c>
      <c r="F23" s="702">
        <f>C23*'מאזן בוחן צרפת'!$O$2</f>
        <v>0</v>
      </c>
    </row>
    <row r="24" spans="1:7">
      <c r="A24" s="153"/>
      <c r="B24" s="153"/>
      <c r="C24" s="686"/>
    </row>
    <row r="25" spans="1:7">
      <c r="A25" s="676" t="s">
        <v>1226</v>
      </c>
      <c r="B25" s="153"/>
      <c r="C25" s="686"/>
    </row>
    <row r="26" spans="1:7">
      <c r="A26" s="677" t="s">
        <v>780</v>
      </c>
      <c r="B26" s="678" t="s">
        <v>1227</v>
      </c>
      <c r="C26" s="685">
        <v>0</v>
      </c>
      <c r="E26" s="685">
        <v>0</v>
      </c>
    </row>
    <row r="27" spans="1:7">
      <c r="A27" s="677" t="s">
        <v>997</v>
      </c>
      <c r="B27" s="678" t="s">
        <v>774</v>
      </c>
      <c r="C27" s="680">
        <f>'מאזן בוחן Australia'!K44</f>
        <v>-6775705.6299999999</v>
      </c>
      <c r="E27" s="680">
        <f>'מאזן בוחן Australia'!J44</f>
        <v>-9324921.8200000003</v>
      </c>
    </row>
    <row r="28" spans="1:7">
      <c r="A28" s="677">
        <v>1130003</v>
      </c>
      <c r="B28" s="678" t="s">
        <v>689</v>
      </c>
      <c r="C28" s="684">
        <f>+'מאזן בוחן Australia'!K116</f>
        <v>-14384.38</v>
      </c>
    </row>
    <row r="29" spans="1:7">
      <c r="A29" s="515"/>
      <c r="B29" s="153"/>
      <c r="C29" s="686"/>
    </row>
    <row r="30" spans="1:7">
      <c r="A30" s="676" t="s">
        <v>2260</v>
      </c>
      <c r="B30" s="153"/>
      <c r="C30" s="686"/>
    </row>
    <row r="31" spans="1:7">
      <c r="A31" s="677">
        <v>1130010</v>
      </c>
      <c r="B31" s="153" t="s">
        <v>405</v>
      </c>
      <c r="C31" s="702">
        <f>'מאזן בוחן EUROPE'!K173</f>
        <v>0</v>
      </c>
      <c r="F31" s="702">
        <f>C31*'מאזן בוחן צרפת'!$O$2</f>
        <v>0</v>
      </c>
    </row>
    <row r="32" spans="1:7">
      <c r="A32" s="676"/>
      <c r="B32" s="153"/>
      <c r="C32" s="686"/>
    </row>
    <row r="33" spans="1:7">
      <c r="A33" s="676" t="s">
        <v>2512</v>
      </c>
      <c r="B33" s="153"/>
      <c r="C33" s="686"/>
    </row>
    <row r="34" spans="1:7">
      <c r="A34" s="677"/>
      <c r="B34" s="678" t="s">
        <v>688</v>
      </c>
      <c r="C34" s="2287">
        <f>'מאזן בוחן הודו'!K47</f>
        <v>0</v>
      </c>
      <c r="G34" s="2287">
        <f>'מאזן בוחן הודו'!J47</f>
        <v>0</v>
      </c>
    </row>
    <row r="35" spans="1:7">
      <c r="A35" s="677">
        <v>1130012</v>
      </c>
      <c r="B35" s="678" t="s">
        <v>250</v>
      </c>
      <c r="C35" s="2364">
        <f>'מאזן בוחן הודו'!K159</f>
        <v>-40926.870000000003</v>
      </c>
      <c r="G35" s="2364">
        <f>'מאזן בוחן הודו'!J159</f>
        <v>-3040968.76</v>
      </c>
    </row>
    <row r="36" spans="1:7">
      <c r="A36" s="676"/>
      <c r="B36" s="153"/>
      <c r="C36" s="686"/>
    </row>
    <row r="37" spans="1:7">
      <c r="A37" s="676"/>
      <c r="B37" s="153"/>
      <c r="C37" s="686"/>
    </row>
    <row r="38" spans="1:7">
      <c r="A38" s="676"/>
      <c r="B38" s="153"/>
      <c r="C38" s="686"/>
    </row>
    <row r="39" spans="1:7">
      <c r="A39" s="676"/>
      <c r="B39" s="153"/>
      <c r="C39" s="686"/>
    </row>
    <row r="40" spans="1:7" ht="13.5" thickBot="1">
      <c r="B40" s="153"/>
      <c r="C40" s="490"/>
      <c r="D40" s="687" t="s">
        <v>1460</v>
      </c>
      <c r="F40" s="687" t="s">
        <v>1459</v>
      </c>
    </row>
    <row r="41" spans="1:7">
      <c r="B41" s="153"/>
      <c r="C41" s="153"/>
      <c r="D41" s="1690">
        <f>C6+C13</f>
        <v>4.9999999813735485E-2</v>
      </c>
      <c r="F41" s="688">
        <f>E6+E13</f>
        <v>0</v>
      </c>
    </row>
    <row r="42" spans="1:7">
      <c r="B42" s="153"/>
      <c r="C42" s="490"/>
      <c r="D42" s="689">
        <f>C14+C21</f>
        <v>0</v>
      </c>
      <c r="F42" s="689">
        <f>E14+E21</f>
        <v>0</v>
      </c>
    </row>
    <row r="43" spans="1:7">
      <c r="B43" s="153"/>
      <c r="C43" s="153"/>
      <c r="D43" s="690">
        <f>C15+C8</f>
        <v>0</v>
      </c>
      <c r="F43" s="690">
        <f>E15+E8</f>
        <v>0</v>
      </c>
    </row>
    <row r="44" spans="1:7">
      <c r="B44" s="153"/>
      <c r="C44" s="153"/>
      <c r="D44" s="1692">
        <f>C7+C20</f>
        <v>0</v>
      </c>
      <c r="F44" s="1692">
        <f>D20+D7</f>
        <v>3.7308176979422569E-3</v>
      </c>
    </row>
    <row r="45" spans="1:7">
      <c r="B45" s="153"/>
      <c r="C45" s="153"/>
      <c r="D45" s="691">
        <f>C22+C26</f>
        <v>0</v>
      </c>
      <c r="F45" s="691">
        <f>E26+E22</f>
        <v>0</v>
      </c>
    </row>
    <row r="46" spans="1:7">
      <c r="B46" s="153"/>
      <c r="C46" s="153"/>
      <c r="D46" s="692">
        <f>C9+C27</f>
        <v>0</v>
      </c>
      <c r="F46" s="692">
        <f>E9+E27</f>
        <v>-6.115380123257637</v>
      </c>
    </row>
    <row r="47" spans="1:7">
      <c r="B47" s="153"/>
      <c r="C47" s="153"/>
      <c r="D47" s="703">
        <f>C31+C23</f>
        <v>0</v>
      </c>
      <c r="F47" s="703">
        <f>F31+F23</f>
        <v>0</v>
      </c>
    </row>
    <row r="48" spans="1:7">
      <c r="B48" s="153"/>
      <c r="C48" s="153"/>
      <c r="D48" s="2288">
        <f>C34+C10+C35+C17</f>
        <v>4.0000000000873115E-2</v>
      </c>
      <c r="F48" s="2288">
        <f>G34+G10+G35+G17</f>
        <v>2.9721000017598271</v>
      </c>
    </row>
    <row r="49" spans="1:11" ht="13.5" thickBot="1">
      <c r="A49" s="515"/>
      <c r="B49" s="153"/>
      <c r="C49" s="153"/>
      <c r="D49" s="693">
        <f>+C28+C16</f>
        <v>-0.62999999999919964</v>
      </c>
      <c r="F49" s="693">
        <f>+E28+E16</f>
        <v>0</v>
      </c>
    </row>
    <row r="50" spans="1:11" ht="13.5" thickBot="1">
      <c r="A50" s="4404" t="s">
        <v>3808</v>
      </c>
      <c r="B50" s="4405"/>
      <c r="C50" s="153"/>
      <c r="D50" s="1806">
        <f>SUM(D41:D49)</f>
        <v>-0.54000000018459104</v>
      </c>
      <c r="F50" s="1806">
        <f>SUM(F41:F49)</f>
        <v>-3.1395493037998676</v>
      </c>
    </row>
    <row r="51" spans="1:11">
      <c r="A51" s="700"/>
      <c r="B51" s="153"/>
      <c r="C51" s="153"/>
    </row>
    <row r="52" spans="1:11">
      <c r="A52" s="676" t="s">
        <v>2512</v>
      </c>
      <c r="B52" s="153"/>
      <c r="C52" s="3198"/>
    </row>
    <row r="53" spans="1:11">
      <c r="A53" s="677">
        <v>80094</v>
      </c>
      <c r="B53" s="515" t="s">
        <v>2513</v>
      </c>
      <c r="C53" s="3203">
        <f>'מאזן בוחן הודו'!K175</f>
        <v>-2876820.1369545031</v>
      </c>
    </row>
    <row r="54" spans="1:11">
      <c r="A54" s="700"/>
      <c r="B54" s="153"/>
      <c r="C54" s="3204"/>
    </row>
    <row r="55" spans="1:11">
      <c r="A55" s="676" t="s">
        <v>146</v>
      </c>
      <c r="B55" s="153"/>
      <c r="C55" s="3204"/>
    </row>
    <row r="56" spans="1:11">
      <c r="A56" s="694" t="str">
        <f>"80090"</f>
        <v>80090</v>
      </c>
      <c r="B56" s="3197" t="s">
        <v>3812</v>
      </c>
      <c r="C56" s="3204">
        <f>'מאזן בוחן'!K559</f>
        <v>-16359278.279999999</v>
      </c>
      <c r="D56" s="380"/>
    </row>
    <row r="57" spans="1:11">
      <c r="A57" s="694" t="str">
        <f>"80091"</f>
        <v>80091</v>
      </c>
      <c r="B57" s="3197" t="s">
        <v>3813</v>
      </c>
      <c r="C57" s="3204">
        <f>'מאזן בוחן'!K560</f>
        <v>-20438092.949999999</v>
      </c>
      <c r="D57" s="695"/>
    </row>
    <row r="58" spans="1:11">
      <c r="A58" s="677">
        <v>80093</v>
      </c>
      <c r="B58" s="3197" t="s">
        <v>3815</v>
      </c>
      <c r="C58" s="3204">
        <f>+'מאזן בוחן'!K562</f>
        <v>11491700.83</v>
      </c>
      <c r="D58" s="380"/>
      <c r="J58" s="380"/>
    </row>
    <row r="59" spans="1:11">
      <c r="A59" s="677">
        <f>'מאזן בוחן'!C561</f>
        <v>80092</v>
      </c>
      <c r="B59" s="3197" t="s">
        <v>3814</v>
      </c>
      <c r="C59" s="3204">
        <f>'מאזן בוחן'!K561</f>
        <v>-7526271.3099999996</v>
      </c>
      <c r="D59" s="380"/>
      <c r="F59" s="153"/>
      <c r="G59" s="153"/>
      <c r="H59" s="153"/>
      <c r="I59" s="153"/>
      <c r="J59" s="696"/>
      <c r="K59" s="535"/>
    </row>
    <row r="60" spans="1:11" ht="13.5" thickBot="1">
      <c r="A60" s="515"/>
      <c r="B60" s="153"/>
      <c r="C60" s="3204"/>
      <c r="F60" s="153"/>
      <c r="G60" s="153"/>
      <c r="H60" s="153"/>
      <c r="I60" s="153"/>
      <c r="J60" s="696"/>
      <c r="K60" s="535"/>
    </row>
    <row r="61" spans="1:11" ht="13.5" thickBot="1">
      <c r="C61" s="3204"/>
      <c r="F61" s="3202" t="s">
        <v>3809</v>
      </c>
    </row>
    <row r="62" spans="1:11" ht="13.5" thickBot="1">
      <c r="A62" s="4402" t="s">
        <v>3807</v>
      </c>
      <c r="B62" s="4403"/>
      <c r="C62" s="3204"/>
      <c r="F62" s="3199">
        <f>C56+C71+C73</f>
        <v>1921915.42</v>
      </c>
    </row>
    <row r="63" spans="1:11">
      <c r="A63" s="676"/>
      <c r="B63" s="697"/>
      <c r="C63" s="3204"/>
      <c r="F63" s="3200">
        <f>C53</f>
        <v>-2876820.1369545031</v>
      </c>
    </row>
    <row r="64" spans="1:11">
      <c r="A64" s="676" t="s">
        <v>1225</v>
      </c>
      <c r="B64" s="678"/>
      <c r="C64" s="3204"/>
      <c r="F64" s="3201">
        <f>C57+C65+C58</f>
        <v>4924445.3800000008</v>
      </c>
    </row>
    <row r="65" spans="1:6" ht="13.5" thickBot="1">
      <c r="A65" s="677">
        <v>5900001</v>
      </c>
      <c r="B65" s="3197" t="s">
        <v>3811</v>
      </c>
      <c r="C65" s="3204">
        <f>'מאזן בוחן EUROPE'!K368</f>
        <v>13870837.5</v>
      </c>
      <c r="F65" s="566">
        <f>C59+C69+C67</f>
        <v>-3969539.8699999996</v>
      </c>
    </row>
    <row r="66" spans="1:6" ht="13.5" thickBot="1">
      <c r="A66" s="676" t="s">
        <v>2260</v>
      </c>
      <c r="B66" s="698"/>
      <c r="C66" s="3204"/>
      <c r="F66" s="956">
        <f>SUM(F62:F65)</f>
        <v>0.79304549796506763</v>
      </c>
    </row>
    <row r="67" spans="1:6">
      <c r="A67" s="677">
        <v>5900001</v>
      </c>
      <c r="B67" s="3197" t="s">
        <v>3811</v>
      </c>
      <c r="C67" s="3204">
        <f>VLOOKUP(A67,'מאזן בוחן צרפת'!$C:$M,9)</f>
        <v>899576.43</v>
      </c>
    </row>
    <row r="68" spans="1:6">
      <c r="A68" s="676" t="s">
        <v>1226</v>
      </c>
      <c r="B68" s="678"/>
      <c r="C68" s="3204"/>
    </row>
    <row r="69" spans="1:6">
      <c r="A69" s="677">
        <v>5900001</v>
      </c>
      <c r="B69" s="3197" t="s">
        <v>3811</v>
      </c>
      <c r="C69" s="3204">
        <f>'מאזן בוחן Australia'!K192</f>
        <v>2657155.0099999998</v>
      </c>
    </row>
    <row r="70" spans="1:6">
      <c r="A70" s="676" t="s">
        <v>286</v>
      </c>
      <c r="B70" s="153"/>
      <c r="C70" s="3204"/>
    </row>
    <row r="71" spans="1:6">
      <c r="A71" s="694" t="str">
        <f>"5900001"</f>
        <v>5900001</v>
      </c>
      <c r="B71" s="3197" t="s">
        <v>3811</v>
      </c>
      <c r="C71" s="3204">
        <f>'New TB INC'!J578</f>
        <v>15404371.859999999</v>
      </c>
    </row>
    <row r="72" spans="1:6">
      <c r="A72" s="676" t="s">
        <v>3493</v>
      </c>
      <c r="B72" s="153"/>
      <c r="C72" s="3204"/>
    </row>
    <row r="73" spans="1:6">
      <c r="A73" s="677">
        <v>5900001</v>
      </c>
      <c r="B73" s="3197" t="s">
        <v>3810</v>
      </c>
      <c r="C73" s="3204">
        <f>'מאזן בוחן'!K706</f>
        <v>2876821.84</v>
      </c>
    </row>
    <row r="74" spans="1:6">
      <c r="D74" s="380"/>
    </row>
    <row r="75" spans="1:6">
      <c r="B75" s="153"/>
      <c r="C75" s="996"/>
    </row>
    <row r="76" spans="1:6">
      <c r="A76" s="515"/>
      <c r="B76" s="153"/>
      <c r="C76" s="153"/>
    </row>
    <row r="78" spans="1:6" ht="12" customHeight="1"/>
  </sheetData>
  <mergeCells count="2">
    <mergeCell ref="A62:B62"/>
    <mergeCell ref="A50:B50"/>
  </mergeCells>
  <conditionalFormatting sqref="F66">
    <cfRule type="cellIs" dxfId="882" priority="7" operator="notBetween">
      <formula>10</formula>
      <formula>-10</formula>
    </cfRule>
  </conditionalFormatting>
  <conditionalFormatting sqref="F50">
    <cfRule type="cellIs" dxfId="881" priority="6" operator="notBetween">
      <formula>10</formula>
      <formula>-10</formula>
    </cfRule>
  </conditionalFormatting>
  <conditionalFormatting sqref="D50">
    <cfRule type="cellIs" dxfId="880" priority="5" operator="notBetween">
      <formula>10</formula>
      <formula>-10</formula>
    </cfRule>
  </conditionalFormatting>
  <pageMargins left="0.7" right="0.7" top="0.75" bottom="0.75" header="0.3" footer="0.3"/>
  <pageSetup paperSize="9" orientation="portrait" r:id="rId1"/>
  <ignoredErrors>
    <ignoredError sqref="A60 A29 A55:A57 A24:A27 A11:A15 A19:A22 A49 A9"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2:AT238"/>
  <sheetViews>
    <sheetView zoomScale="85" zoomScaleNormal="85" workbookViewId="0">
      <pane ySplit="11" topLeftCell="A66" activePane="bottomLeft" state="frozen"/>
      <selection pane="bottomLeft" activeCell="F72" sqref="F72"/>
    </sheetView>
  </sheetViews>
  <sheetFormatPr defaultColWidth="9.33203125" defaultRowHeight="12.75"/>
  <cols>
    <col min="1" max="1" width="27" style="32" customWidth="1"/>
    <col min="2" max="2" width="45" style="32" customWidth="1"/>
    <col min="3" max="3" width="32.33203125" style="32" customWidth="1"/>
    <col min="4" max="5" width="15.5" style="32" bestFit="1" customWidth="1"/>
    <col min="6" max="6" width="14.33203125" style="32" customWidth="1"/>
    <col min="7" max="7" width="15" style="32" customWidth="1"/>
    <col min="8" max="8" width="13" style="32" customWidth="1"/>
    <col min="9" max="9" width="12.33203125" style="32" bestFit="1" customWidth="1"/>
    <col min="10" max="10" width="15.5" style="32" bestFit="1" customWidth="1"/>
    <col min="11" max="14" width="16.83203125" style="32" customWidth="1"/>
    <col min="15" max="15" width="15.5" style="32" bestFit="1" customWidth="1"/>
    <col min="16" max="16" width="14.1640625" style="32" customWidth="1"/>
    <col min="17" max="17" width="38.5" style="32" customWidth="1"/>
    <col min="18" max="18" width="19.5" style="32" customWidth="1"/>
    <col min="19" max="19" width="29.83203125" style="32" customWidth="1"/>
    <col min="20" max="20" width="26.83203125" style="32" customWidth="1"/>
    <col min="21" max="21" width="9.5" style="32" bestFit="1" customWidth="1"/>
    <col min="22" max="22" width="10" style="32" bestFit="1" customWidth="1"/>
    <col min="23" max="23" width="13.5" style="32" bestFit="1" customWidth="1"/>
    <col min="24" max="24" width="9.5" style="32" bestFit="1" customWidth="1"/>
    <col min="25" max="25" width="16.83203125" style="32" bestFit="1" customWidth="1"/>
    <col min="26" max="26" width="15" style="32" customWidth="1"/>
    <col min="27" max="27" width="16.6640625" style="32" bestFit="1" customWidth="1"/>
    <col min="28" max="28" width="13" style="32" bestFit="1" customWidth="1"/>
    <col min="29" max="29" width="13.83203125" style="32" bestFit="1" customWidth="1"/>
    <col min="30" max="30" width="13.5" style="32" bestFit="1" customWidth="1"/>
    <col min="31" max="31" width="14.33203125" style="32" bestFit="1" customWidth="1"/>
    <col min="32" max="32" width="14.6640625" style="32" bestFit="1" customWidth="1"/>
    <col min="33" max="33" width="13" style="32" bestFit="1" customWidth="1"/>
    <col min="34" max="34" width="14" style="32" bestFit="1" customWidth="1"/>
    <col min="35" max="36" width="13.83203125" style="32" bestFit="1" customWidth="1"/>
    <col min="37" max="37" width="9.6640625" style="32" bestFit="1" customWidth="1"/>
    <col min="38" max="38" width="12.83203125" style="32" customWidth="1"/>
    <col min="39" max="39" width="10.83203125" style="32" bestFit="1" customWidth="1"/>
    <col min="40" max="40" width="14.5" style="32" bestFit="1" customWidth="1"/>
    <col min="41" max="41" width="9.6640625" style="32" bestFit="1" customWidth="1"/>
    <col min="42" max="61" width="9.5" style="32" bestFit="1" customWidth="1"/>
    <col min="62" max="16384" width="9.33203125" style="32"/>
  </cols>
  <sheetData>
    <row r="12" spans="1:19" ht="13.5" thickBot="1"/>
    <row r="13" spans="1:19">
      <c r="A13" s="1235" t="s">
        <v>688</v>
      </c>
      <c r="B13" s="717"/>
      <c r="C13" s="717"/>
      <c r="D13" s="717"/>
      <c r="E13" s="717"/>
      <c r="F13" s="717"/>
      <c r="G13" s="717"/>
      <c r="H13" s="717"/>
      <c r="I13" s="717"/>
      <c r="J13" s="717"/>
      <c r="K13" s="717"/>
      <c r="L13" s="717"/>
      <c r="M13" s="717"/>
      <c r="N13" s="717"/>
      <c r="O13" s="717"/>
      <c r="P13" s="717"/>
      <c r="Q13" s="734"/>
      <c r="R13" s="650"/>
    </row>
    <row r="14" spans="1:19">
      <c r="A14" s="650"/>
      <c r="B14" s="320"/>
      <c r="C14" s="320"/>
      <c r="D14" s="320"/>
      <c r="E14" s="320"/>
      <c r="F14" s="320"/>
      <c r="G14" s="320"/>
      <c r="H14" s="320"/>
      <c r="I14" s="320"/>
      <c r="J14" s="320"/>
      <c r="K14" s="320"/>
      <c r="L14" s="320"/>
      <c r="M14" s="320"/>
      <c r="N14" s="320"/>
      <c r="O14" s="320"/>
      <c r="P14" s="320"/>
      <c r="Q14" s="530"/>
      <c r="R14" s="383"/>
      <c r="S14" s="320"/>
    </row>
    <row r="15" spans="1:19" ht="13.5" thickBot="1">
      <c r="A15" s="1222">
        <v>2200001</v>
      </c>
      <c r="B15" s="986" t="str">
        <f>'מאזן בוחן'!D456</f>
        <v>הוצאות לשלם</v>
      </c>
      <c r="C15" s="320"/>
      <c r="D15" s="320"/>
      <c r="E15" s="320"/>
      <c r="F15" s="320"/>
      <c r="G15" s="320"/>
      <c r="H15" s="320"/>
      <c r="I15" s="1609"/>
      <c r="J15" s="383"/>
      <c r="K15" s="1226"/>
      <c r="L15" s="1226"/>
      <c r="M15" s="1226"/>
      <c r="N15" s="1226"/>
      <c r="O15" s="320"/>
      <c r="P15" s="320"/>
      <c r="Q15" s="558"/>
      <c r="R15" s="383"/>
      <c r="S15" s="320"/>
    </row>
    <row r="16" spans="1:19" ht="13.5" thickBot="1">
      <c r="A16" s="650"/>
      <c r="B16" s="320"/>
      <c r="C16" s="320"/>
      <c r="D16" s="4406" t="s">
        <v>1458</v>
      </c>
      <c r="E16" s="4407"/>
      <c r="F16" s="4407"/>
      <c r="G16" s="4407"/>
      <c r="H16" s="4407"/>
      <c r="I16" s="4407"/>
      <c r="J16" s="4407"/>
      <c r="K16" s="4407"/>
      <c r="L16" s="4407"/>
      <c r="M16" s="4407"/>
      <c r="N16" s="4407"/>
      <c r="O16" s="4407"/>
      <c r="P16" s="4408"/>
      <c r="Q16" s="558"/>
      <c r="R16" s="383"/>
      <c r="S16" s="320"/>
    </row>
    <row r="17" spans="1:20" ht="13.5" thickBot="1">
      <c r="A17" s="650"/>
      <c r="B17" s="320"/>
      <c r="C17" s="320"/>
      <c r="D17" s="3122">
        <v>44166</v>
      </c>
      <c r="E17" s="3123">
        <v>44197</v>
      </c>
      <c r="F17" s="3123">
        <v>44228</v>
      </c>
      <c r="G17" s="3123">
        <v>44256</v>
      </c>
      <c r="H17" s="3123">
        <v>44287</v>
      </c>
      <c r="I17" s="3123">
        <v>44317</v>
      </c>
      <c r="J17" s="3123">
        <v>44348</v>
      </c>
      <c r="K17" s="3123">
        <v>44378</v>
      </c>
      <c r="L17" s="3123">
        <v>44409</v>
      </c>
      <c r="M17" s="3123">
        <v>44440</v>
      </c>
      <c r="N17" s="3123">
        <v>44470</v>
      </c>
      <c r="O17" s="3123">
        <v>44501</v>
      </c>
      <c r="P17" s="2630">
        <v>44531</v>
      </c>
      <c r="Q17" s="558"/>
      <c r="R17" s="383"/>
      <c r="S17" s="3367" t="s">
        <v>4101</v>
      </c>
    </row>
    <row r="18" spans="1:20" ht="26.25" thickBot="1">
      <c r="A18" s="2863">
        <v>8410068</v>
      </c>
      <c r="B18" s="732" t="s">
        <v>3619</v>
      </c>
      <c r="C18" s="1448" t="s">
        <v>3620</v>
      </c>
      <c r="D18" s="2864">
        <v>0</v>
      </c>
      <c r="E18" s="204">
        <f>(5+18+17)/12*3.291*1000</f>
        <v>10970</v>
      </c>
      <c r="F18" s="204">
        <f>E18+11*1000</f>
        <v>21970</v>
      </c>
      <c r="G18" s="204">
        <f>F18+11*1000-1140</f>
        <v>31830</v>
      </c>
      <c r="H18" s="204">
        <f>G18+10970+3247</f>
        <v>46047</v>
      </c>
      <c r="I18" s="383">
        <f>H18+10970+814</f>
        <v>57831</v>
      </c>
      <c r="J18" s="383">
        <f t="shared" ref="J18:K18" si="0">I18+10970+814</f>
        <v>69615</v>
      </c>
      <c r="K18" s="383">
        <f t="shared" si="0"/>
        <v>81399</v>
      </c>
      <c r="L18" s="383">
        <f>K18+10970+814</f>
        <v>93183</v>
      </c>
      <c r="M18" s="204">
        <f>L18+10970+814-6000*'מאזן בוחן'!$N$2-180</f>
        <v>86127</v>
      </c>
      <c r="N18" s="204">
        <f>85839+10970+815</f>
        <v>97624</v>
      </c>
      <c r="O18" s="204">
        <f>N18+10970+815</f>
        <v>109409</v>
      </c>
      <c r="P18" s="2592">
        <v>77750</v>
      </c>
      <c r="Q18" s="558"/>
      <c r="R18" s="383"/>
      <c r="S18" s="320">
        <f>8000/12*12*3.11</f>
        <v>24880</v>
      </c>
      <c r="T18" s="32" t="s">
        <v>4100</v>
      </c>
    </row>
    <row r="19" spans="1:20" s="993" customFormat="1" ht="13.5" thickBot="1">
      <c r="A19" s="2863">
        <v>8410068</v>
      </c>
      <c r="B19" s="1652" t="s">
        <v>3618</v>
      </c>
      <c r="C19" s="1665" t="s">
        <v>4100</v>
      </c>
      <c r="D19" s="2865">
        <v>97142</v>
      </c>
      <c r="E19" s="1667">
        <v>97142</v>
      </c>
      <c r="F19" s="1667">
        <f>E19</f>
        <v>97142</v>
      </c>
      <c r="G19" s="1653">
        <f>F19-6000*'נתונים לשינוי'!$C$22</f>
        <v>78482</v>
      </c>
      <c r="H19" s="1667">
        <f>G19</f>
        <v>78482</v>
      </c>
      <c r="I19" s="1653">
        <f>H19</f>
        <v>78482</v>
      </c>
      <c r="J19" s="1653">
        <f>I19</f>
        <v>78482</v>
      </c>
      <c r="K19" s="1667">
        <f>J19</f>
        <v>78482</v>
      </c>
      <c r="L19" s="1653">
        <f>5000*'מאזן בוחן'!$N$2</f>
        <v>15550</v>
      </c>
      <c r="M19" s="1667">
        <f>L19</f>
        <v>15550</v>
      </c>
      <c r="N19" s="1667">
        <v>15790</v>
      </c>
      <c r="O19" s="1667">
        <v>15790</v>
      </c>
      <c r="P19" s="3405">
        <v>0</v>
      </c>
      <c r="Q19" s="558"/>
      <c r="R19" s="383"/>
      <c r="S19" s="320">
        <f>17000/12*12*3.11</f>
        <v>52870</v>
      </c>
      <c r="T19" s="993" t="s">
        <v>4102</v>
      </c>
    </row>
    <row r="20" spans="1:20" s="993" customFormat="1" ht="13.5" thickBot="1">
      <c r="A20" s="1666">
        <v>6020008</v>
      </c>
      <c r="B20" s="1652" t="s">
        <v>2785</v>
      </c>
      <c r="C20" s="2367"/>
      <c r="D20" s="2865">
        <v>31247</v>
      </c>
      <c r="E20" s="1667">
        <v>0</v>
      </c>
      <c r="F20" s="1667">
        <v>0</v>
      </c>
      <c r="G20" s="2968">
        <f>F20</f>
        <v>0</v>
      </c>
      <c r="H20" s="1667">
        <v>21950</v>
      </c>
      <c r="I20" s="1653">
        <v>0</v>
      </c>
      <c r="J20" s="1653"/>
      <c r="K20" s="1667"/>
      <c r="L20" s="1653"/>
      <c r="M20" s="1667">
        <v>45690</v>
      </c>
      <c r="N20" s="1667">
        <v>0</v>
      </c>
      <c r="O20" s="1667">
        <v>0</v>
      </c>
      <c r="P20" s="3405">
        <v>0</v>
      </c>
      <c r="Q20" s="558"/>
      <c r="R20" s="3366" t="s">
        <v>4106</v>
      </c>
      <c r="S20" s="3368">
        <v>0</v>
      </c>
      <c r="T20" s="993" t="s">
        <v>4105</v>
      </c>
    </row>
    <row r="21" spans="1:20" s="993" customFormat="1" ht="13.5" thickBot="1">
      <c r="A21" s="1666">
        <v>8410068</v>
      </c>
      <c r="B21" s="1652" t="s">
        <v>2786</v>
      </c>
      <c r="C21" s="2367" t="s">
        <v>3157</v>
      </c>
      <c r="D21" s="2865">
        <v>10931</v>
      </c>
      <c r="E21" s="1667">
        <v>0</v>
      </c>
      <c r="F21" s="1667">
        <v>0</v>
      </c>
      <c r="G21" s="2968">
        <f>F21</f>
        <v>0</v>
      </c>
      <c r="H21" s="1667"/>
      <c r="I21" s="1653">
        <f>H21</f>
        <v>0</v>
      </c>
      <c r="J21" s="1653"/>
      <c r="K21" s="1667"/>
      <c r="L21" s="1653"/>
      <c r="M21" s="1667">
        <v>0</v>
      </c>
      <c r="N21" s="1667">
        <v>0</v>
      </c>
      <c r="O21" s="1667">
        <v>0</v>
      </c>
      <c r="P21" s="3405">
        <v>0</v>
      </c>
      <c r="Q21" s="558"/>
      <c r="R21" s="3366" t="s">
        <v>4106</v>
      </c>
      <c r="S21" s="518">
        <v>0</v>
      </c>
      <c r="T21" s="993" t="s">
        <v>4103</v>
      </c>
    </row>
    <row r="22" spans="1:20" s="993" customFormat="1" ht="13.5" thickBot="1">
      <c r="A22" s="1666">
        <v>8410068</v>
      </c>
      <c r="B22" s="1652" t="s">
        <v>3150</v>
      </c>
      <c r="C22" s="2367" t="s">
        <v>3151</v>
      </c>
      <c r="D22" s="2865">
        <v>7957.13</v>
      </c>
      <c r="E22" s="1667">
        <v>7957.13</v>
      </c>
      <c r="F22" s="1667">
        <f>E22</f>
        <v>7957.13</v>
      </c>
      <c r="G22" s="2968">
        <v>0</v>
      </c>
      <c r="H22" s="1667"/>
      <c r="I22" s="1653">
        <f>H22</f>
        <v>0</v>
      </c>
      <c r="J22" s="1653"/>
      <c r="K22" s="1667"/>
      <c r="L22" s="1653"/>
      <c r="M22" s="1667">
        <v>0</v>
      </c>
      <c r="N22" s="1667">
        <v>0</v>
      </c>
      <c r="O22" s="1667">
        <v>0</v>
      </c>
      <c r="P22" s="3405">
        <v>0</v>
      </c>
      <c r="Q22" s="558"/>
      <c r="R22" s="3366" t="s">
        <v>4106</v>
      </c>
      <c r="S22" s="2921"/>
      <c r="T22" s="993" t="s">
        <v>4104</v>
      </c>
    </row>
    <row r="23" spans="1:20" s="993" customFormat="1" ht="13.5" thickBot="1">
      <c r="A23" s="1664"/>
      <c r="B23" s="1652" t="s">
        <v>1462</v>
      </c>
      <c r="C23" s="1665"/>
      <c r="D23" s="2865">
        <v>35313</v>
      </c>
      <c r="E23" s="1667">
        <v>40289</v>
      </c>
      <c r="F23" s="1667">
        <v>70051</v>
      </c>
      <c r="G23" s="1667">
        <v>84046</v>
      </c>
      <c r="H23" s="1667">
        <v>123886</v>
      </c>
      <c r="I23" s="1653">
        <v>158411</v>
      </c>
      <c r="J23" s="1653">
        <v>117013</v>
      </c>
      <c r="K23" s="1653">
        <v>153350</v>
      </c>
      <c r="L23" s="1653">
        <v>141069</v>
      </c>
      <c r="M23" s="1667">
        <v>136368</v>
      </c>
      <c r="N23" s="1667">
        <v>141146</v>
      </c>
      <c r="O23" s="1667">
        <v>111656</v>
      </c>
      <c r="P23" s="3405">
        <v>180587</v>
      </c>
      <c r="Q23" s="558"/>
      <c r="R23" s="383"/>
      <c r="S23" s="320">
        <f>SUM(S18:S22)</f>
        <v>77750</v>
      </c>
    </row>
    <row r="24" spans="1:20" ht="13.5" thickBot="1">
      <c r="A24" s="1655">
        <v>8020013</v>
      </c>
      <c r="B24" s="526" t="s">
        <v>1851</v>
      </c>
      <c r="C24" s="1657"/>
      <c r="D24" s="719">
        <v>8500</v>
      </c>
      <c r="E24" s="204">
        <v>8500</v>
      </c>
      <c r="F24" s="204">
        <f t="shared" ref="F24:M24" si="1">E24</f>
        <v>8500</v>
      </c>
      <c r="G24" s="2968">
        <f t="shared" si="1"/>
        <v>8500</v>
      </c>
      <c r="H24" s="204">
        <f t="shared" si="1"/>
        <v>8500</v>
      </c>
      <c r="I24" s="1653">
        <f t="shared" si="1"/>
        <v>8500</v>
      </c>
      <c r="J24" s="383">
        <f t="shared" si="1"/>
        <v>8500</v>
      </c>
      <c r="K24" s="204">
        <f t="shared" si="1"/>
        <v>8500</v>
      </c>
      <c r="L24" s="383">
        <f t="shared" si="1"/>
        <v>8500</v>
      </c>
      <c r="M24" s="204">
        <f t="shared" si="1"/>
        <v>8500</v>
      </c>
      <c r="N24" s="204">
        <v>8500</v>
      </c>
      <c r="O24" s="204">
        <v>8500</v>
      </c>
      <c r="P24" s="2592">
        <v>8500</v>
      </c>
      <c r="Q24" s="530"/>
      <c r="S24" s="320">
        <f>P18</f>
        <v>77750</v>
      </c>
    </row>
    <row r="25" spans="1:20" s="993" customFormat="1" ht="13.5" thickBot="1">
      <c r="A25" s="1611">
        <v>6020008</v>
      </c>
      <c r="B25" s="1652" t="s">
        <v>2751</v>
      </c>
      <c r="C25" s="1658"/>
      <c r="D25" s="2865">
        <v>28000</v>
      </c>
      <c r="E25" s="1667">
        <f>28000+D25</f>
        <v>56000</v>
      </c>
      <c r="F25" s="1667">
        <v>0</v>
      </c>
      <c r="G25" s="2968">
        <f>F25</f>
        <v>0</v>
      </c>
      <c r="H25" s="1667">
        <v>24578</v>
      </c>
      <c r="I25" s="1653"/>
      <c r="J25" s="1653"/>
      <c r="K25" s="204"/>
      <c r="L25" s="383"/>
      <c r="M25" s="1667">
        <v>0</v>
      </c>
      <c r="N25" s="1667">
        <v>0</v>
      </c>
      <c r="O25" s="204">
        <v>0</v>
      </c>
      <c r="P25" s="3405">
        <v>0</v>
      </c>
      <c r="Q25" s="1654"/>
      <c r="S25" s="956">
        <f>S23-S24</f>
        <v>0</v>
      </c>
    </row>
    <row r="26" spans="1:20" ht="13.5" thickBot="1">
      <c r="A26" s="1611">
        <v>6010008</v>
      </c>
      <c r="B26" s="732" t="s">
        <v>282</v>
      </c>
      <c r="C26" s="1659"/>
      <c r="D26" s="719">
        <v>0</v>
      </c>
      <c r="E26" s="204">
        <v>148148.49</v>
      </c>
      <c r="F26" s="1667">
        <v>151161.85999999999</v>
      </c>
      <c r="G26" s="2968">
        <v>151355.21</v>
      </c>
      <c r="H26" s="204">
        <v>181985.61</v>
      </c>
      <c r="I26" s="1653">
        <v>188666.35</v>
      </c>
      <c r="J26" s="383">
        <v>209436.6</v>
      </c>
      <c r="K26" s="204">
        <v>140387.57999999999</v>
      </c>
      <c r="L26" s="383">
        <v>96576.17</v>
      </c>
      <c r="M26" s="204">
        <v>97724.55</v>
      </c>
      <c r="N26" s="204">
        <v>29423.23</v>
      </c>
      <c r="O26" s="204">
        <v>26850.25</v>
      </c>
      <c r="P26" s="3405">
        <v>0</v>
      </c>
      <c r="Q26" s="558"/>
    </row>
    <row r="27" spans="1:20" ht="13.5" thickBot="1">
      <c r="A27" s="1611">
        <v>5420007</v>
      </c>
      <c r="B27" s="732" t="s">
        <v>2069</v>
      </c>
      <c r="C27" s="1660"/>
      <c r="D27" s="719">
        <v>23668.83</v>
      </c>
      <c r="E27" s="204">
        <v>0</v>
      </c>
      <c r="F27" s="204">
        <v>0</v>
      </c>
      <c r="G27" s="2968">
        <f>F27</f>
        <v>0</v>
      </c>
      <c r="H27" s="204"/>
      <c r="I27" s="1653">
        <f>H27</f>
        <v>0</v>
      </c>
      <c r="J27" s="383"/>
      <c r="K27" s="204"/>
      <c r="L27" s="383"/>
      <c r="M27" s="1667">
        <v>0</v>
      </c>
      <c r="N27" s="1667">
        <v>0</v>
      </c>
      <c r="O27" s="204">
        <v>0</v>
      </c>
      <c r="P27" s="2592">
        <v>0</v>
      </c>
      <c r="Q27" s="558"/>
    </row>
    <row r="28" spans="1:20" ht="13.5" thickBot="1">
      <c r="A28" s="1611">
        <v>6020014</v>
      </c>
      <c r="B28" s="732" t="s">
        <v>1948</v>
      </c>
      <c r="C28" s="1660"/>
      <c r="D28" s="719"/>
      <c r="E28" s="204">
        <f>85360</f>
        <v>85360</v>
      </c>
      <c r="F28" s="1667">
        <v>0</v>
      </c>
      <c r="G28" s="2968">
        <f>F28</f>
        <v>0</v>
      </c>
      <c r="H28" s="204">
        <v>264837</v>
      </c>
      <c r="I28" s="1653"/>
      <c r="J28" s="383"/>
      <c r="K28" s="204"/>
      <c r="L28" s="383"/>
      <c r="M28" s="1667">
        <v>0</v>
      </c>
      <c r="N28" s="1667">
        <v>333722</v>
      </c>
      <c r="O28" s="1667">
        <v>359016.64</v>
      </c>
      <c r="P28" s="3405">
        <v>0</v>
      </c>
      <c r="Q28" s="558"/>
    </row>
    <row r="29" spans="1:20" ht="13.5" thickBot="1">
      <c r="A29" s="1611">
        <v>8030020</v>
      </c>
      <c r="B29" s="732" t="s">
        <v>2528</v>
      </c>
      <c r="C29" s="1660"/>
      <c r="D29" s="2866">
        <v>0</v>
      </c>
      <c r="E29" s="204">
        <v>230000</v>
      </c>
      <c r="F29" s="204">
        <f>E29+230000</f>
        <v>460000</v>
      </c>
      <c r="G29" s="2968">
        <v>0</v>
      </c>
      <c r="H29" s="204">
        <v>200000</v>
      </c>
      <c r="I29" s="1653">
        <v>400000</v>
      </c>
      <c r="J29" s="383"/>
      <c r="K29" s="204">
        <v>200000</v>
      </c>
      <c r="L29" s="383">
        <f>K29+200000</f>
        <v>400000</v>
      </c>
      <c r="M29" s="204">
        <v>200000</v>
      </c>
      <c r="N29" s="204">
        <v>200000</v>
      </c>
      <c r="O29" s="204">
        <v>400000</v>
      </c>
      <c r="P29" s="3405">
        <v>0</v>
      </c>
      <c r="Q29" s="558"/>
    </row>
    <row r="30" spans="1:20" ht="13.5" thickBot="1">
      <c r="A30" s="1611">
        <v>8030009</v>
      </c>
      <c r="B30" s="732" t="s">
        <v>3471</v>
      </c>
      <c r="C30" s="1661"/>
      <c r="D30" s="719">
        <v>36594</v>
      </c>
      <c r="E30" s="144">
        <v>36594</v>
      </c>
      <c r="F30" s="1667">
        <v>0</v>
      </c>
      <c r="G30" s="2968">
        <f>F30</f>
        <v>0</v>
      </c>
      <c r="H30" s="204"/>
      <c r="I30" s="1653">
        <f>H30</f>
        <v>0</v>
      </c>
      <c r="J30" s="383"/>
      <c r="K30" s="204"/>
      <c r="L30" s="383"/>
      <c r="M30" s="1667">
        <v>0</v>
      </c>
      <c r="N30" s="1667">
        <v>0</v>
      </c>
      <c r="O30" s="204"/>
      <c r="P30" s="3405">
        <v>0</v>
      </c>
      <c r="Q30" s="558"/>
    </row>
    <row r="31" spans="1:20" ht="13.5" thickBot="1">
      <c r="A31" s="1612">
        <v>7120042</v>
      </c>
      <c r="B31" s="732" t="s">
        <v>1154</v>
      </c>
      <c r="C31" s="1662"/>
      <c r="D31" s="719">
        <v>8287.52</v>
      </c>
      <c r="E31" s="144">
        <v>0</v>
      </c>
      <c r="F31" s="204">
        <v>0</v>
      </c>
      <c r="G31" s="2968">
        <f>F31</f>
        <v>0</v>
      </c>
      <c r="H31" s="204"/>
      <c r="I31" s="1653">
        <f>H31</f>
        <v>0</v>
      </c>
      <c r="J31" s="383"/>
      <c r="K31" s="204"/>
      <c r="L31" s="383"/>
      <c r="M31" s="1667">
        <v>0</v>
      </c>
      <c r="N31" s="1667">
        <v>0</v>
      </c>
      <c r="O31" s="204">
        <v>0</v>
      </c>
      <c r="P31" s="3405">
        <v>0</v>
      </c>
      <c r="Q31" s="558"/>
    </row>
    <row r="32" spans="1:20" ht="13.5" thickBot="1">
      <c r="A32" s="1612">
        <v>7020026</v>
      </c>
      <c r="B32" s="732" t="s">
        <v>4548</v>
      </c>
      <c r="C32" s="1662"/>
      <c r="D32" s="719"/>
      <c r="E32" s="144"/>
      <c r="F32" s="204"/>
      <c r="G32" s="2968"/>
      <c r="H32" s="204"/>
      <c r="I32" s="1653"/>
      <c r="J32" s="383"/>
      <c r="K32" s="204"/>
      <c r="L32" s="383"/>
      <c r="M32" s="1667"/>
      <c r="N32" s="1667"/>
      <c r="O32" s="204">
        <v>51221.24</v>
      </c>
      <c r="P32" s="3405">
        <v>0</v>
      </c>
      <c r="Q32" s="558"/>
    </row>
    <row r="33" spans="1:17" ht="13.5" thickBot="1">
      <c r="A33" s="1612">
        <v>7020026</v>
      </c>
      <c r="B33" s="732" t="s">
        <v>3377</v>
      </c>
      <c r="C33" s="1663"/>
      <c r="D33" s="719">
        <v>23625</v>
      </c>
      <c r="E33" s="144">
        <v>0</v>
      </c>
      <c r="F33" s="204">
        <v>34144.800000000003</v>
      </c>
      <c r="G33" s="2968">
        <v>0</v>
      </c>
      <c r="H33" s="204"/>
      <c r="I33" s="1653">
        <f>H33</f>
        <v>0</v>
      </c>
      <c r="J33" s="383"/>
      <c r="K33" s="204"/>
      <c r="L33" s="383"/>
      <c r="M33" s="1667">
        <v>0</v>
      </c>
      <c r="N33" s="1667">
        <v>14211</v>
      </c>
      <c r="O33" s="204"/>
      <c r="P33" s="2592">
        <f>40437+24880</f>
        <v>65317</v>
      </c>
      <c r="Q33" s="558"/>
    </row>
    <row r="34" spans="1:17" ht="13.5" thickBot="1">
      <c r="A34" s="1612">
        <v>8410048</v>
      </c>
      <c r="B34" s="732" t="s">
        <v>397</v>
      </c>
      <c r="C34" s="1192" t="s">
        <v>1945</v>
      </c>
      <c r="D34" s="719"/>
      <c r="E34" s="144"/>
      <c r="F34" s="204">
        <v>45260.43</v>
      </c>
      <c r="G34" s="2968">
        <v>0</v>
      </c>
      <c r="H34" s="204"/>
      <c r="I34" s="1653">
        <f>H34</f>
        <v>0</v>
      </c>
      <c r="J34" s="383"/>
      <c r="K34" s="204"/>
      <c r="L34" s="383"/>
      <c r="M34" s="1667">
        <v>0</v>
      </c>
      <c r="N34" s="1667">
        <v>0</v>
      </c>
      <c r="O34" s="204">
        <v>0</v>
      </c>
      <c r="P34" s="2592">
        <v>0</v>
      </c>
      <c r="Q34" s="558"/>
    </row>
    <row r="35" spans="1:17" ht="13.5" thickBot="1">
      <c r="A35" s="1612">
        <v>8220010</v>
      </c>
      <c r="B35" s="732" t="s">
        <v>3615</v>
      </c>
      <c r="C35" s="1192"/>
      <c r="D35" s="719"/>
      <c r="E35" s="144"/>
      <c r="F35" s="204"/>
      <c r="G35" s="2968"/>
      <c r="H35" s="204">
        <v>6125</v>
      </c>
      <c r="I35" s="1653"/>
      <c r="J35" s="383"/>
      <c r="K35" s="204"/>
      <c r="L35" s="383"/>
      <c r="M35" s="1667">
        <v>0</v>
      </c>
      <c r="N35" s="1667">
        <v>0</v>
      </c>
      <c r="O35" s="204">
        <v>0</v>
      </c>
      <c r="P35" s="2592">
        <v>0</v>
      </c>
      <c r="Q35" s="558"/>
    </row>
    <row r="36" spans="1:17" ht="13.5" thickBot="1">
      <c r="A36" s="1612">
        <v>8220010</v>
      </c>
      <c r="B36" s="732" t="s">
        <v>3617</v>
      </c>
      <c r="C36" s="1192"/>
      <c r="D36" s="719"/>
      <c r="E36" s="144"/>
      <c r="F36" s="204"/>
      <c r="G36" s="2968"/>
      <c r="H36" s="204">
        <v>2200</v>
      </c>
      <c r="I36" s="1653"/>
      <c r="J36" s="383"/>
      <c r="K36" s="204"/>
      <c r="L36" s="383"/>
      <c r="M36" s="1667">
        <v>0</v>
      </c>
      <c r="N36" s="1667">
        <v>0</v>
      </c>
      <c r="O36" s="204">
        <v>0</v>
      </c>
      <c r="P36" s="2592">
        <v>0</v>
      </c>
      <c r="Q36" s="558"/>
    </row>
    <row r="37" spans="1:17" ht="13.5" thickBot="1">
      <c r="A37" s="1612">
        <v>8030012</v>
      </c>
      <c r="B37" s="732" t="s">
        <v>3616</v>
      </c>
      <c r="C37" s="1192"/>
      <c r="D37" s="719"/>
      <c r="E37" s="144"/>
      <c r="F37" s="204"/>
      <c r="G37" s="2968"/>
      <c r="H37" s="204">
        <v>5000</v>
      </c>
      <c r="I37" s="1653"/>
      <c r="J37" s="383"/>
      <c r="K37" s="204"/>
      <c r="L37" s="383"/>
      <c r="M37" s="1667">
        <v>0</v>
      </c>
      <c r="N37" s="1667">
        <v>0</v>
      </c>
      <c r="O37" s="204">
        <v>0</v>
      </c>
      <c r="P37" s="2592">
        <v>0</v>
      </c>
      <c r="Q37" s="558"/>
    </row>
    <row r="38" spans="1:17" ht="13.5" thickBot="1">
      <c r="A38" s="1612">
        <v>7020038</v>
      </c>
      <c r="B38" s="732" t="s">
        <v>4203</v>
      </c>
      <c r="C38" s="1192"/>
      <c r="D38" s="719"/>
      <c r="E38" s="144"/>
      <c r="F38" s="204"/>
      <c r="G38" s="2968"/>
      <c r="H38" s="204"/>
      <c r="I38" s="1653"/>
      <c r="J38" s="383">
        <v>4970</v>
      </c>
      <c r="K38" s="204">
        <f>J38+4970</f>
        <v>9940</v>
      </c>
      <c r="L38" s="383">
        <f>K38+4970</f>
        <v>14910</v>
      </c>
      <c r="M38" s="204">
        <f>L38+4970</f>
        <v>19880</v>
      </c>
      <c r="N38" s="204">
        <f>19880+4970</f>
        <v>24850</v>
      </c>
      <c r="O38" s="204">
        <f>4970+24850</f>
        <v>29820</v>
      </c>
      <c r="P38" s="2592">
        <f>4970+29820</f>
        <v>34790</v>
      </c>
      <c r="Q38" s="558"/>
    </row>
    <row r="39" spans="1:17" ht="13.5" thickBot="1">
      <c r="A39" s="1612">
        <v>6010007</v>
      </c>
      <c r="B39" s="732" t="s">
        <v>1103</v>
      </c>
      <c r="C39" s="1661" t="s">
        <v>4205</v>
      </c>
      <c r="D39" s="719">
        <v>30392</v>
      </c>
      <c r="E39" s="144">
        <v>0</v>
      </c>
      <c r="F39" s="204">
        <v>0</v>
      </c>
      <c r="G39" s="2968">
        <f>F39</f>
        <v>0</v>
      </c>
      <c r="H39" s="204"/>
      <c r="I39" s="1653">
        <f>H39</f>
        <v>0</v>
      </c>
      <c r="J39" s="383"/>
      <c r="K39" s="204">
        <v>41500</v>
      </c>
      <c r="L39" s="383">
        <f>K39</f>
        <v>41500</v>
      </c>
      <c r="M39" s="204">
        <v>28000</v>
      </c>
      <c r="N39" s="204">
        <v>0</v>
      </c>
      <c r="O39" s="204">
        <v>0</v>
      </c>
      <c r="P39" s="2592">
        <v>45000</v>
      </c>
      <c r="Q39" s="558"/>
    </row>
    <row r="40" spans="1:17" ht="13.5" thickBot="1">
      <c r="A40" s="1612">
        <v>6010022</v>
      </c>
      <c r="B40" s="732" t="s">
        <v>3578</v>
      </c>
      <c r="C40" s="1661"/>
      <c r="D40" s="719"/>
      <c r="E40" s="144"/>
      <c r="F40" s="204"/>
      <c r="G40" s="2968"/>
      <c r="H40" s="204"/>
      <c r="I40" s="1653"/>
      <c r="J40" s="383">
        <v>712360</v>
      </c>
      <c r="K40" s="204">
        <f>J40</f>
        <v>712360</v>
      </c>
      <c r="L40" s="383">
        <f>K40</f>
        <v>712360</v>
      </c>
      <c r="M40" s="204">
        <f>L40</f>
        <v>712360</v>
      </c>
      <c r="N40" s="204">
        <v>712360</v>
      </c>
      <c r="O40" s="204">
        <v>712360</v>
      </c>
      <c r="P40" s="2592">
        <v>712360</v>
      </c>
      <c r="Q40" s="558"/>
    </row>
    <row r="41" spans="1:17" ht="13.5" thickBot="1">
      <c r="A41" s="1612">
        <v>6020014</v>
      </c>
      <c r="B41" s="732" t="s">
        <v>4208</v>
      </c>
      <c r="C41" s="3365" t="s">
        <v>4208</v>
      </c>
      <c r="D41" s="719"/>
      <c r="E41" s="144"/>
      <c r="F41" s="204"/>
      <c r="G41" s="2968"/>
      <c r="H41" s="204"/>
      <c r="I41" s="1653"/>
      <c r="J41" s="383"/>
      <c r="K41" s="204"/>
      <c r="L41" s="383"/>
      <c r="M41" s="204">
        <f>8595+49111</f>
        <v>57706</v>
      </c>
      <c r="N41" s="204">
        <f>49111+135794</f>
        <v>184905</v>
      </c>
      <c r="O41" s="204">
        <f>15119+184905+12946</f>
        <v>212970</v>
      </c>
      <c r="P41" s="3405">
        <v>0</v>
      </c>
      <c r="Q41" s="558"/>
    </row>
    <row r="42" spans="1:17" ht="13.5" thickBot="1">
      <c r="A42" s="1612">
        <v>6020008</v>
      </c>
      <c r="B42" s="732" t="s">
        <v>1787</v>
      </c>
      <c r="C42" s="3365" t="s">
        <v>4206</v>
      </c>
      <c r="D42" s="719"/>
      <c r="E42" s="144"/>
      <c r="F42" s="204"/>
      <c r="G42" s="2968"/>
      <c r="H42" s="204"/>
      <c r="I42" s="1653"/>
      <c r="J42" s="383"/>
      <c r="K42" s="204"/>
      <c r="L42" s="383"/>
      <c r="M42" s="204">
        <v>45650</v>
      </c>
      <c r="N42" s="204">
        <v>0</v>
      </c>
      <c r="O42" s="204">
        <v>0</v>
      </c>
      <c r="P42" s="3405">
        <v>0</v>
      </c>
      <c r="Q42" s="558"/>
    </row>
    <row r="43" spans="1:17" ht="13.5" thickBot="1">
      <c r="A43" s="1612">
        <v>6020014</v>
      </c>
      <c r="B43" s="732" t="s">
        <v>1788</v>
      </c>
      <c r="C43" s="3365" t="s">
        <v>4207</v>
      </c>
      <c r="D43" s="719"/>
      <c r="E43" s="144"/>
      <c r="F43" s="204"/>
      <c r="G43" s="2968"/>
      <c r="H43" s="204"/>
      <c r="I43" s="1653"/>
      <c r="J43" s="383"/>
      <c r="K43" s="204"/>
      <c r="L43" s="383"/>
      <c r="M43" s="204">
        <v>21000</v>
      </c>
      <c r="N43" s="204"/>
      <c r="O43" s="204"/>
      <c r="P43" s="3405">
        <v>0</v>
      </c>
      <c r="Q43" s="558"/>
    </row>
    <row r="44" spans="1:17" ht="13.5" thickBot="1">
      <c r="A44" s="1612">
        <v>6020014</v>
      </c>
      <c r="B44" s="732" t="s">
        <v>4549</v>
      </c>
      <c r="C44" s="3365"/>
      <c r="D44" s="719"/>
      <c r="E44" s="144"/>
      <c r="F44" s="204"/>
      <c r="G44" s="2968"/>
      <c r="H44" s="204"/>
      <c r="I44" s="1653"/>
      <c r="J44" s="383"/>
      <c r="K44" s="204"/>
      <c r="L44" s="383"/>
      <c r="M44" s="204"/>
      <c r="N44" s="204"/>
      <c r="O44" s="204">
        <v>40177</v>
      </c>
      <c r="P44" s="3405">
        <v>0</v>
      </c>
      <c r="Q44" s="558"/>
    </row>
    <row r="45" spans="1:17" ht="13.5" thickBot="1">
      <c r="A45" s="1612">
        <v>6120006</v>
      </c>
      <c r="B45" s="732" t="s">
        <v>4547</v>
      </c>
      <c r="C45" s="1661"/>
      <c r="D45" s="719"/>
      <c r="E45" s="144"/>
      <c r="F45" s="204"/>
      <c r="G45" s="2968"/>
      <c r="H45" s="204"/>
      <c r="I45" s="1653"/>
      <c r="J45" s="383"/>
      <c r="K45" s="204">
        <v>14180</v>
      </c>
      <c r="L45" s="383">
        <v>0</v>
      </c>
      <c r="M45" s="1667">
        <v>0</v>
      </c>
      <c r="N45" s="1667">
        <v>0</v>
      </c>
      <c r="O45" s="204">
        <v>29050</v>
      </c>
      <c r="P45" s="3405">
        <v>0</v>
      </c>
      <c r="Q45" s="558"/>
    </row>
    <row r="46" spans="1:17" ht="13.5" thickBot="1">
      <c r="A46" s="1612">
        <v>7020038</v>
      </c>
      <c r="B46" s="732" t="s">
        <v>2163</v>
      </c>
      <c r="C46" s="3365"/>
      <c r="D46" s="719"/>
      <c r="E46" s="144"/>
      <c r="F46" s="204"/>
      <c r="G46" s="2968"/>
      <c r="H46" s="204"/>
      <c r="I46" s="1653"/>
      <c r="J46" s="383"/>
      <c r="K46" s="204"/>
      <c r="L46" s="383"/>
      <c r="M46" s="1667">
        <v>0</v>
      </c>
      <c r="N46" s="1667">
        <v>72634</v>
      </c>
      <c r="O46" s="204">
        <v>80000</v>
      </c>
      <c r="P46" s="3405">
        <v>0</v>
      </c>
      <c r="Q46" s="558"/>
    </row>
    <row r="47" spans="1:17" ht="13.5" thickBot="1">
      <c r="A47" s="1612">
        <v>5800001</v>
      </c>
      <c r="B47" s="732" t="s">
        <v>4550</v>
      </c>
      <c r="C47" s="3365"/>
      <c r="D47" s="719"/>
      <c r="E47" s="144"/>
      <c r="F47" s="204"/>
      <c r="G47" s="2968"/>
      <c r="H47" s="204"/>
      <c r="I47" s="1653"/>
      <c r="J47" s="383"/>
      <c r="K47" s="204"/>
      <c r="L47" s="383"/>
      <c r="M47" s="1667"/>
      <c r="N47" s="1667"/>
      <c r="O47" s="204">
        <v>0</v>
      </c>
      <c r="P47" s="3405">
        <v>0</v>
      </c>
      <c r="Q47" s="558"/>
    </row>
    <row r="48" spans="1:17" ht="13.5" thickBot="1">
      <c r="A48" s="1612">
        <v>5110007</v>
      </c>
      <c r="B48" s="732" t="s">
        <v>3963</v>
      </c>
      <c r="C48" s="1661"/>
      <c r="D48" s="719"/>
      <c r="E48" s="144"/>
      <c r="F48" s="204"/>
      <c r="G48" s="2968"/>
      <c r="H48" s="204"/>
      <c r="I48" s="1653"/>
      <c r="J48" s="383"/>
      <c r="K48" s="204">
        <v>22227</v>
      </c>
      <c r="L48" s="383">
        <f>K48</f>
        <v>22227</v>
      </c>
      <c r="M48" s="204">
        <f>L48</f>
        <v>22227</v>
      </c>
      <c r="N48" s="204">
        <v>0</v>
      </c>
      <c r="O48" s="204">
        <v>0</v>
      </c>
      <c r="P48" s="2592">
        <v>0</v>
      </c>
      <c r="Q48" s="558"/>
    </row>
    <row r="49" spans="1:17" ht="13.5" thickBot="1">
      <c r="A49" s="1612">
        <v>6010007</v>
      </c>
      <c r="B49" s="732" t="s">
        <v>1103</v>
      </c>
      <c r="C49" s="3365"/>
      <c r="D49" s="719"/>
      <c r="E49" s="144"/>
      <c r="F49" s="204"/>
      <c r="G49" s="2968"/>
      <c r="H49" s="204"/>
      <c r="I49" s="1653"/>
      <c r="J49" s="383"/>
      <c r="K49" s="204"/>
      <c r="L49" s="383"/>
      <c r="M49" s="204">
        <v>9638</v>
      </c>
      <c r="N49" s="204">
        <v>0</v>
      </c>
      <c r="O49" s="204">
        <v>26500</v>
      </c>
      <c r="P49" s="2592">
        <v>26500</v>
      </c>
      <c r="Q49" s="558"/>
    </row>
    <row r="50" spans="1:17" ht="13.5" thickBot="1">
      <c r="A50" s="1612">
        <v>6010007</v>
      </c>
      <c r="B50" s="732" t="s">
        <v>1188</v>
      </c>
      <c r="C50" s="3365" t="s">
        <v>4204</v>
      </c>
      <c r="D50" s="719"/>
      <c r="E50" s="144"/>
      <c r="F50" s="204"/>
      <c r="G50" s="2968"/>
      <c r="H50" s="204"/>
      <c r="I50" s="1653"/>
      <c r="J50" s="383"/>
      <c r="K50" s="204"/>
      <c r="L50" s="383"/>
      <c r="M50" s="204">
        <v>35100</v>
      </c>
      <c r="N50" s="204">
        <v>0</v>
      </c>
      <c r="O50" s="204">
        <v>0</v>
      </c>
      <c r="P50" s="2592">
        <v>21000</v>
      </c>
      <c r="Q50" s="558"/>
    </row>
    <row r="51" spans="1:17" ht="13.5" thickBot="1">
      <c r="A51" s="1612">
        <v>8410048</v>
      </c>
      <c r="B51" s="732" t="s">
        <v>4095</v>
      </c>
      <c r="C51" s="3365"/>
      <c r="D51" s="719"/>
      <c r="E51" s="144"/>
      <c r="F51" s="204"/>
      <c r="G51" s="2968"/>
      <c r="H51" s="204"/>
      <c r="I51" s="1653"/>
      <c r="J51" s="383"/>
      <c r="K51" s="204"/>
      <c r="L51" s="383">
        <v>46544.87</v>
      </c>
      <c r="M51" s="204">
        <f>L51+46544.87</f>
        <v>93089.74</v>
      </c>
      <c r="N51" s="204">
        <f>93089.74+46544.87</f>
        <v>139634.61000000002</v>
      </c>
      <c r="O51" s="204">
        <f>139634.61-46544.87*3</f>
        <v>0</v>
      </c>
      <c r="P51" s="2592">
        <v>0</v>
      </c>
      <c r="Q51" s="558"/>
    </row>
    <row r="52" spans="1:17" ht="13.5" thickBot="1">
      <c r="A52" s="1611">
        <v>8030002</v>
      </c>
      <c r="B52" s="732" t="s">
        <v>163</v>
      </c>
      <c r="C52" s="1661"/>
      <c r="D52" s="719">
        <v>27000</v>
      </c>
      <c r="E52" s="144">
        <v>27000</v>
      </c>
      <c r="F52" s="204">
        <f t="shared" ref="F52:M52" si="2">E52</f>
        <v>27000</v>
      </c>
      <c r="G52" s="1653">
        <f t="shared" si="2"/>
        <v>27000</v>
      </c>
      <c r="H52" s="204">
        <f t="shared" si="2"/>
        <v>27000</v>
      </c>
      <c r="I52" s="1653">
        <f t="shared" si="2"/>
        <v>27000</v>
      </c>
      <c r="J52" s="383">
        <f t="shared" si="2"/>
        <v>27000</v>
      </c>
      <c r="K52" s="204">
        <f t="shared" si="2"/>
        <v>27000</v>
      </c>
      <c r="L52" s="383">
        <f t="shared" si="2"/>
        <v>27000</v>
      </c>
      <c r="M52" s="204">
        <f t="shared" si="2"/>
        <v>27000</v>
      </c>
      <c r="N52" s="204">
        <v>27000</v>
      </c>
      <c r="O52" s="204">
        <v>27000</v>
      </c>
      <c r="P52" s="2592">
        <v>27000</v>
      </c>
      <c r="Q52" s="558"/>
    </row>
    <row r="53" spans="1:17" ht="13.5" thickBot="1">
      <c r="A53" s="1610"/>
      <c r="B53" s="320"/>
      <c r="C53" s="320"/>
      <c r="D53" s="2634">
        <f t="shared" ref="D53:P53" si="3">SUM(D18:D52)</f>
        <v>368657.48000000004</v>
      </c>
      <c r="E53" s="2635">
        <f t="shared" si="3"/>
        <v>747960.62</v>
      </c>
      <c r="F53" s="2635">
        <f t="shared" si="3"/>
        <v>923187.22000000009</v>
      </c>
      <c r="G53" s="2635">
        <f t="shared" si="3"/>
        <v>381213.20999999996</v>
      </c>
      <c r="H53" s="2635">
        <f t="shared" si="3"/>
        <v>990590.61</v>
      </c>
      <c r="I53" s="2635">
        <f t="shared" si="3"/>
        <v>918890.35</v>
      </c>
      <c r="J53" s="2635">
        <f t="shared" si="3"/>
        <v>1227376.6000000001</v>
      </c>
      <c r="K53" s="2635">
        <f t="shared" si="3"/>
        <v>1489325.58</v>
      </c>
      <c r="L53" s="2635">
        <f t="shared" si="3"/>
        <v>1619420.04</v>
      </c>
      <c r="M53" s="2635">
        <f t="shared" si="3"/>
        <v>1661610.29</v>
      </c>
      <c r="N53" s="2635">
        <f t="shared" si="3"/>
        <v>2001799.84</v>
      </c>
      <c r="O53" s="2635">
        <f t="shared" si="3"/>
        <v>2240320.13</v>
      </c>
      <c r="P53" s="2636">
        <f t="shared" si="3"/>
        <v>1198804</v>
      </c>
      <c r="Q53" s="530"/>
    </row>
    <row r="54" spans="1:17" ht="13.5" thickBot="1">
      <c r="A54" s="650"/>
      <c r="B54" s="320"/>
      <c r="C54" s="320"/>
      <c r="D54" s="320"/>
      <c r="E54" s="320"/>
      <c r="F54" s="320"/>
      <c r="G54" s="320"/>
      <c r="H54" s="320"/>
      <c r="I54" s="320"/>
      <c r="J54" s="320"/>
      <c r="K54" s="320"/>
      <c r="L54" s="320"/>
      <c r="M54" s="320"/>
      <c r="N54" s="320"/>
      <c r="O54" s="320"/>
      <c r="P54" s="956">
        <f>'מאזן בוחן'!$J$456+P53</f>
        <v>0</v>
      </c>
      <c r="Q54" s="530"/>
    </row>
    <row r="55" spans="1:17">
      <c r="A55" s="650"/>
      <c r="B55" s="320"/>
      <c r="C55" s="320"/>
      <c r="D55" s="320"/>
      <c r="E55" s="320"/>
      <c r="F55" s="320"/>
      <c r="G55" s="320"/>
      <c r="H55" s="320"/>
      <c r="I55" s="320"/>
      <c r="J55" s="320"/>
      <c r="K55" s="320"/>
      <c r="L55" s="320"/>
      <c r="M55" s="320"/>
      <c r="N55" s="320"/>
      <c r="O55" s="320"/>
      <c r="P55" s="320"/>
      <c r="Q55" s="530"/>
    </row>
    <row r="56" spans="1:17" ht="13.5" thickBot="1">
      <c r="A56" s="650"/>
      <c r="B56" s="320"/>
      <c r="C56" s="320"/>
      <c r="D56" s="320"/>
      <c r="E56" s="320"/>
      <c r="F56" s="320"/>
      <c r="G56" s="320"/>
      <c r="H56" s="320"/>
      <c r="I56" s="320"/>
      <c r="J56" s="320"/>
      <c r="K56" s="320"/>
      <c r="L56" s="320"/>
      <c r="M56" s="320"/>
      <c r="N56" s="320"/>
      <c r="O56" s="320"/>
      <c r="P56" s="320"/>
      <c r="Q56" s="530"/>
    </row>
    <row r="57" spans="1:17" ht="13.5" thickBot="1">
      <c r="A57" s="1222">
        <f>'מאזן בוחן'!C471</f>
        <v>2400001</v>
      </c>
      <c r="B57" s="986" t="str">
        <f>'מאזן בוחן'!D471</f>
        <v>הוצאות לשלם עובדים</v>
      </c>
      <c r="C57" s="4409" t="s">
        <v>1458</v>
      </c>
      <c r="D57" s="4410"/>
      <c r="E57" s="4410"/>
      <c r="F57" s="4410"/>
      <c r="G57" s="4410"/>
      <c r="H57" s="4410"/>
      <c r="I57" s="4410"/>
      <c r="J57" s="4410"/>
      <c r="K57" s="4410"/>
      <c r="L57" s="4410"/>
      <c r="M57" s="4410"/>
      <c r="N57" s="4410"/>
      <c r="O57" s="4411"/>
      <c r="P57" s="320"/>
      <c r="Q57" s="530"/>
    </row>
    <row r="58" spans="1:17">
      <c r="A58" s="650"/>
      <c r="B58" s="1226"/>
      <c r="C58" s="1634">
        <v>44166</v>
      </c>
      <c r="D58" s="3285">
        <v>44197</v>
      </c>
      <c r="E58" s="3285">
        <v>44228</v>
      </c>
      <c r="F58" s="3285">
        <v>44256</v>
      </c>
      <c r="G58" s="3285">
        <v>44287</v>
      </c>
      <c r="H58" s="3285">
        <v>44317</v>
      </c>
      <c r="I58" s="3285">
        <v>44348</v>
      </c>
      <c r="J58" s="3285">
        <v>44378</v>
      </c>
      <c r="K58" s="3285">
        <v>44409</v>
      </c>
      <c r="L58" s="3285">
        <v>44440</v>
      </c>
      <c r="M58" s="3285">
        <v>44470</v>
      </c>
      <c r="N58" s="3285">
        <v>44501</v>
      </c>
      <c r="O58" s="2857">
        <v>44531</v>
      </c>
      <c r="P58" s="320"/>
      <c r="Q58" s="530"/>
    </row>
    <row r="59" spans="1:17">
      <c r="A59" s="650"/>
      <c r="B59" s="1226" t="s">
        <v>2107</v>
      </c>
      <c r="C59" s="4191">
        <v>3368348.5389246307</v>
      </c>
      <c r="D59" s="320">
        <f>C59</f>
        <v>3368348.5389246307</v>
      </c>
      <c r="E59" s="976">
        <v>0</v>
      </c>
      <c r="F59" s="518">
        <v>0</v>
      </c>
      <c r="G59" s="518">
        <v>0</v>
      </c>
      <c r="H59" s="518"/>
      <c r="I59" s="518"/>
      <c r="J59" s="144"/>
      <c r="K59" s="518"/>
      <c r="L59" s="518">
        <v>0</v>
      </c>
      <c r="M59" s="144">
        <v>0</v>
      </c>
      <c r="N59" s="144">
        <v>0</v>
      </c>
      <c r="O59" s="1463">
        <v>0</v>
      </c>
      <c r="P59" s="320"/>
      <c r="Q59" s="1614"/>
    </row>
    <row r="60" spans="1:17">
      <c r="A60" s="650"/>
      <c r="B60" s="1226" t="s">
        <v>3218</v>
      </c>
      <c r="C60" s="650"/>
      <c r="D60" s="320">
        <v>287000</v>
      </c>
      <c r="E60" s="383">
        <f>D60+287000</f>
        <v>574000</v>
      </c>
      <c r="F60" s="320">
        <v>945422.38</v>
      </c>
      <c r="G60" s="320">
        <f t="shared" ref="G60:N60" si="4">F60+306349.04</f>
        <v>1251771.42</v>
      </c>
      <c r="H60" s="320">
        <f t="shared" si="4"/>
        <v>1558120.46</v>
      </c>
      <c r="I60" s="320">
        <f t="shared" si="4"/>
        <v>1864469.5</v>
      </c>
      <c r="J60" s="144">
        <f t="shared" si="4"/>
        <v>2170818.54</v>
      </c>
      <c r="K60" s="144">
        <f t="shared" si="4"/>
        <v>2477167.58</v>
      </c>
      <c r="L60" s="144">
        <f t="shared" si="4"/>
        <v>2783516.62</v>
      </c>
      <c r="M60" s="144">
        <f t="shared" si="4"/>
        <v>3089865.66</v>
      </c>
      <c r="N60" s="144">
        <f t="shared" si="4"/>
        <v>3396214.7</v>
      </c>
      <c r="O60" s="4189">
        <f>[43]Sheet1!$G$22*'מאזן בוחן'!$N$2</f>
        <v>3089813.2121565808</v>
      </c>
      <c r="P60" s="650"/>
      <c r="Q60" s="1614"/>
    </row>
    <row r="61" spans="1:17">
      <c r="A61" s="650"/>
      <c r="B61" s="1226" t="s">
        <v>4803</v>
      </c>
      <c r="C61" s="650"/>
      <c r="D61" s="320"/>
      <c r="E61" s="383"/>
      <c r="F61" s="320"/>
      <c r="G61" s="320"/>
      <c r="H61" s="320"/>
      <c r="I61" s="320"/>
      <c r="J61" s="144"/>
      <c r="K61" s="144"/>
      <c r="L61" s="144"/>
      <c r="M61" s="144"/>
      <c r="N61" s="144"/>
      <c r="O61" s="4189">
        <v>0</v>
      </c>
      <c r="P61" s="320"/>
      <c r="Q61" s="4195" t="s">
        <v>4891</v>
      </c>
    </row>
    <row r="62" spans="1:17">
      <c r="A62" s="650"/>
      <c r="B62" s="1226" t="s">
        <v>3477</v>
      </c>
      <c r="C62" s="650"/>
      <c r="D62" s="320"/>
      <c r="E62" s="383"/>
      <c r="F62" s="320">
        <f>[98]Ltd!$D$12*'נתונים לשינוי'!$C$22</f>
        <v>459437.29166969354</v>
      </c>
      <c r="G62" s="3811">
        <v>0</v>
      </c>
      <c r="H62" s="320"/>
      <c r="I62" s="320">
        <v>201867.72928471101</v>
      </c>
      <c r="J62" s="144">
        <v>0</v>
      </c>
      <c r="K62" s="320"/>
      <c r="L62" s="320">
        <v>374139.03</v>
      </c>
      <c r="M62" s="144">
        <v>0</v>
      </c>
      <c r="N62" s="144">
        <v>0</v>
      </c>
      <c r="O62" s="4189">
        <f>([99]Main!$G$8+[99]Main!$G$12+[99]Main!$G$17)*'מאזן בוחן'!$N$2</f>
        <v>691990.82081897056</v>
      </c>
      <c r="P62" s="320"/>
      <c r="Q62" s="1614"/>
    </row>
    <row r="63" spans="1:17">
      <c r="A63" s="650"/>
      <c r="B63" s="1226" t="s">
        <v>4821</v>
      </c>
      <c r="C63" s="650"/>
      <c r="D63" s="320"/>
      <c r="E63" s="383"/>
      <c r="F63" s="320">
        <f>'ביאורים לדוחות הכספיים'!F38*'נתונים לשינוי'!$C$22</f>
        <v>10997.594939676983</v>
      </c>
      <c r="G63" s="3811">
        <v>0</v>
      </c>
      <c r="H63" s="320"/>
      <c r="I63" s="320">
        <v>11465.79</v>
      </c>
      <c r="J63" s="144">
        <v>0</v>
      </c>
      <c r="K63" s="320"/>
      <c r="L63" s="320">
        <v>11418.4</v>
      </c>
      <c r="M63" s="144">
        <v>0</v>
      </c>
      <c r="N63" s="144">
        <v>0</v>
      </c>
      <c r="O63" s="4190">
        <f>[99]Main!$O$23</f>
        <v>1632.36</v>
      </c>
      <c r="P63" s="320"/>
      <c r="Q63" s="1614"/>
    </row>
    <row r="64" spans="1:17">
      <c r="A64" s="650"/>
      <c r="B64" s="1226" t="s">
        <v>3292</v>
      </c>
      <c r="C64" s="4191">
        <v>174500</v>
      </c>
      <c r="D64" s="320">
        <f>C64</f>
        <v>174500</v>
      </c>
      <c r="E64" s="976">
        <v>0</v>
      </c>
      <c r="F64" s="518">
        <v>0</v>
      </c>
      <c r="G64" s="3811">
        <v>0</v>
      </c>
      <c r="H64" s="320"/>
      <c r="I64" s="320"/>
      <c r="J64" s="144"/>
      <c r="K64" s="320"/>
      <c r="L64" s="518">
        <v>0</v>
      </c>
      <c r="M64" s="144">
        <v>0</v>
      </c>
      <c r="N64" s="144">
        <v>0</v>
      </c>
      <c r="O64" s="4189">
        <f>'[93]One-Time Bonus '!$G$21*'מאזן בוחן'!$N$2</f>
        <v>1321529.5009999997</v>
      </c>
      <c r="P64" s="320"/>
      <c r="Q64" s="1615"/>
    </row>
    <row r="65" spans="1:19">
      <c r="A65" s="650"/>
      <c r="B65" s="1226" t="s">
        <v>4803</v>
      </c>
      <c r="C65" s="650"/>
      <c r="D65" s="320"/>
      <c r="E65" s="976"/>
      <c r="F65" s="518"/>
      <c r="G65" s="3811"/>
      <c r="H65" s="320"/>
      <c r="I65" s="320"/>
      <c r="J65" s="144"/>
      <c r="K65" s="320"/>
      <c r="L65" s="518"/>
      <c r="M65" s="144"/>
      <c r="N65" s="144">
        <v>0</v>
      </c>
      <c r="O65" s="4189">
        <f>'[100]Israel one time bonus'!$I$27</f>
        <v>43538.333333333328</v>
      </c>
      <c r="P65" s="320"/>
      <c r="Q65" s="1615"/>
    </row>
    <row r="66" spans="1:19">
      <c r="A66" s="650"/>
      <c r="B66" s="1226" t="s">
        <v>3380</v>
      </c>
      <c r="C66" s="4191">
        <v>30101</v>
      </c>
      <c r="D66" s="204">
        <v>30101</v>
      </c>
      <c r="E66" s="204">
        <v>30101</v>
      </c>
      <c r="F66" s="976">
        <v>0</v>
      </c>
      <c r="G66" s="3811">
        <v>0</v>
      </c>
      <c r="H66" s="320"/>
      <c r="I66" s="320"/>
      <c r="J66" s="144"/>
      <c r="K66" s="320"/>
      <c r="L66" s="518">
        <v>0</v>
      </c>
      <c r="M66" s="144">
        <v>0</v>
      </c>
      <c r="N66" s="144">
        <v>0</v>
      </c>
      <c r="O66" s="3825">
        <v>0</v>
      </c>
      <c r="P66" s="320"/>
      <c r="Q66" s="1615"/>
    </row>
    <row r="67" spans="1:19">
      <c r="A67" s="650"/>
      <c r="B67" s="1226" t="s">
        <v>3285</v>
      </c>
      <c r="C67" s="4191">
        <f>82277-C66</f>
        <v>52176</v>
      </c>
      <c r="D67" s="320">
        <f>C67</f>
        <v>52176</v>
      </c>
      <c r="E67" s="204">
        <v>0</v>
      </c>
      <c r="F67" s="144">
        <v>0</v>
      </c>
      <c r="G67" s="3811">
        <v>0</v>
      </c>
      <c r="H67" s="320"/>
      <c r="I67" s="320"/>
      <c r="J67" s="144"/>
      <c r="K67" s="320"/>
      <c r="L67" s="518">
        <v>0</v>
      </c>
      <c r="M67" s="144">
        <v>0</v>
      </c>
      <c r="N67" s="144">
        <v>0</v>
      </c>
      <c r="O67" s="3825">
        <v>0</v>
      </c>
      <c r="P67" s="320"/>
      <c r="Q67" s="1616"/>
    </row>
    <row r="68" spans="1:19">
      <c r="A68" s="650"/>
      <c r="B68" s="1226" t="s">
        <v>4823</v>
      </c>
      <c r="C68" s="4191">
        <v>615413.25643591199</v>
      </c>
      <c r="D68" s="144">
        <v>94576</v>
      </c>
      <c r="E68" s="204">
        <v>94576</v>
      </c>
      <c r="F68" s="976">
        <v>0</v>
      </c>
      <c r="G68" s="3812">
        <v>0</v>
      </c>
      <c r="H68" s="320"/>
      <c r="I68" s="320"/>
      <c r="J68" s="144"/>
      <c r="K68" s="320"/>
      <c r="L68" s="518">
        <v>0</v>
      </c>
      <c r="M68" s="144">
        <v>0</v>
      </c>
      <c r="N68" s="144">
        <v>0</v>
      </c>
      <c r="O68" s="4189">
        <f>([99]Main!$G$34+[99]Main!$G$41)*'מאזן בוחן'!$N$2</f>
        <v>122116.04719541842</v>
      </c>
      <c r="P68" s="320"/>
      <c r="Q68" s="1232"/>
    </row>
    <row r="69" spans="1:19" ht="13.5" thickBot="1">
      <c r="A69" s="650"/>
      <c r="B69" s="320"/>
      <c r="C69" s="987">
        <f t="shared" ref="C69:O69" si="5">SUM(C59:C68)</f>
        <v>4240538.7953605428</v>
      </c>
      <c r="D69" s="1656">
        <f t="shared" si="5"/>
        <v>4006701.5389246307</v>
      </c>
      <c r="E69" s="1656">
        <f t="shared" si="5"/>
        <v>698677</v>
      </c>
      <c r="F69" s="1656">
        <f t="shared" si="5"/>
        <v>1415857.2666093707</v>
      </c>
      <c r="G69" s="1656">
        <f t="shared" si="5"/>
        <v>1251771.42</v>
      </c>
      <c r="H69" s="1656">
        <f t="shared" si="5"/>
        <v>1558120.46</v>
      </c>
      <c r="I69" s="1656">
        <f t="shared" si="5"/>
        <v>2077803.019284711</v>
      </c>
      <c r="J69" s="1656">
        <f t="shared" si="5"/>
        <v>2170818.54</v>
      </c>
      <c r="K69" s="1656">
        <f t="shared" si="5"/>
        <v>2477167.58</v>
      </c>
      <c r="L69" s="1656">
        <f t="shared" si="5"/>
        <v>3169074.0500000003</v>
      </c>
      <c r="M69" s="1656">
        <f t="shared" si="5"/>
        <v>3089865.66</v>
      </c>
      <c r="N69" s="1656">
        <f t="shared" si="5"/>
        <v>3396214.7</v>
      </c>
      <c r="O69" s="2825">
        <f t="shared" si="5"/>
        <v>5270620.2745043021</v>
      </c>
      <c r="P69" s="320"/>
      <c r="Q69" s="530"/>
      <c r="S69" s="33"/>
    </row>
    <row r="70" spans="1:19" ht="13.5" thickBot="1">
      <c r="A70" s="650"/>
      <c r="B70" s="320"/>
      <c r="C70" s="320"/>
      <c r="D70" s="320"/>
      <c r="E70" s="320"/>
      <c r="F70" s="320"/>
      <c r="G70" s="320"/>
      <c r="H70" s="320"/>
      <c r="I70" s="320"/>
      <c r="J70" s="320"/>
      <c r="K70" s="320"/>
      <c r="L70" s="320"/>
      <c r="M70" s="320"/>
      <c r="N70" s="320"/>
      <c r="O70" s="956">
        <f>'מאזן בוחן'!$J$471+O69</f>
        <v>-219.27549569774419</v>
      </c>
      <c r="P70" s="320"/>
      <c r="Q70" s="530"/>
    </row>
    <row r="71" spans="1:19">
      <c r="A71" s="650"/>
      <c r="B71" s="320"/>
      <c r="C71" s="320"/>
      <c r="D71" s="320"/>
      <c r="E71" s="320"/>
      <c r="F71" s="320"/>
      <c r="G71" s="320"/>
      <c r="H71" s="320"/>
      <c r="I71" s="320"/>
      <c r="J71" s="320"/>
      <c r="K71" s="320"/>
      <c r="L71" s="320"/>
      <c r="M71" s="320"/>
      <c r="N71" s="320"/>
      <c r="O71" s="320"/>
      <c r="P71" s="320"/>
      <c r="Q71" s="530"/>
    </row>
    <row r="72" spans="1:19">
      <c r="A72" s="650"/>
      <c r="B72" s="320"/>
      <c r="C72" s="320"/>
      <c r="D72" s="320"/>
      <c r="E72" s="320"/>
      <c r="F72" s="320"/>
      <c r="G72" s="320"/>
      <c r="H72" s="320"/>
      <c r="I72" s="320"/>
      <c r="J72" s="320"/>
      <c r="K72" s="320"/>
      <c r="L72" s="320"/>
      <c r="M72" s="320"/>
      <c r="N72" s="320"/>
      <c r="O72" s="320"/>
      <c r="P72" s="320"/>
      <c r="Q72" s="530"/>
    </row>
    <row r="73" spans="1:19">
      <c r="A73" s="650"/>
      <c r="B73" s="320"/>
      <c r="C73" s="320"/>
      <c r="D73" s="320"/>
      <c r="E73" s="320"/>
      <c r="F73" s="320"/>
      <c r="G73" s="320"/>
      <c r="H73" s="320"/>
      <c r="I73" s="320"/>
      <c r="J73" s="320"/>
      <c r="K73" s="320"/>
      <c r="L73" s="320"/>
      <c r="M73" s="320"/>
      <c r="N73" s="518"/>
      <c r="O73" s="320"/>
      <c r="P73" s="320"/>
      <c r="Q73" s="530"/>
    </row>
    <row r="74" spans="1:19" ht="13.5" thickBot="1">
      <c r="A74" s="651"/>
      <c r="B74" s="718"/>
      <c r="C74" s="718"/>
      <c r="D74" s="718"/>
      <c r="E74" s="718"/>
      <c r="F74" s="718"/>
      <c r="G74" s="718"/>
      <c r="H74" s="718"/>
      <c r="I74" s="718"/>
      <c r="J74" s="718"/>
      <c r="K74" s="718"/>
      <c r="L74" s="718"/>
      <c r="M74" s="718"/>
      <c r="N74" s="718"/>
      <c r="O74" s="718"/>
      <c r="P74" s="718"/>
      <c r="Q74" s="531"/>
    </row>
    <row r="75" spans="1:19">
      <c r="A75" s="1235" t="s">
        <v>2286</v>
      </c>
      <c r="B75" s="717"/>
      <c r="C75" s="717"/>
      <c r="D75" s="717"/>
      <c r="E75" s="717"/>
      <c r="F75" s="717"/>
      <c r="G75" s="717"/>
      <c r="H75" s="717"/>
      <c r="I75" s="717"/>
      <c r="J75" s="717"/>
      <c r="K75" s="717"/>
      <c r="L75" s="717"/>
      <c r="M75" s="717"/>
      <c r="N75" s="717"/>
      <c r="O75" s="717"/>
      <c r="P75" s="717"/>
      <c r="Q75" s="734"/>
    </row>
    <row r="76" spans="1:19" ht="13.5" thickBot="1">
      <c r="A76" s="650"/>
      <c r="B76" s="320"/>
      <c r="C76" s="320"/>
      <c r="D76" s="320"/>
      <c r="E76" s="320"/>
      <c r="F76" s="320"/>
      <c r="G76" s="320"/>
      <c r="H76" s="320"/>
      <c r="I76" s="320"/>
      <c r="J76" s="320"/>
      <c r="K76" s="320"/>
      <c r="L76" s="320"/>
      <c r="M76" s="320"/>
      <c r="N76" s="320"/>
      <c r="O76" s="320"/>
      <c r="P76" s="320"/>
      <c r="Q76" s="530"/>
    </row>
    <row r="77" spans="1:19" ht="13.5" thickBot="1">
      <c r="A77" s="1222">
        <v>2200001</v>
      </c>
      <c r="C77" s="4406" t="s">
        <v>1225</v>
      </c>
      <c r="D77" s="4407"/>
      <c r="E77" s="4407"/>
      <c r="F77" s="4407"/>
      <c r="G77" s="4407"/>
      <c r="H77" s="4407"/>
      <c r="I77" s="4407"/>
      <c r="J77" s="4407"/>
      <c r="K77" s="4407"/>
      <c r="L77" s="4407"/>
      <c r="M77" s="4407"/>
      <c r="N77" s="4407"/>
      <c r="O77" s="4408"/>
      <c r="Q77" s="530"/>
    </row>
    <row r="78" spans="1:19">
      <c r="A78" s="650"/>
      <c r="B78" s="1223" t="s">
        <v>702</v>
      </c>
      <c r="C78" s="1224">
        <v>44166</v>
      </c>
      <c r="D78" s="1224">
        <v>44197</v>
      </c>
      <c r="E78" s="1224">
        <v>44228</v>
      </c>
      <c r="F78" s="1224">
        <v>44256</v>
      </c>
      <c r="G78" s="1224">
        <v>44287</v>
      </c>
      <c r="H78" s="1224">
        <v>44317</v>
      </c>
      <c r="I78" s="1224">
        <v>44348</v>
      </c>
      <c r="J78" s="1224">
        <v>44378</v>
      </c>
      <c r="K78" s="1224">
        <v>44409</v>
      </c>
      <c r="L78" s="1224">
        <v>44440</v>
      </c>
      <c r="M78" s="1224">
        <v>44470</v>
      </c>
      <c r="N78" s="1224">
        <v>44501</v>
      </c>
      <c r="O78" s="1224">
        <v>44531</v>
      </c>
      <c r="Q78" s="530"/>
    </row>
    <row r="79" spans="1:19">
      <c r="A79" s="650"/>
      <c r="B79" s="320" t="s">
        <v>2287</v>
      </c>
      <c r="C79" s="320">
        <v>2400</v>
      </c>
      <c r="D79" s="320">
        <f t="shared" ref="D79:I79" si="6">C79</f>
        <v>2400</v>
      </c>
      <c r="E79" s="320">
        <f t="shared" si="6"/>
        <v>2400</v>
      </c>
      <c r="F79" s="320">
        <f t="shared" si="6"/>
        <v>2400</v>
      </c>
      <c r="G79" s="320">
        <f t="shared" si="6"/>
        <v>2400</v>
      </c>
      <c r="H79" s="320">
        <f t="shared" si="6"/>
        <v>2400</v>
      </c>
      <c r="I79" s="320">
        <f t="shared" si="6"/>
        <v>2400</v>
      </c>
      <c r="J79" s="144">
        <f>I79</f>
        <v>2400</v>
      </c>
      <c r="K79" s="32">
        <f>J79-900</f>
        <v>1500</v>
      </c>
      <c r="L79" s="32">
        <f>K79</f>
        <v>1500</v>
      </c>
      <c r="M79" s="32">
        <f>L79</f>
        <v>1500</v>
      </c>
      <c r="N79" s="32">
        <f>M79</f>
        <v>1500</v>
      </c>
      <c r="O79" s="490">
        <v>0</v>
      </c>
      <c r="P79" s="320"/>
      <c r="Q79" s="530"/>
    </row>
    <row r="80" spans="1:19">
      <c r="A80" s="650"/>
      <c r="B80" s="320" t="s">
        <v>3288</v>
      </c>
      <c r="C80" s="320"/>
      <c r="D80" s="320">
        <v>300</v>
      </c>
      <c r="E80" s="320">
        <f>D80+300</f>
        <v>600</v>
      </c>
      <c r="F80" s="320">
        <f t="shared" ref="F80:N80" si="7">E80+300</f>
        <v>900</v>
      </c>
      <c r="G80" s="320">
        <f t="shared" si="7"/>
        <v>1200</v>
      </c>
      <c r="H80" s="320">
        <f t="shared" si="7"/>
        <v>1500</v>
      </c>
      <c r="I80" s="320">
        <f t="shared" si="7"/>
        <v>1800</v>
      </c>
      <c r="J80" s="320">
        <f t="shared" si="7"/>
        <v>2100</v>
      </c>
      <c r="K80" s="320">
        <f t="shared" si="7"/>
        <v>2400</v>
      </c>
      <c r="L80" s="320">
        <f t="shared" si="7"/>
        <v>2700</v>
      </c>
      <c r="M80" s="320">
        <f t="shared" si="7"/>
        <v>3000</v>
      </c>
      <c r="N80" s="320">
        <f t="shared" si="7"/>
        <v>3300</v>
      </c>
      <c r="O80" s="320">
        <v>5725</v>
      </c>
      <c r="P80" s="320"/>
      <c r="Q80" s="530"/>
    </row>
    <row r="81" spans="1:17">
      <c r="A81" s="650"/>
      <c r="B81" s="320" t="s">
        <v>2288</v>
      </c>
      <c r="C81" s="320"/>
      <c r="D81" s="320"/>
      <c r="E81" s="320"/>
      <c r="F81" s="320"/>
      <c r="G81" s="320"/>
      <c r="H81" s="320"/>
      <c r="I81" s="320"/>
      <c r="J81" s="144"/>
      <c r="K81" s="144"/>
      <c r="L81" s="320"/>
      <c r="M81" s="320"/>
      <c r="N81" s="320"/>
      <c r="O81" s="518">
        <v>0</v>
      </c>
      <c r="P81" s="320"/>
      <c r="Q81" s="530"/>
    </row>
    <row r="82" spans="1:17">
      <c r="A82" s="650"/>
      <c r="B82" s="320" t="s">
        <v>2289</v>
      </c>
      <c r="C82" s="320"/>
      <c r="D82" s="320"/>
      <c r="E82" s="320"/>
      <c r="F82" s="320"/>
      <c r="G82" s="320"/>
      <c r="H82" s="320"/>
      <c r="I82" s="320"/>
      <c r="J82" s="144"/>
      <c r="K82" s="144"/>
      <c r="L82" s="320"/>
      <c r="M82" s="320"/>
      <c r="N82" s="320"/>
      <c r="O82" s="518">
        <v>0</v>
      </c>
      <c r="P82" s="383"/>
      <c r="Q82" s="530"/>
    </row>
    <row r="83" spans="1:17" ht="13.5" thickBot="1">
      <c r="A83" s="650"/>
      <c r="B83" s="320"/>
      <c r="C83" s="1236">
        <v>2400</v>
      </c>
      <c r="D83" s="1236">
        <f t="shared" ref="D83:O83" si="8">SUM(D79:D82)</f>
        <v>2700</v>
      </c>
      <c r="E83" s="1236">
        <f t="shared" si="8"/>
        <v>3000</v>
      </c>
      <c r="F83" s="1236">
        <f t="shared" si="8"/>
        <v>3300</v>
      </c>
      <c r="G83" s="1236">
        <f t="shared" si="8"/>
        <v>3600</v>
      </c>
      <c r="H83" s="1236">
        <f t="shared" si="8"/>
        <v>3900</v>
      </c>
      <c r="I83" s="1236">
        <f t="shared" si="8"/>
        <v>4200</v>
      </c>
      <c r="J83" s="1236">
        <f t="shared" si="8"/>
        <v>4500</v>
      </c>
      <c r="K83" s="1236">
        <f t="shared" si="8"/>
        <v>3900</v>
      </c>
      <c r="L83" s="1236">
        <f t="shared" si="8"/>
        <v>4200</v>
      </c>
      <c r="M83" s="1236">
        <f t="shared" si="8"/>
        <v>4500</v>
      </c>
      <c r="N83" s="1236">
        <f t="shared" si="8"/>
        <v>4800</v>
      </c>
      <c r="O83" s="1236">
        <f t="shared" si="8"/>
        <v>5725</v>
      </c>
      <c r="P83" s="320"/>
      <c r="Q83" s="530"/>
    </row>
    <row r="84" spans="1:17" ht="14.25" thickTop="1" thickBot="1">
      <c r="A84" s="650"/>
      <c r="B84" s="320"/>
      <c r="C84" s="320"/>
      <c r="D84" s="320"/>
      <c r="O84" s="956">
        <f>+'מאזן בוחן צרפת'!$J$145+O83</f>
        <v>0</v>
      </c>
      <c r="P84" s="320"/>
      <c r="Q84" s="530"/>
    </row>
    <row r="85" spans="1:17">
      <c r="A85" s="650"/>
      <c r="B85" s="320"/>
      <c r="C85" s="320"/>
      <c r="D85" s="320"/>
      <c r="E85" s="320"/>
      <c r="F85" s="320"/>
      <c r="G85" s="320"/>
      <c r="H85" s="320"/>
      <c r="I85" s="320"/>
      <c r="K85" s="320"/>
      <c r="L85" s="320"/>
      <c r="M85" s="320"/>
      <c r="N85" s="320"/>
      <c r="O85" s="320"/>
      <c r="P85" s="320"/>
      <c r="Q85" s="530"/>
    </row>
    <row r="86" spans="1:17">
      <c r="A86" s="1222">
        <v>2400001</v>
      </c>
      <c r="B86" s="1223" t="s">
        <v>525</v>
      </c>
      <c r="C86" s="1224">
        <v>44166</v>
      </c>
      <c r="D86" s="1224">
        <v>44197</v>
      </c>
      <c r="E86" s="1224">
        <v>44228</v>
      </c>
      <c r="F86" s="1224">
        <v>44256</v>
      </c>
      <c r="G86" s="1224">
        <v>44287</v>
      </c>
      <c r="H86" s="1224">
        <v>44317</v>
      </c>
      <c r="I86" s="1224">
        <v>44348</v>
      </c>
      <c r="J86" s="1224">
        <v>44378</v>
      </c>
      <c r="K86" s="1224">
        <v>44409</v>
      </c>
      <c r="L86" s="1224">
        <v>44440</v>
      </c>
      <c r="M86" s="1224">
        <v>44470</v>
      </c>
      <c r="N86" s="1224">
        <v>44501</v>
      </c>
      <c r="O86" s="1224">
        <v>44531</v>
      </c>
      <c r="P86" s="320"/>
      <c r="Q86" s="530"/>
    </row>
    <row r="87" spans="1:17">
      <c r="A87" s="650"/>
      <c r="B87" s="1229" t="s">
        <v>3193</v>
      </c>
      <c r="C87" s="726">
        <v>0</v>
      </c>
      <c r="D87" s="204">
        <v>0</v>
      </c>
      <c r="E87" s="204">
        <v>0</v>
      </c>
      <c r="F87" s="2459"/>
      <c r="G87" s="518">
        <v>0</v>
      </c>
      <c r="H87" s="2459"/>
      <c r="I87" s="2459"/>
      <c r="J87" s="518">
        <v>0</v>
      </c>
      <c r="K87" s="518">
        <v>0</v>
      </c>
      <c r="L87" s="518">
        <v>0</v>
      </c>
      <c r="M87" s="518">
        <v>0</v>
      </c>
      <c r="N87" s="518">
        <v>0</v>
      </c>
      <c r="O87" s="144">
        <f>'[101]YTD Comm. Report '!$Q$155</f>
        <v>7539.87</v>
      </c>
      <c r="P87" s="320"/>
      <c r="Q87" s="530"/>
    </row>
    <row r="88" spans="1:17">
      <c r="A88" s="650"/>
      <c r="B88" s="1229" t="s">
        <v>4733</v>
      </c>
      <c r="C88" s="726"/>
      <c r="D88" s="204"/>
      <c r="E88" s="204"/>
      <c r="F88" s="2459"/>
      <c r="G88" s="518"/>
      <c r="H88" s="2459"/>
      <c r="I88" s="2459"/>
      <c r="J88" s="518"/>
      <c r="K88" s="518"/>
      <c r="L88" s="518"/>
      <c r="M88" s="518"/>
      <c r="N88" s="518"/>
      <c r="O88" s="144">
        <f>'[102] EMEA Summary data 21'!$I$52</f>
        <v>3166.7453999999998</v>
      </c>
      <c r="P88" s="320"/>
      <c r="Q88" s="530"/>
    </row>
    <row r="89" spans="1:17">
      <c r="A89" s="650"/>
      <c r="B89" s="1229" t="s">
        <v>4311</v>
      </c>
      <c r="C89" s="726"/>
      <c r="D89" s="204"/>
      <c r="E89" s="204"/>
      <c r="F89" s="2459"/>
      <c r="G89" s="518"/>
      <c r="H89" s="2459"/>
      <c r="I89" s="2459"/>
      <c r="J89" s="518"/>
      <c r="K89" s="518"/>
      <c r="L89" s="518"/>
      <c r="M89" s="518"/>
      <c r="N89" s="518"/>
      <c r="O89" s="518">
        <v>0</v>
      </c>
      <c r="P89" s="320"/>
      <c r="Q89" s="530"/>
    </row>
    <row r="90" spans="1:17">
      <c r="A90" s="650"/>
      <c r="B90" s="1229" t="s">
        <v>3729</v>
      </c>
      <c r="C90" s="726"/>
      <c r="D90" s="204"/>
      <c r="E90" s="204"/>
      <c r="F90" s="2459"/>
      <c r="G90" s="518"/>
      <c r="H90" s="2459"/>
      <c r="I90" s="320">
        <v>7913.01</v>
      </c>
      <c r="J90" s="144">
        <v>0</v>
      </c>
      <c r="K90" s="518">
        <v>0</v>
      </c>
      <c r="L90" s="518">
        <v>0</v>
      </c>
      <c r="M90" s="518">
        <v>0</v>
      </c>
      <c r="N90" s="518">
        <v>0</v>
      </c>
      <c r="O90" s="518">
        <v>0</v>
      </c>
      <c r="P90" s="320"/>
      <c r="Q90" s="530"/>
    </row>
    <row r="91" spans="1:17">
      <c r="A91" s="650"/>
      <c r="B91" s="1229" t="s">
        <v>3218</v>
      </c>
      <c r="C91" s="726"/>
      <c r="D91" s="204"/>
      <c r="E91" s="204"/>
      <c r="F91" s="320">
        <v>12840</v>
      </c>
      <c r="G91" s="320">
        <f>F91</f>
        <v>12840</v>
      </c>
      <c r="H91" s="320">
        <f>G91</f>
        <v>12840</v>
      </c>
      <c r="I91" s="320">
        <f>H91*2</f>
        <v>25680</v>
      </c>
      <c r="J91" s="320">
        <f>I91</f>
        <v>25680</v>
      </c>
      <c r="K91" s="518">
        <f>J91</f>
        <v>25680</v>
      </c>
      <c r="L91" s="144">
        <f>K91/2*3</f>
        <v>38520</v>
      </c>
      <c r="M91" s="518">
        <f>L91</f>
        <v>38520</v>
      </c>
      <c r="N91" s="144">
        <f>M91</f>
        <v>38520</v>
      </c>
      <c r="O91" s="144">
        <f>([43]Sheet1!$F$31)*'מאזן בוחן צרפת'!$O$2</f>
        <v>33306.713028755432</v>
      </c>
      <c r="P91" s="320"/>
      <c r="Q91" s="530"/>
    </row>
    <row r="92" spans="1:17">
      <c r="A92" s="650"/>
      <c r="B92" s="1229" t="s">
        <v>4988</v>
      </c>
      <c r="C92" s="726"/>
      <c r="D92" s="204"/>
      <c r="E92" s="204"/>
      <c r="F92" s="320"/>
      <c r="G92" s="320"/>
      <c r="H92" s="320"/>
      <c r="I92" s="320"/>
      <c r="J92" s="320"/>
      <c r="K92" s="518"/>
      <c r="L92" s="144"/>
      <c r="M92" s="518"/>
      <c r="N92" s="144"/>
      <c r="O92" s="144">
        <f>'פ.נ. צרפת'!E103</f>
        <v>0</v>
      </c>
      <c r="P92" s="320"/>
      <c r="Q92" s="530"/>
    </row>
    <row r="93" spans="1:17">
      <c r="A93" s="650"/>
      <c r="B93" s="1229" t="s">
        <v>3479</v>
      </c>
      <c r="C93" s="726"/>
      <c r="D93" s="204"/>
      <c r="E93" s="204"/>
      <c r="F93" s="320">
        <v>45380.4</v>
      </c>
      <c r="G93" s="518">
        <v>0</v>
      </c>
      <c r="H93" s="320"/>
      <c r="I93" s="320">
        <v>28446.049860425497</v>
      </c>
      <c r="J93" s="518">
        <v>0</v>
      </c>
      <c r="K93" s="518">
        <v>0</v>
      </c>
      <c r="L93" s="144">
        <f>'[103] EMEA Summary data 21'!$J$10+'[103] EMEA Summary data 21'!$J$23</f>
        <v>33249.418158844011</v>
      </c>
      <c r="M93" s="518">
        <v>0</v>
      </c>
      <c r="N93" s="518">
        <v>0</v>
      </c>
      <c r="O93" s="144">
        <f>'[102] EMEA Summary data 21'!$H$50</f>
        <v>113990.95977399178</v>
      </c>
      <c r="P93" s="320"/>
      <c r="Q93" s="530"/>
    </row>
    <row r="94" spans="1:17">
      <c r="A94" s="650"/>
      <c r="B94" s="1229" t="s">
        <v>3480</v>
      </c>
      <c r="C94" s="726">
        <v>68417</v>
      </c>
      <c r="D94" s="726">
        <v>0</v>
      </c>
      <c r="E94" s="204">
        <v>0</v>
      </c>
      <c r="F94" s="2459"/>
      <c r="G94" s="518">
        <v>0</v>
      </c>
      <c r="H94" s="2459"/>
      <c r="I94" s="2459"/>
      <c r="J94" s="144">
        <v>0</v>
      </c>
      <c r="K94" s="518">
        <v>0</v>
      </c>
      <c r="L94" s="144">
        <v>0</v>
      </c>
      <c r="M94" s="518">
        <v>0</v>
      </c>
      <c r="N94" s="518">
        <v>0</v>
      </c>
      <c r="O94" s="518">
        <v>0</v>
      </c>
      <c r="P94" s="320"/>
      <c r="Q94" s="530"/>
    </row>
    <row r="95" spans="1:17">
      <c r="A95" s="650"/>
      <c r="B95" s="1229" t="s">
        <v>4989</v>
      </c>
      <c r="C95" s="726"/>
      <c r="D95" s="726"/>
      <c r="E95" s="204"/>
      <c r="F95" s="2459"/>
      <c r="G95" s="518"/>
      <c r="H95" s="2459"/>
      <c r="I95" s="2459"/>
      <c r="J95" s="144"/>
      <c r="K95" s="518"/>
      <c r="L95" s="144"/>
      <c r="M95" s="518"/>
      <c r="N95" s="518"/>
      <c r="O95" s="170">
        <v>-23130.6719283526</v>
      </c>
      <c r="P95" s="320"/>
      <c r="Q95" s="530"/>
    </row>
    <row r="96" spans="1:17">
      <c r="A96" s="650"/>
      <c r="B96" s="1229" t="s">
        <v>3201</v>
      </c>
      <c r="C96" s="726">
        <v>20000</v>
      </c>
      <c r="D96" s="204">
        <f>C96-15000</f>
        <v>5000</v>
      </c>
      <c r="E96" s="204">
        <v>0</v>
      </c>
      <c r="F96" s="2459"/>
      <c r="G96" s="518">
        <v>0</v>
      </c>
      <c r="H96" s="2459"/>
      <c r="I96" s="2459"/>
      <c r="J96" s="144">
        <v>0</v>
      </c>
      <c r="K96" s="518">
        <v>0</v>
      </c>
      <c r="L96" s="144">
        <v>0</v>
      </c>
      <c r="M96" s="518">
        <v>0</v>
      </c>
      <c r="N96" s="518">
        <v>0</v>
      </c>
      <c r="O96" s="144">
        <f>'[104]One-Time Bonus '!$D$21*'מאזן בוחן צרפת'!$O$2</f>
        <v>16135.845222875651</v>
      </c>
      <c r="P96" s="320"/>
      <c r="Q96" s="530"/>
    </row>
    <row r="97" spans="1:46">
      <c r="A97" s="650"/>
      <c r="B97" s="1229" t="s">
        <v>4734</v>
      </c>
      <c r="C97" s="726">
        <v>8363</v>
      </c>
      <c r="D97" s="204">
        <v>1934.93</v>
      </c>
      <c r="E97" s="204">
        <v>0</v>
      </c>
      <c r="F97" s="2459"/>
      <c r="G97" s="518">
        <v>0</v>
      </c>
      <c r="H97" s="2459"/>
      <c r="I97" s="2459"/>
      <c r="J97" s="144">
        <v>0</v>
      </c>
      <c r="K97" s="518">
        <v>0</v>
      </c>
      <c r="L97" s="144">
        <v>0</v>
      </c>
      <c r="M97" s="518">
        <v>0</v>
      </c>
      <c r="N97" s="518">
        <v>0</v>
      </c>
      <c r="O97" s="144">
        <f>O96*'פ.נ. צרפת'!$I$62</f>
        <v>6777.0549936077732</v>
      </c>
      <c r="P97" s="320"/>
      <c r="Q97" s="530"/>
    </row>
    <row r="98" spans="1:46">
      <c r="A98" s="650"/>
      <c r="B98" s="1229" t="s">
        <v>4731</v>
      </c>
      <c r="C98" s="726">
        <v>24353</v>
      </c>
      <c r="D98" s="204">
        <v>0</v>
      </c>
      <c r="E98" s="204">
        <v>0</v>
      </c>
      <c r="F98" s="320">
        <v>20807</v>
      </c>
      <c r="G98" s="518">
        <v>0</v>
      </c>
      <c r="H98" s="320"/>
      <c r="I98" s="320">
        <v>12623.85</v>
      </c>
      <c r="J98" s="518">
        <v>0</v>
      </c>
      <c r="K98" s="518">
        <v>0</v>
      </c>
      <c r="L98" s="144">
        <f>('[103] EMEA Summary data 21'!$J$6+'[103] EMEA Summary data 21'!$J$10+'[103] EMEA Summary data 21'!$J$23)*0.42</f>
        <v>25496.09502671448</v>
      </c>
      <c r="M98" s="518">
        <v>0</v>
      </c>
      <c r="N98" s="518">
        <v>0</v>
      </c>
      <c r="O98" s="144">
        <f>'[102] EMEA Summary data 21'!$I$50</f>
        <v>57489.343705076542</v>
      </c>
      <c r="P98" s="320"/>
      <c r="Q98" s="530"/>
    </row>
    <row r="99" spans="1:46">
      <c r="A99" s="650"/>
      <c r="B99" s="1229" t="s">
        <v>4997</v>
      </c>
      <c r="C99" s="726"/>
      <c r="D99" s="204"/>
      <c r="E99" s="204"/>
      <c r="F99" s="320"/>
      <c r="G99" s="518"/>
      <c r="H99" s="320"/>
      <c r="I99" s="320"/>
      <c r="J99" s="518"/>
      <c r="K99" s="518"/>
      <c r="L99" s="144"/>
      <c r="M99" s="518"/>
      <c r="N99" s="518"/>
      <c r="O99" s="144">
        <v>2450.15</v>
      </c>
      <c r="P99" s="320"/>
      <c r="Q99" s="530"/>
    </row>
    <row r="100" spans="1:46">
      <c r="A100" s="650"/>
      <c r="B100" s="1229" t="s">
        <v>4871</v>
      </c>
      <c r="C100" s="726">
        <v>16051</v>
      </c>
      <c r="D100" s="204">
        <f>C100-4275/9977*5000</f>
        <v>13908.572416558083</v>
      </c>
      <c r="E100" s="204">
        <v>0</v>
      </c>
      <c r="F100" s="2459"/>
      <c r="G100" s="518">
        <v>0</v>
      </c>
      <c r="H100" s="2459"/>
      <c r="I100" s="2459"/>
      <c r="J100" s="144">
        <v>0</v>
      </c>
      <c r="K100" s="518">
        <v>0</v>
      </c>
      <c r="L100" s="144">
        <v>0</v>
      </c>
      <c r="M100" s="518">
        <v>0</v>
      </c>
      <c r="N100" s="518">
        <v>0</v>
      </c>
      <c r="O100" s="144">
        <f>([43]Sheet1!$F$31)*'פ.נ. צרפת'!I62*'מאזן בוחן צרפת'!$O$2</f>
        <v>13988.819472077279</v>
      </c>
      <c r="P100" s="320"/>
      <c r="Q100" s="530"/>
    </row>
    <row r="101" spans="1:46">
      <c r="A101" s="650"/>
      <c r="B101" s="1229" t="s">
        <v>2755</v>
      </c>
      <c r="C101" s="726">
        <v>37586</v>
      </c>
      <c r="D101" s="204">
        <f>C101-5000</f>
        <v>32586</v>
      </c>
      <c r="E101" s="204">
        <v>0</v>
      </c>
      <c r="F101" s="320"/>
      <c r="G101" s="518">
        <v>0</v>
      </c>
      <c r="H101" s="320"/>
      <c r="I101" s="320"/>
      <c r="J101" s="144">
        <v>0</v>
      </c>
      <c r="K101" s="518">
        <v>0</v>
      </c>
      <c r="L101" s="144">
        <v>0</v>
      </c>
      <c r="M101" s="518">
        <v>0</v>
      </c>
      <c r="N101" s="518">
        <v>0</v>
      </c>
      <c r="O101" s="518">
        <v>0</v>
      </c>
      <c r="P101" s="320"/>
      <c r="Q101" s="530"/>
    </row>
    <row r="102" spans="1:46" ht="13.5" thickBot="1">
      <c r="A102" s="650"/>
      <c r="B102" s="320"/>
      <c r="C102" s="1236">
        <f>SUM(C87:C101)</f>
        <v>174770</v>
      </c>
      <c r="D102" s="1236">
        <f>SUM(D87:D101)</f>
        <v>53429.502416558083</v>
      </c>
      <c r="E102" s="1236">
        <f>SUM(E101)</f>
        <v>0</v>
      </c>
      <c r="F102" s="1236">
        <f t="shared" ref="F102:O102" si="9">SUM(F87:F101)</f>
        <v>79027.399999999994</v>
      </c>
      <c r="G102" s="1236">
        <f t="shared" si="9"/>
        <v>12840</v>
      </c>
      <c r="H102" s="1236">
        <f t="shared" si="9"/>
        <v>12840</v>
      </c>
      <c r="I102" s="1236">
        <f t="shared" si="9"/>
        <v>74662.909860425498</v>
      </c>
      <c r="J102" s="1236">
        <f t="shared" si="9"/>
        <v>25680</v>
      </c>
      <c r="K102" s="1236">
        <f t="shared" si="9"/>
        <v>25680</v>
      </c>
      <c r="L102" s="1236">
        <f t="shared" si="9"/>
        <v>97265.513185558491</v>
      </c>
      <c r="M102" s="1236">
        <f t="shared" si="9"/>
        <v>38520</v>
      </c>
      <c r="N102" s="1236">
        <f t="shared" si="9"/>
        <v>38520</v>
      </c>
      <c r="O102" s="1236">
        <f t="shared" si="9"/>
        <v>231714.82966803186</v>
      </c>
      <c r="P102" s="320"/>
      <c r="Q102" s="530"/>
    </row>
    <row r="103" spans="1:46" ht="14.25" thickTop="1" thickBot="1">
      <c r="A103" s="650"/>
      <c r="B103" s="320"/>
      <c r="C103" s="320"/>
      <c r="D103" s="320"/>
      <c r="O103" s="956">
        <f>'מאזן בוחן צרפת'!$J$140+O102</f>
        <v>-4.4403319681296125</v>
      </c>
      <c r="P103" s="320"/>
      <c r="Q103" s="530"/>
    </row>
    <row r="104" spans="1:46" ht="13.5" thickBot="1">
      <c r="A104" s="651"/>
      <c r="B104" s="718"/>
      <c r="C104" s="718"/>
      <c r="D104" s="718"/>
      <c r="E104" s="718"/>
      <c r="F104" s="718"/>
      <c r="G104" s="718"/>
      <c r="H104" s="718"/>
      <c r="I104" s="718"/>
      <c r="J104" s="718"/>
      <c r="K104" s="718"/>
      <c r="L104" s="718"/>
      <c r="M104" s="718"/>
      <c r="N104" s="718"/>
      <c r="O104" s="718"/>
      <c r="P104" s="718"/>
      <c r="Q104" s="531"/>
    </row>
    <row r="105" spans="1:46">
      <c r="A105" s="1235" t="str">
        <f>'New TB INC'!B2</f>
        <v xml:space="preserve">Algosec Inc </v>
      </c>
      <c r="B105" s="717"/>
      <c r="C105" s="717"/>
      <c r="D105" s="717"/>
      <c r="E105" s="717"/>
      <c r="F105" s="717"/>
      <c r="G105" s="717"/>
      <c r="H105" s="717"/>
      <c r="I105" s="717"/>
      <c r="J105" s="717"/>
      <c r="K105" s="717"/>
      <c r="L105" s="717"/>
      <c r="M105" s="717"/>
      <c r="N105" s="717"/>
      <c r="O105" s="717"/>
      <c r="P105" s="717"/>
      <c r="Q105" s="734"/>
    </row>
    <row r="106" spans="1:46">
      <c r="A106" s="650"/>
      <c r="B106" s="320"/>
      <c r="C106" s="320"/>
      <c r="D106" s="320"/>
      <c r="E106" s="320"/>
      <c r="F106" s="320"/>
      <c r="G106" s="320"/>
      <c r="H106" s="320"/>
      <c r="I106" s="320"/>
      <c r="J106" s="320"/>
      <c r="K106" s="320"/>
      <c r="L106" s="320"/>
      <c r="M106" s="320"/>
      <c r="N106" s="320"/>
      <c r="O106" s="320"/>
      <c r="P106" s="320"/>
      <c r="Q106" s="530"/>
    </row>
    <row r="107" spans="1:46" ht="13.5" thickBot="1">
      <c r="A107" s="1222">
        <f>'New TB INC'!C427</f>
        <v>2200001</v>
      </c>
      <c r="B107" s="1223" t="str">
        <f>'New TB INC'!D427</f>
        <v>Accrued expenses</v>
      </c>
      <c r="C107" s="320"/>
      <c r="D107" s="320"/>
      <c r="E107" s="320"/>
      <c r="F107" s="320"/>
      <c r="G107" s="320"/>
      <c r="H107" s="320"/>
      <c r="I107" s="320"/>
      <c r="J107" s="320"/>
      <c r="K107" s="320"/>
      <c r="L107" s="320"/>
      <c r="M107" s="320"/>
      <c r="N107" s="320"/>
      <c r="O107" s="320"/>
      <c r="P107" s="320"/>
      <c r="Q107" s="530"/>
      <c r="R107" s="968"/>
    </row>
    <row r="108" spans="1:46" ht="13.5" thickBot="1">
      <c r="A108" s="650"/>
      <c r="B108" s="320"/>
      <c r="C108" s="4406" t="s">
        <v>294</v>
      </c>
      <c r="D108" s="4407"/>
      <c r="E108" s="4407"/>
      <c r="F108" s="4407"/>
      <c r="G108" s="4407"/>
      <c r="H108" s="4407"/>
      <c r="I108" s="4407"/>
      <c r="J108" s="4407"/>
      <c r="K108" s="4407"/>
      <c r="L108" s="4407"/>
      <c r="M108" s="4407"/>
      <c r="N108" s="4407"/>
      <c r="O108" s="4408"/>
      <c r="Q108" s="530"/>
    </row>
    <row r="109" spans="1:46">
      <c r="A109" s="650"/>
      <c r="B109" s="320"/>
      <c r="C109" s="3287">
        <v>44166</v>
      </c>
      <c r="D109" s="3288">
        <v>44197</v>
      </c>
      <c r="E109" s="3288">
        <v>44228</v>
      </c>
      <c r="F109" s="3288">
        <v>44256</v>
      </c>
      <c r="G109" s="3288">
        <v>44287</v>
      </c>
      <c r="H109" s="3288">
        <v>44317</v>
      </c>
      <c r="I109" s="3288">
        <v>44348</v>
      </c>
      <c r="J109" s="3288">
        <v>44378</v>
      </c>
      <c r="K109" s="3288">
        <v>44409</v>
      </c>
      <c r="L109" s="3288">
        <v>44440</v>
      </c>
      <c r="M109" s="3288">
        <v>44470</v>
      </c>
      <c r="N109" s="3288">
        <v>44501</v>
      </c>
      <c r="O109" s="3289">
        <v>44531</v>
      </c>
      <c r="Q109" s="1225"/>
      <c r="AR109" s="962"/>
      <c r="AS109" s="962"/>
      <c r="AT109" s="962"/>
    </row>
    <row r="110" spans="1:46">
      <c r="A110" s="650"/>
      <c r="B110" s="1226" t="s">
        <v>3265</v>
      </c>
      <c r="C110" s="719"/>
      <c r="D110" s="383">
        <v>2000</v>
      </c>
      <c r="E110" s="383">
        <f>D110+2000</f>
        <v>4000</v>
      </c>
      <c r="F110" s="320">
        <f>E110+2000</f>
        <v>6000</v>
      </c>
      <c r="G110" s="320">
        <f>6000+2000</f>
        <v>8000</v>
      </c>
      <c r="H110" s="320">
        <v>10000</v>
      </c>
      <c r="I110" s="320">
        <v>12000</v>
      </c>
      <c r="J110" s="144">
        <f>I110-5088</f>
        <v>6912</v>
      </c>
      <c r="K110" s="144">
        <f>J110+2000</f>
        <v>8912</v>
      </c>
      <c r="L110" s="144">
        <f>K110</f>
        <v>8912</v>
      </c>
      <c r="M110" s="144">
        <f>L110+2000</f>
        <v>10912</v>
      </c>
      <c r="N110" s="144">
        <f>10912-5088-2564.67+2000</f>
        <v>5259.33</v>
      </c>
      <c r="O110" s="1463">
        <f>5259.33+2000</f>
        <v>7259.33</v>
      </c>
      <c r="Q110" s="530"/>
    </row>
    <row r="111" spans="1:46">
      <c r="A111" s="650"/>
      <c r="B111" s="1226" t="s">
        <v>3522</v>
      </c>
      <c r="C111" s="719">
        <v>26606</v>
      </c>
      <c r="D111" s="320">
        <v>26606</v>
      </c>
      <c r="E111" s="320">
        <v>26606</v>
      </c>
      <c r="F111" s="144">
        <v>26606</v>
      </c>
      <c r="G111" s="144">
        <v>0</v>
      </c>
      <c r="H111" s="144">
        <v>0</v>
      </c>
      <c r="I111" s="144">
        <v>0</v>
      </c>
      <c r="J111" s="144">
        <v>0</v>
      </c>
      <c r="K111" s="144">
        <v>0</v>
      </c>
      <c r="L111" s="144"/>
      <c r="M111" s="144">
        <v>0</v>
      </c>
      <c r="N111" s="144">
        <v>0</v>
      </c>
      <c r="O111" s="1463">
        <v>0</v>
      </c>
      <c r="Q111" s="530"/>
    </row>
    <row r="112" spans="1:46">
      <c r="A112" s="650"/>
      <c r="B112" s="1226" t="s">
        <v>3266</v>
      </c>
      <c r="C112" s="719">
        <v>10000</v>
      </c>
      <c r="D112" s="383">
        <f>C112</f>
        <v>10000</v>
      </c>
      <c r="E112" s="976">
        <v>0</v>
      </c>
      <c r="F112" s="144">
        <v>0</v>
      </c>
      <c r="G112" s="144">
        <v>0</v>
      </c>
      <c r="H112" s="144">
        <v>0</v>
      </c>
      <c r="I112" s="144">
        <v>0</v>
      </c>
      <c r="J112" s="144">
        <v>0</v>
      </c>
      <c r="K112" s="144">
        <v>0</v>
      </c>
      <c r="L112" s="144"/>
      <c r="M112" s="144">
        <v>0</v>
      </c>
      <c r="N112" s="144">
        <v>0</v>
      </c>
      <c r="O112" s="1463">
        <v>0</v>
      </c>
      <c r="Q112" s="530"/>
    </row>
    <row r="113" spans="1:25">
      <c r="A113" s="1227"/>
      <c r="B113" s="1226" t="s">
        <v>2231</v>
      </c>
      <c r="C113" s="2866">
        <v>0</v>
      </c>
      <c r="D113" s="204">
        <v>0</v>
      </c>
      <c r="E113" s="204">
        <v>0</v>
      </c>
      <c r="F113" s="144">
        <v>0</v>
      </c>
      <c r="G113" s="144">
        <v>0</v>
      </c>
      <c r="H113" s="144">
        <v>0</v>
      </c>
      <c r="I113" s="144">
        <v>0</v>
      </c>
      <c r="J113" s="144">
        <v>0</v>
      </c>
      <c r="K113" s="144">
        <v>0</v>
      </c>
      <c r="L113" s="144"/>
      <c r="M113" s="144">
        <v>0</v>
      </c>
      <c r="N113" s="144">
        <v>0</v>
      </c>
      <c r="O113" s="2592">
        <v>0</v>
      </c>
      <c r="Q113" s="530"/>
      <c r="R113" s="383"/>
    </row>
    <row r="114" spans="1:25">
      <c r="A114" s="650"/>
      <c r="B114" s="1228" t="str">
        <f>"USA TR fees 2020 -MTK"</f>
        <v>USA TR fees 2020 -MTK</v>
      </c>
      <c r="C114" s="719">
        <v>22915</v>
      </c>
      <c r="D114" s="383">
        <f>C114</f>
        <v>22915</v>
      </c>
      <c r="E114" s="383">
        <f>D114</f>
        <v>22915</v>
      </c>
      <c r="F114" s="320">
        <f>E114-5088</f>
        <v>17827</v>
      </c>
      <c r="G114" s="320">
        <f>17827-5088</f>
        <v>12739</v>
      </c>
      <c r="H114" s="320">
        <v>12739</v>
      </c>
      <c r="I114" s="320">
        <f t="shared" ref="I114:K115" si="10">H114</f>
        <v>12739</v>
      </c>
      <c r="J114" s="144">
        <f t="shared" si="10"/>
        <v>12739</v>
      </c>
      <c r="K114" s="144">
        <f t="shared" si="10"/>
        <v>12739</v>
      </c>
      <c r="L114" s="144">
        <f t="shared" ref="L114:M116" si="11">K114</f>
        <v>12739</v>
      </c>
      <c r="M114" s="144">
        <f t="shared" si="11"/>
        <v>12739</v>
      </c>
      <c r="N114" s="144">
        <v>12739</v>
      </c>
      <c r="O114" s="1463">
        <v>12739</v>
      </c>
      <c r="Q114" s="530"/>
      <c r="R114" s="383"/>
      <c r="S114" s="969"/>
      <c r="W114" s="380"/>
      <c r="Y114" s="535"/>
    </row>
    <row r="115" spans="1:25">
      <c r="A115" s="650"/>
      <c r="B115" s="1228" t="s">
        <v>3007</v>
      </c>
      <c r="C115" s="719">
        <v>6000</v>
      </c>
      <c r="D115" s="383">
        <f>C115</f>
        <v>6000</v>
      </c>
      <c r="E115" s="383">
        <f>D115</f>
        <v>6000</v>
      </c>
      <c r="F115" s="320">
        <v>3000</v>
      </c>
      <c r="G115" s="320">
        <v>3000</v>
      </c>
      <c r="H115" s="320">
        <v>3000</v>
      </c>
      <c r="I115" s="320">
        <f t="shared" si="10"/>
        <v>3000</v>
      </c>
      <c r="J115" s="144">
        <f t="shared" si="10"/>
        <v>3000</v>
      </c>
      <c r="K115" s="144">
        <f t="shared" si="10"/>
        <v>3000</v>
      </c>
      <c r="L115" s="144">
        <f t="shared" si="11"/>
        <v>3000</v>
      </c>
      <c r="M115" s="144">
        <f t="shared" si="11"/>
        <v>3000</v>
      </c>
      <c r="N115" s="144">
        <v>3000</v>
      </c>
      <c r="O115" s="1463">
        <v>3000</v>
      </c>
      <c r="Q115" s="530"/>
      <c r="R115" s="383"/>
      <c r="S115" s="969"/>
      <c r="W115" s="380"/>
      <c r="Y115" s="535"/>
    </row>
    <row r="116" spans="1:25">
      <c r="A116" s="650"/>
      <c r="B116" s="1231" t="s">
        <v>2062</v>
      </c>
      <c r="C116" s="719">
        <v>2000</v>
      </c>
      <c r="D116" s="383">
        <v>2000</v>
      </c>
      <c r="E116" s="383">
        <f>D116</f>
        <v>2000</v>
      </c>
      <c r="F116" s="320">
        <f>E116</f>
        <v>2000</v>
      </c>
      <c r="G116" s="320">
        <v>2000</v>
      </c>
      <c r="H116" s="320">
        <v>2000</v>
      </c>
      <c r="I116" s="320">
        <f>H116</f>
        <v>2000</v>
      </c>
      <c r="J116" s="144">
        <f>I116*2</f>
        <v>4000</v>
      </c>
      <c r="K116" s="144">
        <f>J116</f>
        <v>4000</v>
      </c>
      <c r="L116" s="144">
        <f t="shared" si="11"/>
        <v>4000</v>
      </c>
      <c r="M116" s="144">
        <f t="shared" si="11"/>
        <v>4000</v>
      </c>
      <c r="N116" s="144">
        <v>4000</v>
      </c>
      <c r="O116" s="1463">
        <f>3000+4000</f>
        <v>7000</v>
      </c>
      <c r="Q116" s="530"/>
      <c r="R116" s="383"/>
      <c r="S116" s="969"/>
      <c r="U116" s="380"/>
      <c r="V116" s="380"/>
      <c r="W116" s="380"/>
    </row>
    <row r="117" spans="1:25" ht="13.5" thickBot="1">
      <c r="A117" s="650"/>
      <c r="B117" s="732"/>
      <c r="C117" s="987">
        <f t="shared" ref="C117:N117" si="12">SUM(C110:C116)</f>
        <v>67521</v>
      </c>
      <c r="D117" s="1656">
        <f t="shared" si="12"/>
        <v>69521</v>
      </c>
      <c r="E117" s="1656">
        <f t="shared" si="12"/>
        <v>61521</v>
      </c>
      <c r="F117" s="1656">
        <f t="shared" si="12"/>
        <v>55433</v>
      </c>
      <c r="G117" s="2808">
        <f t="shared" si="12"/>
        <v>25739</v>
      </c>
      <c r="H117" s="2808">
        <f t="shared" si="12"/>
        <v>27739</v>
      </c>
      <c r="I117" s="2808">
        <f t="shared" si="12"/>
        <v>29739</v>
      </c>
      <c r="J117" s="2808">
        <f t="shared" si="12"/>
        <v>26651</v>
      </c>
      <c r="K117" s="2808">
        <f t="shared" si="12"/>
        <v>28651</v>
      </c>
      <c r="L117" s="2808">
        <f t="shared" si="12"/>
        <v>28651</v>
      </c>
      <c r="M117" s="2808">
        <f t="shared" si="12"/>
        <v>30651</v>
      </c>
      <c r="N117" s="1656">
        <f t="shared" si="12"/>
        <v>24998.33</v>
      </c>
      <c r="O117" s="2825">
        <f>SUM(O110:O116)</f>
        <v>29998.33</v>
      </c>
      <c r="Q117" s="530"/>
      <c r="R117" s="383"/>
      <c r="S117" s="970"/>
      <c r="W117" s="380"/>
    </row>
    <row r="118" spans="1:25" ht="13.5" thickBot="1">
      <c r="A118" s="650"/>
      <c r="B118" s="732"/>
      <c r="C118" s="320"/>
      <c r="D118" s="320"/>
      <c r="O118" s="956">
        <f>'New TB INC'!$J$427+O117</f>
        <v>-0.18999999999869033</v>
      </c>
      <c r="Q118" s="530"/>
      <c r="R118" s="383"/>
      <c r="S118" s="969"/>
      <c r="W118" s="380"/>
    </row>
    <row r="119" spans="1:25" ht="13.5" thickBot="1">
      <c r="A119" s="650"/>
      <c r="B119" s="732"/>
      <c r="C119" s="383"/>
      <c r="D119" s="320"/>
      <c r="E119" s="320"/>
      <c r="F119" s="320"/>
      <c r="G119" s="320"/>
      <c r="H119" s="320"/>
      <c r="I119" s="320"/>
      <c r="J119" s="320"/>
      <c r="K119" s="320"/>
      <c r="L119" s="320"/>
      <c r="M119" s="320"/>
      <c r="N119" s="320"/>
      <c r="O119" s="320"/>
      <c r="Q119" s="530"/>
      <c r="R119" s="383"/>
      <c r="S119" s="969"/>
      <c r="U119" s="963"/>
      <c r="V119" s="696"/>
      <c r="W119" s="380"/>
      <c r="X119" s="380"/>
    </row>
    <row r="120" spans="1:25" ht="13.5" thickBot="1">
      <c r="A120" s="1222">
        <f>'New TB INC'!C349</f>
        <v>2400001</v>
      </c>
      <c r="B120" s="1223" t="str">
        <f>'New TB INC'!D349</f>
        <v>Accrued Exp Employee Related</v>
      </c>
      <c r="C120" s="4406" t="s">
        <v>294</v>
      </c>
      <c r="D120" s="4407"/>
      <c r="E120" s="4407"/>
      <c r="F120" s="4407"/>
      <c r="G120" s="4407"/>
      <c r="H120" s="4407"/>
      <c r="I120" s="4407"/>
      <c r="J120" s="4407"/>
      <c r="K120" s="4407"/>
      <c r="L120" s="4407"/>
      <c r="M120" s="4407"/>
      <c r="N120" s="4407"/>
      <c r="O120" s="4408"/>
      <c r="Q120" s="530"/>
      <c r="R120" s="383"/>
      <c r="U120" s="963"/>
      <c r="V120" s="153"/>
      <c r="W120" s="380"/>
    </row>
    <row r="121" spans="1:25">
      <c r="A121" s="650"/>
      <c r="B121" s="320"/>
      <c r="C121" s="3287">
        <v>44166</v>
      </c>
      <c r="D121" s="4200">
        <v>44197</v>
      </c>
      <c r="E121" s="4200">
        <v>44228</v>
      </c>
      <c r="F121" s="4200">
        <v>44256</v>
      </c>
      <c r="G121" s="4200">
        <v>44287</v>
      </c>
      <c r="H121" s="4200">
        <v>44317</v>
      </c>
      <c r="I121" s="4200">
        <v>44348</v>
      </c>
      <c r="J121" s="4200">
        <v>44378</v>
      </c>
      <c r="K121" s="4200">
        <v>44409</v>
      </c>
      <c r="L121" s="4200">
        <v>44440</v>
      </c>
      <c r="M121" s="4200">
        <v>44470</v>
      </c>
      <c r="N121" s="4200">
        <v>44501</v>
      </c>
      <c r="O121" s="4201">
        <v>44531</v>
      </c>
      <c r="Q121" s="1225"/>
      <c r="R121" s="380"/>
      <c r="T121" s="380"/>
      <c r="U121" s="380"/>
      <c r="V121" s="696"/>
      <c r="W121" s="380"/>
      <c r="X121" s="380"/>
    </row>
    <row r="122" spans="1:25">
      <c r="A122" s="650"/>
      <c r="B122" s="1229" t="s">
        <v>4267</v>
      </c>
      <c r="C122" s="650">
        <v>86400</v>
      </c>
      <c r="D122" s="144">
        <f>C122</f>
        <v>86400</v>
      </c>
      <c r="E122" s="976">
        <v>0</v>
      </c>
      <c r="F122" s="144">
        <v>0</v>
      </c>
      <c r="G122" s="204">
        <v>0</v>
      </c>
      <c r="H122" s="204">
        <f>G122</f>
        <v>0</v>
      </c>
      <c r="I122" s="144"/>
      <c r="J122" s="144">
        <v>0</v>
      </c>
      <c r="K122" s="144">
        <v>0</v>
      </c>
      <c r="L122" s="144">
        <v>0</v>
      </c>
      <c r="M122" s="144">
        <v>0</v>
      </c>
      <c r="N122" s="144">
        <v>0</v>
      </c>
      <c r="O122" s="1463">
        <v>0</v>
      </c>
      <c r="Q122" s="530"/>
      <c r="R122" s="380"/>
      <c r="U122" s="490"/>
      <c r="V122" s="153"/>
      <c r="W122" s="380"/>
    </row>
    <row r="123" spans="1:25">
      <c r="A123" s="650"/>
      <c r="B123" s="1229" t="s">
        <v>3354</v>
      </c>
      <c r="C123" s="999">
        <v>609441.46977025003</v>
      </c>
      <c r="D123" s="204">
        <f>C123</f>
        <v>609441.46977025003</v>
      </c>
      <c r="E123" s="383">
        <f>D123</f>
        <v>609441.46977025003</v>
      </c>
      <c r="F123" s="204">
        <v>609441.46977025003</v>
      </c>
      <c r="G123" s="204">
        <f>F123</f>
        <v>609441.46977025003</v>
      </c>
      <c r="H123" s="204">
        <f t="shared" ref="H123:H135" si="13">G123</f>
        <v>609441.46977025003</v>
      </c>
      <c r="I123" s="144">
        <f>H123</f>
        <v>609441.46977025003</v>
      </c>
      <c r="J123" s="144">
        <f>I123</f>
        <v>609441.46977025003</v>
      </c>
      <c r="K123" s="144">
        <v>0</v>
      </c>
      <c r="L123" s="144">
        <v>0</v>
      </c>
      <c r="M123" s="204">
        <v>0</v>
      </c>
      <c r="N123" s="144">
        <v>0</v>
      </c>
      <c r="O123" s="1463">
        <v>0</v>
      </c>
      <c r="Q123" s="1232"/>
      <c r="R123" s="380"/>
      <c r="U123" s="380"/>
      <c r="V123" s="380"/>
      <c r="W123" s="380"/>
    </row>
    <row r="124" spans="1:25">
      <c r="A124" s="650"/>
      <c r="B124" s="1229" t="s">
        <v>2817</v>
      </c>
      <c r="C124" s="977">
        <v>30445</v>
      </c>
      <c r="D124" s="144">
        <v>30444</v>
      </c>
      <c r="E124" s="383">
        <f>21963+8481</f>
        <v>30444</v>
      </c>
      <c r="F124" s="144">
        <v>30444</v>
      </c>
      <c r="G124" s="204">
        <v>21963.46</v>
      </c>
      <c r="H124" s="204">
        <f t="shared" si="13"/>
        <v>21963.46</v>
      </c>
      <c r="I124" s="144">
        <f>H124</f>
        <v>21963.46</v>
      </c>
      <c r="J124" s="144">
        <f>I124</f>
        <v>21963.46</v>
      </c>
      <c r="K124" s="144">
        <f>J124</f>
        <v>21963.46</v>
      </c>
      <c r="L124" s="144">
        <f>K124</f>
        <v>21963.46</v>
      </c>
      <c r="M124" s="204">
        <f>L124</f>
        <v>21963.46</v>
      </c>
      <c r="N124" s="144">
        <f>M124</f>
        <v>21963.46</v>
      </c>
      <c r="O124" s="4203">
        <f>N124</f>
        <v>21963.46</v>
      </c>
      <c r="Q124" s="530"/>
      <c r="R124" s="380"/>
      <c r="U124" s="380"/>
      <c r="V124" s="380"/>
      <c r="W124" s="380"/>
    </row>
    <row r="125" spans="1:25">
      <c r="A125" s="650"/>
      <c r="B125" s="1229" t="s">
        <v>3191</v>
      </c>
      <c r="C125" s="977">
        <f>662791.851416753+73915</f>
        <v>736706.85141675302</v>
      </c>
      <c r="D125" s="144">
        <v>16525</v>
      </c>
      <c r="E125" s="204">
        <v>4888</v>
      </c>
      <c r="F125" s="144">
        <v>0</v>
      </c>
      <c r="G125" s="204">
        <v>0</v>
      </c>
      <c r="H125" s="204">
        <f t="shared" si="13"/>
        <v>0</v>
      </c>
      <c r="I125" s="144">
        <v>0</v>
      </c>
      <c r="J125" s="144">
        <v>0</v>
      </c>
      <c r="K125" s="144">
        <v>0</v>
      </c>
      <c r="L125" s="144">
        <v>0</v>
      </c>
      <c r="M125" s="204">
        <v>0</v>
      </c>
      <c r="N125" s="144">
        <v>0</v>
      </c>
      <c r="O125" s="2592">
        <v>0</v>
      </c>
      <c r="Q125" s="530"/>
      <c r="R125" s="380"/>
      <c r="U125" s="380"/>
      <c r="V125" s="380"/>
      <c r="W125" s="380"/>
    </row>
    <row r="126" spans="1:25">
      <c r="A126" s="650"/>
      <c r="B126" s="1229" t="s">
        <v>3521</v>
      </c>
      <c r="C126" s="977"/>
      <c r="D126" s="144"/>
      <c r="E126" s="204"/>
      <c r="F126" s="144">
        <v>68156.87</v>
      </c>
      <c r="G126" s="204">
        <v>68156.87</v>
      </c>
      <c r="H126" s="204"/>
      <c r="I126" s="144">
        <f>SUM([105]Main!$F$171:$F$177)</f>
        <v>123740.37999999999</v>
      </c>
      <c r="J126" s="144">
        <f>I126</f>
        <v>123740.37999999999</v>
      </c>
      <c r="K126" s="144">
        <f>'[105]2020&amp;2021 On-Hold (2)'!$G$105+'[105]2020&amp;2021 On-Hold (2)'!$G$106+'[105]2020&amp;2021 On-Hold (2)'!$G$94+'[105]2020&amp;2021 On-Hold (2)'!$G$93</f>
        <v>8247.9399999999987</v>
      </c>
      <c r="L126" s="144">
        <f>+[106]Main!$E$57+[106]Main!$E$46+[106]Main!$E$32+[106]Main!$E$15+615</f>
        <v>220855.603</v>
      </c>
      <c r="M126" s="204">
        <f>L126</f>
        <v>220855.603</v>
      </c>
      <c r="N126" s="144">
        <v>0</v>
      </c>
      <c r="O126" s="4203">
        <f>[107]Main!$H$147+[107]Main!$H$127</f>
        <v>564937.91936302546</v>
      </c>
      <c r="Q126" s="530"/>
      <c r="R126" s="380"/>
      <c r="U126" s="380"/>
      <c r="V126" s="380"/>
      <c r="W126" s="380"/>
    </row>
    <row r="127" spans="1:25">
      <c r="A127" s="650"/>
      <c r="B127" s="1229" t="s">
        <v>3477</v>
      </c>
      <c r="C127" s="977"/>
      <c r="D127" s="144"/>
      <c r="E127" s="204"/>
      <c r="F127" s="204">
        <f>+'[108] NA Summary data 21'!$M$77</f>
        <v>275960.11061936052</v>
      </c>
      <c r="G127" s="204">
        <v>0</v>
      </c>
      <c r="H127" s="204">
        <f t="shared" si="13"/>
        <v>0</v>
      </c>
      <c r="I127" s="144">
        <f>SUM([105]Main!$F$124:$F$167)</f>
        <v>297178.83998243813</v>
      </c>
      <c r="J127" s="144">
        <v>0</v>
      </c>
      <c r="K127" s="144"/>
      <c r="L127" s="144">
        <f>[106]Main!$D$7+[106]Main!$D$15+[106]Main!$D$32+[106]Main!$D$46+[106]Main!$D$57</f>
        <v>175930.31534111028</v>
      </c>
      <c r="M127" s="204">
        <v>0</v>
      </c>
      <c r="N127" s="144">
        <v>0</v>
      </c>
      <c r="O127" s="4203">
        <f>[107]Main!$H$51+[107]Main!$H$64-[107]Main!$H$41-[107]Main!$H$31</f>
        <v>513713.03877976118</v>
      </c>
      <c r="Q127" s="530"/>
      <c r="R127" s="380"/>
      <c r="U127" s="380"/>
      <c r="V127" s="380"/>
      <c r="W127" s="380"/>
    </row>
    <row r="128" spans="1:25">
      <c r="A128" s="650"/>
      <c r="B128" s="1229" t="s">
        <v>3518</v>
      </c>
      <c r="C128" s="977">
        <v>114546</v>
      </c>
      <c r="D128" s="2926">
        <v>114675.76240000001</v>
      </c>
      <c r="E128" s="204">
        <v>56001.151593556002</v>
      </c>
      <c r="F128" s="144">
        <v>56001.151593556002</v>
      </c>
      <c r="G128" s="204">
        <v>56001.151593556002</v>
      </c>
      <c r="H128" s="204"/>
      <c r="I128" s="144">
        <v>0</v>
      </c>
      <c r="J128" s="144">
        <v>0</v>
      </c>
      <c r="K128" s="144"/>
      <c r="L128" s="144">
        <v>0</v>
      </c>
      <c r="M128" s="204">
        <v>0</v>
      </c>
      <c r="N128" s="144">
        <v>0</v>
      </c>
      <c r="O128" s="1463">
        <v>0</v>
      </c>
      <c r="Q128" s="530"/>
      <c r="R128" s="380"/>
      <c r="U128" s="380"/>
      <c r="V128" s="380"/>
      <c r="W128" s="380"/>
    </row>
    <row r="129" spans="1:23">
      <c r="A129" s="650"/>
      <c r="B129" s="1229" t="s">
        <v>3519</v>
      </c>
      <c r="C129" s="977"/>
      <c r="D129" s="2926"/>
      <c r="E129" s="204"/>
      <c r="F129" s="204">
        <f>F127*0.08+F126*0.08</f>
        <v>27529.358449548839</v>
      </c>
      <c r="G129" s="204">
        <v>5452.55</v>
      </c>
      <c r="H129" s="204">
        <v>0</v>
      </c>
      <c r="I129" s="144">
        <f>H129</f>
        <v>0</v>
      </c>
      <c r="J129" s="144">
        <v>0</v>
      </c>
      <c r="K129" s="144"/>
      <c r="L129" s="144">
        <v>0</v>
      </c>
      <c r="M129" s="204">
        <v>0</v>
      </c>
      <c r="N129" s="144">
        <v>0</v>
      </c>
      <c r="O129" s="1463">
        <v>0</v>
      </c>
      <c r="Q129" s="530"/>
      <c r="R129" s="380"/>
      <c r="U129" s="380"/>
      <c r="V129" s="380"/>
      <c r="W129" s="380"/>
    </row>
    <row r="130" spans="1:23">
      <c r="A130" s="650"/>
      <c r="B130" s="1229" t="s">
        <v>3358</v>
      </c>
      <c r="C130" s="977">
        <v>8032.4</v>
      </c>
      <c r="D130" s="2926">
        <v>8032.4</v>
      </c>
      <c r="E130" s="204">
        <f>D130-3280</f>
        <v>4752.3999999999996</v>
      </c>
      <c r="F130" s="204">
        <v>0</v>
      </c>
      <c r="G130" s="204">
        <v>0</v>
      </c>
      <c r="H130" s="204">
        <f t="shared" si="13"/>
        <v>0</v>
      </c>
      <c r="I130" s="144">
        <f>H130</f>
        <v>0</v>
      </c>
      <c r="J130" s="144">
        <v>0</v>
      </c>
      <c r="K130" s="144"/>
      <c r="L130" s="144">
        <v>0</v>
      </c>
      <c r="M130" s="204">
        <v>0</v>
      </c>
      <c r="N130" s="144">
        <v>0</v>
      </c>
      <c r="O130" s="1463">
        <v>0</v>
      </c>
      <c r="Q130" s="530"/>
      <c r="R130" s="380"/>
      <c r="U130" s="380"/>
      <c r="V130" s="380"/>
      <c r="W130" s="380"/>
    </row>
    <row r="131" spans="1:23">
      <c r="A131" s="719"/>
      <c r="B131" s="1229" t="s">
        <v>2107</v>
      </c>
      <c r="C131" s="719">
        <v>482934.15961248893</v>
      </c>
      <c r="D131" s="204">
        <f>C131</f>
        <v>482934.15961248893</v>
      </c>
      <c r="E131" s="976">
        <v>0</v>
      </c>
      <c r="F131" s="204">
        <v>0</v>
      </c>
      <c r="G131" s="204">
        <v>0</v>
      </c>
      <c r="H131" s="204">
        <f t="shared" si="13"/>
        <v>0</v>
      </c>
      <c r="I131" s="204">
        <f>H131</f>
        <v>0</v>
      </c>
      <c r="J131" s="204">
        <v>0</v>
      </c>
      <c r="K131" s="204"/>
      <c r="L131" s="204">
        <v>0</v>
      </c>
      <c r="M131" s="204">
        <v>0</v>
      </c>
      <c r="N131" s="204">
        <v>0</v>
      </c>
      <c r="O131" s="2592">
        <v>0</v>
      </c>
      <c r="Q131" s="558"/>
      <c r="R131" s="971"/>
      <c r="U131" s="972"/>
      <c r="W131" s="380"/>
    </row>
    <row r="132" spans="1:23">
      <c r="A132" s="719"/>
      <c r="B132" s="1229" t="s">
        <v>3218</v>
      </c>
      <c r="C132" s="719"/>
      <c r="D132" s="204">
        <v>61764</v>
      </c>
      <c r="E132" s="383">
        <f>D132+61764</f>
        <v>123528</v>
      </c>
      <c r="F132" s="204">
        <v>169136</v>
      </c>
      <c r="G132" s="204">
        <f t="shared" ref="G132:N132" si="14">F132+56380</f>
        <v>225516</v>
      </c>
      <c r="H132" s="204">
        <f t="shared" si="14"/>
        <v>281896</v>
      </c>
      <c r="I132" s="204">
        <f t="shared" si="14"/>
        <v>338276</v>
      </c>
      <c r="J132" s="204">
        <f t="shared" si="14"/>
        <v>394656</v>
      </c>
      <c r="K132" s="204">
        <f t="shared" si="14"/>
        <v>451036</v>
      </c>
      <c r="L132" s="204">
        <f t="shared" si="14"/>
        <v>507416</v>
      </c>
      <c r="M132" s="204">
        <f t="shared" si="14"/>
        <v>563796</v>
      </c>
      <c r="N132" s="204">
        <f t="shared" si="14"/>
        <v>620176</v>
      </c>
      <c r="O132" s="4203">
        <f>SUM([96]Sheet1!$B$24)-409</f>
        <v>361328.25150278024</v>
      </c>
      <c r="Q132" s="558"/>
      <c r="R132" s="971"/>
      <c r="U132" s="972"/>
      <c r="W132" s="380"/>
    </row>
    <row r="133" spans="1:23">
      <c r="A133" s="1233"/>
      <c r="B133" s="1229" t="s">
        <v>3416</v>
      </c>
      <c r="C133" s="719">
        <v>64825.442307692305</v>
      </c>
      <c r="D133" s="204">
        <f>C133</f>
        <v>64825.442307692305</v>
      </c>
      <c r="E133" s="383">
        <f>D133</f>
        <v>64825.442307692305</v>
      </c>
      <c r="F133" s="204">
        <f>64825.4423076923+8279.86</f>
        <v>73105.302307692298</v>
      </c>
      <c r="G133" s="204">
        <f>F133</f>
        <v>73105.302307692298</v>
      </c>
      <c r="H133" s="204">
        <f t="shared" si="13"/>
        <v>73105.302307692298</v>
      </c>
      <c r="I133" s="204">
        <f>-13165+H133</f>
        <v>59940.302307692298</v>
      </c>
      <c r="J133" s="204">
        <f>I133</f>
        <v>59940.302307692298</v>
      </c>
      <c r="K133" s="204">
        <f>J133</f>
        <v>59940.302307692298</v>
      </c>
      <c r="L133" s="204">
        <f>K133+5123</f>
        <v>65063.302307692298</v>
      </c>
      <c r="M133" s="204">
        <f>L133</f>
        <v>65063.302307692298</v>
      </c>
      <c r="N133" s="204">
        <f>M133</f>
        <v>65063.302307692298</v>
      </c>
      <c r="O133" s="4203">
        <f>N133-12438.9</f>
        <v>52624.402307692297</v>
      </c>
      <c r="Q133" s="530"/>
      <c r="R133" s="380"/>
      <c r="W133" s="380"/>
    </row>
    <row r="134" spans="1:23">
      <c r="A134" s="1233"/>
      <c r="B134" s="1229" t="s">
        <v>3825</v>
      </c>
      <c r="C134" s="719"/>
      <c r="D134" s="204"/>
      <c r="E134" s="383"/>
      <c r="F134" s="204"/>
      <c r="G134" s="204"/>
      <c r="H134" s="204"/>
      <c r="I134" s="204">
        <v>12500</v>
      </c>
      <c r="J134" s="204">
        <f>I134</f>
        <v>12500</v>
      </c>
      <c r="K134" s="204"/>
      <c r="L134" s="204">
        <v>0</v>
      </c>
      <c r="M134" s="204"/>
      <c r="N134" s="204">
        <v>0</v>
      </c>
      <c r="O134" s="1463">
        <v>0</v>
      </c>
      <c r="Q134" s="530"/>
      <c r="R134" s="380"/>
      <c r="W134" s="380"/>
    </row>
    <row r="135" spans="1:23" ht="13.5" thickBot="1">
      <c r="A135" s="1234"/>
      <c r="B135" s="320" t="s">
        <v>1759</v>
      </c>
      <c r="C135" s="3427">
        <v>100313</v>
      </c>
      <c r="D135" s="4196">
        <f>C135</f>
        <v>100313</v>
      </c>
      <c r="E135" s="4202">
        <f>D135-41000</f>
        <v>59313</v>
      </c>
      <c r="F135" s="4197"/>
      <c r="G135" s="4197">
        <v>0</v>
      </c>
      <c r="H135" s="4197">
        <f t="shared" si="13"/>
        <v>0</v>
      </c>
      <c r="I135" s="4196">
        <v>0</v>
      </c>
      <c r="J135" s="4196">
        <v>0</v>
      </c>
      <c r="K135" s="4196"/>
      <c r="L135" s="4196">
        <v>0</v>
      </c>
      <c r="M135" s="4196"/>
      <c r="N135" s="4196">
        <v>0</v>
      </c>
      <c r="O135" s="4204">
        <f>'[104]One-Time Bonus '!$E$21</f>
        <v>18900</v>
      </c>
      <c r="Q135" s="530"/>
      <c r="R135" s="380"/>
    </row>
    <row r="136" spans="1:23" ht="13.5" thickBot="1">
      <c r="A136" s="650"/>
      <c r="B136" s="320"/>
      <c r="C136" s="3427">
        <f t="shared" ref="C136:O136" si="15">SUM(C122:C135)</f>
        <v>2233644.3231071844</v>
      </c>
      <c r="D136" s="4196">
        <f t="shared" si="15"/>
        <v>1575355.2340904314</v>
      </c>
      <c r="E136" s="4196">
        <f t="shared" si="15"/>
        <v>953193.46367149835</v>
      </c>
      <c r="F136" s="4196">
        <f t="shared" si="15"/>
        <v>1309774.2627404078</v>
      </c>
      <c r="G136" s="4196">
        <f t="shared" si="15"/>
        <v>1059636.8036714983</v>
      </c>
      <c r="H136" s="4197">
        <f t="shared" si="15"/>
        <v>986406.23207794223</v>
      </c>
      <c r="I136" s="4198">
        <f t="shared" si="15"/>
        <v>1463040.4520603805</v>
      </c>
      <c r="J136" s="4198">
        <f t="shared" si="15"/>
        <v>1222241.6120779424</v>
      </c>
      <c r="K136" s="4198">
        <f t="shared" si="15"/>
        <v>541187.70230769226</v>
      </c>
      <c r="L136" s="4198">
        <f t="shared" si="15"/>
        <v>991228.68064880255</v>
      </c>
      <c r="M136" s="4198">
        <f t="shared" si="15"/>
        <v>871678.36530769221</v>
      </c>
      <c r="N136" s="4198">
        <f t="shared" si="15"/>
        <v>707202.76230769232</v>
      </c>
      <c r="O136" s="4199">
        <f t="shared" si="15"/>
        <v>1533467.0719532592</v>
      </c>
      <c r="Q136" s="530"/>
      <c r="R136" s="380"/>
    </row>
    <row r="137" spans="1:23" ht="13.5" thickBot="1">
      <c r="A137" s="650"/>
      <c r="B137" s="320"/>
      <c r="C137" s="320"/>
      <c r="D137" s="320"/>
      <c r="O137" s="956">
        <f>'New TB INC'!$J$349+O136</f>
        <v>-614.19804674084298</v>
      </c>
      <c r="Q137" s="530"/>
      <c r="R137" s="380"/>
    </row>
    <row r="138" spans="1:23">
      <c r="A138" s="650"/>
      <c r="B138" s="320"/>
      <c r="C138" s="320"/>
      <c r="D138" s="320"/>
      <c r="E138" s="320"/>
      <c r="F138" s="320"/>
      <c r="G138" s="320"/>
      <c r="H138" s="320"/>
      <c r="I138" s="320"/>
      <c r="J138" s="320"/>
      <c r="K138" s="320"/>
      <c r="L138" s="320"/>
      <c r="M138" s="320"/>
      <c r="N138" s="320"/>
      <c r="O138" s="320"/>
      <c r="P138" s="320"/>
      <c r="Q138" s="530"/>
      <c r="R138" s="380"/>
    </row>
    <row r="139" spans="1:23" ht="13.5" thickBot="1">
      <c r="A139" s="651"/>
      <c r="B139" s="718"/>
      <c r="C139" s="718"/>
      <c r="D139" s="718"/>
      <c r="E139" s="718"/>
      <c r="F139" s="718"/>
      <c r="G139" s="718"/>
      <c r="H139" s="718"/>
      <c r="I139" s="718"/>
      <c r="J139" s="718"/>
      <c r="K139" s="718"/>
      <c r="L139" s="718"/>
      <c r="M139" s="718"/>
      <c r="N139" s="718"/>
      <c r="O139" s="718"/>
      <c r="P139" s="718"/>
      <c r="Q139" s="531"/>
      <c r="R139" s="380"/>
    </row>
    <row r="140" spans="1:23">
      <c r="A140" s="1235" t="str">
        <f>'מאזן בוחן EUROPE'!B2</f>
        <v xml:space="preserve">Algosec Europe Ltd </v>
      </c>
      <c r="B140" s="717"/>
      <c r="C140" s="717"/>
      <c r="D140" s="717"/>
      <c r="E140" s="717"/>
      <c r="F140" s="717"/>
      <c r="G140" s="717"/>
      <c r="H140" s="717"/>
      <c r="I140" s="717"/>
      <c r="J140" s="717"/>
      <c r="K140" s="717"/>
      <c r="L140" s="717"/>
      <c r="M140" s="717"/>
      <c r="N140" s="717"/>
      <c r="O140" s="717"/>
      <c r="P140" s="717"/>
      <c r="Q140" s="734"/>
    </row>
    <row r="141" spans="1:23">
      <c r="A141" s="650"/>
      <c r="B141" s="320"/>
      <c r="C141" s="320"/>
      <c r="D141" s="320"/>
      <c r="E141" s="320"/>
      <c r="F141" s="320"/>
      <c r="G141" s="320"/>
      <c r="H141" s="320"/>
      <c r="I141" s="320"/>
      <c r="J141" s="320"/>
      <c r="K141" s="320"/>
      <c r="L141" s="320"/>
      <c r="M141" s="320"/>
      <c r="N141" s="320"/>
      <c r="O141" s="320"/>
      <c r="P141" s="320"/>
      <c r="Q141" s="530"/>
    </row>
    <row r="142" spans="1:23" ht="13.5" thickBot="1">
      <c r="A142" s="1222">
        <v>2200001</v>
      </c>
      <c r="B142" s="1223" t="s">
        <v>702</v>
      </c>
      <c r="C142" s="320"/>
      <c r="D142" s="320"/>
      <c r="E142" s="320"/>
      <c r="F142" s="320"/>
      <c r="G142" s="320"/>
      <c r="H142" s="320"/>
      <c r="I142" s="320"/>
      <c r="J142" s="320"/>
      <c r="K142" s="320"/>
      <c r="L142" s="320"/>
      <c r="M142" s="320"/>
      <c r="N142" s="320"/>
      <c r="O142" s="320"/>
      <c r="P142" s="320"/>
      <c r="Q142" s="530"/>
    </row>
    <row r="143" spans="1:23" ht="13.5" thickBot="1">
      <c r="A143" s="650"/>
      <c r="B143" s="320"/>
      <c r="C143" s="4406" t="s">
        <v>400</v>
      </c>
      <c r="D143" s="4407"/>
      <c r="E143" s="4407"/>
      <c r="F143" s="4407"/>
      <c r="G143" s="4407"/>
      <c r="H143" s="4407"/>
      <c r="I143" s="4407"/>
      <c r="J143" s="4407"/>
      <c r="K143" s="4407"/>
      <c r="L143" s="4407"/>
      <c r="M143" s="4407"/>
      <c r="N143" s="4407"/>
      <c r="O143" s="4408"/>
      <c r="Q143" s="530"/>
    </row>
    <row r="144" spans="1:23">
      <c r="A144" s="650"/>
      <c r="B144" s="1460" t="s">
        <v>2764</v>
      </c>
      <c r="C144" s="3286">
        <v>44166</v>
      </c>
      <c r="D144" s="3290">
        <v>44197</v>
      </c>
      <c r="E144" s="3290">
        <v>44228</v>
      </c>
      <c r="F144" s="3290">
        <v>44256</v>
      </c>
      <c r="G144" s="3290">
        <v>44287</v>
      </c>
      <c r="H144" s="3290">
        <v>44317</v>
      </c>
      <c r="I144" s="3290">
        <v>44348</v>
      </c>
      <c r="J144" s="3290">
        <v>44378</v>
      </c>
      <c r="K144" s="3290">
        <v>44409</v>
      </c>
      <c r="L144" s="3290">
        <v>44440</v>
      </c>
      <c r="M144" s="3290">
        <v>44470</v>
      </c>
      <c r="N144" s="3290">
        <v>44501</v>
      </c>
      <c r="O144" s="3291">
        <v>44531</v>
      </c>
      <c r="Q144" s="530"/>
    </row>
    <row r="145" spans="1:17">
      <c r="A145" s="650"/>
      <c r="B145" s="1226" t="s">
        <v>2747</v>
      </c>
      <c r="C145" s="650">
        <v>925</v>
      </c>
      <c r="D145" s="320">
        <f>750/3</f>
        <v>250</v>
      </c>
      <c r="E145" s="320">
        <f>750/3+D145</f>
        <v>500</v>
      </c>
      <c r="F145" s="320">
        <f>750/3+E145</f>
        <v>750</v>
      </c>
      <c r="G145" s="320">
        <f>750/3</f>
        <v>250</v>
      </c>
      <c r="H145" s="320">
        <f>750/3+G145</f>
        <v>500</v>
      </c>
      <c r="I145" s="320">
        <f>750/3+H145</f>
        <v>750</v>
      </c>
      <c r="J145" s="320">
        <f>750/3</f>
        <v>250</v>
      </c>
      <c r="K145" s="320">
        <f>750/3+J145</f>
        <v>500</v>
      </c>
      <c r="L145" s="320">
        <f>750/3+K145</f>
        <v>750</v>
      </c>
      <c r="M145" s="320">
        <f>L145/3</f>
        <v>250</v>
      </c>
      <c r="N145" s="320">
        <f>750/3+M145</f>
        <v>500</v>
      </c>
      <c r="O145" s="530">
        <f>750/3+N145</f>
        <v>750</v>
      </c>
      <c r="Q145" s="530"/>
    </row>
    <row r="146" spans="1:17">
      <c r="A146" s="650"/>
      <c r="B146" s="1226" t="s">
        <v>2746</v>
      </c>
      <c r="C146" s="650">
        <v>400</v>
      </c>
      <c r="D146" s="320">
        <f>400/3</f>
        <v>133.33333333333334</v>
      </c>
      <c r="E146" s="320">
        <f>400/3+D146</f>
        <v>266.66666666666669</v>
      </c>
      <c r="F146" s="320">
        <f>400/3+E146</f>
        <v>400</v>
      </c>
      <c r="G146" s="320">
        <f>400/3</f>
        <v>133.33333333333334</v>
      </c>
      <c r="H146" s="320">
        <f>400/3+G146</f>
        <v>266.66666666666669</v>
      </c>
      <c r="I146" s="320">
        <f>400/3+H146</f>
        <v>400</v>
      </c>
      <c r="J146" s="320">
        <f>400/3</f>
        <v>133.33333333333334</v>
      </c>
      <c r="K146" s="320">
        <f>400/3+J146</f>
        <v>266.66666666666669</v>
      </c>
      <c r="L146" s="320">
        <f>400/3+K146</f>
        <v>400</v>
      </c>
      <c r="M146" s="320">
        <f>L146/3</f>
        <v>133.33333333333334</v>
      </c>
      <c r="N146" s="320">
        <f>400/3+M146</f>
        <v>266.66666666666669</v>
      </c>
      <c r="O146" s="530">
        <f>400/3+N146</f>
        <v>400</v>
      </c>
      <c r="Q146" s="530"/>
    </row>
    <row r="147" spans="1:17">
      <c r="A147" s="650"/>
      <c r="B147" s="1226" t="str">
        <f>"LEVI COHEN-2021 AUDIT"</f>
        <v>LEVI COHEN-2021 AUDIT</v>
      </c>
      <c r="C147" s="650"/>
      <c r="D147" s="320">
        <f>10000/12</f>
        <v>833.33333333333337</v>
      </c>
      <c r="E147" s="320">
        <f>10000/12+D147</f>
        <v>1666.6666666666667</v>
      </c>
      <c r="F147" s="320">
        <f t="shared" ref="F147:M147" si="16">10000/12+E147</f>
        <v>2500</v>
      </c>
      <c r="G147" s="320">
        <f t="shared" si="16"/>
        <v>3333.3333333333335</v>
      </c>
      <c r="H147" s="320">
        <f t="shared" si="16"/>
        <v>4166.666666666667</v>
      </c>
      <c r="I147" s="320">
        <f t="shared" si="16"/>
        <v>5000</v>
      </c>
      <c r="J147" s="320">
        <f t="shared" si="16"/>
        <v>5833.333333333333</v>
      </c>
      <c r="K147" s="320">
        <f>10000/12+J147</f>
        <v>6666.6666666666661</v>
      </c>
      <c r="L147" s="320">
        <f t="shared" si="16"/>
        <v>7499.9999999999991</v>
      </c>
      <c r="M147" s="320">
        <f t="shared" si="16"/>
        <v>8333.3333333333321</v>
      </c>
      <c r="N147" s="320">
        <v>10000</v>
      </c>
      <c r="O147" s="530">
        <f>N147</f>
        <v>10000</v>
      </c>
      <c r="Q147" s="530"/>
    </row>
    <row r="148" spans="1:17">
      <c r="A148" s="650"/>
      <c r="B148" s="1226" t="str">
        <f>"LEVI COHEN-2020 AUDIT"</f>
        <v>LEVI COHEN-2020 AUDIT</v>
      </c>
      <c r="C148" s="650">
        <v>10000</v>
      </c>
      <c r="D148" s="383">
        <v>10000</v>
      </c>
      <c r="E148" s="320">
        <v>10000</v>
      </c>
      <c r="F148" s="320">
        <f t="shared" ref="F148:K148" si="17">E148</f>
        <v>10000</v>
      </c>
      <c r="G148" s="320">
        <f t="shared" si="17"/>
        <v>10000</v>
      </c>
      <c r="H148" s="320">
        <f t="shared" si="17"/>
        <v>10000</v>
      </c>
      <c r="I148" s="320">
        <f t="shared" si="17"/>
        <v>10000</v>
      </c>
      <c r="J148" s="320">
        <f t="shared" si="17"/>
        <v>10000</v>
      </c>
      <c r="K148" s="320">
        <f t="shared" si="17"/>
        <v>10000</v>
      </c>
      <c r="L148" s="320">
        <f>K148</f>
        <v>10000</v>
      </c>
      <c r="M148" s="320">
        <f>L148</f>
        <v>10000</v>
      </c>
      <c r="N148" s="518">
        <v>0</v>
      </c>
      <c r="O148" s="3014">
        <v>0</v>
      </c>
      <c r="Q148" s="530"/>
    </row>
    <row r="149" spans="1:17" ht="13.5" thickBot="1">
      <c r="A149" s="650"/>
      <c r="B149" s="732"/>
      <c r="C149" s="987">
        <f t="shared" ref="C149:O149" si="18">SUM(C145:C148)</f>
        <v>11325</v>
      </c>
      <c r="D149" s="1656">
        <f t="shared" si="18"/>
        <v>11216.666666666666</v>
      </c>
      <c r="E149" s="1656">
        <f t="shared" si="18"/>
        <v>12433.333333333334</v>
      </c>
      <c r="F149" s="1656">
        <f t="shared" si="18"/>
        <v>13650</v>
      </c>
      <c r="G149" s="1656">
        <f t="shared" si="18"/>
        <v>13716.666666666668</v>
      </c>
      <c r="H149" s="1656">
        <f t="shared" si="18"/>
        <v>14933.333333333334</v>
      </c>
      <c r="I149" s="1656">
        <f t="shared" si="18"/>
        <v>16150</v>
      </c>
      <c r="J149" s="1656">
        <f t="shared" si="18"/>
        <v>16216.666666666666</v>
      </c>
      <c r="K149" s="1656">
        <f t="shared" si="18"/>
        <v>17433.333333333332</v>
      </c>
      <c r="L149" s="1656">
        <f t="shared" si="18"/>
        <v>18650</v>
      </c>
      <c r="M149" s="1656">
        <f t="shared" si="18"/>
        <v>18716.666666666664</v>
      </c>
      <c r="N149" s="1656">
        <f t="shared" si="18"/>
        <v>10766.666666666666</v>
      </c>
      <c r="O149" s="2825">
        <f t="shared" si="18"/>
        <v>11150</v>
      </c>
      <c r="Q149" s="530"/>
    </row>
    <row r="150" spans="1:17" ht="13.5" thickBot="1">
      <c r="A150" s="650"/>
      <c r="B150" s="732"/>
      <c r="C150" s="320"/>
      <c r="D150" s="320"/>
      <c r="O150" s="956">
        <f>+'מאזן בוחן EUROPE'!$J$239+O149</f>
        <v>-3.3700000000008004</v>
      </c>
      <c r="Q150" s="530"/>
    </row>
    <row r="151" spans="1:17" ht="13.5" thickBot="1">
      <c r="A151" s="650"/>
      <c r="B151" s="732"/>
      <c r="C151" s="320"/>
      <c r="D151" s="320"/>
      <c r="E151" s="320"/>
      <c r="F151" s="320"/>
      <c r="G151" s="320"/>
      <c r="H151" s="320"/>
      <c r="I151" s="320"/>
      <c r="J151" s="320"/>
      <c r="K151" s="320"/>
      <c r="L151" s="320"/>
      <c r="M151" s="320"/>
      <c r="N151" s="320"/>
      <c r="O151" s="320"/>
      <c r="Q151" s="530"/>
    </row>
    <row r="152" spans="1:17" ht="13.5" thickBot="1">
      <c r="A152" s="1222">
        <v>2400001</v>
      </c>
      <c r="B152" s="1223" t="s">
        <v>704</v>
      </c>
      <c r="C152" s="4406" t="s">
        <v>400</v>
      </c>
      <c r="D152" s="4407"/>
      <c r="E152" s="4407"/>
      <c r="F152" s="4407"/>
      <c r="G152" s="4407"/>
      <c r="H152" s="4407"/>
      <c r="I152" s="4407"/>
      <c r="J152" s="4407"/>
      <c r="K152" s="4407"/>
      <c r="L152" s="4407"/>
      <c r="M152" s="4407"/>
      <c r="N152" s="4407"/>
      <c r="O152" s="4408"/>
      <c r="Q152" s="530"/>
    </row>
    <row r="153" spans="1:17">
      <c r="A153" s="650"/>
      <c r="B153" s="320"/>
      <c r="C153" s="4214">
        <v>44166</v>
      </c>
      <c r="D153" s="4215">
        <v>44197</v>
      </c>
      <c r="E153" s="4215">
        <v>44228</v>
      </c>
      <c r="F153" s="4215">
        <v>44256</v>
      </c>
      <c r="G153" s="4215">
        <v>44287</v>
      </c>
      <c r="H153" s="4215">
        <v>44317</v>
      </c>
      <c r="I153" s="4215">
        <v>44348</v>
      </c>
      <c r="J153" s="4215">
        <v>44378</v>
      </c>
      <c r="K153" s="4215">
        <v>44409</v>
      </c>
      <c r="L153" s="4215">
        <v>44440</v>
      </c>
      <c r="M153" s="4215">
        <v>44470</v>
      </c>
      <c r="N153" s="4215">
        <v>44501</v>
      </c>
      <c r="O153" s="4216">
        <v>44531</v>
      </c>
      <c r="Q153" s="530"/>
    </row>
    <row r="154" spans="1:17">
      <c r="A154" s="650"/>
      <c r="B154" s="1226" t="str">
        <f>"MBO PROVISION 2020"</f>
        <v>MBO PROVISION 2020</v>
      </c>
      <c r="C154" s="719">
        <v>50519.553140050237</v>
      </c>
      <c r="D154" s="383">
        <v>50519.553140050237</v>
      </c>
      <c r="E154" s="204">
        <v>0</v>
      </c>
      <c r="F154" s="320"/>
      <c r="G154" s="320"/>
      <c r="H154" s="320"/>
      <c r="I154" s="320"/>
      <c r="J154" s="320"/>
      <c r="K154" s="320"/>
      <c r="L154" s="320"/>
      <c r="M154" s="518">
        <v>0</v>
      </c>
      <c r="N154" s="144">
        <v>0</v>
      </c>
      <c r="O154" s="3014">
        <v>0</v>
      </c>
      <c r="Q154" s="530"/>
    </row>
    <row r="155" spans="1:17">
      <c r="A155" s="650"/>
      <c r="B155" s="1226" t="str">
        <f>"MBO PROVISION 2021"</f>
        <v>MBO PROVISION 2021</v>
      </c>
      <c r="C155" s="719"/>
      <c r="D155" s="383">
        <v>4693</v>
      </c>
      <c r="E155" s="204">
        <f>D155+4693</f>
        <v>9386</v>
      </c>
      <c r="F155" s="383">
        <v>18854.010224770544</v>
      </c>
      <c r="G155" s="320">
        <f t="shared" ref="G155:N155" si="19">F155+6285.1</f>
        <v>25139.110224770542</v>
      </c>
      <c r="H155" s="320">
        <f t="shared" si="19"/>
        <v>31424.210224770541</v>
      </c>
      <c r="I155" s="320">
        <f t="shared" si="19"/>
        <v>37709.310224770539</v>
      </c>
      <c r="J155" s="320">
        <f t="shared" si="19"/>
        <v>43994.410224770538</v>
      </c>
      <c r="K155" s="320">
        <f t="shared" si="19"/>
        <v>50279.510224770536</v>
      </c>
      <c r="L155" s="320">
        <f t="shared" si="19"/>
        <v>56564.610224770535</v>
      </c>
      <c r="M155" s="320">
        <f t="shared" si="19"/>
        <v>62849.710224770533</v>
      </c>
      <c r="N155" s="144">
        <f t="shared" si="19"/>
        <v>69134.810224770539</v>
      </c>
      <c r="O155" s="2592">
        <f>SUM([43]Sheet1!$C$22)*'מאזן בוחן EUROPE'!$N$2</f>
        <v>56831.722562105453</v>
      </c>
      <c r="P155" s="320"/>
      <c r="Q155" s="530"/>
    </row>
    <row r="156" spans="1:17">
      <c r="A156" s="650"/>
      <c r="B156" s="1226" t="s">
        <v>4919</v>
      </c>
      <c r="C156" s="719"/>
      <c r="D156" s="383"/>
      <c r="E156" s="204"/>
      <c r="F156" s="383"/>
      <c r="G156" s="320"/>
      <c r="H156" s="320"/>
      <c r="I156" s="320"/>
      <c r="J156" s="320"/>
      <c r="K156" s="320"/>
      <c r="L156" s="320"/>
      <c r="M156" s="320"/>
      <c r="N156" s="144"/>
      <c r="O156" s="2592">
        <f>SUM([43]Sheet1!$N$49:$P$49)*'מאזן בוחן EUROPE'!N2</f>
        <v>6481.9652340304028</v>
      </c>
      <c r="P156" s="320"/>
      <c r="Q156" s="530"/>
    </row>
    <row r="157" spans="1:17">
      <c r="A157" s="650"/>
      <c r="B157" s="1226" t="s">
        <v>3193</v>
      </c>
      <c r="C157" s="719">
        <v>103768.34094140319</v>
      </c>
      <c r="D157" s="383">
        <v>136152.21</v>
      </c>
      <c r="E157" s="204">
        <v>0</v>
      </c>
      <c r="F157" s="320"/>
      <c r="G157" s="320"/>
      <c r="H157" s="320"/>
      <c r="I157" s="383"/>
      <c r="J157" s="383"/>
      <c r="K157" s="383"/>
      <c r="L157" s="383">
        <f>[109]Main!$G$45</f>
        <v>28208.072450743173</v>
      </c>
      <c r="M157" s="383">
        <f>L157</f>
        <v>28208.072450743173</v>
      </c>
      <c r="N157" s="204">
        <f>[109]Main!$J$16+[109]Main!$J$17</f>
        <v>14275.058416868302</v>
      </c>
      <c r="O157" s="2592">
        <f>[110]Main!$G$132+[110]Main!$G$123</f>
        <v>186919.97091538296</v>
      </c>
      <c r="Q157" s="530"/>
    </row>
    <row r="158" spans="1:17">
      <c r="A158" s="650"/>
      <c r="B158" s="1226" t="s">
        <v>4828</v>
      </c>
      <c r="C158" s="719"/>
      <c r="D158" s="383"/>
      <c r="E158" s="204"/>
      <c r="F158" s="320"/>
      <c r="G158" s="320"/>
      <c r="H158" s="320"/>
      <c r="I158" s="383"/>
      <c r="J158" s="383"/>
      <c r="K158" s="383"/>
      <c r="L158" s="383"/>
      <c r="M158" s="383"/>
      <c r="N158" s="204"/>
      <c r="O158" s="2592">
        <f>[110]Main!$K$123</f>
        <v>3053.6378019719969</v>
      </c>
      <c r="Q158" s="530"/>
    </row>
    <row r="159" spans="1:17">
      <c r="A159" s="650"/>
      <c r="B159" s="1226" t="s">
        <v>3192</v>
      </c>
      <c r="C159" s="719">
        <v>183705.4695495608</v>
      </c>
      <c r="D159" s="383"/>
      <c r="E159" s="204">
        <v>0</v>
      </c>
      <c r="F159" s="320"/>
      <c r="G159" s="320"/>
      <c r="H159" s="320"/>
      <c r="I159" s="383"/>
      <c r="J159" s="383"/>
      <c r="K159" s="383"/>
      <c r="L159" s="383"/>
      <c r="M159" s="976">
        <v>0</v>
      </c>
      <c r="N159" s="204">
        <v>0</v>
      </c>
      <c r="O159" s="2592">
        <v>0</v>
      </c>
      <c r="Q159" s="530"/>
    </row>
    <row r="160" spans="1:17">
      <c r="A160" s="650"/>
      <c r="B160" s="1226" t="s">
        <v>3477</v>
      </c>
      <c r="C160" s="719"/>
      <c r="D160" s="383"/>
      <c r="E160" s="204"/>
      <c r="F160" s="320">
        <f>'[111] EMEA Summary data 21'!$K$44</f>
        <v>89287.804940792776</v>
      </c>
      <c r="G160" s="518">
        <v>0</v>
      </c>
      <c r="H160" s="320"/>
      <c r="I160" s="383">
        <f>SUM([105]Main!$G$83:$G$114)</f>
        <v>85076.528748415236</v>
      </c>
      <c r="J160" s="383">
        <f>[105]Main!$G$108</f>
        <v>9649.0470814795153</v>
      </c>
      <c r="K160" s="383">
        <f>J160</f>
        <v>9649.0470814795153</v>
      </c>
      <c r="L160" s="383">
        <f>K160+[109]Main!$H$45+SUM([109]Main!$J$13:$J$42)</f>
        <v>250307.27101062561</v>
      </c>
      <c r="M160" s="383">
        <f>'[112]YTD Comm. Report '!$O$79*3.736/4.34</f>
        <v>30805.181544420811</v>
      </c>
      <c r="N160" s="204">
        <v>0</v>
      </c>
      <c r="O160" s="2592">
        <f>([110]Main!$G$57+[110]Main!$G$66)</f>
        <v>421706.79787923972</v>
      </c>
      <c r="Q160" s="530"/>
    </row>
    <row r="161" spans="1:19">
      <c r="A161" s="650"/>
      <c r="B161" s="1226" t="s">
        <v>4827</v>
      </c>
      <c r="C161" s="719">
        <v>41997.276043223872</v>
      </c>
      <c r="D161" s="383">
        <f>41997.2760432239*0.5</f>
        <v>20998.638021611951</v>
      </c>
      <c r="E161" s="204">
        <v>0</v>
      </c>
      <c r="F161" s="320">
        <f>'ביאורים לדוחות הכספיים'!J33</f>
        <v>890.48391520544362</v>
      </c>
      <c r="G161" s="320"/>
      <c r="H161" s="320"/>
      <c r="I161" s="383">
        <v>4657</v>
      </c>
      <c r="J161" s="383">
        <v>0</v>
      </c>
      <c r="K161" s="383"/>
      <c r="L161" s="383">
        <v>8573.2262102788609</v>
      </c>
      <c r="M161" s="976">
        <v>0</v>
      </c>
      <c r="N161" s="204">
        <v>0</v>
      </c>
      <c r="O161" s="2592">
        <f>[110]Main!$K$57</f>
        <v>14483.911393919729</v>
      </c>
      <c r="Q161" s="530"/>
    </row>
    <row r="162" spans="1:19">
      <c r="A162" s="650"/>
      <c r="B162" s="1226" t="s">
        <v>4111</v>
      </c>
      <c r="C162" s="719"/>
      <c r="D162" s="383"/>
      <c r="E162" s="204"/>
      <c r="F162" s="320"/>
      <c r="G162" s="320"/>
      <c r="H162" s="320"/>
      <c r="I162" s="383"/>
      <c r="J162" s="383"/>
      <c r="K162" s="383">
        <f>24173/5*5</f>
        <v>24173</v>
      </c>
      <c r="L162" s="383">
        <f>K162+4960.64</f>
        <v>29133.64</v>
      </c>
      <c r="M162" s="976">
        <v>0</v>
      </c>
      <c r="N162" s="204">
        <v>0</v>
      </c>
      <c r="O162" s="2592">
        <v>0</v>
      </c>
      <c r="Q162" s="530"/>
    </row>
    <row r="163" spans="1:19">
      <c r="A163" s="650"/>
      <c r="B163" s="1226" t="s">
        <v>4739</v>
      </c>
      <c r="C163" s="719"/>
      <c r="D163" s="383"/>
      <c r="E163" s="204"/>
      <c r="F163" s="320"/>
      <c r="G163" s="320"/>
      <c r="H163" s="320"/>
      <c r="I163" s="383"/>
      <c r="J163" s="383"/>
      <c r="K163" s="383"/>
      <c r="L163" s="383"/>
      <c r="M163" s="976"/>
      <c r="N163" s="204"/>
      <c r="O163" s="2592">
        <f>'[93]One-Time Bonus '!$C$46*'ביאורים לדוחות הכספיים'!$C$32</f>
        <v>1203.4703999999999</v>
      </c>
      <c r="Q163" s="530"/>
    </row>
    <row r="164" spans="1:19">
      <c r="A164" s="650"/>
      <c r="B164" s="320" t="s">
        <v>1758</v>
      </c>
      <c r="C164" s="650">
        <v>55411.780778250897</v>
      </c>
      <c r="D164" s="320">
        <v>55411.780778250897</v>
      </c>
      <c r="E164" s="204">
        <v>0</v>
      </c>
      <c r="F164" s="320"/>
      <c r="G164" s="320"/>
      <c r="H164" s="320"/>
      <c r="I164" s="320"/>
      <c r="J164" s="320"/>
      <c r="K164" s="320"/>
      <c r="L164" s="320"/>
      <c r="M164" s="518">
        <v>0</v>
      </c>
      <c r="N164" s="144">
        <v>0</v>
      </c>
      <c r="O164" s="2592">
        <f>'[104]One-Time Bonus '!$C$12*'מאזן בוחן EUROPE'!$N$2</f>
        <v>12318.126121196259</v>
      </c>
      <c r="Q164" s="530"/>
    </row>
    <row r="165" spans="1:19" ht="13.5" thickBot="1">
      <c r="A165" s="650"/>
      <c r="B165" s="320"/>
      <c r="C165" s="4217">
        <f t="shared" ref="C165:O165" si="20">SUM(C154:C164)</f>
        <v>435402.42045248899</v>
      </c>
      <c r="D165" s="3501">
        <f t="shared" si="20"/>
        <v>267775.18193991308</v>
      </c>
      <c r="E165" s="4218">
        <f t="shared" si="20"/>
        <v>9386</v>
      </c>
      <c r="F165" s="4218">
        <f t="shared" si="20"/>
        <v>109032.29908076876</v>
      </c>
      <c r="G165" s="4218">
        <f t="shared" si="20"/>
        <v>25139.110224770542</v>
      </c>
      <c r="H165" s="4218">
        <f t="shared" si="20"/>
        <v>31424.210224770541</v>
      </c>
      <c r="I165" s="4218">
        <f t="shared" si="20"/>
        <v>127442.83897318578</v>
      </c>
      <c r="J165" s="4218">
        <f t="shared" si="20"/>
        <v>53643.457306250057</v>
      </c>
      <c r="K165" s="3509">
        <f t="shared" si="20"/>
        <v>84101.557306250048</v>
      </c>
      <c r="L165" s="3509">
        <f t="shared" si="20"/>
        <v>372786.81989641819</v>
      </c>
      <c r="M165" s="3509">
        <f t="shared" si="20"/>
        <v>121862.96421993451</v>
      </c>
      <c r="N165" s="3509">
        <f t="shared" si="20"/>
        <v>83409.868641638837</v>
      </c>
      <c r="O165" s="4219">
        <f t="shared" si="20"/>
        <v>702999.60230784654</v>
      </c>
      <c r="Q165" s="530"/>
    </row>
    <row r="166" spans="1:19" ht="13.5" thickBot="1">
      <c r="A166" s="650"/>
      <c r="B166" s="320"/>
      <c r="C166" s="320"/>
      <c r="D166" s="320"/>
      <c r="O166" s="956">
        <f>'מאזן בוחן EUROPE'!$J$268+O165</f>
        <v>312.99230784655083</v>
      </c>
      <c r="Q166" s="530"/>
    </row>
    <row r="167" spans="1:19">
      <c r="A167" s="650"/>
      <c r="B167" s="320"/>
      <c r="C167" s="320"/>
      <c r="D167" s="320"/>
      <c r="E167" s="320"/>
      <c r="F167" s="320"/>
      <c r="G167" s="320"/>
      <c r="H167" s="320"/>
      <c r="I167" s="320"/>
      <c r="J167" s="320"/>
      <c r="K167" s="320"/>
      <c r="L167" s="320"/>
      <c r="M167" s="320"/>
      <c r="N167" s="320"/>
      <c r="O167" s="320"/>
      <c r="P167" s="320"/>
      <c r="Q167" s="530"/>
    </row>
    <row r="168" spans="1:19" ht="13.5" thickBot="1">
      <c r="A168" s="651"/>
      <c r="B168" s="1651"/>
      <c r="C168" s="718"/>
      <c r="D168" s="718"/>
      <c r="E168" s="718"/>
      <c r="F168" s="718"/>
      <c r="G168" s="718"/>
      <c r="H168" s="718"/>
      <c r="I168" s="718"/>
      <c r="J168" s="718"/>
      <c r="K168" s="718"/>
      <c r="L168" s="718"/>
      <c r="M168" s="718"/>
      <c r="N168" s="718"/>
      <c r="O168" s="718"/>
      <c r="P168" s="718"/>
      <c r="Q168" s="531"/>
    </row>
    <row r="169" spans="1:19">
      <c r="A169" s="1235" t="str">
        <f>'מאזן בוחן Australia'!B2</f>
        <v xml:space="preserve">Algosec Australia Pty </v>
      </c>
      <c r="B169" s="717"/>
      <c r="C169" s="717"/>
      <c r="D169" s="717"/>
      <c r="E169" s="717"/>
      <c r="F169" s="717"/>
      <c r="G169" s="717"/>
      <c r="H169" s="717"/>
      <c r="I169" s="717"/>
      <c r="J169" s="717"/>
      <c r="K169" s="717"/>
      <c r="L169" s="717"/>
      <c r="M169" s="717"/>
      <c r="N169" s="717"/>
      <c r="O169" s="717"/>
      <c r="P169" s="717"/>
      <c r="Q169" s="734"/>
    </row>
    <row r="170" spans="1:19">
      <c r="A170" s="650"/>
      <c r="B170" s="320"/>
      <c r="C170" s="320"/>
      <c r="D170" s="320"/>
      <c r="E170" s="320"/>
      <c r="F170" s="320"/>
      <c r="H170" s="320"/>
      <c r="I170" s="320"/>
      <c r="J170" s="320"/>
      <c r="K170" s="320"/>
      <c r="L170" s="320"/>
      <c r="M170" s="320"/>
      <c r="N170" s="320"/>
      <c r="O170" s="320"/>
      <c r="P170" s="320"/>
      <c r="Q170" s="530"/>
    </row>
    <row r="171" spans="1:19">
      <c r="A171" s="1222">
        <v>2200001</v>
      </c>
      <c r="B171" s="1223" t="str">
        <f>'מאזן בוחן Australia'!D117</f>
        <v>Accrued expenses</v>
      </c>
      <c r="C171" s="320"/>
      <c r="D171" s="320"/>
      <c r="E171" s="320"/>
      <c r="F171" s="320"/>
      <c r="G171" s="320"/>
      <c r="H171" s="320"/>
      <c r="I171" s="320"/>
      <c r="J171" s="320"/>
      <c r="K171" s="320"/>
      <c r="L171" s="320"/>
      <c r="M171" s="320"/>
      <c r="N171" s="320"/>
      <c r="O171" s="320"/>
      <c r="P171" s="320"/>
      <c r="Q171" s="530"/>
    </row>
    <row r="172" spans="1:19" ht="13.5" thickBot="1">
      <c r="A172" s="650"/>
      <c r="B172" s="320"/>
      <c r="C172" s="320"/>
      <c r="D172" s="320"/>
      <c r="E172" s="320"/>
      <c r="F172" s="320"/>
      <c r="G172" s="320"/>
      <c r="H172" s="320"/>
      <c r="I172" s="320"/>
      <c r="J172" s="320"/>
      <c r="K172" s="320"/>
      <c r="L172" s="320"/>
      <c r="M172" s="320"/>
      <c r="N172" s="320"/>
      <c r="O172" s="320"/>
      <c r="P172" s="320"/>
      <c r="Q172" s="530"/>
    </row>
    <row r="173" spans="1:19" ht="13.5" thickBot="1">
      <c r="A173" s="650"/>
      <c r="B173" s="320"/>
      <c r="C173" s="4406" t="s">
        <v>794</v>
      </c>
      <c r="D173" s="4407"/>
      <c r="E173" s="4407"/>
      <c r="F173" s="4407"/>
      <c r="G173" s="4407"/>
      <c r="H173" s="4407"/>
      <c r="I173" s="4407"/>
      <c r="J173" s="4407"/>
      <c r="K173" s="4407"/>
      <c r="L173" s="4407"/>
      <c r="M173" s="4407"/>
      <c r="N173" s="4407"/>
      <c r="O173" s="4408"/>
      <c r="Q173" s="530"/>
    </row>
    <row r="174" spans="1:19">
      <c r="A174" s="650"/>
      <c r="B174" s="320"/>
      <c r="C174" s="3286">
        <v>44166</v>
      </c>
      <c r="D174" s="3292">
        <v>44197</v>
      </c>
      <c r="E174" s="3292">
        <v>44228</v>
      </c>
      <c r="F174" s="3292">
        <v>44256</v>
      </c>
      <c r="G174" s="3292">
        <v>44287</v>
      </c>
      <c r="H174" s="3292">
        <v>44317</v>
      </c>
      <c r="I174" s="3292">
        <v>44348</v>
      </c>
      <c r="J174" s="3292">
        <v>44378</v>
      </c>
      <c r="K174" s="3292">
        <v>44409</v>
      </c>
      <c r="L174" s="3292">
        <v>44440</v>
      </c>
      <c r="M174" s="3292">
        <v>44470</v>
      </c>
      <c r="N174" s="3292">
        <v>44501</v>
      </c>
      <c r="O174" s="3291">
        <v>44531</v>
      </c>
      <c r="Q174" s="1225"/>
      <c r="S174" s="273"/>
    </row>
    <row r="175" spans="1:19">
      <c r="A175" s="650"/>
      <c r="B175" s="320"/>
      <c r="C175" s="650"/>
      <c r="D175" s="320"/>
      <c r="E175" s="320"/>
      <c r="F175" s="320"/>
      <c r="G175" s="320"/>
      <c r="H175" s="320"/>
      <c r="I175" s="320"/>
      <c r="J175" s="320"/>
      <c r="K175" s="320"/>
      <c r="L175" s="320"/>
      <c r="M175" s="320"/>
      <c r="N175" s="320"/>
      <c r="O175" s="530"/>
      <c r="Q175" s="530"/>
      <c r="S175" s="273"/>
    </row>
    <row r="176" spans="1:19">
      <c r="A176" s="650"/>
      <c r="B176" s="1226" t="s">
        <v>2424</v>
      </c>
      <c r="C176" s="650">
        <v>1250</v>
      </c>
      <c r="D176" s="320">
        <f>C176/3</f>
        <v>416.66666666666669</v>
      </c>
      <c r="E176" s="320">
        <f>D176*2</f>
        <v>833.33333333333337</v>
      </c>
      <c r="F176" s="320">
        <f>D176*3</f>
        <v>1250</v>
      </c>
      <c r="G176" s="320">
        <f>F176/3</f>
        <v>416.66666666666669</v>
      </c>
      <c r="H176" s="320">
        <f>G176*2</f>
        <v>833.33333333333337</v>
      </c>
      <c r="I176" s="320">
        <f>G176*3</f>
        <v>1250</v>
      </c>
      <c r="J176" s="320">
        <f>I176/3</f>
        <v>416.66666666666669</v>
      </c>
      <c r="K176" s="320">
        <f>J176*2</f>
        <v>833.33333333333337</v>
      </c>
      <c r="L176" s="320">
        <f>J176*3</f>
        <v>1250</v>
      </c>
      <c r="M176" s="320">
        <f>L176/3</f>
        <v>416.66666666666669</v>
      </c>
      <c r="N176" s="320">
        <f>M176*2</f>
        <v>833.33333333333337</v>
      </c>
      <c r="O176" s="530">
        <f>M176*3</f>
        <v>1250</v>
      </c>
      <c r="Q176" s="530"/>
      <c r="S176" s="273"/>
    </row>
    <row r="177" spans="1:19">
      <c r="A177" s="650"/>
      <c r="B177" s="1226" t="str">
        <f>"Audit provision-2021"</f>
        <v>Audit provision-2021</v>
      </c>
      <c r="C177" s="650"/>
      <c r="D177" s="320">
        <f>1050/12</f>
        <v>87.5</v>
      </c>
      <c r="E177" s="320">
        <f>1050/12+D177</f>
        <v>175</v>
      </c>
      <c r="F177" s="320">
        <f t="shared" ref="F177:O177" si="21">1050/12+E177</f>
        <v>262.5</v>
      </c>
      <c r="G177" s="320">
        <f t="shared" si="21"/>
        <v>350</v>
      </c>
      <c r="H177" s="320">
        <f t="shared" si="21"/>
        <v>437.5</v>
      </c>
      <c r="I177" s="320">
        <f t="shared" si="21"/>
        <v>525</v>
      </c>
      <c r="J177" s="320">
        <f t="shared" si="21"/>
        <v>612.5</v>
      </c>
      <c r="K177" s="320">
        <f t="shared" si="21"/>
        <v>700</v>
      </c>
      <c r="L177" s="320">
        <f t="shared" si="21"/>
        <v>787.5</v>
      </c>
      <c r="M177" s="320">
        <f t="shared" si="21"/>
        <v>875</v>
      </c>
      <c r="N177" s="320">
        <f t="shared" si="21"/>
        <v>962.5</v>
      </c>
      <c r="O177" s="530">
        <f t="shared" si="21"/>
        <v>1050</v>
      </c>
      <c r="Q177" s="1329"/>
      <c r="S177" s="273"/>
    </row>
    <row r="178" spans="1:19">
      <c r="A178" s="650"/>
      <c r="B178" s="1226" t="str">
        <f>"Audit provision-2020"</f>
        <v>Audit provision-2020</v>
      </c>
      <c r="C178" s="650">
        <v>1050</v>
      </c>
      <c r="D178" s="320">
        <f t="shared" ref="D178:I178" si="22">C178</f>
        <v>1050</v>
      </c>
      <c r="E178" s="320">
        <f t="shared" si="22"/>
        <v>1050</v>
      </c>
      <c r="F178" s="320">
        <f t="shared" si="22"/>
        <v>1050</v>
      </c>
      <c r="G178" s="320">
        <f t="shared" si="22"/>
        <v>1050</v>
      </c>
      <c r="H178" s="320">
        <f t="shared" si="22"/>
        <v>1050</v>
      </c>
      <c r="I178" s="383">
        <f t="shared" si="22"/>
        <v>1050</v>
      </c>
      <c r="J178" s="383">
        <f>I178</f>
        <v>1050</v>
      </c>
      <c r="K178" s="383">
        <f>J178</f>
        <v>1050</v>
      </c>
      <c r="L178" s="383">
        <f>K178</f>
        <v>1050</v>
      </c>
      <c r="M178" s="383">
        <f>L178</f>
        <v>1050</v>
      </c>
      <c r="N178" s="976">
        <v>0</v>
      </c>
      <c r="O178" s="3641">
        <v>0</v>
      </c>
      <c r="Q178" s="530"/>
      <c r="S178" s="273"/>
    </row>
    <row r="179" spans="1:19" ht="13.5" thickBot="1">
      <c r="A179" s="650"/>
      <c r="B179" s="732"/>
      <c r="C179" s="2497">
        <f t="shared" ref="C179:O179" si="23">SUM(C176:C178)</f>
        <v>2300</v>
      </c>
      <c r="D179" s="2498">
        <f t="shared" si="23"/>
        <v>1554.1666666666667</v>
      </c>
      <c r="E179" s="2498">
        <f t="shared" si="23"/>
        <v>2058.3333333333335</v>
      </c>
      <c r="F179" s="2498">
        <f t="shared" si="23"/>
        <v>2562.5</v>
      </c>
      <c r="G179" s="2498">
        <f t="shared" si="23"/>
        <v>1816.6666666666667</v>
      </c>
      <c r="H179" s="2498">
        <f t="shared" si="23"/>
        <v>2320.8333333333335</v>
      </c>
      <c r="I179" s="2498">
        <f t="shared" si="23"/>
        <v>2825</v>
      </c>
      <c r="J179" s="2498">
        <f t="shared" si="23"/>
        <v>2079.166666666667</v>
      </c>
      <c r="K179" s="1920">
        <f t="shared" si="23"/>
        <v>2583.3333333333335</v>
      </c>
      <c r="L179" s="1920">
        <f t="shared" si="23"/>
        <v>3087.5</v>
      </c>
      <c r="M179" s="1920">
        <f t="shared" si="23"/>
        <v>2341.666666666667</v>
      </c>
      <c r="N179" s="1920">
        <f t="shared" si="23"/>
        <v>1795.8333333333335</v>
      </c>
      <c r="O179" s="2499">
        <f t="shared" si="23"/>
        <v>2300</v>
      </c>
      <c r="Q179" s="530"/>
    </row>
    <row r="180" spans="1:19" ht="14.25" thickTop="1" thickBot="1">
      <c r="A180" s="650"/>
      <c r="B180" s="732"/>
      <c r="C180" s="651"/>
      <c r="D180" s="718"/>
      <c r="E180" s="718"/>
      <c r="F180" s="718"/>
      <c r="G180" s="718"/>
      <c r="H180" s="718"/>
      <c r="I180" s="718"/>
      <c r="J180" s="718"/>
      <c r="K180" s="718"/>
      <c r="L180" s="718"/>
      <c r="M180" s="718"/>
      <c r="N180" s="718"/>
      <c r="O180" s="956">
        <f>+'מאזן בוחן Australia'!$J$117+O179</f>
        <v>-7</v>
      </c>
      <c r="Q180" s="530"/>
    </row>
    <row r="181" spans="1:19">
      <c r="A181" s="650"/>
      <c r="B181" s="320"/>
      <c r="C181" s="320"/>
      <c r="D181" s="320"/>
      <c r="E181" s="320"/>
      <c r="F181" s="320"/>
      <c r="G181" s="320"/>
      <c r="H181" s="320"/>
      <c r="I181" s="320"/>
      <c r="J181" s="320"/>
      <c r="K181" s="320"/>
      <c r="L181" s="320"/>
      <c r="M181" s="320"/>
      <c r="N181" s="320"/>
      <c r="O181" s="320"/>
      <c r="Q181" s="530"/>
    </row>
    <row r="182" spans="1:19" ht="13.5" thickBot="1">
      <c r="A182" s="1222">
        <v>2400001</v>
      </c>
      <c r="B182" s="1223" t="s">
        <v>2549</v>
      </c>
      <c r="C182" s="320"/>
      <c r="D182" s="320"/>
      <c r="E182" s="320"/>
      <c r="F182" s="320"/>
      <c r="G182" s="320"/>
      <c r="H182" s="320"/>
      <c r="I182" s="320"/>
      <c r="J182" s="320"/>
      <c r="K182" s="383"/>
      <c r="L182" s="320"/>
      <c r="M182" s="320"/>
      <c r="N182" s="320"/>
      <c r="O182" s="320"/>
      <c r="Q182" s="530"/>
    </row>
    <row r="183" spans="1:19" ht="13.5" thickBot="1">
      <c r="A183" s="650"/>
      <c r="B183" s="320"/>
      <c r="C183" s="4406" t="s">
        <v>794</v>
      </c>
      <c r="D183" s="4407"/>
      <c r="E183" s="4407"/>
      <c r="F183" s="4407"/>
      <c r="G183" s="4407"/>
      <c r="H183" s="4407"/>
      <c r="I183" s="4407"/>
      <c r="J183" s="4407"/>
      <c r="K183" s="4407"/>
      <c r="L183" s="4407"/>
      <c r="M183" s="4407"/>
      <c r="N183" s="4407"/>
      <c r="O183" s="4408"/>
      <c r="Q183" s="530"/>
    </row>
    <row r="184" spans="1:19">
      <c r="A184" s="650"/>
      <c r="B184" s="320"/>
      <c r="C184" s="3286">
        <v>44166</v>
      </c>
      <c r="D184" s="3833">
        <v>44197</v>
      </c>
      <c r="E184" s="3833">
        <v>44228</v>
      </c>
      <c r="F184" s="3833">
        <v>44256</v>
      </c>
      <c r="G184" s="3833">
        <v>44287</v>
      </c>
      <c r="H184" s="3833">
        <v>44317</v>
      </c>
      <c r="I184" s="3833">
        <v>44348</v>
      </c>
      <c r="J184" s="3833">
        <v>44378</v>
      </c>
      <c r="K184" s="3833">
        <v>44409</v>
      </c>
      <c r="L184" s="3833">
        <v>44440</v>
      </c>
      <c r="M184" s="3833">
        <v>44470</v>
      </c>
      <c r="N184" s="3833">
        <v>44501</v>
      </c>
      <c r="O184" s="3834">
        <v>44531</v>
      </c>
      <c r="Q184" s="530"/>
    </row>
    <row r="185" spans="1:19">
      <c r="A185" s="650"/>
      <c r="B185" s="320" t="s">
        <v>3201</v>
      </c>
      <c r="C185" s="650">
        <v>10000</v>
      </c>
      <c r="D185" s="320">
        <f>C185</f>
        <v>10000</v>
      </c>
      <c r="E185" s="144">
        <v>0</v>
      </c>
      <c r="F185" s="144">
        <v>0</v>
      </c>
      <c r="G185" s="320"/>
      <c r="H185" s="320"/>
      <c r="I185" s="320"/>
      <c r="J185" s="144">
        <v>0</v>
      </c>
      <c r="K185" s="144"/>
      <c r="L185" s="144"/>
      <c r="M185" s="144">
        <v>0</v>
      </c>
      <c r="N185" s="144">
        <v>0</v>
      </c>
      <c r="O185" s="2592">
        <v>2974.0974865032308</v>
      </c>
      <c r="Q185" s="530"/>
    </row>
    <row r="186" spans="1:19">
      <c r="A186" s="650"/>
      <c r="B186" s="320" t="s">
        <v>3477</v>
      </c>
      <c r="C186" s="650"/>
      <c r="D186" s="320"/>
      <c r="E186" s="144"/>
      <c r="F186" s="144">
        <f>'[113] APAC Summary data 21'!$H$33+'[113] APAC Summary data 21'!$H$32</f>
        <v>59379.24070689598</v>
      </c>
      <c r="G186" s="320">
        <v>8307</v>
      </c>
      <c r="H186" s="518">
        <v>0</v>
      </c>
      <c r="I186" s="320">
        <v>61687.942774285497</v>
      </c>
      <c r="J186" s="144">
        <v>0</v>
      </c>
      <c r="K186" s="144"/>
      <c r="L186" s="144">
        <f>'[114] APAC Summary data 21'!$G$36+'[114] APAC Summary data 21'!$G$38</f>
        <v>222441.18000000002</v>
      </c>
      <c r="M186" s="144">
        <v>0</v>
      </c>
      <c r="N186" s="144">
        <v>0</v>
      </c>
      <c r="O186" s="2592">
        <f>[115]Main!$G$20</f>
        <v>128579.32345882496</v>
      </c>
      <c r="Q186" s="530"/>
    </row>
    <row r="187" spans="1:19">
      <c r="A187" s="650"/>
      <c r="B187" s="320" t="s">
        <v>3879</v>
      </c>
      <c r="C187" s="650"/>
      <c r="D187" s="320"/>
      <c r="E187" s="144"/>
      <c r="F187" s="144"/>
      <c r="G187" s="320"/>
      <c r="H187" s="518"/>
      <c r="I187" s="320"/>
      <c r="J187" s="144"/>
      <c r="K187" s="144"/>
      <c r="L187" s="144">
        <f>L186*10%</f>
        <v>22244.118000000002</v>
      </c>
      <c r="M187" s="144">
        <v>0</v>
      </c>
      <c r="N187" s="144">
        <v>0</v>
      </c>
      <c r="O187" s="2592">
        <f>[115]Main!$K$20</f>
        <v>12857.932345882495</v>
      </c>
      <c r="Q187" s="530"/>
    </row>
    <row r="188" spans="1:19">
      <c r="A188" s="650"/>
      <c r="B188" s="320" t="s">
        <v>3878</v>
      </c>
      <c r="C188" s="650"/>
      <c r="D188" s="320"/>
      <c r="E188" s="144"/>
      <c r="F188" s="144"/>
      <c r="G188" s="320"/>
      <c r="H188" s="518"/>
      <c r="I188" s="320">
        <v>286010</v>
      </c>
      <c r="J188" s="144">
        <f>I188</f>
        <v>286010</v>
      </c>
      <c r="K188" s="144">
        <f>J188</f>
        <v>286010</v>
      </c>
      <c r="L188" s="144">
        <f>'[114] APAC Summary data 21'!$G$35</f>
        <v>144235</v>
      </c>
      <c r="M188" s="144">
        <f>L188</f>
        <v>144235</v>
      </c>
      <c r="N188" s="144">
        <v>0</v>
      </c>
      <c r="O188" s="2592">
        <f>[115]Main!$G$44</f>
        <v>77322.451119999998</v>
      </c>
      <c r="Q188" s="530"/>
    </row>
    <row r="189" spans="1:19">
      <c r="A189" s="650"/>
      <c r="B189" s="320" t="s">
        <v>4221</v>
      </c>
      <c r="C189" s="650"/>
      <c r="D189" s="320"/>
      <c r="E189" s="144"/>
      <c r="F189" s="144"/>
      <c r="G189" s="320"/>
      <c r="H189" s="518"/>
      <c r="I189" s="320">
        <v>10178</v>
      </c>
      <c r="J189" s="144">
        <v>0</v>
      </c>
      <c r="K189" s="144"/>
      <c r="L189" s="144">
        <f>'[114] APAC Summary data 21'!$G$35*10%</f>
        <v>14423.5</v>
      </c>
      <c r="M189" s="144">
        <f>L189</f>
        <v>14423.5</v>
      </c>
      <c r="N189" s="144">
        <v>0</v>
      </c>
      <c r="O189" s="2592">
        <v>0</v>
      </c>
      <c r="Q189" s="530"/>
    </row>
    <row r="190" spans="1:19">
      <c r="A190" s="650"/>
      <c r="B190" s="32" t="s">
        <v>3379</v>
      </c>
      <c r="C190" s="650">
        <v>20350</v>
      </c>
      <c r="D190" s="144">
        <v>0</v>
      </c>
      <c r="E190" s="144">
        <v>0</v>
      </c>
      <c r="F190" s="144">
        <v>0</v>
      </c>
      <c r="G190" s="320"/>
      <c r="H190" s="320"/>
      <c r="I190" s="320"/>
      <c r="J190" s="144">
        <v>0</v>
      </c>
      <c r="K190" s="144"/>
      <c r="L190" s="144"/>
      <c r="M190" s="144">
        <v>0</v>
      </c>
      <c r="N190" s="144">
        <v>0</v>
      </c>
      <c r="O190" s="2592">
        <v>0</v>
      </c>
      <c r="Q190" s="530"/>
    </row>
    <row r="191" spans="1:19">
      <c r="A191" s="650"/>
      <c r="B191" s="1226" t="s">
        <v>2107</v>
      </c>
      <c r="C191" s="650">
        <v>38040.950188852265</v>
      </c>
      <c r="D191" s="383">
        <v>38040.950188852265</v>
      </c>
      <c r="E191" s="144">
        <v>0</v>
      </c>
      <c r="F191" s="144">
        <v>0</v>
      </c>
      <c r="G191" s="320"/>
      <c r="H191" s="320"/>
      <c r="I191" s="320"/>
      <c r="J191" s="144">
        <v>0</v>
      </c>
      <c r="K191" s="144"/>
      <c r="L191" s="144"/>
      <c r="M191" s="144">
        <v>0</v>
      </c>
      <c r="N191" s="144">
        <v>0</v>
      </c>
      <c r="O191" s="1463">
        <v>0</v>
      </c>
      <c r="Q191" s="530"/>
    </row>
    <row r="192" spans="1:19">
      <c r="A192" s="650"/>
      <c r="B192" s="1226" t="s">
        <v>3218</v>
      </c>
      <c r="C192" s="650"/>
      <c r="D192" s="383">
        <f>35202/12</f>
        <v>2933.5</v>
      </c>
      <c r="E192" s="204">
        <f>35202/12+D192</f>
        <v>5867</v>
      </c>
      <c r="F192" s="383">
        <v>16970.129614308789</v>
      </c>
      <c r="G192" s="320">
        <f t="shared" ref="G192:N192" si="24">F192+5534.26</f>
        <v>22504.389614308791</v>
      </c>
      <c r="H192" s="320">
        <f t="shared" si="24"/>
        <v>28038.649614308793</v>
      </c>
      <c r="I192" s="320">
        <f t="shared" si="24"/>
        <v>33572.909614308795</v>
      </c>
      <c r="J192" s="144">
        <f t="shared" si="24"/>
        <v>39107.169614308797</v>
      </c>
      <c r="K192" s="144">
        <f t="shared" si="24"/>
        <v>44641.4296143088</v>
      </c>
      <c r="L192" s="144">
        <f t="shared" si="24"/>
        <v>50175.689614308802</v>
      </c>
      <c r="M192" s="144">
        <f t="shared" si="24"/>
        <v>55709.949614308804</v>
      </c>
      <c r="N192" s="144">
        <f t="shared" si="24"/>
        <v>61244.209614308806</v>
      </c>
      <c r="O192" s="2592">
        <f>SUM([43]Sheet1!$B$22)*'מאזן בוחן Australia'!$O$2</f>
        <v>43279.329475453706</v>
      </c>
      <c r="Q192" s="530"/>
    </row>
    <row r="193" spans="1:17">
      <c r="A193" s="650"/>
      <c r="B193" s="1226" t="s">
        <v>3609</v>
      </c>
      <c r="C193" s="650">
        <v>452475.17776981782</v>
      </c>
      <c r="D193" s="320">
        <f>[116]pivot!$D$52</f>
        <v>263231</v>
      </c>
      <c r="E193" s="320">
        <f>D193</f>
        <v>263231</v>
      </c>
      <c r="F193" s="320">
        <f>E193-201396</f>
        <v>61835</v>
      </c>
      <c r="G193" s="518">
        <v>0</v>
      </c>
      <c r="H193" s="320"/>
      <c r="I193" s="320"/>
      <c r="J193" s="144">
        <v>0</v>
      </c>
      <c r="K193" s="144"/>
      <c r="L193" s="144"/>
      <c r="M193" s="144">
        <v>0</v>
      </c>
      <c r="N193" s="144">
        <v>0</v>
      </c>
      <c r="O193" s="1463">
        <v>0</v>
      </c>
      <c r="Q193" s="530"/>
    </row>
    <row r="194" spans="1:17" ht="13.5" thickBot="1">
      <c r="A194" s="650"/>
      <c r="B194" s="320"/>
      <c r="C194" s="987">
        <f>SUM(C185:C193)</f>
        <v>520866.12795867008</v>
      </c>
      <c r="D194" s="3509">
        <f t="shared" ref="D194:M194" si="25">SUM(D185:D193)</f>
        <v>314205.45018885226</v>
      </c>
      <c r="E194" s="3509">
        <f t="shared" si="25"/>
        <v>269098</v>
      </c>
      <c r="F194" s="3509">
        <f t="shared" si="25"/>
        <v>138184.37032120477</v>
      </c>
      <c r="G194" s="3509">
        <f>SUM(G185:G193)</f>
        <v>30811.389614308791</v>
      </c>
      <c r="H194" s="3509">
        <f t="shared" si="25"/>
        <v>28038.649614308793</v>
      </c>
      <c r="I194" s="3509">
        <f t="shared" si="25"/>
        <v>391448.8523885943</v>
      </c>
      <c r="J194" s="3509">
        <f t="shared" si="25"/>
        <v>325117.1696143088</v>
      </c>
      <c r="K194" s="3509">
        <f t="shared" si="25"/>
        <v>330651.42961430881</v>
      </c>
      <c r="L194" s="3509">
        <f t="shared" si="25"/>
        <v>453519.48761430883</v>
      </c>
      <c r="M194" s="3509">
        <f t="shared" si="25"/>
        <v>214368.4496143088</v>
      </c>
      <c r="N194" s="3509">
        <f>SUM(N185:N193)</f>
        <v>61244.209614308806</v>
      </c>
      <c r="O194" s="2825">
        <f>SUM(O185:O193)</f>
        <v>265013.13388666441</v>
      </c>
      <c r="Q194" s="530"/>
    </row>
    <row r="195" spans="1:17" ht="13.5" thickBot="1">
      <c r="A195" s="650"/>
      <c r="B195" s="320"/>
      <c r="C195" s="3427"/>
      <c r="D195" s="718"/>
      <c r="E195" s="718"/>
      <c r="F195" s="718"/>
      <c r="G195" s="718"/>
      <c r="H195" s="718"/>
      <c r="I195" s="718"/>
      <c r="J195" s="718"/>
      <c r="K195" s="718"/>
      <c r="L195" s="718"/>
      <c r="M195" s="718"/>
      <c r="N195" s="718"/>
      <c r="O195" s="2745">
        <f>+'מאזן בוחן Australia'!$J$107+O194</f>
        <v>3.8866644026711583E-3</v>
      </c>
      <c r="Q195" s="558"/>
    </row>
    <row r="196" spans="1:17" ht="13.5" thickBot="1">
      <c r="A196" s="651"/>
      <c r="B196" s="718"/>
      <c r="C196" s="718"/>
      <c r="D196" s="718"/>
      <c r="E196" s="718"/>
      <c r="F196" s="718"/>
      <c r="G196" s="718"/>
      <c r="H196" s="718"/>
      <c r="I196" s="718"/>
      <c r="J196" s="718"/>
      <c r="K196" s="718"/>
      <c r="L196" s="718"/>
      <c r="M196" s="718"/>
      <c r="N196" s="725"/>
      <c r="O196" s="725"/>
      <c r="P196" s="725"/>
      <c r="Q196" s="564"/>
    </row>
    <row r="197" spans="1:17">
      <c r="A197" s="1235" t="s">
        <v>2510</v>
      </c>
      <c r="B197" s="717"/>
      <c r="C197" s="717"/>
      <c r="D197" s="717"/>
      <c r="E197" s="717"/>
      <c r="F197" s="717"/>
      <c r="G197" s="717"/>
      <c r="H197" s="717"/>
      <c r="I197" s="717"/>
      <c r="J197" s="717"/>
      <c r="K197" s="717"/>
      <c r="L197" s="717"/>
      <c r="M197" s="717"/>
      <c r="N197" s="717"/>
      <c r="O197" s="717"/>
      <c r="P197" s="717"/>
      <c r="Q197" s="734"/>
    </row>
    <row r="198" spans="1:17">
      <c r="A198" s="650"/>
      <c r="B198" s="320"/>
      <c r="C198" s="320"/>
      <c r="D198" s="320"/>
      <c r="E198" s="320"/>
      <c r="F198" s="320"/>
      <c r="G198" s="320"/>
      <c r="H198" s="320"/>
      <c r="I198" s="320"/>
      <c r="J198" s="320"/>
      <c r="K198" s="320"/>
      <c r="L198" s="320"/>
      <c r="M198" s="320"/>
      <c r="N198" s="320"/>
      <c r="O198" s="320"/>
      <c r="P198" s="320"/>
      <c r="Q198" s="530"/>
    </row>
    <row r="199" spans="1:17">
      <c r="A199" s="1222">
        <v>2200001</v>
      </c>
      <c r="B199" s="1223" t="s">
        <v>702</v>
      </c>
      <c r="C199" s="320"/>
      <c r="D199" s="320"/>
      <c r="E199" s="320"/>
      <c r="F199" s="320"/>
      <c r="G199" s="320"/>
      <c r="H199" s="320"/>
      <c r="I199" s="320"/>
      <c r="J199" s="320"/>
      <c r="K199" s="320"/>
      <c r="L199" s="320"/>
      <c r="M199" s="320"/>
      <c r="N199" s="320"/>
      <c r="O199" s="320"/>
      <c r="P199" s="320"/>
      <c r="Q199" s="530"/>
    </row>
    <row r="200" spans="1:17" ht="13.5" thickBot="1">
      <c r="A200" s="650"/>
      <c r="B200" s="320"/>
      <c r="C200" s="320"/>
      <c r="D200" s="320"/>
      <c r="E200" s="320"/>
      <c r="F200" s="320"/>
      <c r="G200" s="320"/>
      <c r="H200" s="320"/>
      <c r="I200" s="320"/>
      <c r="J200" s="320"/>
      <c r="K200" s="320"/>
      <c r="L200" s="320"/>
      <c r="M200" s="320"/>
      <c r="N200" s="320"/>
      <c r="O200" s="320"/>
      <c r="P200" s="320"/>
      <c r="Q200" s="530"/>
    </row>
    <row r="201" spans="1:17" ht="13.5" thickBot="1">
      <c r="A201" s="650"/>
      <c r="B201" s="320"/>
      <c r="C201" s="4406" t="s">
        <v>2507</v>
      </c>
      <c r="D201" s="4407"/>
      <c r="E201" s="4407"/>
      <c r="F201" s="4407"/>
      <c r="G201" s="4407"/>
      <c r="H201" s="4407"/>
      <c r="I201" s="4407"/>
      <c r="J201" s="4407"/>
      <c r="K201" s="4407"/>
      <c r="L201" s="4407"/>
      <c r="M201" s="4407"/>
      <c r="N201" s="4407"/>
      <c r="O201" s="4408"/>
      <c r="P201" s="320"/>
      <c r="Q201" s="530"/>
    </row>
    <row r="202" spans="1:17">
      <c r="A202" s="650"/>
      <c r="B202" s="320"/>
      <c r="C202" s="998">
        <v>44166</v>
      </c>
      <c r="D202" s="2251">
        <v>44197</v>
      </c>
      <c r="E202" s="2251">
        <v>44228</v>
      </c>
      <c r="F202" s="2251">
        <v>44256</v>
      </c>
      <c r="G202" s="2251">
        <v>44287</v>
      </c>
      <c r="H202" s="2251">
        <v>44317</v>
      </c>
      <c r="I202" s="2251">
        <v>44348</v>
      </c>
      <c r="J202" s="2251">
        <v>44378</v>
      </c>
      <c r="K202" s="2251">
        <v>44409</v>
      </c>
      <c r="L202" s="2251">
        <v>44440</v>
      </c>
      <c r="M202" s="2251">
        <v>44470</v>
      </c>
      <c r="N202" s="2251">
        <v>44501</v>
      </c>
      <c r="O202" s="2815">
        <v>44531</v>
      </c>
      <c r="P202" s="320"/>
      <c r="Q202" s="530"/>
    </row>
    <row r="203" spans="1:17">
      <c r="A203" s="650"/>
      <c r="B203" s="320" t="s">
        <v>4450</v>
      </c>
      <c r="C203" s="650">
        <v>64750</v>
      </c>
      <c r="D203" s="320">
        <f>64750+78625</f>
        <v>143375</v>
      </c>
      <c r="E203" s="320">
        <f>64750+78625+27750</f>
        <v>171125</v>
      </c>
      <c r="F203" s="320">
        <f>27500+133662.5</f>
        <v>161162.5</v>
      </c>
      <c r="G203" s="320">
        <f>F203-27750+37800</f>
        <v>171212.5</v>
      </c>
      <c r="H203" s="320">
        <f>171212.5+45000</f>
        <v>216212.5</v>
      </c>
      <c r="I203" s="3183">
        <v>279688</v>
      </c>
      <c r="J203" s="144">
        <f>I203+28350</f>
        <v>308038</v>
      </c>
      <c r="K203" s="144">
        <f>J203-45787.5-37800-45000-43605</f>
        <v>135845.5</v>
      </c>
      <c r="L203" s="144">
        <f>K203+65250</f>
        <v>201095.5</v>
      </c>
      <c r="M203" s="144">
        <f>L203+28000</f>
        <v>229095.5</v>
      </c>
      <c r="N203" s="144">
        <f>229095.5-28350-43875-28800+36000</f>
        <v>164070.5</v>
      </c>
      <c r="O203" s="1463">
        <v>277370</v>
      </c>
      <c r="P203" s="320"/>
      <c r="Q203" s="530"/>
    </row>
    <row r="204" spans="1:17">
      <c r="A204" s="650"/>
      <c r="B204" s="320" t="s">
        <v>3070</v>
      </c>
      <c r="C204" s="650">
        <v>6937.5</v>
      </c>
      <c r="D204" s="320"/>
      <c r="E204" s="320"/>
      <c r="F204" s="320"/>
      <c r="G204" s="320"/>
      <c r="H204" s="320"/>
      <c r="I204" s="3183">
        <v>0</v>
      </c>
      <c r="J204" s="144"/>
      <c r="K204" s="144">
        <v>0</v>
      </c>
      <c r="L204" s="144"/>
      <c r="M204" s="144">
        <v>0</v>
      </c>
      <c r="N204" s="144">
        <v>0</v>
      </c>
      <c r="O204" s="1463">
        <v>6750</v>
      </c>
      <c r="P204" s="320"/>
      <c r="Q204" s="530"/>
    </row>
    <row r="205" spans="1:17">
      <c r="A205" s="650"/>
      <c r="B205" s="1613" t="s">
        <v>3775</v>
      </c>
      <c r="C205" s="650">
        <v>20305.599999999999</v>
      </c>
      <c r="D205" s="320"/>
      <c r="E205" s="320"/>
      <c r="F205" s="320">
        <v>20305.599999999999</v>
      </c>
      <c r="G205" s="320"/>
      <c r="H205" s="320"/>
      <c r="I205" s="3183">
        <v>20120</v>
      </c>
      <c r="J205" s="144">
        <v>0</v>
      </c>
      <c r="K205" s="144">
        <v>0</v>
      </c>
      <c r="L205" s="144">
        <v>20120</v>
      </c>
      <c r="M205" s="144">
        <v>0</v>
      </c>
      <c r="N205" s="144">
        <v>0</v>
      </c>
      <c r="O205" s="1463">
        <v>0</v>
      </c>
      <c r="P205" s="320"/>
      <c r="Q205" s="530"/>
    </row>
    <row r="206" spans="1:17">
      <c r="A206" s="650"/>
      <c r="B206" s="1613" t="s">
        <v>3984</v>
      </c>
      <c r="C206" s="650">
        <v>116250</v>
      </c>
      <c r="D206" s="320">
        <v>129167</v>
      </c>
      <c r="E206" s="320">
        <v>142083.70000000001</v>
      </c>
      <c r="F206" s="320">
        <v>143375</v>
      </c>
      <c r="G206" s="320">
        <f>F206</f>
        <v>143375</v>
      </c>
      <c r="H206" s="320">
        <v>143375</v>
      </c>
      <c r="I206" s="3183">
        <v>188375</v>
      </c>
      <c r="J206" s="144">
        <f>I206</f>
        <v>188375</v>
      </c>
      <c r="K206" s="144">
        <f>J206</f>
        <v>188375</v>
      </c>
      <c r="L206" s="144">
        <f>K206</f>
        <v>188375</v>
      </c>
      <c r="M206" s="144">
        <f>L206</f>
        <v>188375</v>
      </c>
      <c r="N206" s="144">
        <v>188375</v>
      </c>
      <c r="O206" s="1463">
        <f>N206</f>
        <v>188375</v>
      </c>
      <c r="P206" s="320"/>
      <c r="Q206" s="530"/>
    </row>
    <row r="207" spans="1:17">
      <c r="A207" s="650"/>
      <c r="B207" s="1613" t="s">
        <v>3985</v>
      </c>
      <c r="C207" s="650"/>
      <c r="D207" s="320"/>
      <c r="E207" s="320"/>
      <c r="F207" s="320"/>
      <c r="G207" s="320"/>
      <c r="H207" s="320"/>
      <c r="I207" s="3183">
        <v>51250</v>
      </c>
      <c r="J207" s="144">
        <f>I207+17083</f>
        <v>68333</v>
      </c>
      <c r="K207" s="144">
        <f>J207+17083</f>
        <v>85416</v>
      </c>
      <c r="L207" s="144">
        <f>K207+17083</f>
        <v>102499</v>
      </c>
      <c r="M207" s="144">
        <f>L207+17083</f>
        <v>119582</v>
      </c>
      <c r="N207" s="144">
        <f>M207+17083</f>
        <v>136665</v>
      </c>
      <c r="O207" s="1463">
        <f>N207+17085</f>
        <v>153750</v>
      </c>
      <c r="P207" s="320"/>
      <c r="Q207" s="530"/>
    </row>
    <row r="208" spans="1:17">
      <c r="A208" s="650"/>
      <c r="B208" s="1613" t="s">
        <v>4129</v>
      </c>
      <c r="C208" s="650"/>
      <c r="D208" s="320"/>
      <c r="E208" s="320"/>
      <c r="F208" s="320">
        <v>6937.5</v>
      </c>
      <c r="G208" s="320"/>
      <c r="H208" s="320"/>
      <c r="I208" s="3183">
        <v>6750</v>
      </c>
      <c r="J208" s="144">
        <v>0</v>
      </c>
      <c r="K208" s="144">
        <v>0</v>
      </c>
      <c r="L208" s="144">
        <v>6750</v>
      </c>
      <c r="M208" s="144">
        <v>0</v>
      </c>
      <c r="N208" s="144">
        <v>0</v>
      </c>
      <c r="O208" s="1463">
        <v>0</v>
      </c>
      <c r="P208" s="320"/>
      <c r="Q208" s="530"/>
    </row>
    <row r="209" spans="1:18">
      <c r="A209" s="650"/>
      <c r="B209" s="1613" t="s">
        <v>3449</v>
      </c>
      <c r="C209" s="650"/>
      <c r="D209" s="320"/>
      <c r="E209" s="320"/>
      <c r="F209" s="320">
        <v>12000</v>
      </c>
      <c r="G209" s="320">
        <v>12000</v>
      </c>
      <c r="H209" s="320">
        <v>12000</v>
      </c>
      <c r="I209" s="3183">
        <v>12000</v>
      </c>
      <c r="J209" s="144">
        <v>12000</v>
      </c>
      <c r="K209" s="144">
        <v>12000</v>
      </c>
      <c r="L209" s="144">
        <f>K209</f>
        <v>12000</v>
      </c>
      <c r="M209" s="144">
        <f>L209</f>
        <v>12000</v>
      </c>
      <c r="N209" s="144">
        <f>M209</f>
        <v>12000</v>
      </c>
      <c r="O209" s="1463">
        <f>N209</f>
        <v>12000</v>
      </c>
      <c r="P209" s="320"/>
      <c r="Q209" s="530"/>
    </row>
    <row r="210" spans="1:18">
      <c r="A210" s="650"/>
      <c r="B210" s="1226" t="s">
        <v>4601</v>
      </c>
      <c r="C210" s="650">
        <v>364820</v>
      </c>
      <c r="D210" s="320"/>
      <c r="E210" s="320"/>
      <c r="F210" s="320"/>
      <c r="G210" s="320"/>
      <c r="H210" s="320"/>
      <c r="I210" s="3184">
        <v>0</v>
      </c>
      <c r="J210" s="144"/>
      <c r="K210" s="144">
        <v>0</v>
      </c>
      <c r="L210" s="144"/>
      <c r="M210" s="144">
        <v>0</v>
      </c>
      <c r="N210" s="144">
        <v>0</v>
      </c>
      <c r="O210" s="1463">
        <v>20250</v>
      </c>
      <c r="P210" s="320"/>
      <c r="Q210" s="530"/>
      <c r="R210" s="647"/>
    </row>
    <row r="211" spans="1:18">
      <c r="A211" s="650"/>
      <c r="B211" s="1226" t="s">
        <v>2588</v>
      </c>
      <c r="C211" s="650">
        <v>20000</v>
      </c>
      <c r="D211" s="320">
        <v>20000</v>
      </c>
      <c r="E211" s="320">
        <v>20000</v>
      </c>
      <c r="F211" s="320"/>
      <c r="G211" s="320">
        <v>20000</v>
      </c>
      <c r="H211" s="320">
        <v>20000</v>
      </c>
      <c r="I211" s="3183">
        <v>20000</v>
      </c>
      <c r="J211" s="144">
        <v>20000</v>
      </c>
      <c r="K211" s="144">
        <v>20000</v>
      </c>
      <c r="L211" s="144">
        <f>K211</f>
        <v>20000</v>
      </c>
      <c r="M211" s="144">
        <f>L211</f>
        <v>20000</v>
      </c>
      <c r="N211" s="144">
        <f>M211</f>
        <v>20000</v>
      </c>
      <c r="O211" s="1463">
        <f>N211</f>
        <v>20000</v>
      </c>
      <c r="P211" s="320"/>
      <c r="Q211" s="530"/>
    </row>
    <row r="212" spans="1:18" ht="13.5" thickBot="1">
      <c r="A212" s="650"/>
      <c r="B212" s="320"/>
      <c r="C212" s="1328">
        <v>593063.1</v>
      </c>
      <c r="D212" s="1920">
        <f t="shared" ref="D212:O212" si="26">SUM(D203:D211)</f>
        <v>292542</v>
      </c>
      <c r="E212" s="1920">
        <f t="shared" si="26"/>
        <v>333208.7</v>
      </c>
      <c r="F212" s="1920">
        <f t="shared" si="26"/>
        <v>343780.6</v>
      </c>
      <c r="G212" s="1920">
        <f t="shared" si="26"/>
        <v>346587.5</v>
      </c>
      <c r="H212" s="1920">
        <f t="shared" si="26"/>
        <v>391587.5</v>
      </c>
      <c r="I212" s="1920">
        <f t="shared" si="26"/>
        <v>578183</v>
      </c>
      <c r="J212" s="1920">
        <f t="shared" si="26"/>
        <v>596746</v>
      </c>
      <c r="K212" s="1920">
        <f t="shared" si="26"/>
        <v>441636.5</v>
      </c>
      <c r="L212" s="1920">
        <f t="shared" si="26"/>
        <v>550839.5</v>
      </c>
      <c r="M212" s="1920">
        <f t="shared" si="26"/>
        <v>569052.5</v>
      </c>
      <c r="N212" s="1920">
        <f t="shared" si="26"/>
        <v>521110.5</v>
      </c>
      <c r="O212" s="2499">
        <f t="shared" si="26"/>
        <v>678495</v>
      </c>
      <c r="P212" s="320"/>
      <c r="Q212" s="530"/>
    </row>
    <row r="213" spans="1:18" ht="14.25" thickTop="1" thickBot="1">
      <c r="A213" s="650"/>
      <c r="B213" s="320"/>
      <c r="C213" s="651"/>
      <c r="D213" s="718"/>
      <c r="E213" s="718"/>
      <c r="F213" s="718"/>
      <c r="G213" s="718"/>
      <c r="H213" s="718"/>
      <c r="I213" s="718"/>
      <c r="J213" s="718"/>
      <c r="K213" s="718"/>
      <c r="L213" s="718"/>
      <c r="M213" s="718"/>
      <c r="N213" s="718"/>
      <c r="O213" s="956">
        <f>'מאזן בוחן הודו'!$J$146+O212</f>
        <v>0</v>
      </c>
      <c r="P213" s="320"/>
      <c r="Q213" s="558"/>
    </row>
    <row r="214" spans="1:18">
      <c r="A214" s="1222">
        <v>2400001</v>
      </c>
      <c r="B214" s="1223" t="s">
        <v>2893</v>
      </c>
      <c r="C214" s="320"/>
      <c r="D214" s="320"/>
      <c r="E214" s="320"/>
      <c r="F214" s="320"/>
      <c r="G214" s="320"/>
      <c r="H214" s="320"/>
      <c r="I214" s="320"/>
      <c r="J214" s="320"/>
      <c r="K214" s="320"/>
      <c r="L214" s="320"/>
      <c r="M214" s="320"/>
      <c r="N214" s="320"/>
      <c r="O214" s="320"/>
      <c r="P214" s="320"/>
      <c r="Q214" s="558"/>
    </row>
    <row r="215" spans="1:18" ht="13.5" thickBot="1">
      <c r="A215" s="650"/>
      <c r="B215" s="320"/>
      <c r="C215" s="320"/>
      <c r="D215" s="320"/>
      <c r="E215" s="320"/>
      <c r="F215" s="320"/>
      <c r="G215" s="320"/>
      <c r="H215" s="320"/>
      <c r="I215" s="320"/>
      <c r="J215" s="320"/>
      <c r="K215" s="320"/>
      <c r="L215" s="320"/>
      <c r="M215" s="320"/>
      <c r="N215" s="320"/>
      <c r="O215" s="320"/>
      <c r="P215" s="320"/>
      <c r="Q215" s="558"/>
    </row>
    <row r="216" spans="1:18" ht="13.5" thickBot="1">
      <c r="A216" s="650"/>
      <c r="B216" s="320"/>
      <c r="C216" s="4406" t="s">
        <v>2507</v>
      </c>
      <c r="D216" s="4407"/>
      <c r="E216" s="4407"/>
      <c r="F216" s="4407"/>
      <c r="G216" s="4407"/>
      <c r="H216" s="4407"/>
      <c r="I216" s="4407"/>
      <c r="J216" s="4407"/>
      <c r="K216" s="4407"/>
      <c r="L216" s="4407"/>
      <c r="M216" s="4407"/>
      <c r="N216" s="4407"/>
      <c r="O216" s="4408"/>
      <c r="P216" s="320"/>
      <c r="Q216" s="558"/>
    </row>
    <row r="217" spans="1:18">
      <c r="A217" s="650"/>
      <c r="B217" s="320"/>
      <c r="C217" s="998">
        <v>44166</v>
      </c>
      <c r="D217" s="2251">
        <v>44197</v>
      </c>
      <c r="E217" s="2251">
        <v>44228</v>
      </c>
      <c r="F217" s="2251">
        <v>44256</v>
      </c>
      <c r="G217" s="2251">
        <v>44287</v>
      </c>
      <c r="H217" s="2251">
        <v>44317</v>
      </c>
      <c r="I217" s="2251">
        <v>44348</v>
      </c>
      <c r="J217" s="2251">
        <v>44378</v>
      </c>
      <c r="K217" s="2251">
        <v>44409</v>
      </c>
      <c r="L217" s="2251">
        <v>44440</v>
      </c>
      <c r="M217" s="2251">
        <v>44470</v>
      </c>
      <c r="N217" s="2251">
        <v>44501</v>
      </c>
      <c r="O217" s="2815">
        <v>44531</v>
      </c>
      <c r="P217" s="320"/>
      <c r="Q217" s="558"/>
    </row>
    <row r="218" spans="1:18">
      <c r="A218" s="650"/>
      <c r="B218" s="320" t="s">
        <v>3827</v>
      </c>
      <c r="C218" s="650">
        <v>116253</v>
      </c>
      <c r="D218" s="320">
        <v>0</v>
      </c>
      <c r="E218" s="320"/>
      <c r="F218" s="320"/>
      <c r="G218" s="320"/>
      <c r="H218" s="320">
        <v>207990</v>
      </c>
      <c r="I218" s="144">
        <v>75819</v>
      </c>
      <c r="J218" s="144">
        <f>134498+75819</f>
        <v>210317</v>
      </c>
      <c r="K218" s="320">
        <v>87428</v>
      </c>
      <c r="L218" s="144">
        <v>246834</v>
      </c>
      <c r="M218" s="144">
        <v>0</v>
      </c>
      <c r="N218" s="144"/>
      <c r="O218" s="1463">
        <v>0</v>
      </c>
      <c r="P218" s="320"/>
      <c r="Q218" s="558"/>
    </row>
    <row r="219" spans="1:18">
      <c r="A219" s="650"/>
      <c r="B219" s="320" t="s">
        <v>3201</v>
      </c>
      <c r="C219" s="3689">
        <v>0</v>
      </c>
      <c r="D219" s="144">
        <v>0</v>
      </c>
      <c r="E219" s="144">
        <v>0</v>
      </c>
      <c r="F219" s="144">
        <v>0</v>
      </c>
      <c r="G219" s="144">
        <v>0</v>
      </c>
      <c r="H219" s="144">
        <v>0</v>
      </c>
      <c r="I219" s="144">
        <v>0</v>
      </c>
      <c r="J219" s="144">
        <v>0</v>
      </c>
      <c r="K219" s="144">
        <v>0</v>
      </c>
      <c r="L219" s="144">
        <v>0</v>
      </c>
      <c r="M219" s="144">
        <v>0</v>
      </c>
      <c r="N219" s="144">
        <v>0</v>
      </c>
      <c r="O219" s="1463">
        <v>5594443.34778855</v>
      </c>
      <c r="P219" s="320"/>
      <c r="Q219" s="558"/>
    </row>
    <row r="220" spans="1:18">
      <c r="A220" s="650"/>
      <c r="B220" s="320" t="s">
        <v>2514</v>
      </c>
      <c r="C220" s="650"/>
      <c r="D220" s="320"/>
      <c r="E220" s="320"/>
      <c r="F220" s="320"/>
      <c r="G220" s="320"/>
      <c r="H220" s="320"/>
      <c r="I220" s="320"/>
      <c r="J220" s="144">
        <v>21050</v>
      </c>
      <c r="K220" s="144">
        <v>0</v>
      </c>
      <c r="L220" s="320"/>
      <c r="M220" s="144">
        <v>0</v>
      </c>
      <c r="N220" s="144">
        <v>0</v>
      </c>
      <c r="O220" s="1463">
        <v>0</v>
      </c>
      <c r="P220" s="320"/>
      <c r="Q220" s="558"/>
    </row>
    <row r="221" spans="1:18">
      <c r="A221" s="650"/>
      <c r="B221" s="1226" t="s">
        <v>2755</v>
      </c>
      <c r="C221" s="650">
        <v>1314336.5830158589</v>
      </c>
      <c r="D221" s="320">
        <v>1314336.5830158589</v>
      </c>
      <c r="E221" s="320">
        <v>0</v>
      </c>
      <c r="F221" s="320">
        <v>705699</v>
      </c>
      <c r="G221" s="320">
        <f>F221</f>
        <v>705699</v>
      </c>
      <c r="H221" s="320">
        <f>G221</f>
        <v>705699</v>
      </c>
      <c r="I221" s="518">
        <v>1428561.9050720001</v>
      </c>
      <c r="J221" s="320">
        <f>I221</f>
        <v>1428561.9050720001</v>
      </c>
      <c r="K221" s="320">
        <f>J221</f>
        <v>1428561.9050720001</v>
      </c>
      <c r="L221" s="320">
        <f>K221+715515</f>
        <v>2144076.9050719999</v>
      </c>
      <c r="M221" s="144">
        <f>L221</f>
        <v>2144076.9050719999</v>
      </c>
      <c r="N221" s="144">
        <f>M221</f>
        <v>2144076.9050719999</v>
      </c>
      <c r="O221" s="2592">
        <f>([43]Sheet1!$F$22)*'מאזן בוחן הודו'!$O$2</f>
        <v>1808448.7109239337</v>
      </c>
      <c r="P221" s="320"/>
      <c r="Q221" s="558"/>
    </row>
    <row r="222" spans="1:18">
      <c r="A222" s="650"/>
      <c r="B222" s="1226" t="s">
        <v>3874</v>
      </c>
      <c r="C222" s="650"/>
      <c r="D222" s="320"/>
      <c r="E222" s="320"/>
      <c r="F222" s="320"/>
      <c r="G222" s="320"/>
      <c r="H222" s="320"/>
      <c r="I222" s="518">
        <f>SUM([105]Main!$F$70:$F$73)</f>
        <v>475892.772</v>
      </c>
      <c r="J222" s="320">
        <f>I222</f>
        <v>475892.772</v>
      </c>
      <c r="K222" s="320">
        <f>J222</f>
        <v>475892.772</v>
      </c>
      <c r="L222" s="320">
        <f>K222</f>
        <v>475892.772</v>
      </c>
      <c r="M222" s="144">
        <f>L222</f>
        <v>475892.772</v>
      </c>
      <c r="N222" s="144">
        <f>M222-272830</f>
        <v>203062.772</v>
      </c>
      <c r="O222" s="2592">
        <f>N222+[117]Main!$G$40</f>
        <v>2029103.6587607996</v>
      </c>
      <c r="P222" s="320"/>
      <c r="Q222" s="558"/>
    </row>
    <row r="223" spans="1:18">
      <c r="A223" s="650"/>
      <c r="B223" s="1226" t="s">
        <v>3477</v>
      </c>
      <c r="C223" s="650">
        <v>4688401.1436408414</v>
      </c>
      <c r="D223" s="320">
        <v>0</v>
      </c>
      <c r="E223" s="320"/>
      <c r="F223" s="320">
        <f>'[118] APAC Summary data 21'!$I$32+'[118] APAC Summary data 21'!$I$33</f>
        <v>3761846.0944689894</v>
      </c>
      <c r="G223" s="518">
        <v>0</v>
      </c>
      <c r="H223" s="320"/>
      <c r="I223" s="320">
        <f>SUM([105]Main!$F$61:$F$66)</f>
        <v>3613777.5339307045</v>
      </c>
      <c r="J223" s="518">
        <v>0</v>
      </c>
      <c r="K223" s="144">
        <v>0</v>
      </c>
      <c r="L223" s="320">
        <f>'[119] APAC Summary data 21'!$J$14+'[119] APAC Summary data 21'!$J$15+'[119] APAC Summary data 21'!$J$16+'[119] APAC Summary data 21'!$J$20+'[119] APAC Summary data 21'!$J$23+'[119] APAC Summary data 21'!$J$25</f>
        <v>3688978.50437218</v>
      </c>
      <c r="M223" s="144">
        <v>0</v>
      </c>
      <c r="N223" s="144">
        <v>0</v>
      </c>
      <c r="O223" s="1463">
        <f>[117]Main!$G$18</f>
        <v>7466062.0592987211</v>
      </c>
      <c r="P223" s="320"/>
      <c r="Q223" s="558"/>
    </row>
    <row r="224" spans="1:18" ht="13.5" thickBot="1">
      <c r="A224" s="650"/>
      <c r="B224" s="320"/>
      <c r="C224" s="987">
        <f t="shared" ref="C224:O224" si="27">SUM(C218:C223)</f>
        <v>6118990.7266567005</v>
      </c>
      <c r="D224" s="988">
        <f t="shared" si="27"/>
        <v>1314336.5830158589</v>
      </c>
      <c r="E224" s="988">
        <f t="shared" si="27"/>
        <v>0</v>
      </c>
      <c r="F224" s="988">
        <f t="shared" si="27"/>
        <v>4467545.0944689894</v>
      </c>
      <c r="G224" s="988">
        <f t="shared" si="27"/>
        <v>705699</v>
      </c>
      <c r="H224" s="988">
        <f t="shared" si="27"/>
        <v>913689</v>
      </c>
      <c r="I224" s="988">
        <f t="shared" si="27"/>
        <v>5594051.2110027047</v>
      </c>
      <c r="J224" s="988">
        <f t="shared" si="27"/>
        <v>2135821.6770720002</v>
      </c>
      <c r="K224" s="988">
        <f t="shared" si="27"/>
        <v>1991882.6770720002</v>
      </c>
      <c r="L224" s="988">
        <f t="shared" si="27"/>
        <v>6555782.1814441793</v>
      </c>
      <c r="M224" s="1656">
        <f t="shared" si="27"/>
        <v>2619969.6770719998</v>
      </c>
      <c r="N224" s="1656">
        <f t="shared" si="27"/>
        <v>2347139.6770719998</v>
      </c>
      <c r="O224" s="2825">
        <f t="shared" si="27"/>
        <v>16898057.776772004</v>
      </c>
      <c r="P224" s="320"/>
      <c r="Q224" s="558"/>
    </row>
    <row r="225" spans="1:17" ht="13.5" thickBot="1">
      <c r="A225" s="651"/>
      <c r="B225" s="718"/>
      <c r="C225" s="718"/>
      <c r="D225" s="718"/>
      <c r="E225" s="718"/>
      <c r="F225" s="718"/>
      <c r="G225" s="718"/>
      <c r="H225" s="718"/>
      <c r="I225" s="718"/>
      <c r="J225" s="718"/>
      <c r="K225" s="718"/>
      <c r="L225" s="718"/>
      <c r="M225" s="718"/>
      <c r="N225" s="718"/>
      <c r="O225" s="2745">
        <f>'מאזן בוחן הודו'!$J$141+O224</f>
        <v>-3.2279975712299347E-3</v>
      </c>
      <c r="P225" s="718"/>
      <c r="Q225" s="531"/>
    </row>
    <row r="238" spans="1:17">
      <c r="P238" s="33"/>
    </row>
  </sheetData>
  <mergeCells count="11">
    <mergeCell ref="C183:O183"/>
    <mergeCell ref="C201:O201"/>
    <mergeCell ref="C216:O216"/>
    <mergeCell ref="D16:P16"/>
    <mergeCell ref="C77:O77"/>
    <mergeCell ref="C57:O57"/>
    <mergeCell ref="C108:O108"/>
    <mergeCell ref="C120:O120"/>
    <mergeCell ref="C143:O143"/>
    <mergeCell ref="C152:O152"/>
    <mergeCell ref="C173:O173"/>
  </mergeCells>
  <phoneticPr fontId="75" type="noConversion"/>
  <pageMargins left="0.7" right="0.7" top="0.75" bottom="0.75" header="0.3" footer="0.3"/>
  <pageSetup paperSize="9" orientation="portrait" r:id="rId1"/>
  <ignoredErrors>
    <ignoredError sqref="O83 D83:N83 M53:N53 D53:L53 C102 C69:O69 I212:O212 O53:P53" formulaRange="1"/>
    <ignoredError sqref="S17" numberStoredAsText="1"/>
    <ignoredError sqref="J145:J146 M145:M146" formula="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X113"/>
  <sheetViews>
    <sheetView rightToLeft="1" topLeftCell="A85" zoomScaleNormal="100" workbookViewId="0">
      <selection activeCell="D119" sqref="D119"/>
    </sheetView>
  </sheetViews>
  <sheetFormatPr defaultColWidth="9.33203125" defaultRowHeight="12.75"/>
  <cols>
    <col min="1" max="1" width="31.83203125" style="32" customWidth="1"/>
    <col min="2" max="2" width="11.83203125" style="32" bestFit="1" customWidth="1"/>
    <col min="3" max="3" width="21" style="32" bestFit="1" customWidth="1"/>
    <col min="4" max="5" width="14.5" style="32" customWidth="1"/>
    <col min="6" max="6" width="19" style="32" customWidth="1"/>
    <col min="7" max="7" width="13.33203125" style="32" bestFit="1" customWidth="1"/>
    <col min="8" max="8" width="13.33203125" style="253" customWidth="1"/>
    <col min="9" max="9" width="13.83203125" style="32" customWidth="1"/>
    <col min="10" max="10" width="18.83203125" style="32" customWidth="1"/>
    <col min="11" max="11" width="28.83203125" style="32" bestFit="1" customWidth="1"/>
    <col min="12" max="12" width="12.33203125" style="32" bestFit="1" customWidth="1"/>
    <col min="13" max="13" width="11.83203125" style="32" bestFit="1" customWidth="1"/>
    <col min="14" max="14" width="11.6640625" style="32" customWidth="1"/>
    <col min="15" max="15" width="10.83203125" style="32" bestFit="1" customWidth="1"/>
    <col min="16" max="16" width="9.33203125" style="32"/>
    <col min="17" max="17" width="11.1640625" style="32" bestFit="1" customWidth="1"/>
    <col min="18" max="16384" width="9.33203125" style="32"/>
  </cols>
  <sheetData>
    <row r="1" spans="1:14">
      <c r="A1" s="1636" t="s">
        <v>1465</v>
      </c>
    </row>
    <row r="2" spans="1:14" ht="13.5" thickBot="1">
      <c r="A2" s="979"/>
    </row>
    <row r="3" spans="1:14" ht="13.5" thickBot="1">
      <c r="A3" s="4412" t="s">
        <v>2799</v>
      </c>
      <c r="B3" s="4413"/>
      <c r="C3" s="4413"/>
      <c r="D3" s="4413"/>
      <c r="E3" s="4413"/>
      <c r="F3" s="4413"/>
      <c r="G3" s="4413"/>
      <c r="H3" s="4413"/>
      <c r="I3" s="4413"/>
      <c r="J3" s="4414"/>
    </row>
    <row r="4" spans="1:14" ht="13.5" thickBot="1">
      <c r="A4" s="648"/>
      <c r="B4" s="4406" t="s">
        <v>1472</v>
      </c>
      <c r="C4" s="4407"/>
      <c r="D4" s="4407"/>
      <c r="E4" s="4408"/>
      <c r="F4" s="4406" t="s">
        <v>1473</v>
      </c>
      <c r="G4" s="4407"/>
      <c r="H4" s="4407"/>
      <c r="I4" s="4408"/>
      <c r="J4" s="1750" t="s">
        <v>1475</v>
      </c>
      <c r="M4" s="380"/>
      <c r="N4" s="380"/>
    </row>
    <row r="5" spans="1:14">
      <c r="A5" s="650"/>
      <c r="B5" s="1637" t="s">
        <v>1469</v>
      </c>
      <c r="C5" s="1748" t="s">
        <v>2421</v>
      </c>
      <c r="D5" s="1748" t="s">
        <v>515</v>
      </c>
      <c r="E5" s="1638" t="s">
        <v>1471</v>
      </c>
      <c r="F5" s="1637" t="s">
        <v>1469</v>
      </c>
      <c r="G5" s="1748" t="s">
        <v>2421</v>
      </c>
      <c r="H5" s="1748" t="s">
        <v>515</v>
      </c>
      <c r="I5" s="1638" t="s">
        <v>1471</v>
      </c>
      <c r="J5" s="990"/>
      <c r="M5" s="380"/>
      <c r="N5" s="380"/>
    </row>
    <row r="6" spans="1:14">
      <c r="A6" s="650" t="s">
        <v>1466</v>
      </c>
      <c r="B6" s="650">
        <f>10431367+368811</f>
        <v>10800178</v>
      </c>
      <c r="C6" s="3816">
        <f>684264</f>
        <v>684264</v>
      </c>
      <c r="D6" s="3816">
        <v>368811</v>
      </c>
      <c r="E6" s="530">
        <f>C6+B6-D6</f>
        <v>11115631</v>
      </c>
      <c r="F6" s="650">
        <f>8988229+368811</f>
        <v>9357040</v>
      </c>
      <c r="G6" s="3612">
        <v>960142</v>
      </c>
      <c r="H6" s="3612">
        <v>368811</v>
      </c>
      <c r="I6" s="530">
        <f>G6+F6-H6</f>
        <v>9948371</v>
      </c>
      <c r="J6" s="1639">
        <f t="shared" ref="J6:J14" si="0">E6-I6</f>
        <v>1167260</v>
      </c>
      <c r="K6" s="32">
        <f>-'מאזן בוחן'!J159+E6</f>
        <v>-349.77999999932945</v>
      </c>
      <c r="M6" s="380"/>
      <c r="N6" s="380"/>
    </row>
    <row r="7" spans="1:14">
      <c r="A7" s="650" t="s">
        <v>170</v>
      </c>
      <c r="B7" s="650">
        <v>1843756</v>
      </c>
      <c r="C7" s="3817">
        <v>0</v>
      </c>
      <c r="D7" s="3817">
        <v>0</v>
      </c>
      <c r="E7" s="530">
        <f t="shared" ref="E7:E14" si="1">C7+B7-D7</f>
        <v>1843756</v>
      </c>
      <c r="F7" s="650">
        <v>1165244</v>
      </c>
      <c r="G7" s="3612">
        <v>215159</v>
      </c>
      <c r="H7" s="3818">
        <v>0</v>
      </c>
      <c r="I7" s="530">
        <f t="shared" ref="I7:I14" si="2">G7+F7-H7</f>
        <v>1380403</v>
      </c>
      <c r="J7" s="1639">
        <f t="shared" si="0"/>
        <v>463353</v>
      </c>
      <c r="K7" s="32">
        <f>E7-'מאזן בוחן'!J164</f>
        <v>-0.7900000000372529</v>
      </c>
      <c r="M7" s="380"/>
      <c r="N7" s="380"/>
    </row>
    <row r="8" spans="1:14">
      <c r="A8" s="650" t="s">
        <v>1005</v>
      </c>
      <c r="B8" s="650">
        <f>1310965+52977</f>
        <v>1363942</v>
      </c>
      <c r="C8" s="3816">
        <v>12893</v>
      </c>
      <c r="D8" s="3816">
        <v>52977</v>
      </c>
      <c r="E8" s="530">
        <f t="shared" si="1"/>
        <v>1323858</v>
      </c>
      <c r="F8" s="650">
        <f>387198+10674</f>
        <v>397872</v>
      </c>
      <c r="G8" s="3612">
        <v>79888</v>
      </c>
      <c r="H8" s="3612">
        <v>11686</v>
      </c>
      <c r="I8" s="530">
        <f t="shared" si="2"/>
        <v>466074</v>
      </c>
      <c r="J8" s="1639">
        <f t="shared" si="0"/>
        <v>857784</v>
      </c>
      <c r="K8" s="32">
        <f>E8-'מאזן בוחן'!J162</f>
        <v>-0.84000000008381903</v>
      </c>
      <c r="M8" s="380"/>
      <c r="N8" s="380"/>
    </row>
    <row r="9" spans="1:14">
      <c r="A9" s="650" t="s">
        <v>1467</v>
      </c>
      <c r="B9" s="650">
        <v>776891</v>
      </c>
      <c r="C9" s="3817">
        <v>0</v>
      </c>
      <c r="D9" s="3816">
        <v>23588</v>
      </c>
      <c r="E9" s="530">
        <f t="shared" si="1"/>
        <v>753303</v>
      </c>
      <c r="F9" s="650">
        <v>484143</v>
      </c>
      <c r="G9" s="3612">
        <v>87357</v>
      </c>
      <c r="H9" s="3612">
        <v>15782</v>
      </c>
      <c r="I9" s="530">
        <f t="shared" si="2"/>
        <v>555718</v>
      </c>
      <c r="J9" s="1639">
        <f t="shared" si="0"/>
        <v>197585</v>
      </c>
      <c r="K9" s="32">
        <f>E9-'מאזן בוחן'!J161</f>
        <v>-712.48999999999069</v>
      </c>
      <c r="M9" s="380"/>
      <c r="N9" s="380"/>
    </row>
    <row r="10" spans="1:14">
      <c r="A10" s="650" t="s">
        <v>1468</v>
      </c>
      <c r="B10" s="650">
        <v>14336</v>
      </c>
      <c r="C10" s="3817">
        <v>0</v>
      </c>
      <c r="D10" s="3817">
        <v>0</v>
      </c>
      <c r="E10" s="530">
        <f t="shared" si="1"/>
        <v>14336</v>
      </c>
      <c r="F10" s="650">
        <v>14158</v>
      </c>
      <c r="G10" s="3612">
        <v>180</v>
      </c>
      <c r="H10" s="3818">
        <v>0</v>
      </c>
      <c r="I10" s="530">
        <f t="shared" si="2"/>
        <v>14338</v>
      </c>
      <c r="J10" s="1639">
        <f t="shared" si="0"/>
        <v>-2</v>
      </c>
      <c r="K10" s="32">
        <f>E10-'מאזן בוחן'!J163</f>
        <v>-0.3999999999996362</v>
      </c>
      <c r="N10" s="380"/>
    </row>
    <row r="11" spans="1:14">
      <c r="A11" s="650" t="s">
        <v>1438</v>
      </c>
      <c r="B11" s="650">
        <v>1693270</v>
      </c>
      <c r="C11" s="3816">
        <v>626614</v>
      </c>
      <c r="D11" s="3819">
        <v>0</v>
      </c>
      <c r="E11" s="530">
        <f t="shared" si="1"/>
        <v>2319884</v>
      </c>
      <c r="F11" s="650">
        <v>854508</v>
      </c>
      <c r="G11" s="3612">
        <v>539825</v>
      </c>
      <c r="H11" s="3818">
        <v>0</v>
      </c>
      <c r="I11" s="530">
        <f t="shared" si="2"/>
        <v>1394333</v>
      </c>
      <c r="J11" s="1639">
        <f t="shared" si="0"/>
        <v>925551</v>
      </c>
      <c r="K11" s="32">
        <f>E11-'מאזן בוחן'!J160</f>
        <v>0.45000000018626451</v>
      </c>
      <c r="N11" s="380"/>
    </row>
    <row r="12" spans="1:14">
      <c r="A12" s="650" t="s">
        <v>2903</v>
      </c>
      <c r="B12" s="650">
        <v>18566</v>
      </c>
      <c r="C12" s="3816">
        <v>25036</v>
      </c>
      <c r="D12" s="3817">
        <v>0</v>
      </c>
      <c r="E12" s="530">
        <f t="shared" si="1"/>
        <v>43602</v>
      </c>
      <c r="F12" s="650">
        <v>282</v>
      </c>
      <c r="G12" s="3612">
        <v>5287</v>
      </c>
      <c r="H12" s="3818">
        <v>0</v>
      </c>
      <c r="I12" s="530">
        <f t="shared" si="2"/>
        <v>5569</v>
      </c>
      <c r="J12" s="1639">
        <f t="shared" si="0"/>
        <v>38033</v>
      </c>
      <c r="K12" s="32">
        <f>E12-'מאזן בוחן'!J165</f>
        <v>916.41000000000349</v>
      </c>
      <c r="N12" s="380"/>
    </row>
    <row r="13" spans="1:14">
      <c r="A13" s="650" t="s">
        <v>2942</v>
      </c>
      <c r="B13" s="650">
        <v>23065</v>
      </c>
      <c r="C13" s="3816">
        <v>26890</v>
      </c>
      <c r="D13" s="3817">
        <v>0</v>
      </c>
      <c r="E13" s="530">
        <f t="shared" si="1"/>
        <v>49955</v>
      </c>
      <c r="F13" s="650">
        <v>106</v>
      </c>
      <c r="G13" s="3612">
        <v>2478</v>
      </c>
      <c r="H13" s="3818">
        <v>0</v>
      </c>
      <c r="I13" s="530">
        <f t="shared" si="2"/>
        <v>2584</v>
      </c>
      <c r="J13" s="1639">
        <f t="shared" si="0"/>
        <v>47371</v>
      </c>
      <c r="K13" s="32">
        <f>E13-'מאזן בוחן'!J166</f>
        <v>1.1900000000023283</v>
      </c>
      <c r="N13" s="380"/>
    </row>
    <row r="14" spans="1:14">
      <c r="A14" s="1749" t="s">
        <v>1461</v>
      </c>
      <c r="B14" s="650">
        <v>4995289</v>
      </c>
      <c r="C14" s="3819">
        <v>0</v>
      </c>
      <c r="D14" s="3820">
        <v>0</v>
      </c>
      <c r="E14" s="530">
        <f t="shared" si="1"/>
        <v>4995289</v>
      </c>
      <c r="F14" s="650">
        <v>1998116</v>
      </c>
      <c r="G14" s="3612">
        <v>999058</v>
      </c>
      <c r="H14" s="3821">
        <v>0</v>
      </c>
      <c r="I14" s="530">
        <f t="shared" si="2"/>
        <v>2997174</v>
      </c>
      <c r="J14" s="1639">
        <f t="shared" si="0"/>
        <v>1998115</v>
      </c>
      <c r="K14" s="32">
        <f>E14-'מאזן בוחן'!J167</f>
        <v>0</v>
      </c>
      <c r="N14" s="380"/>
    </row>
    <row r="15" spans="1:14" ht="13.5" thickBot="1">
      <c r="A15" s="1324" t="s">
        <v>1476</v>
      </c>
      <c r="B15" s="987">
        <v>21529292</v>
      </c>
      <c r="C15" s="1186">
        <f t="shared" ref="C15:J15" si="3">SUM(C6:C14)</f>
        <v>1375697</v>
      </c>
      <c r="D15" s="3062">
        <f t="shared" si="3"/>
        <v>445376</v>
      </c>
      <c r="E15" s="989">
        <f t="shared" si="3"/>
        <v>22459614</v>
      </c>
      <c r="F15" s="987">
        <v>14271488</v>
      </c>
      <c r="G15" s="988">
        <f t="shared" si="3"/>
        <v>2889374</v>
      </c>
      <c r="H15" s="988">
        <f t="shared" si="3"/>
        <v>396279</v>
      </c>
      <c r="I15" s="989">
        <f t="shared" si="3"/>
        <v>16764564</v>
      </c>
      <c r="J15" s="1640">
        <f t="shared" si="3"/>
        <v>5695050</v>
      </c>
      <c r="M15" s="3063"/>
      <c r="N15" s="380"/>
    </row>
    <row r="16" spans="1:14">
      <c r="A16" s="648"/>
      <c r="B16" s="648"/>
      <c r="C16" s="717"/>
      <c r="D16" s="717"/>
      <c r="E16" s="734"/>
      <c r="F16" s="648"/>
      <c r="G16" s="717"/>
      <c r="H16" s="1323"/>
      <c r="I16" s="734"/>
      <c r="J16" s="530"/>
    </row>
    <row r="17" spans="1:11" ht="13.5" thickBot="1">
      <c r="A17" s="1322" t="s">
        <v>1477</v>
      </c>
      <c r="B17" s="650"/>
      <c r="C17" s="320"/>
      <c r="D17" s="320"/>
      <c r="E17" s="1191">
        <f>'מאזן בוחן'!J169</f>
        <v>22459760.249999996</v>
      </c>
      <c r="F17" s="650"/>
      <c r="G17" s="320"/>
      <c r="H17" s="320"/>
      <c r="I17" s="530">
        <f>'מאזן בוחן'!J180</f>
        <v>-16762946</v>
      </c>
      <c r="J17" s="530">
        <f>E17+I17</f>
        <v>5696814.2499999963</v>
      </c>
    </row>
    <row r="18" spans="1:11" ht="14.25" thickTop="1" thickBot="1">
      <c r="A18" s="1192" t="s">
        <v>135</v>
      </c>
      <c r="B18" s="1192"/>
      <c r="C18" s="725"/>
      <c r="D18" s="725"/>
      <c r="E18" s="956">
        <f>E17-E15</f>
        <v>146.24999999627471</v>
      </c>
      <c r="F18" s="1192"/>
      <c r="G18" s="725"/>
      <c r="H18" s="725"/>
      <c r="I18" s="956">
        <f>I17+I15</f>
        <v>1618</v>
      </c>
      <c r="J18" s="956">
        <f>J17-J15</f>
        <v>1764.2499999962747</v>
      </c>
      <c r="K18" s="650" t="s">
        <v>3291</v>
      </c>
    </row>
    <row r="19" spans="1:11" ht="13.5" thickBot="1">
      <c r="A19" s="380"/>
      <c r="B19" s="380"/>
      <c r="C19" s="380"/>
      <c r="D19" s="380"/>
      <c r="E19" s="254"/>
      <c r="F19" s="380"/>
      <c r="G19" s="380"/>
      <c r="H19" s="380"/>
      <c r="I19" s="380"/>
      <c r="J19" s="254"/>
      <c r="K19" s="380"/>
    </row>
    <row r="20" spans="1:11" ht="13.5" thickBot="1">
      <c r="A20" s="4412" t="s">
        <v>3555</v>
      </c>
      <c r="B20" s="4413"/>
      <c r="C20" s="4413"/>
      <c r="D20" s="4413"/>
      <c r="E20" s="4413"/>
      <c r="F20" s="4413"/>
      <c r="G20" s="4413"/>
      <c r="H20" s="4413"/>
      <c r="I20" s="4413"/>
      <c r="J20" s="4414"/>
    </row>
    <row r="21" spans="1:11" ht="13.5" thickBot="1">
      <c r="A21" s="648"/>
      <c r="B21" s="4406" t="s">
        <v>1472</v>
      </c>
      <c r="C21" s="4407"/>
      <c r="D21" s="4407"/>
      <c r="E21" s="4408"/>
      <c r="F21" s="4406" t="s">
        <v>1473</v>
      </c>
      <c r="G21" s="4407"/>
      <c r="H21" s="4407"/>
      <c r="I21" s="4408"/>
      <c r="J21" s="1750" t="s">
        <v>1475</v>
      </c>
    </row>
    <row r="22" spans="1:11">
      <c r="A22" s="650"/>
      <c r="B22" s="1637" t="s">
        <v>1469</v>
      </c>
      <c r="C22" s="1748" t="s">
        <v>2421</v>
      </c>
      <c r="D22" s="1748" t="s">
        <v>515</v>
      </c>
      <c r="E22" s="1638" t="s">
        <v>1471</v>
      </c>
      <c r="F22" s="1637" t="s">
        <v>1469</v>
      </c>
      <c r="G22" s="1748" t="s">
        <v>2421</v>
      </c>
      <c r="H22" s="1748" t="s">
        <v>515</v>
      </c>
      <c r="I22" s="1638" t="s">
        <v>1471</v>
      </c>
      <c r="J22" s="990"/>
    </row>
    <row r="23" spans="1:11">
      <c r="A23" s="650" t="s">
        <v>1466</v>
      </c>
      <c r="B23" s="650">
        <v>2986246</v>
      </c>
      <c r="C23" s="3612">
        <v>210854</v>
      </c>
      <c r="D23" s="3612">
        <v>103264</v>
      </c>
      <c r="E23" s="530">
        <f>C23+B23-D23</f>
        <v>3093836</v>
      </c>
      <c r="F23" s="650">
        <v>2574192</v>
      </c>
      <c r="G23" s="3612">
        <v>274120</v>
      </c>
      <c r="H23" s="3612">
        <v>103264</v>
      </c>
      <c r="I23" s="530">
        <f>G23+F23-H23</f>
        <v>2745048</v>
      </c>
      <c r="J23" s="1639">
        <f t="shared" ref="J23:J31" si="4">E23-I23</f>
        <v>348788</v>
      </c>
      <c r="K23" s="32">
        <f>'מאזן בוחן'!K159-FA!E23</f>
        <v>1233.8799999998882</v>
      </c>
    </row>
    <row r="24" spans="1:11">
      <c r="A24" s="650" t="s">
        <v>170</v>
      </c>
      <c r="B24" s="650">
        <v>515279</v>
      </c>
      <c r="C24" s="3818">
        <v>0</v>
      </c>
      <c r="D24" s="3818">
        <v>0</v>
      </c>
      <c r="E24" s="530">
        <f t="shared" ref="E24:E31" si="5">C24+B24-D24</f>
        <v>515279</v>
      </c>
      <c r="F24" s="650">
        <v>320843</v>
      </c>
      <c r="G24" s="3612">
        <v>61614</v>
      </c>
      <c r="H24" s="3818">
        <v>0</v>
      </c>
      <c r="I24" s="530">
        <f t="shared" ref="I24:I31" si="6">G24+F24-H24</f>
        <v>382457</v>
      </c>
      <c r="J24" s="3064">
        <f t="shared" si="4"/>
        <v>132822</v>
      </c>
      <c r="K24" s="32">
        <f>'מאזן בוחן'!K164-FA!E24</f>
        <v>-107.28999999997905</v>
      </c>
    </row>
    <row r="25" spans="1:11">
      <c r="A25" s="650" t="s">
        <v>1005</v>
      </c>
      <c r="B25" s="650">
        <v>376314</v>
      </c>
      <c r="C25" s="3612">
        <v>4005</v>
      </c>
      <c r="D25" s="3612">
        <v>14910</v>
      </c>
      <c r="E25" s="530">
        <f t="shared" si="5"/>
        <v>365409</v>
      </c>
      <c r="F25" s="650">
        <v>108146</v>
      </c>
      <c r="G25" s="3612">
        <v>22037</v>
      </c>
      <c r="H25" s="3612">
        <v>3254</v>
      </c>
      <c r="I25" s="530">
        <f t="shared" si="6"/>
        <v>126929</v>
      </c>
      <c r="J25" s="1639">
        <f t="shared" si="4"/>
        <v>238480</v>
      </c>
      <c r="K25" s="32">
        <f>'מאזן בוחן'!K162-FA!E25</f>
        <v>146.69000000000233</v>
      </c>
    </row>
    <row r="26" spans="1:11">
      <c r="A26" s="650" t="s">
        <v>1467</v>
      </c>
      <c r="B26" s="650">
        <v>215327</v>
      </c>
      <c r="C26" s="3818">
        <v>0</v>
      </c>
      <c r="D26" s="3612">
        <v>6227</v>
      </c>
      <c r="E26" s="530">
        <f t="shared" si="5"/>
        <v>209100</v>
      </c>
      <c r="F26" s="650">
        <v>132783</v>
      </c>
      <c r="G26" s="3612">
        <v>24440</v>
      </c>
      <c r="H26" s="3612">
        <v>4165</v>
      </c>
      <c r="I26" s="530">
        <f t="shared" si="6"/>
        <v>153058</v>
      </c>
      <c r="J26" s="1639">
        <f t="shared" si="4"/>
        <v>56042</v>
      </c>
      <c r="K26" s="32">
        <f>'מאזן בוחן'!K161-FA!E26</f>
        <v>193.14999999999418</v>
      </c>
    </row>
    <row r="27" spans="1:11">
      <c r="A27" s="650" t="s">
        <v>1468</v>
      </c>
      <c r="B27" s="650">
        <v>3741</v>
      </c>
      <c r="C27" s="3818">
        <v>0</v>
      </c>
      <c r="D27" s="3818">
        <v>0</v>
      </c>
      <c r="E27" s="530">
        <f t="shared" si="5"/>
        <v>3741</v>
      </c>
      <c r="F27" s="650">
        <v>3690</v>
      </c>
      <c r="G27" s="3612">
        <v>50</v>
      </c>
      <c r="H27" s="3818">
        <v>0</v>
      </c>
      <c r="I27" s="530">
        <f t="shared" si="6"/>
        <v>3740</v>
      </c>
      <c r="J27" s="1639">
        <f t="shared" si="4"/>
        <v>1</v>
      </c>
      <c r="K27" s="32">
        <f>'מאזן בוחן'!K163-FA!E27</f>
        <v>0.55999999999994543</v>
      </c>
    </row>
    <row r="28" spans="1:11">
      <c r="A28" s="650" t="s">
        <v>1438</v>
      </c>
      <c r="B28" s="650">
        <v>479041</v>
      </c>
      <c r="C28" s="3612">
        <v>193199</v>
      </c>
      <c r="D28" s="3818">
        <v>0</v>
      </c>
      <c r="E28" s="530">
        <f t="shared" si="5"/>
        <v>672240</v>
      </c>
      <c r="F28" s="650">
        <v>239572</v>
      </c>
      <c r="G28" s="3612">
        <v>154415</v>
      </c>
      <c r="H28" s="3818">
        <v>0</v>
      </c>
      <c r="I28" s="530">
        <f t="shared" si="6"/>
        <v>393987</v>
      </c>
      <c r="J28" s="1639">
        <f t="shared" si="4"/>
        <v>278253</v>
      </c>
      <c r="K28" s="32">
        <f>'מאזן בוחן'!K160-FA!E28</f>
        <v>-936.98999999999069</v>
      </c>
    </row>
    <row r="29" spans="1:11">
      <c r="A29" s="650" t="s">
        <v>2903</v>
      </c>
      <c r="B29" s="650">
        <v>5574</v>
      </c>
      <c r="C29" s="3612">
        <v>7715</v>
      </c>
      <c r="D29" s="3818">
        <v>0</v>
      </c>
      <c r="E29" s="530">
        <f t="shared" si="5"/>
        <v>13289</v>
      </c>
      <c r="F29" s="650">
        <v>84</v>
      </c>
      <c r="G29" s="3612">
        <v>1607</v>
      </c>
      <c r="H29" s="3818">
        <v>0</v>
      </c>
      <c r="I29" s="530">
        <f t="shared" si="6"/>
        <v>1691</v>
      </c>
      <c r="J29" s="1639">
        <f t="shared" si="4"/>
        <v>11598</v>
      </c>
      <c r="K29" s="32">
        <f>'מאזן בוחן'!K165-FA!E29</f>
        <v>-383.96999999999935</v>
      </c>
    </row>
    <row r="30" spans="1:11">
      <c r="A30" s="650" t="s">
        <v>2942</v>
      </c>
      <c r="B30" s="650">
        <v>6982</v>
      </c>
      <c r="C30" s="3612">
        <v>8300</v>
      </c>
      <c r="D30" s="3818">
        <v>0</v>
      </c>
      <c r="E30" s="530">
        <f t="shared" si="5"/>
        <v>15282</v>
      </c>
      <c r="F30" s="650">
        <v>32</v>
      </c>
      <c r="G30" s="3612">
        <v>757</v>
      </c>
      <c r="H30" s="3818">
        <v>0</v>
      </c>
      <c r="I30" s="530">
        <f t="shared" si="6"/>
        <v>789</v>
      </c>
      <c r="J30" s="1639">
        <f t="shared" si="4"/>
        <v>14493</v>
      </c>
      <c r="K30" s="32">
        <f>'מאזן בוחן'!K166-FA!E30</f>
        <v>-158.30999999999949</v>
      </c>
    </row>
    <row r="31" spans="1:11">
      <c r="A31" s="1749" t="s">
        <v>1461</v>
      </c>
      <c r="B31" s="650">
        <v>1332788</v>
      </c>
      <c r="C31" s="3818">
        <v>0</v>
      </c>
      <c r="D31" s="3818">
        <v>0</v>
      </c>
      <c r="E31" s="530">
        <f t="shared" si="5"/>
        <v>1332788</v>
      </c>
      <c r="F31" s="650">
        <v>533115</v>
      </c>
      <c r="G31" s="3612">
        <v>266558</v>
      </c>
      <c r="H31" s="3818">
        <v>0</v>
      </c>
      <c r="I31" s="530">
        <f t="shared" si="6"/>
        <v>799673</v>
      </c>
      <c r="J31" s="1639">
        <f t="shared" si="4"/>
        <v>533115</v>
      </c>
      <c r="K31" s="32">
        <f>'מאזן בוחן'!K167-FA!E31</f>
        <v>-628.84000000008382</v>
      </c>
    </row>
    <row r="32" spans="1:11" ht="13.5" thickBot="1">
      <c r="A32" s="1324" t="s">
        <v>1476</v>
      </c>
      <c r="B32" s="987">
        <f t="shared" ref="B32:J32" si="7">SUM(B23:B31)</f>
        <v>5921292</v>
      </c>
      <c r="C32" s="1186">
        <f t="shared" si="7"/>
        <v>424073</v>
      </c>
      <c r="D32" s="3062">
        <f t="shared" si="7"/>
        <v>124401</v>
      </c>
      <c r="E32" s="989">
        <f t="shared" si="7"/>
        <v>6220964</v>
      </c>
      <c r="F32" s="987">
        <f t="shared" si="7"/>
        <v>3912457</v>
      </c>
      <c r="G32" s="988">
        <f t="shared" si="7"/>
        <v>805598</v>
      </c>
      <c r="H32" s="988">
        <f t="shared" si="7"/>
        <v>110683</v>
      </c>
      <c r="I32" s="989">
        <f t="shared" si="7"/>
        <v>4607372</v>
      </c>
      <c r="J32" s="1640">
        <f t="shared" si="7"/>
        <v>1613592</v>
      </c>
    </row>
    <row r="33" spans="1:24">
      <c r="A33" s="648"/>
      <c r="B33" s="648"/>
      <c r="C33" s="717"/>
      <c r="D33" s="717"/>
      <c r="E33" s="734"/>
      <c r="F33" s="648"/>
      <c r="G33" s="717"/>
      <c r="H33" s="1323"/>
      <c r="I33" s="734"/>
      <c r="J33" s="530"/>
    </row>
    <row r="34" spans="1:24" ht="13.5" thickBot="1">
      <c r="A34" s="1322" t="s">
        <v>1477</v>
      </c>
      <c r="B34" s="650"/>
      <c r="C34" s="320"/>
      <c r="D34" s="320"/>
      <c r="E34" s="1191">
        <f>'מאזן בוחן'!K169</f>
        <v>6220322.8799999999</v>
      </c>
      <c r="F34" s="650"/>
      <c r="G34" s="320"/>
      <c r="H34" s="320"/>
      <c r="I34" s="530">
        <f>'מאזן בוחן'!$K$180</f>
        <v>-4604998.4400000004</v>
      </c>
      <c r="J34" s="530">
        <f>E34+I34</f>
        <v>1615324.4399999995</v>
      </c>
    </row>
    <row r="35" spans="1:24" ht="14.25" thickTop="1" thickBot="1">
      <c r="A35" s="1192" t="s">
        <v>135</v>
      </c>
      <c r="B35" s="1192"/>
      <c r="C35" s="725"/>
      <c r="D35" s="725"/>
      <c r="E35" s="956">
        <f>E34-E32</f>
        <v>-641.12000000011176</v>
      </c>
      <c r="F35" s="1192"/>
      <c r="G35" s="725"/>
      <c r="H35" s="725"/>
      <c r="I35" s="956">
        <f>I34+I32</f>
        <v>2373.5599999995902</v>
      </c>
      <c r="J35" s="956">
        <f>J34-J32</f>
        <v>1732.4399999994785</v>
      </c>
      <c r="K35" s="650" t="s">
        <v>3291</v>
      </c>
    </row>
    <row r="36" spans="1:24">
      <c r="A36" s="380"/>
      <c r="B36" s="380"/>
      <c r="C36" s="380"/>
      <c r="D36" s="380"/>
      <c r="E36" s="380"/>
      <c r="F36" s="380"/>
      <c r="G36" s="380"/>
      <c r="H36" s="254"/>
      <c r="I36" s="380"/>
      <c r="J36" s="380"/>
      <c r="K36" s="380"/>
    </row>
    <row r="37" spans="1:24" ht="13.5" thickBot="1">
      <c r="A37" s="380"/>
      <c r="B37" s="380"/>
      <c r="C37" s="380"/>
      <c r="D37" s="380"/>
      <c r="E37" s="380"/>
      <c r="F37" s="380"/>
      <c r="G37" s="380"/>
      <c r="H37" s="254"/>
      <c r="I37" s="380"/>
      <c r="J37" s="380"/>
      <c r="K37" s="380"/>
    </row>
    <row r="38" spans="1:24" ht="13.5" thickBot="1">
      <c r="A38" s="4418" t="s">
        <v>2708</v>
      </c>
      <c r="B38" s="4419"/>
      <c r="C38" s="4419"/>
      <c r="D38" s="4419"/>
      <c r="E38" s="4419"/>
      <c r="F38" s="4419"/>
      <c r="G38" s="4419"/>
      <c r="H38" s="4419"/>
      <c r="I38" s="4419"/>
      <c r="J38" s="4420"/>
      <c r="K38" s="380"/>
    </row>
    <row r="39" spans="1:24">
      <c r="A39" s="719"/>
      <c r="B39" s="4421" t="s">
        <v>1472</v>
      </c>
      <c r="C39" s="4422"/>
      <c r="D39" s="4422"/>
      <c r="E39" s="4423"/>
      <c r="F39" s="4421" t="s">
        <v>1473</v>
      </c>
      <c r="G39" s="4422"/>
      <c r="H39" s="4422"/>
      <c r="I39" s="4423"/>
      <c r="J39" s="1953" t="s">
        <v>1475</v>
      </c>
      <c r="K39" s="380"/>
      <c r="L39" s="380"/>
      <c r="M39" s="380"/>
      <c r="N39" s="380"/>
      <c r="O39" s="380"/>
    </row>
    <row r="40" spans="1:24">
      <c r="A40" s="719"/>
      <c r="B40" s="1193" t="s">
        <v>1469</v>
      </c>
      <c r="C40" s="1194" t="s">
        <v>2421</v>
      </c>
      <c r="D40" s="1194" t="s">
        <v>515</v>
      </c>
      <c r="E40" s="1195" t="s">
        <v>1471</v>
      </c>
      <c r="F40" s="1193" t="s">
        <v>1469</v>
      </c>
      <c r="G40" s="1194" t="s">
        <v>2421</v>
      </c>
      <c r="H40" s="1194" t="s">
        <v>515</v>
      </c>
      <c r="I40" s="1195" t="s">
        <v>1471</v>
      </c>
      <c r="J40" s="558"/>
      <c r="K40" s="380"/>
      <c r="L40" s="380"/>
      <c r="M40" s="380"/>
      <c r="N40" s="380"/>
      <c r="O40" s="380"/>
    </row>
    <row r="41" spans="1:24">
      <c r="A41" s="566" t="s">
        <v>347</v>
      </c>
      <c r="B41" s="719">
        <v>246846</v>
      </c>
      <c r="C41" s="3612">
        <v>47145</v>
      </c>
      <c r="D41" s="3612">
        <v>2065</v>
      </c>
      <c r="E41" s="558">
        <f>B41+C41-D41</f>
        <v>291926</v>
      </c>
      <c r="F41" s="719">
        <f>192934+2065</f>
        <v>194999</v>
      </c>
      <c r="G41" s="3612">
        <v>42384</v>
      </c>
      <c r="H41" s="3612">
        <v>2065</v>
      </c>
      <c r="I41" s="558">
        <f>F41+G41-H41</f>
        <v>235318</v>
      </c>
      <c r="J41" s="558">
        <f>E41-I41</f>
        <v>56608</v>
      </c>
      <c r="K41" s="383"/>
      <c r="L41" s="383"/>
      <c r="M41" s="383"/>
      <c r="N41" s="383"/>
      <c r="O41" s="383"/>
      <c r="P41" s="320"/>
      <c r="R41" s="320"/>
      <c r="S41" s="320"/>
      <c r="T41" s="320"/>
      <c r="U41" s="320"/>
      <c r="V41" s="320"/>
      <c r="W41" s="320"/>
      <c r="X41" s="320"/>
    </row>
    <row r="42" spans="1:24">
      <c r="A42" s="719" t="s">
        <v>1478</v>
      </c>
      <c r="B42" s="719">
        <v>96502</v>
      </c>
      <c r="C42" s="3781">
        <v>1889</v>
      </c>
      <c r="D42" s="204"/>
      <c r="E42" s="558">
        <f>B42+C42-D42</f>
        <v>98391</v>
      </c>
      <c r="F42" s="719">
        <v>55718</v>
      </c>
      <c r="G42" s="3612">
        <v>13865</v>
      </c>
      <c r="H42" s="976"/>
      <c r="I42" s="558">
        <f>F42+G42-H42</f>
        <v>69583</v>
      </c>
      <c r="J42" s="558">
        <f>E42-I42</f>
        <v>28808</v>
      </c>
      <c r="K42" s="383"/>
      <c r="L42" s="383"/>
      <c r="M42" s="383"/>
      <c r="N42" s="383"/>
      <c r="O42" s="383"/>
      <c r="P42" s="320"/>
      <c r="R42" s="320"/>
      <c r="S42" s="320"/>
      <c r="T42" s="320"/>
      <c r="U42" s="320"/>
      <c r="V42" s="320"/>
      <c r="W42" s="320"/>
      <c r="X42" s="320"/>
    </row>
    <row r="43" spans="1:24">
      <c r="A43" s="719" t="s">
        <v>170</v>
      </c>
      <c r="B43" s="721">
        <v>129754</v>
      </c>
      <c r="C43" s="3782">
        <v>2039</v>
      </c>
      <c r="D43" s="1956"/>
      <c r="E43" s="3783">
        <f>B43+C43-D43</f>
        <v>131793</v>
      </c>
      <c r="F43" s="719">
        <v>64404</v>
      </c>
      <c r="G43" s="3612">
        <v>31701</v>
      </c>
      <c r="H43" s="1958"/>
      <c r="I43" s="3783">
        <f>F43+G43-H43</f>
        <v>96105</v>
      </c>
      <c r="J43" s="558">
        <f>E43-I43</f>
        <v>35688</v>
      </c>
      <c r="K43" s="980"/>
      <c r="L43" s="981"/>
      <c r="M43" s="982"/>
      <c r="N43" s="983"/>
      <c r="O43" s="983"/>
      <c r="P43" s="983"/>
      <c r="R43" s="984"/>
      <c r="S43" s="983"/>
      <c r="T43" s="983"/>
      <c r="U43" s="983"/>
      <c r="V43" s="983"/>
      <c r="W43" s="320"/>
      <c r="X43" s="320"/>
    </row>
    <row r="44" spans="1:24" ht="13.5" thickBot="1">
      <c r="A44" s="1959" t="s">
        <v>1476</v>
      </c>
      <c r="B44" s="1192">
        <f>SUM(B41:B43)</f>
        <v>473102</v>
      </c>
      <c r="C44" s="725">
        <f t="shared" ref="C44:J44" si="8">SUM(C41:C43)</f>
        <v>51073</v>
      </c>
      <c r="D44" s="725">
        <f t="shared" si="8"/>
        <v>2065</v>
      </c>
      <c r="E44" s="564">
        <f t="shared" si="8"/>
        <v>522110</v>
      </c>
      <c r="F44" s="1185">
        <f t="shared" si="8"/>
        <v>315121</v>
      </c>
      <c r="G44" s="1186">
        <f t="shared" si="8"/>
        <v>87950</v>
      </c>
      <c r="H44" s="1186">
        <f t="shared" si="8"/>
        <v>2065</v>
      </c>
      <c r="I44" s="564">
        <f t="shared" si="8"/>
        <v>401006</v>
      </c>
      <c r="J44" s="1187">
        <f t="shared" si="8"/>
        <v>121104</v>
      </c>
      <c r="K44" s="1960"/>
      <c r="L44" s="982"/>
      <c r="M44" s="982"/>
      <c r="N44" s="983"/>
      <c r="O44" s="984"/>
      <c r="P44" s="983"/>
      <c r="R44" s="984"/>
      <c r="S44" s="984"/>
      <c r="T44" s="984"/>
      <c r="U44" s="984"/>
      <c r="V44" s="984"/>
      <c r="W44" s="320"/>
      <c r="X44" s="320"/>
    </row>
    <row r="45" spans="1:24">
      <c r="A45" s="1961"/>
      <c r="B45" s="1961"/>
      <c r="C45" s="724"/>
      <c r="D45" s="724"/>
      <c r="E45" s="569"/>
      <c r="F45" s="1961"/>
      <c r="G45" s="724"/>
      <c r="H45" s="1560"/>
      <c r="I45" s="569"/>
      <c r="J45" s="558"/>
      <c r="K45" s="1960"/>
      <c r="L45" s="383"/>
      <c r="M45" s="383"/>
      <c r="N45" s="983"/>
      <c r="O45" s="984"/>
      <c r="P45" s="983"/>
      <c r="R45" s="984"/>
      <c r="S45" s="984"/>
      <c r="T45" s="984"/>
      <c r="U45" s="984"/>
      <c r="V45" s="984"/>
      <c r="W45" s="320"/>
      <c r="X45" s="320"/>
    </row>
    <row r="46" spans="1:24" ht="13.5" thickBot="1">
      <c r="A46" s="1184" t="s">
        <v>1477</v>
      </c>
      <c r="B46" s="719"/>
      <c r="C46" s="383"/>
      <c r="D46" s="383"/>
      <c r="E46" s="1191">
        <f>'New TB INC'!J259</f>
        <v>522212.74</v>
      </c>
      <c r="F46" s="719"/>
      <c r="G46" s="383"/>
      <c r="H46" s="383"/>
      <c r="I46" s="558">
        <f>'New TB INC'!J261</f>
        <v>-401006</v>
      </c>
      <c r="J46" s="558">
        <f>E46+I46</f>
        <v>121206.73999999999</v>
      </c>
      <c r="K46" s="1960"/>
      <c r="L46" s="383"/>
      <c r="M46" s="383"/>
      <c r="N46" s="983"/>
      <c r="O46" s="984"/>
      <c r="P46" s="983"/>
      <c r="Q46" s="984"/>
      <c r="R46" s="984"/>
      <c r="S46" s="984"/>
      <c r="T46" s="983"/>
      <c r="U46" s="983"/>
      <c r="V46" s="983"/>
      <c r="W46" s="320"/>
      <c r="X46" s="320"/>
    </row>
    <row r="47" spans="1:24" ht="14.25" thickTop="1" thickBot="1">
      <c r="A47" s="1192" t="s">
        <v>135</v>
      </c>
      <c r="B47" s="1192"/>
      <c r="C47" s="725"/>
      <c r="D47" s="725"/>
      <c r="E47" s="956">
        <f>E46-E44</f>
        <v>102.73999999999069</v>
      </c>
      <c r="F47" s="1192"/>
      <c r="G47" s="725"/>
      <c r="H47" s="725"/>
      <c r="I47" s="956">
        <f>I46+I44</f>
        <v>0</v>
      </c>
      <c r="J47" s="956">
        <f>J46-J44</f>
        <v>102.73999999999069</v>
      </c>
      <c r="K47" s="650" t="s">
        <v>3291</v>
      </c>
      <c r="L47" s="383"/>
      <c r="M47" s="383"/>
      <c r="N47" s="984"/>
      <c r="O47" s="984"/>
      <c r="P47" s="984"/>
      <c r="Q47" s="984"/>
      <c r="R47" s="984"/>
      <c r="S47" s="984"/>
      <c r="T47" s="984"/>
      <c r="U47" s="984"/>
      <c r="V47" s="984"/>
      <c r="W47" s="320"/>
      <c r="X47" s="320"/>
    </row>
    <row r="48" spans="1:24" ht="13.5" thickBot="1">
      <c r="D48" s="254"/>
      <c r="K48" s="984"/>
      <c r="L48" s="383"/>
      <c r="M48" s="383"/>
      <c r="N48" s="983"/>
      <c r="O48" s="984"/>
      <c r="P48" s="983"/>
      <c r="Q48" s="984"/>
      <c r="R48" s="984"/>
      <c r="S48" s="983"/>
      <c r="T48" s="983"/>
      <c r="U48" s="983"/>
      <c r="V48" s="983"/>
      <c r="W48" s="320"/>
      <c r="X48" s="320"/>
    </row>
    <row r="49" spans="1:24" ht="13.5" thickBot="1">
      <c r="A49" s="4412" t="s">
        <v>2800</v>
      </c>
      <c r="B49" s="4413"/>
      <c r="C49" s="4413"/>
      <c r="D49" s="4413"/>
      <c r="E49" s="4413"/>
      <c r="F49" s="4413"/>
      <c r="G49" s="4413"/>
      <c r="H49" s="4414"/>
      <c r="K49" s="984"/>
      <c r="L49" s="982"/>
      <c r="M49" s="383"/>
      <c r="N49" s="983"/>
      <c r="O49" s="984"/>
      <c r="P49" s="983"/>
      <c r="Q49" s="984"/>
      <c r="R49" s="984"/>
      <c r="S49" s="983"/>
      <c r="T49" s="984"/>
      <c r="U49" s="983"/>
      <c r="V49" s="983"/>
      <c r="W49" s="320"/>
      <c r="X49" s="320"/>
    </row>
    <row r="50" spans="1:24" ht="13.5" thickBot="1">
      <c r="A50" s="1197" t="s">
        <v>2284</v>
      </c>
      <c r="B50" s="4415" t="s">
        <v>1472</v>
      </c>
      <c r="C50" s="4416"/>
      <c r="D50" s="4417"/>
      <c r="E50" s="4415" t="s">
        <v>1473</v>
      </c>
      <c r="F50" s="4416"/>
      <c r="G50" s="4417"/>
      <c r="H50" s="568" t="s">
        <v>1475</v>
      </c>
      <c r="K50" s="984"/>
      <c r="L50" s="982"/>
      <c r="M50" s="982"/>
      <c r="N50" s="983"/>
      <c r="O50" s="984"/>
      <c r="P50" s="983"/>
      <c r="Q50" s="984"/>
      <c r="R50" s="984"/>
      <c r="S50" s="983"/>
      <c r="T50" s="984"/>
      <c r="U50" s="983"/>
      <c r="V50" s="983"/>
      <c r="W50" s="320"/>
      <c r="X50" s="320"/>
    </row>
    <row r="51" spans="1:24">
      <c r="A51" s="566"/>
      <c r="B51" s="3636" t="s">
        <v>1469</v>
      </c>
      <c r="C51" s="1194" t="s">
        <v>1470</v>
      </c>
      <c r="D51" s="1195" t="s">
        <v>1471</v>
      </c>
      <c r="E51" s="1193" t="s">
        <v>1469</v>
      </c>
      <c r="F51" s="1194" t="s">
        <v>1474</v>
      </c>
      <c r="G51" s="1195" t="s">
        <v>1471</v>
      </c>
      <c r="H51" s="1196" t="s">
        <v>1471</v>
      </c>
      <c r="K51" s="984"/>
      <c r="L51" s="982"/>
      <c r="M51" s="982"/>
      <c r="N51" s="983"/>
      <c r="O51" s="984"/>
      <c r="P51" s="983"/>
      <c r="Q51" s="984"/>
      <c r="R51" s="984"/>
      <c r="S51" s="983"/>
      <c r="T51" s="984"/>
      <c r="U51" s="983"/>
      <c r="V51" s="983"/>
      <c r="W51" s="320"/>
      <c r="X51" s="320"/>
    </row>
    <row r="52" spans="1:24">
      <c r="A52" s="566" t="s">
        <v>347</v>
      </c>
      <c r="B52" s="719">
        <v>2235</v>
      </c>
      <c r="C52" s="3612">
        <v>13290.25</v>
      </c>
      <c r="D52" s="558">
        <f>C52+B52</f>
        <v>15525.25</v>
      </c>
      <c r="E52" s="719">
        <v>735</v>
      </c>
      <c r="F52" s="3612">
        <v>3097</v>
      </c>
      <c r="G52" s="558">
        <f>F52+E52</f>
        <v>3832</v>
      </c>
      <c r="H52" s="566">
        <f>D52-G52</f>
        <v>11693.25</v>
      </c>
      <c r="K52" s="984"/>
      <c r="L52" s="982"/>
      <c r="M52" s="982"/>
      <c r="N52" s="983"/>
      <c r="O52" s="984"/>
      <c r="P52" s="983"/>
      <c r="Q52" s="984"/>
      <c r="R52" s="984"/>
      <c r="S52" s="983"/>
      <c r="T52" s="984"/>
      <c r="U52" s="983"/>
      <c r="V52" s="983"/>
      <c r="W52" s="320"/>
      <c r="X52" s="320"/>
    </row>
    <row r="53" spans="1:24" ht="13.5" thickBot="1">
      <c r="A53" s="567" t="s">
        <v>1476</v>
      </c>
      <c r="B53" s="1185">
        <f t="shared" ref="B53:H53" si="9">SUM(B52:B52)</f>
        <v>2235</v>
      </c>
      <c r="C53" s="1186">
        <f t="shared" si="9"/>
        <v>13290.25</v>
      </c>
      <c r="D53" s="1187">
        <f t="shared" si="9"/>
        <v>15525.25</v>
      </c>
      <c r="E53" s="1185">
        <f t="shared" si="9"/>
        <v>735</v>
      </c>
      <c r="F53" s="1186">
        <f t="shared" si="9"/>
        <v>3097</v>
      </c>
      <c r="G53" s="1187">
        <f t="shared" si="9"/>
        <v>3832</v>
      </c>
      <c r="H53" s="1188">
        <f t="shared" si="9"/>
        <v>11693.25</v>
      </c>
      <c r="K53" s="984"/>
      <c r="L53" s="982"/>
      <c r="M53" s="982"/>
      <c r="N53" s="983"/>
      <c r="O53" s="984"/>
      <c r="P53" s="983"/>
      <c r="Q53" s="984"/>
      <c r="R53" s="984"/>
      <c r="S53" s="983"/>
      <c r="T53" s="984"/>
      <c r="U53" s="983"/>
      <c r="V53" s="983"/>
      <c r="W53" s="320"/>
      <c r="X53" s="320"/>
    </row>
    <row r="54" spans="1:24">
      <c r="A54" s="719"/>
      <c r="B54" s="383"/>
      <c r="C54" s="383"/>
      <c r="D54" s="383"/>
      <c r="E54" s="383"/>
      <c r="F54" s="383"/>
      <c r="G54" s="383"/>
      <c r="H54" s="1189"/>
      <c r="K54" s="984"/>
      <c r="L54" s="982"/>
      <c r="M54" s="982"/>
      <c r="N54" s="983"/>
      <c r="O54" s="984"/>
      <c r="P54" s="983"/>
      <c r="Q54" s="984"/>
      <c r="R54" s="984"/>
      <c r="S54" s="983"/>
      <c r="T54" s="984"/>
      <c r="U54" s="983"/>
      <c r="V54" s="983"/>
      <c r="W54" s="320"/>
      <c r="X54" s="320"/>
    </row>
    <row r="55" spans="1:24" ht="13.5" thickBot="1">
      <c r="A55" s="719" t="s">
        <v>1477</v>
      </c>
      <c r="B55" s="383"/>
      <c r="C55" s="383"/>
      <c r="D55" s="1190">
        <f>'מאזן בוחן Australia'!J55</f>
        <v>15525.25</v>
      </c>
      <c r="E55" s="383"/>
      <c r="F55" s="383"/>
      <c r="G55" s="1190">
        <f>'מאזן בוחן Australia'!J59</f>
        <v>-3832</v>
      </c>
      <c r="H55" s="1191">
        <f>D55+G55</f>
        <v>11693.25</v>
      </c>
      <c r="K55" s="984"/>
      <c r="L55" s="982"/>
      <c r="M55" s="982"/>
      <c r="N55" s="983"/>
      <c r="O55" s="984"/>
      <c r="P55" s="983"/>
      <c r="Q55" s="984"/>
      <c r="R55" s="984"/>
      <c r="S55" s="983"/>
      <c r="T55" s="984"/>
      <c r="U55" s="983"/>
      <c r="V55" s="983"/>
      <c r="W55" s="320"/>
      <c r="X55" s="320"/>
    </row>
    <row r="56" spans="1:24" ht="14.25" thickTop="1" thickBot="1">
      <c r="A56" s="1192" t="s">
        <v>135</v>
      </c>
      <c r="B56" s="725"/>
      <c r="C56" s="725"/>
      <c r="D56" s="956">
        <f>D55-D53</f>
        <v>0</v>
      </c>
      <c r="E56" s="725"/>
      <c r="F56" s="725"/>
      <c r="G56" s="956">
        <f>G55+G53</f>
        <v>0</v>
      </c>
      <c r="H56" s="956">
        <f>H55-H53</f>
        <v>0</v>
      </c>
      <c r="K56" s="984"/>
      <c r="L56" s="982"/>
      <c r="M56" s="982"/>
      <c r="N56" s="983"/>
      <c r="O56" s="984"/>
      <c r="P56" s="983"/>
      <c r="Q56" s="984"/>
      <c r="R56" s="984"/>
      <c r="S56" s="983"/>
      <c r="T56" s="984"/>
      <c r="U56" s="983"/>
      <c r="V56" s="983"/>
      <c r="W56" s="320"/>
      <c r="X56" s="320"/>
    </row>
    <row r="57" spans="1:24" ht="13.5" thickBot="1">
      <c r="D57" s="254"/>
      <c r="H57" s="255"/>
      <c r="K57" s="984"/>
      <c r="L57" s="982"/>
      <c r="M57" s="982"/>
      <c r="N57" s="983"/>
      <c r="O57" s="984"/>
      <c r="P57" s="983"/>
      <c r="Q57" s="984"/>
      <c r="R57" s="984"/>
      <c r="S57" s="983"/>
      <c r="T57" s="984"/>
      <c r="U57" s="983"/>
      <c r="V57" s="983"/>
      <c r="W57" s="320"/>
      <c r="X57" s="320"/>
    </row>
    <row r="58" spans="1:24" ht="13.5" thickBot="1">
      <c r="A58" s="4412" t="s">
        <v>4865</v>
      </c>
      <c r="B58" s="4413"/>
      <c r="C58" s="4413"/>
      <c r="D58" s="4413"/>
      <c r="E58" s="4413"/>
      <c r="F58" s="4413"/>
      <c r="G58" s="4413"/>
      <c r="H58" s="4414"/>
      <c r="K58" s="984"/>
      <c r="L58" s="982"/>
      <c r="M58" s="982"/>
      <c r="N58" s="983"/>
      <c r="O58" s="984"/>
      <c r="P58" s="983"/>
      <c r="Q58" s="984"/>
      <c r="R58" s="984"/>
      <c r="S58" s="983"/>
      <c r="T58" s="984"/>
      <c r="U58" s="983"/>
      <c r="V58" s="983"/>
      <c r="W58" s="320"/>
      <c r="X58" s="320"/>
    </row>
    <row r="59" spans="1:24" ht="13.5" thickBot="1">
      <c r="A59" s="1197" t="s">
        <v>2284</v>
      </c>
      <c r="B59" s="4415" t="s">
        <v>1472</v>
      </c>
      <c r="C59" s="4416"/>
      <c r="D59" s="4417"/>
      <c r="E59" s="4415" t="s">
        <v>1473</v>
      </c>
      <c r="F59" s="4416"/>
      <c r="G59" s="4417"/>
      <c r="H59" s="568" t="s">
        <v>1475</v>
      </c>
      <c r="K59" s="984"/>
      <c r="L59" s="982"/>
      <c r="M59" s="982"/>
      <c r="N59" s="983"/>
      <c r="O59" s="984"/>
      <c r="P59" s="983"/>
      <c r="Q59" s="984"/>
      <c r="R59" s="984"/>
      <c r="S59" s="983"/>
      <c r="T59" s="984"/>
      <c r="U59" s="983"/>
      <c r="V59" s="983"/>
      <c r="W59" s="320"/>
      <c r="X59" s="320"/>
    </row>
    <row r="60" spans="1:24">
      <c r="A60" s="566"/>
      <c r="B60" s="3636" t="s">
        <v>1469</v>
      </c>
      <c r="C60" s="1194" t="s">
        <v>1470</v>
      </c>
      <c r="D60" s="1195" t="s">
        <v>1471</v>
      </c>
      <c r="E60" s="1193" t="s">
        <v>1469</v>
      </c>
      <c r="F60" s="1194" t="s">
        <v>1474</v>
      </c>
      <c r="G60" s="1195" t="s">
        <v>1471</v>
      </c>
      <c r="H60" s="1196" t="s">
        <v>1471</v>
      </c>
      <c r="K60" s="984"/>
      <c r="L60" s="982"/>
      <c r="M60" s="982"/>
      <c r="N60" s="983"/>
      <c r="O60" s="984"/>
      <c r="P60" s="983"/>
      <c r="Q60" s="984"/>
      <c r="R60" s="984"/>
      <c r="S60" s="983"/>
      <c r="T60" s="984"/>
      <c r="U60" s="983"/>
      <c r="V60" s="983"/>
      <c r="W60" s="320"/>
      <c r="X60" s="320"/>
    </row>
    <row r="61" spans="1:24">
      <c r="A61" s="566" t="s">
        <v>347</v>
      </c>
      <c r="B61" s="719">
        <v>1564</v>
      </c>
      <c r="C61" s="3612">
        <v>9994</v>
      </c>
      <c r="D61" s="558">
        <f>C61+B61</f>
        <v>11558</v>
      </c>
      <c r="E61" s="719">
        <v>515</v>
      </c>
      <c r="F61" s="3612">
        <v>2298</v>
      </c>
      <c r="G61" s="558">
        <f>F61+E61</f>
        <v>2813</v>
      </c>
      <c r="H61" s="566">
        <f>D61-G61</f>
        <v>8745</v>
      </c>
      <c r="K61" s="984"/>
      <c r="L61" s="982"/>
      <c r="M61" s="982"/>
      <c r="N61" s="983"/>
      <c r="O61" s="984"/>
      <c r="P61" s="983"/>
      <c r="Q61" s="984"/>
      <c r="R61" s="984"/>
      <c r="S61" s="983"/>
      <c r="T61" s="984"/>
      <c r="U61" s="983"/>
      <c r="V61" s="983"/>
      <c r="W61" s="320"/>
      <c r="X61" s="320"/>
    </row>
    <row r="62" spans="1:24" ht="13.5" thickBot="1">
      <c r="A62" s="567" t="s">
        <v>1476</v>
      </c>
      <c r="B62" s="1185">
        <f t="shared" ref="B62:H62" si="10">SUM(B61:B61)</f>
        <v>1564</v>
      </c>
      <c r="C62" s="1186">
        <f t="shared" si="10"/>
        <v>9994</v>
      </c>
      <c r="D62" s="1187">
        <f t="shared" si="10"/>
        <v>11558</v>
      </c>
      <c r="E62" s="1185">
        <f t="shared" si="10"/>
        <v>515</v>
      </c>
      <c r="F62" s="1186">
        <f t="shared" si="10"/>
        <v>2298</v>
      </c>
      <c r="G62" s="1187">
        <f t="shared" si="10"/>
        <v>2813</v>
      </c>
      <c r="H62" s="1188">
        <f t="shared" si="10"/>
        <v>8745</v>
      </c>
      <c r="K62" s="984"/>
      <c r="L62" s="982"/>
      <c r="M62" s="982"/>
      <c r="N62" s="983"/>
      <c r="O62" s="984"/>
      <c r="P62" s="983"/>
      <c r="Q62" s="984"/>
      <c r="R62" s="984"/>
      <c r="S62" s="983"/>
      <c r="T62" s="984"/>
      <c r="U62" s="983"/>
      <c r="V62" s="983"/>
      <c r="W62" s="320"/>
      <c r="X62" s="320"/>
    </row>
    <row r="63" spans="1:24">
      <c r="A63" s="719"/>
      <c r="B63" s="383"/>
      <c r="C63" s="383"/>
      <c r="D63" s="383"/>
      <c r="E63" s="383"/>
      <c r="F63" s="383"/>
      <c r="G63" s="383"/>
      <c r="H63" s="1189"/>
      <c r="K63" s="984"/>
      <c r="L63" s="982"/>
      <c r="M63" s="982"/>
      <c r="N63" s="983"/>
      <c r="O63" s="984"/>
      <c r="P63" s="983"/>
      <c r="Q63" s="984"/>
      <c r="R63" s="984"/>
      <c r="S63" s="983"/>
      <c r="T63" s="984"/>
      <c r="U63" s="983"/>
      <c r="V63" s="983"/>
      <c r="W63" s="320"/>
      <c r="X63" s="320"/>
    </row>
    <row r="64" spans="1:24" ht="13.5" thickBot="1">
      <c r="A64" s="719" t="s">
        <v>1477</v>
      </c>
      <c r="B64" s="383"/>
      <c r="C64" s="383"/>
      <c r="D64" s="1190">
        <f>'מאזן בוחן Australia'!K54</f>
        <v>11553.08</v>
      </c>
      <c r="E64" s="383"/>
      <c r="F64" s="383"/>
      <c r="G64" s="1190">
        <f>'מאזן בוחן Australia'!K58</f>
        <v>-2813</v>
      </c>
      <c r="H64" s="1191">
        <f>D64+G64</f>
        <v>8740.08</v>
      </c>
      <c r="K64" s="984"/>
      <c r="L64" s="982"/>
      <c r="M64" s="982"/>
      <c r="N64" s="983"/>
      <c r="O64" s="984"/>
      <c r="P64" s="983"/>
      <c r="Q64" s="984"/>
      <c r="R64" s="984"/>
      <c r="S64" s="983"/>
      <c r="T64" s="984"/>
      <c r="U64" s="983"/>
      <c r="V64" s="983"/>
      <c r="W64" s="320"/>
      <c r="X64" s="320"/>
    </row>
    <row r="65" spans="1:24" ht="14.25" thickTop="1" thickBot="1">
      <c r="A65" s="1192" t="s">
        <v>135</v>
      </c>
      <c r="B65" s="725"/>
      <c r="C65" s="725"/>
      <c r="D65" s="956">
        <f>D64-D62</f>
        <v>-4.9200000000000728</v>
      </c>
      <c r="E65" s="725"/>
      <c r="F65" s="725"/>
      <c r="G65" s="956">
        <f>G64+G62</f>
        <v>0</v>
      </c>
      <c r="H65" s="956">
        <f>H64-H62</f>
        <v>-4.9200000000000728</v>
      </c>
      <c r="K65" s="984"/>
      <c r="L65" s="982"/>
      <c r="M65" s="982"/>
      <c r="N65" s="983"/>
      <c r="O65" s="984"/>
      <c r="P65" s="983"/>
      <c r="Q65" s="984"/>
      <c r="R65" s="984"/>
      <c r="S65" s="983"/>
      <c r="T65" s="984"/>
      <c r="U65" s="983"/>
      <c r="V65" s="983"/>
      <c r="W65" s="320"/>
      <c r="X65" s="320"/>
    </row>
    <row r="66" spans="1:24" ht="13.5" thickBot="1">
      <c r="D66" s="254"/>
      <c r="H66" s="255"/>
      <c r="K66" s="984"/>
      <c r="L66" s="982"/>
      <c r="M66" s="982"/>
      <c r="N66" s="983"/>
      <c r="O66" s="984"/>
      <c r="P66" s="983"/>
      <c r="Q66" s="984"/>
      <c r="R66" s="984"/>
      <c r="S66" s="983"/>
      <c r="T66" s="984"/>
      <c r="U66" s="983"/>
      <c r="V66" s="983"/>
      <c r="W66" s="320"/>
      <c r="X66" s="320"/>
    </row>
    <row r="67" spans="1:24" ht="13.5" thickBot="1">
      <c r="A67" s="4418" t="s">
        <v>2709</v>
      </c>
      <c r="B67" s="4419"/>
      <c r="C67" s="4419"/>
      <c r="D67" s="4419"/>
      <c r="E67" s="4419"/>
      <c r="F67" s="4419"/>
      <c r="G67" s="4419"/>
      <c r="H67" s="4419"/>
      <c r="I67" s="4419"/>
      <c r="J67" s="4420"/>
    </row>
    <row r="68" spans="1:24">
      <c r="A68" s="719"/>
      <c r="B68" s="4421" t="s">
        <v>1472</v>
      </c>
      <c r="C68" s="4422"/>
      <c r="D68" s="4422"/>
      <c r="E68" s="4423"/>
      <c r="F68" s="4421" t="s">
        <v>1473</v>
      </c>
      <c r="G68" s="4422"/>
      <c r="H68" s="4422"/>
      <c r="I68" s="4423"/>
      <c r="J68" s="1953" t="s">
        <v>1475</v>
      </c>
    </row>
    <row r="69" spans="1:24">
      <c r="A69" s="719"/>
      <c r="B69" s="1193" t="s">
        <v>1469</v>
      </c>
      <c r="C69" s="1194" t="s">
        <v>2421</v>
      </c>
      <c r="D69" s="1194" t="s">
        <v>515</v>
      </c>
      <c r="E69" s="1195" t="s">
        <v>1471</v>
      </c>
      <c r="F69" s="1193" t="s">
        <v>1469</v>
      </c>
      <c r="G69" s="1194" t="s">
        <v>2421</v>
      </c>
      <c r="H69" s="1194" t="s">
        <v>515</v>
      </c>
      <c r="I69" s="1195" t="s">
        <v>1471</v>
      </c>
      <c r="J69" s="558"/>
    </row>
    <row r="70" spans="1:24">
      <c r="A70" s="566" t="s">
        <v>347</v>
      </c>
      <c r="B70" s="719">
        <v>1931000</v>
      </c>
      <c r="C70" s="3612">
        <v>4015000</v>
      </c>
      <c r="D70" s="383"/>
      <c r="E70" s="558">
        <f>C70+B70-D70</f>
        <v>5946000</v>
      </c>
      <c r="F70" s="719">
        <v>160946.11872146119</v>
      </c>
      <c r="G70" s="3612">
        <v>1391845.62127854</v>
      </c>
      <c r="H70" s="383"/>
      <c r="I70" s="558">
        <f>G70+F70-H70</f>
        <v>1552791.7400000012</v>
      </c>
      <c r="J70" s="558">
        <f>E70-I70</f>
        <v>4393208.2599999988</v>
      </c>
    </row>
    <row r="71" spans="1:24">
      <c r="A71" s="719" t="s">
        <v>1478</v>
      </c>
      <c r="B71" s="719">
        <v>0</v>
      </c>
      <c r="C71" s="1954"/>
      <c r="D71" s="204"/>
      <c r="E71" s="558">
        <f>C71+B71-D71</f>
        <v>0</v>
      </c>
      <c r="F71" s="719">
        <v>0</v>
      </c>
      <c r="G71" s="383"/>
      <c r="H71" s="976"/>
      <c r="I71" s="558">
        <f>G71+F71-H71</f>
        <v>0</v>
      </c>
      <c r="J71" s="558">
        <f>E71-I71</f>
        <v>0</v>
      </c>
    </row>
    <row r="72" spans="1:24">
      <c r="A72" s="719" t="s">
        <v>170</v>
      </c>
      <c r="B72" s="721">
        <v>0</v>
      </c>
      <c r="C72" s="2413"/>
      <c r="D72" s="2414"/>
      <c r="E72" s="1935">
        <f>C72+B72-D72</f>
        <v>0</v>
      </c>
      <c r="F72" s="719">
        <v>0</v>
      </c>
      <c r="G72" s="383"/>
      <c r="H72" s="2415"/>
      <c r="I72" s="1935">
        <f>G72+F72-H72</f>
        <v>0</v>
      </c>
      <c r="J72" s="558">
        <f>E72-I72</f>
        <v>0</v>
      </c>
    </row>
    <row r="73" spans="1:24" ht="13.5" thickBot="1">
      <c r="A73" s="1959" t="s">
        <v>1476</v>
      </c>
      <c r="B73" s="1192">
        <f t="shared" ref="B73:J73" si="11">SUM(B70:B72)</f>
        <v>1931000</v>
      </c>
      <c r="C73" s="725">
        <f t="shared" si="11"/>
        <v>4015000</v>
      </c>
      <c r="D73" s="725">
        <f t="shared" si="11"/>
        <v>0</v>
      </c>
      <c r="E73" s="564">
        <f t="shared" si="11"/>
        <v>5946000</v>
      </c>
      <c r="F73" s="1185">
        <f t="shared" si="11"/>
        <v>160946.11872146119</v>
      </c>
      <c r="G73" s="1186">
        <f t="shared" si="11"/>
        <v>1391845.62127854</v>
      </c>
      <c r="H73" s="1186">
        <f t="shared" si="11"/>
        <v>0</v>
      </c>
      <c r="I73" s="564">
        <f t="shared" si="11"/>
        <v>1552791.7400000012</v>
      </c>
      <c r="J73" s="1187">
        <f t="shared" si="11"/>
        <v>4393208.2599999988</v>
      </c>
    </row>
    <row r="74" spans="1:24">
      <c r="A74" s="1961"/>
      <c r="B74" s="1961"/>
      <c r="C74" s="724"/>
      <c r="D74" s="724"/>
      <c r="E74" s="569"/>
      <c r="F74" s="1961"/>
      <c r="G74" s="724"/>
      <c r="H74" s="1560"/>
      <c r="I74" s="569"/>
      <c r="J74" s="558"/>
    </row>
    <row r="75" spans="1:24" ht="13.5" thickBot="1">
      <c r="A75" s="1184" t="s">
        <v>1477</v>
      </c>
      <c r="B75" s="719"/>
      <c r="C75" s="383"/>
      <c r="D75" s="383"/>
      <c r="E75" s="1191">
        <f>'מאזן בוחן הודו'!J68</f>
        <v>5946000</v>
      </c>
      <c r="F75" s="719"/>
      <c r="G75" s="383"/>
      <c r="H75" s="383"/>
      <c r="I75" s="558">
        <f>'מאזן בוחן הודו'!J72</f>
        <v>-1552791.74</v>
      </c>
      <c r="J75" s="558">
        <f>E75+I75</f>
        <v>4393208.26</v>
      </c>
    </row>
    <row r="76" spans="1:24" ht="14.25" thickTop="1" thickBot="1">
      <c r="A76" s="1192" t="s">
        <v>135</v>
      </c>
      <c r="B76" s="1192"/>
      <c r="C76" s="725"/>
      <c r="D76" s="2416"/>
      <c r="E76" s="956">
        <f>E75-E73</f>
        <v>0</v>
      </c>
      <c r="F76" s="1192"/>
      <c r="G76" s="725"/>
      <c r="H76" s="2417"/>
      <c r="I76" s="956">
        <f>I75+I73</f>
        <v>0</v>
      </c>
      <c r="J76" s="956">
        <f>J75-J73</f>
        <v>0</v>
      </c>
    </row>
    <row r="77" spans="1:24" ht="13.5" thickBot="1"/>
    <row r="78" spans="1:24" ht="13.5" thickBot="1">
      <c r="A78" s="4418" t="s">
        <v>2805</v>
      </c>
      <c r="B78" s="4419"/>
      <c r="C78" s="4419"/>
      <c r="D78" s="4419"/>
      <c r="E78" s="4419"/>
      <c r="F78" s="4419"/>
      <c r="G78" s="4419"/>
      <c r="H78" s="4419"/>
      <c r="I78" s="4419"/>
      <c r="J78" s="4420"/>
    </row>
    <row r="79" spans="1:24">
      <c r="A79" s="719"/>
      <c r="B79" s="4421" t="s">
        <v>1472</v>
      </c>
      <c r="C79" s="4422"/>
      <c r="D79" s="4422"/>
      <c r="E79" s="4423"/>
      <c r="F79" s="4421" t="s">
        <v>1473</v>
      </c>
      <c r="G79" s="4422"/>
      <c r="H79" s="4422"/>
      <c r="I79" s="4423"/>
      <c r="J79" s="1953" t="s">
        <v>1475</v>
      </c>
    </row>
    <row r="80" spans="1:24">
      <c r="A80" s="719"/>
      <c r="B80" s="1193" t="s">
        <v>1469</v>
      </c>
      <c r="C80" s="1194" t="s">
        <v>2421</v>
      </c>
      <c r="D80" s="1194" t="s">
        <v>515</v>
      </c>
      <c r="E80" s="1195" t="s">
        <v>1471</v>
      </c>
      <c r="F80" s="1193" t="s">
        <v>1469</v>
      </c>
      <c r="G80" s="1194" t="s">
        <v>2421</v>
      </c>
      <c r="H80" s="1194" t="s">
        <v>515</v>
      </c>
      <c r="I80" s="1195" t="s">
        <v>1471</v>
      </c>
      <c r="J80" s="558"/>
    </row>
    <row r="81" spans="1:10">
      <c r="A81" s="566" t="s">
        <v>347</v>
      </c>
      <c r="B81" s="719">
        <v>4446</v>
      </c>
      <c r="C81" s="3612">
        <v>24985</v>
      </c>
      <c r="D81" s="383"/>
      <c r="E81" s="558">
        <f>C81+B81-D81</f>
        <v>29431</v>
      </c>
      <c r="F81" s="719">
        <v>479</v>
      </c>
      <c r="G81" s="3612">
        <v>4691</v>
      </c>
      <c r="H81" s="383"/>
      <c r="I81" s="558">
        <f>G81+F81-H81</f>
        <v>5170</v>
      </c>
      <c r="J81" s="558">
        <f>E81-I81</f>
        <v>24261</v>
      </c>
    </row>
    <row r="82" spans="1:10">
      <c r="A82" s="719" t="s">
        <v>1478</v>
      </c>
      <c r="B82" s="719"/>
      <c r="C82" s="1954"/>
      <c r="D82" s="204"/>
      <c r="E82" s="558">
        <f>C82+B82-D82</f>
        <v>0</v>
      </c>
      <c r="F82" s="719"/>
      <c r="G82" s="383"/>
      <c r="H82" s="976"/>
      <c r="I82" s="558">
        <f>G82+F82-H82</f>
        <v>0</v>
      </c>
      <c r="J82" s="558">
        <f>E82-I82</f>
        <v>0</v>
      </c>
    </row>
    <row r="83" spans="1:10">
      <c r="A83" s="719" t="s">
        <v>170</v>
      </c>
      <c r="B83" s="721"/>
      <c r="C83" s="1955"/>
      <c r="D83" s="1956"/>
      <c r="E83" s="1957">
        <f>C83+B83-D83</f>
        <v>0</v>
      </c>
      <c r="F83" s="719"/>
      <c r="G83" s="383"/>
      <c r="H83" s="1958"/>
      <c r="I83" s="1957">
        <f>G83+F83-H83</f>
        <v>0</v>
      </c>
      <c r="J83" s="558">
        <f>E83-I83</f>
        <v>0</v>
      </c>
    </row>
    <row r="84" spans="1:10" ht="13.5" thickBot="1">
      <c r="A84" s="1959" t="s">
        <v>1476</v>
      </c>
      <c r="B84" s="1192">
        <f t="shared" ref="B84:J84" si="12">SUM(B81:B83)</f>
        <v>4446</v>
      </c>
      <c r="C84" s="725">
        <f t="shared" si="12"/>
        <v>24985</v>
      </c>
      <c r="D84" s="725">
        <f t="shared" si="12"/>
        <v>0</v>
      </c>
      <c r="E84" s="564">
        <f t="shared" si="12"/>
        <v>29431</v>
      </c>
      <c r="F84" s="1185">
        <f t="shared" si="12"/>
        <v>479</v>
      </c>
      <c r="G84" s="1186">
        <f t="shared" si="12"/>
        <v>4691</v>
      </c>
      <c r="H84" s="1186">
        <f t="shared" si="12"/>
        <v>0</v>
      </c>
      <c r="I84" s="564">
        <f t="shared" si="12"/>
        <v>5170</v>
      </c>
      <c r="J84" s="1187">
        <f t="shared" si="12"/>
        <v>24261</v>
      </c>
    </row>
    <row r="85" spans="1:10">
      <c r="A85" s="1961"/>
      <c r="B85" s="1961"/>
      <c r="C85" s="724"/>
      <c r="D85" s="724"/>
      <c r="E85" s="569"/>
      <c r="F85" s="1961"/>
      <c r="G85" s="724"/>
      <c r="H85" s="1560"/>
      <c r="I85" s="569"/>
      <c r="J85" s="558"/>
    </row>
    <row r="86" spans="1:10" ht="13.5" thickBot="1">
      <c r="A86" s="1184" t="s">
        <v>1477</v>
      </c>
      <c r="B86" s="719"/>
      <c r="C86" s="383"/>
      <c r="D86" s="383"/>
      <c r="E86" s="1191">
        <f>'מאזן בוחן EUROPE'!J199</f>
        <v>29430.23</v>
      </c>
      <c r="F86" s="719"/>
      <c r="G86" s="383"/>
      <c r="H86" s="383"/>
      <c r="I86" s="558">
        <f>'מאזן בוחן EUROPE'!J203</f>
        <v>-5170</v>
      </c>
      <c r="J86" s="558">
        <f>E86+I86</f>
        <v>24260.23</v>
      </c>
    </row>
    <row r="87" spans="1:10" ht="14.25" thickTop="1" thickBot="1">
      <c r="A87" s="1192" t="s">
        <v>135</v>
      </c>
      <c r="B87" s="1192"/>
      <c r="C87" s="725"/>
      <c r="D87" s="725"/>
      <c r="E87" s="956">
        <f>E86-E84</f>
        <v>-0.77000000000043656</v>
      </c>
      <c r="F87" s="1192"/>
      <c r="G87" s="725"/>
      <c r="H87" s="725"/>
      <c r="I87" s="956">
        <f>I86+I84</f>
        <v>0</v>
      </c>
      <c r="J87" s="956">
        <f>J86-J84</f>
        <v>-0.77000000000043656</v>
      </c>
    </row>
    <row r="88" spans="1:10" ht="13.5" thickBot="1"/>
    <row r="89" spans="1:10" ht="13.5" thickBot="1">
      <c r="A89" s="4418" t="s">
        <v>4636</v>
      </c>
      <c r="B89" s="4419"/>
      <c r="C89" s="4419"/>
      <c r="D89" s="4419"/>
      <c r="E89" s="4419"/>
      <c r="F89" s="4419"/>
      <c r="G89" s="4419"/>
      <c r="H89" s="4419"/>
      <c r="I89" s="4419"/>
      <c r="J89" s="4420"/>
    </row>
    <row r="90" spans="1:10">
      <c r="A90" s="719"/>
      <c r="B90" s="4421" t="s">
        <v>1472</v>
      </c>
      <c r="C90" s="4422"/>
      <c r="D90" s="4422"/>
      <c r="E90" s="4423"/>
      <c r="F90" s="4421" t="s">
        <v>1473</v>
      </c>
      <c r="G90" s="4422"/>
      <c r="H90" s="4422"/>
      <c r="I90" s="4423"/>
      <c r="J90" s="1953" t="s">
        <v>1475</v>
      </c>
    </row>
    <row r="91" spans="1:10">
      <c r="A91" s="719"/>
      <c r="B91" s="1193" t="s">
        <v>1469</v>
      </c>
      <c r="C91" s="1194" t="s">
        <v>2421</v>
      </c>
      <c r="D91" s="1194" t="s">
        <v>515</v>
      </c>
      <c r="E91" s="1195" t="s">
        <v>1471</v>
      </c>
      <c r="F91" s="1193" t="s">
        <v>1469</v>
      </c>
      <c r="G91" s="1194" t="s">
        <v>2421</v>
      </c>
      <c r="H91" s="1194" t="s">
        <v>515</v>
      </c>
      <c r="I91" s="1195" t="s">
        <v>1471</v>
      </c>
      <c r="J91" s="558"/>
    </row>
    <row r="92" spans="1:10">
      <c r="A92" s="566" t="s">
        <v>347</v>
      </c>
      <c r="B92" s="719">
        <v>6012</v>
      </c>
      <c r="C92" s="3612">
        <v>34266</v>
      </c>
      <c r="D92" s="383"/>
      <c r="E92" s="558">
        <f>C92+B92-D92</f>
        <v>40278</v>
      </c>
      <c r="F92" s="719">
        <v>644</v>
      </c>
      <c r="G92" s="3612">
        <v>6434</v>
      </c>
      <c r="H92" s="383"/>
      <c r="I92" s="558">
        <f>G92+F92-H92</f>
        <v>7078</v>
      </c>
      <c r="J92" s="558">
        <f>E92-I92</f>
        <v>33200</v>
      </c>
    </row>
    <row r="93" spans="1:10">
      <c r="A93" s="719" t="s">
        <v>1478</v>
      </c>
      <c r="B93" s="719"/>
      <c r="C93" s="1954"/>
      <c r="D93" s="204"/>
      <c r="E93" s="558">
        <f>C93+B93-D93</f>
        <v>0</v>
      </c>
      <c r="F93" s="719"/>
      <c r="G93" s="383"/>
      <c r="H93" s="976"/>
      <c r="I93" s="558">
        <f>G93+F93-H93</f>
        <v>0</v>
      </c>
      <c r="J93" s="558">
        <f>E93-I93</f>
        <v>0</v>
      </c>
    </row>
    <row r="94" spans="1:10">
      <c r="A94" s="719" t="s">
        <v>170</v>
      </c>
      <c r="B94" s="721"/>
      <c r="C94" s="1955"/>
      <c r="D94" s="1956"/>
      <c r="E94" s="1957">
        <f>C94+B94-D94</f>
        <v>0</v>
      </c>
      <c r="F94" s="719"/>
      <c r="G94" s="383"/>
      <c r="H94" s="1958"/>
      <c r="I94" s="1957">
        <f>G94+F94-H94</f>
        <v>0</v>
      </c>
      <c r="J94" s="558">
        <f>E94-I94</f>
        <v>0</v>
      </c>
    </row>
    <row r="95" spans="1:10" ht="13.5" thickBot="1">
      <c r="A95" s="1959" t="s">
        <v>1476</v>
      </c>
      <c r="B95" s="1192">
        <f t="shared" ref="B95:J95" si="13">SUM(B92:B94)</f>
        <v>6012</v>
      </c>
      <c r="C95" s="725">
        <f t="shared" si="13"/>
        <v>34266</v>
      </c>
      <c r="D95" s="725">
        <f t="shared" si="13"/>
        <v>0</v>
      </c>
      <c r="E95" s="564">
        <f t="shared" si="13"/>
        <v>40278</v>
      </c>
      <c r="F95" s="1185">
        <f t="shared" si="13"/>
        <v>644</v>
      </c>
      <c r="G95" s="1186">
        <f t="shared" si="13"/>
        <v>6434</v>
      </c>
      <c r="H95" s="1186">
        <f t="shared" si="13"/>
        <v>0</v>
      </c>
      <c r="I95" s="564">
        <f t="shared" si="13"/>
        <v>7078</v>
      </c>
      <c r="J95" s="1187">
        <f t="shared" si="13"/>
        <v>33200</v>
      </c>
    </row>
    <row r="96" spans="1:10">
      <c r="A96" s="1961"/>
      <c r="B96" s="1961"/>
      <c r="C96" s="724"/>
      <c r="D96" s="724"/>
      <c r="E96" s="569"/>
      <c r="F96" s="1961"/>
      <c r="G96" s="724"/>
      <c r="H96" s="1560"/>
      <c r="I96" s="569"/>
      <c r="J96" s="558"/>
    </row>
    <row r="97" spans="1:10" ht="13.5" thickBot="1">
      <c r="A97" s="1184" t="s">
        <v>1477</v>
      </c>
      <c r="B97" s="719"/>
      <c r="C97" s="383"/>
      <c r="D97" s="383"/>
      <c r="E97" s="1191">
        <f>'מאזן בוחן EUROPE'!K199</f>
        <v>40258.06</v>
      </c>
      <c r="F97" s="719"/>
      <c r="G97" s="383"/>
      <c r="H97" s="383"/>
      <c r="I97" s="558">
        <f>'מאזן בוחן EUROPE'!K203</f>
        <v>-7078</v>
      </c>
      <c r="J97" s="558">
        <f>E97+I97</f>
        <v>33180.06</v>
      </c>
    </row>
    <row r="98" spans="1:10" ht="14.25" thickTop="1" thickBot="1">
      <c r="A98" s="1192" t="s">
        <v>135</v>
      </c>
      <c r="B98" s="1192"/>
      <c r="C98" s="725"/>
      <c r="D98" s="725"/>
      <c r="E98" s="956">
        <f>E97-E95</f>
        <v>-19.940000000002328</v>
      </c>
      <c r="F98" s="1192"/>
      <c r="G98" s="725"/>
      <c r="H98" s="725"/>
      <c r="I98" s="956">
        <f>I97+I95</f>
        <v>0</v>
      </c>
      <c r="J98" s="956">
        <f>J97-J95</f>
        <v>-19.940000000002328</v>
      </c>
    </row>
    <row r="100" spans="1:10">
      <c r="A100" s="637" t="s">
        <v>5007</v>
      </c>
      <c r="B100" s="477" t="s">
        <v>5008</v>
      </c>
      <c r="C100" s="477" t="s">
        <v>5009</v>
      </c>
      <c r="D100" s="477" t="s">
        <v>5010</v>
      </c>
      <c r="E100" s="4279" t="s">
        <v>5012</v>
      </c>
      <c r="I100" s="477" t="s">
        <v>5013</v>
      </c>
      <c r="J100" s="477" t="s">
        <v>5014</v>
      </c>
    </row>
    <row r="101" spans="1:10">
      <c r="A101" s="32" t="s">
        <v>5003</v>
      </c>
      <c r="B101" s="32">
        <f>B92+B61+B41+B23+B28+B31+26042</f>
        <v>5078539</v>
      </c>
      <c r="C101" s="32">
        <f>C92+C61+C41+C23+C28+C31+54112</f>
        <v>549570</v>
      </c>
      <c r="D101" s="32">
        <f>+D41+D23+D28+D31</f>
        <v>105329</v>
      </c>
      <c r="E101" s="32">
        <f>E92+D61+E41+E23+E28+E31+'מאזן בוחן הודו'!K68</f>
        <v>5522780.7400000002</v>
      </c>
      <c r="I101" s="32">
        <f>I92+G61+I41+I23+I28+I31-'מאזן בוחן הודו'!K74</f>
        <v>4204920.97</v>
      </c>
      <c r="J101" s="32">
        <f>J92+H61+J41+J23+J28+J31+'מאזן בוחן הודו'!K76</f>
        <v>1317859.77</v>
      </c>
    </row>
    <row r="102" spans="1:10">
      <c r="A102" s="32" t="s">
        <v>1467</v>
      </c>
      <c r="B102" s="32">
        <f>B26+B29</f>
        <v>220901</v>
      </c>
      <c r="C102" s="32">
        <f>C26+C29</f>
        <v>7715</v>
      </c>
      <c r="D102" s="32">
        <f>D26+D29</f>
        <v>6227</v>
      </c>
      <c r="E102" s="32">
        <f>E26+E29</f>
        <v>222389</v>
      </c>
      <c r="I102" s="32">
        <f>I26+I29</f>
        <v>154749</v>
      </c>
      <c r="J102" s="32">
        <f>J26+J29</f>
        <v>67640</v>
      </c>
    </row>
    <row r="103" spans="1:10">
      <c r="A103" s="32" t="s">
        <v>5004</v>
      </c>
      <c r="B103" s="32">
        <f>B27+B25+B30+B42</f>
        <v>483539</v>
      </c>
      <c r="C103" s="32">
        <f>C27+C25+C30+C42</f>
        <v>14194</v>
      </c>
      <c r="D103" s="32">
        <f>D27+D25+D30+D42</f>
        <v>14910</v>
      </c>
      <c r="E103" s="32">
        <f>E27+E25+E30+E42</f>
        <v>482823</v>
      </c>
      <c r="I103" s="32">
        <f>I27+I25+I30+I42</f>
        <v>201041</v>
      </c>
      <c r="J103" s="32">
        <f>J27+J25+J30+J42</f>
        <v>281782</v>
      </c>
    </row>
    <row r="104" spans="1:10">
      <c r="A104" s="32" t="s">
        <v>5005</v>
      </c>
      <c r="B104" s="2921">
        <f>B24+B43</f>
        <v>645033</v>
      </c>
      <c r="C104" s="2921">
        <f>C43+C24</f>
        <v>2039</v>
      </c>
      <c r="D104" s="2921">
        <f t="shared" ref="D104:E104" si="14">D43+D24</f>
        <v>0</v>
      </c>
      <c r="E104" s="2921">
        <f t="shared" si="14"/>
        <v>647072</v>
      </c>
      <c r="I104" s="2921">
        <f>I43+I24</f>
        <v>478562</v>
      </c>
      <c r="J104" s="2921">
        <f>J43+J24</f>
        <v>168510</v>
      </c>
    </row>
    <row r="107" spans="1:10">
      <c r="B107" s="32">
        <f>SUM(B101:B106)</f>
        <v>6428012</v>
      </c>
      <c r="C107" s="32">
        <f t="shared" ref="C107" si="15">SUM(C101:C106)</f>
        <v>573518</v>
      </c>
      <c r="D107" s="32">
        <f>SUM(D101:D106)</f>
        <v>126466</v>
      </c>
      <c r="E107" s="32">
        <f>SUM(E101:E106)</f>
        <v>6875064.7400000002</v>
      </c>
      <c r="I107" s="32">
        <f>SUM(I101:I106)</f>
        <v>5039272.97</v>
      </c>
      <c r="J107" s="32">
        <f>SUM(J101:J106)</f>
        <v>1835791.77</v>
      </c>
    </row>
    <row r="109" spans="1:10">
      <c r="A109" s="32" t="s">
        <v>5006</v>
      </c>
      <c r="B109" s="32">
        <f>B95+B62+B44+B32+26042</f>
        <v>6428012</v>
      </c>
      <c r="C109" s="32">
        <f>C95+C62+C44+C32+54112</f>
        <v>573518</v>
      </c>
      <c r="D109" s="32">
        <f>D95+D44+D32</f>
        <v>126466</v>
      </c>
      <c r="E109" s="32">
        <f>E95+D62+E44+E32+26042+54112</f>
        <v>6875064</v>
      </c>
      <c r="I109" s="32">
        <f>I95+G62+I44+I32-'מאזן בוחן הודו'!K74</f>
        <v>5039272.97</v>
      </c>
      <c r="J109" s="32">
        <f>J95+H62+J44+J32+'מאזן בוחן הודו'!K70+'מאזן בוחן הודו'!K74</f>
        <v>1835791.77</v>
      </c>
    </row>
    <row r="110" spans="1:10">
      <c r="B110" s="32">
        <f>B109-B107</f>
        <v>0</v>
      </c>
      <c r="C110" s="32">
        <f t="shared" ref="C110:E110" si="16">C109-C107</f>
        <v>0</v>
      </c>
      <c r="E110" s="32">
        <f t="shared" si="16"/>
        <v>-0.74000000022351742</v>
      </c>
      <c r="I110" s="32">
        <f t="shared" ref="I110:J110" si="17">I109-I107</f>
        <v>0</v>
      </c>
      <c r="J110" s="32">
        <f t="shared" si="17"/>
        <v>0</v>
      </c>
    </row>
    <row r="113" spans="4:5">
      <c r="D113" s="4278" t="s">
        <v>5011</v>
      </c>
      <c r="E113" s="4278">
        <f>C109-D109</f>
        <v>447052</v>
      </c>
    </row>
  </sheetData>
  <mergeCells count="24">
    <mergeCell ref="A89:J89"/>
    <mergeCell ref="B90:E90"/>
    <mergeCell ref="F90:I90"/>
    <mergeCell ref="A78:J78"/>
    <mergeCell ref="B79:E79"/>
    <mergeCell ref="F79:I79"/>
    <mergeCell ref="A67:J67"/>
    <mergeCell ref="B68:E68"/>
    <mergeCell ref="F68:I68"/>
    <mergeCell ref="A58:H58"/>
    <mergeCell ref="B59:D59"/>
    <mergeCell ref="E59:G59"/>
    <mergeCell ref="B4:E4"/>
    <mergeCell ref="A3:J3"/>
    <mergeCell ref="F4:I4"/>
    <mergeCell ref="B50:D50"/>
    <mergeCell ref="E50:G50"/>
    <mergeCell ref="A49:H49"/>
    <mergeCell ref="A38:J38"/>
    <mergeCell ref="F39:I39"/>
    <mergeCell ref="B39:E39"/>
    <mergeCell ref="A20:J20"/>
    <mergeCell ref="B21:E21"/>
    <mergeCell ref="F21:I2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3"/>
  <dimension ref="A1:AL93"/>
  <sheetViews>
    <sheetView tabSelected="1" zoomScaleNormal="100" workbookViewId="0">
      <pane xSplit="2" ySplit="6" topLeftCell="C31" activePane="bottomRight" state="frozen"/>
      <selection pane="topRight" activeCell="C1" sqref="C1"/>
      <selection pane="bottomLeft" activeCell="A7" sqref="A7"/>
      <selection pane="bottomRight" activeCell="O41" sqref="O41"/>
    </sheetView>
  </sheetViews>
  <sheetFormatPr defaultColWidth="9.33203125" defaultRowHeight="12.75" outlineLevelCol="1"/>
  <cols>
    <col min="1" max="1" width="8" style="32" customWidth="1" outlineLevel="1"/>
    <col min="2" max="2" width="52" style="11" customWidth="1"/>
    <col min="3" max="3" width="19.1640625" style="4" customWidth="1"/>
    <col min="4" max="4" width="15" style="32" bestFit="1" customWidth="1"/>
    <col min="5" max="8" width="15" style="32" customWidth="1"/>
    <col min="9" max="9" width="4.33203125" style="320" customWidth="1"/>
    <col min="10" max="10" width="16.1640625" style="32" customWidth="1"/>
    <col min="11" max="11" width="16.5" style="32" customWidth="1"/>
    <col min="12" max="12" width="15.1640625" style="32" bestFit="1" customWidth="1"/>
    <col min="13" max="13" width="15.1640625" style="32" customWidth="1"/>
    <col min="14" max="14" width="17.1640625" style="32" bestFit="1" customWidth="1"/>
    <col min="15" max="15" width="14.5" style="32" bestFit="1" customWidth="1"/>
    <col min="16" max="16" width="11.5" style="113" customWidth="1"/>
    <col min="17" max="17" width="15" style="253" bestFit="1" customWidth="1"/>
    <col min="18" max="20" width="15" style="253" customWidth="1"/>
    <col min="21" max="23" width="15" style="253" bestFit="1" customWidth="1"/>
    <col min="24" max="33" width="15" style="253" customWidth="1"/>
    <col min="34" max="34" width="15" style="253" bestFit="1" customWidth="1"/>
    <col min="35" max="35" width="17.1640625" style="253" customWidth="1"/>
    <col min="36" max="36" width="16.6640625" style="253" customWidth="1"/>
    <col min="37" max="37" width="25.5" style="253" customWidth="1"/>
    <col min="38" max="38" width="20" style="32" customWidth="1"/>
    <col min="39" max="40" width="9.33203125" style="32"/>
    <col min="41" max="41" width="23.5" style="32" customWidth="1"/>
    <col min="42" max="16384" width="9.33203125" style="32"/>
  </cols>
  <sheetData>
    <row r="1" spans="1:37">
      <c r="B1" s="21"/>
    </row>
    <row r="2" spans="1:37">
      <c r="B2" s="619" t="s">
        <v>235</v>
      </c>
      <c r="D2" s="490"/>
      <c r="I2" s="32"/>
      <c r="P2" s="32"/>
      <c r="AK2" s="101"/>
    </row>
    <row r="3" spans="1:37">
      <c r="B3" s="620" t="s">
        <v>4</v>
      </c>
      <c r="C3" s="652"/>
      <c r="I3" s="32"/>
      <c r="P3" s="32"/>
    </row>
    <row r="4" spans="1:37" ht="26.25" thickBot="1">
      <c r="C4" s="1942" t="s">
        <v>279</v>
      </c>
      <c r="D4" s="653" t="s">
        <v>250</v>
      </c>
      <c r="E4" s="653" t="s">
        <v>405</v>
      </c>
      <c r="F4" s="653" t="s">
        <v>772</v>
      </c>
      <c r="G4" s="653" t="s">
        <v>2487</v>
      </c>
      <c r="H4" s="653" t="s">
        <v>2259</v>
      </c>
      <c r="J4" s="4424" t="s">
        <v>252</v>
      </c>
      <c r="K4" s="4424"/>
      <c r="L4" s="4424"/>
      <c r="M4" s="4424"/>
      <c r="N4" s="4424"/>
      <c r="O4" s="654"/>
      <c r="Y4" s="636">
        <v>7</v>
      </c>
      <c r="Z4" s="637" t="s">
        <v>2025</v>
      </c>
      <c r="AH4" s="638"/>
    </row>
    <row r="5" spans="1:37" ht="26.25" thickBot="1">
      <c r="C5" s="2262">
        <f>'נתונים לשינוי'!C1</f>
        <v>44561</v>
      </c>
      <c r="D5" s="2262">
        <f>$C$5</f>
        <v>44561</v>
      </c>
      <c r="E5" s="2262">
        <f>$C$5</f>
        <v>44561</v>
      </c>
      <c r="F5" s="2262">
        <f>$C$5</f>
        <v>44561</v>
      </c>
      <c r="G5" s="2262">
        <f>$C$5</f>
        <v>44561</v>
      </c>
      <c r="H5" s="2262">
        <f>$C$5</f>
        <v>44561</v>
      </c>
      <c r="J5" s="2262">
        <f>$C$5</f>
        <v>44561</v>
      </c>
      <c r="K5" s="2263" t="s">
        <v>253</v>
      </c>
      <c r="L5" s="2264" t="s">
        <v>253</v>
      </c>
      <c r="M5" s="2264" t="s">
        <v>253</v>
      </c>
      <c r="N5" s="2262">
        <f>$C$5</f>
        <v>44561</v>
      </c>
      <c r="O5" s="656"/>
      <c r="Q5" s="657">
        <f>N5</f>
        <v>44561</v>
      </c>
      <c r="R5" s="657">
        <v>44469</v>
      </c>
      <c r="S5" s="657">
        <v>44377</v>
      </c>
      <c r="T5" s="657">
        <v>44286</v>
      </c>
      <c r="U5" s="657">
        <v>44196</v>
      </c>
      <c r="V5" s="657">
        <v>44104</v>
      </c>
      <c r="W5" s="657">
        <v>44012</v>
      </c>
      <c r="X5" s="657">
        <v>43921</v>
      </c>
      <c r="Y5" s="657">
        <v>43830</v>
      </c>
      <c r="Z5" s="657">
        <v>43738</v>
      </c>
      <c r="AA5" s="657">
        <v>43646</v>
      </c>
      <c r="AB5" s="657">
        <v>43555</v>
      </c>
      <c r="AC5" s="657">
        <v>43465</v>
      </c>
      <c r="AD5" s="658">
        <v>43373</v>
      </c>
      <c r="AE5" s="658">
        <v>43281</v>
      </c>
      <c r="AF5" s="658">
        <v>43190</v>
      </c>
      <c r="AG5" s="657">
        <v>43100</v>
      </c>
      <c r="AH5" s="658">
        <v>42735</v>
      </c>
      <c r="AI5" s="658" t="s">
        <v>501</v>
      </c>
      <c r="AJ5" s="658" t="s">
        <v>502</v>
      </c>
      <c r="AK5" s="658" t="s">
        <v>503</v>
      </c>
    </row>
    <row r="6" spans="1:37" ht="13.5" thickTop="1">
      <c r="B6" s="21" t="s">
        <v>236</v>
      </c>
      <c r="C6" s="659" t="s">
        <v>4</v>
      </c>
      <c r="D6" s="659" t="s">
        <v>4</v>
      </c>
      <c r="E6" s="659" t="s">
        <v>4</v>
      </c>
      <c r="F6" s="659" t="s">
        <v>4</v>
      </c>
      <c r="G6" s="659" t="s">
        <v>4</v>
      </c>
      <c r="H6" s="659" t="s">
        <v>4</v>
      </c>
      <c r="J6" s="659" t="s">
        <v>4</v>
      </c>
      <c r="K6" s="659" t="s">
        <v>4</v>
      </c>
      <c r="L6" s="659" t="s">
        <v>4</v>
      </c>
      <c r="M6" s="659"/>
      <c r="N6" s="659" t="s">
        <v>4</v>
      </c>
      <c r="O6" s="660"/>
      <c r="Q6" s="1799" t="s">
        <v>4</v>
      </c>
      <c r="R6" s="3124" t="s">
        <v>4</v>
      </c>
      <c r="S6" s="3124" t="s">
        <v>4</v>
      </c>
      <c r="T6" s="3124" t="s">
        <v>4</v>
      </c>
      <c r="U6" s="2640"/>
      <c r="V6" s="2640" t="s">
        <v>4</v>
      </c>
      <c r="W6" s="661" t="s">
        <v>4</v>
      </c>
      <c r="X6" s="661" t="s">
        <v>4</v>
      </c>
      <c r="Y6" s="661" t="s">
        <v>4</v>
      </c>
      <c r="Z6" s="661" t="s">
        <v>4</v>
      </c>
      <c r="AA6" s="662" t="s">
        <v>4</v>
      </c>
      <c r="AB6" s="662" t="s">
        <v>4</v>
      </c>
      <c r="AC6" s="661" t="s">
        <v>4</v>
      </c>
      <c r="AD6" s="663" t="s">
        <v>4</v>
      </c>
      <c r="AE6" s="663" t="s">
        <v>4</v>
      </c>
      <c r="AF6" s="663" t="s">
        <v>4</v>
      </c>
      <c r="AG6" s="661" t="s">
        <v>4</v>
      </c>
      <c r="AH6" s="663" t="s">
        <v>4</v>
      </c>
      <c r="AI6" s="663" t="s">
        <v>4</v>
      </c>
      <c r="AJ6" s="663" t="s">
        <v>4</v>
      </c>
      <c r="AK6" s="663"/>
    </row>
    <row r="7" spans="1:37">
      <c r="B7" s="21"/>
      <c r="C7" s="664"/>
      <c r="D7" s="639"/>
      <c r="F7" s="639"/>
      <c r="G7" s="639"/>
      <c r="H7" s="639"/>
      <c r="Q7" s="640"/>
      <c r="R7" s="640"/>
      <c r="S7" s="640"/>
      <c r="T7" s="640"/>
      <c r="U7" s="640"/>
      <c r="V7" s="640"/>
      <c r="W7" s="640"/>
      <c r="X7" s="640"/>
      <c r="Y7" s="640"/>
      <c r="Z7" s="640"/>
      <c r="AA7" s="640"/>
      <c r="AB7" s="640"/>
      <c r="AC7" s="640"/>
      <c r="AG7" s="640"/>
    </row>
    <row r="8" spans="1:37">
      <c r="D8" s="639"/>
      <c r="F8" s="639"/>
      <c r="G8" s="639"/>
      <c r="H8" s="639"/>
      <c r="Q8" s="640"/>
      <c r="R8" s="640"/>
      <c r="S8" s="640"/>
      <c r="T8" s="640"/>
      <c r="U8" s="640"/>
      <c r="V8" s="640"/>
      <c r="W8" s="640"/>
      <c r="X8" s="640"/>
      <c r="Y8" s="640"/>
      <c r="Z8" s="640"/>
      <c r="AA8" s="640"/>
      <c r="AB8" s="640"/>
      <c r="AC8" s="640"/>
      <c r="AG8" s="640"/>
    </row>
    <row r="9" spans="1:37">
      <c r="A9" s="623"/>
      <c r="B9" s="3" t="s">
        <v>237</v>
      </c>
      <c r="D9" s="100"/>
      <c r="E9" s="4"/>
      <c r="F9" s="100"/>
      <c r="G9" s="100"/>
      <c r="H9" s="100"/>
      <c r="I9" s="29"/>
      <c r="J9" s="4"/>
      <c r="K9" s="4"/>
      <c r="L9" s="4"/>
      <c r="M9" s="4"/>
      <c r="N9" s="4"/>
      <c r="O9" s="4"/>
      <c r="Q9" s="325"/>
      <c r="R9" s="325"/>
      <c r="S9" s="325"/>
      <c r="T9" s="325"/>
      <c r="U9" s="325"/>
      <c r="V9" s="325"/>
      <c r="W9" s="325"/>
      <c r="X9" s="325"/>
      <c r="Y9" s="325"/>
      <c r="Z9" s="325"/>
      <c r="AA9" s="325"/>
      <c r="AB9" s="325"/>
      <c r="AC9" s="325"/>
      <c r="AD9" s="115"/>
      <c r="AE9" s="115"/>
      <c r="AF9" s="115"/>
      <c r="AG9" s="325"/>
      <c r="AH9" s="115"/>
      <c r="AI9" s="115"/>
      <c r="AJ9" s="115"/>
      <c r="AK9" s="115"/>
    </row>
    <row r="10" spans="1:37">
      <c r="A10" s="623" t="s">
        <v>264</v>
      </c>
      <c r="B10" s="5" t="s">
        <v>238</v>
      </c>
      <c r="C10" s="6">
        <f>+דוחות!D14</f>
        <v>5680458</v>
      </c>
      <c r="D10" s="6">
        <f>'New TB INC'!J13</f>
        <v>20867137.77</v>
      </c>
      <c r="E10" s="6">
        <f>'מאזן בוחן EUROPE'!K32</f>
        <v>4751031.34</v>
      </c>
      <c r="F10" s="6">
        <f>'מאזן בוחן Australia'!K13</f>
        <v>1530354.3499999999</v>
      </c>
      <c r="G10" s="6">
        <f>'FS India'!D7</f>
        <v>1148699.99</v>
      </c>
      <c r="H10" s="6">
        <f>'FS France'!C7</f>
        <v>1183805.56</v>
      </c>
      <c r="I10" s="6"/>
      <c r="J10" s="6">
        <f>SUM(C10:I10)</f>
        <v>35161487.010000005</v>
      </c>
      <c r="K10" s="6"/>
      <c r="L10" s="6"/>
      <c r="M10" s="6"/>
      <c r="N10" s="6">
        <f>SUM(J10:M10)</f>
        <v>35161487.010000005</v>
      </c>
      <c r="O10" s="6"/>
      <c r="Q10" s="1792">
        <f>ROUND(N10/1000,0)</f>
        <v>35161</v>
      </c>
      <c r="R10" s="1792">
        <v>34003</v>
      </c>
      <c r="S10" s="1792">
        <v>33397</v>
      </c>
      <c r="T10" s="1792">
        <v>35570</v>
      </c>
      <c r="U10" s="1792">
        <v>31701</v>
      </c>
      <c r="V10" s="1792">
        <v>26439</v>
      </c>
      <c r="W10" s="321">
        <f>[120]Consolidation!$O$10</f>
        <v>26031</v>
      </c>
      <c r="X10" s="321">
        <v>22939</v>
      </c>
      <c r="Y10" s="321">
        <v>19555</v>
      </c>
      <c r="Z10" s="321">
        <v>14514</v>
      </c>
      <c r="AA10" s="321">
        <v>16698</v>
      </c>
      <c r="AB10" s="321">
        <v>19025</v>
      </c>
      <c r="AC10" s="321">
        <v>18177</v>
      </c>
      <c r="AD10" s="116">
        <v>18617</v>
      </c>
      <c r="AE10" s="116">
        <v>21685</v>
      </c>
      <c r="AF10" s="116">
        <v>57088</v>
      </c>
      <c r="AG10" s="321">
        <v>61911</v>
      </c>
      <c r="AH10" s="116">
        <v>22961</v>
      </c>
      <c r="AI10" s="116">
        <f t="shared" ref="AI10:AI15" si="0">W10-AH10</f>
        <v>3070</v>
      </c>
      <c r="AJ10" s="126">
        <f>AI10/AH10</f>
        <v>0.13370497800618439</v>
      </c>
      <c r="AK10" s="116"/>
    </row>
    <row r="11" spans="1:37">
      <c r="A11" s="623" t="s">
        <v>257</v>
      </c>
      <c r="B11" s="5" t="s">
        <v>257</v>
      </c>
      <c r="C11" s="6">
        <f>+דוחות!D19</f>
        <v>4474877.7</v>
      </c>
      <c r="D11" s="6">
        <f>'New TB INC'!J213</f>
        <v>12278442.84</v>
      </c>
      <c r="E11" s="6">
        <f>'מאזן בוחן EUROPE'!K163</f>
        <v>6047284.5200000005</v>
      </c>
      <c r="F11" s="6">
        <f>'מאזן בוחן Australia'!K31</f>
        <v>4402731.5199999996</v>
      </c>
      <c r="G11" s="6">
        <f>'FS India'!D8</f>
        <v>0</v>
      </c>
      <c r="H11" s="6">
        <f>'FS France'!C8</f>
        <v>1664700.7199999997</v>
      </c>
      <c r="I11" s="6"/>
      <c r="J11" s="6">
        <f>SUM(C11:I11)</f>
        <v>28868037.299999997</v>
      </c>
      <c r="K11" s="206"/>
      <c r="L11" s="6"/>
      <c r="M11" s="6"/>
      <c r="N11" s="6">
        <f>SUM(J11:M11)</f>
        <v>28868037.299999997</v>
      </c>
      <c r="O11" s="6"/>
      <c r="P11" s="334"/>
      <c r="Q11" s="1792">
        <f>ROUND(N11/1000,0)</f>
        <v>28868</v>
      </c>
      <c r="R11" s="1792">
        <v>20275</v>
      </c>
      <c r="S11" s="1792">
        <v>19779</v>
      </c>
      <c r="T11" s="1792">
        <v>17037</v>
      </c>
      <c r="U11" s="1792">
        <v>25035</v>
      </c>
      <c r="V11" s="1792">
        <v>19572</v>
      </c>
      <c r="W11" s="321">
        <f>[120]Consolidation!$O$11</f>
        <v>14787</v>
      </c>
      <c r="X11" s="321">
        <v>11770</v>
      </c>
      <c r="Y11" s="321">
        <v>22572</v>
      </c>
      <c r="Z11" s="321">
        <v>11670</v>
      </c>
      <c r="AA11" s="321">
        <v>10897</v>
      </c>
      <c r="AB11" s="321">
        <v>4791</v>
      </c>
      <c r="AC11" s="321">
        <v>8539</v>
      </c>
      <c r="AD11" s="116">
        <v>5147</v>
      </c>
      <c r="AE11" s="116">
        <v>5329</v>
      </c>
      <c r="AF11" s="116">
        <v>3634</v>
      </c>
      <c r="AG11" s="321">
        <v>5607</v>
      </c>
      <c r="AH11" s="116">
        <v>6643</v>
      </c>
      <c r="AI11" s="116">
        <f t="shared" si="0"/>
        <v>8144</v>
      </c>
      <c r="AJ11" s="126">
        <f>AI11/AH11</f>
        <v>1.2259521300617191</v>
      </c>
      <c r="AK11" s="116"/>
    </row>
    <row r="12" spans="1:37">
      <c r="A12" s="623"/>
      <c r="B12" s="5" t="s">
        <v>258</v>
      </c>
      <c r="C12" s="6">
        <v>0</v>
      </c>
      <c r="D12" s="523">
        <f>'New TB INC'!J268</f>
        <v>0.24</v>
      </c>
      <c r="E12" s="6"/>
      <c r="F12" s="6"/>
      <c r="G12" s="6">
        <f>'FS India'!D9</f>
        <v>0</v>
      </c>
      <c r="H12" s="6">
        <f>'FS France'!C9</f>
        <v>0</v>
      </c>
      <c r="I12" s="6"/>
      <c r="J12" s="6">
        <f>SUM(C12:I12)</f>
        <v>0.24</v>
      </c>
      <c r="K12" s="206"/>
      <c r="L12" s="6"/>
      <c r="M12" s="6"/>
      <c r="N12" s="6">
        <f>SUM(J12:M12)</f>
        <v>0.24</v>
      </c>
      <c r="O12" s="6"/>
      <c r="Q12" s="1792">
        <f>ROUND(N12/1000,0)</f>
        <v>0</v>
      </c>
      <c r="R12" s="1792">
        <v>0</v>
      </c>
      <c r="S12" s="1792">
        <v>0</v>
      </c>
      <c r="T12" s="1792">
        <v>0</v>
      </c>
      <c r="U12" s="1792">
        <v>0</v>
      </c>
      <c r="V12" s="1792">
        <v>0</v>
      </c>
      <c r="W12" s="321">
        <f>[121]Consolidation!O12</f>
        <v>0</v>
      </c>
      <c r="X12" s="321">
        <v>0</v>
      </c>
      <c r="Y12" s="321">
        <v>0</v>
      </c>
      <c r="Z12" s="321">
        <v>0</v>
      </c>
      <c r="AA12" s="321">
        <v>0</v>
      </c>
      <c r="AB12" s="321">
        <v>0</v>
      </c>
      <c r="AC12" s="321">
        <v>0</v>
      </c>
      <c r="AD12" s="116">
        <v>0</v>
      </c>
      <c r="AE12" s="116">
        <v>0</v>
      </c>
      <c r="AF12" s="116">
        <v>0</v>
      </c>
      <c r="AG12" s="321">
        <v>0</v>
      </c>
      <c r="AH12" s="188">
        <v>0</v>
      </c>
      <c r="AI12" s="116">
        <f t="shared" si="0"/>
        <v>0</v>
      </c>
      <c r="AJ12" s="126">
        <v>0</v>
      </c>
      <c r="AK12" s="116"/>
    </row>
    <row r="13" spans="1:37">
      <c r="A13" s="623" t="s">
        <v>259</v>
      </c>
      <c r="B13" s="5" t="s">
        <v>259</v>
      </c>
      <c r="C13" s="6">
        <f>+דוחות!D27-דוחות!D19-דוחות!D24-דוחות!D25-דוחות!D26+דוחות!D24</f>
        <v>1436411.0000000037</v>
      </c>
      <c r="D13" s="6">
        <f>'New TB INC'!J249+'New TB INC'!J221</f>
        <v>1475803.9600000002</v>
      </c>
      <c r="E13" s="6">
        <f>'מאזן בוחן EUROPE'!K169+'מאזן בוחן EUROPE'!K187+'מאזן בוחן EUROPE'!K193-'מאזן בוחן EUROPE'!K185</f>
        <v>845523.04999999981</v>
      </c>
      <c r="F13" s="6">
        <f>SUM('מאזן בוחן Australia'!K35:K37)</f>
        <v>240514.68570764235</v>
      </c>
      <c r="G13" s="6">
        <f>'FS India'!D10</f>
        <v>136344.27000000002</v>
      </c>
      <c r="H13" s="6">
        <f>'FS France'!C10</f>
        <v>1308.58</v>
      </c>
      <c r="I13" s="6"/>
      <c r="J13" s="6">
        <f>SUM(C13:I13)</f>
        <v>4135905.5457076458</v>
      </c>
      <c r="K13" s="6"/>
      <c r="L13" s="6"/>
      <c r="M13" s="6"/>
      <c r="N13" s="6">
        <f>SUM(J13:M13)</f>
        <v>4135905.5457076458</v>
      </c>
      <c r="O13" s="6"/>
      <c r="Q13" s="1792">
        <f>ROUND(N13/1000,0)</f>
        <v>4136</v>
      </c>
      <c r="R13" s="1792">
        <v>3824</v>
      </c>
      <c r="S13" s="1792">
        <v>3855</v>
      </c>
      <c r="T13" s="1792">
        <v>3502</v>
      </c>
      <c r="U13" s="1792">
        <v>3404</v>
      </c>
      <c r="V13" s="1792">
        <v>3509</v>
      </c>
      <c r="W13" s="321">
        <f>[120]Consolidation!$O$13</f>
        <v>3335</v>
      </c>
      <c r="X13" s="321">
        <v>3792</v>
      </c>
      <c r="Y13" s="321">
        <v>4030</v>
      </c>
      <c r="Z13" s="321">
        <v>2451</v>
      </c>
      <c r="AA13" s="321">
        <v>2299</v>
      </c>
      <c r="AB13" s="321">
        <v>2775</v>
      </c>
      <c r="AC13" s="321">
        <v>1988</v>
      </c>
      <c r="AD13" s="116">
        <v>3113</v>
      </c>
      <c r="AE13" s="116">
        <v>2939</v>
      </c>
      <c r="AF13" s="116">
        <v>2838</v>
      </c>
      <c r="AG13" s="321">
        <v>2681</v>
      </c>
      <c r="AH13" s="116">
        <v>1722</v>
      </c>
      <c r="AI13" s="116">
        <f t="shared" si="0"/>
        <v>1613</v>
      </c>
      <c r="AJ13" s="126">
        <f>AI13/AH13</f>
        <v>0.93670150987224154</v>
      </c>
      <c r="AK13" s="116"/>
    </row>
    <row r="14" spans="1:37">
      <c r="A14" s="623" t="s">
        <v>298</v>
      </c>
      <c r="B14" s="5" t="s">
        <v>331</v>
      </c>
      <c r="C14" s="6">
        <f>+דוחות!D26+דוחות!D25</f>
        <v>11728890.15</v>
      </c>
      <c r="D14" s="6">
        <f>'New TB INC'!J271+'New TB INC'!J275+'New TB INC'!J273+'New TB INC'!J274</f>
        <v>5220131.41</v>
      </c>
      <c r="E14" s="6">
        <f>'מאזן בוחן EUROPE'!K178+'מאזן בוחן EUROPE'!K185</f>
        <v>965998.80999999959</v>
      </c>
      <c r="F14" s="6">
        <f>'מאזן בוחן Australia'!K44+'מאזן בוחן Australia'!K38</f>
        <v>-3629093.78</v>
      </c>
      <c r="G14" s="6">
        <f>'FS India'!D11</f>
        <v>0</v>
      </c>
      <c r="H14" s="6">
        <f>'FS France'!C11</f>
        <v>2178645.4500000002</v>
      </c>
      <c r="I14" s="6"/>
      <c r="J14" s="6">
        <f>SUM(C14:I14)</f>
        <v>16464572.040000003</v>
      </c>
      <c r="K14" s="3095">
        <f>-J14-L14</f>
        <v>-16464572.040000003</v>
      </c>
      <c r="L14" s="6"/>
      <c r="M14" s="6"/>
      <c r="N14" s="6">
        <f>SUM(J14:L14)</f>
        <v>0</v>
      </c>
      <c r="O14" s="6"/>
      <c r="Q14" s="1792">
        <f>ROUND(N14/1000,0)</f>
        <v>0</v>
      </c>
      <c r="R14" s="1792">
        <v>0</v>
      </c>
      <c r="S14" s="1792">
        <v>0</v>
      </c>
      <c r="T14" s="1792">
        <v>0</v>
      </c>
      <c r="U14" s="1792">
        <v>0</v>
      </c>
      <c r="V14" s="1792">
        <v>0</v>
      </c>
      <c r="W14" s="321">
        <f>[121]Consolidation!O14</f>
        <v>0</v>
      </c>
      <c r="X14" s="321">
        <v>0</v>
      </c>
      <c r="Y14" s="321">
        <v>0</v>
      </c>
      <c r="Z14" s="321">
        <v>0</v>
      </c>
      <c r="AA14" s="321">
        <v>0</v>
      </c>
      <c r="AB14" s="321">
        <v>0</v>
      </c>
      <c r="AC14" s="321">
        <v>0</v>
      </c>
      <c r="AD14" s="116">
        <v>0</v>
      </c>
      <c r="AE14" s="116">
        <v>0</v>
      </c>
      <c r="AF14" s="116">
        <v>0</v>
      </c>
      <c r="AG14" s="321">
        <v>0</v>
      </c>
      <c r="AH14" s="116">
        <v>0</v>
      </c>
      <c r="AI14" s="116">
        <f t="shared" si="0"/>
        <v>0</v>
      </c>
      <c r="AJ14" s="126">
        <v>0</v>
      </c>
      <c r="AK14" s="116"/>
    </row>
    <row r="15" spans="1:37">
      <c r="A15" s="623"/>
      <c r="B15" s="5"/>
      <c r="C15" s="7">
        <f t="shared" ref="C15:H15" si="1">SUM(C10:C14)</f>
        <v>23320636.850000001</v>
      </c>
      <c r="D15" s="36">
        <f t="shared" si="1"/>
        <v>39841516.219999999</v>
      </c>
      <c r="E15" s="36">
        <f>SUM(E10:E14)</f>
        <v>12609837.719999999</v>
      </c>
      <c r="F15" s="36">
        <f t="shared" si="1"/>
        <v>2544506.7757076421</v>
      </c>
      <c r="G15" s="36">
        <f t="shared" si="1"/>
        <v>1285044.26</v>
      </c>
      <c r="H15" s="36">
        <f t="shared" si="1"/>
        <v>5028460.3100000005</v>
      </c>
      <c r="I15" s="10"/>
      <c r="J15" s="7">
        <f>SUM(J10:J14)</f>
        <v>84630002.135707662</v>
      </c>
      <c r="K15" s="7">
        <f>SUM(K10:K14)</f>
        <v>-16464572.040000003</v>
      </c>
      <c r="L15" s="7">
        <f>SUM(L10:L14)</f>
        <v>0</v>
      </c>
      <c r="M15" s="7">
        <f>SUM(M10:M14)</f>
        <v>0</v>
      </c>
      <c r="N15" s="7">
        <f>SUM(N10:N14)</f>
        <v>68165430.095707655</v>
      </c>
      <c r="O15" s="6"/>
      <c r="P15" s="116">
        <f>ROUND(N15/1000,0)-Q15</f>
        <v>0</v>
      </c>
      <c r="Q15" s="1793">
        <f>SUM(Q10:Q14)</f>
        <v>68165</v>
      </c>
      <c r="R15" s="3370">
        <v>58102</v>
      </c>
      <c r="S15" s="3370">
        <v>57031</v>
      </c>
      <c r="T15" s="1793">
        <v>56109</v>
      </c>
      <c r="U15" s="1793">
        <v>60140</v>
      </c>
      <c r="V15" s="1793">
        <v>49520</v>
      </c>
      <c r="W15" s="326">
        <f>SUM(W10:W14)</f>
        <v>44153</v>
      </c>
      <c r="X15" s="326">
        <v>38501</v>
      </c>
      <c r="Y15" s="326">
        <v>46157</v>
      </c>
      <c r="Z15" s="326">
        <v>28635</v>
      </c>
      <c r="AA15" s="326">
        <f>SUM(AA10:AA14)</f>
        <v>29894</v>
      </c>
      <c r="AB15" s="326">
        <f>SUM(AB10:AB14)</f>
        <v>26591</v>
      </c>
      <c r="AC15" s="326">
        <v>28704</v>
      </c>
      <c r="AD15" s="125">
        <v>26877</v>
      </c>
      <c r="AE15" s="125">
        <v>29953</v>
      </c>
      <c r="AF15" s="125">
        <v>63560</v>
      </c>
      <c r="AG15" s="326">
        <v>70199</v>
      </c>
      <c r="AH15" s="125">
        <f>SUM(AH10:AH14)</f>
        <v>31326</v>
      </c>
      <c r="AI15" s="125">
        <f t="shared" si="0"/>
        <v>12827</v>
      </c>
      <c r="AJ15" s="127">
        <f>AI15/AH15</f>
        <v>0.40946817340228564</v>
      </c>
      <c r="AK15" s="125"/>
    </row>
    <row r="16" spans="1:37">
      <c r="A16" s="623"/>
      <c r="B16" s="5"/>
      <c r="C16" s="6"/>
      <c r="D16" s="101"/>
      <c r="E16" s="6"/>
      <c r="F16" s="101"/>
      <c r="G16" s="101"/>
      <c r="H16" s="101"/>
      <c r="I16" s="6"/>
      <c r="J16" s="6"/>
      <c r="K16" s="6"/>
      <c r="L16" s="6"/>
      <c r="M16" s="6"/>
      <c r="N16" s="6"/>
      <c r="O16" s="6"/>
      <c r="Q16" s="1794"/>
      <c r="R16" s="1794"/>
      <c r="S16" s="1794"/>
      <c r="T16" s="1794"/>
      <c r="U16" s="1794"/>
      <c r="V16" s="1794"/>
      <c r="W16" s="322"/>
      <c r="X16" s="322"/>
      <c r="Y16" s="322">
        <v>0</v>
      </c>
      <c r="Z16" s="322"/>
      <c r="AA16" s="321"/>
      <c r="AB16" s="322"/>
      <c r="AC16" s="322"/>
      <c r="AD16" s="113">
        <v>0</v>
      </c>
      <c r="AE16" s="113">
        <v>0</v>
      </c>
      <c r="AF16" s="113"/>
      <c r="AG16" s="322"/>
      <c r="AH16" s="113"/>
      <c r="AI16" s="113"/>
      <c r="AJ16" s="113"/>
      <c r="AK16" s="113"/>
    </row>
    <row r="17" spans="1:37">
      <c r="A17" s="623"/>
      <c r="B17" s="8" t="s">
        <v>809</v>
      </c>
      <c r="C17" s="6"/>
      <c r="D17" s="101"/>
      <c r="E17" s="6"/>
      <c r="F17" s="101"/>
      <c r="G17" s="101"/>
      <c r="H17" s="101"/>
      <c r="I17" s="6"/>
      <c r="J17" s="6"/>
      <c r="K17" s="6"/>
      <c r="L17" s="6"/>
      <c r="M17" s="6"/>
      <c r="N17" s="6"/>
      <c r="O17" s="6"/>
      <c r="Q17" s="1794"/>
      <c r="R17" s="1794"/>
      <c r="S17" s="1794"/>
      <c r="T17" s="1794"/>
      <c r="U17" s="1794"/>
      <c r="V17" s="1794"/>
      <c r="W17" s="322"/>
      <c r="X17" s="321"/>
      <c r="Y17" s="321">
        <v>0</v>
      </c>
      <c r="Z17" s="322"/>
      <c r="AA17" s="321"/>
      <c r="AB17" s="322"/>
      <c r="AC17" s="322"/>
      <c r="AD17" s="113">
        <v>0</v>
      </c>
      <c r="AE17" s="113">
        <v>0</v>
      </c>
      <c r="AF17" s="113"/>
      <c r="AG17" s="322"/>
      <c r="AH17" s="113"/>
      <c r="AI17" s="113"/>
      <c r="AJ17" s="113"/>
      <c r="AK17" s="113"/>
    </row>
    <row r="18" spans="1:37">
      <c r="A18" s="623"/>
      <c r="B18" s="5" t="s">
        <v>1915</v>
      </c>
      <c r="C18" s="6">
        <f>+דוחות!D33</f>
        <v>174654.22999999998</v>
      </c>
      <c r="D18" s="6">
        <f>'New TB INC'!J282</f>
        <v>7898.27</v>
      </c>
      <c r="G18" s="6">
        <v>0</v>
      </c>
      <c r="H18" s="6">
        <v>0</v>
      </c>
      <c r="I18" s="6"/>
      <c r="J18" s="6">
        <f>SUM(C18:I18)</f>
        <v>182552.49999999997</v>
      </c>
      <c r="K18" s="6"/>
      <c r="L18" s="6"/>
      <c r="M18" s="6"/>
      <c r="N18" s="6">
        <f>SUM(J18:K18)</f>
        <v>182552.49999999997</v>
      </c>
      <c r="O18" s="6"/>
      <c r="Q18" s="1794">
        <f>ROUND(N18/1000,0)</f>
        <v>183</v>
      </c>
      <c r="R18" s="1794">
        <v>136</v>
      </c>
      <c r="S18" s="1794">
        <v>143</v>
      </c>
      <c r="T18" s="1794">
        <v>143</v>
      </c>
      <c r="U18" s="1794">
        <v>447</v>
      </c>
      <c r="V18" s="1794">
        <v>447</v>
      </c>
      <c r="W18" s="322">
        <f>[120]Consolidation!$O$18</f>
        <v>438</v>
      </c>
      <c r="X18" s="321">
        <v>431</v>
      </c>
      <c r="Y18" s="321">
        <v>439</v>
      </c>
      <c r="Z18" s="322">
        <v>439</v>
      </c>
      <c r="AA18" s="321">
        <v>439</v>
      </c>
      <c r="AB18" s="321">
        <v>1234</v>
      </c>
      <c r="AC18" s="322">
        <v>410</v>
      </c>
      <c r="AD18" s="113">
        <v>152</v>
      </c>
      <c r="AE18" s="113">
        <v>133</v>
      </c>
      <c r="AF18" s="113">
        <v>133</v>
      </c>
      <c r="AG18" s="322">
        <v>103</v>
      </c>
      <c r="AH18" s="113">
        <v>14</v>
      </c>
      <c r="AI18" s="113">
        <f>W18-AH18</f>
        <v>424</v>
      </c>
      <c r="AJ18" s="126">
        <f>AI18/AH18</f>
        <v>30.285714285714285</v>
      </c>
      <c r="AK18" s="113"/>
    </row>
    <row r="19" spans="1:37">
      <c r="A19" s="623"/>
      <c r="B19" s="5" t="s">
        <v>1916</v>
      </c>
      <c r="C19" s="9">
        <f>+דוחות!D39+דוחות!D38</f>
        <v>315912.78999999998</v>
      </c>
      <c r="D19" s="6">
        <f>'New TB INC'!J270</f>
        <v>1152543.54</v>
      </c>
      <c r="E19" s="6">
        <f>'מאזן בוחן EUROPE'!K212+'מאזן בוחן EUROPE'!K213</f>
        <v>3529707.71</v>
      </c>
      <c r="F19" s="6">
        <f>'מאזן בוחן Australia'!K64+'מאזן בוחן Australia'!K65</f>
        <v>2503486.0742923575</v>
      </c>
      <c r="G19" s="6">
        <v>0</v>
      </c>
      <c r="H19" s="6">
        <f>'FS France'!C16</f>
        <v>1379067.85</v>
      </c>
      <c r="I19" s="6"/>
      <c r="J19" s="6">
        <f>SUM(C19:I19)</f>
        <v>8880717.9642923567</v>
      </c>
      <c r="K19" s="3095">
        <f>K42</f>
        <v>-6912456.9000000004</v>
      </c>
      <c r="L19" s="6"/>
      <c r="M19" s="6"/>
      <c r="N19" s="6">
        <f>SUM(J19:K19)</f>
        <v>1968261.0642923564</v>
      </c>
      <c r="O19" s="6"/>
      <c r="Q19" s="1794">
        <f>ROUND(N19/1000,0)</f>
        <v>1968</v>
      </c>
      <c r="R19" s="1794">
        <v>1721</v>
      </c>
      <c r="S19" s="1794">
        <v>1621</v>
      </c>
      <c r="T19" s="1794">
        <v>1623</v>
      </c>
      <c r="U19" s="1794">
        <v>1707</v>
      </c>
      <c r="V19" s="1794">
        <v>1527</v>
      </c>
      <c r="W19" s="322">
        <f>[120]Consolidation!$O$19</f>
        <v>1509</v>
      </c>
      <c r="X19" s="321">
        <v>1275</v>
      </c>
      <c r="Y19" s="321">
        <v>1379</v>
      </c>
      <c r="Z19" s="322">
        <v>922</v>
      </c>
      <c r="AA19" s="321">
        <v>939</v>
      </c>
      <c r="AB19" s="321">
        <v>0</v>
      </c>
      <c r="AC19" s="322">
        <v>0</v>
      </c>
      <c r="AD19" s="113">
        <v>0</v>
      </c>
      <c r="AE19" s="113">
        <v>0</v>
      </c>
      <c r="AF19" s="113">
        <v>0</v>
      </c>
      <c r="AG19" s="322">
        <v>0</v>
      </c>
      <c r="AH19" s="113">
        <v>0</v>
      </c>
      <c r="AI19" s="113">
        <f>W19-AH19</f>
        <v>1509</v>
      </c>
      <c r="AJ19" s="126">
        <v>0</v>
      </c>
      <c r="AK19" s="113"/>
    </row>
    <row r="20" spans="1:37">
      <c r="A20" s="623"/>
      <c r="B20" s="5" t="s">
        <v>303</v>
      </c>
      <c r="C20" s="6">
        <f>דוחות!D37</f>
        <v>252945.98</v>
      </c>
      <c r="D20" s="101"/>
      <c r="E20" s="6"/>
      <c r="F20" s="101"/>
      <c r="G20" s="6">
        <v>0</v>
      </c>
      <c r="H20" s="6">
        <v>0</v>
      </c>
      <c r="I20" s="6"/>
      <c r="J20" s="6">
        <f>SUM(C20:I20)</f>
        <v>252945.98</v>
      </c>
      <c r="K20" s="6">
        <f>+K40</f>
        <v>0</v>
      </c>
      <c r="L20" s="6"/>
      <c r="M20" s="6"/>
      <c r="N20" s="6">
        <f>SUM(J20:K20)</f>
        <v>252945.98</v>
      </c>
      <c r="O20" s="6"/>
      <c r="Q20" s="1794">
        <f>ROUND(N20/1000,0)</f>
        <v>253</v>
      </c>
      <c r="R20" s="1794">
        <v>242</v>
      </c>
      <c r="S20" s="1794">
        <v>352</v>
      </c>
      <c r="T20" s="1794">
        <v>338</v>
      </c>
      <c r="U20" s="1794">
        <v>367</v>
      </c>
      <c r="V20" s="1794">
        <v>322</v>
      </c>
      <c r="W20" s="322">
        <f>[120]Consolidation!$O$20</f>
        <v>309</v>
      </c>
      <c r="X20" s="321">
        <v>287</v>
      </c>
      <c r="Y20" s="321">
        <v>312</v>
      </c>
      <c r="Z20" s="322">
        <v>294</v>
      </c>
      <c r="AA20" s="321">
        <v>279</v>
      </c>
      <c r="AB20" s="321">
        <v>265</v>
      </c>
      <c r="AC20" s="322">
        <v>250</v>
      </c>
      <c r="AD20" s="113">
        <v>295</v>
      </c>
      <c r="AE20" s="113">
        <v>284</v>
      </c>
      <c r="AF20" s="113">
        <v>283</v>
      </c>
      <c r="AG20" s="322">
        <v>286</v>
      </c>
      <c r="AH20" s="113">
        <v>274</v>
      </c>
      <c r="AI20" s="113">
        <f>W20-AH20</f>
        <v>35</v>
      </c>
      <c r="AJ20" s="126">
        <f>AI20/AH20</f>
        <v>0.12773722627737227</v>
      </c>
      <c r="AK20" s="113"/>
    </row>
    <row r="21" spans="1:37">
      <c r="A21" s="623"/>
      <c r="B21" s="5" t="s">
        <v>258</v>
      </c>
      <c r="C21" s="9"/>
      <c r="D21" s="6">
        <f>'New TB INC'!J269</f>
        <v>45550.53</v>
      </c>
      <c r="E21" s="6">
        <f>'מאזן בוחן EUROPE'!K211</f>
        <v>28884.22</v>
      </c>
      <c r="F21" s="6"/>
      <c r="G21" s="6">
        <v>0</v>
      </c>
      <c r="H21" s="6">
        <v>0</v>
      </c>
      <c r="I21" s="30"/>
      <c r="J21" s="6">
        <f>SUM(C21:I21)</f>
        <v>74434.75</v>
      </c>
      <c r="K21" s="9"/>
      <c r="L21" s="9"/>
      <c r="M21" s="9"/>
      <c r="N21" s="6">
        <f>SUM(J21:K21)</f>
        <v>74434.75</v>
      </c>
      <c r="O21" s="2580">
        <f>K14-K36-K48</f>
        <v>1.2530454936622846</v>
      </c>
      <c r="Q21" s="1794">
        <f>ROUND(N21/1000,0)</f>
        <v>74</v>
      </c>
      <c r="R21" s="1794">
        <v>98</v>
      </c>
      <c r="S21" s="1794">
        <v>85</v>
      </c>
      <c r="T21" s="1794">
        <v>86</v>
      </c>
      <c r="U21" s="1794">
        <v>89</v>
      </c>
      <c r="V21" s="1794">
        <v>90</v>
      </c>
      <c r="W21" s="322">
        <f>[120]Consolidation!$O$21</f>
        <v>93</v>
      </c>
      <c r="X21" s="321">
        <v>96</v>
      </c>
      <c r="Y21" s="321">
        <v>95</v>
      </c>
      <c r="Z21" s="322">
        <v>97</v>
      </c>
      <c r="AA21" s="321">
        <v>74</v>
      </c>
      <c r="AB21" s="321">
        <v>63</v>
      </c>
      <c r="AC21" s="322">
        <v>51</v>
      </c>
      <c r="AD21" s="113">
        <v>1240</v>
      </c>
      <c r="AE21" s="113">
        <v>1252</v>
      </c>
      <c r="AF21" s="113">
        <v>1288</v>
      </c>
      <c r="AG21" s="322">
        <v>1278</v>
      </c>
      <c r="AH21" s="189">
        <v>577</v>
      </c>
      <c r="AI21" s="113">
        <f>W21-AH21</f>
        <v>-484</v>
      </c>
      <c r="AJ21" s="126">
        <f>AI21/AH21</f>
        <v>-0.83882149046793764</v>
      </c>
      <c r="AK21" s="113"/>
    </row>
    <row r="22" spans="1:37">
      <c r="A22" s="623"/>
      <c r="B22" s="5"/>
      <c r="C22" s="36">
        <f t="shared" ref="C22:H22" si="2">SUM(C18:C21)</f>
        <v>743513</v>
      </c>
      <c r="D22" s="36">
        <f t="shared" si="2"/>
        <v>1205992.3400000001</v>
      </c>
      <c r="E22" s="36">
        <f>SUM(E18:E21)</f>
        <v>3558591.93</v>
      </c>
      <c r="F22" s="36">
        <f t="shared" si="2"/>
        <v>2503486.0742923575</v>
      </c>
      <c r="G22" s="36">
        <f t="shared" si="2"/>
        <v>0</v>
      </c>
      <c r="H22" s="36">
        <f t="shared" si="2"/>
        <v>1379067.85</v>
      </c>
      <c r="I22" s="10"/>
      <c r="J22" s="7">
        <f>SUM(J18:J21)</f>
        <v>9390651.1942923572</v>
      </c>
      <c r="K22" s="7">
        <f>SUM(K18:K21)</f>
        <v>-6912456.9000000004</v>
      </c>
      <c r="L22" s="7">
        <f>SUM(L18:L21)</f>
        <v>0</v>
      </c>
      <c r="M22" s="7"/>
      <c r="N22" s="7">
        <f>SUM(N18:N21)</f>
        <v>2478194.2942923564</v>
      </c>
      <c r="O22" s="6"/>
      <c r="P22" s="116">
        <f>ROUND(N22/1000,0)-Q22</f>
        <v>0</v>
      </c>
      <c r="Q22" s="327">
        <f>SUM(Q18:Q21)</f>
        <v>2478</v>
      </c>
      <c r="R22" s="3371">
        <v>2197</v>
      </c>
      <c r="S22" s="3371">
        <v>2201</v>
      </c>
      <c r="T22" s="327">
        <v>2190</v>
      </c>
      <c r="U22" s="327">
        <v>2610</v>
      </c>
      <c r="V22" s="327">
        <v>2386</v>
      </c>
      <c r="W22" s="327">
        <f>SUM(W18:W21)</f>
        <v>2349</v>
      </c>
      <c r="X22" s="327">
        <v>2089</v>
      </c>
      <c r="Y22" s="327">
        <v>2225</v>
      </c>
      <c r="Z22" s="327">
        <v>1753</v>
      </c>
      <c r="AA22" s="327">
        <f>SUM(AA18:AA21)</f>
        <v>1731</v>
      </c>
      <c r="AB22" s="327">
        <f>SUM(AB18:AB21)</f>
        <v>1562</v>
      </c>
      <c r="AC22" s="327">
        <v>711</v>
      </c>
      <c r="AD22" s="117">
        <v>1687</v>
      </c>
      <c r="AE22" s="117">
        <v>1669</v>
      </c>
      <c r="AF22" s="117">
        <v>1704</v>
      </c>
      <c r="AG22" s="327">
        <v>1667</v>
      </c>
      <c r="AH22" s="117">
        <f>SUM(AH18:AH21)</f>
        <v>865</v>
      </c>
      <c r="AI22" s="117">
        <f>W22-AH22</f>
        <v>1484</v>
      </c>
      <c r="AJ22" s="127">
        <f>AI22/AH22</f>
        <v>1.715606936416185</v>
      </c>
      <c r="AK22" s="117"/>
    </row>
    <row r="23" spans="1:37">
      <c r="A23" s="623"/>
      <c r="B23" s="5"/>
      <c r="C23" s="9"/>
      <c r="D23" s="102"/>
      <c r="E23" s="9"/>
      <c r="F23" s="102"/>
      <c r="G23" s="102"/>
      <c r="H23" s="715"/>
      <c r="I23" s="30"/>
      <c r="J23" s="9"/>
      <c r="K23" s="9"/>
      <c r="L23" s="9"/>
      <c r="M23" s="9"/>
      <c r="N23" s="9"/>
      <c r="O23" s="6"/>
      <c r="Q23" s="325"/>
      <c r="R23" s="325"/>
      <c r="S23" s="325"/>
      <c r="T23" s="325"/>
      <c r="U23" s="325"/>
      <c r="V23" s="325"/>
      <c r="W23" s="325"/>
      <c r="X23" s="325"/>
      <c r="Y23" s="325"/>
      <c r="Z23" s="325"/>
      <c r="AA23" s="321"/>
      <c r="AB23" s="325"/>
      <c r="AC23" s="325"/>
      <c r="AD23" s="1756">
        <v>0</v>
      </c>
      <c r="AE23" s="1756">
        <v>0</v>
      </c>
      <c r="AF23" s="1756"/>
      <c r="AG23" s="325"/>
      <c r="AH23" s="1756"/>
      <c r="AI23" s="1756"/>
      <c r="AJ23" s="1756"/>
      <c r="AK23" s="1756"/>
    </row>
    <row r="24" spans="1:37">
      <c r="A24" s="623"/>
      <c r="B24" s="5"/>
      <c r="C24" s="10"/>
      <c r="D24" s="103"/>
      <c r="E24" s="38"/>
      <c r="F24" s="103"/>
      <c r="G24" s="103"/>
      <c r="H24" s="103"/>
      <c r="I24" s="10"/>
      <c r="J24" s="10"/>
      <c r="K24" s="10"/>
      <c r="L24" s="10"/>
      <c r="M24" s="10"/>
      <c r="N24" s="10"/>
      <c r="O24" s="6"/>
      <c r="Q24" s="1795"/>
      <c r="R24" s="1795"/>
      <c r="S24" s="1795"/>
      <c r="T24" s="1795"/>
      <c r="U24" s="1795"/>
      <c r="V24" s="1795"/>
      <c r="W24" s="328"/>
      <c r="X24" s="328"/>
      <c r="Y24" s="328"/>
      <c r="Z24" s="328"/>
      <c r="AA24" s="321"/>
      <c r="AB24" s="328"/>
      <c r="AC24" s="328"/>
      <c r="AD24" s="118">
        <v>0</v>
      </c>
      <c r="AE24" s="118">
        <v>0</v>
      </c>
      <c r="AF24" s="118"/>
      <c r="AG24" s="328"/>
      <c r="AH24" s="118"/>
      <c r="AI24" s="118"/>
      <c r="AJ24" s="118"/>
      <c r="AK24" s="118"/>
    </row>
    <row r="25" spans="1:37">
      <c r="A25" s="623" t="s">
        <v>68</v>
      </c>
      <c r="B25" s="8" t="s">
        <v>141</v>
      </c>
      <c r="C25" s="7">
        <f>+דוחות!D35</f>
        <v>1615324</v>
      </c>
      <c r="D25" s="36">
        <f>'New TB INC'!J265</f>
        <v>121206.73999999999</v>
      </c>
      <c r="E25" s="36">
        <f>'FS EU'!C20</f>
        <v>33180.06</v>
      </c>
      <c r="F25" s="36">
        <f>'מאזן בוחן Australia'!K61</f>
        <v>8740.08</v>
      </c>
      <c r="G25" s="36">
        <f>'FS India'!D20</f>
        <v>59150.770000000004</v>
      </c>
      <c r="H25" s="36">
        <f>'FS France'!C20</f>
        <v>0</v>
      </c>
      <c r="I25" s="10"/>
      <c r="J25" s="7">
        <f>SUM(C25:I25)</f>
        <v>1837601.6500000001</v>
      </c>
      <c r="K25" s="7"/>
      <c r="L25" s="7"/>
      <c r="M25" s="7"/>
      <c r="N25" s="7">
        <f>SUM(J25:L25)</f>
        <v>1837601.6500000001</v>
      </c>
      <c r="O25" s="6"/>
      <c r="P25" s="116">
        <f>ROUND(N25/1000,0)-Q25</f>
        <v>0</v>
      </c>
      <c r="Q25" s="327">
        <f>ROUND(N25/1000,0)</f>
        <v>1838</v>
      </c>
      <c r="R25" s="3371">
        <v>1852</v>
      </c>
      <c r="S25" s="3371">
        <v>1933</v>
      </c>
      <c r="T25" s="327">
        <v>2026</v>
      </c>
      <c r="U25" s="327">
        <v>2126</v>
      </c>
      <c r="V25" s="327">
        <v>2347</v>
      </c>
      <c r="W25" s="327">
        <f>[120]Consolidation!$O$25</f>
        <v>2510</v>
      </c>
      <c r="X25" s="327">
        <v>2732</v>
      </c>
      <c r="Y25" s="327">
        <v>2911</v>
      </c>
      <c r="Z25" s="327">
        <v>3219</v>
      </c>
      <c r="AA25" s="327">
        <v>3465</v>
      </c>
      <c r="AB25" s="327">
        <v>3458</v>
      </c>
      <c r="AC25" s="327">
        <v>2248</v>
      </c>
      <c r="AD25" s="117">
        <v>2309</v>
      </c>
      <c r="AE25" s="117">
        <v>2259</v>
      </c>
      <c r="AF25" s="117">
        <v>2270</v>
      </c>
      <c r="AG25" s="327">
        <v>2082</v>
      </c>
      <c r="AH25" s="117">
        <v>814</v>
      </c>
      <c r="AI25" s="117">
        <f>W25-AH25</f>
        <v>1696</v>
      </c>
      <c r="AJ25" s="127">
        <f>AI25/AH25</f>
        <v>2.0835380835380835</v>
      </c>
      <c r="AK25" s="117"/>
    </row>
    <row r="26" spans="1:37">
      <c r="A26" s="623"/>
      <c r="B26" s="5"/>
      <c r="D26" s="9"/>
      <c r="E26" s="9"/>
      <c r="F26" s="9"/>
      <c r="G26" s="9"/>
      <c r="H26" s="9"/>
      <c r="I26" s="29"/>
      <c r="J26" s="4"/>
      <c r="K26" s="4"/>
      <c r="L26" s="4"/>
      <c r="M26" s="4"/>
      <c r="N26" s="4"/>
      <c r="O26" s="6"/>
      <c r="Q26" s="325"/>
      <c r="R26" s="325"/>
      <c r="S26" s="325"/>
      <c r="T26" s="325"/>
      <c r="U26" s="325"/>
      <c r="V26" s="325"/>
      <c r="W26" s="325"/>
      <c r="X26" s="325"/>
      <c r="Y26" s="325"/>
      <c r="Z26" s="325"/>
      <c r="AA26" s="321"/>
      <c r="AB26" s="325"/>
      <c r="AC26" s="325"/>
      <c r="AD26" s="115">
        <v>0</v>
      </c>
      <c r="AE26" s="115">
        <v>0</v>
      </c>
      <c r="AF26" s="115"/>
      <c r="AG26" s="325"/>
      <c r="AH26" s="115"/>
      <c r="AI26" s="115"/>
      <c r="AJ26" s="115"/>
      <c r="AK26" s="115"/>
    </row>
    <row r="27" spans="1:37">
      <c r="A27" s="623"/>
      <c r="C27" s="6"/>
      <c r="D27" s="6"/>
      <c r="E27" s="6"/>
      <c r="F27" s="6"/>
      <c r="G27" s="6"/>
      <c r="H27" s="6"/>
      <c r="I27" s="6"/>
      <c r="J27" s="6"/>
      <c r="K27" s="6"/>
      <c r="L27" s="6"/>
      <c r="M27" s="6"/>
      <c r="N27" s="6"/>
      <c r="O27" s="6"/>
      <c r="Q27" s="1794"/>
      <c r="R27" s="1794"/>
      <c r="S27" s="1794"/>
      <c r="T27" s="1794"/>
      <c r="U27" s="1794"/>
      <c r="V27" s="1794"/>
      <c r="W27" s="322"/>
      <c r="X27" s="322"/>
      <c r="Y27" s="322"/>
      <c r="Z27" s="322"/>
      <c r="AA27" s="321"/>
      <c r="AB27" s="322"/>
      <c r="AC27" s="322"/>
      <c r="AD27" s="113">
        <v>0</v>
      </c>
      <c r="AE27" s="113">
        <v>0</v>
      </c>
      <c r="AF27" s="113"/>
      <c r="AG27" s="322"/>
      <c r="AH27" s="113"/>
      <c r="AI27" s="113"/>
      <c r="AJ27" s="113"/>
      <c r="AK27" s="113"/>
    </row>
    <row r="28" spans="1:37" ht="13.5" thickBot="1">
      <c r="A28" s="623"/>
      <c r="B28" s="8" t="s">
        <v>239</v>
      </c>
      <c r="C28" s="12">
        <f t="shared" ref="C28:H28" si="3">+C15+C22+C25</f>
        <v>25679473.850000001</v>
      </c>
      <c r="D28" s="39">
        <f t="shared" si="3"/>
        <v>41168715.300000004</v>
      </c>
      <c r="E28" s="39">
        <f>+E15+E22+E25</f>
        <v>16201609.709999999</v>
      </c>
      <c r="F28" s="39">
        <f t="shared" si="3"/>
        <v>5056732.93</v>
      </c>
      <c r="G28" s="39">
        <f t="shared" si="3"/>
        <v>1344195.03</v>
      </c>
      <c r="H28" s="39">
        <f t="shared" si="3"/>
        <v>6407528.1600000001</v>
      </c>
      <c r="I28" s="10"/>
      <c r="J28" s="12">
        <f>+J15+J22+J25</f>
        <v>95858254.980000019</v>
      </c>
      <c r="K28" s="12">
        <f>+K15+K22+K25+1</f>
        <v>-23377027.940000005</v>
      </c>
      <c r="L28" s="12">
        <f>+L15+L22+L25</f>
        <v>0</v>
      </c>
      <c r="M28" s="12">
        <f>+M15+M22+M25</f>
        <v>0</v>
      </c>
      <c r="N28" s="12">
        <f>+N15+N22+N25</f>
        <v>72481226.040000021</v>
      </c>
      <c r="O28" s="6"/>
      <c r="P28" s="116">
        <f>ROUND(N28/1000,0)-Q28</f>
        <v>0</v>
      </c>
      <c r="Q28" s="329">
        <f>+Q15+Q22+Q25</f>
        <v>72481</v>
      </c>
      <c r="R28" s="3372">
        <v>62151</v>
      </c>
      <c r="S28" s="3372">
        <v>61165</v>
      </c>
      <c r="T28" s="329">
        <v>60325</v>
      </c>
      <c r="U28" s="329">
        <v>64876</v>
      </c>
      <c r="V28" s="329">
        <v>54253</v>
      </c>
      <c r="W28" s="329">
        <f>W25+W22+W15</f>
        <v>49012</v>
      </c>
      <c r="X28" s="329">
        <v>43322</v>
      </c>
      <c r="Y28" s="329">
        <v>51293</v>
      </c>
      <c r="Z28" s="329">
        <v>33607</v>
      </c>
      <c r="AA28" s="329">
        <f>+AA15+AA22+AA25</f>
        <v>35090</v>
      </c>
      <c r="AB28" s="329">
        <f>+AB15+AB22+AB25</f>
        <v>31611</v>
      </c>
      <c r="AC28" s="329">
        <v>31663</v>
      </c>
      <c r="AD28" s="119">
        <v>30874</v>
      </c>
      <c r="AE28" s="119">
        <v>33880</v>
      </c>
      <c r="AF28" s="119">
        <v>67534</v>
      </c>
      <c r="AG28" s="329">
        <v>73948</v>
      </c>
      <c r="AH28" s="119">
        <f>+AH15+AH22+AH25</f>
        <v>33005</v>
      </c>
      <c r="AI28" s="119">
        <f>W28-AH28</f>
        <v>16007</v>
      </c>
      <c r="AJ28" s="128">
        <f>AI28/AH28</f>
        <v>0.48498712316315712</v>
      </c>
      <c r="AK28" s="119"/>
    </row>
    <row r="29" spans="1:37">
      <c r="A29" s="623"/>
      <c r="C29" s="6"/>
      <c r="E29" s="13"/>
      <c r="I29" s="13"/>
      <c r="J29" s="13"/>
      <c r="K29" s="13"/>
      <c r="L29" s="13"/>
      <c r="M29" s="13"/>
      <c r="N29" s="13"/>
      <c r="O29" s="6"/>
      <c r="Q29" s="1796"/>
      <c r="R29" s="1796"/>
      <c r="S29" s="1796"/>
      <c r="T29" s="1796"/>
      <c r="U29" s="1796"/>
      <c r="V29" s="1796"/>
      <c r="W29" s="333"/>
      <c r="X29" s="333"/>
      <c r="Y29" s="333">
        <v>0</v>
      </c>
      <c r="Z29" s="333"/>
      <c r="AA29" s="321"/>
      <c r="AB29" s="333"/>
      <c r="AC29" s="333"/>
      <c r="AD29" s="120">
        <v>0</v>
      </c>
      <c r="AE29" s="120">
        <v>0</v>
      </c>
      <c r="AF29" s="120">
        <v>0</v>
      </c>
      <c r="AG29" s="321"/>
      <c r="AH29" s="120"/>
      <c r="AI29" s="120"/>
      <c r="AJ29" s="120"/>
      <c r="AK29" s="120"/>
    </row>
    <row r="30" spans="1:37">
      <c r="A30" s="623"/>
      <c r="D30" s="102"/>
      <c r="E30" s="9"/>
      <c r="F30" s="102"/>
      <c r="G30" s="102"/>
      <c r="H30" s="102"/>
      <c r="I30" s="29"/>
      <c r="J30" s="4"/>
      <c r="K30" s="4"/>
      <c r="L30" s="4"/>
      <c r="M30" s="4"/>
      <c r="N30" s="4"/>
      <c r="O30" s="6"/>
      <c r="Q30" s="325"/>
      <c r="R30" s="325"/>
      <c r="S30" s="325"/>
      <c r="T30" s="325"/>
      <c r="U30" s="325"/>
      <c r="V30" s="325"/>
      <c r="W30" s="325"/>
      <c r="X30" s="325"/>
      <c r="Y30" s="325"/>
      <c r="Z30" s="325"/>
      <c r="AA30" s="321"/>
      <c r="AB30" s="325"/>
      <c r="AC30" s="325"/>
      <c r="AD30" s="116">
        <v>0</v>
      </c>
      <c r="AE30" s="116"/>
      <c r="AF30" s="116"/>
      <c r="AG30" s="321"/>
      <c r="AH30" s="115"/>
      <c r="AI30" s="115"/>
      <c r="AJ30" s="115"/>
      <c r="AK30" s="115"/>
    </row>
    <row r="31" spans="1:37">
      <c r="A31" s="623"/>
      <c r="B31" s="8" t="s">
        <v>240</v>
      </c>
      <c r="C31" s="641"/>
      <c r="D31" s="642"/>
      <c r="E31" s="643"/>
      <c r="F31" s="642"/>
      <c r="G31" s="642"/>
      <c r="H31" s="642"/>
      <c r="I31" s="641"/>
      <c r="J31" s="641"/>
      <c r="K31" s="2290"/>
      <c r="L31" s="641"/>
      <c r="M31" s="641"/>
      <c r="N31" s="641"/>
      <c r="O31" s="6"/>
      <c r="Q31" s="644"/>
      <c r="R31" s="644"/>
      <c r="S31" s="644"/>
      <c r="T31" s="644"/>
      <c r="U31" s="644"/>
      <c r="V31" s="644"/>
      <c r="W31" s="644"/>
      <c r="X31" s="644"/>
      <c r="Y31" s="644"/>
      <c r="Z31" s="644"/>
      <c r="AA31" s="321"/>
      <c r="AB31" s="644"/>
      <c r="AC31" s="644"/>
      <c r="AD31" s="116">
        <v>0</v>
      </c>
      <c r="AE31" s="116"/>
      <c r="AF31" s="116"/>
      <c r="AG31" s="321"/>
      <c r="AH31" s="645"/>
      <c r="AI31" s="645"/>
      <c r="AJ31" s="645"/>
      <c r="AK31" s="645"/>
    </row>
    <row r="32" spans="1:37">
      <c r="A32" s="623" t="s">
        <v>241</v>
      </c>
      <c r="B32" s="5" t="s">
        <v>241</v>
      </c>
      <c r="C32" s="9">
        <f>+דוחות!K13</f>
        <v>2279724</v>
      </c>
      <c r="D32" s="6">
        <f>-'New TB INC'!J343</f>
        <v>207159.08999999997</v>
      </c>
      <c r="E32" s="6">
        <f>-'מאזן בוחן EUROPE'!K241+'מאזן בוחן EUROPE'!K239</f>
        <v>63650.750000000007</v>
      </c>
      <c r="F32" s="6">
        <f>-'מאזן בוחן Australia'!K86</f>
        <v>13011.77</v>
      </c>
      <c r="G32" s="6">
        <f>'FS India'!D27</f>
        <v>-477.42000000000013</v>
      </c>
      <c r="H32" s="6">
        <f>'FS France'!C27</f>
        <v>10549.349999999999</v>
      </c>
      <c r="I32" s="30"/>
      <c r="J32" s="6">
        <f>SUM(C32:I32)</f>
        <v>2573617.54</v>
      </c>
      <c r="K32" s="9"/>
      <c r="L32" s="9"/>
      <c r="M32" s="9"/>
      <c r="N32" s="6">
        <f>SUM(J32:M32)</f>
        <v>2573617.54</v>
      </c>
      <c r="O32" s="6"/>
      <c r="Q32" s="1794">
        <f>ROUND(N32/1000,0)+1</f>
        <v>2575</v>
      </c>
      <c r="R32" s="1794">
        <v>1155</v>
      </c>
      <c r="S32" s="1794">
        <v>1500</v>
      </c>
      <c r="T32" s="1794">
        <v>1590</v>
      </c>
      <c r="U32" s="1794">
        <v>1521</v>
      </c>
      <c r="V32" s="1794">
        <v>1017</v>
      </c>
      <c r="W32" s="322">
        <f>[120]Consolidation!O32</f>
        <v>1415</v>
      </c>
      <c r="X32" s="321">
        <v>1140</v>
      </c>
      <c r="Y32" s="321">
        <v>1540</v>
      </c>
      <c r="Z32" s="322">
        <v>1263</v>
      </c>
      <c r="AA32" s="321">
        <v>1587</v>
      </c>
      <c r="AB32" s="322">
        <v>1194</v>
      </c>
      <c r="AC32" s="322">
        <v>1817</v>
      </c>
      <c r="AD32" s="113">
        <v>1257</v>
      </c>
      <c r="AE32" s="113">
        <v>1392</v>
      </c>
      <c r="AF32" s="113">
        <v>955</v>
      </c>
      <c r="AG32" s="322">
        <v>3205</v>
      </c>
      <c r="AH32" s="113">
        <v>1051</v>
      </c>
      <c r="AI32" s="113">
        <f t="shared" ref="AI32:AI37" si="4">W32-AH32</f>
        <v>364</v>
      </c>
      <c r="AJ32" s="126">
        <f t="shared" ref="AJ32:AJ37" si="5">AI32/AH32</f>
        <v>0.34633682207421501</v>
      </c>
      <c r="AK32" s="113"/>
    </row>
    <row r="33" spans="1:37">
      <c r="A33" s="623" t="s">
        <v>260</v>
      </c>
      <c r="B33" s="5" t="s">
        <v>290</v>
      </c>
      <c r="C33" s="9">
        <f>+דוחות!K22-דוחות!K13-דוחות!K19-דוחות!K21-דוחות!K20</f>
        <v>6176418</v>
      </c>
      <c r="D33" s="6">
        <f>-('New TB INC'!J392+SUM('New TB INC'!J409:J428))</f>
        <v>1703449.12</v>
      </c>
      <c r="E33" s="6">
        <f>-('מאזן בוחן EUROPE'!K265+'מאזן בוחן EUROPE'!K276)-'מאזן בוחן EUROPE'!K239</f>
        <v>1091689.8900000001</v>
      </c>
      <c r="F33" s="6">
        <f>-'מאזן בוחן Australia'!K113-'מאזן בוחן Australia'!K117-'מאזן בוחן Australia'!K104</f>
        <v>273814.74</v>
      </c>
      <c r="G33" s="6">
        <f>'FS India'!D28</f>
        <v>262524.4400364738</v>
      </c>
      <c r="H33" s="6">
        <f>'FS France'!C28</f>
        <v>817783.51</v>
      </c>
      <c r="I33" s="30"/>
      <c r="J33" s="6">
        <f>SUM(C33:I33)</f>
        <v>10325679.700036474</v>
      </c>
      <c r="K33" s="9"/>
      <c r="L33" s="9"/>
      <c r="M33" s="9"/>
      <c r="N33" s="6">
        <f>SUM(J33:M33)</f>
        <v>10325679.700036474</v>
      </c>
      <c r="O33" s="6"/>
      <c r="Q33" s="1794">
        <f>ROUND(N33/1000,0)</f>
        <v>10326</v>
      </c>
      <c r="R33" s="1794">
        <v>8563</v>
      </c>
      <c r="S33" s="1794">
        <v>8141</v>
      </c>
      <c r="T33" s="1794">
        <v>7991</v>
      </c>
      <c r="U33" s="1794">
        <v>10922</v>
      </c>
      <c r="V33" s="1794">
        <v>7826</v>
      </c>
      <c r="W33" s="322">
        <f>[120]Consolidation!O33</f>
        <v>7293</v>
      </c>
      <c r="X33" s="321">
        <v>4855</v>
      </c>
      <c r="Y33" s="321">
        <v>8268</v>
      </c>
      <c r="Z33" s="322">
        <v>6531</v>
      </c>
      <c r="AA33" s="321">
        <v>6848</v>
      </c>
      <c r="AB33" s="322">
        <v>6454</v>
      </c>
      <c r="AC33" s="322">
        <v>6598</v>
      </c>
      <c r="AD33" s="113">
        <v>5725</v>
      </c>
      <c r="AE33" s="113">
        <v>5316</v>
      </c>
      <c r="AF33" s="113">
        <v>4870</v>
      </c>
      <c r="AG33" s="322">
        <v>7541</v>
      </c>
      <c r="AH33" s="113">
        <v>9167</v>
      </c>
      <c r="AI33" s="113">
        <f t="shared" si="4"/>
        <v>-1874</v>
      </c>
      <c r="AJ33" s="126">
        <f t="shared" si="5"/>
        <v>-0.2044289298570961</v>
      </c>
      <c r="AK33" s="113"/>
    </row>
    <row r="34" spans="1:37">
      <c r="A34" s="623"/>
      <c r="B34" s="5" t="s">
        <v>1508</v>
      </c>
      <c r="C34" s="9"/>
      <c r="D34" s="6">
        <f>-'New TB INC'!J431</f>
        <v>5835920.9699999997</v>
      </c>
      <c r="E34" s="6"/>
      <c r="F34" s="6"/>
      <c r="H34" s="6">
        <v>0</v>
      </c>
      <c r="I34" s="30"/>
      <c r="J34" s="6">
        <f>SUM(C34:I34)</f>
        <v>5835920.9699999997</v>
      </c>
      <c r="K34" s="9"/>
      <c r="L34" s="9"/>
      <c r="M34" s="9"/>
      <c r="N34" s="6">
        <f>SUM(J34:M34)</f>
        <v>5835920.9699999997</v>
      </c>
      <c r="O34" s="6"/>
      <c r="Q34" s="1794">
        <f>ROUND(N34/1000,0)</f>
        <v>5836</v>
      </c>
      <c r="R34" s="1794">
        <v>7500</v>
      </c>
      <c r="S34" s="1794">
        <v>9133</v>
      </c>
      <c r="T34" s="1794">
        <v>9001</v>
      </c>
      <c r="U34" s="1794">
        <v>8868</v>
      </c>
      <c r="V34" s="1794">
        <v>11710</v>
      </c>
      <c r="W34" s="322">
        <f>[120]Consolidation!O34</f>
        <v>11552</v>
      </c>
      <c r="X34" s="321">
        <v>10702</v>
      </c>
      <c r="Y34" s="321">
        <v>10702</v>
      </c>
      <c r="Z34" s="322">
        <v>10702</v>
      </c>
      <c r="AA34" s="321">
        <v>10702</v>
      </c>
      <c r="AB34" s="322">
        <v>10702</v>
      </c>
      <c r="AC34" s="322">
        <v>10702</v>
      </c>
      <c r="AD34" s="113">
        <v>10702</v>
      </c>
      <c r="AE34" s="113">
        <v>11842</v>
      </c>
      <c r="AF34" s="113">
        <v>41550</v>
      </c>
      <c r="AG34" s="322">
        <v>41550</v>
      </c>
      <c r="AH34" s="113"/>
      <c r="AI34" s="113"/>
      <c r="AJ34" s="126"/>
      <c r="AK34" s="113"/>
    </row>
    <row r="35" spans="1:37" s="380" customFormat="1">
      <c r="A35" s="627" t="s">
        <v>261</v>
      </c>
      <c r="B35" s="5" t="s">
        <v>261</v>
      </c>
      <c r="C35" s="9">
        <f>+דוחות!K21</f>
        <v>4237920</v>
      </c>
      <c r="D35" s="6">
        <f>-SUM('New TB INC'!J394:J404)</f>
        <v>17139053.52</v>
      </c>
      <c r="E35" s="6">
        <f>-SUM('מאזן בוחן EUROPE'!K278:K290)</f>
        <v>7842201.4699999988</v>
      </c>
      <c r="F35" s="6">
        <f>-SUM('מאזן בוחן Australia'!K119:K131)</f>
        <v>2663254.9299999997</v>
      </c>
      <c r="G35" s="6">
        <f>'FS India'!$D$29</f>
        <v>0</v>
      </c>
      <c r="H35" s="6">
        <f>'FS France'!C29</f>
        <v>1033965.9199999999</v>
      </c>
      <c r="I35" s="30"/>
      <c r="J35" s="6">
        <f>SUM(C35:I35)</f>
        <v>32916395.839999996</v>
      </c>
      <c r="K35" s="9"/>
      <c r="L35" s="9"/>
      <c r="M35" s="9"/>
      <c r="N35" s="6">
        <f>SUM(J35:M35)</f>
        <v>32916395.839999996</v>
      </c>
      <c r="O35" s="6"/>
      <c r="P35" s="126">
        <f>N35/(N35+N43)</f>
        <v>0.63123566968817868</v>
      </c>
      <c r="Q35" s="1794">
        <f>ROUND(N35/1000,0)</f>
        <v>32916</v>
      </c>
      <c r="R35" s="1794">
        <v>29633</v>
      </c>
      <c r="S35" s="1794">
        <v>28933</v>
      </c>
      <c r="T35" s="1794">
        <v>28600</v>
      </c>
      <c r="U35" s="1794">
        <v>29430</v>
      </c>
      <c r="V35" s="1794">
        <v>24868</v>
      </c>
      <c r="W35" s="322">
        <f>[120]Consolidation!O35</f>
        <v>23816</v>
      </c>
      <c r="X35" s="321">
        <v>23769</v>
      </c>
      <c r="Y35" s="321">
        <v>24893</v>
      </c>
      <c r="Z35" s="322">
        <v>20284</v>
      </c>
      <c r="AA35" s="321">
        <v>21268</v>
      </c>
      <c r="AB35" s="322">
        <v>16447</v>
      </c>
      <c r="AC35" s="322">
        <v>19897</v>
      </c>
      <c r="AD35" s="113">
        <v>19657</v>
      </c>
      <c r="AE35" s="113">
        <v>19519</v>
      </c>
      <c r="AF35" s="113">
        <v>17066</v>
      </c>
      <c r="AG35" s="322">
        <v>14884</v>
      </c>
      <c r="AH35" s="113">
        <v>11480</v>
      </c>
      <c r="AI35" s="113">
        <f t="shared" si="4"/>
        <v>12336</v>
      </c>
      <c r="AJ35" s="126">
        <f t="shared" si="5"/>
        <v>1.0745644599303137</v>
      </c>
      <c r="AK35" s="113"/>
    </row>
    <row r="36" spans="1:37">
      <c r="A36" s="627" t="s">
        <v>298</v>
      </c>
      <c r="B36" s="5" t="s">
        <v>331</v>
      </c>
      <c r="C36" s="9">
        <f>+דוחות!K20</f>
        <v>11467863</v>
      </c>
      <c r="D36" s="9">
        <f>-'New TB INC'!J432-'New TB INC'!J272</f>
        <v>0</v>
      </c>
      <c r="E36" s="6">
        <v>0</v>
      </c>
      <c r="F36" s="9">
        <f>-'מאזן בוחן Australia'!K116</f>
        <v>14384.38</v>
      </c>
      <c r="G36" s="6">
        <f>'FS India'!D30</f>
        <v>742762.383045497</v>
      </c>
      <c r="H36" s="6">
        <f>'FS France'!C30</f>
        <v>4236822.2</v>
      </c>
      <c r="I36" s="30"/>
      <c r="J36" s="6">
        <f>SUM(C36:I36)</f>
        <v>16461831.963045496</v>
      </c>
      <c r="K36" s="3095">
        <f>-J36</f>
        <v>-16461831.963045496</v>
      </c>
      <c r="L36" s="6"/>
      <c r="M36" s="9"/>
      <c r="N36" s="6">
        <f>SUM(J36:L36)</f>
        <v>0</v>
      </c>
      <c r="O36" s="6"/>
      <c r="Q36" s="1794"/>
      <c r="R36" s="1794"/>
      <c r="S36" s="1794"/>
      <c r="T36" s="1794"/>
      <c r="U36" s="1794"/>
      <c r="V36" s="1794"/>
      <c r="W36" s="322">
        <f>[120]Consolidation!O36</f>
        <v>0</v>
      </c>
      <c r="X36" s="322"/>
      <c r="Y36" s="322"/>
      <c r="Z36" s="322">
        <v>0</v>
      </c>
      <c r="AA36" s="321">
        <v>0</v>
      </c>
      <c r="AB36" s="322">
        <v>0</v>
      </c>
      <c r="AC36" s="322">
        <v>0</v>
      </c>
      <c r="AD36" s="32">
        <v>0</v>
      </c>
      <c r="AE36" s="32">
        <v>0</v>
      </c>
      <c r="AF36" s="32"/>
      <c r="AG36" s="646"/>
      <c r="AH36" s="113"/>
      <c r="AI36" s="113">
        <f t="shared" si="4"/>
        <v>0</v>
      </c>
      <c r="AJ36" s="126" t="e">
        <f t="shared" si="5"/>
        <v>#DIV/0!</v>
      </c>
      <c r="AK36" s="113"/>
    </row>
    <row r="37" spans="1:37">
      <c r="A37" s="623"/>
      <c r="B37" s="14" t="s">
        <v>139</v>
      </c>
      <c r="C37" s="7">
        <f t="shared" ref="C37:H37" si="6">SUM(C32:C36)</f>
        <v>24161925</v>
      </c>
      <c r="D37" s="7">
        <f t="shared" si="6"/>
        <v>24885582.699999999</v>
      </c>
      <c r="E37" s="7">
        <f>SUM(E32:E36)</f>
        <v>8997542.1099999994</v>
      </c>
      <c r="F37" s="7">
        <f t="shared" si="6"/>
        <v>2964465.8199999994</v>
      </c>
      <c r="G37" s="7">
        <f t="shared" si="6"/>
        <v>1004809.4030819708</v>
      </c>
      <c r="H37" s="7">
        <f t="shared" si="6"/>
        <v>6099120.9800000004</v>
      </c>
      <c r="I37" s="10"/>
      <c r="J37" s="7">
        <f>SUM(J32:J36)</f>
        <v>68113446.013081968</v>
      </c>
      <c r="K37" s="7">
        <f>SUM(K32:K36)</f>
        <v>-16461831.963045496</v>
      </c>
      <c r="L37" s="7">
        <f>SUM(L32:L36)</f>
        <v>0</v>
      </c>
      <c r="M37" s="7">
        <f>SUM(M32:M36)</f>
        <v>0</v>
      </c>
      <c r="N37" s="7">
        <f>SUM(N32:N36)</f>
        <v>51651614.050036468</v>
      </c>
      <c r="O37" s="6"/>
      <c r="P37" s="116">
        <f>ROUND(N37/1000,0)-Q37</f>
        <v>-1</v>
      </c>
      <c r="Q37" s="327">
        <f>SUM(Q32:Q36)</f>
        <v>51653</v>
      </c>
      <c r="R37" s="3371">
        <v>46851</v>
      </c>
      <c r="S37" s="3371">
        <v>47707</v>
      </c>
      <c r="T37" s="327">
        <v>47182</v>
      </c>
      <c r="U37" s="327">
        <v>50741</v>
      </c>
      <c r="V37" s="327">
        <v>45421</v>
      </c>
      <c r="W37" s="327">
        <f>SUM(W32:W36)</f>
        <v>44076</v>
      </c>
      <c r="X37" s="327">
        <v>40466</v>
      </c>
      <c r="Y37" s="327">
        <v>45403</v>
      </c>
      <c r="Z37" s="327">
        <v>38779</v>
      </c>
      <c r="AA37" s="327">
        <f>SUM(AA32:AA36)</f>
        <v>40405</v>
      </c>
      <c r="AB37" s="327">
        <f>SUM(AB32:AB36)</f>
        <v>34797</v>
      </c>
      <c r="AC37" s="327">
        <v>39014</v>
      </c>
      <c r="AD37" s="117">
        <v>37341</v>
      </c>
      <c r="AE37" s="117">
        <v>38069</v>
      </c>
      <c r="AF37" s="117">
        <f>SUM(AF32:AF36)</f>
        <v>64441</v>
      </c>
      <c r="AG37" s="327">
        <f>SUM(AG32:AG35)</f>
        <v>67180</v>
      </c>
      <c r="AH37" s="117">
        <f>SUM(AH32:AH36)</f>
        <v>21698</v>
      </c>
      <c r="AI37" s="117">
        <f t="shared" si="4"/>
        <v>22378</v>
      </c>
      <c r="AJ37" s="127">
        <f t="shared" si="5"/>
        <v>1.0313392939441424</v>
      </c>
      <c r="AK37" s="117"/>
    </row>
    <row r="38" spans="1:37">
      <c r="A38" s="623"/>
      <c r="B38" s="14"/>
      <c r="C38" s="10"/>
      <c r="D38" s="103"/>
      <c r="E38" s="38"/>
      <c r="F38" s="103"/>
      <c r="G38" s="103"/>
      <c r="H38" s="103"/>
      <c r="I38" s="10"/>
      <c r="J38" s="10"/>
      <c r="K38" s="10"/>
      <c r="L38" s="10"/>
      <c r="M38" s="10"/>
      <c r="N38" s="10"/>
      <c r="O38" s="6"/>
      <c r="Q38" s="1795"/>
      <c r="R38" s="1795"/>
      <c r="S38" s="1795"/>
      <c r="T38" s="1795"/>
      <c r="U38" s="1795"/>
      <c r="V38" s="1795"/>
      <c r="W38" s="328"/>
      <c r="X38" s="328"/>
      <c r="Y38" s="328"/>
      <c r="Z38" s="328"/>
      <c r="AA38" s="321"/>
      <c r="AB38" s="328"/>
      <c r="AC38" s="328"/>
      <c r="AD38" s="118">
        <v>0</v>
      </c>
      <c r="AE38" s="118">
        <v>0</v>
      </c>
      <c r="AF38" s="118">
        <v>0</v>
      </c>
      <c r="AG38" s="328">
        <v>0</v>
      </c>
    </row>
    <row r="39" spans="1:37">
      <c r="A39" s="623"/>
      <c r="B39" s="15" t="s">
        <v>242</v>
      </c>
      <c r="C39" s="10"/>
      <c r="D39" s="103"/>
      <c r="E39" s="38"/>
      <c r="F39" s="103"/>
      <c r="G39" s="103"/>
      <c r="H39" s="103"/>
      <c r="I39" s="10"/>
      <c r="J39" s="10"/>
      <c r="K39" s="10"/>
      <c r="L39" s="10"/>
      <c r="M39" s="10"/>
      <c r="N39" s="10"/>
      <c r="O39" s="6"/>
      <c r="Q39" s="1795"/>
      <c r="R39" s="1795"/>
      <c r="S39" s="1795"/>
      <c r="T39" s="1795"/>
      <c r="U39" s="1795"/>
      <c r="V39" s="1795"/>
      <c r="W39" s="328"/>
      <c r="X39" s="328"/>
      <c r="Y39" s="328"/>
      <c r="Z39" s="328"/>
      <c r="AA39" s="321"/>
      <c r="AB39" s="328"/>
      <c r="AC39" s="328"/>
      <c r="AD39" s="118">
        <v>0</v>
      </c>
      <c r="AE39" s="118">
        <v>0</v>
      </c>
      <c r="AF39" s="118"/>
      <c r="AG39" s="328"/>
      <c r="AH39" s="118"/>
      <c r="AI39" s="118"/>
      <c r="AJ39" s="118"/>
      <c r="AK39" s="118"/>
    </row>
    <row r="40" spans="1:37">
      <c r="A40" s="623" t="s">
        <v>266</v>
      </c>
      <c r="B40" s="16" t="s">
        <v>140</v>
      </c>
      <c r="C40" s="6">
        <f>+דוחות!K29</f>
        <v>1725978</v>
      </c>
      <c r="D40" s="6">
        <v>0</v>
      </c>
      <c r="E40" s="6">
        <v>0</v>
      </c>
      <c r="F40" s="6"/>
      <c r="G40" s="6">
        <v>0</v>
      </c>
      <c r="H40" s="6">
        <v>0</v>
      </c>
      <c r="I40" s="6"/>
      <c r="J40" s="6">
        <f>SUM(C40:I40)</f>
        <v>1725978</v>
      </c>
      <c r="K40" s="6"/>
      <c r="L40" s="6"/>
      <c r="M40" s="6"/>
      <c r="N40" s="6">
        <f>SUM(J40:K40)</f>
        <v>1725978</v>
      </c>
      <c r="O40" s="6"/>
      <c r="Q40" s="1794">
        <f>ROUND(N40/1000,0)</f>
        <v>1726</v>
      </c>
      <c r="R40" s="1794">
        <v>1643</v>
      </c>
      <c r="S40" s="1794">
        <v>1719</v>
      </c>
      <c r="T40" s="1794">
        <v>1685</v>
      </c>
      <c r="U40" s="1794">
        <v>1789</v>
      </c>
      <c r="V40" s="1794">
        <v>1651</v>
      </c>
      <c r="W40" s="322">
        <f>[120]Consolidation!O40</f>
        <v>1619</v>
      </c>
      <c r="X40" s="321">
        <v>1555</v>
      </c>
      <c r="Y40" s="321">
        <v>1605</v>
      </c>
      <c r="Z40" s="322">
        <v>1575</v>
      </c>
      <c r="AA40" s="321">
        <v>1518</v>
      </c>
      <c r="AB40" s="322">
        <v>1459</v>
      </c>
      <c r="AC40" s="322">
        <v>1388</v>
      </c>
      <c r="AD40" s="113">
        <v>1474</v>
      </c>
      <c r="AE40" s="113">
        <v>1441</v>
      </c>
      <c r="AF40" s="113">
        <v>1470</v>
      </c>
      <c r="AG40" s="322">
        <v>1430</v>
      </c>
      <c r="AH40" s="113">
        <v>688</v>
      </c>
      <c r="AI40" s="113">
        <f>W40-AH40</f>
        <v>931</v>
      </c>
      <c r="AJ40" s="126">
        <f>AI40/AH40</f>
        <v>1.3531976744186047</v>
      </c>
      <c r="AK40" s="113"/>
    </row>
    <row r="41" spans="1:37">
      <c r="A41" s="623"/>
      <c r="B41" s="2473" t="s">
        <v>5049</v>
      </c>
      <c r="C41" s="6">
        <f>דוחות!K28</f>
        <v>78849.345949784896</v>
      </c>
      <c r="D41" s="6">
        <f>-'New TB INC'!J429</f>
        <v>12844.785416020302</v>
      </c>
      <c r="E41" s="6"/>
      <c r="F41" s="6"/>
      <c r="G41" s="6">
        <v>0</v>
      </c>
      <c r="H41" s="6">
        <v>0</v>
      </c>
      <c r="I41" s="6"/>
      <c r="J41" s="6">
        <f>SUM(C41:I41)</f>
        <v>91694.131365805195</v>
      </c>
      <c r="K41" s="6"/>
      <c r="L41" s="6"/>
      <c r="M41" s="6"/>
      <c r="N41" s="6">
        <f>SUM(J41:K41)</f>
        <v>91694.131365805195</v>
      </c>
      <c r="O41" s="6"/>
      <c r="P41" s="334"/>
      <c r="Q41" s="4639">
        <f>ROUND(N41/1000,0)</f>
        <v>92</v>
      </c>
      <c r="R41" s="1794">
        <v>0</v>
      </c>
      <c r="S41" s="1794">
        <v>0</v>
      </c>
      <c r="T41" s="1794">
        <v>0</v>
      </c>
      <c r="U41" s="1794">
        <v>0</v>
      </c>
      <c r="V41" s="1794">
        <v>0</v>
      </c>
      <c r="W41" s="322">
        <f>[120]Consolidation!O41</f>
        <v>0</v>
      </c>
      <c r="X41" s="321">
        <v>0</v>
      </c>
      <c r="Y41" s="321">
        <v>0</v>
      </c>
      <c r="Z41" s="322">
        <v>0</v>
      </c>
      <c r="AA41" s="321">
        <v>0</v>
      </c>
      <c r="AB41" s="322">
        <v>0</v>
      </c>
      <c r="AC41" s="322">
        <v>0</v>
      </c>
      <c r="AD41" s="113">
        <v>0</v>
      </c>
      <c r="AE41" s="113">
        <v>0</v>
      </c>
      <c r="AF41" s="113">
        <v>6000</v>
      </c>
      <c r="AG41" s="322">
        <v>6000</v>
      </c>
      <c r="AH41" s="113"/>
      <c r="AI41" s="113"/>
      <c r="AJ41" s="126"/>
      <c r="AK41" s="113"/>
    </row>
    <row r="42" spans="1:37">
      <c r="A42" s="623"/>
      <c r="B42" s="5" t="s">
        <v>1926</v>
      </c>
      <c r="C42" s="6">
        <f>דוחות!K27</f>
        <v>6912456.9000000004</v>
      </c>
      <c r="D42" s="6"/>
      <c r="E42" s="6"/>
      <c r="F42" s="6"/>
      <c r="G42" s="6">
        <v>0</v>
      </c>
      <c r="H42" s="6">
        <v>0</v>
      </c>
      <c r="I42" s="6"/>
      <c r="J42" s="6">
        <f>SUM(C42:I42)</f>
        <v>6912456.9000000004</v>
      </c>
      <c r="K42" s="3095">
        <f>-J42</f>
        <v>-6912456.9000000004</v>
      </c>
      <c r="L42" s="6"/>
      <c r="M42" s="6"/>
      <c r="N42" s="6">
        <f>SUM(J42:L42)</f>
        <v>0</v>
      </c>
      <c r="O42" s="6"/>
      <c r="P42" s="334"/>
      <c r="Q42" s="1794">
        <f>ROUND(N42/1000,0)</f>
        <v>0</v>
      </c>
      <c r="R42" s="1794">
        <v>0</v>
      </c>
      <c r="S42" s="1794">
        <v>0</v>
      </c>
      <c r="T42" s="1794">
        <v>0</v>
      </c>
      <c r="U42" s="1794">
        <v>0</v>
      </c>
      <c r="V42" s="1794">
        <v>0</v>
      </c>
      <c r="W42" s="322">
        <f>[120]Consolidation!O42</f>
        <v>0</v>
      </c>
      <c r="X42" s="321">
        <v>0</v>
      </c>
      <c r="Y42" s="321">
        <v>0</v>
      </c>
      <c r="Z42" s="322">
        <v>0</v>
      </c>
      <c r="AA42" s="321">
        <v>0</v>
      </c>
      <c r="AB42" s="322"/>
      <c r="AC42" s="322"/>
      <c r="AD42" s="113"/>
      <c r="AE42" s="113"/>
      <c r="AF42" s="113"/>
      <c r="AG42" s="322"/>
      <c r="AH42" s="113"/>
      <c r="AI42" s="113"/>
      <c r="AJ42" s="126"/>
      <c r="AK42" s="113"/>
    </row>
    <row r="43" spans="1:37" s="380" customFormat="1">
      <c r="A43" s="627" t="s">
        <v>265</v>
      </c>
      <c r="B43" s="5" t="s">
        <v>261</v>
      </c>
      <c r="C43" s="6">
        <f>+דוחות!K26</f>
        <v>3366606</v>
      </c>
      <c r="D43" s="6">
        <f>-'New TB INC'!J406</f>
        <v>9061564.1799999997</v>
      </c>
      <c r="E43" s="6">
        <f>-'מאזן בוחן EUROPE'!K297</f>
        <v>4131087.14</v>
      </c>
      <c r="F43" s="6">
        <f>-SUM('מאזן בוחן Australia'!K139)</f>
        <v>2015822.66</v>
      </c>
      <c r="G43" s="6">
        <v>0</v>
      </c>
      <c r="H43" s="6">
        <f>'FS France'!C35</f>
        <v>654493.46</v>
      </c>
      <c r="I43" s="6"/>
      <c r="J43" s="6">
        <f>SUM(C43:I43)</f>
        <v>19229573.440000001</v>
      </c>
      <c r="K43" s="9"/>
      <c r="L43" s="6"/>
      <c r="M43" s="9"/>
      <c r="N43" s="6">
        <f>SUM(J43:M43)</f>
        <v>19229573.440000001</v>
      </c>
      <c r="O43" s="6"/>
      <c r="P43" s="334"/>
      <c r="Q43" s="1794">
        <f>ROUND(N43/1000,0)</f>
        <v>19230</v>
      </c>
      <c r="R43" s="1794">
        <v>17243</v>
      </c>
      <c r="S43" s="1794">
        <v>15464</v>
      </c>
      <c r="T43" s="1794">
        <v>15155</v>
      </c>
      <c r="U43" s="1794">
        <v>15049</v>
      </c>
      <c r="V43" s="1794">
        <v>13490</v>
      </c>
      <c r="W43" s="322">
        <f>[120]Consolidation!O43</f>
        <v>12077</v>
      </c>
      <c r="X43" s="321">
        <v>11253</v>
      </c>
      <c r="Y43" s="321">
        <v>12193</v>
      </c>
      <c r="Z43" s="322">
        <v>8320</v>
      </c>
      <c r="AA43" s="321">
        <v>9567</v>
      </c>
      <c r="AB43" s="322">
        <v>9734</v>
      </c>
      <c r="AC43" s="322">
        <v>8247</v>
      </c>
      <c r="AD43" s="113">
        <v>9147</v>
      </c>
      <c r="AE43" s="113">
        <v>9700</v>
      </c>
      <c r="AF43" s="113">
        <v>7314</v>
      </c>
      <c r="AG43" s="322">
        <v>7198</v>
      </c>
      <c r="AH43" s="113">
        <v>5063</v>
      </c>
      <c r="AI43" s="113">
        <f>W43-AH43</f>
        <v>7014</v>
      </c>
      <c r="AJ43" s="126">
        <f>AI43/AH43</f>
        <v>1.3853446573177959</v>
      </c>
      <c r="AK43" s="113"/>
    </row>
    <row r="44" spans="1:37">
      <c r="A44" s="623"/>
      <c r="B44" s="17"/>
      <c r="C44" s="18">
        <f t="shared" ref="C44:H44" si="7">SUM(C40:C43)</f>
        <v>12083890.245949786</v>
      </c>
      <c r="D44" s="18">
        <f t="shared" si="7"/>
        <v>9074408.9654160198</v>
      </c>
      <c r="E44" s="18">
        <f>SUM(E40:E43)</f>
        <v>4131087.14</v>
      </c>
      <c r="F44" s="18">
        <f t="shared" si="7"/>
        <v>2015822.66</v>
      </c>
      <c r="G44" s="18">
        <f t="shared" si="7"/>
        <v>0</v>
      </c>
      <c r="H44" s="18">
        <f t="shared" si="7"/>
        <v>654493.46</v>
      </c>
      <c r="I44" s="19"/>
      <c r="J44" s="18">
        <f>SUM(J40:J43)</f>
        <v>27959702.471365809</v>
      </c>
      <c r="K44" s="18">
        <f>SUM(K40:K43)</f>
        <v>-6912456.9000000004</v>
      </c>
      <c r="L44" s="18">
        <f>SUM(L40:L43)</f>
        <v>0</v>
      </c>
      <c r="M44" s="18">
        <f>SUM(M40:M43)</f>
        <v>0</v>
      </c>
      <c r="N44" s="18">
        <f>SUM(N40:N43)</f>
        <v>21047245.571365807</v>
      </c>
      <c r="O44" s="6"/>
      <c r="P44" s="116">
        <f>ROUND(N44/1000,0)-Q44</f>
        <v>-1</v>
      </c>
      <c r="Q44" s="330">
        <f>SUM(Q40:Q43)</f>
        <v>21048</v>
      </c>
      <c r="R44" s="3373">
        <v>18886</v>
      </c>
      <c r="S44" s="3373">
        <v>17183</v>
      </c>
      <c r="T44" s="330">
        <v>16840</v>
      </c>
      <c r="U44" s="330">
        <v>16838</v>
      </c>
      <c r="V44" s="330">
        <v>15141</v>
      </c>
      <c r="W44" s="330">
        <f>SUM(W40:W43)</f>
        <v>13696</v>
      </c>
      <c r="X44" s="330">
        <v>12808</v>
      </c>
      <c r="Y44" s="330">
        <v>13798</v>
      </c>
      <c r="Z44" s="330">
        <v>9895</v>
      </c>
      <c r="AA44" s="330">
        <f>SUM(AA40:AA43)</f>
        <v>11085</v>
      </c>
      <c r="AB44" s="330">
        <f>SUM(AB40:AB43)</f>
        <v>11193</v>
      </c>
      <c r="AC44" s="330">
        <v>9635</v>
      </c>
      <c r="AD44" s="121">
        <v>10621</v>
      </c>
      <c r="AE44" s="121">
        <v>11141</v>
      </c>
      <c r="AF44" s="121">
        <f>SUM(AF40:AF43)</f>
        <v>14784</v>
      </c>
      <c r="AG44" s="330">
        <f>SUM(AG40:AG43)</f>
        <v>14628</v>
      </c>
      <c r="AH44" s="121">
        <f>SUM(AH40:AH43)</f>
        <v>5751</v>
      </c>
      <c r="AI44" s="121">
        <f>W44-AH44</f>
        <v>7945</v>
      </c>
      <c r="AJ44" s="129">
        <f>AI44/AH44</f>
        <v>1.3814988697617805</v>
      </c>
      <c r="AK44" s="121"/>
    </row>
    <row r="45" spans="1:37">
      <c r="A45" s="623"/>
      <c r="B45" s="17"/>
      <c r="C45" s="19"/>
      <c r="D45" s="105"/>
      <c r="E45" s="19"/>
      <c r="F45" s="105"/>
      <c r="G45" s="105"/>
      <c r="H45" s="105"/>
      <c r="I45" s="19"/>
      <c r="J45" s="19"/>
      <c r="K45" s="19"/>
      <c r="L45" s="19"/>
      <c r="M45" s="19"/>
      <c r="N45" s="19"/>
      <c r="O45" s="6"/>
      <c r="Q45" s="1797"/>
      <c r="R45" s="1797"/>
      <c r="S45" s="1797"/>
      <c r="T45" s="1797"/>
      <c r="U45" s="1797"/>
      <c r="V45" s="1797"/>
      <c r="W45" s="331"/>
      <c r="X45" s="331"/>
      <c r="Y45" s="331"/>
      <c r="Z45" s="331"/>
      <c r="AA45" s="321"/>
      <c r="AB45" s="331"/>
      <c r="AC45" s="331"/>
      <c r="AD45" s="122">
        <v>0</v>
      </c>
      <c r="AE45" s="122">
        <v>0</v>
      </c>
      <c r="AF45" s="122">
        <v>0</v>
      </c>
      <c r="AG45" s="331">
        <v>0</v>
      </c>
    </row>
    <row r="46" spans="1:37">
      <c r="A46" s="623"/>
      <c r="B46" s="14"/>
      <c r="C46" s="19"/>
      <c r="D46" s="105"/>
      <c r="E46" s="19"/>
      <c r="F46" s="105"/>
      <c r="G46" s="105"/>
      <c r="H46" s="105"/>
      <c r="I46" s="19"/>
      <c r="J46" s="19"/>
      <c r="K46" s="19"/>
      <c r="L46" s="19"/>
      <c r="M46" s="19"/>
      <c r="N46" s="19"/>
      <c r="O46" s="6"/>
      <c r="Q46" s="1797"/>
      <c r="R46" s="1797"/>
      <c r="S46" s="1797"/>
      <c r="T46" s="1797"/>
      <c r="U46" s="1797"/>
      <c r="V46" s="1797"/>
      <c r="W46" s="331"/>
      <c r="X46" s="331"/>
      <c r="Y46" s="331"/>
      <c r="Z46" s="331"/>
      <c r="AA46" s="321"/>
      <c r="AB46" s="331"/>
      <c r="AC46" s="331"/>
      <c r="AD46" s="122">
        <v>0</v>
      </c>
      <c r="AE46" s="122">
        <v>0</v>
      </c>
      <c r="AF46" s="122">
        <v>0</v>
      </c>
      <c r="AG46" s="331">
        <v>0</v>
      </c>
      <c r="AH46" s="122"/>
      <c r="AI46" s="122"/>
      <c r="AJ46" s="122"/>
      <c r="AK46" s="122"/>
    </row>
    <row r="47" spans="1:37">
      <c r="A47" s="623"/>
      <c r="B47" s="14" t="s">
        <v>142</v>
      </c>
      <c r="C47" s="20"/>
      <c r="D47" s="106"/>
      <c r="E47" s="35"/>
      <c r="F47" s="106"/>
      <c r="G47" s="106"/>
      <c r="H47" s="106"/>
      <c r="I47" s="31"/>
      <c r="J47" s="20"/>
      <c r="K47" s="20"/>
      <c r="L47" s="20"/>
      <c r="M47" s="20"/>
      <c r="N47" s="20"/>
      <c r="O47" s="6"/>
      <c r="Q47" s="332"/>
      <c r="R47" s="332"/>
      <c r="S47" s="332"/>
      <c r="T47" s="332"/>
      <c r="U47" s="332"/>
      <c r="V47" s="332"/>
      <c r="W47" s="332"/>
      <c r="X47" s="332"/>
      <c r="Y47" s="332"/>
      <c r="Z47" s="332"/>
      <c r="AA47" s="321"/>
      <c r="AB47" s="332"/>
      <c r="AC47" s="332"/>
      <c r="AD47" s="124">
        <v>0</v>
      </c>
      <c r="AE47" s="124">
        <v>0</v>
      </c>
      <c r="AF47" s="124">
        <v>0</v>
      </c>
      <c r="AG47" s="332">
        <v>0</v>
      </c>
      <c r="AH47" s="122"/>
      <c r="AI47" s="122"/>
      <c r="AJ47" s="122"/>
      <c r="AK47" s="122"/>
    </row>
    <row r="48" spans="1:37">
      <c r="A48" s="623" t="s">
        <v>267</v>
      </c>
      <c r="B48" s="16" t="s">
        <v>143</v>
      </c>
      <c r="C48" s="9">
        <f>+דוחות!K32</f>
        <v>0</v>
      </c>
      <c r="D48" s="6">
        <f>-'New TB INC'!J438-'New TB INC'!J439</f>
        <v>3518.95</v>
      </c>
      <c r="E48" s="6">
        <f>-'מאזן בוחן EUROPE'!K302</f>
        <v>128</v>
      </c>
      <c r="F48" s="6"/>
      <c r="G48" s="6">
        <f>-'מאזן בוחן הודו'!K164</f>
        <v>1513.67</v>
      </c>
      <c r="H48" s="6">
        <f>-'מאזן בוחן צרפת'!K170</f>
        <v>1099.6600000000001</v>
      </c>
      <c r="I48" s="30"/>
      <c r="J48" s="6">
        <f>SUM(C48:I48)</f>
        <v>6260.28</v>
      </c>
      <c r="K48" s="3096">
        <f>-E48-H48-G48</f>
        <v>-2741.33</v>
      </c>
      <c r="L48" s="9"/>
      <c r="M48" s="9"/>
      <c r="N48" s="6">
        <f>SUM(J48:L48)</f>
        <v>3518.95</v>
      </c>
      <c r="O48" s="6"/>
      <c r="Q48" s="1794">
        <f>ROUND(N48/1000,0)</f>
        <v>4</v>
      </c>
      <c r="R48" s="1794">
        <v>4</v>
      </c>
      <c r="S48" s="1794">
        <v>4</v>
      </c>
      <c r="T48" s="1794">
        <v>4</v>
      </c>
      <c r="U48" s="1794">
        <v>4</v>
      </c>
      <c r="V48" s="1794">
        <v>4</v>
      </c>
      <c r="W48" s="322">
        <f>[120]Consolidation!O48</f>
        <v>4</v>
      </c>
      <c r="X48" s="321">
        <v>4</v>
      </c>
      <c r="Y48" s="321">
        <v>4</v>
      </c>
      <c r="Z48" s="322">
        <v>4</v>
      </c>
      <c r="AA48" s="321">
        <v>4</v>
      </c>
      <c r="AB48" s="322">
        <v>4</v>
      </c>
      <c r="AC48" s="322">
        <v>4</v>
      </c>
      <c r="AD48" s="113">
        <v>3</v>
      </c>
      <c r="AE48" s="113">
        <v>3</v>
      </c>
      <c r="AF48" s="113">
        <v>4</v>
      </c>
      <c r="AG48" s="322">
        <v>4</v>
      </c>
      <c r="AH48" s="113">
        <v>3</v>
      </c>
      <c r="AI48" s="113">
        <f t="shared" ref="AI48:AI53" si="8">W48-AH48</f>
        <v>1</v>
      </c>
      <c r="AJ48" s="126">
        <f t="shared" ref="AJ48:AJ53" si="9">AI48/AH48</f>
        <v>0.33333333333333331</v>
      </c>
      <c r="AK48" s="113"/>
    </row>
    <row r="49" spans="1:37">
      <c r="A49" s="623"/>
      <c r="B49" s="16" t="s">
        <v>287</v>
      </c>
      <c r="C49" s="9">
        <f>+דוחות!K34</f>
        <v>0</v>
      </c>
      <c r="D49" s="6">
        <f>-('New TB INC'!J444+'New TB INC'!J445)</f>
        <v>12992835.68</v>
      </c>
      <c r="E49" s="266">
        <f>-'מאזן בוחן EUROPE'!K303-'מאזן בוחן EUROPE'!K305</f>
        <v>354154.95</v>
      </c>
      <c r="F49" s="101"/>
      <c r="G49" s="6">
        <v>0</v>
      </c>
      <c r="H49" s="6">
        <v>0</v>
      </c>
      <c r="I49" s="30"/>
      <c r="J49" s="6">
        <f>SUM(C49:I49)</f>
        <v>13346990.629999999</v>
      </c>
      <c r="K49" s="9"/>
      <c r="L49" s="9"/>
      <c r="M49" s="9"/>
      <c r="N49" s="6">
        <f>SUM(J49:L49)</f>
        <v>13346990.629999999</v>
      </c>
      <c r="O49" s="6"/>
      <c r="Q49" s="1794">
        <f>ROUND(N49/1000,0)</f>
        <v>13347</v>
      </c>
      <c r="R49" s="1794">
        <v>12623</v>
      </c>
      <c r="S49" s="1794">
        <v>11967</v>
      </c>
      <c r="T49" s="1794">
        <v>11395</v>
      </c>
      <c r="U49" s="1794">
        <v>10694</v>
      </c>
      <c r="V49" s="1794">
        <v>10268</v>
      </c>
      <c r="W49" s="322">
        <f>[120]Consolidation!O49</f>
        <v>9593</v>
      </c>
      <c r="X49" s="321">
        <v>8885</v>
      </c>
      <c r="Y49" s="321">
        <v>8340</v>
      </c>
      <c r="Z49" s="322">
        <v>7822</v>
      </c>
      <c r="AA49" s="321">
        <v>7205</v>
      </c>
      <c r="AB49" s="322">
        <v>6731</v>
      </c>
      <c r="AC49" s="322">
        <v>6274</v>
      </c>
      <c r="AD49" s="113">
        <v>5682</v>
      </c>
      <c r="AE49" s="113">
        <v>5174</v>
      </c>
      <c r="AF49" s="113">
        <v>4694</v>
      </c>
      <c r="AG49" s="322">
        <v>4565</v>
      </c>
      <c r="AH49" s="113">
        <v>0</v>
      </c>
      <c r="AI49" s="113">
        <f t="shared" si="8"/>
        <v>9593</v>
      </c>
      <c r="AJ49" s="126">
        <v>0</v>
      </c>
      <c r="AK49" s="113"/>
    </row>
    <row r="50" spans="1:37">
      <c r="A50" s="623" t="s">
        <v>269</v>
      </c>
      <c r="B50" s="16" t="s">
        <v>269</v>
      </c>
      <c r="C50" s="32"/>
      <c r="D50" s="9">
        <f>-('New TB INC'!J440+'New TB INC'!J441+'New TB INC'!J443+'New TB INC'!J442)</f>
        <v>402373.74000000209</v>
      </c>
      <c r="F50" s="6"/>
      <c r="G50" s="6">
        <v>0</v>
      </c>
      <c r="H50" s="6">
        <v>0</v>
      </c>
      <c r="I50" s="30"/>
      <c r="J50" s="6">
        <f>SUM(C50:I50)</f>
        <v>402373.74000000209</v>
      </c>
      <c r="L50" s="9"/>
      <c r="M50" s="9"/>
      <c r="N50" s="6">
        <f>SUM(J50:L50)</f>
        <v>402373.74000000209</v>
      </c>
      <c r="O50" s="6"/>
      <c r="Q50" s="1794">
        <f>ROUND(N50/1000,0)</f>
        <v>402</v>
      </c>
      <c r="R50" s="1794">
        <v>402</v>
      </c>
      <c r="S50" s="1794">
        <v>402</v>
      </c>
      <c r="T50" s="1794">
        <v>402</v>
      </c>
      <c r="U50" s="1794">
        <v>402</v>
      </c>
      <c r="V50" s="1794">
        <v>-10503</v>
      </c>
      <c r="W50" s="322">
        <f>[120]Consolidation!O50</f>
        <v>-10503</v>
      </c>
      <c r="X50" s="321">
        <v>-10299</v>
      </c>
      <c r="Y50" s="321">
        <v>-10300</v>
      </c>
      <c r="Z50" s="322">
        <v>-10299</v>
      </c>
      <c r="AA50" s="321">
        <v>-10299</v>
      </c>
      <c r="AB50" s="322">
        <v>-10299</v>
      </c>
      <c r="AC50" s="322">
        <v>-10299</v>
      </c>
      <c r="AD50" s="113">
        <v>-10299</v>
      </c>
      <c r="AE50" s="113">
        <v>-11439</v>
      </c>
      <c r="AF50" s="113">
        <v>-11353</v>
      </c>
      <c r="AG50" s="322">
        <v>-11369</v>
      </c>
      <c r="AH50" s="113">
        <v>3799</v>
      </c>
      <c r="AI50" s="113">
        <f t="shared" si="8"/>
        <v>-14302</v>
      </c>
      <c r="AJ50" s="126">
        <f>AI50/AH50</f>
        <v>-3.7646749144511715</v>
      </c>
      <c r="AK50" s="113"/>
    </row>
    <row r="51" spans="1:37">
      <c r="A51" s="623" t="s">
        <v>262</v>
      </c>
      <c r="B51" s="16" t="s">
        <v>262</v>
      </c>
      <c r="C51" s="9">
        <f>+דוחות!K36</f>
        <v>-6214880.8600000003</v>
      </c>
      <c r="D51" s="9">
        <f>-'New TB INC'!J447-'New TB INC'!J448-'New TB INC'!J446</f>
        <v>-9315216.8300000001</v>
      </c>
      <c r="E51" s="6">
        <f>-'מאזן בוחן EUROPE'!K306-'מאזן בוחן EUROPE'!K304</f>
        <v>2331466.7999999998</v>
      </c>
      <c r="F51" s="6">
        <f>-'מאזן בוחן Australia'!K148</f>
        <v>-177557.41</v>
      </c>
      <c r="G51" s="6">
        <f>'FS India'!D42</f>
        <v>102989.66</v>
      </c>
      <c r="H51" s="6">
        <f>'FS France'!C42</f>
        <v>-528889.94999999995</v>
      </c>
      <c r="I51" s="30"/>
      <c r="J51" s="6">
        <f>SUM(C51:I51)</f>
        <v>-13802088.59</v>
      </c>
      <c r="K51" s="9"/>
      <c r="L51" s="9"/>
      <c r="M51" s="9"/>
      <c r="N51" s="6">
        <f>SUM(J51:L51)</f>
        <v>-13802088.59</v>
      </c>
      <c r="O51" s="6"/>
      <c r="Q51" s="322">
        <f>ROUND(N51/1000,0)-1</f>
        <v>-13803</v>
      </c>
      <c r="R51" s="322">
        <v>-13802</v>
      </c>
      <c r="S51" s="322">
        <v>-13802</v>
      </c>
      <c r="T51" s="322">
        <v>-13803</v>
      </c>
      <c r="U51" s="1794">
        <v>-16857</v>
      </c>
      <c r="V51" s="1794">
        <v>-5952</v>
      </c>
      <c r="W51" s="322">
        <f>[120]Consolidation!O51</f>
        <v>-5952</v>
      </c>
      <c r="X51" s="321">
        <v>-5952</v>
      </c>
      <c r="Y51" s="321">
        <v>-7202</v>
      </c>
      <c r="Z51" s="322">
        <v>-7169</v>
      </c>
      <c r="AA51" s="321">
        <v>-7203</v>
      </c>
      <c r="AB51" s="322">
        <v>-7203</v>
      </c>
      <c r="AC51" s="322">
        <v>-1059</v>
      </c>
      <c r="AD51" s="113">
        <v>-1059</v>
      </c>
      <c r="AE51" s="113">
        <v>-1059</v>
      </c>
      <c r="AF51" s="113">
        <v>-1059</v>
      </c>
      <c r="AG51" s="322">
        <v>1754</v>
      </c>
      <c r="AH51" s="113">
        <v>1340</v>
      </c>
      <c r="AI51" s="113">
        <f t="shared" si="8"/>
        <v>-7292</v>
      </c>
      <c r="AJ51" s="126">
        <f t="shared" si="9"/>
        <v>-5.4417910447761191</v>
      </c>
      <c r="AK51" s="113"/>
    </row>
    <row r="52" spans="1:37">
      <c r="A52" s="623"/>
      <c r="B52" s="16" t="s">
        <v>268</v>
      </c>
      <c r="C52" s="4">
        <f>+C77</f>
        <v>-4351460.8170343637</v>
      </c>
      <c r="D52" s="4">
        <f>D77</f>
        <v>3125212.0945839826</v>
      </c>
      <c r="E52" s="267">
        <f>+E77</f>
        <v>387230.7099999988</v>
      </c>
      <c r="F52" s="4">
        <f>+F77</f>
        <v>254001.8599999992</v>
      </c>
      <c r="G52" s="4">
        <f>'FS India'!D44</f>
        <v>234882.28691802928</v>
      </c>
      <c r="H52" s="4">
        <f>'FS France'!C44</f>
        <v>181704.01000000065</v>
      </c>
      <c r="I52" s="29"/>
      <c r="J52" s="6">
        <f>SUM(C52:I52)</f>
        <v>-168429.85553235322</v>
      </c>
      <c r="K52" s="4">
        <f>+K77</f>
        <v>0.79304549098014832</v>
      </c>
      <c r="L52" s="4">
        <f>+L77</f>
        <v>0</v>
      </c>
      <c r="M52" s="4"/>
      <c r="N52" s="6">
        <f>SUM(J52:L52)</f>
        <v>-168429.06248686224</v>
      </c>
      <c r="O52" s="6"/>
      <c r="Q52" s="1798">
        <f>+Q77</f>
        <v>-169</v>
      </c>
      <c r="R52" s="3125">
        <v>-2813</v>
      </c>
      <c r="S52" s="3125">
        <v>-2296</v>
      </c>
      <c r="T52" s="3125">
        <v>-1695</v>
      </c>
      <c r="U52" s="2641">
        <v>3054</v>
      </c>
      <c r="V52" s="2641">
        <v>-126</v>
      </c>
      <c r="W52" s="322">
        <f>[120]Consolidation!O52</f>
        <v>-1902</v>
      </c>
      <c r="X52" s="321">
        <v>-2590</v>
      </c>
      <c r="Y52" s="321">
        <v>1250</v>
      </c>
      <c r="Z52" s="322">
        <v>-5425</v>
      </c>
      <c r="AA52" s="321">
        <v>-6106</v>
      </c>
      <c r="AB52" s="322">
        <v>-3611</v>
      </c>
      <c r="AC52" s="322">
        <v>-11906</v>
      </c>
      <c r="AD52" s="113">
        <v>-11413</v>
      </c>
      <c r="AE52" s="113">
        <v>-8009</v>
      </c>
      <c r="AF52" s="113">
        <v>-3977</v>
      </c>
      <c r="AG52" s="322">
        <v>-2814</v>
      </c>
      <c r="AH52" s="113">
        <f>AH77</f>
        <v>414</v>
      </c>
      <c r="AI52" s="113">
        <f t="shared" si="8"/>
        <v>-2316</v>
      </c>
      <c r="AJ52" s="126">
        <f t="shared" si="9"/>
        <v>-5.5942028985507246</v>
      </c>
      <c r="AK52" s="113"/>
    </row>
    <row r="53" spans="1:37">
      <c r="A53" s="623"/>
      <c r="B53" s="16" t="s">
        <v>144</v>
      </c>
      <c r="C53" s="18">
        <f t="shared" ref="C53:H53" si="10">SUM(C48:C52)</f>
        <v>-10566341.677034363</v>
      </c>
      <c r="D53" s="18">
        <f t="shared" si="10"/>
        <v>7208723.6345839836</v>
      </c>
      <c r="E53" s="184">
        <f>SUM(E48:E52)</f>
        <v>3072980.459999999</v>
      </c>
      <c r="F53" s="18">
        <f t="shared" si="10"/>
        <v>76444.449999999197</v>
      </c>
      <c r="G53" s="18">
        <f t="shared" si="10"/>
        <v>339385.61691802926</v>
      </c>
      <c r="H53" s="634">
        <f t="shared" si="10"/>
        <v>-346086.27999999927</v>
      </c>
      <c r="I53" s="19"/>
      <c r="J53" s="18">
        <f>SUM(J48:J52)</f>
        <v>-214893.7955323527</v>
      </c>
      <c r="K53" s="18">
        <f>SUM(K48:K52)</f>
        <v>-2740.5369545090198</v>
      </c>
      <c r="L53" s="18">
        <f>SUM(L48:L52)</f>
        <v>0</v>
      </c>
      <c r="M53" s="18"/>
      <c r="N53" s="18">
        <f>SUM(N48:N52)</f>
        <v>-217634.33248686179</v>
      </c>
      <c r="O53" s="6"/>
      <c r="P53" s="116">
        <f>ROUND(N53/1000,0)-Q53</f>
        <v>1</v>
      </c>
      <c r="Q53" s="330">
        <f>SUM(Q48:Q52)</f>
        <v>-219</v>
      </c>
      <c r="R53" s="3373">
        <v>-3586</v>
      </c>
      <c r="S53" s="3373">
        <v>-3725</v>
      </c>
      <c r="T53" s="330">
        <v>-3697</v>
      </c>
      <c r="U53" s="330">
        <v>-2703</v>
      </c>
      <c r="V53" s="330">
        <v>-6309</v>
      </c>
      <c r="W53" s="330">
        <f>SUM(W48:W52)</f>
        <v>-8760</v>
      </c>
      <c r="X53" s="330">
        <v>-9952</v>
      </c>
      <c r="Y53" s="330">
        <v>-7908</v>
      </c>
      <c r="Z53" s="330">
        <v>-15067</v>
      </c>
      <c r="AA53" s="330">
        <f>SUM(AA48:AA52)-1</f>
        <v>-16400</v>
      </c>
      <c r="AB53" s="330">
        <f>SUM(AB48:AB52)-1</f>
        <v>-14379</v>
      </c>
      <c r="AC53" s="330">
        <v>-16986</v>
      </c>
      <c r="AD53" s="121">
        <v>-17088</v>
      </c>
      <c r="AE53" s="121">
        <v>-15330</v>
      </c>
      <c r="AF53" s="121">
        <v>-11691</v>
      </c>
      <c r="AG53" s="330">
        <v>-7860</v>
      </c>
      <c r="AH53" s="121">
        <f>SUM(AH48:AH52)</f>
        <v>5556</v>
      </c>
      <c r="AI53" s="121">
        <f t="shared" si="8"/>
        <v>-14316</v>
      </c>
      <c r="AJ53" s="129">
        <f t="shared" si="9"/>
        <v>-2.5766738660907129</v>
      </c>
      <c r="AK53" s="121"/>
    </row>
    <row r="54" spans="1:37">
      <c r="A54" s="623"/>
      <c r="C54" s="18"/>
      <c r="D54" s="104"/>
      <c r="E54" s="18"/>
      <c r="F54" s="104"/>
      <c r="G54" s="104"/>
      <c r="H54" s="104"/>
      <c r="I54" s="19"/>
      <c r="J54" s="18"/>
      <c r="K54" s="18"/>
      <c r="L54" s="18"/>
      <c r="M54" s="18"/>
      <c r="N54" s="18"/>
      <c r="O54" s="6"/>
      <c r="Q54" s="330"/>
      <c r="R54" s="3373"/>
      <c r="S54" s="3373"/>
      <c r="T54" s="330"/>
      <c r="U54" s="330"/>
      <c r="V54" s="330"/>
      <c r="W54" s="330"/>
      <c r="X54" s="330">
        <v>0</v>
      </c>
      <c r="Y54" s="330"/>
      <c r="Z54" s="330">
        <v>0</v>
      </c>
      <c r="AA54" s="321"/>
      <c r="AB54" s="330"/>
      <c r="AC54" s="330">
        <v>0</v>
      </c>
      <c r="AD54" s="121">
        <v>0</v>
      </c>
      <c r="AE54" s="121">
        <v>0</v>
      </c>
      <c r="AF54" s="121">
        <v>0</v>
      </c>
      <c r="AG54" s="330">
        <v>0</v>
      </c>
      <c r="AH54" s="121"/>
      <c r="AI54" s="121"/>
      <c r="AJ54" s="121"/>
      <c r="AK54" s="121"/>
    </row>
    <row r="55" spans="1:37" ht="13.5" thickBot="1">
      <c r="A55" s="623"/>
      <c r="B55" s="14" t="s">
        <v>243</v>
      </c>
      <c r="C55" s="12">
        <f t="shared" ref="C55:H55" si="11">+C37+C44+C53</f>
        <v>25679473.568915427</v>
      </c>
      <c r="D55" s="12">
        <f t="shared" si="11"/>
        <v>41168715.299999997</v>
      </c>
      <c r="E55" s="12">
        <f>+E37+E44+E53</f>
        <v>16201609.709999999</v>
      </c>
      <c r="F55" s="12">
        <f t="shared" si="11"/>
        <v>5056732.9299999988</v>
      </c>
      <c r="G55" s="12">
        <f t="shared" si="11"/>
        <v>1344195.02</v>
      </c>
      <c r="H55" s="12">
        <f t="shared" si="11"/>
        <v>6407528.1600000011</v>
      </c>
      <c r="I55" s="10"/>
      <c r="J55" s="12">
        <f>+J37+J44+J53</f>
        <v>95858254.688915431</v>
      </c>
      <c r="K55" s="12">
        <f>+K37+K44+K53</f>
        <v>-23377029.400000006</v>
      </c>
      <c r="L55" s="12">
        <f>+L37+L44+L53</f>
        <v>0</v>
      </c>
      <c r="M55" s="12">
        <f>+M37+M44+M53</f>
        <v>0</v>
      </c>
      <c r="N55" s="12">
        <f>+N37+N44+N53</f>
        <v>72481225.288915411</v>
      </c>
      <c r="O55" s="6"/>
      <c r="P55" s="116">
        <f>ROUND(N55/1000,0)-Q55</f>
        <v>-1</v>
      </c>
      <c r="Q55" s="329">
        <f>+Q37+Q44+Q53</f>
        <v>72482</v>
      </c>
      <c r="R55" s="3372">
        <v>62151</v>
      </c>
      <c r="S55" s="3372">
        <v>61165</v>
      </c>
      <c r="T55" s="329">
        <v>60325</v>
      </c>
      <c r="U55" s="329">
        <v>64876</v>
      </c>
      <c r="V55" s="329">
        <v>54253</v>
      </c>
      <c r="W55" s="329">
        <f>W53+W44+W37</f>
        <v>49012</v>
      </c>
      <c r="X55" s="329">
        <v>43322</v>
      </c>
      <c r="Y55" s="329">
        <v>51293</v>
      </c>
      <c r="Z55" s="329">
        <v>33607</v>
      </c>
      <c r="AA55" s="329">
        <f>+AA37+AA44+AA53</f>
        <v>35090</v>
      </c>
      <c r="AB55" s="329">
        <f>+AB37+AB44+AB53</f>
        <v>31611</v>
      </c>
      <c r="AC55" s="329">
        <v>31663</v>
      </c>
      <c r="AD55" s="119">
        <v>30874</v>
      </c>
      <c r="AE55" s="119">
        <v>33880</v>
      </c>
      <c r="AF55" s="119">
        <v>67534</v>
      </c>
      <c r="AG55" s="329">
        <v>73948</v>
      </c>
      <c r="AH55" s="119">
        <f>+AH37+AH44+AH53</f>
        <v>33005</v>
      </c>
      <c r="AI55" s="119">
        <f>W55-AH55</f>
        <v>16007</v>
      </c>
      <c r="AJ55" s="128">
        <f>AI55/AH55</f>
        <v>0.48498712316315712</v>
      </c>
      <c r="AK55" s="119"/>
    </row>
    <row r="56" spans="1:37">
      <c r="A56" s="623"/>
      <c r="C56" s="635">
        <f t="shared" ref="C56:H56" si="12">C55-C28</f>
        <v>-0.2810845747590065</v>
      </c>
      <c r="D56" s="635">
        <f t="shared" si="12"/>
        <v>0</v>
      </c>
      <c r="E56" s="635">
        <f>E55-E28</f>
        <v>0</v>
      </c>
      <c r="F56" s="635">
        <f t="shared" si="12"/>
        <v>0</v>
      </c>
      <c r="G56" s="635">
        <f t="shared" si="12"/>
        <v>-1.0000000009313226E-2</v>
      </c>
      <c r="H56" s="635">
        <f t="shared" si="12"/>
        <v>0</v>
      </c>
      <c r="I56" s="112"/>
      <c r="J56" s="112">
        <f>J55-J28</f>
        <v>-0.29108458757400513</v>
      </c>
      <c r="K56" s="523">
        <f>K55-K28</f>
        <v>-1.4600000008940697</v>
      </c>
      <c r="L56" s="112">
        <f>L55-L28</f>
        <v>0</v>
      </c>
      <c r="M56" s="112">
        <f>M55-M28</f>
        <v>0</v>
      </c>
      <c r="N56" s="112">
        <f>N55-N28</f>
        <v>-0.75108461081981659</v>
      </c>
      <c r="O56" s="6"/>
      <c r="P56" s="112"/>
      <c r="Q56" s="112">
        <f>Q55-Q28</f>
        <v>1</v>
      </c>
      <c r="R56" s="112">
        <v>0</v>
      </c>
      <c r="S56" s="112">
        <v>0</v>
      </c>
      <c r="T56" s="112">
        <v>0</v>
      </c>
      <c r="U56" s="112">
        <v>1</v>
      </c>
      <c r="V56" s="2642">
        <v>0</v>
      </c>
      <c r="W56" s="112">
        <f>W55-W28</f>
        <v>0</v>
      </c>
      <c r="X56" s="193"/>
      <c r="Y56" s="193">
        <v>0</v>
      </c>
      <c r="Z56" s="193">
        <v>0</v>
      </c>
      <c r="AA56" s="193">
        <f>AA55-AA28</f>
        <v>0</v>
      </c>
      <c r="AB56" s="193"/>
      <c r="AC56" s="193">
        <f>AC55-AC28</f>
        <v>0</v>
      </c>
      <c r="AD56" s="193">
        <v>0</v>
      </c>
      <c r="AE56" s="193">
        <v>0</v>
      </c>
      <c r="AF56" s="193">
        <v>0</v>
      </c>
      <c r="AG56" s="116"/>
      <c r="AH56" s="112">
        <f>AH55-AH28</f>
        <v>0</v>
      </c>
      <c r="AI56" s="112"/>
    </row>
    <row r="57" spans="1:37">
      <c r="A57" s="623"/>
      <c r="D57" s="100"/>
      <c r="E57" s="4"/>
      <c r="F57" s="100"/>
      <c r="G57" s="100"/>
      <c r="H57" s="100"/>
      <c r="I57" s="29"/>
      <c r="J57" s="4"/>
      <c r="K57" s="4"/>
      <c r="L57" s="4"/>
      <c r="M57" s="4"/>
      <c r="N57" s="4"/>
      <c r="O57" s="6"/>
      <c r="Q57" s="115"/>
      <c r="R57" s="115"/>
      <c r="S57" s="115"/>
      <c r="T57" s="115"/>
      <c r="U57" s="115"/>
      <c r="V57" s="115"/>
      <c r="W57" s="115"/>
      <c r="X57" s="115"/>
      <c r="Y57" s="115"/>
      <c r="Z57" s="115"/>
      <c r="AA57" s="115"/>
      <c r="AB57" s="115"/>
      <c r="AC57" s="115"/>
      <c r="AD57" s="193"/>
      <c r="AE57" s="193"/>
      <c r="AF57" s="193">
        <v>0</v>
      </c>
      <c r="AG57" s="116"/>
      <c r="AH57" s="123">
        <v>1</v>
      </c>
      <c r="AI57" s="123"/>
      <c r="AJ57" s="123"/>
      <c r="AK57" s="123"/>
    </row>
    <row r="58" spans="1:37">
      <c r="A58" s="623"/>
      <c r="D58" s="100"/>
      <c r="E58" s="4"/>
      <c r="F58" s="100"/>
      <c r="G58" s="100"/>
      <c r="H58" s="100"/>
      <c r="I58" s="29"/>
      <c r="J58" s="4"/>
      <c r="K58" s="4"/>
      <c r="L58" s="4"/>
      <c r="M58" s="4"/>
      <c r="N58" s="4"/>
      <c r="O58" s="6"/>
      <c r="Q58" s="115"/>
      <c r="R58" s="115"/>
      <c r="S58" s="115"/>
      <c r="T58" s="115">
        <v>0</v>
      </c>
      <c r="U58" s="115"/>
      <c r="V58" s="115"/>
      <c r="W58" s="115"/>
      <c r="X58" s="115"/>
      <c r="Y58" s="115"/>
      <c r="Z58" s="115"/>
      <c r="AA58" s="115"/>
      <c r="AB58" s="115"/>
      <c r="AC58" s="115"/>
      <c r="AD58" s="116"/>
      <c r="AE58" s="116"/>
      <c r="AF58" s="116"/>
      <c r="AG58" s="116"/>
      <c r="AH58" s="115"/>
      <c r="AI58" s="115"/>
      <c r="AJ58" s="115"/>
      <c r="AK58" s="115"/>
    </row>
    <row r="59" spans="1:37">
      <c r="A59" s="623"/>
      <c r="D59" s="100"/>
      <c r="E59" s="4"/>
      <c r="F59" s="100"/>
      <c r="G59" s="100"/>
      <c r="H59" s="100"/>
      <c r="I59" s="29"/>
      <c r="J59" s="4"/>
      <c r="K59" s="4"/>
      <c r="L59" s="4"/>
      <c r="M59" s="4"/>
      <c r="N59" s="4"/>
      <c r="O59" s="6"/>
      <c r="Q59" s="115"/>
      <c r="R59" s="115"/>
      <c r="S59" s="115"/>
      <c r="T59" s="115"/>
      <c r="U59" s="115"/>
      <c r="V59" s="115"/>
      <c r="W59" s="115"/>
      <c r="X59" s="115"/>
      <c r="Y59" s="115"/>
      <c r="Z59" s="115"/>
      <c r="AA59" s="115"/>
      <c r="AB59" s="115"/>
      <c r="AC59" s="115"/>
      <c r="AD59" s="116"/>
      <c r="AE59" s="116"/>
      <c r="AF59" s="116"/>
      <c r="AG59" s="116"/>
      <c r="AH59" s="115"/>
      <c r="AI59" s="115"/>
      <c r="AJ59" s="115"/>
      <c r="AK59" s="115"/>
    </row>
    <row r="60" spans="1:37" ht="26.25" thickBot="1">
      <c r="A60" s="623"/>
      <c r="C60" s="653" t="str">
        <f>+C4</f>
        <v>Algosec System Ltd</v>
      </c>
      <c r="D60" s="653" t="str">
        <f>+D4</f>
        <v>Algosec Inc</v>
      </c>
      <c r="E60" s="653" t="str">
        <f>+E4</f>
        <v>Algosec Europe</v>
      </c>
      <c r="F60" s="653" t="str">
        <f>+F4</f>
        <v xml:space="preserve">Algosec Australia </v>
      </c>
      <c r="G60" s="653" t="s">
        <v>2487</v>
      </c>
      <c r="H60" s="653" t="s">
        <v>2259</v>
      </c>
      <c r="J60" s="4424" t="s">
        <v>417</v>
      </c>
      <c r="K60" s="4424"/>
      <c r="L60" s="4424"/>
      <c r="M60" s="4424"/>
      <c r="N60" s="4424"/>
      <c r="O60" s="6"/>
      <c r="AD60" s="116"/>
      <c r="AE60" s="116"/>
      <c r="AF60" s="116"/>
      <c r="AG60" s="116"/>
      <c r="AH60" s="115"/>
      <c r="AI60" s="115"/>
      <c r="AJ60" s="115"/>
      <c r="AK60" s="115"/>
    </row>
    <row r="61" spans="1:37" ht="26.25" thickBot="1">
      <c r="A61" s="623"/>
      <c r="B61" s="21" t="s">
        <v>244</v>
      </c>
      <c r="C61" s="665">
        <f>C5</f>
        <v>44561</v>
      </c>
      <c r="D61" s="655">
        <f>C61</f>
        <v>44561</v>
      </c>
      <c r="E61" s="655">
        <f>D61</f>
        <v>44561</v>
      </c>
      <c r="F61" s="655">
        <f>E61</f>
        <v>44561</v>
      </c>
      <c r="G61" s="655">
        <f>F61</f>
        <v>44561</v>
      </c>
      <c r="H61" s="655">
        <f>G61</f>
        <v>44561</v>
      </c>
      <c r="J61" s="665">
        <f>G61</f>
        <v>44561</v>
      </c>
      <c r="K61" s="666" t="s">
        <v>253</v>
      </c>
      <c r="L61" s="2418" t="s">
        <v>253</v>
      </c>
      <c r="M61" s="667"/>
      <c r="N61" s="655">
        <f>J61</f>
        <v>44561</v>
      </c>
      <c r="O61" s="6"/>
      <c r="Q61" s="657">
        <f>N61</f>
        <v>44561</v>
      </c>
      <c r="R61" s="657">
        <v>44469</v>
      </c>
      <c r="S61" s="657">
        <v>44377</v>
      </c>
      <c r="T61" s="657">
        <v>44286</v>
      </c>
      <c r="U61" s="657">
        <v>44196</v>
      </c>
      <c r="V61" s="657">
        <v>44104</v>
      </c>
      <c r="W61" s="657">
        <v>44012</v>
      </c>
      <c r="X61" s="657">
        <v>43921</v>
      </c>
      <c r="Y61" s="657">
        <v>43830</v>
      </c>
      <c r="Z61" s="657">
        <v>43738</v>
      </c>
      <c r="AA61" s="657">
        <v>43646</v>
      </c>
      <c r="AB61" s="657">
        <v>43555</v>
      </c>
      <c r="AC61" s="657">
        <v>43465</v>
      </c>
      <c r="AD61" s="658">
        <v>43373</v>
      </c>
      <c r="AE61" s="658">
        <v>43281</v>
      </c>
      <c r="AF61" s="658">
        <f>AF5</f>
        <v>43190</v>
      </c>
      <c r="AG61" s="657">
        <f>AG5</f>
        <v>43100</v>
      </c>
      <c r="AH61" s="658">
        <v>42735</v>
      </c>
      <c r="AI61" s="658" t="s">
        <v>501</v>
      </c>
      <c r="AJ61" s="658" t="s">
        <v>502</v>
      </c>
      <c r="AK61" s="658" t="s">
        <v>503</v>
      </c>
    </row>
    <row r="62" spans="1:37" ht="13.5" thickTop="1">
      <c r="A62" s="623"/>
      <c r="B62" s="22"/>
      <c r="C62" s="659" t="s">
        <v>4</v>
      </c>
      <c r="D62" s="659" t="s">
        <v>4</v>
      </c>
      <c r="E62" s="659" t="s">
        <v>4</v>
      </c>
      <c r="F62" s="659" t="s">
        <v>4</v>
      </c>
      <c r="G62" s="659" t="s">
        <v>4</v>
      </c>
      <c r="H62" s="659" t="s">
        <v>4</v>
      </c>
      <c r="J62" s="659" t="s">
        <v>4</v>
      </c>
      <c r="K62" s="659" t="s">
        <v>4</v>
      </c>
      <c r="L62" s="659" t="s">
        <v>4</v>
      </c>
      <c r="M62" s="659"/>
      <c r="N62" s="659" t="s">
        <v>4</v>
      </c>
      <c r="O62" s="6"/>
      <c r="Q62" s="668" t="s">
        <v>4</v>
      </c>
      <c r="R62" s="3374" t="s">
        <v>4</v>
      </c>
      <c r="S62" s="3374" t="s">
        <v>4</v>
      </c>
      <c r="T62" s="668" t="s">
        <v>4</v>
      </c>
      <c r="U62" s="668" t="s">
        <v>4</v>
      </c>
      <c r="V62" s="668" t="s">
        <v>4</v>
      </c>
      <c r="W62" s="668" t="s">
        <v>4</v>
      </c>
      <c r="X62" s="668" t="s">
        <v>4</v>
      </c>
      <c r="Y62" s="668" t="s">
        <v>4</v>
      </c>
      <c r="Z62" s="668" t="s">
        <v>4</v>
      </c>
      <c r="AA62" s="668" t="s">
        <v>4</v>
      </c>
      <c r="AB62" s="668" t="s">
        <v>4</v>
      </c>
      <c r="AC62" s="668" t="s">
        <v>4</v>
      </c>
      <c r="AD62" s="659" t="s">
        <v>4</v>
      </c>
      <c r="AE62" s="659" t="s">
        <v>4</v>
      </c>
      <c r="AF62" s="659" t="s">
        <v>4</v>
      </c>
      <c r="AG62" s="668" t="s">
        <v>4</v>
      </c>
      <c r="AH62" s="659" t="s">
        <v>4</v>
      </c>
      <c r="AI62" s="663" t="s">
        <v>4</v>
      </c>
      <c r="AJ62" s="663" t="s">
        <v>4</v>
      </c>
      <c r="AK62" s="663"/>
    </row>
    <row r="63" spans="1:37">
      <c r="A63" s="623"/>
      <c r="B63" s="22"/>
      <c r="C63" s="660"/>
      <c r="D63" s="669"/>
      <c r="E63" s="660"/>
      <c r="F63" s="669"/>
      <c r="G63" s="669"/>
      <c r="H63" s="669"/>
      <c r="J63" s="660"/>
      <c r="K63" s="660"/>
      <c r="L63" s="660"/>
      <c r="M63" s="660"/>
      <c r="N63" s="660"/>
      <c r="O63" s="6"/>
      <c r="P63" s="126"/>
      <c r="Q63" s="1800"/>
      <c r="R63" s="1800"/>
      <c r="S63" s="1800"/>
      <c r="T63" s="1800"/>
      <c r="U63" s="1800"/>
      <c r="V63" s="1800"/>
      <c r="W63" s="670"/>
      <c r="X63" s="670">
        <v>0</v>
      </c>
      <c r="Y63" s="670"/>
      <c r="Z63" s="670"/>
      <c r="AA63" s="670"/>
      <c r="AB63" s="670"/>
      <c r="AC63" s="670"/>
      <c r="AD63" s="660"/>
      <c r="AE63" s="660"/>
      <c r="AF63" s="660"/>
      <c r="AG63" s="321"/>
      <c r="AH63" s="660"/>
      <c r="AI63" s="660"/>
      <c r="AJ63" s="660"/>
      <c r="AK63" s="660"/>
    </row>
    <row r="64" spans="1:37">
      <c r="A64" s="623" t="s">
        <v>84</v>
      </c>
      <c r="B64" s="22" t="s">
        <v>145</v>
      </c>
      <c r="C64" s="6">
        <f>+דוחות!Q12</f>
        <v>43284099.299999997</v>
      </c>
      <c r="D64" s="6">
        <f>-'New TB INC'!J484</f>
        <v>35909314.140000001</v>
      </c>
      <c r="E64" s="6">
        <f>-'מאזן בוחן EUROPE'!K345</f>
        <v>19220396.5</v>
      </c>
      <c r="F64" s="6">
        <f>-'מאזן בוחן Australia'!K179</f>
        <v>5012328.7699999996</v>
      </c>
      <c r="G64" s="6">
        <f>'FS India'!D52</f>
        <v>2876820.1369545031</v>
      </c>
      <c r="H64" s="6">
        <f>'FS France'!C52</f>
        <v>2836751.0400000005</v>
      </c>
      <c r="I64" s="6"/>
      <c r="J64" s="6">
        <f>SUM(C64:I64)</f>
        <v>109139709.8869545</v>
      </c>
      <c r="K64" s="6">
        <f>SUM('יתרות בינחברתיות'!$C$53:$C$59)</f>
        <v>-35708761.84695451</v>
      </c>
      <c r="L64" s="6"/>
      <c r="M64" s="6"/>
      <c r="N64" s="6">
        <f>SUM(J64:L64)</f>
        <v>73430948.039999992</v>
      </c>
      <c r="O64" s="4176"/>
      <c r="P64" s="3126">
        <f t="shared" ref="P64:P71" si="13">Q64-R64</f>
        <v>24100</v>
      </c>
      <c r="Q64" s="1794">
        <f>ROUND(N64/1000,0)</f>
        <v>73431</v>
      </c>
      <c r="R64" s="1794">
        <v>49331</v>
      </c>
      <c r="S64" s="1794">
        <v>31569</v>
      </c>
      <c r="T64" s="1794">
        <v>15243</v>
      </c>
      <c r="U64" s="1794">
        <v>68194</v>
      </c>
      <c r="V64" s="1794">
        <v>47711</v>
      </c>
      <c r="W64" s="1794">
        <f>[120]Consolidation!$O$64</f>
        <v>31000</v>
      </c>
      <c r="X64" s="322">
        <v>14047</v>
      </c>
      <c r="Y64" s="322">
        <v>64562</v>
      </c>
      <c r="Z64" s="322">
        <v>41381</v>
      </c>
      <c r="AA64" s="321">
        <v>26397</v>
      </c>
      <c r="AB64" s="322">
        <v>12401</v>
      </c>
      <c r="AC64" s="322">
        <v>54118</v>
      </c>
      <c r="AD64" s="113">
        <v>36265</v>
      </c>
      <c r="AE64" s="113">
        <v>23492</v>
      </c>
      <c r="AF64" s="113">
        <v>10417</v>
      </c>
      <c r="AG64" s="322">
        <v>51027</v>
      </c>
      <c r="AH64" s="113">
        <v>42053</v>
      </c>
      <c r="AI64" s="113">
        <f>W64-AH64</f>
        <v>-11053</v>
      </c>
      <c r="AJ64" s="126">
        <f>AI64/AH64</f>
        <v>-0.26283499393622334</v>
      </c>
      <c r="AK64" s="113"/>
    </row>
    <row r="65" spans="1:38">
      <c r="A65" s="623" t="s">
        <v>251</v>
      </c>
      <c r="B65" s="22" t="s">
        <v>251</v>
      </c>
      <c r="C65" s="23">
        <f>+דוחות!Q31</f>
        <v>8433827.3007584065</v>
      </c>
      <c r="D65" s="23">
        <f>'New TB INC'!J581+'New TB INC'!J623*0</f>
        <v>19472456.969999999</v>
      </c>
      <c r="E65" s="23">
        <f>+'מאזן בוחן EUROPE'!K370</f>
        <v>14407494.210000001</v>
      </c>
      <c r="F65" s="23">
        <f>'מאזן בוחן Australia'!K194</f>
        <v>3066115.67</v>
      </c>
      <c r="G65" s="1740">
        <f>'FS India'!D53</f>
        <v>1342077.3600000001</v>
      </c>
      <c r="H65" s="23">
        <f>'FS France'!C53</f>
        <v>1392203.31</v>
      </c>
      <c r="I65" s="29"/>
      <c r="J65" s="24">
        <f>SUM(C65:I65)</f>
        <v>48114174.82075841</v>
      </c>
      <c r="K65" s="24">
        <f>-SUM('יתרות בינחברתיות'!$C$73,'יתרות בינחברתיות'!$C$71,'יתרות בינחברתיות'!$C$65,'יתרות בינחברתיות'!$C$69,'יתרות בינחברתיות'!$C$67)</f>
        <v>-35708762.640000001</v>
      </c>
      <c r="L65" s="24"/>
      <c r="M65" s="24"/>
      <c r="N65" s="24">
        <f>SUM(J65:L65)</f>
        <v>12405412.180758409</v>
      </c>
      <c r="O65" s="4176"/>
      <c r="P65" s="3127">
        <f t="shared" si="13"/>
        <v>3510</v>
      </c>
      <c r="Q65" s="1798">
        <f>ROUND(N65/1000,0)</f>
        <v>12405</v>
      </c>
      <c r="R65" s="3125">
        <v>8895</v>
      </c>
      <c r="S65" s="3125">
        <v>5726</v>
      </c>
      <c r="T65" s="3125">
        <v>2815</v>
      </c>
      <c r="U65" s="2641">
        <v>11065</v>
      </c>
      <c r="V65" s="2641">
        <v>8209</v>
      </c>
      <c r="W65" s="1798">
        <f>[120]Consolidation!$O$65</f>
        <v>5639</v>
      </c>
      <c r="X65" s="323">
        <v>2686</v>
      </c>
      <c r="Y65" s="323">
        <v>11634</v>
      </c>
      <c r="Z65" s="323">
        <v>8643</v>
      </c>
      <c r="AA65" s="374">
        <v>6210</v>
      </c>
      <c r="AB65" s="366">
        <v>3046</v>
      </c>
      <c r="AC65" s="323">
        <v>11455</v>
      </c>
      <c r="AD65" s="114">
        <v>8504</v>
      </c>
      <c r="AE65" s="114">
        <v>5757</v>
      </c>
      <c r="AF65" s="114">
        <v>2975</v>
      </c>
      <c r="AG65" s="323">
        <v>8062</v>
      </c>
      <c r="AH65" s="114">
        <v>5518</v>
      </c>
      <c r="AI65" s="114">
        <f>W65-AH65</f>
        <v>121</v>
      </c>
      <c r="AJ65" s="130">
        <f>AI65/AH65</f>
        <v>2.192823486770569E-2</v>
      </c>
      <c r="AK65" s="114"/>
    </row>
    <row r="66" spans="1:38">
      <c r="A66" s="623"/>
      <c r="B66" s="22" t="s">
        <v>263</v>
      </c>
      <c r="C66" s="4">
        <f t="shared" ref="C66:H66" si="14">+C64-C65</f>
        <v>34850271.99924159</v>
      </c>
      <c r="D66" s="4">
        <f t="shared" si="14"/>
        <v>16436857.170000002</v>
      </c>
      <c r="E66" s="4">
        <f>+E64-E65</f>
        <v>4812902.2899999991</v>
      </c>
      <c r="F66" s="4">
        <f t="shared" si="14"/>
        <v>1946213.0999999996</v>
      </c>
      <c r="G66" s="4">
        <f t="shared" si="14"/>
        <v>1534742.776954503</v>
      </c>
      <c r="H66" s="4">
        <f t="shared" si="14"/>
        <v>1444547.7300000004</v>
      </c>
      <c r="I66" s="29"/>
      <c r="J66" s="4">
        <f>+J64-J65</f>
        <v>61025535.066196091</v>
      </c>
      <c r="K66" s="4">
        <f>+K64-K65</f>
        <v>0.79304549098014832</v>
      </c>
      <c r="L66" s="4">
        <f>+L64-L65</f>
        <v>0</v>
      </c>
      <c r="M66" s="4"/>
      <c r="N66" s="4">
        <f>+N64-N65</f>
        <v>61025535.859241582</v>
      </c>
      <c r="O66" s="6"/>
      <c r="P66" s="3126">
        <f t="shared" si="13"/>
        <v>20590</v>
      </c>
      <c r="Q66" s="1794">
        <f>+Q64-Q65</f>
        <v>61026</v>
      </c>
      <c r="R66" s="1794">
        <v>40436</v>
      </c>
      <c r="S66" s="1794">
        <v>25843</v>
      </c>
      <c r="T66" s="1794">
        <v>12428</v>
      </c>
      <c r="U66" s="1794">
        <v>57129</v>
      </c>
      <c r="V66" s="1794">
        <v>39502</v>
      </c>
      <c r="W66" s="1794">
        <f>[120]Consolidation!$O$66</f>
        <v>25361</v>
      </c>
      <c r="X66" s="322">
        <v>11361</v>
      </c>
      <c r="Y66" s="322">
        <v>52928</v>
      </c>
      <c r="Z66" s="322">
        <v>32738</v>
      </c>
      <c r="AA66" s="322">
        <f>+AA64-AA65</f>
        <v>20187</v>
      </c>
      <c r="AB66" s="322">
        <v>9355</v>
      </c>
      <c r="AC66" s="322">
        <v>42663</v>
      </c>
      <c r="AD66" s="113">
        <v>27761</v>
      </c>
      <c r="AE66" s="113">
        <v>17735</v>
      </c>
      <c r="AF66" s="113">
        <v>7442</v>
      </c>
      <c r="AG66" s="322">
        <v>42965</v>
      </c>
      <c r="AH66" s="113">
        <f>+AH64-AH65</f>
        <v>36535</v>
      </c>
      <c r="AI66" s="113">
        <f>W66-AH66</f>
        <v>-11174</v>
      </c>
      <c r="AJ66" s="126">
        <f>AI66/AH66</f>
        <v>-0.30584371150951145</v>
      </c>
      <c r="AK66" s="113"/>
      <c r="AL66" s="647"/>
    </row>
    <row r="67" spans="1:38">
      <c r="A67" s="623"/>
      <c r="B67" s="394">
        <f>SUM(D68)/SUM(C65:H65)</f>
        <v>2.5566512666643094E-2</v>
      </c>
      <c r="C67" s="6"/>
      <c r="D67" s="101"/>
      <c r="E67" s="6"/>
      <c r="F67" s="101"/>
      <c r="G67" s="101"/>
      <c r="H67" s="6"/>
      <c r="I67" s="6"/>
      <c r="J67" s="6"/>
      <c r="K67" s="6"/>
      <c r="L67" s="6"/>
      <c r="M67" s="6"/>
      <c r="N67" s="6"/>
      <c r="O67" s="6"/>
      <c r="P67" s="3128">
        <f t="shared" si="13"/>
        <v>1.1378480950552494E-2</v>
      </c>
      <c r="Q67" s="671">
        <f>Q66/Q64</f>
        <v>0.83106589859868452</v>
      </c>
      <c r="R67" s="671">
        <v>0.81968741764813202</v>
      </c>
      <c r="S67" s="671">
        <v>0.81861953181918967</v>
      </c>
      <c r="T67" s="671">
        <v>0.81532506724398079</v>
      </c>
      <c r="U67" s="671">
        <v>0.83774232337155763</v>
      </c>
      <c r="V67" s="671">
        <v>0.8279432416004695</v>
      </c>
      <c r="W67" s="671">
        <f>[121]Consolidation!O67</f>
        <v>0.81809677419354843</v>
      </c>
      <c r="X67" s="671">
        <v>0.80878479390617208</v>
      </c>
      <c r="Y67" s="671">
        <v>0.81980112140268269</v>
      </c>
      <c r="Z67" s="671">
        <v>0.79113602861216503</v>
      </c>
      <c r="AA67" s="671">
        <f>AA66/AA64</f>
        <v>0.76474599386293896</v>
      </c>
      <c r="AB67" s="671">
        <v>0.75437464720587044</v>
      </c>
      <c r="AC67" s="671">
        <v>0.78833290217672491</v>
      </c>
      <c r="AD67" s="113">
        <v>0</v>
      </c>
      <c r="AE67" s="113">
        <v>0</v>
      </c>
      <c r="AF67" s="113">
        <v>0</v>
      </c>
      <c r="AG67" s="671">
        <f>AG66/AG64</f>
        <v>0.84200521292648989</v>
      </c>
      <c r="AH67" s="113"/>
      <c r="AI67" s="113"/>
      <c r="AJ67" s="113"/>
      <c r="AK67" s="113"/>
    </row>
    <row r="68" spans="1:38">
      <c r="A68" s="623" t="s">
        <v>192</v>
      </c>
      <c r="B68" s="22" t="s">
        <v>245</v>
      </c>
      <c r="C68" s="6">
        <f>+דוחות!Q23</f>
        <v>24668549.670178413</v>
      </c>
      <c r="D68" s="6">
        <f>+'New TB INC'!J623*1</f>
        <v>1230111.6600000001</v>
      </c>
      <c r="E68" s="6"/>
      <c r="F68" s="6">
        <f>'מאזן בוחן Australia'!K200</f>
        <v>0</v>
      </c>
      <c r="G68" s="6">
        <f>'FS India'!D56</f>
        <v>480687.22000000003</v>
      </c>
      <c r="H68" s="6">
        <f>'FS France'!C56</f>
        <v>0</v>
      </c>
      <c r="I68" s="6"/>
      <c r="J68" s="6">
        <f>SUM(C68:I68)</f>
        <v>26379348.550178412</v>
      </c>
      <c r="K68" s="6"/>
      <c r="L68" s="6"/>
      <c r="M68" s="6"/>
      <c r="N68" s="6">
        <f>SUM(J68:L68)</f>
        <v>26379348.550178412</v>
      </c>
      <c r="O68" s="4176"/>
      <c r="P68" s="3126">
        <f t="shared" si="13"/>
        <v>7261</v>
      </c>
      <c r="Q68" s="1794">
        <f>ROUND(N68/1000,0)</f>
        <v>26379</v>
      </c>
      <c r="R68" s="1794">
        <v>19118</v>
      </c>
      <c r="S68" s="1794">
        <v>12897</v>
      </c>
      <c r="T68" s="1794">
        <v>6306</v>
      </c>
      <c r="U68" s="1794">
        <v>23328</v>
      </c>
      <c r="V68" s="1794">
        <v>17181</v>
      </c>
      <c r="W68" s="1794">
        <f>[120]Consolidation!$O$68</f>
        <v>11332</v>
      </c>
      <c r="X68" s="322">
        <v>5638</v>
      </c>
      <c r="Y68" s="322">
        <v>20905</v>
      </c>
      <c r="Z68" s="322">
        <v>15809</v>
      </c>
      <c r="AA68" s="321">
        <v>11024</v>
      </c>
      <c r="AB68" s="322">
        <v>5429</v>
      </c>
      <c r="AC68" s="322">
        <v>19869</v>
      </c>
      <c r="AD68" s="113">
        <v>14945</v>
      </c>
      <c r="AE68" s="113">
        <v>10135</v>
      </c>
      <c r="AF68" s="113">
        <v>4901</v>
      </c>
      <c r="AG68" s="322">
        <v>15507</v>
      </c>
      <c r="AH68" s="113">
        <v>10236</v>
      </c>
      <c r="AI68" s="113">
        <f>W68-AH68</f>
        <v>1096</v>
      </c>
      <c r="AJ68" s="126">
        <f>AI68/AH68</f>
        <v>0.10707307542008597</v>
      </c>
      <c r="AK68" s="113"/>
    </row>
    <row r="69" spans="1:38">
      <c r="A69" s="623" t="s">
        <v>254</v>
      </c>
      <c r="B69" s="22" t="s">
        <v>247</v>
      </c>
      <c r="C69" s="6">
        <f>+דוחות!Q56</f>
        <v>6591204.7200000007</v>
      </c>
      <c r="D69" s="6">
        <f>'New TB INC'!J1002</f>
        <v>11127891.299999999</v>
      </c>
      <c r="E69" s="6">
        <f>+'מאזן בוחן EUROPE'!K488</f>
        <v>4397191.4700000007</v>
      </c>
      <c r="F69" s="6">
        <f>'מאזן בוחן Australia'!K265</f>
        <v>1856889.1300000004</v>
      </c>
      <c r="G69" s="6">
        <f>'FS India'!D57</f>
        <v>601389.73</v>
      </c>
      <c r="H69" s="6">
        <f>'FS France'!C57</f>
        <v>1358165.91</v>
      </c>
      <c r="I69" s="6"/>
      <c r="J69" s="6">
        <f>SUM(C69:I69)</f>
        <v>25932732.260000002</v>
      </c>
      <c r="K69" s="6"/>
      <c r="L69" s="6"/>
      <c r="M69" s="6"/>
      <c r="N69" s="6">
        <f>SUM(J69:L69)</f>
        <v>25932732.260000002</v>
      </c>
      <c r="O69" s="4176"/>
      <c r="P69" s="3126">
        <f t="shared" si="13"/>
        <v>8386</v>
      </c>
      <c r="Q69" s="1794">
        <f>ROUND(N69/1000,0)</f>
        <v>25933</v>
      </c>
      <c r="R69" s="1794">
        <v>17547</v>
      </c>
      <c r="S69" s="1794">
        <v>11136</v>
      </c>
      <c r="T69" s="1794">
        <v>5506</v>
      </c>
      <c r="U69" s="1794">
        <v>23613</v>
      </c>
      <c r="V69" s="1794">
        <v>16988</v>
      </c>
      <c r="W69" s="1794">
        <f>[120]Consolidation!$O$69</f>
        <v>11766</v>
      </c>
      <c r="X69" s="322">
        <v>6276</v>
      </c>
      <c r="Y69" s="322">
        <v>24644</v>
      </c>
      <c r="Z69" s="322">
        <v>17187</v>
      </c>
      <c r="AA69" s="321">
        <v>11851</v>
      </c>
      <c r="AB69" s="322">
        <v>5811</v>
      </c>
      <c r="AC69" s="322">
        <v>24998</v>
      </c>
      <c r="AD69" s="113">
        <v>18050</v>
      </c>
      <c r="AE69" s="113">
        <v>11782</v>
      </c>
      <c r="AF69" s="113">
        <v>5311</v>
      </c>
      <c r="AG69" s="322">
        <v>21994</v>
      </c>
      <c r="AH69" s="113">
        <v>18409</v>
      </c>
      <c r="AI69" s="113">
        <f>W69-AH69</f>
        <v>-6643</v>
      </c>
      <c r="AJ69" s="126">
        <f>AI69/AH69</f>
        <v>-0.36085610299310122</v>
      </c>
      <c r="AK69" s="113"/>
    </row>
    <row r="70" spans="1:38">
      <c r="A70" s="623" t="s">
        <v>193</v>
      </c>
      <c r="B70" s="22" t="s">
        <v>246</v>
      </c>
      <c r="C70" s="24">
        <f>+דוחות!Q45</f>
        <v>5726625.8701477572</v>
      </c>
      <c r="D70" s="24">
        <f>'New TB INC'!J727</f>
        <v>435735.6700000001</v>
      </c>
      <c r="E70" s="24">
        <f>+'מאזן בוחן EUROPE'!K402</f>
        <v>-78501.439999999988</v>
      </c>
      <c r="F70" s="24">
        <f>'מאזן בוחן Australia'!K208</f>
        <v>16080.6</v>
      </c>
      <c r="G70" s="1740">
        <f>'FS India'!D58</f>
        <v>53985.019999999982</v>
      </c>
      <c r="H70" s="24">
        <f>'FS France'!C58</f>
        <v>28671.149999999998</v>
      </c>
      <c r="I70" s="6"/>
      <c r="J70" s="24">
        <f>SUM(C70:I70)</f>
        <v>6182596.8701477563</v>
      </c>
      <c r="K70" s="24"/>
      <c r="L70" s="24"/>
      <c r="M70" s="24"/>
      <c r="N70" s="24">
        <f>SUM(J70:L70)</f>
        <v>6182596.8701477563</v>
      </c>
      <c r="O70" s="4176"/>
      <c r="P70" s="3127">
        <f t="shared" si="13"/>
        <v>1632</v>
      </c>
      <c r="Q70" s="1798">
        <f>ROUND(N70/1000,0)</f>
        <v>6183</v>
      </c>
      <c r="R70" s="3125">
        <v>4551</v>
      </c>
      <c r="S70" s="3125">
        <v>2996</v>
      </c>
      <c r="T70" s="3125">
        <v>1506</v>
      </c>
      <c r="U70" s="2641">
        <v>5868</v>
      </c>
      <c r="V70" s="2641">
        <v>4467</v>
      </c>
      <c r="W70" s="1798">
        <f>[120]Consolidation!$O$70</f>
        <v>2989</v>
      </c>
      <c r="X70" s="323">
        <v>1519</v>
      </c>
      <c r="Y70" s="323">
        <v>5714</v>
      </c>
      <c r="Z70" s="323">
        <v>4415</v>
      </c>
      <c r="AA70" s="374">
        <v>2983</v>
      </c>
      <c r="AB70" s="366">
        <v>1475</v>
      </c>
      <c r="AC70" s="323">
        <v>6545</v>
      </c>
      <c r="AD70" s="114">
        <v>5549</v>
      </c>
      <c r="AE70" s="114">
        <v>3387</v>
      </c>
      <c r="AF70" s="114">
        <v>1606</v>
      </c>
      <c r="AG70" s="323">
        <v>9425</v>
      </c>
      <c r="AH70" s="114">
        <v>6528</v>
      </c>
      <c r="AI70" s="114">
        <f>W70-AH70</f>
        <v>-3539</v>
      </c>
      <c r="AJ70" s="130">
        <f>AI70/AH70</f>
        <v>-0.54212622549019607</v>
      </c>
      <c r="AK70" s="114"/>
    </row>
    <row r="71" spans="1:38">
      <c r="A71" s="623"/>
      <c r="B71" s="22"/>
      <c r="C71" s="6">
        <f t="shared" ref="C71:H71" si="15">SUM(C68:C70)</f>
        <v>36986380.260326169</v>
      </c>
      <c r="D71" s="6">
        <f t="shared" si="15"/>
        <v>12793738.629999999</v>
      </c>
      <c r="E71" s="6">
        <f>SUM(E68:E70)</f>
        <v>4318690.03</v>
      </c>
      <c r="F71" s="6">
        <f t="shared" si="15"/>
        <v>1872969.7300000004</v>
      </c>
      <c r="G71" s="6">
        <f t="shared" si="15"/>
        <v>1136061.97</v>
      </c>
      <c r="H71" s="6">
        <f t="shared" si="15"/>
        <v>1386837.0599999998</v>
      </c>
      <c r="I71" s="6"/>
      <c r="J71" s="6">
        <f>SUM(J68:J70)</f>
        <v>58494677.680326171</v>
      </c>
      <c r="K71" s="6">
        <f>+K66-K69</f>
        <v>0.79304549098014832</v>
      </c>
      <c r="L71" s="6">
        <f>SUM(L68:L70)</f>
        <v>0</v>
      </c>
      <c r="M71" s="6"/>
      <c r="N71" s="6">
        <f>SUM(N68:N70)</f>
        <v>58494677.680326171</v>
      </c>
      <c r="O71" s="6"/>
      <c r="P71" s="3126">
        <f t="shared" si="13"/>
        <v>17279</v>
      </c>
      <c r="Q71" s="1794">
        <f>SUM(Q68:Q70)</f>
        <v>58495</v>
      </c>
      <c r="R71" s="1794">
        <v>41216</v>
      </c>
      <c r="S71" s="1794">
        <v>27029</v>
      </c>
      <c r="T71" s="1794">
        <v>13318</v>
      </c>
      <c r="U71" s="1794">
        <v>52809</v>
      </c>
      <c r="V71" s="1794">
        <v>38636</v>
      </c>
      <c r="W71" s="1794">
        <f>[120]Consolidation!$O$71</f>
        <v>26087</v>
      </c>
      <c r="X71" s="322">
        <v>13433</v>
      </c>
      <c r="Y71" s="322">
        <v>51263</v>
      </c>
      <c r="Z71" s="322">
        <v>37411</v>
      </c>
      <c r="AA71" s="322">
        <f>SUM(AA68:AA70)</f>
        <v>25858</v>
      </c>
      <c r="AB71" s="322">
        <v>12715</v>
      </c>
      <c r="AC71" s="322">
        <v>51412</v>
      </c>
      <c r="AD71" s="113">
        <v>38544</v>
      </c>
      <c r="AE71" s="113">
        <v>25304</v>
      </c>
      <c r="AF71" s="113">
        <v>11818</v>
      </c>
      <c r="AG71" s="322">
        <v>46926</v>
      </c>
      <c r="AH71" s="113">
        <f>SUM(AH68:AH70)</f>
        <v>35173</v>
      </c>
      <c r="AI71" s="113">
        <f>W71-AH71</f>
        <v>-9086</v>
      </c>
      <c r="AJ71" s="126">
        <f>AI71/AH71</f>
        <v>-0.25832314559463226</v>
      </c>
      <c r="AK71" s="113"/>
    </row>
    <row r="72" spans="1:38">
      <c r="A72" s="623"/>
      <c r="B72" s="16"/>
      <c r="C72" s="6"/>
      <c r="D72" s="101"/>
      <c r="E72" s="6"/>
      <c r="F72" s="101"/>
      <c r="G72" s="101"/>
      <c r="H72" s="6"/>
      <c r="I72" s="6"/>
      <c r="J72" s="6"/>
      <c r="K72" s="6"/>
      <c r="L72" s="6"/>
      <c r="M72" s="6"/>
      <c r="N72" s="205"/>
      <c r="O72" s="6"/>
      <c r="P72" s="3126">
        <f>Q72-T72</f>
        <v>0</v>
      </c>
      <c r="Q72" s="1794"/>
      <c r="R72" s="1794"/>
      <c r="S72" s="1794"/>
      <c r="T72" s="1794"/>
      <c r="U72" s="1794"/>
      <c r="V72" s="1794"/>
      <c r="W72" s="1794"/>
      <c r="X72" s="322"/>
      <c r="Y72" s="322"/>
      <c r="Z72" s="322">
        <v>0</v>
      </c>
      <c r="AA72" s="321">
        <v>0</v>
      </c>
      <c r="AB72" s="322">
        <v>0</v>
      </c>
      <c r="AC72" s="322">
        <v>0</v>
      </c>
      <c r="AD72" s="113">
        <v>0</v>
      </c>
      <c r="AE72" s="113">
        <v>0</v>
      </c>
      <c r="AF72" s="113">
        <v>0</v>
      </c>
      <c r="AG72" s="322">
        <v>0</v>
      </c>
      <c r="AH72" s="113"/>
      <c r="AI72" s="113"/>
      <c r="AJ72" s="113"/>
      <c r="AK72" s="113"/>
    </row>
    <row r="73" spans="1:38">
      <c r="A73" s="623"/>
      <c r="B73" s="25" t="s">
        <v>426</v>
      </c>
      <c r="C73" s="6">
        <f t="shared" ref="C73:H73" si="16">+C66-C71</f>
        <v>-2136108.2610845789</v>
      </c>
      <c r="D73" s="6">
        <f t="shared" si="16"/>
        <v>3643118.5400000028</v>
      </c>
      <c r="E73" s="6">
        <f>+E66-E71</f>
        <v>494212.25999999885</v>
      </c>
      <c r="F73" s="6">
        <f t="shared" si="16"/>
        <v>73243.36999999918</v>
      </c>
      <c r="G73" s="6">
        <f t="shared" si="16"/>
        <v>398680.80695450306</v>
      </c>
      <c r="H73" s="4">
        <f t="shared" si="16"/>
        <v>57710.670000000624</v>
      </c>
      <c r="I73" s="6"/>
      <c r="J73" s="6">
        <f>SUM(C73:I73)</f>
        <v>2530857.3858699258</v>
      </c>
      <c r="K73" s="6">
        <f>+K71</f>
        <v>0.79304549098014832</v>
      </c>
      <c r="L73" s="206">
        <f>L66-L71</f>
        <v>0</v>
      </c>
      <c r="M73" s="206"/>
      <c r="N73" s="6">
        <f>SUM(J73:L73)</f>
        <v>2530858.1789154168</v>
      </c>
      <c r="O73" s="6"/>
      <c r="P73" s="3126">
        <f t="shared" ref="P73:P78" si="17">Q73-R73</f>
        <v>3311</v>
      </c>
      <c r="Q73" s="1794">
        <f>ROUND(N73/1000,0)</f>
        <v>2531</v>
      </c>
      <c r="R73" s="1794">
        <v>-780</v>
      </c>
      <c r="S73" s="1794">
        <v>-1186</v>
      </c>
      <c r="T73" s="1794">
        <v>-890</v>
      </c>
      <c r="U73" s="1794">
        <v>4320</v>
      </c>
      <c r="V73" s="1794">
        <v>866</v>
      </c>
      <c r="W73" s="1794">
        <f>[120]Consolidation!$O$73</f>
        <v>-726</v>
      </c>
      <c r="X73" s="322">
        <v>-2071</v>
      </c>
      <c r="Y73" s="322">
        <v>1665</v>
      </c>
      <c r="Z73" s="322">
        <v>-4673</v>
      </c>
      <c r="AA73" s="321">
        <v>-5671</v>
      </c>
      <c r="AB73" s="322">
        <v>-3360</v>
      </c>
      <c r="AC73" s="322">
        <v>-8748</v>
      </c>
      <c r="AD73" s="113">
        <v>-10783</v>
      </c>
      <c r="AE73" s="113">
        <v>-7570</v>
      </c>
      <c r="AF73" s="113">
        <v>-4376</v>
      </c>
      <c r="AG73" s="322">
        <v>-3961</v>
      </c>
      <c r="AH73" s="113">
        <f>+AH66-AH71</f>
        <v>1362</v>
      </c>
      <c r="AI73" s="113">
        <f>W73-AH73</f>
        <v>-2088</v>
      </c>
      <c r="AJ73" s="126">
        <f>AI73/AH73</f>
        <v>-1.5330396475770924</v>
      </c>
      <c r="AK73" s="113"/>
    </row>
    <row r="74" spans="1:38">
      <c r="A74" s="623" t="s">
        <v>255</v>
      </c>
      <c r="B74" s="22" t="s">
        <v>516</v>
      </c>
      <c r="C74" s="24">
        <f>+דוחות!Q60+דוחות!Q62</f>
        <v>1472866</v>
      </c>
      <c r="D74" s="24">
        <f>'New TB INC'!J1030</f>
        <v>507224.42000000004</v>
      </c>
      <c r="E74" s="24">
        <f>+'מאזן בוחן EUROPE'!K504</f>
        <v>46118.41</v>
      </c>
      <c r="F74" s="24">
        <f>'מאזן בוחן Australia'!K278</f>
        <v>-180758.49000000002</v>
      </c>
      <c r="G74" s="1740">
        <f>-'FS India'!D62</f>
        <v>22115.339999999997</v>
      </c>
      <c r="H74" s="24">
        <f>'FS France'!C62</f>
        <v>-131063.7</v>
      </c>
      <c r="I74" s="6"/>
      <c r="J74" s="24">
        <f>SUM(C74:I74)</f>
        <v>1736501.98</v>
      </c>
      <c r="K74" s="24"/>
      <c r="L74" s="24"/>
      <c r="M74" s="24"/>
      <c r="N74" s="24">
        <f>SUM(J74:L74)</f>
        <v>1736501.98</v>
      </c>
      <c r="O74" s="6"/>
      <c r="P74" s="3127">
        <f t="shared" si="17"/>
        <v>183</v>
      </c>
      <c r="Q74" s="1798">
        <f>ROUND(N74/1000,0)</f>
        <v>1737</v>
      </c>
      <c r="R74" s="3125">
        <v>1554</v>
      </c>
      <c r="S74" s="3125">
        <v>824</v>
      </c>
      <c r="T74" s="3125">
        <v>685</v>
      </c>
      <c r="U74" s="2641">
        <v>109</v>
      </c>
      <c r="V74" s="2641">
        <v>693</v>
      </c>
      <c r="W74" s="1798">
        <f>[120]Consolidation!$O$74</f>
        <v>939</v>
      </c>
      <c r="X74" s="323">
        <v>464</v>
      </c>
      <c r="Y74" s="323">
        <v>249</v>
      </c>
      <c r="Z74" s="323">
        <v>617</v>
      </c>
      <c r="AA74" s="374">
        <v>275</v>
      </c>
      <c r="AB74" s="366">
        <v>154</v>
      </c>
      <c r="AC74" s="323">
        <v>-436</v>
      </c>
      <c r="AD74" s="114">
        <v>343</v>
      </c>
      <c r="AE74" s="114">
        <v>253</v>
      </c>
      <c r="AF74" s="114">
        <v>-432</v>
      </c>
      <c r="AG74" s="323">
        <v>-856</v>
      </c>
      <c r="AH74" s="114">
        <v>588</v>
      </c>
      <c r="AI74" s="114">
        <f>W74-AH74</f>
        <v>351</v>
      </c>
      <c r="AJ74" s="130">
        <f>AI74/AH74</f>
        <v>0.59693877551020413</v>
      </c>
      <c r="AK74" s="114"/>
    </row>
    <row r="75" spans="1:38">
      <c r="A75" s="623"/>
      <c r="B75" s="26" t="s">
        <v>248</v>
      </c>
      <c r="C75" s="6">
        <f t="shared" ref="C75:H75" si="18">+C73-C74</f>
        <v>-3608974.2610845789</v>
      </c>
      <c r="D75" s="6">
        <f>+D73-D74</f>
        <v>3135894.1200000029</v>
      </c>
      <c r="E75" s="6">
        <f>+E73-E74</f>
        <v>448093.84999999881</v>
      </c>
      <c r="F75" s="6">
        <f t="shared" si="18"/>
        <v>254001.8599999992</v>
      </c>
      <c r="G75" s="6">
        <f t="shared" si="18"/>
        <v>376565.46695450309</v>
      </c>
      <c r="H75" s="4">
        <f t="shared" si="18"/>
        <v>188774.37000000064</v>
      </c>
      <c r="I75" s="6"/>
      <c r="J75" s="6">
        <f>+J73-J74</f>
        <v>794355.40586992586</v>
      </c>
      <c r="K75" s="6">
        <f>+K73-K74</f>
        <v>0.79304549098014832</v>
      </c>
      <c r="L75" s="6">
        <f>+L73-L74</f>
        <v>0</v>
      </c>
      <c r="M75" s="6"/>
      <c r="N75" s="6">
        <f>SUM(J75:L75)</f>
        <v>794356.19891541684</v>
      </c>
      <c r="O75" s="6"/>
      <c r="P75" s="3126">
        <f t="shared" si="17"/>
        <v>3128</v>
      </c>
      <c r="Q75" s="1794">
        <f>+Q73-Q74</f>
        <v>794</v>
      </c>
      <c r="R75" s="1794">
        <v>-2334</v>
      </c>
      <c r="S75" s="1794">
        <v>-2010</v>
      </c>
      <c r="T75" s="1794">
        <v>-1575</v>
      </c>
      <c r="U75" s="1794">
        <v>4211</v>
      </c>
      <c r="V75" s="1794">
        <v>173</v>
      </c>
      <c r="W75" s="1794">
        <f>[120]Consolidation!$O$75</f>
        <v>-1665</v>
      </c>
      <c r="X75" s="322">
        <v>-2535</v>
      </c>
      <c r="Y75" s="322">
        <v>1416</v>
      </c>
      <c r="Z75" s="322">
        <v>-5290</v>
      </c>
      <c r="AA75" s="322">
        <f>+AA73-AA74</f>
        <v>-5946</v>
      </c>
      <c r="AB75" s="322">
        <v>-3514</v>
      </c>
      <c r="AC75" s="322">
        <v>-9184</v>
      </c>
      <c r="AD75" s="113">
        <v>-11126</v>
      </c>
      <c r="AE75" s="113">
        <v>-7823</v>
      </c>
      <c r="AF75" s="113">
        <v>-3944</v>
      </c>
      <c r="AG75" s="322">
        <v>-3105</v>
      </c>
      <c r="AH75" s="113">
        <f>+AH73-AH74</f>
        <v>774</v>
      </c>
      <c r="AI75" s="113">
        <f>W75-AH75</f>
        <v>-2439</v>
      </c>
      <c r="AJ75" s="126">
        <f>AI75/AH75</f>
        <v>-3.1511627906976742</v>
      </c>
      <c r="AK75" s="113"/>
    </row>
    <row r="76" spans="1:38">
      <c r="A76" s="623" t="s">
        <v>256</v>
      </c>
      <c r="B76" s="22" t="s">
        <v>302</v>
      </c>
      <c r="C76" s="27">
        <f>+דוחות!Q64</f>
        <v>742486.55594978482</v>
      </c>
      <c r="D76" s="24">
        <f>+'New TB INC'!J1019</f>
        <v>10682.025416020295</v>
      </c>
      <c r="E76" s="24">
        <f>+'מאזן בוחן EUROPE'!K496</f>
        <v>60863.14</v>
      </c>
      <c r="F76" s="24">
        <f>'מאזן בוחן Australia'!K271</f>
        <v>0</v>
      </c>
      <c r="G76" s="24">
        <f>'FS India'!D65</f>
        <v>141683.18003647382</v>
      </c>
      <c r="H76" s="24">
        <f>'FS France'!C65</f>
        <v>7070.36</v>
      </c>
      <c r="I76" s="30"/>
      <c r="J76" s="24">
        <f>SUM(C76:I76)</f>
        <v>962785.26140227891</v>
      </c>
      <c r="K76" s="27"/>
      <c r="L76" s="30"/>
      <c r="M76" s="30"/>
      <c r="N76" s="6">
        <f>SUM(J76:L76)</f>
        <v>962785.26140227891</v>
      </c>
      <c r="O76" s="6"/>
      <c r="P76" s="3126">
        <f t="shared" si="17"/>
        <v>484</v>
      </c>
      <c r="Q76" s="1794">
        <f>ROUND(N76/1000,0)</f>
        <v>963</v>
      </c>
      <c r="R76" s="1794">
        <v>479</v>
      </c>
      <c r="S76" s="1794">
        <v>286</v>
      </c>
      <c r="T76" s="1794">
        <v>120</v>
      </c>
      <c r="U76" s="1794">
        <v>1157</v>
      </c>
      <c r="V76" s="1794">
        <v>299</v>
      </c>
      <c r="W76" s="1794">
        <f>[120]Consolidation!$O$76</f>
        <v>237</v>
      </c>
      <c r="X76" s="322">
        <v>55</v>
      </c>
      <c r="Y76" s="322">
        <v>166</v>
      </c>
      <c r="Z76" s="322">
        <v>135</v>
      </c>
      <c r="AA76" s="321">
        <v>160</v>
      </c>
      <c r="AB76" s="366">
        <v>98</v>
      </c>
      <c r="AC76" s="322">
        <v>-2721</v>
      </c>
      <c r="AD76" s="113">
        <v>287</v>
      </c>
      <c r="AE76" s="113">
        <v>186</v>
      </c>
      <c r="AF76" s="113">
        <v>33</v>
      </c>
      <c r="AG76" s="322">
        <v>-291</v>
      </c>
      <c r="AH76" s="113">
        <v>360</v>
      </c>
      <c r="AI76" s="113">
        <f>W76-AH76</f>
        <v>-123</v>
      </c>
      <c r="AJ76" s="126">
        <f>AI76/AH76</f>
        <v>-0.34166666666666667</v>
      </c>
      <c r="AK76" s="113"/>
    </row>
    <row r="77" spans="1:38" ht="13.5" thickBot="1">
      <c r="A77" s="623"/>
      <c r="B77" s="25" t="s">
        <v>249</v>
      </c>
      <c r="C77" s="28">
        <f t="shared" ref="C77:H77" si="19">+C75-C76</f>
        <v>-4351460.8170343637</v>
      </c>
      <c r="D77" s="28">
        <f t="shared" si="19"/>
        <v>3125212.0945839826</v>
      </c>
      <c r="E77" s="28">
        <f>+E75-E76</f>
        <v>387230.7099999988</v>
      </c>
      <c r="F77" s="28">
        <f t="shared" si="19"/>
        <v>254001.8599999992</v>
      </c>
      <c r="G77" s="28">
        <f t="shared" si="19"/>
        <v>234882.28691802928</v>
      </c>
      <c r="H77" s="28">
        <f t="shared" si="19"/>
        <v>181704.01000000065</v>
      </c>
      <c r="I77" s="30"/>
      <c r="J77" s="28">
        <f>+J75-J76</f>
        <v>-168429.85553235305</v>
      </c>
      <c r="K77" s="28">
        <f>+K75-K76</f>
        <v>0.79304549098014832</v>
      </c>
      <c r="L77" s="28">
        <f>+L75-L76</f>
        <v>0</v>
      </c>
      <c r="M77" s="28"/>
      <c r="N77" s="28">
        <f>+N75-N76</f>
        <v>-168429.06248686207</v>
      </c>
      <c r="O77" s="6"/>
      <c r="P77" s="131">
        <f t="shared" si="17"/>
        <v>2644</v>
      </c>
      <c r="Q77" s="324">
        <f>+Q75-Q76</f>
        <v>-169</v>
      </c>
      <c r="R77" s="3375">
        <v>-2813</v>
      </c>
      <c r="S77" s="3375">
        <v>-2296</v>
      </c>
      <c r="T77" s="324">
        <v>-1695</v>
      </c>
      <c r="U77" s="324">
        <v>3054</v>
      </c>
      <c r="V77" s="324">
        <v>-126</v>
      </c>
      <c r="W77" s="324">
        <f>[120]Consolidation!$O$77</f>
        <v>-1902</v>
      </c>
      <c r="X77" s="324">
        <v>-2590</v>
      </c>
      <c r="Y77" s="324">
        <v>1250</v>
      </c>
      <c r="Z77" s="324">
        <f>+Z75-Z76</f>
        <v>-5425</v>
      </c>
      <c r="AA77" s="324">
        <f>+AA75-AA76</f>
        <v>-6106</v>
      </c>
      <c r="AB77" s="324">
        <v>-3612</v>
      </c>
      <c r="AC77" s="324">
        <v>-11905</v>
      </c>
      <c r="AD77" s="131">
        <v>-11413</v>
      </c>
      <c r="AE77" s="131">
        <v>-8009</v>
      </c>
      <c r="AF77" s="131">
        <v>-3977</v>
      </c>
      <c r="AG77" s="324">
        <v>-2814</v>
      </c>
      <c r="AH77" s="131">
        <f>+AH75-AH76</f>
        <v>414</v>
      </c>
      <c r="AI77" s="131">
        <f>W77-AH77</f>
        <v>-2316</v>
      </c>
      <c r="AJ77" s="132">
        <f>AI77/AH77</f>
        <v>-5.5942028985507246</v>
      </c>
      <c r="AK77" s="28"/>
    </row>
    <row r="78" spans="1:38" ht="13.5" thickTop="1">
      <c r="B78" s="16"/>
      <c r="C78" s="673">
        <f t="shared" ref="C78:H78" si="20">C77-C52</f>
        <v>0</v>
      </c>
      <c r="D78" s="673">
        <f t="shared" si="20"/>
        <v>0</v>
      </c>
      <c r="E78" s="673">
        <f>E77-E52</f>
        <v>0</v>
      </c>
      <c r="F78" s="673">
        <f t="shared" si="20"/>
        <v>0</v>
      </c>
      <c r="G78" s="673">
        <f t="shared" si="20"/>
        <v>0</v>
      </c>
      <c r="H78" s="673">
        <f t="shared" si="20"/>
        <v>0</v>
      </c>
      <c r="J78" s="4299">
        <f>J77-J52</f>
        <v>0</v>
      </c>
      <c r="K78" s="673">
        <f>K77-K52</f>
        <v>0</v>
      </c>
      <c r="N78" s="4299">
        <f>N77-N52</f>
        <v>0</v>
      </c>
      <c r="O78" s="4"/>
      <c r="P78" s="3129">
        <f t="shared" si="17"/>
        <v>0</v>
      </c>
      <c r="Q78" s="673">
        <f>Q77-Q52</f>
        <v>0</v>
      </c>
      <c r="R78" s="673">
        <v>0</v>
      </c>
      <c r="S78" s="673">
        <v>0</v>
      </c>
      <c r="T78" s="673">
        <v>0</v>
      </c>
      <c r="U78" s="673">
        <v>0</v>
      </c>
      <c r="V78" s="673">
        <v>0</v>
      </c>
      <c r="W78" s="673">
        <f>W77-W52</f>
        <v>0</v>
      </c>
      <c r="AA78" s="113"/>
      <c r="AG78" s="113">
        <v>0</v>
      </c>
    </row>
    <row r="79" spans="1:38">
      <c r="D79" s="673"/>
      <c r="F79" s="639"/>
      <c r="G79" s="639"/>
      <c r="H79" s="639"/>
      <c r="O79" s="4"/>
    </row>
    <row r="80" spans="1:38">
      <c r="B80" s="211" t="s">
        <v>1391</v>
      </c>
      <c r="C80" s="158"/>
      <c r="D80" s="639"/>
      <c r="F80" s="639"/>
      <c r="G80" s="639"/>
      <c r="H80" s="639"/>
      <c r="O80" s="4"/>
      <c r="T80" s="3445"/>
    </row>
    <row r="81" spans="2:37">
      <c r="B81" s="11" t="s">
        <v>3884</v>
      </c>
      <c r="C81" s="258">
        <f>SUM([122]Consolidation!C51:C52)</f>
        <v>-6214880.302056768</v>
      </c>
      <c r="D81" s="258">
        <f>SUM([122]Consolidation!D51:D52)</f>
        <v>-9315216.830000015</v>
      </c>
      <c r="E81" s="258">
        <f>SUM([122]Consolidation!E51:E52)</f>
        <v>2331466.8000000003</v>
      </c>
      <c r="F81" s="258">
        <f>SUM([122]Consolidation!F51:F52)</f>
        <v>-177557.41000000056</v>
      </c>
      <c r="G81" s="258">
        <f>SUM([122]Consolidation!G51:G52)</f>
        <v>102989.65999999989</v>
      </c>
      <c r="H81" s="258">
        <f>SUM([122]Consolidation!H51:H52)</f>
        <v>-528889.94999999995</v>
      </c>
      <c r="I81" s="6"/>
      <c r="J81" s="6">
        <f>SUM(C81:H81)</f>
        <v>-13802088.032056782</v>
      </c>
      <c r="K81" s="6"/>
      <c r="Q81" s="2461"/>
      <c r="R81" s="2461"/>
      <c r="S81" s="2461"/>
      <c r="T81" s="2341"/>
      <c r="U81" s="32"/>
      <c r="V81" s="32"/>
      <c r="Y81" s="2461"/>
      <c r="AA81" s="32"/>
      <c r="AC81" s="2461"/>
      <c r="AH81" s="22"/>
      <c r="AI81" s="22"/>
      <c r="AJ81" s="22"/>
      <c r="AK81" s="32"/>
    </row>
    <row r="82" spans="2:37" ht="13.5" thickBot="1">
      <c r="B82" s="4" t="s">
        <v>2003</v>
      </c>
      <c r="C82" s="258"/>
      <c r="D82" s="258"/>
      <c r="E82" s="258"/>
      <c r="F82" s="258"/>
      <c r="G82" s="258"/>
      <c r="H82" s="258"/>
      <c r="I82" s="6"/>
      <c r="J82" s="6">
        <f>SUM(C82:H82)</f>
        <v>0</v>
      </c>
      <c r="K82" s="6"/>
      <c r="Q82" s="2461"/>
      <c r="R82" s="2461"/>
      <c r="S82" s="2461"/>
      <c r="T82" s="3253"/>
      <c r="U82" s="32"/>
      <c r="V82" s="32"/>
      <c r="Y82" s="2461"/>
      <c r="AA82" s="32"/>
      <c r="AC82" s="2461"/>
      <c r="AH82" s="22"/>
      <c r="AI82" s="22"/>
      <c r="AJ82" s="22"/>
      <c r="AK82" s="32"/>
    </row>
    <row r="83" spans="2:37">
      <c r="B83" s="9"/>
      <c r="C83" s="6"/>
      <c r="D83" s="6"/>
      <c r="E83" s="6"/>
      <c r="F83" s="6"/>
      <c r="G83" s="6"/>
      <c r="H83" s="6"/>
      <c r="I83" s="383"/>
      <c r="J83" s="6">
        <f>SUM(C83:H83)</f>
        <v>0</v>
      </c>
      <c r="K83" s="6"/>
      <c r="N83" s="648" t="s">
        <v>1933</v>
      </c>
      <c r="O83" s="372"/>
      <c r="P83" s="649">
        <f>P85/P86</f>
        <v>4.9631036353771023</v>
      </c>
      <c r="Q83" s="2461"/>
      <c r="R83" s="2461"/>
      <c r="S83" s="2461"/>
      <c r="T83" s="3253"/>
      <c r="Y83" s="2461"/>
      <c r="AA83" s="383"/>
      <c r="AC83" s="2461"/>
    </row>
    <row r="84" spans="2:37">
      <c r="B84" s="11" t="s">
        <v>1392</v>
      </c>
      <c r="C84" s="266">
        <f t="shared" ref="C84:H84" si="21">C77</f>
        <v>-4351460.8170343637</v>
      </c>
      <c r="D84" s="266">
        <f t="shared" si="21"/>
        <v>3125212.0945839826</v>
      </c>
      <c r="E84" s="266">
        <f t="shared" si="21"/>
        <v>387230.7099999988</v>
      </c>
      <c r="F84" s="266">
        <f t="shared" si="21"/>
        <v>254001.8599999992</v>
      </c>
      <c r="G84" s="266">
        <f t="shared" si="21"/>
        <v>234882.28691802928</v>
      </c>
      <c r="H84" s="266">
        <f t="shared" si="21"/>
        <v>181704.01000000065</v>
      </c>
      <c r="I84" s="6"/>
      <c r="J84" s="6">
        <f>N77</f>
        <v>-168429.06248686207</v>
      </c>
      <c r="K84" s="6"/>
      <c r="N84" s="650"/>
      <c r="O84" s="113"/>
      <c r="P84" s="530"/>
      <c r="AA84" s="320"/>
    </row>
    <row r="85" spans="2:37">
      <c r="B85" s="11" t="s">
        <v>1393</v>
      </c>
      <c r="C85" s="258">
        <f t="shared" ref="C85:H85" si="22">C81+C84+C83</f>
        <v>-10566341.119091131</v>
      </c>
      <c r="D85" s="258">
        <f t="shared" si="22"/>
        <v>-6190004.7354160324</v>
      </c>
      <c r="E85" s="258">
        <f t="shared" si="22"/>
        <v>2718697.5099999988</v>
      </c>
      <c r="F85" s="258">
        <f t="shared" si="22"/>
        <v>76444.449999998644</v>
      </c>
      <c r="G85" s="258">
        <f t="shared" si="22"/>
        <v>337871.94691802916</v>
      </c>
      <c r="H85" s="258">
        <f t="shared" si="22"/>
        <v>-347185.9399999993</v>
      </c>
      <c r="I85" s="6"/>
      <c r="J85" s="6">
        <f>J81+J84+J83+J82</f>
        <v>-13970517.094543645</v>
      </c>
      <c r="K85" s="6"/>
      <c r="N85" s="650" t="s">
        <v>1763</v>
      </c>
      <c r="O85" s="113"/>
      <c r="P85" s="530">
        <f>Q10+Q11</f>
        <v>64029</v>
      </c>
      <c r="Q85" s="2461"/>
      <c r="R85" s="2461"/>
      <c r="S85" s="2461"/>
      <c r="T85" s="2461"/>
      <c r="Y85" s="2461"/>
      <c r="AA85" s="320"/>
    </row>
    <row r="86" spans="2:37" ht="13.5" thickBot="1">
      <c r="B86" s="11" t="s">
        <v>1394</v>
      </c>
      <c r="C86" s="266">
        <f t="shared" ref="C86:H86" si="23">C51+C52</f>
        <v>-10566341.677034363</v>
      </c>
      <c r="D86" s="266">
        <f t="shared" si="23"/>
        <v>-6190004.7354160175</v>
      </c>
      <c r="E86" s="266">
        <f t="shared" si="23"/>
        <v>2718697.5099999988</v>
      </c>
      <c r="F86" s="266">
        <f t="shared" si="23"/>
        <v>76444.449999999197</v>
      </c>
      <c r="G86" s="266">
        <f t="shared" si="23"/>
        <v>337871.94691802928</v>
      </c>
      <c r="H86" s="266">
        <f t="shared" si="23"/>
        <v>-347185.9399999993</v>
      </c>
      <c r="I86" s="6"/>
      <c r="J86" s="6">
        <f>N51+N52</f>
        <v>-13970517.652486863</v>
      </c>
      <c r="K86" s="6"/>
      <c r="N86" s="651" t="s">
        <v>1934</v>
      </c>
      <c r="O86" s="373"/>
      <c r="P86" s="531">
        <f>Q32+Q33</f>
        <v>12901</v>
      </c>
      <c r="Q86" s="2461"/>
      <c r="R86" s="2461"/>
      <c r="S86" s="2461"/>
      <c r="T86" s="2461"/>
      <c r="X86" s="320"/>
      <c r="Y86" s="2461"/>
      <c r="Z86" s="320"/>
      <c r="AA86" s="320"/>
      <c r="AE86" s="120"/>
    </row>
    <row r="87" spans="2:37">
      <c r="B87" s="11" t="s">
        <v>135</v>
      </c>
      <c r="C87" s="258">
        <f t="shared" ref="C87:H87" si="24">C85-C86</f>
        <v>0.55794323235750198</v>
      </c>
      <c r="D87" s="258">
        <f t="shared" si="24"/>
        <v>-1.4901161193847656E-8</v>
      </c>
      <c r="E87" s="258">
        <f t="shared" si="24"/>
        <v>0</v>
      </c>
      <c r="F87" s="258">
        <f t="shared" si="24"/>
        <v>-5.5297277867794037E-10</v>
      </c>
      <c r="G87" s="258">
        <f t="shared" si="24"/>
        <v>0</v>
      </c>
      <c r="H87" s="258">
        <f t="shared" si="24"/>
        <v>0</v>
      </c>
      <c r="I87" s="6"/>
      <c r="J87" s="6">
        <f>J86-J85</f>
        <v>-0.55794321745634079</v>
      </c>
      <c r="K87" s="6"/>
      <c r="Q87" s="2461"/>
      <c r="R87" s="2461"/>
      <c r="S87" s="2461"/>
      <c r="T87" s="2461"/>
      <c r="U87" s="32"/>
      <c r="V87" s="32"/>
      <c r="W87" s="32"/>
      <c r="X87" s="32"/>
      <c r="Y87" s="2461"/>
      <c r="Z87" s="32"/>
      <c r="AA87" s="32"/>
      <c r="AE87" s="116"/>
    </row>
    <row r="88" spans="2:37">
      <c r="C88" s="6"/>
      <c r="D88" s="6"/>
      <c r="E88" s="260"/>
      <c r="F88" s="260"/>
      <c r="G88" s="260"/>
      <c r="H88" s="260"/>
      <c r="I88" s="6"/>
      <c r="J88" s="6"/>
      <c r="K88" s="6"/>
      <c r="AE88" s="116"/>
    </row>
    <row r="89" spans="2:37" hidden="1">
      <c r="B89" s="11" t="s">
        <v>1930</v>
      </c>
      <c r="C89" s="4">
        <v>-754469.92684187926</v>
      </c>
      <c r="D89" s="4">
        <v>-1201484.1213408306</v>
      </c>
      <c r="E89" s="4">
        <v>-3645687.8037636979</v>
      </c>
      <c r="F89" s="4">
        <v>-159485.691132073</v>
      </c>
      <c r="G89" s="4"/>
      <c r="H89" s="4"/>
    </row>
    <row r="90" spans="2:37" hidden="1">
      <c r="B90" s="11" t="s">
        <v>1931</v>
      </c>
      <c r="C90" s="672">
        <f>-SUM(D90:H90)</f>
        <v>-4881491.1758306855</v>
      </c>
      <c r="D90" s="672">
        <f>-D89*0.975</f>
        <v>1171447.0183073098</v>
      </c>
      <c r="E90" s="672">
        <f>-E89*0.975</f>
        <v>3554545.6086696051</v>
      </c>
      <c r="F90" s="672">
        <f>-F89*0.975</f>
        <v>155498.54885377118</v>
      </c>
      <c r="G90" s="1739"/>
      <c r="H90" s="23"/>
    </row>
    <row r="91" spans="2:37" hidden="1">
      <c r="C91" s="4">
        <f>SUM(C89:C90)</f>
        <v>-5635961.1026725648</v>
      </c>
      <c r="D91" s="4">
        <f>SUM(D89:D90)</f>
        <v>-30037.103033520747</v>
      </c>
      <c r="E91" s="4">
        <f>SUM(E89:E90)</f>
        <v>-91142.195094092749</v>
      </c>
      <c r="F91" s="4">
        <f>SUM(F89:F90)</f>
        <v>-3987.1422783018206</v>
      </c>
      <c r="G91" s="4"/>
      <c r="H91" s="4"/>
    </row>
    <row r="92" spans="2:37" hidden="1">
      <c r="C92" s="4">
        <f>C91+C83</f>
        <v>-5635961.1026725648</v>
      </c>
      <c r="D92" s="4">
        <f>D91+D83</f>
        <v>-30037.103033520747</v>
      </c>
      <c r="E92" s="4">
        <f>E91+E83</f>
        <v>-91142.195094092749</v>
      </c>
      <c r="F92" s="4">
        <f>F91+F83</f>
        <v>-3987.1422783018206</v>
      </c>
      <c r="G92" s="4"/>
      <c r="H92" s="4"/>
    </row>
    <row r="93" spans="2:37" hidden="1"/>
  </sheetData>
  <customSheetViews>
    <customSheetView guid="{AE4A63B3-88A2-451A-9F53-7674162F018D}" hiddenColumns="1" topLeftCell="B4">
      <selection activeCell="G10" sqref="G10"/>
      <pageMargins left="0.7" right="0.7" top="0.75" bottom="0.75" header="0.3" footer="0.3"/>
      <pageSetup paperSize="9" orientation="portrait" r:id="rId1"/>
    </customSheetView>
    <customSheetView guid="{6C6AF7F1-37F2-45B8-A395-4149314EE5A8}" hiddenColumns="1" topLeftCell="B4">
      <selection activeCell="G10" sqref="G10"/>
      <pageMargins left="0.7" right="0.7" top="0.75" bottom="0.75" header="0.3" footer="0.3"/>
      <pageSetup paperSize="9" orientation="portrait" r:id="rId2"/>
    </customSheetView>
  </customSheetViews>
  <mergeCells count="2">
    <mergeCell ref="J4:N4"/>
    <mergeCell ref="J60:N60"/>
  </mergeCells>
  <conditionalFormatting sqref="I29:N29 C29 AK2 AH56:AI56 P56 C56:N56">
    <cfRule type="cellIs" dxfId="879" priority="52" stopIfTrue="1" operator="notBetween">
      <formula>-2</formula>
      <formula>2</formula>
    </cfRule>
  </conditionalFormatting>
  <conditionalFormatting sqref="W29 AB29">
    <cfRule type="cellIs" dxfId="878" priority="44" stopIfTrue="1" operator="notBetween">
      <formula>-2</formula>
      <formula>2</formula>
    </cfRule>
  </conditionalFormatting>
  <conditionalFormatting sqref="E29">
    <cfRule type="cellIs" dxfId="877" priority="40" stopIfTrue="1" operator="notBetween">
      <formula>-2</formula>
      <formula>2</formula>
    </cfRule>
  </conditionalFormatting>
  <conditionalFormatting sqref="AH57 AH29">
    <cfRule type="cellIs" dxfId="876" priority="37" stopIfTrue="1" operator="notBetween">
      <formula>-2</formula>
      <formula>2</formula>
    </cfRule>
  </conditionalFormatting>
  <conditionalFormatting sqref="AI57 AI29">
    <cfRule type="cellIs" dxfId="875" priority="36" stopIfTrue="1" operator="notBetween">
      <formula>-2</formula>
      <formula>2</formula>
    </cfRule>
  </conditionalFormatting>
  <conditionalFormatting sqref="AJ57:AK57 AJ29:AK29">
    <cfRule type="cellIs" dxfId="874" priority="35" stopIfTrue="1" operator="notBetween">
      <formula>-2</formula>
      <formula>2</formula>
    </cfRule>
  </conditionalFormatting>
  <conditionalFormatting sqref="AA56:AC56 X56:Y56">
    <cfRule type="cellIs" dxfId="873" priority="34" stopIfTrue="1" operator="notBetween">
      <formula>-0.4</formula>
      <formula>0.4</formula>
    </cfRule>
  </conditionalFormatting>
  <conditionalFormatting sqref="N14">
    <cfRule type="cellIs" dxfId="872" priority="31" operator="lessThan">
      <formula>-1</formula>
    </cfRule>
    <cfRule type="cellIs" dxfId="871" priority="32" operator="greaterThan">
      <formula>1</formula>
    </cfRule>
  </conditionalFormatting>
  <conditionalFormatting sqref="N36">
    <cfRule type="cellIs" dxfId="870" priority="29" operator="lessThan">
      <formula>-1</formula>
    </cfRule>
    <cfRule type="cellIs" dxfId="869" priority="30" operator="greaterThan">
      <formula>1</formula>
    </cfRule>
  </conditionalFormatting>
  <conditionalFormatting sqref="AF29">
    <cfRule type="cellIs" dxfId="868" priority="28" stopIfTrue="1" operator="notBetween">
      <formula>-2</formula>
      <formula>2</formula>
    </cfRule>
  </conditionalFormatting>
  <conditionalFormatting sqref="AF57">
    <cfRule type="cellIs" dxfId="867" priority="27" stopIfTrue="1" operator="notBetween">
      <formula>-0.4</formula>
      <formula>0.4</formula>
    </cfRule>
  </conditionalFormatting>
  <conditionalFormatting sqref="AF56">
    <cfRule type="cellIs" dxfId="866" priority="26" stopIfTrue="1" operator="notBetween">
      <formula>-0.4</formula>
      <formula>0.4</formula>
    </cfRule>
  </conditionalFormatting>
  <conditionalFormatting sqref="AE29 AE86">
    <cfRule type="cellIs" dxfId="865" priority="24" stopIfTrue="1" operator="notBetween">
      <formula>-2</formula>
      <formula>2</formula>
    </cfRule>
  </conditionalFormatting>
  <conditionalFormatting sqref="AE57">
    <cfRule type="cellIs" dxfId="864" priority="23" stopIfTrue="1" operator="notBetween">
      <formula>-0.4</formula>
      <formula>0.4</formula>
    </cfRule>
  </conditionalFormatting>
  <conditionalFormatting sqref="AE56">
    <cfRule type="cellIs" dxfId="863" priority="22" stopIfTrue="1" operator="notBetween">
      <formula>-0.4</formula>
      <formula>0.4</formula>
    </cfRule>
  </conditionalFormatting>
  <conditionalFormatting sqref="AD29">
    <cfRule type="cellIs" dxfId="862" priority="21" stopIfTrue="1" operator="notBetween">
      <formula>-2</formula>
      <formula>2</formula>
    </cfRule>
  </conditionalFormatting>
  <conditionalFormatting sqref="AD57">
    <cfRule type="cellIs" dxfId="861" priority="20" stopIfTrue="1" operator="notBetween">
      <formula>-0.4</formula>
      <formula>0.4</formula>
    </cfRule>
  </conditionalFormatting>
  <conditionalFormatting sqref="AD56">
    <cfRule type="cellIs" dxfId="860" priority="19" stopIfTrue="1" operator="notBetween">
      <formula>-0.4</formula>
      <formula>0.4</formula>
    </cfRule>
  </conditionalFormatting>
  <conditionalFormatting sqref="AC29">
    <cfRule type="cellIs" dxfId="859" priority="18" stopIfTrue="1" operator="notBetween">
      <formula>-2</formula>
      <formula>2</formula>
    </cfRule>
  </conditionalFormatting>
  <conditionalFormatting sqref="J87">
    <cfRule type="cellIs" dxfId="858" priority="15" operator="lessThan">
      <formula>-15</formula>
    </cfRule>
    <cfRule type="cellIs" dxfId="857" priority="16" operator="greaterThan">
      <formula>15</formula>
    </cfRule>
  </conditionalFormatting>
  <conditionalFormatting sqref="V56">
    <cfRule type="cellIs" dxfId="856" priority="3" stopIfTrue="1" operator="notBetween">
      <formula>-2</formula>
      <formula>2</formula>
    </cfRule>
  </conditionalFormatting>
  <conditionalFormatting sqref="V29">
    <cfRule type="cellIs" dxfId="855" priority="4" stopIfTrue="1" operator="notBetween">
      <formula>-2</formula>
      <formula>2</formula>
    </cfRule>
  </conditionalFormatting>
  <conditionalFormatting sqref="U29">
    <cfRule type="cellIs" dxfId="854" priority="2" stopIfTrue="1" operator="notBetween">
      <formula>-2</formula>
      <formula>2</formula>
    </cfRule>
  </conditionalFormatting>
  <pageMargins left="0.7" right="0.7" top="0.75" bottom="0.75" header="0.3" footer="0.3"/>
  <pageSetup paperSize="9" orientation="portrait" r:id="rId3"/>
  <ignoredErrors>
    <ignoredError sqref="J75:J77 C76:D76 D52 H52 E76:H76" formula="1"/>
    <ignoredError sqref="AI5:AK5 Z77 W5 C5:L5 N5 P5:Q5 P61:Q72 K61:L61 C61:J61 M61:N61 P73" unlockedFormula="1"/>
    <ignoredError sqref="AH44:AJ47 I40:J40 I50:J51 L51 AI43:AJ43 I52 AI50:AJ52 I49:L49 I48:J48 AH49:AJ49 AH53:AJ56 D53:D56 D44:D47 AI48:AJ48 N53:N55 I43:J43 N40 I44:L47 I53:L53 L40 I55:J55 I54:L54 N44:N47 AI40:AJ40 P54 P45:P52 I56 L55:L56 P56" evalError="1"/>
  </ignoredErrors>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734E-AEC9-40DD-A7E4-625C2461C85C}">
  <sheetPr codeName="Sheet13"/>
  <dimension ref="B1:AX184"/>
  <sheetViews>
    <sheetView topLeftCell="B1" zoomScale="85" zoomScaleNormal="85" workbookViewId="0">
      <pane ySplit="1" topLeftCell="A112" activePane="bottomLeft" state="frozen"/>
      <selection pane="bottomLeft" activeCell="C138" sqref="C138"/>
    </sheetView>
  </sheetViews>
  <sheetFormatPr defaultColWidth="9.33203125" defaultRowHeight="12.75"/>
  <cols>
    <col min="1" max="1" width="9.33203125" style="32"/>
    <col min="2" max="2" width="55.83203125" style="32" customWidth="1"/>
    <col min="3" max="3" width="16" style="32" bestFit="1" customWidth="1"/>
    <col min="4" max="4" width="10.5" style="32" bestFit="1" customWidth="1"/>
    <col min="5" max="5" width="9.33203125" style="32" bestFit="1" customWidth="1"/>
    <col min="6" max="6" width="12.33203125" style="32" bestFit="1" customWidth="1"/>
    <col min="7" max="7" width="12.5" style="32" bestFit="1" customWidth="1"/>
    <col min="8" max="9" width="13.6640625" style="32" bestFit="1" customWidth="1"/>
    <col min="10" max="10" width="12.33203125" style="32" bestFit="1" customWidth="1"/>
    <col min="11" max="17" width="12.5" style="32" bestFit="1" customWidth="1"/>
    <col min="18" max="18" width="10.6640625" style="32" customWidth="1"/>
    <col min="19" max="24" width="11.33203125" style="32" bestFit="1" customWidth="1"/>
    <col min="25" max="25" width="8.83203125" style="32" customWidth="1"/>
    <col min="26" max="33" width="11.33203125" style="32" bestFit="1" customWidth="1"/>
    <col min="34" max="38" width="9.6640625" style="32" bestFit="1" customWidth="1"/>
    <col min="39" max="39" width="12.33203125" style="32" bestFit="1" customWidth="1"/>
    <col min="40" max="16384" width="9.33203125" style="32"/>
  </cols>
  <sheetData>
    <row r="1" spans="2:50" s="33" customFormat="1" ht="13.5" thickBot="1">
      <c r="B1" s="1222">
        <v>1100001</v>
      </c>
      <c r="D1" s="2685">
        <v>44197</v>
      </c>
      <c r="E1" s="2685">
        <v>44228</v>
      </c>
      <c r="F1" s="2685">
        <v>44256</v>
      </c>
      <c r="G1" s="2685">
        <v>44287</v>
      </c>
      <c r="H1" s="2685">
        <v>44317</v>
      </c>
      <c r="I1" s="2685">
        <v>44348</v>
      </c>
      <c r="J1" s="2685">
        <v>44378</v>
      </c>
      <c r="K1" s="2685">
        <v>44409</v>
      </c>
      <c r="L1" s="2685">
        <v>44440</v>
      </c>
      <c r="M1" s="2685">
        <v>44470</v>
      </c>
      <c r="N1" s="2685">
        <v>44501</v>
      </c>
      <c r="O1" s="2685">
        <v>44531</v>
      </c>
      <c r="P1" s="2685">
        <v>44562</v>
      </c>
      <c r="Q1" s="2685">
        <v>44593</v>
      </c>
      <c r="R1" s="2685">
        <v>44621</v>
      </c>
      <c r="S1" s="2685">
        <v>44652</v>
      </c>
      <c r="T1" s="2685">
        <v>44682</v>
      </c>
      <c r="U1" s="2685">
        <v>44713</v>
      </c>
      <c r="V1" s="2685">
        <v>44743</v>
      </c>
      <c r="W1" s="2685">
        <v>44774</v>
      </c>
      <c r="X1" s="2685">
        <v>44805</v>
      </c>
      <c r="Y1" s="2685">
        <v>44835</v>
      </c>
      <c r="Z1" s="2685">
        <v>44866</v>
      </c>
      <c r="AA1" s="2685">
        <v>44896</v>
      </c>
      <c r="AB1" s="2685">
        <v>44927</v>
      </c>
      <c r="AC1" s="2685">
        <v>44958</v>
      </c>
      <c r="AD1" s="2698">
        <v>44986</v>
      </c>
      <c r="AE1" s="2698">
        <v>45017</v>
      </c>
      <c r="AF1" s="2698">
        <v>45047</v>
      </c>
      <c r="AG1" s="2698">
        <v>45078</v>
      </c>
      <c r="AH1" s="2698">
        <v>45108</v>
      </c>
      <c r="AI1" s="2698">
        <v>45139</v>
      </c>
      <c r="AJ1" s="2698">
        <v>45170</v>
      </c>
      <c r="AK1" s="2698">
        <v>45200</v>
      </c>
      <c r="AL1" s="2229">
        <v>45231</v>
      </c>
      <c r="AM1" s="2229"/>
      <c r="AN1" s="2229"/>
      <c r="AO1" s="2229"/>
      <c r="AP1" s="2229"/>
      <c r="AQ1" s="2229"/>
      <c r="AR1" s="2229"/>
      <c r="AS1" s="2229"/>
      <c r="AT1" s="2229"/>
      <c r="AU1" s="2229"/>
      <c r="AV1" s="2229"/>
      <c r="AW1" s="2229"/>
      <c r="AX1" s="2229"/>
    </row>
    <row r="2" spans="2:50">
      <c r="B2" s="4425" t="s">
        <v>286</v>
      </c>
      <c r="C2" s="4426"/>
      <c r="D2" s="4426"/>
      <c r="E2" s="4426"/>
      <c r="F2" s="4426"/>
      <c r="G2" s="4426"/>
      <c r="H2" s="4426"/>
      <c r="I2" s="4426"/>
      <c r="J2" s="4426"/>
      <c r="K2" s="4426"/>
      <c r="L2" s="4426"/>
      <c r="M2" s="4426"/>
      <c r="N2" s="4426"/>
      <c r="O2" s="4426"/>
      <c r="P2" s="4426"/>
      <c r="Q2" s="4426"/>
      <c r="R2" s="4426"/>
      <c r="S2" s="4426"/>
      <c r="T2" s="4426"/>
      <c r="U2" s="4426"/>
      <c r="V2" s="4426"/>
      <c r="W2" s="4426"/>
      <c r="X2" s="4426"/>
      <c r="Y2" s="4426"/>
      <c r="Z2" s="4426"/>
      <c r="AA2" s="4427"/>
      <c r="AB2" s="648"/>
      <c r="AC2" s="717"/>
    </row>
    <row r="3" spans="2:50" ht="13.5" thickBot="1">
      <c r="B3" s="650"/>
      <c r="C3" s="320"/>
      <c r="D3" s="320"/>
      <c r="E3" s="320"/>
      <c r="F3" s="320"/>
      <c r="G3" s="320"/>
      <c r="H3" s="320"/>
      <c r="I3" s="320"/>
      <c r="J3" s="320"/>
      <c r="K3" s="320"/>
      <c r="L3" s="320"/>
      <c r="M3" s="320"/>
      <c r="N3" s="320"/>
      <c r="O3" s="320"/>
      <c r="P3" s="320"/>
      <c r="Q3" s="320"/>
      <c r="R3" s="320"/>
      <c r="S3" s="320"/>
      <c r="T3" s="320"/>
      <c r="U3" s="320"/>
      <c r="V3" s="320"/>
      <c r="W3" s="320"/>
      <c r="X3" s="320"/>
      <c r="Y3" s="320"/>
      <c r="Z3" s="320"/>
      <c r="AA3" s="530"/>
    </row>
    <row r="4" spans="2:50" ht="13.5" thickBot="1">
      <c r="B4" s="977"/>
      <c r="C4" s="320"/>
      <c r="D4" s="4406" t="s">
        <v>294</v>
      </c>
      <c r="E4" s="4407"/>
      <c r="F4" s="4407"/>
      <c r="G4" s="4407"/>
      <c r="H4" s="4407"/>
      <c r="I4" s="4407"/>
      <c r="J4" s="4407"/>
      <c r="K4" s="4407"/>
      <c r="L4" s="4407"/>
      <c r="M4" s="4407"/>
      <c r="N4" s="4407"/>
      <c r="O4" s="4407"/>
      <c r="P4" s="4407"/>
      <c r="Q4" s="4407"/>
      <c r="R4" s="4407"/>
      <c r="S4" s="4407"/>
      <c r="T4" s="4407"/>
      <c r="U4" s="4407"/>
      <c r="V4" s="4407"/>
      <c r="W4" s="4407"/>
      <c r="X4" s="4407"/>
      <c r="Y4" s="4407"/>
      <c r="Z4" s="4407"/>
      <c r="AA4" s="4408"/>
    </row>
    <row r="5" spans="2:50">
      <c r="B5" s="650"/>
      <c r="C5" s="320"/>
      <c r="D5" s="2686">
        <v>44197</v>
      </c>
      <c r="E5" s="2686">
        <v>44228</v>
      </c>
      <c r="F5" s="2686">
        <v>44256</v>
      </c>
      <c r="G5" s="2686">
        <v>44287</v>
      </c>
      <c r="H5" s="2686">
        <v>44317</v>
      </c>
      <c r="I5" s="2686">
        <v>44348</v>
      </c>
      <c r="J5" s="2686">
        <v>44378</v>
      </c>
      <c r="K5" s="2686">
        <v>44409</v>
      </c>
      <c r="L5" s="2686">
        <v>44440</v>
      </c>
      <c r="M5" s="2686">
        <v>44470</v>
      </c>
      <c r="N5" s="2686">
        <v>44501</v>
      </c>
      <c r="O5" s="2686">
        <v>44531</v>
      </c>
      <c r="P5" s="2686">
        <v>44197</v>
      </c>
      <c r="Q5" s="2686">
        <v>44228</v>
      </c>
      <c r="R5" s="2686">
        <v>44256</v>
      </c>
      <c r="S5" s="2686">
        <v>44287</v>
      </c>
      <c r="T5" s="2686">
        <v>44317</v>
      </c>
      <c r="U5" s="2686">
        <v>44348</v>
      </c>
      <c r="V5" s="2686">
        <v>44378</v>
      </c>
      <c r="W5" s="2686">
        <v>44409</v>
      </c>
      <c r="X5" s="2686">
        <v>44440</v>
      </c>
      <c r="Y5" s="2686">
        <v>44470</v>
      </c>
      <c r="Z5" s="2686">
        <v>44501</v>
      </c>
      <c r="AA5" s="2687"/>
    </row>
    <row r="6" spans="2:50">
      <c r="B6" s="650" t="s">
        <v>4745</v>
      </c>
      <c r="C6" s="383">
        <f t="shared" ref="C6:C18" si="0">SUM(D6:AX6)</f>
        <v>4803.53</v>
      </c>
      <c r="E6" s="320"/>
      <c r="F6" s="320"/>
      <c r="G6" s="320"/>
      <c r="H6" s="320"/>
      <c r="I6" s="320"/>
      <c r="J6" s="320"/>
      <c r="K6" s="320"/>
      <c r="L6" s="320"/>
      <c r="M6" s="320"/>
      <c r="N6" s="320"/>
      <c r="O6" s="320"/>
      <c r="P6" s="320">
        <v>4803.53</v>
      </c>
      <c r="Q6" s="320"/>
      <c r="R6" s="320"/>
      <c r="S6" s="320"/>
      <c r="T6" s="320"/>
      <c r="U6" s="320"/>
      <c r="V6" s="320"/>
      <c r="W6" s="320"/>
      <c r="X6" s="320"/>
      <c r="Y6" s="320"/>
      <c r="Z6" s="320"/>
      <c r="AA6" s="530"/>
    </row>
    <row r="7" spans="2:50">
      <c r="B7" s="650" t="s">
        <v>3763</v>
      </c>
      <c r="C7" s="383">
        <f t="shared" si="0"/>
        <v>3591.8500000000004</v>
      </c>
      <c r="E7" s="320"/>
      <c r="F7" s="320"/>
      <c r="G7" s="320"/>
      <c r="H7" s="320"/>
      <c r="I7" s="320"/>
      <c r="J7" s="320"/>
      <c r="K7" s="320"/>
      <c r="L7" s="320"/>
      <c r="M7" s="320"/>
      <c r="N7" s="320"/>
      <c r="O7" s="320"/>
      <c r="P7" s="320">
        <v>699.97</v>
      </c>
      <c r="Q7" s="320">
        <v>699.97</v>
      </c>
      <c r="R7" s="320">
        <v>699.97</v>
      </c>
      <c r="S7" s="320">
        <v>699.97</v>
      </c>
      <c r="T7" s="320">
        <v>699.97</v>
      </c>
      <c r="U7" s="320">
        <v>92</v>
      </c>
      <c r="V7" s="320"/>
      <c r="W7" s="320"/>
      <c r="X7" s="320"/>
      <c r="Y7" s="320"/>
      <c r="Z7" s="320"/>
      <c r="AA7" s="530"/>
    </row>
    <row r="8" spans="2:50">
      <c r="B8" s="650" t="s">
        <v>4746</v>
      </c>
      <c r="C8" s="383">
        <f t="shared" si="0"/>
        <v>179.63</v>
      </c>
      <c r="E8" s="320"/>
      <c r="F8" s="320"/>
      <c r="G8" s="320"/>
      <c r="H8" s="320"/>
      <c r="I8" s="320"/>
      <c r="J8" s="320"/>
      <c r="K8" s="320"/>
      <c r="L8" s="320"/>
      <c r="M8" s="320"/>
      <c r="N8" s="320"/>
      <c r="O8" s="320"/>
      <c r="P8" s="320">
        <v>179.63</v>
      </c>
      <c r="Q8" s="320"/>
      <c r="R8" s="320"/>
      <c r="S8" s="320"/>
      <c r="T8" s="320"/>
      <c r="U8" s="320"/>
      <c r="V8" s="320"/>
      <c r="W8" s="320"/>
      <c r="X8" s="320"/>
      <c r="Y8" s="320"/>
      <c r="Z8" s="320"/>
      <c r="AA8" s="530"/>
    </row>
    <row r="9" spans="2:50">
      <c r="B9" s="650" t="s">
        <v>4747</v>
      </c>
      <c r="C9" s="383">
        <f t="shared" si="0"/>
        <v>312.55</v>
      </c>
      <c r="E9" s="320"/>
      <c r="F9" s="320"/>
      <c r="G9" s="320"/>
      <c r="H9" s="320"/>
      <c r="I9" s="320"/>
      <c r="J9" s="320"/>
      <c r="K9" s="320"/>
      <c r="L9" s="320"/>
      <c r="M9" s="320"/>
      <c r="N9" s="320"/>
      <c r="O9" s="320"/>
      <c r="P9" s="320">
        <v>312.55</v>
      </c>
      <c r="Q9" s="320"/>
      <c r="R9" s="320"/>
      <c r="S9" s="320"/>
      <c r="T9" s="320"/>
      <c r="U9" s="320"/>
      <c r="V9" s="320"/>
      <c r="W9" s="320"/>
      <c r="X9" s="320"/>
      <c r="Y9" s="320"/>
      <c r="Z9" s="320"/>
      <c r="AA9" s="530"/>
    </row>
    <row r="10" spans="2:50">
      <c r="B10" s="650" t="s">
        <v>3352</v>
      </c>
      <c r="C10" s="383">
        <f t="shared" si="0"/>
        <v>306.02</v>
      </c>
      <c r="E10" s="320"/>
      <c r="F10" s="320"/>
      <c r="G10" s="320"/>
      <c r="H10" s="320"/>
      <c r="I10" s="320"/>
      <c r="J10" s="320"/>
      <c r="K10" s="320"/>
      <c r="L10" s="320"/>
      <c r="M10" s="320"/>
      <c r="N10" s="320"/>
      <c r="O10" s="320"/>
      <c r="P10" s="320">
        <v>306.02</v>
      </c>
      <c r="Q10" s="320"/>
      <c r="R10" s="320"/>
      <c r="S10" s="320"/>
      <c r="T10" s="320"/>
      <c r="U10" s="320"/>
      <c r="V10" s="320"/>
      <c r="W10" s="320"/>
      <c r="X10" s="320"/>
      <c r="Y10" s="320"/>
      <c r="Z10" s="320"/>
      <c r="AA10" s="530"/>
    </row>
    <row r="11" spans="2:50">
      <c r="B11" s="650" t="s">
        <v>3353</v>
      </c>
      <c r="C11" s="383">
        <f t="shared" si="0"/>
        <v>1315.09</v>
      </c>
      <c r="E11" s="320"/>
      <c r="F11" s="320"/>
      <c r="G11" s="320"/>
      <c r="H11" s="320"/>
      <c r="I11" s="320"/>
      <c r="J11" s="320"/>
      <c r="K11" s="320"/>
      <c r="L11" s="320"/>
      <c r="M11" s="320"/>
      <c r="N11" s="320"/>
      <c r="O11" s="320"/>
      <c r="P11" s="320">
        <v>482.9</v>
      </c>
      <c r="Q11" s="320">
        <v>482.9</v>
      </c>
      <c r="R11" s="320">
        <v>349.29</v>
      </c>
      <c r="S11" s="320"/>
      <c r="T11" s="320"/>
      <c r="U11" s="320"/>
      <c r="V11" s="320"/>
      <c r="W11" s="320"/>
      <c r="X11" s="320"/>
      <c r="Y11" s="320"/>
      <c r="Z11" s="320"/>
      <c r="AA11" s="530"/>
    </row>
    <row r="12" spans="2:50">
      <c r="B12" s="650" t="s">
        <v>4740</v>
      </c>
      <c r="C12" s="383">
        <f t="shared" si="0"/>
        <v>2750</v>
      </c>
      <c r="D12" s="320"/>
      <c r="E12" s="320"/>
      <c r="F12" s="320"/>
      <c r="G12" s="320"/>
      <c r="H12" s="320"/>
      <c r="I12" s="320"/>
      <c r="J12" s="320"/>
      <c r="K12" s="320"/>
      <c r="L12" s="320"/>
      <c r="M12" s="320"/>
      <c r="N12" s="320"/>
      <c r="O12" s="320"/>
      <c r="P12" s="320">
        <v>253.34</v>
      </c>
      <c r="Q12" s="320">
        <v>253.34</v>
      </c>
      <c r="R12" s="320">
        <v>253.34</v>
      </c>
      <c r="S12" s="320">
        <v>253.34</v>
      </c>
      <c r="T12" s="320">
        <v>253.34</v>
      </c>
      <c r="U12" s="320">
        <v>253.34</v>
      </c>
      <c r="V12" s="320">
        <v>253.34</v>
      </c>
      <c r="W12" s="320">
        <v>253.34</v>
      </c>
      <c r="X12" s="320">
        <v>253.34</v>
      </c>
      <c r="Y12" s="320">
        <v>253.34</v>
      </c>
      <c r="Z12" s="320">
        <v>216.6</v>
      </c>
      <c r="AA12" s="530"/>
    </row>
    <row r="13" spans="2:50">
      <c r="B13" s="650" t="s">
        <v>4741</v>
      </c>
      <c r="C13" s="383">
        <f t="shared" si="0"/>
        <v>688.6</v>
      </c>
      <c r="D13" s="320"/>
      <c r="E13" s="320"/>
      <c r="F13" s="320"/>
      <c r="G13" s="320"/>
      <c r="H13" s="320"/>
      <c r="I13" s="320"/>
      <c r="J13" s="320"/>
      <c r="K13" s="320"/>
      <c r="L13" s="320"/>
      <c r="M13" s="320"/>
      <c r="N13" s="320"/>
      <c r="O13" s="320"/>
      <c r="P13" s="320">
        <v>688.6</v>
      </c>
      <c r="Q13" s="320"/>
      <c r="R13" s="320"/>
      <c r="S13" s="320"/>
      <c r="T13" s="320"/>
      <c r="U13" s="320"/>
      <c r="V13" s="320"/>
      <c r="W13" s="320"/>
      <c r="X13" s="320"/>
      <c r="Y13" s="320"/>
      <c r="Z13" s="320"/>
      <c r="AA13" s="530"/>
    </row>
    <row r="14" spans="2:50">
      <c r="B14" s="650" t="s">
        <v>4742</v>
      </c>
      <c r="C14" s="383">
        <f t="shared" si="0"/>
        <v>249.01</v>
      </c>
      <c r="D14" s="320"/>
      <c r="E14" s="320"/>
      <c r="F14" s="320"/>
      <c r="G14" s="320"/>
      <c r="H14" s="320"/>
      <c r="I14" s="320"/>
      <c r="J14" s="320"/>
      <c r="K14" s="320"/>
      <c r="L14" s="320"/>
      <c r="M14" s="320"/>
      <c r="N14" s="320"/>
      <c r="O14" s="320"/>
      <c r="P14" s="320">
        <v>249.01</v>
      </c>
      <c r="Q14" s="320"/>
      <c r="R14" s="320"/>
      <c r="S14" s="320"/>
      <c r="T14" s="320"/>
      <c r="U14" s="320"/>
      <c r="V14" s="320"/>
      <c r="W14" s="320"/>
      <c r="X14" s="320"/>
      <c r="Y14" s="320"/>
      <c r="Z14" s="320"/>
      <c r="AA14" s="530"/>
    </row>
    <row r="15" spans="2:50">
      <c r="B15" s="650" t="s">
        <v>4743</v>
      </c>
      <c r="C15" s="383">
        <f t="shared" si="0"/>
        <v>237.95</v>
      </c>
      <c r="D15" s="320"/>
      <c r="E15" s="320"/>
      <c r="F15" s="320"/>
      <c r="G15" s="320"/>
      <c r="H15" s="320"/>
      <c r="I15" s="320"/>
      <c r="J15" s="320"/>
      <c r="K15" s="320"/>
      <c r="L15" s="320"/>
      <c r="M15" s="320"/>
      <c r="N15" s="320"/>
      <c r="O15" s="320"/>
      <c r="P15" s="320">
        <v>237.95</v>
      </c>
      <c r="Q15" s="320"/>
      <c r="R15" s="320"/>
      <c r="S15" s="320"/>
      <c r="T15" s="320"/>
      <c r="U15" s="320"/>
      <c r="V15" s="320"/>
      <c r="W15" s="320"/>
      <c r="X15" s="320"/>
      <c r="Y15" s="320"/>
      <c r="Z15" s="320"/>
      <c r="AA15" s="530"/>
    </row>
    <row r="16" spans="2:50">
      <c r="B16" s="650" t="s">
        <v>4744</v>
      </c>
      <c r="C16" s="383">
        <f t="shared" si="0"/>
        <v>1289.45</v>
      </c>
      <c r="D16" s="320"/>
      <c r="E16" s="320"/>
      <c r="F16" s="320"/>
      <c r="G16" s="320"/>
      <c r="H16" s="320"/>
      <c r="I16" s="320"/>
      <c r="J16" s="320"/>
      <c r="K16" s="320"/>
      <c r="L16" s="320"/>
      <c r="M16" s="320"/>
      <c r="N16" s="320"/>
      <c r="O16" s="320"/>
      <c r="P16" s="320">
        <v>1289.45</v>
      </c>
      <c r="Q16" s="320"/>
      <c r="R16" s="320"/>
      <c r="S16" s="320"/>
      <c r="T16" s="320"/>
      <c r="U16" s="320"/>
      <c r="V16" s="320"/>
      <c r="W16" s="320"/>
      <c r="X16" s="320"/>
      <c r="Y16" s="320"/>
      <c r="Z16" s="320"/>
      <c r="AA16" s="530"/>
    </row>
    <row r="17" spans="2:27">
      <c r="B17" s="650" t="s">
        <v>4028</v>
      </c>
      <c r="C17" s="383">
        <f t="shared" si="0"/>
        <v>396.11</v>
      </c>
      <c r="D17" s="320"/>
      <c r="E17" s="320"/>
      <c r="F17" s="320"/>
      <c r="G17" s="320"/>
      <c r="H17" s="320"/>
      <c r="I17" s="320"/>
      <c r="J17" s="320"/>
      <c r="K17" s="320"/>
      <c r="P17" s="320">
        <v>396.11</v>
      </c>
      <c r="Q17" s="320"/>
      <c r="R17" s="320"/>
      <c r="S17" s="320"/>
      <c r="T17" s="320"/>
      <c r="U17" s="320"/>
      <c r="V17" s="320"/>
      <c r="W17" s="320"/>
      <c r="X17" s="320"/>
      <c r="Y17" s="320"/>
      <c r="Z17" s="320"/>
      <c r="AA17" s="530"/>
    </row>
    <row r="18" spans="2:27">
      <c r="B18" s="650" t="s">
        <v>4518</v>
      </c>
      <c r="C18" s="383">
        <f t="shared" si="0"/>
        <v>1233.7</v>
      </c>
      <c r="D18" s="320"/>
      <c r="E18" s="320"/>
      <c r="F18" s="320"/>
      <c r="G18" s="320"/>
      <c r="H18" s="320"/>
      <c r="I18" s="320"/>
      <c r="J18" s="320"/>
      <c r="K18" s="320"/>
      <c r="L18" s="320"/>
      <c r="M18" s="320"/>
      <c r="N18" s="320"/>
      <c r="O18" s="320"/>
      <c r="P18" s="383">
        <v>122.97</v>
      </c>
      <c r="Q18" s="320">
        <v>122.97</v>
      </c>
      <c r="R18" s="320">
        <v>122.97</v>
      </c>
      <c r="S18" s="320">
        <v>122.97</v>
      </c>
      <c r="T18" s="320">
        <v>122.97</v>
      </c>
      <c r="U18" s="320">
        <v>122.97</v>
      </c>
      <c r="V18" s="320">
        <v>122.97</v>
      </c>
      <c r="W18" s="320">
        <v>122.97</v>
      </c>
      <c r="X18" s="320">
        <v>122.97</v>
      </c>
      <c r="Y18" s="320">
        <v>122.97</v>
      </c>
      <c r="Z18" s="320">
        <v>4</v>
      </c>
      <c r="AA18" s="530"/>
    </row>
    <row r="19" spans="2:27" ht="13.5" thickBot="1">
      <c r="B19" s="650"/>
      <c r="C19" s="1000">
        <f>SUM(C6:C18)</f>
        <v>17353.490000000002</v>
      </c>
      <c r="D19" s="320"/>
      <c r="E19" s="320"/>
      <c r="F19" s="320"/>
      <c r="G19" s="320"/>
      <c r="H19" s="320"/>
      <c r="I19" s="320"/>
      <c r="J19" s="320"/>
      <c r="K19" s="320"/>
      <c r="L19" s="320"/>
      <c r="M19" s="320"/>
      <c r="N19" s="320"/>
      <c r="O19" s="320"/>
      <c r="P19" s="320"/>
      <c r="Q19" s="320"/>
      <c r="R19" s="320"/>
      <c r="S19" s="320"/>
      <c r="T19" s="320"/>
      <c r="U19" s="320"/>
      <c r="V19" s="320"/>
      <c r="W19" s="320"/>
      <c r="X19" s="320"/>
      <c r="Y19" s="320"/>
      <c r="Z19" s="320"/>
      <c r="AA19" s="530"/>
    </row>
    <row r="20" spans="2:27" ht="13.5" thickBot="1">
      <c r="B20" s="651"/>
      <c r="C20" s="956">
        <f>-'New TB INC'!J241+C19</f>
        <v>-7.0099999999983993</v>
      </c>
      <c r="D20" s="718"/>
      <c r="E20" s="718"/>
      <c r="F20" s="718"/>
      <c r="G20" s="718"/>
      <c r="H20" s="718"/>
      <c r="I20" s="718"/>
      <c r="J20" s="718"/>
      <c r="K20" s="718"/>
      <c r="L20" s="718"/>
      <c r="M20" s="718"/>
      <c r="N20" s="718"/>
      <c r="O20" s="718"/>
      <c r="P20" s="718"/>
      <c r="Q20" s="718"/>
      <c r="R20" s="718"/>
      <c r="S20" s="718"/>
      <c r="T20" s="718"/>
      <c r="U20" s="718"/>
      <c r="V20" s="718"/>
      <c r="W20" s="718"/>
      <c r="X20" s="718"/>
      <c r="Y20" s="718"/>
      <c r="Z20" s="718"/>
      <c r="AA20" s="531"/>
    </row>
    <row r="21" spans="2:27" ht="13.5" thickBot="1"/>
    <row r="22" spans="2:27" ht="13.5" thickBot="1">
      <c r="B22" s="4428" t="s">
        <v>2439</v>
      </c>
      <c r="C22" s="4429"/>
      <c r="D22" s="4429"/>
      <c r="E22" s="4429"/>
      <c r="F22" s="4429"/>
      <c r="G22" s="4429"/>
      <c r="H22" s="4429"/>
      <c r="I22" s="4429"/>
      <c r="J22" s="4429"/>
      <c r="K22" s="4429"/>
      <c r="L22" s="4429"/>
      <c r="M22" s="4429"/>
      <c r="N22" s="4429"/>
      <c r="O22" s="4429"/>
      <c r="P22" s="4429"/>
      <c r="Q22" s="4429"/>
      <c r="R22" s="4429"/>
      <c r="S22" s="4429"/>
      <c r="T22" s="4429"/>
      <c r="U22" s="4429"/>
      <c r="V22" s="4429"/>
      <c r="W22" s="4429"/>
      <c r="X22" s="4429"/>
      <c r="Y22" s="4429"/>
      <c r="Z22" s="4430"/>
    </row>
    <row r="23" spans="2:27" ht="13.5" thickBot="1">
      <c r="B23" s="650"/>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2501"/>
    </row>
    <row r="24" spans="2:27" ht="13.5" thickBot="1">
      <c r="B24" s="977"/>
      <c r="C24" s="320"/>
      <c r="D24" s="4406" t="s">
        <v>400</v>
      </c>
      <c r="E24" s="4407"/>
      <c r="F24" s="4407"/>
      <c r="G24" s="4407"/>
      <c r="H24" s="4407"/>
      <c r="I24" s="4407"/>
      <c r="J24" s="4407"/>
      <c r="K24" s="4407"/>
      <c r="L24" s="4407"/>
      <c r="M24" s="4407"/>
      <c r="N24" s="4407"/>
      <c r="O24" s="4407"/>
      <c r="P24" s="4407"/>
      <c r="Q24" s="4407"/>
      <c r="R24" s="4407"/>
      <c r="S24" s="4407"/>
      <c r="T24" s="4407"/>
      <c r="U24" s="4407"/>
      <c r="V24" s="4407"/>
      <c r="W24" s="4407"/>
      <c r="X24" s="4407"/>
      <c r="Y24" s="4407"/>
      <c r="Z24" s="4408"/>
    </row>
    <row r="25" spans="2:27">
      <c r="B25" s="650"/>
      <c r="C25" s="320"/>
      <c r="D25" s="2251">
        <v>44197</v>
      </c>
      <c r="E25" s="2251">
        <v>44228</v>
      </c>
      <c r="F25" s="2251">
        <v>44256</v>
      </c>
      <c r="G25" s="2251">
        <v>44287</v>
      </c>
      <c r="H25" s="2251">
        <v>44317</v>
      </c>
      <c r="I25" s="2251">
        <v>44348</v>
      </c>
      <c r="J25" s="2251">
        <v>44378</v>
      </c>
      <c r="K25" s="2251">
        <v>44409</v>
      </c>
      <c r="L25" s="2251">
        <v>44440</v>
      </c>
      <c r="M25" s="2251">
        <v>44470</v>
      </c>
      <c r="N25" s="2251">
        <v>44501</v>
      </c>
      <c r="O25" s="2251">
        <v>44531</v>
      </c>
      <c r="P25" s="2251">
        <v>44562</v>
      </c>
      <c r="Q25" s="2251">
        <v>44593</v>
      </c>
      <c r="R25" s="2251">
        <v>44621</v>
      </c>
      <c r="S25" s="2251">
        <v>44652</v>
      </c>
      <c r="T25" s="2251">
        <v>44682</v>
      </c>
      <c r="U25" s="2251">
        <v>44713</v>
      </c>
      <c r="V25" s="2251">
        <v>44743</v>
      </c>
      <c r="W25" s="2251">
        <v>44774</v>
      </c>
      <c r="X25" s="2251">
        <v>44805</v>
      </c>
      <c r="Y25" s="2251">
        <v>44835</v>
      </c>
      <c r="Z25" s="2251">
        <v>44866</v>
      </c>
    </row>
    <row r="26" spans="2:27">
      <c r="B26" s="719" t="s">
        <v>4141</v>
      </c>
      <c r="C26" s="383">
        <f t="shared" ref="C26:C31" si="1">SUM(D26:AO26)</f>
        <v>3657.1199999999994</v>
      </c>
      <c r="D26" s="320"/>
      <c r="E26" s="320"/>
      <c r="F26" s="320"/>
      <c r="G26" s="320"/>
      <c r="H26" s="320"/>
      <c r="I26" s="320"/>
      <c r="J26" s="320"/>
      <c r="K26" s="320"/>
      <c r="L26" s="320"/>
      <c r="M26" s="320"/>
      <c r="N26" s="320"/>
      <c r="O26" s="320"/>
      <c r="P26" s="320">
        <v>457.14</v>
      </c>
      <c r="Q26" s="320">
        <v>457.14</v>
      </c>
      <c r="R26" s="320">
        <v>457.14</v>
      </c>
      <c r="S26" s="320">
        <v>457.14</v>
      </c>
      <c r="T26" s="320">
        <v>457.14</v>
      </c>
      <c r="U26" s="320">
        <v>457.14</v>
      </c>
      <c r="V26" s="320">
        <v>457.14</v>
      </c>
      <c r="W26" s="320">
        <v>457.14</v>
      </c>
      <c r="X26" s="320"/>
      <c r="Y26" s="973"/>
      <c r="Z26" s="530"/>
    </row>
    <row r="27" spans="2:27">
      <c r="B27" s="719" t="s">
        <v>4142</v>
      </c>
      <c r="C27" s="383">
        <f t="shared" si="1"/>
        <v>8786.4</v>
      </c>
      <c r="D27" s="320"/>
      <c r="E27" s="320"/>
      <c r="F27" s="320"/>
      <c r="G27" s="320"/>
      <c r="H27" s="320"/>
      <c r="I27" s="320"/>
      <c r="J27" s="320"/>
      <c r="K27" s="320"/>
      <c r="M27" s="320"/>
      <c r="N27" s="320"/>
      <c r="O27" s="320"/>
      <c r="P27" s="320">
        <v>1098.3</v>
      </c>
      <c r="Q27" s="320">
        <v>1098.3</v>
      </c>
      <c r="R27" s="320">
        <v>1098.3</v>
      </c>
      <c r="S27" s="320">
        <v>1098.3</v>
      </c>
      <c r="T27" s="320">
        <v>1098.3</v>
      </c>
      <c r="U27" s="320">
        <v>1098.3</v>
      </c>
      <c r="V27" s="320">
        <v>1098.3</v>
      </c>
      <c r="W27" s="320">
        <v>1098.3</v>
      </c>
      <c r="X27" s="320"/>
      <c r="Y27" s="320"/>
      <c r="Z27" s="530"/>
    </row>
    <row r="28" spans="2:27">
      <c r="B28" s="719" t="s">
        <v>4632</v>
      </c>
      <c r="C28" s="383">
        <f t="shared" si="1"/>
        <v>1027.6199999999999</v>
      </c>
      <c r="D28" s="320"/>
      <c r="E28" s="320"/>
      <c r="F28" s="320"/>
      <c r="G28" s="320"/>
      <c r="H28" s="320"/>
      <c r="I28" s="320"/>
      <c r="J28" s="320"/>
      <c r="K28" s="320"/>
      <c r="L28" s="320"/>
      <c r="M28" s="320"/>
      <c r="O28" s="320"/>
      <c r="P28" s="320">
        <v>97.5</v>
      </c>
      <c r="Q28" s="320">
        <v>97.5</v>
      </c>
      <c r="R28" s="320">
        <v>97.5</v>
      </c>
      <c r="S28" s="320">
        <v>97.5</v>
      </c>
      <c r="T28" s="320">
        <v>97.5</v>
      </c>
      <c r="U28" s="320">
        <v>97.5</v>
      </c>
      <c r="V28" s="320">
        <v>97.5</v>
      </c>
      <c r="W28" s="320">
        <v>97.5</v>
      </c>
      <c r="X28" s="320">
        <v>97.5</v>
      </c>
      <c r="Y28" s="320">
        <v>97.5</v>
      </c>
      <c r="Z28" s="530">
        <v>52.62</v>
      </c>
    </row>
    <row r="29" spans="2:27">
      <c r="B29" s="719" t="s">
        <v>4633</v>
      </c>
      <c r="C29" s="383">
        <f t="shared" si="1"/>
        <v>241.26</v>
      </c>
      <c r="D29" s="320"/>
      <c r="E29" s="320"/>
      <c r="F29" s="320"/>
      <c r="G29" s="320"/>
      <c r="H29" s="320"/>
      <c r="I29" s="320"/>
      <c r="J29" s="320"/>
      <c r="K29" s="320"/>
      <c r="L29" s="320"/>
      <c r="M29" s="320"/>
      <c r="N29" s="320"/>
      <c r="O29" s="320"/>
      <c r="P29" s="320">
        <v>241.26</v>
      </c>
      <c r="Q29" s="320"/>
      <c r="R29" s="320"/>
      <c r="S29" s="320"/>
      <c r="T29" s="320"/>
      <c r="U29" s="320"/>
      <c r="V29" s="320"/>
      <c r="W29" s="320"/>
      <c r="X29" s="320"/>
      <c r="Y29" s="320"/>
      <c r="Z29" s="530"/>
    </row>
    <row r="30" spans="2:27">
      <c r="B30" s="650" t="s">
        <v>4634</v>
      </c>
      <c r="C30" s="383">
        <f t="shared" si="1"/>
        <v>99</v>
      </c>
      <c r="D30" s="320"/>
      <c r="E30" s="320"/>
      <c r="F30" s="320"/>
      <c r="G30" s="320"/>
      <c r="H30" s="320"/>
      <c r="I30" s="320"/>
      <c r="L30" s="320"/>
      <c r="M30" s="320"/>
      <c r="N30" s="320"/>
      <c r="O30" s="320"/>
      <c r="P30" s="320">
        <v>99</v>
      </c>
      <c r="Q30" s="320"/>
      <c r="R30" s="320"/>
      <c r="S30" s="320"/>
      <c r="T30" s="320"/>
      <c r="U30" s="320"/>
      <c r="V30" s="320"/>
      <c r="W30" s="320"/>
      <c r="X30" s="320"/>
      <c r="Y30" s="320"/>
      <c r="Z30" s="530"/>
    </row>
    <row r="31" spans="2:27">
      <c r="B31" s="650" t="s">
        <v>4331</v>
      </c>
      <c r="C31" s="3150">
        <f t="shared" si="1"/>
        <v>504.86</v>
      </c>
      <c r="D31" s="320"/>
      <c r="E31" s="320"/>
      <c r="F31" s="320"/>
      <c r="G31" s="320"/>
      <c r="H31" s="320"/>
      <c r="I31" s="320"/>
      <c r="J31" s="320"/>
      <c r="K31" s="383"/>
      <c r="L31" s="320"/>
      <c r="M31" s="320"/>
      <c r="N31" s="320"/>
      <c r="O31" s="320"/>
      <c r="P31" s="320">
        <v>252.43</v>
      </c>
      <c r="Q31" s="320">
        <v>252.43</v>
      </c>
      <c r="R31" s="320"/>
      <c r="S31" s="320"/>
      <c r="T31" s="320"/>
      <c r="U31" s="320"/>
      <c r="V31" s="320"/>
      <c r="W31" s="320"/>
      <c r="X31" s="320"/>
      <c r="Y31" s="320"/>
      <c r="Z31" s="530"/>
    </row>
    <row r="32" spans="2:27" ht="13.5" thickBot="1">
      <c r="B32" s="650"/>
      <c r="C32" s="973">
        <f>SUM(C26:C31)</f>
        <v>14316.26</v>
      </c>
      <c r="D32" s="320"/>
      <c r="E32" s="320"/>
      <c r="F32" s="320"/>
      <c r="G32" s="320"/>
      <c r="H32" s="320"/>
      <c r="I32" s="320"/>
      <c r="J32" s="320"/>
      <c r="K32" s="320"/>
      <c r="L32" s="320"/>
      <c r="M32" s="320"/>
      <c r="N32" s="320"/>
      <c r="O32" s="320"/>
      <c r="P32" s="320"/>
      <c r="Q32" s="320"/>
      <c r="R32" s="320"/>
      <c r="S32" s="320"/>
      <c r="T32" s="320"/>
      <c r="U32" s="320"/>
      <c r="V32" s="320"/>
      <c r="W32" s="320"/>
      <c r="X32" s="320"/>
      <c r="Y32" s="320"/>
      <c r="Z32" s="530"/>
    </row>
    <row r="33" spans="2:50" ht="13.5" thickBot="1">
      <c r="B33" s="651"/>
      <c r="C33" s="956">
        <f>-'מאזן בוחן EUROPE'!J183+C32</f>
        <v>-4.9999999999272404E-2</v>
      </c>
      <c r="D33" s="718"/>
      <c r="E33" s="718"/>
      <c r="F33" s="718"/>
      <c r="G33" s="718"/>
      <c r="H33" s="718"/>
      <c r="I33" s="718"/>
      <c r="J33" s="718"/>
      <c r="K33" s="718"/>
      <c r="L33" s="718"/>
      <c r="M33" s="718"/>
      <c r="N33" s="718"/>
      <c r="O33" s="718"/>
      <c r="P33" s="718"/>
      <c r="Q33" s="718"/>
      <c r="R33" s="718"/>
      <c r="S33" s="718"/>
      <c r="T33" s="718"/>
      <c r="U33" s="718"/>
      <c r="V33" s="718"/>
      <c r="W33" s="718"/>
      <c r="X33" s="718"/>
      <c r="Y33" s="718"/>
      <c r="Z33" s="531"/>
    </row>
    <row r="34" spans="2:50" ht="13.5" thickBot="1"/>
    <row r="35" spans="2:50" ht="13.5" thickBot="1">
      <c r="B35" s="4428" t="s">
        <v>2468</v>
      </c>
      <c r="C35" s="4429"/>
      <c r="D35" s="4429"/>
      <c r="E35" s="4429"/>
      <c r="F35" s="4429"/>
      <c r="G35" s="4429"/>
      <c r="H35" s="4429"/>
      <c r="I35" s="4429"/>
      <c r="J35" s="4429"/>
      <c r="K35" s="4429"/>
      <c r="L35" s="4429"/>
      <c r="M35" s="4429"/>
      <c r="N35" s="4429"/>
      <c r="O35" s="4429"/>
      <c r="P35" s="4429"/>
      <c r="Q35" s="4429"/>
      <c r="R35" s="4429"/>
      <c r="S35" s="4429"/>
      <c r="T35" s="4429"/>
      <c r="U35" s="4429"/>
      <c r="V35" s="4429"/>
      <c r="W35" s="4429"/>
      <c r="X35" s="4429"/>
      <c r="Y35" s="4429"/>
      <c r="Z35" s="4429"/>
      <c r="AA35" s="4429"/>
      <c r="AB35" s="4429"/>
      <c r="AC35" s="4429"/>
      <c r="AD35" s="4429"/>
      <c r="AE35" s="4429"/>
      <c r="AF35" s="4429"/>
      <c r="AG35" s="4429"/>
      <c r="AH35" s="4429"/>
      <c r="AI35" s="4429"/>
      <c r="AJ35" s="4429"/>
      <c r="AK35" s="4429"/>
      <c r="AL35" s="4429"/>
      <c r="AM35" s="4429"/>
      <c r="AN35" s="4429"/>
      <c r="AO35" s="4429"/>
      <c r="AP35" s="4429"/>
      <c r="AQ35" s="4429"/>
      <c r="AR35" s="4429"/>
      <c r="AS35" s="4429"/>
      <c r="AT35" s="4429"/>
      <c r="AU35" s="4429"/>
      <c r="AV35" s="4429"/>
      <c r="AW35" s="4429"/>
      <c r="AX35" s="4430"/>
    </row>
    <row r="36" spans="2:50" ht="13.5" thickBot="1">
      <c r="B36" s="1449"/>
      <c r="C36" s="4406" t="s">
        <v>1458</v>
      </c>
      <c r="D36" s="4407"/>
      <c r="E36" s="4407"/>
      <c r="F36" s="4407"/>
      <c r="G36" s="4407"/>
      <c r="H36" s="4407"/>
      <c r="I36" s="4407"/>
      <c r="J36" s="4407"/>
      <c r="K36" s="4407"/>
      <c r="L36" s="4407"/>
      <c r="M36" s="4407"/>
      <c r="N36" s="4407"/>
      <c r="O36" s="4407"/>
      <c r="P36" s="4407"/>
      <c r="Q36" s="4407"/>
      <c r="R36" s="4407"/>
      <c r="S36" s="4407"/>
      <c r="T36" s="4407"/>
      <c r="U36" s="4407"/>
      <c r="V36" s="4407"/>
      <c r="W36" s="4407"/>
      <c r="X36" s="4407"/>
      <c r="Y36" s="4407"/>
      <c r="Z36" s="4407"/>
      <c r="AA36" s="4407"/>
      <c r="AB36" s="4407"/>
      <c r="AC36" s="4407"/>
      <c r="AD36" s="4407"/>
      <c r="AE36" s="4407"/>
      <c r="AF36" s="4407"/>
      <c r="AG36" s="4407"/>
      <c r="AH36" s="4407"/>
      <c r="AI36" s="4407"/>
      <c r="AJ36" s="4407"/>
      <c r="AK36" s="4407"/>
      <c r="AL36" s="4407"/>
      <c r="AM36" s="4407"/>
      <c r="AN36" s="4407"/>
      <c r="AO36" s="4407"/>
      <c r="AP36" s="4407"/>
      <c r="AQ36" s="4407"/>
      <c r="AR36" s="4407"/>
      <c r="AS36" s="4407"/>
      <c r="AT36" s="4407"/>
      <c r="AU36" s="4407"/>
      <c r="AV36" s="4407"/>
      <c r="AW36" s="4407"/>
      <c r="AX36" s="4408"/>
    </row>
    <row r="37" spans="2:50" s="253" customFormat="1">
      <c r="B37" s="1222">
        <f>'מאזן בוחן'!C135</f>
        <v>1100001</v>
      </c>
      <c r="C37" s="732"/>
      <c r="D37" s="1619">
        <v>44197</v>
      </c>
      <c r="E37" s="1619">
        <v>44228</v>
      </c>
      <c r="F37" s="1619">
        <v>44256</v>
      </c>
      <c r="G37" s="1619">
        <v>44287</v>
      </c>
      <c r="H37" s="1619">
        <v>44317</v>
      </c>
      <c r="I37" s="1619">
        <v>44348</v>
      </c>
      <c r="J37" s="1619">
        <v>44378</v>
      </c>
      <c r="K37" s="1619">
        <v>44409</v>
      </c>
      <c r="L37" s="1619">
        <v>44440</v>
      </c>
      <c r="M37" s="1619">
        <v>44470</v>
      </c>
      <c r="N37" s="1619">
        <v>44501</v>
      </c>
      <c r="O37" s="1619">
        <v>44531</v>
      </c>
      <c r="P37" s="1619">
        <v>44562</v>
      </c>
      <c r="Q37" s="1619">
        <v>44593</v>
      </c>
      <c r="R37" s="1619">
        <v>44621</v>
      </c>
      <c r="S37" s="1619">
        <v>44652</v>
      </c>
      <c r="T37" s="1619">
        <v>44682</v>
      </c>
      <c r="U37" s="1619">
        <v>44713</v>
      </c>
      <c r="V37" s="1619">
        <v>44743</v>
      </c>
      <c r="W37" s="1619">
        <v>44774</v>
      </c>
      <c r="X37" s="1619">
        <v>44805</v>
      </c>
      <c r="Y37" s="1619">
        <v>44835</v>
      </c>
      <c r="Z37" s="1619">
        <v>44866</v>
      </c>
      <c r="AA37" s="1619">
        <v>44896</v>
      </c>
      <c r="AB37" s="1619">
        <v>44927</v>
      </c>
      <c r="AC37" s="1619">
        <v>44958</v>
      </c>
      <c r="AD37" s="1619">
        <v>44986</v>
      </c>
      <c r="AE37" s="1619">
        <v>45017</v>
      </c>
      <c r="AF37" s="1619">
        <v>45047</v>
      </c>
      <c r="AG37" s="1619">
        <v>45078</v>
      </c>
      <c r="AH37" s="1619">
        <v>45108</v>
      </c>
      <c r="AI37" s="1619">
        <v>45139</v>
      </c>
      <c r="AJ37" s="1619">
        <v>45170</v>
      </c>
      <c r="AK37" s="1619">
        <v>45200</v>
      </c>
      <c r="AL37" s="1619">
        <v>45231</v>
      </c>
      <c r="AM37" s="1619">
        <v>45261</v>
      </c>
      <c r="AN37" s="1619">
        <v>45292</v>
      </c>
      <c r="AO37" s="1619"/>
      <c r="AP37" s="1619"/>
      <c r="AQ37" s="1619"/>
      <c r="AR37" s="1619"/>
      <c r="AS37" s="1619"/>
      <c r="AT37" s="1619"/>
      <c r="AU37" s="1619"/>
      <c r="AV37" s="1619"/>
      <c r="AW37" s="1619"/>
      <c r="AX37" s="2630"/>
    </row>
    <row r="38" spans="2:50">
      <c r="B38" s="1617" t="s">
        <v>4236</v>
      </c>
      <c r="C38" s="1202">
        <f t="shared" ref="C38:C103" si="2">SUM(D38:AX38)</f>
        <v>139085.35</v>
      </c>
      <c r="D38" s="320"/>
      <c r="E38" s="320"/>
      <c r="F38" s="144"/>
      <c r="G38" s="144"/>
      <c r="H38" s="144"/>
      <c r="I38" s="144"/>
      <c r="J38" s="144"/>
      <c r="K38" s="144"/>
      <c r="L38" s="144"/>
      <c r="M38" s="144"/>
      <c r="N38" s="144"/>
      <c r="O38" s="144"/>
      <c r="P38" s="204">
        <v>23180.9</v>
      </c>
      <c r="Q38" s="204">
        <v>23180.9</v>
      </c>
      <c r="R38" s="204">
        <v>23180.9</v>
      </c>
      <c r="S38" s="204">
        <v>23180.9</v>
      </c>
      <c r="T38" s="204">
        <v>23180.9</v>
      </c>
      <c r="U38" s="204">
        <v>23180.85</v>
      </c>
      <c r="V38" s="204"/>
      <c r="W38" s="204"/>
      <c r="X38" s="204"/>
      <c r="Y38" s="204"/>
      <c r="Z38" s="204"/>
      <c r="AA38" s="204"/>
      <c r="AB38" s="204"/>
      <c r="AC38" s="204"/>
      <c r="AD38" s="204"/>
      <c r="AE38" s="204"/>
      <c r="AF38" s="204"/>
      <c r="AG38" s="204"/>
      <c r="AH38" s="204"/>
      <c r="AI38" s="204"/>
      <c r="AJ38" s="204"/>
      <c r="AK38" s="204"/>
      <c r="AL38" s="204"/>
      <c r="AM38" s="144"/>
      <c r="AN38" s="320"/>
      <c r="AO38" s="320"/>
      <c r="AP38" s="320"/>
      <c r="AQ38" s="320"/>
      <c r="AR38" s="320"/>
      <c r="AS38" s="320"/>
      <c r="AT38" s="320"/>
      <c r="AU38" s="320"/>
      <c r="AV38" s="320"/>
      <c r="AX38" s="530"/>
    </row>
    <row r="39" spans="2:50">
      <c r="B39" s="1617" t="s">
        <v>4198</v>
      </c>
      <c r="C39" s="1202">
        <f t="shared" si="2"/>
        <v>6783.0699999999988</v>
      </c>
      <c r="D39" s="320"/>
      <c r="E39" s="320"/>
      <c r="F39" s="144"/>
      <c r="G39" s="144"/>
      <c r="H39" s="144"/>
      <c r="I39" s="144"/>
      <c r="J39" s="144"/>
      <c r="K39" s="144"/>
      <c r="L39" s="144"/>
      <c r="M39" s="144"/>
      <c r="N39" s="144"/>
      <c r="O39" s="144"/>
      <c r="P39" s="204">
        <v>797.36</v>
      </c>
      <c r="Q39" s="204">
        <v>797.36</v>
      </c>
      <c r="R39" s="204">
        <v>797.36</v>
      </c>
      <c r="S39" s="204">
        <v>797.36</v>
      </c>
      <c r="T39" s="204">
        <v>797.36</v>
      </c>
      <c r="U39" s="204">
        <v>797.36</v>
      </c>
      <c r="V39" s="204">
        <v>797.36</v>
      </c>
      <c r="W39" s="204">
        <v>797.36</v>
      </c>
      <c r="X39" s="204">
        <v>404.19</v>
      </c>
      <c r="Y39" s="204"/>
      <c r="Z39" s="204"/>
      <c r="AA39" s="204"/>
      <c r="AB39" s="204"/>
      <c r="AC39" s="204"/>
      <c r="AD39" s="204"/>
      <c r="AE39" s="204"/>
      <c r="AF39" s="204"/>
      <c r="AG39" s="204"/>
      <c r="AH39" s="204"/>
      <c r="AI39" s="204"/>
      <c r="AJ39" s="204"/>
      <c r="AK39" s="204"/>
      <c r="AL39" s="204"/>
      <c r="AM39" s="144"/>
      <c r="AN39" s="320"/>
      <c r="AO39" s="320"/>
      <c r="AP39" s="320"/>
      <c r="AQ39" s="320"/>
      <c r="AR39" s="320"/>
      <c r="AS39" s="320"/>
      <c r="AT39" s="320"/>
      <c r="AU39" s="320"/>
      <c r="AV39" s="320"/>
      <c r="AX39" s="530"/>
    </row>
    <row r="40" spans="2:50">
      <c r="B40" s="1617" t="s">
        <v>4767</v>
      </c>
      <c r="C40" s="1202">
        <f t="shared" si="2"/>
        <v>35917.71</v>
      </c>
      <c r="D40" s="320"/>
      <c r="E40" s="320"/>
      <c r="F40" s="144"/>
      <c r="G40" s="144"/>
      <c r="H40" s="144"/>
      <c r="I40" s="144"/>
      <c r="J40" s="144"/>
      <c r="K40" s="144"/>
      <c r="L40" s="144"/>
      <c r="M40" s="144"/>
      <c r="N40" s="144"/>
      <c r="O40" s="144"/>
      <c r="P40" s="204">
        <v>3098.55</v>
      </c>
      <c r="Q40" s="204">
        <v>3098.55</v>
      </c>
      <c r="R40" s="204">
        <v>3098.55</v>
      </c>
      <c r="S40" s="204">
        <v>3098.55</v>
      </c>
      <c r="T40" s="204">
        <v>3098.55</v>
      </c>
      <c r="U40" s="204">
        <v>3098.55</v>
      </c>
      <c r="V40" s="204">
        <v>3098.55</v>
      </c>
      <c r="W40" s="204">
        <v>3098.55</v>
      </c>
      <c r="X40" s="204">
        <v>3098.55</v>
      </c>
      <c r="Y40" s="204">
        <v>3098.55</v>
      </c>
      <c r="Z40" s="204">
        <v>3098.55</v>
      </c>
      <c r="AA40" s="204">
        <v>1833.66</v>
      </c>
      <c r="AB40" s="204"/>
      <c r="AC40" s="204"/>
      <c r="AD40" s="204"/>
      <c r="AE40" s="204"/>
      <c r="AF40" s="204"/>
      <c r="AG40" s="204"/>
      <c r="AH40" s="204"/>
      <c r="AI40" s="204"/>
      <c r="AJ40" s="204"/>
      <c r="AK40" s="204"/>
      <c r="AL40" s="204"/>
      <c r="AM40" s="144"/>
      <c r="AN40" s="320"/>
      <c r="AO40" s="320"/>
      <c r="AP40" s="320"/>
      <c r="AQ40" s="320"/>
      <c r="AR40" s="320"/>
      <c r="AS40" s="320"/>
      <c r="AT40" s="320"/>
      <c r="AU40" s="320"/>
      <c r="AV40" s="320"/>
      <c r="AX40" s="530"/>
    </row>
    <row r="41" spans="2:50">
      <c r="B41" s="1617" t="s">
        <v>3954</v>
      </c>
      <c r="C41" s="1202">
        <f t="shared" si="2"/>
        <v>8426.85</v>
      </c>
      <c r="D41" s="320"/>
      <c r="E41" s="320"/>
      <c r="F41" s="144"/>
      <c r="G41" s="144"/>
      <c r="H41" s="144"/>
      <c r="I41" s="144"/>
      <c r="J41" s="144"/>
      <c r="K41" s="144"/>
      <c r="L41" s="144"/>
      <c r="M41" s="144"/>
      <c r="N41" s="144"/>
      <c r="O41" s="144"/>
      <c r="P41" s="204">
        <v>1404.47</v>
      </c>
      <c r="Q41" s="204">
        <v>1404.47</v>
      </c>
      <c r="R41" s="204">
        <v>1404.47</v>
      </c>
      <c r="S41" s="204">
        <v>1404.47</v>
      </c>
      <c r="T41" s="204">
        <v>1404.47</v>
      </c>
      <c r="U41" s="204">
        <v>1404.5</v>
      </c>
      <c r="V41" s="204"/>
      <c r="W41" s="204"/>
      <c r="X41" s="204"/>
      <c r="Y41" s="204"/>
      <c r="Z41" s="204"/>
      <c r="AA41" s="204"/>
      <c r="AB41" s="204"/>
      <c r="AC41" s="204"/>
      <c r="AD41" s="204"/>
      <c r="AE41" s="204"/>
      <c r="AF41" s="204"/>
      <c r="AG41" s="204"/>
      <c r="AH41" s="204"/>
      <c r="AI41" s="204"/>
      <c r="AJ41" s="204"/>
      <c r="AK41" s="204"/>
      <c r="AL41" s="204"/>
      <c r="AM41" s="144"/>
      <c r="AN41" s="320"/>
      <c r="AO41" s="320"/>
      <c r="AP41" s="320"/>
      <c r="AQ41" s="320"/>
      <c r="AR41" s="320"/>
      <c r="AS41" s="320"/>
      <c r="AT41" s="320"/>
      <c r="AU41" s="320"/>
      <c r="AV41" s="320"/>
      <c r="AX41" s="530"/>
    </row>
    <row r="42" spans="2:50">
      <c r="B42" s="1617" t="s">
        <v>3955</v>
      </c>
      <c r="C42" s="1202">
        <f t="shared" si="2"/>
        <v>571.24</v>
      </c>
      <c r="D42" s="320"/>
      <c r="E42" s="320"/>
      <c r="F42" s="144"/>
      <c r="G42" s="144"/>
      <c r="H42" s="144"/>
      <c r="I42" s="144"/>
      <c r="J42" s="144"/>
      <c r="K42" s="144"/>
      <c r="L42" s="144"/>
      <c r="M42" s="144"/>
      <c r="N42" s="144"/>
      <c r="O42" s="144"/>
      <c r="P42" s="204">
        <v>571.24</v>
      </c>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144"/>
      <c r="AN42" s="320"/>
      <c r="AO42" s="320"/>
      <c r="AP42" s="320"/>
      <c r="AQ42" s="320"/>
      <c r="AR42" s="320"/>
      <c r="AS42" s="320"/>
      <c r="AT42" s="320"/>
      <c r="AU42" s="320"/>
      <c r="AV42" s="320"/>
      <c r="AX42" s="530"/>
    </row>
    <row r="43" spans="2:50">
      <c r="B43" s="1617" t="s">
        <v>4768</v>
      </c>
      <c r="C43" s="1202"/>
      <c r="D43" s="320"/>
      <c r="E43" s="320"/>
      <c r="F43" s="144"/>
      <c r="G43" s="144"/>
      <c r="H43" s="144"/>
      <c r="I43" s="144"/>
      <c r="J43" s="144"/>
      <c r="K43" s="144"/>
      <c r="L43" s="144"/>
      <c r="M43" s="144"/>
      <c r="N43" s="144"/>
      <c r="O43" s="14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144"/>
      <c r="AN43" s="320"/>
      <c r="AO43" s="320"/>
      <c r="AP43" s="320"/>
      <c r="AQ43" s="320"/>
      <c r="AR43" s="320"/>
      <c r="AS43" s="320"/>
      <c r="AT43" s="320"/>
      <c r="AU43" s="320"/>
      <c r="AV43" s="320"/>
      <c r="AX43" s="530"/>
    </row>
    <row r="44" spans="2:50">
      <c r="B44" s="1617" t="s">
        <v>3023</v>
      </c>
      <c r="C44" s="1202">
        <f t="shared" si="2"/>
        <v>12238.360000000002</v>
      </c>
      <c r="D44" s="320"/>
      <c r="E44" s="320"/>
      <c r="F44" s="144"/>
      <c r="G44" s="144"/>
      <c r="H44" s="144"/>
      <c r="I44" s="144"/>
      <c r="J44" s="144"/>
      <c r="K44" s="144"/>
      <c r="L44" s="144"/>
      <c r="M44" s="144"/>
      <c r="N44" s="144"/>
      <c r="O44" s="144"/>
      <c r="P44" s="204">
        <v>1104.5999999999999</v>
      </c>
      <c r="Q44" s="204">
        <v>1104.5999999999999</v>
      </c>
      <c r="R44" s="204">
        <v>1104.5999999999999</v>
      </c>
      <c r="S44" s="204">
        <v>1104.5999999999999</v>
      </c>
      <c r="T44" s="204">
        <v>1104.5999999999999</v>
      </c>
      <c r="U44" s="204">
        <v>1104.5999999999999</v>
      </c>
      <c r="V44" s="204">
        <v>1104.5999999999999</v>
      </c>
      <c r="W44" s="204">
        <v>1104.5999999999999</v>
      </c>
      <c r="X44" s="204">
        <v>1104.5999999999999</v>
      </c>
      <c r="Y44" s="204">
        <v>1104.5999999999999</v>
      </c>
      <c r="Z44" s="204">
        <v>1104.5999999999999</v>
      </c>
      <c r="AA44" s="204">
        <v>87.759999999999991</v>
      </c>
      <c r="AB44" s="204"/>
      <c r="AC44" s="204"/>
      <c r="AD44" s="204"/>
      <c r="AE44" s="204"/>
      <c r="AF44" s="204"/>
      <c r="AG44" s="204"/>
      <c r="AH44" s="204"/>
      <c r="AI44" s="204"/>
      <c r="AJ44" s="204"/>
      <c r="AK44" s="204"/>
      <c r="AL44" s="204"/>
      <c r="AM44" s="144"/>
      <c r="AN44" s="320"/>
      <c r="AO44" s="320"/>
      <c r="AP44" s="320"/>
      <c r="AQ44" s="320"/>
      <c r="AR44" s="320"/>
      <c r="AS44" s="320"/>
      <c r="AT44" s="320"/>
      <c r="AU44" s="320"/>
      <c r="AV44" s="320"/>
      <c r="AX44" s="530"/>
    </row>
    <row r="45" spans="2:50">
      <c r="B45" s="1617" t="s">
        <v>3698</v>
      </c>
      <c r="C45" s="1202">
        <f t="shared" si="2"/>
        <v>26047.01</v>
      </c>
      <c r="D45" s="320"/>
      <c r="E45" s="320"/>
      <c r="F45" s="144"/>
      <c r="G45" s="144"/>
      <c r="H45" s="144"/>
      <c r="I45" s="144"/>
      <c r="J45" s="144"/>
      <c r="K45" s="144"/>
      <c r="L45" s="144"/>
      <c r="M45" s="144"/>
      <c r="N45" s="144"/>
      <c r="O45" s="144"/>
      <c r="P45" s="204">
        <v>4064.62</v>
      </c>
      <c r="Q45" s="204">
        <v>4064.62</v>
      </c>
      <c r="R45" s="204">
        <v>4064.62</v>
      </c>
      <c r="S45" s="204">
        <v>4064.62</v>
      </c>
      <c r="T45" s="204">
        <v>4064.62</v>
      </c>
      <c r="U45" s="204">
        <v>4064.62</v>
      </c>
      <c r="V45" s="204">
        <v>1659.29</v>
      </c>
      <c r="W45" s="204"/>
      <c r="X45" s="204"/>
      <c r="Y45" s="204"/>
      <c r="Z45" s="204"/>
      <c r="AA45" s="204"/>
      <c r="AB45" s="204"/>
      <c r="AC45" s="204"/>
      <c r="AD45" s="204"/>
      <c r="AE45" s="204"/>
      <c r="AF45" s="204"/>
      <c r="AG45" s="204"/>
      <c r="AH45" s="204"/>
      <c r="AI45" s="204"/>
      <c r="AJ45" s="204"/>
      <c r="AK45" s="204"/>
      <c r="AL45" s="204"/>
      <c r="AM45" s="144"/>
      <c r="AN45" s="320"/>
      <c r="AO45" s="320"/>
      <c r="AP45" s="320"/>
      <c r="AQ45" s="320"/>
      <c r="AR45" s="320"/>
      <c r="AS45" s="320"/>
      <c r="AT45" s="320"/>
      <c r="AU45" s="320"/>
      <c r="AV45" s="320"/>
      <c r="AX45" s="530"/>
    </row>
    <row r="46" spans="2:50">
      <c r="B46" s="1617" t="s">
        <v>2622</v>
      </c>
      <c r="C46" s="1202">
        <f t="shared" si="2"/>
        <v>27231.48</v>
      </c>
      <c r="D46" s="320"/>
      <c r="E46" s="320"/>
      <c r="F46" s="144"/>
      <c r="G46" s="144"/>
      <c r="H46" s="144"/>
      <c r="I46" s="144"/>
      <c r="J46" s="144"/>
      <c r="K46" s="144"/>
      <c r="L46" s="144"/>
      <c r="M46" s="144"/>
      <c r="N46" s="144"/>
      <c r="O46" s="144"/>
      <c r="P46" s="204">
        <v>6807.88</v>
      </c>
      <c r="Q46" s="204">
        <v>6807.88</v>
      </c>
      <c r="R46" s="204">
        <v>6807.88</v>
      </c>
      <c r="S46" s="204">
        <v>6807.84</v>
      </c>
      <c r="T46" s="204"/>
      <c r="U46" s="204"/>
      <c r="V46" s="204"/>
      <c r="W46" s="204"/>
      <c r="X46" s="204"/>
      <c r="Y46" s="204"/>
      <c r="Z46" s="204"/>
      <c r="AA46" s="204"/>
      <c r="AB46" s="204"/>
      <c r="AC46" s="204"/>
      <c r="AD46" s="204"/>
      <c r="AE46" s="204"/>
      <c r="AF46" s="204"/>
      <c r="AG46" s="204"/>
      <c r="AH46" s="204"/>
      <c r="AI46" s="204"/>
      <c r="AJ46" s="204"/>
      <c r="AK46" s="204"/>
      <c r="AL46" s="204"/>
      <c r="AM46" s="144"/>
      <c r="AN46" s="320"/>
      <c r="AO46" s="320"/>
      <c r="AP46" s="320"/>
      <c r="AQ46" s="320"/>
      <c r="AR46" s="320"/>
      <c r="AS46" s="320"/>
      <c r="AT46" s="320"/>
      <c r="AU46" s="320"/>
      <c r="AV46" s="320"/>
      <c r="AX46" s="530"/>
    </row>
    <row r="47" spans="2:50">
      <c r="B47" s="1617" t="s">
        <v>4352</v>
      </c>
      <c r="C47" s="1202">
        <f t="shared" si="2"/>
        <v>15363.849999999999</v>
      </c>
      <c r="D47" s="320"/>
      <c r="E47" s="320"/>
      <c r="F47" s="144"/>
      <c r="G47" s="144"/>
      <c r="H47" s="144"/>
      <c r="I47" s="144"/>
      <c r="J47" s="144"/>
      <c r="K47" s="144"/>
      <c r="L47" s="144"/>
      <c r="M47" s="144"/>
      <c r="N47" s="144"/>
      <c r="O47" s="144"/>
      <c r="P47" s="204">
        <v>1536.39</v>
      </c>
      <c r="Q47" s="204">
        <v>1536.39</v>
      </c>
      <c r="R47" s="204">
        <v>1536.39</v>
      </c>
      <c r="S47" s="204">
        <v>1536.39</v>
      </c>
      <c r="T47" s="204">
        <v>1536.39</v>
      </c>
      <c r="U47" s="204">
        <v>1536.39</v>
      </c>
      <c r="V47" s="204">
        <v>1536.39</v>
      </c>
      <c r="W47" s="204">
        <v>1536.39</v>
      </c>
      <c r="X47" s="204">
        <v>1536.39</v>
      </c>
      <c r="Y47" s="204">
        <v>1536.34</v>
      </c>
      <c r="Z47" s="204"/>
      <c r="AA47" s="204"/>
      <c r="AB47" s="204"/>
      <c r="AC47" s="204"/>
      <c r="AD47" s="204"/>
      <c r="AE47" s="204"/>
      <c r="AF47" s="204"/>
      <c r="AG47" s="204"/>
      <c r="AH47" s="204"/>
      <c r="AI47" s="204"/>
      <c r="AJ47" s="204"/>
      <c r="AK47" s="204"/>
      <c r="AL47" s="204"/>
      <c r="AM47" s="144"/>
      <c r="AN47" s="320"/>
      <c r="AO47" s="320"/>
      <c r="AP47" s="320"/>
      <c r="AQ47" s="320"/>
      <c r="AR47" s="320"/>
      <c r="AS47" s="320"/>
      <c r="AT47" s="320"/>
      <c r="AU47" s="320"/>
      <c r="AV47" s="320"/>
      <c r="AX47" s="530"/>
    </row>
    <row r="48" spans="2:50">
      <c r="B48" s="1617" t="s">
        <v>3697</v>
      </c>
      <c r="C48" s="1202">
        <f t="shared" si="2"/>
        <v>63822.45</v>
      </c>
      <c r="D48" s="320"/>
      <c r="E48" s="320"/>
      <c r="F48" s="144"/>
      <c r="G48" s="144"/>
      <c r="H48" s="144"/>
      <c r="I48" s="144"/>
      <c r="J48" s="144"/>
      <c r="K48" s="144"/>
      <c r="L48" s="144"/>
      <c r="M48" s="144"/>
      <c r="N48" s="144"/>
      <c r="O48" s="144"/>
      <c r="P48" s="204">
        <v>12849</v>
      </c>
      <c r="Q48" s="204">
        <v>12849</v>
      </c>
      <c r="R48" s="204">
        <v>12849</v>
      </c>
      <c r="S48" s="204">
        <v>12849</v>
      </c>
      <c r="T48" s="204">
        <v>12426.45</v>
      </c>
      <c r="U48" s="204"/>
      <c r="V48" s="204"/>
      <c r="W48" s="204"/>
      <c r="X48" s="204"/>
      <c r="Y48" s="204"/>
      <c r="Z48" s="204"/>
      <c r="AA48" s="204"/>
      <c r="AB48" s="204"/>
      <c r="AC48" s="204"/>
      <c r="AD48" s="204"/>
      <c r="AE48" s="204"/>
      <c r="AF48" s="204"/>
      <c r="AG48" s="204"/>
      <c r="AH48" s="204"/>
      <c r="AI48" s="204"/>
      <c r="AJ48" s="204"/>
      <c r="AK48" s="204"/>
      <c r="AL48" s="204"/>
      <c r="AM48" s="144"/>
      <c r="AN48" s="320"/>
      <c r="AO48" s="320"/>
      <c r="AP48" s="320"/>
      <c r="AQ48" s="320"/>
      <c r="AR48" s="320"/>
      <c r="AS48" s="320"/>
      <c r="AT48" s="320"/>
      <c r="AU48" s="320"/>
      <c r="AV48" s="320"/>
      <c r="AX48" s="530"/>
    </row>
    <row r="49" spans="2:50">
      <c r="B49" s="1617" t="s">
        <v>4670</v>
      </c>
      <c r="C49" s="1202">
        <f t="shared" si="2"/>
        <v>13366.82</v>
      </c>
      <c r="D49" s="320"/>
      <c r="E49" s="320"/>
      <c r="F49" s="144"/>
      <c r="G49" s="144"/>
      <c r="H49" s="144"/>
      <c r="I49" s="144"/>
      <c r="J49" s="144"/>
      <c r="K49" s="144"/>
      <c r="L49" s="144"/>
      <c r="M49" s="144"/>
      <c r="N49" s="144"/>
      <c r="O49" s="144"/>
      <c r="P49" s="204">
        <v>13366.82</v>
      </c>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144"/>
      <c r="AN49" s="320"/>
      <c r="AO49" s="320"/>
      <c r="AP49" s="320"/>
      <c r="AQ49" s="320"/>
      <c r="AR49" s="320"/>
      <c r="AS49" s="320"/>
      <c r="AT49" s="320"/>
      <c r="AU49" s="320"/>
      <c r="AV49" s="320"/>
      <c r="AX49" s="530"/>
    </row>
    <row r="50" spans="2:50">
      <c r="B50" s="1617" t="s">
        <v>4353</v>
      </c>
      <c r="C50" s="1202">
        <f t="shared" si="2"/>
        <v>65299.99</v>
      </c>
      <c r="D50" s="320"/>
      <c r="E50" s="320"/>
      <c r="F50" s="144"/>
      <c r="G50" s="144"/>
      <c r="H50" s="144"/>
      <c r="I50" s="144"/>
      <c r="J50" s="144"/>
      <c r="K50" s="144"/>
      <c r="L50" s="144"/>
      <c r="M50" s="144"/>
      <c r="N50" s="144"/>
      <c r="O50" s="144"/>
      <c r="P50" s="204">
        <v>21766.67</v>
      </c>
      <c r="Q50" s="204">
        <v>21766.67</v>
      </c>
      <c r="R50" s="204">
        <v>21766.65</v>
      </c>
      <c r="S50" s="204"/>
      <c r="T50" s="204"/>
      <c r="U50" s="204"/>
      <c r="V50" s="204"/>
      <c r="W50" s="204"/>
      <c r="X50" s="204"/>
      <c r="Y50" s="204"/>
      <c r="Z50" s="204"/>
      <c r="AA50" s="204"/>
      <c r="AB50" s="204"/>
      <c r="AC50" s="204"/>
      <c r="AD50" s="204"/>
      <c r="AE50" s="204"/>
      <c r="AF50" s="204"/>
      <c r="AG50" s="204"/>
      <c r="AH50" s="204"/>
      <c r="AI50" s="204"/>
      <c r="AJ50" s="204"/>
      <c r="AK50" s="204"/>
      <c r="AL50" s="204"/>
      <c r="AM50" s="144"/>
      <c r="AN50" s="320"/>
      <c r="AO50" s="320"/>
      <c r="AP50" s="320"/>
      <c r="AQ50" s="320"/>
      <c r="AR50" s="320"/>
      <c r="AS50" s="320"/>
      <c r="AT50" s="320"/>
      <c r="AU50" s="320"/>
      <c r="AV50" s="320"/>
      <c r="AX50" s="530"/>
    </row>
    <row r="51" spans="2:50">
      <c r="B51" s="1617" t="s">
        <v>3500</v>
      </c>
      <c r="C51" s="1202">
        <f t="shared" si="2"/>
        <v>441.99</v>
      </c>
      <c r="D51" s="320"/>
      <c r="E51" s="320"/>
      <c r="F51" s="144"/>
      <c r="G51" s="144"/>
      <c r="H51" s="144"/>
      <c r="I51" s="144"/>
      <c r="J51" s="144"/>
      <c r="K51" s="144"/>
      <c r="L51" s="144"/>
      <c r="M51" s="144"/>
      <c r="N51" s="144"/>
      <c r="O51" s="144"/>
      <c r="P51" s="204">
        <v>103.33</v>
      </c>
      <c r="Q51" s="204">
        <v>103.33</v>
      </c>
      <c r="R51" s="204">
        <v>103.33</v>
      </c>
      <c r="S51" s="204">
        <v>103.33</v>
      </c>
      <c r="T51" s="204">
        <v>28.67</v>
      </c>
      <c r="U51" s="204"/>
      <c r="V51" s="204"/>
      <c r="W51" s="204"/>
      <c r="X51" s="204"/>
      <c r="Y51" s="204"/>
      <c r="Z51" s="204"/>
      <c r="AA51" s="204"/>
      <c r="AB51" s="204"/>
      <c r="AC51" s="204"/>
      <c r="AD51" s="204"/>
      <c r="AE51" s="204"/>
      <c r="AF51" s="204"/>
      <c r="AG51" s="204"/>
      <c r="AH51" s="204"/>
      <c r="AI51" s="204"/>
      <c r="AJ51" s="204"/>
      <c r="AK51" s="204"/>
      <c r="AL51" s="204"/>
      <c r="AM51" s="144"/>
      <c r="AN51" s="320"/>
      <c r="AO51" s="320"/>
      <c r="AP51" s="320"/>
      <c r="AQ51" s="320"/>
      <c r="AR51" s="320"/>
      <c r="AS51" s="320"/>
      <c r="AT51" s="320"/>
      <c r="AU51" s="320"/>
      <c r="AV51" s="320"/>
      <c r="AX51" s="530"/>
    </row>
    <row r="52" spans="2:50">
      <c r="B52" s="1617" t="s">
        <v>2941</v>
      </c>
      <c r="C52" s="1202">
        <f t="shared" si="2"/>
        <v>80.84</v>
      </c>
      <c r="D52" s="320"/>
      <c r="E52" s="320"/>
      <c r="F52" s="144"/>
      <c r="G52" s="144"/>
      <c r="H52" s="144"/>
      <c r="I52" s="144"/>
      <c r="J52" s="144"/>
      <c r="K52" s="144"/>
      <c r="L52" s="144"/>
      <c r="M52" s="144"/>
      <c r="N52" s="144"/>
      <c r="O52" s="144"/>
      <c r="P52" s="204">
        <v>18.760000000000002</v>
      </c>
      <c r="Q52" s="204">
        <v>18.760000000000002</v>
      </c>
      <c r="R52" s="204">
        <v>18.760000000000002</v>
      </c>
      <c r="S52" s="204">
        <v>18.760000000000002</v>
      </c>
      <c r="T52" s="204">
        <v>5.8</v>
      </c>
      <c r="U52" s="204"/>
      <c r="V52" s="204"/>
      <c r="W52" s="204"/>
      <c r="X52" s="204"/>
      <c r="Y52" s="204"/>
      <c r="Z52" s="204"/>
      <c r="AA52" s="204"/>
      <c r="AB52" s="204"/>
      <c r="AC52" s="204"/>
      <c r="AD52" s="204"/>
      <c r="AE52" s="204"/>
      <c r="AF52" s="204"/>
      <c r="AG52" s="204"/>
      <c r="AH52" s="204"/>
      <c r="AI52" s="204"/>
      <c r="AJ52" s="204"/>
      <c r="AK52" s="204"/>
      <c r="AL52" s="204"/>
      <c r="AM52" s="144"/>
      <c r="AN52" s="320"/>
      <c r="AO52" s="320"/>
      <c r="AP52" s="320"/>
      <c r="AQ52" s="320"/>
      <c r="AR52" s="320"/>
      <c r="AS52" s="320"/>
      <c r="AT52" s="320"/>
      <c r="AU52" s="320"/>
      <c r="AV52" s="320"/>
      <c r="AX52" s="530"/>
    </row>
    <row r="53" spans="2:50">
      <c r="B53" s="1617" t="s">
        <v>4354</v>
      </c>
      <c r="C53" s="1202">
        <f t="shared" si="2"/>
        <v>56219.609999999993</v>
      </c>
      <c r="D53" s="320"/>
      <c r="E53" s="320"/>
      <c r="F53" s="144"/>
      <c r="G53" s="144"/>
      <c r="H53" s="144"/>
      <c r="I53" s="144"/>
      <c r="J53" s="144"/>
      <c r="K53" s="144"/>
      <c r="L53" s="144"/>
      <c r="M53" s="144"/>
      <c r="N53" s="144"/>
      <c r="O53" s="144"/>
      <c r="P53" s="204">
        <v>6246.63</v>
      </c>
      <c r="Q53" s="204">
        <v>6246.63</v>
      </c>
      <c r="R53" s="204">
        <v>6246.63</v>
      </c>
      <c r="S53" s="204">
        <v>6246.63</v>
      </c>
      <c r="T53" s="204">
        <v>6246.63</v>
      </c>
      <c r="U53" s="204">
        <v>6246.63</v>
      </c>
      <c r="V53" s="204">
        <v>6246.63</v>
      </c>
      <c r="W53" s="204">
        <v>6246.63</v>
      </c>
      <c r="X53" s="204">
        <v>6246.57</v>
      </c>
      <c r="Y53" s="204"/>
      <c r="Z53" s="204"/>
      <c r="AA53" s="204"/>
      <c r="AB53" s="204"/>
      <c r="AC53" s="204"/>
      <c r="AD53" s="204"/>
      <c r="AE53" s="204"/>
      <c r="AF53" s="204"/>
      <c r="AG53" s="204"/>
      <c r="AH53" s="204"/>
      <c r="AI53" s="204"/>
      <c r="AJ53" s="204"/>
      <c r="AK53" s="204"/>
      <c r="AL53" s="204"/>
      <c r="AM53" s="144"/>
      <c r="AN53" s="320"/>
      <c r="AO53" s="320"/>
      <c r="AP53" s="320"/>
      <c r="AQ53" s="320"/>
      <c r="AR53" s="320"/>
      <c r="AS53" s="320"/>
      <c r="AT53" s="320"/>
      <c r="AU53" s="320"/>
      <c r="AV53" s="320"/>
      <c r="AX53" s="530"/>
    </row>
    <row r="54" spans="2:50">
      <c r="B54" s="1617" t="s">
        <v>3694</v>
      </c>
      <c r="C54" s="1202">
        <f t="shared" si="2"/>
        <v>723.82999999999993</v>
      </c>
      <c r="D54" s="320"/>
      <c r="E54" s="320"/>
      <c r="F54" s="144"/>
      <c r="G54" s="144"/>
      <c r="H54" s="144"/>
      <c r="I54" s="144"/>
      <c r="J54" s="144"/>
      <c r="K54" s="144"/>
      <c r="L54" s="144"/>
      <c r="M54" s="144"/>
      <c r="N54" s="144"/>
      <c r="O54" s="144"/>
      <c r="P54" s="204">
        <v>230.13</v>
      </c>
      <c r="Q54" s="204">
        <v>230.13</v>
      </c>
      <c r="R54" s="204">
        <v>230.13</v>
      </c>
      <c r="S54" s="204">
        <v>33.44</v>
      </c>
      <c r="T54" s="204"/>
      <c r="U54" s="204"/>
      <c r="V54" s="204"/>
      <c r="W54" s="204"/>
      <c r="X54" s="204"/>
      <c r="Y54" s="204"/>
      <c r="Z54" s="204"/>
      <c r="AA54" s="204"/>
      <c r="AB54" s="204"/>
      <c r="AC54" s="204"/>
      <c r="AD54" s="204"/>
      <c r="AE54" s="204"/>
      <c r="AF54" s="204"/>
      <c r="AG54" s="204"/>
      <c r="AH54" s="204"/>
      <c r="AI54" s="204"/>
      <c r="AJ54" s="204"/>
      <c r="AK54" s="204"/>
      <c r="AL54" s="204"/>
      <c r="AM54" s="144"/>
      <c r="AN54" s="320"/>
      <c r="AO54" s="320"/>
      <c r="AP54" s="320"/>
      <c r="AQ54" s="320"/>
      <c r="AR54" s="320"/>
      <c r="AS54" s="320"/>
      <c r="AT54" s="320"/>
      <c r="AU54" s="320"/>
      <c r="AV54" s="320"/>
      <c r="AX54" s="530"/>
    </row>
    <row r="55" spans="2:50">
      <c r="B55" s="1617" t="s">
        <v>4769</v>
      </c>
      <c r="C55" s="1202">
        <f t="shared" si="2"/>
        <v>3085.9500000000003</v>
      </c>
      <c r="D55" s="320"/>
      <c r="E55" s="320"/>
      <c r="F55" s="144"/>
      <c r="G55" s="144"/>
      <c r="H55" s="144"/>
      <c r="I55" s="144"/>
      <c r="J55" s="144"/>
      <c r="K55" s="144"/>
      <c r="L55" s="144"/>
      <c r="M55" s="144"/>
      <c r="N55" s="144"/>
      <c r="O55" s="144"/>
      <c r="P55" s="204">
        <v>514.32000000000005</v>
      </c>
      <c r="Q55" s="204">
        <v>514.32000000000005</v>
      </c>
      <c r="R55" s="204">
        <v>514.32000000000005</v>
      </c>
      <c r="S55" s="204">
        <v>514.32000000000005</v>
      </c>
      <c r="T55" s="204">
        <v>514.32000000000005</v>
      </c>
      <c r="U55" s="204">
        <v>514.35</v>
      </c>
      <c r="V55" s="204"/>
      <c r="W55" s="204"/>
      <c r="X55" s="204"/>
      <c r="Y55" s="204"/>
      <c r="Z55" s="204"/>
      <c r="AA55" s="204"/>
      <c r="AB55" s="204"/>
      <c r="AC55" s="204"/>
      <c r="AD55" s="204"/>
      <c r="AE55" s="204"/>
      <c r="AF55" s="204"/>
      <c r="AG55" s="204"/>
      <c r="AH55" s="204"/>
      <c r="AI55" s="204"/>
      <c r="AJ55" s="204"/>
      <c r="AK55" s="204"/>
      <c r="AL55" s="204"/>
      <c r="AM55" s="144"/>
      <c r="AN55" s="320"/>
      <c r="AO55" s="320"/>
      <c r="AP55" s="320"/>
      <c r="AQ55" s="320"/>
      <c r="AR55" s="320"/>
      <c r="AS55" s="320"/>
      <c r="AT55" s="320"/>
      <c r="AU55" s="320"/>
      <c r="AV55" s="320"/>
      <c r="AX55" s="530"/>
    </row>
    <row r="56" spans="2:50">
      <c r="B56" s="1617" t="s">
        <v>3019</v>
      </c>
      <c r="C56" s="1202">
        <f t="shared" si="2"/>
        <v>319.92</v>
      </c>
      <c r="D56" s="320"/>
      <c r="E56" s="320"/>
      <c r="F56" s="144"/>
      <c r="G56" s="144"/>
      <c r="H56" s="144"/>
      <c r="I56" s="144"/>
      <c r="J56" s="144"/>
      <c r="K56" s="144"/>
      <c r="L56" s="144"/>
      <c r="M56" s="144"/>
      <c r="N56" s="144"/>
      <c r="O56" s="144"/>
      <c r="P56" s="204">
        <v>319.92</v>
      </c>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144"/>
      <c r="AN56" s="320"/>
      <c r="AO56" s="320"/>
      <c r="AP56" s="320"/>
      <c r="AQ56" s="320"/>
      <c r="AR56" s="320"/>
      <c r="AS56" s="320"/>
      <c r="AT56" s="320"/>
      <c r="AU56" s="320"/>
      <c r="AV56" s="320"/>
      <c r="AX56" s="530"/>
    </row>
    <row r="57" spans="2:50">
      <c r="B57" s="1617" t="s">
        <v>3370</v>
      </c>
      <c r="C57" s="1202">
        <f t="shared" si="2"/>
        <v>327.29000000000002</v>
      </c>
      <c r="D57" s="320"/>
      <c r="E57" s="320"/>
      <c r="F57" s="144"/>
      <c r="G57" s="144"/>
      <c r="H57" s="144"/>
      <c r="I57" s="144"/>
      <c r="J57" s="144"/>
      <c r="K57" s="144"/>
      <c r="L57" s="144"/>
      <c r="M57" s="144"/>
      <c r="N57" s="144"/>
      <c r="O57" s="144"/>
      <c r="P57" s="204">
        <v>327.29000000000002</v>
      </c>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144"/>
      <c r="AN57" s="320"/>
      <c r="AO57" s="320"/>
      <c r="AP57" s="320"/>
      <c r="AQ57" s="320"/>
      <c r="AR57" s="320"/>
      <c r="AS57" s="320"/>
      <c r="AT57" s="320"/>
      <c r="AU57" s="320"/>
      <c r="AV57" s="320"/>
      <c r="AX57" s="530"/>
    </row>
    <row r="58" spans="2:50">
      <c r="B58" s="1617" t="s">
        <v>3136</v>
      </c>
      <c r="C58" s="1202">
        <f t="shared" si="2"/>
        <v>54197.18</v>
      </c>
      <c r="D58" s="320"/>
      <c r="E58" s="320"/>
      <c r="F58" s="144"/>
      <c r="G58" s="144"/>
      <c r="H58" s="144"/>
      <c r="I58" s="144"/>
      <c r="J58" s="144"/>
      <c r="K58" s="144"/>
      <c r="L58" s="144"/>
      <c r="M58" s="144"/>
      <c r="N58" s="144"/>
      <c r="O58" s="144"/>
      <c r="P58" s="204">
        <v>9032.86</v>
      </c>
      <c r="Q58" s="204">
        <v>9032.86</v>
      </c>
      <c r="R58" s="204">
        <v>9032.86</v>
      </c>
      <c r="S58" s="204">
        <v>9032.86</v>
      </c>
      <c r="T58" s="204">
        <v>9032.86</v>
      </c>
      <c r="U58" s="204">
        <v>9032.8799999999992</v>
      </c>
      <c r="V58" s="204"/>
      <c r="W58" s="204"/>
      <c r="X58" s="204"/>
      <c r="Y58" s="204"/>
      <c r="Z58" s="204"/>
      <c r="AA58" s="204"/>
      <c r="AB58" s="204"/>
      <c r="AC58" s="204"/>
      <c r="AD58" s="204"/>
      <c r="AE58" s="204"/>
      <c r="AF58" s="204"/>
      <c r="AG58" s="204"/>
      <c r="AH58" s="204"/>
      <c r="AI58" s="204"/>
      <c r="AJ58" s="204"/>
      <c r="AK58" s="204"/>
      <c r="AL58" s="204"/>
      <c r="AM58" s="144"/>
      <c r="AN58" s="320"/>
      <c r="AO58" s="320"/>
      <c r="AP58" s="320"/>
      <c r="AQ58" s="320"/>
      <c r="AR58" s="320"/>
      <c r="AS58" s="320"/>
      <c r="AT58" s="320"/>
      <c r="AU58" s="320"/>
      <c r="AV58" s="320"/>
      <c r="AX58" s="530"/>
    </row>
    <row r="59" spans="2:50">
      <c r="B59" s="1617" t="s">
        <v>3695</v>
      </c>
      <c r="C59" s="1202">
        <f t="shared" si="2"/>
        <v>698.07</v>
      </c>
      <c r="D59" s="320"/>
      <c r="E59" s="320"/>
      <c r="F59" s="144"/>
      <c r="G59" s="144"/>
      <c r="H59" s="144"/>
      <c r="I59" s="144"/>
      <c r="J59" s="144"/>
      <c r="K59" s="144"/>
      <c r="L59" s="144"/>
      <c r="M59" s="144"/>
      <c r="N59" s="144"/>
      <c r="O59" s="144"/>
      <c r="P59" s="204">
        <v>191.87</v>
      </c>
      <c r="Q59" s="204">
        <v>191.87</v>
      </c>
      <c r="R59" s="204">
        <v>191.87</v>
      </c>
      <c r="S59" s="204">
        <v>122.46</v>
      </c>
      <c r="T59" s="204"/>
      <c r="U59" s="204"/>
      <c r="V59" s="204"/>
      <c r="W59" s="204"/>
      <c r="X59" s="204"/>
      <c r="Y59" s="204"/>
      <c r="Z59" s="204"/>
      <c r="AA59" s="204"/>
      <c r="AB59" s="204"/>
      <c r="AC59" s="204"/>
      <c r="AD59" s="204"/>
      <c r="AE59" s="204"/>
      <c r="AF59" s="204"/>
      <c r="AG59" s="204"/>
      <c r="AH59" s="204"/>
      <c r="AI59" s="204"/>
      <c r="AJ59" s="204"/>
      <c r="AK59" s="204"/>
      <c r="AL59" s="204"/>
      <c r="AM59" s="144"/>
      <c r="AN59" s="320"/>
      <c r="AO59" s="320"/>
      <c r="AP59" s="320"/>
      <c r="AQ59" s="320"/>
      <c r="AR59" s="320"/>
      <c r="AS59" s="320"/>
      <c r="AT59" s="320"/>
      <c r="AU59" s="320"/>
      <c r="AV59" s="320"/>
      <c r="AX59" s="530"/>
    </row>
    <row r="60" spans="2:50">
      <c r="B60" s="1617" t="s">
        <v>4770</v>
      </c>
      <c r="C60" s="1202">
        <f t="shared" si="2"/>
        <v>57764.340000000011</v>
      </c>
      <c r="D60" s="320"/>
      <c r="E60" s="320"/>
      <c r="F60" s="144"/>
      <c r="G60" s="144"/>
      <c r="H60" s="144"/>
      <c r="I60" s="144"/>
      <c r="J60" s="144"/>
      <c r="K60" s="144"/>
      <c r="L60" s="144"/>
      <c r="M60" s="144"/>
      <c r="N60" s="144"/>
      <c r="O60" s="144"/>
      <c r="P60" s="204">
        <v>5235.66</v>
      </c>
      <c r="Q60" s="204">
        <v>5235.66</v>
      </c>
      <c r="R60" s="204">
        <v>5235.66</v>
      </c>
      <c r="S60" s="204">
        <v>5235.66</v>
      </c>
      <c r="T60" s="204">
        <v>5235.66</v>
      </c>
      <c r="U60" s="204">
        <v>5235.66</v>
      </c>
      <c r="V60" s="204">
        <v>5235.66</v>
      </c>
      <c r="W60" s="204">
        <v>5235.66</v>
      </c>
      <c r="X60" s="204">
        <v>5235.66</v>
      </c>
      <c r="Y60" s="204">
        <v>5235.66</v>
      </c>
      <c r="Z60" s="204">
        <v>5235.66</v>
      </c>
      <c r="AA60" s="204">
        <v>172.08</v>
      </c>
      <c r="AB60" s="204"/>
      <c r="AC60" s="204"/>
      <c r="AD60" s="204"/>
      <c r="AE60" s="204"/>
      <c r="AF60" s="204"/>
      <c r="AG60" s="204"/>
      <c r="AH60" s="204"/>
      <c r="AI60" s="204"/>
      <c r="AJ60" s="204"/>
      <c r="AK60" s="204"/>
      <c r="AL60" s="204"/>
      <c r="AM60" s="144"/>
      <c r="AN60" s="320"/>
      <c r="AO60" s="320"/>
      <c r="AP60" s="320"/>
      <c r="AQ60" s="320"/>
      <c r="AR60" s="320"/>
      <c r="AS60" s="320"/>
      <c r="AT60" s="320"/>
      <c r="AU60" s="320"/>
      <c r="AV60" s="320"/>
      <c r="AX60" s="530"/>
    </row>
    <row r="61" spans="2:50">
      <c r="B61" s="1617" t="s">
        <v>3576</v>
      </c>
      <c r="C61" s="1202">
        <f t="shared" si="2"/>
        <v>5577.58</v>
      </c>
      <c r="D61" s="320"/>
      <c r="E61" s="320"/>
      <c r="F61" s="144"/>
      <c r="G61" s="144"/>
      <c r="H61" s="144"/>
      <c r="I61" s="144"/>
      <c r="J61" s="144"/>
      <c r="K61" s="144"/>
      <c r="L61" s="144"/>
      <c r="M61" s="144"/>
      <c r="N61" s="144"/>
      <c r="O61" s="144"/>
      <c r="P61" s="204">
        <v>1773.36</v>
      </c>
      <c r="Q61" s="204">
        <v>1773.36</v>
      </c>
      <c r="R61" s="204">
        <v>1773.36</v>
      </c>
      <c r="S61" s="204">
        <v>257.5</v>
      </c>
      <c r="T61" s="204"/>
      <c r="U61" s="204"/>
      <c r="V61" s="204"/>
      <c r="W61" s="204"/>
      <c r="X61" s="204"/>
      <c r="Y61" s="204"/>
      <c r="Z61" s="204"/>
      <c r="AA61" s="204"/>
      <c r="AB61" s="204"/>
      <c r="AC61" s="204"/>
      <c r="AD61" s="204"/>
      <c r="AE61" s="204"/>
      <c r="AF61" s="204"/>
      <c r="AG61" s="204"/>
      <c r="AH61" s="204"/>
      <c r="AI61" s="204"/>
      <c r="AJ61" s="204"/>
      <c r="AK61" s="204"/>
      <c r="AL61" s="204"/>
      <c r="AM61" s="144"/>
      <c r="AN61" s="320"/>
      <c r="AO61" s="320"/>
      <c r="AP61" s="320"/>
      <c r="AQ61" s="320"/>
      <c r="AR61" s="320"/>
      <c r="AS61" s="320"/>
      <c r="AT61" s="320"/>
      <c r="AU61" s="320"/>
      <c r="AV61" s="320"/>
      <c r="AX61" s="530"/>
    </row>
    <row r="62" spans="2:50">
      <c r="B62" s="1617" t="s">
        <v>3501</v>
      </c>
      <c r="C62" s="1202">
        <f t="shared" si="2"/>
        <v>3616.93</v>
      </c>
      <c r="D62" s="320"/>
      <c r="E62" s="320"/>
      <c r="F62" s="144"/>
      <c r="G62" s="144"/>
      <c r="H62" s="144"/>
      <c r="I62" s="144"/>
      <c r="J62" s="144"/>
      <c r="K62" s="144"/>
      <c r="L62" s="144"/>
      <c r="M62" s="144"/>
      <c r="N62" s="144"/>
      <c r="O62" s="144"/>
      <c r="P62" s="204">
        <v>534.27</v>
      </c>
      <c r="Q62" s="204">
        <v>534.27</v>
      </c>
      <c r="R62" s="204">
        <v>534.27</v>
      </c>
      <c r="S62" s="204">
        <v>534.27</v>
      </c>
      <c r="T62" s="204">
        <v>534.27</v>
      </c>
      <c r="U62" s="204">
        <v>534.27</v>
      </c>
      <c r="V62" s="204">
        <v>411.31</v>
      </c>
      <c r="W62" s="204"/>
      <c r="X62" s="204"/>
      <c r="Y62" s="204"/>
      <c r="Z62" s="204"/>
      <c r="AA62" s="204"/>
      <c r="AB62" s="204"/>
      <c r="AC62" s="204"/>
      <c r="AD62" s="204"/>
      <c r="AE62" s="204"/>
      <c r="AF62" s="204"/>
      <c r="AG62" s="204"/>
      <c r="AH62" s="204"/>
      <c r="AI62" s="204"/>
      <c r="AJ62" s="204"/>
      <c r="AK62" s="204"/>
      <c r="AL62" s="204"/>
      <c r="AM62" s="144"/>
      <c r="AN62" s="320"/>
      <c r="AO62" s="320"/>
      <c r="AP62" s="320"/>
      <c r="AQ62" s="320"/>
      <c r="AR62" s="320"/>
      <c r="AS62" s="320"/>
      <c r="AT62" s="320"/>
      <c r="AU62" s="320"/>
      <c r="AV62" s="320"/>
      <c r="AX62" s="530"/>
    </row>
    <row r="63" spans="2:50">
      <c r="B63" s="1617" t="s">
        <v>2115</v>
      </c>
      <c r="C63" s="1202">
        <f t="shared" si="2"/>
        <v>336.16</v>
      </c>
      <c r="D63" s="320"/>
      <c r="E63" s="320"/>
      <c r="F63" s="144"/>
      <c r="G63" s="144"/>
      <c r="H63" s="144"/>
      <c r="I63" s="144"/>
      <c r="J63" s="144"/>
      <c r="K63" s="144"/>
      <c r="L63" s="144"/>
      <c r="M63" s="144"/>
      <c r="N63" s="144"/>
      <c r="O63" s="144"/>
      <c r="P63" s="204">
        <v>336.16</v>
      </c>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144"/>
      <c r="AN63" s="320"/>
      <c r="AO63" s="320"/>
      <c r="AP63" s="320"/>
      <c r="AQ63" s="320"/>
      <c r="AR63" s="320"/>
      <c r="AS63" s="320"/>
      <c r="AT63" s="320"/>
      <c r="AU63" s="320"/>
      <c r="AV63" s="320"/>
      <c r="AX63" s="530"/>
    </row>
    <row r="64" spans="2:50">
      <c r="B64" s="1617" t="s">
        <v>4771</v>
      </c>
      <c r="C64" s="1202">
        <f t="shared" si="2"/>
        <v>3623.3799999999992</v>
      </c>
      <c r="D64" s="320"/>
      <c r="E64" s="320"/>
      <c r="F64" s="144"/>
      <c r="G64" s="144"/>
      <c r="H64" s="144"/>
      <c r="I64" s="144"/>
      <c r="J64" s="144"/>
      <c r="K64" s="144"/>
      <c r="L64" s="144"/>
      <c r="M64" s="144"/>
      <c r="N64" s="144"/>
      <c r="O64" s="144"/>
      <c r="P64" s="726">
        <v>304.45</v>
      </c>
      <c r="Q64" s="726">
        <v>304.45</v>
      </c>
      <c r="R64" s="726">
        <v>304.45</v>
      </c>
      <c r="S64" s="204">
        <v>304.45</v>
      </c>
      <c r="T64" s="204">
        <v>304.45</v>
      </c>
      <c r="U64" s="204">
        <v>304.45</v>
      </c>
      <c r="V64" s="204">
        <v>304.45</v>
      </c>
      <c r="W64" s="204">
        <v>304.45</v>
      </c>
      <c r="X64" s="204">
        <v>304.45</v>
      </c>
      <c r="Y64" s="204">
        <v>304.45</v>
      </c>
      <c r="Z64" s="204">
        <v>304.45</v>
      </c>
      <c r="AA64" s="204">
        <v>274.43</v>
      </c>
      <c r="AB64" s="204"/>
      <c r="AC64" s="204"/>
      <c r="AD64" s="204"/>
      <c r="AE64" s="204"/>
      <c r="AF64" s="204"/>
      <c r="AG64" s="204"/>
      <c r="AH64" s="204"/>
      <c r="AI64" s="204"/>
      <c r="AJ64" s="204"/>
      <c r="AK64" s="204"/>
      <c r="AL64" s="204"/>
      <c r="AM64" s="144"/>
      <c r="AN64" s="320"/>
      <c r="AO64" s="320"/>
      <c r="AP64" s="320"/>
      <c r="AQ64" s="320"/>
      <c r="AR64" s="320"/>
      <c r="AS64" s="320"/>
      <c r="AT64" s="320"/>
      <c r="AU64" s="320"/>
      <c r="AV64" s="320"/>
      <c r="AX64" s="530"/>
    </row>
    <row r="65" spans="2:50">
      <c r="B65" s="1617" t="s">
        <v>3375</v>
      </c>
      <c r="C65" s="1202">
        <f t="shared" si="2"/>
        <v>5927.86</v>
      </c>
      <c r="D65" s="320"/>
      <c r="F65" s="144"/>
      <c r="G65" s="144"/>
      <c r="H65" s="144"/>
      <c r="I65" s="144"/>
      <c r="J65" s="144"/>
      <c r="K65" s="144"/>
      <c r="L65" s="144"/>
      <c r="M65" s="144"/>
      <c r="N65" s="144"/>
      <c r="O65" s="144"/>
      <c r="P65" s="204">
        <v>5927.86</v>
      </c>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144"/>
      <c r="AN65" s="320"/>
      <c r="AO65" s="320"/>
      <c r="AP65" s="320"/>
      <c r="AQ65" s="320"/>
      <c r="AR65" s="320"/>
      <c r="AS65" s="320"/>
      <c r="AT65" s="320"/>
      <c r="AU65" s="320"/>
      <c r="AV65" s="320"/>
      <c r="AX65" s="530"/>
    </row>
    <row r="66" spans="2:50">
      <c r="B66" s="1617" t="s">
        <v>3369</v>
      </c>
      <c r="C66" s="1202">
        <f t="shared" si="2"/>
        <v>12619.93</v>
      </c>
      <c r="D66" s="320"/>
      <c r="E66" s="320"/>
      <c r="F66" s="144"/>
      <c r="G66" s="144"/>
      <c r="H66" s="144"/>
      <c r="I66" s="144"/>
      <c r="J66" s="144"/>
      <c r="K66" s="144"/>
      <c r="L66" s="144"/>
      <c r="M66" s="144"/>
      <c r="N66" s="144"/>
      <c r="O66" s="144"/>
      <c r="P66" s="204">
        <v>12619.93</v>
      </c>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144"/>
      <c r="AN66" s="320"/>
      <c r="AO66" s="320"/>
      <c r="AP66" s="320"/>
      <c r="AQ66" s="320"/>
      <c r="AR66" s="320"/>
      <c r="AS66" s="320"/>
      <c r="AT66" s="320"/>
      <c r="AU66" s="320"/>
      <c r="AV66" s="320"/>
      <c r="AX66" s="530"/>
    </row>
    <row r="67" spans="2:50">
      <c r="B67" s="1617" t="s">
        <v>4465</v>
      </c>
      <c r="C67" s="1202">
        <f t="shared" si="2"/>
        <v>3750</v>
      </c>
      <c r="D67" s="320"/>
      <c r="E67" s="320"/>
      <c r="F67" s="144"/>
      <c r="G67" s="144"/>
      <c r="H67" s="144"/>
      <c r="I67" s="144"/>
      <c r="J67" s="144"/>
      <c r="K67" s="144"/>
      <c r="L67" s="144"/>
      <c r="M67" s="144"/>
      <c r="N67" s="144"/>
      <c r="O67" s="144"/>
      <c r="P67" s="204">
        <v>10.27</v>
      </c>
      <c r="Q67" s="204">
        <v>312.5</v>
      </c>
      <c r="R67" s="204">
        <v>312.5</v>
      </c>
      <c r="S67" s="204">
        <v>312.5</v>
      </c>
      <c r="T67" s="204">
        <v>312.5</v>
      </c>
      <c r="U67" s="204">
        <v>312.5</v>
      </c>
      <c r="V67" s="204">
        <v>312.5</v>
      </c>
      <c r="W67" s="204">
        <v>312.5</v>
      </c>
      <c r="X67" s="204">
        <v>312.5</v>
      </c>
      <c r="Y67" s="204">
        <v>312.5</v>
      </c>
      <c r="Z67" s="204">
        <v>312.5</v>
      </c>
      <c r="AA67" s="204">
        <v>312.5</v>
      </c>
      <c r="AB67" s="204">
        <v>302.23</v>
      </c>
      <c r="AC67" s="204"/>
      <c r="AD67" s="204"/>
      <c r="AE67" s="204"/>
      <c r="AF67" s="204"/>
      <c r="AG67" s="204"/>
      <c r="AH67" s="204"/>
      <c r="AI67" s="204"/>
      <c r="AJ67" s="204"/>
      <c r="AK67" s="204"/>
      <c r="AL67" s="204"/>
      <c r="AM67" s="144"/>
      <c r="AN67" s="320"/>
      <c r="AO67" s="320"/>
      <c r="AP67" s="320"/>
      <c r="AQ67" s="320"/>
      <c r="AR67" s="320"/>
      <c r="AS67" s="320"/>
      <c r="AT67" s="320"/>
      <c r="AU67" s="320"/>
      <c r="AV67" s="320"/>
      <c r="AX67" s="530"/>
    </row>
    <row r="68" spans="2:50">
      <c r="B68" s="1617" t="s">
        <v>4542</v>
      </c>
      <c r="C68" s="1202">
        <f t="shared" si="2"/>
        <v>8421.32</v>
      </c>
      <c r="D68" s="320"/>
      <c r="E68" s="320"/>
      <c r="F68" s="144"/>
      <c r="G68" s="144"/>
      <c r="H68" s="144"/>
      <c r="I68" s="144"/>
      <c r="J68" s="144"/>
      <c r="K68" s="144"/>
      <c r="L68" s="144"/>
      <c r="M68" s="144"/>
      <c r="N68" s="144"/>
      <c r="O68" s="144"/>
      <c r="P68" s="204">
        <v>4210.67</v>
      </c>
      <c r="Q68" s="204">
        <v>4210.6499999999996</v>
      </c>
      <c r="R68" s="204"/>
      <c r="S68" s="204"/>
      <c r="T68" s="204"/>
      <c r="U68" s="204"/>
      <c r="V68" s="204"/>
      <c r="W68" s="204"/>
      <c r="X68" s="204"/>
      <c r="Y68" s="204"/>
      <c r="Z68" s="204"/>
      <c r="AA68" s="204"/>
      <c r="AB68" s="204"/>
      <c r="AC68" s="204"/>
      <c r="AD68" s="204"/>
      <c r="AE68" s="204"/>
      <c r="AF68" s="204"/>
      <c r="AG68" s="204"/>
      <c r="AH68" s="204"/>
      <c r="AI68" s="204"/>
      <c r="AJ68" s="204"/>
      <c r="AK68" s="204"/>
      <c r="AL68" s="204"/>
      <c r="AM68" s="144"/>
      <c r="AN68" s="320"/>
      <c r="AO68" s="320"/>
      <c r="AP68" s="320"/>
      <c r="AQ68" s="320"/>
      <c r="AR68" s="320"/>
      <c r="AS68" s="320"/>
      <c r="AT68" s="320"/>
      <c r="AU68" s="320"/>
      <c r="AV68" s="320"/>
      <c r="AX68" s="530"/>
    </row>
    <row r="69" spans="2:50">
      <c r="B69" s="1617" t="s">
        <v>2616</v>
      </c>
      <c r="C69" s="1202">
        <f t="shared" si="2"/>
        <v>11954.94</v>
      </c>
      <c r="D69" s="320"/>
      <c r="E69" s="320"/>
      <c r="F69" s="144"/>
      <c r="G69" s="144"/>
      <c r="H69" s="144"/>
      <c r="I69" s="144"/>
      <c r="J69" s="144"/>
      <c r="K69" s="144"/>
      <c r="L69" s="144"/>
      <c r="M69" s="144"/>
      <c r="N69" s="144"/>
      <c r="O69" s="144"/>
      <c r="P69" s="204">
        <v>1106.6600000000001</v>
      </c>
      <c r="Q69" s="204">
        <v>1106.6600000000001</v>
      </c>
      <c r="R69" s="204">
        <v>1106.6600000000001</v>
      </c>
      <c r="S69" s="204">
        <v>1106.6600000000001</v>
      </c>
      <c r="T69" s="204">
        <v>1106.6600000000001</v>
      </c>
      <c r="U69" s="204">
        <v>1106.6600000000001</v>
      </c>
      <c r="V69" s="204">
        <v>1106.6600000000001</v>
      </c>
      <c r="W69" s="204">
        <v>1106.6600000000001</v>
      </c>
      <c r="X69" s="204">
        <v>1106.6600000000001</v>
      </c>
      <c r="Y69" s="204">
        <v>1106.6600000000001</v>
      </c>
      <c r="Z69" s="204">
        <v>888.34</v>
      </c>
      <c r="AA69" s="204"/>
      <c r="AB69" s="204"/>
      <c r="AC69" s="204"/>
      <c r="AD69" s="204"/>
      <c r="AE69" s="204"/>
      <c r="AF69" s="204"/>
      <c r="AG69" s="204"/>
      <c r="AH69" s="204"/>
      <c r="AI69" s="204"/>
      <c r="AJ69" s="204"/>
      <c r="AK69" s="204"/>
      <c r="AL69" s="204"/>
      <c r="AM69" s="144"/>
      <c r="AN69" s="320"/>
      <c r="AO69" s="320"/>
      <c r="AP69" s="320"/>
      <c r="AQ69" s="320"/>
      <c r="AR69" s="320"/>
      <c r="AS69" s="320"/>
      <c r="AT69" s="320"/>
      <c r="AU69" s="320"/>
      <c r="AV69" s="320"/>
      <c r="AX69" s="530"/>
    </row>
    <row r="70" spans="2:50">
      <c r="B70" s="1617" t="s">
        <v>3956</v>
      </c>
      <c r="C70" s="1202">
        <f t="shared" si="2"/>
        <v>1379.06</v>
      </c>
      <c r="D70" s="383"/>
      <c r="E70" s="383"/>
      <c r="F70" s="204"/>
      <c r="G70" s="204"/>
      <c r="H70" s="204"/>
      <c r="I70" s="204"/>
      <c r="J70" s="204"/>
      <c r="K70" s="204"/>
      <c r="L70" s="204"/>
      <c r="M70" s="204"/>
      <c r="N70" s="204"/>
      <c r="O70" s="204"/>
      <c r="P70" s="204">
        <v>1379.06</v>
      </c>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144"/>
      <c r="AN70" s="320"/>
      <c r="AO70" s="320"/>
      <c r="AP70" s="320"/>
      <c r="AQ70" s="320"/>
      <c r="AR70" s="320"/>
      <c r="AS70" s="320"/>
      <c r="AT70" s="320"/>
      <c r="AU70" s="320"/>
      <c r="AV70" s="320"/>
      <c r="AX70" s="530"/>
    </row>
    <row r="71" spans="2:50">
      <c r="B71" s="1617" t="s">
        <v>2063</v>
      </c>
      <c r="C71" s="1202">
        <f t="shared" si="2"/>
        <v>6629.1699999999983</v>
      </c>
      <c r="D71" s="383"/>
      <c r="E71" s="380"/>
      <c r="F71" s="204"/>
      <c r="G71" s="204"/>
      <c r="H71" s="204"/>
      <c r="I71" s="204"/>
      <c r="J71" s="204"/>
      <c r="K71" s="204"/>
      <c r="L71" s="204"/>
      <c r="M71" s="204"/>
      <c r="N71" s="204"/>
      <c r="O71" s="204"/>
      <c r="P71" s="204">
        <v>567.05999999999995</v>
      </c>
      <c r="Q71" s="204">
        <v>567.05999999999995</v>
      </c>
      <c r="R71" s="204">
        <v>567.05999999999995</v>
      </c>
      <c r="S71" s="204">
        <v>567.05999999999995</v>
      </c>
      <c r="T71" s="204">
        <v>567.05999999999995</v>
      </c>
      <c r="U71" s="204">
        <v>567.05999999999995</v>
      </c>
      <c r="V71" s="204">
        <v>567.05999999999995</v>
      </c>
      <c r="W71" s="204">
        <v>567.05999999999995</v>
      </c>
      <c r="X71" s="204">
        <v>567.05999999999995</v>
      </c>
      <c r="Y71" s="204">
        <v>567.05999999999995</v>
      </c>
      <c r="Z71" s="204">
        <v>567.05999999999995</v>
      </c>
      <c r="AA71" s="204">
        <v>391.51</v>
      </c>
      <c r="AB71" s="204"/>
      <c r="AC71" s="204"/>
      <c r="AD71" s="204"/>
      <c r="AE71" s="204"/>
      <c r="AF71" s="204"/>
      <c r="AG71" s="204"/>
      <c r="AH71" s="204"/>
      <c r="AI71" s="204"/>
      <c r="AJ71" s="204"/>
      <c r="AK71" s="204"/>
      <c r="AL71" s="204"/>
      <c r="AM71" s="144"/>
      <c r="AN71" s="320"/>
      <c r="AO71" s="320"/>
      <c r="AP71" s="320"/>
      <c r="AQ71" s="320"/>
      <c r="AR71" s="320"/>
      <c r="AS71" s="320"/>
      <c r="AT71" s="320"/>
      <c r="AU71" s="320"/>
      <c r="AV71" s="320"/>
      <c r="AX71" s="530"/>
    </row>
    <row r="72" spans="2:50">
      <c r="B72" s="1617" t="s">
        <v>4090</v>
      </c>
      <c r="C72" s="1202">
        <f t="shared" si="2"/>
        <v>8821.51</v>
      </c>
      <c r="D72" s="383"/>
      <c r="E72" s="383"/>
      <c r="F72" s="204"/>
      <c r="G72" s="204"/>
      <c r="H72" s="204"/>
      <c r="I72" s="204"/>
      <c r="J72" s="204"/>
      <c r="K72" s="204"/>
      <c r="L72" s="204"/>
      <c r="M72" s="204"/>
      <c r="N72" s="204"/>
      <c r="O72" s="204"/>
      <c r="P72" s="204">
        <v>1254.33</v>
      </c>
      <c r="Q72" s="204">
        <v>1254.33</v>
      </c>
      <c r="R72" s="204">
        <v>1254.33</v>
      </c>
      <c r="S72" s="204">
        <v>1254.33</v>
      </c>
      <c r="T72" s="204">
        <v>1254.33</v>
      </c>
      <c r="U72" s="204">
        <v>1254.33</v>
      </c>
      <c r="V72" s="204">
        <v>1254.33</v>
      </c>
      <c r="W72" s="204">
        <v>41.2</v>
      </c>
      <c r="X72" s="204"/>
      <c r="Y72" s="204"/>
      <c r="Z72" s="204"/>
      <c r="AA72" s="204"/>
      <c r="AB72" s="204"/>
      <c r="AC72" s="204"/>
      <c r="AD72" s="204"/>
      <c r="AE72" s="204"/>
      <c r="AF72" s="204"/>
      <c r="AG72" s="204"/>
      <c r="AH72" s="204"/>
      <c r="AI72" s="204"/>
      <c r="AJ72" s="204"/>
      <c r="AK72" s="204"/>
      <c r="AL72" s="204"/>
      <c r="AM72" s="144"/>
      <c r="AN72" s="320"/>
      <c r="AO72" s="320"/>
      <c r="AP72" s="320"/>
      <c r="AQ72" s="320"/>
      <c r="AR72" s="320"/>
      <c r="AS72" s="320"/>
      <c r="AT72" s="320"/>
      <c r="AU72" s="320"/>
      <c r="AV72" s="320"/>
      <c r="AX72" s="530"/>
    </row>
    <row r="73" spans="2:50">
      <c r="B73" s="1617" t="s">
        <v>3957</v>
      </c>
      <c r="C73" s="1202">
        <f t="shared" si="2"/>
        <v>14850.58</v>
      </c>
      <c r="D73" s="383"/>
      <c r="E73" s="383"/>
      <c r="F73" s="204"/>
      <c r="G73" s="204"/>
      <c r="H73" s="204"/>
      <c r="I73" s="204"/>
      <c r="J73" s="204"/>
      <c r="K73" s="204"/>
      <c r="L73" s="204"/>
      <c r="M73" s="204"/>
      <c r="N73" s="204"/>
      <c r="O73" s="204"/>
      <c r="P73" s="204">
        <v>4950.2</v>
      </c>
      <c r="Q73" s="204">
        <v>4950.2</v>
      </c>
      <c r="R73" s="204">
        <v>4950.18</v>
      </c>
      <c r="S73" s="204"/>
      <c r="T73" s="204"/>
      <c r="U73" s="204"/>
      <c r="V73" s="204"/>
      <c r="W73" s="204"/>
      <c r="X73" s="204"/>
      <c r="Y73" s="204"/>
      <c r="Z73" s="204"/>
      <c r="AA73" s="204"/>
      <c r="AB73" s="204"/>
      <c r="AC73" s="204"/>
      <c r="AD73" s="204"/>
      <c r="AE73" s="204"/>
      <c r="AF73" s="204"/>
      <c r="AG73" s="204"/>
      <c r="AH73" s="204"/>
      <c r="AI73" s="204"/>
      <c r="AJ73" s="204"/>
      <c r="AK73" s="204"/>
      <c r="AL73" s="204"/>
      <c r="AM73" s="144"/>
      <c r="AN73" s="320"/>
      <c r="AO73" s="320"/>
      <c r="AP73" s="320"/>
      <c r="AQ73" s="320"/>
      <c r="AR73" s="320"/>
      <c r="AS73" s="320"/>
      <c r="AT73" s="320"/>
      <c r="AU73" s="320"/>
      <c r="AV73" s="320"/>
      <c r="AX73" s="530"/>
    </row>
    <row r="74" spans="2:50">
      <c r="B74" s="1617" t="s">
        <v>4091</v>
      </c>
      <c r="C74" s="1202">
        <f t="shared" si="2"/>
        <v>6669.88</v>
      </c>
      <c r="D74" s="383"/>
      <c r="E74" s="383"/>
      <c r="F74" s="204"/>
      <c r="G74" s="204"/>
      <c r="H74" s="204"/>
      <c r="I74" s="204"/>
      <c r="J74" s="204"/>
      <c r="K74" s="204"/>
      <c r="L74" s="204"/>
      <c r="M74" s="204"/>
      <c r="N74" s="204"/>
      <c r="O74" s="204"/>
      <c r="P74" s="204">
        <v>1244</v>
      </c>
      <c r="Q74" s="204">
        <v>1244</v>
      </c>
      <c r="R74" s="204">
        <v>1244</v>
      </c>
      <c r="S74" s="204">
        <v>1244</v>
      </c>
      <c r="T74" s="204">
        <v>1244</v>
      </c>
      <c r="U74" s="204">
        <v>449.88</v>
      </c>
      <c r="V74" s="204"/>
      <c r="W74" s="204"/>
      <c r="X74" s="204"/>
      <c r="Y74" s="204"/>
      <c r="Z74" s="204"/>
      <c r="AA74" s="204"/>
      <c r="AB74" s="204"/>
      <c r="AC74" s="204"/>
      <c r="AD74" s="204"/>
      <c r="AE74" s="204"/>
      <c r="AF74" s="204"/>
      <c r="AG74" s="204"/>
      <c r="AH74" s="204"/>
      <c r="AI74" s="204"/>
      <c r="AJ74" s="204"/>
      <c r="AK74" s="204"/>
      <c r="AL74" s="204"/>
      <c r="AM74" s="144"/>
      <c r="AN74" s="320"/>
      <c r="AO74" s="320"/>
      <c r="AP74" s="320"/>
      <c r="AQ74" s="320"/>
      <c r="AR74" s="320"/>
      <c r="AS74" s="320"/>
      <c r="AT74" s="320"/>
      <c r="AU74" s="320"/>
      <c r="AV74" s="320"/>
      <c r="AX74" s="530"/>
    </row>
    <row r="75" spans="2:50">
      <c r="B75" s="1617" t="s">
        <v>439</v>
      </c>
      <c r="C75" s="1202">
        <f t="shared" si="2"/>
        <v>257518.46999999997</v>
      </c>
      <c r="D75" s="383"/>
      <c r="E75" s="383"/>
      <c r="F75" s="204"/>
      <c r="G75" s="204"/>
      <c r="H75" s="204"/>
      <c r="I75" s="204"/>
      <c r="J75" s="204"/>
      <c r="K75" s="204"/>
      <c r="L75" s="204"/>
      <c r="M75" s="204"/>
      <c r="N75" s="204"/>
      <c r="O75" s="204"/>
      <c r="P75" s="204">
        <v>47907.360000000001</v>
      </c>
      <c r="Q75" s="204">
        <v>47907.360000000001</v>
      </c>
      <c r="R75" s="204">
        <v>47907.360000000001</v>
      </c>
      <c r="S75" s="204">
        <v>47907.360000000001</v>
      </c>
      <c r="T75" s="204">
        <v>47907.360000000001</v>
      </c>
      <c r="U75" s="204">
        <v>17981.669999999998</v>
      </c>
      <c r="V75" s="204"/>
      <c r="W75" s="204"/>
      <c r="X75" s="204"/>
      <c r="Y75" s="204"/>
      <c r="Z75" s="204"/>
      <c r="AA75" s="204"/>
      <c r="AB75" s="204"/>
      <c r="AC75" s="204"/>
      <c r="AD75" s="204"/>
      <c r="AE75" s="204"/>
      <c r="AF75" s="204"/>
      <c r="AG75" s="204"/>
      <c r="AH75" s="204"/>
      <c r="AI75" s="204"/>
      <c r="AJ75" s="204"/>
      <c r="AK75" s="204"/>
      <c r="AL75" s="204"/>
      <c r="AM75" s="144"/>
      <c r="AN75" s="320"/>
      <c r="AO75" s="320"/>
      <c r="AP75" s="320"/>
      <c r="AQ75" s="320"/>
      <c r="AR75" s="320"/>
      <c r="AS75" s="320"/>
      <c r="AT75" s="320"/>
      <c r="AU75" s="320"/>
      <c r="AV75" s="320"/>
      <c r="AX75" s="530"/>
    </row>
    <row r="76" spans="2:50">
      <c r="B76" s="1617" t="s">
        <v>4355</v>
      </c>
      <c r="C76" s="1202">
        <f t="shared" si="2"/>
        <v>18066.240000000002</v>
      </c>
      <c r="D76" s="383"/>
      <c r="E76" s="383"/>
      <c r="F76" s="204"/>
      <c r="G76" s="204"/>
      <c r="H76" s="204"/>
      <c r="I76" s="204"/>
      <c r="J76" s="204"/>
      <c r="K76" s="204"/>
      <c r="L76" s="204"/>
      <c r="M76" s="204"/>
      <c r="N76" s="204"/>
      <c r="O76" s="204"/>
      <c r="P76" s="204">
        <v>3011.04</v>
      </c>
      <c r="Q76" s="204">
        <v>3011.04</v>
      </c>
      <c r="R76" s="204">
        <v>3011.04</v>
      </c>
      <c r="S76" s="204">
        <v>3011.04</v>
      </c>
      <c r="T76" s="204">
        <v>3011.04</v>
      </c>
      <c r="U76" s="204">
        <v>3011.04</v>
      </c>
      <c r="V76" s="204"/>
      <c r="W76" s="204"/>
      <c r="X76" s="204"/>
      <c r="Y76" s="204"/>
      <c r="Z76" s="204"/>
      <c r="AA76" s="204"/>
      <c r="AB76" s="204"/>
      <c r="AC76" s="204"/>
      <c r="AD76" s="204"/>
      <c r="AE76" s="204"/>
      <c r="AF76" s="204"/>
      <c r="AG76" s="204"/>
      <c r="AH76" s="204"/>
      <c r="AI76" s="204"/>
      <c r="AJ76" s="204"/>
      <c r="AK76" s="204"/>
      <c r="AL76" s="204"/>
      <c r="AM76" s="144"/>
      <c r="AN76" s="320"/>
      <c r="AO76" s="320"/>
      <c r="AP76" s="320"/>
      <c r="AQ76" s="320"/>
      <c r="AR76" s="320"/>
      <c r="AS76" s="320"/>
      <c r="AT76" s="320"/>
      <c r="AU76" s="320"/>
      <c r="AV76" s="320"/>
      <c r="AX76" s="530"/>
    </row>
    <row r="77" spans="2:50">
      <c r="B77" s="1617" t="s">
        <v>3502</v>
      </c>
      <c r="C77" s="1202">
        <f t="shared" si="2"/>
        <v>10620.51</v>
      </c>
      <c r="D77" s="383"/>
      <c r="E77" s="383"/>
      <c r="F77" s="204"/>
      <c r="G77" s="204"/>
      <c r="H77" s="204"/>
      <c r="I77" s="204"/>
      <c r="J77" s="204"/>
      <c r="K77" s="204"/>
      <c r="L77" s="204"/>
      <c r="M77" s="204"/>
      <c r="N77" s="204"/>
      <c r="O77" s="204"/>
      <c r="P77" s="204">
        <v>1355.42</v>
      </c>
      <c r="Q77" s="204">
        <v>1355.42</v>
      </c>
      <c r="R77" s="204">
        <v>1355.42</v>
      </c>
      <c r="S77" s="204">
        <v>1355.42</v>
      </c>
      <c r="T77" s="204">
        <v>1355.42</v>
      </c>
      <c r="U77" s="204">
        <v>1355.42</v>
      </c>
      <c r="V77" s="204">
        <v>1355.42</v>
      </c>
      <c r="W77" s="204">
        <v>1132.57</v>
      </c>
      <c r="X77" s="204"/>
      <c r="Y77" s="204"/>
      <c r="Z77" s="204"/>
      <c r="AA77" s="204"/>
      <c r="AB77" s="204"/>
      <c r="AC77" s="204"/>
      <c r="AD77" s="204"/>
      <c r="AE77" s="204"/>
      <c r="AF77" s="204"/>
      <c r="AG77" s="204"/>
      <c r="AH77" s="204"/>
      <c r="AI77" s="204"/>
      <c r="AJ77" s="204"/>
      <c r="AK77" s="204"/>
      <c r="AL77" s="204"/>
      <c r="AM77" s="144"/>
      <c r="AN77" s="320"/>
      <c r="AO77" s="320"/>
      <c r="AP77" s="320"/>
      <c r="AQ77" s="320"/>
      <c r="AR77" s="320"/>
      <c r="AS77" s="320"/>
      <c r="AT77" s="320"/>
      <c r="AU77" s="320"/>
      <c r="AV77" s="320"/>
      <c r="AX77" s="530"/>
    </row>
    <row r="78" spans="2:50">
      <c r="B78" s="1617" t="s">
        <v>3469</v>
      </c>
      <c r="C78" s="1202">
        <f t="shared" si="2"/>
        <v>316.99</v>
      </c>
      <c r="D78" s="383"/>
      <c r="E78" s="383"/>
      <c r="F78" s="204"/>
      <c r="G78" s="204"/>
      <c r="H78" s="204"/>
      <c r="I78" s="204"/>
      <c r="J78" s="204"/>
      <c r="K78" s="204"/>
      <c r="L78" s="204"/>
      <c r="M78" s="204"/>
      <c r="N78" s="204"/>
      <c r="O78" s="204"/>
      <c r="P78" s="204">
        <v>269.06</v>
      </c>
      <c r="Q78" s="204">
        <v>47.93</v>
      </c>
      <c r="R78" s="204"/>
      <c r="S78" s="204"/>
      <c r="T78" s="204"/>
      <c r="U78" s="204"/>
      <c r="V78" s="204"/>
      <c r="W78" s="204"/>
      <c r="X78" s="204"/>
      <c r="Y78" s="204"/>
      <c r="Z78" s="204"/>
      <c r="AA78" s="204"/>
      <c r="AB78" s="204"/>
      <c r="AC78" s="204"/>
      <c r="AD78" s="204"/>
      <c r="AE78" s="204"/>
      <c r="AF78" s="204"/>
      <c r="AG78" s="204"/>
      <c r="AH78" s="204"/>
      <c r="AI78" s="204"/>
      <c r="AJ78" s="204"/>
      <c r="AK78" s="204"/>
      <c r="AL78" s="204"/>
      <c r="AM78" s="144"/>
      <c r="AN78" s="320"/>
      <c r="AO78" s="320"/>
      <c r="AP78" s="320"/>
      <c r="AQ78" s="320"/>
      <c r="AR78" s="320"/>
      <c r="AS78" s="320"/>
      <c r="AT78" s="320"/>
      <c r="AU78" s="320"/>
      <c r="AV78" s="320"/>
      <c r="AX78" s="530"/>
    </row>
    <row r="79" spans="2:50">
      <c r="B79" s="1617" t="s">
        <v>4772</v>
      </c>
      <c r="C79" s="1202">
        <f t="shared" si="2"/>
        <v>14517.4</v>
      </c>
      <c r="D79" s="383"/>
      <c r="E79" s="383"/>
      <c r="F79" s="204"/>
      <c r="G79" s="204"/>
      <c r="H79" s="204"/>
      <c r="I79" s="204"/>
      <c r="J79" s="204"/>
      <c r="K79" s="204"/>
      <c r="L79" s="204"/>
      <c r="M79" s="204"/>
      <c r="N79" s="204"/>
      <c r="O79" s="204"/>
      <c r="P79" s="204">
        <v>1572.82</v>
      </c>
      <c r="Q79" s="204">
        <v>1572.82</v>
      </c>
      <c r="R79" s="204">
        <v>1572.82</v>
      </c>
      <c r="S79" s="204">
        <v>1572.82</v>
      </c>
      <c r="T79" s="204">
        <v>1572.82</v>
      </c>
      <c r="U79" s="204">
        <v>1572.82</v>
      </c>
      <c r="V79" s="204">
        <v>155.18</v>
      </c>
      <c r="W79" s="3639">
        <v>206.84</v>
      </c>
      <c r="X79" s="3639">
        <v>1572.82</v>
      </c>
      <c r="Y79" s="3639">
        <v>1572.82</v>
      </c>
      <c r="Z79" s="3639">
        <v>1572.82</v>
      </c>
      <c r="AA79" s="204"/>
      <c r="AB79" s="204"/>
      <c r="AC79" s="204"/>
      <c r="AD79" s="204"/>
      <c r="AE79" s="204"/>
      <c r="AF79" s="204"/>
      <c r="AG79" s="204"/>
      <c r="AH79" s="204"/>
      <c r="AI79" s="204"/>
      <c r="AJ79" s="204"/>
      <c r="AK79" s="204"/>
      <c r="AL79" s="204"/>
      <c r="AM79" s="144"/>
      <c r="AN79" s="320"/>
      <c r="AO79" s="320"/>
      <c r="AP79" s="320"/>
      <c r="AQ79" s="320"/>
      <c r="AR79" s="320"/>
      <c r="AS79" s="320"/>
      <c r="AT79" s="320"/>
      <c r="AU79" s="320"/>
      <c r="AV79" s="320"/>
      <c r="AX79" s="530"/>
    </row>
    <row r="80" spans="2:50">
      <c r="B80" s="1617" t="s">
        <v>2164</v>
      </c>
      <c r="C80" s="1202">
        <f t="shared" si="2"/>
        <v>179.07</v>
      </c>
      <c r="D80" s="380"/>
      <c r="E80" s="380"/>
      <c r="F80" s="726"/>
      <c r="G80" s="204"/>
      <c r="H80" s="204"/>
      <c r="I80" s="204"/>
      <c r="J80" s="204"/>
      <c r="K80" s="204"/>
      <c r="L80" s="204"/>
      <c r="M80" s="204"/>
      <c r="N80" s="204"/>
      <c r="O80" s="204"/>
      <c r="P80" s="204">
        <v>136.72999999999999</v>
      </c>
      <c r="Q80" s="204">
        <v>42.34</v>
      </c>
      <c r="R80" s="204"/>
      <c r="S80" s="204"/>
      <c r="T80" s="204"/>
      <c r="U80" s="204"/>
      <c r="V80" s="204"/>
      <c r="W80" s="204"/>
      <c r="X80" s="204"/>
      <c r="Y80" s="726"/>
      <c r="Z80" s="204"/>
      <c r="AA80" s="204"/>
      <c r="AB80" s="204"/>
      <c r="AC80" s="204"/>
      <c r="AD80" s="204"/>
      <c r="AE80" s="204"/>
      <c r="AF80" s="204"/>
      <c r="AG80" s="204"/>
      <c r="AH80" s="204"/>
      <c r="AI80" s="204"/>
      <c r="AJ80" s="204"/>
      <c r="AK80" s="204"/>
      <c r="AL80" s="204"/>
      <c r="AM80" s="144"/>
      <c r="AN80" s="320"/>
      <c r="AO80" s="320"/>
      <c r="AP80" s="320"/>
      <c r="AQ80" s="320"/>
      <c r="AR80" s="320"/>
      <c r="AS80" s="320"/>
      <c r="AT80" s="320"/>
      <c r="AU80" s="320"/>
      <c r="AV80" s="320"/>
      <c r="AX80" s="530"/>
    </row>
    <row r="81" spans="2:50">
      <c r="B81" s="1617" t="s">
        <v>3958</v>
      </c>
      <c r="C81" s="1202">
        <f t="shared" si="2"/>
        <v>9366.56</v>
      </c>
      <c r="D81" s="380"/>
      <c r="E81" s="380"/>
      <c r="F81" s="726"/>
      <c r="G81" s="204"/>
      <c r="H81" s="204"/>
      <c r="I81" s="204"/>
      <c r="J81" s="204"/>
      <c r="K81" s="204"/>
      <c r="L81" s="204"/>
      <c r="M81" s="204"/>
      <c r="N81" s="204"/>
      <c r="O81" s="204"/>
      <c r="P81" s="204">
        <v>1185.43</v>
      </c>
      <c r="Q81" s="204">
        <v>1185.43</v>
      </c>
      <c r="R81" s="204">
        <v>1185.43</v>
      </c>
      <c r="S81" s="204">
        <v>1185.43</v>
      </c>
      <c r="T81" s="204">
        <v>1185.43</v>
      </c>
      <c r="U81" s="204">
        <v>1185.43</v>
      </c>
      <c r="V81" s="204">
        <v>1185.43</v>
      </c>
      <c r="W81" s="204">
        <v>1068.55</v>
      </c>
      <c r="X81" s="204"/>
      <c r="Y81" s="726"/>
      <c r="Z81" s="204"/>
      <c r="AA81" s="204"/>
      <c r="AB81" s="204"/>
      <c r="AC81" s="204"/>
      <c r="AD81" s="204"/>
      <c r="AE81" s="204"/>
      <c r="AF81" s="204"/>
      <c r="AG81" s="204"/>
      <c r="AH81" s="204"/>
      <c r="AI81" s="204"/>
      <c r="AJ81" s="204"/>
      <c r="AK81" s="204"/>
      <c r="AL81" s="204"/>
      <c r="AM81" s="144"/>
      <c r="AN81" s="320"/>
      <c r="AO81" s="320"/>
      <c r="AP81" s="320"/>
      <c r="AQ81" s="320"/>
      <c r="AR81" s="320"/>
      <c r="AS81" s="320"/>
      <c r="AT81" s="320"/>
      <c r="AU81" s="320"/>
      <c r="AV81" s="320"/>
      <c r="AX81" s="530"/>
    </row>
    <row r="82" spans="2:50">
      <c r="B82" s="1617" t="s">
        <v>3470</v>
      </c>
      <c r="C82" s="1202">
        <f t="shared" si="2"/>
        <v>1628.95</v>
      </c>
      <c r="D82" s="380"/>
      <c r="E82" s="380"/>
      <c r="F82" s="726"/>
      <c r="G82" s="204"/>
      <c r="H82" s="204"/>
      <c r="I82" s="204"/>
      <c r="J82" s="204"/>
      <c r="K82" s="204"/>
      <c r="L82" s="204"/>
      <c r="M82" s="204"/>
      <c r="N82" s="204"/>
      <c r="O82" s="204"/>
      <c r="P82" s="204">
        <v>549</v>
      </c>
      <c r="Q82" s="204">
        <v>549</v>
      </c>
      <c r="R82" s="204">
        <v>530.95000000000005</v>
      </c>
      <c r="S82" s="204"/>
      <c r="T82" s="204"/>
      <c r="U82" s="204"/>
      <c r="V82" s="204"/>
      <c r="W82" s="204"/>
      <c r="X82" s="204"/>
      <c r="Y82" s="726"/>
      <c r="Z82" s="204"/>
      <c r="AA82" s="204"/>
      <c r="AB82" s="204"/>
      <c r="AC82" s="204"/>
      <c r="AD82" s="204"/>
      <c r="AE82" s="204"/>
      <c r="AF82" s="204"/>
      <c r="AG82" s="204"/>
      <c r="AH82" s="204"/>
      <c r="AI82" s="204"/>
      <c r="AJ82" s="204"/>
      <c r="AK82" s="204"/>
      <c r="AL82" s="204"/>
      <c r="AM82" s="144"/>
      <c r="AN82" s="320"/>
      <c r="AO82" s="320"/>
      <c r="AP82" s="320"/>
      <c r="AQ82" s="320"/>
      <c r="AR82" s="320"/>
      <c r="AS82" s="320"/>
      <c r="AT82" s="320"/>
      <c r="AU82" s="320"/>
      <c r="AV82" s="320"/>
      <c r="AX82" s="530"/>
    </row>
    <row r="83" spans="2:50">
      <c r="B83" s="1617" t="s">
        <v>4773</v>
      </c>
      <c r="C83" s="1202"/>
      <c r="D83" s="380"/>
      <c r="E83" s="380"/>
      <c r="F83" s="726"/>
      <c r="G83" s="204"/>
      <c r="H83" s="204"/>
      <c r="I83" s="204"/>
      <c r="J83" s="204"/>
      <c r="K83" s="204"/>
      <c r="L83" s="204"/>
      <c r="M83" s="204"/>
      <c r="N83" s="204"/>
      <c r="O83" s="204"/>
      <c r="P83" s="204"/>
      <c r="Q83" s="204"/>
      <c r="R83" s="204"/>
      <c r="S83" s="204"/>
      <c r="T83" s="204"/>
      <c r="U83" s="204"/>
      <c r="V83" s="204"/>
      <c r="W83" s="204"/>
      <c r="X83" s="204"/>
      <c r="Y83" s="726"/>
      <c r="Z83" s="204"/>
      <c r="AA83" s="204"/>
      <c r="AB83" s="204"/>
      <c r="AC83" s="204"/>
      <c r="AD83" s="204"/>
      <c r="AE83" s="204"/>
      <c r="AF83" s="204"/>
      <c r="AG83" s="204"/>
      <c r="AH83" s="204"/>
      <c r="AI83" s="204"/>
      <c r="AJ83" s="204"/>
      <c r="AK83" s="204"/>
      <c r="AL83" s="204"/>
      <c r="AM83" s="144"/>
      <c r="AN83" s="320"/>
      <c r="AO83" s="320"/>
      <c r="AP83" s="320"/>
      <c r="AQ83" s="320"/>
      <c r="AR83" s="320"/>
      <c r="AS83" s="320"/>
      <c r="AT83" s="320"/>
      <c r="AU83" s="320"/>
      <c r="AV83" s="320"/>
      <c r="AX83" s="530"/>
    </row>
    <row r="84" spans="2:50">
      <c r="B84" s="1617" t="s">
        <v>4199</v>
      </c>
      <c r="C84" s="1202">
        <f t="shared" si="2"/>
        <v>4458.9999999999991</v>
      </c>
      <c r="D84" s="380"/>
      <c r="E84" s="380"/>
      <c r="F84" s="726"/>
      <c r="G84" s="204"/>
      <c r="H84" s="204"/>
      <c r="I84" s="204"/>
      <c r="J84" s="204"/>
      <c r="K84" s="204"/>
      <c r="L84" s="204"/>
      <c r="M84" s="204"/>
      <c r="N84" s="204"/>
      <c r="O84" s="204"/>
      <c r="P84" s="204">
        <v>526.20000000000005</v>
      </c>
      <c r="Q84" s="204">
        <v>526.20000000000005</v>
      </c>
      <c r="R84" s="204">
        <v>526.20000000000005</v>
      </c>
      <c r="S84" s="204">
        <v>526.20000000000005</v>
      </c>
      <c r="T84" s="204">
        <v>526.20000000000005</v>
      </c>
      <c r="U84" s="204">
        <v>526.20000000000005</v>
      </c>
      <c r="V84" s="204">
        <v>526.20000000000005</v>
      </c>
      <c r="W84" s="204">
        <v>526.20000000000005</v>
      </c>
      <c r="X84" s="204">
        <v>249.4</v>
      </c>
      <c r="Y84" s="726"/>
      <c r="Z84" s="204"/>
      <c r="AA84" s="204"/>
      <c r="AB84" s="204"/>
      <c r="AC84" s="204"/>
      <c r="AD84" s="204"/>
      <c r="AE84" s="204"/>
      <c r="AF84" s="204"/>
      <c r="AG84" s="204"/>
      <c r="AH84" s="204"/>
      <c r="AI84" s="204"/>
      <c r="AJ84" s="204"/>
      <c r="AK84" s="204"/>
      <c r="AL84" s="204"/>
      <c r="AM84" s="144"/>
      <c r="AN84" s="320"/>
      <c r="AO84" s="320"/>
      <c r="AP84" s="320"/>
      <c r="AQ84" s="320"/>
      <c r="AR84" s="320"/>
      <c r="AS84" s="320"/>
      <c r="AT84" s="320"/>
      <c r="AU84" s="320"/>
      <c r="AV84" s="320"/>
      <c r="AX84" s="530"/>
    </row>
    <row r="85" spans="2:50">
      <c r="B85" s="1617" t="s">
        <v>4543</v>
      </c>
      <c r="C85" s="1202">
        <f t="shared" si="2"/>
        <v>19018.839999999997</v>
      </c>
      <c r="D85" s="380"/>
      <c r="E85" s="380"/>
      <c r="F85" s="726"/>
      <c r="G85" s="204"/>
      <c r="H85" s="204"/>
      <c r="I85" s="204"/>
      <c r="J85" s="204"/>
      <c r="K85" s="204"/>
      <c r="L85" s="204"/>
      <c r="M85" s="204"/>
      <c r="N85" s="204"/>
      <c r="O85" s="204"/>
      <c r="P85" s="204">
        <v>872.31</v>
      </c>
      <c r="Q85" s="204">
        <v>872.31</v>
      </c>
      <c r="R85" s="204">
        <v>872.31</v>
      </c>
      <c r="S85" s="204">
        <v>872.31</v>
      </c>
      <c r="T85" s="204">
        <v>872.31</v>
      </c>
      <c r="U85" s="204">
        <v>872.31</v>
      </c>
      <c r="V85" s="204">
        <v>872.31</v>
      </c>
      <c r="W85" s="204">
        <v>872.31</v>
      </c>
      <c r="X85" s="204">
        <v>872.31</v>
      </c>
      <c r="Y85" s="726">
        <v>872.31</v>
      </c>
      <c r="Z85" s="204">
        <v>872.31</v>
      </c>
      <c r="AA85" s="204">
        <v>872.31</v>
      </c>
      <c r="AB85" s="204">
        <v>872.31</v>
      </c>
      <c r="AC85" s="204">
        <v>872.31</v>
      </c>
      <c r="AD85" s="204">
        <v>872.31</v>
      </c>
      <c r="AE85" s="204">
        <v>872.31</v>
      </c>
      <c r="AF85" s="204">
        <v>872.31</v>
      </c>
      <c r="AG85" s="204">
        <v>872.31</v>
      </c>
      <c r="AH85" s="204">
        <v>872.31</v>
      </c>
      <c r="AI85" s="204">
        <v>872.31</v>
      </c>
      <c r="AJ85" s="204">
        <v>872.31</v>
      </c>
      <c r="AK85" s="204">
        <v>700.33</v>
      </c>
      <c r="AL85" s="204"/>
      <c r="AM85" s="144"/>
      <c r="AN85" s="320"/>
      <c r="AO85" s="320"/>
      <c r="AP85" s="320"/>
      <c r="AQ85" s="320"/>
      <c r="AR85" s="320"/>
      <c r="AS85" s="320"/>
      <c r="AT85" s="320"/>
      <c r="AU85" s="320"/>
      <c r="AV85" s="320"/>
      <c r="AX85" s="530"/>
    </row>
    <row r="86" spans="2:50">
      <c r="B86" s="1617" t="s">
        <v>3696</v>
      </c>
      <c r="C86" s="1202">
        <f t="shared" si="2"/>
        <v>1939.81</v>
      </c>
      <c r="D86" s="383"/>
      <c r="E86" s="383"/>
      <c r="F86" s="204"/>
      <c r="G86" s="204"/>
      <c r="H86" s="204"/>
      <c r="I86" s="204"/>
      <c r="J86" s="204"/>
      <c r="K86" s="204"/>
      <c r="L86" s="204"/>
      <c r="M86" s="204"/>
      <c r="N86" s="204"/>
      <c r="O86" s="204"/>
      <c r="P86" s="204"/>
      <c r="Q86" s="204"/>
      <c r="R86" s="204"/>
      <c r="S86" s="204">
        <v>1939.81</v>
      </c>
      <c r="T86" s="204"/>
      <c r="U86" s="204"/>
      <c r="V86" s="204"/>
      <c r="W86" s="204"/>
      <c r="X86" s="204"/>
      <c r="Y86" s="204"/>
      <c r="Z86" s="204"/>
      <c r="AA86" s="204"/>
      <c r="AB86" s="204"/>
      <c r="AC86" s="204"/>
      <c r="AD86" s="204"/>
      <c r="AE86" s="204"/>
      <c r="AF86" s="204"/>
      <c r="AG86" s="204"/>
      <c r="AH86" s="204"/>
      <c r="AI86" s="204"/>
      <c r="AJ86" s="204"/>
      <c r="AK86" s="204"/>
      <c r="AL86" s="204"/>
      <c r="AM86" s="144"/>
      <c r="AN86" s="320"/>
      <c r="AO86" s="320"/>
      <c r="AP86" s="320"/>
      <c r="AQ86" s="320"/>
      <c r="AR86" s="320"/>
      <c r="AS86" s="320"/>
      <c r="AT86" s="320"/>
      <c r="AU86" s="320"/>
      <c r="AV86" s="320"/>
      <c r="AX86" s="530"/>
    </row>
    <row r="87" spans="2:50">
      <c r="B87" s="1617" t="s">
        <v>3376</v>
      </c>
      <c r="C87" s="1202">
        <f t="shared" si="2"/>
        <v>373.38</v>
      </c>
      <c r="D87" s="383"/>
      <c r="E87" s="383"/>
      <c r="F87" s="204"/>
      <c r="G87" s="204"/>
      <c r="H87" s="204"/>
      <c r="I87" s="204"/>
      <c r="J87" s="204"/>
      <c r="K87" s="204"/>
      <c r="L87" s="204"/>
      <c r="M87" s="204"/>
      <c r="N87" s="204"/>
      <c r="O87" s="204"/>
      <c r="P87" s="204">
        <v>373.38</v>
      </c>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144"/>
      <c r="AN87" s="320"/>
      <c r="AO87" s="320"/>
      <c r="AP87" s="320"/>
      <c r="AQ87" s="320"/>
      <c r="AR87" s="320"/>
      <c r="AS87" s="320"/>
      <c r="AT87" s="320"/>
      <c r="AU87" s="320"/>
      <c r="AV87" s="320"/>
      <c r="AX87" s="530"/>
    </row>
    <row r="88" spans="2:50">
      <c r="B88" s="1617" t="s">
        <v>4774</v>
      </c>
      <c r="C88" s="1202">
        <f t="shared" si="2"/>
        <v>11492.99</v>
      </c>
      <c r="D88" s="380"/>
      <c r="E88" s="383"/>
      <c r="F88" s="204"/>
      <c r="G88" s="204"/>
      <c r="H88" s="204"/>
      <c r="I88" s="204"/>
      <c r="J88" s="204"/>
      <c r="K88" s="204"/>
      <c r="L88" s="204"/>
      <c r="M88" s="204"/>
      <c r="N88" s="204"/>
      <c r="O88" s="204"/>
      <c r="P88" s="204">
        <v>957.75</v>
      </c>
      <c r="Q88" s="204">
        <v>957.75</v>
      </c>
      <c r="R88" s="204">
        <v>957.75</v>
      </c>
      <c r="S88" s="204">
        <v>957.75</v>
      </c>
      <c r="T88" s="204">
        <v>957.75</v>
      </c>
      <c r="U88" s="204">
        <v>957.75</v>
      </c>
      <c r="V88" s="204">
        <v>957.75</v>
      </c>
      <c r="W88" s="204">
        <v>957.75</v>
      </c>
      <c r="X88" s="204">
        <v>957.75</v>
      </c>
      <c r="Y88" s="204">
        <v>957.75</v>
      </c>
      <c r="Z88" s="204">
        <v>957.75</v>
      </c>
      <c r="AA88" s="204">
        <v>957.74</v>
      </c>
      <c r="AB88" s="204"/>
      <c r="AC88" s="204"/>
      <c r="AD88" s="204"/>
      <c r="AE88" s="204"/>
      <c r="AF88" s="204"/>
      <c r="AG88" s="204"/>
      <c r="AH88" s="204"/>
      <c r="AI88" s="204"/>
      <c r="AJ88" s="204"/>
      <c r="AK88" s="204"/>
      <c r="AL88" s="204"/>
      <c r="AM88" s="144"/>
      <c r="AN88" s="320"/>
      <c r="AO88" s="320"/>
      <c r="AP88" s="320"/>
      <c r="AQ88" s="320"/>
      <c r="AR88" s="320"/>
      <c r="AS88" s="320"/>
      <c r="AT88" s="320"/>
      <c r="AU88" s="320"/>
      <c r="AV88" s="320"/>
      <c r="AX88" s="530"/>
    </row>
    <row r="89" spans="2:50">
      <c r="B89" s="1617" t="s">
        <v>3570</v>
      </c>
      <c r="C89" s="1202">
        <f t="shared" si="2"/>
        <v>4008.98</v>
      </c>
      <c r="D89" s="383"/>
      <c r="E89" s="383"/>
      <c r="F89" s="204"/>
      <c r="G89" s="204"/>
      <c r="H89" s="204"/>
      <c r="I89" s="204"/>
      <c r="J89" s="204"/>
      <c r="K89" s="204"/>
      <c r="L89" s="204"/>
      <c r="M89" s="204"/>
      <c r="N89" s="204"/>
      <c r="O89" s="204"/>
      <c r="P89" s="204">
        <v>445.44</v>
      </c>
      <c r="Q89" s="204">
        <v>445.44</v>
      </c>
      <c r="R89" s="204">
        <v>445.44</v>
      </c>
      <c r="S89" s="204">
        <v>445.44</v>
      </c>
      <c r="T89" s="204">
        <v>445.44</v>
      </c>
      <c r="U89" s="204">
        <v>445.44</v>
      </c>
      <c r="V89" s="204">
        <v>445.44</v>
      </c>
      <c r="W89" s="204">
        <v>445.44</v>
      </c>
      <c r="X89" s="204">
        <v>445.46</v>
      </c>
      <c r="Y89" s="204"/>
      <c r="Z89" s="204"/>
      <c r="AA89" s="204"/>
      <c r="AB89" s="204"/>
      <c r="AC89" s="204"/>
      <c r="AD89" s="204"/>
      <c r="AE89" s="204"/>
      <c r="AF89" s="204"/>
      <c r="AG89" s="204"/>
      <c r="AH89" s="204"/>
      <c r="AI89" s="204"/>
      <c r="AJ89" s="204"/>
      <c r="AK89" s="204"/>
      <c r="AL89" s="204"/>
      <c r="AM89" s="144"/>
      <c r="AN89" s="320"/>
      <c r="AO89" s="320"/>
      <c r="AP89" s="320"/>
      <c r="AQ89" s="320"/>
      <c r="AR89" s="320"/>
      <c r="AS89" s="320"/>
      <c r="AT89" s="320"/>
      <c r="AU89" s="320"/>
      <c r="AV89" s="320"/>
      <c r="AX89" s="530"/>
    </row>
    <row r="90" spans="2:50">
      <c r="B90" s="1617" t="s">
        <v>2469</v>
      </c>
      <c r="C90" s="1202">
        <f t="shared" si="2"/>
        <v>38799.869999999995</v>
      </c>
      <c r="D90" s="383"/>
      <c r="E90" s="383"/>
      <c r="F90" s="204"/>
      <c r="G90" s="204"/>
      <c r="H90" s="204"/>
      <c r="I90" s="204"/>
      <c r="J90" s="204"/>
      <c r="K90" s="204"/>
      <c r="L90" s="204"/>
      <c r="M90" s="204"/>
      <c r="N90" s="204"/>
      <c r="O90" s="204"/>
      <c r="P90" s="204">
        <v>2155.5500000000002</v>
      </c>
      <c r="Q90" s="204">
        <v>2155.5500000000002</v>
      </c>
      <c r="R90" s="204">
        <v>2155.5500000000002</v>
      </c>
      <c r="S90" s="204">
        <v>2155.5500000000002</v>
      </c>
      <c r="T90" s="204">
        <v>2155.5500000000002</v>
      </c>
      <c r="U90" s="204">
        <v>2155.5500000000002</v>
      </c>
      <c r="V90" s="204">
        <v>2155.5500000000002</v>
      </c>
      <c r="W90" s="204">
        <v>2155.5500000000002</v>
      </c>
      <c r="X90" s="204">
        <v>2155.5500000000002</v>
      </c>
      <c r="Y90" s="204">
        <v>2155.5500000000002</v>
      </c>
      <c r="Z90" s="204">
        <v>2155.5500000000002</v>
      </c>
      <c r="AA90" s="204">
        <v>2155.5500000000002</v>
      </c>
      <c r="AB90" s="204">
        <v>2155.5500000000002</v>
      </c>
      <c r="AC90" s="204">
        <v>2155.5500000000002</v>
      </c>
      <c r="AD90" s="204">
        <v>2155.5500000000002</v>
      </c>
      <c r="AE90" s="204">
        <v>2155.5500000000002</v>
      </c>
      <c r="AF90" s="204">
        <v>2155.5500000000002</v>
      </c>
      <c r="AG90" s="204">
        <v>2155.52</v>
      </c>
      <c r="AH90" s="204"/>
      <c r="AI90" s="204"/>
      <c r="AJ90" s="204"/>
      <c r="AK90" s="204"/>
      <c r="AL90" s="204"/>
      <c r="AM90" s="144"/>
      <c r="AN90" s="320"/>
      <c r="AO90" s="320"/>
      <c r="AP90" s="320"/>
      <c r="AQ90" s="320"/>
      <c r="AR90" s="320"/>
      <c r="AS90" s="320"/>
      <c r="AT90" s="320"/>
      <c r="AU90" s="320"/>
      <c r="AV90" s="320"/>
      <c r="AX90" s="530"/>
    </row>
    <row r="91" spans="2:50">
      <c r="B91" s="1617" t="s">
        <v>4804</v>
      </c>
      <c r="C91" s="1202">
        <f t="shared" si="2"/>
        <v>17392.320000000003</v>
      </c>
      <c r="D91" s="383"/>
      <c r="E91" s="383"/>
      <c r="F91" s="204"/>
      <c r="G91" s="204"/>
      <c r="H91" s="204"/>
      <c r="I91" s="204"/>
      <c r="J91" s="204"/>
      <c r="K91" s="204"/>
      <c r="L91" s="204"/>
      <c r="M91" s="204"/>
      <c r="N91" s="204"/>
      <c r="O91" s="204"/>
      <c r="P91" s="204">
        <v>1449.36</v>
      </c>
      <c r="Q91" s="204">
        <v>1449.36</v>
      </c>
      <c r="R91" s="204">
        <v>1449.36</v>
      </c>
      <c r="S91" s="204">
        <v>1449.36</v>
      </c>
      <c r="T91" s="204">
        <v>1449.36</v>
      </c>
      <c r="U91" s="204">
        <v>1449.36</v>
      </c>
      <c r="V91" s="204">
        <v>1449.36</v>
      </c>
      <c r="W91" s="204">
        <v>1449.36</v>
      </c>
      <c r="X91" s="204">
        <v>1449.36</v>
      </c>
      <c r="Y91" s="204">
        <v>1449.36</v>
      </c>
      <c r="Z91" s="204">
        <v>1449.36</v>
      </c>
      <c r="AA91" s="204">
        <v>972.86</v>
      </c>
      <c r="AB91" s="204">
        <v>476.5</v>
      </c>
      <c r="AC91" s="204"/>
      <c r="AD91" s="204"/>
      <c r="AE91" s="204"/>
      <c r="AF91" s="204"/>
      <c r="AG91" s="204"/>
      <c r="AH91" s="204"/>
      <c r="AI91" s="204"/>
      <c r="AJ91" s="204"/>
      <c r="AK91" s="204"/>
      <c r="AL91" s="204"/>
      <c r="AM91" s="144"/>
      <c r="AN91" s="320"/>
      <c r="AO91" s="320"/>
      <c r="AP91" s="320"/>
      <c r="AQ91" s="320"/>
      <c r="AR91" s="320"/>
      <c r="AS91" s="320"/>
      <c r="AT91" s="320"/>
      <c r="AU91" s="320"/>
      <c r="AV91" s="320"/>
      <c r="AX91" s="530"/>
    </row>
    <row r="92" spans="2:50">
      <c r="B92" s="1617" t="s">
        <v>3503</v>
      </c>
      <c r="C92" s="1202">
        <f t="shared" si="2"/>
        <v>105.12</v>
      </c>
      <c r="D92" s="383"/>
      <c r="E92" s="383"/>
      <c r="F92" s="204"/>
      <c r="G92" s="204"/>
      <c r="H92" s="204"/>
      <c r="I92" s="204"/>
      <c r="J92" s="204"/>
      <c r="K92" s="204"/>
      <c r="L92" s="204"/>
      <c r="M92" s="204"/>
      <c r="N92" s="204"/>
      <c r="O92" s="204"/>
      <c r="P92" s="204">
        <v>105.12</v>
      </c>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144"/>
      <c r="AN92" s="320"/>
      <c r="AO92" s="320"/>
      <c r="AP92" s="320"/>
      <c r="AQ92" s="320"/>
      <c r="AR92" s="320"/>
      <c r="AS92" s="320"/>
      <c r="AT92" s="320"/>
      <c r="AU92" s="320"/>
      <c r="AV92" s="320"/>
      <c r="AX92" s="530"/>
    </row>
    <row r="93" spans="2:50">
      <c r="B93" s="1617" t="s">
        <v>4092</v>
      </c>
      <c r="C93" s="1202">
        <f t="shared" si="2"/>
        <v>33699.08</v>
      </c>
      <c r="D93" s="383"/>
      <c r="E93" s="383"/>
      <c r="F93" s="204"/>
      <c r="G93" s="204"/>
      <c r="H93" s="204"/>
      <c r="I93" s="204"/>
      <c r="J93" s="204"/>
      <c r="K93" s="204"/>
      <c r="L93" s="204"/>
      <c r="M93" s="204"/>
      <c r="N93" s="204"/>
      <c r="O93" s="204"/>
      <c r="P93" s="204">
        <v>3177.52</v>
      </c>
      <c r="Q93" s="204">
        <v>3177.52</v>
      </c>
      <c r="R93" s="204">
        <v>3177.52</v>
      </c>
      <c r="S93" s="204">
        <v>3177.52</v>
      </c>
      <c r="T93" s="204">
        <v>3177.52</v>
      </c>
      <c r="U93" s="204">
        <v>3177.52</v>
      </c>
      <c r="V93" s="204">
        <v>3177.52</v>
      </c>
      <c r="W93" s="204">
        <v>3177.52</v>
      </c>
      <c r="X93" s="204">
        <v>3177.52</v>
      </c>
      <c r="Y93" s="204">
        <v>3177.52</v>
      </c>
      <c r="Z93" s="204">
        <v>1923.88</v>
      </c>
      <c r="AA93" s="204"/>
      <c r="AB93" s="204"/>
      <c r="AC93" s="204"/>
      <c r="AD93" s="204"/>
      <c r="AE93" s="204"/>
      <c r="AF93" s="204"/>
      <c r="AG93" s="204"/>
      <c r="AH93" s="204"/>
      <c r="AI93" s="204"/>
      <c r="AJ93" s="204"/>
      <c r="AK93" s="204"/>
      <c r="AL93" s="204"/>
      <c r="AM93" s="144"/>
      <c r="AN93" s="320"/>
      <c r="AO93" s="320"/>
      <c r="AP93" s="320"/>
      <c r="AQ93" s="320"/>
      <c r="AR93" s="320"/>
      <c r="AS93" s="320"/>
      <c r="AT93" s="320"/>
      <c r="AU93" s="320"/>
      <c r="AV93" s="320"/>
      <c r="AX93" s="530"/>
    </row>
    <row r="94" spans="2:50">
      <c r="B94" s="1617" t="s">
        <v>4364</v>
      </c>
      <c r="C94" s="1202">
        <f t="shared" si="2"/>
        <v>5134.6100000000006</v>
      </c>
      <c r="D94" s="383"/>
      <c r="E94" s="383"/>
      <c r="F94" s="204"/>
      <c r="G94" s="204"/>
      <c r="H94" s="204"/>
      <c r="I94" s="204"/>
      <c r="J94" s="204"/>
      <c r="K94" s="204"/>
      <c r="L94" s="204"/>
      <c r="M94" s="204"/>
      <c r="N94" s="204"/>
      <c r="O94" s="204"/>
      <c r="P94" s="204">
        <v>855.77</v>
      </c>
      <c r="Q94" s="204">
        <v>855.77</v>
      </c>
      <c r="R94" s="204">
        <v>855.77</v>
      </c>
      <c r="S94" s="204">
        <v>855.77</v>
      </c>
      <c r="T94" s="204">
        <v>855.77</v>
      </c>
      <c r="U94" s="204">
        <v>855.76</v>
      </c>
      <c r="V94" s="204"/>
      <c r="W94" s="204"/>
      <c r="X94" s="204"/>
      <c r="Y94" s="204"/>
      <c r="Z94" s="204"/>
      <c r="AA94" s="204"/>
      <c r="AB94" s="204"/>
      <c r="AC94" s="204"/>
      <c r="AD94" s="204"/>
      <c r="AE94" s="204"/>
      <c r="AF94" s="204"/>
      <c r="AG94" s="204"/>
      <c r="AH94" s="204"/>
      <c r="AI94" s="204"/>
      <c r="AJ94" s="204"/>
      <c r="AK94" s="204"/>
      <c r="AL94" s="204"/>
      <c r="AM94" s="144"/>
      <c r="AN94" s="320"/>
      <c r="AO94" s="320"/>
      <c r="AP94" s="320"/>
      <c r="AQ94" s="320"/>
      <c r="AR94" s="320"/>
      <c r="AS94" s="320"/>
      <c r="AT94" s="320"/>
      <c r="AU94" s="320"/>
      <c r="AV94" s="320"/>
      <c r="AX94" s="530"/>
    </row>
    <row r="95" spans="2:50">
      <c r="B95" s="1617" t="s">
        <v>4544</v>
      </c>
      <c r="C95" s="1202">
        <f t="shared" si="2"/>
        <v>195078.85000000003</v>
      </c>
      <c r="D95" s="383"/>
      <c r="E95" s="383"/>
      <c r="F95" s="204"/>
      <c r="G95" s="204"/>
      <c r="H95" s="204"/>
      <c r="I95" s="204"/>
      <c r="J95" s="204"/>
      <c r="K95" s="204"/>
      <c r="L95" s="204"/>
      <c r="M95" s="204"/>
      <c r="N95" s="204"/>
      <c r="O95" s="204"/>
      <c r="P95" s="204">
        <v>17734.45</v>
      </c>
      <c r="Q95" s="204">
        <v>17734.45</v>
      </c>
      <c r="R95" s="204">
        <v>17734.45</v>
      </c>
      <c r="S95" s="204">
        <v>17734.45</v>
      </c>
      <c r="T95" s="204">
        <v>17734.45</v>
      </c>
      <c r="U95" s="204">
        <v>17734.45</v>
      </c>
      <c r="V95" s="204">
        <v>17734.45</v>
      </c>
      <c r="W95" s="204">
        <v>17734.45</v>
      </c>
      <c r="X95" s="204">
        <v>17734.45</v>
      </c>
      <c r="Y95" s="204">
        <v>17734.45</v>
      </c>
      <c r="Z95" s="204">
        <v>17734.349999999999</v>
      </c>
      <c r="AA95" s="204"/>
      <c r="AB95" s="204"/>
      <c r="AC95" s="204"/>
      <c r="AD95" s="204"/>
      <c r="AE95" s="204"/>
      <c r="AF95" s="204"/>
      <c r="AG95" s="204"/>
      <c r="AH95" s="204"/>
      <c r="AI95" s="204"/>
      <c r="AJ95" s="204"/>
      <c r="AK95" s="204"/>
      <c r="AL95" s="204"/>
      <c r="AM95" s="144"/>
      <c r="AN95" s="320"/>
      <c r="AO95" s="320"/>
      <c r="AP95" s="320"/>
      <c r="AQ95" s="320"/>
      <c r="AR95" s="320"/>
      <c r="AS95" s="320"/>
      <c r="AT95" s="320"/>
      <c r="AU95" s="320"/>
      <c r="AV95" s="320"/>
      <c r="AX95" s="530"/>
    </row>
    <row r="96" spans="2:50">
      <c r="B96" s="1617" t="s">
        <v>3959</v>
      </c>
      <c r="C96" s="1202">
        <f t="shared" si="2"/>
        <v>13046.849999999999</v>
      </c>
      <c r="D96" s="383"/>
      <c r="E96" s="383"/>
      <c r="F96" s="204"/>
      <c r="G96" s="204"/>
      <c r="H96" s="204"/>
      <c r="I96" s="204"/>
      <c r="J96" s="204"/>
      <c r="K96" s="204"/>
      <c r="L96" s="204"/>
      <c r="M96" s="204"/>
      <c r="N96" s="204"/>
      <c r="O96" s="204"/>
      <c r="P96" s="204">
        <v>1863.83</v>
      </c>
      <c r="Q96" s="204">
        <v>1863.83</v>
      </c>
      <c r="R96" s="204">
        <v>1863.83</v>
      </c>
      <c r="S96" s="204">
        <v>1863.83</v>
      </c>
      <c r="T96" s="204">
        <v>1863.83</v>
      </c>
      <c r="U96" s="204">
        <v>1863.83</v>
      </c>
      <c r="V96" s="204">
        <v>1863.87</v>
      </c>
      <c r="W96" s="204"/>
      <c r="X96" s="204"/>
      <c r="Y96" s="204"/>
      <c r="Z96" s="204"/>
      <c r="AA96" s="204"/>
      <c r="AB96" s="204"/>
      <c r="AC96" s="204"/>
      <c r="AD96" s="204"/>
      <c r="AE96" s="204"/>
      <c r="AF96" s="204"/>
      <c r="AG96" s="204"/>
      <c r="AH96" s="204"/>
      <c r="AI96" s="204"/>
      <c r="AJ96" s="204"/>
      <c r="AK96" s="204"/>
      <c r="AL96" s="204"/>
      <c r="AM96" s="144"/>
      <c r="AN96" s="320"/>
      <c r="AO96" s="320"/>
      <c r="AP96" s="320"/>
      <c r="AQ96" s="320"/>
      <c r="AR96" s="320"/>
      <c r="AS96" s="320"/>
      <c r="AT96" s="320"/>
      <c r="AU96" s="320"/>
      <c r="AV96" s="320"/>
      <c r="AX96" s="530"/>
    </row>
    <row r="97" spans="2:50">
      <c r="B97" s="1617" t="s">
        <v>4775</v>
      </c>
      <c r="C97" s="1202">
        <f t="shared" si="2"/>
        <v>837.6099999999999</v>
      </c>
      <c r="D97" s="383"/>
      <c r="E97" s="383"/>
      <c r="F97" s="204"/>
      <c r="G97" s="204"/>
      <c r="H97" s="204"/>
      <c r="I97" s="204"/>
      <c r="J97" s="204"/>
      <c r="K97" s="204"/>
      <c r="L97" s="204"/>
      <c r="M97" s="204"/>
      <c r="N97" s="204"/>
      <c r="O97" s="204"/>
      <c r="P97" s="204">
        <v>69.8</v>
      </c>
      <c r="Q97" s="204">
        <v>69.8</v>
      </c>
      <c r="R97" s="204">
        <v>69.8</v>
      </c>
      <c r="S97" s="204">
        <v>69.8</v>
      </c>
      <c r="T97" s="204">
        <v>69.8</v>
      </c>
      <c r="U97" s="204">
        <v>69.8</v>
      </c>
      <c r="V97" s="204">
        <v>69.8</v>
      </c>
      <c r="W97" s="204">
        <v>69.8</v>
      </c>
      <c r="X97" s="204">
        <v>69.8</v>
      </c>
      <c r="Y97" s="204">
        <v>69.8</v>
      </c>
      <c r="Z97" s="204">
        <v>69.8</v>
      </c>
      <c r="AA97" s="204">
        <v>69.81</v>
      </c>
      <c r="AB97" s="204"/>
      <c r="AC97" s="204"/>
      <c r="AD97" s="204"/>
      <c r="AE97" s="204"/>
      <c r="AF97" s="204"/>
      <c r="AG97" s="204"/>
      <c r="AH97" s="204"/>
      <c r="AI97" s="204"/>
      <c r="AJ97" s="204"/>
      <c r="AK97" s="204"/>
      <c r="AL97" s="204"/>
      <c r="AM97" s="144"/>
      <c r="AN97" s="320"/>
      <c r="AO97" s="320"/>
      <c r="AP97" s="320"/>
      <c r="AQ97" s="320"/>
      <c r="AR97" s="320"/>
      <c r="AS97" s="320"/>
      <c r="AT97" s="320"/>
      <c r="AU97" s="320"/>
      <c r="AV97" s="320"/>
      <c r="AX97" s="530"/>
    </row>
    <row r="98" spans="2:50">
      <c r="B98" s="1617" t="s">
        <v>4776</v>
      </c>
      <c r="C98" s="1202">
        <f t="shared" si="2"/>
        <v>4018.65</v>
      </c>
      <c r="D98" s="383"/>
      <c r="E98" s="383"/>
      <c r="F98" s="204"/>
      <c r="G98" s="204"/>
      <c r="H98" s="204"/>
      <c r="I98" s="204"/>
      <c r="J98" s="204"/>
      <c r="K98" s="204"/>
      <c r="L98" s="204"/>
      <c r="M98" s="204"/>
      <c r="N98" s="204"/>
      <c r="O98" s="204"/>
      <c r="P98" s="204">
        <v>4018.65</v>
      </c>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144"/>
      <c r="AN98" s="320"/>
      <c r="AO98" s="320"/>
      <c r="AP98" s="320"/>
      <c r="AQ98" s="320"/>
      <c r="AR98" s="320"/>
      <c r="AS98" s="320"/>
      <c r="AT98" s="320"/>
      <c r="AU98" s="320"/>
      <c r="AV98" s="320"/>
      <c r="AX98" s="530"/>
    </row>
    <row r="99" spans="2:50">
      <c r="B99" s="1617" t="s">
        <v>2122</v>
      </c>
      <c r="C99" s="1202">
        <f t="shared" si="2"/>
        <v>4025.59</v>
      </c>
      <c r="D99" s="383"/>
      <c r="E99" s="383"/>
      <c r="F99" s="204"/>
      <c r="G99" s="204"/>
      <c r="H99" s="204"/>
      <c r="I99" s="204"/>
      <c r="J99" s="204"/>
      <c r="K99" s="204"/>
      <c r="L99" s="204"/>
      <c r="M99" s="204"/>
      <c r="N99" s="204"/>
      <c r="O99" s="204"/>
      <c r="P99" s="204">
        <v>175.02</v>
      </c>
      <c r="Q99" s="204">
        <v>175.02</v>
      </c>
      <c r="R99" s="204">
        <v>175.02</v>
      </c>
      <c r="S99" s="204">
        <v>175.02</v>
      </c>
      <c r="T99" s="204">
        <v>175.02</v>
      </c>
      <c r="U99" s="204">
        <v>175.02</v>
      </c>
      <c r="V99" s="204">
        <v>175.02</v>
      </c>
      <c r="W99" s="204">
        <v>175.02</v>
      </c>
      <c r="X99" s="204">
        <v>175.02</v>
      </c>
      <c r="Y99" s="204">
        <v>175.02</v>
      </c>
      <c r="Z99" s="204">
        <v>175.02</v>
      </c>
      <c r="AA99" s="204">
        <v>175.02</v>
      </c>
      <c r="AB99" s="204">
        <v>175.02</v>
      </c>
      <c r="AC99" s="204">
        <v>175.02</v>
      </c>
      <c r="AD99" s="204">
        <v>175.02</v>
      </c>
      <c r="AE99" s="204">
        <v>175.02</v>
      </c>
      <c r="AF99" s="204">
        <v>175.02</v>
      </c>
      <c r="AG99" s="204">
        <v>175.02</v>
      </c>
      <c r="AH99" s="204">
        <v>175.02</v>
      </c>
      <c r="AI99" s="204">
        <v>175.02</v>
      </c>
      <c r="AJ99" s="204">
        <v>175.02</v>
      </c>
      <c r="AK99" s="204">
        <v>175.02</v>
      </c>
      <c r="AL99" s="204">
        <v>175.15</v>
      </c>
      <c r="AM99" s="144"/>
      <c r="AN99" s="320"/>
      <c r="AO99" s="320"/>
      <c r="AP99" s="320"/>
      <c r="AQ99" s="320"/>
      <c r="AR99" s="320"/>
      <c r="AS99" s="320"/>
      <c r="AT99" s="320"/>
      <c r="AU99" s="320"/>
      <c r="AV99" s="320"/>
      <c r="AX99" s="530"/>
    </row>
    <row r="100" spans="2:50">
      <c r="B100" s="1617" t="s">
        <v>3836</v>
      </c>
      <c r="C100" s="1202">
        <f t="shared" si="2"/>
        <v>23203.67</v>
      </c>
      <c r="D100" s="383"/>
      <c r="E100" s="383"/>
      <c r="F100" s="204"/>
      <c r="G100" s="204"/>
      <c r="H100" s="204"/>
      <c r="I100" s="204"/>
      <c r="J100" s="204"/>
      <c r="K100" s="204"/>
      <c r="L100" s="204"/>
      <c r="M100" s="204"/>
      <c r="N100" s="204"/>
      <c r="O100" s="204"/>
      <c r="P100" s="204">
        <v>4188.6000000000004</v>
      </c>
      <c r="Q100" s="204">
        <v>4188.6000000000004</v>
      </c>
      <c r="R100" s="204">
        <v>4188.6000000000004</v>
      </c>
      <c r="S100" s="204">
        <v>4188.6000000000004</v>
      </c>
      <c r="T100" s="204">
        <v>4188.6000000000004</v>
      </c>
      <c r="U100" s="204">
        <v>2260.67</v>
      </c>
      <c r="V100" s="204"/>
      <c r="W100" s="204"/>
      <c r="X100" s="204"/>
      <c r="Y100" s="204"/>
      <c r="Z100" s="204"/>
      <c r="AA100" s="204"/>
      <c r="AB100" s="204"/>
      <c r="AC100" s="204"/>
      <c r="AD100" s="204"/>
      <c r="AE100" s="204"/>
      <c r="AF100" s="204"/>
      <c r="AG100" s="204"/>
      <c r="AH100" s="204"/>
      <c r="AI100" s="204"/>
      <c r="AJ100" s="204"/>
      <c r="AK100" s="204"/>
      <c r="AL100" s="204"/>
      <c r="AM100" s="144"/>
      <c r="AN100" s="320"/>
      <c r="AO100" s="320"/>
      <c r="AP100" s="320"/>
      <c r="AQ100" s="320"/>
      <c r="AR100" s="320"/>
      <c r="AS100" s="320"/>
      <c r="AT100" s="320"/>
      <c r="AU100" s="320"/>
      <c r="AV100" s="320"/>
      <c r="AX100" s="530"/>
    </row>
    <row r="101" spans="2:50">
      <c r="B101" s="1617" t="s">
        <v>4777</v>
      </c>
      <c r="C101" s="1001">
        <f t="shared" si="2"/>
        <v>808.12</v>
      </c>
      <c r="D101" s="383"/>
      <c r="E101" s="383"/>
      <c r="F101" s="204"/>
      <c r="G101" s="204"/>
      <c r="H101" s="204"/>
      <c r="I101" s="204"/>
      <c r="J101" s="204"/>
      <c r="K101" s="204"/>
      <c r="L101" s="204"/>
      <c r="M101" s="320"/>
      <c r="N101" s="320"/>
      <c r="O101" s="320"/>
      <c r="P101" s="383">
        <v>808.12</v>
      </c>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144"/>
      <c r="AN101" s="320"/>
      <c r="AO101" s="320"/>
      <c r="AP101" s="320"/>
      <c r="AQ101" s="320"/>
      <c r="AR101" s="320"/>
      <c r="AS101" s="320"/>
      <c r="AT101" s="320"/>
      <c r="AU101" s="320"/>
      <c r="AV101" s="320"/>
      <c r="AX101" s="530"/>
    </row>
    <row r="102" spans="2:50">
      <c r="B102" s="1617" t="s">
        <v>4778</v>
      </c>
      <c r="C102" s="1202">
        <f t="shared" si="2"/>
        <v>-3629.46</v>
      </c>
      <c r="D102" s="383"/>
      <c r="E102" s="383"/>
      <c r="F102" s="204"/>
      <c r="G102" s="204"/>
      <c r="H102" s="204"/>
      <c r="I102" s="204"/>
      <c r="J102" s="204"/>
      <c r="K102" s="204"/>
      <c r="L102" s="204"/>
      <c r="M102" s="204"/>
      <c r="N102" s="204"/>
      <c r="O102" s="204"/>
      <c r="P102" s="204">
        <v>-3629.46</v>
      </c>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144"/>
      <c r="AN102" s="320"/>
      <c r="AO102" s="320"/>
      <c r="AP102" s="320"/>
      <c r="AQ102" s="320"/>
      <c r="AR102" s="320"/>
      <c r="AS102" s="320"/>
      <c r="AT102" s="320"/>
      <c r="AU102" s="320"/>
      <c r="AV102" s="320"/>
      <c r="AX102" s="530"/>
    </row>
    <row r="103" spans="2:50">
      <c r="B103" s="1617" t="s">
        <v>4545</v>
      </c>
      <c r="C103" s="1202">
        <f t="shared" si="2"/>
        <v>9543.2000000000007</v>
      </c>
      <c r="D103" s="383"/>
      <c r="E103" s="383"/>
      <c r="F103" s="204"/>
      <c r="G103" s="204"/>
      <c r="H103" s="204"/>
      <c r="I103" s="204"/>
      <c r="J103" s="204"/>
      <c r="K103" s="204"/>
      <c r="L103" s="204"/>
      <c r="M103" s="204"/>
      <c r="N103" s="204"/>
      <c r="O103" s="204"/>
      <c r="P103" s="204">
        <v>795.27</v>
      </c>
      <c r="Q103" s="204">
        <v>795.27</v>
      </c>
      <c r="R103" s="204">
        <v>795.27</v>
      </c>
      <c r="S103" s="204">
        <v>795.27</v>
      </c>
      <c r="T103" s="204">
        <v>795.27</v>
      </c>
      <c r="U103" s="204">
        <v>795.27</v>
      </c>
      <c r="V103" s="204">
        <v>795.27</v>
      </c>
      <c r="W103" s="204">
        <v>795.27</v>
      </c>
      <c r="X103" s="204">
        <v>795.27</v>
      </c>
      <c r="Y103" s="204">
        <v>795.27</v>
      </c>
      <c r="Z103" s="204">
        <v>795.27</v>
      </c>
      <c r="AA103" s="204">
        <v>795.23</v>
      </c>
      <c r="AB103" s="204"/>
      <c r="AC103" s="204"/>
      <c r="AD103" s="204"/>
      <c r="AE103" s="204"/>
      <c r="AF103" s="204"/>
      <c r="AG103" s="204"/>
      <c r="AH103" s="204"/>
      <c r="AI103" s="204"/>
      <c r="AJ103" s="204"/>
      <c r="AK103" s="204"/>
      <c r="AL103" s="204"/>
      <c r="AM103" s="144"/>
      <c r="AN103" s="320"/>
      <c r="AO103" s="320"/>
      <c r="AP103" s="320"/>
      <c r="AQ103" s="320"/>
      <c r="AR103" s="320"/>
      <c r="AS103" s="320"/>
      <c r="AT103" s="320"/>
      <c r="AU103" s="320"/>
      <c r="AV103" s="320"/>
      <c r="AX103" s="530"/>
    </row>
    <row r="104" spans="2:50">
      <c r="B104" s="1617" t="s">
        <v>4200</v>
      </c>
      <c r="C104" s="1202">
        <f t="shared" ref="C104:C131" si="3">SUM(D104:AX104)</f>
        <v>7333.32</v>
      </c>
      <c r="D104" s="383"/>
      <c r="E104" s="383"/>
      <c r="F104" s="204"/>
      <c r="G104" s="204"/>
      <c r="H104" s="204"/>
      <c r="I104" s="204"/>
      <c r="J104" s="204"/>
      <c r="K104" s="204"/>
      <c r="L104" s="204"/>
      <c r="M104" s="204"/>
      <c r="N104" s="204"/>
      <c r="O104" s="204"/>
      <c r="P104" s="204">
        <v>916.67</v>
      </c>
      <c r="Q104" s="204">
        <v>916.67</v>
      </c>
      <c r="R104" s="204">
        <v>916.67</v>
      </c>
      <c r="S104" s="204">
        <v>916.67</v>
      </c>
      <c r="T104" s="204">
        <v>916.67</v>
      </c>
      <c r="U104" s="204">
        <v>916.67</v>
      </c>
      <c r="V104" s="204">
        <v>916.67</v>
      </c>
      <c r="W104" s="204">
        <v>916.63</v>
      </c>
      <c r="X104" s="204"/>
      <c r="Y104" s="204"/>
      <c r="Z104" s="204"/>
      <c r="AA104" s="204"/>
      <c r="AB104" s="204"/>
      <c r="AC104" s="204"/>
      <c r="AD104" s="204"/>
      <c r="AE104" s="204"/>
      <c r="AF104" s="204"/>
      <c r="AG104" s="204"/>
      <c r="AH104" s="204"/>
      <c r="AI104" s="204"/>
      <c r="AJ104" s="204"/>
      <c r="AK104" s="204"/>
      <c r="AL104" s="204"/>
      <c r="AM104" s="144"/>
      <c r="AN104" s="320"/>
      <c r="AO104" s="320"/>
      <c r="AP104" s="320"/>
      <c r="AQ104" s="320"/>
      <c r="AR104" s="320"/>
      <c r="AS104" s="320"/>
      <c r="AT104" s="320"/>
      <c r="AU104" s="320"/>
      <c r="AV104" s="320"/>
      <c r="AX104" s="530"/>
    </row>
    <row r="105" spans="2:50">
      <c r="B105" s="1617" t="s">
        <v>1659</v>
      </c>
      <c r="C105" s="1202">
        <f t="shared" si="3"/>
        <v>7500.4999999999973</v>
      </c>
      <c r="D105" s="383"/>
      <c r="E105" s="383"/>
      <c r="F105" s="204"/>
      <c r="G105" s="204"/>
      <c r="H105" s="204"/>
      <c r="I105" s="204"/>
      <c r="J105" s="204"/>
      <c r="K105" s="204"/>
      <c r="L105" s="204"/>
      <c r="M105" s="204"/>
      <c r="N105" s="204"/>
      <c r="O105" s="204"/>
      <c r="P105" s="204">
        <v>500.03</v>
      </c>
      <c r="Q105" s="204">
        <v>500.03</v>
      </c>
      <c r="R105" s="204">
        <v>500.03</v>
      </c>
      <c r="S105" s="204">
        <v>500.03</v>
      </c>
      <c r="T105" s="204">
        <v>500.03</v>
      </c>
      <c r="U105" s="204">
        <v>500.03</v>
      </c>
      <c r="V105" s="204">
        <v>500.03</v>
      </c>
      <c r="W105" s="204">
        <v>500.03</v>
      </c>
      <c r="X105" s="204">
        <v>500.03</v>
      </c>
      <c r="Y105" s="204">
        <v>500.03</v>
      </c>
      <c r="Z105" s="204">
        <v>500.03</v>
      </c>
      <c r="AA105" s="204">
        <v>500.03</v>
      </c>
      <c r="AB105" s="204">
        <v>500.03</v>
      </c>
      <c r="AC105" s="204">
        <v>500.03</v>
      </c>
      <c r="AD105" s="204">
        <v>500.08</v>
      </c>
      <c r="AE105" s="204"/>
      <c r="AF105" s="204"/>
      <c r="AG105" s="204"/>
      <c r="AH105" s="204"/>
      <c r="AI105" s="204"/>
      <c r="AJ105" s="204"/>
      <c r="AK105" s="204"/>
      <c r="AL105" s="204"/>
      <c r="AM105" s="144"/>
      <c r="AN105" s="320"/>
      <c r="AO105" s="320"/>
      <c r="AP105" s="320"/>
      <c r="AQ105" s="320"/>
      <c r="AR105" s="320"/>
      <c r="AS105" s="320"/>
      <c r="AT105" s="320"/>
      <c r="AU105" s="320"/>
      <c r="AV105" s="320"/>
      <c r="AX105" s="530"/>
    </row>
    <row r="106" spans="2:50">
      <c r="B106" s="1617" t="s">
        <v>2055</v>
      </c>
      <c r="C106" s="1202">
        <f t="shared" si="3"/>
        <v>490.12</v>
      </c>
      <c r="D106" s="383"/>
      <c r="E106" s="383"/>
      <c r="F106" s="204"/>
      <c r="G106" s="204"/>
      <c r="H106" s="204"/>
      <c r="I106" s="204"/>
      <c r="J106" s="204"/>
      <c r="K106" s="204"/>
      <c r="L106" s="204"/>
      <c r="M106" s="204"/>
      <c r="N106" s="204"/>
      <c r="O106" s="204"/>
      <c r="P106" s="204">
        <v>245.09</v>
      </c>
      <c r="Q106" s="204">
        <v>245.03</v>
      </c>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144"/>
      <c r="AN106" s="320"/>
      <c r="AO106" s="320"/>
      <c r="AP106" s="320"/>
      <c r="AQ106" s="320"/>
      <c r="AR106" s="320"/>
      <c r="AS106" s="320"/>
      <c r="AT106" s="320"/>
      <c r="AU106" s="320"/>
      <c r="AV106" s="320"/>
      <c r="AX106" s="530"/>
    </row>
    <row r="107" spans="2:50">
      <c r="B107" s="1617" t="s">
        <v>1031</v>
      </c>
      <c r="C107" s="1202">
        <f t="shared" si="3"/>
        <v>60784.800000000017</v>
      </c>
      <c r="D107" s="383"/>
      <c r="E107" s="383"/>
      <c r="F107" s="204"/>
      <c r="G107" s="204"/>
      <c r="H107" s="204"/>
      <c r="I107" s="204"/>
      <c r="J107" s="204"/>
      <c r="K107" s="204"/>
      <c r="L107" s="204"/>
      <c r="M107" s="204"/>
      <c r="N107" s="204"/>
      <c r="O107" s="204"/>
      <c r="P107" s="204">
        <v>29117.360000000001</v>
      </c>
      <c r="Q107" s="204">
        <v>2878.87</v>
      </c>
      <c r="R107" s="204">
        <v>2878.87</v>
      </c>
      <c r="S107" s="204">
        <v>2878.87</v>
      </c>
      <c r="T107" s="204">
        <v>2878.87</v>
      </c>
      <c r="U107" s="204">
        <v>2878.87</v>
      </c>
      <c r="V107" s="204">
        <v>2878.87</v>
      </c>
      <c r="W107" s="204">
        <v>2878.87</v>
      </c>
      <c r="X107" s="204">
        <v>2878.87</v>
      </c>
      <c r="Y107" s="204">
        <v>2878.87</v>
      </c>
      <c r="Z107" s="204">
        <v>2878.87</v>
      </c>
      <c r="AA107" s="204">
        <v>2878.74</v>
      </c>
      <c r="AB107" s="204"/>
      <c r="AC107" s="204"/>
      <c r="AD107" s="204"/>
      <c r="AE107" s="204"/>
      <c r="AF107" s="204"/>
      <c r="AG107" s="204"/>
      <c r="AH107" s="204"/>
      <c r="AI107" s="204"/>
      <c r="AJ107" s="204"/>
      <c r="AK107" s="204"/>
      <c r="AL107" s="204"/>
      <c r="AM107" s="144"/>
      <c r="AN107" s="320"/>
      <c r="AO107" s="320"/>
      <c r="AP107" s="320"/>
      <c r="AQ107" s="320"/>
      <c r="AR107" s="320"/>
      <c r="AS107" s="320"/>
      <c r="AT107" s="320"/>
      <c r="AU107" s="320"/>
      <c r="AV107" s="320"/>
      <c r="AX107" s="530"/>
    </row>
    <row r="108" spans="2:50">
      <c r="B108" s="1617" t="s">
        <v>4779</v>
      </c>
      <c r="C108" s="1202">
        <f t="shared" si="3"/>
        <v>2893.62</v>
      </c>
      <c r="D108" s="383"/>
      <c r="E108" s="383"/>
      <c r="F108" s="204"/>
      <c r="G108" s="204"/>
      <c r="H108" s="204"/>
      <c r="I108" s="204"/>
      <c r="J108" s="204"/>
      <c r="K108" s="204"/>
      <c r="L108" s="204"/>
      <c r="M108" s="204"/>
      <c r="N108" s="204"/>
      <c r="O108" s="204"/>
      <c r="P108" s="204">
        <v>2893.62</v>
      </c>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144"/>
      <c r="AN108" s="320"/>
      <c r="AO108" s="320"/>
      <c r="AP108" s="320"/>
      <c r="AQ108" s="320"/>
      <c r="AR108" s="320"/>
      <c r="AS108" s="320"/>
      <c r="AT108" s="320"/>
      <c r="AU108" s="320"/>
      <c r="AV108" s="320"/>
      <c r="AX108" s="530"/>
    </row>
    <row r="109" spans="2:50">
      <c r="B109" s="1617" t="s">
        <v>4780</v>
      </c>
      <c r="C109" s="1202">
        <f t="shared" si="3"/>
        <v>2650.58</v>
      </c>
      <c r="D109" s="383"/>
      <c r="E109" s="383"/>
      <c r="F109" s="204"/>
      <c r="G109" s="204"/>
      <c r="H109" s="204"/>
      <c r="I109" s="204"/>
      <c r="J109" s="204"/>
      <c r="K109" s="204"/>
      <c r="L109" s="204"/>
      <c r="M109" s="204"/>
      <c r="N109" s="204"/>
      <c r="O109" s="204"/>
      <c r="P109" s="204">
        <v>2650.58</v>
      </c>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144"/>
      <c r="AN109" s="320"/>
      <c r="AO109" s="320"/>
      <c r="AP109" s="320"/>
      <c r="AQ109" s="320"/>
      <c r="AR109" s="320"/>
      <c r="AS109" s="320"/>
      <c r="AT109" s="320"/>
      <c r="AU109" s="320"/>
      <c r="AV109" s="320"/>
      <c r="AX109" s="530"/>
    </row>
    <row r="110" spans="2:50">
      <c r="B110" s="1617" t="s">
        <v>4781</v>
      </c>
      <c r="C110" s="1202">
        <f t="shared" si="3"/>
        <v>4393.49</v>
      </c>
      <c r="D110" s="383"/>
      <c r="E110" s="383"/>
      <c r="F110" s="204"/>
      <c r="G110" s="204"/>
      <c r="H110" s="204"/>
      <c r="I110" s="204"/>
      <c r="J110" s="204"/>
      <c r="K110" s="204"/>
      <c r="L110" s="204"/>
      <c r="M110" s="204"/>
      <c r="N110" s="204"/>
      <c r="O110" s="204"/>
      <c r="P110" s="204">
        <v>4393.49</v>
      </c>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144"/>
      <c r="AN110" s="320"/>
      <c r="AO110" s="320"/>
      <c r="AP110" s="320"/>
      <c r="AQ110" s="320"/>
      <c r="AR110" s="320"/>
      <c r="AS110" s="320"/>
      <c r="AT110" s="320"/>
      <c r="AU110" s="320"/>
      <c r="AV110" s="320"/>
      <c r="AX110" s="530"/>
    </row>
    <row r="111" spans="2:50">
      <c r="B111" s="1618" t="s">
        <v>4782</v>
      </c>
      <c r="C111" s="1202">
        <f t="shared" si="3"/>
        <v>3285.26</v>
      </c>
      <c r="D111" s="383"/>
      <c r="E111" s="383"/>
      <c r="F111" s="204"/>
      <c r="G111" s="204"/>
      <c r="H111" s="204"/>
      <c r="I111" s="204"/>
      <c r="J111" s="204"/>
      <c r="K111" s="204"/>
      <c r="L111" s="204"/>
      <c r="M111" s="204"/>
      <c r="N111" s="204"/>
      <c r="O111" s="204"/>
      <c r="P111" s="204">
        <v>3285.26</v>
      </c>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144"/>
      <c r="AN111" s="320"/>
      <c r="AO111" s="320"/>
      <c r="AP111" s="320"/>
      <c r="AQ111" s="320"/>
      <c r="AR111" s="320"/>
      <c r="AS111" s="320"/>
      <c r="AT111" s="320"/>
      <c r="AV111" s="320"/>
      <c r="AX111" s="530"/>
    </row>
    <row r="112" spans="2:50">
      <c r="B112" s="1617" t="s">
        <v>4783</v>
      </c>
      <c r="C112" s="1202">
        <f t="shared" si="3"/>
        <v>4617.1499999999996</v>
      </c>
      <c r="D112" s="383"/>
      <c r="E112" s="383"/>
      <c r="F112" s="204"/>
      <c r="G112" s="204"/>
      <c r="H112" s="204"/>
      <c r="I112" s="204"/>
      <c r="J112" s="204"/>
      <c r="K112" s="204"/>
      <c r="L112" s="204"/>
      <c r="M112" s="204"/>
      <c r="N112" s="204"/>
      <c r="O112" s="204"/>
      <c r="P112" s="204">
        <v>4617.1499999999996</v>
      </c>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144"/>
      <c r="AN112" s="320"/>
      <c r="AO112" s="320"/>
      <c r="AP112" s="320"/>
      <c r="AQ112" s="320"/>
      <c r="AR112" s="320"/>
      <c r="AS112" s="320"/>
      <c r="AT112" s="320"/>
      <c r="AX112" s="530"/>
    </row>
    <row r="113" spans="2:50">
      <c r="B113" s="1617" t="s">
        <v>4784</v>
      </c>
      <c r="C113" s="1202">
        <f t="shared" si="3"/>
        <v>3965.8</v>
      </c>
      <c r="D113" s="383"/>
      <c r="E113" s="383"/>
      <c r="F113" s="204"/>
      <c r="G113" s="204"/>
      <c r="H113" s="204"/>
      <c r="I113" s="204"/>
      <c r="J113" s="204"/>
      <c r="K113" s="204"/>
      <c r="L113" s="204"/>
      <c r="M113" s="204"/>
      <c r="N113" s="204"/>
      <c r="O113" s="204"/>
      <c r="P113" s="204">
        <v>3965.8</v>
      </c>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144"/>
      <c r="AN113" s="320"/>
      <c r="AO113" s="320"/>
      <c r="AP113" s="320"/>
      <c r="AQ113" s="320"/>
      <c r="AR113" s="320"/>
      <c r="AS113" s="320"/>
      <c r="AT113" s="320"/>
      <c r="AX113" s="530"/>
    </row>
    <row r="114" spans="2:50">
      <c r="B114" s="1617" t="s">
        <v>4785</v>
      </c>
      <c r="C114" s="1202">
        <f t="shared" si="3"/>
        <v>2971.76</v>
      </c>
      <c r="D114" s="383"/>
      <c r="E114" s="383"/>
      <c r="F114" s="204"/>
      <c r="G114" s="204"/>
      <c r="H114" s="204"/>
      <c r="I114" s="204"/>
      <c r="J114" s="204"/>
      <c r="K114" s="204"/>
      <c r="L114" s="204"/>
      <c r="M114" s="204"/>
      <c r="N114" s="204"/>
      <c r="O114" s="204"/>
      <c r="P114" s="204">
        <v>2971.76</v>
      </c>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144"/>
      <c r="AN114" s="320"/>
      <c r="AO114" s="320"/>
      <c r="AP114" s="320"/>
      <c r="AQ114" s="320"/>
      <c r="AR114" s="320"/>
      <c r="AS114" s="320"/>
      <c r="AT114" s="320"/>
      <c r="AX114" s="530"/>
    </row>
    <row r="115" spans="2:50">
      <c r="B115" s="1617" t="s">
        <v>4786</v>
      </c>
      <c r="C115" s="1202">
        <f t="shared" si="3"/>
        <v>3296.39</v>
      </c>
      <c r="D115" s="383"/>
      <c r="E115" s="383"/>
      <c r="F115" s="204"/>
      <c r="G115" s="204"/>
      <c r="H115" s="204"/>
      <c r="I115" s="204"/>
      <c r="J115" s="204"/>
      <c r="K115" s="204"/>
      <c r="L115" s="204"/>
      <c r="M115" s="204"/>
      <c r="N115" s="204"/>
      <c r="O115" s="204"/>
      <c r="P115" s="204">
        <v>3296.39</v>
      </c>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144"/>
      <c r="AN115" s="320"/>
      <c r="AO115" s="320"/>
      <c r="AP115" s="320"/>
      <c r="AQ115" s="320"/>
      <c r="AR115" s="320"/>
      <c r="AS115" s="320"/>
      <c r="AT115" s="320"/>
      <c r="AX115" s="530"/>
    </row>
    <row r="116" spans="2:50">
      <c r="B116" s="1617" t="s">
        <v>4787</v>
      </c>
      <c r="C116" s="1202">
        <f t="shared" si="3"/>
        <v>31477.589999999997</v>
      </c>
      <c r="D116" s="383"/>
      <c r="E116" s="383"/>
      <c r="F116" s="204"/>
      <c r="G116" s="204"/>
      <c r="H116" s="204"/>
      <c r="I116" s="204"/>
      <c r="J116" s="204"/>
      <c r="K116" s="204"/>
      <c r="L116" s="204"/>
      <c r="M116" s="204"/>
      <c r="N116" s="204"/>
      <c r="O116" s="204"/>
      <c r="P116" s="204">
        <v>2674.42</v>
      </c>
      <c r="Q116" s="204">
        <v>2674.42</v>
      </c>
      <c r="R116" s="204">
        <v>2674.42</v>
      </c>
      <c r="S116" s="204">
        <v>2674.42</v>
      </c>
      <c r="T116" s="204">
        <v>2674.42</v>
      </c>
      <c r="U116" s="204">
        <v>2674.42</v>
      </c>
      <c r="V116" s="204">
        <v>2674.42</v>
      </c>
      <c r="W116" s="204">
        <v>2674.42</v>
      </c>
      <c r="X116" s="204">
        <v>2674.42</v>
      </c>
      <c r="Y116" s="204">
        <v>2674.42</v>
      </c>
      <c r="Z116" s="204">
        <v>2674.42</v>
      </c>
      <c r="AA116" s="204">
        <v>2058.9699999999998</v>
      </c>
      <c r="AB116" s="204"/>
      <c r="AC116" s="204"/>
      <c r="AD116" s="204"/>
      <c r="AE116" s="204"/>
      <c r="AF116" s="204"/>
      <c r="AG116" s="204"/>
      <c r="AH116" s="204"/>
      <c r="AI116" s="204"/>
      <c r="AJ116" s="204"/>
      <c r="AK116" s="204"/>
      <c r="AL116" s="204"/>
      <c r="AM116" s="144"/>
      <c r="AN116" s="320"/>
      <c r="AO116" s="320"/>
      <c r="AP116" s="320"/>
      <c r="AQ116" s="320"/>
      <c r="AR116" s="320"/>
      <c r="AS116" s="320"/>
      <c r="AT116" s="320"/>
      <c r="AX116" s="530"/>
    </row>
    <row r="117" spans="2:50">
      <c r="B117" s="1617" t="s">
        <v>2043</v>
      </c>
      <c r="C117" s="1202">
        <f t="shared" si="3"/>
        <v>37762.879999999997</v>
      </c>
      <c r="D117" s="383"/>
      <c r="E117" s="383"/>
      <c r="F117" s="204"/>
      <c r="G117" s="204"/>
      <c r="H117" s="204"/>
      <c r="I117" s="204"/>
      <c r="J117" s="204"/>
      <c r="K117" s="204"/>
      <c r="L117" s="204"/>
      <c r="M117" s="204"/>
      <c r="N117" s="204"/>
      <c r="O117" s="204"/>
      <c r="P117" s="204">
        <v>12587.609999999999</v>
      </c>
      <c r="Q117" s="204">
        <v>12587.609999999999</v>
      </c>
      <c r="R117" s="204">
        <v>12587.66</v>
      </c>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144"/>
      <c r="AN117" s="320"/>
      <c r="AO117" s="320"/>
      <c r="AP117" s="320"/>
      <c r="AQ117" s="320"/>
      <c r="AR117" s="320"/>
      <c r="AS117" s="320"/>
      <c r="AT117" s="320"/>
      <c r="AX117" s="530"/>
    </row>
    <row r="118" spans="2:50">
      <c r="B118" s="1617" t="s">
        <v>4788</v>
      </c>
      <c r="C118" s="1202">
        <f t="shared" si="3"/>
        <v>6207.6900000000005</v>
      </c>
      <c r="D118" s="383"/>
      <c r="E118" s="383"/>
      <c r="F118" s="204"/>
      <c r="G118" s="204"/>
      <c r="H118" s="204"/>
      <c r="I118" s="204"/>
      <c r="J118" s="204"/>
      <c r="K118" s="204"/>
      <c r="L118" s="204"/>
      <c r="M118" s="204"/>
      <c r="N118" s="204"/>
      <c r="O118" s="204"/>
      <c r="P118" s="204">
        <v>2069.23</v>
      </c>
      <c r="Q118" s="204">
        <v>2069.23</v>
      </c>
      <c r="R118" s="204">
        <v>2069.23</v>
      </c>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144"/>
      <c r="AN118" s="320"/>
      <c r="AO118" s="320"/>
      <c r="AP118" s="320"/>
      <c r="AQ118" s="320"/>
      <c r="AR118" s="320"/>
      <c r="AS118" s="320"/>
      <c r="AT118" s="320"/>
      <c r="AX118" s="530"/>
    </row>
    <row r="119" spans="2:50">
      <c r="B119" s="1617" t="s">
        <v>3837</v>
      </c>
      <c r="C119" s="1202">
        <f t="shared" si="3"/>
        <v>3422.5</v>
      </c>
      <c r="D119" s="383"/>
      <c r="E119" s="383"/>
      <c r="F119" s="204"/>
      <c r="G119" s="204"/>
      <c r="H119" s="204"/>
      <c r="I119" s="204"/>
      <c r="J119" s="204"/>
      <c r="K119" s="204"/>
      <c r="L119" s="204"/>
      <c r="M119" s="204"/>
      <c r="N119" s="204"/>
      <c r="O119" s="204"/>
      <c r="P119" s="204">
        <v>794.16</v>
      </c>
      <c r="Q119" s="204">
        <v>794.16</v>
      </c>
      <c r="R119" s="204">
        <v>794.16</v>
      </c>
      <c r="S119" s="204">
        <v>794.16</v>
      </c>
      <c r="T119" s="204">
        <v>245.86</v>
      </c>
      <c r="U119" s="204"/>
      <c r="V119" s="204"/>
      <c r="W119" s="204"/>
      <c r="X119" s="204"/>
      <c r="Y119" s="204"/>
      <c r="Z119" s="204"/>
      <c r="AA119" s="204"/>
      <c r="AB119" s="204"/>
      <c r="AC119" s="204"/>
      <c r="AD119" s="204"/>
      <c r="AE119" s="204"/>
      <c r="AF119" s="204"/>
      <c r="AG119" s="204"/>
      <c r="AH119" s="204"/>
      <c r="AI119" s="204"/>
      <c r="AJ119" s="204"/>
      <c r="AK119" s="204"/>
      <c r="AL119" s="204"/>
      <c r="AM119" s="144"/>
      <c r="AN119" s="320"/>
      <c r="AO119" s="320"/>
      <c r="AP119" s="320"/>
      <c r="AQ119" s="320"/>
      <c r="AR119" s="320"/>
      <c r="AS119" s="320"/>
      <c r="AT119" s="320"/>
      <c r="AX119" s="530"/>
    </row>
    <row r="120" spans="2:50">
      <c r="B120" s="1617" t="s">
        <v>1719</v>
      </c>
      <c r="C120" s="1202">
        <f t="shared" si="3"/>
        <v>3164.07</v>
      </c>
      <c r="D120" s="383"/>
      <c r="E120" s="383"/>
      <c r="F120" s="204"/>
      <c r="G120" s="204"/>
      <c r="H120" s="204"/>
      <c r="I120" s="204"/>
      <c r="J120" s="204"/>
      <c r="K120" s="204"/>
      <c r="L120" s="204"/>
      <c r="M120" s="204"/>
      <c r="N120" s="204"/>
      <c r="O120" s="204"/>
      <c r="P120" s="204">
        <v>791.03</v>
      </c>
      <c r="Q120" s="204">
        <v>791.03</v>
      </c>
      <c r="R120" s="204">
        <v>791.03</v>
      </c>
      <c r="S120" s="204">
        <v>790.98</v>
      </c>
      <c r="T120" s="204"/>
      <c r="U120" s="204"/>
      <c r="V120" s="204"/>
      <c r="W120" s="204"/>
      <c r="X120" s="204"/>
      <c r="Y120" s="204"/>
      <c r="Z120" s="204"/>
      <c r="AA120" s="204"/>
      <c r="AB120" s="204"/>
      <c r="AC120" s="204"/>
      <c r="AD120" s="204"/>
      <c r="AE120" s="204"/>
      <c r="AF120" s="204"/>
      <c r="AG120" s="204"/>
      <c r="AH120" s="204"/>
      <c r="AI120" s="204"/>
      <c r="AJ120" s="204"/>
      <c r="AK120" s="204"/>
      <c r="AL120" s="204"/>
      <c r="AM120" s="144"/>
      <c r="AN120" s="320"/>
      <c r="AO120" s="320"/>
      <c r="AP120" s="320"/>
      <c r="AQ120" s="320"/>
      <c r="AR120" s="320"/>
      <c r="AS120" s="320"/>
      <c r="AT120" s="320"/>
      <c r="AX120" s="530"/>
    </row>
    <row r="121" spans="2:50">
      <c r="B121" s="1617" t="s">
        <v>3960</v>
      </c>
      <c r="C121" s="1202">
        <f t="shared" si="3"/>
        <v>11195.760000000002</v>
      </c>
      <c r="D121" s="383"/>
      <c r="E121" s="383"/>
      <c r="F121" s="204"/>
      <c r="G121" s="204"/>
      <c r="H121" s="204"/>
      <c r="I121" s="204"/>
      <c r="J121" s="204"/>
      <c r="K121" s="204"/>
      <c r="L121" s="204"/>
      <c r="M121" s="204"/>
      <c r="N121" s="204"/>
      <c r="O121" s="204"/>
      <c r="P121" s="204">
        <v>1478.46</v>
      </c>
      <c r="Q121" s="204">
        <v>1478.46</v>
      </c>
      <c r="R121" s="204">
        <v>1478.46</v>
      </c>
      <c r="S121" s="204">
        <v>1478.46</v>
      </c>
      <c r="T121" s="204">
        <v>1478.46</v>
      </c>
      <c r="U121" s="204">
        <v>1478.46</v>
      </c>
      <c r="V121" s="204">
        <v>1478.46</v>
      </c>
      <c r="W121" s="204">
        <v>846.54</v>
      </c>
      <c r="X121" s="204"/>
      <c r="Y121" s="204"/>
      <c r="Z121" s="204"/>
      <c r="AA121" s="204"/>
      <c r="AB121" s="204"/>
      <c r="AC121" s="204"/>
      <c r="AD121" s="204"/>
      <c r="AE121" s="204"/>
      <c r="AF121" s="204"/>
      <c r="AG121" s="204"/>
      <c r="AH121" s="204"/>
      <c r="AI121" s="204"/>
      <c r="AJ121" s="204"/>
      <c r="AK121" s="204"/>
      <c r="AL121" s="204"/>
      <c r="AM121" s="144"/>
      <c r="AN121" s="320"/>
      <c r="AO121" s="320"/>
      <c r="AP121" s="320"/>
      <c r="AQ121" s="320"/>
      <c r="AR121" s="320"/>
      <c r="AS121" s="320"/>
      <c r="AT121" s="320"/>
      <c r="AX121" s="530"/>
    </row>
    <row r="122" spans="2:50">
      <c r="B122" s="1617" t="s">
        <v>1910</v>
      </c>
      <c r="C122" s="1202">
        <f t="shared" si="3"/>
        <v>19912.34</v>
      </c>
      <c r="D122" s="383"/>
      <c r="E122" s="383"/>
      <c r="F122" s="204"/>
      <c r="G122" s="204"/>
      <c r="H122" s="204"/>
      <c r="I122" s="204"/>
      <c r="J122" s="204"/>
      <c r="K122" s="204"/>
      <c r="L122" s="204"/>
      <c r="M122" s="204"/>
      <c r="N122" s="204"/>
      <c r="O122" s="204"/>
      <c r="P122" s="204">
        <v>3659.63</v>
      </c>
      <c r="Q122" s="204">
        <v>3659.63</v>
      </c>
      <c r="R122" s="204">
        <v>3659.63</v>
      </c>
      <c r="S122" s="204">
        <v>3659.63</v>
      </c>
      <c r="T122" s="204">
        <v>3659.63</v>
      </c>
      <c r="U122" s="204">
        <v>1614.19</v>
      </c>
      <c r="V122" s="204"/>
      <c r="W122" s="204"/>
      <c r="X122" s="204"/>
      <c r="Y122" s="204"/>
      <c r="Z122" s="204"/>
      <c r="AA122" s="204"/>
      <c r="AB122" s="204"/>
      <c r="AC122" s="204"/>
      <c r="AD122" s="204"/>
      <c r="AE122" s="204"/>
      <c r="AF122" s="204"/>
      <c r="AG122" s="204"/>
      <c r="AH122" s="204"/>
      <c r="AI122" s="204"/>
      <c r="AJ122" s="204"/>
      <c r="AK122" s="204"/>
      <c r="AL122" s="204"/>
      <c r="AM122" s="144"/>
      <c r="AN122" s="320"/>
      <c r="AO122" s="320"/>
      <c r="AP122" s="320"/>
      <c r="AQ122" s="320"/>
      <c r="AR122" s="320"/>
      <c r="AS122" s="320"/>
      <c r="AT122" s="320"/>
      <c r="AX122" s="530"/>
    </row>
    <row r="123" spans="2:50">
      <c r="B123" s="1617" t="s">
        <v>3368</v>
      </c>
      <c r="C123" s="1202">
        <f t="shared" si="3"/>
        <v>850</v>
      </c>
      <c r="D123" s="383"/>
      <c r="E123" s="383"/>
      <c r="F123" s="204"/>
      <c r="G123" s="204"/>
      <c r="H123" s="204"/>
      <c r="I123" s="204"/>
      <c r="J123" s="204"/>
      <c r="K123" s="204"/>
      <c r="L123" s="204"/>
      <c r="M123" s="204"/>
      <c r="N123" s="204"/>
      <c r="O123" s="204"/>
      <c r="P123" s="204">
        <v>425</v>
      </c>
      <c r="Q123" s="204">
        <v>425</v>
      </c>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144"/>
      <c r="AN123" s="320"/>
      <c r="AO123" s="320"/>
      <c r="AP123" s="320"/>
      <c r="AQ123" s="320"/>
      <c r="AR123" s="320"/>
      <c r="AS123" s="320"/>
      <c r="AT123" s="320"/>
      <c r="AX123" s="530"/>
    </row>
    <row r="124" spans="2:50">
      <c r="B124" s="1617" t="s">
        <v>3961</v>
      </c>
      <c r="C124" s="1202">
        <f t="shared" si="3"/>
        <v>39877.86</v>
      </c>
      <c r="D124" s="383"/>
      <c r="E124" s="383"/>
      <c r="F124" s="204"/>
      <c r="G124" s="204"/>
      <c r="H124" s="204"/>
      <c r="I124" s="204"/>
      <c r="J124" s="204"/>
      <c r="K124" s="204"/>
      <c r="L124" s="204"/>
      <c r="M124" s="204"/>
      <c r="N124" s="204"/>
      <c r="O124" s="204"/>
      <c r="P124" s="204">
        <v>6646.31</v>
      </c>
      <c r="Q124" s="204">
        <v>6646.31</v>
      </c>
      <c r="R124" s="204">
        <v>6646.31</v>
      </c>
      <c r="S124" s="204">
        <v>6646.31</v>
      </c>
      <c r="T124" s="204">
        <v>6646.31</v>
      </c>
      <c r="U124" s="204">
        <v>6646.31</v>
      </c>
      <c r="V124" s="204"/>
      <c r="W124" s="204"/>
      <c r="X124" s="204"/>
      <c r="Y124" s="204"/>
      <c r="Z124" s="204"/>
      <c r="AA124" s="204"/>
      <c r="AB124" s="204"/>
      <c r="AC124" s="204"/>
      <c r="AD124" s="204"/>
      <c r="AE124" s="204"/>
      <c r="AF124" s="204"/>
      <c r="AG124" s="204"/>
      <c r="AH124" s="204"/>
      <c r="AI124" s="204"/>
      <c r="AJ124" s="204"/>
      <c r="AK124" s="204"/>
      <c r="AL124" s="204"/>
      <c r="AM124" s="144"/>
      <c r="AN124" s="320"/>
      <c r="AO124" s="320"/>
      <c r="AP124" s="320"/>
      <c r="AQ124" s="320"/>
      <c r="AR124" s="320"/>
      <c r="AS124" s="320"/>
      <c r="AT124" s="320"/>
      <c r="AX124" s="530"/>
    </row>
    <row r="125" spans="2:50">
      <c r="B125" s="1617" t="s">
        <v>3838</v>
      </c>
      <c r="C125" s="1202">
        <f t="shared" si="3"/>
        <v>1673.77</v>
      </c>
      <c r="D125" s="383"/>
      <c r="E125" s="383"/>
      <c r="F125" s="204"/>
      <c r="G125" s="204"/>
      <c r="H125" s="204"/>
      <c r="I125" s="204"/>
      <c r="J125" s="204"/>
      <c r="K125" s="204"/>
      <c r="L125" s="204"/>
      <c r="M125" s="204"/>
      <c r="N125" s="204"/>
      <c r="O125" s="204"/>
      <c r="P125" s="204">
        <v>305.77</v>
      </c>
      <c r="Q125" s="204">
        <v>305.77</v>
      </c>
      <c r="R125" s="204">
        <v>305.77</v>
      </c>
      <c r="S125" s="204">
        <v>305.77</v>
      </c>
      <c r="T125" s="204">
        <v>305.77</v>
      </c>
      <c r="U125" s="204">
        <v>144.91999999999999</v>
      </c>
      <c r="V125" s="204"/>
      <c r="W125" s="204"/>
      <c r="X125" s="204"/>
      <c r="Y125" s="204"/>
      <c r="Z125" s="204"/>
      <c r="AA125" s="204"/>
      <c r="AB125" s="204"/>
      <c r="AC125" s="204"/>
      <c r="AD125" s="204"/>
      <c r="AE125" s="204"/>
      <c r="AF125" s="204"/>
      <c r="AG125" s="204"/>
      <c r="AH125" s="204"/>
      <c r="AI125" s="204"/>
      <c r="AJ125" s="204"/>
      <c r="AK125" s="204"/>
      <c r="AL125" s="204"/>
      <c r="AM125" s="144"/>
      <c r="AN125" s="320"/>
      <c r="AO125" s="320"/>
      <c r="AP125" s="320"/>
      <c r="AQ125" s="320"/>
      <c r="AR125" s="320"/>
      <c r="AS125" s="320"/>
      <c r="AT125" s="320"/>
      <c r="AX125" s="530"/>
    </row>
    <row r="126" spans="2:50">
      <c r="B126" s="1617" t="s">
        <v>4546</v>
      </c>
      <c r="C126" s="1202">
        <f t="shared" si="3"/>
        <v>7399.1999999999989</v>
      </c>
      <c r="D126" s="383"/>
      <c r="E126" s="383"/>
      <c r="F126" s="204"/>
      <c r="G126" s="204"/>
      <c r="H126" s="204"/>
      <c r="I126" s="204"/>
      <c r="J126" s="204"/>
      <c r="K126" s="204"/>
      <c r="L126" s="204"/>
      <c r="M126" s="204"/>
      <c r="N126" s="204"/>
      <c r="O126" s="204"/>
      <c r="P126" s="204">
        <v>736.49</v>
      </c>
      <c r="Q126" s="204">
        <v>736.49</v>
      </c>
      <c r="R126" s="204">
        <v>736.49</v>
      </c>
      <c r="S126" s="204">
        <v>736.49</v>
      </c>
      <c r="T126" s="204">
        <v>736.49</v>
      </c>
      <c r="U126" s="204">
        <v>736.49</v>
      </c>
      <c r="V126" s="204">
        <v>736.49</v>
      </c>
      <c r="W126" s="204">
        <v>736.49</v>
      </c>
      <c r="X126" s="204">
        <v>736.49</v>
      </c>
      <c r="Y126" s="204">
        <v>736.49</v>
      </c>
      <c r="Z126" s="204">
        <v>34.299999999999997</v>
      </c>
      <c r="AA126" s="204"/>
      <c r="AB126" s="204"/>
      <c r="AC126" s="204"/>
      <c r="AD126" s="204"/>
      <c r="AE126" s="204"/>
      <c r="AF126" s="204"/>
      <c r="AG126" s="204"/>
      <c r="AH126" s="204"/>
      <c r="AI126" s="204"/>
      <c r="AJ126" s="204"/>
      <c r="AK126" s="204"/>
      <c r="AL126" s="204"/>
      <c r="AM126" s="144"/>
      <c r="AN126" s="320"/>
      <c r="AO126" s="320"/>
      <c r="AP126" s="320"/>
      <c r="AQ126" s="320"/>
      <c r="AR126" s="320"/>
      <c r="AS126" s="320"/>
      <c r="AT126" s="320"/>
      <c r="AX126" s="530"/>
    </row>
    <row r="127" spans="2:50">
      <c r="B127" s="1617" t="s">
        <v>4093</v>
      </c>
      <c r="C127" s="1202">
        <f t="shared" si="3"/>
        <v>17696.280000000002</v>
      </c>
      <c r="D127" s="383"/>
      <c r="E127" s="383"/>
      <c r="F127" s="204"/>
      <c r="G127" s="204"/>
      <c r="H127" s="204"/>
      <c r="I127" s="204"/>
      <c r="J127" s="204"/>
      <c r="K127" s="204"/>
      <c r="L127" s="204"/>
      <c r="M127" s="204"/>
      <c r="N127" s="204"/>
      <c r="O127" s="204"/>
      <c r="P127" s="204">
        <v>2212.04</v>
      </c>
      <c r="Q127" s="204">
        <v>2212.04</v>
      </c>
      <c r="R127" s="204">
        <v>2212.04</v>
      </c>
      <c r="S127" s="204">
        <v>2212.04</v>
      </c>
      <c r="T127" s="204">
        <v>2212.04</v>
      </c>
      <c r="U127" s="204">
        <v>2212.04</v>
      </c>
      <c r="V127" s="204">
        <v>2212.04</v>
      </c>
      <c r="W127" s="204">
        <v>2212</v>
      </c>
      <c r="X127" s="204"/>
      <c r="Y127" s="204"/>
      <c r="Z127" s="204"/>
      <c r="AA127" s="204"/>
      <c r="AB127" s="204"/>
      <c r="AC127" s="204"/>
      <c r="AD127" s="204"/>
      <c r="AE127" s="204"/>
      <c r="AF127" s="204"/>
      <c r="AG127" s="204"/>
      <c r="AH127" s="204"/>
      <c r="AI127" s="204"/>
      <c r="AJ127" s="204"/>
      <c r="AK127" s="204"/>
      <c r="AL127" s="204"/>
      <c r="AM127" s="144"/>
      <c r="AN127" s="320"/>
      <c r="AO127" s="320"/>
      <c r="AP127" s="320"/>
      <c r="AQ127" s="320"/>
      <c r="AR127" s="320"/>
      <c r="AS127" s="320"/>
      <c r="AT127" s="320"/>
      <c r="AX127" s="530"/>
    </row>
    <row r="128" spans="2:50">
      <c r="B128" s="1617" t="s">
        <v>4789</v>
      </c>
      <c r="C128" s="1202">
        <f t="shared" si="3"/>
        <v>22579.489999999994</v>
      </c>
      <c r="D128" s="383"/>
      <c r="E128" s="383"/>
      <c r="F128" s="204"/>
      <c r="G128" s="204"/>
      <c r="H128" s="204"/>
      <c r="I128" s="204"/>
      <c r="J128" s="204"/>
      <c r="K128" s="726"/>
      <c r="L128" s="204"/>
      <c r="M128" s="204"/>
      <c r="N128" s="204"/>
      <c r="O128" s="204"/>
      <c r="P128" s="204">
        <v>1881.62</v>
      </c>
      <c r="Q128" s="204">
        <v>1881.62</v>
      </c>
      <c r="R128" s="204">
        <v>1881.62</v>
      </c>
      <c r="S128" s="204">
        <v>1881.62</v>
      </c>
      <c r="T128" s="204">
        <v>1881.62</v>
      </c>
      <c r="U128" s="204">
        <v>1881.62</v>
      </c>
      <c r="V128" s="204">
        <v>1881.62</v>
      </c>
      <c r="W128" s="204">
        <v>1881.62</v>
      </c>
      <c r="X128" s="204">
        <v>1881.62</v>
      </c>
      <c r="Y128" s="204">
        <v>1881.62</v>
      </c>
      <c r="Z128" s="204">
        <v>1881.62</v>
      </c>
      <c r="AA128" s="204">
        <v>1572.36</v>
      </c>
      <c r="AB128" s="204">
        <v>309.31</v>
      </c>
      <c r="AC128" s="204"/>
      <c r="AD128" s="204"/>
      <c r="AE128" s="204"/>
      <c r="AF128" s="204"/>
      <c r="AG128" s="204"/>
      <c r="AH128" s="204"/>
      <c r="AI128" s="204"/>
      <c r="AJ128" s="204"/>
      <c r="AK128" s="204"/>
      <c r="AL128" s="204"/>
      <c r="AM128" s="144"/>
      <c r="AN128" s="320"/>
      <c r="AO128" s="320"/>
      <c r="AP128" s="320"/>
      <c r="AQ128" s="320"/>
      <c r="AR128" s="320"/>
      <c r="AS128" s="320"/>
      <c r="AT128" s="320"/>
      <c r="AX128" s="530"/>
    </row>
    <row r="129" spans="2:50">
      <c r="B129" s="1618" t="s">
        <v>4201</v>
      </c>
      <c r="C129" s="1202">
        <f t="shared" si="3"/>
        <v>18488.979999999996</v>
      </c>
      <c r="D129" s="383"/>
      <c r="E129" s="383"/>
      <c r="F129" s="204"/>
      <c r="G129" s="204"/>
      <c r="H129" s="204"/>
      <c r="I129" s="204"/>
      <c r="J129" s="204"/>
      <c r="K129" s="204"/>
      <c r="L129" s="204"/>
      <c r="M129" s="204"/>
      <c r="N129" s="204"/>
      <c r="O129" s="204"/>
      <c r="P129" s="204">
        <v>2311.12</v>
      </c>
      <c r="Q129" s="204">
        <v>2311.12</v>
      </c>
      <c r="R129" s="204">
        <v>2311.12</v>
      </c>
      <c r="S129" s="204">
        <v>2311.12</v>
      </c>
      <c r="T129" s="204">
        <v>2311.12</v>
      </c>
      <c r="U129" s="204">
        <v>2311.12</v>
      </c>
      <c r="V129" s="204">
        <v>2311.12</v>
      </c>
      <c r="W129" s="204">
        <v>2311.14</v>
      </c>
      <c r="X129" s="204"/>
      <c r="Y129" s="204"/>
      <c r="Z129" s="204"/>
      <c r="AA129" s="204"/>
      <c r="AB129" s="204"/>
      <c r="AC129" s="204"/>
      <c r="AD129" s="204"/>
      <c r="AE129" s="204"/>
      <c r="AF129" s="204"/>
      <c r="AG129" s="204"/>
      <c r="AH129" s="204"/>
      <c r="AI129" s="204"/>
      <c r="AJ129" s="204"/>
      <c r="AK129" s="204"/>
      <c r="AL129" s="204"/>
      <c r="AM129" s="144"/>
      <c r="AN129" s="320"/>
      <c r="AO129" s="320"/>
      <c r="AP129" s="320"/>
      <c r="AQ129" s="320"/>
      <c r="AR129" s="320"/>
      <c r="AS129" s="320"/>
      <c r="AT129" s="320"/>
      <c r="AX129" s="530"/>
    </row>
    <row r="130" spans="2:50">
      <c r="B130" s="1618" t="s">
        <v>3962</v>
      </c>
      <c r="C130" s="1202">
        <f t="shared" si="3"/>
        <v>9536.3799999999992</v>
      </c>
      <c r="D130" s="383"/>
      <c r="E130" s="383"/>
      <c r="F130" s="204"/>
      <c r="G130" s="204"/>
      <c r="H130" s="204"/>
      <c r="I130" s="204"/>
      <c r="J130" s="204"/>
      <c r="K130" s="204"/>
      <c r="L130" s="204"/>
      <c r="M130" s="204"/>
      <c r="N130" s="204"/>
      <c r="O130" s="204"/>
      <c r="P130" s="204">
        <v>989.42</v>
      </c>
      <c r="Q130" s="204">
        <v>989.42</v>
      </c>
      <c r="R130" s="204">
        <v>989.42</v>
      </c>
      <c r="S130" s="204">
        <v>989.42</v>
      </c>
      <c r="T130" s="204">
        <v>989.42</v>
      </c>
      <c r="U130" s="204">
        <v>989.42</v>
      </c>
      <c r="V130" s="204">
        <v>989.42</v>
      </c>
      <c r="W130" s="204">
        <v>989.42</v>
      </c>
      <c r="X130" s="204">
        <v>989.42</v>
      </c>
      <c r="Y130" s="204">
        <v>631.6</v>
      </c>
      <c r="Z130" s="204"/>
      <c r="AA130" s="204"/>
      <c r="AB130" s="204"/>
      <c r="AC130" s="204"/>
      <c r="AD130" s="204"/>
      <c r="AE130" s="204"/>
      <c r="AF130" s="204"/>
      <c r="AG130" s="204"/>
      <c r="AH130" s="204"/>
      <c r="AI130" s="204"/>
      <c r="AJ130" s="204"/>
      <c r="AK130" s="204"/>
      <c r="AL130" s="204"/>
      <c r="AM130" s="144"/>
      <c r="AN130" s="320"/>
      <c r="AO130" s="320"/>
      <c r="AP130" s="320"/>
      <c r="AQ130" s="320"/>
      <c r="AR130" s="320"/>
      <c r="AS130" s="320"/>
      <c r="AT130" s="320"/>
      <c r="AX130" s="530"/>
    </row>
    <row r="131" spans="2:50">
      <c r="B131" s="1618" t="s">
        <v>4202</v>
      </c>
      <c r="C131" s="1202">
        <f t="shared" si="3"/>
        <v>5724.25</v>
      </c>
      <c r="D131" s="383"/>
      <c r="E131" s="383"/>
      <c r="F131" s="204"/>
      <c r="G131" s="204"/>
      <c r="H131" s="204"/>
      <c r="I131" s="204"/>
      <c r="J131" s="204"/>
      <c r="K131" s="204"/>
      <c r="L131" s="204"/>
      <c r="M131" s="204"/>
      <c r="N131" s="204"/>
      <c r="O131" s="204"/>
      <c r="P131" s="204">
        <v>817.75</v>
      </c>
      <c r="Q131" s="204">
        <v>817.75</v>
      </c>
      <c r="R131" s="204">
        <v>817.75</v>
      </c>
      <c r="S131" s="204">
        <v>817.75</v>
      </c>
      <c r="T131" s="204">
        <v>817.75</v>
      </c>
      <c r="U131" s="204">
        <v>817.75</v>
      </c>
      <c r="V131" s="204">
        <v>817.75</v>
      </c>
      <c r="W131" s="204"/>
      <c r="X131" s="204"/>
      <c r="Y131" s="204"/>
      <c r="Z131" s="204"/>
      <c r="AA131" s="204"/>
      <c r="AB131" s="204"/>
      <c r="AC131" s="204"/>
      <c r="AD131" s="204"/>
      <c r="AE131" s="204"/>
      <c r="AF131" s="204"/>
      <c r="AG131" s="204"/>
      <c r="AH131" s="204"/>
      <c r="AI131" s="204"/>
      <c r="AJ131" s="204"/>
      <c r="AK131" s="204"/>
      <c r="AL131" s="204"/>
      <c r="AM131" s="144"/>
      <c r="AN131" s="320"/>
      <c r="AO131" s="320"/>
      <c r="AP131" s="320"/>
      <c r="AQ131" s="320"/>
      <c r="AR131" s="320"/>
      <c r="AS131" s="320"/>
      <c r="AT131" s="320"/>
      <c r="AX131" s="530"/>
    </row>
    <row r="132" spans="2:50">
      <c r="B132" s="1617" t="s">
        <v>4356</v>
      </c>
      <c r="C132" s="1202">
        <f>SUM(D132:AX132)</f>
        <v>51509.79</v>
      </c>
      <c r="D132" s="383"/>
      <c r="E132" s="383"/>
      <c r="F132" s="204"/>
      <c r="G132" s="204"/>
      <c r="H132" s="204"/>
      <c r="I132" s="204"/>
      <c r="J132" s="204"/>
      <c r="K132" s="204"/>
      <c r="L132" s="204"/>
      <c r="M132" s="204"/>
      <c r="N132" s="204"/>
      <c r="O132" s="204"/>
      <c r="P132" s="204">
        <v>4682.71</v>
      </c>
      <c r="Q132" s="204">
        <v>4682.71</v>
      </c>
      <c r="R132" s="204">
        <v>4682.71</v>
      </c>
      <c r="S132" s="204">
        <v>4682.71</v>
      </c>
      <c r="T132" s="204">
        <v>4682.71</v>
      </c>
      <c r="U132" s="204">
        <v>4682.71</v>
      </c>
      <c r="V132" s="204">
        <v>4682.71</v>
      </c>
      <c r="W132" s="204">
        <v>4682.71</v>
      </c>
      <c r="X132" s="204">
        <v>4682.71</v>
      </c>
      <c r="Y132" s="204">
        <v>4682.71</v>
      </c>
      <c r="Z132" s="204">
        <v>4682.6899999999996</v>
      </c>
      <c r="AA132" s="204"/>
      <c r="AB132" s="726"/>
      <c r="AC132" s="204"/>
      <c r="AD132" s="204"/>
      <c r="AE132" s="204"/>
      <c r="AF132" s="204"/>
      <c r="AG132" s="204"/>
      <c r="AH132" s="204"/>
      <c r="AI132" s="204"/>
      <c r="AJ132" s="204"/>
      <c r="AK132" s="204"/>
      <c r="AL132" s="204"/>
      <c r="AM132" s="144"/>
      <c r="AN132" s="320"/>
      <c r="AO132" s="320"/>
      <c r="AP132" s="320"/>
      <c r="AQ132" s="320"/>
      <c r="AR132" s="320"/>
      <c r="AS132" s="320"/>
      <c r="AT132" s="320"/>
      <c r="AX132" s="530"/>
    </row>
    <row r="133" spans="2:50">
      <c r="B133" s="1618" t="s">
        <v>4790</v>
      </c>
      <c r="C133" s="1202">
        <f>SUM(D133:AX133)</f>
        <v>1778.63</v>
      </c>
      <c r="D133" s="383"/>
      <c r="E133" s="383"/>
      <c r="F133" s="204"/>
      <c r="G133" s="204"/>
      <c r="H133" s="204"/>
      <c r="I133" s="204"/>
      <c r="J133" s="204"/>
      <c r="K133" s="204"/>
      <c r="L133" s="204"/>
      <c r="M133" s="204"/>
      <c r="N133" s="204"/>
      <c r="O133" s="204"/>
      <c r="P133" s="204"/>
      <c r="Q133" s="204"/>
      <c r="R133" s="204">
        <v>177.86</v>
      </c>
      <c r="S133" s="204">
        <v>177.86</v>
      </c>
      <c r="T133" s="204">
        <v>177.86</v>
      </c>
      <c r="U133" s="204">
        <v>177.86</v>
      </c>
      <c r="V133" s="204">
        <v>177.86</v>
      </c>
      <c r="W133" s="204">
        <v>177.86</v>
      </c>
      <c r="X133" s="204">
        <v>177.86</v>
      </c>
      <c r="Y133" s="204">
        <v>177.86</v>
      </c>
      <c r="Z133" s="204">
        <v>177.86</v>
      </c>
      <c r="AA133" s="204">
        <v>177.89</v>
      </c>
      <c r="AB133" s="204"/>
      <c r="AC133" s="204"/>
      <c r="AD133" s="204"/>
      <c r="AE133" s="204"/>
      <c r="AF133" s="204"/>
      <c r="AG133" s="204"/>
      <c r="AH133" s="204"/>
      <c r="AI133" s="204"/>
      <c r="AJ133" s="204"/>
      <c r="AK133" s="204"/>
      <c r="AL133" s="204"/>
      <c r="AM133" s="144"/>
      <c r="AN133" s="320"/>
      <c r="AO133" s="320"/>
      <c r="AP133" s="320"/>
      <c r="AQ133" s="320"/>
      <c r="AR133" s="320"/>
      <c r="AS133" s="320"/>
      <c r="AT133" s="320"/>
      <c r="AX133" s="530"/>
    </row>
    <row r="134" spans="2:50">
      <c r="B134" s="1617"/>
      <c r="C134" s="3119"/>
      <c r="D134" s="383"/>
      <c r="E134" s="383"/>
      <c r="F134" s="204"/>
      <c r="G134" s="204"/>
      <c r="H134" s="204"/>
      <c r="I134" s="204"/>
      <c r="J134" s="204"/>
      <c r="K134" s="204"/>
      <c r="L134" s="204"/>
      <c r="M134" s="204"/>
      <c r="N134" s="204"/>
      <c r="O134" s="204"/>
      <c r="P134" s="204"/>
      <c r="Q134" s="204"/>
      <c r="R134" s="204"/>
      <c r="S134" s="204"/>
      <c r="T134" s="204"/>
      <c r="U134" s="204"/>
      <c r="V134" s="204"/>
      <c r="W134" s="144"/>
      <c r="X134" s="144"/>
      <c r="Y134" s="144"/>
      <c r="Z134" s="144"/>
      <c r="AA134" s="144"/>
      <c r="AB134" s="144"/>
      <c r="AC134" s="144"/>
      <c r="AD134" s="144"/>
      <c r="AE134" s="144"/>
      <c r="AF134" s="144"/>
      <c r="AG134" s="144"/>
      <c r="AH134" s="144"/>
      <c r="AI134" s="144"/>
      <c r="AJ134" s="144"/>
      <c r="AK134" s="144"/>
      <c r="AL134" s="144"/>
      <c r="AM134" s="144"/>
      <c r="AN134" s="320"/>
      <c r="AO134" s="320"/>
      <c r="AP134" s="320"/>
      <c r="AQ134" s="320"/>
      <c r="AR134" s="320"/>
      <c r="AS134" s="320"/>
      <c r="AT134" s="320"/>
      <c r="AX134" s="530"/>
    </row>
    <row r="135" spans="2:50" ht="13.5" thickBot="1">
      <c r="B135" s="719"/>
      <c r="C135" s="3120">
        <f>SUM(C38:C134)</f>
        <v>1772203.0200000009</v>
      </c>
      <c r="D135" s="320"/>
      <c r="E135" s="320"/>
      <c r="F135" s="320"/>
      <c r="G135" s="383"/>
      <c r="H135" s="320"/>
      <c r="I135" s="320"/>
      <c r="J135" s="320"/>
      <c r="K135" s="320"/>
      <c r="L135" s="320"/>
      <c r="M135" s="320"/>
      <c r="N135" s="320"/>
      <c r="O135" s="320"/>
      <c r="P135" s="320"/>
      <c r="Q135" s="320"/>
      <c r="R135" s="320"/>
      <c r="S135" s="320"/>
      <c r="T135" s="320"/>
      <c r="U135" s="320"/>
      <c r="V135" s="320"/>
      <c r="W135" s="320"/>
      <c r="X135" s="320"/>
      <c r="Y135" s="320"/>
      <c r="Z135" s="320"/>
      <c r="AA135" s="320"/>
      <c r="AB135" s="320"/>
      <c r="AC135" s="320"/>
      <c r="AD135" s="320"/>
      <c r="AE135" s="320"/>
      <c r="AF135" s="320"/>
      <c r="AG135" s="320"/>
      <c r="AH135" s="320"/>
      <c r="AI135" s="320"/>
      <c r="AJ135" s="320"/>
      <c r="AK135" s="320"/>
      <c r="AL135" s="320"/>
      <c r="AM135" s="320"/>
      <c r="AN135" s="320"/>
      <c r="AO135" s="320"/>
      <c r="AP135" s="320"/>
      <c r="AQ135" s="320"/>
      <c r="AR135" s="320"/>
      <c r="AS135" s="320"/>
      <c r="AT135" s="320"/>
      <c r="AX135" s="530"/>
    </row>
    <row r="136" spans="2:50" ht="13.5" thickBot="1">
      <c r="B136" s="719"/>
      <c r="C136" s="956">
        <f>'מאזן בוחן'!$J$135+'מאזן בוחן'!$J$149-C135</f>
        <v>0</v>
      </c>
      <c r="D136" s="320"/>
      <c r="E136" s="320"/>
      <c r="F136" s="320"/>
      <c r="G136" s="383"/>
      <c r="H136" s="320"/>
      <c r="I136" s="320"/>
      <c r="J136" s="320"/>
      <c r="K136" s="320"/>
      <c r="L136" s="320"/>
      <c r="M136" s="320"/>
      <c r="N136" s="320"/>
      <c r="O136" s="320"/>
      <c r="P136" s="320"/>
      <c r="Q136" s="320"/>
      <c r="R136" s="320"/>
      <c r="S136" s="320"/>
      <c r="T136" s="320"/>
      <c r="U136" s="320"/>
      <c r="V136" s="320"/>
      <c r="W136" s="320"/>
      <c r="X136" s="320"/>
      <c r="Y136" s="320"/>
      <c r="Z136" s="320"/>
      <c r="AA136" s="320"/>
      <c r="AB136" s="320"/>
      <c r="AC136" s="320"/>
      <c r="AD136" s="320"/>
      <c r="AE136" s="320"/>
      <c r="AF136" s="320"/>
      <c r="AG136" s="320"/>
      <c r="AH136" s="320"/>
      <c r="AI136" s="320"/>
      <c r="AJ136" s="320"/>
      <c r="AK136" s="320"/>
      <c r="AL136" s="320"/>
      <c r="AM136" s="320"/>
      <c r="AN136" s="320"/>
      <c r="AO136" s="320"/>
      <c r="AP136" s="320"/>
      <c r="AQ136" s="320"/>
      <c r="AR136" s="320"/>
      <c r="AS136" s="320"/>
      <c r="AT136" s="320"/>
      <c r="AX136" s="530"/>
    </row>
    <row r="137" spans="2:50" ht="13.5" thickBot="1">
      <c r="B137" s="1632" t="s">
        <v>1587</v>
      </c>
      <c r="C137" s="3121">
        <f>SUM(P38:AA134)</f>
        <v>1746205.1000000064</v>
      </c>
      <c r="D137" s="320"/>
      <c r="E137" s="144"/>
      <c r="F137" s="320"/>
      <c r="G137" s="320"/>
      <c r="H137" s="320"/>
      <c r="I137" s="320"/>
      <c r="J137" s="320"/>
      <c r="K137" s="320"/>
      <c r="L137" s="320"/>
      <c r="M137" s="320"/>
      <c r="N137" s="320"/>
      <c r="O137" s="320"/>
      <c r="P137" s="320"/>
      <c r="Q137" s="320"/>
      <c r="R137" s="320"/>
      <c r="S137" s="320"/>
      <c r="T137" s="320"/>
      <c r="U137" s="320"/>
      <c r="V137" s="320"/>
      <c r="W137" s="320"/>
      <c r="X137" s="320"/>
      <c r="Y137" s="320"/>
      <c r="Z137" s="320"/>
      <c r="AA137" s="320"/>
      <c r="AB137" s="320"/>
      <c r="AC137" s="320"/>
      <c r="AD137" s="320"/>
      <c r="AE137" s="320"/>
      <c r="AF137" s="320"/>
      <c r="AG137" s="320"/>
      <c r="AH137" s="320"/>
      <c r="AI137" s="320"/>
      <c r="AJ137" s="320"/>
      <c r="AK137" s="320"/>
      <c r="AL137" s="320"/>
      <c r="AM137" s="320"/>
      <c r="AN137" s="320"/>
      <c r="AO137" s="320"/>
      <c r="AP137" s="320"/>
      <c r="AQ137" s="320"/>
      <c r="AR137" s="320"/>
      <c r="AS137" s="320"/>
      <c r="AT137" s="320"/>
      <c r="AX137" s="530"/>
    </row>
    <row r="138" spans="2:50" ht="13.5" thickBot="1">
      <c r="B138" s="1633" t="s">
        <v>1586</v>
      </c>
      <c r="C138" s="3121">
        <f>SUM(AB38:AX134)</f>
        <v>25997.920000000002</v>
      </c>
      <c r="D138" s="956">
        <f>C138+C137-C135</f>
        <v>5.3551048040390015E-9</v>
      </c>
      <c r="E138" s="718"/>
      <c r="F138" s="718"/>
      <c r="G138" s="718"/>
      <c r="H138" s="718"/>
      <c r="I138" s="718"/>
      <c r="J138" s="718"/>
      <c r="K138" s="718"/>
      <c r="L138" s="718"/>
      <c r="M138" s="718"/>
      <c r="N138" s="718"/>
      <c r="O138" s="718"/>
      <c r="P138" s="718"/>
      <c r="Q138" s="718"/>
      <c r="R138" s="718"/>
      <c r="S138" s="718"/>
      <c r="T138" s="718"/>
      <c r="U138" s="718"/>
      <c r="V138" s="718"/>
      <c r="W138" s="718"/>
      <c r="X138" s="718"/>
      <c r="Y138" s="718"/>
      <c r="Z138" s="718"/>
      <c r="AA138" s="718"/>
      <c r="AB138" s="718"/>
      <c r="AC138" s="718"/>
      <c r="AD138" s="718"/>
      <c r="AE138" s="718"/>
      <c r="AF138" s="718"/>
      <c r="AG138" s="718"/>
      <c r="AH138" s="718"/>
      <c r="AI138" s="718"/>
      <c r="AJ138" s="718"/>
      <c r="AK138" s="718"/>
      <c r="AL138" s="718"/>
      <c r="AM138" s="718"/>
      <c r="AN138" s="718"/>
      <c r="AO138" s="718"/>
      <c r="AP138" s="718"/>
      <c r="AQ138" s="718"/>
      <c r="AR138" s="718"/>
      <c r="AS138" s="718"/>
      <c r="AT138" s="718"/>
      <c r="AU138" s="718"/>
      <c r="AV138" s="718"/>
      <c r="AW138" s="718"/>
      <c r="AX138" s="531"/>
    </row>
    <row r="139" spans="2:50" ht="13.5" thickBot="1">
      <c r="B139" s="320"/>
      <c r="C139" s="2631"/>
      <c r="D139" s="320"/>
    </row>
    <row r="140" spans="2:50" ht="13.5" thickBot="1">
      <c r="B140" s="4428" t="s">
        <v>2512</v>
      </c>
      <c r="C140" s="4429"/>
      <c r="D140" s="4429"/>
      <c r="E140" s="4429"/>
      <c r="F140" s="4429"/>
      <c r="G140" s="4429"/>
      <c r="H140" s="4429"/>
      <c r="I140" s="4429"/>
      <c r="J140" s="4429"/>
      <c r="K140" s="4429"/>
      <c r="L140" s="4429"/>
      <c r="M140" s="4429"/>
      <c r="N140" s="4429"/>
      <c r="O140" s="4429"/>
      <c r="P140" s="4429"/>
      <c r="Q140" s="4429"/>
      <c r="R140" s="4429"/>
      <c r="S140" s="4429"/>
      <c r="T140" s="4429"/>
      <c r="U140" s="4429"/>
      <c r="V140" s="4429"/>
      <c r="W140" s="4429"/>
      <c r="X140" s="4429"/>
      <c r="Y140" s="4430"/>
    </row>
    <row r="141" spans="2:50" ht="13.5" thickBot="1">
      <c r="B141" s="650"/>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530"/>
    </row>
    <row r="142" spans="2:50" ht="13.5" thickBot="1">
      <c r="B142" s="977"/>
      <c r="D142" s="4406" t="s">
        <v>2507</v>
      </c>
      <c r="E142" s="4407"/>
      <c r="F142" s="4407"/>
      <c r="G142" s="4407"/>
      <c r="H142" s="4407"/>
      <c r="I142" s="4407"/>
      <c r="J142" s="4407"/>
      <c r="K142" s="4407"/>
      <c r="L142" s="4407"/>
      <c r="M142" s="4407"/>
      <c r="N142" s="4407"/>
      <c r="O142" s="4407"/>
      <c r="P142" s="4407"/>
      <c r="Q142" s="4407"/>
      <c r="R142" s="4407"/>
      <c r="S142" s="4407"/>
      <c r="T142" s="4407"/>
      <c r="U142" s="4407"/>
      <c r="V142" s="4407"/>
      <c r="W142" s="4407"/>
      <c r="X142" s="4407"/>
      <c r="Y142" s="4408"/>
    </row>
    <row r="143" spans="2:50">
      <c r="B143" s="650"/>
      <c r="C143" s="320"/>
      <c r="D143" s="962">
        <v>44197</v>
      </c>
      <c r="E143" s="962">
        <v>44228</v>
      </c>
      <c r="F143" s="962">
        <v>44256</v>
      </c>
      <c r="G143" s="962">
        <v>44287</v>
      </c>
      <c r="H143" s="962">
        <v>44317</v>
      </c>
      <c r="I143" s="962">
        <v>44348</v>
      </c>
      <c r="J143" s="962">
        <v>44378</v>
      </c>
      <c r="K143" s="962">
        <v>44409</v>
      </c>
      <c r="L143" s="962">
        <v>44440</v>
      </c>
      <c r="M143" s="962">
        <v>44470</v>
      </c>
      <c r="N143" s="962">
        <v>44501</v>
      </c>
      <c r="O143" s="962">
        <v>44531</v>
      </c>
      <c r="P143" s="962">
        <v>44562</v>
      </c>
      <c r="Q143" s="962">
        <v>44593</v>
      </c>
      <c r="R143" s="962">
        <v>44621</v>
      </c>
      <c r="S143" s="962">
        <v>44652</v>
      </c>
      <c r="T143" s="962">
        <v>44682</v>
      </c>
      <c r="U143" s="962">
        <v>44713</v>
      </c>
      <c r="V143" s="962">
        <v>44743</v>
      </c>
      <c r="W143" s="962">
        <v>44774</v>
      </c>
      <c r="X143" s="962">
        <v>44805</v>
      </c>
      <c r="Y143" s="962">
        <v>44835</v>
      </c>
    </row>
    <row r="144" spans="2:50">
      <c r="B144" s="650" t="s">
        <v>3771</v>
      </c>
      <c r="C144" s="383">
        <f t="shared" ref="C144:C151" si="4">SUM(D144:BH144)</f>
        <v>900895</v>
      </c>
      <c r="D144" s="320"/>
      <c r="E144" s="320"/>
      <c r="F144" s="320"/>
      <c r="G144" s="320"/>
      <c r="H144" s="320"/>
      <c r="I144" s="320"/>
      <c r="J144" s="383"/>
      <c r="K144" s="383"/>
      <c r="L144" s="383"/>
      <c r="M144" s="383"/>
      <c r="N144" s="320"/>
      <c r="O144" s="320"/>
      <c r="P144" s="320">
        <v>153556</v>
      </c>
      <c r="Q144" s="320">
        <f>138695+4338</f>
        <v>143033</v>
      </c>
      <c r="R144" s="320">
        <v>153556</v>
      </c>
      <c r="S144" s="320">
        <v>148602</v>
      </c>
      <c r="T144" s="320">
        <v>153556</v>
      </c>
      <c r="U144" s="320">
        <v>148592</v>
      </c>
      <c r="V144" s="320"/>
      <c r="W144" s="320"/>
      <c r="X144" s="320"/>
      <c r="Y144" s="530"/>
    </row>
    <row r="145" spans="2:44">
      <c r="B145" s="650" t="s">
        <v>4598</v>
      </c>
      <c r="C145" s="383">
        <f t="shared" si="4"/>
        <v>6284</v>
      </c>
      <c r="D145" s="320"/>
      <c r="E145" s="320"/>
      <c r="F145" s="320"/>
      <c r="G145" s="320"/>
      <c r="H145" s="320"/>
      <c r="I145" s="320"/>
      <c r="J145" s="383"/>
      <c r="K145" s="383"/>
      <c r="L145" s="383"/>
      <c r="M145" s="383"/>
      <c r="N145" s="320"/>
      <c r="O145" s="320"/>
      <c r="P145" s="320">
        <v>713</v>
      </c>
      <c r="Q145" s="320">
        <v>644</v>
      </c>
      <c r="R145" s="320">
        <v>713</v>
      </c>
      <c r="S145" s="320">
        <v>690</v>
      </c>
      <c r="T145" s="320">
        <v>713</v>
      </c>
      <c r="U145" s="320">
        <v>690</v>
      </c>
      <c r="V145" s="320">
        <v>713</v>
      </c>
      <c r="W145" s="320">
        <v>713</v>
      </c>
      <c r="X145" s="320">
        <v>695</v>
      </c>
      <c r="Y145" s="530"/>
    </row>
    <row r="146" spans="2:44">
      <c r="B146" s="650" t="s">
        <v>3774</v>
      </c>
      <c r="C146" s="383">
        <f t="shared" si="4"/>
        <v>268757</v>
      </c>
      <c r="D146" s="320"/>
      <c r="E146" s="320"/>
      <c r="F146" s="320"/>
      <c r="G146" s="320"/>
      <c r="H146" s="320"/>
      <c r="J146" s="383"/>
      <c r="K146" s="383"/>
      <c r="L146" s="383"/>
      <c r="M146" s="383"/>
      <c r="N146" s="320"/>
      <c r="O146" s="320"/>
      <c r="P146" s="320">
        <v>29862</v>
      </c>
      <c r="Q146" s="320">
        <v>26973</v>
      </c>
      <c r="R146" s="320">
        <v>29862</v>
      </c>
      <c r="S146" s="320">
        <v>28899</v>
      </c>
      <c r="T146" s="320">
        <v>29862</v>
      </c>
      <c r="U146" s="320">
        <v>28899</v>
      </c>
      <c r="V146" s="320">
        <v>29862</v>
      </c>
      <c r="W146" s="320">
        <v>29862</v>
      </c>
      <c r="X146" s="320">
        <v>28899</v>
      </c>
      <c r="Y146" s="530">
        <v>5777</v>
      </c>
    </row>
    <row r="147" spans="2:44">
      <c r="B147" s="650" t="s">
        <v>4599</v>
      </c>
      <c r="C147" s="383">
        <f t="shared" si="4"/>
        <v>50000</v>
      </c>
      <c r="D147" s="320"/>
      <c r="E147" s="320"/>
      <c r="F147" s="320"/>
      <c r="G147" s="320"/>
      <c r="H147" s="320"/>
      <c r="I147" s="320"/>
      <c r="L147" s="383"/>
      <c r="N147" s="383"/>
      <c r="O147" s="320"/>
      <c r="P147" s="320">
        <v>50000</v>
      </c>
      <c r="Q147" s="320"/>
      <c r="R147" s="320"/>
      <c r="S147" s="320"/>
      <c r="T147" s="320"/>
      <c r="U147" s="320"/>
      <c r="V147" s="320"/>
      <c r="W147" s="320"/>
      <c r="X147" s="320"/>
      <c r="Y147" s="530"/>
    </row>
    <row r="148" spans="2:44">
      <c r="B148" s="650" t="s">
        <v>4600</v>
      </c>
      <c r="C148" s="383">
        <f t="shared" si="4"/>
        <v>-2316</v>
      </c>
      <c r="D148" s="320"/>
      <c r="E148" s="320"/>
      <c r="F148" s="320"/>
      <c r="G148" s="320"/>
      <c r="H148" s="320"/>
      <c r="I148" s="320"/>
      <c r="J148" s="383"/>
      <c r="K148" s="383"/>
      <c r="L148" s="383"/>
      <c r="M148" s="383"/>
      <c r="N148" s="518"/>
      <c r="O148" s="320"/>
      <c r="P148" s="320">
        <v>-2316</v>
      </c>
      <c r="Q148" s="320"/>
      <c r="R148" s="320"/>
      <c r="S148" s="320"/>
      <c r="T148" s="320"/>
      <c r="U148" s="320"/>
      <c r="V148" s="320"/>
      <c r="W148" s="320"/>
      <c r="X148" s="320"/>
      <c r="Y148" s="530"/>
    </row>
    <row r="149" spans="2:44">
      <c r="B149" s="650" t="s">
        <v>3773</v>
      </c>
      <c r="C149" s="383">
        <f t="shared" si="4"/>
        <v>0</v>
      </c>
      <c r="D149" s="320"/>
      <c r="E149" s="320"/>
      <c r="F149" s="320"/>
      <c r="G149" s="320"/>
      <c r="H149" s="320"/>
      <c r="I149" s="320"/>
      <c r="L149" s="383"/>
      <c r="N149" s="383"/>
      <c r="O149" s="320"/>
      <c r="P149" s="320"/>
      <c r="Q149" s="320"/>
      <c r="R149" s="320"/>
      <c r="S149" s="320"/>
      <c r="T149" s="320"/>
      <c r="U149" s="320"/>
      <c r="V149" s="320"/>
      <c r="W149" s="320"/>
      <c r="X149" s="320"/>
      <c r="Y149" s="530"/>
    </row>
    <row r="150" spans="2:44">
      <c r="B150" s="650" t="s">
        <v>2592</v>
      </c>
      <c r="C150" s="383">
        <f t="shared" si="4"/>
        <v>0</v>
      </c>
      <c r="D150" s="320"/>
      <c r="E150" s="320"/>
      <c r="F150" s="320"/>
      <c r="G150" s="320"/>
      <c r="H150" s="320"/>
      <c r="I150" s="320"/>
      <c r="K150" s="320"/>
      <c r="L150" s="320"/>
      <c r="M150" s="320"/>
      <c r="N150" s="320"/>
      <c r="O150" s="320"/>
      <c r="P150" s="320"/>
      <c r="Q150" s="320"/>
      <c r="R150" s="320"/>
      <c r="S150" s="320"/>
      <c r="T150" s="320"/>
      <c r="U150" s="320"/>
      <c r="V150" s="383"/>
      <c r="W150" s="320"/>
      <c r="X150" s="320"/>
      <c r="Y150" s="530"/>
    </row>
    <row r="151" spans="2:44">
      <c r="B151" s="650" t="s">
        <v>2525</v>
      </c>
      <c r="C151" s="2543">
        <f t="shared" si="4"/>
        <v>0</v>
      </c>
      <c r="D151" s="320"/>
      <c r="E151" s="320"/>
      <c r="F151" s="320"/>
      <c r="G151" s="320"/>
      <c r="H151" s="320"/>
      <c r="I151" s="320"/>
      <c r="J151" s="320"/>
      <c r="K151" s="320"/>
      <c r="L151" s="320"/>
      <c r="M151" s="320"/>
      <c r="N151" s="518"/>
      <c r="O151" s="320"/>
      <c r="P151" s="320"/>
      <c r="Q151" s="320"/>
      <c r="R151" s="320"/>
      <c r="S151" s="320"/>
      <c r="T151" s="320"/>
      <c r="U151" s="320"/>
      <c r="V151" s="320"/>
      <c r="W151" s="320"/>
      <c r="X151" s="320"/>
      <c r="Y151" s="530"/>
    </row>
    <row r="152" spans="2:44" ht="13.5" thickBot="1">
      <c r="B152" s="650"/>
      <c r="C152" s="2009">
        <f>SUM(C144:C151)</f>
        <v>1223620</v>
      </c>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530"/>
    </row>
    <row r="153" spans="2:44" ht="13.5" thickBot="1">
      <c r="B153" s="651"/>
      <c r="C153" s="956">
        <f>'מאזן בוחן הודו'!J55-C152</f>
        <v>0</v>
      </c>
      <c r="D153" s="718"/>
      <c r="E153" s="718"/>
      <c r="F153" s="718"/>
      <c r="G153" s="718"/>
      <c r="H153" s="718"/>
      <c r="I153" s="718"/>
      <c r="J153" s="718"/>
      <c r="K153" s="718"/>
      <c r="L153" s="718"/>
      <c r="M153" s="718"/>
      <c r="N153" s="718"/>
      <c r="O153" s="718"/>
      <c r="P153" s="718"/>
      <c r="Q153" s="718"/>
      <c r="R153" s="718"/>
      <c r="S153" s="718"/>
      <c r="T153" s="718"/>
      <c r="U153" s="718"/>
      <c r="V153" s="718"/>
      <c r="W153" s="718"/>
      <c r="X153" s="718"/>
      <c r="Y153" s="531"/>
    </row>
    <row r="154" spans="2:44">
      <c r="B154" s="1622"/>
      <c r="C154" s="2010"/>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row>
    <row r="155" spans="2:44">
      <c r="C155" s="380"/>
    </row>
    <row r="156" spans="2:44" ht="13.5" thickBot="1"/>
    <row r="157" spans="2:44" ht="13.5" thickBot="1">
      <c r="B157" s="4428" t="s">
        <v>1226</v>
      </c>
      <c r="C157" s="4429"/>
      <c r="D157" s="4429"/>
      <c r="E157" s="4429"/>
      <c r="F157" s="4429"/>
      <c r="G157" s="4429"/>
      <c r="H157" s="4429"/>
      <c r="I157" s="4429"/>
      <c r="J157" s="4429"/>
      <c r="K157" s="4429"/>
      <c r="L157" s="4429"/>
      <c r="M157" s="4429"/>
      <c r="N157" s="4429"/>
      <c r="O157" s="4429"/>
      <c r="P157" s="4429"/>
      <c r="Q157" s="4429"/>
      <c r="R157" s="4429"/>
      <c r="S157" s="4429"/>
      <c r="T157" s="4429"/>
      <c r="U157" s="4429"/>
      <c r="V157" s="4429"/>
      <c r="W157" s="4429"/>
      <c r="X157" s="4429"/>
      <c r="Y157" s="4430"/>
    </row>
    <row r="158" spans="2:44" ht="13.5" thickBot="1">
      <c r="B158" s="650"/>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530"/>
    </row>
    <row r="159" spans="2:44" ht="13.5" thickBot="1">
      <c r="B159" s="977"/>
      <c r="D159" s="4406" t="s">
        <v>794</v>
      </c>
      <c r="E159" s="4407"/>
      <c r="F159" s="4407"/>
      <c r="G159" s="4407"/>
      <c r="H159" s="4407"/>
      <c r="I159" s="4407"/>
      <c r="J159" s="4407"/>
      <c r="K159" s="4407"/>
      <c r="L159" s="4407"/>
      <c r="M159" s="4407"/>
      <c r="N159" s="4407"/>
      <c r="O159" s="4407"/>
      <c r="P159" s="4407"/>
      <c r="Q159" s="4407"/>
      <c r="R159" s="4407"/>
      <c r="S159" s="4407"/>
      <c r="T159" s="4407"/>
      <c r="U159" s="4407"/>
      <c r="V159" s="4407"/>
      <c r="W159" s="4407"/>
      <c r="X159" s="4407"/>
      <c r="Y159" s="4408"/>
    </row>
    <row r="160" spans="2:44">
      <c r="B160" s="650"/>
      <c r="C160" s="320"/>
      <c r="D160" s="962">
        <v>44197</v>
      </c>
      <c r="E160" s="962">
        <v>44228</v>
      </c>
      <c r="F160" s="962">
        <v>44256</v>
      </c>
      <c r="G160" s="962">
        <v>44287</v>
      </c>
      <c r="H160" s="962">
        <v>44317</v>
      </c>
      <c r="I160" s="962">
        <v>44348</v>
      </c>
      <c r="J160" s="962">
        <v>44378</v>
      </c>
      <c r="K160" s="962">
        <v>44409</v>
      </c>
      <c r="L160" s="962">
        <v>44440</v>
      </c>
      <c r="M160" s="962">
        <v>44470</v>
      </c>
      <c r="N160" s="962">
        <v>44501</v>
      </c>
      <c r="O160" s="962">
        <v>44531</v>
      </c>
      <c r="P160" s="962">
        <v>44562</v>
      </c>
      <c r="Q160" s="962">
        <v>44593</v>
      </c>
      <c r="R160" s="962">
        <v>44621</v>
      </c>
      <c r="S160" s="962">
        <v>44652</v>
      </c>
      <c r="T160" s="962">
        <v>44682</v>
      </c>
      <c r="U160" s="962">
        <v>44713</v>
      </c>
      <c r="V160" s="962">
        <v>44743</v>
      </c>
      <c r="W160" s="962"/>
      <c r="X160" s="962"/>
      <c r="Y160" s="975"/>
    </row>
    <row r="161" spans="2:25">
      <c r="B161" s="650" t="s">
        <v>3823</v>
      </c>
      <c r="C161" s="383">
        <f>SUM(L161:BF161)</f>
        <v>0</v>
      </c>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530"/>
    </row>
    <row r="162" spans="2:25" ht="13.5" thickBot="1">
      <c r="B162" s="650"/>
      <c r="C162" s="2009">
        <f>SUM(C161:C161)</f>
        <v>0</v>
      </c>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530"/>
    </row>
    <row r="163" spans="2:25" ht="13.5" thickBot="1">
      <c r="B163" s="651"/>
      <c r="C163" s="956">
        <f>'מאזן בוחן Australia'!J37-C162</f>
        <v>0</v>
      </c>
      <c r="D163" s="718"/>
      <c r="E163" s="718"/>
      <c r="F163" s="718"/>
      <c r="G163" s="718"/>
      <c r="H163" s="718"/>
      <c r="I163" s="718"/>
      <c r="J163" s="718"/>
      <c r="K163" s="718"/>
      <c r="L163" s="718"/>
      <c r="M163" s="718"/>
      <c r="N163" s="718"/>
      <c r="O163" s="718"/>
      <c r="P163" s="718"/>
      <c r="Q163" s="718"/>
      <c r="R163" s="718"/>
      <c r="S163" s="718"/>
      <c r="T163" s="718"/>
      <c r="U163" s="718"/>
      <c r="V163" s="718"/>
      <c r="W163" s="718"/>
      <c r="X163" s="718"/>
      <c r="Y163" s="531"/>
    </row>
    <row r="165" spans="2:25" ht="13.5" thickBot="1"/>
    <row r="166" spans="2:25" ht="13.5" thickBot="1">
      <c r="B166" s="4428" t="s">
        <v>2260</v>
      </c>
      <c r="C166" s="4429"/>
      <c r="D166" s="4429"/>
      <c r="E166" s="4429"/>
      <c r="F166" s="4429"/>
      <c r="G166" s="4429"/>
      <c r="H166" s="4429"/>
      <c r="I166" s="4429"/>
      <c r="J166" s="4429"/>
      <c r="K166" s="4429"/>
      <c r="L166" s="4429"/>
      <c r="M166" s="4429"/>
      <c r="N166" s="4429"/>
      <c r="O166" s="4429"/>
      <c r="P166" s="4429"/>
      <c r="Q166" s="4429"/>
      <c r="R166" s="4429"/>
      <c r="S166" s="4429"/>
      <c r="T166" s="4429"/>
      <c r="U166" s="4429"/>
      <c r="V166" s="4429"/>
      <c r="W166" s="4429"/>
      <c r="X166" s="4429"/>
      <c r="Y166" s="4430"/>
    </row>
    <row r="167" spans="2:25" ht="13.5" thickBot="1">
      <c r="B167" s="650"/>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530"/>
    </row>
    <row r="168" spans="2:25" ht="13.5" thickBot="1">
      <c r="B168" s="977"/>
      <c r="D168" s="4406" t="s">
        <v>1225</v>
      </c>
      <c r="E168" s="4407"/>
      <c r="F168" s="4407"/>
      <c r="G168" s="4407"/>
      <c r="H168" s="4407"/>
      <c r="I168" s="4407"/>
      <c r="J168" s="4407"/>
      <c r="K168" s="4407"/>
      <c r="L168" s="4407"/>
      <c r="M168" s="4407"/>
      <c r="N168" s="4407"/>
      <c r="O168" s="4407"/>
      <c r="P168" s="4407"/>
      <c r="Q168" s="4407"/>
      <c r="R168" s="4407"/>
      <c r="S168" s="4407"/>
      <c r="T168" s="4407"/>
      <c r="U168" s="4407"/>
      <c r="V168" s="4407"/>
      <c r="W168" s="4407"/>
      <c r="X168" s="4407"/>
      <c r="Y168" s="4408"/>
    </row>
    <row r="169" spans="2:25">
      <c r="B169" s="650"/>
      <c r="C169" s="320"/>
      <c r="D169" s="962">
        <v>44197</v>
      </c>
      <c r="E169" s="962">
        <v>44228</v>
      </c>
      <c r="F169" s="962">
        <v>44256</v>
      </c>
      <c r="G169" s="962">
        <v>44287</v>
      </c>
      <c r="H169" s="962">
        <v>44317</v>
      </c>
      <c r="I169" s="962">
        <v>44348</v>
      </c>
      <c r="J169" s="962">
        <v>44378</v>
      </c>
      <c r="K169" s="962">
        <v>44409</v>
      </c>
      <c r="L169" s="962">
        <v>44440</v>
      </c>
      <c r="M169" s="962">
        <v>44470</v>
      </c>
      <c r="N169" s="962">
        <v>44501</v>
      </c>
      <c r="O169" s="962">
        <v>44531</v>
      </c>
      <c r="P169" s="962">
        <v>44562</v>
      </c>
      <c r="Q169" s="962">
        <v>44593</v>
      </c>
      <c r="R169" s="962">
        <v>44621</v>
      </c>
      <c r="S169" s="962">
        <v>44652</v>
      </c>
      <c r="T169" s="962">
        <v>44682</v>
      </c>
      <c r="U169" s="962">
        <v>44713</v>
      </c>
      <c r="V169" s="962">
        <v>44743</v>
      </c>
      <c r="W169" s="962">
        <v>44774</v>
      </c>
      <c r="X169" s="962">
        <v>44805</v>
      </c>
      <c r="Y169" s="975"/>
    </row>
    <row r="170" spans="2:25">
      <c r="B170" s="650" t="s">
        <v>4122</v>
      </c>
      <c r="C170" s="383">
        <f>SUM(D170:AU170)</f>
        <v>0</v>
      </c>
      <c r="D170" s="2459"/>
      <c r="E170" s="2459"/>
      <c r="F170" s="2459"/>
      <c r="G170" s="2459"/>
      <c r="H170" s="2459"/>
      <c r="I170" s="2459"/>
      <c r="J170" s="2459"/>
      <c r="K170" s="2459"/>
      <c r="L170" s="2459"/>
      <c r="M170" s="144"/>
      <c r="N170" s="144"/>
      <c r="O170" s="144"/>
      <c r="P170" s="2459"/>
      <c r="Q170" s="2459"/>
      <c r="R170" s="2459"/>
      <c r="S170" s="2459"/>
      <c r="T170" s="2459"/>
      <c r="U170" s="2459"/>
      <c r="V170" s="2459"/>
      <c r="W170" s="2459"/>
      <c r="X170" s="2459"/>
      <c r="Y170" s="1225"/>
    </row>
    <row r="171" spans="2:25">
      <c r="B171" s="650" t="s">
        <v>2639</v>
      </c>
      <c r="C171" s="383">
        <f>SUM(D171:AU171)</f>
        <v>1117.3333333333333</v>
      </c>
      <c r="D171" s="320"/>
      <c r="E171" s="320"/>
      <c r="F171" s="320"/>
      <c r="G171" s="320"/>
      <c r="H171" s="320"/>
      <c r="I171" s="320"/>
      <c r="J171" s="320"/>
      <c r="K171" s="320"/>
      <c r="L171" s="320"/>
      <c r="M171" s="320"/>
      <c r="N171" s="320"/>
      <c r="O171" s="320"/>
      <c r="P171" s="320">
        <f t="shared" ref="P171:W171" si="5">1676/12</f>
        <v>139.66666666666666</v>
      </c>
      <c r="Q171" s="320">
        <f t="shared" si="5"/>
        <v>139.66666666666666</v>
      </c>
      <c r="R171" s="320">
        <f t="shared" si="5"/>
        <v>139.66666666666666</v>
      </c>
      <c r="S171" s="320">
        <f t="shared" si="5"/>
        <v>139.66666666666666</v>
      </c>
      <c r="T171" s="320">
        <f t="shared" si="5"/>
        <v>139.66666666666666</v>
      </c>
      <c r="U171" s="320">
        <f t="shared" si="5"/>
        <v>139.66666666666666</v>
      </c>
      <c r="V171" s="320">
        <f t="shared" si="5"/>
        <v>139.66666666666666</v>
      </c>
      <c r="W171" s="320">
        <f t="shared" si="5"/>
        <v>139.66666666666666</v>
      </c>
      <c r="X171" s="320"/>
      <c r="Y171" s="530"/>
    </row>
    <row r="172" spans="2:25" ht="13.5" thickBot="1">
      <c r="B172" s="650"/>
      <c r="C172" s="2009">
        <f>SUM(C170:C171)</f>
        <v>1117.3333333333333</v>
      </c>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530"/>
    </row>
    <row r="173" spans="2:25" ht="13.5" thickBot="1">
      <c r="B173" s="651"/>
      <c r="C173" s="956">
        <f>'מאזן בוחן צרפת'!J59-C172</f>
        <v>4.6666666666851597E-2</v>
      </c>
      <c r="D173" s="718"/>
      <c r="E173" s="718"/>
      <c r="F173" s="718"/>
      <c r="G173" s="718"/>
      <c r="H173" s="718"/>
      <c r="I173" s="718"/>
      <c r="J173" s="718"/>
      <c r="K173" s="718"/>
      <c r="L173" s="718"/>
      <c r="M173" s="718"/>
      <c r="N173" s="718"/>
      <c r="O173" s="718"/>
      <c r="P173" s="718"/>
      <c r="Q173" s="718"/>
      <c r="R173" s="718"/>
      <c r="S173" s="718"/>
      <c r="T173" s="718"/>
      <c r="U173" s="718"/>
      <c r="V173" s="718"/>
      <c r="W173" s="718"/>
      <c r="X173" s="718"/>
      <c r="Y173" s="531"/>
    </row>
    <row r="184" spans="21:21">
      <c r="U184" s="32" t="s">
        <v>169</v>
      </c>
    </row>
  </sheetData>
  <mergeCells count="12">
    <mergeCell ref="B166:Y166"/>
    <mergeCell ref="D168:Y168"/>
    <mergeCell ref="B157:Y157"/>
    <mergeCell ref="D159:Y159"/>
    <mergeCell ref="B140:Y140"/>
    <mergeCell ref="D142:Y142"/>
    <mergeCell ref="B2:AA2"/>
    <mergeCell ref="B22:Z22"/>
    <mergeCell ref="D24:Z24"/>
    <mergeCell ref="B35:AX35"/>
    <mergeCell ref="C36:AX36"/>
    <mergeCell ref="D4:AA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DF01-057F-4BE8-B552-9B3C2B47D6A0}">
  <sheetPr codeName="Sheet14"/>
  <dimension ref="B4:F84"/>
  <sheetViews>
    <sheetView topLeftCell="A28" zoomScale="85" zoomScaleNormal="85" workbookViewId="0">
      <selection activeCell="Y74" sqref="Y74"/>
    </sheetView>
  </sheetViews>
  <sheetFormatPr defaultColWidth="9.33203125" defaultRowHeight="12.75"/>
  <cols>
    <col min="1" max="1" width="9.33203125" style="32"/>
    <col min="2" max="2" width="48.6640625" style="32" bestFit="1" customWidth="1"/>
    <col min="3" max="3" width="29.1640625" style="32" customWidth="1"/>
    <col min="4" max="4" width="17.5" style="32" customWidth="1"/>
    <col min="5" max="5" width="25.33203125" style="32" bestFit="1" customWidth="1"/>
    <col min="6" max="16384" width="9.33203125" style="32"/>
  </cols>
  <sheetData>
    <row r="4" spans="2:5">
      <c r="B4" s="1435" t="s">
        <v>1398</v>
      </c>
      <c r="C4" s="153"/>
      <c r="E4" s="153"/>
    </row>
    <row r="5" spans="2:5">
      <c r="B5" s="153"/>
      <c r="C5" s="153"/>
      <c r="E5" s="153"/>
    </row>
    <row r="6" spans="2:5">
      <c r="B6" s="153"/>
      <c r="C6" s="2752">
        <v>43100</v>
      </c>
      <c r="E6" s="2752">
        <v>43100</v>
      </c>
    </row>
    <row r="7" spans="2:5">
      <c r="B7" s="153"/>
      <c r="C7" s="2752"/>
      <c r="D7" s="2752" t="s">
        <v>1580</v>
      </c>
      <c r="E7" s="2753" t="s">
        <v>1581</v>
      </c>
    </row>
    <row r="8" spans="2:5">
      <c r="B8" s="153"/>
      <c r="C8" s="153"/>
      <c r="E8" s="153"/>
    </row>
    <row r="9" spans="2:5">
      <c r="B9" s="153" t="s">
        <v>1399</v>
      </c>
      <c r="C9" s="1025">
        <f>61911000-36400000</f>
        <v>25511000</v>
      </c>
      <c r="D9" s="2754">
        <f>C65+C67</f>
        <v>-232544.27215116948</v>
      </c>
      <c r="E9" s="1025">
        <f>SUM(C9:D9)</f>
        <v>25278455.727848832</v>
      </c>
    </row>
    <row r="10" spans="2:5">
      <c r="B10" s="153" t="s">
        <v>1400</v>
      </c>
      <c r="C10" s="2754">
        <f>+C21+10787782</f>
        <v>16395782</v>
      </c>
      <c r="D10" s="2754">
        <f>C69+C73+C71</f>
        <v>-238652.4</v>
      </c>
      <c r="E10" s="1025">
        <f>SUM(C10:D10)</f>
        <v>16157129.6</v>
      </c>
    </row>
    <row r="11" spans="2:5">
      <c r="B11" s="153" t="s">
        <v>259</v>
      </c>
      <c r="C11" s="1026">
        <v>2681000</v>
      </c>
      <c r="D11" s="2754"/>
      <c r="E11" s="1026">
        <f>SUM(C11:D11)</f>
        <v>2681000</v>
      </c>
    </row>
    <row r="12" spans="2:5">
      <c r="B12" s="153"/>
      <c r="C12" s="2755"/>
      <c r="D12" s="2754">
        <f>C75</f>
        <v>-669000</v>
      </c>
      <c r="E12" s="2755">
        <f>SUM(C12:D12)</f>
        <v>-669000</v>
      </c>
    </row>
    <row r="13" spans="2:5">
      <c r="B13" s="153"/>
      <c r="C13" s="2754">
        <f>SUM(C9:C12)</f>
        <v>44587782</v>
      </c>
      <c r="D13" s="2754"/>
      <c r="E13" s="2754">
        <f>SUM(E9:E12)</f>
        <v>43447585.327848829</v>
      </c>
    </row>
    <row r="14" spans="2:5">
      <c r="B14" s="153" t="s">
        <v>1401</v>
      </c>
      <c r="C14" s="2755">
        <f>3205000+7541000</f>
        <v>10746000</v>
      </c>
      <c r="D14" s="2754"/>
      <c r="E14" s="2755">
        <f>SUM(C14:D14)</f>
        <v>10746000</v>
      </c>
    </row>
    <row r="15" spans="2:5">
      <c r="B15" s="1435" t="s">
        <v>1402</v>
      </c>
      <c r="C15" s="2760">
        <f>+C13-C14</f>
        <v>33841782</v>
      </c>
      <c r="D15" s="2754"/>
      <c r="E15" s="2760">
        <f>+E13-E14</f>
        <v>32701585.327848829</v>
      </c>
    </row>
    <row r="16" spans="2:5">
      <c r="B16" s="153"/>
      <c r="C16" s="696"/>
      <c r="D16" s="2754"/>
      <c r="E16" s="696"/>
    </row>
    <row r="17" spans="2:5">
      <c r="B17" s="153"/>
      <c r="C17" s="696"/>
      <c r="D17" s="2754"/>
      <c r="E17" s="696"/>
    </row>
    <row r="18" spans="2:5">
      <c r="B18" s="153"/>
      <c r="C18" s="696"/>
      <c r="E18" s="696"/>
    </row>
    <row r="19" spans="2:5">
      <c r="B19" s="153"/>
      <c r="C19" s="696"/>
      <c r="D19" s="2754"/>
      <c r="E19" s="696"/>
    </row>
    <row r="20" spans="2:5">
      <c r="B20" s="153" t="s">
        <v>1399</v>
      </c>
      <c r="C20" s="2754">
        <f>++C9</f>
        <v>25511000</v>
      </c>
      <c r="D20" s="2754"/>
      <c r="E20" s="2754">
        <f>SUM(C20:D20)</f>
        <v>25511000</v>
      </c>
    </row>
    <row r="21" spans="2:5">
      <c r="B21" s="153" t="s">
        <v>1403</v>
      </c>
      <c r="C21" s="2754">
        <v>5608000</v>
      </c>
      <c r="D21" s="2754"/>
      <c r="E21" s="2754">
        <f>SUM(C21:D21)</f>
        <v>5608000</v>
      </c>
    </row>
    <row r="22" spans="2:5">
      <c r="B22" s="153" t="s">
        <v>259</v>
      </c>
      <c r="C22" s="1026">
        <f>+C11</f>
        <v>2681000</v>
      </c>
      <c r="D22" s="2754"/>
      <c r="E22" s="2754">
        <f>SUM(C22:D22)</f>
        <v>2681000</v>
      </c>
    </row>
    <row r="23" spans="2:5">
      <c r="B23" s="153"/>
      <c r="C23" s="2755"/>
      <c r="D23" s="2754">
        <f>C75</f>
        <v>-669000</v>
      </c>
      <c r="E23" s="2755">
        <f>SUM(C23:D23)</f>
        <v>-669000</v>
      </c>
    </row>
    <row r="24" spans="2:5">
      <c r="B24" s="153"/>
      <c r="C24" s="2754">
        <f>SUM(C20:C23)</f>
        <v>33800000</v>
      </c>
      <c r="D24" s="2754"/>
      <c r="E24" s="2754">
        <f>SUM(E20:E23)</f>
        <v>33131000</v>
      </c>
    </row>
    <row r="25" spans="2:5">
      <c r="B25" s="153" t="s">
        <v>1401</v>
      </c>
      <c r="C25" s="2756">
        <f>+C14</f>
        <v>10746000</v>
      </c>
      <c r="D25" s="2754"/>
      <c r="E25" s="2755">
        <f>SUM(C25:D25)</f>
        <v>10746000</v>
      </c>
    </row>
    <row r="26" spans="2:5">
      <c r="B26" s="1435" t="s">
        <v>1404</v>
      </c>
      <c r="C26" s="2757">
        <f>+C24-C25</f>
        <v>23054000</v>
      </c>
      <c r="D26" s="2754"/>
      <c r="E26" s="2760">
        <f>+E24-E25</f>
        <v>22385000</v>
      </c>
    </row>
    <row r="27" spans="2:5">
      <c r="B27" s="153"/>
      <c r="C27" s="153"/>
      <c r="D27" s="2754"/>
      <c r="E27" s="153"/>
    </row>
    <row r="28" spans="2:5">
      <c r="B28" s="153"/>
      <c r="C28" s="153"/>
      <c r="E28" s="153"/>
    </row>
    <row r="29" spans="2:5">
      <c r="B29" s="153"/>
      <c r="C29" s="153"/>
      <c r="E29" s="153"/>
    </row>
    <row r="30" spans="2:5">
      <c r="B30" s="153" t="s">
        <v>1405</v>
      </c>
      <c r="C30" s="2754">
        <v>22000000</v>
      </c>
      <c r="E30" s="2754">
        <v>22000000</v>
      </c>
    </row>
    <row r="31" spans="2:5">
      <c r="B31" s="153"/>
      <c r="C31" s="2754"/>
      <c r="E31" s="2754"/>
    </row>
    <row r="32" spans="2:5">
      <c r="B32" s="153" t="s">
        <v>1406</v>
      </c>
      <c r="C32" s="2754">
        <v>15000000</v>
      </c>
      <c r="E32" s="2754">
        <v>15000000</v>
      </c>
    </row>
    <row r="33" spans="2:6">
      <c r="B33" s="153"/>
      <c r="C33" s="2754"/>
      <c r="E33" s="2754"/>
    </row>
    <row r="34" spans="2:6">
      <c r="B34" s="153" t="s">
        <v>1407</v>
      </c>
      <c r="C34" s="2754">
        <v>6000000</v>
      </c>
      <c r="E34" s="2754">
        <v>6000000</v>
      </c>
    </row>
    <row r="35" spans="2:6">
      <c r="B35" s="153"/>
      <c r="C35" s="2754"/>
      <c r="E35" s="2754"/>
    </row>
    <row r="36" spans="2:6">
      <c r="B36" s="153"/>
      <c r="C36" s="2754"/>
      <c r="E36" s="2754"/>
    </row>
    <row r="37" spans="2:6">
      <c r="B37" s="153"/>
      <c r="C37" s="2754"/>
      <c r="E37" s="2754"/>
    </row>
    <row r="38" spans="2:6">
      <c r="B38" s="153"/>
      <c r="C38" s="2754">
        <f>+C15</f>
        <v>33841782</v>
      </c>
      <c r="E38" s="2754">
        <f>+E15</f>
        <v>32701585.327848829</v>
      </c>
    </row>
    <row r="39" spans="2:6">
      <c r="B39" s="153"/>
      <c r="C39" s="2758">
        <v>22000000</v>
      </c>
      <c r="E39" s="2758">
        <v>22000000</v>
      </c>
    </row>
    <row r="40" spans="2:6">
      <c r="B40" s="2761" t="s">
        <v>1408</v>
      </c>
      <c r="C40" s="2761">
        <f>+C38-C39</f>
        <v>11841782</v>
      </c>
      <c r="E40" s="2761">
        <f>+E38-E39</f>
        <v>10701585.327848829</v>
      </c>
    </row>
    <row r="41" spans="2:6">
      <c r="C41" s="2754"/>
      <c r="E41" s="2754"/>
    </row>
    <row r="42" spans="2:6">
      <c r="C42" s="973"/>
      <c r="D42" s="2525"/>
      <c r="F42" s="2525"/>
    </row>
    <row r="43" spans="2:6">
      <c r="C43" s="961" t="s">
        <v>2882</v>
      </c>
      <c r="D43" s="2525"/>
      <c r="F43" s="2525"/>
    </row>
    <row r="44" spans="2:6">
      <c r="D44" s="2525"/>
      <c r="F44" s="2525"/>
    </row>
    <row r="45" spans="2:6">
      <c r="C45" s="2525" t="s">
        <v>2883</v>
      </c>
      <c r="D45" s="2526">
        <v>10905008</v>
      </c>
    </row>
    <row r="46" spans="2:6">
      <c r="D46" s="2526"/>
    </row>
    <row r="47" spans="2:6">
      <c r="C47" s="32" t="s">
        <v>2884</v>
      </c>
      <c r="D47" s="2526">
        <v>372000</v>
      </c>
    </row>
    <row r="48" spans="2:6">
      <c r="D48" s="2526"/>
      <c r="F48" s="2527"/>
    </row>
    <row r="49" spans="2:5">
      <c r="C49" s="32" t="s">
        <v>3031</v>
      </c>
      <c r="D49" s="2526">
        <f>'[123]Q4 2020'!$C$20</f>
        <v>590958.175599562</v>
      </c>
    </row>
    <row r="50" spans="2:5">
      <c r="D50" s="2526"/>
    </row>
    <row r="51" spans="2:5">
      <c r="C51" s="32" t="s">
        <v>3170</v>
      </c>
      <c r="D51" s="2528">
        <f>-'[123]3M Payment'!$C$54</f>
        <v>-3000000.0028576269</v>
      </c>
    </row>
    <row r="52" spans="2:5">
      <c r="D52" s="2526"/>
    </row>
    <row r="53" spans="2:5" ht="13.5" thickBot="1">
      <c r="C53" s="2529" t="s">
        <v>2885</v>
      </c>
      <c r="D53" s="2530">
        <f>SUM(D45:D52)</f>
        <v>8867966.1727419347</v>
      </c>
    </row>
    <row r="54" spans="2:5" ht="13.5" thickBot="1">
      <c r="D54" s="1343">
        <f>'New TB INC'!J431+D53</f>
        <v>3032045.2027419349</v>
      </c>
    </row>
    <row r="55" spans="2:5">
      <c r="D55" s="2526"/>
    </row>
    <row r="56" spans="2:5">
      <c r="D56" s="2526"/>
    </row>
    <row r="57" spans="2:5">
      <c r="D57" s="2526"/>
    </row>
    <row r="59" spans="2:5">
      <c r="C59" s="2754"/>
      <c r="E59" s="2754"/>
    </row>
    <row r="60" spans="2:5">
      <c r="C60" s="2754"/>
      <c r="E60" s="2754"/>
    </row>
    <row r="61" spans="2:5">
      <c r="C61" s="2754"/>
      <c r="E61" s="2754"/>
    </row>
    <row r="64" spans="2:5">
      <c r="B64" s="2762" t="s">
        <v>1537</v>
      </c>
      <c r="C64" s="2759"/>
      <c r="D64" s="2759"/>
      <c r="E64" s="2763"/>
    </row>
    <row r="65" spans="2:5">
      <c r="B65" s="2763" t="s">
        <v>1538</v>
      </c>
      <c r="C65" s="2754">
        <f>-919357/3.4716</f>
        <v>-264822.27215116948</v>
      </c>
      <c r="D65" s="2759"/>
      <c r="E65" s="2763" t="s">
        <v>1539</v>
      </c>
    </row>
    <row r="66" spans="2:5">
      <c r="B66" s="2763"/>
      <c r="C66" s="2754"/>
      <c r="D66" s="2759"/>
      <c r="E66" s="2763"/>
    </row>
    <row r="67" spans="2:5">
      <c r="B67" s="2763"/>
      <c r="C67" s="2754">
        <v>32278</v>
      </c>
      <c r="D67" s="2759"/>
      <c r="E67" s="2763" t="s">
        <v>1540</v>
      </c>
    </row>
    <row r="68" spans="2:5">
      <c r="B68" s="2763"/>
      <c r="C68" s="2754"/>
      <c r="D68" s="2759"/>
      <c r="E68" s="2763"/>
    </row>
    <row r="69" spans="2:5">
      <c r="B69" s="2763" t="s">
        <v>1541</v>
      </c>
      <c r="C69" s="2754">
        <f>-(17622.96+8050+3010.08)</f>
        <v>-28683.040000000001</v>
      </c>
      <c r="D69" s="2759"/>
      <c r="E69" s="2763" t="s">
        <v>1542</v>
      </c>
    </row>
    <row r="70" spans="2:5">
      <c r="B70" s="2763"/>
      <c r="C70" s="2754"/>
      <c r="D70" s="2759"/>
      <c r="E70" s="2763"/>
    </row>
    <row r="71" spans="2:5">
      <c r="B71" s="2763" t="s">
        <v>1543</v>
      </c>
      <c r="C71" s="2754">
        <v>-206636</v>
      </c>
      <c r="D71" s="2759"/>
      <c r="E71" s="2763" t="s">
        <v>1544</v>
      </c>
    </row>
    <row r="72" spans="2:5">
      <c r="B72" s="2763"/>
      <c r="C72" s="2754"/>
      <c r="D72" s="2759"/>
      <c r="E72" s="2763"/>
    </row>
    <row r="73" spans="2:5">
      <c r="B73" s="2763" t="s">
        <v>1545</v>
      </c>
      <c r="C73" s="2754">
        <v>-3333.36</v>
      </c>
      <c r="D73" s="2759"/>
      <c r="E73" s="2763" t="s">
        <v>1546</v>
      </c>
    </row>
    <row r="74" spans="2:5">
      <c r="B74" s="2763"/>
      <c r="C74" s="2754"/>
      <c r="D74" s="2759"/>
      <c r="E74" s="2763"/>
    </row>
    <row r="75" spans="2:5">
      <c r="B75" s="2763" t="s">
        <v>1547</v>
      </c>
      <c r="C75" s="2754">
        <v>-669000</v>
      </c>
      <c r="D75" s="2759"/>
      <c r="E75" s="2763" t="s">
        <v>1548</v>
      </c>
    </row>
    <row r="76" spans="2:5">
      <c r="C76" s="2754"/>
      <c r="E76" s="2677"/>
    </row>
    <row r="77" spans="2:5">
      <c r="C77" s="2754"/>
      <c r="E77" s="2677"/>
    </row>
    <row r="78" spans="2:5">
      <c r="C78" s="2754"/>
      <c r="E78" s="2677"/>
    </row>
    <row r="79" spans="2:5">
      <c r="C79" s="2754"/>
      <c r="E79" s="2677"/>
    </row>
    <row r="80" spans="2:5">
      <c r="C80" s="2754"/>
      <c r="E80" s="2677"/>
    </row>
    <row r="81" spans="3:5">
      <c r="C81" s="2754"/>
      <c r="E81" s="2677"/>
    </row>
    <row r="82" spans="3:5">
      <c r="C82" s="2754"/>
      <c r="E82" s="2677"/>
    </row>
    <row r="83" spans="3:5">
      <c r="C83" s="2754"/>
      <c r="E83" s="2677"/>
    </row>
    <row r="84" spans="3:5">
      <c r="E84" s="2677"/>
    </row>
  </sheetData>
  <pageMargins left="0.7" right="0.7" top="0.75" bottom="0.75" header="0.3" footer="0.3"/>
  <pageSetup orientation="portrait" horizontalDpi="4294967295" verticalDpi="4294967295"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4"/>
  <dimension ref="B1:Q45"/>
  <sheetViews>
    <sheetView workbookViewId="0">
      <selection activeCell="D17" sqref="D17"/>
    </sheetView>
  </sheetViews>
  <sheetFormatPr defaultColWidth="9.33203125" defaultRowHeight="12.75"/>
  <cols>
    <col min="1" max="1" width="4.5" style="1" customWidth="1"/>
    <col min="2" max="2" width="21.33203125" style="1" customWidth="1"/>
    <col min="3" max="3" width="26.83203125" style="1" bestFit="1" customWidth="1"/>
    <col min="4" max="4" width="13.83203125" style="1" customWidth="1"/>
    <col min="5" max="5" width="8.83203125" style="1" bestFit="1" customWidth="1"/>
    <col min="6" max="6" width="11.1640625" style="1" bestFit="1" customWidth="1"/>
    <col min="7" max="7" width="8.83203125" style="1" bestFit="1" customWidth="1"/>
    <col min="8" max="8" width="12" style="1" customWidth="1"/>
    <col min="9" max="9" width="11.1640625" style="1" customWidth="1"/>
    <col min="10" max="10" width="9.33203125" style="1"/>
    <col min="11" max="11" width="13.83203125" style="1" customWidth="1"/>
    <col min="12" max="12" width="13.5" style="1" bestFit="1" customWidth="1"/>
    <col min="13" max="13" width="22.83203125" style="1" bestFit="1" customWidth="1"/>
    <col min="14" max="14" width="13.6640625" style="1" bestFit="1" customWidth="1"/>
    <col min="15" max="15" width="10" style="1" bestFit="1" customWidth="1"/>
    <col min="16" max="17" width="11.1640625" style="1" bestFit="1" customWidth="1"/>
    <col min="18" max="18" width="16.1640625" style="1" bestFit="1" customWidth="1"/>
    <col min="19" max="16384" width="9.33203125" style="1"/>
  </cols>
  <sheetData>
    <row r="1" spans="2:17">
      <c r="B1" s="1" t="s">
        <v>136</v>
      </c>
      <c r="C1" s="3619">
        <v>44561</v>
      </c>
      <c r="D1" s="4431"/>
      <c r="E1" s="4431"/>
      <c r="F1" s="32"/>
      <c r="I1" s="508"/>
    </row>
    <row r="2" spans="2:17">
      <c r="B2" s="1" t="s">
        <v>137</v>
      </c>
      <c r="C2" s="3620">
        <v>44196</v>
      </c>
      <c r="F2" s="32"/>
      <c r="I2" s="508"/>
    </row>
    <row r="3" spans="2:17">
      <c r="B3" s="2" t="s">
        <v>138</v>
      </c>
      <c r="C3" s="3068">
        <f>C1</f>
        <v>44561</v>
      </c>
      <c r="I3" s="508"/>
      <c r="O3" s="509"/>
      <c r="P3" s="509"/>
      <c r="Q3" s="509"/>
    </row>
    <row r="4" spans="2:17">
      <c r="C4" s="3621" t="s">
        <v>4576</v>
      </c>
      <c r="I4" s="508"/>
      <c r="J4" s="511"/>
      <c r="O4" s="510"/>
      <c r="P4" s="509"/>
      <c r="Q4" s="509"/>
    </row>
    <row r="5" spans="2:17">
      <c r="H5" s="1154"/>
      <c r="O5" s="510"/>
      <c r="P5" s="509"/>
      <c r="Q5" s="509"/>
    </row>
    <row r="6" spans="2:17">
      <c r="B6" s="1153">
        <f>+C1</f>
        <v>44561</v>
      </c>
      <c r="C6" s="1154"/>
      <c r="O6" s="510"/>
      <c r="P6" s="509"/>
      <c r="Q6" s="509"/>
    </row>
    <row r="7" spans="2:17" ht="25.5">
      <c r="B7" s="1380">
        <f>C22</f>
        <v>3.11</v>
      </c>
      <c r="C7" s="1" t="s">
        <v>403</v>
      </c>
      <c r="D7" s="2872" t="s">
        <v>607</v>
      </c>
      <c r="E7" s="2872"/>
      <c r="I7" s="1380"/>
      <c r="J7" s="1380"/>
    </row>
    <row r="8" spans="2:17">
      <c r="B8" s="1380">
        <f>C20</f>
        <v>4.2031000000000001</v>
      </c>
      <c r="C8" s="1" t="s">
        <v>606</v>
      </c>
      <c r="D8" s="3824">
        <v>3.2292999999999998</v>
      </c>
      <c r="E8" s="1380"/>
      <c r="I8" s="1380"/>
      <c r="J8" s="1380"/>
    </row>
    <row r="9" spans="2:17">
      <c r="B9" s="1380">
        <f>C23</f>
        <v>2.2597999999999998</v>
      </c>
      <c r="C9" s="1" t="s">
        <v>778</v>
      </c>
      <c r="I9" s="1380"/>
      <c r="J9" s="1380"/>
    </row>
    <row r="10" spans="2:17">
      <c r="B10" s="1380">
        <f>+$B$7/$B$8</f>
        <v>0.73993005162855985</v>
      </c>
      <c r="C10" s="1" t="s">
        <v>404</v>
      </c>
      <c r="I10" s="1380"/>
      <c r="J10" s="1380"/>
    </row>
    <row r="11" spans="2:17">
      <c r="B11" s="1380">
        <f>C21</f>
        <v>3.5198999999999998</v>
      </c>
      <c r="C11" s="1" t="s">
        <v>2238</v>
      </c>
      <c r="I11" s="1380"/>
      <c r="J11" s="1380"/>
    </row>
    <row r="12" spans="2:17">
      <c r="B12" s="1380">
        <f>+B11/B8</f>
        <v>0.83745330827246556</v>
      </c>
      <c r="C12" s="1" t="s">
        <v>614</v>
      </c>
      <c r="I12" s="1380"/>
      <c r="J12" s="1380"/>
    </row>
    <row r="13" spans="2:17">
      <c r="B13" s="1380">
        <f>+B7/B9</f>
        <v>1.3762279847774139</v>
      </c>
      <c r="C13" s="1" t="s">
        <v>777</v>
      </c>
      <c r="I13" s="2871"/>
      <c r="J13" s="2871"/>
    </row>
    <row r="14" spans="2:17">
      <c r="B14" s="1380">
        <f>+$B$7/$B$11</f>
        <v>0.88354782806329724</v>
      </c>
      <c r="C14" s="1" t="s">
        <v>2239</v>
      </c>
      <c r="I14" s="2871"/>
      <c r="J14" s="2871"/>
    </row>
    <row r="15" spans="2:17">
      <c r="B15" s="1380">
        <f>+$B$8/$B$9</f>
        <v>1.8599433578192763</v>
      </c>
      <c r="C15" s="1" t="s">
        <v>2437</v>
      </c>
      <c r="I15" s="2871"/>
      <c r="J15" s="2873"/>
    </row>
    <row r="16" spans="2:17">
      <c r="B16" s="1380"/>
      <c r="I16" s="2871"/>
      <c r="J16" s="2873"/>
    </row>
    <row r="17" spans="2:11">
      <c r="B17" s="3618">
        <v>74.302500044591724</v>
      </c>
      <c r="C17" s="1" t="s">
        <v>2573</v>
      </c>
      <c r="D17" s="3475" t="s">
        <v>4329</v>
      </c>
      <c r="I17" s="2871"/>
      <c r="J17" s="2871"/>
    </row>
    <row r="18" spans="2:11">
      <c r="C18" s="275">
        <f>C1</f>
        <v>44561</v>
      </c>
      <c r="G18" s="512"/>
      <c r="I18" s="2871"/>
      <c r="J18" s="2871"/>
    </row>
    <row r="19" spans="2:11">
      <c r="C19" s="275"/>
      <c r="G19" s="512"/>
      <c r="I19" s="2871"/>
      <c r="J19" s="2871"/>
    </row>
    <row r="20" spans="2:11">
      <c r="B20" s="1" t="s">
        <v>606</v>
      </c>
      <c r="C20" s="3618">
        <v>4.2031000000000001</v>
      </c>
      <c r="I20" s="2871"/>
      <c r="J20" s="2871"/>
    </row>
    <row r="21" spans="2:11">
      <c r="B21" s="1" t="s">
        <v>2238</v>
      </c>
      <c r="C21" s="3618">
        <v>3.5198999999999998</v>
      </c>
      <c r="I21" s="32"/>
      <c r="J21" s="513"/>
      <c r="K21" s="32"/>
    </row>
    <row r="22" spans="2:11">
      <c r="B22" s="1" t="s">
        <v>403</v>
      </c>
      <c r="C22" s="3618">
        <v>3.11</v>
      </c>
      <c r="G22" s="514"/>
      <c r="H22" s="32"/>
    </row>
    <row r="23" spans="2:11" ht="12.75" customHeight="1">
      <c r="B23" s="1" t="s">
        <v>3853</v>
      </c>
      <c r="C23" s="3618">
        <v>2.2597999999999998</v>
      </c>
      <c r="F23" s="490"/>
      <c r="G23" s="514"/>
    </row>
    <row r="24" spans="2:11">
      <c r="B24" s="1" t="s">
        <v>3854</v>
      </c>
      <c r="C24" s="3618">
        <v>0.47320000000000001</v>
      </c>
      <c r="G24" s="32"/>
    </row>
    <row r="25" spans="2:11">
      <c r="B25" s="1" t="s">
        <v>3855</v>
      </c>
      <c r="C25" s="3618">
        <v>0.34360000000000002</v>
      </c>
      <c r="G25" s="32"/>
    </row>
    <row r="26" spans="2:11">
      <c r="B26" s="1" t="s">
        <v>3856</v>
      </c>
      <c r="C26" s="3618">
        <v>3.4045000000000001</v>
      </c>
      <c r="G26" s="32"/>
    </row>
    <row r="27" spans="2:11">
      <c r="B27" s="1" t="s">
        <v>3867</v>
      </c>
      <c r="C27" s="3618">
        <v>2.4424000000000001</v>
      </c>
      <c r="G27" s="32"/>
    </row>
    <row r="28" spans="2:11">
      <c r="B28" s="1" t="s">
        <v>4819</v>
      </c>
      <c r="C28" s="3618">
        <v>0.73721000000000003</v>
      </c>
      <c r="G28" s="32"/>
    </row>
    <row r="29" spans="2:11">
      <c r="G29" s="32"/>
    </row>
    <row r="30" spans="2:11" ht="15.75" thickBot="1">
      <c r="B30" s="3231" t="s">
        <v>3850</v>
      </c>
      <c r="E30" s="153"/>
      <c r="G30" s="32"/>
    </row>
    <row r="31" spans="2:11">
      <c r="B31" s="3236" t="s">
        <v>3852</v>
      </c>
      <c r="C31" s="3230" t="s">
        <v>3849</v>
      </c>
      <c r="D31" s="3248">
        <f>C25/C20</f>
        <v>8.1749185125264689E-2</v>
      </c>
      <c r="G31" s="32"/>
    </row>
    <row r="32" spans="2:11">
      <c r="B32" s="3232" t="s">
        <v>1225</v>
      </c>
      <c r="C32" s="3233" t="s">
        <v>3849</v>
      </c>
      <c r="D32" s="3249">
        <f>$C$21/$C$20</f>
        <v>0.83745330827246556</v>
      </c>
      <c r="G32" s="32"/>
    </row>
    <row r="33" spans="2:7">
      <c r="B33" s="3232" t="s">
        <v>3851</v>
      </c>
      <c r="C33" s="3233" t="s">
        <v>3849</v>
      </c>
      <c r="D33" s="3250">
        <f>$C$24/$C$20</f>
        <v>0.1125835692703005</v>
      </c>
      <c r="G33" s="32"/>
    </row>
    <row r="34" spans="2:7">
      <c r="B34" s="3232" t="s">
        <v>3857</v>
      </c>
      <c r="C34" s="3233" t="s">
        <v>3849</v>
      </c>
      <c r="D34" s="3250">
        <f>C26/C20</f>
        <v>0.80999738288406176</v>
      </c>
      <c r="G34" s="32"/>
    </row>
    <row r="35" spans="2:7">
      <c r="B35" s="3232" t="s">
        <v>294</v>
      </c>
      <c r="C35" s="3233" t="s">
        <v>3849</v>
      </c>
      <c r="D35" s="3250">
        <f>C22/C20</f>
        <v>0.73993005162855985</v>
      </c>
      <c r="G35" s="32"/>
    </row>
    <row r="36" spans="2:7">
      <c r="B36" s="3232" t="s">
        <v>3868</v>
      </c>
      <c r="C36" s="3233" t="s">
        <v>3869</v>
      </c>
      <c r="D36" s="3250">
        <f>$C$27/$C$22</f>
        <v>0.78533762057877821</v>
      </c>
      <c r="G36" s="32"/>
    </row>
    <row r="37" spans="2:7">
      <c r="B37" s="3232" t="s">
        <v>400</v>
      </c>
      <c r="C37" s="3233" t="s">
        <v>3869</v>
      </c>
      <c r="D37" s="3251">
        <f>$C$20/$C$22</f>
        <v>1.3514790996784567</v>
      </c>
      <c r="G37" s="32"/>
    </row>
    <row r="38" spans="2:7">
      <c r="B38" s="3232" t="s">
        <v>794</v>
      </c>
      <c r="C38" s="3233" t="s">
        <v>3869</v>
      </c>
      <c r="D38" s="3251">
        <f>$C$22/$C$23</f>
        <v>1.3762279847774139</v>
      </c>
      <c r="G38" s="32"/>
    </row>
    <row r="39" spans="2:7">
      <c r="B39" s="3234"/>
      <c r="C39" s="509"/>
      <c r="D39" s="3251"/>
      <c r="G39" s="32"/>
    </row>
    <row r="40" spans="2:7">
      <c r="B40" s="3234"/>
      <c r="C40" s="509"/>
      <c r="D40" s="3251"/>
      <c r="G40" s="32"/>
    </row>
    <row r="41" spans="2:7">
      <c r="B41" s="3234"/>
      <c r="C41" s="509"/>
      <c r="D41" s="3251"/>
      <c r="G41" s="32"/>
    </row>
    <row r="42" spans="2:7">
      <c r="B42" s="3234"/>
      <c r="C42" s="509"/>
      <c r="D42" s="3251"/>
      <c r="G42" s="32"/>
    </row>
    <row r="43" spans="2:7" ht="13.5" thickBot="1">
      <c r="B43" s="3235"/>
      <c r="C43" s="2496"/>
      <c r="D43" s="3252"/>
      <c r="G43" s="32"/>
    </row>
    <row r="44" spans="2:7">
      <c r="G44" s="32"/>
    </row>
    <row r="45" spans="2:7" ht="12.75" customHeight="1"/>
  </sheetData>
  <customSheetViews>
    <customSheetView guid="{AE4A63B3-88A2-451A-9F53-7674162F018D}">
      <selection activeCell="D4" sqref="D4"/>
      <pageMargins left="0.75" right="0.75" top="1" bottom="1" header="0.5" footer="0.5"/>
      <printOptions gridLines="1"/>
      <pageSetup paperSize="9" orientation="portrait" r:id="rId1"/>
      <headerFooter alignWithMargins="0">
        <oddHeader>&amp;A</oddHeader>
        <oddFooter>עמוד &amp;P</oddFooter>
      </headerFooter>
    </customSheetView>
    <customSheetView guid="{6C6AF7F1-37F2-45B8-A395-4149314EE5A8}">
      <selection activeCell="D4" sqref="D4"/>
      <pageMargins left="0.75" right="0.75" top="1" bottom="1" header="0.5" footer="0.5"/>
      <printOptions gridLines="1"/>
      <pageSetup paperSize="9" orientation="portrait" r:id="rId2"/>
      <headerFooter alignWithMargins="0">
        <oddHeader>&amp;A</oddHeader>
        <oddFooter>עמוד &amp;P</oddFooter>
      </headerFooter>
    </customSheetView>
  </customSheetViews>
  <mergeCells count="1">
    <mergeCell ref="D1:E1"/>
  </mergeCells>
  <phoneticPr fontId="0" type="noConversion"/>
  <hyperlinks>
    <hyperlink ref="D17" r:id="rId3" location="/home" display="https://www.fbil.org.in/ - /home" xr:uid="{44606E9C-A208-4876-9E45-2C8360DD3512}"/>
  </hyperlinks>
  <printOptions gridLines="1" gridLinesSet="0"/>
  <pageMargins left="0.75" right="0.75" top="1" bottom="1" header="0.5" footer="0.5"/>
  <pageSetup paperSize="9" orientation="portrait" r:id="rId4"/>
  <headerFooter alignWithMargins="0">
    <oddHeader>&amp;A</oddHeader>
    <oddFooter>עמוד &amp;P</oddFooter>
  </headerFooter>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34">
    <tabColor indexed="46"/>
    <pageSetUpPr fitToPage="1"/>
  </sheetPr>
  <dimension ref="A1:P84"/>
  <sheetViews>
    <sheetView rightToLeft="1" zoomScale="85" zoomScaleNormal="85" workbookViewId="0">
      <selection activeCell="R35" sqref="R35"/>
    </sheetView>
  </sheetViews>
  <sheetFormatPr defaultColWidth="9.83203125" defaultRowHeight="12.75"/>
  <cols>
    <col min="1" max="1" width="32" style="32" customWidth="1"/>
    <col min="2" max="2" width="4.6640625" style="32" customWidth="1"/>
    <col min="3" max="3" width="5.1640625" style="32" customWidth="1"/>
    <col min="4" max="4" width="41" style="32" bestFit="1" customWidth="1"/>
    <col min="5" max="5" width="3.6640625" style="32" customWidth="1"/>
    <col min="6" max="6" width="16.1640625" style="32" bestFit="1" customWidth="1"/>
    <col min="7" max="7" width="15.5" style="32" bestFit="1" customWidth="1"/>
    <col min="8" max="8" width="14.83203125" style="32" bestFit="1" customWidth="1"/>
    <col min="9" max="9" width="10.1640625" style="32" bestFit="1" customWidth="1"/>
    <col min="10" max="10" width="14.1640625" style="32" bestFit="1" customWidth="1"/>
    <col min="11" max="11" width="15.5" style="32" bestFit="1" customWidth="1"/>
    <col min="12" max="12" width="12" style="32" bestFit="1" customWidth="1"/>
    <col min="13" max="16384" width="9.83203125" style="32"/>
  </cols>
  <sheetData>
    <row r="1" spans="1:16">
      <c r="D1" s="2382"/>
      <c r="E1" s="2383"/>
      <c r="I1" s="2384"/>
      <c r="J1" s="2384"/>
      <c r="K1" s="2375"/>
    </row>
    <row r="2" spans="1:16">
      <c r="A2" s="1947"/>
      <c r="C2" s="405"/>
      <c r="D2" s="1952" t="s">
        <v>2795</v>
      </c>
      <c r="E2" s="1952"/>
      <c r="F2" s="1947"/>
      <c r="G2" s="1947"/>
    </row>
    <row r="3" spans="1:16">
      <c r="A3" s="382"/>
      <c r="B3" s="382"/>
      <c r="C3" s="2385"/>
      <c r="D3" s="2385"/>
      <c r="E3" s="2385"/>
      <c r="F3" s="382"/>
      <c r="G3" s="382"/>
      <c r="H3" s="382"/>
      <c r="I3" s="382"/>
      <c r="J3" s="382"/>
      <c r="K3" s="382"/>
      <c r="L3" s="382"/>
    </row>
    <row r="4" spans="1:16" ht="17.100000000000001" customHeight="1">
      <c r="A4" s="382"/>
      <c r="B4" s="2385"/>
      <c r="C4" s="2385"/>
      <c r="D4" s="2385" t="s">
        <v>108</v>
      </c>
      <c r="E4" s="2385"/>
      <c r="F4" s="2385" t="s">
        <v>110</v>
      </c>
      <c r="G4" s="2385" t="s">
        <v>111</v>
      </c>
      <c r="H4" s="2385" t="s">
        <v>111</v>
      </c>
      <c r="I4" s="2385" t="s">
        <v>111</v>
      </c>
      <c r="J4" s="2385"/>
      <c r="K4" s="2385" t="s">
        <v>109</v>
      </c>
      <c r="L4" s="382"/>
    </row>
    <row r="5" spans="1:16" ht="17.100000000000001" customHeight="1">
      <c r="A5" s="382"/>
      <c r="B5" s="2386"/>
      <c r="C5" s="1574"/>
      <c r="D5" s="2386">
        <f>'נתונים לשינוי'!$C$2</f>
        <v>44196</v>
      </c>
      <c r="E5" s="2386"/>
      <c r="F5" s="1574" t="s">
        <v>112</v>
      </c>
      <c r="G5" s="1574" t="s">
        <v>113</v>
      </c>
      <c r="H5" s="1574" t="s">
        <v>114</v>
      </c>
      <c r="I5" s="1574" t="s">
        <v>115</v>
      </c>
      <c r="J5" s="1574" t="s">
        <v>288</v>
      </c>
      <c r="K5" s="2386">
        <f>'נתונים לשינוי'!$C$1</f>
        <v>44561</v>
      </c>
      <c r="L5" s="382"/>
    </row>
    <row r="6" spans="1:16" ht="17.100000000000001" customHeight="1">
      <c r="A6" s="2385" t="s">
        <v>7</v>
      </c>
      <c r="B6" s="137"/>
      <c r="D6" s="2387">
        <v>11959</v>
      </c>
      <c r="E6" s="137"/>
      <c r="F6" s="1534">
        <f>K6-D6</f>
        <v>5707</v>
      </c>
      <c r="K6" s="137">
        <f>ROUND(דוחות!C14/1000,0)</f>
        <v>17666</v>
      </c>
      <c r="L6" s="137">
        <f t="shared" ref="L6:L25" si="0">K6-+SUM(D6:J6)</f>
        <v>0</v>
      </c>
      <c r="N6" s="2385"/>
      <c r="P6" s="2385"/>
    </row>
    <row r="7" spans="1:16" ht="17.100000000000001" customHeight="1">
      <c r="A7" s="2385" t="s">
        <v>149</v>
      </c>
      <c r="B7" s="137"/>
      <c r="D7" s="2387">
        <v>4856</v>
      </c>
      <c r="E7" s="137"/>
      <c r="F7" s="137"/>
      <c r="G7" s="1534">
        <f>K7-D7</f>
        <v>9061</v>
      </c>
      <c r="K7" s="137">
        <f>ROUND(דוחות!C19/1000,0)</f>
        <v>13917</v>
      </c>
      <c r="L7" s="137">
        <f t="shared" si="0"/>
        <v>0</v>
      </c>
      <c r="N7" s="2385"/>
      <c r="P7" s="2385"/>
    </row>
    <row r="8" spans="1:16" ht="17.100000000000001" customHeight="1">
      <c r="A8" s="2385" t="s">
        <v>300</v>
      </c>
      <c r="B8" s="137"/>
      <c r="C8" s="137"/>
      <c r="D8" s="2387">
        <v>0</v>
      </c>
      <c r="E8" s="137"/>
      <c r="G8" s="141"/>
      <c r="I8" s="32">
        <f>K8-D8</f>
        <v>0</v>
      </c>
      <c r="K8" s="137"/>
      <c r="L8" s="137">
        <f t="shared" si="0"/>
        <v>0</v>
      </c>
      <c r="N8" s="2385"/>
      <c r="P8" s="2385"/>
    </row>
    <row r="9" spans="1:16" ht="17.100000000000001" customHeight="1">
      <c r="A9" s="2385" t="s">
        <v>23</v>
      </c>
      <c r="B9" s="137"/>
      <c r="C9" s="137"/>
      <c r="D9" s="2387">
        <v>5570</v>
      </c>
      <c r="E9" s="137"/>
      <c r="G9" s="1122">
        <f>K9-D9</f>
        <v>-1763.2995700000001</v>
      </c>
      <c r="K9" s="137">
        <f>ROUND((דוחות!C27)/1000,0)+ROUND((דוחות!C39/1000),0)-K7-K14-K10</f>
        <v>3806.7004299999999</v>
      </c>
      <c r="L9" s="137">
        <f t="shared" si="0"/>
        <v>0</v>
      </c>
      <c r="N9" s="2385"/>
      <c r="P9" s="2385"/>
    </row>
    <row r="10" spans="1:16" ht="17.100000000000001" customHeight="1">
      <c r="A10" s="2385" t="s">
        <v>1937</v>
      </c>
      <c r="B10" s="137"/>
      <c r="C10" s="137"/>
      <c r="D10" s="2388">
        <f>1966</f>
        <v>1966</v>
      </c>
      <c r="E10" s="137"/>
      <c r="G10" s="1122">
        <f>K10-D10</f>
        <v>-50.700430000000097</v>
      </c>
      <c r="K10" s="137">
        <f>'מאזן בוחן'!J138/1000+ROUND(דוחות!C39/1000,0)</f>
        <v>1915.2995699999999</v>
      </c>
      <c r="L10" s="137">
        <f>K10-+SUM(D10:J10)</f>
        <v>0</v>
      </c>
      <c r="N10" s="2385"/>
      <c r="P10" s="2385"/>
    </row>
    <row r="11" spans="1:16" ht="17.100000000000001" customHeight="1">
      <c r="A11" s="2385" t="s">
        <v>33</v>
      </c>
      <c r="B11" s="137"/>
      <c r="D11" s="2387">
        <v>1529</v>
      </c>
      <c r="E11" s="137"/>
      <c r="G11" s="1122"/>
      <c r="I11" s="32">
        <f>K11-D11</f>
        <v>-985</v>
      </c>
      <c r="J11" s="137"/>
      <c r="K11" s="137">
        <f>ROUND(דוחות!C33/1000,0)</f>
        <v>544</v>
      </c>
      <c r="L11" s="137">
        <f t="shared" si="0"/>
        <v>0</v>
      </c>
      <c r="N11" s="2385"/>
      <c r="P11" s="2385"/>
    </row>
    <row r="12" spans="1:16" ht="17.100000000000001" customHeight="1">
      <c r="A12" s="2385" t="s">
        <v>1935</v>
      </c>
      <c r="B12" s="137"/>
      <c r="D12" s="2387">
        <v>0</v>
      </c>
      <c r="E12" s="137"/>
      <c r="G12" s="141">
        <f>K12-D12</f>
        <v>0</v>
      </c>
      <c r="I12" s="137"/>
      <c r="J12" s="137"/>
      <c r="K12" s="137"/>
      <c r="L12" s="137">
        <f t="shared" si="0"/>
        <v>0</v>
      </c>
      <c r="N12" s="2385"/>
      <c r="P12" s="2385"/>
    </row>
    <row r="13" spans="1:16" ht="17.100000000000001" customHeight="1">
      <c r="A13" s="2385" t="s">
        <v>116</v>
      </c>
      <c r="B13" s="137"/>
      <c r="D13" s="2387">
        <v>7224</v>
      </c>
      <c r="G13" s="1122">
        <f>-FA!G15/1000-3</f>
        <v>-2892.3739999999998</v>
      </c>
      <c r="I13" s="2376">
        <f>FA!C15/1000</f>
        <v>1375.6969999999999</v>
      </c>
      <c r="K13" s="137">
        <f>ROUND(דוחות!C35/1000,0)</f>
        <v>5697</v>
      </c>
      <c r="L13" s="137">
        <f>K13-+SUM(D13:J13)</f>
        <v>-10.32300000000032</v>
      </c>
      <c r="N13" s="2385"/>
      <c r="P13" s="382"/>
    </row>
    <row r="14" spans="1:16" ht="17.100000000000001" customHeight="1">
      <c r="A14" s="382" t="s">
        <v>1939</v>
      </c>
      <c r="B14" s="137"/>
      <c r="D14" s="2388">
        <v>20948</v>
      </c>
      <c r="G14" s="1122">
        <f>K14-D14-J14</f>
        <v>15529</v>
      </c>
      <c r="J14" s="32">
        <f>-J15</f>
        <v>0</v>
      </c>
      <c r="K14" s="137">
        <f>ROUND(דוחות!C26/1000,0)+ROUND(דוחות!C25/1000,0)</f>
        <v>36477</v>
      </c>
      <c r="L14" s="137">
        <f t="shared" si="0"/>
        <v>0</v>
      </c>
      <c r="N14" s="382"/>
      <c r="P14" s="382"/>
    </row>
    <row r="15" spans="1:16" ht="17.100000000000001" customHeight="1">
      <c r="A15" s="382" t="s">
        <v>276</v>
      </c>
      <c r="B15" s="137"/>
      <c r="D15" s="2387">
        <v>0</v>
      </c>
      <c r="E15" s="137"/>
      <c r="G15" s="141"/>
      <c r="J15" s="32">
        <f>-G15</f>
        <v>0</v>
      </c>
      <c r="K15" s="137">
        <v>0</v>
      </c>
      <c r="L15" s="137">
        <f t="shared" si="0"/>
        <v>0</v>
      </c>
      <c r="N15" s="382"/>
      <c r="P15" s="2385"/>
    </row>
    <row r="16" spans="1:16" ht="17.100000000000001" customHeight="1">
      <c r="A16" s="382" t="s">
        <v>317</v>
      </c>
      <c r="B16" s="137"/>
      <c r="D16" s="2387">
        <v>0</v>
      </c>
      <c r="E16" s="137"/>
      <c r="G16" s="137">
        <f>K16-D16</f>
        <v>0</v>
      </c>
      <c r="K16" s="137"/>
      <c r="L16" s="137">
        <f t="shared" si="0"/>
        <v>0</v>
      </c>
      <c r="N16" s="382"/>
      <c r="P16" s="2385"/>
    </row>
    <row r="17" spans="1:16" ht="17.100000000000001" customHeight="1">
      <c r="A17" s="382" t="s">
        <v>223</v>
      </c>
      <c r="B17" s="137"/>
      <c r="D17" s="2387">
        <v>-5647</v>
      </c>
      <c r="E17" s="137"/>
      <c r="G17" s="1122">
        <f>K17-D17</f>
        <v>-1443</v>
      </c>
      <c r="K17" s="137">
        <f>-ROUND(דוחות!J13/1000,0)</f>
        <v>-7090</v>
      </c>
      <c r="L17" s="137">
        <f t="shared" si="0"/>
        <v>0</v>
      </c>
      <c r="N17" s="382"/>
      <c r="P17" s="2385"/>
    </row>
    <row r="18" spans="1:16" ht="17.100000000000001" customHeight="1">
      <c r="A18" s="2385" t="s">
        <v>18</v>
      </c>
      <c r="B18" s="137"/>
      <c r="D18" s="2387">
        <v>-65471</v>
      </c>
      <c r="E18" s="137"/>
      <c r="G18" s="1122">
        <f>K18-D18</f>
        <v>10597</v>
      </c>
      <c r="K18" s="137">
        <f>-ROUND(דוחות!J22/1000,0)-K17-K19</f>
        <v>-54874</v>
      </c>
      <c r="L18" s="137">
        <f t="shared" si="0"/>
        <v>0</v>
      </c>
      <c r="N18" s="2385"/>
      <c r="P18" s="2385"/>
    </row>
    <row r="19" spans="1:16" ht="17.100000000000001" customHeight="1">
      <c r="A19" s="2385" t="s">
        <v>224</v>
      </c>
      <c r="B19" s="137"/>
      <c r="D19" s="2388">
        <v>-5296</v>
      </c>
      <c r="E19" s="137"/>
      <c r="G19" s="1122">
        <f>K19-D19-D20</f>
        <v>-9538</v>
      </c>
      <c r="H19" s="137"/>
      <c r="K19" s="137">
        <f>-ROUND(דוחות!J21/1000,0)</f>
        <v>-14834</v>
      </c>
      <c r="L19" s="137">
        <f>K19-+SUM(D19:J19)</f>
        <v>0</v>
      </c>
      <c r="N19" s="2385"/>
      <c r="P19" s="2385"/>
    </row>
    <row r="20" spans="1:16" ht="17.100000000000001" customHeight="1">
      <c r="A20" s="2385" t="s">
        <v>1938</v>
      </c>
      <c r="B20" s="137"/>
      <c r="D20" s="2389"/>
      <c r="E20" s="137"/>
      <c r="G20" s="1122"/>
      <c r="H20" s="137"/>
      <c r="K20" s="137"/>
      <c r="L20" s="137">
        <f>K20-+SUM(D20:J20)</f>
        <v>0</v>
      </c>
      <c r="N20" s="2385"/>
      <c r="P20" s="2385"/>
    </row>
    <row r="21" spans="1:16" ht="17.100000000000001" customHeight="1">
      <c r="A21" s="2385" t="s">
        <v>225</v>
      </c>
      <c r="B21" s="137"/>
      <c r="C21" s="137"/>
      <c r="D21" s="2387">
        <v>-3489</v>
      </c>
      <c r="E21" s="137"/>
      <c r="G21" s="1122">
        <f>K21-D21</f>
        <v>-28479</v>
      </c>
      <c r="K21" s="137">
        <f>-ROUND(דוחות!J26/1000,0)-ROUND(דוחות!J27/1000,0)</f>
        <v>-31968</v>
      </c>
      <c r="L21" s="137">
        <f>K21-+SUM(D21:J21)</f>
        <v>0</v>
      </c>
      <c r="N21" s="2385"/>
      <c r="P21" s="2385"/>
    </row>
    <row r="22" spans="1:16" ht="17.100000000000001" customHeight="1">
      <c r="A22" s="2385" t="s">
        <v>117</v>
      </c>
      <c r="B22" s="137"/>
      <c r="D22" s="2387">
        <v>-4262</v>
      </c>
      <c r="E22" s="137"/>
      <c r="F22" s="2377"/>
      <c r="G22" s="1122">
        <f>K22-D22-J22</f>
        <v>-319</v>
      </c>
      <c r="H22" s="2377"/>
      <c r="I22" s="2377"/>
      <c r="J22" s="2377"/>
      <c r="K22" s="137">
        <f>-ROUND(דוחות!J29/1000,0)+ROUND(דוחות!C37/1000,0)</f>
        <v>-4581</v>
      </c>
      <c r="L22" s="137">
        <f t="shared" si="0"/>
        <v>0</v>
      </c>
      <c r="N22" s="2385"/>
      <c r="P22" s="2385"/>
    </row>
    <row r="23" spans="1:16" ht="17.100000000000001" customHeight="1">
      <c r="A23" s="2385" t="s">
        <v>32</v>
      </c>
      <c r="B23" s="137"/>
      <c r="D23" s="2387">
        <v>0</v>
      </c>
      <c r="E23" s="137"/>
      <c r="F23" s="2377"/>
      <c r="G23" s="137"/>
      <c r="H23" s="2377"/>
      <c r="I23" s="2377"/>
      <c r="J23" s="2377"/>
      <c r="K23" s="137">
        <f>-ROUND(דוחות!J32/1000,0)</f>
        <v>0</v>
      </c>
      <c r="L23" s="137">
        <f t="shared" si="0"/>
        <v>0</v>
      </c>
      <c r="N23" s="2385"/>
      <c r="P23" s="2385"/>
    </row>
    <row r="24" spans="1:16" ht="17.100000000000001" customHeight="1">
      <c r="A24" s="2385" t="s">
        <v>283</v>
      </c>
      <c r="B24" s="137"/>
      <c r="D24" s="2387">
        <v>0</v>
      </c>
      <c r="E24" s="137"/>
      <c r="F24" s="2377"/>
      <c r="G24" s="137"/>
      <c r="H24" s="2377"/>
      <c r="I24" s="2377"/>
      <c r="J24" s="2377"/>
      <c r="K24" s="137">
        <v>0</v>
      </c>
      <c r="L24" s="137">
        <f t="shared" si="0"/>
        <v>0</v>
      </c>
      <c r="N24" s="2385"/>
      <c r="P24" s="2385"/>
    </row>
    <row r="25" spans="1:16" ht="17.100000000000001" customHeight="1">
      <c r="A25" s="2385" t="s">
        <v>1936</v>
      </c>
      <c r="B25" s="137"/>
      <c r="D25" s="2388">
        <f>'מאזן בוחן'!J520/1000</f>
        <v>-20037.608</v>
      </c>
      <c r="E25" s="137"/>
      <c r="F25" s="2377"/>
      <c r="G25" s="137"/>
      <c r="H25" s="2377"/>
      <c r="I25" s="2377"/>
      <c r="J25" s="2377"/>
      <c r="K25" s="137">
        <v>0</v>
      </c>
      <c r="L25" s="137">
        <f t="shared" si="0"/>
        <v>20037.608</v>
      </c>
      <c r="N25" s="2385"/>
      <c r="P25" s="2385"/>
    </row>
    <row r="26" spans="1:16" ht="17.100000000000001" customHeight="1">
      <c r="A26" s="2385" t="s">
        <v>118</v>
      </c>
      <c r="B26" s="137"/>
      <c r="D26" s="2387">
        <v>51230</v>
      </c>
      <c r="E26" s="137"/>
      <c r="F26" s="2377"/>
      <c r="G26" s="137">
        <f>K26-D26-J26-D25</f>
        <v>2350.6080000000002</v>
      </c>
      <c r="H26" s="2377"/>
      <c r="I26" s="2377"/>
      <c r="J26" s="2377"/>
      <c r="K26" s="137">
        <f>-ROUND(דוחות!J38/1000,0)-K23-K24-K25</f>
        <v>33543</v>
      </c>
      <c r="L26" s="137">
        <f>K26-+SUM(D26:J26)</f>
        <v>-20037.608</v>
      </c>
      <c r="N26" s="2385"/>
      <c r="P26" s="2385"/>
    </row>
    <row r="27" spans="1:16" ht="17.100000000000001" customHeight="1" thickBot="1">
      <c r="A27" s="2390"/>
      <c r="B27" s="2390">
        <f>SUM(B6:B22)</f>
        <v>0</v>
      </c>
      <c r="C27" s="2390">
        <f>SUM(C6:C22)</f>
        <v>0</v>
      </c>
      <c r="D27" s="2390">
        <f>SUM(D6:D26)</f>
        <v>1079.3919999999998</v>
      </c>
      <c r="E27" s="2390">
        <f t="shared" ref="E27:K27" si="1">SUM(E6:E26)</f>
        <v>0</v>
      </c>
      <c r="F27" s="2390">
        <f t="shared" si="1"/>
        <v>5707</v>
      </c>
      <c r="G27" s="2390">
        <f t="shared" si="1"/>
        <v>-6947.7659999999996</v>
      </c>
      <c r="H27" s="2390">
        <f t="shared" si="1"/>
        <v>0</v>
      </c>
      <c r="I27" s="2390">
        <f t="shared" si="1"/>
        <v>390.69699999999989</v>
      </c>
      <c r="J27" s="2390">
        <f t="shared" si="1"/>
        <v>0</v>
      </c>
      <c r="K27" s="2390">
        <f t="shared" si="1"/>
        <v>219</v>
      </c>
      <c r="L27" s="2390">
        <f>SUM(L6:L26)</f>
        <v>-10.32300000000032</v>
      </c>
    </row>
    <row r="28" spans="1:16" ht="17.100000000000001" customHeight="1">
      <c r="A28" s="382"/>
      <c r="C28" s="137"/>
      <c r="G28" s="32">
        <f>G26+דוחות!P65/1000</f>
        <v>-11246.790785004367</v>
      </c>
    </row>
    <row r="29" spans="1:16" ht="17.100000000000001" customHeight="1">
      <c r="A29" s="382"/>
      <c r="C29" s="137"/>
    </row>
    <row r="30" spans="1:16" ht="17.100000000000001" customHeight="1">
      <c r="A30" s="382"/>
      <c r="C30" s="137"/>
    </row>
    <row r="31" spans="1:16" ht="17.100000000000001" customHeight="1">
      <c r="A31" s="382"/>
      <c r="C31" s="137"/>
    </row>
    <row r="32" spans="1:16" ht="17.100000000000001" customHeight="1">
      <c r="A32" s="382"/>
    </row>
    <row r="33" spans="1:6" ht="17.100000000000001" customHeight="1">
      <c r="A33" s="2381"/>
    </row>
    <row r="34" spans="1:6" ht="17.100000000000001" customHeight="1">
      <c r="A34" s="382"/>
    </row>
    <row r="35" spans="1:6" ht="17.100000000000001" customHeight="1">
      <c r="A35" s="2378"/>
      <c r="B35" s="405"/>
    </row>
    <row r="36" spans="1:6" ht="17.100000000000001" customHeight="1">
      <c r="A36" s="389"/>
      <c r="B36" s="405"/>
      <c r="D36" s="1952" t="str">
        <f>דוחות!A1</f>
        <v>Algosec System Ltd</v>
      </c>
      <c r="E36" s="1952"/>
    </row>
    <row r="37" spans="1:6" ht="17.100000000000001" customHeight="1">
      <c r="A37" s="2379"/>
      <c r="B37" s="405"/>
      <c r="D37" s="2391"/>
      <c r="E37" s="2383"/>
    </row>
    <row r="38" spans="1:6" ht="17.100000000000001" customHeight="1">
      <c r="A38" s="2380"/>
      <c r="D38" s="1952" t="s">
        <v>107</v>
      </c>
      <c r="E38" s="1952"/>
      <c r="F38" s="1947"/>
    </row>
    <row r="39" spans="1:6" ht="17.100000000000001" customHeight="1">
      <c r="A39" s="2380"/>
      <c r="D39" s="1952" t="s">
        <v>106</v>
      </c>
      <c r="E39" s="1952"/>
    </row>
    <row r="40" spans="1:6">
      <c r="A40" s="382"/>
      <c r="D40" s="1947"/>
      <c r="E40" s="1947"/>
    </row>
    <row r="41" spans="1:6" ht="17.100000000000001" customHeight="1">
      <c r="A41" s="1574" t="s">
        <v>271</v>
      </c>
      <c r="D41" s="137">
        <f>-G26</f>
        <v>-2350.6080000000002</v>
      </c>
      <c r="E41" s="137"/>
    </row>
    <row r="42" spans="1:6">
      <c r="D42" s="137"/>
    </row>
    <row r="43" spans="1:6">
      <c r="A43" s="1574" t="s">
        <v>119</v>
      </c>
      <c r="D43" s="137"/>
    </row>
    <row r="44" spans="1:6" ht="17.100000000000001" customHeight="1">
      <c r="A44" s="405"/>
      <c r="D44" s="137"/>
      <c r="E44" s="137"/>
    </row>
    <row r="45" spans="1:6" ht="17.100000000000001" customHeight="1">
      <c r="A45" s="405"/>
      <c r="D45" s="137"/>
      <c r="E45" s="137"/>
    </row>
    <row r="46" spans="1:6">
      <c r="A46" s="405" t="s">
        <v>120</v>
      </c>
      <c r="D46" s="137">
        <f>-G13</f>
        <v>2892.3739999999998</v>
      </c>
      <c r="E46" s="137"/>
    </row>
    <row r="47" spans="1:6">
      <c r="A47" s="405" t="s">
        <v>222</v>
      </c>
      <c r="D47" s="137">
        <f>-G12</f>
        <v>0</v>
      </c>
      <c r="E47" s="137"/>
    </row>
    <row r="48" spans="1:6">
      <c r="A48" s="405" t="s">
        <v>188</v>
      </c>
      <c r="D48" s="137"/>
      <c r="E48" s="137"/>
    </row>
    <row r="49" spans="1:5">
      <c r="A49" s="405" t="s">
        <v>273</v>
      </c>
      <c r="D49" s="137">
        <f>-G7</f>
        <v>-9061</v>
      </c>
      <c r="E49" s="137"/>
    </row>
    <row r="50" spans="1:5">
      <c r="A50" s="405" t="s">
        <v>274</v>
      </c>
      <c r="D50" s="137">
        <f>-G17</f>
        <v>1443</v>
      </c>
      <c r="E50" s="137"/>
    </row>
    <row r="51" spans="1:5">
      <c r="A51" s="405" t="s">
        <v>121</v>
      </c>
      <c r="D51" s="141">
        <f>-G22</f>
        <v>319</v>
      </c>
      <c r="E51" s="137"/>
    </row>
    <row r="52" spans="1:5">
      <c r="A52" s="405" t="s">
        <v>122</v>
      </c>
      <c r="D52" s="141">
        <f>-G9-G14-G10</f>
        <v>-13715</v>
      </c>
    </row>
    <row r="53" spans="1:5">
      <c r="A53" s="405" t="s">
        <v>272</v>
      </c>
      <c r="D53" s="137">
        <f>-G18</f>
        <v>-10597</v>
      </c>
    </row>
    <row r="54" spans="1:5">
      <c r="A54" s="405" t="s">
        <v>275</v>
      </c>
      <c r="D54" s="137">
        <f>-G19</f>
        <v>9538</v>
      </c>
    </row>
    <row r="55" spans="1:5">
      <c r="A55" s="405" t="s">
        <v>0</v>
      </c>
      <c r="D55" s="2377">
        <f>-G21</f>
        <v>28479</v>
      </c>
    </row>
    <row r="56" spans="1:5">
      <c r="A56" s="137"/>
      <c r="D56" s="382">
        <f>SUM(D44:D55)</f>
        <v>9298.3739999999998</v>
      </c>
      <c r="E56" s="137"/>
    </row>
    <row r="57" spans="1:5">
      <c r="D57" s="137"/>
      <c r="E57" s="137"/>
    </row>
    <row r="58" spans="1:5" ht="13.5" thickBot="1">
      <c r="A58" s="405" t="s">
        <v>123</v>
      </c>
      <c r="D58" s="93">
        <f>D56+D41</f>
        <v>6947.7659999999996</v>
      </c>
      <c r="E58" s="137"/>
    </row>
    <row r="59" spans="1:5">
      <c r="A59" s="382"/>
      <c r="D59" s="137"/>
      <c r="E59" s="137"/>
    </row>
    <row r="60" spans="1:5">
      <c r="A60" s="1574" t="s">
        <v>124</v>
      </c>
      <c r="D60" s="137"/>
    </row>
    <row r="61" spans="1:5">
      <c r="A61" s="405" t="s">
        <v>125</v>
      </c>
      <c r="D61" s="2392"/>
    </row>
    <row r="62" spans="1:5">
      <c r="A62" s="405" t="s">
        <v>1501</v>
      </c>
      <c r="D62" s="141">
        <f>ROUND(-I11,0)-I8</f>
        <v>985</v>
      </c>
    </row>
    <row r="63" spans="1:5">
      <c r="A63" s="405" t="s">
        <v>126</v>
      </c>
      <c r="D63" s="141">
        <f>-I13</f>
        <v>-1375.6969999999999</v>
      </c>
    </row>
    <row r="64" spans="1:5" ht="13.5" thickBot="1">
      <c r="A64" s="382"/>
      <c r="D64" s="93">
        <f>SUM(D61:D63)</f>
        <v>-390.69699999999989</v>
      </c>
      <c r="E64" s="137"/>
    </row>
    <row r="65" spans="1:5">
      <c r="D65" s="137"/>
      <c r="E65" s="405"/>
    </row>
    <row r="66" spans="1:5">
      <c r="A66" s="1574" t="s">
        <v>127</v>
      </c>
      <c r="D66" s="137"/>
      <c r="E66" s="137"/>
    </row>
    <row r="67" spans="1:5">
      <c r="A67" s="137" t="s">
        <v>128</v>
      </c>
      <c r="D67" s="51">
        <f>-H13</f>
        <v>0</v>
      </c>
      <c r="E67" s="137"/>
    </row>
    <row r="68" spans="1:5">
      <c r="A68" s="137" t="s">
        <v>105</v>
      </c>
      <c r="D68" s="51">
        <f>-H17</f>
        <v>0</v>
      </c>
      <c r="E68" s="137"/>
    </row>
    <row r="69" spans="1:5">
      <c r="A69" s="137" t="s">
        <v>129</v>
      </c>
      <c r="D69" s="51"/>
      <c r="E69" s="137"/>
    </row>
    <row r="70" spans="1:5">
      <c r="A70" s="137" t="s">
        <v>130</v>
      </c>
      <c r="D70" s="51">
        <v>0</v>
      </c>
      <c r="E70" s="137"/>
    </row>
    <row r="71" spans="1:5" ht="13.5" thickBot="1">
      <c r="A71" s="137"/>
      <c r="D71" s="1130">
        <f>SUM(D67:D70)</f>
        <v>0</v>
      </c>
      <c r="E71" s="137"/>
    </row>
    <row r="72" spans="1:5">
      <c r="D72" s="137"/>
    </row>
    <row r="73" spans="1:5">
      <c r="A73" s="137"/>
      <c r="D73" s="137"/>
      <c r="E73" s="137"/>
    </row>
    <row r="74" spans="1:5">
      <c r="A74" s="405" t="s">
        <v>131</v>
      </c>
      <c r="D74" s="137">
        <f>D71+D64+D58</f>
        <v>6557.0689999999995</v>
      </c>
    </row>
    <row r="75" spans="1:5">
      <c r="A75" s="405" t="s">
        <v>132</v>
      </c>
      <c r="D75" s="482">
        <f>D6</f>
        <v>11959</v>
      </c>
    </row>
    <row r="76" spans="1:5">
      <c r="A76" s="405" t="s">
        <v>133</v>
      </c>
      <c r="D76" s="137">
        <f>SUM(D74:D75)</f>
        <v>18516.069</v>
      </c>
      <c r="E76" s="137"/>
    </row>
    <row r="77" spans="1:5">
      <c r="A77" s="405" t="s">
        <v>134</v>
      </c>
      <c r="D77" s="137">
        <f>'מאזן בוחן'!J31/1000</f>
        <v>17666.222639999996</v>
      </c>
      <c r="E77" s="137"/>
    </row>
    <row r="78" spans="1:5" ht="13.5" thickBot="1">
      <c r="A78" s="137" t="s">
        <v>135</v>
      </c>
      <c r="D78" s="1130">
        <f>D76-D77</f>
        <v>849.84636000000319</v>
      </c>
    </row>
    <row r="79" spans="1:5">
      <c r="D79" s="137"/>
    </row>
    <row r="80" spans="1:5">
      <c r="D80" s="137"/>
    </row>
    <row r="81" spans="4:5">
      <c r="D81" s="137"/>
      <c r="E81" s="137"/>
    </row>
    <row r="82" spans="4:5">
      <c r="E82" s="137"/>
    </row>
    <row r="83" spans="4:5">
      <c r="E83" s="137"/>
    </row>
    <row r="84" spans="4:5">
      <c r="E84" s="137"/>
    </row>
  </sheetData>
  <customSheetViews>
    <customSheetView guid="{AE4A63B3-88A2-451A-9F53-7674162F018D}" fitToPage="1" hiddenRows="1" topLeftCell="A5">
      <selection activeCell="D24" sqref="D24"/>
      <pageMargins left="0.5" right="0.5" top="0.5" bottom="0.55000000000000004" header="0.5" footer="0.5"/>
      <printOptions horizontalCentered="1" gridLines="1"/>
      <pageSetup paperSize="9" scale="81" orientation="landscape" horizontalDpi="300" verticalDpi="300" r:id="rId1"/>
      <headerFooter alignWithMargins="0"/>
    </customSheetView>
    <customSheetView guid="{6C6AF7F1-37F2-45B8-A395-4149314EE5A8}" fitToPage="1" hiddenRows="1" topLeftCell="A5">
      <selection activeCell="D24" sqref="D24"/>
      <pageMargins left="0.5" right="0.5" top="0.5" bottom="0.55000000000000004" header="0.5" footer="0.5"/>
      <printOptions horizontalCentered="1" gridLines="1"/>
      <pageSetup paperSize="9" scale="81" orientation="landscape" horizontalDpi="300" verticalDpi="300" r:id="rId2"/>
      <headerFooter alignWithMargins="0"/>
    </customSheetView>
  </customSheetViews>
  <phoneticPr fontId="0" type="noConversion"/>
  <printOptions horizontalCentered="1" gridLines="1" gridLinesSet="0"/>
  <pageMargins left="0.5" right="0.5" top="0.5" bottom="0.55000000000000004" header="0.5" footer="0.5"/>
  <pageSetup paperSize="9" scale="44" orientation="landscape" horizontalDpi="300" verticalDpi="300" r:id="rId3"/>
  <headerFooter alignWithMargins="0"/>
  <ignoredErrors>
    <ignoredError sqref="D64" evalError="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35">
    <tabColor indexed="46"/>
    <pageSetUpPr fitToPage="1"/>
  </sheetPr>
  <dimension ref="B1:S70"/>
  <sheetViews>
    <sheetView rightToLeft="1" zoomScaleNormal="100" workbookViewId="0">
      <selection activeCell="N17" sqref="N17"/>
    </sheetView>
  </sheetViews>
  <sheetFormatPr defaultColWidth="9.83203125" defaultRowHeight="12.75"/>
  <cols>
    <col min="1" max="1" width="9.83203125" style="32"/>
    <col min="2" max="2" width="31.33203125" style="32" customWidth="1"/>
    <col min="3" max="3" width="13.6640625" style="32" customWidth="1"/>
    <col min="4" max="4" width="10.33203125" style="32" customWidth="1"/>
    <col min="5" max="5" width="9.1640625" style="32" customWidth="1"/>
    <col min="6" max="6" width="7.83203125" style="253" bestFit="1" customWidth="1"/>
    <col min="7" max="7" width="7.83203125" style="32" bestFit="1" customWidth="1"/>
    <col min="8" max="8" width="12" style="32" customWidth="1"/>
    <col min="9" max="9" width="12.33203125" style="32" bestFit="1" customWidth="1"/>
    <col min="10" max="10" width="7.33203125" style="32" bestFit="1" customWidth="1"/>
    <col min="11" max="11" width="16.6640625" style="32" customWidth="1"/>
    <col min="12" max="12" width="3" style="32" customWidth="1"/>
    <col min="13" max="13" width="39" style="32" customWidth="1"/>
    <col min="14" max="14" width="18" style="32" bestFit="1" customWidth="1"/>
    <col min="15" max="15" width="14.83203125" style="32" bestFit="1" customWidth="1"/>
    <col min="16" max="16" width="9.83203125" style="32"/>
    <col min="17" max="17" width="6.6640625" style="32" bestFit="1" customWidth="1"/>
    <col min="18" max="18" width="12.5" style="32" customWidth="1"/>
    <col min="19" max="19" width="14.5" style="32" bestFit="1" customWidth="1"/>
    <col min="20" max="16384" width="9.83203125" style="32"/>
  </cols>
  <sheetData>
    <row r="1" spans="2:19" ht="13.5" thickBot="1">
      <c r="C1" s="2382"/>
      <c r="G1" s="2384"/>
      <c r="H1" s="2384"/>
    </row>
    <row r="2" spans="2:19" ht="13.5" thickBot="1">
      <c r="B2" s="4432" t="s">
        <v>289</v>
      </c>
      <c r="C2" s="4433"/>
      <c r="D2" s="4433"/>
      <c r="E2" s="4433"/>
      <c r="F2" s="4433"/>
      <c r="G2" s="4433"/>
      <c r="H2" s="4433"/>
      <c r="I2" s="4433"/>
      <c r="J2" s="4434"/>
      <c r="M2" s="550" t="s">
        <v>3626</v>
      </c>
      <c r="N2" s="4139"/>
    </row>
    <row r="3" spans="2:19" ht="13.5" thickBot="1">
      <c r="B3" s="2401"/>
      <c r="C3" s="415"/>
      <c r="D3" s="92"/>
      <c r="E3" s="92"/>
      <c r="F3" s="2402"/>
      <c r="G3" s="92"/>
      <c r="H3" s="92"/>
      <c r="I3" s="92"/>
      <c r="J3" s="734"/>
      <c r="M3" s="650" t="s">
        <v>3627</v>
      </c>
      <c r="N3" s="2751">
        <f>C13</f>
        <v>2126</v>
      </c>
    </row>
    <row r="4" spans="2:19" ht="13.5" thickBot="1">
      <c r="B4" s="2403"/>
      <c r="C4" s="72" t="s">
        <v>108</v>
      </c>
      <c r="D4" s="72" t="s">
        <v>110</v>
      </c>
      <c r="E4" s="72" t="s">
        <v>111</v>
      </c>
      <c r="F4" s="207" t="s">
        <v>111</v>
      </c>
      <c r="G4" s="72" t="s">
        <v>111</v>
      </c>
      <c r="H4" s="72" t="s">
        <v>5024</v>
      </c>
      <c r="I4" s="72" t="s">
        <v>109</v>
      </c>
      <c r="J4" s="2404"/>
      <c r="M4" s="650" t="s">
        <v>3628</v>
      </c>
      <c r="N4" s="4271">
        <f>SUM(N17)/1000</f>
        <v>573.51864</v>
      </c>
      <c r="O4" s="956">
        <f>N4+N6-G13-H13</f>
        <v>-0.38780000000009807</v>
      </c>
    </row>
    <row r="5" spans="2:19" ht="13.5" thickBot="1">
      <c r="B5" s="2403"/>
      <c r="C5" s="2405">
        <f>'תזרים Algosec LTD בש"ח'!D5</f>
        <v>44196</v>
      </c>
      <c r="D5" s="59" t="s">
        <v>112</v>
      </c>
      <c r="E5" s="59" t="s">
        <v>113</v>
      </c>
      <c r="F5" s="2374" t="s">
        <v>114</v>
      </c>
      <c r="G5" s="59" t="s">
        <v>115</v>
      </c>
      <c r="H5" s="59" t="s">
        <v>5025</v>
      </c>
      <c r="I5" s="2405">
        <f>'תזרים Algosec LTD בש"ח'!K5</f>
        <v>44561</v>
      </c>
      <c r="J5" s="2404"/>
      <c r="M5" s="650" t="s">
        <v>3629</v>
      </c>
      <c r="N5" s="4272">
        <f>-N26/1000</f>
        <v>-849.60136</v>
      </c>
      <c r="O5" s="956">
        <f>N5+N7-E13</f>
        <v>0</v>
      </c>
    </row>
    <row r="6" spans="2:19">
      <c r="B6" s="2406" t="s">
        <v>7</v>
      </c>
      <c r="C6" s="51">
        <v>31701</v>
      </c>
      <c r="D6" s="52">
        <f>I6-C6</f>
        <v>3460</v>
      </c>
      <c r="E6" s="383"/>
      <c r="F6" s="562"/>
      <c r="G6" s="383"/>
      <c r="H6" s="383"/>
      <c r="I6" s="51">
        <f>ROUND(Consolidation!N10/1000,0)</f>
        <v>35161</v>
      </c>
      <c r="J6" s="146">
        <f>I6-+SUM(C6:H6)</f>
        <v>0</v>
      </c>
      <c r="M6" s="650" t="s">
        <v>3630</v>
      </c>
      <c r="N6" s="4272">
        <f>-'מאזן בוחן'!$K$556/1000-'New TB INC'!J1027/1000</f>
        <v>-8.6170399999999994</v>
      </c>
    </row>
    <row r="7" spans="2:19">
      <c r="B7" s="2406" t="s">
        <v>149</v>
      </c>
      <c r="C7" s="51">
        <v>25035</v>
      </c>
      <c r="D7" s="51"/>
      <c r="E7" s="52">
        <f t="shared" ref="E7:E12" si="0">I7-C7</f>
        <v>3833</v>
      </c>
      <c r="F7" s="562"/>
      <c r="G7" s="383"/>
      <c r="H7" s="383"/>
      <c r="I7" s="51">
        <f>ROUND(Consolidation!N11/1000,0)</f>
        <v>28868</v>
      </c>
      <c r="J7" s="146">
        <f t="shared" ref="J7:J25" si="1">I7-+SUM(C7:H7)</f>
        <v>0</v>
      </c>
      <c r="M7" s="650" t="s">
        <v>3631</v>
      </c>
      <c r="N7" s="4273">
        <f>-'מאזן בוחן'!$K$1005/1000-'New TB INC'!J1027/1000</f>
        <v>-3.68804</v>
      </c>
    </row>
    <row r="8" spans="2:19" ht="13.5" thickBot="1">
      <c r="B8" s="2406" t="s">
        <v>23</v>
      </c>
      <c r="C8" s="52">
        <v>3404</v>
      </c>
      <c r="D8" s="320"/>
      <c r="E8" s="52">
        <f t="shared" si="0"/>
        <v>732</v>
      </c>
      <c r="F8" s="562"/>
      <c r="G8" s="383"/>
      <c r="H8" s="383"/>
      <c r="I8" s="52">
        <f>ROUND(Consolidation!N13/1000,0)</f>
        <v>4136</v>
      </c>
      <c r="J8" s="146">
        <f t="shared" si="1"/>
        <v>0</v>
      </c>
      <c r="M8" s="651"/>
      <c r="N8" s="4140">
        <f>SUM(N3:N7)</f>
        <v>1837.6122</v>
      </c>
    </row>
    <row r="9" spans="2:19" s="380" customFormat="1" ht="13.5" thickBot="1">
      <c r="B9" s="1553" t="s">
        <v>33</v>
      </c>
      <c r="C9" s="52">
        <v>447</v>
      </c>
      <c r="D9" s="383"/>
      <c r="E9" s="52">
        <f t="shared" si="0"/>
        <v>-264</v>
      </c>
      <c r="F9" s="562"/>
      <c r="G9" s="383"/>
      <c r="H9" s="383"/>
      <c r="I9" s="52">
        <f>ROUND(Consolidation!N18/1000,0)</f>
        <v>183</v>
      </c>
      <c r="J9" s="146">
        <f t="shared" si="1"/>
        <v>0</v>
      </c>
      <c r="K9" s="32"/>
      <c r="L9" s="32"/>
      <c r="M9" s="32"/>
      <c r="N9" s="956">
        <f>N8-I13</f>
        <v>-0.38779999999997017</v>
      </c>
      <c r="O9" s="32"/>
      <c r="P9" s="32"/>
      <c r="Q9" s="32"/>
      <c r="R9" s="32"/>
      <c r="S9" s="32"/>
    </row>
    <row r="10" spans="2:19" ht="13.5" thickBot="1">
      <c r="B10" s="1553" t="s">
        <v>2181</v>
      </c>
      <c r="C10" s="52">
        <v>1707</v>
      </c>
      <c r="D10" s="320"/>
      <c r="E10" s="52">
        <f t="shared" si="0"/>
        <v>261</v>
      </c>
      <c r="F10" s="562"/>
      <c r="G10" s="383"/>
      <c r="H10" s="383"/>
      <c r="I10" s="52">
        <f>+ROUND(Consolidation!N19/1000,0)</f>
        <v>1968</v>
      </c>
      <c r="J10" s="146">
        <f t="shared" si="1"/>
        <v>0</v>
      </c>
    </row>
    <row r="11" spans="2:19">
      <c r="B11" s="1553" t="s">
        <v>514</v>
      </c>
      <c r="C11" s="52">
        <v>367</v>
      </c>
      <c r="D11" s="320"/>
      <c r="E11" s="52">
        <f t="shared" si="0"/>
        <v>-114</v>
      </c>
      <c r="F11" s="562"/>
      <c r="G11" s="383"/>
      <c r="H11" s="383"/>
      <c r="I11" s="52">
        <f>ROUND(Consolidation!N20/1000,0)</f>
        <v>253</v>
      </c>
      <c r="J11" s="146">
        <f t="shared" si="1"/>
        <v>0</v>
      </c>
      <c r="M11" s="550" t="s">
        <v>4868</v>
      </c>
      <c r="N11" s="734"/>
    </row>
    <row r="12" spans="2:19" s="380" customFormat="1">
      <c r="B12" s="1553" t="s">
        <v>333</v>
      </c>
      <c r="C12" s="52">
        <v>89</v>
      </c>
      <c r="D12" s="383"/>
      <c r="E12" s="52">
        <f t="shared" si="0"/>
        <v>-15</v>
      </c>
      <c r="F12" s="562"/>
      <c r="G12" s="52"/>
      <c r="H12" s="52"/>
      <c r="I12" s="52">
        <f>ROUND(Consolidation!N21/1000,0)</f>
        <v>74</v>
      </c>
      <c r="J12" s="146">
        <f t="shared" si="1"/>
        <v>0</v>
      </c>
      <c r="K12" s="32"/>
      <c r="L12" s="32"/>
      <c r="M12" s="650" t="s">
        <v>4861</v>
      </c>
      <c r="N12" s="2751">
        <f>FA!C32</f>
        <v>424073</v>
      </c>
      <c r="O12" s="32"/>
      <c r="P12" s="32"/>
      <c r="Q12" s="32"/>
      <c r="R12" s="32"/>
      <c r="S12" s="32"/>
    </row>
    <row r="13" spans="2:19">
      <c r="B13" s="1553" t="s">
        <v>116</v>
      </c>
      <c r="C13" s="52">
        <v>2126</v>
      </c>
      <c r="D13" s="320"/>
      <c r="E13" s="52">
        <f>N5+N7</f>
        <v>-853.2894</v>
      </c>
      <c r="F13" s="562"/>
      <c r="G13" s="52">
        <f>I13-E13-C13-H13</f>
        <v>504.37675000000013</v>
      </c>
      <c r="H13" s="52">
        <f>N29/1000</f>
        <v>60.912649999999999</v>
      </c>
      <c r="I13" s="52">
        <f>ROUND(Consolidation!N25/1000,0)</f>
        <v>1838</v>
      </c>
      <c r="J13" s="146">
        <f t="shared" si="1"/>
        <v>0</v>
      </c>
      <c r="M13" s="650" t="s">
        <v>4862</v>
      </c>
      <c r="N13" s="2751">
        <f>FA!C44</f>
        <v>51073</v>
      </c>
    </row>
    <row r="14" spans="2:19">
      <c r="B14" s="2051" t="s">
        <v>223</v>
      </c>
      <c r="C14" s="52">
        <v>-1521</v>
      </c>
      <c r="D14" s="320"/>
      <c r="E14" s="52">
        <f>I14-C14-H14</f>
        <v>-992.08735000000001</v>
      </c>
      <c r="F14" s="562"/>
      <c r="G14" s="383"/>
      <c r="H14" s="383">
        <f>-H13</f>
        <v>-60.912649999999999</v>
      </c>
      <c r="I14" s="52">
        <f>-ROUND(Consolidation!N32/1000,0)</f>
        <v>-2574</v>
      </c>
      <c r="J14" s="146">
        <f t="shared" si="1"/>
        <v>0</v>
      </c>
      <c r="M14" s="650" t="s">
        <v>4863</v>
      </c>
      <c r="N14" s="2751">
        <f>FA!C61</f>
        <v>9994</v>
      </c>
    </row>
    <row r="15" spans="2:19">
      <c r="B15" s="1553" t="s">
        <v>18</v>
      </c>
      <c r="C15" s="52">
        <v>-10922</v>
      </c>
      <c r="D15" s="320"/>
      <c r="E15" s="52">
        <f t="shared" ref="E15:E20" si="2">I15-C15</f>
        <v>596</v>
      </c>
      <c r="F15" s="562"/>
      <c r="G15" s="383"/>
      <c r="H15" s="383"/>
      <c r="I15" s="51">
        <f>-ROUND(Consolidation!N33/1000,0)</f>
        <v>-10326</v>
      </c>
      <c r="J15" s="146">
        <f t="shared" si="1"/>
        <v>0</v>
      </c>
      <c r="M15" s="650" t="s">
        <v>4864</v>
      </c>
      <c r="N15" s="2751">
        <f>FA!C92</f>
        <v>34266</v>
      </c>
    </row>
    <row r="16" spans="2:19" ht="13.5" thickBot="1">
      <c r="B16" s="1553" t="s">
        <v>1409</v>
      </c>
      <c r="C16" s="52">
        <v>-8868</v>
      </c>
      <c r="D16" s="320"/>
      <c r="E16" s="52">
        <f t="shared" si="2"/>
        <v>3032</v>
      </c>
      <c r="F16" s="562"/>
      <c r="G16" s="383"/>
      <c r="H16" s="383"/>
      <c r="I16" s="51">
        <f>-ROUND(Consolidation!N34/1000,0)</f>
        <v>-5836</v>
      </c>
      <c r="J16" s="146">
        <f t="shared" si="1"/>
        <v>0</v>
      </c>
      <c r="M16" s="650" t="s">
        <v>4866</v>
      </c>
      <c r="N16" s="4138">
        <f>'מאזן בוחן הודו'!K68-'[19]מאזן בוחן הודו'!$K$62</f>
        <v>54112.640000000007</v>
      </c>
    </row>
    <row r="17" spans="2:15">
      <c r="B17" s="2406" t="s">
        <v>224</v>
      </c>
      <c r="C17" s="52">
        <v>-29430</v>
      </c>
      <c r="D17" s="320"/>
      <c r="E17" s="52">
        <f t="shared" si="2"/>
        <v>-3486</v>
      </c>
      <c r="F17" s="562"/>
      <c r="G17" s="383"/>
      <c r="H17" s="383"/>
      <c r="I17" s="51">
        <f>-ROUND(Consolidation!N35/1000,0)</f>
        <v>-32916</v>
      </c>
      <c r="J17" s="146">
        <f t="shared" si="1"/>
        <v>0</v>
      </c>
      <c r="M17" s="650"/>
      <c r="N17" s="2751">
        <f>SUM(N12:N16)</f>
        <v>573518.64</v>
      </c>
    </row>
    <row r="18" spans="2:15">
      <c r="B18" s="2406" t="s">
        <v>225</v>
      </c>
      <c r="C18" s="52">
        <v>-15049</v>
      </c>
      <c r="D18" s="320"/>
      <c r="E18" s="52">
        <f t="shared" si="2"/>
        <v>-4181</v>
      </c>
      <c r="F18" s="562"/>
      <c r="G18" s="383"/>
      <c r="H18" s="383"/>
      <c r="I18" s="51">
        <f>-ROUND(Consolidation!N43/1000,0)</f>
        <v>-19230</v>
      </c>
      <c r="J18" s="146">
        <f t="shared" si="1"/>
        <v>0</v>
      </c>
      <c r="M18" s="650"/>
      <c r="N18" s="530"/>
    </row>
    <row r="19" spans="2:15">
      <c r="B19" s="2406" t="s">
        <v>5058</v>
      </c>
      <c r="C19" s="52"/>
      <c r="D19" s="320"/>
      <c r="E19" s="52">
        <f t="shared" si="2"/>
        <v>-92</v>
      </c>
      <c r="F19" s="562"/>
      <c r="G19" s="383"/>
      <c r="H19" s="383"/>
      <c r="I19" s="51">
        <f>-ROUND(Consolidation!N41/1000,0)</f>
        <v>-92</v>
      </c>
      <c r="J19" s="146">
        <f t="shared" si="1"/>
        <v>0</v>
      </c>
      <c r="M19" s="650"/>
      <c r="N19" s="530"/>
    </row>
    <row r="20" spans="2:15">
      <c r="B20" s="2406" t="s">
        <v>117</v>
      </c>
      <c r="C20" s="52">
        <v>-1789</v>
      </c>
      <c r="D20" s="320"/>
      <c r="E20" s="52">
        <f t="shared" si="2"/>
        <v>63</v>
      </c>
      <c r="F20" s="562"/>
      <c r="G20" s="383"/>
      <c r="H20" s="383"/>
      <c r="I20" s="51">
        <f>-ROUND(Consolidation!N40/1000,0)</f>
        <v>-1726</v>
      </c>
      <c r="J20" s="146">
        <f t="shared" si="1"/>
        <v>0</v>
      </c>
      <c r="M20" s="554" t="s">
        <v>4867</v>
      </c>
      <c r="N20" s="530"/>
    </row>
    <row r="21" spans="2:15">
      <c r="B21" s="1553" t="s">
        <v>32</v>
      </c>
      <c r="C21" s="52">
        <v>-4</v>
      </c>
      <c r="D21" s="320"/>
      <c r="E21" s="320"/>
      <c r="F21" s="204">
        <f>I21-C21</f>
        <v>0</v>
      </c>
      <c r="G21" s="383"/>
      <c r="H21" s="383"/>
      <c r="I21" s="52">
        <f>ROUND(-4,0)</f>
        <v>-4</v>
      </c>
      <c r="J21" s="146">
        <f t="shared" si="1"/>
        <v>0</v>
      </c>
      <c r="M21" s="650" t="s">
        <v>4861</v>
      </c>
      <c r="N21" s="2751">
        <f>'מאזן בוחן'!$K$748+'מאזן בוחן'!$K$704</f>
        <v>734094.69</v>
      </c>
    </row>
    <row r="22" spans="2:15">
      <c r="B22" s="1553" t="s">
        <v>2812</v>
      </c>
      <c r="C22" s="52">
        <v>-402.37400000000002</v>
      </c>
      <c r="D22" s="320"/>
      <c r="E22" s="976">
        <f>I22-C22</f>
        <v>0</v>
      </c>
      <c r="F22" s="714"/>
      <c r="G22" s="383"/>
      <c r="H22" s="383"/>
      <c r="I22" s="51">
        <f>ROUND('New TB INC'!J440+'New TB INC'!J441+'New TB INC'!J443,0)/1000</f>
        <v>-402.37400000000002</v>
      </c>
      <c r="J22" s="146">
        <f t="shared" si="1"/>
        <v>0</v>
      </c>
      <c r="M22" s="650" t="s">
        <v>4862</v>
      </c>
      <c r="N22" s="2751">
        <f>'New TB INC'!$J$661</f>
        <v>87952</v>
      </c>
    </row>
    <row r="23" spans="2:15">
      <c r="B23" s="1553" t="s">
        <v>2828</v>
      </c>
      <c r="C23" s="52">
        <f>-10694.298+1</f>
        <v>-10693.298000000001</v>
      </c>
      <c r="D23" s="320"/>
      <c r="E23" s="52">
        <f>I23-C23-F23</f>
        <v>-2260.9099999999994</v>
      </c>
      <c r="F23" s="2542">
        <f>-ROUND(SUM('Employee Stock Option Exercised'!C7:C45),0)/1000</f>
        <v>-392.78300000000002</v>
      </c>
      <c r="G23" s="383"/>
      <c r="H23" s="383"/>
      <c r="I23" s="52">
        <f>ROUND('New TB INC'!J444+'New TB INC'!J445+'מאזן בוחן EUROPE'!K303+'מאזן בוחן EUROPE'!K305,0)/1000</f>
        <v>-13346.991</v>
      </c>
      <c r="J23" s="146">
        <f t="shared" si="1"/>
        <v>0</v>
      </c>
      <c r="M23" s="650" t="s">
        <v>4863</v>
      </c>
      <c r="N23" s="2751">
        <f>'מאזן בוחן Australia'!$K$223</f>
        <v>2302.06</v>
      </c>
    </row>
    <row r="24" spans="2:15">
      <c r="B24" s="1553" t="s">
        <v>2811</v>
      </c>
      <c r="C24" s="52">
        <v>0</v>
      </c>
      <c r="D24" s="320"/>
      <c r="E24" s="52">
        <f>I24-C24</f>
        <v>0</v>
      </c>
      <c r="F24" s="714"/>
      <c r="G24" s="383"/>
      <c r="H24" s="383"/>
      <c r="I24" s="52">
        <f>ROUND('New TB INC'!J442/1000,0)</f>
        <v>0</v>
      </c>
      <c r="J24" s="146">
        <f t="shared" si="1"/>
        <v>0</v>
      </c>
      <c r="M24" s="650" t="s">
        <v>4864</v>
      </c>
      <c r="N24" s="2751">
        <f>'מאזן בוחן EUROPE'!$K$391</f>
        <v>6433.08</v>
      </c>
    </row>
    <row r="25" spans="2:15" ht="13.5" thickBot="1">
      <c r="B25" s="1553" t="s">
        <v>2796</v>
      </c>
      <c r="C25" s="51">
        <v>13803</v>
      </c>
      <c r="D25" s="451"/>
      <c r="E25" s="52">
        <f>ROUND(I25-C25,0)</f>
        <v>168</v>
      </c>
      <c r="F25" s="2407"/>
      <c r="G25" s="2408"/>
      <c r="H25" s="2408"/>
      <c r="I25" s="2486">
        <f>-ROUND(Consolidation!N52/1000,0)-ROUND(Consolidation!N51/1000,0)+1</f>
        <v>13971</v>
      </c>
      <c r="J25" s="146">
        <f t="shared" si="1"/>
        <v>0</v>
      </c>
      <c r="M25" s="650" t="s">
        <v>4866</v>
      </c>
      <c r="N25" s="4138">
        <f>'מאזן בוחן הודו'!$K$232</f>
        <v>18819.53</v>
      </c>
    </row>
    <row r="26" spans="2:15" ht="13.5" thickBot="1">
      <c r="B26" s="2409"/>
      <c r="C26" s="2390">
        <f t="shared" ref="C26:I26" si="3">SUM(C6:C25)</f>
        <v>0.32799999999951979</v>
      </c>
      <c r="D26" s="2390">
        <f t="shared" si="3"/>
        <v>3460</v>
      </c>
      <c r="E26" s="2390">
        <f t="shared" si="3"/>
        <v>-3573.2867499999998</v>
      </c>
      <c r="F26" s="2400">
        <f t="shared" si="3"/>
        <v>-392.78300000000002</v>
      </c>
      <c r="G26" s="2390">
        <f t="shared" si="3"/>
        <v>504.37675000000013</v>
      </c>
      <c r="H26" s="2390">
        <f t="shared" si="3"/>
        <v>0</v>
      </c>
      <c r="I26" s="2390">
        <f t="shared" si="3"/>
        <v>-1.3649999999997817</v>
      </c>
      <c r="J26" s="2410">
        <f>SUM(J6:J25)</f>
        <v>0</v>
      </c>
      <c r="M26" s="3427"/>
      <c r="N26" s="4138">
        <f>SUM(N21:N25)</f>
        <v>849601.36</v>
      </c>
    </row>
    <row r="27" spans="2:15" ht="13.5" thickBot="1">
      <c r="B27" s="382"/>
      <c r="C27" s="2393"/>
    </row>
    <row r="28" spans="2:15">
      <c r="M28" s="550" t="s">
        <v>5026</v>
      </c>
      <c r="N28" s="734"/>
    </row>
    <row r="29" spans="2:15" ht="15.75" thickBot="1">
      <c r="F29" s="32"/>
      <c r="G29" s="253"/>
      <c r="H29" s="253"/>
      <c r="K29" s="2419" t="s">
        <v>2797</v>
      </c>
      <c r="L29" s="2419"/>
      <c r="M29" s="650" t="s">
        <v>4861</v>
      </c>
      <c r="N29" s="4282">
        <f>'[124]ספקים פתוחים'!$O$270</f>
        <v>60912.65</v>
      </c>
      <c r="O29" s="4281"/>
    </row>
    <row r="30" spans="2:15" ht="14.25" thickTop="1" thickBot="1">
      <c r="C30" s="6"/>
      <c r="F30" s="32"/>
      <c r="G30" s="253"/>
      <c r="H30" s="253"/>
      <c r="K30" s="696"/>
      <c r="L30" s="696"/>
      <c r="M30" s="3427"/>
      <c r="N30" s="4269"/>
    </row>
    <row r="31" spans="2:15" ht="13.5" thickBot="1">
      <c r="B31" s="956">
        <f>Consolidation!Q77-C31</f>
        <v>-1</v>
      </c>
      <c r="C31" s="6">
        <f>ROUND(-E25,0)</f>
        <v>-168</v>
      </c>
      <c r="F31" s="32"/>
      <c r="G31" s="253"/>
      <c r="H31" s="253"/>
      <c r="K31" s="696" t="s">
        <v>2806</v>
      </c>
      <c r="L31" s="696"/>
    </row>
    <row r="32" spans="2:15">
      <c r="C32" s="6"/>
      <c r="F32" s="32"/>
      <c r="G32" s="253"/>
      <c r="H32" s="253"/>
      <c r="K32" s="2395" t="s">
        <v>635</v>
      </c>
      <c r="L32" s="2395"/>
    </row>
    <row r="33" spans="3:12">
      <c r="C33" s="6"/>
      <c r="F33" s="32"/>
      <c r="G33" s="253"/>
      <c r="H33" s="253"/>
      <c r="K33" s="2395" t="s">
        <v>636</v>
      </c>
      <c r="L33" s="2395"/>
    </row>
    <row r="34" spans="3:12">
      <c r="C34" s="6">
        <f>-N5</f>
        <v>849.60136</v>
      </c>
      <c r="F34" s="32"/>
      <c r="G34" s="253"/>
      <c r="H34" s="253"/>
      <c r="K34" s="696" t="s">
        <v>87</v>
      </c>
      <c r="L34" s="696"/>
    </row>
    <row r="35" spans="3:12">
      <c r="C35" s="6">
        <f>ROUND(-E23,0)-1</f>
        <v>2260</v>
      </c>
      <c r="F35" s="32"/>
      <c r="G35" s="253"/>
      <c r="H35" s="253"/>
      <c r="K35" s="696" t="s">
        <v>637</v>
      </c>
      <c r="L35" s="696"/>
    </row>
    <row r="36" spans="3:12">
      <c r="C36" s="6">
        <f>-N7</f>
        <v>3.68804</v>
      </c>
      <c r="F36" s="32"/>
      <c r="G36" s="253"/>
      <c r="H36" s="253"/>
      <c r="K36" s="32" t="s">
        <v>3883</v>
      </c>
    </row>
    <row r="37" spans="3:12">
      <c r="C37" s="206"/>
      <c r="F37" s="32"/>
      <c r="G37" s="253"/>
      <c r="H37" s="253"/>
      <c r="K37" s="2395" t="s">
        <v>2807</v>
      </c>
      <c r="L37" s="2395"/>
    </row>
    <row r="38" spans="3:12">
      <c r="C38" s="6">
        <f>ROUND(-E7,0)</f>
        <v>-3833</v>
      </c>
      <c r="F38" s="32"/>
      <c r="G38" s="253"/>
      <c r="H38" s="253"/>
      <c r="K38" s="696" t="s">
        <v>639</v>
      </c>
      <c r="L38" s="696"/>
    </row>
    <row r="39" spans="3:12">
      <c r="C39" s="6">
        <f>ROUND((-E8),0)</f>
        <v>-732</v>
      </c>
      <c r="F39" s="32"/>
      <c r="G39" s="253"/>
      <c r="H39" s="253"/>
      <c r="K39" s="696" t="s">
        <v>640</v>
      </c>
      <c r="L39" s="696"/>
    </row>
    <row r="40" spans="3:12">
      <c r="C40" s="6">
        <f>ROUND(-E9,0)</f>
        <v>264</v>
      </c>
      <c r="F40" s="32"/>
      <c r="G40" s="253"/>
      <c r="H40" s="253"/>
      <c r="K40" s="696" t="s">
        <v>2808</v>
      </c>
      <c r="L40" s="696"/>
    </row>
    <row r="41" spans="3:12">
      <c r="C41" s="6">
        <f>ROUND(-E10,0)</f>
        <v>-261</v>
      </c>
      <c r="F41" s="32"/>
      <c r="G41" s="253"/>
      <c r="H41" s="253"/>
      <c r="K41" s="696" t="s">
        <v>2809</v>
      </c>
      <c r="L41" s="696"/>
    </row>
    <row r="42" spans="3:12">
      <c r="C42" s="6">
        <f>ROUND(-E12,0)</f>
        <v>15</v>
      </c>
      <c r="F42" s="32"/>
      <c r="G42" s="253"/>
      <c r="H42" s="253"/>
      <c r="K42" s="696" t="s">
        <v>638</v>
      </c>
      <c r="L42" s="696"/>
    </row>
    <row r="43" spans="3:12">
      <c r="C43" s="6">
        <f>ROUND(-E14,0)</f>
        <v>992</v>
      </c>
      <c r="F43" s="32"/>
      <c r="G43" s="253"/>
      <c r="H43" s="253"/>
      <c r="K43" s="696" t="s">
        <v>650</v>
      </c>
      <c r="L43" s="696"/>
    </row>
    <row r="44" spans="3:12">
      <c r="C44" s="6">
        <f>ROUND(-E15,0)</f>
        <v>-596</v>
      </c>
      <c r="F44" s="32"/>
      <c r="G44" s="253"/>
      <c r="H44" s="253"/>
      <c r="K44" s="696" t="s">
        <v>641</v>
      </c>
      <c r="L44" s="696"/>
    </row>
    <row r="45" spans="3:12">
      <c r="C45" s="6">
        <f>ROUND(-E16-E24,0)</f>
        <v>-3032</v>
      </c>
      <c r="F45" s="32"/>
      <c r="G45" s="253"/>
      <c r="H45" s="253"/>
      <c r="K45" s="696" t="s">
        <v>2810</v>
      </c>
      <c r="L45" s="696"/>
    </row>
    <row r="46" spans="3:12">
      <c r="C46" s="6">
        <f>ROUND((-E17-E18),0)</f>
        <v>7667</v>
      </c>
      <c r="F46" s="32"/>
      <c r="G46" s="253"/>
      <c r="H46" s="253"/>
      <c r="K46" s="696" t="s">
        <v>642</v>
      </c>
      <c r="L46" s="696"/>
    </row>
    <row r="47" spans="3:12">
      <c r="C47" s="6">
        <f>ROUND((-E19),0)</f>
        <v>92</v>
      </c>
      <c r="F47" s="32"/>
      <c r="G47" s="253"/>
      <c r="H47" s="253"/>
      <c r="K47" s="696" t="s">
        <v>5059</v>
      </c>
      <c r="L47" s="696"/>
    </row>
    <row r="48" spans="3:12">
      <c r="C48" s="6">
        <f>ROUND((-E11-E20),0)</f>
        <v>51</v>
      </c>
      <c r="F48" s="32"/>
      <c r="G48" s="253"/>
      <c r="H48" s="253"/>
      <c r="K48" s="696" t="s">
        <v>140</v>
      </c>
      <c r="L48" s="696"/>
    </row>
    <row r="49" spans="3:12">
      <c r="C49" s="6"/>
      <c r="F49" s="32"/>
      <c r="G49" s="253"/>
      <c r="H49" s="253"/>
      <c r="K49" s="696"/>
      <c r="L49" s="696"/>
    </row>
    <row r="50" spans="3:12" ht="13.5" thickBot="1">
      <c r="C50" s="191">
        <f>SUM(C31:C49)</f>
        <v>3572.2893999999997</v>
      </c>
      <c r="F50" s="32"/>
      <c r="G50" s="253"/>
      <c r="H50" s="253"/>
      <c r="K50" s="696" t="s">
        <v>643</v>
      </c>
      <c r="L50" s="696"/>
    </row>
    <row r="51" spans="3:12">
      <c r="C51" s="6"/>
      <c r="F51" s="32"/>
      <c r="G51" s="253"/>
      <c r="H51" s="253"/>
      <c r="K51" s="696"/>
      <c r="L51" s="696"/>
    </row>
    <row r="52" spans="3:12">
      <c r="C52" s="6"/>
      <c r="F52" s="32"/>
      <c r="G52" s="253"/>
      <c r="H52" s="253"/>
      <c r="K52" s="2395" t="s">
        <v>2798</v>
      </c>
      <c r="L52" s="2395"/>
    </row>
    <row r="53" spans="3:12">
      <c r="C53" s="6"/>
      <c r="F53" s="32"/>
      <c r="G53" s="253"/>
      <c r="H53" s="253"/>
      <c r="K53" s="696"/>
      <c r="L53" s="696"/>
    </row>
    <row r="54" spans="3:12" ht="13.5" thickBot="1">
      <c r="C54" s="190">
        <f>ROUND(-G13,0)</f>
        <v>-504</v>
      </c>
      <c r="F54" s="32"/>
      <c r="G54" s="253"/>
      <c r="H54" s="253"/>
      <c r="K54" s="696" t="s">
        <v>644</v>
      </c>
      <c r="L54" s="696"/>
    </row>
    <row r="55" spans="3:12">
      <c r="C55" s="6"/>
      <c r="F55" s="32"/>
      <c r="G55" s="253"/>
      <c r="H55" s="253"/>
      <c r="K55" s="696"/>
      <c r="L55" s="696"/>
    </row>
    <row r="56" spans="3:12" ht="13.5" thickBot="1">
      <c r="C56" s="191">
        <f>SUM(C54:C55)</f>
        <v>-504</v>
      </c>
      <c r="F56" s="32"/>
      <c r="G56" s="253"/>
      <c r="H56" s="253"/>
      <c r="K56" s="696" t="s">
        <v>645</v>
      </c>
      <c r="L56" s="696"/>
    </row>
    <row r="57" spans="3:12">
      <c r="C57" s="19"/>
      <c r="F57" s="32"/>
      <c r="G57" s="253"/>
      <c r="H57" s="253"/>
      <c r="K57" s="2395"/>
      <c r="L57" s="2395"/>
    </row>
    <row r="58" spans="3:12">
      <c r="C58" s="19"/>
      <c r="F58" s="32"/>
      <c r="G58" s="253"/>
      <c r="H58" s="253"/>
      <c r="K58" s="2395" t="s">
        <v>646</v>
      </c>
      <c r="L58" s="2395"/>
    </row>
    <row r="59" spans="3:12">
      <c r="C59" s="19"/>
      <c r="F59" s="32"/>
      <c r="G59" s="253"/>
      <c r="H59" s="253"/>
      <c r="K59" s="2395"/>
      <c r="L59" s="2395"/>
    </row>
    <row r="60" spans="3:12">
      <c r="C60" s="6">
        <f>ROUND(-F23,0)</f>
        <v>393</v>
      </c>
      <c r="F60" s="32"/>
      <c r="G60" s="253"/>
      <c r="H60" s="253"/>
      <c r="K60" s="696" t="s">
        <v>2829</v>
      </c>
      <c r="L60" s="696"/>
    </row>
    <row r="61" spans="3:12">
      <c r="C61" s="19"/>
      <c r="F61" s="32"/>
      <c r="G61" s="253"/>
      <c r="H61" s="253"/>
      <c r="K61" s="2395"/>
      <c r="L61" s="2395"/>
    </row>
    <row r="62" spans="3:12" ht="13.5" thickBot="1">
      <c r="C62" s="191">
        <f>SUM(C58:C61)</f>
        <v>393</v>
      </c>
      <c r="F62" s="32"/>
      <c r="G62" s="253"/>
      <c r="H62" s="253"/>
      <c r="K62" s="696" t="s">
        <v>1503</v>
      </c>
      <c r="L62" s="696"/>
    </row>
    <row r="63" spans="3:12">
      <c r="C63" s="6"/>
      <c r="F63" s="32"/>
      <c r="G63" s="253"/>
      <c r="H63" s="253"/>
      <c r="K63" s="2395"/>
      <c r="L63" s="2395"/>
    </row>
    <row r="64" spans="3:12">
      <c r="C64" s="6"/>
      <c r="F64" s="32"/>
      <c r="G64" s="253"/>
      <c r="H64" s="253"/>
      <c r="K64" s="696"/>
      <c r="L64" s="696"/>
    </row>
    <row r="65" spans="2:12">
      <c r="C65" s="6">
        <f>+C50+C56+C62</f>
        <v>3461.2893999999997</v>
      </c>
      <c r="F65" s="32"/>
      <c r="G65" s="253"/>
      <c r="H65" s="253"/>
      <c r="K65" s="696" t="s">
        <v>647</v>
      </c>
      <c r="L65" s="696"/>
    </row>
    <row r="66" spans="2:12">
      <c r="C66" s="6"/>
      <c r="F66" s="32"/>
      <c r="G66" s="253"/>
      <c r="H66" s="253"/>
      <c r="K66" s="696"/>
      <c r="L66" s="696"/>
    </row>
    <row r="67" spans="2:12" ht="13.5" thickBot="1">
      <c r="C67" s="190">
        <f>ROUND(C6,0)</f>
        <v>31701</v>
      </c>
      <c r="F67" s="32"/>
      <c r="G67" s="253"/>
      <c r="H67" s="253"/>
      <c r="K67" s="696" t="s">
        <v>648</v>
      </c>
      <c r="L67" s="696"/>
    </row>
    <row r="68" spans="2:12">
      <c r="C68" s="2394"/>
      <c r="F68" s="32"/>
      <c r="G68" s="253"/>
      <c r="H68" s="253"/>
      <c r="K68" s="696"/>
      <c r="L68" s="696"/>
    </row>
    <row r="69" spans="2:12" ht="13.5" thickBot="1">
      <c r="C69" s="192">
        <f>I6</f>
        <v>35161</v>
      </c>
      <c r="F69" s="32"/>
      <c r="G69" s="253"/>
      <c r="H69" s="253"/>
      <c r="K69" s="2395" t="s">
        <v>649</v>
      </c>
      <c r="L69" s="2395"/>
    </row>
    <row r="70" spans="2:12" ht="14.25" thickTop="1" thickBot="1">
      <c r="B70" s="696"/>
      <c r="C70" s="956">
        <f>C69-C67-C65</f>
        <v>-1.2893999999996595</v>
      </c>
      <c r="F70" s="32"/>
      <c r="G70" s="253"/>
      <c r="H70" s="253"/>
    </row>
  </sheetData>
  <mergeCells count="1">
    <mergeCell ref="B2:J2"/>
  </mergeCells>
  <printOptions horizontalCentered="1" gridLines="1" gridLinesSet="0"/>
  <pageMargins left="0.5" right="0.5" top="0.5" bottom="0.55000000000000004" header="0.5" footer="0.5"/>
  <pageSetup paperSize="9" scale="58" orientation="landscape" verticalDpi="300" r:id="rId1"/>
  <headerFooter alignWithMargins="0"/>
  <ignoredErrors>
    <ignoredError sqref="C39" formula="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36">
    <tabColor rgb="FFFF66CC"/>
  </sheetPr>
  <dimension ref="A1:BM855"/>
  <sheetViews>
    <sheetView rightToLeft="1" view="pageBreakPreview" zoomScale="80" zoomScaleNormal="100" zoomScaleSheetLayoutView="80" workbookViewId="0">
      <pane xSplit="4" ySplit="7" topLeftCell="E473" activePane="bottomRight" state="frozen"/>
      <selection pane="topRight" activeCell="E1" sqref="E1"/>
      <selection pane="bottomLeft" activeCell="A8" sqref="A8"/>
      <selection pane="bottomRight" activeCell="K509" sqref="K509"/>
    </sheetView>
  </sheetViews>
  <sheetFormatPr defaultColWidth="9.83203125" defaultRowHeight="12.75" outlineLevelCol="2"/>
  <cols>
    <col min="1" max="1" width="6.83203125" style="402" customWidth="1"/>
    <col min="2" max="2" width="36.83203125" style="583" customWidth="1"/>
    <col min="3" max="3" width="14.33203125" style="421" customWidth="1"/>
    <col min="4" max="4" width="55.6640625" style="61" customWidth="1"/>
    <col min="5" max="5" width="15.83203125" style="398" customWidth="1" outlineLevel="1"/>
    <col min="6" max="6" width="15.5" style="51" customWidth="1" outlineLevel="2"/>
    <col min="7" max="7" width="7.5" style="399" customWidth="1" outlineLevel="2"/>
    <col min="8" max="8" width="13.33203125" style="51" customWidth="1" outlineLevel="2"/>
    <col min="9" max="9" width="6.83203125" style="399" customWidth="1" outlineLevel="2"/>
    <col min="10" max="10" width="16.1640625" style="51" bestFit="1" customWidth="1"/>
    <col min="11" max="11" width="16.33203125" style="430" customWidth="1"/>
    <col min="12" max="12" width="18.1640625" style="137" customWidth="1"/>
    <col min="13" max="13" width="15.5" style="141" bestFit="1" customWidth="1"/>
    <col min="14" max="14" width="12.5" style="400" bestFit="1" customWidth="1"/>
    <col min="15" max="15" width="9.5" style="140" hidden="1" customWidth="1"/>
    <col min="16" max="16" width="94.1640625" style="432" customWidth="1"/>
    <col min="17" max="40" width="16.5" style="137" customWidth="1"/>
    <col min="41" max="41" width="65" style="137" customWidth="1"/>
    <col min="42" max="42" width="62.1640625" style="137" customWidth="1"/>
    <col min="43" max="43" width="46.83203125" style="137" customWidth="1"/>
    <col min="44" max="44" width="77" style="137" bestFit="1" customWidth="1"/>
    <col min="45" max="45" width="54.5" style="137" customWidth="1"/>
    <col min="46" max="46" width="16.5" style="137" customWidth="1"/>
    <col min="47" max="47" width="89.6640625" style="137" bestFit="1" customWidth="1"/>
    <col min="48" max="48" width="32.6640625" style="137" bestFit="1" customWidth="1"/>
    <col min="49" max="49" width="32.6640625" style="137" customWidth="1"/>
    <col min="50" max="50" width="37.33203125" style="137" bestFit="1" customWidth="1"/>
    <col min="51" max="51" width="54.5" style="137" bestFit="1" customWidth="1"/>
    <col min="52" max="52" width="92.83203125" style="52" bestFit="1" customWidth="1"/>
    <col min="53" max="53" width="53.5" style="52" customWidth="1"/>
    <col min="54" max="54" width="79.1640625" style="52" bestFit="1" customWidth="1"/>
    <col min="55" max="55" width="98" style="52" customWidth="1"/>
    <col min="56" max="56" width="55.5" style="52" bestFit="1" customWidth="1"/>
    <col min="57" max="84" width="16.5" style="52" customWidth="1"/>
    <col min="85" max="85" width="10" style="52" bestFit="1" customWidth="1"/>
    <col min="86" max="87" width="9.83203125" style="52"/>
    <col min="88" max="98" width="10" style="52" bestFit="1" customWidth="1"/>
    <col min="99" max="16384" width="9.83203125" style="52"/>
  </cols>
  <sheetData>
    <row r="1" spans="1:59" ht="13.5" thickBot="1">
      <c r="A1" s="395"/>
      <c r="C1" s="396"/>
      <c r="D1" s="397"/>
      <c r="E1" s="170">
        <f>E507</f>
        <v>0</v>
      </c>
      <c r="F1" s="170">
        <f>F507</f>
        <v>0</v>
      </c>
      <c r="G1" s="170">
        <f>G507/2</f>
        <v>0</v>
      </c>
      <c r="H1" s="170">
        <f>H507/2</f>
        <v>0</v>
      </c>
      <c r="I1" s="170">
        <f>I507/2</f>
        <v>0</v>
      </c>
      <c r="J1" s="171">
        <f>J507/2</f>
        <v>0</v>
      </c>
      <c r="K1" s="171">
        <f>K507</f>
        <v>0</v>
      </c>
      <c r="L1" s="439"/>
      <c r="M1" s="171">
        <f>M507</f>
        <v>0</v>
      </c>
      <c r="P1" s="1393"/>
      <c r="Q1" s="52"/>
    </row>
    <row r="2" spans="1:59" ht="13.5" thickBot="1">
      <c r="B2" s="4436" t="s">
        <v>2075</v>
      </c>
      <c r="C2" s="4437"/>
      <c r="D2" s="4438"/>
      <c r="E2" s="1140"/>
      <c r="F2" s="1141"/>
      <c r="G2" s="1142"/>
      <c r="H2" s="1141"/>
      <c r="I2" s="1142"/>
      <c r="J2" s="1141"/>
      <c r="K2" s="1143"/>
      <c r="M2" s="704" t="s">
        <v>605</v>
      </c>
      <c r="N2" s="4174">
        <f>'נתונים לשינוי'!B10</f>
        <v>0.73993005162855985</v>
      </c>
      <c r="O2" s="404"/>
      <c r="P2" s="1393"/>
      <c r="Q2" s="52"/>
      <c r="R2" s="63"/>
      <c r="S2" s="52"/>
      <c r="T2" s="63"/>
      <c r="U2" s="63"/>
      <c r="V2" s="63"/>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row>
    <row r="3" spans="1:59" ht="13.5" thickBot="1">
      <c r="B3" s="1144"/>
      <c r="C3" s="1145"/>
      <c r="D3" s="1146"/>
      <c r="E3" s="4439">
        <f>'נתונים לשינוי'!$C$1</f>
        <v>44561</v>
      </c>
      <c r="F3" s="4440"/>
      <c r="G3" s="4441"/>
      <c r="H3" s="4442"/>
      <c r="I3" s="4442"/>
      <c r="J3" s="4442"/>
      <c r="K3" s="4443"/>
      <c r="M3" s="540" t="s">
        <v>604</v>
      </c>
      <c r="N3" s="4175">
        <f>'נתונים לשינוי'!I8</f>
        <v>0</v>
      </c>
      <c r="O3" s="404"/>
      <c r="P3" s="1393"/>
      <c r="Q3" s="63"/>
      <c r="R3" s="52"/>
      <c r="S3" s="52"/>
      <c r="T3" s="500"/>
      <c r="U3" s="52"/>
      <c r="V3" s="63"/>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BE3" s="63"/>
      <c r="BF3" s="63"/>
      <c r="BG3" s="63"/>
    </row>
    <row r="4" spans="1:59" ht="13.5" thickBot="1">
      <c r="A4" s="406"/>
      <c r="B4" s="3720"/>
      <c r="C4" s="407"/>
      <c r="D4" s="386"/>
      <c r="E4" s="86" t="s">
        <v>400</v>
      </c>
      <c r="F4" s="408"/>
      <c r="G4" s="409"/>
      <c r="H4" s="408"/>
      <c r="I4" s="409"/>
      <c r="J4" s="2824" t="s">
        <v>400</v>
      </c>
      <c r="K4" s="95" t="s">
        <v>294</v>
      </c>
      <c r="L4" s="410"/>
      <c r="M4" s="95" t="s">
        <v>294</v>
      </c>
      <c r="N4" s="3324" t="s">
        <v>2461</v>
      </c>
      <c r="O4" s="404"/>
      <c r="P4" s="1393"/>
      <c r="Q4" s="411"/>
      <c r="R4" s="52"/>
      <c r="S4" s="52"/>
      <c r="T4" s="501"/>
      <c r="U4" s="52"/>
      <c r="V4" s="52"/>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row>
    <row r="5" spans="1:59">
      <c r="A5" s="406"/>
      <c r="B5" s="3721"/>
      <c r="C5" s="412"/>
      <c r="D5" s="413"/>
      <c r="E5" s="414" t="s">
        <v>46</v>
      </c>
      <c r="F5" s="415" t="s">
        <v>47</v>
      </c>
      <c r="G5" s="416" t="s">
        <v>47</v>
      </c>
      <c r="H5" s="415" t="s">
        <v>47</v>
      </c>
      <c r="I5" s="416" t="s">
        <v>47</v>
      </c>
      <c r="J5" s="415" t="s">
        <v>48</v>
      </c>
      <c r="K5" s="417" t="s">
        <v>48</v>
      </c>
      <c r="L5" s="410"/>
      <c r="M5" s="414" t="s">
        <v>46</v>
      </c>
      <c r="N5" s="3325"/>
      <c r="O5" s="404"/>
      <c r="P5" s="1393"/>
      <c r="Q5" s="418"/>
      <c r="R5" s="52"/>
      <c r="S5" s="52"/>
      <c r="T5" s="502"/>
      <c r="U5" s="52"/>
      <c r="V5" s="52"/>
      <c r="W5" s="419"/>
      <c r="X5" s="419"/>
      <c r="Y5" s="419"/>
      <c r="Z5" s="419"/>
      <c r="AA5" s="419"/>
      <c r="AB5" s="419"/>
      <c r="AC5" s="419"/>
      <c r="AD5" s="419"/>
      <c r="AE5" s="419"/>
      <c r="AF5" s="419"/>
      <c r="AG5" s="419"/>
      <c r="AH5" s="419"/>
      <c r="AI5" s="419"/>
      <c r="AJ5" s="419"/>
      <c r="AK5" s="419"/>
      <c r="AL5" s="419"/>
      <c r="AM5" s="419"/>
      <c r="AN5" s="419"/>
      <c r="AO5" s="419"/>
      <c r="AP5" s="419"/>
      <c r="AQ5" s="419"/>
      <c r="AR5" s="419"/>
      <c r="AS5" s="419"/>
      <c r="AT5" s="419"/>
      <c r="AU5" s="419"/>
      <c r="AV5" s="419"/>
      <c r="AW5" s="419"/>
      <c r="AX5" s="419"/>
      <c r="AY5" s="419"/>
      <c r="AZ5" s="419"/>
      <c r="BA5" s="419"/>
      <c r="BB5" s="419"/>
      <c r="BF5" s="418"/>
    </row>
    <row r="6" spans="1:59">
      <c r="A6" s="406"/>
      <c r="B6" s="3664"/>
      <c r="D6" s="72" t="s">
        <v>50</v>
      </c>
      <c r="E6" s="422" t="s">
        <v>51</v>
      </c>
      <c r="F6" s="72" t="s">
        <v>52</v>
      </c>
      <c r="G6" s="423" t="s">
        <v>52</v>
      </c>
      <c r="H6" s="72" t="s">
        <v>52</v>
      </c>
      <c r="I6" s="423" t="s">
        <v>52</v>
      </c>
      <c r="J6" s="72" t="s">
        <v>3</v>
      </c>
      <c r="K6" s="424" t="s">
        <v>53</v>
      </c>
      <c r="L6" s="410"/>
      <c r="M6" s="422" t="s">
        <v>51</v>
      </c>
      <c r="N6" s="3325"/>
      <c r="O6" s="404"/>
      <c r="P6" s="1393"/>
      <c r="Q6" s="418"/>
      <c r="R6" s="52"/>
      <c r="S6" s="52"/>
      <c r="T6" s="52"/>
      <c r="U6" s="52"/>
      <c r="V6" s="52"/>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F6" s="418"/>
    </row>
    <row r="7" spans="1:59" ht="18.75" customHeight="1" thickBot="1">
      <c r="B7" s="3665"/>
      <c r="C7" s="425"/>
      <c r="D7" s="426"/>
      <c r="E7" s="1099" t="s">
        <v>54</v>
      </c>
      <c r="F7" s="1100" t="s">
        <v>177</v>
      </c>
      <c r="G7" s="1101" t="s">
        <v>177</v>
      </c>
      <c r="H7" s="1100" t="s">
        <v>55</v>
      </c>
      <c r="I7" s="1101" t="s">
        <v>56</v>
      </c>
      <c r="J7" s="1100" t="s">
        <v>177</v>
      </c>
      <c r="K7" s="1101" t="s">
        <v>177</v>
      </c>
      <c r="L7" s="72"/>
      <c r="M7" s="762" t="s">
        <v>54</v>
      </c>
      <c r="N7" s="3325"/>
      <c r="O7" s="427"/>
      <c r="P7" s="1393"/>
      <c r="Q7" s="418"/>
      <c r="R7" s="54"/>
      <c r="S7" s="54"/>
      <c r="T7" s="272"/>
      <c r="U7" s="503"/>
      <c r="V7" s="428"/>
      <c r="W7" s="52"/>
      <c r="X7" s="52"/>
      <c r="Y7" s="52"/>
      <c r="Z7" s="52"/>
      <c r="AA7" s="500" t="s">
        <v>2957</v>
      </c>
      <c r="AB7" s="500" t="s">
        <v>2635</v>
      </c>
      <c r="AC7" s="500" t="s">
        <v>3210</v>
      </c>
      <c r="AD7" s="500" t="s">
        <v>3307</v>
      </c>
      <c r="AE7" s="500" t="s">
        <v>3384</v>
      </c>
      <c r="AF7" s="500" t="s">
        <v>3564</v>
      </c>
      <c r="AG7" s="500" t="s">
        <v>3633</v>
      </c>
      <c r="AH7" s="500" t="s">
        <v>3721</v>
      </c>
      <c r="AI7" s="500" t="s">
        <v>3888</v>
      </c>
      <c r="AJ7" s="500" t="s">
        <v>3994</v>
      </c>
      <c r="AK7" s="500" t="s">
        <v>3556</v>
      </c>
      <c r="AL7" s="500" t="s">
        <v>3557</v>
      </c>
      <c r="AM7" s="500" t="s">
        <v>3558</v>
      </c>
      <c r="AN7" s="500" t="s">
        <v>3559</v>
      </c>
      <c r="AO7" s="500"/>
      <c r="AP7" s="500"/>
      <c r="AQ7" s="52"/>
      <c r="AR7" s="52"/>
      <c r="AS7" s="52"/>
      <c r="AT7" s="52"/>
      <c r="AU7" s="52"/>
      <c r="AV7" s="52"/>
      <c r="AW7" s="52"/>
      <c r="AX7" s="52"/>
      <c r="AY7" s="52"/>
      <c r="BF7" s="418"/>
    </row>
    <row r="8" spans="1:59" ht="13.5" thickBot="1">
      <c r="B8" s="3722"/>
      <c r="C8" s="154"/>
      <c r="D8" s="58" t="s">
        <v>58</v>
      </c>
      <c r="E8" s="429"/>
      <c r="L8" s="72"/>
      <c r="M8" s="430"/>
      <c r="N8" s="1104"/>
      <c r="O8" s="431"/>
      <c r="P8" s="1393"/>
      <c r="Q8" s="418"/>
      <c r="R8" s="54"/>
      <c r="S8" s="54"/>
      <c r="T8" s="54"/>
      <c r="U8" s="52"/>
      <c r="V8" s="50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BF8" s="418"/>
    </row>
    <row r="9" spans="1:59">
      <c r="B9" s="3659" t="s">
        <v>665</v>
      </c>
      <c r="C9" s="2827">
        <v>1000018</v>
      </c>
      <c r="D9" s="48" t="s">
        <v>2029</v>
      </c>
      <c r="E9" s="79">
        <f>VLOOKUP(C9,'פ.נ. EUROPE'!$D$164:$F$353,3,0)</f>
        <v>336355.05</v>
      </c>
      <c r="F9" s="1205">
        <f>SUMIF('פ.נ. EUROPE'!C:C,C:C,'פ.נ. EUROPE'!E:E)</f>
        <v>0</v>
      </c>
      <c r="J9" s="965">
        <f>SUM(E9:I9)</f>
        <v>336355.05</v>
      </c>
      <c r="K9" s="590">
        <f>M9+SUMIF('פ.נ. EUROPE'!C:C,'מאזן בוחן EUROPE'!C9,'פ.נ. EUROPE'!F:F)</f>
        <v>454576.82</v>
      </c>
      <c r="L9" s="52"/>
      <c r="M9" s="171">
        <f>IFERROR(VLOOKUP(C9,'פ.נ. EUROPE'!$D$164:$H$353,4,0),"")</f>
        <v>454576.82</v>
      </c>
      <c r="N9" s="1104">
        <f>IF(K9=0,"-",J9/K9)</f>
        <v>0.73993005186670091</v>
      </c>
      <c r="O9" s="434"/>
      <c r="P9" s="1393"/>
      <c r="Q9" s="418"/>
      <c r="R9" s="454"/>
      <c r="S9" s="454"/>
      <c r="T9" s="63"/>
      <c r="U9" s="435"/>
      <c r="V9" s="435"/>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BF9" s="418"/>
    </row>
    <row r="10" spans="1:59" ht="13.5" thickBot="1">
      <c r="B10" s="3664"/>
      <c r="C10" s="1470"/>
      <c r="D10" s="53" t="s">
        <v>401</v>
      </c>
      <c r="E10" s="436">
        <f t="shared" ref="E10:K10" si="0">SUM(E9:E9)</f>
        <v>336355.05</v>
      </c>
      <c r="F10" s="571">
        <f t="shared" si="0"/>
        <v>0</v>
      </c>
      <c r="G10" s="436">
        <f t="shared" si="0"/>
        <v>0</v>
      </c>
      <c r="H10" s="436">
        <f t="shared" si="0"/>
        <v>0</v>
      </c>
      <c r="I10" s="436">
        <f t="shared" si="0"/>
        <v>0</v>
      </c>
      <c r="J10" s="1172">
        <f t="shared" si="0"/>
        <v>336355.05</v>
      </c>
      <c r="K10" s="1172">
        <f t="shared" si="0"/>
        <v>454576.82</v>
      </c>
      <c r="L10" s="52"/>
      <c r="M10" s="436">
        <f>SUM(M9:M9)</f>
        <v>454576.82</v>
      </c>
      <c r="N10" s="1104"/>
      <c r="O10" s="434"/>
      <c r="P10" s="1393"/>
      <c r="Q10" s="418"/>
      <c r="R10" s="454"/>
      <c r="S10" s="454"/>
      <c r="T10" s="63"/>
      <c r="U10" s="435"/>
      <c r="V10" s="435"/>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BF10" s="418"/>
    </row>
    <row r="11" spans="1:59">
      <c r="B11" s="3659"/>
      <c r="C11" s="2828"/>
      <c r="D11" s="48"/>
      <c r="F11" s="518"/>
      <c r="G11" s="439"/>
      <c r="H11" s="52"/>
      <c r="I11" s="439"/>
      <c r="J11" s="965"/>
      <c r="K11" s="590"/>
      <c r="L11" s="52"/>
      <c r="M11" s="171"/>
      <c r="N11" s="1104"/>
      <c r="O11" s="434"/>
      <c r="P11" s="1393"/>
      <c r="Q11" s="418"/>
      <c r="R11" s="454"/>
      <c r="S11" s="454"/>
      <c r="T11" s="63"/>
      <c r="U11" s="435"/>
      <c r="V11" s="435"/>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BF11" s="418"/>
    </row>
    <row r="12" spans="1:59">
      <c r="B12" s="3668"/>
      <c r="C12" s="2829"/>
      <c r="F12" s="518"/>
      <c r="J12" s="1381"/>
      <c r="K12" s="1179"/>
      <c r="L12" s="52"/>
      <c r="M12" s="441"/>
      <c r="N12" s="1104"/>
      <c r="P12" s="1393"/>
    </row>
    <row r="13" spans="1:59">
      <c r="B13" s="3659"/>
      <c r="C13" s="2830"/>
      <c r="D13" s="45"/>
      <c r="F13" s="1205"/>
      <c r="J13" s="965"/>
      <c r="K13" s="590"/>
      <c r="L13" s="52"/>
      <c r="M13" s="171"/>
      <c r="N13" s="1104"/>
      <c r="O13" s="434"/>
      <c r="P13" s="1393"/>
      <c r="Q13" s="418"/>
      <c r="R13" s="454"/>
      <c r="S13" s="454"/>
      <c r="T13" s="63"/>
      <c r="U13" s="435"/>
      <c r="V13" s="435"/>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BF13" s="418"/>
    </row>
    <row r="14" spans="1:59" ht="13.5" thickBot="1">
      <c r="B14" s="3664"/>
      <c r="C14" s="1470"/>
      <c r="D14" s="53" t="s">
        <v>402</v>
      </c>
      <c r="E14" s="436">
        <f t="shared" ref="E14:K14" si="1">SUM(E11:E13)</f>
        <v>0</v>
      </c>
      <c r="F14" s="1382">
        <f t="shared" si="1"/>
        <v>0</v>
      </c>
      <c r="G14" s="571">
        <f t="shared" si="1"/>
        <v>0</v>
      </c>
      <c r="H14" s="1382">
        <f t="shared" si="1"/>
        <v>0</v>
      </c>
      <c r="I14" s="571">
        <f t="shared" si="1"/>
        <v>0</v>
      </c>
      <c r="J14" s="1383">
        <f t="shared" si="1"/>
        <v>0</v>
      </c>
      <c r="K14" s="1384">
        <f t="shared" si="1"/>
        <v>0</v>
      </c>
      <c r="L14" s="52"/>
      <c r="M14" s="571">
        <f>SUM(M11:M13)</f>
        <v>0</v>
      </c>
      <c r="N14" s="1104"/>
      <c r="O14" s="434"/>
      <c r="P14" s="1393"/>
      <c r="Q14" s="418"/>
      <c r="R14" s="454"/>
      <c r="S14" s="454"/>
      <c r="T14" s="63"/>
      <c r="U14" s="435"/>
      <c r="V14" s="435"/>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BF14" s="418"/>
    </row>
    <row r="15" spans="1:59" ht="13.5" thickBot="1">
      <c r="B15" s="3659"/>
      <c r="C15" s="2831"/>
      <c r="D15" s="45"/>
      <c r="E15" s="79"/>
      <c r="F15" s="1205"/>
      <c r="G15" s="1385"/>
      <c r="H15" s="1205"/>
      <c r="I15" s="1213"/>
      <c r="J15" s="965"/>
      <c r="K15" s="590"/>
      <c r="L15" s="52"/>
      <c r="M15" s="171"/>
      <c r="N15" s="1104"/>
      <c r="O15" s="434"/>
      <c r="P15" s="1393"/>
      <c r="Q15" s="418"/>
      <c r="R15" s="454"/>
      <c r="S15" s="454"/>
      <c r="T15" s="63"/>
      <c r="U15" s="435"/>
      <c r="V15" s="435"/>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BF15" s="418"/>
    </row>
    <row r="16" spans="1:59" ht="13.5" thickBot="1">
      <c r="B16" s="3659" t="s">
        <v>665</v>
      </c>
      <c r="C16" s="2831">
        <v>1000017</v>
      </c>
      <c r="D16" s="45" t="s">
        <v>2028</v>
      </c>
      <c r="E16" s="79">
        <f>VLOOKUP(C16,'פ.נ. EUROPE'!$D$164:$F$353,3,0)</f>
        <v>1319466.95</v>
      </c>
      <c r="F16" s="1205">
        <f>SUMIF('פ.נ. EUROPE'!C:C,C:C,'פ.נ. EUROPE'!E:E)</f>
        <v>0</v>
      </c>
      <c r="G16" s="1385"/>
      <c r="H16" s="1205"/>
      <c r="I16" s="1213"/>
      <c r="J16" s="965">
        <f>SUM(E16:I16)</f>
        <v>1319466.95</v>
      </c>
      <c r="K16" s="590">
        <f>M16+SUMIF('פ.נ. EUROPE'!C:C,'מאזן בוחן EUROPE'!C16,'פ.נ. EUROPE'!F:F)</f>
        <v>1783232.01</v>
      </c>
      <c r="L16" s="2218">
        <f>1575571*'נתונים לשינוי'!B12-J16</f>
        <v>0.19636815693229437</v>
      </c>
      <c r="M16" s="171">
        <f>IFERROR(VLOOKUP(C16,'פ.נ. EUROPE'!$D$164:$H$353,4,0),"")</f>
        <v>1783232.01</v>
      </c>
      <c r="N16" s="1104">
        <f>IF(K16=0,"-",J16/K16)</f>
        <v>0.73993004982004551</v>
      </c>
      <c r="O16" s="434"/>
      <c r="P16" s="1393"/>
      <c r="Q16" s="418"/>
      <c r="R16" s="454"/>
      <c r="S16" s="454"/>
      <c r="T16" s="63"/>
      <c r="U16" s="435"/>
      <c r="V16" s="435"/>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BF16" s="418"/>
    </row>
    <row r="17" spans="2:58" ht="13.5" thickBot="1">
      <c r="B17" s="3659" t="s">
        <v>665</v>
      </c>
      <c r="C17" s="2831">
        <v>1000019</v>
      </c>
      <c r="D17" s="45" t="s">
        <v>2030</v>
      </c>
      <c r="E17" s="79">
        <f>VLOOKUP(C17,'פ.נ. EUROPE'!$D$164:$F$353,3,0)</f>
        <v>18.79</v>
      </c>
      <c r="F17" s="1205">
        <f>SUMIF('פ.נ. EUROPE'!C:C,C:C,'פ.נ. EUROPE'!E:E)</f>
        <v>0</v>
      </c>
      <c r="G17" s="1385"/>
      <c r="H17" s="1205"/>
      <c r="I17" s="1213"/>
      <c r="J17" s="965">
        <f>SUM(E17:I17)</f>
        <v>18.79</v>
      </c>
      <c r="K17" s="590">
        <f>M17+SUMIF('פ.נ. EUROPE'!C:C,'מאזן בוחן EUROPE'!C17,'פ.נ. EUROPE'!F:F)</f>
        <v>25.4</v>
      </c>
      <c r="L17" s="2218">
        <f>34.95/'נתונים לשינוי'!B15-J17</f>
        <v>8.9481573124672309E-4</v>
      </c>
      <c r="M17" s="171">
        <f>IFERROR(VLOOKUP(C17,'פ.נ. EUROPE'!$D$164:$H$353,4,0),"")</f>
        <v>25.4</v>
      </c>
      <c r="N17" s="1104">
        <f>IF(K17=0,"-",J17/K17)</f>
        <v>0.73976377952755912</v>
      </c>
      <c r="O17" s="434"/>
      <c r="P17" s="1393"/>
      <c r="Q17" s="418"/>
      <c r="R17" s="454"/>
      <c r="S17" s="454"/>
      <c r="T17" s="63"/>
      <c r="U17" s="435"/>
      <c r="V17" s="435"/>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BF17" s="418"/>
    </row>
    <row r="18" spans="2:58">
      <c r="B18" s="3659" t="s">
        <v>665</v>
      </c>
      <c r="C18" s="2831">
        <v>1000016</v>
      </c>
      <c r="D18" s="45" t="s">
        <v>2027</v>
      </c>
      <c r="E18" s="79">
        <f>VLOOKUP(C18,'פ.נ. EUROPE'!$D$164:$F$353,3,0)</f>
        <v>1859590.07</v>
      </c>
      <c r="F18" s="1205">
        <f>SUMIF('פ.נ. EUROPE'!C:C,C:C,'פ.נ. EUROPE'!E:E)</f>
        <v>0</v>
      </c>
      <c r="G18" s="1385"/>
      <c r="H18" s="1205"/>
      <c r="I18" s="1213"/>
      <c r="J18" s="965">
        <f>SUM(E18:I18)</f>
        <v>1859590.07</v>
      </c>
      <c r="K18" s="590">
        <f>M18+SUMIF('פ.נ. EUROPE'!C:C,'מאזן בוחן EUROPE'!C18,'פ.נ. EUROPE'!F:F)</f>
        <v>2513197.11</v>
      </c>
      <c r="L18" s="52"/>
      <c r="M18" s="171">
        <f>IFERROR(VLOOKUP(C18,'פ.נ. EUROPE'!$D$164:$H$353,4,0),"")</f>
        <v>2513197.11</v>
      </c>
      <c r="N18" s="1104">
        <f>IF(K18=0,"-",J18/K18)</f>
        <v>0.73993005268098533</v>
      </c>
      <c r="O18" s="434"/>
      <c r="P18" s="1393"/>
      <c r="Q18" s="418"/>
      <c r="R18" s="454"/>
      <c r="S18" s="454"/>
      <c r="T18" s="63"/>
      <c r="U18" s="435"/>
      <c r="V18" s="435"/>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BF18" s="418"/>
    </row>
    <row r="19" spans="2:58">
      <c r="B19" s="3669"/>
      <c r="C19" s="1421"/>
      <c r="D19" s="45"/>
      <c r="E19" s="79"/>
      <c r="F19" s="1205"/>
      <c r="G19" s="1385"/>
      <c r="H19" s="1205"/>
      <c r="I19" s="1213"/>
      <c r="J19" s="965"/>
      <c r="K19" s="590"/>
      <c r="L19" s="51"/>
      <c r="M19" s="171"/>
      <c r="N19" s="1104"/>
      <c r="O19" s="434"/>
      <c r="P19" s="1393"/>
      <c r="Q19" s="418"/>
      <c r="R19" s="454"/>
      <c r="S19" s="454"/>
      <c r="T19" s="63"/>
      <c r="U19" s="435"/>
      <c r="V19" s="435"/>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BF19" s="418"/>
    </row>
    <row r="20" spans="2:58" ht="13.5" thickBot="1">
      <c r="B20" s="3664"/>
      <c r="C20" s="1159"/>
      <c r="D20" s="53" t="s">
        <v>63</v>
      </c>
      <c r="E20" s="436">
        <f t="shared" ref="E20:K20" si="2">SUM(E15:E19)</f>
        <v>3179075.81</v>
      </c>
      <c r="F20" s="1382">
        <f t="shared" si="2"/>
        <v>0</v>
      </c>
      <c r="G20" s="571">
        <f t="shared" si="2"/>
        <v>0</v>
      </c>
      <c r="H20" s="1382">
        <f t="shared" si="2"/>
        <v>0</v>
      </c>
      <c r="I20" s="571">
        <f t="shared" si="2"/>
        <v>0</v>
      </c>
      <c r="J20" s="1383">
        <f t="shared" si="2"/>
        <v>3179075.81</v>
      </c>
      <c r="K20" s="1384">
        <f t="shared" si="2"/>
        <v>4296454.5199999996</v>
      </c>
      <c r="L20" s="51"/>
      <c r="M20" s="437">
        <f>SUM(M15:M19)</f>
        <v>4296454.5199999996</v>
      </c>
      <c r="N20" s="336"/>
      <c r="O20" s="434"/>
      <c r="P20" s="1393"/>
      <c r="Q20" s="418"/>
      <c r="R20" s="454"/>
      <c r="S20" s="454"/>
      <c r="T20" s="63"/>
      <c r="U20" s="435"/>
      <c r="V20" s="435"/>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BF20" s="418"/>
    </row>
    <row r="21" spans="2:58">
      <c r="B21" s="3664"/>
      <c r="C21" s="154"/>
      <c r="D21" s="54"/>
      <c r="E21" s="443"/>
      <c r="F21" s="1386"/>
      <c r="G21" s="1387"/>
      <c r="H21" s="1386"/>
      <c r="I21" s="1387"/>
      <c r="J21" s="1388"/>
      <c r="K21" s="1389"/>
      <c r="L21" s="51"/>
      <c r="M21" s="444"/>
      <c r="N21" s="336"/>
      <c r="O21" s="434"/>
      <c r="P21" s="1393"/>
      <c r="Q21" s="418"/>
      <c r="R21" s="454"/>
      <c r="S21" s="454"/>
      <c r="T21" s="63"/>
      <c r="U21" s="435"/>
      <c r="V21" s="435"/>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BF21" s="418"/>
    </row>
    <row r="22" spans="2:58">
      <c r="B22" s="3664"/>
      <c r="C22" s="156"/>
      <c r="D22" s="45"/>
      <c r="F22" s="1205"/>
      <c r="G22" s="517"/>
      <c r="H22" s="1205"/>
      <c r="I22" s="1387"/>
      <c r="J22" s="1176"/>
      <c r="K22" s="590"/>
      <c r="L22" s="51"/>
      <c r="M22" s="171"/>
      <c r="N22" s="336"/>
      <c r="O22" s="1390"/>
      <c r="P22" s="1393"/>
      <c r="Q22" s="418"/>
      <c r="R22" s="454"/>
      <c r="S22" s="454"/>
      <c r="T22" s="63"/>
      <c r="U22" s="435"/>
      <c r="V22" s="435"/>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BF22" s="418"/>
    </row>
    <row r="23" spans="2:58">
      <c r="B23" s="3664"/>
      <c r="C23" s="156"/>
      <c r="D23" s="45"/>
      <c r="F23" s="1205"/>
      <c r="G23" s="517"/>
      <c r="H23" s="1205"/>
      <c r="I23" s="1213"/>
      <c r="J23" s="965"/>
      <c r="K23" s="590"/>
      <c r="L23" s="51"/>
      <c r="M23" s="171"/>
      <c r="N23" s="336"/>
      <c r="O23" s="434"/>
      <c r="P23" s="1393"/>
      <c r="Q23" s="418"/>
      <c r="R23" s="454"/>
      <c r="S23" s="454"/>
      <c r="T23" s="63"/>
      <c r="U23" s="435"/>
      <c r="V23" s="435"/>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BF23" s="418"/>
    </row>
    <row r="24" spans="2:58" ht="13.5" thickBot="1">
      <c r="B24" s="3664"/>
      <c r="C24" s="1159"/>
      <c r="D24" s="53" t="s">
        <v>64</v>
      </c>
      <c r="E24" s="436">
        <f t="shared" ref="E24:K24" si="3">SUM(E22:E23)</f>
        <v>0</v>
      </c>
      <c r="F24" s="1382">
        <f t="shared" si="3"/>
        <v>0</v>
      </c>
      <c r="G24" s="571">
        <f t="shared" si="3"/>
        <v>0</v>
      </c>
      <c r="H24" s="1382">
        <f t="shared" si="3"/>
        <v>0</v>
      </c>
      <c r="I24" s="571">
        <f t="shared" si="3"/>
        <v>0</v>
      </c>
      <c r="J24" s="1383">
        <f t="shared" si="3"/>
        <v>0</v>
      </c>
      <c r="K24" s="1384">
        <f t="shared" si="3"/>
        <v>0</v>
      </c>
      <c r="L24" s="51"/>
      <c r="M24" s="571">
        <f>SUM(M22:M23)</f>
        <v>0</v>
      </c>
      <c r="N24" s="336"/>
      <c r="O24" s="434"/>
      <c r="P24" s="1393"/>
      <c r="Q24" s="418"/>
      <c r="R24" s="454"/>
      <c r="S24" s="454"/>
      <c r="T24" s="63"/>
      <c r="U24" s="435"/>
      <c r="V24" s="435"/>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BF24" s="418"/>
    </row>
    <row r="25" spans="2:58">
      <c r="B25" s="3664"/>
      <c r="C25" s="154"/>
      <c r="D25" s="54"/>
      <c r="E25" s="443"/>
      <c r="F25" s="1386"/>
      <c r="G25" s="1387"/>
      <c r="H25" s="1386"/>
      <c r="I25" s="1387"/>
      <c r="J25" s="1388"/>
      <c r="K25" s="1389"/>
      <c r="L25" s="51"/>
      <c r="M25" s="444"/>
      <c r="N25" s="336"/>
      <c r="O25" s="434"/>
      <c r="P25" s="1393"/>
      <c r="Q25" s="418"/>
      <c r="R25" s="454"/>
      <c r="S25" s="454"/>
      <c r="T25" s="63"/>
      <c r="U25" s="435"/>
      <c r="V25" s="435"/>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BF25" s="418"/>
    </row>
    <row r="26" spans="2:58">
      <c r="B26" s="3664"/>
      <c r="C26" s="156"/>
      <c r="D26" s="45"/>
      <c r="F26" s="1205"/>
      <c r="G26" s="1387"/>
      <c r="H26" s="1205"/>
      <c r="I26" s="1387"/>
      <c r="J26" s="1176"/>
      <c r="K26" s="590"/>
      <c r="L26" s="51"/>
      <c r="M26" s="171"/>
      <c r="N26" s="336"/>
      <c r="O26" s="434"/>
      <c r="P26" s="1393"/>
      <c r="Q26" s="418"/>
      <c r="R26" s="454"/>
      <c r="S26" s="454"/>
      <c r="T26" s="63"/>
      <c r="U26" s="435"/>
      <c r="V26" s="435"/>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BF26" s="418"/>
    </row>
    <row r="27" spans="2:58" ht="13.5" thickBot="1">
      <c r="B27" s="3664"/>
      <c r="C27" s="1159"/>
      <c r="D27" s="53"/>
      <c r="E27" s="436">
        <f t="shared" ref="E27:K27" si="4">SUM(E25:E26)</f>
        <v>0</v>
      </c>
      <c r="F27" s="1382">
        <f>SUM(F25:F26)</f>
        <v>0</v>
      </c>
      <c r="G27" s="571">
        <f t="shared" si="4"/>
        <v>0</v>
      </c>
      <c r="H27" s="1382">
        <f t="shared" si="4"/>
        <v>0</v>
      </c>
      <c r="I27" s="571">
        <f t="shared" si="4"/>
        <v>0</v>
      </c>
      <c r="J27" s="1383">
        <f t="shared" si="4"/>
        <v>0</v>
      </c>
      <c r="K27" s="1384">
        <f t="shared" si="4"/>
        <v>0</v>
      </c>
      <c r="L27" s="51"/>
      <c r="M27" s="571">
        <f>SUM(M25:M26)</f>
        <v>0</v>
      </c>
      <c r="N27" s="336"/>
      <c r="O27" s="434"/>
      <c r="P27" s="1393"/>
      <c r="Q27" s="418"/>
      <c r="R27" s="454"/>
      <c r="S27" s="454"/>
      <c r="T27" s="63"/>
      <c r="U27" s="435"/>
      <c r="V27" s="435"/>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BF27" s="418"/>
    </row>
    <row r="28" spans="2:58">
      <c r="B28" s="3664"/>
      <c r="C28" s="156"/>
      <c r="D28" s="45"/>
      <c r="F28" s="518"/>
      <c r="G28" s="517"/>
      <c r="H28" s="518"/>
      <c r="I28" s="517"/>
      <c r="J28" s="1173"/>
      <c r="K28" s="1174"/>
      <c r="L28" s="51"/>
      <c r="M28" s="446"/>
      <c r="N28" s="336"/>
      <c r="O28" s="434"/>
      <c r="P28" s="1393"/>
      <c r="Q28" s="418"/>
      <c r="R28" s="454"/>
      <c r="S28" s="454"/>
      <c r="T28" s="63"/>
      <c r="U28" s="435"/>
      <c r="V28" s="435"/>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BF28" s="418"/>
    </row>
    <row r="29" spans="2:58">
      <c r="B29" s="3664"/>
      <c r="C29" s="156"/>
      <c r="D29" s="45"/>
      <c r="F29" s="1205">
        <v>0</v>
      </c>
      <c r="G29" s="1385"/>
      <c r="H29" s="1205"/>
      <c r="I29" s="1385"/>
      <c r="J29" s="1173"/>
      <c r="K29" s="1174"/>
      <c r="L29" s="51"/>
      <c r="M29" s="446"/>
      <c r="N29" s="336"/>
      <c r="O29" s="434"/>
      <c r="P29" s="1393"/>
      <c r="Q29" s="418"/>
      <c r="R29" s="454"/>
      <c r="S29" s="454"/>
      <c r="T29" s="63"/>
      <c r="U29" s="435"/>
      <c r="V29" s="435"/>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BF29" s="418"/>
    </row>
    <row r="30" spans="2:58" ht="13.5" thickBot="1">
      <c r="B30" s="3664"/>
      <c r="C30" s="1159"/>
      <c r="D30" s="53" t="s">
        <v>165</v>
      </c>
      <c r="E30" s="436">
        <f t="shared" ref="E30:K30" si="5">SUM(E29:E29)</f>
        <v>0</v>
      </c>
      <c r="F30" s="1382">
        <f t="shared" si="5"/>
        <v>0</v>
      </c>
      <c r="G30" s="571">
        <f t="shared" si="5"/>
        <v>0</v>
      </c>
      <c r="H30" s="1382">
        <f t="shared" si="5"/>
        <v>0</v>
      </c>
      <c r="I30" s="571">
        <f t="shared" si="5"/>
        <v>0</v>
      </c>
      <c r="J30" s="1383">
        <f t="shared" si="5"/>
        <v>0</v>
      </c>
      <c r="K30" s="1384">
        <f t="shared" si="5"/>
        <v>0</v>
      </c>
      <c r="L30" s="51"/>
      <c r="M30" s="571">
        <f>SUM(M29:M29)</f>
        <v>0</v>
      </c>
      <c r="N30" s="336"/>
      <c r="O30" s="434"/>
      <c r="P30" s="1393"/>
      <c r="Q30" s="418"/>
      <c r="R30" s="454"/>
      <c r="S30" s="454"/>
      <c r="T30" s="63"/>
      <c r="U30" s="435"/>
      <c r="V30" s="435"/>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BF30" s="418"/>
    </row>
    <row r="31" spans="2:58">
      <c r="B31" s="3664"/>
      <c r="C31" s="1422"/>
      <c r="D31" s="54"/>
      <c r="E31" s="443"/>
      <c r="F31" s="1386"/>
      <c r="G31" s="1387"/>
      <c r="H31" s="1386"/>
      <c r="I31" s="1387"/>
      <c r="J31" s="1173"/>
      <c r="K31" s="1174"/>
      <c r="L31" s="51"/>
      <c r="M31" s="446"/>
      <c r="N31" s="336"/>
      <c r="O31" s="434"/>
      <c r="P31" s="1393"/>
      <c r="Q31" s="418"/>
      <c r="R31" s="454"/>
      <c r="S31" s="454"/>
      <c r="T31" s="63"/>
      <c r="U31" s="435"/>
      <c r="V31" s="435"/>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BF31" s="418"/>
    </row>
    <row r="32" spans="2:58" ht="13.5" thickBot="1">
      <c r="B32" s="3664"/>
      <c r="C32" s="1423"/>
      <c r="D32" s="53" t="s">
        <v>692</v>
      </c>
      <c r="E32" s="447">
        <f t="shared" ref="E32:K32" si="6">E30+E24+E20+E14+E10+E27</f>
        <v>3515430.86</v>
      </c>
      <c r="F32" s="1206">
        <f t="shared" si="6"/>
        <v>0</v>
      </c>
      <c r="G32" s="1206">
        <f t="shared" si="6"/>
        <v>0</v>
      </c>
      <c r="H32" s="1206">
        <f t="shared" si="6"/>
        <v>0</v>
      </c>
      <c r="I32" s="1206">
        <f t="shared" si="6"/>
        <v>0</v>
      </c>
      <c r="J32" s="1175">
        <f t="shared" si="6"/>
        <v>3515430.86</v>
      </c>
      <c r="K32" s="1175">
        <f t="shared" si="6"/>
        <v>4751031.34</v>
      </c>
      <c r="L32" s="336"/>
      <c r="M32" s="447">
        <f>M30+M24+M20+M14+M10+M27</f>
        <v>4751031.34</v>
      </c>
      <c r="N32" s="336"/>
      <c r="O32" s="434"/>
      <c r="P32" s="1393"/>
      <c r="Q32" s="418"/>
      <c r="R32" s="454"/>
      <c r="S32" s="454"/>
      <c r="T32" s="63"/>
      <c r="U32" s="435"/>
      <c r="V32" s="435"/>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BF32" s="418"/>
    </row>
    <row r="33" spans="2:58" ht="13.5" thickBot="1">
      <c r="B33" s="3668"/>
      <c r="C33" s="407"/>
      <c r="D33" s="55"/>
      <c r="E33" s="448"/>
      <c r="F33" s="63"/>
      <c r="G33" s="169"/>
      <c r="H33" s="63"/>
      <c r="I33" s="169"/>
      <c r="J33" s="63"/>
      <c r="K33" s="169"/>
      <c r="L33" s="51"/>
      <c r="M33" s="169"/>
      <c r="N33" s="1104"/>
      <c r="O33" s="434"/>
      <c r="P33" s="1393"/>
      <c r="Q33" s="418"/>
      <c r="R33" s="454"/>
      <c r="S33" s="454"/>
      <c r="T33" s="63"/>
      <c r="U33" s="435"/>
      <c r="V33" s="435"/>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BF33" s="418"/>
    </row>
    <row r="34" spans="2:58" ht="13.5" thickBot="1">
      <c r="B34" s="3668"/>
      <c r="C34" s="154"/>
      <c r="D34" s="56" t="s">
        <v>149</v>
      </c>
      <c r="E34" s="448"/>
      <c r="F34" s="63"/>
      <c r="G34" s="169"/>
      <c r="H34" s="63"/>
      <c r="I34" s="169"/>
      <c r="J34" s="63"/>
      <c r="K34" s="169"/>
      <c r="L34" s="51"/>
      <c r="M34" s="169"/>
      <c r="N34" s="1104"/>
      <c r="O34" s="434"/>
      <c r="P34" s="1393"/>
      <c r="Q34" s="418"/>
      <c r="R34" s="454"/>
      <c r="S34" s="454"/>
      <c r="T34" s="63"/>
      <c r="U34" s="435"/>
      <c r="V34" s="435"/>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BF34" s="418"/>
    </row>
    <row r="35" spans="2:58">
      <c r="B35" s="3668"/>
      <c r="C35" s="154"/>
      <c r="D35" s="87"/>
      <c r="E35" s="448"/>
      <c r="F35" s="1943"/>
      <c r="G35" s="1944"/>
      <c r="H35" s="1943"/>
      <c r="I35" s="1944"/>
      <c r="J35" s="1943"/>
      <c r="K35" s="1944"/>
      <c r="L35" s="1945"/>
      <c r="M35" s="1944"/>
      <c r="N35" s="1104"/>
      <c r="O35" s="434"/>
      <c r="P35" s="1393"/>
      <c r="Q35" s="418"/>
      <c r="R35" s="454"/>
      <c r="S35" s="454"/>
      <c r="T35" s="63"/>
      <c r="U35" s="435"/>
      <c r="V35" s="435"/>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BF35" s="418"/>
    </row>
    <row r="36" spans="2:58">
      <c r="B36" s="3659" t="s">
        <v>1306</v>
      </c>
      <c r="C36" s="585">
        <v>216811</v>
      </c>
      <c r="D36" s="159" t="s">
        <v>2552</v>
      </c>
      <c r="E36" s="462">
        <f>IFERROR(VLOOKUP(C36,'פ.נ. EUROPE'!$D$164:$F$353,3,0),0)</f>
        <v>13022.77</v>
      </c>
      <c r="F36" s="1152">
        <f>SUMIF('פ.נ. EUROPE'!C:C,C:C,'פ.נ. EUROPE'!E:E)</f>
        <v>0</v>
      </c>
      <c r="G36" s="1944"/>
      <c r="H36" s="1943"/>
      <c r="I36" s="1944"/>
      <c r="J36" s="462">
        <f>SUM(E36:I36)</f>
        <v>13022.77</v>
      </c>
      <c r="K36" s="439">
        <f>M36+SUMIF('פ.נ. EUROPE'!C:C,'מאזן בוחן EUROPE'!C36,'פ.נ. EUROPE'!F:F)</f>
        <v>17600</v>
      </c>
      <c r="L36" s="1945"/>
      <c r="M36" s="439">
        <f>IFERROR(VLOOKUP(C36,'פ.נ. EUROPE'!$D$164:$H$353,4,0),"")</f>
        <v>17600</v>
      </c>
      <c r="N36" s="1104">
        <f>IF(K36=0,"-",J36/K36)</f>
        <v>0.73993011363636363</v>
      </c>
      <c r="O36" s="434"/>
      <c r="P36" s="1393"/>
      <c r="Q36" s="418"/>
      <c r="R36" s="454"/>
      <c r="S36" s="454"/>
      <c r="T36" s="63"/>
      <c r="U36" s="435"/>
      <c r="V36" s="435"/>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BF36" s="418"/>
    </row>
    <row r="37" spans="2:58">
      <c r="B37" s="3659" t="s">
        <v>572</v>
      </c>
      <c r="C37" s="585">
        <v>202812</v>
      </c>
      <c r="D37" s="159" t="s">
        <v>4006</v>
      </c>
      <c r="E37" s="462">
        <f>IFERROR(VLOOKUP(C37,'פ.נ. EUROPE'!$D$164:$F$353,3,0),0)</f>
        <v>371290.43</v>
      </c>
      <c r="F37" s="1152">
        <f>SUMIF('פ.נ. EUROPE'!C:C,C:C,'פ.נ. EUROPE'!E:E)</f>
        <v>0</v>
      </c>
      <c r="G37" s="1944"/>
      <c r="H37" s="1943"/>
      <c r="I37" s="1944"/>
      <c r="J37" s="462">
        <f t="shared" ref="J37:J49" si="7">SUM(E37:I37)</f>
        <v>371290.43</v>
      </c>
      <c r="K37" s="439">
        <f>M37+SUMIF('פ.נ. EUROPE'!C:C,'מאזן בוחן EUROPE'!C37,'פ.נ. EUROPE'!F:F)</f>
        <v>501791.25</v>
      </c>
      <c r="L37" s="1945"/>
      <c r="M37" s="439">
        <f>IFERROR(VLOOKUP(C37,'פ.נ. EUROPE'!$D$164:$H$353,4,0),"")</f>
        <v>501791.25</v>
      </c>
      <c r="N37" s="1104">
        <f t="shared" ref="N37:N49" si="8">IF(K37=0,"-",J37/K37)</f>
        <v>0.73993006055805077</v>
      </c>
      <c r="O37" s="434"/>
      <c r="P37" s="1393"/>
      <c r="Q37" s="418"/>
      <c r="R37" s="454"/>
      <c r="S37" s="454"/>
      <c r="T37" s="63"/>
      <c r="U37" s="435"/>
      <c r="V37" s="435"/>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BF37" s="418"/>
    </row>
    <row r="38" spans="2:58">
      <c r="B38" s="3659" t="s">
        <v>572</v>
      </c>
      <c r="C38" s="585">
        <v>227448</v>
      </c>
      <c r="D38" s="159" t="s">
        <v>4614</v>
      </c>
      <c r="E38" s="462">
        <f>IFERROR(VLOOKUP(C38,'פ.נ. EUROPE'!$D$164:$F$353,3,0),0)</f>
        <v>687930.78</v>
      </c>
      <c r="F38" s="1152">
        <f>SUMIF('פ.נ. EUROPE'!C:C,C:C,'פ.נ. EUROPE'!E:E)</f>
        <v>0</v>
      </c>
      <c r="G38" s="1944"/>
      <c r="H38" s="1943"/>
      <c r="I38" s="1944"/>
      <c r="J38" s="462">
        <f t="shared" si="7"/>
        <v>687930.78</v>
      </c>
      <c r="K38" s="439">
        <f>M38+SUMIF('פ.נ. EUROPE'!C:C,'מאזן בוחן EUROPE'!C38,'פ.נ. EUROPE'!F:F)</f>
        <v>929724.07</v>
      </c>
      <c r="L38" s="1945"/>
      <c r="M38" s="439">
        <f>IFERROR(VLOOKUP(C38,'פ.נ. EUROPE'!$D$164:$H$353,4,0),"")</f>
        <v>929724.07</v>
      </c>
      <c r="N38" s="1104">
        <f t="shared" si="8"/>
        <v>0.7399300525800091</v>
      </c>
      <c r="O38" s="434"/>
      <c r="P38" s="1393"/>
      <c r="Q38" s="418"/>
      <c r="R38" s="454"/>
      <c r="S38" s="454"/>
      <c r="T38" s="63"/>
      <c r="U38" s="435"/>
      <c r="V38" s="435"/>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BF38" s="418"/>
    </row>
    <row r="39" spans="2:58">
      <c r="B39" s="3659" t="s">
        <v>572</v>
      </c>
      <c r="C39" s="585" t="s">
        <v>4615</v>
      </c>
      <c r="D39" s="159" t="s">
        <v>3900</v>
      </c>
      <c r="E39" s="462">
        <f>IFERROR(VLOOKUP(C39,'פ.נ. EUROPE'!$D$164:$F$353,3,0),0)</f>
        <v>22425.21</v>
      </c>
      <c r="F39" s="1152">
        <f>SUMIF('פ.נ. EUROPE'!C:C,C:C,'פ.נ. EUROPE'!E:E)</f>
        <v>0</v>
      </c>
      <c r="G39" s="1944"/>
      <c r="H39" s="1943"/>
      <c r="I39" s="1944"/>
      <c r="J39" s="462">
        <f t="shared" si="7"/>
        <v>22425.21</v>
      </c>
      <c r="K39" s="439">
        <f>M39+SUMIF('פ.נ. EUROPE'!C:C,'מאזן בוחן EUROPE'!C39,'פ.נ. EUROPE'!F:F)</f>
        <v>30307.200000000001</v>
      </c>
      <c r="L39" s="1945"/>
      <c r="M39" s="439">
        <f>IFERROR(VLOOKUP(C39,'פ.נ. EUROPE'!$D$164:$H$353,4,0),"")</f>
        <v>30307.200000000001</v>
      </c>
      <c r="N39" s="1104">
        <f t="shared" si="8"/>
        <v>0.73993011561609123</v>
      </c>
      <c r="O39" s="434"/>
      <c r="P39" s="1393"/>
      <c r="Q39" s="418"/>
      <c r="R39" s="454"/>
      <c r="S39" s="454"/>
      <c r="T39" s="63"/>
      <c r="U39" s="435"/>
      <c r="V39" s="435"/>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BF39" s="418"/>
    </row>
    <row r="40" spans="2:58">
      <c r="B40" s="3659" t="s">
        <v>572</v>
      </c>
      <c r="C40" s="585">
        <v>229863</v>
      </c>
      <c r="D40" s="159" t="s">
        <v>4616</v>
      </c>
      <c r="E40" s="462">
        <f>IFERROR(VLOOKUP(C40,'פ.נ. EUROPE'!$D$164:$F$353,3,0),0)</f>
        <v>46115.47</v>
      </c>
      <c r="F40" s="1152">
        <f>SUMIF('פ.נ. EUROPE'!C:C,C:C,'פ.נ. EUROPE'!E:E)</f>
        <v>0</v>
      </c>
      <c r="G40" s="1944"/>
      <c r="H40" s="1943"/>
      <c r="I40" s="1944"/>
      <c r="J40" s="462">
        <f t="shared" si="7"/>
        <v>46115.47</v>
      </c>
      <c r="K40" s="439">
        <f>M40+SUMIF('פ.נ. EUROPE'!C:C,'מאזן בוחן EUROPE'!C40,'פ.נ. EUROPE'!F:F)</f>
        <v>62324.1</v>
      </c>
      <c r="L40" s="1945"/>
      <c r="M40" s="439">
        <f>IFERROR(VLOOKUP(C40,'פ.נ. EUROPE'!$D$164:$H$353,4,0),"")</f>
        <v>62324.1</v>
      </c>
      <c r="N40" s="1104">
        <f t="shared" si="8"/>
        <v>0.73992997893270829</v>
      </c>
      <c r="O40" s="434"/>
      <c r="P40" s="1393"/>
      <c r="Q40" s="418"/>
      <c r="R40" s="454"/>
      <c r="S40" s="454"/>
      <c r="T40" s="63"/>
      <c r="U40" s="435"/>
      <c r="V40" s="435"/>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BF40" s="418"/>
    </row>
    <row r="41" spans="2:58">
      <c r="B41" s="3659" t="s">
        <v>574</v>
      </c>
      <c r="C41" s="585">
        <v>202627</v>
      </c>
      <c r="D41" s="159" t="s">
        <v>4617</v>
      </c>
      <c r="E41" s="462">
        <f>IFERROR(VLOOKUP(C41,'פ.נ. EUROPE'!$D$164:$F$353,3,0),0)</f>
        <v>48784.84</v>
      </c>
      <c r="F41" s="1152">
        <f>SUMIF('פ.נ. EUROPE'!C:C,C:C,'פ.נ. EUROPE'!E:E)</f>
        <v>0</v>
      </c>
      <c r="G41" s="1944"/>
      <c r="H41" s="1943"/>
      <c r="I41" s="1944"/>
      <c r="J41" s="462">
        <f t="shared" si="7"/>
        <v>48784.84</v>
      </c>
      <c r="K41" s="439">
        <f>M41+SUMIF('פ.נ. EUROPE'!C:C,'מאזן בוחן EUROPE'!C41,'פ.נ. EUROPE'!F:F)</f>
        <v>65931.69</v>
      </c>
      <c r="L41" s="1945"/>
      <c r="M41" s="439">
        <f>IFERROR(VLOOKUP(C41,'פ.נ. EUROPE'!$D$164:$H$353,4,0),"")</f>
        <v>65931.69</v>
      </c>
      <c r="N41" s="1104">
        <f t="shared" si="8"/>
        <v>0.73993007004674072</v>
      </c>
      <c r="O41" s="434"/>
      <c r="P41" s="1393"/>
      <c r="Q41" s="418"/>
      <c r="R41" s="454"/>
      <c r="S41" s="454"/>
      <c r="T41" s="63"/>
      <c r="U41" s="435"/>
      <c r="V41" s="435"/>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BF41" s="418"/>
    </row>
    <row r="42" spans="2:58">
      <c r="B42" s="3659" t="s">
        <v>574</v>
      </c>
      <c r="C42" s="585">
        <v>203290</v>
      </c>
      <c r="D42" s="159" t="s">
        <v>4618</v>
      </c>
      <c r="E42" s="462">
        <f>IFERROR(VLOOKUP(C42,'פ.נ. EUROPE'!$D$164:$F$353,3,0),0)</f>
        <v>4653.3900000000003</v>
      </c>
      <c r="F42" s="1152">
        <f>SUMIF('פ.נ. EUROPE'!C:C,C:C,'פ.נ. EUROPE'!E:E)</f>
        <v>0</v>
      </c>
      <c r="G42" s="1944"/>
      <c r="H42" s="1943"/>
      <c r="I42" s="1944"/>
      <c r="J42" s="462">
        <f t="shared" si="7"/>
        <v>4653.3900000000003</v>
      </c>
      <c r="K42" s="439">
        <f>M42+SUMIF('פ.נ. EUROPE'!C:C,'מאזן בוחן EUROPE'!C42,'פ.נ. EUROPE'!F:F)</f>
        <v>6288.96</v>
      </c>
      <c r="L42" s="1945"/>
      <c r="M42" s="439">
        <f>IFERROR(VLOOKUP(C42,'פ.נ. EUROPE'!$D$164:$H$353,4,0),"")</f>
        <v>6288.96</v>
      </c>
      <c r="N42" s="1104">
        <f t="shared" si="8"/>
        <v>0.73992997252327897</v>
      </c>
      <c r="O42" s="434"/>
      <c r="P42" s="1393"/>
      <c r="Q42" s="418"/>
      <c r="R42" s="454"/>
      <c r="S42" s="454"/>
      <c r="T42" s="63"/>
      <c r="U42" s="435"/>
      <c r="V42" s="435"/>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BF42" s="418"/>
    </row>
    <row r="43" spans="2:58">
      <c r="B43" s="3659" t="s">
        <v>574</v>
      </c>
      <c r="C43" s="585">
        <v>206315</v>
      </c>
      <c r="D43" s="159" t="s">
        <v>4619</v>
      </c>
      <c r="E43" s="462">
        <f>IFERROR(VLOOKUP(C43,'פ.נ. EUROPE'!$D$164:$F$353,3,0),0)</f>
        <v>174545.96</v>
      </c>
      <c r="F43" s="1152">
        <f>SUMIF('פ.נ. EUROPE'!C:C,C:C,'פ.נ. EUROPE'!E:E)</f>
        <v>0</v>
      </c>
      <c r="G43" s="1944"/>
      <c r="H43" s="1943"/>
      <c r="I43" s="1944"/>
      <c r="J43" s="462">
        <f t="shared" si="7"/>
        <v>174545.96</v>
      </c>
      <c r="K43" s="439">
        <f>M43+SUMIF('פ.נ. EUROPE'!C:C,'מאזן בוחן EUROPE'!C43,'פ.נ. EUROPE'!F:F)</f>
        <v>235895.22</v>
      </c>
      <c r="L43" s="1945"/>
      <c r="M43" s="439">
        <f>IFERROR(VLOOKUP(C43,'פ.נ. EUROPE'!$D$164:$H$353,4,0),"")</f>
        <v>235895.22</v>
      </c>
      <c r="N43" s="1104">
        <f t="shared" si="8"/>
        <v>0.73993004182111022</v>
      </c>
      <c r="O43" s="434"/>
      <c r="P43" s="1393"/>
      <c r="Q43" s="418"/>
      <c r="R43" s="454"/>
      <c r="S43" s="454"/>
      <c r="T43" s="63"/>
      <c r="U43" s="435"/>
      <c r="V43" s="435"/>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BF43" s="418"/>
    </row>
    <row r="44" spans="2:58">
      <c r="B44" s="3659" t="s">
        <v>574</v>
      </c>
      <c r="C44" s="585">
        <v>209094</v>
      </c>
      <c r="D44" s="159" t="s">
        <v>4620</v>
      </c>
      <c r="E44" s="462">
        <f>IFERROR(VLOOKUP(C44,'פ.נ. EUROPE'!$D$164:$F$353,3,0),0)</f>
        <v>57338.33</v>
      </c>
      <c r="F44" s="1152">
        <f>SUMIF('פ.נ. EUROPE'!C:C,C:C,'פ.נ. EUROPE'!E:E)</f>
        <v>0</v>
      </c>
      <c r="G44" s="1944"/>
      <c r="H44" s="1943"/>
      <c r="I44" s="1944"/>
      <c r="J44" s="462">
        <f t="shared" si="7"/>
        <v>57338.33</v>
      </c>
      <c r="K44" s="439">
        <f>M44+SUMIF('פ.נ. EUROPE'!C:C,'מאזן בוחן EUROPE'!C44,'פ.נ. EUROPE'!F:F)</f>
        <v>77491.56</v>
      </c>
      <c r="L44" s="1945"/>
      <c r="M44" s="439">
        <f>IFERROR(VLOOKUP(C44,'פ.נ. EUROPE'!$D$164:$H$353,4,0),"")</f>
        <v>77491.56</v>
      </c>
      <c r="N44" s="1104">
        <f t="shared" si="8"/>
        <v>0.73993000011872267</v>
      </c>
      <c r="O44" s="434"/>
      <c r="P44" s="1393"/>
      <c r="Q44" s="418"/>
      <c r="R44" s="454"/>
      <c r="S44" s="454"/>
      <c r="T44" s="63"/>
      <c r="U44" s="435"/>
      <c r="V44" s="435"/>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BF44" s="418"/>
    </row>
    <row r="45" spans="2:58">
      <c r="B45" s="3659" t="s">
        <v>574</v>
      </c>
      <c r="C45" s="585">
        <v>214941</v>
      </c>
      <c r="D45" s="159" t="s">
        <v>4621</v>
      </c>
      <c r="E45" s="462">
        <f>IFERROR(VLOOKUP(C45,'פ.נ. EUROPE'!$D$164:$F$353,3,0),0)</f>
        <v>15790.27</v>
      </c>
      <c r="F45" s="1152">
        <f>SUMIF('פ.נ. EUROPE'!C:C,C:C,'פ.נ. EUROPE'!E:E)</f>
        <v>0</v>
      </c>
      <c r="G45" s="1944"/>
      <c r="H45" s="1943"/>
      <c r="I45" s="1944"/>
      <c r="J45" s="462">
        <f t="shared" si="7"/>
        <v>15790.27</v>
      </c>
      <c r="K45" s="439">
        <f>M45+SUMIF('פ.נ. EUROPE'!C:C,'מאזן בוחן EUROPE'!C45,'פ.נ. EUROPE'!F:F)</f>
        <v>21340.21</v>
      </c>
      <c r="L45" s="1945"/>
      <c r="M45" s="439">
        <f>IFERROR(VLOOKUP(C45,'פ.נ. EUROPE'!$D$164:$H$353,4,0),"")</f>
        <v>21340.21</v>
      </c>
      <c r="N45" s="1104">
        <f t="shared" si="8"/>
        <v>0.73993039431195851</v>
      </c>
      <c r="O45" s="434"/>
      <c r="P45" s="1393"/>
      <c r="Q45" s="418"/>
      <c r="R45" s="454"/>
      <c r="S45" s="454"/>
      <c r="T45" s="63"/>
      <c r="U45" s="435"/>
      <c r="V45" s="435"/>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BF45" s="418"/>
    </row>
    <row r="46" spans="2:58">
      <c r="B46" s="3659" t="s">
        <v>574</v>
      </c>
      <c r="C46" s="585">
        <v>221627</v>
      </c>
      <c r="D46" s="159" t="s">
        <v>4622</v>
      </c>
      <c r="E46" s="462">
        <f>IFERROR(VLOOKUP(C46,'פ.נ. EUROPE'!$D$164:$F$353,3,0),0)</f>
        <v>34718.31</v>
      </c>
      <c r="F46" s="1152">
        <f>SUMIF('פ.נ. EUROPE'!C:C,C:C,'פ.נ. EUROPE'!E:E)</f>
        <v>0</v>
      </c>
      <c r="G46" s="1944"/>
      <c r="H46" s="1943"/>
      <c r="I46" s="1944"/>
      <c r="J46" s="462">
        <f t="shared" si="7"/>
        <v>34718.31</v>
      </c>
      <c r="K46" s="439">
        <f>M46+SUMIF('פ.נ. EUROPE'!C:C,'מאזן בוחן EUROPE'!C46,'פ.נ. EUROPE'!F:F)</f>
        <v>46921.07</v>
      </c>
      <c r="L46" s="1945"/>
      <c r="M46" s="439">
        <f>IFERROR(VLOOKUP(C46,'פ.נ. EUROPE'!$D$164:$H$353,4,0),"")</f>
        <v>46921.07</v>
      </c>
      <c r="N46" s="1104">
        <f t="shared" si="8"/>
        <v>0.73993005700850378</v>
      </c>
      <c r="O46" s="434"/>
      <c r="P46" s="1393"/>
      <c r="Q46" s="418"/>
      <c r="R46" s="454"/>
      <c r="S46" s="454"/>
      <c r="T46" s="63"/>
      <c r="U46" s="435"/>
      <c r="V46" s="435"/>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BF46" s="418"/>
    </row>
    <row r="47" spans="2:58">
      <c r="B47" s="3659" t="s">
        <v>574</v>
      </c>
      <c r="C47" s="585">
        <v>223534</v>
      </c>
      <c r="D47" s="159" t="s">
        <v>4623</v>
      </c>
      <c r="E47" s="462">
        <f>IFERROR(VLOOKUP(C47,'פ.נ. EUROPE'!$D$164:$F$353,3,0),0)</f>
        <v>84584.78</v>
      </c>
      <c r="F47" s="1152">
        <f>SUMIF('פ.נ. EUROPE'!C:C,C:C,'פ.נ. EUROPE'!E:E)</f>
        <v>0</v>
      </c>
      <c r="G47" s="1944"/>
      <c r="H47" s="1943"/>
      <c r="I47" s="1944"/>
      <c r="J47" s="462">
        <f t="shared" si="7"/>
        <v>84584.78</v>
      </c>
      <c r="K47" s="439">
        <f>M47+SUMIF('פ.נ. EUROPE'!C:C,'מאזן בוחן EUROPE'!C47,'פ.נ. EUROPE'!F:F)</f>
        <v>114314.56</v>
      </c>
      <c r="L47" s="1945"/>
      <c r="M47" s="439">
        <f>IFERROR(VLOOKUP(C47,'פ.נ. EUROPE'!$D$164:$H$353,4,0),"")</f>
        <v>114314.56</v>
      </c>
      <c r="N47" s="1104">
        <f t="shared" si="8"/>
        <v>0.73993006665117722</v>
      </c>
      <c r="O47" s="434"/>
      <c r="P47" s="1393"/>
      <c r="Q47" s="418"/>
      <c r="R47" s="454"/>
      <c r="S47" s="454"/>
      <c r="T47" s="63"/>
      <c r="U47" s="435"/>
      <c r="V47" s="435"/>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BF47" s="418"/>
    </row>
    <row r="48" spans="2:58">
      <c r="B48" s="3659" t="s">
        <v>574</v>
      </c>
      <c r="C48" s="585">
        <v>229873</v>
      </c>
      <c r="D48" s="159" t="s">
        <v>4624</v>
      </c>
      <c r="E48" s="462">
        <f>IFERROR(VLOOKUP(C48,'פ.נ. EUROPE'!$D$164:$F$353,3,0),0)</f>
        <v>17860.580000000002</v>
      </c>
      <c r="F48" s="1152">
        <f>SUMIF('פ.נ. EUROPE'!C:C,C:C,'פ.נ. EUROPE'!E:E)</f>
        <v>0</v>
      </c>
      <c r="G48" s="1944"/>
      <c r="H48" s="1943"/>
      <c r="I48" s="1944"/>
      <c r="J48" s="462">
        <f t="shared" si="7"/>
        <v>17860.580000000002</v>
      </c>
      <c r="K48" s="439">
        <f>M48+SUMIF('פ.נ. EUROPE'!C:C,'מאזן בוחן EUROPE'!C48,'פ.נ. EUROPE'!F:F)</f>
        <v>24138.2</v>
      </c>
      <c r="L48" s="1945"/>
      <c r="M48" s="439">
        <f>IFERROR(VLOOKUP(C48,'פ.נ. EUROPE'!$D$164:$H$353,4,0),"")</f>
        <v>24138.2</v>
      </c>
      <c r="N48" s="1104">
        <f t="shared" si="8"/>
        <v>0.73993006935065586</v>
      </c>
      <c r="O48" s="434"/>
      <c r="P48" s="1393"/>
      <c r="Q48" s="418"/>
      <c r="R48" s="454"/>
      <c r="S48" s="454"/>
      <c r="T48" s="63"/>
      <c r="U48" s="435"/>
      <c r="V48" s="435"/>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BF48" s="418"/>
    </row>
    <row r="49" spans="2:58">
      <c r="B49" s="3659" t="s">
        <v>574</v>
      </c>
      <c r="C49" s="585">
        <v>232310</v>
      </c>
      <c r="D49" s="159" t="s">
        <v>4625</v>
      </c>
      <c r="E49" s="462">
        <f>IFERROR(VLOOKUP(C49,'פ.נ. EUROPE'!$D$164:$F$353,3,0),0)</f>
        <v>197751.83</v>
      </c>
      <c r="F49" s="1152">
        <f>SUMIF('פ.נ. EUROPE'!C:C,C:C,'פ.נ. EUROPE'!E:E)</f>
        <v>0</v>
      </c>
      <c r="G49" s="1944"/>
      <c r="H49" s="1943"/>
      <c r="I49" s="1944"/>
      <c r="J49" s="462">
        <f t="shared" si="7"/>
        <v>197751.83</v>
      </c>
      <c r="K49" s="439">
        <f>M49+SUMIF('פ.נ. EUROPE'!C:C,'מאזן בוחן EUROPE'!C49,'פ.נ. EUROPE'!F:F)</f>
        <v>267257.46000000002</v>
      </c>
      <c r="L49" s="1945"/>
      <c r="M49" s="439">
        <f>IFERROR(VLOOKUP(C49,'פ.נ. EUROPE'!$D$164:$H$353,4,0),"")</f>
        <v>267257.46000000002</v>
      </c>
      <c r="N49" s="1104">
        <f t="shared" si="8"/>
        <v>0.7399300659371677</v>
      </c>
      <c r="O49" s="434"/>
      <c r="P49" s="1393"/>
      <c r="Q49" s="418"/>
      <c r="R49" s="454"/>
      <c r="S49" s="454"/>
      <c r="T49" s="63"/>
      <c r="U49" s="435"/>
      <c r="V49" s="435"/>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BF49" s="418"/>
    </row>
    <row r="50" spans="2:58">
      <c r="B50" s="3659" t="s">
        <v>572</v>
      </c>
      <c r="C50" s="585">
        <v>227645</v>
      </c>
      <c r="D50" s="159" t="s">
        <v>4472</v>
      </c>
      <c r="E50" s="462">
        <f>IFERROR(VLOOKUP(C50,'פ.נ. EUROPE'!$D$164:$F$353,3,0),0)</f>
        <v>0</v>
      </c>
      <c r="F50" s="1152">
        <f>SUMIF('פ.נ. EUROPE'!C:C,C:C,'פ.נ. EUROPE'!E:E)</f>
        <v>0</v>
      </c>
      <c r="G50" s="1944"/>
      <c r="H50" s="1943"/>
      <c r="I50" s="1944"/>
      <c r="J50" s="462">
        <f t="shared" ref="J50:J58" si="9">SUM(E50:I50)</f>
        <v>0</v>
      </c>
      <c r="K50" s="439">
        <f>M50+SUMIF('פ.נ. EUROPE'!C:C,'מאזן בוחן EUROPE'!C50,'פ.נ. EUROPE'!F:F)</f>
        <v>0</v>
      </c>
      <c r="L50" s="1945"/>
      <c r="M50" s="439" t="str">
        <f>IFERROR(VLOOKUP(C50,'פ.נ. EUROPE'!$D$164:$H$353,4,0),"")</f>
        <v/>
      </c>
      <c r="N50" s="1104" t="str">
        <f t="shared" ref="N50:N58" si="10">IF(K50=0,"-",J50/K50)</f>
        <v>-</v>
      </c>
      <c r="O50" s="434"/>
      <c r="P50" s="1393"/>
      <c r="Q50" s="418"/>
      <c r="R50" s="454"/>
      <c r="S50" s="454"/>
      <c r="T50" s="63"/>
      <c r="U50" s="435"/>
      <c r="V50" s="435"/>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BF50" s="418"/>
    </row>
    <row r="51" spans="2:58">
      <c r="B51" s="3659" t="s">
        <v>574</v>
      </c>
      <c r="C51" s="585">
        <v>200175</v>
      </c>
      <c r="D51" s="159" t="s">
        <v>4473</v>
      </c>
      <c r="E51" s="462">
        <f>IFERROR(VLOOKUP(C51,'פ.נ. EUROPE'!$D$164:$F$353,3,0),0)</f>
        <v>79784.69</v>
      </c>
      <c r="F51" s="1152">
        <f>SUMIF('פ.נ. EUROPE'!C:C,C:C,'פ.נ. EUROPE'!E:E)</f>
        <v>0</v>
      </c>
      <c r="G51" s="1944"/>
      <c r="H51" s="1943"/>
      <c r="I51" s="1944"/>
      <c r="J51" s="462">
        <f t="shared" si="9"/>
        <v>79784.69</v>
      </c>
      <c r="K51" s="439">
        <f>M51+SUMIF('פ.נ. EUROPE'!C:C,'מאזן בוחן EUROPE'!C51,'פ.נ. EUROPE'!F:F)</f>
        <v>107827.34</v>
      </c>
      <c r="L51" s="1945"/>
      <c r="M51" s="439">
        <f>IFERROR(VLOOKUP(C51,'פ.נ. EUROPE'!$D$164:$H$353,4,0),"")</f>
        <v>107827.34</v>
      </c>
      <c r="N51" s="1104">
        <f t="shared" si="10"/>
        <v>0.73993005855472282</v>
      </c>
      <c r="O51" s="434"/>
      <c r="P51" s="1393"/>
      <c r="Q51" s="418"/>
      <c r="R51" s="454"/>
      <c r="S51" s="454"/>
      <c r="T51" s="63"/>
      <c r="U51" s="435"/>
      <c r="V51" s="435"/>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BF51" s="418"/>
    </row>
    <row r="52" spans="2:58">
      <c r="B52" s="3659" t="s">
        <v>574</v>
      </c>
      <c r="C52" s="585">
        <v>202319</v>
      </c>
      <c r="D52" s="159" t="s">
        <v>4474</v>
      </c>
      <c r="E52" s="462">
        <f>IFERROR(VLOOKUP(C52,'פ.נ. EUROPE'!$D$164:$F$353,3,0),0)</f>
        <v>15211.18</v>
      </c>
      <c r="F52" s="1152">
        <f>SUMIF('פ.נ. EUROPE'!C:C,C:C,'פ.נ. EUROPE'!E:E)</f>
        <v>0</v>
      </c>
      <c r="G52" s="1944"/>
      <c r="H52" s="1943"/>
      <c r="I52" s="1944"/>
      <c r="J52" s="462">
        <f t="shared" si="9"/>
        <v>15211.18</v>
      </c>
      <c r="K52" s="439">
        <f>M52+SUMIF('פ.נ. EUROPE'!C:C,'מאזן בוחן EUROPE'!C52,'פ.נ. EUROPE'!F:F)</f>
        <v>20557.599999999999</v>
      </c>
      <c r="L52" s="1945"/>
      <c r="M52" s="439">
        <f>IFERROR(VLOOKUP(C52,'פ.נ. EUROPE'!$D$164:$H$353,4,0),"")</f>
        <v>20557.599999999999</v>
      </c>
      <c r="N52" s="1104">
        <f t="shared" si="10"/>
        <v>0.73992975833754915</v>
      </c>
      <c r="O52" s="434"/>
      <c r="P52" s="1393"/>
      <c r="Q52" s="418"/>
      <c r="R52" s="454"/>
      <c r="S52" s="454"/>
      <c r="T52" s="63"/>
      <c r="U52" s="435"/>
      <c r="V52" s="435"/>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BF52" s="418"/>
    </row>
    <row r="53" spans="2:58">
      <c r="B53" s="3659" t="s">
        <v>574</v>
      </c>
      <c r="C53" s="585">
        <v>204754</v>
      </c>
      <c r="D53" s="159" t="s">
        <v>4475</v>
      </c>
      <c r="E53" s="462">
        <f>IFERROR(VLOOKUP(C53,'פ.נ. EUROPE'!$D$164:$F$353,3,0),0)</f>
        <v>0</v>
      </c>
      <c r="F53" s="1152">
        <f>SUMIF('פ.נ. EUROPE'!C:C,C:C,'פ.נ. EUROPE'!E:E)</f>
        <v>0</v>
      </c>
      <c r="G53" s="1944"/>
      <c r="H53" s="1943"/>
      <c r="I53" s="1944"/>
      <c r="J53" s="462">
        <f t="shared" si="9"/>
        <v>0</v>
      </c>
      <c r="K53" s="439">
        <f>M53+SUMIF('פ.נ. EUROPE'!C:C,'מאזן בוחן EUROPE'!C53,'פ.נ. EUROPE'!F:F)</f>
        <v>0</v>
      </c>
      <c r="L53" s="1945"/>
      <c r="M53" s="439" t="str">
        <f>IFERROR(VLOOKUP(C53,'פ.נ. EUROPE'!$D$164:$H$353,4,0),"")</f>
        <v/>
      </c>
      <c r="N53" s="1104" t="str">
        <f t="shared" si="10"/>
        <v>-</v>
      </c>
      <c r="O53" s="434"/>
      <c r="P53" s="1393"/>
      <c r="Q53" s="418"/>
      <c r="R53" s="454"/>
      <c r="S53" s="454"/>
      <c r="T53" s="63"/>
      <c r="U53" s="435"/>
      <c r="V53" s="435"/>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BF53" s="418"/>
    </row>
    <row r="54" spans="2:58">
      <c r="B54" s="3659" t="s">
        <v>574</v>
      </c>
      <c r="C54" s="585">
        <v>204917</v>
      </c>
      <c r="D54" s="159" t="s">
        <v>4476</v>
      </c>
      <c r="E54" s="462">
        <f>IFERROR(VLOOKUP(C54,'פ.נ. EUROPE'!$D$164:$F$353,3,0),0)</f>
        <v>0</v>
      </c>
      <c r="F54" s="1152">
        <f>SUMIF('פ.נ. EUROPE'!C:C,C:C,'פ.נ. EUROPE'!E:E)</f>
        <v>0</v>
      </c>
      <c r="G54" s="1944"/>
      <c r="H54" s="1943"/>
      <c r="I54" s="1944"/>
      <c r="J54" s="462">
        <f t="shared" si="9"/>
        <v>0</v>
      </c>
      <c r="K54" s="439">
        <f>M54+SUMIF('פ.נ. EUROPE'!C:C,'מאזן בוחן EUROPE'!C54,'פ.נ. EUROPE'!F:F)</f>
        <v>0</v>
      </c>
      <c r="L54" s="1945"/>
      <c r="M54" s="439" t="str">
        <f>IFERROR(VLOOKUP(C54,'פ.נ. EUROPE'!$D$164:$H$353,4,0),"")</f>
        <v/>
      </c>
      <c r="N54" s="1104" t="str">
        <f t="shared" si="10"/>
        <v>-</v>
      </c>
      <c r="O54" s="434"/>
      <c r="P54" s="1393"/>
      <c r="Q54" s="418"/>
      <c r="R54" s="454"/>
      <c r="S54" s="454"/>
      <c r="T54" s="63"/>
      <c r="U54" s="435"/>
      <c r="V54" s="435"/>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BF54" s="418"/>
    </row>
    <row r="55" spans="2:58">
      <c r="B55" s="3659" t="s">
        <v>574</v>
      </c>
      <c r="C55" s="585">
        <v>205431</v>
      </c>
      <c r="D55" s="159" t="s">
        <v>4477</v>
      </c>
      <c r="E55" s="462">
        <f>IFERROR(VLOOKUP(C55,'פ.נ. EUROPE'!$D$164:$F$353,3,0),0)</f>
        <v>0</v>
      </c>
      <c r="F55" s="1152">
        <f>SUMIF('פ.נ. EUROPE'!C:C,C:C,'פ.נ. EUROPE'!E:E)</f>
        <v>0</v>
      </c>
      <c r="G55" s="1944"/>
      <c r="H55" s="1943"/>
      <c r="I55" s="1944"/>
      <c r="J55" s="462">
        <f t="shared" si="9"/>
        <v>0</v>
      </c>
      <c r="K55" s="439">
        <f>M55+SUMIF('פ.נ. EUROPE'!C:C,'מאזן בוחן EUROPE'!C55,'פ.נ. EUROPE'!F:F)</f>
        <v>0</v>
      </c>
      <c r="L55" s="1945"/>
      <c r="M55" s="439" t="str">
        <f>IFERROR(VLOOKUP(C55,'פ.נ. EUROPE'!$D$164:$H$353,4,0),"")</f>
        <v/>
      </c>
      <c r="N55" s="1104" t="str">
        <f t="shared" si="10"/>
        <v>-</v>
      </c>
      <c r="O55" s="434"/>
      <c r="P55" s="1393"/>
      <c r="Q55" s="418"/>
      <c r="R55" s="454"/>
      <c r="S55" s="454"/>
      <c r="T55" s="63"/>
      <c r="U55" s="435"/>
      <c r="V55" s="435"/>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BF55" s="418"/>
    </row>
    <row r="56" spans="2:58">
      <c r="B56" s="3659" t="s">
        <v>574</v>
      </c>
      <c r="C56" s="585">
        <v>223567</v>
      </c>
      <c r="D56" s="159" t="s">
        <v>4478</v>
      </c>
      <c r="E56" s="462">
        <f>IFERROR(VLOOKUP(C56,'פ.נ. EUROPE'!$D$164:$F$353,3,0),0)</f>
        <v>5275.96</v>
      </c>
      <c r="F56" s="1152">
        <f>SUMIF('פ.נ. EUROPE'!C:C,C:C,'פ.נ. EUROPE'!E:E)</f>
        <v>0</v>
      </c>
      <c r="G56" s="1944"/>
      <c r="H56" s="1943"/>
      <c r="I56" s="1944"/>
      <c r="J56" s="462">
        <f t="shared" si="9"/>
        <v>5275.96</v>
      </c>
      <c r="K56" s="439">
        <f>M56+SUMIF('פ.נ. EUROPE'!C:C,'מאזן בוחן EUROPE'!C56,'פ.נ. EUROPE'!F:F)</f>
        <v>7130.34</v>
      </c>
      <c r="L56" s="1945"/>
      <c r="M56" s="439">
        <f>IFERROR(VLOOKUP(C56,'פ.נ. EUROPE'!$D$164:$H$353,4,0),"")</f>
        <v>7130.34</v>
      </c>
      <c r="N56" s="1104">
        <f t="shared" si="10"/>
        <v>0.73993105518109936</v>
      </c>
      <c r="O56" s="434"/>
      <c r="P56" s="1393"/>
      <c r="Q56" s="418"/>
      <c r="R56" s="454"/>
      <c r="S56" s="454"/>
      <c r="T56" s="63"/>
      <c r="U56" s="435"/>
      <c r="V56" s="435"/>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BF56" s="418"/>
    </row>
    <row r="57" spans="2:58">
      <c r="B57" s="3659" t="s">
        <v>574</v>
      </c>
      <c r="C57" s="585">
        <v>232203</v>
      </c>
      <c r="D57" s="159" t="s">
        <v>4479</v>
      </c>
      <c r="E57" s="462">
        <f>IFERROR(VLOOKUP(C57,'פ.נ. EUROPE'!$D$164:$F$353,3,0),0)</f>
        <v>252511.5</v>
      </c>
      <c r="F57" s="1152">
        <f>SUMIF('פ.נ. EUROPE'!C:C,C:C,'פ.נ. EUROPE'!E:E)</f>
        <v>0</v>
      </c>
      <c r="G57" s="1944"/>
      <c r="H57" s="1943"/>
      <c r="I57" s="1944"/>
      <c r="J57" s="462">
        <f t="shared" si="9"/>
        <v>252511.5</v>
      </c>
      <c r="K57" s="439">
        <f>M57+SUMIF('פ.נ. EUROPE'!C:C,'מאזן בוחן EUROPE'!C57,'פ.נ. EUROPE'!F:F)</f>
        <v>341264.02</v>
      </c>
      <c r="L57" s="1945"/>
      <c r="M57" s="439">
        <f>IFERROR(VLOOKUP(C57,'פ.נ. EUROPE'!$D$164:$H$353,4,0),"")</f>
        <v>341264.02</v>
      </c>
      <c r="N57" s="1104">
        <f t="shared" si="10"/>
        <v>0.73993004009036756</v>
      </c>
      <c r="O57" s="434"/>
      <c r="P57" s="1393"/>
      <c r="Q57" s="418"/>
      <c r="R57" s="454"/>
      <c r="S57" s="454"/>
      <c r="T57" s="63"/>
      <c r="U57" s="435"/>
      <c r="V57" s="435"/>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BF57" s="418"/>
    </row>
    <row r="58" spans="2:58">
      <c r="B58" s="3659" t="s">
        <v>1306</v>
      </c>
      <c r="C58" s="585">
        <v>212087</v>
      </c>
      <c r="D58" s="159" t="s">
        <v>4480</v>
      </c>
      <c r="E58" s="462">
        <f>IFERROR(VLOOKUP(C58,'פ.נ. EUROPE'!$D$164:$F$353,3,0),0)</f>
        <v>2353.42</v>
      </c>
      <c r="F58" s="1152">
        <f>SUMIF('פ.נ. EUROPE'!C:C,C:C,'פ.נ. EUROPE'!E:E)</f>
        <v>0</v>
      </c>
      <c r="G58" s="1944"/>
      <c r="H58" s="1943"/>
      <c r="I58" s="1944"/>
      <c r="J58" s="462">
        <f t="shared" si="9"/>
        <v>2353.42</v>
      </c>
      <c r="K58" s="439">
        <f>M58+SUMIF('פ.נ. EUROPE'!C:C,'מאזן בוחן EUROPE'!C58,'פ.נ. EUROPE'!F:F)</f>
        <v>3180.6</v>
      </c>
      <c r="L58" s="1945"/>
      <c r="M58" s="439">
        <f>IFERROR(VLOOKUP(C58,'פ.נ. EUROPE'!$D$164:$H$353,4,0),"")</f>
        <v>3180.6</v>
      </c>
      <c r="N58" s="1104">
        <f t="shared" si="10"/>
        <v>0.73992957303653406</v>
      </c>
      <c r="O58" s="434"/>
      <c r="P58" s="1393"/>
      <c r="Q58" s="418"/>
      <c r="R58" s="454"/>
      <c r="S58" s="454"/>
      <c r="T58" s="63"/>
      <c r="U58" s="435"/>
      <c r="V58" s="435"/>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BF58" s="418"/>
    </row>
    <row r="59" spans="2:58">
      <c r="B59" s="3659" t="s">
        <v>572</v>
      </c>
      <c r="C59" s="585">
        <v>232108</v>
      </c>
      <c r="D59" s="159" t="s">
        <v>4270</v>
      </c>
      <c r="E59" s="462">
        <f>IFERROR(VLOOKUP(C59,'פ.נ. EUROPE'!$D$164:$F$353,3,0),0)</f>
        <v>13318.74</v>
      </c>
      <c r="F59" s="1152">
        <f>SUMIF('פ.נ. EUROPE'!C:C,C:C,'פ.נ. EUROPE'!E:E)</f>
        <v>0</v>
      </c>
      <c r="G59" s="1944"/>
      <c r="H59" s="1943"/>
      <c r="I59" s="1944"/>
      <c r="J59" s="462">
        <f>SUM(E59:I59)</f>
        <v>13318.74</v>
      </c>
      <c r="K59" s="439">
        <f>M59+SUMIF('פ.נ. EUROPE'!C:C,'מאזן בוחן EUROPE'!C59,'פ.נ. EUROPE'!F:F)</f>
        <v>18000</v>
      </c>
      <c r="L59" s="1945"/>
      <c r="M59" s="439">
        <f>IFERROR(VLOOKUP(C59,'פ.נ. EUROPE'!$D$164:$H$353,4,0),"")</f>
        <v>18000</v>
      </c>
      <c r="N59" s="1104">
        <f>IF(K59=0,"-",J59/K59)</f>
        <v>0.73992999999999998</v>
      </c>
      <c r="O59" s="434"/>
      <c r="P59" s="1393"/>
      <c r="Q59" s="418"/>
      <c r="R59" s="454"/>
      <c r="S59" s="454"/>
      <c r="T59" s="63"/>
      <c r="U59" s="435"/>
      <c r="V59" s="435"/>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BF59" s="418"/>
    </row>
    <row r="60" spans="2:58">
      <c r="B60" s="3659" t="s">
        <v>574</v>
      </c>
      <c r="C60" s="585">
        <v>200777</v>
      </c>
      <c r="D60" s="159" t="s">
        <v>4268</v>
      </c>
      <c r="E60" s="462">
        <f>IFERROR(VLOOKUP(C60,'פ.נ. EUROPE'!$D$164:$F$353,3,0),0)</f>
        <v>0</v>
      </c>
      <c r="F60" s="1152">
        <f>SUMIF('פ.נ. EUROPE'!C:C,C:C,'פ.נ. EUROPE'!E:E)</f>
        <v>0</v>
      </c>
      <c r="G60" s="1944"/>
      <c r="H60" s="1943"/>
      <c r="I60" s="1944"/>
      <c r="J60" s="462">
        <f>SUM(E60:I60)</f>
        <v>0</v>
      </c>
      <c r="K60" s="439">
        <f>M60+SUMIF('פ.נ. EUROPE'!C:C,'מאזן בוחן EUROPE'!C60,'פ.נ. EUROPE'!F:F)</f>
        <v>0</v>
      </c>
      <c r="L60" s="1945"/>
      <c r="M60" s="439" t="str">
        <f>IFERROR(VLOOKUP(C60,'פ.נ. EUROPE'!$D$164:$H$353,4,0),"")</f>
        <v/>
      </c>
      <c r="N60" s="1104" t="str">
        <f>IF(K60=0,"-",J60/K60)</f>
        <v>-</v>
      </c>
      <c r="O60" s="434"/>
      <c r="P60" s="1393"/>
      <c r="Q60" s="418"/>
      <c r="R60" s="454"/>
      <c r="S60" s="454"/>
      <c r="T60" s="63"/>
      <c r="U60" s="435"/>
      <c r="V60" s="435"/>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BF60" s="418"/>
    </row>
    <row r="61" spans="2:58">
      <c r="B61" s="3659" t="s">
        <v>572</v>
      </c>
      <c r="C61" s="585">
        <v>210094</v>
      </c>
      <c r="D61" s="159" t="s">
        <v>4132</v>
      </c>
      <c r="E61" s="462">
        <f>IFERROR(VLOOKUP(C61,'פ.נ. EUROPE'!$D$164:$F$353,3,0),0)</f>
        <v>0</v>
      </c>
      <c r="F61" s="1152">
        <f>SUMIF('פ.נ. EUROPE'!C:C,C:C,'פ.נ. EUROPE'!E:E)</f>
        <v>0</v>
      </c>
      <c r="G61" s="1944"/>
      <c r="H61" s="1943"/>
      <c r="I61" s="1944"/>
      <c r="J61" s="462">
        <f t="shared" ref="J61:J67" si="11">SUM(E61:I61)</f>
        <v>0</v>
      </c>
      <c r="K61" s="439">
        <f>M61+SUMIF('פ.נ. EUROPE'!C:C,'מאזן בוחן EUROPE'!C61,'פ.נ. EUROPE'!F:F)</f>
        <v>0</v>
      </c>
      <c r="L61" s="1945"/>
      <c r="M61" s="439" t="str">
        <f>IFERROR(VLOOKUP(C61,'פ.נ. EUROPE'!$D$164:$H$353,4,0),"")</f>
        <v/>
      </c>
      <c r="N61" s="1104" t="str">
        <f t="shared" ref="N61:N67" si="12">IF(K61=0,"-",J61/K61)</f>
        <v>-</v>
      </c>
      <c r="O61" s="434"/>
      <c r="P61" s="1393"/>
      <c r="Q61" s="418"/>
      <c r="R61" s="454"/>
      <c r="S61" s="454"/>
      <c r="T61" s="63"/>
      <c r="U61" s="435"/>
      <c r="V61" s="435"/>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BF61" s="418"/>
    </row>
    <row r="62" spans="2:58">
      <c r="B62" s="3659" t="s">
        <v>572</v>
      </c>
      <c r="C62" s="585">
        <v>231727</v>
      </c>
      <c r="D62" s="159" t="s">
        <v>4133</v>
      </c>
      <c r="E62" s="462">
        <f>IFERROR(VLOOKUP(C62,'פ.נ. EUROPE'!$D$164:$F$353,3,0),0)</f>
        <v>0</v>
      </c>
      <c r="F62" s="1152">
        <f>SUMIF('פ.נ. EUROPE'!C:C,C:C,'פ.נ. EUROPE'!E:E)</f>
        <v>0</v>
      </c>
      <c r="G62" s="1944"/>
      <c r="H62" s="1943"/>
      <c r="I62" s="1944"/>
      <c r="J62" s="462">
        <f t="shared" si="11"/>
        <v>0</v>
      </c>
      <c r="K62" s="439">
        <f>M62+SUMIF('פ.נ. EUROPE'!C:C,'מאזן בוחן EUROPE'!C62,'פ.נ. EUROPE'!F:F)</f>
        <v>0</v>
      </c>
      <c r="L62" s="1945"/>
      <c r="M62" s="439" t="str">
        <f>IFERROR(VLOOKUP(C62,'פ.נ. EUROPE'!$D$164:$H$353,4,0),"")</f>
        <v/>
      </c>
      <c r="N62" s="1104" t="str">
        <f t="shared" si="12"/>
        <v>-</v>
      </c>
      <c r="O62" s="434"/>
      <c r="P62" s="1393"/>
      <c r="Q62" s="418"/>
      <c r="R62" s="454"/>
      <c r="S62" s="454"/>
      <c r="T62" s="63"/>
      <c r="U62" s="435"/>
      <c r="V62" s="435"/>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BF62" s="418"/>
    </row>
    <row r="63" spans="2:58">
      <c r="B63" s="3659" t="s">
        <v>574</v>
      </c>
      <c r="C63" s="585">
        <v>202348</v>
      </c>
      <c r="D63" s="159" t="s">
        <v>4134</v>
      </c>
      <c r="E63" s="462">
        <f>IFERROR(VLOOKUP(C63,'פ.נ. EUROPE'!$D$164:$F$353,3,0),0)</f>
        <v>266796.12</v>
      </c>
      <c r="F63" s="1152">
        <f>SUMIF('פ.נ. EUROPE'!C:C,C:C,'פ.נ. EUROPE'!E:E)</f>
        <v>0</v>
      </c>
      <c r="G63" s="1944"/>
      <c r="H63" s="1943"/>
      <c r="I63" s="1944"/>
      <c r="J63" s="462">
        <f t="shared" si="11"/>
        <v>266796.12</v>
      </c>
      <c r="K63" s="439">
        <f>M63+SUMIF('פ.נ. EUROPE'!C:C,'מאזן בוחן EUROPE'!C63,'פ.נ. EUROPE'!F:F)</f>
        <v>360569.38</v>
      </c>
      <c r="L63" s="1945"/>
      <c r="M63" s="439">
        <f>IFERROR(VLOOKUP(C63,'פ.נ. EUROPE'!$D$164:$H$353,4,0),"")</f>
        <v>360569.38</v>
      </c>
      <c r="N63" s="1104">
        <f t="shared" si="12"/>
        <v>0.73993005174205306</v>
      </c>
      <c r="O63" s="434"/>
      <c r="P63" s="1393"/>
      <c r="Q63" s="418"/>
      <c r="R63" s="454"/>
      <c r="S63" s="454"/>
      <c r="T63" s="63"/>
      <c r="U63" s="435"/>
      <c r="V63" s="435"/>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BF63" s="418"/>
    </row>
    <row r="64" spans="2:58">
      <c r="B64" s="3659" t="s">
        <v>574</v>
      </c>
      <c r="C64" s="585">
        <v>204694</v>
      </c>
      <c r="D64" s="159" t="s">
        <v>460</v>
      </c>
      <c r="E64" s="462">
        <f>IFERROR(VLOOKUP(C64,'פ.נ. EUROPE'!$D$164:$F$353,3,0),0)</f>
        <v>199034.55</v>
      </c>
      <c r="F64" s="1152">
        <f>SUMIF('פ.נ. EUROPE'!C:C,C:C,'פ.נ. EUROPE'!E:E)</f>
        <v>0</v>
      </c>
      <c r="G64" s="1944"/>
      <c r="H64" s="1943"/>
      <c r="I64" s="1944"/>
      <c r="J64" s="462">
        <f t="shared" si="11"/>
        <v>199034.55</v>
      </c>
      <c r="K64" s="439">
        <f>M64+SUMIF('פ.נ. EUROPE'!C:C,'מאזן בוחן EUROPE'!C64,'פ.נ. EUROPE'!F:F)</f>
        <v>268991.03000000003</v>
      </c>
      <c r="L64" s="1945"/>
      <c r="M64" s="439">
        <f>IFERROR(VLOOKUP(C64,'פ.נ. EUROPE'!$D$164:$H$353,4,0),"")</f>
        <v>268991.03000000003</v>
      </c>
      <c r="N64" s="1104">
        <f t="shared" si="12"/>
        <v>0.73993006383893156</v>
      </c>
      <c r="O64" s="434"/>
      <c r="P64" s="1393"/>
      <c r="Q64" s="418"/>
      <c r="R64" s="454"/>
      <c r="S64" s="454"/>
      <c r="T64" s="63"/>
      <c r="U64" s="435"/>
      <c r="V64" s="435"/>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BF64" s="418"/>
    </row>
    <row r="65" spans="2:58">
      <c r="B65" s="3659" t="s">
        <v>574</v>
      </c>
      <c r="C65" s="585">
        <v>206021</v>
      </c>
      <c r="D65" s="159" t="s">
        <v>4135</v>
      </c>
      <c r="E65" s="462">
        <f>IFERROR(VLOOKUP(C65,'פ.נ. EUROPE'!$D$164:$F$353,3,0),0)</f>
        <v>30243.79</v>
      </c>
      <c r="F65" s="1152">
        <f>SUMIF('פ.נ. EUROPE'!C:C,C:C,'פ.נ. EUROPE'!E:E)</f>
        <v>0</v>
      </c>
      <c r="G65" s="1944"/>
      <c r="H65" s="1943"/>
      <c r="I65" s="1944"/>
      <c r="J65" s="462">
        <f t="shared" si="11"/>
        <v>30243.79</v>
      </c>
      <c r="K65" s="439">
        <f>M65+SUMIF('פ.נ. EUROPE'!C:C,'מאזן בוחן EUROPE'!C65,'פ.נ. EUROPE'!F:F)</f>
        <v>40873.85</v>
      </c>
      <c r="L65" s="1945"/>
      <c r="M65" s="439">
        <f>IFERROR(VLOOKUP(C65,'פ.נ. EUROPE'!$D$164:$H$353,4,0),"")</f>
        <v>40873.85</v>
      </c>
      <c r="N65" s="1104">
        <f t="shared" si="12"/>
        <v>0.73993005307794601</v>
      </c>
      <c r="O65" s="434"/>
      <c r="P65" s="1393"/>
      <c r="Q65" s="418"/>
      <c r="R65" s="454"/>
      <c r="S65" s="454"/>
      <c r="T65" s="63"/>
      <c r="U65" s="435"/>
      <c r="V65" s="435"/>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BF65" s="418"/>
    </row>
    <row r="66" spans="2:58">
      <c r="B66" s="3659" t="s">
        <v>574</v>
      </c>
      <c r="C66" s="585">
        <v>206361</v>
      </c>
      <c r="D66" s="159" t="s">
        <v>4136</v>
      </c>
      <c r="E66" s="462">
        <f>IFERROR(VLOOKUP(C66,'פ.נ. EUROPE'!$D$164:$F$353,3,0),0)</f>
        <v>0</v>
      </c>
      <c r="F66" s="1152">
        <f>SUMIF('פ.נ. EUROPE'!C:C,C:C,'פ.נ. EUROPE'!E:E)</f>
        <v>0</v>
      </c>
      <c r="G66" s="1944"/>
      <c r="H66" s="1943"/>
      <c r="I66" s="1944"/>
      <c r="J66" s="462">
        <f t="shared" si="11"/>
        <v>0</v>
      </c>
      <c r="K66" s="439">
        <f>M66+SUMIF('פ.נ. EUROPE'!C:C,'מאזן בוחן EUROPE'!C66,'פ.נ. EUROPE'!F:F)</f>
        <v>0</v>
      </c>
      <c r="L66" s="1945"/>
      <c r="M66" s="439" t="str">
        <f>IFERROR(VLOOKUP(C66,'פ.נ. EUROPE'!$D$164:$H$353,4,0),"")</f>
        <v/>
      </c>
      <c r="N66" s="1104" t="str">
        <f t="shared" si="12"/>
        <v>-</v>
      </c>
      <c r="O66" s="434"/>
      <c r="P66" s="1393"/>
      <c r="Q66" s="418"/>
      <c r="R66" s="454"/>
      <c r="S66" s="454"/>
      <c r="T66" s="63"/>
      <c r="U66" s="435"/>
      <c r="V66" s="435"/>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BF66" s="418"/>
    </row>
    <row r="67" spans="2:58">
      <c r="B67" s="3659" t="s">
        <v>574</v>
      </c>
      <c r="C67" s="585">
        <v>217630</v>
      </c>
      <c r="D67" s="159" t="s">
        <v>4137</v>
      </c>
      <c r="E67" s="462">
        <f>IFERROR(VLOOKUP(C67,'פ.נ. EUROPE'!$D$164:$F$353,3,0),0)</f>
        <v>0</v>
      </c>
      <c r="F67" s="1152">
        <f>SUMIF('פ.נ. EUROPE'!C:C,C:C,'פ.נ. EUROPE'!E:E)</f>
        <v>0</v>
      </c>
      <c r="G67" s="1944"/>
      <c r="H67" s="1943"/>
      <c r="I67" s="1944"/>
      <c r="J67" s="462">
        <f t="shared" si="11"/>
        <v>0</v>
      </c>
      <c r="K67" s="439">
        <f>M67+SUMIF('פ.נ. EUROPE'!C:C,'מאזן בוחן EUROPE'!C67,'פ.נ. EUROPE'!F:F)</f>
        <v>0</v>
      </c>
      <c r="L67" s="1945"/>
      <c r="M67" s="439" t="str">
        <f>IFERROR(VLOOKUP(C67,'פ.נ. EUROPE'!$D$164:$H$353,4,0),"")</f>
        <v/>
      </c>
      <c r="N67" s="1104" t="str">
        <f t="shared" si="12"/>
        <v>-</v>
      </c>
      <c r="O67" s="434"/>
      <c r="P67" s="1393"/>
      <c r="Q67" s="418"/>
      <c r="R67" s="454"/>
      <c r="S67" s="454"/>
      <c r="T67" s="63"/>
      <c r="U67" s="435"/>
      <c r="V67" s="435"/>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BF67" s="418"/>
    </row>
    <row r="68" spans="2:58">
      <c r="B68" s="3659" t="s">
        <v>574</v>
      </c>
      <c r="C68" s="585">
        <v>208161</v>
      </c>
      <c r="D68" s="159" t="s">
        <v>3899</v>
      </c>
      <c r="E68" s="462">
        <f>IFERROR(VLOOKUP(C68,'פ.נ. EUROPE'!$D$164:$F$353,3,0),0)</f>
        <v>0</v>
      </c>
      <c r="F68" s="1152">
        <f>SUMIF('פ.נ. EUROPE'!C:C,C:C,'פ.נ. EUROPE'!E:E)</f>
        <v>0</v>
      </c>
      <c r="G68" s="1944"/>
      <c r="H68" s="1943"/>
      <c r="I68" s="1944"/>
      <c r="J68" s="462">
        <f>SUM(E68:I68)</f>
        <v>0</v>
      </c>
      <c r="K68" s="439">
        <f>M68+SUMIF('פ.נ. EUROPE'!C:C,'מאזן בוחן EUROPE'!C68,'פ.נ. EUROPE'!F:F)</f>
        <v>0</v>
      </c>
      <c r="L68" s="1945"/>
      <c r="M68" s="439" t="str">
        <f>IFERROR(VLOOKUP(C68,'פ.נ. EUROPE'!$D$164:$H$353,4,0),"")</f>
        <v/>
      </c>
      <c r="N68" s="1104" t="str">
        <f>IF(K68=0,"-",J68/K68)</f>
        <v>-</v>
      </c>
      <c r="O68" s="434"/>
      <c r="P68" s="1393"/>
      <c r="Q68" s="418"/>
      <c r="R68" s="454"/>
      <c r="S68" s="454"/>
      <c r="T68" s="63"/>
      <c r="U68" s="435"/>
      <c r="V68" s="435"/>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BF68" s="418"/>
    </row>
    <row r="69" spans="2:58">
      <c r="B69" s="3659" t="s">
        <v>574</v>
      </c>
      <c r="C69" s="585">
        <v>228433</v>
      </c>
      <c r="D69" s="159" t="s">
        <v>3900</v>
      </c>
      <c r="E69" s="462">
        <f>IFERROR(VLOOKUP(C69,'פ.נ. EUROPE'!$D$164:$F$353,3,0),0)</f>
        <v>0</v>
      </c>
      <c r="F69" s="1152">
        <f>SUMIF('פ.נ. EUROPE'!C:C,C:C,'פ.נ. EUROPE'!E:E)</f>
        <v>0</v>
      </c>
      <c r="G69" s="1944"/>
      <c r="H69" s="1943"/>
      <c r="I69" s="1944"/>
      <c r="J69" s="462">
        <f>SUM(E69:I69)</f>
        <v>0</v>
      </c>
      <c r="K69" s="439">
        <f>M69+SUMIF('פ.נ. EUROPE'!C:C,'מאזן בוחן EUROPE'!C69,'פ.נ. EUROPE'!F:F)</f>
        <v>0</v>
      </c>
      <c r="L69" s="1945"/>
      <c r="M69" s="439" t="str">
        <f>IFERROR(VLOOKUP(C69,'פ.נ. EUROPE'!$D$164:$H$353,4,0),"")</f>
        <v/>
      </c>
      <c r="N69" s="1104" t="str">
        <f>IF(K69=0,"-",J69/K69)</f>
        <v>-</v>
      </c>
      <c r="O69" s="434"/>
      <c r="P69" s="1393"/>
      <c r="Q69" s="418"/>
      <c r="R69" s="454"/>
      <c r="S69" s="454"/>
      <c r="T69" s="63"/>
      <c r="U69" s="435"/>
      <c r="V69" s="435"/>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BF69" s="418"/>
    </row>
    <row r="70" spans="2:58">
      <c r="B70" s="3659" t="s">
        <v>574</v>
      </c>
      <c r="C70" s="585">
        <v>203270</v>
      </c>
      <c r="D70" s="159" t="s">
        <v>3734</v>
      </c>
      <c r="E70" s="462">
        <f>IFERROR(VLOOKUP(C70,'פ.נ. EUROPE'!$D$164:$F$353,3,0),0)</f>
        <v>0</v>
      </c>
      <c r="F70" s="1152">
        <f>SUMIF('פ.נ. EUROPE'!C:C,C:C,'פ.נ. EUROPE'!E:E)</f>
        <v>0</v>
      </c>
      <c r="G70" s="1944"/>
      <c r="H70" s="1943"/>
      <c r="I70" s="1944"/>
      <c r="J70" s="462">
        <f t="shared" ref="J70:J75" si="13">SUM(E70:I70)</f>
        <v>0</v>
      </c>
      <c r="K70" s="439">
        <f>M70+SUMIF('פ.נ. EUROPE'!C:C,'מאזן בוחן EUROPE'!C70,'פ.נ. EUROPE'!F:F)</f>
        <v>0</v>
      </c>
      <c r="L70" s="1945"/>
      <c r="M70" s="439" t="str">
        <f>IFERROR(VLOOKUP(C70,'פ.נ. EUROPE'!$D$164:$H$353,4,0),"")</f>
        <v/>
      </c>
      <c r="N70" s="1104" t="str">
        <f t="shared" ref="N70:N75" si="14">IF(K70=0,"-",J70/K70)</f>
        <v>-</v>
      </c>
      <c r="O70" s="434"/>
      <c r="P70" s="1393"/>
      <c r="Q70" s="418"/>
      <c r="R70" s="454"/>
      <c r="S70" s="454"/>
      <c r="T70" s="63"/>
      <c r="U70" s="435"/>
      <c r="V70" s="435"/>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BF70" s="418"/>
    </row>
    <row r="71" spans="2:58">
      <c r="B71" s="3659" t="s">
        <v>574</v>
      </c>
      <c r="C71" s="585">
        <v>206031</v>
      </c>
      <c r="D71" s="159" t="s">
        <v>3396</v>
      </c>
      <c r="E71" s="462">
        <f>IFERROR(VLOOKUP(C71,'פ.נ. EUROPE'!$D$164:$F$353,3,0),0)</f>
        <v>306808.36</v>
      </c>
      <c r="F71" s="1152">
        <f>SUMIF('פ.נ. EUROPE'!C:C,C:C,'פ.נ. EUROPE'!E:E)</f>
        <v>0</v>
      </c>
      <c r="G71" s="1944"/>
      <c r="H71" s="1943"/>
      <c r="I71" s="1944"/>
      <c r="J71" s="462">
        <f t="shared" si="13"/>
        <v>306808.36</v>
      </c>
      <c r="K71" s="439">
        <f>M71+SUMIF('פ.נ. EUROPE'!C:C,'מאזן בוחן EUROPE'!C71,'פ.נ. EUROPE'!F:F)</f>
        <v>414645.08</v>
      </c>
      <c r="L71" s="1945"/>
      <c r="M71" s="439">
        <f>IFERROR(VLOOKUP(C71,'פ.נ. EUROPE'!$D$164:$H$353,4,0),"")</f>
        <v>414645.08</v>
      </c>
      <c r="N71" s="1104">
        <f t="shared" si="14"/>
        <v>0.73993006259714933</v>
      </c>
      <c r="O71" s="434"/>
      <c r="P71" s="1393"/>
      <c r="Q71" s="418"/>
      <c r="R71" s="454"/>
      <c r="S71" s="454"/>
      <c r="T71" s="63"/>
      <c r="U71" s="435"/>
      <c r="V71" s="435"/>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BF71" s="418"/>
    </row>
    <row r="72" spans="2:58">
      <c r="B72" s="3659" t="s">
        <v>574</v>
      </c>
      <c r="C72" s="585">
        <v>206809</v>
      </c>
      <c r="D72" s="159" t="s">
        <v>3735</v>
      </c>
      <c r="E72" s="462">
        <f>IFERROR(VLOOKUP(C72,'פ.נ. EUROPE'!$D$164:$F$353,3,0),0)</f>
        <v>0</v>
      </c>
      <c r="F72" s="1152">
        <f>SUMIF('פ.נ. EUROPE'!C:C,C:C,'פ.נ. EUROPE'!E:E)</f>
        <v>0</v>
      </c>
      <c r="G72" s="1944"/>
      <c r="H72" s="1943"/>
      <c r="I72" s="1944"/>
      <c r="J72" s="462">
        <f t="shared" si="13"/>
        <v>0</v>
      </c>
      <c r="K72" s="439">
        <f>M72+SUMIF('פ.נ. EUROPE'!C:C,'מאזן בוחן EUROPE'!C72,'פ.נ. EUROPE'!F:F)</f>
        <v>0</v>
      </c>
      <c r="L72" s="1945"/>
      <c r="M72" s="439" t="str">
        <f>IFERROR(VLOOKUP(C72,'פ.נ. EUROPE'!$D$164:$H$353,4,0),"")</f>
        <v/>
      </c>
      <c r="N72" s="1104" t="str">
        <f t="shared" si="14"/>
        <v>-</v>
      </c>
      <c r="O72" s="434"/>
      <c r="P72" s="1393"/>
      <c r="Q72" s="418"/>
      <c r="R72" s="454"/>
      <c r="S72" s="454"/>
      <c r="T72" s="63"/>
      <c r="U72" s="435"/>
      <c r="V72" s="435"/>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BF72" s="418"/>
    </row>
    <row r="73" spans="2:58">
      <c r="B73" s="3659" t="s">
        <v>574</v>
      </c>
      <c r="C73" s="585">
        <v>215725</v>
      </c>
      <c r="D73" s="159" t="s">
        <v>3736</v>
      </c>
      <c r="E73" s="462">
        <f>IFERROR(VLOOKUP(C73,'פ.נ. EUROPE'!$D$164:$F$353,3,0),0)</f>
        <v>0</v>
      </c>
      <c r="F73" s="1152">
        <f>SUMIF('פ.נ. EUROPE'!C:C,C:C,'פ.נ. EUROPE'!E:E)</f>
        <v>0</v>
      </c>
      <c r="G73" s="1944"/>
      <c r="H73" s="1943"/>
      <c r="I73" s="1944"/>
      <c r="J73" s="462">
        <f t="shared" si="13"/>
        <v>0</v>
      </c>
      <c r="K73" s="439">
        <f>M73+SUMIF('פ.נ. EUROPE'!C:C,'מאזן בוחן EUROPE'!C73,'פ.נ. EUROPE'!F:F)</f>
        <v>0</v>
      </c>
      <c r="L73" s="1945"/>
      <c r="M73" s="439" t="str">
        <f>IFERROR(VLOOKUP(C73,'פ.נ. EUROPE'!$D$164:$H$353,4,0),"")</f>
        <v/>
      </c>
      <c r="N73" s="1104" t="str">
        <f t="shared" si="14"/>
        <v>-</v>
      </c>
      <c r="O73" s="434"/>
      <c r="P73" s="1393"/>
      <c r="Q73" s="418"/>
      <c r="R73" s="454"/>
      <c r="S73" s="454"/>
      <c r="T73" s="63"/>
      <c r="U73" s="435"/>
      <c r="V73" s="435"/>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BF73" s="418"/>
    </row>
    <row r="74" spans="2:58">
      <c r="B74" s="3659" t="s">
        <v>574</v>
      </c>
      <c r="C74" s="585">
        <v>231281</v>
      </c>
      <c r="D74" s="159" t="s">
        <v>3737</v>
      </c>
      <c r="E74" s="462">
        <f>IFERROR(VLOOKUP(C74,'פ.נ. EUROPE'!$D$164:$F$353,3,0),0)</f>
        <v>0</v>
      </c>
      <c r="F74" s="1152">
        <f>SUMIF('פ.נ. EUROPE'!C:C,C:C,'פ.נ. EUROPE'!E:E)</f>
        <v>0</v>
      </c>
      <c r="G74" s="1944"/>
      <c r="H74" s="1943"/>
      <c r="I74" s="1944"/>
      <c r="J74" s="462">
        <f t="shared" si="13"/>
        <v>0</v>
      </c>
      <c r="K74" s="439">
        <f>M74+SUMIF('פ.נ. EUROPE'!C:C,'מאזן בוחן EUROPE'!C74,'פ.נ. EUROPE'!F:F)</f>
        <v>0</v>
      </c>
      <c r="L74" s="1945"/>
      <c r="M74" s="439" t="str">
        <f>IFERROR(VLOOKUP(C74,'פ.נ. EUROPE'!$D$164:$H$353,4,0),"")</f>
        <v/>
      </c>
      <c r="N74" s="1104" t="str">
        <f t="shared" si="14"/>
        <v>-</v>
      </c>
      <c r="O74" s="434"/>
      <c r="P74" s="1393"/>
      <c r="Q74" s="418"/>
      <c r="R74" s="454"/>
      <c r="S74" s="454"/>
      <c r="T74" s="63"/>
      <c r="U74" s="435"/>
      <c r="V74" s="435"/>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BF74" s="418"/>
    </row>
    <row r="75" spans="2:58">
      <c r="B75" s="3659" t="s">
        <v>1306</v>
      </c>
      <c r="C75" s="585">
        <v>221294</v>
      </c>
      <c r="D75" s="159" t="s">
        <v>3738</v>
      </c>
      <c r="E75" s="462">
        <f>IFERROR(VLOOKUP(C75,'פ.נ. EUROPE'!$D$164:$F$353,3,0),0)</f>
        <v>126181.44</v>
      </c>
      <c r="F75" s="1152">
        <f>SUMIF('פ.נ. EUROPE'!C:C,C:C,'פ.נ. EUROPE'!E:E)</f>
        <v>0</v>
      </c>
      <c r="G75" s="1944"/>
      <c r="H75" s="1943"/>
      <c r="I75" s="1944"/>
      <c r="J75" s="462">
        <f t="shared" si="13"/>
        <v>126181.44</v>
      </c>
      <c r="K75" s="439">
        <f>M75+SUMIF('פ.נ. EUROPE'!C:C,'מאזן בוחן EUROPE'!C75,'פ.נ. EUROPE'!F:F)</f>
        <v>170531.58</v>
      </c>
      <c r="L75" s="1945"/>
      <c r="M75" s="439">
        <f>IFERROR(VLOOKUP(C75,'פ.נ. EUROPE'!$D$164:$H$353,4,0),"")</f>
        <v>170531.58</v>
      </c>
      <c r="N75" s="1104">
        <f t="shared" si="14"/>
        <v>0.73993004697429066</v>
      </c>
      <c r="O75" s="434"/>
      <c r="P75" s="1393"/>
      <c r="Q75" s="418"/>
      <c r="R75" s="454"/>
      <c r="S75" s="454"/>
      <c r="T75" s="63"/>
      <c r="U75" s="435"/>
      <c r="V75" s="435"/>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BF75" s="418"/>
    </row>
    <row r="76" spans="2:58">
      <c r="B76" s="3659" t="s">
        <v>572</v>
      </c>
      <c r="C76" s="585">
        <v>203122</v>
      </c>
      <c r="D76" s="159" t="s">
        <v>1262</v>
      </c>
      <c r="E76" s="462">
        <f>IFERROR(VLOOKUP(C76,'פ.נ. EUROPE'!$D$164:$F$353,3,0),0)</f>
        <v>0</v>
      </c>
      <c r="F76" s="1152">
        <f>SUMIF('פ.נ. EUROPE'!C:C,C:C,'פ.נ. EUROPE'!E:E)</f>
        <v>0</v>
      </c>
      <c r="G76" s="1944"/>
      <c r="H76" s="1943"/>
      <c r="I76" s="1944"/>
      <c r="J76" s="462">
        <f t="shared" ref="J76:J85" si="15">SUM(E76:I76)</f>
        <v>0</v>
      </c>
      <c r="K76" s="439">
        <f>M76+SUMIF('פ.נ. EUROPE'!C:C,'מאזן בוחן EUROPE'!C76,'פ.נ. EUROPE'!F:F)</f>
        <v>0</v>
      </c>
      <c r="L76" s="1945"/>
      <c r="M76" s="439" t="str">
        <f>IFERROR(VLOOKUP(C76,'פ.נ. EUROPE'!$D$164:$H$353,4,0),"")</f>
        <v/>
      </c>
      <c r="N76" s="1104" t="str">
        <f t="shared" ref="N76:N85" si="16">IF(K76=0,"-",J76/K76)</f>
        <v>-</v>
      </c>
      <c r="O76" s="434"/>
      <c r="P76" s="1393"/>
      <c r="Q76" s="418"/>
      <c r="R76" s="454"/>
      <c r="S76" s="454"/>
      <c r="T76" s="63"/>
      <c r="U76" s="435"/>
      <c r="V76" s="435"/>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BF76" s="418"/>
    </row>
    <row r="77" spans="2:58">
      <c r="B77" s="3659" t="s">
        <v>574</v>
      </c>
      <c r="C77" s="585">
        <v>200810</v>
      </c>
      <c r="D77" s="159" t="s">
        <v>3647</v>
      </c>
      <c r="E77" s="462">
        <f>IFERROR(VLOOKUP(C77,'פ.נ. EUROPE'!$D$164:$F$353,3,0),0)</f>
        <v>0</v>
      </c>
      <c r="F77" s="1152">
        <f>SUMIF('פ.נ. EUROPE'!C:C,C:C,'פ.נ. EUROPE'!E:E)</f>
        <v>0</v>
      </c>
      <c r="G77" s="1944"/>
      <c r="H77" s="1943"/>
      <c r="I77" s="1944"/>
      <c r="J77" s="462">
        <f t="shared" si="15"/>
        <v>0</v>
      </c>
      <c r="K77" s="439">
        <f>M77+SUMIF('פ.נ. EUROPE'!C:C,'מאזן בוחן EUROPE'!C77,'פ.נ. EUROPE'!F:F)</f>
        <v>0</v>
      </c>
      <c r="L77" s="1945"/>
      <c r="M77" s="439" t="str">
        <f>IFERROR(VLOOKUP(C77,'פ.נ. EUROPE'!$D$164:$H$353,4,0),"")</f>
        <v/>
      </c>
      <c r="N77" s="1104" t="str">
        <f t="shared" si="16"/>
        <v>-</v>
      </c>
      <c r="O77" s="434"/>
      <c r="P77" s="1393"/>
      <c r="Q77" s="418"/>
      <c r="R77" s="454"/>
      <c r="S77" s="454"/>
      <c r="T77" s="63"/>
      <c r="U77" s="435"/>
      <c r="V77" s="435"/>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BF77" s="418"/>
    </row>
    <row r="78" spans="2:58">
      <c r="B78" s="3659" t="s">
        <v>1306</v>
      </c>
      <c r="C78" s="585">
        <v>226880</v>
      </c>
      <c r="D78" s="159" t="s">
        <v>3648</v>
      </c>
      <c r="E78" s="462">
        <f>IFERROR(VLOOKUP(C78,'פ.נ. EUROPE'!$D$164:$F$353,3,0),0)</f>
        <v>0</v>
      </c>
      <c r="F78" s="1152">
        <f>SUMIF('פ.נ. EUROPE'!C:C,C:C,'פ.נ. EUROPE'!E:E)</f>
        <v>0</v>
      </c>
      <c r="G78" s="1944"/>
      <c r="H78" s="1943"/>
      <c r="I78" s="1944"/>
      <c r="J78" s="462">
        <f t="shared" si="15"/>
        <v>0</v>
      </c>
      <c r="K78" s="439">
        <f>M78+SUMIF('פ.נ. EUROPE'!C:C,'מאזן בוחן EUROPE'!C78,'פ.נ. EUROPE'!F:F)</f>
        <v>0</v>
      </c>
      <c r="L78" s="1945"/>
      <c r="M78" s="439" t="str">
        <f>IFERROR(VLOOKUP(C78,'פ.נ. EUROPE'!$D$164:$H$353,4,0),"")</f>
        <v/>
      </c>
      <c r="N78" s="1104" t="str">
        <f t="shared" si="16"/>
        <v>-</v>
      </c>
      <c r="O78" s="434"/>
      <c r="P78" s="1393"/>
      <c r="Q78" s="418"/>
      <c r="R78" s="454"/>
      <c r="S78" s="454"/>
      <c r="T78" s="63"/>
      <c r="U78" s="435"/>
      <c r="V78" s="435"/>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BF78" s="418"/>
    </row>
    <row r="79" spans="2:58">
      <c r="B79" s="3659" t="s">
        <v>574</v>
      </c>
      <c r="C79" s="585">
        <v>208333</v>
      </c>
      <c r="D79" s="159" t="s">
        <v>3560</v>
      </c>
      <c r="E79" s="462">
        <f>IFERROR(VLOOKUP(C79,'פ.נ. EUROPE'!$D$164:$F$353,3,0),0)</f>
        <v>0</v>
      </c>
      <c r="F79" s="1152">
        <f>SUMIF('פ.נ. EUROPE'!C:C,C:C,'פ.נ. EUROPE'!E:E)</f>
        <v>0</v>
      </c>
      <c r="G79" s="1944"/>
      <c r="H79" s="1943"/>
      <c r="I79" s="1944"/>
      <c r="J79" s="462">
        <f t="shared" si="15"/>
        <v>0</v>
      </c>
      <c r="K79" s="439">
        <f>M79+SUMIF('פ.נ. EUROPE'!C:C,'מאזן בוחן EUROPE'!C79,'פ.נ. EUROPE'!F:F)</f>
        <v>0</v>
      </c>
      <c r="L79" s="1945"/>
      <c r="M79" s="439" t="str">
        <f>IFERROR(VLOOKUP(C79,'פ.נ. EUROPE'!$D$164:$H$353,4,0),"")</f>
        <v/>
      </c>
      <c r="N79" s="1104" t="str">
        <f t="shared" si="16"/>
        <v>-</v>
      </c>
      <c r="O79" s="434"/>
      <c r="P79" s="1393"/>
      <c r="Q79" s="418"/>
      <c r="R79" s="454"/>
      <c r="S79" s="454"/>
      <c r="T79" s="63"/>
      <c r="U79" s="435"/>
      <c r="V79" s="435"/>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BF79" s="418"/>
    </row>
    <row r="80" spans="2:58">
      <c r="B80" s="3659" t="s">
        <v>1306</v>
      </c>
      <c r="C80" s="585">
        <v>204709</v>
      </c>
      <c r="D80" s="159" t="s">
        <v>3561</v>
      </c>
      <c r="E80" s="462">
        <f>IFERROR(VLOOKUP(C80,'פ.נ. EUROPE'!$D$164:$F$353,3,0),0)</f>
        <v>0</v>
      </c>
      <c r="F80" s="1152">
        <f>SUMIF('פ.נ. EUROPE'!C:C,C:C,'פ.נ. EUROPE'!E:E)</f>
        <v>0</v>
      </c>
      <c r="G80" s="1944"/>
      <c r="H80" s="1943"/>
      <c r="I80" s="1944"/>
      <c r="J80" s="462">
        <f t="shared" si="15"/>
        <v>0</v>
      </c>
      <c r="K80" s="439">
        <f>M80+SUMIF('פ.נ. EUROPE'!C:C,'מאזן בוחן EUROPE'!C80,'פ.נ. EUROPE'!F:F)</f>
        <v>0</v>
      </c>
      <c r="L80" s="1945"/>
      <c r="M80" s="439" t="str">
        <f>IFERROR(VLOOKUP(C80,'פ.נ. EUROPE'!$D$164:$H$353,4,0),"")</f>
        <v/>
      </c>
      <c r="N80" s="1104" t="str">
        <f t="shared" si="16"/>
        <v>-</v>
      </c>
      <c r="O80" s="434"/>
      <c r="P80" s="445"/>
      <c r="Q80" s="418"/>
      <c r="R80" s="454"/>
      <c r="S80" s="454"/>
      <c r="T80" s="63"/>
      <c r="U80" s="435"/>
      <c r="V80" s="435"/>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BF80" s="418"/>
    </row>
    <row r="81" spans="2:58">
      <c r="B81" s="3659" t="s">
        <v>574</v>
      </c>
      <c r="C81" s="585">
        <v>206797</v>
      </c>
      <c r="D81" s="159" t="s">
        <v>3999</v>
      </c>
      <c r="E81" s="462">
        <f>IFERROR(VLOOKUP(C81,'פ.נ. EUROPE'!$D$164:$F$353,3,0),0)</f>
        <v>5690.96</v>
      </c>
      <c r="F81" s="1152">
        <f>SUMIF('פ.נ. EUROPE'!C:C,C:C,'פ.נ. EUROPE'!E:E)</f>
        <v>0</v>
      </c>
      <c r="G81" s="1944"/>
      <c r="H81" s="1943"/>
      <c r="I81" s="1944"/>
      <c r="J81" s="462">
        <f t="shared" si="15"/>
        <v>5690.96</v>
      </c>
      <c r="K81" s="439">
        <f>M81+SUMIF('פ.נ. EUROPE'!C:C,'מאזן בוחן EUROPE'!C81,'פ.נ. EUROPE'!F:F)</f>
        <v>7691.22</v>
      </c>
      <c r="L81" s="1945"/>
      <c r="M81" s="439">
        <f>IFERROR(VLOOKUP(C81,'פ.נ. EUROPE'!$D$164:$H$353,4,0),"")</f>
        <v>7691.22</v>
      </c>
      <c r="N81" s="1104">
        <f t="shared" si="16"/>
        <v>0.73992942602083933</v>
      </c>
      <c r="O81" s="434"/>
      <c r="P81" s="1393"/>
      <c r="Q81" s="418"/>
      <c r="R81" s="454"/>
      <c r="S81" s="454"/>
      <c r="T81" s="63"/>
      <c r="U81" s="435"/>
      <c r="V81" s="435"/>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BF81" s="418"/>
    </row>
    <row r="82" spans="2:58">
      <c r="B82" s="3659" t="s">
        <v>574</v>
      </c>
      <c r="C82" s="585">
        <v>207665</v>
      </c>
      <c r="D82" s="159" t="s">
        <v>4000</v>
      </c>
      <c r="E82" s="462">
        <f>IFERROR(VLOOKUP(C82,'פ.נ. EUROPE'!$D$164:$F$353,3,0),0)</f>
        <v>4212.47</v>
      </c>
      <c r="F82" s="1152">
        <f>SUMIF('פ.נ. EUROPE'!C:C,C:C,'פ.נ. EUROPE'!E:E)</f>
        <v>0</v>
      </c>
      <c r="G82" s="1944"/>
      <c r="H82" s="1943"/>
      <c r="I82" s="1944"/>
      <c r="J82" s="462">
        <f t="shared" si="15"/>
        <v>4212.47</v>
      </c>
      <c r="K82" s="439">
        <f>M82+SUMIF('פ.נ. EUROPE'!C:C,'מאזן בוחן EUROPE'!C82,'פ.נ. EUROPE'!F:F)</f>
        <v>5693.07</v>
      </c>
      <c r="L82" s="1945"/>
      <c r="M82" s="439">
        <f>IFERROR(VLOOKUP(C82,'פ.נ. EUROPE'!$D$164:$H$353,4,0),"")</f>
        <v>5693.07</v>
      </c>
      <c r="N82" s="1104">
        <f t="shared" si="16"/>
        <v>0.73992942296511377</v>
      </c>
      <c r="O82" s="434"/>
      <c r="P82" s="1393"/>
      <c r="Q82" s="418"/>
      <c r="R82" s="454"/>
      <c r="S82" s="454"/>
      <c r="T82" s="63"/>
      <c r="U82" s="435"/>
      <c r="V82" s="435"/>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BF82" s="418"/>
    </row>
    <row r="83" spans="2:58">
      <c r="B83" s="3659" t="s">
        <v>1306</v>
      </c>
      <c r="C83" s="585">
        <v>214905</v>
      </c>
      <c r="D83" s="159" t="s">
        <v>4001</v>
      </c>
      <c r="E83" s="462">
        <f>IFERROR(VLOOKUP(C83,'פ.נ. EUROPE'!$D$164:$F$353,3,0),0)</f>
        <v>0</v>
      </c>
      <c r="F83" s="1152">
        <f>SUMIF('פ.נ. EUROPE'!C:C,C:C,'פ.נ. EUROPE'!E:E)</f>
        <v>0</v>
      </c>
      <c r="G83" s="1944"/>
      <c r="H83" s="1943"/>
      <c r="I83" s="1944"/>
      <c r="J83" s="462">
        <f t="shared" si="15"/>
        <v>0</v>
      </c>
      <c r="K83" s="439">
        <f>M83+SUMIF('פ.נ. EUROPE'!C:C,'מאזן בוחן EUROPE'!C83,'פ.נ. EUROPE'!F:F)</f>
        <v>0</v>
      </c>
      <c r="L83" s="1945"/>
      <c r="M83" s="439" t="str">
        <f>IFERROR(VLOOKUP(C83,'פ.נ. EUROPE'!$D$164:$H$353,4,0),"")</f>
        <v/>
      </c>
      <c r="N83" s="1104" t="str">
        <f t="shared" si="16"/>
        <v>-</v>
      </c>
      <c r="O83" s="434"/>
      <c r="P83" s="1393"/>
      <c r="Q83" s="418"/>
      <c r="R83" s="454"/>
      <c r="S83" s="454"/>
      <c r="T83" s="63"/>
      <c r="U83" s="435"/>
      <c r="V83" s="435"/>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BF83" s="418"/>
    </row>
    <row r="84" spans="2:58">
      <c r="B84" s="3659" t="s">
        <v>1306</v>
      </c>
      <c r="C84" s="585">
        <v>230039</v>
      </c>
      <c r="D84" s="159" t="s">
        <v>3395</v>
      </c>
      <c r="E84" s="462">
        <f>IFERROR(VLOOKUP(C84,'פ.נ. EUROPE'!$D$164:$F$353,3,0),0)</f>
        <v>0</v>
      </c>
      <c r="F84" s="1152">
        <f>SUMIF('פ.נ. EUROPE'!C:C,C:C,'פ.נ. EUROPE'!E:E)</f>
        <v>0</v>
      </c>
      <c r="G84" s="1944"/>
      <c r="H84" s="1943"/>
      <c r="I84" s="1944"/>
      <c r="J84" s="462">
        <f t="shared" si="15"/>
        <v>0</v>
      </c>
      <c r="K84" s="439">
        <f>M84+SUMIF('פ.נ. EUROPE'!C:C,'מאזן בוחן EUROPE'!C84,'פ.נ. EUROPE'!F:F)</f>
        <v>0</v>
      </c>
      <c r="L84" s="1945"/>
      <c r="M84" s="439" t="str">
        <f>IFERROR(VLOOKUP(C84,'פ.נ. EUROPE'!$D$164:$H$353,4,0),"")</f>
        <v/>
      </c>
      <c r="N84" s="1104" t="str">
        <f t="shared" si="16"/>
        <v>-</v>
      </c>
      <c r="O84" s="434"/>
      <c r="P84" s="1393"/>
      <c r="Q84" s="418"/>
      <c r="R84" s="454"/>
      <c r="S84" s="454"/>
      <c r="T84" s="63"/>
      <c r="U84" s="435"/>
      <c r="V84" s="435"/>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BF84" s="418"/>
    </row>
    <row r="85" spans="2:58">
      <c r="B85" s="3659" t="s">
        <v>1306</v>
      </c>
      <c r="C85" s="585">
        <v>231012</v>
      </c>
      <c r="D85" s="159" t="s">
        <v>3396</v>
      </c>
      <c r="E85" s="462">
        <f>IFERROR(VLOOKUP(C85,'פ.נ. EUROPE'!$D$164:$F$353,3,0),0)</f>
        <v>0</v>
      </c>
      <c r="F85" s="1152">
        <f>SUMIF('פ.נ. EUROPE'!C:C,C:C,'פ.נ. EUROPE'!E:E)</f>
        <v>0</v>
      </c>
      <c r="G85" s="1944"/>
      <c r="H85" s="1943"/>
      <c r="I85" s="1944"/>
      <c r="J85" s="462">
        <f t="shared" si="15"/>
        <v>0</v>
      </c>
      <c r="K85" s="439">
        <f>M85+SUMIF('פ.נ. EUROPE'!C:C,'מאזן בוחן EUROPE'!C85,'פ.נ. EUROPE'!F:F)</f>
        <v>0</v>
      </c>
      <c r="L85" s="1945"/>
      <c r="M85" s="439" t="str">
        <f>IFERROR(VLOOKUP(C85,'פ.נ. EUROPE'!$D$164:$H$353,4,0),"")</f>
        <v/>
      </c>
      <c r="N85" s="1104" t="str">
        <f t="shared" si="16"/>
        <v>-</v>
      </c>
      <c r="O85" s="434"/>
      <c r="P85" s="1393"/>
      <c r="Q85" s="418"/>
      <c r="R85" s="454"/>
      <c r="S85" s="454"/>
      <c r="T85" s="63"/>
      <c r="U85" s="435"/>
      <c r="V85" s="435"/>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BF85" s="418"/>
    </row>
    <row r="86" spans="2:58">
      <c r="B86" s="3659" t="s">
        <v>1306</v>
      </c>
      <c r="C86" s="585">
        <v>210205</v>
      </c>
      <c r="D86" s="159" t="s">
        <v>3385</v>
      </c>
      <c r="E86" s="462">
        <f>IFERROR(VLOOKUP(C86,'פ.נ. EUROPE'!$D$164:$F$353,3,0),0)</f>
        <v>0</v>
      </c>
      <c r="F86" s="1152">
        <f>SUMIF('פ.נ. EUROPE'!C:C,C:C,'פ.נ. EUROPE'!E:E)</f>
        <v>0</v>
      </c>
      <c r="G86" s="1944"/>
      <c r="H86" s="1943"/>
      <c r="I86" s="1944"/>
      <c r="J86" s="462">
        <f t="shared" ref="J86:J95" si="17">SUM(E86:I86)</f>
        <v>0</v>
      </c>
      <c r="K86" s="439">
        <f>M86+SUMIF('פ.נ. EUROPE'!C:C,'מאזן בוחן EUROPE'!C86,'פ.נ. EUROPE'!F:F)</f>
        <v>0</v>
      </c>
      <c r="L86" s="1945"/>
      <c r="M86" s="439" t="str">
        <f>IFERROR(VLOOKUP(C86,'פ.נ. EUROPE'!$D$164:$H$353,4,0),"")</f>
        <v/>
      </c>
      <c r="N86" s="1104" t="str">
        <f t="shared" ref="N86:N95" si="18">IF(K86=0,"-",J86/K86)</f>
        <v>-</v>
      </c>
      <c r="O86" s="434"/>
      <c r="P86" s="1393"/>
      <c r="Q86" s="418"/>
      <c r="R86" s="454"/>
      <c r="S86" s="454"/>
      <c r="T86" s="63"/>
      <c r="U86" s="435"/>
      <c r="V86" s="435"/>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BF86" s="418"/>
    </row>
    <row r="87" spans="2:58">
      <c r="B87" s="3659" t="s">
        <v>1306</v>
      </c>
      <c r="C87" s="585">
        <v>214981</v>
      </c>
      <c r="D87" s="159" t="s">
        <v>3386</v>
      </c>
      <c r="E87" s="462">
        <f>IFERROR(VLOOKUP(C87,'פ.נ. EUROPE'!$D$164:$F$353,3,0),0)</f>
        <v>0</v>
      </c>
      <c r="F87" s="1152">
        <f>SUMIF('פ.נ. EUROPE'!C:C,C:C,'פ.נ. EUROPE'!E:E)</f>
        <v>0</v>
      </c>
      <c r="G87" s="1944"/>
      <c r="H87" s="1943"/>
      <c r="I87" s="1944"/>
      <c r="J87" s="462">
        <f t="shared" si="17"/>
        <v>0</v>
      </c>
      <c r="K87" s="439">
        <f>M87+SUMIF('פ.נ. EUROPE'!C:C,'מאזן בוחן EUROPE'!C87,'פ.נ. EUROPE'!F:F)</f>
        <v>0</v>
      </c>
      <c r="L87" s="1945"/>
      <c r="M87" s="439" t="str">
        <f>IFERROR(VLOOKUP(C87,'פ.נ. EUROPE'!$D$164:$H$353,4,0),"")</f>
        <v/>
      </c>
      <c r="N87" s="1104" t="str">
        <f t="shared" si="18"/>
        <v>-</v>
      </c>
      <c r="O87" s="434"/>
      <c r="P87" s="1393"/>
      <c r="Q87" s="418"/>
      <c r="R87" s="454"/>
      <c r="S87" s="454"/>
      <c r="T87" s="63"/>
      <c r="U87" s="435"/>
      <c r="V87" s="435"/>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BF87" s="418"/>
    </row>
    <row r="88" spans="2:58">
      <c r="B88" s="3659" t="s">
        <v>1306</v>
      </c>
      <c r="C88" s="585">
        <v>228765</v>
      </c>
      <c r="D88" s="159" t="s">
        <v>3387</v>
      </c>
      <c r="E88" s="462">
        <f>IFERROR(VLOOKUP(C88,'פ.נ. EUROPE'!$D$164:$F$353,3,0),0)</f>
        <v>0</v>
      </c>
      <c r="F88" s="1152">
        <f>SUMIF('פ.נ. EUROPE'!C:C,C:C,'פ.נ. EUROPE'!E:E)</f>
        <v>0</v>
      </c>
      <c r="G88" s="1944"/>
      <c r="H88" s="1943"/>
      <c r="I88" s="1944"/>
      <c r="J88" s="462">
        <f t="shared" si="17"/>
        <v>0</v>
      </c>
      <c r="K88" s="439">
        <f>M88+SUMIF('פ.נ. EUROPE'!C:C,'מאזן בוחן EUROPE'!C88,'פ.נ. EUROPE'!F:F)</f>
        <v>0</v>
      </c>
      <c r="L88" s="1945"/>
      <c r="M88" s="439" t="str">
        <f>IFERROR(VLOOKUP(C88,'פ.נ. EUROPE'!$D$164:$H$353,4,0),"")</f>
        <v/>
      </c>
      <c r="N88" s="1104" t="str">
        <f t="shared" si="18"/>
        <v>-</v>
      </c>
      <c r="O88" s="434"/>
      <c r="P88" s="1393"/>
      <c r="Q88" s="418"/>
      <c r="R88" s="454"/>
      <c r="S88" s="454"/>
      <c r="T88" s="63"/>
      <c r="U88" s="435"/>
      <c r="V88" s="435"/>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BF88" s="418"/>
    </row>
    <row r="89" spans="2:58">
      <c r="B89" s="3659" t="s">
        <v>1306</v>
      </c>
      <c r="C89" s="585">
        <v>204646</v>
      </c>
      <c r="D89" s="159" t="s">
        <v>3388</v>
      </c>
      <c r="E89" s="462">
        <f>IFERROR(VLOOKUP(C89,'פ.נ. EUROPE'!$D$164:$F$353,3,0),0)</f>
        <v>0</v>
      </c>
      <c r="F89" s="1152">
        <f>SUMIF('פ.נ. EUROPE'!C:C,C:C,'פ.נ. EUROPE'!E:E)</f>
        <v>0</v>
      </c>
      <c r="G89" s="1944"/>
      <c r="H89" s="1943"/>
      <c r="I89" s="1944"/>
      <c r="J89" s="462">
        <f t="shared" si="17"/>
        <v>0</v>
      </c>
      <c r="K89" s="439">
        <f>M89+SUMIF('פ.נ. EUROPE'!C:C,'מאזן בוחן EUROPE'!C89,'פ.נ. EUROPE'!F:F)</f>
        <v>0</v>
      </c>
      <c r="L89" s="1945"/>
      <c r="M89" s="439" t="str">
        <f>IFERROR(VLOOKUP(C89,'פ.נ. EUROPE'!$D$164:$H$353,4,0),"")</f>
        <v/>
      </c>
      <c r="N89" s="1104" t="str">
        <f t="shared" si="18"/>
        <v>-</v>
      </c>
      <c r="O89" s="434"/>
      <c r="P89" s="1393"/>
      <c r="Q89" s="418"/>
      <c r="R89" s="454"/>
      <c r="S89" s="454"/>
      <c r="T89" s="63"/>
      <c r="U89" s="435"/>
      <c r="V89" s="435"/>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BF89" s="418"/>
    </row>
    <row r="90" spans="2:58">
      <c r="B90" s="3659" t="s">
        <v>1306</v>
      </c>
      <c r="C90" s="585">
        <v>228883</v>
      </c>
      <c r="D90" s="159" t="s">
        <v>3389</v>
      </c>
      <c r="E90" s="462">
        <f>IFERROR(VLOOKUP(C90,'פ.נ. EUROPE'!$D$164:$F$353,3,0),0)</f>
        <v>0</v>
      </c>
      <c r="F90" s="1152">
        <f>SUMIF('פ.נ. EUROPE'!C:C,C:C,'פ.נ. EUROPE'!E:E)</f>
        <v>0</v>
      </c>
      <c r="G90" s="1944"/>
      <c r="H90" s="1943"/>
      <c r="I90" s="1944"/>
      <c r="J90" s="462">
        <f t="shared" si="17"/>
        <v>0</v>
      </c>
      <c r="K90" s="439">
        <f>M90+SUMIF('פ.נ. EUROPE'!C:C,'מאזן בוחן EUROPE'!C90,'פ.נ. EUROPE'!F:F)</f>
        <v>0</v>
      </c>
      <c r="L90" s="1945"/>
      <c r="M90" s="439" t="str">
        <f>IFERROR(VLOOKUP(C90,'פ.נ. EUROPE'!$D$164:$H$353,4,0),"")</f>
        <v/>
      </c>
      <c r="N90" s="1104" t="str">
        <f t="shared" si="18"/>
        <v>-</v>
      </c>
      <c r="O90" s="434"/>
      <c r="P90" s="1393"/>
      <c r="Q90" s="418"/>
      <c r="R90" s="454"/>
      <c r="S90" s="454"/>
      <c r="T90" s="63"/>
      <c r="U90" s="435"/>
      <c r="V90" s="435"/>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BF90" s="418"/>
    </row>
    <row r="91" spans="2:58">
      <c r="B91" s="3659" t="s">
        <v>1306</v>
      </c>
      <c r="C91" s="585">
        <v>201542</v>
      </c>
      <c r="D91" s="159" t="s">
        <v>3390</v>
      </c>
      <c r="E91" s="462">
        <f>IFERROR(VLOOKUP(C91,'פ.נ. EUROPE'!$D$164:$F$353,3,0),0)</f>
        <v>36069.69</v>
      </c>
      <c r="F91" s="1152">
        <f>SUMIF('פ.נ. EUROPE'!C:C,C:C,'פ.נ. EUROPE'!E:E)</f>
        <v>0</v>
      </c>
      <c r="G91" s="1944"/>
      <c r="H91" s="1943"/>
      <c r="I91" s="1944"/>
      <c r="J91" s="462">
        <f t="shared" si="17"/>
        <v>36069.69</v>
      </c>
      <c r="K91" s="439">
        <f>M91+SUMIF('פ.נ. EUROPE'!C:C,'מאזן בוחן EUROPE'!C91,'פ.נ. EUROPE'!F:F)</f>
        <v>48747.43</v>
      </c>
      <c r="L91" s="1945"/>
      <c r="M91" s="439">
        <f>IFERROR(VLOOKUP(C91,'פ.נ. EUROPE'!$D$164:$H$353,4,0),"")</f>
        <v>48747.43</v>
      </c>
      <c r="N91" s="1104">
        <f t="shared" si="18"/>
        <v>0.73993008451932751</v>
      </c>
      <c r="O91" s="434"/>
      <c r="P91" s="445"/>
      <c r="Q91" s="418"/>
      <c r="R91" s="454"/>
      <c r="S91" s="454"/>
      <c r="T91" s="63"/>
      <c r="U91" s="435"/>
      <c r="V91" s="435"/>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BF91" s="418"/>
    </row>
    <row r="92" spans="2:58">
      <c r="B92" s="3659" t="s">
        <v>1306</v>
      </c>
      <c r="C92" s="585">
        <v>202835</v>
      </c>
      <c r="D92" s="159" t="s">
        <v>3391</v>
      </c>
      <c r="E92" s="462">
        <f>IFERROR(VLOOKUP(C92,'פ.נ. EUROPE'!$D$164:$F$353,3,0),0)</f>
        <v>0</v>
      </c>
      <c r="F92" s="1152">
        <f>SUMIF('פ.נ. EUROPE'!C:C,C:C,'פ.נ. EUROPE'!E:E)</f>
        <v>0</v>
      </c>
      <c r="G92" s="1944"/>
      <c r="H92" s="1943"/>
      <c r="I92" s="1944"/>
      <c r="J92" s="462">
        <f t="shared" si="17"/>
        <v>0</v>
      </c>
      <c r="K92" s="439">
        <f>M92+SUMIF('פ.נ. EUROPE'!C:C,'מאזן בוחן EUROPE'!C92,'פ.נ. EUROPE'!F:F)</f>
        <v>0</v>
      </c>
      <c r="L92" s="1945"/>
      <c r="M92" s="439" t="str">
        <f>IFERROR(VLOOKUP(C92,'פ.נ. EUROPE'!$D$164:$H$353,4,0),"")</f>
        <v/>
      </c>
      <c r="N92" s="1104" t="str">
        <f t="shared" si="18"/>
        <v>-</v>
      </c>
      <c r="O92" s="434"/>
      <c r="P92" s="1393"/>
      <c r="Q92" s="418"/>
      <c r="R92" s="454"/>
      <c r="S92" s="454"/>
      <c r="T92" s="63"/>
      <c r="U92" s="435"/>
      <c r="V92" s="435"/>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BF92" s="418"/>
    </row>
    <row r="93" spans="2:58">
      <c r="B93" s="3659" t="s">
        <v>1306</v>
      </c>
      <c r="C93" s="585">
        <v>208313</v>
      </c>
      <c r="D93" s="159" t="s">
        <v>3392</v>
      </c>
      <c r="E93" s="462">
        <f>IFERROR(VLOOKUP(C93,'פ.נ. EUROPE'!$D$164:$F$353,3,0),0)</f>
        <v>122026.85</v>
      </c>
      <c r="F93" s="1152">
        <f>SUMIF('פ.נ. EUROPE'!C:C,C:C,'פ.נ. EUROPE'!E:E)</f>
        <v>0</v>
      </c>
      <c r="G93" s="1944"/>
      <c r="H93" s="1943"/>
      <c r="I93" s="1944"/>
      <c r="J93" s="462">
        <f t="shared" si="17"/>
        <v>122026.85</v>
      </c>
      <c r="K93" s="439">
        <f>M93+SUMIF('פ.נ. EUROPE'!C:C,'מאזן בוחן EUROPE'!C93,'פ.נ. EUROPE'!F:F)</f>
        <v>164916.74</v>
      </c>
      <c r="L93" s="1945"/>
      <c r="M93" s="439">
        <f>IFERROR(VLOOKUP(C93,'פ.נ. EUROPE'!$D$164:$H$353,4,0),"")</f>
        <v>164916.74</v>
      </c>
      <c r="N93" s="1104">
        <f t="shared" si="18"/>
        <v>0.73993003984919914</v>
      </c>
      <c r="O93" s="434"/>
      <c r="P93" s="1393"/>
      <c r="Q93" s="418"/>
      <c r="R93" s="454"/>
      <c r="S93" s="454"/>
      <c r="T93" s="63"/>
      <c r="U93" s="435"/>
      <c r="V93" s="435"/>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BF93" s="418"/>
    </row>
    <row r="94" spans="2:58">
      <c r="B94" s="3659" t="s">
        <v>1306</v>
      </c>
      <c r="C94" s="585">
        <v>214139</v>
      </c>
      <c r="D94" s="159" t="s">
        <v>3393</v>
      </c>
      <c r="E94" s="462">
        <f>IFERROR(VLOOKUP(C94,'פ.נ. EUROPE'!$D$164:$F$353,3,0),0)</f>
        <v>0</v>
      </c>
      <c r="F94" s="1152">
        <f>SUMIF('פ.נ. EUROPE'!C:C,C:C,'פ.נ. EUROPE'!E:E)</f>
        <v>0</v>
      </c>
      <c r="G94" s="1944"/>
      <c r="H94" s="1943"/>
      <c r="I94" s="1944"/>
      <c r="J94" s="462">
        <f t="shared" si="17"/>
        <v>0</v>
      </c>
      <c r="K94" s="439">
        <f>M94+SUMIF('פ.נ. EUROPE'!C:C,'מאזן בוחן EUROPE'!C94,'פ.נ. EUROPE'!F:F)</f>
        <v>0</v>
      </c>
      <c r="L94" s="1945"/>
      <c r="M94" s="439" t="str">
        <f>IFERROR(VLOOKUP(C94,'פ.נ. EUROPE'!$D$164:$H$353,4,0),"")</f>
        <v/>
      </c>
      <c r="N94" s="1104" t="str">
        <f t="shared" si="18"/>
        <v>-</v>
      </c>
      <c r="O94" s="434"/>
      <c r="P94" s="1393"/>
      <c r="Q94" s="418"/>
      <c r="R94" s="454"/>
      <c r="S94" s="454"/>
      <c r="T94" s="63"/>
      <c r="U94" s="435"/>
      <c r="V94" s="435"/>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BF94" s="418"/>
    </row>
    <row r="95" spans="2:58">
      <c r="B95" s="3659" t="s">
        <v>1306</v>
      </c>
      <c r="C95" s="585">
        <v>228650</v>
      </c>
      <c r="D95" s="159" t="s">
        <v>3394</v>
      </c>
      <c r="E95" s="462">
        <f>IFERROR(VLOOKUP(C95,'פ.נ. EUROPE'!$D$164:$F$353,3,0),0)</f>
        <v>0</v>
      </c>
      <c r="F95" s="1152">
        <f>SUMIF('פ.נ. EUROPE'!C:C,C:C,'פ.נ. EUROPE'!E:E)</f>
        <v>0</v>
      </c>
      <c r="G95" s="1944"/>
      <c r="H95" s="1943"/>
      <c r="I95" s="1944"/>
      <c r="J95" s="462">
        <f t="shared" si="17"/>
        <v>0</v>
      </c>
      <c r="K95" s="439">
        <f>M95+SUMIF('פ.נ. EUROPE'!C:C,'מאזן בוחן EUROPE'!C95,'פ.נ. EUROPE'!F:F)</f>
        <v>0</v>
      </c>
      <c r="L95" s="1945"/>
      <c r="M95" s="439" t="str">
        <f>IFERROR(VLOOKUP(C95,'פ.נ. EUROPE'!$D$164:$H$353,4,0),"")</f>
        <v/>
      </c>
      <c r="N95" s="1104" t="str">
        <f t="shared" si="18"/>
        <v>-</v>
      </c>
      <c r="O95" s="434"/>
      <c r="P95" s="1393"/>
      <c r="Q95" s="418"/>
      <c r="R95" s="454"/>
      <c r="S95" s="454"/>
      <c r="T95" s="63"/>
      <c r="U95" s="435"/>
      <c r="V95" s="435"/>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BF95" s="418"/>
    </row>
    <row r="96" spans="2:58">
      <c r="B96" s="3659" t="s">
        <v>1306</v>
      </c>
      <c r="C96" s="585">
        <v>207831</v>
      </c>
      <c r="D96" s="159" t="s">
        <v>3319</v>
      </c>
      <c r="E96" s="462">
        <f>IFERROR(VLOOKUP(C96,'פ.נ. EUROPE'!$D$164:$F$353,3,0),0)</f>
        <v>0</v>
      </c>
      <c r="F96" s="1152">
        <f>SUMIF('פ.נ. EUROPE'!C:C,C:C,'פ.נ. EUROPE'!E:E)</f>
        <v>0</v>
      </c>
      <c r="G96" s="1944"/>
      <c r="H96" s="1943"/>
      <c r="I96" s="1944"/>
      <c r="J96" s="462">
        <f>SUM(E96:I96)</f>
        <v>0</v>
      </c>
      <c r="K96" s="439">
        <f>M96+SUMIF('פ.נ. EUROPE'!C:C,'מאזן בוחן EUROPE'!C96,'פ.נ. EUROPE'!F:F)</f>
        <v>0</v>
      </c>
      <c r="L96" s="1945"/>
      <c r="M96" s="439" t="str">
        <f>IFERROR(VLOOKUP(C96,'פ.נ. EUROPE'!$D$164:$H$353,4,0),"")</f>
        <v/>
      </c>
      <c r="N96" s="1104" t="str">
        <f>IF(K96=0,"-",J96/K96)</f>
        <v>-</v>
      </c>
      <c r="O96" s="434"/>
      <c r="P96" s="1393"/>
      <c r="Q96" s="418"/>
      <c r="R96" s="454"/>
      <c r="S96" s="454"/>
      <c r="T96" s="63"/>
      <c r="U96" s="435"/>
      <c r="V96" s="435"/>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BF96" s="418"/>
    </row>
    <row r="97" spans="2:58">
      <c r="B97" s="3659" t="s">
        <v>1306</v>
      </c>
      <c r="C97" s="585">
        <v>219220</v>
      </c>
      <c r="D97" s="159" t="s">
        <v>3222</v>
      </c>
      <c r="E97" s="462">
        <f>IFERROR(VLOOKUP(C97,'פ.נ. EUROPE'!$D$164:$F$353,3,0),0)</f>
        <v>0</v>
      </c>
      <c r="F97" s="1152">
        <f>SUMIF('פ.נ. EUROPE'!C:C,C:C,'פ.נ. EUROPE'!E:E)</f>
        <v>0</v>
      </c>
      <c r="G97" s="1944"/>
      <c r="H97" s="1943"/>
      <c r="I97" s="1944"/>
      <c r="J97" s="462">
        <f>SUM(E97:I97)</f>
        <v>0</v>
      </c>
      <c r="K97" s="439">
        <f>M97+SUMIF('פ.נ. EUROPE'!C:C,'מאזן בוחן EUROPE'!C97,'פ.נ. EUROPE'!F:F)</f>
        <v>0</v>
      </c>
      <c r="L97" s="1945"/>
      <c r="M97" s="439" t="str">
        <f>IFERROR(VLOOKUP(C97,'פ.נ. EUROPE'!$D$164:$H$353,4,0),"")</f>
        <v/>
      </c>
      <c r="N97" s="1104" t="str">
        <f>IF(K97=0,"-",J97/K97)</f>
        <v>-</v>
      </c>
      <c r="O97" s="434"/>
      <c r="P97" s="1393"/>
      <c r="Q97" s="418"/>
      <c r="R97" s="454"/>
      <c r="S97" s="454"/>
      <c r="T97" s="63"/>
      <c r="U97" s="435"/>
      <c r="V97" s="435"/>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BF97" s="418"/>
    </row>
    <row r="98" spans="2:58">
      <c r="B98" s="3659" t="s">
        <v>1306</v>
      </c>
      <c r="C98" s="585">
        <v>228207</v>
      </c>
      <c r="D98" s="159" t="s">
        <v>3320</v>
      </c>
      <c r="E98" s="462">
        <f>IFERROR(VLOOKUP(C98,'פ.נ. EUROPE'!$D$164:$F$353,3,0),0)</f>
        <v>0</v>
      </c>
      <c r="F98" s="1152">
        <f>SUMIF('פ.נ. EUROPE'!C:C,C:C,'פ.נ. EUROPE'!E:E)</f>
        <v>0</v>
      </c>
      <c r="G98" s="1944"/>
      <c r="H98" s="1943"/>
      <c r="I98" s="1944"/>
      <c r="J98" s="462">
        <f>SUM(E98:I98)</f>
        <v>0</v>
      </c>
      <c r="K98" s="439">
        <f>M98+SUMIF('פ.נ. EUROPE'!C:C,'מאזן בוחן EUROPE'!C98,'פ.נ. EUROPE'!F:F)</f>
        <v>0</v>
      </c>
      <c r="L98" s="1945"/>
      <c r="M98" s="439" t="str">
        <f>IFERROR(VLOOKUP(C98,'פ.נ. EUROPE'!$D$164:$H$353,4,0),"")</f>
        <v/>
      </c>
      <c r="N98" s="1104" t="str">
        <f>IF(K98=0,"-",J98/K98)</f>
        <v>-</v>
      </c>
      <c r="O98" s="434"/>
      <c r="P98" s="1393"/>
      <c r="Q98" s="418"/>
      <c r="R98" s="454"/>
      <c r="S98" s="454"/>
      <c r="T98" s="63"/>
      <c r="U98" s="435"/>
      <c r="V98" s="435"/>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BF98" s="418"/>
    </row>
    <row r="99" spans="2:58">
      <c r="B99" s="3659" t="s">
        <v>572</v>
      </c>
      <c r="C99" s="585">
        <v>205459</v>
      </c>
      <c r="D99" s="159" t="s">
        <v>2735</v>
      </c>
      <c r="E99" s="462">
        <f>IFERROR(VLOOKUP(C99,'פ.נ. EUROPE'!$D$164:$F$353,3,0),0)</f>
        <v>2890.33</v>
      </c>
      <c r="F99" s="1152">
        <f>SUMIF('פ.נ. EUROPE'!C:C,C:C,'פ.נ. EUROPE'!E:E)</f>
        <v>0</v>
      </c>
      <c r="G99" s="1944"/>
      <c r="H99" s="1943"/>
      <c r="I99" s="1944"/>
      <c r="J99" s="462">
        <f t="shared" ref="J99:J106" si="19">SUM(E99:I99)</f>
        <v>2890.33</v>
      </c>
      <c r="K99" s="439">
        <f>M99+SUMIF('פ.נ. EUROPE'!C:C,'מאזן בוחן EUROPE'!C99,'פ.נ. EUROPE'!F:F)</f>
        <v>3906.22</v>
      </c>
      <c r="L99" s="1945"/>
      <c r="M99" s="439">
        <f>IFERROR(VLOOKUP(C99,'פ.נ. EUROPE'!$D$164:$H$353,4,0),"")</f>
        <v>3906.22</v>
      </c>
      <c r="N99" s="1104">
        <f t="shared" ref="N99:N106" si="20">IF(K99=0,"-",J99/K99)</f>
        <v>0.7399301626636493</v>
      </c>
      <c r="O99" s="434"/>
      <c r="P99" s="445" t="s">
        <v>4367</v>
      </c>
      <c r="Q99" s="418"/>
      <c r="R99" s="454"/>
      <c r="S99" s="454"/>
      <c r="T99" s="63"/>
      <c r="U99" s="435"/>
      <c r="V99" s="435"/>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BF99" s="418"/>
    </row>
    <row r="100" spans="2:58">
      <c r="B100" s="3659" t="s">
        <v>572</v>
      </c>
      <c r="C100" s="585" t="s">
        <v>3294</v>
      </c>
      <c r="D100" s="159" t="s">
        <v>3222</v>
      </c>
      <c r="E100" s="1151">
        <f>IFERROR(VLOOKUP(C100,'פ.נ. EUROPE'!$D$164:$F$353,3,0),0)</f>
        <v>0</v>
      </c>
      <c r="F100" s="1151">
        <f>SUMIF('פ.נ. EUROPE'!C:C,C:C,'פ.נ. EUROPE'!E:E)</f>
        <v>0</v>
      </c>
      <c r="G100" s="1385"/>
      <c r="H100" s="1205"/>
      <c r="I100" s="1385"/>
      <c r="J100" s="1151">
        <f t="shared" si="19"/>
        <v>0</v>
      </c>
      <c r="K100" s="1213">
        <f>M100+SUMIF('פ.נ. EUROPE'!C:C,'מאזן בוחן EUROPE'!C100,'פ.נ. EUROPE'!F:F)</f>
        <v>0</v>
      </c>
      <c r="L100" s="518"/>
      <c r="M100" s="1213" t="str">
        <f>IFERROR(VLOOKUP(C100,'פ.נ. EUROPE'!$D$164:$H$353,4,0),"")</f>
        <v/>
      </c>
      <c r="N100" s="1104" t="str">
        <f t="shared" si="20"/>
        <v>-</v>
      </c>
      <c r="O100" s="434"/>
      <c r="P100" s="1393"/>
      <c r="Q100" s="418"/>
      <c r="R100" s="454"/>
      <c r="S100" s="454"/>
      <c r="T100" s="63"/>
      <c r="U100" s="435"/>
      <c r="V100" s="435"/>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BF100" s="418"/>
    </row>
    <row r="101" spans="2:58">
      <c r="B101" s="3659" t="s">
        <v>574</v>
      </c>
      <c r="C101" s="585">
        <v>206178</v>
      </c>
      <c r="D101" s="159" t="s">
        <v>3223</v>
      </c>
      <c r="E101" s="1151">
        <f>IFERROR(VLOOKUP(C101,'פ.נ. EUROPE'!$D$164:$F$353,3,0),0)</f>
        <v>7272.13</v>
      </c>
      <c r="F101" s="1151">
        <f>SUMIF('פ.נ. EUROPE'!C:C,C:C,'פ.נ. EUROPE'!E:E)</f>
        <v>0</v>
      </c>
      <c r="G101" s="1385"/>
      <c r="H101" s="1205"/>
      <c r="I101" s="1385"/>
      <c r="J101" s="1151">
        <f t="shared" si="19"/>
        <v>7272.13</v>
      </c>
      <c r="K101" s="1213">
        <f>M101+SUMIF('פ.נ. EUROPE'!C:C,'מאזן בוחן EUROPE'!C101,'פ.נ. EUROPE'!F:F)</f>
        <v>9828.14</v>
      </c>
      <c r="L101" s="518"/>
      <c r="M101" s="1213">
        <f>IFERROR(VLOOKUP(C101,'פ.נ. EUROPE'!$D$164:$H$353,4,0),"")</f>
        <v>9828.14</v>
      </c>
      <c r="N101" s="1104">
        <f t="shared" si="20"/>
        <v>0.73992942713473764</v>
      </c>
      <c r="O101" s="434"/>
      <c r="P101" s="1393"/>
      <c r="Q101" s="418"/>
      <c r="R101" s="454"/>
      <c r="S101" s="454"/>
      <c r="T101" s="63"/>
      <c r="U101" s="435"/>
      <c r="V101" s="435"/>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BF101" s="418"/>
    </row>
    <row r="102" spans="2:58">
      <c r="B102" s="3659" t="s">
        <v>574</v>
      </c>
      <c r="C102" s="585">
        <v>217196</v>
      </c>
      <c r="D102" s="159" t="s">
        <v>3224</v>
      </c>
      <c r="E102" s="462">
        <f>IFERROR(VLOOKUP(C102,'פ.נ. EUROPE'!$D$164:$F$353,3,0),0)</f>
        <v>4462.05</v>
      </c>
      <c r="F102" s="1152">
        <f>SUMIF('פ.נ. EUROPE'!C:C,C:C,'פ.נ. EUROPE'!E:E)</f>
        <v>0</v>
      </c>
      <c r="G102" s="1944"/>
      <c r="H102" s="1943"/>
      <c r="I102" s="1944"/>
      <c r="J102" s="462">
        <f t="shared" si="19"/>
        <v>4462.05</v>
      </c>
      <c r="K102" s="439">
        <f>M102+SUMIF('פ.נ. EUROPE'!C:C,'מאזן בוחן EUROPE'!C102,'פ.נ. EUROPE'!F:F)</f>
        <v>6030.37</v>
      </c>
      <c r="L102" s="1945"/>
      <c r="M102" s="439">
        <f>IFERROR(VLOOKUP(C102,'פ.נ. EUROPE'!$D$164:$H$353,4,0),"")</f>
        <v>6030.37</v>
      </c>
      <c r="N102" s="1104">
        <f t="shared" si="20"/>
        <v>0.73992972238851018</v>
      </c>
      <c r="O102" s="434"/>
      <c r="P102" s="1393"/>
      <c r="Q102" s="418"/>
      <c r="R102" s="454"/>
      <c r="S102" s="454"/>
      <c r="T102" s="63"/>
      <c r="U102" s="435"/>
      <c r="V102" s="435"/>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BF102" s="418"/>
    </row>
    <row r="103" spans="2:58">
      <c r="B103" s="3659" t="s">
        <v>574</v>
      </c>
      <c r="C103" s="585">
        <v>225982</v>
      </c>
      <c r="D103" s="159" t="s">
        <v>3225</v>
      </c>
      <c r="E103" s="1151">
        <f>IFERROR(VLOOKUP(C103,'פ.נ. EUROPE'!$D$164:$F$353,3,0),0)</f>
        <v>0</v>
      </c>
      <c r="F103" s="1151">
        <f>SUMIF('פ.נ. EUROPE'!C:C,C:C,'פ.נ. EUROPE'!E:E)</f>
        <v>0</v>
      </c>
      <c r="G103" s="1385"/>
      <c r="H103" s="1205"/>
      <c r="I103" s="1385"/>
      <c r="J103" s="1151">
        <f t="shared" si="19"/>
        <v>0</v>
      </c>
      <c r="K103" s="1213">
        <f>M103+SUMIF('פ.נ. EUROPE'!C:C,'מאזן בוחן EUROPE'!C103,'פ.נ. EUROPE'!F:F)</f>
        <v>0</v>
      </c>
      <c r="L103" s="518"/>
      <c r="M103" s="439" t="str">
        <f>IFERROR(VLOOKUP(C103,'פ.נ. EUROPE'!$D$164:$H$353,4,0),"")</f>
        <v/>
      </c>
      <c r="N103" s="1104" t="str">
        <f t="shared" si="20"/>
        <v>-</v>
      </c>
      <c r="O103" s="434"/>
      <c r="P103" s="1393"/>
      <c r="Q103" s="418"/>
      <c r="R103" s="454"/>
      <c r="S103" s="454"/>
      <c r="T103" s="63"/>
      <c r="U103" s="435"/>
      <c r="V103" s="435"/>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BF103" s="418"/>
    </row>
    <row r="104" spans="2:58">
      <c r="B104" s="3659" t="s">
        <v>574</v>
      </c>
      <c r="C104" s="585">
        <v>230010</v>
      </c>
      <c r="D104" s="159" t="s">
        <v>3226</v>
      </c>
      <c r="E104" s="1151">
        <f>IFERROR(VLOOKUP(C104,'פ.נ. EUROPE'!$D$164:$F$353,3,0),0)</f>
        <v>0</v>
      </c>
      <c r="F104" s="1151">
        <f>SUMIF('פ.נ. EUROPE'!C:C,C:C,'פ.נ. EUROPE'!E:E)</f>
        <v>0</v>
      </c>
      <c r="G104" s="1385"/>
      <c r="H104" s="1205"/>
      <c r="I104" s="1385"/>
      <c r="J104" s="1151">
        <f t="shared" si="19"/>
        <v>0</v>
      </c>
      <c r="K104" s="1213">
        <f>M104+SUMIF('פ.נ. EUROPE'!C:C,'מאזן בוחן EUROPE'!C104,'פ.נ. EUROPE'!F:F)</f>
        <v>0</v>
      </c>
      <c r="L104" s="518"/>
      <c r="M104" s="439" t="str">
        <f>IFERROR(VLOOKUP(C104,'פ.נ. EUROPE'!$D$164:$H$353,4,0),"")</f>
        <v/>
      </c>
      <c r="N104" s="1104" t="str">
        <f t="shared" si="20"/>
        <v>-</v>
      </c>
      <c r="O104" s="434"/>
      <c r="P104" s="1393"/>
      <c r="Q104" s="418"/>
      <c r="R104" s="454"/>
      <c r="S104" s="454"/>
      <c r="T104" s="63"/>
      <c r="U104" s="435"/>
      <c r="V104" s="435"/>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BF104" s="418"/>
    </row>
    <row r="105" spans="2:58">
      <c r="B105" s="3659" t="s">
        <v>1306</v>
      </c>
      <c r="C105" s="585">
        <v>200213</v>
      </c>
      <c r="D105" s="159" t="s">
        <v>3227</v>
      </c>
      <c r="E105" s="1151">
        <f>IFERROR(VLOOKUP(C105,'פ.נ. EUROPE'!$D$164:$F$353,3,0),0)</f>
        <v>0</v>
      </c>
      <c r="F105" s="1151">
        <f>SUMIF('פ.נ. EUROPE'!C:C,C:C,'פ.נ. EUROPE'!E:E)</f>
        <v>0</v>
      </c>
      <c r="G105" s="1385"/>
      <c r="H105" s="1205"/>
      <c r="I105" s="1385"/>
      <c r="J105" s="1151">
        <f t="shared" si="19"/>
        <v>0</v>
      </c>
      <c r="K105" s="1213">
        <f>M105+SUMIF('פ.נ. EUROPE'!C:C,'מאזן בוחן EUROPE'!C105,'פ.נ. EUROPE'!F:F)</f>
        <v>0</v>
      </c>
      <c r="L105" s="518"/>
      <c r="M105" s="439" t="str">
        <f>IFERROR(VLOOKUP(C105,'פ.נ. EUROPE'!$D$164:$H$353,4,0),"")</f>
        <v/>
      </c>
      <c r="N105" s="1104" t="str">
        <f t="shared" si="20"/>
        <v>-</v>
      </c>
      <c r="O105" s="434"/>
      <c r="P105" s="1393"/>
      <c r="Q105" s="418"/>
      <c r="R105" s="454"/>
      <c r="S105" s="454"/>
      <c r="T105" s="63"/>
      <c r="U105" s="435"/>
      <c r="V105" s="435"/>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BF105" s="418"/>
    </row>
    <row r="106" spans="2:58">
      <c r="B106" s="3659" t="s">
        <v>1306</v>
      </c>
      <c r="C106" s="585">
        <v>220629</v>
      </c>
      <c r="D106" s="159" t="s">
        <v>3228</v>
      </c>
      <c r="E106" s="1151">
        <f>IFERROR(VLOOKUP(C106,'פ.נ. EUROPE'!$D$164:$F$353,3,0),0)</f>
        <v>6691.91</v>
      </c>
      <c r="F106" s="1151">
        <f>SUMIF('פ.נ. EUROPE'!C:C,C:C,'פ.נ. EUROPE'!E:E)</f>
        <v>0</v>
      </c>
      <c r="G106" s="1385"/>
      <c r="H106" s="1205"/>
      <c r="I106" s="1385"/>
      <c r="J106" s="1151">
        <f t="shared" si="19"/>
        <v>6691.91</v>
      </c>
      <c r="K106" s="1213">
        <f>M106+SUMIF('פ.נ. EUROPE'!C:C,'מאזן בוחן EUROPE'!C106,'פ.נ. EUROPE'!F:F)</f>
        <v>9043.98</v>
      </c>
      <c r="L106" s="518"/>
      <c r="M106" s="439">
        <f>IFERROR(VLOOKUP(C106,'פ.נ. EUROPE'!$D$164:$H$353,4,0),"")</f>
        <v>9043.98</v>
      </c>
      <c r="N106" s="1104">
        <f t="shared" si="20"/>
        <v>0.73992976543512923</v>
      </c>
      <c r="O106" s="434"/>
      <c r="P106" s="1393"/>
      <c r="Q106" s="418"/>
      <c r="R106" s="454"/>
      <c r="S106" s="454"/>
      <c r="T106" s="63"/>
      <c r="U106" s="435"/>
      <c r="V106" s="435"/>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BF106" s="418"/>
    </row>
    <row r="107" spans="2:58">
      <c r="B107" s="3659" t="s">
        <v>1025</v>
      </c>
      <c r="C107" s="585">
        <v>207866</v>
      </c>
      <c r="D107" s="45" t="s">
        <v>3229</v>
      </c>
      <c r="E107" s="439">
        <f>IFERROR(VLOOKUP(C107,'פ.נ. EUROPE'!$D$164:$F$353,3,0),0)</f>
        <v>0</v>
      </c>
      <c r="F107" s="518">
        <f>SUMIF('פ.נ. EUROPE'!C:C,C:C,'פ.נ. EUROPE'!E:E)</f>
        <v>0</v>
      </c>
      <c r="G107" s="439"/>
      <c r="H107" s="52"/>
      <c r="I107" s="439"/>
      <c r="J107" s="170">
        <f>SUM(E107:I107)</f>
        <v>0</v>
      </c>
      <c r="K107" s="171">
        <f>M107+SUMIF('פ.נ. EUROPE'!C:C,'מאזן בוחן EUROPE'!C107,'פ.נ. EUROPE'!F:F)</f>
        <v>0</v>
      </c>
      <c r="L107" s="51"/>
      <c r="M107" s="171" t="str">
        <f>IFERROR(VLOOKUP(C107,'פ.נ. EUROPE'!$D$164:$H$353,4,0),"")</f>
        <v/>
      </c>
      <c r="N107" s="1104" t="str">
        <f>IF(K107=0,"-",J107/K107)</f>
        <v>-</v>
      </c>
      <c r="O107" s="434"/>
      <c r="P107" s="2832"/>
      <c r="Q107" s="52"/>
      <c r="R107" s="52"/>
    </row>
    <row r="108" spans="2:58">
      <c r="B108" s="3659" t="s">
        <v>1025</v>
      </c>
      <c r="C108" s="585">
        <v>222999</v>
      </c>
      <c r="D108" s="45" t="s">
        <v>3230</v>
      </c>
      <c r="E108" s="1213">
        <f>IFERROR(VLOOKUP(C108,'פ.נ. EUROPE'!$D$164:$F$353,3,0),0)</f>
        <v>0</v>
      </c>
      <c r="F108" s="518">
        <f>SUMIF('פ.נ. EUROPE'!C:C,C:C,'פ.נ. EUROPE'!E:E)</f>
        <v>0</v>
      </c>
      <c r="G108" s="1213"/>
      <c r="H108" s="976"/>
      <c r="I108" s="1213"/>
      <c r="J108" s="521">
        <f>SUM(E108:I108)</f>
        <v>0</v>
      </c>
      <c r="K108" s="522">
        <f>M108+SUMIF('פ.נ. EUROPE'!C:C,'מאזן בוחן EUROPE'!C108,'פ.נ. EUROPE'!F:F)</f>
        <v>0</v>
      </c>
      <c r="L108" s="518"/>
      <c r="M108" s="522" t="str">
        <f>IFERROR(VLOOKUP(C108,'פ.נ. EUROPE'!$D$164:$H$353,4,0),"")</f>
        <v/>
      </c>
      <c r="N108" s="1104" t="str">
        <f>IF(K108=0,"-",J108/K108)</f>
        <v>-</v>
      </c>
      <c r="O108" s="434"/>
      <c r="P108" s="2832"/>
      <c r="Q108" s="52"/>
      <c r="R108" s="52"/>
    </row>
    <row r="109" spans="2:58">
      <c r="B109" s="3659" t="s">
        <v>572</v>
      </c>
      <c r="C109" s="585">
        <v>201623</v>
      </c>
      <c r="D109" s="159" t="s">
        <v>3038</v>
      </c>
      <c r="E109" s="1151">
        <f>IFERROR(VLOOKUP(C109,'פ.נ. EUROPE'!$D$164:$F$353,3,0),0)</f>
        <v>14056.45</v>
      </c>
      <c r="F109" s="1151">
        <f>SUMIF('פ.נ. EUROPE'!C:C,C:C,'פ.נ. EUROPE'!E:E)</f>
        <v>0</v>
      </c>
      <c r="G109" s="1385"/>
      <c r="H109" s="1205"/>
      <c r="I109" s="1385"/>
      <c r="J109" s="1151">
        <f t="shared" ref="J109:J117" si="21">SUM(E109:I109)</f>
        <v>14056.45</v>
      </c>
      <c r="K109" s="1213">
        <f>M109+SUMIF('פ.נ. EUROPE'!C:C,'מאזן בוחן EUROPE'!C109,'פ.נ. EUROPE'!F:F)</f>
        <v>18997</v>
      </c>
      <c r="L109" s="518"/>
      <c r="M109" s="1213">
        <f>IFERROR(VLOOKUP(C109,'פ.נ. EUROPE'!$D$164:$H$353,4,0),"")</f>
        <v>18997</v>
      </c>
      <c r="N109" s="1104">
        <f t="shared" ref="N109:N117" si="22">IF(K109=0,"-",J109/K109)</f>
        <v>0.73992998894562301</v>
      </c>
      <c r="O109" s="434"/>
      <c r="P109" s="1393"/>
      <c r="Q109" s="418"/>
      <c r="R109" s="454"/>
      <c r="S109" s="454"/>
      <c r="T109" s="63"/>
      <c r="U109" s="435"/>
      <c r="V109" s="435"/>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BF109" s="418"/>
    </row>
    <row r="110" spans="2:58">
      <c r="B110" s="3659" t="s">
        <v>574</v>
      </c>
      <c r="C110" s="585">
        <v>200672</v>
      </c>
      <c r="D110" s="159" t="s">
        <v>3039</v>
      </c>
      <c r="E110" s="1151">
        <f>IFERROR(VLOOKUP(C110,'פ.נ. EUROPE'!$D$164:$F$353,3,0),0)</f>
        <v>146772.42000000001</v>
      </c>
      <c r="F110" s="1151">
        <f>SUMIF('פ.נ. EUROPE'!C:C,C:C,'פ.נ. EUROPE'!E:E)</f>
        <v>0</v>
      </c>
      <c r="G110" s="1385"/>
      <c r="H110" s="1205"/>
      <c r="I110" s="1385"/>
      <c r="J110" s="1151">
        <f t="shared" si="21"/>
        <v>146772.42000000001</v>
      </c>
      <c r="K110" s="1213">
        <f>M110+SUMIF('פ.נ. EUROPE'!C:C,'מאזן בוחן EUROPE'!C110,'פ.נ. EUROPE'!F:F)</f>
        <v>198359.86</v>
      </c>
      <c r="L110" s="518"/>
      <c r="M110" s="1213">
        <f>IFERROR(VLOOKUP(C110,'פ.נ. EUROPE'!$D$164:$H$353,4,0),"")</f>
        <v>198359.86</v>
      </c>
      <c r="N110" s="1104">
        <f t="shared" si="22"/>
        <v>0.73993004431440934</v>
      </c>
      <c r="O110" s="434"/>
      <c r="P110" s="1393"/>
      <c r="Q110" s="418"/>
      <c r="R110" s="454"/>
      <c r="S110" s="454"/>
      <c r="T110" s="63"/>
      <c r="U110" s="435"/>
      <c r="V110" s="435"/>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BF110" s="418"/>
    </row>
    <row r="111" spans="2:58">
      <c r="B111" s="3659" t="s">
        <v>574</v>
      </c>
      <c r="C111" s="585">
        <v>200778</v>
      </c>
      <c r="D111" s="159" t="s">
        <v>3040</v>
      </c>
      <c r="E111" s="1151">
        <f>IFERROR(VLOOKUP(C111,'פ.נ. EUROPE'!$D$164:$F$353,3,0),0)</f>
        <v>0</v>
      </c>
      <c r="F111" s="1151">
        <f>SUMIF('פ.נ. EUROPE'!C:C,C:C,'פ.נ. EUROPE'!E:E)</f>
        <v>0</v>
      </c>
      <c r="G111" s="1385"/>
      <c r="H111" s="1205"/>
      <c r="I111" s="1385"/>
      <c r="J111" s="1151">
        <f t="shared" si="21"/>
        <v>0</v>
      </c>
      <c r="K111" s="1213">
        <f>M111+SUMIF('פ.נ. EUROPE'!C:C,'מאזן בוחן EUROPE'!C111,'פ.נ. EUROPE'!F:F)</f>
        <v>0</v>
      </c>
      <c r="L111" s="518"/>
      <c r="M111" s="1213" t="str">
        <f>IFERROR(VLOOKUP(C111,'פ.נ. EUROPE'!$D$164:$H$353,4,0),"")</f>
        <v/>
      </c>
      <c r="N111" s="1104" t="str">
        <f t="shared" si="22"/>
        <v>-</v>
      </c>
      <c r="O111" s="434"/>
      <c r="P111" s="1393"/>
      <c r="Q111" s="418"/>
      <c r="R111" s="454"/>
      <c r="S111" s="454"/>
      <c r="T111" s="63"/>
      <c r="U111" s="435"/>
      <c r="V111" s="435"/>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BF111" s="418"/>
    </row>
    <row r="112" spans="2:58">
      <c r="B112" s="3659" t="s">
        <v>574</v>
      </c>
      <c r="C112" s="585">
        <v>204212</v>
      </c>
      <c r="D112" s="159" t="s">
        <v>3041</v>
      </c>
      <c r="E112" s="1151">
        <f>IFERROR(VLOOKUP(C112,'פ.נ. EUROPE'!$D$164:$F$353,3,0),0)</f>
        <v>0</v>
      </c>
      <c r="F112" s="1151">
        <f>SUMIF('פ.נ. EUROPE'!C:C,C:C,'פ.נ. EUROPE'!E:E)</f>
        <v>0</v>
      </c>
      <c r="G112" s="1385"/>
      <c r="H112" s="1205"/>
      <c r="I112" s="1385"/>
      <c r="J112" s="1151">
        <f t="shared" si="21"/>
        <v>0</v>
      </c>
      <c r="K112" s="1213">
        <f>M112+SUMIF('פ.נ. EUROPE'!C:C,'מאזן בוחן EUROPE'!C112,'פ.נ. EUROPE'!F:F)</f>
        <v>0</v>
      </c>
      <c r="L112" s="518"/>
      <c r="M112" s="1213" t="str">
        <f>IFERROR(VLOOKUP(C112,'פ.נ. EUROPE'!$D$164:$H$353,4,0),"")</f>
        <v/>
      </c>
      <c r="N112" s="1104" t="str">
        <f t="shared" si="22"/>
        <v>-</v>
      </c>
      <c r="O112" s="434"/>
      <c r="P112" s="1393"/>
      <c r="Q112" s="418"/>
      <c r="R112" s="454"/>
      <c r="S112" s="454"/>
      <c r="T112" s="63"/>
      <c r="U112" s="435"/>
      <c r="V112" s="435"/>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BF112" s="418"/>
    </row>
    <row r="113" spans="1:58">
      <c r="B113" s="3659" t="s">
        <v>574</v>
      </c>
      <c r="C113" s="585">
        <v>206783</v>
      </c>
      <c r="D113" s="159" t="s">
        <v>3042</v>
      </c>
      <c r="E113" s="462">
        <f>IFERROR(VLOOKUP(C113,'פ.נ. EUROPE'!$D$164:$F$353,3,0),0)</f>
        <v>0</v>
      </c>
      <c r="F113" s="1151">
        <f>SUMIF('פ.נ. EUROPE'!C:C,C:C,'פ.נ. EUROPE'!E:E)</f>
        <v>0</v>
      </c>
      <c r="G113" s="1944"/>
      <c r="H113" s="1943"/>
      <c r="I113" s="1944"/>
      <c r="J113" s="462">
        <f t="shared" si="21"/>
        <v>0</v>
      </c>
      <c r="K113" s="439">
        <f>M113+SUMIF('פ.נ. EUROPE'!C:C,'מאזן בוחן EUROPE'!C113,'פ.נ. EUROPE'!F:F)</f>
        <v>0</v>
      </c>
      <c r="L113" s="1945"/>
      <c r="M113" s="439" t="str">
        <f>IFERROR(VLOOKUP(C113,'פ.נ. EUROPE'!$D$164:$H$353,4,0),"")</f>
        <v/>
      </c>
      <c r="N113" s="1104" t="str">
        <f t="shared" si="22"/>
        <v>-</v>
      </c>
      <c r="O113" s="434"/>
      <c r="P113" s="2972"/>
      <c r="Q113" s="418"/>
      <c r="R113" s="454"/>
      <c r="S113" s="454"/>
      <c r="T113" s="63"/>
      <c r="U113" s="435"/>
      <c r="V113" s="435"/>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BF113" s="418"/>
    </row>
    <row r="114" spans="1:58">
      <c r="B114" s="3659" t="s">
        <v>574</v>
      </c>
      <c r="C114" s="585">
        <v>228406</v>
      </c>
      <c r="D114" s="159" t="s">
        <v>3043</v>
      </c>
      <c r="E114" s="1151">
        <f>IFERROR(VLOOKUP(C114,'פ.נ. EUROPE'!$D$164:$F$353,3,0),0)</f>
        <v>0</v>
      </c>
      <c r="F114" s="1151">
        <f>SUMIF('פ.נ. EUROPE'!C:C,C:C,'פ.נ. EUROPE'!E:E)</f>
        <v>0</v>
      </c>
      <c r="G114" s="1385"/>
      <c r="H114" s="1205"/>
      <c r="I114" s="1385"/>
      <c r="J114" s="1151">
        <f t="shared" si="21"/>
        <v>0</v>
      </c>
      <c r="K114" s="1213">
        <f>M114+SUMIF('פ.נ. EUROPE'!C:C,'מאזן בוחן EUROPE'!C114,'פ.נ. EUROPE'!F:F)</f>
        <v>0</v>
      </c>
      <c r="L114" s="518"/>
      <c r="M114" s="1213" t="str">
        <f>IFERROR(VLOOKUP(C114,'פ.נ. EUROPE'!$D$164:$H$353,4,0),"")</f>
        <v/>
      </c>
      <c r="N114" s="1104" t="str">
        <f t="shared" si="22"/>
        <v>-</v>
      </c>
      <c r="O114" s="434"/>
      <c r="P114" s="1393"/>
      <c r="Q114" s="418"/>
      <c r="R114" s="454"/>
      <c r="S114" s="454"/>
      <c r="T114" s="63"/>
      <c r="U114" s="435"/>
      <c r="V114" s="435"/>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BF114" s="418"/>
    </row>
    <row r="115" spans="1:58">
      <c r="B115" s="3659" t="s">
        <v>574</v>
      </c>
      <c r="C115" s="585">
        <v>229785</v>
      </c>
      <c r="D115" s="159" t="s">
        <v>3044</v>
      </c>
      <c r="E115" s="462">
        <f>IFERROR(VLOOKUP(C115,'פ.נ. EUROPE'!$D$164:$F$353,3,0),0)</f>
        <v>0</v>
      </c>
      <c r="F115" s="1151">
        <f>SUMIF('פ.נ. EUROPE'!C:C,C:C,'פ.נ. EUROPE'!E:E)</f>
        <v>0</v>
      </c>
      <c r="G115" s="1944"/>
      <c r="H115" s="1943"/>
      <c r="I115" s="1944"/>
      <c r="J115" s="462">
        <f t="shared" si="21"/>
        <v>0</v>
      </c>
      <c r="K115" s="439">
        <f>M115+SUMIF('פ.נ. EUROPE'!C:C,'מאזן בוחן EUROPE'!C115,'פ.נ. EUROPE'!F:F)</f>
        <v>0</v>
      </c>
      <c r="L115" s="1945"/>
      <c r="M115" s="439" t="str">
        <f>IFERROR(VLOOKUP(C115,'פ.נ. EUROPE'!$D$164:$H$353,4,0),"")</f>
        <v/>
      </c>
      <c r="N115" s="1104" t="str">
        <f t="shared" si="22"/>
        <v>-</v>
      </c>
      <c r="O115" s="434"/>
      <c r="P115" s="1393"/>
      <c r="Q115" s="418"/>
      <c r="R115" s="454"/>
      <c r="S115" s="454"/>
      <c r="T115" s="63"/>
      <c r="U115" s="435"/>
      <c r="V115" s="435"/>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BF115" s="418"/>
    </row>
    <row r="116" spans="1:58">
      <c r="B116" s="3659" t="s">
        <v>574</v>
      </c>
      <c r="C116" s="585">
        <v>230026</v>
      </c>
      <c r="D116" s="159" t="s">
        <v>3045</v>
      </c>
      <c r="E116" s="462">
        <f>IFERROR(VLOOKUP(C116,'פ.נ. EUROPE'!$D$164:$F$353,3,0),0)</f>
        <v>0</v>
      </c>
      <c r="F116" s="1151">
        <f>SUMIF('פ.נ. EUROPE'!C:C,C:C,'פ.נ. EUROPE'!E:E)</f>
        <v>0</v>
      </c>
      <c r="G116" s="1944"/>
      <c r="H116" s="1943"/>
      <c r="I116" s="1944"/>
      <c r="J116" s="462">
        <f t="shared" si="21"/>
        <v>0</v>
      </c>
      <c r="K116" s="439">
        <f>M116+SUMIF('פ.נ. EUROPE'!C:C,'מאזן בוחן EUROPE'!C116,'פ.נ. EUROPE'!F:F)</f>
        <v>0</v>
      </c>
      <c r="L116" s="1945"/>
      <c r="M116" s="439" t="str">
        <f>IFERROR(VLOOKUP(C116,'פ.נ. EUROPE'!$D$164:$H$353,4,0),"")</f>
        <v/>
      </c>
      <c r="N116" s="1104" t="str">
        <f t="shared" si="22"/>
        <v>-</v>
      </c>
      <c r="O116" s="434"/>
      <c r="P116" s="1393"/>
      <c r="Q116" s="418"/>
      <c r="R116" s="454"/>
      <c r="S116" s="454"/>
      <c r="T116" s="63"/>
      <c r="U116" s="435"/>
      <c r="V116" s="435"/>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BF116" s="418"/>
    </row>
    <row r="117" spans="1:58">
      <c r="B117" s="3659" t="s">
        <v>1025</v>
      </c>
      <c r="C117" s="585">
        <v>231285</v>
      </c>
      <c r="D117" s="45" t="s">
        <v>3649</v>
      </c>
      <c r="E117" s="439">
        <f>IFERROR(VLOOKUP(C117,'פ.נ. EUROPE'!$D$164:$F$353,3,0),0)</f>
        <v>0</v>
      </c>
      <c r="F117" s="518">
        <f>SUMIF('פ.נ. EUROPE'!C:C,C:C,'פ.נ. EUROPE'!E:E)</f>
        <v>0</v>
      </c>
      <c r="G117" s="1213"/>
      <c r="H117" s="976"/>
      <c r="I117" s="1213"/>
      <c r="J117" s="170">
        <f t="shared" si="21"/>
        <v>0</v>
      </c>
      <c r="K117" s="171">
        <f>M117+SUMIF('פ.נ. EUROPE'!C:C,'מאזן בוחן EUROPE'!C117,'פ.נ. EUROPE'!F:F)</f>
        <v>0</v>
      </c>
      <c r="L117" s="51"/>
      <c r="M117" s="171" t="str">
        <f>IFERROR(VLOOKUP(C117,'פ.נ. EUROPE'!$D$164:$H$353,4,0),"")</f>
        <v/>
      </c>
      <c r="N117" s="1104" t="str">
        <f t="shared" si="22"/>
        <v>-</v>
      </c>
      <c r="O117" s="434"/>
      <c r="P117" s="2832"/>
      <c r="Q117" s="52"/>
      <c r="R117" s="52"/>
    </row>
    <row r="118" spans="1:58">
      <c r="B118" s="3659" t="s">
        <v>572</v>
      </c>
      <c r="C118" s="585">
        <v>216463</v>
      </c>
      <c r="D118" s="159" t="s">
        <v>2838</v>
      </c>
      <c r="E118" s="1151">
        <f>IFERROR(VLOOKUP(C118,'פ.נ. EUROPE'!$D$164:$F$353,3,0),0)</f>
        <v>0</v>
      </c>
      <c r="F118" s="1151">
        <f>SUMIF('פ.נ. EUROPE'!C:C,C:C,'פ.נ. EUROPE'!E:E)</f>
        <v>0</v>
      </c>
      <c r="G118" s="1385"/>
      <c r="H118" s="1205"/>
      <c r="I118" s="1385"/>
      <c r="J118" s="1151">
        <f t="shared" ref="J118:J125" si="23">SUM(E118:I118)</f>
        <v>0</v>
      </c>
      <c r="K118" s="1213">
        <f>M118+SUMIF('פ.נ. EUROPE'!C:C,'מאזן בוחן EUROPE'!C118,'פ.נ. EUROPE'!F:F)</f>
        <v>0</v>
      </c>
      <c r="L118" s="518"/>
      <c r="M118" s="1213" t="str">
        <f>IFERROR(VLOOKUP(C118,'פ.נ. EUROPE'!$D$164:$H$353,4,0),"")</f>
        <v/>
      </c>
      <c r="N118" s="1104" t="str">
        <f t="shared" ref="N118:N125" si="24">IF(K118=0,"-",J118/K118)</f>
        <v>-</v>
      </c>
      <c r="O118" s="434"/>
      <c r="P118" s="1393"/>
      <c r="Q118" s="418"/>
      <c r="R118" s="454"/>
      <c r="S118" s="454"/>
      <c r="T118" s="63"/>
      <c r="U118" s="435"/>
      <c r="V118" s="435"/>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BF118" s="418"/>
    </row>
    <row r="119" spans="1:58">
      <c r="B119" s="3659" t="s">
        <v>572</v>
      </c>
      <c r="C119" s="585">
        <v>228910</v>
      </c>
      <c r="D119" s="159" t="s">
        <v>2839</v>
      </c>
      <c r="E119" s="1151">
        <f>IFERROR(VLOOKUP(C119,'פ.נ. EUROPE'!$D$164:$F$353,3,0),0)</f>
        <v>143371.18</v>
      </c>
      <c r="F119" s="1151">
        <f>SUMIF('פ.נ. EUROPE'!C:C,C:C,'פ.נ. EUROPE'!E:E)</f>
        <v>0</v>
      </c>
      <c r="G119" s="1385"/>
      <c r="H119" s="1205"/>
      <c r="I119" s="1385"/>
      <c r="J119" s="1151">
        <f t="shared" si="23"/>
        <v>143371.18</v>
      </c>
      <c r="K119" s="1213">
        <f>M119+SUMIF('פ.נ. EUROPE'!C:C,'מאזן בוחן EUROPE'!C119,'פ.נ. EUROPE'!F:F)</f>
        <v>193763.15</v>
      </c>
      <c r="L119" s="518"/>
      <c r="M119" s="1213">
        <f>IFERROR(VLOOKUP(C119,'פ.נ. EUROPE'!$D$164:$H$353,4,0),"")</f>
        <v>193763.15</v>
      </c>
      <c r="N119" s="1104">
        <f t="shared" si="24"/>
        <v>0.73993006410145579</v>
      </c>
      <c r="O119" s="434"/>
      <c r="P119" s="1393"/>
      <c r="Q119" s="418"/>
      <c r="R119" s="454"/>
      <c r="S119" s="454"/>
      <c r="T119" s="63"/>
      <c r="U119" s="435"/>
      <c r="V119" s="435"/>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BF119" s="418"/>
    </row>
    <row r="120" spans="1:58">
      <c r="B120" s="3659" t="s">
        <v>572</v>
      </c>
      <c r="C120" s="585">
        <v>200721</v>
      </c>
      <c r="D120" s="159" t="s">
        <v>2725</v>
      </c>
      <c r="E120" s="462">
        <f>IFERROR(VLOOKUP(C120,'פ.נ. EUROPE'!$D$164:$F$353,3,0),0)</f>
        <v>21771.200000000001</v>
      </c>
      <c r="F120" s="1151">
        <f>SUMIF('פ.נ. EUROPE'!C:C,C:C,'פ.נ. EUROPE'!E:E)</f>
        <v>0</v>
      </c>
      <c r="G120" s="1944"/>
      <c r="H120" s="1943"/>
      <c r="I120" s="1944"/>
      <c r="J120" s="462">
        <f t="shared" si="23"/>
        <v>21771.200000000001</v>
      </c>
      <c r="K120" s="439">
        <f>M120+SUMIF('פ.נ. EUROPE'!C:C,'מאזן בוחן EUROPE'!C120,'פ.נ. EUROPE'!F:F)</f>
        <v>29423.32</v>
      </c>
      <c r="L120" s="1945"/>
      <c r="M120" s="439">
        <f>IFERROR(VLOOKUP(C120,'פ.נ. EUROPE'!$D$164:$H$353,4,0),"")</f>
        <v>29423.32</v>
      </c>
      <c r="N120" s="1104">
        <f t="shared" si="24"/>
        <v>0.73993009626377992</v>
      </c>
      <c r="O120" s="434"/>
      <c r="P120" s="1393"/>
      <c r="Q120" s="418"/>
      <c r="R120" s="454"/>
      <c r="S120" s="454"/>
      <c r="T120" s="63"/>
      <c r="U120" s="435"/>
      <c r="V120" s="435"/>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BF120" s="418"/>
    </row>
    <row r="121" spans="1:58">
      <c r="B121" s="3659" t="s">
        <v>572</v>
      </c>
      <c r="C121" s="585">
        <v>202864</v>
      </c>
      <c r="D121" s="159" t="s">
        <v>667</v>
      </c>
      <c r="E121" s="462">
        <f>IFERROR(VLOOKUP(C121,'פ.נ. EUROPE'!$D$164:$F$353,3,0),0)</f>
        <v>12924.36</v>
      </c>
      <c r="F121" s="1151">
        <f>SUMIF('פ.נ. EUROPE'!C:C,C:C,'פ.נ. EUROPE'!E:E)</f>
        <v>0</v>
      </c>
      <c r="G121" s="1944"/>
      <c r="H121" s="1943"/>
      <c r="I121" s="1944"/>
      <c r="J121" s="462">
        <f t="shared" si="23"/>
        <v>12924.36</v>
      </c>
      <c r="K121" s="439">
        <f>M121+SUMIF('פ.נ. EUROPE'!C:C,'מאזן בוחן EUROPE'!C121,'פ.נ. EUROPE'!F:F)</f>
        <v>17467</v>
      </c>
      <c r="L121" s="1945"/>
      <c r="M121" s="439">
        <f>IFERROR(VLOOKUP(C121,'פ.נ. EUROPE'!$D$164:$H$353,4,0),"")</f>
        <v>17467</v>
      </c>
      <c r="N121" s="1104">
        <f t="shared" si="24"/>
        <v>0.73993015400469464</v>
      </c>
      <c r="O121" s="434"/>
      <c r="P121" s="1393"/>
      <c r="Q121" s="418"/>
      <c r="R121" s="454"/>
      <c r="S121" s="454"/>
      <c r="T121" s="63"/>
      <c r="U121" s="435"/>
      <c r="V121" s="435"/>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BF121" s="418"/>
    </row>
    <row r="122" spans="1:58">
      <c r="B122" s="3659" t="s">
        <v>572</v>
      </c>
      <c r="C122" s="585">
        <v>205458</v>
      </c>
      <c r="D122" s="159" t="s">
        <v>2726</v>
      </c>
      <c r="E122" s="1151">
        <f>IFERROR(VLOOKUP(C122,'פ.נ. EUROPE'!$D$164:$F$353,3,0),0)</f>
        <v>0</v>
      </c>
      <c r="F122" s="1151">
        <f>SUMIF('פ.נ. EUROPE'!C:C,C:C,'פ.נ. EUROPE'!E:E)</f>
        <v>0</v>
      </c>
      <c r="G122" s="1385"/>
      <c r="H122" s="1205"/>
      <c r="I122" s="1385"/>
      <c r="J122" s="1151">
        <f t="shared" si="23"/>
        <v>0</v>
      </c>
      <c r="K122" s="1213">
        <f>M122+SUMIF('פ.נ. EUROPE'!C:C,'מאזן בוחן EUROPE'!C122,'פ.נ. EUROPE'!F:F)</f>
        <v>0</v>
      </c>
      <c r="L122" s="518"/>
      <c r="M122" s="439" t="str">
        <f>IFERROR(VLOOKUP(C122,'פ.נ. EUROPE'!$D$164:$H$353,4,0),"")</f>
        <v/>
      </c>
      <c r="N122" s="1104" t="str">
        <f t="shared" si="24"/>
        <v>-</v>
      </c>
      <c r="O122" s="434"/>
      <c r="P122" s="1393"/>
      <c r="Q122" s="418"/>
      <c r="R122" s="454"/>
      <c r="S122" s="454"/>
      <c r="T122" s="63"/>
      <c r="U122" s="435"/>
      <c r="V122" s="435"/>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BF122" s="418"/>
    </row>
    <row r="123" spans="1:58">
      <c r="B123" s="3659" t="s">
        <v>572</v>
      </c>
      <c r="C123" s="585">
        <v>206136</v>
      </c>
      <c r="D123" s="159" t="s">
        <v>2727</v>
      </c>
      <c r="E123" s="1151">
        <f>IFERROR(VLOOKUP(C123,'פ.נ. EUROPE'!$D$164:$F$353,3,0),0)</f>
        <v>0</v>
      </c>
      <c r="F123" s="1151">
        <f>SUMIF('פ.נ. EUROPE'!C:C,C:C,'פ.נ. EUROPE'!E:E)</f>
        <v>0</v>
      </c>
      <c r="G123" s="1385"/>
      <c r="H123" s="1205"/>
      <c r="I123" s="1385"/>
      <c r="J123" s="1151">
        <f t="shared" si="23"/>
        <v>0</v>
      </c>
      <c r="K123" s="1213">
        <f>M123+SUMIF('פ.נ. EUROPE'!C:C,'מאזן בוחן EUROPE'!C123,'פ.נ. EUROPE'!F:F)</f>
        <v>0</v>
      </c>
      <c r="L123" s="518"/>
      <c r="M123" s="439" t="str">
        <f>IFERROR(VLOOKUP(C123,'פ.נ. EUROPE'!$D$164:$H$353,4,0),"")</f>
        <v/>
      </c>
      <c r="N123" s="1104" t="str">
        <f t="shared" si="24"/>
        <v>-</v>
      </c>
      <c r="O123" s="434"/>
      <c r="P123" s="1393"/>
      <c r="Q123" s="418"/>
      <c r="R123" s="454"/>
      <c r="S123" s="454"/>
      <c r="T123" s="63"/>
      <c r="U123" s="435"/>
      <c r="V123" s="435"/>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BF123" s="418"/>
    </row>
    <row r="124" spans="1:58">
      <c r="B124" s="3659" t="s">
        <v>572</v>
      </c>
      <c r="C124" s="585">
        <v>225616</v>
      </c>
      <c r="D124" s="159" t="s">
        <v>2728</v>
      </c>
      <c r="E124" s="462">
        <f>IFERROR(VLOOKUP(C124,'פ.נ. EUROPE'!$D$164:$F$353,3,0),0)</f>
        <v>23843.97</v>
      </c>
      <c r="F124" s="1152">
        <f>SUMIF('פ.נ. EUROPE'!C:C,C:C,'פ.נ. EUROPE'!E:E)</f>
        <v>0</v>
      </c>
      <c r="G124" s="1944"/>
      <c r="H124" s="1943"/>
      <c r="I124" s="1944"/>
      <c r="J124" s="462">
        <f t="shared" si="23"/>
        <v>23843.97</v>
      </c>
      <c r="K124" s="439">
        <f>M124+SUMIF('פ.נ. EUROPE'!C:C,'מאזן בוחן EUROPE'!C124,'פ.נ. EUROPE'!F:F)</f>
        <v>32224.63</v>
      </c>
      <c r="L124" s="1945"/>
      <c r="M124" s="439">
        <f>IFERROR(VLOOKUP(C124,'פ.נ. EUROPE'!$D$164:$H$353,4,0),"")</f>
        <v>32224.63</v>
      </c>
      <c r="N124" s="1104">
        <f t="shared" si="24"/>
        <v>0.73992998523179321</v>
      </c>
      <c r="O124" s="434"/>
      <c r="P124" s="445" t="s">
        <v>3046</v>
      </c>
      <c r="Q124" s="418"/>
      <c r="R124" s="454"/>
      <c r="S124" s="454"/>
      <c r="T124" s="63"/>
      <c r="U124" s="435"/>
      <c r="V124" s="435"/>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BF124" s="418"/>
    </row>
    <row r="125" spans="1:58" s="1417" customFormat="1">
      <c r="A125" s="1591"/>
      <c r="B125" s="3743" t="s">
        <v>666</v>
      </c>
      <c r="C125" s="1336">
        <v>200904</v>
      </c>
      <c r="D125" s="1592" t="s">
        <v>2047</v>
      </c>
      <c r="E125" s="1151">
        <f>IFERROR(VLOOKUP(C125,'פ.נ. EUROPE'!$D$164:$F$353,3,0),0)</f>
        <v>5345.99</v>
      </c>
      <c r="F125" s="1151">
        <f>SUMIF('פ.נ. EUROPE'!C:C,C:C,'פ.נ. EUROPE'!E:E)</f>
        <v>0</v>
      </c>
      <c r="G125" s="1385"/>
      <c r="H125" s="1205"/>
      <c r="I125" s="1385"/>
      <c r="J125" s="1151">
        <f t="shared" si="23"/>
        <v>5345.99</v>
      </c>
      <c r="K125" s="1213">
        <f>M125+SUMIF('פ.נ. EUROPE'!C:C,'מאזן בוחן EUROPE'!C125,'פ.נ. EUROPE'!F:F)</f>
        <v>7225</v>
      </c>
      <c r="L125" s="518"/>
      <c r="M125" s="1213">
        <f>IFERROR(VLOOKUP(C125,'פ.נ. EUROPE'!$D$164:$H$353,4,0),"")</f>
        <v>7225</v>
      </c>
      <c r="N125" s="1104">
        <f t="shared" si="24"/>
        <v>0.73992941176470584</v>
      </c>
      <c r="O125" s="1594"/>
      <c r="P125" s="1393"/>
      <c r="Q125" s="1597"/>
      <c r="R125" s="1596"/>
      <c r="S125" s="1596"/>
      <c r="T125" s="1593"/>
      <c r="U125" s="1598"/>
      <c r="V125" s="1598"/>
      <c r="BF125" s="1597"/>
    </row>
    <row r="126" spans="1:58">
      <c r="B126" s="3659" t="s">
        <v>666</v>
      </c>
      <c r="C126" s="585">
        <v>222035</v>
      </c>
      <c r="D126" s="161" t="s">
        <v>2145</v>
      </c>
      <c r="E126" s="1151">
        <f>IFERROR(VLOOKUP(C126,'פ.נ. EUROPE'!$D$164:$F$353,3,0),0)</f>
        <v>0</v>
      </c>
      <c r="F126" s="1151">
        <f>SUMIF('פ.נ. EUROPE'!C:C,C:C,'פ.נ. EUROPE'!E:E)</f>
        <v>0</v>
      </c>
      <c r="G126" s="1385"/>
      <c r="H126" s="1205"/>
      <c r="I126" s="1385"/>
      <c r="J126" s="1151">
        <f>SUM(E126:I126)</f>
        <v>0</v>
      </c>
      <c r="K126" s="1213">
        <f>M126+SUMIF('פ.נ. EUROPE'!C:C,'מאזן בוחן EUROPE'!C126,'פ.נ. EUROPE'!F:F)</f>
        <v>0</v>
      </c>
      <c r="L126" s="518"/>
      <c r="M126" s="1213" t="str">
        <f>IFERROR(VLOOKUP(C126,'פ.נ. EUROPE'!$D$164:$H$353,4,0),"")</f>
        <v/>
      </c>
      <c r="N126" s="1104" t="str">
        <f>IF(K126=0,"-",J126/K126)</f>
        <v>-</v>
      </c>
      <c r="O126" s="449"/>
      <c r="P126" s="1393"/>
      <c r="Q126" s="418"/>
      <c r="R126" s="454"/>
      <c r="S126" s="454"/>
      <c r="T126" s="63"/>
      <c r="U126" s="435"/>
      <c r="V126" s="435"/>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BF126" s="418"/>
    </row>
    <row r="127" spans="1:58">
      <c r="B127" s="3659" t="s">
        <v>666</v>
      </c>
      <c r="C127" s="585">
        <v>205874</v>
      </c>
      <c r="D127" s="161" t="s">
        <v>2146</v>
      </c>
      <c r="E127" s="1151">
        <f>IFERROR(VLOOKUP(C127,'פ.נ. EUROPE'!$D$164:$F$353,3,0),0)</f>
        <v>0</v>
      </c>
      <c r="F127" s="1151">
        <f>SUMIF('פ.נ. EUROPE'!C:C,C:C,'פ.נ. EUROPE'!E:E)</f>
        <v>0</v>
      </c>
      <c r="G127" s="1385"/>
      <c r="H127" s="1205"/>
      <c r="I127" s="1385"/>
      <c r="J127" s="1151">
        <f t="shared" ref="J127:J132" si="25">SUM(E127:I127)</f>
        <v>0</v>
      </c>
      <c r="K127" s="1213">
        <f>M127+SUMIF('פ.נ. EUROPE'!C:C,'מאזן בוחן EUROPE'!C127,'פ.נ. EUROPE'!F:F)</f>
        <v>0</v>
      </c>
      <c r="L127" s="518"/>
      <c r="M127" s="1213" t="str">
        <f>IFERROR(VLOOKUP(C127,'פ.נ. EUROPE'!$D$164:$H$353,4,0),"")</f>
        <v/>
      </c>
      <c r="N127" s="1104" t="str">
        <f t="shared" ref="N127:N132" si="26">IF(K127=0,"-",J127/K127)</f>
        <v>-</v>
      </c>
      <c r="O127" s="449"/>
      <c r="P127" s="1393"/>
      <c r="Q127" s="418"/>
      <c r="R127" s="454"/>
      <c r="S127" s="454"/>
      <c r="T127" s="63"/>
      <c r="U127" s="435"/>
      <c r="V127" s="435"/>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BF127" s="418"/>
    </row>
    <row r="128" spans="1:58">
      <c r="B128" s="3659" t="s">
        <v>666</v>
      </c>
      <c r="C128" s="585">
        <v>206060</v>
      </c>
      <c r="D128" s="161" t="s">
        <v>1909</v>
      </c>
      <c r="E128" s="462">
        <f>IFERROR(VLOOKUP(C128,'פ.נ. EUROPE'!$D$164:$F$353,3,0),0)</f>
        <v>50389.24</v>
      </c>
      <c r="F128" s="1152">
        <f>SUMIF('פ.נ. EUROPE'!C:C,C:C,'פ.נ. EUROPE'!E:E)</f>
        <v>0</v>
      </c>
      <c r="G128" s="1944"/>
      <c r="H128" s="1943"/>
      <c r="I128" s="1944"/>
      <c r="J128" s="462">
        <f t="shared" si="25"/>
        <v>50389.24</v>
      </c>
      <c r="K128" s="439">
        <f>M128+SUMIF('פ.נ. EUROPE'!C:C,'מאזן בוחן EUROPE'!C128,'פ.נ. EUROPE'!F:F)</f>
        <v>68100</v>
      </c>
      <c r="L128" s="1945"/>
      <c r="M128" s="439">
        <f>IFERROR(VLOOKUP(C128,'פ.נ. EUROPE'!$D$164:$H$353,4,0),"")</f>
        <v>68100</v>
      </c>
      <c r="N128" s="1104">
        <f t="shared" si="26"/>
        <v>0.7399301027900147</v>
      </c>
      <c r="O128" s="434"/>
      <c r="P128" s="1393"/>
      <c r="Q128" s="418"/>
      <c r="R128" s="454"/>
      <c r="S128" s="454"/>
      <c r="T128" s="63"/>
      <c r="U128" s="435"/>
      <c r="V128" s="435"/>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BF128" s="418"/>
    </row>
    <row r="129" spans="2:58">
      <c r="B129" s="3659" t="s">
        <v>666</v>
      </c>
      <c r="C129" s="585">
        <v>223854</v>
      </c>
      <c r="D129" s="159" t="s">
        <v>2197</v>
      </c>
      <c r="E129" s="1151">
        <f>IFERROR(VLOOKUP(C129,'פ.נ. EUROPE'!$D$164:$F$353,3,0),0)</f>
        <v>91083.54</v>
      </c>
      <c r="F129" s="1151">
        <f>SUMIF('פ.נ. EUROPE'!C:C,C:C,'פ.נ. EUROPE'!E:E)</f>
        <v>0</v>
      </c>
      <c r="G129" s="1385"/>
      <c r="H129" s="1205"/>
      <c r="I129" s="1385"/>
      <c r="J129" s="1151">
        <f t="shared" si="25"/>
        <v>91083.54</v>
      </c>
      <c r="K129" s="1213">
        <f>M129+SUMIF('פ.נ. EUROPE'!C:C,'מאזן בוחן EUROPE'!C129,'פ.נ. EUROPE'!F:F)</f>
        <v>123097.5</v>
      </c>
      <c r="L129" s="1945"/>
      <c r="M129" s="1213">
        <f>IFERROR(VLOOKUP(C129,'פ.נ. EUROPE'!$D$164:$H$353,4,0),0)</f>
        <v>123097.5</v>
      </c>
      <c r="N129" s="1104">
        <f t="shared" si="26"/>
        <v>0.73993005544385548</v>
      </c>
      <c r="O129" s="434"/>
      <c r="P129" s="1393"/>
      <c r="Q129" s="418"/>
      <c r="R129" s="454"/>
      <c r="S129" s="454"/>
      <c r="T129" s="63"/>
      <c r="U129" s="435"/>
      <c r="V129" s="435"/>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BF129" s="418"/>
    </row>
    <row r="130" spans="2:58">
      <c r="B130" s="3659" t="s">
        <v>666</v>
      </c>
      <c r="C130" s="585">
        <v>202862</v>
      </c>
      <c r="D130" s="159" t="s">
        <v>2031</v>
      </c>
      <c r="E130" s="1151">
        <f>IFERROR(VLOOKUP(C130,'פ.נ. EUROPE'!$D$164:$F$353,3,0),0)</f>
        <v>0</v>
      </c>
      <c r="F130" s="1151">
        <f>SUMIF('פ.נ. EUROPE'!C:C,C:C,'פ.נ. EUROPE'!E:E)</f>
        <v>0</v>
      </c>
      <c r="G130" s="1385"/>
      <c r="H130" s="1205"/>
      <c r="I130" s="1385"/>
      <c r="J130" s="1151">
        <f t="shared" si="25"/>
        <v>0</v>
      </c>
      <c r="K130" s="1213">
        <f>M130+SUMIF('פ.נ. EUROPE'!C:C,'מאזן בוחן EUROPE'!C130,'פ.נ. EUROPE'!F:F)</f>
        <v>0</v>
      </c>
      <c r="L130" s="1945"/>
      <c r="M130" s="1213">
        <f>IFERROR(VLOOKUP(C130,'פ.נ. EUROPE'!$D$164:$H$353,4,0),0)</f>
        <v>0</v>
      </c>
      <c r="N130" s="1104" t="str">
        <f t="shared" si="26"/>
        <v>-</v>
      </c>
      <c r="O130" s="434"/>
      <c r="P130" s="1393"/>
      <c r="Q130" s="418"/>
      <c r="R130" s="454"/>
      <c r="S130" s="454"/>
      <c r="T130" s="63"/>
      <c r="U130" s="435"/>
      <c r="V130" s="435"/>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BF130" s="418"/>
    </row>
    <row r="131" spans="2:58">
      <c r="B131" s="3659" t="s">
        <v>666</v>
      </c>
      <c r="C131" s="585">
        <v>204650</v>
      </c>
      <c r="D131" s="159" t="s">
        <v>668</v>
      </c>
      <c r="E131" s="462">
        <f>IFERROR(VLOOKUP(C131,'פ.נ. EUROPE'!$D$164:$F$353,3,0),0)</f>
        <v>4439.58</v>
      </c>
      <c r="F131" s="1152">
        <f>SUMIF('פ.נ. EUROPE'!C:C,C:C,'פ.נ. EUROPE'!E:E)</f>
        <v>0</v>
      </c>
      <c r="G131" s="1944"/>
      <c r="H131" s="1943"/>
      <c r="I131" s="1944"/>
      <c r="J131" s="462">
        <f t="shared" si="25"/>
        <v>4439.58</v>
      </c>
      <c r="K131" s="439">
        <f>M131+SUMIF('פ.נ. EUROPE'!C:C,'מאזן בוחן EUROPE'!C131,'פ.נ. EUROPE'!F:F)</f>
        <v>6000</v>
      </c>
      <c r="L131" s="1945"/>
      <c r="M131" s="439">
        <f>IFERROR(VLOOKUP(C131,'פ.נ. EUROPE'!$D$164:$H$353,4,0),"")</f>
        <v>6000</v>
      </c>
      <c r="N131" s="1104">
        <f t="shared" si="26"/>
        <v>0.73992999999999998</v>
      </c>
      <c r="O131" s="434"/>
      <c r="P131" s="1114"/>
      <c r="Q131" s="418"/>
      <c r="R131" s="454"/>
      <c r="S131" s="454"/>
      <c r="T131" s="63"/>
      <c r="U131" s="435"/>
      <c r="V131" s="435"/>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BF131" s="418"/>
    </row>
    <row r="132" spans="2:58">
      <c r="B132" s="3659" t="s">
        <v>666</v>
      </c>
      <c r="C132" s="585">
        <v>204959</v>
      </c>
      <c r="D132" s="159" t="s">
        <v>669</v>
      </c>
      <c r="E132" s="462">
        <f>IFERROR(VLOOKUP(C132,'פ.נ. EUROPE'!$D$164:$F$353,3,0),0)</f>
        <v>35080.15</v>
      </c>
      <c r="F132" s="1152">
        <f>SUMIF('פ.נ. EUROPE'!C:C,C:C,'פ.נ. EUROPE'!E:E)</f>
        <v>0</v>
      </c>
      <c r="G132" s="1944"/>
      <c r="H132" s="1943"/>
      <c r="I132" s="1944"/>
      <c r="J132" s="462">
        <f t="shared" si="25"/>
        <v>35080.15</v>
      </c>
      <c r="K132" s="439">
        <f>M132+SUMIF('פ.נ. EUROPE'!C:C,'מאזן בוחן EUROPE'!C132,'פ.נ. EUROPE'!F:F)</f>
        <v>47410.09</v>
      </c>
      <c r="L132" s="1945"/>
      <c r="M132" s="439">
        <f>IFERROR(VLOOKUP(C132,'פ.נ. EUROPE'!$D$164:$H$353,4,0),"")</f>
        <v>47410.09</v>
      </c>
      <c r="N132" s="1104">
        <f t="shared" si="26"/>
        <v>0.73993004442725174</v>
      </c>
      <c r="O132" s="434"/>
      <c r="P132" s="1393"/>
      <c r="Q132" s="418"/>
      <c r="R132" s="454"/>
      <c r="S132" s="454"/>
      <c r="T132" s="63"/>
      <c r="U132" s="435"/>
      <c r="V132" s="435"/>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BF132" s="418"/>
    </row>
    <row r="133" spans="2:58">
      <c r="B133" s="3659" t="s">
        <v>666</v>
      </c>
      <c r="C133" s="585">
        <v>206625</v>
      </c>
      <c r="D133" s="159" t="s">
        <v>670</v>
      </c>
      <c r="E133" s="462">
        <f>IFERROR(VLOOKUP(C133,'פ.נ. EUROPE'!$D$164:$F$353,3,0),0)</f>
        <v>0</v>
      </c>
      <c r="F133" s="1151">
        <f>SUMIF('פ.נ. EUROPE'!C:C,C:C,'פ.נ. EUROPE'!E:E)</f>
        <v>0</v>
      </c>
      <c r="G133" s="169"/>
      <c r="H133" s="63"/>
      <c r="I133" s="169"/>
      <c r="J133" s="462">
        <f t="shared" ref="J133:J140" si="27">SUM(E133:I133)</f>
        <v>0</v>
      </c>
      <c r="K133" s="439">
        <f>M133+SUMIF('פ.נ. EUROPE'!C:C,'מאזן בוחן EUROPE'!C133,'פ.נ. EUROPE'!F:F)</f>
        <v>0</v>
      </c>
      <c r="L133" s="51"/>
      <c r="M133" s="439" t="str">
        <f>IFERROR(VLOOKUP(C133,'פ.נ. EUROPE'!$D$164:$H$353,4,0),"")</f>
        <v/>
      </c>
      <c r="N133" s="1104" t="str">
        <f t="shared" ref="N133:N140" si="28">IF(K133=0,"-",J133/K133)</f>
        <v>-</v>
      </c>
      <c r="O133" s="434"/>
      <c r="P133" s="1116"/>
      <c r="Q133" s="418"/>
      <c r="R133" s="454"/>
      <c r="S133" s="450"/>
      <c r="T133" s="504"/>
      <c r="U133" s="435"/>
      <c r="V133" s="435"/>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BF133" s="418"/>
    </row>
    <row r="134" spans="2:58">
      <c r="B134" s="3659" t="s">
        <v>666</v>
      </c>
      <c r="C134" s="585">
        <v>207951</v>
      </c>
      <c r="D134" s="159" t="s">
        <v>672</v>
      </c>
      <c r="E134" s="462">
        <f>IFERROR(VLOOKUP(C134,'פ.נ. EUROPE'!$D$164:$F$353,3,0),0)</f>
        <v>6858.93</v>
      </c>
      <c r="F134" s="1151">
        <f>SUMIF('פ.נ. EUROPE'!C:C,C:C,'פ.נ. EUROPE'!E:E)</f>
        <v>0</v>
      </c>
      <c r="G134" s="169"/>
      <c r="H134" s="63"/>
      <c r="I134" s="169"/>
      <c r="J134" s="462">
        <f t="shared" si="27"/>
        <v>6858.93</v>
      </c>
      <c r="K134" s="439">
        <f>M134+SUMIF('פ.נ. EUROPE'!C:C,'מאזן בוחן EUROPE'!C134,'פ.נ. EUROPE'!F:F)</f>
        <v>9269.7000000000007</v>
      </c>
      <c r="L134" s="51"/>
      <c r="M134" s="439">
        <f>IFERROR(VLOOKUP(C134,'פ.נ. EUROPE'!$D$164:$H$353,4,0),"")</f>
        <v>9269.7000000000007</v>
      </c>
      <c r="N134" s="1104">
        <f t="shared" si="28"/>
        <v>0.73993009482507521</v>
      </c>
      <c r="O134" s="434"/>
      <c r="P134" s="1393"/>
      <c r="Q134" s="418"/>
      <c r="R134" s="454"/>
      <c r="S134" s="454"/>
      <c r="T134" s="63"/>
      <c r="U134" s="435"/>
      <c r="V134" s="435"/>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BF134" s="418"/>
    </row>
    <row r="135" spans="2:58">
      <c r="B135" s="3659" t="s">
        <v>666</v>
      </c>
      <c r="C135" s="585">
        <v>217546</v>
      </c>
      <c r="D135" s="159" t="s">
        <v>1738</v>
      </c>
      <c r="E135" s="462">
        <f>IFERROR(VLOOKUP(C135,'פ.נ. EUROPE'!$D$164:$F$353,3,0),0)</f>
        <v>7883.81</v>
      </c>
      <c r="F135" s="1151">
        <f>SUMIF('פ.נ. EUROPE'!C:C,C:C,'פ.נ. EUROPE'!E:E)</f>
        <v>0</v>
      </c>
      <c r="G135" s="169"/>
      <c r="H135" s="63"/>
      <c r="I135" s="169"/>
      <c r="J135" s="462">
        <f t="shared" si="27"/>
        <v>7883.81</v>
      </c>
      <c r="K135" s="439">
        <f>M135+SUMIF('פ.נ. EUROPE'!C:C,'מאזן בוחן EUROPE'!C135,'פ.נ. EUROPE'!F:F)</f>
        <v>10654.81</v>
      </c>
      <c r="L135" s="51"/>
      <c r="M135" s="439">
        <f>IFERROR(VLOOKUP(C135,'פ.נ. EUROPE'!$D$164:$H$353,4,0),"")</f>
        <v>10654.81</v>
      </c>
      <c r="N135" s="1104">
        <f t="shared" si="28"/>
        <v>0.73992966556888395</v>
      </c>
      <c r="O135" s="434"/>
      <c r="P135" s="445" t="s">
        <v>3046</v>
      </c>
      <c r="Q135" s="418"/>
      <c r="R135" s="454"/>
      <c r="S135" s="454"/>
      <c r="T135" s="63"/>
      <c r="U135" s="435"/>
      <c r="V135" s="435"/>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BF135" s="418"/>
    </row>
    <row r="136" spans="2:58">
      <c r="B136" s="3659" t="s">
        <v>666</v>
      </c>
      <c r="C136" s="585">
        <v>209226</v>
      </c>
      <c r="D136" s="159" t="s">
        <v>673</v>
      </c>
      <c r="E136" s="462">
        <f>IFERROR(VLOOKUP(C136,'פ.נ. EUROPE'!$D$164:$F$353,3,0),0)</f>
        <v>11964.18</v>
      </c>
      <c r="F136" s="1151">
        <f>SUMIF('פ.נ. EUROPE'!C:C,C:C,'פ.נ. EUROPE'!E:E)</f>
        <v>0</v>
      </c>
      <c r="G136" s="169"/>
      <c r="H136" s="63"/>
      <c r="I136" s="169"/>
      <c r="J136" s="462">
        <f t="shared" si="27"/>
        <v>11964.18</v>
      </c>
      <c r="K136" s="439">
        <f>M136+SUMIF('פ.נ. EUROPE'!C:C,'מאזן בוחן EUROPE'!C136,'פ.נ. EUROPE'!F:F)</f>
        <v>16169.34</v>
      </c>
      <c r="L136" s="51"/>
      <c r="M136" s="439">
        <f>IFERROR(VLOOKUP(C136,'פ.נ. EUROPE'!$D$164:$H$353,4,0),"")</f>
        <v>16169.34</v>
      </c>
      <c r="N136" s="1104">
        <f t="shared" si="28"/>
        <v>0.73993001569637351</v>
      </c>
      <c r="O136" s="434"/>
      <c r="P136" s="1393"/>
      <c r="Q136" s="418"/>
      <c r="R136" s="454"/>
      <c r="S136" s="454"/>
      <c r="T136" s="63"/>
      <c r="U136" s="435"/>
      <c r="V136" s="435"/>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BF136" s="418"/>
    </row>
    <row r="137" spans="2:58">
      <c r="B137" s="3659" t="s">
        <v>666</v>
      </c>
      <c r="C137" s="585">
        <v>209950</v>
      </c>
      <c r="D137" s="159" t="s">
        <v>674</v>
      </c>
      <c r="E137" s="462">
        <f>IFERROR(VLOOKUP(C137,'פ.נ. EUROPE'!$D$164:$F$353,3,0),0)</f>
        <v>23872.36</v>
      </c>
      <c r="F137" s="1151">
        <f>SUMIF('פ.נ. EUROPE'!C:C,C:C,'פ.נ. EUROPE'!E:E)</f>
        <v>0</v>
      </c>
      <c r="G137" s="169"/>
      <c r="H137" s="63"/>
      <c r="I137" s="169"/>
      <c r="J137" s="462">
        <f t="shared" si="27"/>
        <v>23872.36</v>
      </c>
      <c r="K137" s="439">
        <f>M137+SUMIF('פ.נ. EUROPE'!C:C,'מאזן בוחן EUROPE'!C137,'פ.נ. EUROPE'!F:F)</f>
        <v>32262.99</v>
      </c>
      <c r="L137" s="51"/>
      <c r="M137" s="439">
        <f>IFERROR(VLOOKUP(C137,'פ.נ. EUROPE'!$D$164:$H$353,4,0),"")</f>
        <v>32262.99</v>
      </c>
      <c r="N137" s="1104">
        <f t="shared" si="28"/>
        <v>0.73993018006080646</v>
      </c>
      <c r="O137" s="434"/>
      <c r="P137" s="1114"/>
      <c r="Q137" s="418"/>
      <c r="R137" s="454"/>
      <c r="S137" s="454"/>
      <c r="T137" s="63"/>
      <c r="U137" s="435"/>
      <c r="V137" s="435"/>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BF137" s="418"/>
    </row>
    <row r="138" spans="2:58">
      <c r="B138" s="3659" t="s">
        <v>666</v>
      </c>
      <c r="C138" s="585">
        <v>226255</v>
      </c>
      <c r="D138" s="159" t="s">
        <v>1768</v>
      </c>
      <c r="E138" s="1151">
        <f>IFERROR(VLOOKUP(C138,'פ.נ. EUROPE'!$D$164:$F$353,3,0),0)</f>
        <v>0</v>
      </c>
      <c r="F138" s="1151">
        <f>SUMIF('פ.נ. EUROPE'!C:C,C:C,'פ.נ. EUROPE'!E:E)</f>
        <v>0</v>
      </c>
      <c r="G138" s="1151"/>
      <c r="H138" s="1151"/>
      <c r="I138" s="1151"/>
      <c r="J138" s="1151">
        <f t="shared" si="27"/>
        <v>0</v>
      </c>
      <c r="K138" s="1213">
        <f>M138+SUMIF('פ.נ. EUROPE'!C:C,'מאזן בוחן EUROPE'!C138,'פ.נ. EUROPE'!F:F)</f>
        <v>0</v>
      </c>
      <c r="L138" s="518"/>
      <c r="M138" s="1213" t="str">
        <f>IFERROR(VLOOKUP(C138,'פ.נ. EUROPE'!$D$164:$H$353,4,0),"")</f>
        <v/>
      </c>
      <c r="N138" s="3036" t="str">
        <f t="shared" si="28"/>
        <v>-</v>
      </c>
      <c r="O138" s="434"/>
      <c r="P138" s="1114"/>
      <c r="Q138" s="418"/>
      <c r="R138" s="454"/>
      <c r="S138" s="454"/>
      <c r="T138" s="63"/>
      <c r="U138" s="435"/>
      <c r="V138" s="435"/>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BF138" s="418"/>
    </row>
    <row r="139" spans="2:58">
      <c r="B139" s="3659" t="s">
        <v>666</v>
      </c>
      <c r="C139" s="585">
        <v>203164</v>
      </c>
      <c r="D139" s="45" t="s">
        <v>2434</v>
      </c>
      <c r="E139" s="462">
        <f>IFERROR(VLOOKUP(C139,'פ.נ. EUROPE'!$D$164:$F$353,3,0),0)</f>
        <v>0</v>
      </c>
      <c r="F139" s="518">
        <f>SUMIF('פ.נ. EUROPE'!C:C,C:C,'פ.נ. EUROPE'!E:E)</f>
        <v>0</v>
      </c>
      <c r="G139" s="439"/>
      <c r="H139" s="52"/>
      <c r="I139" s="439"/>
      <c r="J139" s="462">
        <f t="shared" si="27"/>
        <v>0</v>
      </c>
      <c r="K139" s="439">
        <f>M139+SUMIF('פ.נ. EUROPE'!C:C,'מאזן בוחן EUROPE'!C139,'פ.נ. EUROPE'!F:F)</f>
        <v>0</v>
      </c>
      <c r="L139" s="51"/>
      <c r="M139" s="439" t="str">
        <f>IFERROR(VLOOKUP(C139,'פ.נ. EUROPE'!$D$164:$H$353,4,0),"")</f>
        <v/>
      </c>
      <c r="N139" s="1104" t="str">
        <f t="shared" si="28"/>
        <v>-</v>
      </c>
      <c r="O139" s="434"/>
      <c r="P139" s="1114"/>
      <c r="Q139" s="52"/>
      <c r="R139" s="52"/>
    </row>
    <row r="140" spans="2:58">
      <c r="B140" s="3659" t="s">
        <v>666</v>
      </c>
      <c r="C140" s="585">
        <v>221165</v>
      </c>
      <c r="D140" s="159" t="s">
        <v>675</v>
      </c>
      <c r="E140" s="1151">
        <f>IFERROR(VLOOKUP(C140,'פ.נ. EUROPE'!$D$164:$F$353,3,0),0)</f>
        <v>83490.06</v>
      </c>
      <c r="F140" s="1151">
        <f>SUMIF('פ.נ. EUROPE'!C:C,C:C,'פ.נ. EUROPE'!E:E)</f>
        <v>0</v>
      </c>
      <c r="G140" s="1151"/>
      <c r="H140" s="1151"/>
      <c r="I140" s="1151"/>
      <c r="J140" s="1151">
        <f t="shared" si="27"/>
        <v>83490.06</v>
      </c>
      <c r="K140" s="1213">
        <f>M140+SUMIF('פ.נ. EUROPE'!C:C,'מאזן בוחן EUROPE'!C140,'פ.נ. EUROPE'!F:F)</f>
        <v>112835.07</v>
      </c>
      <c r="L140" s="518"/>
      <c r="M140" s="439">
        <f>IFERROR(VLOOKUP(C140,'פ.נ. EUROPE'!$D$164:$H$353,4,0),"")</f>
        <v>112835.07</v>
      </c>
      <c r="N140" s="1104">
        <f t="shared" si="28"/>
        <v>0.73993005897900355</v>
      </c>
      <c r="O140" s="434"/>
      <c r="P140" s="1114" t="s">
        <v>4720</v>
      </c>
      <c r="Q140" s="418"/>
      <c r="R140" s="454"/>
      <c r="S140" s="454"/>
      <c r="T140" s="63"/>
      <c r="U140" s="435"/>
      <c r="V140" s="435"/>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BF140" s="418"/>
    </row>
    <row r="141" spans="2:58">
      <c r="B141" s="3659" t="s">
        <v>666</v>
      </c>
      <c r="C141" s="585">
        <v>20100</v>
      </c>
      <c r="D141" s="159" t="s">
        <v>1305</v>
      </c>
      <c r="E141" s="1151">
        <f>IFERROR(VLOOKUP(C141,'פ.נ. EUROPE'!$D$164:$F$353,3,0),0)</f>
        <v>0</v>
      </c>
      <c r="F141" s="1151">
        <f>SUMIF('פ.נ. EUROPE'!C:C,C:C,'פ.נ. EUROPE'!E:E)</f>
        <v>0</v>
      </c>
      <c r="G141" s="1151"/>
      <c r="H141" s="1151"/>
      <c r="I141" s="1151"/>
      <c r="J141" s="1151">
        <f t="shared" ref="J141:J149" si="29">SUM(E141:I141)</f>
        <v>0</v>
      </c>
      <c r="K141" s="1213">
        <f>M141+SUMIF('פ.נ. EUROPE'!C:C,'מאזן בוחן EUROPE'!C141,'פ.נ. EUROPE'!F:F)</f>
        <v>0</v>
      </c>
      <c r="L141" s="518"/>
      <c r="M141" s="171" t="str">
        <f>IFERROR(VLOOKUP(C141,'פ.נ. EUROPE'!$D$164:$H$353,4,0),"")</f>
        <v/>
      </c>
      <c r="N141" s="1104" t="str">
        <f t="shared" ref="N141:N147" si="30">IF(K141=0,"-",J141/K141)</f>
        <v>-</v>
      </c>
      <c r="O141" s="434"/>
      <c r="P141" s="1114"/>
      <c r="Q141" s="418"/>
      <c r="R141" s="454"/>
      <c r="S141" s="454"/>
      <c r="T141" s="63"/>
      <c r="U141" s="435"/>
      <c r="V141" s="435"/>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BF141" s="418"/>
    </row>
    <row r="142" spans="2:58">
      <c r="B142" s="3659" t="s">
        <v>666</v>
      </c>
      <c r="C142" s="585">
        <v>206806</v>
      </c>
      <c r="D142" s="159" t="s">
        <v>1941</v>
      </c>
      <c r="E142" s="1151">
        <f>IFERROR(VLOOKUP(C142,'פ.נ. EUROPE'!$D$164:$F$353,3,0),0)</f>
        <v>0</v>
      </c>
      <c r="F142" s="1151">
        <f>SUMIF('פ.נ. EUROPE'!C:C,C:C,'פ.נ. EUROPE'!E:E)</f>
        <v>0</v>
      </c>
      <c r="G142" s="1151"/>
      <c r="H142" s="1151"/>
      <c r="I142" s="1151"/>
      <c r="J142" s="1151">
        <f t="shared" si="29"/>
        <v>0</v>
      </c>
      <c r="K142" s="1213">
        <f>M142+SUMIF('פ.נ. EUROPE'!C:C,'מאזן בוחן EUROPE'!C142,'פ.נ. EUROPE'!F:F)</f>
        <v>0</v>
      </c>
      <c r="L142" s="518"/>
      <c r="M142" s="171" t="str">
        <f>IFERROR(VLOOKUP(C142,'פ.נ. EUROPE'!$D$164:$H$353,4,0),"")</f>
        <v/>
      </c>
      <c r="N142" s="1104" t="str">
        <f t="shared" si="30"/>
        <v>-</v>
      </c>
      <c r="O142" s="434"/>
      <c r="P142" s="1393"/>
      <c r="Q142" s="418"/>
      <c r="R142" s="454"/>
      <c r="S142" s="454"/>
      <c r="T142" s="63"/>
      <c r="U142" s="435"/>
      <c r="V142" s="435"/>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BF142" s="418"/>
    </row>
    <row r="143" spans="2:58">
      <c r="B143" s="3659" t="s">
        <v>676</v>
      </c>
      <c r="C143" s="585">
        <v>208343</v>
      </c>
      <c r="D143" s="159" t="s">
        <v>2220</v>
      </c>
      <c r="E143" s="1151">
        <f>IFERROR(VLOOKUP(C143,'פ.נ. EUROPE'!$D$164:$F$353,3,0),0)</f>
        <v>0</v>
      </c>
      <c r="F143" s="1151">
        <f>SUMIF('פ.נ. EUROPE'!C:C,C:C,'פ.נ. EUROPE'!E:E)</f>
        <v>0</v>
      </c>
      <c r="G143" s="1151"/>
      <c r="H143" s="1151"/>
      <c r="I143" s="1151"/>
      <c r="J143" s="1151">
        <f t="shared" si="29"/>
        <v>0</v>
      </c>
      <c r="K143" s="1213">
        <f>M143+SUMIF('פ.נ. EUROPE'!C:C,'מאזן בוחן EUROPE'!C143,'פ.נ. EUROPE'!F:F)</f>
        <v>0</v>
      </c>
      <c r="L143" s="518"/>
      <c r="M143" s="171" t="str">
        <f>IFERROR(VLOOKUP(C143,'פ.נ. EUROPE'!$D$164:$H$353,4,0),"")</f>
        <v/>
      </c>
      <c r="N143" s="1104" t="str">
        <f t="shared" si="30"/>
        <v>-</v>
      </c>
      <c r="O143" s="434"/>
      <c r="P143" s="1393"/>
      <c r="Q143" s="418"/>
      <c r="R143" s="454"/>
      <c r="S143" s="454"/>
      <c r="T143" s="63"/>
      <c r="U143" s="435"/>
      <c r="V143" s="435"/>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BF143" s="418"/>
    </row>
    <row r="144" spans="2:58">
      <c r="B144" s="3659" t="s">
        <v>574</v>
      </c>
      <c r="C144" s="585">
        <v>206023</v>
      </c>
      <c r="D144" s="159" t="s">
        <v>2840</v>
      </c>
      <c r="E144" s="462">
        <f>IFERROR(VLOOKUP(C144,'פ.נ. EUROPE'!$D$164:$F$353,3,0),0)</f>
        <v>0</v>
      </c>
      <c r="F144" s="1151">
        <f>SUMIF('פ.נ. EUROPE'!C:C,C:C,'פ.נ. EUROPE'!E:E)</f>
        <v>0</v>
      </c>
      <c r="G144" s="462"/>
      <c r="H144" s="462"/>
      <c r="I144" s="462"/>
      <c r="J144" s="462">
        <f t="shared" si="29"/>
        <v>0</v>
      </c>
      <c r="K144" s="439">
        <f>M144+SUMIF('פ.נ. EUROPE'!C:C,'מאזן בוחן EUROPE'!C144,'פ.נ. EUROPE'!F:F)</f>
        <v>0</v>
      </c>
      <c r="L144" s="51"/>
      <c r="M144" s="171" t="str">
        <f>IFERROR(VLOOKUP(C144,'פ.נ. EUROPE'!$D$164:$H$353,4,0),"")</f>
        <v/>
      </c>
      <c r="N144" s="1104" t="str">
        <f t="shared" si="30"/>
        <v>-</v>
      </c>
      <c r="O144" s="434"/>
      <c r="P144" s="1393"/>
      <c r="Q144" s="418"/>
      <c r="R144" s="454"/>
      <c r="S144" s="454"/>
      <c r="T144" s="63"/>
      <c r="U144" s="435"/>
      <c r="V144" s="435"/>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BF144" s="418"/>
    </row>
    <row r="145" spans="2:58">
      <c r="B145" s="3659" t="s">
        <v>574</v>
      </c>
      <c r="C145" s="585">
        <v>214104</v>
      </c>
      <c r="D145" s="159" t="s">
        <v>2841</v>
      </c>
      <c r="E145" s="462">
        <f>IFERROR(VLOOKUP(C145,'פ.נ. EUROPE'!$D$164:$F$353,3,0),0)</f>
        <v>9465.84</v>
      </c>
      <c r="F145" s="1151">
        <f>SUMIF('פ.נ. EUROPE'!C:C,C:C,'פ.נ. EUROPE'!E:E)</f>
        <v>0</v>
      </c>
      <c r="G145" s="462"/>
      <c r="H145" s="462"/>
      <c r="I145" s="462"/>
      <c r="J145" s="462">
        <f t="shared" si="29"/>
        <v>9465.84</v>
      </c>
      <c r="K145" s="439">
        <f>M145+SUMIF('פ.נ. EUROPE'!C:C,'מאזן בוחן EUROPE'!C145,'פ.נ. EUROPE'!F:F)</f>
        <v>12792.88</v>
      </c>
      <c r="L145" s="51"/>
      <c r="M145" s="171">
        <f>IFERROR(VLOOKUP(C145,'פ.נ. EUROPE'!$D$164:$H$353,4,0),"")</f>
        <v>12792.88</v>
      </c>
      <c r="N145" s="1104">
        <f t="shared" si="30"/>
        <v>0.73993033624953886</v>
      </c>
      <c r="O145" s="434"/>
      <c r="P145" s="1393"/>
      <c r="Q145" s="418"/>
      <c r="R145" s="454"/>
      <c r="S145" s="454"/>
      <c r="T145" s="63"/>
      <c r="U145" s="435"/>
      <c r="V145" s="435"/>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BF145" s="418"/>
    </row>
    <row r="146" spans="2:58">
      <c r="B146" s="3659" t="s">
        <v>574</v>
      </c>
      <c r="C146" s="585">
        <v>228914</v>
      </c>
      <c r="D146" s="159" t="s">
        <v>2842</v>
      </c>
      <c r="E146" s="1151">
        <f>IFERROR(VLOOKUP(C146,'פ.נ. EUROPE'!$D$164:$F$353,3,0),0)</f>
        <v>0</v>
      </c>
      <c r="F146" s="1151">
        <f>SUMIF('פ.נ. EUROPE'!C:C,C:C,'פ.נ. EUROPE'!E:E)</f>
        <v>0</v>
      </c>
      <c r="G146" s="1151"/>
      <c r="H146" s="1151"/>
      <c r="I146" s="1151"/>
      <c r="J146" s="1151">
        <f t="shared" si="29"/>
        <v>0</v>
      </c>
      <c r="K146" s="1213">
        <f>M146+SUMIF('פ.נ. EUROPE'!C:C,'מאזן בוחן EUROPE'!C146,'פ.נ. EUROPE'!F:F)</f>
        <v>0</v>
      </c>
      <c r="L146" s="518"/>
      <c r="M146" s="171" t="str">
        <f>IFERROR(VLOOKUP(C146,'פ.נ. EUROPE'!$D$164:$H$353,4,0),"")</f>
        <v/>
      </c>
      <c r="N146" s="1104" t="str">
        <f t="shared" si="30"/>
        <v>-</v>
      </c>
      <c r="O146" s="434"/>
      <c r="P146" s="1393"/>
      <c r="Q146" s="418"/>
      <c r="R146" s="454"/>
      <c r="S146" s="454"/>
      <c r="T146" s="63"/>
      <c r="U146" s="435"/>
      <c r="V146" s="435"/>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BF146" s="418"/>
    </row>
    <row r="147" spans="2:58">
      <c r="B147" s="3659" t="s">
        <v>676</v>
      </c>
      <c r="C147" s="585">
        <v>200174</v>
      </c>
      <c r="D147" s="159" t="s">
        <v>2729</v>
      </c>
      <c r="E147" s="1151">
        <f>IFERROR(VLOOKUP(C147,'פ.נ. EUROPE'!$D$164:$F$353,3,0),0)</f>
        <v>329267.87</v>
      </c>
      <c r="F147" s="1151">
        <f>SUMIF('פ.נ. EUROPE'!C:C,C:C,'פ.נ. EUROPE'!E:E)</f>
        <v>0</v>
      </c>
      <c r="G147" s="1151"/>
      <c r="H147" s="1151"/>
      <c r="I147" s="1151"/>
      <c r="J147" s="1151">
        <f t="shared" si="29"/>
        <v>329267.87</v>
      </c>
      <c r="K147" s="1213">
        <f>M147+SUMIF('פ.נ. EUROPE'!C:C,'מאזן בוחן EUROPE'!C147,'פ.נ. EUROPE'!F:F)</f>
        <v>444998.64</v>
      </c>
      <c r="L147" s="518"/>
      <c r="M147" s="171">
        <f>IFERROR(VLOOKUP(C147,'פ.נ. EUROPE'!$D$164:$H$353,4,0),"")</f>
        <v>444998.64</v>
      </c>
      <c r="N147" s="1104">
        <f t="shared" si="30"/>
        <v>0.73993005911209075</v>
      </c>
      <c r="O147" s="434"/>
      <c r="P147" s="1393"/>
      <c r="Q147" s="418"/>
      <c r="R147" s="454"/>
      <c r="S147" s="454"/>
      <c r="T147" s="63"/>
      <c r="U147" s="435"/>
      <c r="V147" s="435"/>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BF147" s="418"/>
    </row>
    <row r="148" spans="2:58">
      <c r="B148" s="3659" t="s">
        <v>574</v>
      </c>
      <c r="C148" s="585">
        <v>229225</v>
      </c>
      <c r="D148" s="159" t="s">
        <v>2952</v>
      </c>
      <c r="E148" s="1151">
        <f>IFERROR(VLOOKUP(C148,'פ.נ. EUROPE'!$D$164:$F$353,3,0),0)</f>
        <v>24872.36</v>
      </c>
      <c r="F148" s="1151">
        <f>SUMIF('פ.נ. EUROPE'!C:C,C:C,'פ.נ. EUROPE'!E:E)</f>
        <v>0</v>
      </c>
      <c r="G148" s="1151"/>
      <c r="H148" s="1151"/>
      <c r="I148" s="1151"/>
      <c r="J148" s="1151">
        <f t="shared" ref="J148" si="31">SUM(E148:I148)</f>
        <v>24872.36</v>
      </c>
      <c r="K148" s="1213">
        <f>M148+SUMIF('פ.נ. EUROPE'!C:C,'מאזן בוחן EUROPE'!C148,'פ.נ. EUROPE'!F:F)</f>
        <v>33614.480000000003</v>
      </c>
      <c r="L148" s="518"/>
      <c r="M148" s="171">
        <f>IFERROR(VLOOKUP(C148,'פ.נ. EUROPE'!$D$164:$H$353,4,0),"")</f>
        <v>33614.480000000003</v>
      </c>
      <c r="N148" s="1104">
        <f t="shared" ref="N148" si="32">IF(K148=0,"-",J148/K148)</f>
        <v>0.73992993495660198</v>
      </c>
      <c r="O148" s="434"/>
      <c r="P148" s="445"/>
      <c r="Q148" s="418"/>
      <c r="R148" s="454"/>
      <c r="S148" s="454"/>
      <c r="T148" s="63"/>
      <c r="U148" s="435"/>
      <c r="V148" s="435"/>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BF148" s="418"/>
    </row>
    <row r="149" spans="2:58">
      <c r="B149" s="3659" t="s">
        <v>676</v>
      </c>
      <c r="C149" s="585">
        <v>208918</v>
      </c>
      <c r="D149" s="159" t="s">
        <v>2731</v>
      </c>
      <c r="E149" s="462">
        <f>IFERROR(VLOOKUP(C149,'פ.נ. EUROPE'!$D$164:$F$353,3,0),0)</f>
        <v>4660.05</v>
      </c>
      <c r="F149" s="1151">
        <f>SUMIF('פ.נ. EUROPE'!C:C,C:C,'פ.נ. EUROPE'!E:E)</f>
        <v>0</v>
      </c>
      <c r="G149" s="462"/>
      <c r="H149" s="462"/>
      <c r="I149" s="462"/>
      <c r="J149" s="462">
        <f t="shared" si="29"/>
        <v>4660.05</v>
      </c>
      <c r="K149" s="439">
        <f>M149+SUMIF('פ.נ. EUROPE'!C:C,'מאזן בוחן EUROPE'!C149,'פ.נ. EUROPE'!F:F)</f>
        <v>6297.96</v>
      </c>
      <c r="L149" s="51"/>
      <c r="M149" s="171">
        <f>IFERROR(VLOOKUP(C149,'פ.נ. EUROPE'!$D$164:$H$353,4,0),"")</f>
        <v>6297.96</v>
      </c>
      <c r="N149" s="1104">
        <f t="shared" ref="N149:N156" si="33">IF(K149=0,"-",J149/K149)</f>
        <v>0.73993007259493548</v>
      </c>
      <c r="O149" s="434"/>
      <c r="P149" s="445"/>
      <c r="Q149" s="418"/>
      <c r="R149" s="454"/>
      <c r="S149" s="454"/>
      <c r="T149" s="63"/>
      <c r="U149" s="435"/>
      <c r="V149" s="435"/>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BF149" s="418"/>
    </row>
    <row r="150" spans="2:58">
      <c r="B150" s="3659" t="s">
        <v>676</v>
      </c>
      <c r="C150" s="585">
        <v>215607</v>
      </c>
      <c r="D150" s="159" t="s">
        <v>2221</v>
      </c>
      <c r="E150" s="1151">
        <f>IFERROR(VLOOKUP(C150,'פ.נ. EUROPE'!$D$164:$F$353,3,0),0)</f>
        <v>119.5</v>
      </c>
      <c r="F150" s="1151">
        <f>SUMIF('פ.נ. EUROPE'!C:C,C:C,'פ.נ. EUROPE'!E:E)</f>
        <v>0</v>
      </c>
      <c r="G150" s="1151"/>
      <c r="H150" s="1151"/>
      <c r="I150" s="1151"/>
      <c r="J150" s="1151">
        <f t="shared" ref="J150:J156" si="34">SUM(E150:I150)</f>
        <v>119.5</v>
      </c>
      <c r="K150" s="1213">
        <f>M150+SUMIF('פ.נ. EUROPE'!C:C,'מאזן בוחן EUROPE'!C150,'פ.נ. EUROPE'!F:F)</f>
        <v>161.5</v>
      </c>
      <c r="L150" s="518"/>
      <c r="M150" s="171">
        <f>IFERROR(VLOOKUP(C150,'פ.נ. EUROPE'!$D$164:$H$353,4,0),"")</f>
        <v>161.5</v>
      </c>
      <c r="N150" s="1104">
        <f t="shared" si="33"/>
        <v>0.73993808049535603</v>
      </c>
      <c r="O150" s="434"/>
      <c r="P150" s="445" t="s">
        <v>3046</v>
      </c>
      <c r="Q150" s="418"/>
      <c r="R150" s="454"/>
      <c r="S150" s="454"/>
      <c r="T150" s="63"/>
      <c r="U150" s="435"/>
      <c r="V150" s="435"/>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BF150" s="418"/>
    </row>
    <row r="151" spans="2:58">
      <c r="B151" s="3659" t="s">
        <v>676</v>
      </c>
      <c r="C151" s="585">
        <v>200864</v>
      </c>
      <c r="D151" s="159" t="s">
        <v>677</v>
      </c>
      <c r="E151" s="1151">
        <f>IFERROR(VLOOKUP(C151,'פ.נ. EUROPE'!$D$164:$F$353,3,0),0)</f>
        <v>98746.38</v>
      </c>
      <c r="F151" s="1151">
        <f>SUMIF('פ.נ. EUROPE'!C:C,C:C,'פ.נ. EUROPE'!E:E)</f>
        <v>0</v>
      </c>
      <c r="G151" s="1151"/>
      <c r="H151" s="1151"/>
      <c r="I151" s="1151"/>
      <c r="J151" s="1151">
        <f t="shared" si="34"/>
        <v>98746.38</v>
      </c>
      <c r="K151" s="1213">
        <f>M151+SUMIF('פ.נ. EUROPE'!C:C,'מאזן בוחן EUROPE'!C151,'פ.נ. EUROPE'!F:F)</f>
        <v>133453.67000000001</v>
      </c>
      <c r="L151" s="518"/>
      <c r="M151" s="171">
        <f>IFERROR(VLOOKUP(C151,'פ.נ. EUROPE'!$D$164:$H$353,4,0),"")</f>
        <v>133453.67000000001</v>
      </c>
      <c r="N151" s="1104">
        <f t="shared" si="33"/>
        <v>0.73993004463646439</v>
      </c>
      <c r="O151" s="434"/>
      <c r="P151" s="445"/>
      <c r="Q151" s="418"/>
      <c r="R151" s="454"/>
      <c r="S151" s="454"/>
      <c r="T151" s="63"/>
      <c r="U151" s="435"/>
      <c r="V151" s="435"/>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BF151" s="418"/>
    </row>
    <row r="152" spans="2:58">
      <c r="B152" s="3659" t="s">
        <v>676</v>
      </c>
      <c r="C152" s="585">
        <v>206239</v>
      </c>
      <c r="D152" s="159" t="s">
        <v>2553</v>
      </c>
      <c r="E152" s="462">
        <f>IFERROR(VLOOKUP(C152,'פ.נ. EUROPE'!$D$164:$F$353,3,0),0)</f>
        <v>4504.8500000000004</v>
      </c>
      <c r="F152" s="1151">
        <f>SUMIF('פ.נ. EUROPE'!C:C,C:C,'פ.נ. EUROPE'!E:E)</f>
        <v>0</v>
      </c>
      <c r="G152" s="462"/>
      <c r="H152" s="462"/>
      <c r="I152" s="462"/>
      <c r="J152" s="462">
        <f t="shared" si="34"/>
        <v>4504.8500000000004</v>
      </c>
      <c r="K152" s="439">
        <f>M152+SUMIF('פ.נ. EUROPE'!C:C,'מאזן בוחן EUROPE'!C152,'פ.נ. EUROPE'!F:F)</f>
        <v>6088.22</v>
      </c>
      <c r="L152" s="51"/>
      <c r="M152" s="171">
        <f>IFERROR(VLOOKUP(C152,'פ.נ. EUROPE'!$D$164:$H$353,4,0),"")</f>
        <v>6088.22</v>
      </c>
      <c r="N152" s="1104">
        <f t="shared" si="33"/>
        <v>0.7399289118987159</v>
      </c>
      <c r="O152" s="434"/>
      <c r="P152" s="445"/>
      <c r="Q152" s="418"/>
      <c r="R152" s="454"/>
      <c r="S152" s="454"/>
      <c r="T152" s="63"/>
      <c r="U152" s="435"/>
      <c r="V152" s="435"/>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BF152" s="418"/>
    </row>
    <row r="153" spans="2:58">
      <c r="B153" s="3659" t="s">
        <v>676</v>
      </c>
      <c r="C153" s="585">
        <v>201546</v>
      </c>
      <c r="D153" s="159" t="s">
        <v>678</v>
      </c>
      <c r="E153" s="439">
        <f>IFERROR(VLOOKUP(C153,'פ.נ. EUROPE'!$D$164:$F$353,3,0),0)</f>
        <v>-17297.599999999999</v>
      </c>
      <c r="F153" s="976">
        <f>SUMIF('פ.נ. EUROPE'!C:C,C:C,'פ.נ. EUROPE'!E:E)</f>
        <v>0</v>
      </c>
      <c r="G153" s="462"/>
      <c r="H153" s="462"/>
      <c r="I153" s="462"/>
      <c r="J153" s="1391">
        <f t="shared" si="34"/>
        <v>-17297.599999999999</v>
      </c>
      <c r="K153" s="1392">
        <f>M153+SUMIF('פ.נ. EUROPE'!C:C,'מאזן בוחן EUROPE'!C153,'פ.נ. EUROPE'!F:F)</f>
        <v>-23377.34</v>
      </c>
      <c r="L153" s="51"/>
      <c r="M153" s="171">
        <f>IFERROR(VLOOKUP(C153,'פ.נ. EUROPE'!$D$164:$H$353,4,0),"")</f>
        <v>-23377.34</v>
      </c>
      <c r="N153" s="1104">
        <f t="shared" si="33"/>
        <v>0.73993020591735403</v>
      </c>
      <c r="O153" s="434"/>
      <c r="P153" s="445" t="s">
        <v>2732</v>
      </c>
      <c r="Q153" s="418"/>
      <c r="R153" s="454"/>
      <c r="S153" s="454"/>
      <c r="T153" s="63"/>
      <c r="U153" s="435"/>
      <c r="V153" s="435"/>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BF153" s="418"/>
    </row>
    <row r="154" spans="2:58">
      <c r="B154" s="3659" t="s">
        <v>676</v>
      </c>
      <c r="C154" s="585">
        <v>202603</v>
      </c>
      <c r="D154" s="159" t="s">
        <v>679</v>
      </c>
      <c r="E154" s="439">
        <f>IFERROR(VLOOKUP(C154,'פ.נ. EUROPE'!$D$164:$F$353,3,0),0)</f>
        <v>6595.39</v>
      </c>
      <c r="F154" s="976">
        <f>SUMIF('פ.נ. EUROPE'!C:C,C:C,'פ.נ. EUROPE'!E:E)</f>
        <v>0</v>
      </c>
      <c r="G154" s="462"/>
      <c r="H154" s="462"/>
      <c r="I154" s="462"/>
      <c r="J154" s="462">
        <f t="shared" si="34"/>
        <v>6595.39</v>
      </c>
      <c r="K154" s="439">
        <f>M154+SUMIF('פ.נ. EUROPE'!C:C,'מאזן בוחן EUROPE'!C154,'פ.נ. EUROPE'!F:F)</f>
        <v>8913.5300000000007</v>
      </c>
      <c r="L154" s="51"/>
      <c r="M154" s="171">
        <f>IFERROR(VLOOKUP(C154,'פ.נ. EUROPE'!$D$164:$H$353,4,0),"")</f>
        <v>8913.5300000000007</v>
      </c>
      <c r="N154" s="1104">
        <f t="shared" si="33"/>
        <v>0.73993019600539855</v>
      </c>
      <c r="O154" s="434"/>
      <c r="P154" s="445"/>
      <c r="Q154" s="418"/>
      <c r="R154" s="454"/>
      <c r="S154" s="454"/>
      <c r="T154" s="63"/>
      <c r="U154" s="435"/>
      <c r="V154" s="435"/>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BF154" s="418"/>
    </row>
    <row r="155" spans="2:58">
      <c r="B155" s="3659" t="s">
        <v>676</v>
      </c>
      <c r="C155" s="585">
        <v>202841</v>
      </c>
      <c r="D155" s="159" t="s">
        <v>680</v>
      </c>
      <c r="E155" s="439">
        <f>IFERROR(VLOOKUP(C155,'פ.נ. EUROPE'!$D$164:$F$353,3,0),0)</f>
        <v>137784.4</v>
      </c>
      <c r="F155" s="976">
        <f>SUMIF('פ.נ. EUROPE'!C:C,C:C,'פ.נ. EUROPE'!E:E)</f>
        <v>0</v>
      </c>
      <c r="G155" s="462"/>
      <c r="H155" s="462"/>
      <c r="I155" s="462"/>
      <c r="J155" s="462">
        <f t="shared" si="34"/>
        <v>137784.4</v>
      </c>
      <c r="K155" s="439">
        <f>M155+SUMIF('פ.נ. EUROPE'!C:C,'מאזן בוחן EUROPE'!C155,'פ.נ. EUROPE'!F:F)</f>
        <v>186212.74</v>
      </c>
      <c r="L155" s="51"/>
      <c r="M155" s="171">
        <f>IFERROR(VLOOKUP(C155,'פ.נ. EUROPE'!$D$164:$H$353,4,0),"")</f>
        <v>186212.74</v>
      </c>
      <c r="N155" s="1104">
        <f t="shared" si="33"/>
        <v>0.7399300391584378</v>
      </c>
      <c r="O155" s="434"/>
      <c r="P155" s="445" t="s">
        <v>4488</v>
      </c>
      <c r="Q155" s="418"/>
      <c r="R155" s="454"/>
      <c r="S155" s="454"/>
      <c r="T155" s="63"/>
      <c r="U155" s="435"/>
      <c r="V155" s="435"/>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BF155" s="418"/>
    </row>
    <row r="156" spans="2:58">
      <c r="B156" s="3659" t="s">
        <v>676</v>
      </c>
      <c r="C156" s="585">
        <v>206813</v>
      </c>
      <c r="D156" s="159" t="s">
        <v>681</v>
      </c>
      <c r="E156" s="439">
        <f>IFERROR(VLOOKUP(C156,'פ.נ. EUROPE'!$D$164:$F$353,3,0),0)</f>
        <v>-15356.72</v>
      </c>
      <c r="F156" s="976">
        <f>SUMIF('פ.נ. EUROPE'!C:C,C:C,'פ.נ. EUROPE'!E:E)</f>
        <v>0</v>
      </c>
      <c r="G156" s="462"/>
      <c r="H156" s="462"/>
      <c r="I156" s="462"/>
      <c r="J156" s="1391">
        <f t="shared" si="34"/>
        <v>-15356.72</v>
      </c>
      <c r="K156" s="1392">
        <f>M156+SUMIF('פ.נ. EUROPE'!C:C,'מאזן בוחן EUROPE'!C156,'פ.נ. EUROPE'!F:F)</f>
        <v>-20754.28</v>
      </c>
      <c r="L156" s="51"/>
      <c r="M156" s="171">
        <f>IFERROR(VLOOKUP(C156,'פ.נ. EUROPE'!$D$164:$H$353,4,0),"")</f>
        <v>-20754.28</v>
      </c>
      <c r="N156" s="1104">
        <f t="shared" si="33"/>
        <v>0.73993026980458976</v>
      </c>
      <c r="O156" s="434"/>
      <c r="P156" s="445" t="s">
        <v>2438</v>
      </c>
      <c r="Q156" s="418"/>
      <c r="R156" s="454"/>
      <c r="S156" s="454"/>
      <c r="T156" s="63"/>
      <c r="U156" s="435"/>
      <c r="V156" s="435"/>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BF156" s="418"/>
    </row>
    <row r="157" spans="2:58">
      <c r="B157" s="3659" t="s">
        <v>676</v>
      </c>
      <c r="C157" s="585">
        <v>224666</v>
      </c>
      <c r="D157" s="159" t="s">
        <v>2048</v>
      </c>
      <c r="E157" s="439">
        <f>IFERROR(VLOOKUP(C157,'פ.נ. EUROPE'!$D$164:$F$353,3,0),0)</f>
        <v>19658.21</v>
      </c>
      <c r="F157" s="976">
        <f>SUMIF('פ.נ. EUROPE'!C:C,C:C,'פ.נ. EUROPE'!E:E)</f>
        <v>0</v>
      </c>
      <c r="G157" s="462"/>
      <c r="H157" s="462"/>
      <c r="I157" s="462"/>
      <c r="J157" s="462">
        <f>SUM(E157:I157)</f>
        <v>19658.21</v>
      </c>
      <c r="K157" s="439">
        <f>M157+SUMIF('פ.נ. EUROPE'!C:C,'מאזן בוחן EUROPE'!C157,'פ.נ. EUROPE'!F:F)</f>
        <v>26567.66</v>
      </c>
      <c r="L157" s="51"/>
      <c r="M157" s="171">
        <f>IFERROR(VLOOKUP(C157,'פ.נ. EUROPE'!$D$164:$H$353,4,0),"")</f>
        <v>26567.66</v>
      </c>
      <c r="N157" s="1621">
        <f>IF(K157=0,"-",J157/K157)</f>
        <v>0.73993005029422987</v>
      </c>
      <c r="O157" s="434"/>
      <c r="P157" s="445"/>
      <c r="Q157" s="418"/>
      <c r="R157" s="454"/>
      <c r="S157" s="450"/>
      <c r="T157" s="504"/>
      <c r="U157" s="435"/>
      <c r="V157" s="435"/>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BF157" s="418"/>
    </row>
    <row r="158" spans="2:58">
      <c r="B158" s="3659" t="s">
        <v>683</v>
      </c>
      <c r="C158" s="585">
        <v>200914</v>
      </c>
      <c r="D158" s="159" t="s">
        <v>684</v>
      </c>
      <c r="E158" s="439">
        <f>IFERROR(VLOOKUP(C158,'פ.נ. EUROPE'!$D$164:$F$353,3,0),0)</f>
        <v>278412.26</v>
      </c>
      <c r="F158" s="976">
        <f>SUMIF('פ.נ. EUROPE'!C:C,C:C,'פ.נ. EUROPE'!E:E)</f>
        <v>0</v>
      </c>
      <c r="G158" s="462"/>
      <c r="H158" s="462"/>
      <c r="I158" s="462"/>
      <c r="J158" s="462">
        <f>SUM(E158:I158)</f>
        <v>278412.26</v>
      </c>
      <c r="K158" s="439">
        <f>M158+SUMIF('פ.נ. EUROPE'!C:C,'מאזן בוחן EUROPE'!C158,'פ.נ. EUROPE'!F:F)</f>
        <v>376268.35</v>
      </c>
      <c r="L158" s="51"/>
      <c r="M158" s="171">
        <f>IFERROR(VLOOKUP(C158,'פ.נ. EUROPE'!$D$164:$H$353,4,0),"")</f>
        <v>376268.35</v>
      </c>
      <c r="N158" s="1104">
        <f>IF(K158=0,"-",J158/K158)</f>
        <v>0.73993005258082434</v>
      </c>
      <c r="O158" s="434"/>
      <c r="P158" s="445"/>
      <c r="Q158" s="418"/>
      <c r="R158" s="454"/>
      <c r="S158" s="450"/>
      <c r="T158" s="504"/>
      <c r="U158" s="435"/>
      <c r="V158" s="435"/>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BF158" s="418"/>
    </row>
    <row r="159" spans="2:58" ht="13.5" thickBot="1">
      <c r="B159" s="3659"/>
      <c r="C159" s="585"/>
      <c r="D159" s="159"/>
      <c r="E159" s="1213"/>
      <c r="F159" s="976"/>
      <c r="G159" s="462"/>
      <c r="H159" s="462"/>
      <c r="I159" s="462"/>
      <c r="J159" s="462"/>
      <c r="K159" s="439"/>
      <c r="L159" s="52"/>
      <c r="M159" s="171"/>
      <c r="N159" s="1104"/>
      <c r="O159" s="434"/>
      <c r="P159" s="445"/>
      <c r="Q159" s="418"/>
      <c r="R159" s="454"/>
      <c r="S159" s="450"/>
      <c r="T159" s="504"/>
      <c r="U159" s="435"/>
      <c r="V159" s="435"/>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BF159" s="418"/>
    </row>
    <row r="160" spans="2:58" ht="13.5" thickBot="1">
      <c r="B160" s="3659" t="s">
        <v>676</v>
      </c>
      <c r="C160" s="585">
        <v>2090001</v>
      </c>
      <c r="D160" s="45" t="s">
        <v>1509</v>
      </c>
      <c r="E160" s="439">
        <f>IFERROR(VLOOKUP(C160,'פ.נ. EUROPE'!$D$164:$F$353,3,0),0)</f>
        <v>-353661.75</v>
      </c>
      <c r="F160" s="52">
        <f>SUMIF('פ.נ. EUROPE'!C:C,C:C,'פ.נ. EUROPE'!E:E)</f>
        <v>0</v>
      </c>
      <c r="G160" s="462"/>
      <c r="H160" s="462"/>
      <c r="I160" s="462"/>
      <c r="J160" s="1391">
        <f>SUM(E160:I160)</f>
        <v>-353661.75</v>
      </c>
      <c r="K160" s="1392">
        <f>M160+SUMIF('פ.נ. EUROPE'!C:C,'מאזן בוחן EUROPE'!C160,'פ.נ. EUROPE'!F:F)</f>
        <v>-477966.49</v>
      </c>
      <c r="L160" s="2259">
        <f>K160+K156+K153+160991+'ביאורים לדוחות הכספיים'!B168</f>
        <v>-537.73290321551031</v>
      </c>
      <c r="M160" s="171">
        <f>IFERROR(VLOOKUP(C160,'פ.נ. EUROPE'!$D$164:$H$353,4,0),"")</f>
        <v>-477966.49</v>
      </c>
      <c r="N160" s="1104">
        <f>IF(K160=0,"-",J160/K160)</f>
        <v>0.73993001057459074</v>
      </c>
      <c r="O160" s="434"/>
      <c r="P160" s="445" t="s">
        <v>4691</v>
      </c>
      <c r="Q160" s="418"/>
      <c r="R160" s="454"/>
      <c r="S160" s="450"/>
      <c r="T160" s="504"/>
      <c r="U160" s="435"/>
      <c r="V160" s="435"/>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BF160" s="418"/>
    </row>
    <row r="161" spans="2:58">
      <c r="B161" s="3659" t="s">
        <v>1435</v>
      </c>
      <c r="C161" s="585">
        <v>2500204</v>
      </c>
      <c r="D161" s="159" t="s">
        <v>1436</v>
      </c>
      <c r="E161" s="439"/>
      <c r="F161" s="976">
        <f>SUMIF('פ.נ. EUROPE'!C:C,C:C,'פ.נ. EUROPE'!E:E)</f>
        <v>0</v>
      </c>
      <c r="G161" s="462"/>
      <c r="H161" s="462"/>
      <c r="I161" s="462"/>
      <c r="J161" s="462">
        <f>SUM(E161:I161)</f>
        <v>0</v>
      </c>
      <c r="K161" s="439">
        <f>M161+SUMIF('פ.נ. EUROPE'!C:C,'מאזן בוחן EUROPE'!C161,'פ.נ. EUROPE'!F:F)</f>
        <v>0</v>
      </c>
      <c r="L161" s="52"/>
      <c r="M161" s="171" t="str">
        <f>IFERROR(VLOOKUP(C161,'פ.נ. EUROPE'!$D$164:$H$353,4,0),"")</f>
        <v/>
      </c>
      <c r="N161" s="1104" t="str">
        <f>IF(K161=0,"-",J161/K161)</f>
        <v>-</v>
      </c>
      <c r="O161" s="434"/>
      <c r="P161" s="1393"/>
      <c r="Q161" s="418"/>
      <c r="R161" s="454"/>
      <c r="S161" s="450"/>
      <c r="T161" s="504"/>
      <c r="U161" s="435"/>
      <c r="V161" s="435"/>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BF161" s="418"/>
    </row>
    <row r="162" spans="2:58">
      <c r="B162" s="3668"/>
      <c r="C162" s="407"/>
      <c r="D162" s="45"/>
      <c r="F162" s="433"/>
      <c r="G162" s="169"/>
      <c r="H162" s="63"/>
      <c r="I162" s="169"/>
      <c r="J162" s="440"/>
      <c r="K162" s="1394"/>
      <c r="L162" s="52"/>
      <c r="M162" s="446"/>
      <c r="N162" s="1104"/>
      <c r="O162" s="434"/>
      <c r="P162" s="1393"/>
      <c r="Q162" s="418"/>
      <c r="R162" s="454"/>
      <c r="S162" s="450"/>
      <c r="T162" s="504"/>
      <c r="U162" s="435"/>
      <c r="V162" s="435"/>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BF162" s="418"/>
    </row>
    <row r="163" spans="2:58">
      <c r="B163" s="3668"/>
      <c r="C163" s="407"/>
      <c r="D163" s="62" t="s">
        <v>150</v>
      </c>
      <c r="E163" s="3317">
        <f t="shared" ref="E163:K163" si="35">SUM(E36:E162)</f>
        <v>4474567.5500000017</v>
      </c>
      <c r="F163" s="3315">
        <f t="shared" si="35"/>
        <v>0</v>
      </c>
      <c r="G163" s="1206">
        <f t="shared" si="35"/>
        <v>0</v>
      </c>
      <c r="H163" s="1206">
        <f t="shared" si="35"/>
        <v>0</v>
      </c>
      <c r="I163" s="1206">
        <f t="shared" si="35"/>
        <v>0</v>
      </c>
      <c r="J163" s="1175">
        <f t="shared" si="35"/>
        <v>4474567.5500000017</v>
      </c>
      <c r="K163" s="1175">
        <f t="shared" si="35"/>
        <v>6047284.5200000005</v>
      </c>
      <c r="L163" s="336"/>
      <c r="M163" s="447">
        <f>SUM(M36:M162)</f>
        <v>6047284.5200000005</v>
      </c>
      <c r="N163" s="1104"/>
      <c r="O163" s="434"/>
      <c r="P163" s="1393"/>
      <c r="Q163" s="418"/>
      <c r="R163" s="454"/>
      <c r="S163" s="505"/>
      <c r="T163" s="506"/>
      <c r="U163" s="435"/>
      <c r="V163" s="435"/>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BF163" s="418"/>
    </row>
    <row r="164" spans="2:58" ht="13.5" thickBot="1">
      <c r="B164" s="3668"/>
      <c r="C164" s="407"/>
      <c r="D164" s="55"/>
      <c r="E164" s="443"/>
      <c r="F164" s="54"/>
      <c r="G164" s="444"/>
      <c r="H164" s="54"/>
      <c r="I164" s="444"/>
      <c r="J164" s="63"/>
      <c r="K164" s="169"/>
      <c r="L164" s="51"/>
      <c r="M164" s="169"/>
      <c r="N164" s="1104"/>
      <c r="O164" s="434"/>
      <c r="P164" s="1393"/>
      <c r="Q164" s="418"/>
      <c r="R164" s="454"/>
      <c r="S164" s="505"/>
      <c r="T164" s="506"/>
      <c r="U164" s="435"/>
      <c r="V164" s="435"/>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BF164" s="418"/>
    </row>
    <row r="165" spans="2:58" ht="13.5" thickBot="1">
      <c r="B165" s="3668"/>
      <c r="C165" s="407"/>
      <c r="D165" s="58" t="s">
        <v>2457</v>
      </c>
      <c r="E165" s="448"/>
      <c r="F165" s="63"/>
      <c r="G165" s="169"/>
      <c r="H165" s="63"/>
      <c r="I165" s="169"/>
      <c r="J165" s="63"/>
      <c r="K165" s="169"/>
      <c r="L165" s="51"/>
      <c r="M165" s="169"/>
      <c r="N165" s="1104"/>
      <c r="O165" s="434"/>
      <c r="P165" s="1393"/>
      <c r="Q165" s="418"/>
      <c r="R165" s="454"/>
      <c r="S165" s="505"/>
      <c r="T165" s="506"/>
      <c r="U165" s="435"/>
      <c r="V165" s="435"/>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BF165" s="418"/>
    </row>
    <row r="166" spans="2:58">
      <c r="B166" s="3668"/>
      <c r="C166" s="407"/>
      <c r="D166" s="59" t="s">
        <v>66</v>
      </c>
      <c r="E166" s="429"/>
      <c r="F166" s="451"/>
      <c r="H166" s="451"/>
      <c r="I166" s="446"/>
      <c r="J166" s="452"/>
      <c r="K166" s="399"/>
      <c r="L166" s="51"/>
      <c r="M166" s="399"/>
      <c r="N166" s="1104"/>
      <c r="O166" s="434"/>
      <c r="P166" s="1393"/>
      <c r="Q166" s="418"/>
      <c r="R166" s="454"/>
      <c r="S166" s="505"/>
      <c r="T166" s="506"/>
      <c r="U166" s="435"/>
      <c r="V166" s="435"/>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BF166" s="418"/>
    </row>
    <row r="167" spans="2:58">
      <c r="B167" s="3668"/>
      <c r="C167" s="407"/>
      <c r="D167" s="45"/>
      <c r="E167" s="79"/>
      <c r="F167" s="433"/>
      <c r="I167" s="453"/>
      <c r="J167" s="170"/>
      <c r="K167" s="171"/>
      <c r="L167" s="51"/>
      <c r="M167" s="171"/>
      <c r="N167" s="1104"/>
      <c r="O167" s="434"/>
      <c r="P167" s="1393"/>
      <c r="Q167" s="418"/>
      <c r="R167" s="454"/>
      <c r="S167" s="450"/>
      <c r="T167" s="63"/>
      <c r="U167" s="435"/>
      <c r="V167" s="435"/>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F167" s="418"/>
    </row>
    <row r="168" spans="2:58">
      <c r="B168" s="3668"/>
      <c r="C168" s="407"/>
      <c r="D168" s="45"/>
      <c r="E168" s="79"/>
      <c r="F168" s="433"/>
      <c r="I168" s="453"/>
      <c r="J168" s="170"/>
      <c r="K168" s="171"/>
      <c r="L168" s="51"/>
      <c r="M168" s="171"/>
      <c r="N168" s="1104"/>
      <c r="O168" s="434"/>
      <c r="P168" s="1393"/>
      <c r="Q168" s="418"/>
      <c r="R168" s="454"/>
      <c r="S168" s="450"/>
      <c r="T168" s="63"/>
      <c r="U168" s="435"/>
      <c r="V168" s="435"/>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F168" s="418"/>
    </row>
    <row r="169" spans="2:58">
      <c r="B169" s="3668"/>
      <c r="C169" s="407"/>
      <c r="D169" s="62" t="s">
        <v>2458</v>
      </c>
      <c r="E169" s="3317">
        <f t="shared" ref="E169:M169" si="36">SUM(E167:E168)</f>
        <v>0</v>
      </c>
      <c r="F169" s="3217">
        <f t="shared" si="36"/>
        <v>0</v>
      </c>
      <c r="G169" s="1206">
        <f t="shared" si="36"/>
        <v>0</v>
      </c>
      <c r="H169" s="1206">
        <f t="shared" si="36"/>
        <v>0</v>
      </c>
      <c r="I169" s="1206">
        <f t="shared" si="36"/>
        <v>0</v>
      </c>
      <c r="J169" s="1175">
        <f t="shared" si="36"/>
        <v>0</v>
      </c>
      <c r="K169" s="1175">
        <f t="shared" si="36"/>
        <v>0</v>
      </c>
      <c r="L169" s="336"/>
      <c r="M169" s="447">
        <f t="shared" si="36"/>
        <v>0</v>
      </c>
      <c r="N169" s="1104"/>
      <c r="O169" s="434"/>
      <c r="P169" s="445"/>
      <c r="Q169" s="418"/>
      <c r="R169" s="454"/>
      <c r="S169" s="450"/>
      <c r="T169" s="63"/>
      <c r="U169" s="435"/>
      <c r="V169" s="435"/>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F169" s="418"/>
    </row>
    <row r="170" spans="2:58" ht="13.5" thickBot="1">
      <c r="B170" s="3659"/>
      <c r="C170" s="1162"/>
      <c r="D170" s="59" t="s">
        <v>686</v>
      </c>
      <c r="F170" s="455"/>
      <c r="G170" s="456"/>
      <c r="H170" s="455"/>
      <c r="I170" s="456"/>
      <c r="J170" s="170"/>
      <c r="K170" s="171"/>
      <c r="L170" s="51"/>
      <c r="M170" s="171"/>
      <c r="N170" s="1104"/>
      <c r="O170" s="434"/>
      <c r="P170" s="445"/>
      <c r="Q170" s="418"/>
      <c r="R170" s="50"/>
      <c r="S170" s="450"/>
      <c r="T170" s="506"/>
      <c r="U170" s="457"/>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BF170" s="418"/>
    </row>
    <row r="171" spans="2:58" ht="13.5" thickBot="1">
      <c r="B171" s="3669" t="s">
        <v>570</v>
      </c>
      <c r="C171" s="585">
        <v>1130002</v>
      </c>
      <c r="D171" s="448" t="s">
        <v>688</v>
      </c>
      <c r="E171" s="439">
        <f>IFERROR(VLOOKUP(C171,'פ.נ. EUROPE'!$D$164:$F$353,3,0),0)</f>
        <v>-3831150.49</v>
      </c>
      <c r="F171" s="52">
        <f>SUMIF('פ.נ. EUROPE'!C:C,C:C,'פ.נ. EUROPE'!E:E)</f>
        <v>0</v>
      </c>
      <c r="G171" s="439"/>
      <c r="H171" s="52"/>
      <c r="I171" s="439"/>
      <c r="J171" s="170">
        <f t="shared" ref="J171:J176" si="37">SUM(E171:I171)</f>
        <v>-3831150.49</v>
      </c>
      <c r="K171" s="171">
        <f>M171+SUMIF('פ.נ. EUROPE'!C:C,'מאזן בוחן EUROPE'!C171,'פ.נ. EUROPE'!F:F)</f>
        <v>-5177719.82</v>
      </c>
      <c r="L171" s="2259">
        <f>+'מאזן בוחן'!K502+K171</f>
        <v>0</v>
      </c>
      <c r="M171" s="171">
        <f>IFERROR(VLOOKUP(C171,'פ.נ. EUROPE'!$D$164:$H$353,4,0),"")</f>
        <v>-5177719.82</v>
      </c>
      <c r="N171" s="1104">
        <f t="shared" ref="N171:N176" si="38">IF(K171=0,"-",J171/K171)</f>
        <v>0.73993005090800756</v>
      </c>
      <c r="O171" s="1395"/>
      <c r="P171" s="445"/>
      <c r="Q171" s="52"/>
      <c r="R171" s="52"/>
      <c r="S171" s="52"/>
      <c r="T171" s="52"/>
      <c r="U171" s="454"/>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row>
    <row r="172" spans="2:58" ht="13.5" thickBot="1">
      <c r="B172" s="3659" t="s">
        <v>570</v>
      </c>
      <c r="C172" s="585">
        <v>1130003</v>
      </c>
      <c r="D172" s="458" t="s">
        <v>689</v>
      </c>
      <c r="E172" s="439">
        <f>IFERROR(VLOOKUP(C172,'פ.נ. EUROPE'!$D$164:$F$353,3,0),0)</f>
        <v>0</v>
      </c>
      <c r="F172" s="518">
        <f>SUMIF('פ.נ. EUROPE'!C:C,C:C,'פ.נ. EUROPE'!E:E)</f>
        <v>0</v>
      </c>
      <c r="J172" s="170">
        <f t="shared" si="37"/>
        <v>0</v>
      </c>
      <c r="K172" s="171">
        <f>M172+SUMIF('פ.נ. EUROPE'!C:C,'מאזן בוחן EUROPE'!C172,'פ.נ. EUROPE'!F:F)</f>
        <v>0</v>
      </c>
      <c r="L172" s="2221">
        <f>K172+'New TB INC'!J272</f>
        <v>0</v>
      </c>
      <c r="M172" s="171" t="str">
        <f>IFERROR(VLOOKUP(C172,'פ.נ. EUROPE'!$D$164:$H$353,4,0),"")</f>
        <v/>
      </c>
      <c r="N172" s="1104" t="str">
        <f t="shared" si="38"/>
        <v>-</v>
      </c>
      <c r="O172" s="434"/>
      <c r="P172" s="445"/>
      <c r="Q172" s="52"/>
      <c r="R172" s="52"/>
      <c r="S172" s="52"/>
      <c r="T172" s="52"/>
      <c r="U172" s="454"/>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row>
    <row r="173" spans="2:58" ht="13.5" thickBot="1">
      <c r="B173" s="3659" t="s">
        <v>570</v>
      </c>
      <c r="C173" s="585">
        <v>1130010</v>
      </c>
      <c r="D173" s="458" t="s">
        <v>2430</v>
      </c>
      <c r="E173" s="439">
        <f>IFERROR(VLOOKUP(C173,'פ.נ. EUROPE'!$D$164:$F$353,3,0),0)</f>
        <v>0</v>
      </c>
      <c r="F173" s="518">
        <f>SUMIF('פ.נ. EUROPE'!C:C,C:C,'פ.נ. EUROPE'!E:E)</f>
        <v>0</v>
      </c>
      <c r="J173" s="170">
        <f t="shared" si="37"/>
        <v>0</v>
      </c>
      <c r="K173" s="171">
        <f>M173+SUMIF('פ.נ. EUROPE'!C:C,'מאזן בוחן EUROPE'!C173,'פ.נ. EUROPE'!F:F)</f>
        <v>0</v>
      </c>
      <c r="L173" s="2221">
        <f>K173+'מאזן בוחן צרפת'!K164</f>
        <v>0</v>
      </c>
      <c r="M173" s="171" t="str">
        <f>IFERROR(VLOOKUP(C173,'פ.נ. EUROPE'!$D$164:$H$353,4,0),"")</f>
        <v/>
      </c>
      <c r="N173" s="1104" t="str">
        <f t="shared" si="38"/>
        <v>-</v>
      </c>
      <c r="O173" s="434"/>
      <c r="P173" s="2934"/>
      <c r="Q173" s="52"/>
      <c r="R173" s="52"/>
      <c r="S173" s="52"/>
      <c r="T173" s="52"/>
      <c r="U173" s="454"/>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row>
    <row r="174" spans="2:58" ht="13.5" thickBot="1">
      <c r="B174" s="3659" t="s">
        <v>570</v>
      </c>
      <c r="C174" s="585">
        <v>1130011</v>
      </c>
      <c r="D174" s="458" t="s">
        <v>2431</v>
      </c>
      <c r="E174" s="1213">
        <f>IFERROR(VLOOKUP(C174,'פ.נ. EUROPE'!$D$164:$F$353,3,0),0)</f>
        <v>0</v>
      </c>
      <c r="F174" s="518">
        <f>SUMIF('פ.נ. EUROPE'!C:C,C:C,'פ.נ. EUROPE'!E:E)</f>
        <v>0</v>
      </c>
      <c r="J174" s="521">
        <f t="shared" si="37"/>
        <v>0</v>
      </c>
      <c r="K174" s="522">
        <f>M174+SUMIF('פ.נ. EUROPE'!C:C,'מאזן בוחן EUROPE'!C174,'פ.נ. EUROPE'!F:F)</f>
        <v>0</v>
      </c>
      <c r="L174" s="2221"/>
      <c r="M174" s="171" t="str">
        <f>IFERROR(VLOOKUP(C174,'פ.נ. EUROPE'!$D$164:$H$353,4,0),"")</f>
        <v/>
      </c>
      <c r="N174" s="1104" t="str">
        <f t="shared" si="38"/>
        <v>-</v>
      </c>
      <c r="O174" s="434"/>
      <c r="P174" s="445"/>
      <c r="Q174" s="52"/>
      <c r="R174" s="52"/>
      <c r="S174" s="52"/>
      <c r="T174" s="52"/>
      <c r="U174" s="454"/>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row>
    <row r="175" spans="2:58" ht="13.5" thickBot="1">
      <c r="B175" s="3659" t="s">
        <v>570</v>
      </c>
      <c r="C175" s="585" t="s">
        <v>3036</v>
      </c>
      <c r="D175" s="458" t="s">
        <v>3037</v>
      </c>
      <c r="E175" s="439">
        <f>IFERROR(VLOOKUP(C175,'פ.נ. EUROPE'!$D$164:$F$353,3,0),0)</f>
        <v>9.6</v>
      </c>
      <c r="F175" s="518">
        <f>SUMIF('פ.נ. EUROPE'!C:C,C:C,'פ.נ. EUROPE'!E:E)</f>
        <v>0</v>
      </c>
      <c r="J175" s="170">
        <f t="shared" si="37"/>
        <v>9.6</v>
      </c>
      <c r="K175" s="171">
        <f>M175+SUMIF('פ.נ. EUROPE'!C:C,'מאזן בוחן EUROPE'!C175,'פ.נ. EUROPE'!F:F)</f>
        <v>12.97</v>
      </c>
      <c r="L175" s="2259">
        <f>K175-13.67</f>
        <v>-0.69999999999999929</v>
      </c>
      <c r="M175" s="171">
        <f>IFERROR(VLOOKUP(C175,'פ.נ. EUROPE'!$D$164:$H$353,4,0),"")</f>
        <v>12.97</v>
      </c>
      <c r="N175" s="1104">
        <f t="shared" si="38"/>
        <v>0.74016962220508864</v>
      </c>
      <c r="O175" s="434"/>
      <c r="P175" s="445"/>
      <c r="Q175" s="52"/>
      <c r="R175" s="52"/>
      <c r="S175" s="52"/>
      <c r="T175" s="52"/>
      <c r="U175" s="454"/>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row>
    <row r="176" spans="2:58" ht="13.5" thickBot="1">
      <c r="B176" s="3659" t="s">
        <v>2022</v>
      </c>
      <c r="C176" s="585" t="s">
        <v>2432</v>
      </c>
      <c r="D176" s="458" t="s">
        <v>2433</v>
      </c>
      <c r="E176" s="439">
        <f>IFERROR(VLOOKUP(C176,'פ.נ. EUROPE'!$D$164:$F$353,3,0),0)</f>
        <v>903.13</v>
      </c>
      <c r="F176" s="518">
        <f>SUMIF('פ.נ. EUROPE'!C:C,C:C,'פ.נ. EUROPE'!E:E)</f>
        <v>0</v>
      </c>
      <c r="J176" s="170">
        <f t="shared" si="37"/>
        <v>903.13</v>
      </c>
      <c r="K176" s="171">
        <f>M176+SUMIF('פ.נ. EUROPE'!C:C,'מאזן בוחן EUROPE'!C176,'פ.נ. EUROPE'!F:F)</f>
        <v>1099.6600000000001</v>
      </c>
      <c r="L176" s="2259">
        <f>K176+'מאזן בוחן צרפת'!K170</f>
        <v>0</v>
      </c>
      <c r="M176" s="171">
        <f>IFERROR(VLOOKUP(C176,'פ.נ. EUROPE'!$D$164:$H$353,4,0),"")</f>
        <v>1099.6600000000001</v>
      </c>
      <c r="N176" s="1104">
        <f t="shared" si="38"/>
        <v>0.82128112325627911</v>
      </c>
      <c r="O176" s="434"/>
      <c r="P176" s="445"/>
      <c r="Q176" s="52"/>
      <c r="R176" s="52"/>
      <c r="S176" s="52"/>
      <c r="T176" s="52"/>
      <c r="U176" s="454"/>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row>
    <row r="177" spans="2:58">
      <c r="B177" s="3659"/>
      <c r="C177" s="1313"/>
      <c r="D177" s="448"/>
      <c r="E177" s="399"/>
      <c r="J177" s="170"/>
      <c r="K177" s="171"/>
      <c r="L177" s="51"/>
      <c r="M177" s="171"/>
      <c r="N177" s="1104"/>
      <c r="O177" s="434"/>
      <c r="P177" s="445"/>
      <c r="Q177" s="52"/>
      <c r="R177" s="52"/>
      <c r="S177" s="52"/>
      <c r="T177" s="52"/>
      <c r="U177" s="454"/>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row>
    <row r="178" spans="2:58">
      <c r="B178" s="3668"/>
      <c r="C178" s="407"/>
      <c r="D178" s="62" t="s">
        <v>2459</v>
      </c>
      <c r="E178" s="3313">
        <f>SUM(E171:E177)</f>
        <v>-3830237.7600000002</v>
      </c>
      <c r="F178" s="1623">
        <f t="shared" ref="F178:M178" si="39">SUM(F171:F177)</f>
        <v>0</v>
      </c>
      <c r="G178" s="1351">
        <f t="shared" si="39"/>
        <v>0</v>
      </c>
      <c r="H178" s="1351">
        <f t="shared" si="39"/>
        <v>0</v>
      </c>
      <c r="I178" s="1351">
        <f t="shared" si="39"/>
        <v>0</v>
      </c>
      <c r="J178" s="1351">
        <f t="shared" si="39"/>
        <v>-3830237.7600000002</v>
      </c>
      <c r="K178" s="1351">
        <f t="shared" si="39"/>
        <v>-5176607.1900000004</v>
      </c>
      <c r="L178" s="336"/>
      <c r="M178" s="1351">
        <f t="shared" si="39"/>
        <v>-5176607.1900000004</v>
      </c>
      <c r="N178" s="1104"/>
      <c r="O178" s="434"/>
      <c r="P178" s="445"/>
      <c r="Q178" s="418"/>
      <c r="R178" s="50"/>
      <c r="S178" s="450"/>
      <c r="T178" s="506"/>
      <c r="U178" s="457"/>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BF178" s="418"/>
    </row>
    <row r="179" spans="2:58">
      <c r="B179" s="3668"/>
      <c r="C179" s="407"/>
      <c r="D179" s="59" t="s">
        <v>153</v>
      </c>
      <c r="J179" s="52"/>
      <c r="K179" s="441"/>
      <c r="L179" s="51"/>
      <c r="M179" s="441"/>
      <c r="N179" s="1104"/>
      <c r="O179" s="434"/>
      <c r="P179" s="445"/>
      <c r="Q179" s="52"/>
      <c r="R179" s="454"/>
      <c r="S179" s="507"/>
      <c r="T179" s="63"/>
      <c r="U179" s="435"/>
      <c r="V179" s="435"/>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row>
    <row r="180" spans="2:58">
      <c r="B180" s="3668"/>
      <c r="C180" s="407"/>
      <c r="D180" s="45"/>
      <c r="E180" s="79"/>
      <c r="F180" s="52"/>
      <c r="G180" s="439"/>
      <c r="H180" s="52"/>
      <c r="I180" s="439"/>
      <c r="J180" s="170"/>
      <c r="K180" s="171"/>
      <c r="L180" s="52"/>
      <c r="M180" s="171"/>
      <c r="N180" s="1104"/>
      <c r="O180" s="449"/>
      <c r="P180" s="445"/>
      <c r="Q180" s="52"/>
      <c r="R180" s="454"/>
      <c r="S180" s="507"/>
      <c r="T180" s="63"/>
      <c r="U180" s="435"/>
      <c r="V180" s="435"/>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row>
    <row r="181" spans="2:58">
      <c r="B181" s="3668"/>
      <c r="C181" s="407"/>
      <c r="D181" s="62"/>
      <c r="E181" s="3313">
        <f t="shared" ref="E181:M181" si="40">SUM(E180:E180)</f>
        <v>0</v>
      </c>
      <c r="F181" s="1623">
        <f t="shared" si="40"/>
        <v>0</v>
      </c>
      <c r="G181" s="1351">
        <f t="shared" si="40"/>
        <v>0</v>
      </c>
      <c r="H181" s="1351">
        <f t="shared" si="40"/>
        <v>0</v>
      </c>
      <c r="I181" s="1351">
        <f t="shared" si="40"/>
        <v>0</v>
      </c>
      <c r="J181" s="1351">
        <f t="shared" si="40"/>
        <v>0</v>
      </c>
      <c r="K181" s="1351">
        <f t="shared" si="40"/>
        <v>0</v>
      </c>
      <c r="L181" s="336"/>
      <c r="M181" s="1351">
        <f t="shared" si="40"/>
        <v>0</v>
      </c>
      <c r="N181" s="1104"/>
      <c r="O181" s="434"/>
      <c r="P181" s="445"/>
      <c r="Q181" s="52"/>
      <c r="R181" s="454"/>
      <c r="S181" s="450"/>
      <c r="T181" s="63"/>
      <c r="U181" s="435"/>
      <c r="V181" s="435"/>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row>
    <row r="182" spans="2:58" ht="13.5" thickBot="1">
      <c r="B182" s="3668"/>
      <c r="C182" s="407"/>
      <c r="D182" s="59" t="s">
        <v>280</v>
      </c>
      <c r="E182" s="429"/>
      <c r="J182" s="170"/>
      <c r="K182" s="441"/>
      <c r="L182" s="52"/>
      <c r="M182" s="441"/>
      <c r="N182" s="1104"/>
      <c r="O182" s="434"/>
      <c r="Q182" s="52"/>
      <c r="R182" s="454"/>
      <c r="S182" s="450"/>
      <c r="T182" s="50"/>
      <c r="U182" s="50"/>
      <c r="V182" s="435"/>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row>
    <row r="183" spans="2:58" ht="13.5" thickBot="1">
      <c r="B183" s="3668" t="s">
        <v>568</v>
      </c>
      <c r="C183" s="1424">
        <v>1100001</v>
      </c>
      <c r="D183" s="405" t="s">
        <v>550</v>
      </c>
      <c r="E183" s="439">
        <f>IFERROR(VLOOKUP(C183,'פ.נ. EUROPE'!$D$164:$F$353,3,0),0)</f>
        <v>14316.31</v>
      </c>
      <c r="F183" s="51">
        <f>SUMIF('פ.נ. EUROPE'!C:C,C:C,'פ.נ. EUROPE'!H:H)</f>
        <v>0</v>
      </c>
      <c r="H183" s="51">
        <v>0</v>
      </c>
      <c r="J183" s="170">
        <f>SUM(E183:I183)</f>
        <v>14316.31</v>
      </c>
      <c r="K183" s="171">
        <f>M183+SUMIF('פ.נ. EUROPE'!C:C,'מאזן בוחן EUROPE'!C183,'פ.נ. EUROPE'!I:I)</f>
        <v>19443.12</v>
      </c>
      <c r="L183" s="2219">
        <f>'Prepaid expenses'!$C$32-J183</f>
        <v>-4.9999999999272404E-2</v>
      </c>
      <c r="M183" s="171">
        <f>IFERROR(VLOOKUP(C183,'פ.נ. EUROPE'!$D$164:$H$353,4,0),"")</f>
        <v>19443.12</v>
      </c>
      <c r="N183" s="1104">
        <f>IF(K183=0,"-",J183/K183)</f>
        <v>0.73631752517085736</v>
      </c>
      <c r="O183" s="434"/>
      <c r="P183" s="863" t="s">
        <v>2279</v>
      </c>
      <c r="Q183" s="52"/>
    </row>
    <row r="184" spans="2:58" ht="13.5" thickBot="1">
      <c r="B184" s="3669" t="s">
        <v>568</v>
      </c>
      <c r="C184" s="1424">
        <v>1100008</v>
      </c>
      <c r="D184" s="405" t="s">
        <v>2194</v>
      </c>
      <c r="E184" s="439">
        <f>IFERROR(VLOOKUP(C184,'פ.נ. EUROPE'!$D$164:$F$353,3,0),0)</f>
        <v>381211.15</v>
      </c>
      <c r="F184" s="52">
        <f>SUMIF('פ.נ. EUROPE'!C:C,C:C,'פ.נ. EUROPE'!E:E)</f>
        <v>0</v>
      </c>
      <c r="G184" s="439"/>
      <c r="H184" s="52">
        <v>0</v>
      </c>
      <c r="I184" s="439"/>
      <c r="J184" s="170">
        <f>SUM(E184:I184)</f>
        <v>381211.15</v>
      </c>
      <c r="K184" s="171">
        <f>M184+SUMIF('פ.נ. EUROPE'!C:C,'מאזן בוחן EUROPE'!C184,'פ.נ. EUROPE'!F:F)</f>
        <v>504116.47</v>
      </c>
      <c r="L184" s="2219">
        <f>SUM('[125]PIVOT Q4'!$D$20,'[81]UK218000427 (SAIB)'!$E$14,'[34]Income receibales'!$AA$3138)-K184</f>
        <v>-0.63551550364354625</v>
      </c>
      <c r="M184" s="171">
        <f>IFERROR(VLOOKUP(C184,'פ.נ. EUROPE'!$D$164:$H$353,4,0),"")</f>
        <v>504116.47</v>
      </c>
      <c r="N184" s="1104">
        <f>IF(K184=0,"-",J184/K184)</f>
        <v>0.75619657893740322</v>
      </c>
      <c r="O184" s="434"/>
      <c r="P184" s="3724" t="s">
        <v>4635</v>
      </c>
      <c r="Q184" s="52"/>
    </row>
    <row r="185" spans="2:58" ht="13.5" thickBot="1">
      <c r="B185" s="3669" t="s">
        <v>568</v>
      </c>
      <c r="C185" s="1425">
        <v>1100999</v>
      </c>
      <c r="D185" s="461" t="s">
        <v>1918</v>
      </c>
      <c r="E185" s="439">
        <f>IFERROR(VLOOKUP(C185,'פ.נ. EUROPE'!$D$164:$F$353,3,0),0)</f>
        <v>4702398</v>
      </c>
      <c r="F185" s="52">
        <f>SUMIF('פ.נ. EUROPE'!C:C,C:C,'פ.נ. EUROPE'!E:E)</f>
        <v>0</v>
      </c>
      <c r="G185" s="439"/>
      <c r="H185" s="52">
        <v>0</v>
      </c>
      <c r="I185" s="439"/>
      <c r="J185" s="170">
        <f>SUM(E185:I185)</f>
        <v>4702398</v>
      </c>
      <c r="K185" s="171">
        <f>M185+SUMIF('פ.נ. EUROPE'!C:C,'מאזן בוחן EUROPE'!C185,'פ.נ. EUROPE'!F:F)</f>
        <v>6142606</v>
      </c>
      <c r="L185" s="3043"/>
      <c r="M185" s="171">
        <f>IFERROR(VLOOKUP(C185,'פ.נ. EUROPE'!$D$164:$H$353,4,0),"")</f>
        <v>6142606</v>
      </c>
      <c r="N185" s="1104">
        <f>IF(K185=0,"-",J185/K185)</f>
        <v>0.76553794920266738</v>
      </c>
      <c r="O185" s="449"/>
      <c r="P185" s="2935"/>
      <c r="Q185" s="52"/>
    </row>
    <row r="186" spans="2:58" ht="13.5" thickBot="1">
      <c r="B186" s="3669" t="s">
        <v>568</v>
      </c>
      <c r="C186" s="1425">
        <v>1100099</v>
      </c>
      <c r="D186" s="461" t="s">
        <v>1809</v>
      </c>
      <c r="E186" s="439">
        <f>IFERROR(VLOOKUP(C186,'פ.נ. EUROPE'!$D$164:$F$353,3,0),0)</f>
        <v>234982.5</v>
      </c>
      <c r="F186" s="52">
        <f>SUMIF('פ.נ. EUROPE'!C:C,C:C,'פ.נ. EUROPE'!E:E)</f>
        <v>0</v>
      </c>
      <c r="G186" s="1213"/>
      <c r="H186" s="976">
        <v>0</v>
      </c>
      <c r="I186" s="1213"/>
      <c r="J186" s="170">
        <f>SUM(E186:I186)</f>
        <v>234982.5</v>
      </c>
      <c r="K186" s="171">
        <f>M186+SUMIF('פ.נ. EUROPE'!C:C,'מאזן בוחן EUROPE'!C186,'פ.נ. EUROPE'!F:F)</f>
        <v>321829.65999999997</v>
      </c>
      <c r="L186" s="2219">
        <f>-SUM('606-Prepaid Comm&amp;DR SUB'!E57)+'מאזן בוחן EUROPE'!K186</f>
        <v>40.713410343218129</v>
      </c>
      <c r="M186" s="171">
        <f>IFERROR(VLOOKUP(C186,'פ.נ. EUROPE'!$D$164:$H$353,4,0),"")</f>
        <v>321829.65999999997</v>
      </c>
      <c r="N186" s="1104">
        <f>IF(K186=0,"-",J186/K186)</f>
        <v>0.7301455683108885</v>
      </c>
      <c r="O186" s="449"/>
      <c r="P186" s="2935"/>
      <c r="Q186" s="52"/>
    </row>
    <row r="187" spans="2:58">
      <c r="B187" s="3668"/>
      <c r="C187" s="407"/>
      <c r="D187" s="62"/>
      <c r="E187" s="3313">
        <f t="shared" ref="E187:K187" si="41">SUM(E183:E186)</f>
        <v>5332907.96</v>
      </c>
      <c r="F187" s="1623">
        <f t="shared" si="41"/>
        <v>0</v>
      </c>
      <c r="G187" s="1206">
        <f t="shared" si="41"/>
        <v>0</v>
      </c>
      <c r="H187" s="1206">
        <f t="shared" si="41"/>
        <v>0</v>
      </c>
      <c r="I187" s="1206">
        <f t="shared" si="41"/>
        <v>0</v>
      </c>
      <c r="J187" s="1351">
        <f t="shared" si="41"/>
        <v>5332907.96</v>
      </c>
      <c r="K187" s="1351">
        <f t="shared" si="41"/>
        <v>6987995.25</v>
      </c>
      <c r="L187" s="336"/>
      <c r="M187" s="1351">
        <f>SUM(M183:M186)</f>
        <v>6987995.25</v>
      </c>
      <c r="N187" s="1104"/>
      <c r="O187" s="434"/>
      <c r="P187" s="2935"/>
      <c r="Q187" s="52"/>
    </row>
    <row r="188" spans="2:58">
      <c r="B188" s="3664"/>
      <c r="C188" s="154"/>
      <c r="D188" s="50" t="s">
        <v>301</v>
      </c>
      <c r="E188" s="463"/>
      <c r="F188" s="455"/>
      <c r="G188" s="1214"/>
      <c r="H188" s="1208"/>
      <c r="I188" s="1214"/>
      <c r="J188" s="455"/>
      <c r="K188" s="456"/>
      <c r="L188" s="51"/>
      <c r="M188" s="456"/>
      <c r="N188" s="1104"/>
      <c r="O188" s="449"/>
      <c r="P188" s="2935"/>
      <c r="Q188" s="52"/>
      <c r="R188" s="141"/>
      <c r="S188" s="141"/>
      <c r="T188" s="141"/>
      <c r="U188" s="141"/>
      <c r="V188" s="141"/>
      <c r="W188" s="141"/>
      <c r="X188" s="141"/>
      <c r="Y188" s="141"/>
      <c r="Z188" s="141"/>
      <c r="AA188" s="141"/>
      <c r="AB188" s="141"/>
      <c r="AC188" s="141"/>
      <c r="AD188" s="141"/>
      <c r="AE188" s="141"/>
      <c r="AF188" s="141"/>
      <c r="AG188" s="141"/>
      <c r="AH188" s="141"/>
      <c r="AI188" s="141"/>
      <c r="AJ188" s="141"/>
      <c r="AK188" s="141"/>
      <c r="AL188" s="141"/>
      <c r="AM188" s="141"/>
      <c r="AN188" s="141"/>
      <c r="AO188" s="141"/>
      <c r="AP188" s="141"/>
      <c r="AQ188" s="141"/>
      <c r="AR188" s="141"/>
      <c r="AS188" s="141"/>
      <c r="AT188" s="141"/>
      <c r="AU188" s="141"/>
      <c r="AV188" s="141"/>
      <c r="AW188" s="141"/>
      <c r="AX188" s="141"/>
      <c r="AY188" s="141"/>
    </row>
    <row r="189" spans="2:58">
      <c r="B189" s="3659" t="s">
        <v>691</v>
      </c>
      <c r="C189" s="1425">
        <v>1510001</v>
      </c>
      <c r="D189" s="48" t="s">
        <v>472</v>
      </c>
      <c r="E189" s="79">
        <f>VLOOKUP(C189,'פ.נ. EUROPE'!$D$164:$F$353,3,0)</f>
        <v>99</v>
      </c>
      <c r="F189" s="523">
        <f>SUMIF('פ.נ. EUROPE'!C:C,C:C,'פ.נ. EUROPE'!E:E)</f>
        <v>0</v>
      </c>
      <c r="G189" s="1214"/>
      <c r="H189" s="1208"/>
      <c r="I189" s="1214"/>
      <c r="J189" s="170">
        <f>SUM(E189:I189)</f>
        <v>99</v>
      </c>
      <c r="K189" s="171">
        <f>M189+SUMIF('פ.נ. EUROPE'!C:C,'מאזן בוחן EUROPE'!C189,'פ.נ. EUROPE'!F:F)</f>
        <v>133.80000000000001</v>
      </c>
      <c r="L189" s="51"/>
      <c r="M189" s="171">
        <f>IFERROR(VLOOKUP(C189,'פ.נ. EUROPE'!$D$164:$H$353,4,0),"")</f>
        <v>133.80000000000001</v>
      </c>
      <c r="N189" s="1104">
        <f>IF(K189=0,"-",J189/K189)</f>
        <v>0.73991031390134521</v>
      </c>
      <c r="O189" s="1396">
        <f>SUMIF('פקודות נוספות'!L:L,L:L,'פקודות נוספות'!N:N)</f>
        <v>0</v>
      </c>
      <c r="P189" s="2935" t="str">
        <f>"99 - פיקדון חדש עבור תיבת דואר."</f>
        <v>99 - פיקדון חדש עבור תיבת דואר.</v>
      </c>
      <c r="Q189" s="52"/>
      <c r="R189" s="141"/>
      <c r="S189" s="141"/>
      <c r="T189" s="141"/>
      <c r="U189" s="141"/>
      <c r="V189" s="141"/>
      <c r="W189" s="141"/>
      <c r="X189" s="141"/>
      <c r="Y189" s="141"/>
      <c r="Z189" s="141"/>
      <c r="AA189" s="141"/>
      <c r="AB189" s="141"/>
      <c r="AC189" s="141"/>
      <c r="AD189" s="141"/>
      <c r="AE189" s="141"/>
      <c r="AF189" s="141"/>
      <c r="AG189" s="141"/>
      <c r="AH189" s="141"/>
      <c r="AI189" s="141"/>
      <c r="AJ189" s="141"/>
      <c r="AK189" s="141"/>
      <c r="AL189" s="141"/>
      <c r="AM189" s="141"/>
      <c r="AN189" s="141"/>
      <c r="AO189" s="141"/>
      <c r="AP189" s="141"/>
      <c r="AQ189" s="141"/>
      <c r="AR189" s="141"/>
      <c r="AS189" s="141"/>
      <c r="AT189" s="141"/>
      <c r="AU189" s="141"/>
      <c r="AV189" s="141"/>
      <c r="AW189" s="141"/>
      <c r="AX189" s="141"/>
      <c r="AY189" s="141"/>
    </row>
    <row r="190" spans="2:58">
      <c r="B190" s="3659" t="s">
        <v>2045</v>
      </c>
      <c r="C190" s="1424">
        <v>1150001</v>
      </c>
      <c r="D190" s="48" t="s">
        <v>2046</v>
      </c>
      <c r="E190" s="79"/>
      <c r="F190" s="523">
        <f>SUMIF('פ.נ. EUROPE'!C:C,C:C,'פ.נ. EUROPE'!E:E)</f>
        <v>0</v>
      </c>
      <c r="G190" s="1214"/>
      <c r="H190" s="1208"/>
      <c r="I190" s="1214"/>
      <c r="J190" s="521">
        <f>SUM(E190:I190)</f>
        <v>0</v>
      </c>
      <c r="K190" s="522">
        <f>M190+SUMIF('פ.נ. EUROPE'!C:C,'מאזן בוחן EUROPE'!C190,'פ.נ. EUROPE'!F:F)</f>
        <v>0</v>
      </c>
      <c r="L190" s="51"/>
      <c r="M190" s="171" t="str">
        <f>IFERROR(VLOOKUP(C190,'פ.נ. EUROPE'!$D$164:$H$353,4,0),"")</f>
        <v/>
      </c>
      <c r="N190" s="1104" t="str">
        <f>IF(K190=0,"-",J190/K190)</f>
        <v>-</v>
      </c>
      <c r="O190" s="433"/>
      <c r="P190" s="2935"/>
      <c r="Q190" s="52"/>
      <c r="R190" s="141"/>
      <c r="S190" s="141"/>
      <c r="T190" s="141"/>
      <c r="U190" s="141"/>
      <c r="V190" s="141"/>
      <c r="W190" s="141"/>
      <c r="X190" s="141"/>
      <c r="Y190" s="141"/>
      <c r="Z190" s="141"/>
      <c r="AA190" s="141"/>
      <c r="AB190" s="141"/>
      <c r="AC190" s="141"/>
      <c r="AD190" s="141"/>
      <c r="AE190" s="141"/>
      <c r="AF190" s="141"/>
      <c r="AG190" s="141"/>
      <c r="AH190" s="141"/>
      <c r="AI190" s="141"/>
      <c r="AJ190" s="141"/>
      <c r="AK190" s="141"/>
      <c r="AL190" s="141"/>
      <c r="AM190" s="141"/>
      <c r="AN190" s="141"/>
      <c r="AO190" s="141"/>
      <c r="AP190" s="141"/>
      <c r="AQ190" s="141"/>
      <c r="AR190" s="141"/>
      <c r="AS190" s="141"/>
      <c r="AT190" s="141"/>
      <c r="AU190" s="141"/>
      <c r="AV190" s="141"/>
      <c r="AW190" s="141"/>
      <c r="AX190" s="141"/>
      <c r="AY190" s="141"/>
    </row>
    <row r="191" spans="2:58">
      <c r="B191" s="3659"/>
      <c r="C191" s="1424"/>
      <c r="D191" s="48"/>
      <c r="E191" s="79"/>
      <c r="F191" s="523"/>
      <c r="G191" s="1214"/>
      <c r="H191" s="1208"/>
      <c r="I191" s="1214"/>
      <c r="J191" s="170"/>
      <c r="K191" s="171"/>
      <c r="L191" s="51"/>
      <c r="M191" s="171"/>
      <c r="N191" s="1104"/>
      <c r="O191" s="433"/>
      <c r="P191" s="2935"/>
      <c r="Q191" s="52"/>
      <c r="R191" s="141"/>
      <c r="S191" s="141"/>
      <c r="T191" s="141"/>
      <c r="U191" s="141"/>
      <c r="V191" s="141"/>
      <c r="W191" s="141"/>
      <c r="X191" s="141"/>
      <c r="Y191" s="141"/>
      <c r="Z191" s="141"/>
      <c r="AA191" s="141"/>
      <c r="AB191" s="141"/>
      <c r="AC191" s="141"/>
      <c r="AD191" s="141"/>
      <c r="AE191" s="141"/>
      <c r="AF191" s="141"/>
      <c r="AG191" s="141"/>
      <c r="AH191" s="141"/>
      <c r="AI191" s="141"/>
      <c r="AJ191" s="141"/>
      <c r="AK191" s="141"/>
      <c r="AL191" s="141"/>
      <c r="AM191" s="141"/>
      <c r="AN191" s="141"/>
      <c r="AO191" s="141"/>
      <c r="AP191" s="141"/>
      <c r="AQ191" s="141"/>
      <c r="AR191" s="141"/>
      <c r="AS191" s="141"/>
      <c r="AT191" s="141"/>
      <c r="AU191" s="141"/>
      <c r="AV191" s="141"/>
      <c r="AW191" s="141"/>
      <c r="AX191" s="141"/>
      <c r="AY191" s="141"/>
    </row>
    <row r="192" spans="2:58">
      <c r="B192" s="3659"/>
      <c r="C192" s="1424"/>
      <c r="D192" s="45"/>
      <c r="E192" s="79"/>
      <c r="F192" s="523"/>
      <c r="G192" s="1214"/>
      <c r="H192" s="1208"/>
      <c r="I192" s="1214"/>
      <c r="J192" s="170"/>
      <c r="K192" s="171"/>
      <c r="L192" s="51"/>
      <c r="M192" s="171"/>
      <c r="N192" s="1104"/>
      <c r="O192" s="449"/>
      <c r="P192" s="2935"/>
      <c r="Q192" s="52"/>
      <c r="R192" s="141"/>
      <c r="S192" s="141"/>
      <c r="T192" s="141"/>
      <c r="U192" s="141"/>
      <c r="V192" s="141"/>
      <c r="W192" s="141"/>
      <c r="X192" s="141"/>
      <c r="Y192" s="141"/>
      <c r="Z192" s="141"/>
      <c r="AA192" s="141"/>
      <c r="AB192" s="141"/>
      <c r="AC192" s="141"/>
      <c r="AD192" s="141"/>
      <c r="AE192" s="141"/>
      <c r="AF192" s="141"/>
      <c r="AG192" s="141"/>
      <c r="AH192" s="141"/>
      <c r="AI192" s="141"/>
      <c r="AJ192" s="141"/>
      <c r="AK192" s="141"/>
      <c r="AL192" s="141"/>
      <c r="AM192" s="141"/>
      <c r="AN192" s="141"/>
      <c r="AO192" s="141"/>
      <c r="AP192" s="141"/>
      <c r="AQ192" s="141"/>
      <c r="AR192" s="141"/>
      <c r="AS192" s="141"/>
      <c r="AT192" s="141"/>
      <c r="AU192" s="141"/>
      <c r="AV192" s="141"/>
      <c r="AW192" s="141"/>
      <c r="AX192" s="141"/>
      <c r="AY192" s="141"/>
    </row>
    <row r="193" spans="2:17">
      <c r="B193" s="3668"/>
      <c r="C193" s="1424"/>
      <c r="D193" s="62"/>
      <c r="E193" s="3313">
        <f>SUM(E189:E192)</f>
        <v>99</v>
      </c>
      <c r="F193" s="1727">
        <f t="shared" ref="F193:M193" si="42">SUM(F189:F192)</f>
        <v>0</v>
      </c>
      <c r="G193" s="1206">
        <f t="shared" si="42"/>
        <v>0</v>
      </c>
      <c r="H193" s="1206">
        <f t="shared" si="42"/>
        <v>0</v>
      </c>
      <c r="I193" s="1206">
        <f t="shared" si="42"/>
        <v>0</v>
      </c>
      <c r="J193" s="1351">
        <f t="shared" si="42"/>
        <v>99</v>
      </c>
      <c r="K193" s="1351">
        <f t="shared" si="42"/>
        <v>133.80000000000001</v>
      </c>
      <c r="L193" s="336"/>
      <c r="M193" s="1351">
        <f t="shared" si="42"/>
        <v>133.80000000000001</v>
      </c>
      <c r="N193" s="1104"/>
      <c r="O193" s="434"/>
      <c r="P193" s="2935"/>
      <c r="Q193" s="52"/>
    </row>
    <row r="194" spans="2:17">
      <c r="B194" s="3668"/>
      <c r="C194" s="1424"/>
      <c r="D194" s="63"/>
      <c r="E194" s="429"/>
      <c r="F194" s="144"/>
      <c r="G194" s="517"/>
      <c r="H194" s="518"/>
      <c r="I194" s="3031"/>
      <c r="J194" s="170"/>
      <c r="K194" s="441"/>
      <c r="L194" s="51"/>
      <c r="M194" s="441"/>
      <c r="N194" s="1104"/>
      <c r="O194" s="434"/>
      <c r="P194" s="2935"/>
      <c r="Q194" s="52"/>
    </row>
    <row r="195" spans="2:17">
      <c r="B195" s="3668"/>
      <c r="C195" s="1424"/>
      <c r="D195" s="62" t="s">
        <v>67</v>
      </c>
      <c r="E195" s="3313">
        <f t="shared" ref="E195:M195" si="43">E187+E181+E169+E178+E163+E193</f>
        <v>5977336.7500000019</v>
      </c>
      <c r="F195" s="1727">
        <f t="shared" si="43"/>
        <v>0</v>
      </c>
      <c r="G195" s="1206">
        <f t="shared" si="43"/>
        <v>0</v>
      </c>
      <c r="H195" s="1206">
        <f t="shared" si="43"/>
        <v>0</v>
      </c>
      <c r="I195" s="1206">
        <f t="shared" si="43"/>
        <v>0</v>
      </c>
      <c r="J195" s="1351">
        <f t="shared" si="43"/>
        <v>5977336.7500000019</v>
      </c>
      <c r="K195" s="1351">
        <f t="shared" si="43"/>
        <v>7858806.3799999999</v>
      </c>
      <c r="L195" s="336"/>
      <c r="M195" s="1351">
        <f t="shared" si="43"/>
        <v>7858806.3799999999</v>
      </c>
      <c r="N195" s="1104"/>
      <c r="O195" s="434"/>
      <c r="P195" s="2935"/>
      <c r="Q195" s="52"/>
    </row>
    <row r="196" spans="2:17" ht="13.5" thickBot="1">
      <c r="B196" s="3668"/>
      <c r="C196" s="1424"/>
      <c r="D196" s="63"/>
      <c r="E196" s="429"/>
      <c r="F196" s="3040"/>
      <c r="G196" s="3031"/>
      <c r="H196" s="3030"/>
      <c r="I196" s="3031"/>
      <c r="J196" s="170"/>
      <c r="K196" s="171"/>
      <c r="L196" s="51"/>
      <c r="M196" s="171"/>
      <c r="N196" s="1104"/>
      <c r="O196" s="434"/>
      <c r="P196" s="2935"/>
      <c r="Q196" s="52"/>
    </row>
    <row r="197" spans="2:17" ht="13.5" thickBot="1">
      <c r="B197" s="3668"/>
      <c r="C197" s="1424"/>
      <c r="D197" s="58" t="s">
        <v>68</v>
      </c>
      <c r="E197" s="429"/>
      <c r="F197" s="919"/>
      <c r="G197" s="517"/>
      <c r="H197" s="518"/>
      <c r="I197" s="517"/>
      <c r="J197" s="170"/>
      <c r="K197" s="441"/>
      <c r="L197" s="51"/>
      <c r="M197" s="441"/>
      <c r="N197" s="1104"/>
      <c r="O197" s="434"/>
      <c r="P197" s="2935"/>
      <c r="Q197" s="52"/>
    </row>
    <row r="198" spans="2:17">
      <c r="B198" s="3668"/>
      <c r="C198" s="1424"/>
      <c r="D198" s="59" t="s">
        <v>69</v>
      </c>
      <c r="E198" s="429"/>
      <c r="F198" s="144"/>
      <c r="G198" s="517"/>
      <c r="H198" s="518"/>
      <c r="I198" s="517"/>
      <c r="J198" s="170"/>
      <c r="K198" s="441"/>
      <c r="L198" s="51"/>
      <c r="M198" s="441"/>
      <c r="N198" s="1104"/>
      <c r="O198" s="434"/>
      <c r="P198" s="2935"/>
      <c r="Q198" s="52"/>
    </row>
    <row r="199" spans="2:17">
      <c r="B199" s="3659" t="s">
        <v>1001</v>
      </c>
      <c r="C199" s="1424">
        <v>1400001</v>
      </c>
      <c r="D199" s="48" t="s">
        <v>347</v>
      </c>
      <c r="E199" s="79">
        <f>VLOOKUP(C199,'פ.נ. EUROPE'!$D$164:$F$353,3,0)</f>
        <v>29430.23</v>
      </c>
      <c r="F199" s="523">
        <f>SUMIF('פ.נ. EUROPE'!C:C,C:C,'פ.נ. EUROPE'!E:E)</f>
        <v>0</v>
      </c>
      <c r="G199" s="1214"/>
      <c r="H199" s="1208"/>
      <c r="I199" s="1214"/>
      <c r="J199" s="170">
        <f>SUM(E199:I199)</f>
        <v>29430.23</v>
      </c>
      <c r="K199" s="171">
        <f>M199+SUMIF('פ.נ. EUROPE'!C:C,'מאזן בוחן EUROPE'!C199,'פ.נ. EUROPE'!F:F)</f>
        <v>40258.06</v>
      </c>
      <c r="L199" s="51"/>
      <c r="M199" s="171">
        <f>IFERROR(VLOOKUP(C199,'פ.נ. EUROPE'!$D$164:$H$353,4,0),"")</f>
        <v>40258.06</v>
      </c>
      <c r="N199" s="1104">
        <f>IF(K199=0,"-",J199/K199)</f>
        <v>0.73103944899480999</v>
      </c>
      <c r="O199" s="434"/>
      <c r="P199" s="2935"/>
      <c r="Q199" s="52"/>
    </row>
    <row r="200" spans="2:17">
      <c r="B200" s="3659"/>
      <c r="C200" s="1424"/>
      <c r="D200" s="48"/>
      <c r="F200" s="144"/>
      <c r="G200" s="517"/>
      <c r="H200" s="518"/>
      <c r="I200" s="517"/>
      <c r="J200" s="170"/>
      <c r="K200" s="441"/>
      <c r="L200" s="51"/>
      <c r="M200" s="441"/>
      <c r="N200" s="1104"/>
      <c r="O200" s="434"/>
      <c r="P200" s="2935"/>
      <c r="Q200" s="52"/>
    </row>
    <row r="201" spans="2:17">
      <c r="B201" s="3668"/>
      <c r="C201" s="1424"/>
      <c r="D201" s="62" t="s">
        <v>70</v>
      </c>
      <c r="E201" s="3313">
        <f t="shared" ref="E201:K201" si="44">SUM(E199:E200)</f>
        <v>29430.23</v>
      </c>
      <c r="F201" s="1727">
        <f t="shared" si="44"/>
        <v>0</v>
      </c>
      <c r="G201" s="1206">
        <f t="shared" si="44"/>
        <v>0</v>
      </c>
      <c r="H201" s="1206">
        <f t="shared" si="44"/>
        <v>0</v>
      </c>
      <c r="I201" s="1206">
        <f t="shared" si="44"/>
        <v>0</v>
      </c>
      <c r="J201" s="1351">
        <f t="shared" si="44"/>
        <v>29430.23</v>
      </c>
      <c r="K201" s="1351">
        <f t="shared" si="44"/>
        <v>40258.06</v>
      </c>
      <c r="L201" s="336"/>
      <c r="M201" s="1351">
        <f>SUM(M199:M200)</f>
        <v>40258.06</v>
      </c>
      <c r="N201" s="1104"/>
      <c r="O201" s="434"/>
      <c r="P201" s="2935"/>
      <c r="Q201" s="52"/>
    </row>
    <row r="202" spans="2:17">
      <c r="B202" s="3668"/>
      <c r="C202" s="1424"/>
      <c r="D202" s="59" t="s">
        <v>71</v>
      </c>
      <c r="F202" s="144"/>
      <c r="G202" s="517"/>
      <c r="H202" s="518"/>
      <c r="I202" s="1212"/>
      <c r="J202" s="52"/>
      <c r="K202" s="441"/>
      <c r="L202" s="51"/>
      <c r="M202" s="441"/>
      <c r="N202" s="1104"/>
      <c r="O202" s="434"/>
      <c r="P202" s="2935"/>
      <c r="Q202" s="52"/>
    </row>
    <row r="203" spans="2:17">
      <c r="B203" s="3659" t="s">
        <v>1007</v>
      </c>
      <c r="C203" s="1424">
        <v>1490001</v>
      </c>
      <c r="D203" s="48" t="s">
        <v>1008</v>
      </c>
      <c r="E203" s="439">
        <f>VLOOKUP(C203,'פ.נ. EUROPE'!$D$164:$F$353,3,0)</f>
        <v>-5170</v>
      </c>
      <c r="F203" s="144">
        <f>SUMIF('פ.נ. EUROPE'!C:C,C:C,'פ.נ. EUROPE'!E:E)</f>
        <v>0</v>
      </c>
      <c r="G203" s="1213"/>
      <c r="H203" s="976"/>
      <c r="I203" s="1213"/>
      <c r="J203" s="170">
        <f>SUM(E203:I203)</f>
        <v>-5170</v>
      </c>
      <c r="K203" s="171">
        <f>M203+SUMIF('פ.נ. EUROPE'!C:C,'מאזן בוחן EUROPE'!C203,'פ.נ. EUROPE'!F:F)</f>
        <v>-7078</v>
      </c>
      <c r="L203" s="51"/>
      <c r="M203" s="171">
        <f>IFERROR(VLOOKUP(C203,'פ.נ. EUROPE'!$D$164:$H$353,4,0),"")</f>
        <v>-7078</v>
      </c>
      <c r="N203" s="1104">
        <f>IF(K203=0,"-",J203/K203)</f>
        <v>0.73043232551568238</v>
      </c>
      <c r="O203" s="434"/>
      <c r="P203" s="2935"/>
      <c r="Q203" s="52"/>
    </row>
    <row r="204" spans="2:17">
      <c r="B204" s="3659"/>
      <c r="C204" s="1424"/>
      <c r="D204" s="48"/>
      <c r="F204" s="144"/>
      <c r="G204" s="517"/>
      <c r="H204" s="518"/>
      <c r="I204" s="517"/>
      <c r="J204" s="170"/>
      <c r="K204" s="441"/>
      <c r="L204" s="51"/>
      <c r="M204" s="441"/>
      <c r="N204" s="1104"/>
      <c r="O204" s="434"/>
      <c r="P204" s="445"/>
      <c r="Q204" s="52"/>
    </row>
    <row r="205" spans="2:17">
      <c r="B205" s="3668"/>
      <c r="C205" s="1424"/>
      <c r="D205" s="62" t="s">
        <v>72</v>
      </c>
      <c r="E205" s="3313">
        <f t="shared" ref="E205:K205" si="45">SUM(E203:E204)</f>
        <v>-5170</v>
      </c>
      <c r="F205" s="1727">
        <f t="shared" si="45"/>
        <v>0</v>
      </c>
      <c r="G205" s="1206">
        <f t="shared" si="45"/>
        <v>0</v>
      </c>
      <c r="H205" s="1206">
        <f t="shared" si="45"/>
        <v>0</v>
      </c>
      <c r="I205" s="1206">
        <f t="shared" si="45"/>
        <v>0</v>
      </c>
      <c r="J205" s="1351">
        <f t="shared" si="45"/>
        <v>-5170</v>
      </c>
      <c r="K205" s="1351">
        <f t="shared" si="45"/>
        <v>-7078</v>
      </c>
      <c r="L205" s="336"/>
      <c r="M205" s="1351">
        <f>SUM(M203:M204)</f>
        <v>-7078</v>
      </c>
      <c r="N205" s="1104"/>
      <c r="O205" s="434"/>
      <c r="P205" s="445"/>
      <c r="Q205" s="52"/>
    </row>
    <row r="206" spans="2:17">
      <c r="B206" s="3668"/>
      <c r="C206" s="1424"/>
      <c r="D206" s="63"/>
      <c r="E206" s="429"/>
      <c r="F206" s="144"/>
      <c r="G206" s="517"/>
      <c r="H206" s="518"/>
      <c r="I206" s="517"/>
      <c r="J206" s="170"/>
      <c r="K206" s="441"/>
      <c r="L206" s="51"/>
      <c r="M206" s="441"/>
      <c r="N206" s="1104"/>
      <c r="O206" s="434"/>
      <c r="P206" s="445"/>
      <c r="Q206" s="52"/>
    </row>
    <row r="207" spans="2:17">
      <c r="B207" s="3668"/>
      <c r="C207" s="1424"/>
      <c r="D207" s="57" t="s">
        <v>73</v>
      </c>
      <c r="E207" s="3313">
        <f t="shared" ref="E207:K207" si="46">E201+E205</f>
        <v>24260.23</v>
      </c>
      <c r="F207" s="1727">
        <f t="shared" si="46"/>
        <v>0</v>
      </c>
      <c r="G207" s="1206">
        <f t="shared" si="46"/>
        <v>0</v>
      </c>
      <c r="H207" s="1206">
        <f t="shared" si="46"/>
        <v>0</v>
      </c>
      <c r="I207" s="1206">
        <f t="shared" si="46"/>
        <v>0</v>
      </c>
      <c r="J207" s="1351">
        <f t="shared" si="46"/>
        <v>24260.23</v>
      </c>
      <c r="K207" s="1351">
        <f t="shared" si="46"/>
        <v>33180.06</v>
      </c>
      <c r="L207" s="336"/>
      <c r="M207" s="1351">
        <f>M201+M205</f>
        <v>33180.06</v>
      </c>
      <c r="N207" s="1104"/>
      <c r="O207" s="434"/>
      <c r="P207" s="445"/>
      <c r="Q207" s="52"/>
    </row>
    <row r="208" spans="2:17" ht="13.5" thickBot="1">
      <c r="B208" s="3668"/>
      <c r="C208" s="1424"/>
      <c r="D208" s="64"/>
      <c r="E208" s="3318"/>
      <c r="F208" s="3041"/>
      <c r="G208" s="595"/>
      <c r="H208" s="518"/>
      <c r="I208" s="517"/>
      <c r="J208" s="1113"/>
      <c r="K208" s="171"/>
      <c r="L208" s="51"/>
      <c r="M208" s="171"/>
      <c r="N208" s="1104"/>
      <c r="O208" s="434"/>
      <c r="P208" s="445"/>
      <c r="Q208" s="52"/>
    </row>
    <row r="209" spans="1:20" ht="13.5" thickBot="1">
      <c r="B209" s="3722"/>
      <c r="C209" s="1424"/>
      <c r="D209" s="56" t="s">
        <v>38</v>
      </c>
      <c r="E209" s="429"/>
      <c r="F209" s="144"/>
      <c r="G209" s="517"/>
      <c r="H209" s="518"/>
      <c r="I209" s="517"/>
      <c r="J209" s="170"/>
      <c r="K209" s="171"/>
      <c r="L209" s="51"/>
      <c r="M209" s="171"/>
      <c r="N209" s="1104"/>
      <c r="O209" s="434"/>
      <c r="P209" s="445"/>
      <c r="Q209" s="52"/>
    </row>
    <row r="210" spans="1:20" ht="13.5" thickBot="1">
      <c r="B210" s="3668"/>
      <c r="C210" s="1424"/>
      <c r="F210" s="144"/>
      <c r="G210" s="3031"/>
      <c r="H210" s="518"/>
      <c r="I210" s="517"/>
      <c r="J210" s="170"/>
      <c r="K210" s="171"/>
      <c r="L210" s="52"/>
      <c r="M210" s="171"/>
      <c r="N210" s="1104"/>
      <c r="O210" s="434"/>
      <c r="P210" s="445"/>
      <c r="Q210" s="52"/>
      <c r="R210" s="52"/>
      <c r="S210" s="52"/>
      <c r="T210" s="52"/>
    </row>
    <row r="211" spans="1:20" ht="13.5" thickBot="1">
      <c r="B211" s="3659" t="s">
        <v>1018</v>
      </c>
      <c r="C211" s="1424">
        <v>1620001</v>
      </c>
      <c r="D211" s="63" t="s">
        <v>1992</v>
      </c>
      <c r="E211" s="439">
        <f>IFERROR(VLOOKUP(C211,'פ.נ. EUROPE'!$D$164:$F$353,3,0),0)</f>
        <v>21372.3</v>
      </c>
      <c r="F211" s="204">
        <f>SUMIF('פ.נ. EUROPE'!C:C,C:C,'פ.נ. EUROPE'!E:E)</f>
        <v>0</v>
      </c>
      <c r="G211" s="1213"/>
      <c r="H211" s="976"/>
      <c r="I211" s="1213"/>
      <c r="J211" s="170">
        <f>SUM(E211:I211)</f>
        <v>21372.3</v>
      </c>
      <c r="K211" s="171">
        <f>M211+SUMIF('פ.נ. EUROPE'!C:C,'מאזן בוחן EUROPE'!C211,'פ.נ. EUROPE'!F:F)</f>
        <v>28884.22</v>
      </c>
      <c r="L211" s="2219">
        <f>J211-'פ.נ. EUROPE'!M53</f>
        <v>4.0000000080908649E-4</v>
      </c>
      <c r="M211" s="171">
        <f>IFERROR(VLOOKUP(C211,'פ.נ. EUROPE'!$D$164:$H$353,4,0),"")</f>
        <v>28884.22</v>
      </c>
      <c r="N211" s="1104">
        <f>IF(K211=0,"-",J211/K211)</f>
        <v>0.73992996868186156</v>
      </c>
      <c r="O211" s="449"/>
      <c r="P211" s="3728" t="s">
        <v>4646</v>
      </c>
      <c r="Q211" s="52"/>
      <c r="R211" s="52"/>
      <c r="S211" s="52"/>
      <c r="T211" s="52"/>
    </row>
    <row r="212" spans="1:20" ht="13.5" thickBot="1">
      <c r="B212" s="3659" t="s">
        <v>1016</v>
      </c>
      <c r="C212" s="1424">
        <v>1610005</v>
      </c>
      <c r="D212" s="45" t="s">
        <v>1887</v>
      </c>
      <c r="E212" s="439">
        <f>IFERROR(VLOOKUP(C212,'פ.נ. EUROPE'!$D$164:$F$353,3,0),0)</f>
        <v>291202.39</v>
      </c>
      <c r="F212" s="52">
        <f>SUMIF('פ.נ. EUROPE'!C:C,C:C,'פ.נ. EUROPE'!E:E)</f>
        <v>0</v>
      </c>
      <c r="G212" s="1213"/>
      <c r="H212" s="976"/>
      <c r="I212" s="1213"/>
      <c r="J212" s="170">
        <f>SUM(E212:I212)</f>
        <v>291202.39</v>
      </c>
      <c r="K212" s="171">
        <f>M212+SUMIF('פ.נ. EUROPE'!C:C,'מאזן בוחן EUROPE'!C212,'פ.נ. EUROPE'!F:F)</f>
        <v>377994.78</v>
      </c>
      <c r="L212" s="2219">
        <f>-SUM('606-Prepaid Comm&amp;DR SUB'!$E$58)+'מאזן בוחן EUROPE'!K212</f>
        <v>4.0057791629806161E-3</v>
      </c>
      <c r="M212" s="171">
        <f>IFERROR(VLOOKUP(C212,'פ.נ. EUROPE'!$D$164:$H$353,4,0),"")</f>
        <v>377994.78</v>
      </c>
      <c r="N212" s="1104">
        <f>IF(K212=0,"-",J212/K212)</f>
        <v>0.77038733180389418</v>
      </c>
      <c r="O212" s="449"/>
      <c r="Q212" s="52"/>
      <c r="R212" s="52"/>
      <c r="S212" s="52"/>
      <c r="T212" s="52"/>
    </row>
    <row r="213" spans="1:20">
      <c r="B213" s="3659" t="s">
        <v>1016</v>
      </c>
      <c r="C213" s="585">
        <v>1610097</v>
      </c>
      <c r="D213" s="45" t="s">
        <v>1922</v>
      </c>
      <c r="E213" s="439">
        <f>IFERROR(VLOOKUP(C213,'פ.נ. EUROPE'!$D$164:$F$353,3,0),0)</f>
        <v>2412722</v>
      </c>
      <c r="F213" s="52">
        <f>SUMIF('פ.נ. EUROPE'!C:C,C:C,'פ.נ. EUROPE'!E:E)</f>
        <v>0</v>
      </c>
      <c r="G213" s="1213"/>
      <c r="H213" s="976"/>
      <c r="I213" s="1213"/>
      <c r="J213" s="170">
        <f>SUM(E213:I213)</f>
        <v>2412722</v>
      </c>
      <c r="K213" s="171">
        <f>M213+SUMIF('פ.נ. EUROPE'!C:C,'מאזן בוחן EUROPE'!C213,'פ.נ. EUROPE'!F:F)</f>
        <v>3151712.93</v>
      </c>
      <c r="L213" s="52"/>
      <c r="M213" s="171">
        <f>IFERROR(VLOOKUP(C213,'פ.נ. EUROPE'!$D$164:$H$353,4,0),0)</f>
        <v>3151712.93</v>
      </c>
      <c r="N213" s="1104">
        <f>IF(K213=0,"-",J213/K213)</f>
        <v>0.76552720808871377</v>
      </c>
      <c r="O213" s="449"/>
      <c r="P213" s="445"/>
      <c r="Q213" s="52"/>
      <c r="R213" s="52"/>
      <c r="S213" s="52"/>
      <c r="T213" s="52"/>
    </row>
    <row r="214" spans="1:20">
      <c r="B214" s="3659"/>
      <c r="D214" s="65" t="s">
        <v>74</v>
      </c>
      <c r="E214" s="3313">
        <f>SUM(E210:E213)</f>
        <v>2725296.69</v>
      </c>
      <c r="F214" s="1623">
        <f>SUM(F210:F213)</f>
        <v>0</v>
      </c>
      <c r="G214" s="1206">
        <f>SUM(G210:G212)</f>
        <v>0</v>
      </c>
      <c r="H214" s="1206">
        <f>SUM(H210:H212)</f>
        <v>0</v>
      </c>
      <c r="I214" s="1206">
        <f>SUM(I210:I212)</f>
        <v>0</v>
      </c>
      <c r="J214" s="1351">
        <f>SUM(J210:J213)</f>
        <v>2725296.69</v>
      </c>
      <c r="K214" s="1351">
        <f>SUM(K210:K213)</f>
        <v>3558591.93</v>
      </c>
      <c r="L214" s="336"/>
      <c r="M214" s="1351">
        <f>SUM(M210:M213)</f>
        <v>3558591.93</v>
      </c>
      <c r="N214" s="1104"/>
      <c r="O214" s="434"/>
      <c r="P214" s="445"/>
      <c r="Q214" s="52"/>
      <c r="R214" s="52"/>
      <c r="S214" s="52"/>
      <c r="T214" s="52"/>
    </row>
    <row r="215" spans="1:20">
      <c r="B215" s="3659"/>
      <c r="G215" s="517"/>
      <c r="H215" s="518"/>
      <c r="I215" s="517"/>
      <c r="J215" s="52"/>
      <c r="K215" s="441"/>
      <c r="L215" s="51"/>
      <c r="M215" s="441"/>
      <c r="N215" s="1104"/>
      <c r="O215" s="434"/>
      <c r="P215" s="445"/>
      <c r="Q215" s="52"/>
      <c r="R215" s="52"/>
      <c r="S215" s="52"/>
      <c r="T215" s="52"/>
    </row>
    <row r="216" spans="1:20">
      <c r="B216" s="3659"/>
      <c r="D216" s="62" t="s">
        <v>75</v>
      </c>
      <c r="E216" s="3313">
        <f t="shared" ref="E216:K216" si="47">+E207+E195+E32+E214</f>
        <v>12242324.530000001</v>
      </c>
      <c r="F216" s="1623">
        <f t="shared" si="47"/>
        <v>0</v>
      </c>
      <c r="G216" s="1206">
        <f t="shared" si="47"/>
        <v>0</v>
      </c>
      <c r="H216" s="1206">
        <f t="shared" si="47"/>
        <v>0</v>
      </c>
      <c r="I216" s="1206">
        <f t="shared" si="47"/>
        <v>0</v>
      </c>
      <c r="J216" s="1351">
        <f t="shared" si="47"/>
        <v>12242324.530000001</v>
      </c>
      <c r="K216" s="1351">
        <f t="shared" si="47"/>
        <v>16201609.709999999</v>
      </c>
      <c r="L216" s="336"/>
      <c r="M216" s="1351">
        <f>+M207+M195+M32+M214</f>
        <v>16201609.709999999</v>
      </c>
      <c r="N216" s="1104"/>
      <c r="O216" s="434"/>
      <c r="P216" s="445"/>
      <c r="Q216" s="52"/>
      <c r="R216" s="52"/>
      <c r="S216" s="52"/>
      <c r="T216" s="52"/>
    </row>
    <row r="217" spans="1:20" ht="13.5" thickBot="1">
      <c r="B217" s="3659"/>
      <c r="E217" s="429"/>
      <c r="J217" s="170"/>
      <c r="K217" s="171"/>
      <c r="L217" s="51"/>
      <c r="M217" s="171"/>
      <c r="N217" s="1104"/>
      <c r="O217" s="434"/>
      <c r="P217" s="445"/>
      <c r="Q217" s="52"/>
      <c r="R217" s="52"/>
      <c r="S217" s="52"/>
      <c r="T217" s="52"/>
    </row>
    <row r="218" spans="1:20" ht="13.5" thickBot="1">
      <c r="B218" s="3659"/>
      <c r="D218" s="58" t="s">
        <v>8</v>
      </c>
      <c r="E218" s="429"/>
      <c r="J218" s="170"/>
      <c r="K218" s="468"/>
      <c r="L218" s="51"/>
      <c r="M218" s="468"/>
      <c r="N218" s="1104"/>
      <c r="O218" s="434"/>
      <c r="P218" s="445"/>
      <c r="Q218" s="52"/>
      <c r="R218" s="52"/>
      <c r="S218" s="52"/>
      <c r="T218" s="52"/>
    </row>
    <row r="219" spans="1:20">
      <c r="B219" s="3659"/>
      <c r="D219" s="59" t="s">
        <v>11</v>
      </c>
      <c r="E219" s="429"/>
      <c r="J219" s="170"/>
      <c r="K219" s="468"/>
      <c r="L219" s="51"/>
      <c r="M219" s="468"/>
      <c r="N219" s="1104"/>
      <c r="O219" s="434"/>
      <c r="P219" s="445"/>
      <c r="Q219" s="52"/>
      <c r="R219" s="52"/>
      <c r="S219" s="52"/>
      <c r="T219" s="52"/>
    </row>
    <row r="220" spans="1:20">
      <c r="B220" s="3659"/>
      <c r="E220" s="429"/>
      <c r="J220" s="170"/>
      <c r="K220" s="171"/>
      <c r="L220" s="51"/>
      <c r="M220" s="171"/>
      <c r="N220" s="1104"/>
      <c r="O220" s="434"/>
      <c r="P220" s="445"/>
      <c r="Q220" s="52"/>
      <c r="R220" s="52"/>
      <c r="S220" s="52"/>
      <c r="T220" s="52"/>
    </row>
    <row r="221" spans="1:20">
      <c r="B221" s="3659"/>
      <c r="D221" s="57" t="s">
        <v>76</v>
      </c>
      <c r="E221" s="3308">
        <f t="shared" ref="E221:M221" si="48">SUM(E220:E220)</f>
        <v>0</v>
      </c>
      <c r="F221" s="3306">
        <f t="shared" si="48"/>
        <v>0</v>
      </c>
      <c r="G221" s="1206">
        <f t="shared" si="48"/>
        <v>0</v>
      </c>
      <c r="H221" s="1206">
        <f t="shared" si="48"/>
        <v>0</v>
      </c>
      <c r="I221" s="1206">
        <f t="shared" si="48"/>
        <v>0</v>
      </c>
      <c r="J221" s="1206">
        <f t="shared" si="48"/>
        <v>0</v>
      </c>
      <c r="K221" s="1206">
        <f t="shared" si="48"/>
        <v>0</v>
      </c>
      <c r="L221" s="490"/>
      <c r="M221" s="1206">
        <f t="shared" si="48"/>
        <v>0</v>
      </c>
      <c r="N221" s="1104"/>
      <c r="O221" s="434"/>
      <c r="P221" s="445"/>
      <c r="Q221" s="52"/>
      <c r="R221" s="52"/>
      <c r="S221" s="52"/>
      <c r="T221" s="52"/>
    </row>
    <row r="222" spans="1:20" ht="13.5" thickBot="1">
      <c r="B222" s="3659"/>
      <c r="J222" s="52"/>
      <c r="K222" s="439"/>
      <c r="L222" s="51"/>
      <c r="M222" s="439"/>
      <c r="N222" s="1104"/>
      <c r="O222" s="434"/>
      <c r="P222" s="445"/>
      <c r="Q222" s="52"/>
      <c r="R222" s="52"/>
      <c r="S222" s="52"/>
      <c r="T222" s="52"/>
    </row>
    <row r="223" spans="1:20" ht="13.5" thickBot="1">
      <c r="B223" s="3659"/>
      <c r="D223" s="58" t="s">
        <v>184</v>
      </c>
      <c r="E223" s="429"/>
      <c r="J223" s="170"/>
      <c r="K223" s="171"/>
      <c r="L223" s="51"/>
      <c r="M223" s="171"/>
      <c r="N223" s="1104"/>
      <c r="O223" s="434"/>
      <c r="P223" s="445"/>
      <c r="Q223" s="52"/>
      <c r="R223" s="52"/>
      <c r="S223" s="52"/>
      <c r="T223" s="52"/>
    </row>
    <row r="224" spans="1:20">
      <c r="A224" s="406"/>
      <c r="B224" s="3659"/>
      <c r="C224" s="156"/>
      <c r="D224" s="45"/>
      <c r="G224" s="439"/>
      <c r="H224" s="52"/>
      <c r="I224" s="439"/>
      <c r="J224" s="170"/>
      <c r="K224" s="171"/>
      <c r="L224" s="51"/>
      <c r="M224" s="171"/>
      <c r="N224" s="1104"/>
      <c r="O224" s="434"/>
      <c r="P224" s="1114"/>
      <c r="Q224" s="52"/>
      <c r="R224" s="52"/>
    </row>
    <row r="225" spans="1:51">
      <c r="B225" s="3659"/>
      <c r="C225" s="585"/>
      <c r="D225" s="45"/>
      <c r="E225" s="79"/>
      <c r="G225" s="439"/>
      <c r="H225" s="52"/>
      <c r="I225" s="439"/>
      <c r="J225" s="170"/>
      <c r="K225" s="171"/>
      <c r="L225" s="51"/>
      <c r="M225" s="171"/>
      <c r="N225" s="1104"/>
      <c r="O225" s="434"/>
      <c r="P225" s="445"/>
      <c r="Q225" s="52"/>
      <c r="R225" s="52"/>
    </row>
    <row r="226" spans="1:51">
      <c r="B226" s="3659" t="s">
        <v>1035</v>
      </c>
      <c r="C226" s="585">
        <v>2150055</v>
      </c>
      <c r="D226" s="45" t="s">
        <v>2196</v>
      </c>
      <c r="E226" s="439">
        <f>IFERROR(VLOOKUP(C226,'פ.נ. EUROPE'!$D$164:$F$353,3,0),0)</f>
        <v>-1932</v>
      </c>
      <c r="F226" s="518">
        <f>SUMIF('פ.נ. EUROPE'!C:C,C:C,'פ.נ. EUROPE'!E:E)</f>
        <v>0</v>
      </c>
      <c r="G226" s="1213"/>
      <c r="H226" s="976"/>
      <c r="I226" s="1213"/>
      <c r="J226" s="170">
        <f t="shared" ref="J226:J237" si="49">SUM(E226:I226)</f>
        <v>-1932</v>
      </c>
      <c r="K226" s="171">
        <f>M226+SUMIF('פ.נ. EUROPE'!C:C,'מאזן בוחן EUROPE'!C226,'פ.נ. EUROPE'!F:F)</f>
        <v>-2611.06</v>
      </c>
      <c r="L226" s="51"/>
      <c r="M226" s="171">
        <f>IFERROR(VLOOKUP(C226,'פ.נ. EUROPE'!$D$164:$H$353,4,0),"")</f>
        <v>-2611.06</v>
      </c>
      <c r="N226" s="1104">
        <f t="shared" ref="N226:N237" si="50">IF(K226=0,"-",J226/K226)</f>
        <v>0.73992937734100328</v>
      </c>
      <c r="O226" s="434"/>
      <c r="P226" s="2832"/>
      <c r="Q226" s="52"/>
      <c r="R226" s="52"/>
    </row>
    <row r="227" spans="1:51">
      <c r="B227" s="3659" t="s">
        <v>1034</v>
      </c>
      <c r="C227" s="585">
        <v>2150061</v>
      </c>
      <c r="D227" s="45" t="s">
        <v>4626</v>
      </c>
      <c r="E227" s="439">
        <f>IFERROR(VLOOKUP(C227,'פ.נ. EUROPE'!$D$164:$F$353,3,0),0)</f>
        <v>-17586.52</v>
      </c>
      <c r="F227" s="518">
        <f>SUMIF('פ.נ. EUROPE'!C:C,C:C,'פ.נ. EUROPE'!E:E)</f>
        <v>0</v>
      </c>
      <c r="G227" s="1213"/>
      <c r="H227" s="976"/>
      <c r="I227" s="1213"/>
      <c r="J227" s="170">
        <f t="shared" ref="J227" si="51">SUM(E227:I227)</f>
        <v>-17586.52</v>
      </c>
      <c r="K227" s="171">
        <f>M227+SUMIF('פ.נ. EUROPE'!C:C,'מאזן בוחן EUROPE'!C227,'פ.נ. EUROPE'!F:F)</f>
        <v>-23767.81</v>
      </c>
      <c r="L227" s="51"/>
      <c r="M227" s="171">
        <f>IFERROR(VLOOKUP(C227,'פ.נ. EUROPE'!$D$164:$H$353,4,0),"")</f>
        <v>-23767.81</v>
      </c>
      <c r="N227" s="1104">
        <f t="shared" ref="N227" si="52">IF(K227=0,"-",J227/K227)</f>
        <v>0.73993018288180523</v>
      </c>
      <c r="O227" s="434"/>
      <c r="P227" s="2832"/>
      <c r="Q227" s="52"/>
      <c r="R227" s="52"/>
    </row>
    <row r="228" spans="1:51">
      <c r="B228" s="3659" t="s">
        <v>1033</v>
      </c>
      <c r="C228" s="585">
        <v>2160073</v>
      </c>
      <c r="D228" s="45" t="s">
        <v>2435</v>
      </c>
      <c r="E228" s="439">
        <f>IFERROR(VLOOKUP(C228,'פ.נ. EUROPE'!$D$164:$F$353,3,0),0)</f>
        <v>0</v>
      </c>
      <c r="F228" s="518">
        <f>SUMIF('פ.נ. EUROPE'!C:C,C:C,'פ.נ. EUROPE'!E:E)</f>
        <v>0</v>
      </c>
      <c r="G228" s="1213"/>
      <c r="H228" s="976"/>
      <c r="I228" s="1213"/>
      <c r="J228" s="170">
        <f t="shared" ref="J228" si="53">SUM(E228:I228)</f>
        <v>0</v>
      </c>
      <c r="K228" s="171">
        <f>M228+SUMIF('פ.נ. EUROPE'!C:C,'מאזן בוחן EUROPE'!C228,'פ.נ. EUROPE'!F:F)</f>
        <v>0</v>
      </c>
      <c r="L228" s="51"/>
      <c r="M228" s="171" t="str">
        <f>IFERROR(VLOOKUP(C228,'פ.נ. EUROPE'!$D$164:$H$353,4,0),"")</f>
        <v/>
      </c>
      <c r="N228" s="1104" t="str">
        <f t="shared" ref="N228" si="54">IF(K228=0,"-",J228/K228)</f>
        <v>-</v>
      </c>
      <c r="O228" s="434"/>
      <c r="P228" s="2832"/>
      <c r="Q228" s="52"/>
      <c r="R228" s="52"/>
    </row>
    <row r="229" spans="1:51">
      <c r="B229" s="3659" t="s">
        <v>1035</v>
      </c>
      <c r="C229" s="585">
        <v>2140004</v>
      </c>
      <c r="D229" s="45" t="s">
        <v>4519</v>
      </c>
      <c r="E229" s="439">
        <f>IFERROR(VLOOKUP(C229,'פ.נ. EUROPE'!$D$164:$F$353,3,0),0)</f>
        <v>0</v>
      </c>
      <c r="F229" s="518">
        <f>SUMIF('פ.נ. EUROPE'!C:C,C:C,'פ.נ. EUROPE'!E:E)</f>
        <v>0</v>
      </c>
      <c r="G229" s="1213"/>
      <c r="H229" s="976"/>
      <c r="I229" s="1213"/>
      <c r="J229" s="170">
        <f t="shared" ref="J229:J232" si="55">SUM(E229:I229)</f>
        <v>0</v>
      </c>
      <c r="K229" s="171">
        <f>M229+SUMIF('פ.נ. EUROPE'!C:C,'מאזן בוחן EUROPE'!C229,'פ.נ. EUROPE'!F:F)</f>
        <v>0</v>
      </c>
      <c r="L229" s="51"/>
      <c r="M229" s="171" t="str">
        <f>IFERROR(VLOOKUP(C229,'פ.נ. EUROPE'!$D$164:$H$353,4,0),"")</f>
        <v/>
      </c>
      <c r="N229" s="1104" t="str">
        <f t="shared" ref="N229:N232" si="56">IF(K229=0,"-",J229/K229)</f>
        <v>-</v>
      </c>
      <c r="O229" s="434"/>
      <c r="P229" s="2832"/>
      <c r="Q229" s="52"/>
      <c r="R229" s="52"/>
    </row>
    <row r="230" spans="1:51">
      <c r="B230" s="3659" t="s">
        <v>1035</v>
      </c>
      <c r="C230" s="585">
        <v>2140001</v>
      </c>
      <c r="D230" s="45" t="s">
        <v>4272</v>
      </c>
      <c r="E230" s="439">
        <f>IFERROR(VLOOKUP(C230,'פ.נ. EUROPE'!$D$164:$F$353,3,0),0)</f>
        <v>0</v>
      </c>
      <c r="F230" s="518">
        <f>SUMIF('פ.נ. EUROPE'!C:C,C:C,'פ.נ. EUROPE'!E:E)</f>
        <v>0</v>
      </c>
      <c r="G230" s="1213"/>
      <c r="H230" s="976"/>
      <c r="I230" s="1213"/>
      <c r="J230" s="170">
        <f t="shared" si="55"/>
        <v>0</v>
      </c>
      <c r="K230" s="171">
        <f>M230+SUMIF('פ.נ. EUROPE'!C:C,'מאזן בוחן EUROPE'!C230,'פ.נ. EUROPE'!F:F)</f>
        <v>0</v>
      </c>
      <c r="L230" s="51"/>
      <c r="M230" s="171" t="str">
        <f>IFERROR(VLOOKUP(C230,'פ.נ. EUROPE'!$D$164:$H$353,4,0),"")</f>
        <v/>
      </c>
      <c r="N230" s="1104" t="str">
        <f t="shared" si="56"/>
        <v>-</v>
      </c>
      <c r="O230" s="434"/>
      <c r="P230" s="2832"/>
      <c r="Q230" s="52"/>
      <c r="R230" s="52"/>
    </row>
    <row r="231" spans="1:51">
      <c r="B231" s="3659" t="s">
        <v>1035</v>
      </c>
      <c r="C231" s="585">
        <v>2150054</v>
      </c>
      <c r="D231" s="45" t="s">
        <v>4273</v>
      </c>
      <c r="E231" s="439">
        <f>IFERROR(VLOOKUP(C231,'פ.נ. EUROPE'!$D$164:$F$353,3,0),0)</f>
        <v>0</v>
      </c>
      <c r="F231" s="518">
        <f>SUMIF('פ.נ. EUROPE'!C:C,C:C,'פ.נ. EUROPE'!E:E)</f>
        <v>0</v>
      </c>
      <c r="G231" s="1213"/>
      <c r="H231" s="976"/>
      <c r="I231" s="1213"/>
      <c r="J231" s="170">
        <f t="shared" si="55"/>
        <v>0</v>
      </c>
      <c r="K231" s="171">
        <f>M231+SUMIF('פ.נ. EUROPE'!C:C,'מאזן בוחן EUROPE'!C231,'פ.נ. EUROPE'!F:F)</f>
        <v>0</v>
      </c>
      <c r="L231" s="51"/>
      <c r="M231" s="171" t="str">
        <f>IFERROR(VLOOKUP(C231,'פ.נ. EUROPE'!$D$164:$H$353,4,0),"")</f>
        <v/>
      </c>
      <c r="N231" s="1104" t="str">
        <f t="shared" si="56"/>
        <v>-</v>
      </c>
      <c r="O231" s="434"/>
      <c r="P231" s="2832"/>
      <c r="Q231" s="52"/>
      <c r="R231" s="52"/>
    </row>
    <row r="232" spans="1:51">
      <c r="B232" s="3659" t="s">
        <v>1035</v>
      </c>
      <c r="C232" s="585">
        <v>2170114</v>
      </c>
      <c r="D232" s="45" t="s">
        <v>4274</v>
      </c>
      <c r="E232" s="439">
        <f>IFERROR(VLOOKUP(C232,'פ.נ. EUROPE'!$D$164:$F$353,3,0),0)</f>
        <v>-20400</v>
      </c>
      <c r="F232" s="518">
        <f>SUMIF('פ.נ. EUROPE'!C:C,C:C,'פ.נ. EUROPE'!E:E)</f>
        <v>0</v>
      </c>
      <c r="G232" s="1213"/>
      <c r="H232" s="976"/>
      <c r="I232" s="1213"/>
      <c r="J232" s="170">
        <f t="shared" si="55"/>
        <v>-20400</v>
      </c>
      <c r="K232" s="171">
        <f>M232+SUMIF('פ.נ. EUROPE'!C:C,'מאזן בוחן EUROPE'!C232,'פ.נ. EUROPE'!F:F)</f>
        <v>-27570.17</v>
      </c>
      <c r="L232" s="51"/>
      <c r="M232" s="171">
        <f>IFERROR(VLOOKUP(C232,'פ.נ. EUROPE'!$D$164:$H$353,4,0),"")</f>
        <v>-27570.17</v>
      </c>
      <c r="N232" s="1104">
        <f t="shared" si="56"/>
        <v>0.73993014914307753</v>
      </c>
      <c r="O232" s="434"/>
      <c r="P232" s="2832"/>
      <c r="Q232" s="52"/>
      <c r="R232" s="52"/>
    </row>
    <row r="233" spans="1:51">
      <c r="B233" s="3659" t="s">
        <v>1032</v>
      </c>
      <c r="C233" s="585">
        <v>2110020</v>
      </c>
      <c r="D233" s="45" t="s">
        <v>4138</v>
      </c>
      <c r="E233" s="439">
        <f>IFERROR(VLOOKUP(C233,'פ.נ. EUROPE'!$D$164:$F$353,3,0),0)</f>
        <v>0</v>
      </c>
      <c r="F233" s="518">
        <f>SUMIF('פ.נ. EUROPE'!C:C,C:C,'פ.נ. EUROPE'!E:E)</f>
        <v>0</v>
      </c>
      <c r="G233" s="1213"/>
      <c r="H233" s="976"/>
      <c r="I233" s="1213"/>
      <c r="J233" s="170">
        <f t="shared" si="49"/>
        <v>0</v>
      </c>
      <c r="K233" s="171">
        <f>M233+SUMIF('פ.נ. EUROPE'!C:C,'מאזן בוחן EUROPE'!C233,'פ.נ. EUROPE'!F:F)</f>
        <v>0</v>
      </c>
      <c r="L233" s="51"/>
      <c r="M233" s="171" t="str">
        <f>IFERROR(VLOOKUP(C233,'פ.נ. EUROPE'!$D$164:$H$353,4,0),"")</f>
        <v/>
      </c>
      <c r="N233" s="1104" t="str">
        <f t="shared" si="50"/>
        <v>-</v>
      </c>
      <c r="O233" s="434"/>
      <c r="P233" s="2832"/>
      <c r="Q233" s="52"/>
      <c r="R233" s="52"/>
    </row>
    <row r="234" spans="1:51">
      <c r="B234" s="3659" t="s">
        <v>1033</v>
      </c>
      <c r="C234" s="585">
        <v>2170112</v>
      </c>
      <c r="D234" s="45" t="s">
        <v>4139</v>
      </c>
      <c r="E234" s="439">
        <f>IFERROR(VLOOKUP(C234,'פ.נ. EUROPE'!$D$164:$F$353,3,0),0)</f>
        <v>0</v>
      </c>
      <c r="F234" s="518">
        <f>SUMIF('פ.נ. EUROPE'!C:C,C:C,'פ.נ. EUROPE'!E:E)</f>
        <v>0</v>
      </c>
      <c r="G234" s="1213"/>
      <c r="H234" s="976"/>
      <c r="I234" s="1213"/>
      <c r="J234" s="170">
        <f t="shared" si="49"/>
        <v>0</v>
      </c>
      <c r="K234" s="171">
        <f>M234+SUMIF('פ.נ. EUROPE'!C:C,'מאזן בוחן EUROPE'!C234,'פ.נ. EUROPE'!F:F)</f>
        <v>0</v>
      </c>
      <c r="L234" s="51"/>
      <c r="M234" s="171" t="str">
        <f>IFERROR(VLOOKUP(C234,'פ.נ. EUROPE'!$D$164:$H$353,4,0),"")</f>
        <v/>
      </c>
      <c r="N234" s="1104" t="str">
        <f t="shared" si="50"/>
        <v>-</v>
      </c>
      <c r="O234" s="434"/>
      <c r="P234" s="2832"/>
      <c r="Q234" s="52"/>
      <c r="R234" s="52"/>
    </row>
    <row r="235" spans="1:51">
      <c r="B235" s="3659" t="s">
        <v>1034</v>
      </c>
      <c r="C235" s="585">
        <v>2130043</v>
      </c>
      <c r="D235" s="45" t="s">
        <v>4140</v>
      </c>
      <c r="E235" s="439">
        <f>IFERROR(VLOOKUP(C235,'פ.נ. EUROPE'!$D$164:$F$353,3,0),0)</f>
        <v>-1674.91</v>
      </c>
      <c r="F235" s="518">
        <f>SUMIF('פ.נ. EUROPE'!C:C,C:C,'פ.נ. EUROPE'!E:E)</f>
        <v>0</v>
      </c>
      <c r="G235" s="1213"/>
      <c r="H235" s="976"/>
      <c r="I235" s="1213"/>
      <c r="J235" s="170">
        <f t="shared" si="49"/>
        <v>-1674.91</v>
      </c>
      <c r="K235" s="171">
        <f>M235+SUMIF('פ.נ. EUROPE'!C:C,'מאזן בוחן EUROPE'!C235,'פ.נ. EUROPE'!F:F)</f>
        <v>-2263.6</v>
      </c>
      <c r="L235" s="51"/>
      <c r="M235" s="171">
        <f>IFERROR(VLOOKUP(C235,'פ.נ. EUROPE'!$D$164:$H$353,4,0),"")</f>
        <v>-2263.6</v>
      </c>
      <c r="N235" s="1104">
        <f t="shared" si="50"/>
        <v>0.73993196677858286</v>
      </c>
      <c r="O235" s="434"/>
      <c r="P235" s="2832"/>
      <c r="Q235" s="52"/>
      <c r="R235" s="52"/>
    </row>
    <row r="236" spans="1:51">
      <c r="B236" s="3659" t="s">
        <v>1034</v>
      </c>
      <c r="C236" s="585">
        <v>2150056</v>
      </c>
      <c r="D236" s="45" t="s">
        <v>2763</v>
      </c>
      <c r="E236" s="439">
        <f>IFERROR(VLOOKUP(C236,'פ.נ. EUROPE'!$D$164:$F$353,3,0),0)</f>
        <v>-3242.56</v>
      </c>
      <c r="F236" s="518">
        <f>SUMIF('פ.נ. EUROPE'!C:C,C:C,'פ.נ. EUROPE'!E:E)</f>
        <v>0</v>
      </c>
      <c r="G236" s="1213"/>
      <c r="H236" s="976"/>
      <c r="I236" s="1213"/>
      <c r="J236" s="170">
        <f t="shared" si="49"/>
        <v>-3242.56</v>
      </c>
      <c r="K236" s="171">
        <f>M236+SUMIF('פ.נ. EUROPE'!C:C,'מאזן בוחן EUROPE'!C236,'פ.נ. EUROPE'!F:F)</f>
        <v>-4382.25</v>
      </c>
      <c r="L236" s="51"/>
      <c r="M236" s="171">
        <f>IFERROR(VLOOKUP(C236,'פ.נ. EUROPE'!$D$164:$H$353,4,0),"")</f>
        <v>-4382.25</v>
      </c>
      <c r="N236" s="1104">
        <f t="shared" si="50"/>
        <v>0.7399304010496891</v>
      </c>
      <c r="O236" s="434"/>
      <c r="P236" s="2832"/>
      <c r="Q236" s="52"/>
      <c r="R236" s="52"/>
    </row>
    <row r="237" spans="1:51">
      <c r="B237" s="3659" t="s">
        <v>1034</v>
      </c>
      <c r="C237" s="585">
        <v>2170081</v>
      </c>
      <c r="D237" s="45" t="s">
        <v>2843</v>
      </c>
      <c r="E237" s="439">
        <f>IFERROR(VLOOKUP(C237,'פ.נ. EUROPE'!$D$164:$F$353,3,0),0)</f>
        <v>-2261.12</v>
      </c>
      <c r="F237" s="518">
        <f>SUMIF('פ.נ. EUROPE'!C:C,C:C,'פ.נ. EUROPE'!E:E)</f>
        <v>0</v>
      </c>
      <c r="G237" s="1213"/>
      <c r="H237" s="976"/>
      <c r="I237" s="1213"/>
      <c r="J237" s="170">
        <f t="shared" si="49"/>
        <v>-2261.12</v>
      </c>
      <c r="K237" s="171">
        <f>M237+SUMIF('פ.נ. EUROPE'!C:C,'מאזן בוחן EUROPE'!C237,'פ.נ. EUROPE'!F:F)</f>
        <v>-3055.86</v>
      </c>
      <c r="L237" s="51"/>
      <c r="M237" s="171">
        <f>IFERROR(VLOOKUP(C237,'פ.נ. EUROPE'!$D$164:$H$353,4,0),"")</f>
        <v>-3055.86</v>
      </c>
      <c r="N237" s="1104">
        <f t="shared" si="50"/>
        <v>0.73992918523754359</v>
      </c>
      <c r="O237" s="434"/>
      <c r="P237" s="2832"/>
      <c r="Q237" s="52"/>
      <c r="R237" s="52"/>
    </row>
    <row r="238" spans="1:51" ht="13.5" thickBot="1">
      <c r="B238" s="3668"/>
      <c r="F238" s="518"/>
      <c r="G238" s="517"/>
      <c r="H238" s="518"/>
      <c r="I238" s="517"/>
      <c r="L238" s="399"/>
      <c r="M238" s="49"/>
    </row>
    <row r="239" spans="1:51" ht="13.5" thickBot="1">
      <c r="B239" s="3659" t="s">
        <v>701</v>
      </c>
      <c r="C239" s="585">
        <v>2200001</v>
      </c>
      <c r="D239" s="45" t="s">
        <v>702</v>
      </c>
      <c r="E239" s="439">
        <f>IFERROR(VLOOKUP(C239,'פ.נ. EUROPE'!$D$164:$F$353,3,0),0)</f>
        <v>-11153.37</v>
      </c>
      <c r="F239" s="170">
        <f>SUMIF('פ.נ. EUROPE'!C:C,C:C,'פ.נ. EUROPE'!E:E)</f>
        <v>0</v>
      </c>
      <c r="G239" s="1213"/>
      <c r="H239" s="976"/>
      <c r="I239" s="1213"/>
      <c r="J239" s="170">
        <f>SUM(E239:I239)</f>
        <v>-11153.37</v>
      </c>
      <c r="K239" s="1127">
        <f>M239+SUMIF('פ.נ. EUROPE'!C:C,'מאזן בוחן EUROPE'!C239,'פ.נ. EUROPE'!F:F)</f>
        <v>-15073.54</v>
      </c>
      <c r="L239" s="956">
        <f>+'Accrued expenses'!$O$149+J239</f>
        <v>-3.3700000000008004</v>
      </c>
      <c r="M239" s="474">
        <f>IFERROR(VLOOKUP(C239,'פ.נ. EUROPE'!$D$164:$H$353,4,0),"")</f>
        <v>-15073.54</v>
      </c>
      <c r="N239" s="1104">
        <f>IF(K239=0,"-",J239/K239)</f>
        <v>0.73993036804891221</v>
      </c>
      <c r="O239" s="449"/>
      <c r="P239" s="863" t="s">
        <v>2745</v>
      </c>
      <c r="Q239" s="52"/>
      <c r="R239" s="52"/>
      <c r="S239" s="141"/>
      <c r="T239" s="141"/>
      <c r="U239" s="141"/>
      <c r="V239" s="141"/>
      <c r="W239" s="141"/>
      <c r="X239" s="141"/>
      <c r="Y239" s="141"/>
      <c r="Z239" s="141"/>
      <c r="AA239" s="141"/>
      <c r="AB239" s="141"/>
      <c r="AC239" s="141"/>
      <c r="AD239" s="141"/>
      <c r="AE239" s="141"/>
      <c r="AF239" s="141"/>
      <c r="AG239" s="141"/>
      <c r="AH239" s="141"/>
      <c r="AI239" s="141"/>
      <c r="AJ239" s="141"/>
      <c r="AK239" s="141"/>
      <c r="AL239" s="141"/>
      <c r="AM239" s="141"/>
      <c r="AN239" s="141"/>
      <c r="AO239" s="141"/>
      <c r="AP239" s="141"/>
      <c r="AQ239" s="141"/>
      <c r="AR239" s="141"/>
      <c r="AS239" s="141"/>
      <c r="AT239" s="141"/>
      <c r="AU239" s="141"/>
      <c r="AV239" s="141"/>
      <c r="AW239" s="141"/>
      <c r="AX239" s="141"/>
      <c r="AY239" s="141"/>
    </row>
    <row r="240" spans="1:51">
      <c r="A240" s="406"/>
      <c r="B240" s="3659"/>
      <c r="C240" s="1160"/>
      <c r="D240" s="66"/>
      <c r="F240" s="518"/>
      <c r="G240" s="517"/>
      <c r="H240" s="518"/>
      <c r="I240" s="517"/>
      <c r="J240" s="170"/>
      <c r="K240" s="171"/>
      <c r="L240" s="399"/>
      <c r="M240" s="474"/>
      <c r="N240" s="1104"/>
      <c r="O240" s="434"/>
      <c r="P240" s="445"/>
      <c r="Q240" s="52"/>
      <c r="R240" s="52"/>
      <c r="S240" s="52"/>
      <c r="T240" s="52"/>
      <c r="U240" s="454"/>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row>
    <row r="241" spans="1:58">
      <c r="A241" s="406"/>
      <c r="B241" s="3668"/>
      <c r="C241" s="156"/>
      <c r="D241" s="69" t="s">
        <v>159</v>
      </c>
      <c r="E241" s="3313">
        <f t="shared" ref="E241:K241" si="57">SUM(E225:E240)</f>
        <v>-58250.48000000001</v>
      </c>
      <c r="F241" s="3313">
        <f t="shared" si="57"/>
        <v>0</v>
      </c>
      <c r="G241" s="3313">
        <f t="shared" si="57"/>
        <v>0</v>
      </c>
      <c r="H241" s="3313">
        <f t="shared" si="57"/>
        <v>0</v>
      </c>
      <c r="I241" s="3313">
        <f t="shared" si="57"/>
        <v>0</v>
      </c>
      <c r="J241" s="3313">
        <f t="shared" si="57"/>
        <v>-58250.48000000001</v>
      </c>
      <c r="K241" s="1351">
        <f t="shared" si="57"/>
        <v>-78724.290000000008</v>
      </c>
      <c r="L241" s="1443"/>
      <c r="M241" s="1623">
        <f>SUM(M225:M240)</f>
        <v>-78724.290000000008</v>
      </c>
      <c r="N241" s="1104"/>
      <c r="O241" s="434"/>
      <c r="P241" s="1133"/>
      <c r="Q241" s="52"/>
      <c r="R241" s="52"/>
      <c r="S241" s="52"/>
      <c r="T241" s="52"/>
      <c r="U241" s="454"/>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row>
    <row r="242" spans="1:58">
      <c r="A242" s="406"/>
      <c r="B242" s="3668"/>
      <c r="C242" s="154"/>
      <c r="D242" s="59" t="s">
        <v>66</v>
      </c>
      <c r="E242" s="429"/>
      <c r="F242" s="518"/>
      <c r="G242" s="517"/>
      <c r="H242" s="518"/>
      <c r="I242" s="517"/>
      <c r="J242" s="440"/>
      <c r="K242" s="446"/>
      <c r="L242" s="399"/>
      <c r="M242" s="589"/>
      <c r="N242" s="1104"/>
      <c r="O242" s="434"/>
      <c r="P242" s="445"/>
      <c r="Q242" s="52"/>
      <c r="R242" s="52"/>
      <c r="S242" s="52"/>
      <c r="T242" s="52"/>
      <c r="U242" s="454"/>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row>
    <row r="243" spans="1:58">
      <c r="B243" s="3659" t="s">
        <v>705</v>
      </c>
      <c r="C243" s="585">
        <v>2500001</v>
      </c>
      <c r="D243" s="45" t="s">
        <v>706</v>
      </c>
      <c r="E243" s="439">
        <f>IFERROR(VLOOKUP(C243,'פ.נ. EUROPE'!$D$164:$F$303,3,0),0)</f>
        <v>0</v>
      </c>
      <c r="F243" s="518">
        <f>SUMIF('פ.נ. EUROPE'!C:C,C:C,'פ.נ. EUROPE'!E:E)</f>
        <v>0</v>
      </c>
      <c r="G243" s="1213"/>
      <c r="H243" s="976"/>
      <c r="I243" s="1213"/>
      <c r="J243" s="170">
        <f>SUM(E243:I243)</f>
        <v>0</v>
      </c>
      <c r="K243" s="171">
        <f>M243+SUMIF('פ.נ. EUROPE'!C:C,'מאזן בוחן EUROPE'!C243,'פ.נ. EUROPE'!F:F)</f>
        <v>0</v>
      </c>
      <c r="L243" s="399"/>
      <c r="M243" s="474" t="str">
        <f>IFERROR(VLOOKUP(C243,'פ.נ. EUROPE'!$D$164:$H$353,4,0),"")</f>
        <v/>
      </c>
      <c r="N243" s="1104" t="str">
        <f>IF(K243=0,"-",J243/K243)</f>
        <v>-</v>
      </c>
      <c r="O243" s="434"/>
      <c r="P243" s="2224" t="s">
        <v>2466</v>
      </c>
      <c r="Q243" s="418"/>
      <c r="R243" s="454"/>
      <c r="S243" s="450"/>
      <c r="T243" s="63"/>
      <c r="U243" s="435"/>
      <c r="V243" s="435"/>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F243" s="418"/>
    </row>
    <row r="244" spans="1:58">
      <c r="B244" s="3659" t="s">
        <v>705</v>
      </c>
      <c r="C244" s="585">
        <v>2500005</v>
      </c>
      <c r="D244" s="45" t="s">
        <v>707</v>
      </c>
      <c r="E244" s="439">
        <f>IFERROR(VLOOKUP(C244,'פ.נ. EUROPE'!$D$164:$F$303,3,0),0)</f>
        <v>-60757.8</v>
      </c>
      <c r="F244" s="518">
        <f>SUMIF('פ.נ. EUROPE'!C:C,C:C,'פ.נ. EUROPE'!E:E)</f>
        <v>0</v>
      </c>
      <c r="G244" s="1213"/>
      <c r="H244" s="976"/>
      <c r="I244" s="1213"/>
      <c r="J244" s="170">
        <f t="shared" ref="J244:J251" si="58">SUM(E244:I244)</f>
        <v>-60757.8</v>
      </c>
      <c r="K244" s="171">
        <f>M244+SUMIF('פ.נ. EUROPE'!C:C,'מאזן בוחן EUROPE'!C244,'פ.נ. EUROPE'!F:F)</f>
        <v>-82112.899999999994</v>
      </c>
      <c r="L244" s="518"/>
      <c r="M244" s="171">
        <f>IFERROR(VLOOKUP(C244,'פ.נ. EUROPE'!$D$164:$H$353,4,0),"")</f>
        <v>-82112.899999999994</v>
      </c>
      <c r="N244" s="1104">
        <f t="shared" ref="N244:N251" si="59">IF(K244=0,"-",J244/K244)</f>
        <v>0.73993002317540857</v>
      </c>
      <c r="O244" s="434"/>
      <c r="P244" s="2224" t="s">
        <v>2466</v>
      </c>
      <c r="Q244" s="418"/>
      <c r="R244" s="454"/>
      <c r="S244" s="450"/>
      <c r="T244" s="63"/>
      <c r="U244" s="435"/>
      <c r="V244" s="435"/>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F244" s="418"/>
    </row>
    <row r="245" spans="1:58">
      <c r="B245" s="3659" t="s">
        <v>705</v>
      </c>
      <c r="C245" s="585">
        <v>2500002</v>
      </c>
      <c r="D245" s="45" t="s">
        <v>632</v>
      </c>
      <c r="E245" s="3276">
        <f>IFERROR(VLOOKUP(C245,'פ.נ. EUROPE'!$D$164:$F$303,3,0),0)</f>
        <v>0</v>
      </c>
      <c r="F245" s="3316">
        <f>SUMIF('פ.נ. EUROPE'!C:C,C:C,'פ.נ. EUROPE'!E:E)</f>
        <v>0</v>
      </c>
      <c r="G245" s="1626"/>
      <c r="H245" s="1958"/>
      <c r="I245" s="1626"/>
      <c r="J245" s="1314">
        <f t="shared" si="58"/>
        <v>0</v>
      </c>
      <c r="K245" s="599">
        <f>M245+SUMIF('פ.נ. EUROPE'!C:C,'מאזן בוחן EUROPE'!C245,'פ.נ. EUROPE'!F:F)</f>
        <v>0</v>
      </c>
      <c r="L245" s="482"/>
      <c r="M245" s="599" t="str">
        <f>IFERROR(VLOOKUP(C245,'פ.נ. EUROPE'!$D$164:$H$353,4,0),"")</f>
        <v/>
      </c>
      <c r="N245" s="1104" t="str">
        <f t="shared" si="59"/>
        <v>-</v>
      </c>
      <c r="O245" s="434"/>
      <c r="P245" s="1114" t="s">
        <v>2466</v>
      </c>
      <c r="Q245" s="418"/>
      <c r="R245" s="454"/>
      <c r="S245" s="450"/>
      <c r="T245" s="63"/>
      <c r="U245" s="435"/>
      <c r="V245" s="435"/>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F245" s="418"/>
    </row>
    <row r="246" spans="1:58">
      <c r="B246" s="3735" t="s">
        <v>705</v>
      </c>
      <c r="C246" s="1426">
        <v>21010</v>
      </c>
      <c r="D246" s="1397" t="s">
        <v>549</v>
      </c>
      <c r="E246" s="439">
        <f>IFERROR(VLOOKUP(C246,'פ.נ. EUROPE'!$D$164:$F$303,3,0),0)</f>
        <v>-37247</v>
      </c>
      <c r="F246" s="518">
        <f>SUMIF('פ.נ. EUROPE'!C:C,C:C,'פ.נ. EUROPE'!E:E)</f>
        <v>0</v>
      </c>
      <c r="G246" s="1213"/>
      <c r="H246" s="976"/>
      <c r="I246" s="1213"/>
      <c r="J246" s="170">
        <f t="shared" si="58"/>
        <v>-37247</v>
      </c>
      <c r="K246" s="171">
        <f>M246+SUMIF('פ.נ. EUROPE'!C:C,'מאזן בוחן EUROPE'!C246,'פ.נ. EUROPE'!F:F)</f>
        <v>-50338.54</v>
      </c>
      <c r="L246" s="51"/>
      <c r="M246" s="171">
        <f>IFERROR(VLOOKUP(C246,'פ.נ. EUROPE'!$D$164:$H$353,4,0),"")</f>
        <v>-50338.54</v>
      </c>
      <c r="N246" s="1409">
        <f t="shared" si="59"/>
        <v>0.73993008140482419</v>
      </c>
      <c r="O246" s="1398"/>
      <c r="P246" s="2833"/>
      <c r="Q246" s="418"/>
      <c r="R246" s="454"/>
      <c r="S246" s="450"/>
      <c r="T246" s="63"/>
      <c r="U246" s="435"/>
      <c r="V246" s="435"/>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F246" s="418"/>
    </row>
    <row r="247" spans="1:58">
      <c r="B247" s="3659" t="s">
        <v>705</v>
      </c>
      <c r="C247" s="585">
        <v>2500006</v>
      </c>
      <c r="D247" s="45" t="s">
        <v>1563</v>
      </c>
      <c r="E247" s="439">
        <f>IFERROR(VLOOKUP(C247,'פ.נ. EUROPE'!$D$164:$F$303,3,0),0)</f>
        <v>37040.93</v>
      </c>
      <c r="F247" s="518">
        <f>SUMIF('פ.נ. EUROPE'!C:C,C:C,'פ.נ. EUROPE'!E:E)</f>
        <v>0</v>
      </c>
      <c r="G247" s="1213"/>
      <c r="H247" s="976"/>
      <c r="I247" s="1213"/>
      <c r="J247" s="170">
        <f t="shared" si="58"/>
        <v>37040.93</v>
      </c>
      <c r="K247" s="171">
        <f>M247+SUMIF('פ.נ. EUROPE'!C:C,'מאזן בוחן EUROPE'!C247,'פ.נ. EUROPE'!F:F)</f>
        <v>50060.04</v>
      </c>
      <c r="L247" s="51"/>
      <c r="M247" s="171">
        <f>IFERROR(VLOOKUP(C247,'פ.נ. EUROPE'!$D$164:$H$353,4,0),"")</f>
        <v>50060.04</v>
      </c>
      <c r="N247" s="1104">
        <f t="shared" si="59"/>
        <v>0.73993009194559167</v>
      </c>
      <c r="O247" s="472"/>
      <c r="P247" s="2834"/>
      <c r="Q247" s="418"/>
      <c r="R247" s="454"/>
      <c r="S247" s="450"/>
      <c r="T247" s="63"/>
      <c r="U247" s="435"/>
      <c r="V247" s="435"/>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F247" s="418"/>
    </row>
    <row r="248" spans="1:58">
      <c r="B248" s="3659" t="s">
        <v>705</v>
      </c>
      <c r="C248" s="585">
        <v>2500010</v>
      </c>
      <c r="D248" s="45" t="s">
        <v>708</v>
      </c>
      <c r="E248" s="439">
        <f>IFERROR(VLOOKUP(C248,'פ.נ. EUROPE'!$D$164:$F$303,3,0),0)</f>
        <v>-2296.21</v>
      </c>
      <c r="F248" s="518">
        <f>SUMIF('פ.נ. EUROPE'!C:C,C:C,'פ.נ. EUROPE'!E:E)</f>
        <v>0</v>
      </c>
      <c r="G248" s="1213"/>
      <c r="H248" s="976"/>
      <c r="I248" s="1213"/>
      <c r="J248" s="170">
        <f t="shared" si="58"/>
        <v>-2296.21</v>
      </c>
      <c r="K248" s="171">
        <f>M248+SUMIF('פ.נ. EUROPE'!C:C,'מאזן בוחן EUROPE'!C248,'פ.נ. EUROPE'!F:F)</f>
        <v>-3103.28</v>
      </c>
      <c r="L248" s="51"/>
      <c r="M248" s="171">
        <f>IFERROR(VLOOKUP(C248,'פ.נ. EUROPE'!$D$164:$H$353,4,0),"")</f>
        <v>-3103.28</v>
      </c>
      <c r="N248" s="1104">
        <f t="shared" si="59"/>
        <v>0.73993000953829491</v>
      </c>
      <c r="O248" s="472"/>
      <c r="P248" s="2834"/>
      <c r="Q248" s="418"/>
      <c r="R248" s="454"/>
      <c r="S248" s="450"/>
      <c r="T248" s="63"/>
      <c r="U248" s="435"/>
      <c r="V248" s="435"/>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F248" s="418"/>
    </row>
    <row r="249" spans="1:58">
      <c r="B249" s="3736" t="s">
        <v>1044</v>
      </c>
      <c r="C249" s="1427">
        <v>2500031</v>
      </c>
      <c r="D249" s="1399" t="s">
        <v>1579</v>
      </c>
      <c r="E249" s="3276">
        <f>IFERROR(VLOOKUP(C249,'פ.נ. EUROPE'!$D$164:$F$303,3,0),0)</f>
        <v>2501.5700000000002</v>
      </c>
      <c r="F249" s="3316">
        <f>SUMIF('פ.נ. EUROPE'!C:C,C:C,'פ.נ. EUROPE'!E:E)</f>
        <v>0</v>
      </c>
      <c r="G249" s="1626"/>
      <c r="H249" s="1958"/>
      <c r="I249" s="1626"/>
      <c r="J249" s="1314">
        <f t="shared" si="58"/>
        <v>2501.5700000000002</v>
      </c>
      <c r="K249" s="599">
        <f>M249+SUMIF('פ.נ. EUROPE'!C:C,'מאזן בוחן EUROPE'!C249,'פ.נ. EUROPE'!F:F)</f>
        <v>3380.82</v>
      </c>
      <c r="L249" s="482"/>
      <c r="M249" s="599">
        <f>IFERROR(VLOOKUP(C249,'פ.נ. EUROPE'!$D$164:$H$353,4,0),"")</f>
        <v>3380.82</v>
      </c>
      <c r="N249" s="1104">
        <f t="shared" si="59"/>
        <v>0.73992995782088367</v>
      </c>
      <c r="O249" s="1403"/>
      <c r="P249" s="2835"/>
      <c r="Q249" s="418"/>
      <c r="R249" s="454"/>
      <c r="S249" s="450"/>
      <c r="T249" s="63"/>
      <c r="U249" s="435"/>
      <c r="V249" s="435"/>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F249" s="418"/>
    </row>
    <row r="250" spans="1:58">
      <c r="B250" s="3659" t="s">
        <v>705</v>
      </c>
      <c r="C250" s="585">
        <v>2500050</v>
      </c>
      <c r="D250" s="45" t="s">
        <v>1562</v>
      </c>
      <c r="E250" s="439">
        <f>IFERROR(VLOOKUP(C250,'פ.נ. EUROPE'!$D$164:$F$303,3,0),0)</f>
        <v>-65558</v>
      </c>
      <c r="F250" s="518">
        <f>SUMIF('פ.נ. EUROPE'!C:C,C:C,'פ.נ. EUROPE'!E:E)</f>
        <v>0</v>
      </c>
      <c r="G250" s="1213"/>
      <c r="H250" s="976"/>
      <c r="I250" s="1213"/>
      <c r="J250" s="170">
        <f t="shared" si="58"/>
        <v>-65558</v>
      </c>
      <c r="K250" s="171">
        <f>M250+SUMIF('פ.נ. EUROPE'!C:C,'מאזן בוחן EUROPE'!C250,'פ.נ. EUROPE'!F:F)</f>
        <v>-88600.27</v>
      </c>
      <c r="L250" s="51"/>
      <c r="M250" s="171">
        <f>IFERROR(VLOOKUP(C250,'פ.נ. EUROPE'!$D$164:$H$353,4,0),"")</f>
        <v>-88600.27</v>
      </c>
      <c r="N250" s="1409">
        <f t="shared" si="59"/>
        <v>0.73993002504394167</v>
      </c>
      <c r="O250" s="434"/>
      <c r="P250" s="2834" t="s">
        <v>1564</v>
      </c>
      <c r="Q250" s="418"/>
      <c r="R250" s="454"/>
      <c r="S250" s="450"/>
      <c r="T250" s="63"/>
      <c r="U250" s="435"/>
      <c r="V250" s="435"/>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F250" s="418"/>
    </row>
    <row r="251" spans="1:58">
      <c r="B251" s="3659" t="s">
        <v>705</v>
      </c>
      <c r="C251" s="585">
        <v>2500040</v>
      </c>
      <c r="D251" s="45" t="s">
        <v>1569</v>
      </c>
      <c r="E251" s="439">
        <f>IFERROR(VLOOKUP(C251,'פ.נ. EUROPE'!$D$164:$F$303,3,0),0)</f>
        <v>59797.24</v>
      </c>
      <c r="F251" s="518">
        <f>SUMIF('פ.נ. EUROPE'!C:C,C:C,'פ.נ. EUROPE'!E:E)</f>
        <v>0</v>
      </c>
      <c r="G251" s="1213"/>
      <c r="H251" s="976"/>
      <c r="I251" s="1213"/>
      <c r="J251" s="170">
        <f t="shared" si="58"/>
        <v>59797.24</v>
      </c>
      <c r="K251" s="171">
        <f>M251+SUMIF('פ.נ. EUROPE'!C:C,'מאזן בוחן EUROPE'!C251,'פ.נ. EUROPE'!F:F)</f>
        <v>80814.720000000001</v>
      </c>
      <c r="L251" s="51"/>
      <c r="M251" s="171">
        <f>IFERROR(VLOOKUP(C251,'פ.נ. EUROPE'!$D$164:$H$353,4,0),"")</f>
        <v>80814.720000000001</v>
      </c>
      <c r="N251" s="1104">
        <f t="shared" si="59"/>
        <v>0.73993005234689913</v>
      </c>
      <c r="O251" s="434"/>
      <c r="P251" s="2834" t="s">
        <v>1565</v>
      </c>
      <c r="Q251" s="418"/>
      <c r="R251" s="454"/>
      <c r="S251" s="450"/>
      <c r="T251" s="63"/>
      <c r="U251" s="435"/>
      <c r="V251" s="435"/>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F251" s="418"/>
    </row>
    <row r="252" spans="1:58">
      <c r="B252" s="3659" t="s">
        <v>1044</v>
      </c>
      <c r="C252" s="585">
        <v>2500099</v>
      </c>
      <c r="D252" s="45" t="s">
        <v>1761</v>
      </c>
      <c r="E252" s="439">
        <f>IFERROR(VLOOKUP(C252,'פ.נ. EUROPE'!$D$164:$F$303,3,0),0)</f>
        <v>-57724</v>
      </c>
      <c r="F252" s="518">
        <f>SUMIF('פ.נ. EUROPE'!C:C,C:C,'פ.נ. EUROPE'!E:E)</f>
        <v>0</v>
      </c>
      <c r="G252" s="1213"/>
      <c r="H252" s="976"/>
      <c r="I252" s="1213"/>
      <c r="J252" s="170">
        <f t="shared" ref="J252:J261" si="60">SUM(E252:I252)</f>
        <v>-57724</v>
      </c>
      <c r="K252" s="171">
        <f>M252+SUMIF('פ.נ. EUROPE'!C:C,'מאזן בוחן EUROPE'!C252,'פ.נ. EUROPE'!F:F)</f>
        <v>-78012.78</v>
      </c>
      <c r="L252" s="51"/>
      <c r="M252" s="171">
        <f>IFERROR(VLOOKUP(C252,'פ.נ. EUROPE'!$D$164:$H$353,4,0),"")</f>
        <v>-78012.78</v>
      </c>
      <c r="N252" s="1104">
        <f t="shared" ref="N252:N261" si="61">IF(K252=0,"-",J252/K252)</f>
        <v>0.73993004735890711</v>
      </c>
      <c r="O252" s="434"/>
      <c r="P252" s="2834" t="s">
        <v>1762</v>
      </c>
      <c r="Q252" s="418"/>
      <c r="R252" s="454"/>
      <c r="S252" s="450"/>
      <c r="T252" s="63"/>
      <c r="U252" s="435"/>
      <c r="V252" s="435"/>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F252" s="418"/>
    </row>
    <row r="253" spans="1:58">
      <c r="B253" s="3737" t="s">
        <v>1044</v>
      </c>
      <c r="C253" s="1313">
        <v>2000060</v>
      </c>
      <c r="D253" s="1404" t="s">
        <v>1980</v>
      </c>
      <c r="E253" s="3276">
        <f>IFERROR(VLOOKUP(C253,'פ.נ. EUROPE'!$D$164:$F$303,3,0),0)</f>
        <v>63480.17</v>
      </c>
      <c r="F253" s="3316">
        <f>SUMIF('פ.נ. EUROPE'!C:C,C:C,'פ.נ. EUROPE'!E:E)</f>
        <v>0</v>
      </c>
      <c r="G253" s="1626"/>
      <c r="H253" s="1958"/>
      <c r="I253" s="1626"/>
      <c r="J253" s="1314">
        <f t="shared" si="60"/>
        <v>63480.17</v>
      </c>
      <c r="K253" s="599">
        <f>M253+SUMIF('פ.נ. EUROPE'!C:C,'מאזן בוחן EUROPE'!C253,'פ.נ. EUROPE'!F:F)</f>
        <v>85792.12</v>
      </c>
      <c r="L253" s="482"/>
      <c r="M253" s="599">
        <f>IFERROR(VLOOKUP(C253,'פ.נ. EUROPE'!$D$164:$H$353,4,0),"")</f>
        <v>85792.12</v>
      </c>
      <c r="N253" s="1410">
        <f t="shared" si="61"/>
        <v>0.73993007749429673</v>
      </c>
      <c r="O253" s="434"/>
      <c r="P253" s="2835" t="s">
        <v>1982</v>
      </c>
      <c r="Q253" s="418"/>
      <c r="R253" s="454"/>
      <c r="S253" s="450"/>
      <c r="T253" s="63"/>
      <c r="U253" s="435"/>
      <c r="V253" s="435"/>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F253" s="418"/>
    </row>
    <row r="254" spans="1:58">
      <c r="B254" s="3659" t="s">
        <v>1044</v>
      </c>
      <c r="C254" s="585">
        <v>2000070</v>
      </c>
      <c r="D254" s="45" t="s">
        <v>2953</v>
      </c>
      <c r="E254" s="439">
        <f>IFERROR(VLOOKUP(C254,'פ.נ. EUROPE'!$D$164:$F$303,3,0),0)</f>
        <v>14500</v>
      </c>
      <c r="F254" s="518">
        <f>SUMIF('פ.נ. EUROPE'!C:C,C:C,'פ.נ. EUROPE'!E:E)</f>
        <v>0</v>
      </c>
      <c r="G254" s="517"/>
      <c r="H254" s="518"/>
      <c r="J254" s="170">
        <f t="shared" si="60"/>
        <v>14500</v>
      </c>
      <c r="K254" s="171">
        <f>M254+SUMIF('פ.נ. EUROPE'!C:C,'מאזן בוחן EUROPE'!C254,'פ.נ. EUROPE'!F:F)</f>
        <v>19596.45</v>
      </c>
      <c r="L254" s="51"/>
      <c r="M254" s="171">
        <f>IFERROR(VLOOKUP(C254,'פ.נ. EUROPE'!$D$164:$H$353,4,0),"")</f>
        <v>19596.45</v>
      </c>
      <c r="N254" s="1104">
        <f t="shared" si="61"/>
        <v>0.73992993628948101</v>
      </c>
      <c r="O254" s="472"/>
      <c r="P254" s="2834"/>
      <c r="Q254" s="418"/>
      <c r="R254" s="454"/>
      <c r="S254" s="450"/>
      <c r="T254" s="63"/>
      <c r="U254" s="435"/>
      <c r="V254" s="435"/>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F254" s="418"/>
    </row>
    <row r="255" spans="1:58">
      <c r="B255" s="3659" t="s">
        <v>1044</v>
      </c>
      <c r="C255" s="585">
        <v>2500051</v>
      </c>
      <c r="D255" s="45" t="s">
        <v>2960</v>
      </c>
      <c r="E255" s="439">
        <f>IFERROR(VLOOKUP(C255,'פ.נ. EUROPE'!$D$164:$F$303,3,0),0)</f>
        <v>-15379</v>
      </c>
      <c r="F255" s="518">
        <f>SUMIF('פ.נ. EUROPE'!C:C,C:C,'פ.נ. EUROPE'!E:E)</f>
        <v>0</v>
      </c>
      <c r="G255" s="1213"/>
      <c r="H255" s="976"/>
      <c r="I255" s="439"/>
      <c r="J255" s="170">
        <f>SUM(E255:I255)</f>
        <v>-15379</v>
      </c>
      <c r="K255" s="171">
        <f>M255+SUMIF('פ.נ. EUROPE'!C:C,'מאזן בוחן EUROPE'!C255,'פ.נ. EUROPE'!F:F)</f>
        <v>-20784.400000000001</v>
      </c>
      <c r="L255" s="51"/>
      <c r="M255" s="171">
        <f>IFERROR(VLOOKUP(C255,'פ.נ. EUROPE'!$D$164:$H$353,4,0),"")</f>
        <v>-20784.400000000001</v>
      </c>
      <c r="N255" s="1104">
        <f t="shared" si="61"/>
        <v>0.73992994746059537</v>
      </c>
      <c r="O255" s="472"/>
      <c r="P255" s="2834"/>
      <c r="Q255" s="418"/>
      <c r="R255" s="454"/>
      <c r="S255" s="450"/>
      <c r="T255" s="63"/>
      <c r="U255" s="435"/>
      <c r="V255" s="435"/>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F255" s="418"/>
    </row>
    <row r="256" spans="1:58">
      <c r="B256" s="3659" t="s">
        <v>705</v>
      </c>
      <c r="C256" s="585">
        <v>2500042</v>
      </c>
      <c r="D256" s="45" t="s">
        <v>2121</v>
      </c>
      <c r="E256" s="439">
        <f>IFERROR(VLOOKUP(C256,'פ.נ. EUROPE'!$D$164:$F$303,3,0),0)</f>
        <v>-23520</v>
      </c>
      <c r="F256" s="518">
        <f>SUMIF('פ.נ. EUROPE'!C:C,C:C,'פ.נ. EUROPE'!E:E)</f>
        <v>0</v>
      </c>
      <c r="G256" s="1213"/>
      <c r="H256" s="976"/>
      <c r="I256" s="439"/>
      <c r="J256" s="170">
        <f t="shared" si="60"/>
        <v>-23520</v>
      </c>
      <c r="K256" s="171">
        <f>M256+SUMIF('פ.נ. EUROPE'!C:C,'מאזן בוחן EUROPE'!C256,'פ.נ. EUROPE'!F:F)</f>
        <v>-31786.79</v>
      </c>
      <c r="L256" s="51"/>
      <c r="M256" s="171">
        <f>IFERROR(VLOOKUP(C256,'פ.נ. EUROPE'!$D$164:$H$353,4,0),"")</f>
        <v>-31786.79</v>
      </c>
      <c r="N256" s="1104">
        <f t="shared" si="61"/>
        <v>0.73993001495275235</v>
      </c>
      <c r="O256" s="472"/>
      <c r="P256" s="2834" t="s">
        <v>2554</v>
      </c>
      <c r="Q256" s="418"/>
      <c r="R256" s="454"/>
      <c r="S256" s="450"/>
      <c r="T256" s="63"/>
      <c r="U256" s="435"/>
      <c r="V256" s="435"/>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F256" s="418"/>
    </row>
    <row r="257" spans="1:58" ht="26.25" thickBot="1">
      <c r="B257" s="3736" t="s">
        <v>705</v>
      </c>
      <c r="C257" s="1427">
        <v>2500041</v>
      </c>
      <c r="D257" s="1399" t="s">
        <v>1669</v>
      </c>
      <c r="E257" s="3276">
        <f>IFERROR(VLOOKUP(C257,'פ.נ. EUROPE'!$D$164:$F$303,3,0),0)</f>
        <v>24525.93</v>
      </c>
      <c r="F257" s="3316"/>
      <c r="G257" s="3039"/>
      <c r="H257" s="3038"/>
      <c r="I257" s="1400"/>
      <c r="J257" s="1401">
        <f t="shared" si="60"/>
        <v>24525.93</v>
      </c>
      <c r="K257" s="1402">
        <f>M257+SUMIF('פ.נ. EUROPE'!C:C,'מאזן בוחן EUROPE'!C257,'פ.נ. EUROPE'!F:F)</f>
        <v>33146.28</v>
      </c>
      <c r="L257" s="1098"/>
      <c r="M257" s="1402">
        <f>IFERROR(VLOOKUP(C257,'פ.נ. EUROPE'!$D$164:$H$353,4,0),"")</f>
        <v>33146.28</v>
      </c>
      <c r="N257" s="1410">
        <f t="shared" si="61"/>
        <v>0.73993009170259838</v>
      </c>
      <c r="O257" s="1403"/>
      <c r="P257" s="2836" t="s">
        <v>1847</v>
      </c>
      <c r="Q257" s="418"/>
      <c r="R257" s="454"/>
      <c r="S257" s="450"/>
      <c r="T257" s="63"/>
      <c r="U257" s="435"/>
      <c r="V257" s="435"/>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F257" s="418"/>
    </row>
    <row r="258" spans="1:58" ht="13.5" thickBot="1">
      <c r="B258" s="3659" t="s">
        <v>705</v>
      </c>
      <c r="C258" s="585">
        <v>2500054</v>
      </c>
      <c r="D258" s="45" t="s">
        <v>2236</v>
      </c>
      <c r="E258" s="439">
        <f>IFERROR(VLOOKUP(C258,'פ.נ. EUROPE'!$D$164:$F$303,3,0),0)</f>
        <v>-60718.01</v>
      </c>
      <c r="F258" s="52">
        <f>SUMIF('פ.נ. EUROPE'!C:C,C:C,'פ.נ. EUROPE'!E:E)</f>
        <v>0</v>
      </c>
      <c r="G258" s="1213"/>
      <c r="H258" s="976"/>
      <c r="I258" s="439"/>
      <c r="J258" s="170">
        <f t="shared" si="60"/>
        <v>-60718.01</v>
      </c>
      <c r="K258" s="171">
        <f>M258+SUMIF('פ.נ. EUROPE'!C:C,'מאזן בוחן EUROPE'!C258,'פ.נ. EUROPE'!F:F)</f>
        <v>-82059.12</v>
      </c>
      <c r="L258" s="956">
        <f>-'[126]TB EUROPE'!$J$295+J258</f>
        <v>-0.33499651316378731</v>
      </c>
      <c r="M258" s="171">
        <f>IFERROR(VLOOKUP(C258,'פ.נ. EUROPE'!$D$164:$H$353,4,0),"")</f>
        <v>-82059.12</v>
      </c>
      <c r="N258" s="1409">
        <f t="shared" si="61"/>
        <v>0.7399300650555356</v>
      </c>
      <c r="O258" s="472"/>
      <c r="P258" s="2837"/>
      <c r="Q258" s="418"/>
      <c r="R258" s="454"/>
      <c r="S258" s="450"/>
      <c r="T258" s="63"/>
      <c r="U258" s="435"/>
      <c r="V258" s="435"/>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F258" s="418"/>
    </row>
    <row r="259" spans="1:58" ht="13.5" thickBot="1">
      <c r="B259" s="3659" t="s">
        <v>1044</v>
      </c>
      <c r="C259" s="585">
        <v>2000080</v>
      </c>
      <c r="D259" s="45" t="s">
        <v>4275</v>
      </c>
      <c r="E259" s="439">
        <f>IFERROR(VLOOKUP(C259,'פ.נ. EUROPE'!$D$164:$F$303,3,0),0)</f>
        <v>61339</v>
      </c>
      <c r="F259" s="52">
        <f>SUMIF('פ.נ. EUROPE'!C:C,C:C,'פ.נ. EUROPE'!E:E)</f>
        <v>0</v>
      </c>
      <c r="G259" s="1213"/>
      <c r="H259" s="976"/>
      <c r="I259" s="439"/>
      <c r="J259" s="170">
        <f t="shared" ref="J259" si="62">SUM(E259:I259)</f>
        <v>61339</v>
      </c>
      <c r="K259" s="171">
        <f>M259+SUMIF('פ.נ. EUROPE'!C:C,'מאזן בוחן EUROPE'!C259,'פ.נ. EUROPE'!F:F)</f>
        <v>82898.38</v>
      </c>
      <c r="L259" s="51"/>
      <c r="M259" s="171">
        <f>IFERROR(VLOOKUP(C259,'פ.נ. EUROPE'!$D$164:$H$353,4,0),"")</f>
        <v>82898.38</v>
      </c>
      <c r="N259" s="2791">
        <f t="shared" ref="N259" si="63">IF(K259=0,"-",J259/K259)</f>
        <v>0.73993002034539146</v>
      </c>
      <c r="O259" s="472"/>
      <c r="P259" s="432" t="s">
        <v>4334</v>
      </c>
      <c r="Q259" s="418"/>
      <c r="R259" s="454"/>
      <c r="S259" s="450"/>
      <c r="T259" s="63"/>
      <c r="U259" s="435"/>
      <c r="V259" s="435"/>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F259" s="418"/>
    </row>
    <row r="260" spans="1:58">
      <c r="B260" s="3659" t="s">
        <v>1044</v>
      </c>
      <c r="C260" s="585">
        <v>2050043</v>
      </c>
      <c r="D260" s="45" t="s">
        <v>2813</v>
      </c>
      <c r="E260" s="439">
        <f>IFERROR(VLOOKUP(C260,'פ.נ. EUROPE'!$D$164:$F$303,3,0),0)</f>
        <v>-21339.59</v>
      </c>
      <c r="F260" s="52">
        <f>SUMIF('פ.נ. EUROPE'!C:C,C:C,'פ.נ. EUROPE'!E:E)</f>
        <v>0</v>
      </c>
      <c r="G260" s="1213"/>
      <c r="H260" s="976"/>
      <c r="I260" s="439"/>
      <c r="J260" s="170">
        <f t="shared" si="60"/>
        <v>-21339.59</v>
      </c>
      <c r="K260" s="1127">
        <f>M260+SUMIF('פ.נ. EUROPE'!C:C,'מאזן בוחן EUROPE'!C260,'פ.נ. EUROPE'!F:F)</f>
        <v>-28840.01</v>
      </c>
      <c r="L260" s="4309">
        <f>J261+J260-SUM('[126]TB EUROPE'!$J$294,'[126]TB EUROPE'!$J$296)</f>
        <v>2.4742703935771715E-3</v>
      </c>
      <c r="M260" s="474">
        <f>IFERROR(VLOOKUP(C260,'פ.נ. EUROPE'!$D$164:$H$353,4,0),"")</f>
        <v>-28840.01</v>
      </c>
      <c r="N260" s="1104">
        <f t="shared" si="61"/>
        <v>0.73993004856794442</v>
      </c>
      <c r="O260" s="472"/>
      <c r="P260" s="2837" t="s">
        <v>2771</v>
      </c>
      <c r="Q260" s="418"/>
      <c r="R260" s="454"/>
      <c r="S260" s="450"/>
      <c r="T260" s="63"/>
      <c r="U260" s="435"/>
      <c r="V260" s="435"/>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F260" s="418"/>
    </row>
    <row r="261" spans="1:58" ht="26.25" thickBot="1">
      <c r="B261" s="3737" t="s">
        <v>705</v>
      </c>
      <c r="C261" s="1313">
        <v>2500045</v>
      </c>
      <c r="D261" s="1411" t="s">
        <v>2108</v>
      </c>
      <c r="E261" s="3276">
        <f>IFERROR(VLOOKUP(C261,'פ.נ. EUROPE'!$D$164:$F$303,3,0),0)</f>
        <v>21934.81</v>
      </c>
      <c r="F261" s="3316">
        <f>SUMIF('פ.נ. EUROPE'!C:C,C:C,'פ.נ. EUROPE'!E:E)</f>
        <v>0</v>
      </c>
      <c r="G261" s="1626"/>
      <c r="H261" s="1958"/>
      <c r="I261" s="750"/>
      <c r="J261" s="1314">
        <f t="shared" si="60"/>
        <v>21934.81</v>
      </c>
      <c r="K261" s="2764">
        <f>M261+SUMIF('פ.נ. EUROPE'!C:C,'מאזן בוחן EUROPE'!C261,'פ.נ. EUROPE'!F:F)</f>
        <v>29644.44</v>
      </c>
      <c r="L261" s="4310"/>
      <c r="M261" s="2600">
        <f>IFERROR(VLOOKUP(C261,'פ.נ. EUROPE'!$D$164:$H$353,4,0),"")</f>
        <v>29644.44</v>
      </c>
      <c r="N261" s="1410">
        <f t="shared" si="61"/>
        <v>0.73992998349774874</v>
      </c>
      <c r="O261" s="472"/>
      <c r="P261" s="2836" t="s">
        <v>1847</v>
      </c>
      <c r="Q261" s="418"/>
      <c r="R261" s="454"/>
      <c r="S261" s="450"/>
      <c r="T261" s="63"/>
      <c r="U261" s="435"/>
      <c r="V261" s="435"/>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F261" s="418"/>
    </row>
    <row r="262" spans="1:58" ht="13.5" thickBot="1">
      <c r="B262" s="3659" t="s">
        <v>1044</v>
      </c>
      <c r="C262" s="585">
        <v>2500047</v>
      </c>
      <c r="D262" s="45" t="s">
        <v>4259</v>
      </c>
      <c r="E262" s="439">
        <f>IFERROR(VLOOKUP(C262,'פ.נ. EUROPE'!$D$164:$F$303,3,0),0)</f>
        <v>0</v>
      </c>
      <c r="F262" s="52">
        <f>SUMIF('פ.נ. EUROPE'!C:C,C:C,'פ.נ. EUROPE'!E:E)</f>
        <v>0</v>
      </c>
      <c r="G262" s="1213"/>
      <c r="H262" s="976"/>
      <c r="I262" s="439"/>
      <c r="J262" s="170">
        <f>SUM(E262:I262)</f>
        <v>0</v>
      </c>
      <c r="K262" s="171">
        <f>M262+SUMIF('פ.נ. EUROPE'!C:C,'מאזן בוחן EUROPE'!C262,'פ.נ. EUROPE'!F:F)</f>
        <v>0</v>
      </c>
      <c r="L262" s="956">
        <f>J262-'[127]tax comp'!$H$58</f>
        <v>-15261.544537372452</v>
      </c>
      <c r="M262" s="171" t="str">
        <f>IFERROR(VLOOKUP(C262,'פ.נ. EUROPE'!$D$164:$H$353,4,0),"")</f>
        <v/>
      </c>
      <c r="N262" s="1409" t="str">
        <f>IF(K262=0,"-",J262/K262)</f>
        <v>-</v>
      </c>
      <c r="O262" s="472"/>
      <c r="P262" s="2837"/>
      <c r="Q262" s="418"/>
      <c r="R262" s="454"/>
      <c r="S262" s="450"/>
      <c r="T262" s="63"/>
      <c r="U262" s="435"/>
      <c r="V262" s="435"/>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F262" s="418"/>
    </row>
    <row r="263" spans="1:58">
      <c r="B263" s="3659" t="s">
        <v>1044</v>
      </c>
      <c r="C263" s="585">
        <v>2050044</v>
      </c>
      <c r="D263" s="45" t="s">
        <v>4651</v>
      </c>
      <c r="E263" s="439">
        <f>IFERROR(VLOOKUP(C263,'פ.נ. EUROPE'!$D$164:$F$303,3,0),0)</f>
        <v>-31816.18</v>
      </c>
      <c r="F263" s="52">
        <f>SUMIF('פ.נ. EUROPE'!C:C,C:C,'פ.נ. EUROPE'!E:E)</f>
        <v>0</v>
      </c>
      <c r="G263" s="1213"/>
      <c r="H263" s="976"/>
      <c r="I263" s="439"/>
      <c r="J263" s="170">
        <f t="shared" ref="J263" si="64">SUM(E263:I263)</f>
        <v>-31816.18</v>
      </c>
      <c r="K263" s="1127">
        <f>M263+SUMIF('פ.נ. EUROPE'!C:C,'מאזן בוחן EUROPE'!C263,'פ.נ. EUROPE'!F:F)</f>
        <v>-42998.9</v>
      </c>
      <c r="L263" s="4309">
        <f>K264+K263-[128]Sheet1!$E$45</f>
        <v>4.7574999969128839E-3</v>
      </c>
      <c r="M263" s="474">
        <f>IFERROR(VLOOKUP(C263,'פ.נ. EUROPE'!$D$164:$H$353,4,0),"")</f>
        <v>-42998.9</v>
      </c>
      <c r="N263" s="2791">
        <f t="shared" ref="N263" si="65">IF(K263=0,"-",J263/K263)</f>
        <v>0.73993009123489206</v>
      </c>
      <c r="O263" s="472"/>
      <c r="P263" s="2837" t="s">
        <v>2771</v>
      </c>
      <c r="Q263" s="418"/>
      <c r="R263" s="454"/>
      <c r="S263" s="450"/>
      <c r="T263" s="63"/>
      <c r="U263" s="435"/>
      <c r="V263" s="435"/>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F263" s="418"/>
    </row>
    <row r="264" spans="1:58" ht="26.25" thickBot="1">
      <c r="B264" s="3659" t="s">
        <v>1044</v>
      </c>
      <c r="C264" s="585">
        <v>2500046</v>
      </c>
      <c r="D264" s="45" t="s">
        <v>3321</v>
      </c>
      <c r="E264" s="439">
        <f>IFERROR(VLOOKUP(C264,'פ.נ. EUROPE'!$D$164:$F$303,3,0),0)</f>
        <v>32784.019999999997</v>
      </c>
      <c r="F264" s="3316"/>
      <c r="G264" s="3039"/>
      <c r="H264" s="3038"/>
      <c r="I264" s="3039"/>
      <c r="J264" s="1401">
        <f>SUM(E264:I264)</f>
        <v>32784.019999999997</v>
      </c>
      <c r="K264" s="4236">
        <f>M264+SUMIF('פ.נ. EUROPE'!C:C,'מאזן בוחן EUROPE'!C264,'פ.נ. EUROPE'!F:F)</f>
        <v>44306.92</v>
      </c>
      <c r="L264" s="4310"/>
      <c r="M264" s="4237">
        <f>IFERROR(VLOOKUP(C264,'פ.נ. EUROPE'!$D$164:$H$353,4,0),"")</f>
        <v>44306.92</v>
      </c>
      <c r="N264" s="1410">
        <f>IF(K264=0,"-",J264/K264)</f>
        <v>0.73993001544679693</v>
      </c>
      <c r="O264" s="472"/>
      <c r="P264" s="3149" t="s">
        <v>1847</v>
      </c>
      <c r="Q264" s="418"/>
      <c r="R264" s="454"/>
      <c r="S264" s="450"/>
      <c r="T264" s="63"/>
      <c r="U264" s="435"/>
      <c r="V264" s="435"/>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F264" s="418"/>
    </row>
    <row r="265" spans="1:58">
      <c r="A265" s="406"/>
      <c r="B265" s="3738"/>
      <c r="C265" s="156"/>
      <c r="D265" s="69" t="s">
        <v>77</v>
      </c>
      <c r="E265" s="3313">
        <f t="shared" ref="E265:K265" si="66">SUM(E243:E264)</f>
        <v>-58452.120000000017</v>
      </c>
      <c r="F265" s="3306">
        <f t="shared" si="66"/>
        <v>0</v>
      </c>
      <c r="G265" s="1206">
        <f t="shared" si="66"/>
        <v>0</v>
      </c>
      <c r="H265" s="1206">
        <f t="shared" si="66"/>
        <v>0</v>
      </c>
      <c r="I265" s="1206">
        <f t="shared" si="66"/>
        <v>0</v>
      </c>
      <c r="J265" s="1351">
        <f t="shared" si="66"/>
        <v>-58452.120000000017</v>
      </c>
      <c r="K265" s="1351">
        <f t="shared" si="66"/>
        <v>-78996.820000000022</v>
      </c>
      <c r="L265" s="336"/>
      <c r="M265" s="1351">
        <f>SUM(M243:M264)</f>
        <v>-78996.820000000022</v>
      </c>
      <c r="N265" s="1104"/>
      <c r="O265" s="434"/>
      <c r="P265" s="1412"/>
      <c r="Q265" s="52"/>
      <c r="R265" s="52"/>
      <c r="S265" s="52"/>
      <c r="T265" s="52"/>
      <c r="U265" s="454"/>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row>
    <row r="266" spans="1:58">
      <c r="A266" s="406"/>
      <c r="B266" s="3664"/>
      <c r="C266" s="154"/>
      <c r="D266" s="63"/>
      <c r="F266" s="518"/>
      <c r="G266" s="517"/>
      <c r="H266" s="518"/>
      <c r="I266" s="517"/>
      <c r="K266" s="399"/>
      <c r="L266" s="51"/>
      <c r="M266" s="399"/>
      <c r="N266" s="1104"/>
      <c r="O266" s="434"/>
      <c r="P266" s="2934"/>
      <c r="Q266" s="52"/>
      <c r="R266" s="52"/>
      <c r="S266" s="52"/>
      <c r="T266" s="52"/>
      <c r="U266" s="454"/>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row>
    <row r="267" spans="1:58" ht="13.5" thickBot="1">
      <c r="A267" s="406"/>
      <c r="B267" s="3668"/>
      <c r="C267" s="154"/>
      <c r="D267" s="50" t="s">
        <v>78</v>
      </c>
      <c r="F267" s="52"/>
      <c r="G267" s="517"/>
      <c r="H267" s="518"/>
      <c r="I267" s="517"/>
      <c r="K267" s="399"/>
      <c r="L267" s="51"/>
      <c r="M267" s="171"/>
      <c r="N267" s="1621"/>
      <c r="O267" s="434"/>
      <c r="P267" s="401"/>
      <c r="Q267" s="52"/>
      <c r="R267" s="52"/>
      <c r="S267" s="52"/>
      <c r="T267" s="52"/>
      <c r="U267" s="454"/>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row>
    <row r="268" spans="1:58" ht="13.5" thickBot="1">
      <c r="A268" s="406"/>
      <c r="B268" s="3659" t="s">
        <v>703</v>
      </c>
      <c r="C268" s="585">
        <v>2400001</v>
      </c>
      <c r="D268" s="45" t="s">
        <v>704</v>
      </c>
      <c r="E268" s="439">
        <f>IFERROR(VLOOKUP(C268,'פ.נ. EUROPE'!$D$164:$F$303,3,0),0)</f>
        <v>-702686.61</v>
      </c>
      <c r="F268" s="52">
        <f>SUMIF('פ.נ. EUROPE'!C:C,C:C,'פ.נ. EUROPE'!E:E)</f>
        <v>0</v>
      </c>
      <c r="G268" s="1213"/>
      <c r="H268" s="976"/>
      <c r="I268" s="1213" t="s">
        <v>169</v>
      </c>
      <c r="J268" s="170">
        <f t="shared" ref="J268:J271" si="67">SUM(E268:I268)</f>
        <v>-702686.61</v>
      </c>
      <c r="K268" s="1127">
        <f>M268+SUMIF('פ.נ. EUROPE'!C:C,'מאזן בוחן EUROPE'!C268,'פ.נ. EUROPE'!F:F)</f>
        <v>-947832.52</v>
      </c>
      <c r="L268" s="956">
        <f>+'Accrued expenses'!$O$165+J268</f>
        <v>312.99230784655083</v>
      </c>
      <c r="M268" s="474">
        <f>IFERROR(VLOOKUP(C268,'פ.נ. EUROPE'!$D$164:$H$353,4,0),"")</f>
        <v>-947832.52</v>
      </c>
      <c r="N268" s="1974">
        <f t="shared" ref="N268:N271" si="68">IF(K268=0,"-",J268/K268)</f>
        <v>0.74136157514409817</v>
      </c>
      <c r="O268" s="1972"/>
      <c r="P268" s="1620" t="s">
        <v>2745</v>
      </c>
      <c r="Q268" s="52"/>
      <c r="R268" s="52"/>
      <c r="S268" s="52"/>
      <c r="T268" s="52"/>
      <c r="U268" s="454"/>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row>
    <row r="269" spans="1:58">
      <c r="B269" s="3659" t="s">
        <v>703</v>
      </c>
      <c r="C269" s="585">
        <v>2400030</v>
      </c>
      <c r="D269" s="45" t="s">
        <v>1639</v>
      </c>
      <c r="E269" s="439">
        <f>IFERROR(VLOOKUP(C269,'פ.נ. EUROPE'!$D$164:$F$303,3,0),0)</f>
        <v>2077.91</v>
      </c>
      <c r="F269" s="518">
        <f>SUMIF('פ.נ. EUROPE'!C:C,C:C,'פ.נ. EUROPE'!E:E)</f>
        <v>0</v>
      </c>
      <c r="G269" s="1213"/>
      <c r="H269" s="976"/>
      <c r="I269" s="1213"/>
      <c r="J269" s="170">
        <f t="shared" si="67"/>
        <v>2077.91</v>
      </c>
      <c r="K269" s="171">
        <f>M269+SUMIF('פ.נ. EUROPE'!C:C,'מאזן בוחן EUROPE'!C269,'פ.נ. EUROPE'!F:F)</f>
        <v>2808.26</v>
      </c>
      <c r="L269" s="51"/>
      <c r="M269" s="171">
        <f>IFERROR(VLOOKUP(C269,'פ.נ. EUROPE'!$D$164:$H$353,4,0),"")</f>
        <v>2808.26</v>
      </c>
      <c r="N269" s="1621">
        <f t="shared" si="68"/>
        <v>0.73992792690135523</v>
      </c>
      <c r="O269" s="1973"/>
      <c r="P269" s="2935" t="s">
        <v>2572</v>
      </c>
      <c r="Q269" s="52"/>
      <c r="R269" s="52"/>
    </row>
    <row r="270" spans="1:58">
      <c r="A270" s="406"/>
      <c r="B270" s="3659" t="s">
        <v>703</v>
      </c>
      <c r="C270" s="585">
        <v>2400021</v>
      </c>
      <c r="D270" s="45" t="s">
        <v>1314</v>
      </c>
      <c r="E270" s="439">
        <f>IFERROR(VLOOKUP(C270,'פ.נ. EUROPE'!$D$164:$F$303,3,0),0)</f>
        <v>95.89</v>
      </c>
      <c r="F270" s="518">
        <f>SUMIF('פ.נ. EUROPE'!C:C,C:C,'פ.נ. EUROPE'!E:E)</f>
        <v>0</v>
      </c>
      <c r="G270" s="1213"/>
      <c r="H270" s="976"/>
      <c r="I270" s="1213"/>
      <c r="J270" s="170">
        <f t="shared" si="67"/>
        <v>95.89</v>
      </c>
      <c r="K270" s="171">
        <f>M270+SUMIF('פ.נ. EUROPE'!C:C,'מאזן בוחן EUROPE'!C270,'פ.נ. EUROPE'!F:F)</f>
        <v>129.59</v>
      </c>
      <c r="L270" s="51"/>
      <c r="M270" s="171">
        <f>IFERROR(VLOOKUP(C270,'פ.נ. EUROPE'!$D$164:$H$353,4,0),"")</f>
        <v>129.59</v>
      </c>
      <c r="N270" s="1621">
        <f t="shared" si="68"/>
        <v>0.73994907014430122</v>
      </c>
      <c r="O270" s="1973"/>
      <c r="P270" s="2935"/>
      <c r="Q270" s="52"/>
      <c r="R270" s="52"/>
      <c r="S270" s="52"/>
      <c r="T270" s="52"/>
      <c r="U270" s="454"/>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row>
    <row r="271" spans="1:58">
      <c r="A271" s="406"/>
      <c r="B271" s="3659" t="s">
        <v>703</v>
      </c>
      <c r="C271" s="585">
        <v>2400220</v>
      </c>
      <c r="D271" s="45" t="s">
        <v>2032</v>
      </c>
      <c r="E271" s="439">
        <f>IFERROR(VLOOKUP(C271,'פ.נ. EUROPE'!$D$164:$F$303,3,0),0)</f>
        <v>-3578.44</v>
      </c>
      <c r="F271" s="518">
        <f>SUMIF('פ.נ. EUROPE'!C:C,C:C,'פ.נ. EUROPE'!E:E)</f>
        <v>0</v>
      </c>
      <c r="G271" s="1213"/>
      <c r="H271" s="976"/>
      <c r="I271" s="1213"/>
      <c r="J271" s="170">
        <f t="shared" si="67"/>
        <v>-3578.44</v>
      </c>
      <c r="K271" s="171">
        <f>M271+SUMIF('פ.נ. EUROPE'!C:C,'מאזן בוחן EUROPE'!C271,'פ.נ. EUROPE'!F:F)</f>
        <v>-4836.18</v>
      </c>
      <c r="L271" s="51"/>
      <c r="M271" s="171">
        <f>IFERROR(VLOOKUP(C271,'פ.נ. EUROPE'!$D$164:$H$353,4,0),"")</f>
        <v>-4836.18</v>
      </c>
      <c r="N271" s="1621">
        <f t="shared" si="68"/>
        <v>0.73993110264713058</v>
      </c>
      <c r="O271" s="434"/>
      <c r="P271" s="2935" t="s">
        <v>2466</v>
      </c>
      <c r="Q271" s="52"/>
      <c r="R271" s="52"/>
      <c r="S271" s="52"/>
      <c r="T271" s="52"/>
      <c r="U271" s="454"/>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row>
    <row r="272" spans="1:58">
      <c r="A272" s="406"/>
      <c r="B272" s="3659" t="s">
        <v>703</v>
      </c>
      <c r="C272" s="585">
        <v>2400215</v>
      </c>
      <c r="D272" s="45" t="s">
        <v>4886</v>
      </c>
      <c r="E272" s="439">
        <f>IFERROR(VLOOKUP(C272,'פ.נ. EUROPE'!$D$164:$F$303,3,0),0)</f>
        <v>-2779.96</v>
      </c>
      <c r="F272" s="518">
        <f>SUMIF('פ.נ. EUROPE'!C:C,C:C,'פ.נ. EUROPE'!E:E)</f>
        <v>0</v>
      </c>
      <c r="G272" s="1213"/>
      <c r="H272" s="976"/>
      <c r="I272" s="1213"/>
      <c r="J272" s="170">
        <f t="shared" ref="J272" si="69">SUM(E272:I272)</f>
        <v>-2779.96</v>
      </c>
      <c r="K272" s="171">
        <f>M272+SUMIF('פ.נ. EUROPE'!C:C,'מאזן בוחן EUROPE'!C272,'פ.נ. EUROPE'!F:F)</f>
        <v>-3757.06</v>
      </c>
      <c r="L272" s="51"/>
      <c r="M272" s="171">
        <f>IFERROR(VLOOKUP(C272,'פ.נ. EUROPE'!$D$164:$H$353,4,0),"")</f>
        <v>-3757.06</v>
      </c>
      <c r="N272" s="1621">
        <f t="shared" ref="N272" si="70">IF(K272=0,"-",J272/K272)</f>
        <v>0.73992962582444788</v>
      </c>
      <c r="O272" s="434"/>
      <c r="P272" s="2935"/>
      <c r="Q272" s="52"/>
      <c r="R272" s="52"/>
      <c r="S272" s="52"/>
      <c r="T272" s="52"/>
      <c r="U272" s="454"/>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row>
    <row r="273" spans="1:51">
      <c r="A273" s="406"/>
      <c r="B273" s="3659"/>
      <c r="C273" s="156"/>
      <c r="D273" s="50" t="s">
        <v>652</v>
      </c>
      <c r="E273" s="1213"/>
      <c r="F273" s="518"/>
      <c r="G273" s="1213"/>
      <c r="H273" s="976"/>
      <c r="I273" s="1213"/>
      <c r="J273" s="170"/>
      <c r="K273" s="171"/>
      <c r="L273" s="51"/>
      <c r="M273" s="171"/>
      <c r="N273" s="1104"/>
      <c r="O273" s="434"/>
      <c r="P273" s="2935"/>
      <c r="Q273" s="52"/>
      <c r="R273" s="52"/>
      <c r="S273" s="52"/>
      <c r="T273" s="52"/>
      <c r="U273" s="454"/>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row>
    <row r="274" spans="1:51">
      <c r="B274" s="3659"/>
      <c r="C274" s="585">
        <v>2160000</v>
      </c>
      <c r="D274" s="45" t="s">
        <v>653</v>
      </c>
      <c r="E274" s="439">
        <f>IFERROR(VLOOKUP(C274,'פ.נ. EUROPE'!$D$164:$F$303,3,0),0)</f>
        <v>-32654.32</v>
      </c>
      <c r="F274" s="170">
        <f>SUMIF('פ.נ. EUROPE'!C:C,C:C,'פ.נ. EUROPE'!E:E)</f>
        <v>0</v>
      </c>
      <c r="G274" s="1213"/>
      <c r="H274" s="976"/>
      <c r="I274" s="1213"/>
      <c r="J274" s="170">
        <f>SUM(E274:I274)</f>
        <v>-32654.32</v>
      </c>
      <c r="K274" s="171">
        <f>M274+SUMIF('פ.נ. EUROPE'!C:C,'מאזן בוחן EUROPE'!C274,'פ.נ. EUROPE'!F:F)</f>
        <v>-44131.62</v>
      </c>
      <c r="L274" s="51"/>
      <c r="M274" s="171">
        <f>IFERROR(VLOOKUP(C274,'פ.נ. EUROPE'!$D$164:$H$353,4,0),"")</f>
        <v>-44131.62</v>
      </c>
      <c r="N274" s="1104">
        <f>IF(K274=0,"-",J274/K274)</f>
        <v>0.73993023596233265</v>
      </c>
      <c r="O274" s="449"/>
      <c r="P274" s="2935" t="s">
        <v>1483</v>
      </c>
      <c r="Q274" s="52"/>
      <c r="R274" s="52"/>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c r="AS274" s="141"/>
      <c r="AT274" s="141"/>
      <c r="AU274" s="141"/>
      <c r="AV274" s="141"/>
      <c r="AW274" s="141"/>
      <c r="AX274" s="141"/>
      <c r="AY274" s="141"/>
    </row>
    <row r="275" spans="1:51">
      <c r="A275" s="406"/>
      <c r="B275" s="3659"/>
      <c r="C275" s="156"/>
      <c r="D275" s="45"/>
      <c r="E275" s="448"/>
      <c r="F275" s="518"/>
      <c r="G275" s="517"/>
      <c r="H275" s="518"/>
      <c r="I275" s="517"/>
      <c r="J275" s="440"/>
      <c r="K275" s="446"/>
      <c r="L275" s="51"/>
      <c r="M275" s="446"/>
      <c r="N275" s="1104"/>
      <c r="O275" s="434"/>
      <c r="P275" s="2935"/>
      <c r="Q275" s="52"/>
      <c r="R275" s="52"/>
      <c r="S275" s="52"/>
      <c r="T275" s="52"/>
      <c r="U275" s="454"/>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row>
    <row r="276" spans="1:51">
      <c r="A276" s="406"/>
      <c r="B276" s="3659"/>
      <c r="C276" s="156"/>
      <c r="D276" s="69"/>
      <c r="E276" s="3313">
        <f t="shared" ref="E276:K276" si="71">SUM(E268:E275)</f>
        <v>-739525.5299999998</v>
      </c>
      <c r="F276" s="1623">
        <f t="shared" si="71"/>
        <v>0</v>
      </c>
      <c r="G276" s="1351">
        <f t="shared" si="71"/>
        <v>0</v>
      </c>
      <c r="H276" s="1351">
        <f t="shared" si="71"/>
        <v>0</v>
      </c>
      <c r="I276" s="1351">
        <f t="shared" si="71"/>
        <v>0</v>
      </c>
      <c r="J276" s="1351">
        <f t="shared" si="71"/>
        <v>-739525.5299999998</v>
      </c>
      <c r="K276" s="1351">
        <f t="shared" si="71"/>
        <v>-997619.53000000014</v>
      </c>
      <c r="L276" s="336"/>
      <c r="M276" s="1351">
        <f>SUM(M268:M275)</f>
        <v>-997619.53000000014</v>
      </c>
      <c r="N276" s="1104"/>
      <c r="O276" s="434"/>
      <c r="P276" s="2935"/>
      <c r="Q276" s="52"/>
      <c r="R276" s="52"/>
      <c r="S276" s="52"/>
      <c r="T276" s="52"/>
      <c r="U276" s="454"/>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row>
    <row r="277" spans="1:51">
      <c r="A277" s="406"/>
      <c r="B277" s="3668"/>
      <c r="C277" s="154"/>
      <c r="D277" s="50" t="s">
        <v>194</v>
      </c>
      <c r="E277" s="429"/>
      <c r="F277" s="596"/>
      <c r="G277" s="517"/>
      <c r="H277" s="518"/>
      <c r="I277" s="595"/>
      <c r="K277" s="473"/>
      <c r="L277" s="51"/>
      <c r="M277" s="473"/>
      <c r="N277" s="1104"/>
      <c r="O277" s="434"/>
      <c r="P277" s="2935"/>
      <c r="Q277" s="52"/>
      <c r="R277" s="52"/>
      <c r="S277" s="52"/>
      <c r="T277" s="52"/>
      <c r="U277" s="454"/>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row>
    <row r="278" spans="1:51">
      <c r="A278" s="406"/>
      <c r="B278" s="3659" t="s">
        <v>693</v>
      </c>
      <c r="C278" s="1119">
        <v>53501</v>
      </c>
      <c r="D278" s="48" t="s">
        <v>694</v>
      </c>
      <c r="E278" s="439">
        <f>IFERROR(VLOOKUP(C278,'פ.נ. EUROPE'!$D$164:$F$353,3,0),0)</f>
        <v>-790308.23</v>
      </c>
      <c r="F278" s="518">
        <f>SUMIF('פ.נ. EUROPE'!C:C,C:C,'פ.נ. EUROPE'!E:E)</f>
        <v>0</v>
      </c>
      <c r="G278" s="1213"/>
      <c r="H278" s="976"/>
      <c r="I278" s="439"/>
      <c r="J278" s="170">
        <f t="shared" ref="J278:J288" si="72">SUM(E278:I278)</f>
        <v>-790308.23</v>
      </c>
      <c r="K278" s="171">
        <f>M278+SUMIF('פ.נ. EUROPE'!C:C,'מאזן בוחן EUROPE'!C278,'פ.נ. EUROPE'!F:F)</f>
        <v>-1061856.24</v>
      </c>
      <c r="L278" s="51"/>
      <c r="M278" s="171">
        <f>IFERROR(VLOOKUP(C278,'פ.נ. EUROPE'!$D$164:$H$353,4,0),"")</f>
        <v>-1061856.24</v>
      </c>
      <c r="N278" s="1104">
        <f t="shared" ref="N278:N288" si="73">IF(K278=0,"-",J278/K278)</f>
        <v>0.7442704579294086</v>
      </c>
      <c r="O278" s="434"/>
      <c r="P278" s="2935"/>
      <c r="Q278" s="52"/>
      <c r="R278" s="52"/>
      <c r="S278" s="52"/>
      <c r="T278" s="52"/>
      <c r="U278" s="454"/>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row>
    <row r="279" spans="1:51">
      <c r="A279" s="406"/>
      <c r="B279" s="3659" t="s">
        <v>693</v>
      </c>
      <c r="C279" s="1119">
        <v>53502</v>
      </c>
      <c r="D279" s="48" t="s">
        <v>695</v>
      </c>
      <c r="E279" s="439">
        <f>IFERROR(VLOOKUP(C279,'פ.נ. EUROPE'!$D$164:$F$353,3,0),0)</f>
        <v>-4586888.95</v>
      </c>
      <c r="F279" s="518">
        <f>SUMIF('פ.נ. EUROPE'!$C$41:$C$116,'מאזן בוחן EUROPE'!C279,'פ.נ. EUROPE'!$E$41:$E$116)</f>
        <v>0</v>
      </c>
      <c r="G279" s="1213"/>
      <c r="H279" s="976"/>
      <c r="I279" s="439"/>
      <c r="J279" s="170">
        <f t="shared" si="72"/>
        <v>-4586888.95</v>
      </c>
      <c r="K279" s="171">
        <f>M279+SUMIF('פ.נ. EUROPE'!C:C,'מאזן בוחן EUROPE'!C279,'פ.נ. EUROPE'!F:F)</f>
        <v>-6077720.8600000003</v>
      </c>
      <c r="L279" s="51"/>
      <c r="M279" s="171">
        <f>IFERROR(VLOOKUP(C279,'פ.נ. EUROPE'!$D$164:$H$353,4,0),"")</f>
        <v>-6077720.8600000003</v>
      </c>
      <c r="N279" s="1104">
        <f t="shared" si="73"/>
        <v>0.75470543245712673</v>
      </c>
      <c r="O279" s="434"/>
      <c r="P279" s="2935" t="s">
        <v>2750</v>
      </c>
      <c r="Q279" s="52"/>
      <c r="R279" s="52"/>
      <c r="S279" s="52"/>
      <c r="T279" s="52"/>
      <c r="U279" s="454"/>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row>
    <row r="280" spans="1:51">
      <c r="A280" s="406"/>
      <c r="B280" s="3659" t="s">
        <v>693</v>
      </c>
      <c r="C280" s="1119">
        <v>53515</v>
      </c>
      <c r="D280" s="48" t="s">
        <v>461</v>
      </c>
      <c r="E280" s="439">
        <f>IFERROR(VLOOKUP(C280,'פ.נ. EUROPE'!$D$164:$F$353,3,0),0)</f>
        <v>-60814.49</v>
      </c>
      <c r="F280" s="518">
        <f>SUMIF('פ.נ. EUROPE'!C:C,C:C,'פ.נ. EUROPE'!E:E)</f>
        <v>0</v>
      </c>
      <c r="G280" s="439"/>
      <c r="H280" s="52"/>
      <c r="I280" s="439"/>
      <c r="J280" s="170">
        <f>SUM(E280:I280)</f>
        <v>-60814.49</v>
      </c>
      <c r="K280" s="171">
        <f>M280+SUMIF('פ.נ. EUROPE'!C:C,'מאזן בוחן EUROPE'!C280,'פ.נ. EUROPE'!F:F)</f>
        <v>-82623.899999999994</v>
      </c>
      <c r="L280" s="51"/>
      <c r="M280" s="171">
        <f>IFERROR(VLOOKUP(C280,'פ.נ. EUROPE'!$D$164:$H$353,4,0),"")</f>
        <v>-82623.899999999994</v>
      </c>
      <c r="N280" s="1104">
        <f>IF(K280=0,"-",J280/K280)</f>
        <v>0.73603993517614152</v>
      </c>
      <c r="O280" s="434"/>
      <c r="P280" s="2935"/>
      <c r="Q280" s="52"/>
      <c r="R280" s="52"/>
      <c r="S280" s="52"/>
      <c r="T280" s="52"/>
      <c r="U280" s="454"/>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row>
    <row r="281" spans="1:51" ht="13.5" thickBot="1">
      <c r="A281" s="406"/>
      <c r="B281" s="3659" t="s">
        <v>693</v>
      </c>
      <c r="C281" s="1119">
        <v>53516</v>
      </c>
      <c r="D281" s="48" t="s">
        <v>1638</v>
      </c>
      <c r="E281" s="439">
        <f>IFERROR(VLOOKUP(C281,'פ.נ. EUROPE'!$D$164:$F$353,3,0),0)</f>
        <v>-37472.550000000003</v>
      </c>
      <c r="F281" s="518">
        <f>SUMIF('פ.נ. EUROPE'!C:C,C:C,'פ.נ. EUROPE'!E:E)</f>
        <v>0</v>
      </c>
      <c r="G281" s="439"/>
      <c r="H281" s="52"/>
      <c r="I281" s="439"/>
      <c r="J281" s="170">
        <f>SUM(E281:I281)</f>
        <v>-37472.550000000003</v>
      </c>
      <c r="K281" s="171">
        <f>M281+SUMIF('פ.נ. EUROPE'!C:C,'מאזן בוחן EUROPE'!C281,'פ.נ. EUROPE'!F:F)</f>
        <v>-48796.89</v>
      </c>
      <c r="L281" s="51"/>
      <c r="M281" s="171">
        <f>IFERROR(VLOOKUP(C281,'פ.נ. EUROPE'!$D$164:$H$353,4,0),"")</f>
        <v>-48796.89</v>
      </c>
      <c r="N281" s="1104">
        <f>IF(K281=0,"-",J281/K281)</f>
        <v>0.76792906269231509</v>
      </c>
      <c r="O281" s="434"/>
      <c r="P281" s="2935"/>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row>
    <row r="282" spans="1:51" ht="13.5" thickBot="1">
      <c r="A282" s="406"/>
      <c r="B282" s="3659" t="s">
        <v>693</v>
      </c>
      <c r="C282" s="1119">
        <v>53513</v>
      </c>
      <c r="D282" s="48" t="s">
        <v>697</v>
      </c>
      <c r="E282" s="439">
        <f>IFERROR(VLOOKUP(C282,'פ.נ. EUROPE'!$D$164:$F$353,3,0),0)</f>
        <v>-56473.2</v>
      </c>
      <c r="F282" s="518">
        <f>SUMIF('פ.נ. EUROPE'!C:C,C:C,'פ.נ. EUROPE'!E:E)</f>
        <v>0</v>
      </c>
      <c r="G282" s="1213"/>
      <c r="H282" s="976"/>
      <c r="I282" s="439"/>
      <c r="J282" s="170">
        <f t="shared" si="72"/>
        <v>-56473.2</v>
      </c>
      <c r="K282" s="171">
        <f>M282+SUMIF('פ.נ. EUROPE'!C:C,'מאזן בוחן EUROPE'!C282,'פ.נ. EUROPE'!F:F)</f>
        <v>-65627.72</v>
      </c>
      <c r="L282" s="956">
        <f>J282-S283</f>
        <v>0.14239999999699648</v>
      </c>
      <c r="M282" s="171">
        <f>IFERROR(VLOOKUP(C282,'פ.נ. EUROPE'!$D$164:$H$353,4,0),"")</f>
        <v>-65627.72</v>
      </c>
      <c r="N282" s="1104">
        <f t="shared" si="73"/>
        <v>0.86050833397838589</v>
      </c>
      <c r="O282" s="434"/>
      <c r="P282" s="2935"/>
      <c r="Q282" s="1936" t="s">
        <v>2962</v>
      </c>
      <c r="R282" s="1936" t="s">
        <v>2961</v>
      </c>
      <c r="S282" s="1936" t="s">
        <v>3066</v>
      </c>
      <c r="T282" s="1936" t="s">
        <v>3468</v>
      </c>
      <c r="U282" s="454"/>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row>
    <row r="283" spans="1:51" ht="13.5" thickBot="1">
      <c r="A283" s="406"/>
      <c r="B283" s="3659" t="s">
        <v>693</v>
      </c>
      <c r="C283" s="1119">
        <v>53514</v>
      </c>
      <c r="D283" s="48" t="s">
        <v>698</v>
      </c>
      <c r="E283" s="439">
        <f>IFERROR(VLOOKUP(C283,'פ.נ. EUROPE'!$D$164:$F$353,3,0),0)</f>
        <v>-547423.63</v>
      </c>
      <c r="F283" s="976">
        <f>SUMIF('פ.נ. EUROPE'!C:C,C:C,'פ.נ. EUROPE'!E:E)</f>
        <v>0</v>
      </c>
      <c r="G283" s="1213"/>
      <c r="H283" s="976"/>
      <c r="I283" s="439"/>
      <c r="J283" s="170">
        <f t="shared" si="72"/>
        <v>-547423.63</v>
      </c>
      <c r="K283" s="171">
        <f>M283+SUMIF('פ.נ. EUROPE'!C:C,'מאזן בוחן EUROPE'!C283,'פ.נ. EUROPE'!F:F)</f>
        <v>-749084.7</v>
      </c>
      <c r="L283" s="956">
        <f>K283-Q283-R283-T283</f>
        <v>-4760.693528003103</v>
      </c>
      <c r="M283" s="171">
        <f>IFERROR(VLOOKUP(C283,'פ.נ. EUROPE'!$D$164:$H$353,4,0),"")</f>
        <v>-749084.7</v>
      </c>
      <c r="N283" s="1104">
        <f t="shared" si="73"/>
        <v>0.73079002948531724</v>
      </c>
      <c r="O283" s="434"/>
      <c r="P283" s="2935" t="s">
        <v>2748</v>
      </c>
      <c r="Q283" s="3739">
        <f>SUM('[15]12.21'!$K$221:$K$223,'[15]12.21'!$K$234:$K$235,'[15]12.21'!$K$237,'[15]12.21'!$K$244:$K$245,'[15]12.21'!$K$248,'[15]12.21'!$K$253,'[15]12.21'!$K$256,'[15]12.21'!$K$258,'[15]12.21'!$K$260)</f>
        <v>-255909.47260000007</v>
      </c>
      <c r="R283" s="3739">
        <f>SUM('[15]12.21'!$K$220,'[15]12.21'!$K$224:$K$233,'[15]12.21'!$K$236,'[15]12.21'!$K$239:$K$243,'[15]12.21'!$K$246:$K$247,'[15]12.21'!$K$251,'[15]12.21'!$K$252,'[15]12.21'!$K$255,'[15]12.21'!$K$257,'[15]12.21'!$K$259)*'נתונים לשינוי'!$C$21/'נתונים לשינוי'!C22</f>
        <v>-562000.99114999676</v>
      </c>
      <c r="S283" s="3739">
        <f>SUM('[15]12.21'!$K$261:$K$265)</f>
        <v>-56473.342399999994</v>
      </c>
      <c r="T283" s="3740">
        <f>[129]priority!$F$37</f>
        <v>73586.457278000002</v>
      </c>
      <c r="U283" s="454"/>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row>
    <row r="284" spans="1:51">
      <c r="A284" s="406"/>
      <c r="B284" s="3659" t="s">
        <v>693</v>
      </c>
      <c r="C284" s="1119">
        <v>53550</v>
      </c>
      <c r="D284" s="48" t="s">
        <v>699</v>
      </c>
      <c r="E284" s="439">
        <f>IFERROR(VLOOKUP(C284,'פ.נ. EUROPE'!$D$164:$F$353,3,0),0)</f>
        <v>-2084948.99</v>
      </c>
      <c r="F284" s="518">
        <f>SUMIF('פ.נ. EUROPE'!C:C,C:C,'פ.נ. EUROPE'!E:E)</f>
        <v>0</v>
      </c>
      <c r="G284" s="439"/>
      <c r="H284" s="52"/>
      <c r="I284" s="439"/>
      <c r="J284" s="170">
        <f t="shared" si="72"/>
        <v>-2084948.99</v>
      </c>
      <c r="K284" s="171">
        <f>M284+SUMIF('פ.נ. EUROPE'!C:C,'מאזן בוחן EUROPE'!C284,'פ.נ. EUROPE'!F:F)</f>
        <v>-2839616.78</v>
      </c>
      <c r="L284" s="4309">
        <f>'606-Prepaid Comm&amp;DR SUB'!E196+(K284+K285)</f>
        <v>-174.12047390401858</v>
      </c>
      <c r="M284" s="171">
        <f>IFERROR(VLOOKUP(C284,'פ.נ. EUROPE'!$D$164:$H$353,4,0),"")</f>
        <v>-2839616.78</v>
      </c>
      <c r="N284" s="1104">
        <f t="shared" si="73"/>
        <v>0.73423604363966333</v>
      </c>
      <c r="O284" s="434"/>
      <c r="P284" s="2935"/>
      <c r="Q284" s="52"/>
      <c r="R284" s="52"/>
      <c r="S284" s="52"/>
      <c r="T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row>
    <row r="285" spans="1:51" ht="13.5" thickBot="1">
      <c r="A285" s="406"/>
      <c r="B285" s="3659" t="s">
        <v>693</v>
      </c>
      <c r="C285" s="1119">
        <v>53510</v>
      </c>
      <c r="D285" s="48" t="s">
        <v>696</v>
      </c>
      <c r="E285" s="439">
        <f>IFERROR(VLOOKUP(C285,'פ.נ. EUROPE'!$D$164:$F$353,3,0),0)</f>
        <v>1550006.98</v>
      </c>
      <c r="F285" s="518">
        <f>SUMIF('פ.נ. EUROPE'!C:C,C:C,'פ.נ. EUROPE'!E:E)</f>
        <v>0</v>
      </c>
      <c r="G285" s="439"/>
      <c r="H285" s="52"/>
      <c r="I285" s="439"/>
      <c r="J285" s="170">
        <f t="shared" si="72"/>
        <v>1550006.98</v>
      </c>
      <c r="K285" s="171">
        <f>M285+SUMIF('פ.נ. EUROPE'!C:C,'מאזן בוחן EUROPE'!C285,'פ.נ. EUROPE'!F:F)</f>
        <v>2795283.39</v>
      </c>
      <c r="L285" s="4310"/>
      <c r="M285" s="171">
        <f>IFERROR(VLOOKUP(C285,'פ.נ. EUROPE'!$D$164:$H$353,4,0),"")</f>
        <v>2795283.39</v>
      </c>
      <c r="N285" s="1104">
        <f t="shared" si="73"/>
        <v>0.55450799212168611</v>
      </c>
      <c r="O285" s="434"/>
      <c r="P285" s="2935"/>
      <c r="Q285" s="52"/>
      <c r="R285" s="52"/>
      <c r="S285" s="52"/>
      <c r="T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row>
    <row r="286" spans="1:51" ht="13.5" thickBot="1">
      <c r="A286" s="406"/>
      <c r="B286" s="3659" t="s">
        <v>693</v>
      </c>
      <c r="C286" s="1444">
        <v>53599</v>
      </c>
      <c r="D286" s="1445" t="s">
        <v>700</v>
      </c>
      <c r="E286" s="439">
        <f>IFERROR(VLOOKUP(C286,'פ.נ. EUROPE'!$D$164:$F$353,3,0),0)</f>
        <v>-449415.6</v>
      </c>
      <c r="F286" s="170">
        <f>SUMIF('פ.נ. EUROPE'!C:C,C:C,'פ.נ. EUROPE'!E:E)</f>
        <v>0</v>
      </c>
      <c r="G286" s="1746"/>
      <c r="H286" s="2968"/>
      <c r="I286" s="1746"/>
      <c r="J286" s="1340">
        <f t="shared" si="72"/>
        <v>-449415.6</v>
      </c>
      <c r="K286" s="1341">
        <f>M286+SUMIF('פ.נ. EUROPE'!C:C,'מאזן בוחן EUROPE'!C286,'פ.נ. EUROPE'!F:F)</f>
        <v>-579656.18000000005</v>
      </c>
      <c r="L286" s="2225">
        <f>SUM('[33]53599 - UK'!$P$58:$CA$58,-'ביאורים לדוחות הכספיים'!B116,'ביאורים לדוחות הכספיים'!B169,'ביאורים לדוחות הכספיים'!B170)-K286</f>
        <v>8.2981760271359235</v>
      </c>
      <c r="M286" s="1341">
        <f>IFERROR(VLOOKUP(C286,'פ.נ. EUROPE'!$D$164:$H$353,4,0),"")</f>
        <v>-579656.18000000005</v>
      </c>
      <c r="N286" s="1420">
        <f t="shared" si="73"/>
        <v>0.77531408360038523</v>
      </c>
      <c r="O286" s="1446"/>
      <c r="P286" s="2935"/>
      <c r="Q286" s="52"/>
      <c r="R286" s="52"/>
      <c r="S286" s="52"/>
      <c r="T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row>
    <row r="287" spans="1:51">
      <c r="A287" s="406"/>
      <c r="B287" s="3659" t="s">
        <v>1019</v>
      </c>
      <c r="C287" s="585">
        <v>53580</v>
      </c>
      <c r="D287" s="45" t="s">
        <v>1661</v>
      </c>
      <c r="E287" s="439">
        <f>IFERROR(VLOOKUP(C287,'פ.נ. EUROPE'!$D$164:$F$353,3,0),0)</f>
        <v>-188189.68</v>
      </c>
      <c r="F287" s="518">
        <f>SUMIF('פ.נ. EUROPE'!C:C,C:C,'פ.נ. EUROPE'!E:E)</f>
        <v>0</v>
      </c>
      <c r="G287" s="1213"/>
      <c r="H287" s="976"/>
      <c r="I287" s="1213"/>
      <c r="J287" s="170">
        <f t="shared" si="72"/>
        <v>-188189.68</v>
      </c>
      <c r="K287" s="171">
        <f>M287+SUMIF('פ.נ. EUROPE'!C:C,'מאזן בוחן EUROPE'!C287,'פ.נ. EUROPE'!F:F)</f>
        <v>-244055.02</v>
      </c>
      <c r="L287" s="4309">
        <f>SUM('[33]53599 - UK'!$Q$51:$CA$51,'606-Prepaid Comm&amp;DR SUB'!E190,'606-Prepaid Comm&amp;DR SUB'!E184,'606-Prepaid Comm&amp;DR SUB'!E179)+K287+K288</f>
        <v>202.31567823048681</v>
      </c>
      <c r="M287" s="171">
        <f>IFERROR(VLOOKUP(C287,'פ.נ. EUROPE'!$D$164:$H$353,4,0),"")</f>
        <v>-244055.02</v>
      </c>
      <c r="N287" s="1104">
        <f t="shared" si="73"/>
        <v>0.77109530465712195</v>
      </c>
      <c r="O287" s="434"/>
      <c r="P287" s="2935"/>
      <c r="Q287" s="52"/>
      <c r="R287" s="52"/>
      <c r="S287" s="52"/>
      <c r="T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row>
    <row r="288" spans="1:51" ht="13.5" thickBot="1">
      <c r="A288" s="406"/>
      <c r="B288" s="3659" t="s">
        <v>1019</v>
      </c>
      <c r="C288" s="1119">
        <v>53581</v>
      </c>
      <c r="D288" s="45" t="s">
        <v>1662</v>
      </c>
      <c r="E288" s="439">
        <f>IFERROR(VLOOKUP(C288,'פ.נ. EUROPE'!$D$164:$F$353,3,0),0)</f>
        <v>-2260207.41</v>
      </c>
      <c r="F288" s="170">
        <f>SUMIF('פ.נ. EUROPE'!C:C,C:C,'פ.נ. EUROPE'!E:E)</f>
        <v>0</v>
      </c>
      <c r="G288" s="1213"/>
      <c r="H288" s="976"/>
      <c r="I288" s="1213"/>
      <c r="J288" s="170">
        <f t="shared" si="72"/>
        <v>-2260207.41</v>
      </c>
      <c r="K288" s="171">
        <f>M288+SUMIF('פ.נ. EUROPE'!C:C,'מאזן בוחן EUROPE'!C288,'פ.נ. EUROPE'!F:F)</f>
        <v>-3019532.51</v>
      </c>
      <c r="L288" s="4310"/>
      <c r="M288" s="171">
        <f>IFERROR(VLOOKUP(C288,'פ.נ. EUROPE'!$D$164:$H$353,4,0),"")</f>
        <v>-3019532.51</v>
      </c>
      <c r="N288" s="1104">
        <f t="shared" si="73"/>
        <v>0.74852892045861774</v>
      </c>
      <c r="O288" s="434"/>
      <c r="P288" s="2935"/>
      <c r="Q288" s="52"/>
      <c r="R288" s="52"/>
      <c r="S288" s="52"/>
      <c r="T288" s="52"/>
      <c r="U288" s="454"/>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row>
    <row r="289" spans="1:51">
      <c r="A289" s="406"/>
      <c r="B289" s="3659"/>
      <c r="C289" s="1119"/>
      <c r="D289" s="45"/>
      <c r="E289" s="439"/>
      <c r="F289" s="518"/>
      <c r="G289" s="1213"/>
      <c r="H289" s="976"/>
      <c r="I289" s="1213"/>
      <c r="J289" s="170"/>
      <c r="K289" s="171"/>
      <c r="L289" s="336"/>
      <c r="M289" s="171"/>
      <c r="N289" s="1104"/>
      <c r="O289" s="434"/>
      <c r="P289" s="2935"/>
      <c r="Q289" s="52"/>
      <c r="R289" s="52"/>
      <c r="S289" s="52"/>
      <c r="T289" s="52"/>
      <c r="U289" s="454"/>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row>
    <row r="290" spans="1:51">
      <c r="A290" s="406"/>
      <c r="B290" s="3659" t="s">
        <v>1019</v>
      </c>
      <c r="C290" s="1119" t="s">
        <v>1868</v>
      </c>
      <c r="D290" s="45" t="s">
        <v>1869</v>
      </c>
      <c r="E290" s="439">
        <f>IFERROR(VLOOKUP(C290,'פ.נ. EUROPE'!$D$164:$F$353,3,0),0)</f>
        <v>3056715.52</v>
      </c>
      <c r="F290" s="144">
        <f>SUMIF('פ.נ. EUROPE'!C:C,C:C,'פ.נ. EUROPE'!E:E)</f>
        <v>0</v>
      </c>
      <c r="G290" s="1213"/>
      <c r="H290" s="976"/>
      <c r="I290" s="1213"/>
      <c r="J290" s="170">
        <f>SUM(E290:I290)</f>
        <v>3056715.52</v>
      </c>
      <c r="K290" s="171">
        <f>M290+SUMIF('פ.נ. EUROPE'!C:C,'מאזן בוחן EUROPE'!C290,'פ.נ. EUROPE'!F:F)</f>
        <v>4131085.94</v>
      </c>
      <c r="L290" s="336"/>
      <c r="M290" s="171">
        <f>IFERROR(VLOOKUP(C290,'פ.נ. EUROPE'!$D$164:$H$353,4,0),"")</f>
        <v>4131085.94</v>
      </c>
      <c r="N290" s="1104">
        <f>IF(K290=0,"-",J290/K290)</f>
        <v>0.73993026637446324</v>
      </c>
      <c r="O290" s="434"/>
      <c r="P290" s="2935"/>
      <c r="Q290" s="52"/>
      <c r="R290" s="52"/>
      <c r="S290" s="52"/>
      <c r="T290" s="52"/>
      <c r="U290" s="454"/>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row>
    <row r="291" spans="1:51" ht="13.5" thickBot="1">
      <c r="A291" s="406"/>
      <c r="B291" s="3659"/>
      <c r="C291" s="156"/>
      <c r="D291" s="45"/>
      <c r="E291" s="2845"/>
      <c r="F291" s="523"/>
      <c r="G291" s="3037"/>
      <c r="H291" s="3037"/>
      <c r="I291" s="3037"/>
      <c r="J291" s="2544"/>
      <c r="K291" s="2545"/>
      <c r="L291" s="336"/>
      <c r="M291" s="1450"/>
      <c r="N291" s="1104"/>
      <c r="O291" s="434"/>
      <c r="P291" s="2935"/>
      <c r="Q291" s="52"/>
      <c r="R291" s="52"/>
      <c r="S291" s="52"/>
      <c r="T291" s="52"/>
      <c r="U291" s="454"/>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row>
    <row r="292" spans="1:51" ht="13.5" thickBot="1">
      <c r="A292" s="406"/>
      <c r="B292" s="3659"/>
      <c r="C292" s="407"/>
      <c r="D292" s="69"/>
      <c r="E292" s="3313">
        <f>SUM(E278:E291)</f>
        <v>-6455420.2300000004</v>
      </c>
      <c r="F292" s="3313">
        <f>SUM(F278:F291)</f>
        <v>0</v>
      </c>
      <c r="G292" s="3313">
        <f>SUM(G279:G291)</f>
        <v>0</v>
      </c>
      <c r="H292" s="3313">
        <f>SUM(H279:H291)</f>
        <v>0</v>
      </c>
      <c r="I292" s="3313">
        <f>SUM(I279:I291)</f>
        <v>0</v>
      </c>
      <c r="J292" s="3313">
        <f>SUM(J278:J291)</f>
        <v>-6455420.2300000004</v>
      </c>
      <c r="K292" s="3313">
        <f>SUM(K278:K291)</f>
        <v>-7842201.4699999988</v>
      </c>
      <c r="L292" s="2225">
        <f>SUM('[17]12.2021'!$B$14047)+K292</f>
        <v>212549.34743958805</v>
      </c>
      <c r="M292" s="1351">
        <f>SUM(M278:M291)</f>
        <v>-7842201.4699999988</v>
      </c>
      <c r="N292" s="1104"/>
      <c r="O292" s="434"/>
      <c r="P292" s="2935"/>
      <c r="Q292" s="52"/>
      <c r="R292" s="52"/>
      <c r="S292" s="52"/>
      <c r="T292" s="52"/>
      <c r="U292" s="454"/>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row>
    <row r="293" spans="1:51">
      <c r="A293" s="406"/>
      <c r="B293" s="3659"/>
      <c r="C293" s="407"/>
      <c r="D293" s="50"/>
      <c r="E293" s="429"/>
      <c r="F293" s="429"/>
      <c r="G293" s="429"/>
      <c r="H293" s="429"/>
      <c r="I293" s="429"/>
      <c r="J293" s="429"/>
      <c r="K293" s="429"/>
      <c r="L293" s="336"/>
      <c r="M293" s="430"/>
      <c r="N293" s="1104"/>
      <c r="O293" s="434"/>
      <c r="P293" s="445"/>
      <c r="Q293" s="52"/>
      <c r="R293" s="52"/>
      <c r="S293" s="52"/>
      <c r="T293" s="52"/>
      <c r="U293" s="454"/>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row>
    <row r="294" spans="1:51">
      <c r="A294" s="406"/>
      <c r="B294" s="3659"/>
      <c r="C294" s="407"/>
      <c r="D294" s="69" t="s">
        <v>79</v>
      </c>
      <c r="E294" s="3313">
        <f t="shared" ref="E294:K294" si="74">E292+E276+E265+E241</f>
        <v>-7311648.3600000003</v>
      </c>
      <c r="F294" s="3313">
        <f t="shared" si="74"/>
        <v>0</v>
      </c>
      <c r="G294" s="3313">
        <f t="shared" si="74"/>
        <v>0</v>
      </c>
      <c r="H294" s="3313">
        <f t="shared" si="74"/>
        <v>0</v>
      </c>
      <c r="I294" s="3313">
        <f t="shared" si="74"/>
        <v>0</v>
      </c>
      <c r="J294" s="3313">
        <f t="shared" si="74"/>
        <v>-7311648.3600000003</v>
      </c>
      <c r="K294" s="3313">
        <f t="shared" si="74"/>
        <v>-8997542.1099999975</v>
      </c>
      <c r="L294" s="336"/>
      <c r="M294" s="1351">
        <f>M292+M276+M265+M241</f>
        <v>-8997542.1099999975</v>
      </c>
      <c r="N294" s="1104"/>
      <c r="O294" s="434"/>
      <c r="P294" s="445"/>
      <c r="Q294" s="52"/>
      <c r="R294" s="52"/>
      <c r="S294" s="52"/>
      <c r="T294" s="52"/>
      <c r="U294" s="454"/>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row>
    <row r="295" spans="1:51" ht="13.5" thickBot="1">
      <c r="A295" s="406"/>
      <c r="B295" s="3659"/>
      <c r="C295" s="407"/>
      <c r="D295" s="45"/>
      <c r="E295" s="429"/>
      <c r="F295" s="3208"/>
      <c r="G295" s="3031"/>
      <c r="H295" s="3030"/>
      <c r="I295" s="3031"/>
      <c r="J295" s="440"/>
      <c r="K295" s="446"/>
      <c r="L295" s="51"/>
      <c r="M295" s="446"/>
      <c r="N295" s="1104"/>
      <c r="O295" s="434"/>
      <c r="P295" s="445"/>
      <c r="Q295" s="52"/>
      <c r="R295" s="52"/>
      <c r="S295" s="52"/>
      <c r="T295" s="52"/>
      <c r="U295" s="454"/>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row>
    <row r="296" spans="1:51" ht="13.5" thickBot="1">
      <c r="A296" s="406"/>
      <c r="B296" s="3659" t="s">
        <v>693</v>
      </c>
      <c r="C296" s="1119">
        <v>53600</v>
      </c>
      <c r="D296" s="45" t="s">
        <v>214</v>
      </c>
      <c r="E296" s="1416">
        <f>IFERROR(VLOOKUP(C296,'פ.נ. EUROPE'!$D$164:$F$353,3,0),0)</f>
        <v>-3056715.52</v>
      </c>
      <c r="F296" s="170">
        <f>SUMIF('פ.נ. EUROPE'!C:C,C:C,'פ.נ. EUROPE'!E:E)</f>
        <v>0</v>
      </c>
      <c r="G296" s="517"/>
      <c r="H296" s="3030"/>
      <c r="I296" s="3031"/>
      <c r="J296" s="1173">
        <f>SUM(E296:I296)</f>
        <v>-3056715.52</v>
      </c>
      <c r="K296" s="590">
        <f>M296+SUMIF('פ.נ. EUROPE'!C:C,'מאזן בוחן EUROPE'!C296,'פ.נ. EUROPE'!F:F)</f>
        <v>-4131087.14</v>
      </c>
      <c r="L296" s="2225">
        <f>SUM('[17]12.2021'!$A$14049)+K296</f>
        <v>-5.1422929391264915E-4</v>
      </c>
      <c r="M296" s="171">
        <f>IFERROR(VLOOKUP(C296,'פ.נ. EUROPE'!$D$164:$H$353,4,0),"")</f>
        <v>-4131087.14</v>
      </c>
      <c r="N296" s="1104">
        <f>IF(K296=0,"-",J296/K296)</f>
        <v>0.73993005143919577</v>
      </c>
      <c r="O296" s="434"/>
      <c r="P296" s="445"/>
      <c r="Q296" s="52"/>
      <c r="R296" s="52"/>
      <c r="S296" s="52"/>
      <c r="T296" s="52"/>
      <c r="U296" s="454"/>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row>
    <row r="297" spans="1:51">
      <c r="A297" s="406"/>
      <c r="B297" s="3659"/>
      <c r="C297" s="407"/>
      <c r="D297" s="708"/>
      <c r="E297" s="3313">
        <f t="shared" ref="E297:K297" si="75">SUM(E296:E296)</f>
        <v>-3056715.52</v>
      </c>
      <c r="F297" s="1623">
        <f t="shared" si="75"/>
        <v>0</v>
      </c>
      <c r="G297" s="1206">
        <f t="shared" si="75"/>
        <v>0</v>
      </c>
      <c r="H297" s="1206">
        <f t="shared" si="75"/>
        <v>0</v>
      </c>
      <c r="I297" s="1206">
        <f t="shared" si="75"/>
        <v>0</v>
      </c>
      <c r="J297" s="1351">
        <f t="shared" si="75"/>
        <v>-3056715.52</v>
      </c>
      <c r="K297" s="1351">
        <f t="shared" si="75"/>
        <v>-4131087.14</v>
      </c>
      <c r="L297" s="336"/>
      <c r="M297" s="1351">
        <f>SUM(M296:M296)</f>
        <v>-4131087.14</v>
      </c>
      <c r="N297" s="1104"/>
      <c r="O297" s="434"/>
      <c r="P297" s="445"/>
      <c r="Q297" s="52"/>
      <c r="R297" s="52"/>
      <c r="S297" s="52"/>
      <c r="T297" s="52"/>
      <c r="U297" s="454"/>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row>
    <row r="298" spans="1:51">
      <c r="A298" s="406"/>
      <c r="B298" s="3659"/>
      <c r="C298" s="407"/>
      <c r="D298" s="1204" t="s">
        <v>80</v>
      </c>
      <c r="E298" s="429"/>
      <c r="F298" s="3030"/>
      <c r="G298" s="3031"/>
      <c r="H298" s="3030"/>
      <c r="I298" s="3031"/>
      <c r="J298" s="440"/>
      <c r="K298" s="446"/>
      <c r="L298" s="51"/>
      <c r="M298" s="446"/>
      <c r="N298" s="1104"/>
      <c r="O298" s="434"/>
      <c r="P298" s="445"/>
      <c r="Q298" s="52"/>
      <c r="R298" s="52"/>
      <c r="S298" s="52"/>
      <c r="T298" s="52"/>
      <c r="U298" s="454"/>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row>
    <row r="299" spans="1:51">
      <c r="A299" s="406"/>
      <c r="B299" s="3659"/>
      <c r="C299" s="407"/>
      <c r="D299" s="63"/>
      <c r="F299" s="518"/>
      <c r="G299" s="517"/>
      <c r="H299" s="1205"/>
      <c r="I299" s="517"/>
      <c r="J299" s="440"/>
      <c r="K299" s="446"/>
      <c r="L299" s="51"/>
      <c r="M299" s="446"/>
      <c r="N299" s="1104"/>
      <c r="O299" s="434"/>
      <c r="P299" s="445"/>
      <c r="Q299" s="52"/>
      <c r="R299" s="52"/>
      <c r="S299" s="52"/>
      <c r="T299" s="52"/>
      <c r="U299" s="454"/>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row>
    <row r="300" spans="1:51">
      <c r="A300" s="406"/>
      <c r="B300" s="3659"/>
      <c r="C300" s="407"/>
      <c r="D300" s="708"/>
      <c r="E300" s="3313">
        <f>SUM(E299:E299)</f>
        <v>0</v>
      </c>
      <c r="F300" s="3306">
        <f t="shared" ref="F300:K300" si="76">SUM(F299:F299)</f>
        <v>0</v>
      </c>
      <c r="G300" s="1206">
        <f t="shared" si="76"/>
        <v>0</v>
      </c>
      <c r="H300" s="1206">
        <f t="shared" si="76"/>
        <v>0</v>
      </c>
      <c r="I300" s="1206">
        <f t="shared" si="76"/>
        <v>0</v>
      </c>
      <c r="J300" s="1351">
        <f t="shared" si="76"/>
        <v>0</v>
      </c>
      <c r="K300" s="1351">
        <f t="shared" si="76"/>
        <v>0</v>
      </c>
      <c r="L300" s="336"/>
      <c r="M300" s="1351">
        <f>SUM(M297:M299)</f>
        <v>-4131087.14</v>
      </c>
      <c r="N300" s="1104"/>
      <c r="O300" s="434"/>
      <c r="P300" s="445"/>
      <c r="Q300" s="52"/>
      <c r="R300" s="52"/>
      <c r="S300" s="52"/>
      <c r="T300" s="52"/>
      <c r="U300" s="52"/>
      <c r="V300" s="454"/>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row>
    <row r="301" spans="1:51">
      <c r="A301" s="406"/>
      <c r="B301" s="3659"/>
      <c r="C301" s="155"/>
      <c r="D301" s="59" t="s">
        <v>81</v>
      </c>
      <c r="E301" s="458"/>
      <c r="F301" s="518"/>
      <c r="G301" s="517"/>
      <c r="H301" s="518"/>
      <c r="I301" s="517"/>
      <c r="J301" s="440"/>
      <c r="K301" s="446"/>
      <c r="L301" s="51"/>
      <c r="M301" s="446"/>
      <c r="N301" s="1104"/>
      <c r="O301" s="434"/>
      <c r="P301" s="445"/>
      <c r="Q301" s="52"/>
      <c r="R301" s="52"/>
      <c r="S301" s="52"/>
      <c r="T301" s="52"/>
      <c r="U301" s="52"/>
      <c r="V301" s="454"/>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row>
    <row r="302" spans="1:51" ht="13.5" thickBot="1">
      <c r="A302" s="406"/>
      <c r="B302" s="3659" t="s">
        <v>710</v>
      </c>
      <c r="C302" s="1119">
        <v>3000001</v>
      </c>
      <c r="D302" s="48" t="s">
        <v>1993</v>
      </c>
      <c r="E302" s="1416">
        <f>VLOOKUP(C302,'פ.נ. EUROPE'!$D$164:$F$359,3,0)</f>
        <v>-100</v>
      </c>
      <c r="F302" s="1415">
        <f>SUMIF('פ.נ. EUROPE'!C:C,C:C,'פ.נ. EUROPE'!E:E)</f>
        <v>0</v>
      </c>
      <c r="G302" s="1746"/>
      <c r="H302" s="2968"/>
      <c r="I302" s="1746"/>
      <c r="J302" s="1418">
        <f>SUM(E302:I302)</f>
        <v>-100</v>
      </c>
      <c r="K302" s="1419">
        <f>M302+SUMIF('פ.נ. EUROPE'!C:C,'מאזן בוחן EUROPE'!C302,'פ.נ. EUROPE'!F:F)</f>
        <v>-128</v>
      </c>
      <c r="L302" s="1338"/>
      <c r="M302" s="1341">
        <f>IFERROR(VLOOKUP(C302,'פ.נ. EUROPE'!$D$164:$H$353,4,0),"")</f>
        <v>-128</v>
      </c>
      <c r="N302" s="1104">
        <f>IF(K302=0,"-",J302/K302)</f>
        <v>0.78125</v>
      </c>
      <c r="O302" s="434"/>
      <c r="P302" s="445"/>
      <c r="Q302" s="52"/>
      <c r="R302" s="52"/>
      <c r="S302" s="52"/>
      <c r="T302" s="52"/>
      <c r="U302" s="52"/>
      <c r="V302" s="454"/>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row>
    <row r="303" spans="1:51" ht="13.5" thickBot="1">
      <c r="A303" s="406"/>
      <c r="B303" s="3659" t="s">
        <v>710</v>
      </c>
      <c r="C303" s="1119">
        <v>99911</v>
      </c>
      <c r="D303" s="48" t="s">
        <v>711</v>
      </c>
      <c r="E303" s="1416">
        <f>VLOOKUP(C303,'פ.נ. EUROPE'!$D$164:$F$359,3,0)</f>
        <v>-107808.61</v>
      </c>
      <c r="F303" s="1416">
        <f>SUMIF('פ.נ. EUROPE'!C:C,C:C,'פ.נ. EUROPE'!E:E)</f>
        <v>0</v>
      </c>
      <c r="G303" s="1746"/>
      <c r="H303" s="2968"/>
      <c r="I303" s="1746"/>
      <c r="J303" s="1418">
        <f>SUM(E303:I303)</f>
        <v>-107808.61</v>
      </c>
      <c r="K303" s="1419">
        <f>M303+SUMIF('פ.נ. EUROPE'!C:C,'מאזן בוחן EUROPE'!C303,'פ.נ. EUROPE'!F:F)</f>
        <v>-140563.95000000001</v>
      </c>
      <c r="L303" s="2225">
        <f>J303+'[130]99911'!$D$20</f>
        <v>1.2000000000261934</v>
      </c>
      <c r="M303" s="1341">
        <f>IFERROR(VLOOKUP(C303,'פ.נ. EUROPE'!$D$164:$H$353,4,0),"")</f>
        <v>-140563.95000000001</v>
      </c>
      <c r="N303" s="1104">
        <f>IF(K303=0,"-",J303/K303)</f>
        <v>0.76697197254345795</v>
      </c>
      <c r="O303" s="434"/>
      <c r="P303" s="1114"/>
      <c r="Q303" s="52"/>
      <c r="R303" s="52"/>
      <c r="S303" s="52"/>
      <c r="T303" s="52"/>
      <c r="U303" s="52"/>
      <c r="V303" s="454"/>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row>
    <row r="304" spans="1:51">
      <c r="A304" s="406"/>
      <c r="B304" s="3733" t="s">
        <v>1805</v>
      </c>
      <c r="C304" s="1119">
        <v>3030099</v>
      </c>
      <c r="D304" s="48" t="s">
        <v>1802</v>
      </c>
      <c r="E304" s="1416">
        <f>VLOOKUP(C304,'פ.נ. EUROPE'!$D$164:$F$359,3,0)</f>
        <v>-54561</v>
      </c>
      <c r="F304" s="1416">
        <f>SUMIF('פ.נ. EUROPE'!C:C,C:C,'פ.נ. EUROPE'!E:E)</f>
        <v>0</v>
      </c>
      <c r="G304" s="1746"/>
      <c r="H304" s="2968"/>
      <c r="I304" s="1746"/>
      <c r="J304" s="1418">
        <f>SUM(E304:I304)</f>
        <v>-54561</v>
      </c>
      <c r="K304" s="1419">
        <f>M304+SUMIF('פ.נ. EUROPE'!C:C,'מאזן בוחן EUROPE'!C304,'פ.נ. EUROPE'!F:F)</f>
        <v>-91142</v>
      </c>
      <c r="L304" s="1338"/>
      <c r="M304" s="1341">
        <f>IFERROR(VLOOKUP(C304,'פ.נ. EUROPE'!$D$164:$H$353,4,0),"")</f>
        <v>-91142</v>
      </c>
      <c r="N304" s="1104">
        <f>IF(K304=0,"-",J304/K304)</f>
        <v>0.59863729125979237</v>
      </c>
      <c r="O304" s="434"/>
      <c r="P304" s="1506" t="s">
        <v>1997</v>
      </c>
      <c r="Q304" s="52"/>
      <c r="R304" s="52"/>
      <c r="S304" s="52"/>
      <c r="T304" s="52"/>
      <c r="U304" s="52"/>
      <c r="V304" s="454"/>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row>
    <row r="305" spans="1:55" ht="13.5" thickBot="1">
      <c r="A305" s="406"/>
      <c r="B305" s="3733" t="s">
        <v>1805</v>
      </c>
      <c r="C305" s="1119">
        <v>3030098</v>
      </c>
      <c r="D305" s="48" t="s">
        <v>1996</v>
      </c>
      <c r="E305" s="1416">
        <f>VLOOKUP(C305,'פ.נ. EUROPE'!$D$164:$F$359,3,0)</f>
        <v>-160582.54</v>
      </c>
      <c r="F305" s="1416">
        <f>SUMIF('פ.נ. EUROPE'!C:C,C:C,'פ.נ. EUROPE'!E:E)</f>
        <v>0</v>
      </c>
      <c r="G305" s="1746"/>
      <c r="H305" s="2968"/>
      <c r="I305" s="1746"/>
      <c r="J305" s="1418">
        <f>SUM(E305:I305)</f>
        <v>-160582.54</v>
      </c>
      <c r="K305" s="1419">
        <f>M305+SUMIF('פ.נ. EUROPE'!C:C,'מאזן בוחן EUROPE'!C305,'פ.נ. EUROPE'!F:F)</f>
        <v>-213591</v>
      </c>
      <c r="L305" s="1338"/>
      <c r="M305" s="1341">
        <f>IFERROR(VLOOKUP(C305,'פ.נ. EUROPE'!$D$164:$H$353,4,0),"")</f>
        <v>-213591</v>
      </c>
      <c r="N305" s="1104">
        <f>IF(K305=0,"-",J305/K305)</f>
        <v>0.75182259552134689</v>
      </c>
      <c r="O305" s="434"/>
      <c r="P305" s="1506" t="s">
        <v>1998</v>
      </c>
      <c r="Q305" s="52"/>
      <c r="R305" s="52"/>
      <c r="S305" s="52"/>
      <c r="T305" s="52"/>
      <c r="U305" s="52"/>
      <c r="V305" s="454"/>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row>
    <row r="306" spans="1:55" ht="13.5" thickBot="1">
      <c r="A306" s="406"/>
      <c r="B306" s="3659" t="s">
        <v>712</v>
      </c>
      <c r="C306" s="585">
        <v>3030001</v>
      </c>
      <c r="D306" s="63" t="s">
        <v>513</v>
      </c>
      <c r="E306" s="1416">
        <f>VLOOKUP(C306,'פ.נ. EUROPE'!$D$164:$F$359,3,0)</f>
        <v>-1579224.97</v>
      </c>
      <c r="F306" s="1415">
        <f>SUMIF('פ.נ. EUROPE'!C:C,C:C,'פ.נ. EUROPE'!E:E)</f>
        <v>0</v>
      </c>
      <c r="G306" s="1746"/>
      <c r="H306" s="2968"/>
      <c r="I306" s="1746"/>
      <c r="J306" s="1418">
        <f>SUM(E306:I306)</f>
        <v>-1579224.97</v>
      </c>
      <c r="K306" s="1419">
        <f>M306+SUMIF('פ.נ. EUROPE'!C:C,'מאזן בוחן EUROPE'!C306,'פ.נ. EUROPE'!F:F)</f>
        <v>-2240324.7999999998</v>
      </c>
      <c r="L306" s="2225">
        <f>J306+J305+J304+SUM('[44]FS EU'!$D$42:$D$44,-'[130]99911'!$D$17)</f>
        <v>2.5611370801925659E-9</v>
      </c>
      <c r="M306" s="1341">
        <f>IFERROR(VLOOKUP(C306,'פ.נ. EUROPE'!$D$164:$H$353,4,0),"")</f>
        <v>-2240324.7999999998</v>
      </c>
      <c r="N306" s="1104">
        <f>IF(K306=0,"-",J306/K306)</f>
        <v>0.70490893552577738</v>
      </c>
      <c r="O306" s="434"/>
      <c r="P306" s="1114" t="s">
        <v>1484</v>
      </c>
      <c r="Q306" s="52"/>
      <c r="R306" s="52"/>
      <c r="S306" s="52"/>
      <c r="T306" s="52"/>
      <c r="U306" s="52"/>
      <c r="V306" s="454"/>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row>
    <row r="307" spans="1:55">
      <c r="A307" s="406"/>
      <c r="B307" s="3659"/>
      <c r="C307" s="407"/>
      <c r="D307" s="69"/>
      <c r="E307" s="3313">
        <f t="shared" ref="E307:J307" si="77">SUM(E302:E306)</f>
        <v>-1902277.12</v>
      </c>
      <c r="F307" s="1623">
        <f t="shared" si="77"/>
        <v>0</v>
      </c>
      <c r="G307" s="1206">
        <f t="shared" si="77"/>
        <v>0</v>
      </c>
      <c r="H307" s="1206">
        <f t="shared" si="77"/>
        <v>0</v>
      </c>
      <c r="I307" s="1206">
        <f t="shared" si="77"/>
        <v>0</v>
      </c>
      <c r="J307" s="1351">
        <f t="shared" si="77"/>
        <v>-1902277.12</v>
      </c>
      <c r="K307" s="1351">
        <f>SUM(K302:K306)</f>
        <v>-2685749.75</v>
      </c>
      <c r="L307" s="336"/>
      <c r="M307" s="1351">
        <f>SUM(M302:M306)</f>
        <v>-2685749.75</v>
      </c>
      <c r="N307" s="1104"/>
      <c r="O307" s="434"/>
      <c r="P307" s="445"/>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row>
    <row r="308" spans="1:55">
      <c r="A308" s="406"/>
      <c r="B308" s="3659"/>
      <c r="C308" s="407"/>
      <c r="D308" s="54"/>
      <c r="F308" s="518"/>
      <c r="G308" s="517"/>
      <c r="H308" s="518"/>
      <c r="I308" s="517"/>
      <c r="K308" s="399"/>
      <c r="L308" s="51"/>
      <c r="M308" s="399"/>
      <c r="N308" s="1104"/>
      <c r="O308" s="434"/>
      <c r="P308" s="445"/>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row>
    <row r="309" spans="1:55">
      <c r="A309" s="406"/>
      <c r="B309" s="3659"/>
      <c r="C309" s="407"/>
      <c r="D309" s="62" t="s">
        <v>709</v>
      </c>
      <c r="E309" s="3313">
        <f t="shared" ref="E309:K309" si="78">E307+E294+E221+E300+E297</f>
        <v>-12270641</v>
      </c>
      <c r="F309" s="1623">
        <f t="shared" si="78"/>
        <v>0</v>
      </c>
      <c r="G309" s="1206">
        <f t="shared" si="78"/>
        <v>0</v>
      </c>
      <c r="H309" s="1206">
        <f t="shared" si="78"/>
        <v>0</v>
      </c>
      <c r="I309" s="1206">
        <f t="shared" si="78"/>
        <v>0</v>
      </c>
      <c r="J309" s="1351">
        <f t="shared" si="78"/>
        <v>-12270641</v>
      </c>
      <c r="K309" s="1351">
        <f t="shared" si="78"/>
        <v>-15814378.999999998</v>
      </c>
      <c r="L309" s="336"/>
      <c r="M309" s="1351">
        <f>M307+M294+M221+M300+M297</f>
        <v>-19945466.139999997</v>
      </c>
      <c r="N309" s="1104"/>
      <c r="O309" s="434"/>
      <c r="P309" s="445"/>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row>
    <row r="310" spans="1:55">
      <c r="A310" s="406"/>
      <c r="B310" s="3668"/>
      <c r="C310" s="407"/>
      <c r="D310" s="54"/>
      <c r="K310" s="399"/>
      <c r="L310" s="51"/>
      <c r="M310" s="399"/>
      <c r="N310" s="1104"/>
      <c r="O310" s="434"/>
      <c r="P310" s="401"/>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row>
    <row r="311" spans="1:55">
      <c r="A311" s="406"/>
      <c r="B311" s="3668"/>
      <c r="C311" s="407"/>
      <c r="D311" s="70" t="s">
        <v>83</v>
      </c>
      <c r="E311" s="429"/>
      <c r="K311" s="399"/>
      <c r="L311" s="51"/>
      <c r="M311" s="399"/>
      <c r="N311" s="1104"/>
      <c r="O311" s="434"/>
      <c r="P311" s="169" t="s">
        <v>496</v>
      </c>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row>
    <row r="312" spans="1:55" ht="12" customHeight="1">
      <c r="A312" s="406"/>
      <c r="B312" s="3668"/>
      <c r="C312" s="1165"/>
      <c r="D312" s="70" t="s">
        <v>84</v>
      </c>
      <c r="E312" s="429"/>
      <c r="K312" s="399"/>
      <c r="L312" s="51"/>
      <c r="M312" s="399"/>
      <c r="N312" s="1104"/>
      <c r="O312" s="434"/>
      <c r="P312" s="401"/>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row>
    <row r="313" spans="1:55" s="383" customFormat="1" ht="12" customHeight="1">
      <c r="A313" s="32"/>
      <c r="B313" s="3734"/>
      <c r="C313" s="156"/>
      <c r="D313" s="1675" t="s">
        <v>2476</v>
      </c>
      <c r="E313" s="469"/>
      <c r="F313" s="32"/>
      <c r="G313" s="469"/>
      <c r="H313" s="32"/>
      <c r="I313" s="469"/>
      <c r="J313" s="32"/>
      <c r="K313" s="469"/>
      <c r="L313" s="51"/>
      <c r="M313" s="469"/>
      <c r="N313" s="1104"/>
      <c r="O313" s="32"/>
      <c r="P313" s="279"/>
      <c r="Q313" s="1405" t="s">
        <v>2126</v>
      </c>
      <c r="R313" s="1405" t="s">
        <v>2142</v>
      </c>
      <c r="S313" s="1405" t="s">
        <v>2143</v>
      </c>
      <c r="T313" s="2216" t="s">
        <v>2208</v>
      </c>
      <c r="U313" s="2216" t="s">
        <v>2210</v>
      </c>
      <c r="V313" s="500" t="s">
        <v>2211</v>
      </c>
      <c r="W313" s="500" t="s">
        <v>2241</v>
      </c>
      <c r="X313" s="500" t="s">
        <v>2555</v>
      </c>
      <c r="Y313" s="500" t="s">
        <v>2632</v>
      </c>
      <c r="Z313" s="500" t="s">
        <v>2633</v>
      </c>
      <c r="AA313" s="500" t="s">
        <v>2957</v>
      </c>
      <c r="AB313" s="500" t="s">
        <v>2635</v>
      </c>
      <c r="AC313" s="500" t="s">
        <v>3210</v>
      </c>
      <c r="AD313" s="500" t="s">
        <v>3307</v>
      </c>
      <c r="AE313" s="500" t="s">
        <v>3384</v>
      </c>
      <c r="AF313" s="500" t="s">
        <v>3564</v>
      </c>
      <c r="AG313" s="500" t="s">
        <v>3633</v>
      </c>
      <c r="AH313" s="500" t="s">
        <v>3721</v>
      </c>
      <c r="AI313" s="500" t="s">
        <v>3888</v>
      </c>
      <c r="AJ313" s="500" t="s">
        <v>3994</v>
      </c>
      <c r="AK313" s="500" t="s">
        <v>3556</v>
      </c>
      <c r="AL313" s="500" t="s">
        <v>3557</v>
      </c>
      <c r="AM313" s="500" t="s">
        <v>3558</v>
      </c>
      <c r="AN313" s="500" t="s">
        <v>3559</v>
      </c>
      <c r="AO313" s="500"/>
      <c r="AP313" s="500"/>
      <c r="AQ313" s="500"/>
      <c r="AR313" s="500"/>
      <c r="AS313" s="500"/>
      <c r="AT313" s="500"/>
      <c r="AU313" s="500"/>
      <c r="AV313" s="500"/>
      <c r="AW313" s="500"/>
      <c r="AX313" s="500" t="s">
        <v>3209</v>
      </c>
      <c r="AY313" s="500" t="s">
        <v>3032</v>
      </c>
      <c r="AZ313" s="500"/>
      <c r="BA313" s="500"/>
      <c r="BB313" s="500"/>
      <c r="BC313" s="52"/>
    </row>
    <row r="314" spans="1:55" s="383" customFormat="1">
      <c r="A314" s="32"/>
      <c r="B314" s="3743" t="s">
        <v>713</v>
      </c>
      <c r="C314" s="1336">
        <v>80001</v>
      </c>
      <c r="D314" s="1337" t="s">
        <v>714</v>
      </c>
      <c r="E314" s="439">
        <f>IFERROR(VLOOKUP(C314,'פ.נ. EUROPE'!$D$164:$F$353,3,0),0)</f>
        <v>-236568.12</v>
      </c>
      <c r="F314" s="1415">
        <f>SUMIF('פ.נ. EUROPE'!C:C,C:C,'פ.נ. EUROPE'!E:E)</f>
        <v>0</v>
      </c>
      <c r="G314" s="1416"/>
      <c r="H314" s="1417"/>
      <c r="I314" s="1416"/>
      <c r="J314" s="1418">
        <f>SUM(E314:I314)</f>
        <v>-236568.12</v>
      </c>
      <c r="K314" s="4266">
        <f>M314+SUMIF('פ.נ. EUROPE'!C:C,'מאזן בוחן EUROPE'!C314,'פ.נ. EUROPE'!F:F)</f>
        <v>-324108.08</v>
      </c>
      <c r="L314" s="1338"/>
      <c r="M314" s="1341">
        <f>IFERROR(VLOOKUP(C314,'פ.נ. EUROPE'!$D$164:$H$353,4,0),"")</f>
        <v>-324108.08</v>
      </c>
      <c r="N314" s="1420">
        <f>IF(K314=0,"-",J314/K314)</f>
        <v>0.72990503661618056</v>
      </c>
      <c r="O314" s="32"/>
      <c r="P314" s="2838" t="s">
        <v>2844</v>
      </c>
      <c r="Q314" s="137"/>
      <c r="R314" s="137">
        <v>0</v>
      </c>
      <c r="S314" s="137">
        <v>-136361.87</v>
      </c>
      <c r="T314" s="137">
        <v>-19051.940000000002</v>
      </c>
      <c r="U314" s="137">
        <v>0</v>
      </c>
      <c r="V314" s="137">
        <v>-69767.88</v>
      </c>
      <c r="W314" s="141">
        <v>-72126.69</v>
      </c>
      <c r="X314" s="141">
        <v>0</v>
      </c>
      <c r="Y314" s="141">
        <v>-99912.31</v>
      </c>
      <c r="Z314" s="141">
        <v>0</v>
      </c>
      <c r="AA314" s="141">
        <v>0</v>
      </c>
      <c r="AB314" s="141">
        <v>-40588.419999999984</v>
      </c>
      <c r="AC314" s="141">
        <f>'[26]מאזן בוחן EUROPE'!AC326</f>
        <v>0</v>
      </c>
      <c r="AD314" s="141">
        <f>'[27]מאזן בוחן EUROPE'!AD326</f>
        <v>-33685.919999999998</v>
      </c>
      <c r="AE314" s="141">
        <f>'[28]מאזן בוחן EUROPE'!AE334</f>
        <v>0</v>
      </c>
      <c r="AF314" s="141">
        <f>'[29]מאזן בוחן EUROPE'!AF330</f>
        <v>0</v>
      </c>
      <c r="AG314" s="141">
        <f>'[30]מאזן בוחן EUROPE'!AG334</f>
        <v>-33886.33</v>
      </c>
      <c r="AH314" s="141">
        <f>'[31]מאזן בוחן EUROPE'!AH336</f>
        <v>-48195.009999999995</v>
      </c>
      <c r="AI314" s="141">
        <v>-17179.250000000015</v>
      </c>
      <c r="AJ314" s="141">
        <v>0</v>
      </c>
      <c r="AK314" s="141">
        <v>-100485.38999999998</v>
      </c>
      <c r="AL314" s="141">
        <v>0</v>
      </c>
      <c r="AM314" s="141">
        <v>0</v>
      </c>
      <c r="AN314" s="141">
        <f>$K314-SUM($AC314:AM314)</f>
        <v>-90676.180000000022</v>
      </c>
      <c r="AO314" s="141"/>
      <c r="AP314" s="141"/>
      <c r="AQ314" s="141"/>
      <c r="AR314" s="141"/>
      <c r="AS314" s="141"/>
      <c r="AT314" s="141"/>
      <c r="AU314" s="141">
        <f>AG314+AG315-AH314-AH315</f>
        <v>-183040.68000000005</v>
      </c>
      <c r="AV314" s="141"/>
      <c r="AW314" s="141"/>
      <c r="AX314" s="141"/>
      <c r="AY314" s="141"/>
      <c r="AZ314" s="52"/>
      <c r="BA314" s="52"/>
      <c r="BB314" s="52"/>
      <c r="BC314" s="52"/>
    </row>
    <row r="315" spans="1:55" s="1417" customFormat="1">
      <c r="A315" s="1599"/>
      <c r="B315" s="3743" t="s">
        <v>713</v>
      </c>
      <c r="C315" s="1336">
        <v>80101</v>
      </c>
      <c r="D315" s="1337" t="s">
        <v>716</v>
      </c>
      <c r="E315" s="439">
        <f>IFERROR(VLOOKUP(C315,'פ.נ. EUROPE'!$D$164:$F$353,3,0),0)</f>
        <v>-2099355.0299999998</v>
      </c>
      <c r="F315" s="1415">
        <f>SUMIF('פ.נ. EUROPE'!C:C,C:C,'פ.נ. EUROPE'!E:E)</f>
        <v>0</v>
      </c>
      <c r="G315" s="1416"/>
      <c r="I315" s="1416"/>
      <c r="J315" s="1418">
        <f>SUM(E315:I315)</f>
        <v>-2099355.0299999998</v>
      </c>
      <c r="K315" s="4266">
        <f>M315+SUMIF('פ.נ. EUROPE'!C:C,'מאזן בוחן EUROPE'!C315,'פ.נ. EUROPE'!F:F)</f>
        <v>-2858391.57</v>
      </c>
      <c r="L315" s="1338"/>
      <c r="M315" s="1341">
        <f>IFERROR(VLOOKUP(C315,'פ.נ. EUROPE'!$D$164:$H$353,4,0),"")</f>
        <v>-2858391.57</v>
      </c>
      <c r="N315" s="1420">
        <f>IF(K315=0,"-",J315/K315)</f>
        <v>0.7344532680664182</v>
      </c>
      <c r="O315" s="1446"/>
      <c r="P315" s="2838" t="s">
        <v>2844</v>
      </c>
      <c r="Q315" s="1600">
        <v>-165742.16</v>
      </c>
      <c r="R315" s="1600">
        <v>-68114.510000000009</v>
      </c>
      <c r="S315" s="1600">
        <v>-419114.92999999993</v>
      </c>
      <c r="T315" s="1600">
        <v>-29942.880000000005</v>
      </c>
      <c r="U315" s="1600">
        <v>-98933.570000000065</v>
      </c>
      <c r="V315" s="1600">
        <v>-155406.75</v>
      </c>
      <c r="W315" s="1595">
        <v>-388777.62999999989</v>
      </c>
      <c r="X315" s="141">
        <v>-618525.35</v>
      </c>
      <c r="Y315" s="141">
        <v>-445681.67000000004</v>
      </c>
      <c r="Z315" s="141">
        <v>-138224.86000000034</v>
      </c>
      <c r="AA315" s="141">
        <v>-1868404.8599999999</v>
      </c>
      <c r="AB315" s="141">
        <v>-885656.75</v>
      </c>
      <c r="AC315" s="141">
        <f>'[26]מאזן בוחן EUROPE'!AC327</f>
        <v>-21270.62</v>
      </c>
      <c r="AD315" s="141">
        <f>'[27]מאזן בוחן EUROPE'!AD327</f>
        <v>-54981.270000000004</v>
      </c>
      <c r="AE315" s="141">
        <f>'[28]מאזן בוחן EUROPE'!AE335</f>
        <v>-231466.59999999998</v>
      </c>
      <c r="AF315" s="141">
        <f>'[29]מאזן בוחן EUROPE'!AF331</f>
        <v>-65038.600000000035</v>
      </c>
      <c r="AG315" s="141">
        <f>'[30]מאזן בוחן EUROPE'!AG335</f>
        <v>-317033.96000000002</v>
      </c>
      <c r="AH315" s="141">
        <f>'[31]מאזן בוחן EUROPE'!AH337</f>
        <v>-119684.59999999998</v>
      </c>
      <c r="AI315" s="141">
        <v>-99373.429999999935</v>
      </c>
      <c r="AJ315" s="141">
        <v>-141730.63</v>
      </c>
      <c r="AK315" s="141">
        <v>-417079.56000000006</v>
      </c>
      <c r="AL315" s="141">
        <v>-156913.01</v>
      </c>
      <c r="AM315" s="141">
        <v>-118493.97999999998</v>
      </c>
      <c r="AN315" s="141">
        <f>$K315-SUM($AC315:AM315)</f>
        <v>-1115325.3099999998</v>
      </c>
      <c r="AO315" s="141"/>
      <c r="AP315" s="141"/>
      <c r="AQ315" s="141"/>
      <c r="AR315" s="141"/>
      <c r="AS315" s="141"/>
      <c r="AU315" s="141"/>
      <c r="AV315" s="141"/>
      <c r="AW315" s="141"/>
      <c r="AX315" s="141"/>
      <c r="AY315" s="141"/>
      <c r="AZ315" s="52"/>
      <c r="BA315" s="52"/>
      <c r="BB315" s="52"/>
    </row>
    <row r="316" spans="1:55" s="1417" customFormat="1">
      <c r="A316" s="1599"/>
      <c r="B316" s="3743"/>
      <c r="C316" s="1336"/>
      <c r="D316" s="1675" t="s">
        <v>2477</v>
      </c>
      <c r="E316" s="1416"/>
      <c r="F316" s="1415"/>
      <c r="G316" s="1416"/>
      <c r="I316" s="1416"/>
      <c r="J316" s="1418"/>
      <c r="K316" s="1419"/>
      <c r="L316" s="1338"/>
      <c r="M316" s="1341"/>
      <c r="N316" s="1420"/>
      <c r="O316" s="1446"/>
      <c r="P316" s="2839"/>
      <c r="Q316" s="1600"/>
      <c r="R316" s="1600"/>
      <c r="S316" s="1600"/>
      <c r="T316" s="1600"/>
      <c r="U316" s="1600"/>
      <c r="V316" s="1600"/>
      <c r="W316" s="1595"/>
      <c r="X316" s="141">
        <v>0</v>
      </c>
      <c r="Y316" s="141">
        <v>0</v>
      </c>
      <c r="Z316" s="141">
        <v>0</v>
      </c>
      <c r="AA316" s="141">
        <v>0</v>
      </c>
      <c r="AB316" s="141">
        <v>0</v>
      </c>
      <c r="AC316" s="141">
        <f>'[26]מאזן בוחן EUROPE'!AC328</f>
        <v>0</v>
      </c>
      <c r="AD316" s="141">
        <f>'[27]מאזן בוחן EUROPE'!AD328</f>
        <v>0</v>
      </c>
      <c r="AE316" s="141">
        <f>'[28]מאזן בוחן EUROPE'!AE336</f>
        <v>0</v>
      </c>
      <c r="AF316" s="141">
        <f>'[29]מאזן בוחן EUROPE'!AF332</f>
        <v>0</v>
      </c>
      <c r="AG316" s="141">
        <f>'[30]מאזן בוחן EUROPE'!AG336</f>
        <v>0</v>
      </c>
      <c r="AH316" s="141">
        <f>'[31]מאזן בוחן EUROPE'!AH338</f>
        <v>0</v>
      </c>
      <c r="AI316" s="141">
        <v>0</v>
      </c>
      <c r="AJ316" s="141">
        <v>0</v>
      </c>
      <c r="AK316" s="141">
        <v>0</v>
      </c>
      <c r="AL316" s="141">
        <v>0</v>
      </c>
      <c r="AM316" s="141">
        <v>0</v>
      </c>
      <c r="AN316" s="141">
        <f>$K316-SUM($AC316:AM316)</f>
        <v>0</v>
      </c>
      <c r="AO316" s="141"/>
      <c r="AP316" s="141"/>
      <c r="AQ316" s="141"/>
      <c r="AR316" s="141"/>
      <c r="AS316" s="141"/>
      <c r="AT316" s="141"/>
      <c r="AU316" s="141"/>
      <c r="AV316" s="141"/>
      <c r="AW316" s="141"/>
      <c r="AX316" s="141"/>
      <c r="AY316" s="141"/>
      <c r="AZ316" s="52"/>
      <c r="BA316" s="52"/>
      <c r="BB316" s="52"/>
    </row>
    <row r="317" spans="1:55">
      <c r="A317" s="406"/>
      <c r="B317" s="3659" t="s">
        <v>713</v>
      </c>
      <c r="C317" s="585">
        <v>80103</v>
      </c>
      <c r="D317" s="159" t="s">
        <v>717</v>
      </c>
      <c r="E317" s="439">
        <f>IFERROR(VLOOKUP(C317,'פ.נ. EUROPE'!$D$164:$F$353,3,0),0)</f>
        <v>-150458.78</v>
      </c>
      <c r="F317" s="518">
        <f>SUMIF('פ.נ. EUROPE'!C:C,C:C,'פ.נ. EUROPE'!E:E)</f>
        <v>0</v>
      </c>
      <c r="G317" s="439"/>
      <c r="H317" s="52"/>
      <c r="I317" s="439"/>
      <c r="J317" s="965">
        <f>SUM(E317:I317)</f>
        <v>-150458.78</v>
      </c>
      <c r="K317" s="4267">
        <f>M317+SUMIF('פ.נ. EUROPE'!C:C,'מאזן בוחן EUROPE'!C317,'פ.נ. EUROPE'!F:F)</f>
        <v>-202849.95</v>
      </c>
      <c r="L317" s="399"/>
      <c r="M317" s="474">
        <f>IFERROR(VLOOKUP(C317,'פ.נ. EUROPE'!$D$164:$H$353,4,0),"")</f>
        <v>-202849.95</v>
      </c>
      <c r="N317" s="1104">
        <f>IF(K317=0,"-",J317/K317)</f>
        <v>0.741724511147279</v>
      </c>
      <c r="O317" s="434"/>
      <c r="P317" s="1150"/>
      <c r="Q317" s="137">
        <v>0</v>
      </c>
      <c r="R317" s="137">
        <v>0</v>
      </c>
      <c r="S317" s="137">
        <v>0</v>
      </c>
      <c r="T317" s="137">
        <v>0</v>
      </c>
      <c r="U317" s="137">
        <v>0</v>
      </c>
      <c r="V317" s="137">
        <v>-11878.04</v>
      </c>
      <c r="W317" s="141">
        <v>0</v>
      </c>
      <c r="X317" s="141">
        <v>0</v>
      </c>
      <c r="Y317" s="141">
        <v>0</v>
      </c>
      <c r="Z317" s="141">
        <v>0</v>
      </c>
      <c r="AA317" s="141">
        <v>0</v>
      </c>
      <c r="AB317" s="141">
        <v>-32516.639999999999</v>
      </c>
      <c r="AC317" s="141">
        <f>'[26]מאזן בוחן EUROPE'!AC329</f>
        <v>-8028.45</v>
      </c>
      <c r="AD317" s="141">
        <f>'[27]מאזן בוחן EUROPE'!AD329</f>
        <v>0</v>
      </c>
      <c r="AE317" s="141">
        <f>'[28]מאזן בוחן EUROPE'!AE337</f>
        <v>0</v>
      </c>
      <c r="AF317" s="141">
        <f>'[29]מאזן בוחן EUROPE'!AF333</f>
        <v>0</v>
      </c>
      <c r="AG317" s="141">
        <f>'[30]מאזן בוחן EUROPE'!AG337</f>
        <v>0</v>
      </c>
      <c r="AH317" s="141">
        <f>'[31]מאזן בוחן EUROPE'!AH339</f>
        <v>0</v>
      </c>
      <c r="AI317" s="141">
        <v>-35124.29</v>
      </c>
      <c r="AJ317" s="141">
        <v>0</v>
      </c>
      <c r="AK317" s="141">
        <v>0</v>
      </c>
      <c r="AL317" s="141">
        <v>-18000</v>
      </c>
      <c r="AM317" s="141">
        <v>-75825</v>
      </c>
      <c r="AN317" s="141">
        <f>$K317-SUM($AC317:AM317)</f>
        <v>-65872.210000000021</v>
      </c>
      <c r="AO317" s="141"/>
      <c r="AP317" s="141"/>
      <c r="AQ317" s="141"/>
      <c r="AR317" s="141"/>
      <c r="AS317" s="141"/>
      <c r="AT317" s="141"/>
      <c r="AU317" s="141"/>
      <c r="AV317" s="141"/>
      <c r="AW317" s="141"/>
      <c r="AX317" s="141"/>
      <c r="AY317" s="141"/>
      <c r="BC317" s="63"/>
    </row>
    <row r="318" spans="1:55" ht="12" customHeight="1">
      <c r="A318" s="406"/>
      <c r="B318" s="3659" t="s">
        <v>713</v>
      </c>
      <c r="C318" s="585">
        <v>80002</v>
      </c>
      <c r="D318" s="159" t="s">
        <v>715</v>
      </c>
      <c r="E318" s="439">
        <f>IFERROR(VLOOKUP(C318,'פ.נ. EUROPE'!$D$164:$F$353,3,0),0)</f>
        <v>0</v>
      </c>
      <c r="F318" s="518">
        <f>SUMIF('פ.נ. EUROPE'!C:C,C:C,'פ.נ. EUROPE'!E:E)</f>
        <v>0</v>
      </c>
      <c r="G318" s="439"/>
      <c r="H318" s="52"/>
      <c r="I318" s="439"/>
      <c r="J318" s="521">
        <f>SUM(E318:I318)</f>
        <v>0</v>
      </c>
      <c r="K318" s="4268">
        <f>M318+SUMIF('פ.נ. EUROPE'!C:C,'מאזן בוחן EUROPE'!C318,'פ.נ. EUROPE'!F:F)</f>
        <v>0</v>
      </c>
      <c r="L318" s="399"/>
      <c r="M318" s="474" t="str">
        <f>IFERROR(VLOOKUP(C318,'פ.נ. EUROPE'!$D$164:$H$353,4,0),"")</f>
        <v/>
      </c>
      <c r="N318" s="1104" t="str">
        <f>IF(K318=0,"-",J318/K318)</f>
        <v>-</v>
      </c>
      <c r="O318" s="434"/>
      <c r="P318" s="279"/>
      <c r="R318" s="137">
        <v>0</v>
      </c>
      <c r="S318" s="137">
        <v>0</v>
      </c>
      <c r="T318" s="137">
        <v>0</v>
      </c>
      <c r="U318" s="137">
        <v>0</v>
      </c>
      <c r="V318" s="137">
        <v>0</v>
      </c>
      <c r="W318" s="141">
        <v>0</v>
      </c>
      <c r="X318" s="141">
        <v>0</v>
      </c>
      <c r="Y318" s="141">
        <v>0</v>
      </c>
      <c r="Z318" s="141">
        <v>0</v>
      </c>
      <c r="AA318" s="141">
        <v>0</v>
      </c>
      <c r="AB318" s="141">
        <v>0</v>
      </c>
      <c r="AC318" s="141">
        <f>'[26]מאזן בוחן EUROPE'!AC330</f>
        <v>0</v>
      </c>
      <c r="AD318" s="141">
        <f>'[27]מאזן בוחן EUROPE'!AD330</f>
        <v>0</v>
      </c>
      <c r="AE318" s="141">
        <f>'[28]מאזן בוחן EUROPE'!AE338</f>
        <v>0</v>
      </c>
      <c r="AF318" s="141">
        <f>'[29]מאזן בוחן EUROPE'!AF334</f>
        <v>0</v>
      </c>
      <c r="AG318" s="141">
        <f>'[30]מאזן בוחן EUROPE'!AG338</f>
        <v>0</v>
      </c>
      <c r="AH318" s="141">
        <f>'[31]מאזן בוחן EUROPE'!AH340</f>
        <v>0</v>
      </c>
      <c r="AI318" s="141">
        <v>0</v>
      </c>
      <c r="AJ318" s="141">
        <v>0</v>
      </c>
      <c r="AK318" s="141">
        <v>0</v>
      </c>
      <c r="AL318" s="141">
        <v>0</v>
      </c>
      <c r="AM318" s="141">
        <v>0</v>
      </c>
      <c r="AN318" s="141">
        <f>$K318-SUM($AC318:AM318)</f>
        <v>0</v>
      </c>
      <c r="AO318" s="141"/>
      <c r="AP318" s="141"/>
      <c r="AQ318" s="141"/>
      <c r="AR318" s="141"/>
      <c r="AS318" s="141"/>
      <c r="AT318" s="141"/>
      <c r="AU318" s="141"/>
      <c r="AV318" s="141"/>
      <c r="AW318" s="141"/>
      <c r="AX318" s="141"/>
      <c r="AY318" s="141"/>
    </row>
    <row r="319" spans="1:55">
      <c r="B319" s="3668"/>
      <c r="D319" s="1675" t="s">
        <v>2472</v>
      </c>
      <c r="L319" s="399"/>
      <c r="M319" s="49"/>
      <c r="X319" s="141">
        <v>0</v>
      </c>
      <c r="Y319" s="141">
        <v>0</v>
      </c>
      <c r="Z319" s="141">
        <v>0</v>
      </c>
      <c r="AA319" s="141">
        <v>0</v>
      </c>
      <c r="AB319" s="141">
        <v>0</v>
      </c>
      <c r="AC319" s="141">
        <f>'[26]מאזן בוחן EUROPE'!AC331</f>
        <v>0</v>
      </c>
      <c r="AD319" s="141">
        <f>'[27]מאזן בוחן EUROPE'!AD331</f>
        <v>0</v>
      </c>
      <c r="AE319" s="141">
        <f>'[28]מאזן בוחן EUROPE'!AE339</f>
        <v>0</v>
      </c>
      <c r="AF319" s="141">
        <f>'[29]מאזן בוחן EUROPE'!AF335</f>
        <v>0</v>
      </c>
      <c r="AG319" s="141">
        <f>'[30]מאזן בוחן EUROPE'!AG339</f>
        <v>0</v>
      </c>
      <c r="AH319" s="141">
        <f>'[31]מאזן בוחן EUROPE'!AH341</f>
        <v>0</v>
      </c>
      <c r="AI319" s="141">
        <v>0</v>
      </c>
      <c r="AJ319" s="141">
        <v>0</v>
      </c>
      <c r="AK319" s="141">
        <v>0</v>
      </c>
      <c r="AL319" s="141">
        <v>0</v>
      </c>
      <c r="AM319" s="141">
        <v>0</v>
      </c>
      <c r="AN319" s="141">
        <f>$K319-SUM($AC319:AM319)</f>
        <v>0</v>
      </c>
      <c r="AO319" s="141"/>
      <c r="AP319" s="141"/>
      <c r="AQ319" s="141"/>
      <c r="AR319" s="141"/>
      <c r="AS319" s="141"/>
      <c r="AT319" s="141"/>
      <c r="AU319" s="141"/>
      <c r="AV319" s="141"/>
      <c r="AW319" s="141"/>
      <c r="AX319" s="141"/>
      <c r="AY319" s="141"/>
    </row>
    <row r="320" spans="1:55" ht="13.5" thickBot="1">
      <c r="A320" s="406"/>
      <c r="B320" s="3659" t="s">
        <v>720</v>
      </c>
      <c r="C320" s="585">
        <v>80064</v>
      </c>
      <c r="D320" s="159" t="s">
        <v>725</v>
      </c>
      <c r="E320" s="439">
        <f>IFERROR(VLOOKUP(C320,'פ.נ. EUROPE'!$D$164:$F$353,3,0),0)</f>
        <v>-76822.399999999994</v>
      </c>
      <c r="F320" s="518">
        <f>SUMIF('פ.נ. EUROPE'!C:C,C:C,'פ.נ. EUROPE'!E:E)</f>
        <v>0</v>
      </c>
      <c r="G320" s="439"/>
      <c r="H320" s="52"/>
      <c r="I320" s="439"/>
      <c r="J320" s="965">
        <f>SUM(E320:I320)</f>
        <v>-76822.399999999994</v>
      </c>
      <c r="K320" s="4260">
        <f>M320+SUMIF('פ.נ. EUROPE'!C:C,'מאזן בוחן EUROPE'!C320,'פ.נ. EUROPE'!F:F)</f>
        <v>-104076.66</v>
      </c>
      <c r="L320" s="399"/>
      <c r="M320" s="474">
        <f>IFERROR(VLOOKUP(C320,'פ.נ. EUROPE'!$D$164:$H$353,4,0),"")</f>
        <v>-104076.66</v>
      </c>
      <c r="N320" s="1104">
        <f>IF(K320=0,"-",J320/K320)</f>
        <v>0.73813283400908514</v>
      </c>
      <c r="O320" s="434"/>
      <c r="P320" s="1133"/>
      <c r="Q320" s="137">
        <v>-16220.07</v>
      </c>
      <c r="R320" s="137">
        <v>-17180.840000000004</v>
      </c>
      <c r="S320" s="137">
        <v>-17351.589999999997</v>
      </c>
      <c r="T320" s="137">
        <v>-13657.550000000003</v>
      </c>
      <c r="U320" s="137">
        <v>-11935.119999999995</v>
      </c>
      <c r="V320" s="137">
        <v>-11921.420000000006</v>
      </c>
      <c r="W320" s="141">
        <v>-11827.25</v>
      </c>
      <c r="X320" s="141">
        <v>-11662.68</v>
      </c>
      <c r="Y320" s="141">
        <v>-11596.849999999999</v>
      </c>
      <c r="Z320" s="141">
        <v>-12819.580000000016</v>
      </c>
      <c r="AA320" s="141">
        <v>-12095.959999999992</v>
      </c>
      <c r="AB320" s="141">
        <v>-11437.73000000001</v>
      </c>
      <c r="AC320" s="141">
        <f>'[26]מאזן בוחן EUROPE'!AC332</f>
        <v>-7826.7</v>
      </c>
      <c r="AD320" s="141">
        <f>'[27]מאזן בוחן EUROPE'!AD332</f>
        <v>-9840.61</v>
      </c>
      <c r="AE320" s="141">
        <f>'[28]מאזן בוחן EUROPE'!AE340</f>
        <v>-8240.3299999999981</v>
      </c>
      <c r="AF320" s="141">
        <f>'[29]מאזן בוחן EUROPE'!AF336</f>
        <v>-7000.9000000000015</v>
      </c>
      <c r="AG320" s="141">
        <f>'[30]מאזן בוחן EUROPE'!AG340</f>
        <v>-6915.9099999999962</v>
      </c>
      <c r="AH320" s="141">
        <f>'[31]מאזן בוחן EUROPE'!AH342</f>
        <v>-8974.1600000000035</v>
      </c>
      <c r="AI320" s="141">
        <v>-9160.4000000000015</v>
      </c>
      <c r="AJ320" s="141">
        <v>-11826.950000000004</v>
      </c>
      <c r="AK320" s="141">
        <v>-8669.3699999999953</v>
      </c>
      <c r="AL320" s="141">
        <v>-7908.6699999999983</v>
      </c>
      <c r="AM320" s="141">
        <v>-7547.1100000000006</v>
      </c>
      <c r="AN320" s="141">
        <f>$K320-SUM($AC320:AM320)</f>
        <v>-10165.550000000003</v>
      </c>
      <c r="AO320" s="141"/>
      <c r="AP320" s="141"/>
      <c r="AQ320" s="141"/>
      <c r="AR320" s="141"/>
      <c r="AS320" s="141"/>
      <c r="AT320" s="141"/>
      <c r="AU320" s="141"/>
      <c r="AV320" s="141"/>
      <c r="AW320" s="141"/>
      <c r="AX320" s="141"/>
      <c r="AY320" s="141"/>
      <c r="BC320" s="714"/>
    </row>
    <row r="321" spans="1:55" ht="13.5" thickBot="1">
      <c r="A321" s="406"/>
      <c r="B321" s="3742" t="s">
        <v>1057</v>
      </c>
      <c r="C321" s="585" t="s">
        <v>2618</v>
      </c>
      <c r="D321" s="159" t="s">
        <v>2619</v>
      </c>
      <c r="E321" s="439">
        <f>IFERROR(VLOOKUP(C321,'פ.נ. EUROPE'!$D$164:$F$353,3,0),0)</f>
        <v>-47750.93</v>
      </c>
      <c r="F321" s="518">
        <f>SUMIF('פ.נ. EUROPE'!C:C,C:C,'פ.נ. EUROPE'!E:E)</f>
        <v>0</v>
      </c>
      <c r="G321" s="439"/>
      <c r="H321" s="52"/>
      <c r="I321" s="439"/>
      <c r="J321" s="965">
        <f>SUM(E321:I321)</f>
        <v>-47750.93</v>
      </c>
      <c r="K321" s="4260">
        <f>M321+SUMIF('פ.נ. EUROPE'!C:C,'מאזן בוחן EUROPE'!C321,'פ.נ. EUROPE'!F:F)</f>
        <v>-60421.13</v>
      </c>
      <c r="L321" s="956">
        <f>SUM('[33]53599 - UK'!$D$25:$O$25)+K321</f>
        <v>3.5888974169210996E-2</v>
      </c>
      <c r="M321" s="474">
        <f>IFERROR(VLOOKUP(C321,'פ.נ. EUROPE'!$D$164:$H$353,4,0),"")</f>
        <v>-60421.13</v>
      </c>
      <c r="N321" s="1104">
        <f>IF(K321=0,"-",J321/K321)</f>
        <v>0.79030183646019203</v>
      </c>
      <c r="O321" s="434"/>
      <c r="P321" s="1133"/>
      <c r="W321" s="141"/>
      <c r="X321" s="141">
        <v>0</v>
      </c>
      <c r="Y321" s="141">
        <v>67399.710000000006</v>
      </c>
      <c r="Z321" s="141">
        <v>55119.12999999999</v>
      </c>
      <c r="AA321" s="141">
        <v>11138.559999999998</v>
      </c>
      <c r="AB321" s="141">
        <v>9885.890000000014</v>
      </c>
      <c r="AC321" s="141">
        <f>'[26]מאזן בוחן EUROPE'!AC333</f>
        <v>9021.98</v>
      </c>
      <c r="AD321" s="141">
        <f>'[27]מאזן בוחן EUROPE'!AD333</f>
        <v>9021.98</v>
      </c>
      <c r="AE321" s="141">
        <f>'[28]מאזן בוחן EUROPE'!AE341</f>
        <v>7138.77</v>
      </c>
      <c r="AF321" s="141">
        <f>'[29]מאזן בוחן EUROPE'!AF337</f>
        <v>-9511.5399999999991</v>
      </c>
      <c r="AG321" s="141">
        <f>'[30]מאזן בוחן EUROPE'!AG341</f>
        <v>-9511.5400000000009</v>
      </c>
      <c r="AH321" s="141">
        <f>'[31]מאזן בוחן EUROPE'!AH343</f>
        <v>-9511.5399999999991</v>
      </c>
      <c r="AI321" s="141">
        <v>-9511.5400000000009</v>
      </c>
      <c r="AJ321" s="141">
        <v>-9511.5400000000009</v>
      </c>
      <c r="AK321" s="141">
        <v>-9511.5399999999972</v>
      </c>
      <c r="AL321" s="141">
        <v>-9511.5400000000045</v>
      </c>
      <c r="AM321" s="141">
        <v>-9511.5399999999936</v>
      </c>
      <c r="AN321" s="141">
        <f>$K321-SUM($AC321:AM321)</f>
        <v>-9511.5400000000009</v>
      </c>
      <c r="AO321" s="141"/>
      <c r="AP321" s="141"/>
      <c r="AQ321" s="141"/>
      <c r="AR321" s="141"/>
      <c r="AS321" s="141"/>
      <c r="AT321" s="141"/>
      <c r="AU321" s="141"/>
      <c r="AV321" s="141"/>
      <c r="AW321" s="141"/>
      <c r="AX321" s="141"/>
      <c r="AY321" s="141"/>
      <c r="BC321" s="714"/>
    </row>
    <row r="322" spans="1:55">
      <c r="A322" s="406"/>
      <c r="B322" s="3659" t="s">
        <v>720</v>
      </c>
      <c r="C322" s="585">
        <v>80065</v>
      </c>
      <c r="D322" s="159" t="s">
        <v>1591</v>
      </c>
      <c r="E322" s="439">
        <f>IFERROR(VLOOKUP(C322,'פ.נ. EUROPE'!$D$164:$F$353,3,0),0)</f>
        <v>-45462.57</v>
      </c>
      <c r="F322" s="518">
        <f>SUMIF('פ.נ. EUROPE'!C:C,C:C,'פ.נ. EUROPE'!E:E)</f>
        <v>0</v>
      </c>
      <c r="G322" s="439"/>
      <c r="H322" s="52"/>
      <c r="I322" s="439"/>
      <c r="J322" s="965">
        <f>SUM(E322:I322)</f>
        <v>-45462.57</v>
      </c>
      <c r="K322" s="4260">
        <f>M322+SUMIF('פ.נ. EUROPE'!C:C,'מאזן בוחן EUROPE'!C322,'פ.נ. EUROPE'!F:F)</f>
        <v>-59523.87</v>
      </c>
      <c r="L322" s="399"/>
      <c r="M322" s="474">
        <f>IFERROR(VLOOKUP(C322,'פ.נ. EUROPE'!$D$164:$H$353,4,0),"")</f>
        <v>-59523.87</v>
      </c>
      <c r="N322" s="1104">
        <f>IF(K322=0,"-",J322/K322)</f>
        <v>0.76377040000927354</v>
      </c>
      <c r="O322" s="434"/>
      <c r="P322" s="1133"/>
      <c r="Q322" s="137">
        <v>-8596.19</v>
      </c>
      <c r="R322" s="137">
        <v>-8539.7199999999993</v>
      </c>
      <c r="S322" s="137">
        <v>-8531.1299999999992</v>
      </c>
      <c r="T322" s="137">
        <v>-8510.6099999999988</v>
      </c>
      <c r="U322" s="137">
        <v>-8510.6100000000024</v>
      </c>
      <c r="V322" s="137">
        <v>-6829.3600000000006</v>
      </c>
      <c r="W322" s="141">
        <v>-5314.4699999999957</v>
      </c>
      <c r="X322" s="141">
        <v>-5314.4699999999957</v>
      </c>
      <c r="Y322" s="141">
        <v>-5314.4700000000121</v>
      </c>
      <c r="Z322" s="141">
        <v>-5314.4700000000012</v>
      </c>
      <c r="AA322" s="141">
        <v>-5314.4700000000012</v>
      </c>
      <c r="AB322" s="141">
        <v>-5194.6600000000035</v>
      </c>
      <c r="AC322" s="141">
        <f>'[26]מאזן בוחן EUROPE'!AC334</f>
        <v>-5171.88</v>
      </c>
      <c r="AD322" s="141">
        <f>'[27]מאזן בוחן EUROPE'!AD334</f>
        <v>-5171.88</v>
      </c>
      <c r="AE322" s="141">
        <f>'[28]מאזן בוחן EUROPE'!AE342</f>
        <v>-5091.1000000000004</v>
      </c>
      <c r="AF322" s="141">
        <f>'[29]מאזן בוחן EUROPE'!AF338</f>
        <v>-4898.7799999999988</v>
      </c>
      <c r="AG322" s="141">
        <f>'[30]מאזן בוחן EUROPE'!AG342</f>
        <v>-4898.7799999999988</v>
      </c>
      <c r="AH322" s="141">
        <f>'[31]מאזן בוחן EUROPE'!AH344</f>
        <v>-4898.7800000000025</v>
      </c>
      <c r="AI322" s="141">
        <v>-4898.7800000000025</v>
      </c>
      <c r="AJ322" s="141">
        <v>-4898.7799999999988</v>
      </c>
      <c r="AK322" s="141">
        <v>-4898.7799999999988</v>
      </c>
      <c r="AL322" s="141">
        <v>-4898.7799999999988</v>
      </c>
      <c r="AM322" s="141">
        <v>-4898.7799999999988</v>
      </c>
      <c r="AN322" s="141">
        <f>$K322-SUM($AC322:AM322)</f>
        <v>-4898.7700000000041</v>
      </c>
      <c r="AO322" s="141"/>
      <c r="AP322" s="141"/>
      <c r="AQ322" s="141"/>
      <c r="AR322" s="141"/>
      <c r="AS322" s="141"/>
      <c r="AT322" s="141"/>
      <c r="AU322" s="141"/>
      <c r="AV322" s="141"/>
      <c r="AW322" s="141"/>
      <c r="AX322" s="141"/>
      <c r="AY322" s="141"/>
      <c r="BC322" s="714"/>
    </row>
    <row r="323" spans="1:55">
      <c r="B323" s="3668"/>
      <c r="D323" s="1675" t="s">
        <v>2473</v>
      </c>
      <c r="L323" s="399"/>
      <c r="M323" s="439"/>
      <c r="X323" s="141">
        <v>0</v>
      </c>
      <c r="Y323" s="141">
        <v>0</v>
      </c>
      <c r="Z323" s="141">
        <v>0</v>
      </c>
      <c r="AA323" s="141">
        <v>0</v>
      </c>
      <c r="AB323" s="141">
        <v>0</v>
      </c>
      <c r="AC323" s="141">
        <f>'[26]מאזן בוחן EUROPE'!AC335</f>
        <v>0</v>
      </c>
      <c r="AD323" s="141">
        <f>'[27]מאזן בוחן EUROPE'!AD335</f>
        <v>0</v>
      </c>
      <c r="AE323" s="141">
        <f>'[28]מאזן בוחן EUROPE'!AE343</f>
        <v>0</v>
      </c>
      <c r="AF323" s="141">
        <f>'[29]מאזן בוחן EUROPE'!AF339</f>
        <v>0</v>
      </c>
      <c r="AG323" s="141">
        <f>'[30]מאזן בוחן EUROPE'!AG343</f>
        <v>0</v>
      </c>
      <c r="AH323" s="141">
        <f>'[31]מאזן בוחן EUROPE'!AH345</f>
        <v>0</v>
      </c>
      <c r="AI323" s="141">
        <v>0</v>
      </c>
      <c r="AJ323" s="141">
        <v>0</v>
      </c>
      <c r="AK323" s="141">
        <v>0</v>
      </c>
      <c r="AL323" s="141">
        <v>0</v>
      </c>
      <c r="AM323" s="141">
        <v>0</v>
      </c>
      <c r="AN323" s="141">
        <f>$K323-SUM($AC323:AM323)</f>
        <v>0</v>
      </c>
      <c r="AO323" s="141"/>
      <c r="AP323" s="141"/>
      <c r="AQ323" s="141"/>
      <c r="AR323" s="141"/>
      <c r="AS323" s="141"/>
      <c r="AT323" s="141"/>
      <c r="AU323" s="141"/>
      <c r="AV323" s="141"/>
      <c r="AW323" s="141"/>
      <c r="AX323" s="141"/>
      <c r="AY323" s="141"/>
    </row>
    <row r="324" spans="1:55">
      <c r="A324" s="406"/>
      <c r="B324" s="3659" t="s">
        <v>720</v>
      </c>
      <c r="C324" s="585">
        <v>80060</v>
      </c>
      <c r="D324" s="159" t="s">
        <v>721</v>
      </c>
      <c r="E324" s="439">
        <f>IFERROR(VLOOKUP(C324,'פ.נ. EUROPE'!$D$164:$F$353,3,0),0)</f>
        <v>-1101139.82</v>
      </c>
      <c r="F324" s="976">
        <f>SUMIF('פ.נ. EUROPE'!C:C,C:C,'פ.נ. EUROPE'!E:E)</f>
        <v>0</v>
      </c>
      <c r="G324" s="439"/>
      <c r="H324" s="52"/>
      <c r="I324" s="439"/>
      <c r="J324" s="965">
        <f>SUM(E324:I324)</f>
        <v>-1101139.82</v>
      </c>
      <c r="K324" s="4260">
        <f>M324+SUMIF('פ.נ. EUROPE'!C:C,'מאזן בוחן EUROPE'!C324,'פ.נ. EUROPE'!F:F)</f>
        <v>-1467370.68</v>
      </c>
      <c r="L324" s="399"/>
      <c r="M324" s="474">
        <f>IFERROR(VLOOKUP(C324,'פ.נ. EUROPE'!$D$164:$H$353,4,0),"")</f>
        <v>-1467370.68</v>
      </c>
      <c r="N324" s="1104">
        <f>IF(K324=0,"-",J324/K324)</f>
        <v>0.7504169430453661</v>
      </c>
      <c r="O324" s="434"/>
      <c r="P324" s="2840" t="s">
        <v>2533</v>
      </c>
      <c r="Q324" s="137">
        <v>-98941.77</v>
      </c>
      <c r="R324" s="137">
        <v>-98794.939999999988</v>
      </c>
      <c r="S324" s="137">
        <v>-101407.75000000001</v>
      </c>
      <c r="T324" s="137">
        <v>-101081.43999999999</v>
      </c>
      <c r="U324" s="137">
        <v>-97724.250000000015</v>
      </c>
      <c r="V324" s="137">
        <v>-98197.160000000018</v>
      </c>
      <c r="W324" s="141">
        <v>-98333.959999999977</v>
      </c>
      <c r="X324" s="141">
        <v>-99295.34000000004</v>
      </c>
      <c r="Y324" s="141">
        <v>-96937.74</v>
      </c>
      <c r="Z324" s="141">
        <v>-99794.04999999993</v>
      </c>
      <c r="AA324" s="141">
        <v>-99274.259999999893</v>
      </c>
      <c r="AB324" s="141">
        <v>-99215.719999999972</v>
      </c>
      <c r="AC324" s="141">
        <f>'[26]מאזן בוחן EUROPE'!AC336</f>
        <v>-99120.33</v>
      </c>
      <c r="AD324" s="141">
        <f>'[27]מאזן בוחן EUROPE'!AD336</f>
        <v>-99136.58</v>
      </c>
      <c r="AE324" s="141">
        <f>'[28]מאזן בוחן EUROPE'!AE344</f>
        <v>-98332.329999999987</v>
      </c>
      <c r="AF324" s="141">
        <f>'[29]מאזן בוחן EUROPE'!AF340</f>
        <v>-91734.460000000021</v>
      </c>
      <c r="AG324" s="141">
        <f>'[30]מאזן בוחן EUROPE'!AG344</f>
        <v>-93942.299999999988</v>
      </c>
      <c r="AH324" s="141">
        <f>'[31]מאזן בוחן EUROPE'!AH346</f>
        <v>-211268.61</v>
      </c>
      <c r="AI324" s="141">
        <v>-131377.14000000001</v>
      </c>
      <c r="AJ324" s="141">
        <v>-131452.69999999995</v>
      </c>
      <c r="AK324" s="141">
        <v>-130237.51000000001</v>
      </c>
      <c r="AL324" s="141">
        <v>-129030.67999999993</v>
      </c>
      <c r="AM324" s="141">
        <v>-127963.81000000006</v>
      </c>
      <c r="AN324" s="141">
        <f>$K324-SUM($AC324:AM324)</f>
        <v>-123774.22999999998</v>
      </c>
      <c r="AO324" s="141"/>
      <c r="AP324" s="141"/>
      <c r="AQ324" s="141"/>
      <c r="AR324" s="141"/>
      <c r="AS324" s="141"/>
      <c r="AT324" s="141" t="s">
        <v>3939</v>
      </c>
      <c r="AU324" s="141"/>
      <c r="AV324" s="141"/>
      <c r="AW324" s="141"/>
      <c r="AX324" s="141"/>
      <c r="AY324" s="141"/>
      <c r="BC324" s="63"/>
    </row>
    <row r="325" spans="1:55" ht="13.5" thickBot="1">
      <c r="A325" s="406"/>
      <c r="B325" s="3659" t="s">
        <v>720</v>
      </c>
      <c r="C325" s="585">
        <v>80061</v>
      </c>
      <c r="D325" s="159" t="s">
        <v>722</v>
      </c>
      <c r="E325" s="439">
        <f>IFERROR(VLOOKUP(C325,'פ.נ. EUROPE'!$D$164:$F$353,3,0),0)</f>
        <v>-4868134.6900000004</v>
      </c>
      <c r="F325" s="518">
        <f>SUMIF('פ.נ. EUROPE'!C:C,C:C,'פ.נ. EUROPE'!E:E)</f>
        <v>0</v>
      </c>
      <c r="G325" s="439"/>
      <c r="H325" s="52"/>
      <c r="I325" s="439"/>
      <c r="J325" s="965">
        <f>SUM(E325:I325)</f>
        <v>-4868134.6900000004</v>
      </c>
      <c r="K325" s="4260">
        <f>M325+SUMIF('פ.נ. EUROPE'!C:C,'מאזן בוחן EUROPE'!C325,'פ.נ. EUROPE'!F:F)</f>
        <v>-6445099.5899999999</v>
      </c>
      <c r="L325" s="399"/>
      <c r="M325" s="474">
        <f>IFERROR(VLOOKUP(C325,'פ.נ. EUROPE'!$D$164:$H$353,4,0),"")</f>
        <v>-6445099.5899999999</v>
      </c>
      <c r="N325" s="1104">
        <f>IF(K325=0,"-",J325/K325)</f>
        <v>0.75532342394727847</v>
      </c>
      <c r="O325" s="434"/>
      <c r="P325" s="1150"/>
      <c r="Q325" s="137">
        <v>-681986.64</v>
      </c>
      <c r="R325" s="137">
        <v>-712772.75999999989</v>
      </c>
      <c r="S325" s="137">
        <v>-698709.85000000021</v>
      </c>
      <c r="T325" s="137">
        <v>-668066.66999999981</v>
      </c>
      <c r="U325" s="137">
        <v>-645613.8000000004</v>
      </c>
      <c r="V325" s="137">
        <v>-647371.37999999977</v>
      </c>
      <c r="W325" s="141">
        <v>-612967.52000000014</v>
      </c>
      <c r="X325" s="141">
        <v>-600386.54999999993</v>
      </c>
      <c r="Y325" s="141">
        <v>-597320.0899999995</v>
      </c>
      <c r="Z325" s="141">
        <v>-654443.3900000006</v>
      </c>
      <c r="AA325" s="141">
        <v>-646249.97999999952</v>
      </c>
      <c r="AB325" s="141">
        <v>-619335.58000000007</v>
      </c>
      <c r="AC325" s="141">
        <f>'[26]מאזן בוחן EUROPE'!AC337</f>
        <v>-549452.52</v>
      </c>
      <c r="AD325" s="141">
        <f>'[27]מאזן בוחן EUROPE'!AD337</f>
        <v>-549241.34000000008</v>
      </c>
      <c r="AE325" s="141">
        <f>'[28]מאזן בוחן EUROPE'!AE345</f>
        <v>-591811.44999999995</v>
      </c>
      <c r="AF325" s="141">
        <f>'[29]מאזן בוחן EUROPE'!AF341</f>
        <v>-518475.5299999998</v>
      </c>
      <c r="AG325" s="141">
        <f>'[30]מאזן בוחן EUROPE'!AG345</f>
        <v>-500400.52</v>
      </c>
      <c r="AH325" s="141">
        <f>'[31]מאזן בוחן EUROPE'!AH347</f>
        <v>-553190.91000000015</v>
      </c>
      <c r="AI325" s="141">
        <v>-511683.45999999996</v>
      </c>
      <c r="AJ325" s="141">
        <v>-551991.85999999987</v>
      </c>
      <c r="AK325" s="141">
        <v>-520535.70000000019</v>
      </c>
      <c r="AL325" s="141">
        <v>-507416.5700000003</v>
      </c>
      <c r="AM325" s="141">
        <v>-511029.72999999952</v>
      </c>
      <c r="AN325" s="141">
        <f>$K325-SUM($AC325:AM325)</f>
        <v>-579870</v>
      </c>
      <c r="AO325" s="141"/>
      <c r="AP325" s="141"/>
      <c r="AQ325" s="141" t="s">
        <v>4319</v>
      </c>
      <c r="AR325" s="141" t="s">
        <v>4143</v>
      </c>
      <c r="AS325" s="141"/>
      <c r="AT325" s="141" t="s">
        <v>3940</v>
      </c>
      <c r="AU325" s="141" t="s">
        <v>3652</v>
      </c>
      <c r="AV325" s="141"/>
      <c r="AW325" s="141"/>
      <c r="AX325" s="141" t="s">
        <v>3233</v>
      </c>
      <c r="AY325" s="141" t="s">
        <v>3049</v>
      </c>
      <c r="BC325" s="63"/>
    </row>
    <row r="326" spans="1:55" ht="13.5" thickBot="1">
      <c r="A326" s="406"/>
      <c r="B326" s="3742" t="s">
        <v>720</v>
      </c>
      <c r="C326" s="585" t="s">
        <v>459</v>
      </c>
      <c r="D326" s="159" t="s">
        <v>726</v>
      </c>
      <c r="E326" s="439">
        <f>IFERROR(VLOOKUP(C326,'פ.נ. EUROPE'!$D$164:$F$353,3,0),0)</f>
        <v>-239129.51</v>
      </c>
      <c r="F326" s="518">
        <f>SUMIF('פ.נ. EUROPE'!C:C,C:C,'פ.נ. EUROPE'!E:E)</f>
        <v>0</v>
      </c>
      <c r="G326" s="439"/>
      <c r="H326" s="52"/>
      <c r="I326" s="439"/>
      <c r="J326" s="965">
        <f>SUM(E326:I326)</f>
        <v>-239129.51</v>
      </c>
      <c r="K326" s="4260">
        <f>M326+SUMIF('פ.נ. EUROPE'!C:C,'מאזן בוחן EUROPE'!C326,'פ.נ. EUROPE'!F:F)</f>
        <v>-311174.57</v>
      </c>
      <c r="L326" s="956" t="e">
        <f>SUM('[33]53599 - UK'!$F$6:$O$9,'[34]Income receibales'!$AA$3138)+K326</f>
        <v>#REF!</v>
      </c>
      <c r="M326" s="474">
        <f>IFERROR(VLOOKUP(C326,'פ.נ. EUROPE'!$D$164:$H$353,4,0),"")</f>
        <v>-311174.57</v>
      </c>
      <c r="N326" s="1104">
        <f>IF(K326=0,"-",J326/K326)</f>
        <v>0.76847381841003271</v>
      </c>
      <c r="O326" s="434"/>
      <c r="P326" s="2840" t="s">
        <v>2125</v>
      </c>
      <c r="Q326" s="137">
        <v>659.14</v>
      </c>
      <c r="R326" s="137">
        <v>659.14</v>
      </c>
      <c r="S326" s="137">
        <v>659.14000000000021</v>
      </c>
      <c r="T326" s="137">
        <v>659.14</v>
      </c>
      <c r="U326" s="137">
        <v>659.13999999999976</v>
      </c>
      <c r="V326" s="137">
        <v>659.14000000000044</v>
      </c>
      <c r="W326" s="141">
        <v>659.1399999999993</v>
      </c>
      <c r="X326" s="141">
        <v>659.13999999999976</v>
      </c>
      <c r="Y326" s="141">
        <v>659.14000000000067</v>
      </c>
      <c r="Z326" s="141">
        <v>659.14000000000033</v>
      </c>
      <c r="AA326" s="141">
        <v>659.14000000000033</v>
      </c>
      <c r="AB326" s="141">
        <v>0</v>
      </c>
      <c r="AC326" s="141">
        <f>'[26]מאזן בוחן EUROPE'!AC338</f>
        <v>0</v>
      </c>
      <c r="AD326" s="141">
        <f>'[27]מאזן בוחן EUROPE'!AD338</f>
        <v>0</v>
      </c>
      <c r="AE326" s="141">
        <f>'[28]מאזן בוחן EUROPE'!AE346</f>
        <v>-75258.3</v>
      </c>
      <c r="AF326" s="141">
        <f>'[29]מאזן בוחן EUROPE'!AF342</f>
        <v>-25086.099999999991</v>
      </c>
      <c r="AG326" s="141">
        <f>'[30]מאזן בוחן EUROPE'!AG346</f>
        <v>-25086.100000000006</v>
      </c>
      <c r="AH326" s="141">
        <f>'[31]מאזן בוחן EUROPE'!AH348</f>
        <v>-25077.350000000006</v>
      </c>
      <c r="AI326" s="141">
        <v>-24802.179999999993</v>
      </c>
      <c r="AJ326" s="141">
        <v>-24802.179999999993</v>
      </c>
      <c r="AK326" s="141">
        <v>-24802.180000000022</v>
      </c>
      <c r="AL326" s="141">
        <v>-24802.179999999993</v>
      </c>
      <c r="AM326" s="141">
        <v>-24802.179999999993</v>
      </c>
      <c r="AN326" s="141">
        <f>$K326-SUM($AC326:AM326)</f>
        <v>-36655.820000000007</v>
      </c>
      <c r="AO326" s="141"/>
      <c r="AP326" s="141"/>
      <c r="AQ326" s="141"/>
      <c r="AR326" s="141">
        <f>AJ325-AK325</f>
        <v>-31456.159999999683</v>
      </c>
      <c r="AS326" s="141"/>
      <c r="AT326" s="141"/>
      <c r="AU326" s="141"/>
      <c r="AV326" s="141"/>
      <c r="AW326" s="141"/>
      <c r="AX326" s="141"/>
      <c r="AY326" s="141"/>
    </row>
    <row r="327" spans="1:55">
      <c r="A327" s="406"/>
      <c r="B327" s="3741"/>
      <c r="C327" s="585"/>
      <c r="D327" s="1675" t="s">
        <v>2475</v>
      </c>
      <c r="E327" s="439"/>
      <c r="F327" s="518"/>
      <c r="G327" s="439"/>
      <c r="H327" s="52"/>
      <c r="I327" s="439"/>
      <c r="J327" s="965"/>
      <c r="K327" s="590"/>
      <c r="L327" s="399"/>
      <c r="M327" s="474"/>
      <c r="N327" s="1104"/>
      <c r="O327" s="434"/>
      <c r="P327" s="1133"/>
      <c r="Q327" s="137">
        <v>0</v>
      </c>
      <c r="R327" s="137">
        <v>0</v>
      </c>
      <c r="S327" s="137">
        <v>0</v>
      </c>
      <c r="T327" s="137">
        <v>0</v>
      </c>
      <c r="U327" s="137">
        <v>0</v>
      </c>
      <c r="V327" s="137">
        <v>0</v>
      </c>
      <c r="W327" s="141">
        <v>0</v>
      </c>
      <c r="X327" s="141">
        <v>0</v>
      </c>
      <c r="Y327" s="141">
        <v>0</v>
      </c>
      <c r="Z327" s="141">
        <v>0</v>
      </c>
      <c r="AA327" s="141">
        <v>0</v>
      </c>
      <c r="AB327" s="141">
        <v>0</v>
      </c>
      <c r="AC327" s="141">
        <f>'[26]מאזן בוחן EUROPE'!AC339</f>
        <v>0</v>
      </c>
      <c r="AD327" s="141">
        <f>'[27]מאזן בוחן EUROPE'!AD339</f>
        <v>0</v>
      </c>
      <c r="AE327" s="141">
        <f>'[28]מאזן בוחן EUROPE'!AE347</f>
        <v>0</v>
      </c>
      <c r="AF327" s="141">
        <f>'[29]מאזן בוחן EUROPE'!AF343</f>
        <v>0</v>
      </c>
      <c r="AG327" s="141">
        <f>'[30]מאזן בוחן EUROPE'!AG347</f>
        <v>0</v>
      </c>
      <c r="AH327" s="141">
        <f>'[31]מאזן בוחן EUROPE'!AH349</f>
        <v>0</v>
      </c>
      <c r="AI327" s="141">
        <v>0</v>
      </c>
      <c r="AJ327" s="141">
        <v>0</v>
      </c>
      <c r="AK327" s="141">
        <v>0</v>
      </c>
      <c r="AL327" s="141">
        <v>0</v>
      </c>
      <c r="AM327" s="141">
        <v>0</v>
      </c>
      <c r="AN327" s="141">
        <f>$K327-SUM($AC327:AM327)</f>
        <v>0</v>
      </c>
      <c r="AO327" s="141"/>
      <c r="AP327" s="141"/>
      <c r="AQ327" s="141"/>
      <c r="AR327" s="141"/>
      <c r="AS327" s="141"/>
      <c r="AT327" s="141"/>
      <c r="AU327" s="141"/>
      <c r="AV327" s="141"/>
      <c r="AW327" s="141"/>
      <c r="AX327" s="141"/>
      <c r="AY327" s="141"/>
    </row>
    <row r="328" spans="1:55">
      <c r="A328" s="406"/>
      <c r="B328" s="3659" t="s">
        <v>1062</v>
      </c>
      <c r="C328" s="585">
        <v>80150</v>
      </c>
      <c r="D328" s="137" t="s">
        <v>1739</v>
      </c>
      <c r="E328" s="439">
        <f>IFERROR(VLOOKUP(C328,'פ.נ. EUROPE'!$D$164:$F$353,3,0),0)</f>
        <v>-58809.440000000002</v>
      </c>
      <c r="F328" s="518">
        <f>SUMIF('פ.נ. EUROPE'!C:C,C:C,'פ.נ. EUROPE'!E:E)</f>
        <v>0</v>
      </c>
      <c r="G328" s="439"/>
      <c r="H328" s="52"/>
      <c r="I328" s="439"/>
      <c r="J328" s="965">
        <f>SUM(E328:I328)</f>
        <v>-58809.440000000002</v>
      </c>
      <c r="K328" s="4260">
        <f>M328+SUMIF('פ.נ. EUROPE'!C:C,'מאזן בוחן EUROPE'!C328,'פ.נ. EUROPE'!F:F)</f>
        <v>-79998.3</v>
      </c>
      <c r="L328" s="51"/>
      <c r="M328" s="171">
        <f>IFERROR(VLOOKUP(C328,'פ.נ. EUROPE'!$D$164:$H$353,4,0),"")</f>
        <v>-79998.3</v>
      </c>
      <c r="N328" s="1104">
        <f>IF(K328=0,"-",J328/K328)</f>
        <v>0.73513362158945883</v>
      </c>
      <c r="O328" s="434"/>
      <c r="P328" s="1133"/>
      <c r="Q328" s="137">
        <v>-7786.6</v>
      </c>
      <c r="R328" s="137">
        <v>-8343.6999999999989</v>
      </c>
      <c r="S328" s="137">
        <v>-5108.380000000001</v>
      </c>
      <c r="T328" s="137">
        <v>-13926.570000000003</v>
      </c>
      <c r="U328" s="137">
        <v>0</v>
      </c>
      <c r="V328" s="137">
        <v>-22699.920000000002</v>
      </c>
      <c r="W328" s="141">
        <v>-15622.089999999984</v>
      </c>
      <c r="X328" s="141">
        <v>-7649.7000000000153</v>
      </c>
      <c r="Y328" s="141">
        <v>-17931.510000000002</v>
      </c>
      <c r="Z328" s="141">
        <v>-7113.2299999999959</v>
      </c>
      <c r="AA328" s="141">
        <v>-31830.590000000011</v>
      </c>
      <c r="AB328" s="141">
        <v>111798.3</v>
      </c>
      <c r="AC328" s="141">
        <f>'[26]מאזן בוחן EUROPE'!AC340</f>
        <v>-4482.51</v>
      </c>
      <c r="AD328" s="141">
        <f>'[27]מאזן בוחן EUROPE'!AD340</f>
        <v>-2058.17</v>
      </c>
      <c r="AE328" s="141">
        <f>'[28]מאזן בוחן EUROPE'!AE348</f>
        <v>-5023.93</v>
      </c>
      <c r="AF328" s="141">
        <f>'[29]מאזן בוחן EUROPE'!AF344</f>
        <v>-1459.3099999999995</v>
      </c>
      <c r="AG328" s="141">
        <f>'[30]מאזן בוחן EUROPE'!AG348</f>
        <v>-1600</v>
      </c>
      <c r="AH328" s="141">
        <f>'[31]מאזן בוחן EUROPE'!AH350</f>
        <v>-10890.070000000002</v>
      </c>
      <c r="AI328" s="141">
        <v>-700</v>
      </c>
      <c r="AJ328" s="141">
        <v>-564.80999999999767</v>
      </c>
      <c r="AK328" s="141">
        <v>-14634.16</v>
      </c>
      <c r="AL328" s="141">
        <v>-7267.2900000000009</v>
      </c>
      <c r="AM328" s="141">
        <v>-7664.1999999999971</v>
      </c>
      <c r="AN328" s="141">
        <f>$K328-SUM($AC328:AM328)</f>
        <v>-23653.850000000006</v>
      </c>
      <c r="AO328" s="141"/>
      <c r="AP328" s="141"/>
      <c r="AQ328" s="141"/>
      <c r="AR328" s="141"/>
      <c r="AS328" s="141"/>
      <c r="AT328" s="141"/>
      <c r="AU328" s="141"/>
      <c r="AV328" s="141"/>
      <c r="AW328" s="141"/>
      <c r="AX328" s="141"/>
      <c r="AY328" s="141"/>
    </row>
    <row r="329" spans="1:55">
      <c r="A329" s="406"/>
      <c r="B329" s="3659" t="s">
        <v>1062</v>
      </c>
      <c r="C329" s="585">
        <v>80151</v>
      </c>
      <c r="D329" s="159" t="s">
        <v>1663</v>
      </c>
      <c r="E329" s="439">
        <f>IFERROR(VLOOKUP(C329,'פ.נ. EUROPE'!$D$164:$F$353,3,0),0)</f>
        <v>-19056.5</v>
      </c>
      <c r="F329" s="518">
        <f>SUMIF('פ.נ. EUROPE'!C:C,C:C,'פ.נ. EUROPE'!E:E)</f>
        <v>0</v>
      </c>
      <c r="G329" s="439"/>
      <c r="H329" s="52"/>
      <c r="I329" s="439"/>
      <c r="J329" s="965">
        <f>SUM(E329:I329)</f>
        <v>-19056.5</v>
      </c>
      <c r="K329" s="4260">
        <f>M329+SUMIF('פ.נ. EUROPE'!C:C,'מאזן בוחן EUROPE'!C329,'פ.נ. EUROPE'!F:F)</f>
        <v>-26395.03</v>
      </c>
      <c r="M329" s="171">
        <f>IFERROR(VLOOKUP(C329,'פ.נ. EUROPE'!$D$164:$H$353,4,0),"")</f>
        <v>-26395.03</v>
      </c>
      <c r="N329" s="1104">
        <f>IF(K329=0,"-",J329/K329)</f>
        <v>0.72197303810603741</v>
      </c>
      <c r="O329" s="434"/>
      <c r="P329" s="1133"/>
      <c r="Q329" s="137">
        <v>0</v>
      </c>
      <c r="R329" s="137">
        <v>-7664.67</v>
      </c>
      <c r="S329" s="137">
        <v>-2075.1800000000003</v>
      </c>
      <c r="T329" s="137">
        <v>-1963.25</v>
      </c>
      <c r="U329" s="137">
        <v>-1710</v>
      </c>
      <c r="V329" s="137">
        <v>0</v>
      </c>
      <c r="W329" s="141">
        <v>-3344.6000000000004</v>
      </c>
      <c r="X329" s="141">
        <v>0</v>
      </c>
      <c r="Y329" s="141">
        <v>-580.48999999999796</v>
      </c>
      <c r="Z329" s="141">
        <v>0</v>
      </c>
      <c r="AA329" s="141">
        <v>0</v>
      </c>
      <c r="AB329" s="141">
        <v>-3856.0699999999997</v>
      </c>
      <c r="AC329" s="141">
        <f>'[26]מאזן בוחן EUROPE'!AC341</f>
        <v>0</v>
      </c>
      <c r="AD329" s="141">
        <f>'[27]מאזן בוחן EUROPE'!AD341</f>
        <v>-5800.17</v>
      </c>
      <c r="AE329" s="141">
        <f>'[28]מאזן בוחן EUROPE'!AE349</f>
        <v>-12859.01</v>
      </c>
      <c r="AF329" s="141">
        <f>'[29]מאזן בוחן EUROPE'!AF345</f>
        <v>-1085.369999999999</v>
      </c>
      <c r="AG329" s="141">
        <f>'[30]מאזן בוחן EUROPE'!AG349</f>
        <v>0</v>
      </c>
      <c r="AH329" s="141">
        <f>'[31]מאזן בוחן EUROPE'!AH351</f>
        <v>0</v>
      </c>
      <c r="AI329" s="141">
        <v>-1449.7099999999991</v>
      </c>
      <c r="AJ329" s="141">
        <v>0</v>
      </c>
      <c r="AK329" s="141">
        <v>-2246.3100000000013</v>
      </c>
      <c r="AL329" s="141">
        <v>0</v>
      </c>
      <c r="AM329" s="141">
        <v>-2954.4599999999991</v>
      </c>
      <c r="AN329" s="141">
        <f>$K329-SUM($AC329:AM329)</f>
        <v>0</v>
      </c>
      <c r="AO329" s="141"/>
      <c r="AP329" s="141"/>
      <c r="AQ329" s="141"/>
      <c r="AR329" s="141"/>
      <c r="AS329" s="141"/>
      <c r="AT329" s="141"/>
      <c r="AU329" s="141"/>
      <c r="AV329" s="141"/>
      <c r="AW329" s="141"/>
      <c r="AX329" s="141"/>
      <c r="AY329" s="141"/>
    </row>
    <row r="330" spans="1:55" ht="13.5" thickBot="1">
      <c r="A330" s="406"/>
      <c r="B330" s="3659"/>
      <c r="C330" s="585"/>
      <c r="D330" s="1675" t="s">
        <v>2471</v>
      </c>
      <c r="E330" s="439"/>
      <c r="F330" s="518"/>
      <c r="G330" s="439"/>
      <c r="H330" s="52"/>
      <c r="I330" s="439"/>
      <c r="J330" s="965"/>
      <c r="K330" s="590"/>
      <c r="M330" s="171"/>
      <c r="N330" s="1104"/>
      <c r="O330" s="434"/>
      <c r="P330" s="1133"/>
      <c r="Q330" s="137">
        <v>0</v>
      </c>
      <c r="R330" s="137">
        <v>0</v>
      </c>
      <c r="S330" s="137">
        <v>0</v>
      </c>
      <c r="T330" s="137">
        <v>0</v>
      </c>
      <c r="U330" s="137">
        <v>0</v>
      </c>
      <c r="V330" s="137">
        <v>0</v>
      </c>
      <c r="W330" s="141">
        <v>0</v>
      </c>
      <c r="X330" s="141">
        <v>0</v>
      </c>
      <c r="Y330" s="141">
        <v>0</v>
      </c>
      <c r="Z330" s="141">
        <v>0</v>
      </c>
      <c r="AA330" s="141">
        <v>0</v>
      </c>
      <c r="AB330" s="141">
        <v>0</v>
      </c>
      <c r="AC330" s="141">
        <f>'[26]מאזן בוחן EUROPE'!AC342</f>
        <v>0</v>
      </c>
      <c r="AD330" s="141">
        <f>'[27]מאזן בוחן EUROPE'!AD342</f>
        <v>0</v>
      </c>
      <c r="AE330" s="141">
        <f>'[28]מאזן בוחן EUROPE'!AE350</f>
        <v>0</v>
      </c>
      <c r="AF330" s="141">
        <f>'[29]מאזן בוחן EUROPE'!AF346</f>
        <v>0</v>
      </c>
      <c r="AG330" s="141">
        <f>'[30]מאזן בוחן EUROPE'!AG350</f>
        <v>0</v>
      </c>
      <c r="AH330" s="141">
        <f>'[31]מאזן בוחן EUROPE'!AH352</f>
        <v>0</v>
      </c>
      <c r="AI330" s="141">
        <v>0</v>
      </c>
      <c r="AJ330" s="141">
        <v>0</v>
      </c>
      <c r="AK330" s="141">
        <v>0</v>
      </c>
      <c r="AL330" s="141">
        <v>0</v>
      </c>
      <c r="AM330" s="141">
        <v>0</v>
      </c>
      <c r="AN330" s="141">
        <f>$K330-SUM($AC330:AM330)</f>
        <v>0</v>
      </c>
      <c r="AO330" s="141"/>
      <c r="AP330" s="141"/>
      <c r="AQ330" s="141"/>
      <c r="AR330" s="141"/>
      <c r="AS330" s="141"/>
      <c r="AT330" s="141"/>
      <c r="AU330" s="141"/>
      <c r="AV330" s="141"/>
      <c r="AW330" s="141"/>
      <c r="AX330" s="141"/>
      <c r="AY330" s="141"/>
    </row>
    <row r="331" spans="1:55" ht="13.5" thickBot="1">
      <c r="A331" s="406"/>
      <c r="B331" s="3659" t="s">
        <v>727</v>
      </c>
      <c r="C331" s="585">
        <v>80152</v>
      </c>
      <c r="D331" s="159" t="s">
        <v>729</v>
      </c>
      <c r="E331" s="439">
        <f>IFERROR(VLOOKUP(C331,'פ.נ. EUROPE'!$D$164:$F$353,3,0),0)</f>
        <v>-781748.42</v>
      </c>
      <c r="F331" s="521">
        <f>SUMIF('פ.נ. EUROPE'!C:C,C:C,'פ.נ. EUROPE'!E:E)</f>
        <v>0</v>
      </c>
      <c r="G331" s="439"/>
      <c r="H331" s="52"/>
      <c r="I331" s="439"/>
      <c r="J331" s="965">
        <f>SUM(E331:I331)</f>
        <v>-781748.42</v>
      </c>
      <c r="K331" s="4260">
        <f>M331+SUMIF('פ.נ. EUROPE'!C:C,'מאזן בוחן EUROPE'!C331,'פ.נ. EUROPE'!F:F)</f>
        <v>-1044818.02</v>
      </c>
      <c r="L331" s="3077">
        <f>SUM('[15]12.21'!$P$224,[129]priority!$F$37)+SUM('[15]12.21'!$P$225)*'נתונים לשינוי'!$C$21/'נתונים לשינוי'!$C$22+AN331</f>
        <v>-67109.392721999975</v>
      </c>
      <c r="M331" s="171">
        <f>IFERROR(VLOOKUP(C331,'פ.נ. EUROPE'!$D$164:$H$353,4,0),"")</f>
        <v>-1044818.02</v>
      </c>
      <c r="N331" s="1104">
        <f>IF(K331=0,"-",J331/K331)</f>
        <v>0.74821490923366729</v>
      </c>
      <c r="O331" s="434"/>
      <c r="P331" s="4435" t="s">
        <v>2878</v>
      </c>
      <c r="Q331" s="137">
        <v>-10256.58</v>
      </c>
      <c r="R331" s="137">
        <v>-99532.99</v>
      </c>
      <c r="S331" s="137">
        <v>-102315.07</v>
      </c>
      <c r="T331" s="137">
        <v>-79781.820000000036</v>
      </c>
      <c r="U331" s="137">
        <v>-23456.839999999967</v>
      </c>
      <c r="V331" s="137">
        <v>-108389.32999999999</v>
      </c>
      <c r="W331" s="141">
        <v>-2369.1100000000024</v>
      </c>
      <c r="X331" s="141">
        <v>-2639.700000000028</v>
      </c>
      <c r="Y331" s="141">
        <v>-36193.449999999924</v>
      </c>
      <c r="Z331" s="141">
        <v>-70327.710000000079</v>
      </c>
      <c r="AA331" s="141">
        <v>-255854.26</v>
      </c>
      <c r="AB331" s="141">
        <v>274474.8</v>
      </c>
      <c r="AC331" s="141">
        <f>'[26]מאזן בוחן EUROPE'!AC343</f>
        <v>-104165.47</v>
      </c>
      <c r="AD331" s="141">
        <f>'[27]מאזן בוחן EUROPE'!AD343</f>
        <v>-56521.369999999995</v>
      </c>
      <c r="AE331" s="141">
        <f>'[28]מאזן בוחן EUROPE'!AE351</f>
        <v>-78294.97</v>
      </c>
      <c r="AF331" s="141">
        <f>'[29]מאזן בוחן EUROPE'!AF347</f>
        <v>-16479.839999999997</v>
      </c>
      <c r="AG331" s="141">
        <f>'[30]מאזן בוחן EUROPE'!AG351</f>
        <v>-27930.329999999987</v>
      </c>
      <c r="AH331" s="141">
        <f>'[31]מאזן בוחן EUROPE'!AH353</f>
        <v>-82238.530000000028</v>
      </c>
      <c r="AI331" s="141">
        <v>-151011.54999999999</v>
      </c>
      <c r="AJ331" s="141">
        <v>-34258.990000000049</v>
      </c>
      <c r="AK331" s="141">
        <v>-205574.18999999994</v>
      </c>
      <c r="AL331" s="141">
        <v>-66026.790000000037</v>
      </c>
      <c r="AM331" s="141">
        <v>-81620.140000000014</v>
      </c>
      <c r="AN331" s="141">
        <f>$K331-SUM($AC331:AM331)</f>
        <v>-140695.84999999998</v>
      </c>
      <c r="AO331" s="141"/>
      <c r="AP331" s="141"/>
      <c r="AQ331" s="141"/>
      <c r="AR331" s="141"/>
      <c r="AS331" s="141"/>
      <c r="AT331" s="141"/>
      <c r="AU331" s="141"/>
      <c r="AV331" s="141"/>
      <c r="AW331" s="141"/>
      <c r="AX331" s="141"/>
      <c r="AY331" s="141"/>
      <c r="BB331" s="63"/>
      <c r="BC331" s="63"/>
    </row>
    <row r="332" spans="1:55" ht="13.5" thickBot="1">
      <c r="A332" s="406"/>
      <c r="B332" s="3659" t="s">
        <v>727</v>
      </c>
      <c r="C332" s="585">
        <v>80153</v>
      </c>
      <c r="D332" s="159" t="s">
        <v>730</v>
      </c>
      <c r="E332" s="439">
        <f>IFERROR(VLOOKUP(C332,'פ.נ. EUROPE'!$D$164:$F$353,3,0),0)</f>
        <v>-191821</v>
      </c>
      <c r="F332" s="518">
        <f>SUMIF('פ.נ. EUROPE'!C:C,C:C,'פ.נ. EUROPE'!E:E)</f>
        <v>0</v>
      </c>
      <c r="G332" s="439"/>
      <c r="H332" s="52"/>
      <c r="I332" s="439"/>
      <c r="J332" s="965">
        <f>SUM(E332:I332)</f>
        <v>-191821</v>
      </c>
      <c r="K332" s="4260">
        <f>M332+SUMIF('פ.נ. EUROPE'!C:C,'מאזן בוחן EUROPE'!C332,'פ.נ. EUROPE'!F:F)</f>
        <v>-265187.95</v>
      </c>
      <c r="L332" s="2222">
        <f>SUM('[15]12.21'!$H$263)*'נתונים לשינוי'!$C$20/'נתונים לשינוי'!$C$22+AN332</f>
        <v>-66.398077633450157</v>
      </c>
      <c r="M332" s="171">
        <f>IFERROR(VLOOKUP(C332,'פ.נ. EUROPE'!$D$164:$H$353,4,0),"")</f>
        <v>-265187.95</v>
      </c>
      <c r="N332" s="1104">
        <f>IF(K332=0,"-",J332/K332)</f>
        <v>0.72333980484407379</v>
      </c>
      <c r="O332" s="434"/>
      <c r="P332" s="4435"/>
      <c r="Q332" s="137">
        <v>-643.01</v>
      </c>
      <c r="R332" s="137">
        <v>-1853.6000000000001</v>
      </c>
      <c r="S332" s="137">
        <v>-3061.8099999999995</v>
      </c>
      <c r="T332" s="137">
        <v>-44439.21</v>
      </c>
      <c r="U332" s="137">
        <v>-6338.8300000000017</v>
      </c>
      <c r="V332" s="137">
        <v>-52780.87</v>
      </c>
      <c r="W332" s="141">
        <v>-27928.45</v>
      </c>
      <c r="X332" s="141">
        <v>-15511.690000000006</v>
      </c>
      <c r="Y332" s="141">
        <v>-1794.6200000000083</v>
      </c>
      <c r="Z332" s="141">
        <v>-2538.570000000007</v>
      </c>
      <c r="AA332" s="141">
        <v>-13354.149999999994</v>
      </c>
      <c r="AB332" s="141">
        <v>-75001.570000000007</v>
      </c>
      <c r="AC332" s="141">
        <f>'[26]מאזן בוחן EUROPE'!AC344</f>
        <v>-2690.73</v>
      </c>
      <c r="AD332" s="141">
        <f>'[27]מאזן בוחן EUROPE'!AD344</f>
        <v>-50089.07</v>
      </c>
      <c r="AE332" s="141">
        <f>'[28]מאזן בוחן EUROPE'!AE352</f>
        <v>-123351.37000000001</v>
      </c>
      <c r="AF332" s="141">
        <f>'[29]מאזן בוחן EUROPE'!AF348</f>
        <v>-21763.26999999999</v>
      </c>
      <c r="AG332" s="141">
        <f>'[30]מאזן בוחן EUROPE'!AG352</f>
        <v>-24678.089999999997</v>
      </c>
      <c r="AH332" s="141">
        <f>'[31]מאזן בוחן EUROPE'!AH354</f>
        <v>-14384.899999999994</v>
      </c>
      <c r="AI332" s="141">
        <v>-8288.9500000000116</v>
      </c>
      <c r="AJ332" s="141">
        <v>-8091.1499999999942</v>
      </c>
      <c r="AK332" s="141">
        <v>-4551.7000000000116</v>
      </c>
      <c r="AL332" s="141">
        <v>-1784.4100000000035</v>
      </c>
      <c r="AM332" s="141">
        <v>-2465.3899999999849</v>
      </c>
      <c r="AN332" s="141">
        <f>$K332-SUM($AC332:AM332)</f>
        <v>-3048.9200000000128</v>
      </c>
      <c r="AO332" s="141"/>
      <c r="AP332" s="141"/>
      <c r="AQ332" s="141"/>
      <c r="AR332" s="141"/>
      <c r="AS332" s="141"/>
      <c r="AT332" s="141"/>
      <c r="AU332" s="141"/>
      <c r="AV332" s="141"/>
      <c r="AW332" s="141"/>
      <c r="AX332" s="141"/>
      <c r="AY332" s="141"/>
      <c r="BB332" s="63"/>
      <c r="BC332" s="63"/>
    </row>
    <row r="333" spans="1:55" ht="13.5" thickBot="1">
      <c r="A333" s="406"/>
      <c r="B333" s="3659" t="s">
        <v>727</v>
      </c>
      <c r="C333" s="585" t="s">
        <v>2233</v>
      </c>
      <c r="D333" s="159" t="s">
        <v>2234</v>
      </c>
      <c r="E333" s="439">
        <f>IFERROR(VLOOKUP(C333,'פ.נ. EUROPE'!$D$164:$F$353,3,0),0)</f>
        <v>217506.23</v>
      </c>
      <c r="F333" s="439">
        <f>SUMIF('פ.נ. EUROPE'!C:C,C:C,'פ.נ. EUROPE'!E:E)</f>
        <v>0</v>
      </c>
      <c r="G333" s="439"/>
      <c r="H333" s="52"/>
      <c r="I333" s="439"/>
      <c r="J333" s="965">
        <f>SUM(E333:I333)</f>
        <v>217506.23</v>
      </c>
      <c r="K333" s="4260">
        <f>M333+SUMIF('פ.נ. EUROPE'!C:C,'מאזן בוחן EUROPE'!C333,'פ.נ. EUROPE'!F:F)</f>
        <v>294823.2</v>
      </c>
      <c r="L333" s="2222">
        <f>SUM('[131]PIVOT Q3'!$K$15)-AK333</f>
        <v>-3.559999997378327E-2</v>
      </c>
      <c r="M333" s="171">
        <f>IFERROR(VLOOKUP(C333,'פ.נ. EUROPE'!$D$164:$H$353,4,0),"")</f>
        <v>294823.2</v>
      </c>
      <c r="N333" s="1104">
        <f>IF(K333=0,"-",J333/K333)</f>
        <v>0.73775140490978997</v>
      </c>
      <c r="O333" s="434"/>
      <c r="P333" s="2841" t="s">
        <v>3056</v>
      </c>
      <c r="S333" s="137">
        <v>-49683.32744999999</v>
      </c>
      <c r="T333" s="137">
        <v>0</v>
      </c>
      <c r="U333" s="137">
        <v>0.32744999998976709</v>
      </c>
      <c r="V333" s="137">
        <v>-17583</v>
      </c>
      <c r="W333" s="141">
        <v>0</v>
      </c>
      <c r="X333" s="141">
        <v>0</v>
      </c>
      <c r="Y333" s="141">
        <v>-86939</v>
      </c>
      <c r="Z333" s="141">
        <v>0</v>
      </c>
      <c r="AA333" s="141">
        <v>0</v>
      </c>
      <c r="AB333" s="141">
        <v>254524.2</v>
      </c>
      <c r="AC333" s="141">
        <f>'[26]מאזן בוחן EUROPE'!AC345</f>
        <v>0</v>
      </c>
      <c r="AD333" s="141">
        <f>'[27]מאזן בוחן EUROPE'!AD345</f>
        <v>0</v>
      </c>
      <c r="AE333" s="141">
        <f>'[28]מאזן בוחן EUROPE'!AE353</f>
        <v>34283.21</v>
      </c>
      <c r="AF333" s="141">
        <f>'[29]מאזן בוחן EUROPE'!AF349</f>
        <v>0</v>
      </c>
      <c r="AG333" s="141">
        <f>'[30]מאזן בוחן EUROPE'!AG353</f>
        <v>0</v>
      </c>
      <c r="AH333" s="141">
        <f>'[31]מאזן בוחן EUROPE'!AH355</f>
        <v>66035.989999999991</v>
      </c>
      <c r="AI333" s="141">
        <v>0</v>
      </c>
      <c r="AJ333" s="141">
        <v>0</v>
      </c>
      <c r="AK333" s="141">
        <v>243956.00000000003</v>
      </c>
      <c r="AL333" s="141">
        <v>0</v>
      </c>
      <c r="AM333" s="141">
        <v>0</v>
      </c>
      <c r="AN333" s="141">
        <f>$K333-SUM($AC333:AM333)</f>
        <v>-49452</v>
      </c>
      <c r="AO333" s="141"/>
      <c r="AP333" s="141"/>
      <c r="AQ333" s="141"/>
      <c r="AR333" s="141"/>
      <c r="AS333" s="141"/>
      <c r="AT333" s="141"/>
      <c r="AU333" s="141"/>
      <c r="AV333" s="141"/>
      <c r="AW333" s="141"/>
      <c r="AX333" s="141"/>
      <c r="AY333" s="141"/>
      <c r="BB333" s="63"/>
      <c r="BC333" s="63"/>
    </row>
    <row r="334" spans="1:55" ht="13.5" thickBot="1">
      <c r="A334" s="406"/>
      <c r="B334" s="3659"/>
      <c r="C334" s="585"/>
      <c r="D334" s="1675" t="s">
        <v>2474</v>
      </c>
      <c r="E334" s="439"/>
      <c r="F334" s="518"/>
      <c r="G334" s="439"/>
      <c r="H334" s="52"/>
      <c r="I334" s="439"/>
      <c r="J334" s="965"/>
      <c r="K334" s="590"/>
      <c r="L334" s="51"/>
      <c r="M334" s="171"/>
      <c r="N334" s="1104"/>
      <c r="O334" s="434"/>
      <c r="P334" s="1442"/>
      <c r="Q334" s="137">
        <v>0</v>
      </c>
      <c r="R334" s="137">
        <v>0</v>
      </c>
      <c r="S334" s="137">
        <v>0</v>
      </c>
      <c r="T334" s="137">
        <v>0</v>
      </c>
      <c r="U334" s="137">
        <v>0</v>
      </c>
      <c r="V334" s="137">
        <v>0</v>
      </c>
      <c r="W334" s="141">
        <v>0</v>
      </c>
      <c r="X334" s="141">
        <v>0</v>
      </c>
      <c r="Y334" s="141">
        <v>0</v>
      </c>
      <c r="Z334" s="141">
        <v>0</v>
      </c>
      <c r="AA334" s="141">
        <v>0</v>
      </c>
      <c r="AB334" s="141">
        <v>0</v>
      </c>
      <c r="AC334" s="141">
        <f>'[26]מאזן בוחן EUROPE'!AC346</f>
        <v>0</v>
      </c>
      <c r="AD334" s="141">
        <f>'[27]מאזן בוחן EUROPE'!AD346</f>
        <v>0</v>
      </c>
      <c r="AE334" s="141">
        <f>'[28]מאזן בוחן EUROPE'!AE354</f>
        <v>0</v>
      </c>
      <c r="AF334" s="141">
        <f>'[29]מאזן בוחן EUROPE'!AF350</f>
        <v>0</v>
      </c>
      <c r="AG334" s="141">
        <f>'[30]מאזן בוחן EUROPE'!AG354</f>
        <v>0</v>
      </c>
      <c r="AH334" s="141">
        <f>'[31]מאזן בוחן EUROPE'!AH356</f>
        <v>0</v>
      </c>
      <c r="AI334" s="141">
        <v>0</v>
      </c>
      <c r="AJ334" s="141">
        <v>0</v>
      </c>
      <c r="AK334" s="141">
        <v>0</v>
      </c>
      <c r="AL334" s="141">
        <v>0</v>
      </c>
      <c r="AM334" s="141">
        <v>0</v>
      </c>
      <c r="AN334" s="141">
        <f>$K334-SUM($AC334:AM334)</f>
        <v>0</v>
      </c>
      <c r="AO334" s="141"/>
      <c r="AP334" s="141"/>
      <c r="AQ334" s="141"/>
      <c r="AR334" s="141"/>
      <c r="AS334" s="141"/>
      <c r="AT334" s="141"/>
      <c r="AU334" s="141"/>
      <c r="AV334" s="141"/>
      <c r="AW334" s="141"/>
      <c r="AX334" s="141"/>
      <c r="AY334" s="141"/>
      <c r="BB334" s="63"/>
      <c r="BC334" s="2809"/>
    </row>
    <row r="335" spans="1:55">
      <c r="A335" s="406"/>
      <c r="B335" s="3659" t="s">
        <v>1766</v>
      </c>
      <c r="C335" s="585">
        <v>80070</v>
      </c>
      <c r="D335" s="159" t="s">
        <v>1665</v>
      </c>
      <c r="E335" s="439">
        <f>IFERROR(VLOOKUP(C335,'פ.נ. EUROPE'!$D$164:$F$353,3,0),0)</f>
        <v>-3019705.14</v>
      </c>
      <c r="F335" s="518">
        <f>SUMIF('פ.נ. EUROPE'!C:C,C:C,'פ.נ. EUROPE'!E:E)</f>
        <v>0</v>
      </c>
      <c r="G335" s="439"/>
      <c r="H335" s="52"/>
      <c r="I335" s="439"/>
      <c r="J335" s="965">
        <f t="shared" ref="J335:J340" si="79">SUM(E335:I335)</f>
        <v>-3019705.14</v>
      </c>
      <c r="K335" s="4260">
        <f>M335+SUMIF('פ.נ. EUROPE'!C:C,'מאזן בוחן EUROPE'!C335,'פ.נ. EUROPE'!F:F)</f>
        <v>-4119576.28</v>
      </c>
      <c r="L335" s="4309">
        <f>+SUM('[81]ALL Automated'!$I$126,-'ביאורים לדוחות הכספיים'!B171)+K335+K336</f>
        <v>-13.608417907264084</v>
      </c>
      <c r="M335" s="171">
        <f>IFERROR(VLOOKUP(C335,'פ.נ. EUROPE'!$D$164:$H$353,4,0),"")</f>
        <v>-4119576.28</v>
      </c>
      <c r="N335" s="1104">
        <f t="shared" ref="N335:N340" si="80">IF(K335=0,"-",J335/K335)</f>
        <v>0.7330135273038324</v>
      </c>
      <c r="O335" s="434"/>
      <c r="P335" s="1442"/>
      <c r="Q335" s="137">
        <v>-39851.83</v>
      </c>
      <c r="R335" s="137">
        <v>-101400.81000000001</v>
      </c>
      <c r="S335" s="137">
        <v>-23630.079999999987</v>
      </c>
      <c r="T335" s="137">
        <v>-33396.720000000001</v>
      </c>
      <c r="U335" s="137">
        <v>-180221.75</v>
      </c>
      <c r="V335" s="137">
        <v>-233052.90000000002</v>
      </c>
      <c r="W335" s="141">
        <v>-32689.940000000017</v>
      </c>
      <c r="X335" s="141">
        <v>-33613.31</v>
      </c>
      <c r="Y335" s="141">
        <v>-1420962.65</v>
      </c>
      <c r="Z335" s="141">
        <v>-70844.939999999944</v>
      </c>
      <c r="AA335" s="141">
        <v>264129.91000000015</v>
      </c>
      <c r="AB335" s="141">
        <v>-3592.2099999999627</v>
      </c>
      <c r="AC335" s="141">
        <f>'[26]מאזן בוחן EUROPE'!AC347</f>
        <v>-77666.67</v>
      </c>
      <c r="AD335" s="141">
        <f>'[27]מאזן בוחן EUROPE'!AD347</f>
        <v>-56926.710000000006</v>
      </c>
      <c r="AE335" s="141">
        <f>'[28]מאזן בוחן EUROPE'!AE355</f>
        <v>-1155547.0099999998</v>
      </c>
      <c r="AF335" s="141">
        <f>'[29]מאזן בוחן EUROPE'!AF351</f>
        <v>-15733.920000000391</v>
      </c>
      <c r="AG335" s="141">
        <f>'[30]מאזן בוחן EUROPE'!AG355</f>
        <v>-67799.669999999925</v>
      </c>
      <c r="AH335" s="141">
        <f>'[31]מאזן בוחן EUROPE'!AH357</f>
        <v>-343196.67999999993</v>
      </c>
      <c r="AI335" s="141">
        <v>-192256.57000000007</v>
      </c>
      <c r="AJ335" s="141">
        <v>-331951.41000000015</v>
      </c>
      <c r="AK335" s="141">
        <v>-291372.2799999998</v>
      </c>
      <c r="AL335" s="141">
        <v>-88746.560000000056</v>
      </c>
      <c r="AM335" s="141">
        <v>-535955.37000000011</v>
      </c>
      <c r="AN335" s="141">
        <f>$K335-SUM($AC335:AM335)</f>
        <v>-962423.4299999997</v>
      </c>
      <c r="AO335" s="141"/>
      <c r="AP335" s="141"/>
      <c r="AQ335" s="141"/>
      <c r="AR335" s="141"/>
      <c r="AS335" s="141"/>
      <c r="AT335" s="141"/>
      <c r="AU335" s="141"/>
      <c r="AV335" s="141"/>
      <c r="AW335" s="141"/>
      <c r="AX335" s="141"/>
      <c r="AY335" s="141"/>
    </row>
    <row r="336" spans="1:55" ht="13.5" thickBot="1">
      <c r="A336" s="406"/>
      <c r="B336" s="3659" t="s">
        <v>1766</v>
      </c>
      <c r="C336" s="585">
        <v>80071</v>
      </c>
      <c r="D336" s="159" t="s">
        <v>1666</v>
      </c>
      <c r="E336" s="439">
        <f>IFERROR(VLOOKUP(C336,'פ.נ. EUROPE'!$D$164:$F$353,3,0),0)</f>
        <v>-216622.98</v>
      </c>
      <c r="F336" s="518">
        <f>SUMIF('פ.נ. EUROPE'!C:C,C:C,'פ.נ. EUROPE'!E:E)</f>
        <v>0</v>
      </c>
      <c r="G336" s="439"/>
      <c r="H336" s="52"/>
      <c r="I336" s="439"/>
      <c r="J336" s="965">
        <f t="shared" si="79"/>
        <v>-216622.98</v>
      </c>
      <c r="K336" s="4260">
        <f>M336+SUMIF('פ.נ. EUROPE'!C:C,'מאזן בוחן EUROPE'!C336,'פ.נ. EUROPE'!F:F)</f>
        <v>-293845.75</v>
      </c>
      <c r="L336" s="4310"/>
      <c r="M336" s="171">
        <f>IFERROR(VLOOKUP(C336,'פ.נ. EUROPE'!$D$164:$H$353,4,0),"")</f>
        <v>-293845.75</v>
      </c>
      <c r="N336" s="1104">
        <f t="shared" si="80"/>
        <v>0.73719963620368856</v>
      </c>
      <c r="O336" s="434"/>
      <c r="P336" s="1442"/>
      <c r="Q336" s="137">
        <v>0</v>
      </c>
      <c r="R336" s="137">
        <v>0</v>
      </c>
      <c r="S336" s="137">
        <v>-29164.53</v>
      </c>
      <c r="T336" s="137">
        <v>-14195.150000000001</v>
      </c>
      <c r="U336" s="137">
        <v>0</v>
      </c>
      <c r="V336" s="137">
        <v>-10826.879999999997</v>
      </c>
      <c r="W336" s="141">
        <v>-5003.2799999999988</v>
      </c>
      <c r="X336" s="141">
        <v>0</v>
      </c>
      <c r="Y336" s="141">
        <v>0</v>
      </c>
      <c r="Z336" s="141">
        <v>0</v>
      </c>
      <c r="AA336" s="141">
        <v>0</v>
      </c>
      <c r="AB336" s="141">
        <v>-86172.35</v>
      </c>
      <c r="AC336" s="141">
        <f>'[26]מאזן בוחן EUROPE'!AC348</f>
        <v>0</v>
      </c>
      <c r="AD336" s="141">
        <f>'[27]מאזן בוחן EUROPE'!AD348</f>
        <v>0</v>
      </c>
      <c r="AE336" s="141">
        <f>'[28]מאזן בוחן EUROPE'!AE356</f>
        <v>-138953.97</v>
      </c>
      <c r="AF336" s="141">
        <f>'[29]מאזן בוחן EUROPE'!AF352</f>
        <v>0</v>
      </c>
      <c r="AG336" s="141">
        <f>'[30]מאזן בוחן EUROPE'!AG356</f>
        <v>0</v>
      </c>
      <c r="AH336" s="141">
        <f>'[31]מאזן בוחן EUROPE'!AH358</f>
        <v>0</v>
      </c>
      <c r="AI336" s="141">
        <v>-6408.2200000000012</v>
      </c>
      <c r="AJ336" s="141">
        <v>-5520.1000000000058</v>
      </c>
      <c r="AK336" s="141">
        <v>0</v>
      </c>
      <c r="AL336" s="141">
        <v>0</v>
      </c>
      <c r="AM336" s="141">
        <v>0</v>
      </c>
      <c r="AN336" s="141">
        <f>$K336-SUM($AC336:AM336)</f>
        <v>-142963.46</v>
      </c>
      <c r="AO336" s="141"/>
      <c r="AP336" s="141"/>
      <c r="AQ336" s="141"/>
      <c r="AR336" s="141"/>
      <c r="AS336" s="141"/>
      <c r="AT336" s="141"/>
      <c r="AU336" s="141"/>
      <c r="AV336" s="141"/>
      <c r="AW336" s="141"/>
      <c r="AX336" s="141"/>
      <c r="AY336" s="141"/>
    </row>
    <row r="337" spans="1:56">
      <c r="A337" s="406"/>
      <c r="B337" s="3659" t="s">
        <v>1664</v>
      </c>
      <c r="C337" s="585">
        <v>80080</v>
      </c>
      <c r="D337" s="159" t="s">
        <v>1667</v>
      </c>
      <c r="E337" s="439">
        <f>IFERROR(VLOOKUP(C337,'פ.נ. EUROPE'!$D$164:$F$353,3,0),0)</f>
        <v>-971933.85</v>
      </c>
      <c r="F337" s="518">
        <f>SUMIF('פ.נ. EUROPE'!C:C,C:C,'פ.נ. EUROPE'!E:E)</f>
        <v>0</v>
      </c>
      <c r="G337" s="439"/>
      <c r="H337" s="52"/>
      <c r="I337" s="439"/>
      <c r="J337" s="965">
        <f t="shared" si="79"/>
        <v>-971933.85</v>
      </c>
      <c r="K337" s="4260">
        <f>M337+SUMIF('פ.נ. EUROPE'!C:C,'מאזן בוחן EUROPE'!C337,'פ.נ. EUROPE'!F:F)</f>
        <v>-1273992.48</v>
      </c>
      <c r="L337" s="4309">
        <f>SUM([132]ALL!$AN$101:$AY$101,[85]ALL!$X$93:$AI$93,'[81]ALL Automated'!$M$126:$X$126)+K337+K338</f>
        <v>306.95867463108152</v>
      </c>
      <c r="M337" s="171">
        <f>IFERROR(VLOOKUP(C337,'פ.נ. EUROPE'!$D$164:$H$353,4,0),"")</f>
        <v>-1273992.48</v>
      </c>
      <c r="N337" s="1104">
        <f t="shared" si="80"/>
        <v>0.76290391447208539</v>
      </c>
      <c r="O337" s="434"/>
      <c r="P337" s="1442"/>
      <c r="Q337" s="137">
        <v>-49031.37</v>
      </c>
      <c r="R337" s="137">
        <v>-43928.439999999995</v>
      </c>
      <c r="S337" s="137">
        <v>-44597.390000000007</v>
      </c>
      <c r="T337" s="137">
        <v>-44630.62</v>
      </c>
      <c r="U337" s="137">
        <v>-44654.969999999994</v>
      </c>
      <c r="V337" s="137">
        <v>-48733.259999999987</v>
      </c>
      <c r="W337" s="141">
        <v>-49788.07</v>
      </c>
      <c r="X337" s="141">
        <v>-49129.749999999993</v>
      </c>
      <c r="Y337" s="141">
        <v>-50527.739999999983</v>
      </c>
      <c r="Z337" s="141">
        <v>-81084.760000000009</v>
      </c>
      <c r="AA337" s="141">
        <v>-47906.709999999963</v>
      </c>
      <c r="AB337" s="141">
        <v>-106700.22000000009</v>
      </c>
      <c r="AC337" s="141">
        <f>'[26]מאזן בוחן EUROPE'!AC349</f>
        <v>-79499.399999999994</v>
      </c>
      <c r="AD337" s="141">
        <f>'[27]מאזן בוחן EUROPE'!AD349</f>
        <v>-79904.41</v>
      </c>
      <c r="AE337" s="141">
        <f>'[28]מאזן בוחן EUROPE'!AE357</f>
        <v>-82797.66</v>
      </c>
      <c r="AF337" s="141">
        <f>'[29]מאזן בוחן EUROPE'!AF353</f>
        <v>-104078.20999999999</v>
      </c>
      <c r="AG337" s="141">
        <f>'[30]מאזן בוחן EUROPE'!AG357</f>
        <v>-99984.270000000019</v>
      </c>
      <c r="AH337" s="141">
        <f>'[31]מאזן בוחן EUROPE'!AH359</f>
        <v>-103224.74999999994</v>
      </c>
      <c r="AI337" s="141">
        <v>-111224.60000000009</v>
      </c>
      <c r="AJ337" s="141">
        <v>-112444.06999999995</v>
      </c>
      <c r="AK337" s="141">
        <v>-118232.06000000006</v>
      </c>
      <c r="AL337" s="141">
        <v>-123692.25</v>
      </c>
      <c r="AM337" s="141">
        <v>-125306.32999999996</v>
      </c>
      <c r="AN337" s="141">
        <f>$K337-SUM($AC337:AM337)</f>
        <v>-133604.46999999997</v>
      </c>
      <c r="AO337" s="141"/>
      <c r="AP337" s="141"/>
      <c r="AQ337" s="141"/>
      <c r="AR337" s="141"/>
      <c r="AS337" s="141"/>
      <c r="AT337" s="141"/>
      <c r="AU337" s="141"/>
      <c r="AV337" s="141"/>
      <c r="AW337" s="141"/>
      <c r="AX337" s="141"/>
      <c r="AY337" s="141"/>
      <c r="BD337" s="2810"/>
    </row>
    <row r="338" spans="1:56" ht="13.5" thickBot="1">
      <c r="A338" s="406"/>
      <c r="B338" s="3659" t="s">
        <v>1664</v>
      </c>
      <c r="C338" s="585">
        <v>80081</v>
      </c>
      <c r="D338" s="159" t="s">
        <v>1668</v>
      </c>
      <c r="E338" s="439">
        <f>IFERROR(VLOOKUP(C338,'פ.נ. EUROPE'!$D$164:$F$353,3,0),0)</f>
        <v>-159683.69</v>
      </c>
      <c r="F338" s="518">
        <f>SUMIF('פ.נ. EUROPE'!C:C,C:C,'פ.נ. EUROPE'!E:E)</f>
        <v>0</v>
      </c>
      <c r="G338" s="439"/>
      <c r="H338" s="52"/>
      <c r="I338" s="439"/>
      <c r="J338" s="965">
        <f t="shared" si="79"/>
        <v>-159683.69</v>
      </c>
      <c r="K338" s="4260">
        <f>M338+SUMIF('פ.נ. EUROPE'!C:C,'מאזן בוחן EUROPE'!C338,'פ.נ. EUROPE'!F:F)</f>
        <v>-201096.5</v>
      </c>
      <c r="L338" s="4310"/>
      <c r="M338" s="171">
        <f>IFERROR(VLOOKUP(C338,'פ.נ. EUROPE'!$D$164:$H$353,4,0),"")</f>
        <v>-201096.5</v>
      </c>
      <c r="N338" s="1104">
        <f t="shared" si="80"/>
        <v>0.7940649886994553</v>
      </c>
      <c r="O338" s="434"/>
      <c r="P338" s="1442"/>
      <c r="Q338" s="137">
        <v>-14610.68</v>
      </c>
      <c r="R338" s="137">
        <v>-14607.349999999999</v>
      </c>
      <c r="S338" s="137">
        <v>-14901.309999999998</v>
      </c>
      <c r="T338" s="137">
        <v>-14420.870000000003</v>
      </c>
      <c r="U338" s="137">
        <v>-14588.450000000004</v>
      </c>
      <c r="V338" s="137">
        <v>-14588.450000000004</v>
      </c>
      <c r="W338" s="141">
        <v>-14588.449999999983</v>
      </c>
      <c r="X338" s="141">
        <v>-14612.750000000007</v>
      </c>
      <c r="Y338" s="141">
        <v>-14617.450000000004</v>
      </c>
      <c r="Z338" s="141">
        <v>-14537.639999999985</v>
      </c>
      <c r="AA338" s="141">
        <v>-14537.640000000014</v>
      </c>
      <c r="AB338" s="141">
        <v>46440.72</v>
      </c>
      <c r="AC338" s="141">
        <f>'[26]מאזן בוחן EUROPE'!AC350</f>
        <v>-14537.64</v>
      </c>
      <c r="AD338" s="141">
        <f>'[27]מאזן בוחן EUROPE'!AD350</f>
        <v>-14537.64</v>
      </c>
      <c r="AE338" s="141">
        <f>'[28]מאזן בוחן EUROPE'!AE358</f>
        <v>-15347.200000000004</v>
      </c>
      <c r="AF338" s="141">
        <f>'[29]מאזן בוחן EUROPE'!AF354</f>
        <v>-17432.509999999995</v>
      </c>
      <c r="AG338" s="141">
        <f>'[30]מאזן בוחן EUROPE'!AG358</f>
        <v>-17432.510000000002</v>
      </c>
      <c r="AH338" s="141">
        <f>'[31]מאזן בוחן EUROPE'!AH360</f>
        <v>-17432.509999999995</v>
      </c>
      <c r="AI338" s="141">
        <v>-17450.310000000012</v>
      </c>
      <c r="AJ338" s="141">
        <v>-17421.299999999988</v>
      </c>
      <c r="AK338" s="141">
        <v>-17376.22</v>
      </c>
      <c r="AL338" s="141">
        <v>-17376.22</v>
      </c>
      <c r="AM338" s="141">
        <v>-17376.22</v>
      </c>
      <c r="AN338" s="141">
        <f>$K338-SUM($AC338:AM338)</f>
        <v>-17376.22</v>
      </c>
      <c r="AO338" s="141"/>
      <c r="AP338" s="141"/>
      <c r="AQ338" s="141"/>
      <c r="AR338" s="141"/>
      <c r="AS338" s="141"/>
      <c r="AT338" s="141"/>
      <c r="AU338" s="141"/>
      <c r="AV338" s="141"/>
      <c r="AW338" s="141"/>
      <c r="AX338" s="141"/>
      <c r="AY338" s="141"/>
      <c r="BD338" s="2810"/>
    </row>
    <row r="339" spans="1:56" ht="13.5" thickBot="1">
      <c r="A339" s="406"/>
      <c r="B339" s="3659" t="s">
        <v>720</v>
      </c>
      <c r="C339" s="585">
        <v>80062</v>
      </c>
      <c r="D339" s="159" t="s">
        <v>723</v>
      </c>
      <c r="E339" s="439">
        <f>IFERROR(VLOOKUP(C339,'פ.נ. EUROPE'!$D$164:$F$353,3,0),0)</f>
        <v>-170835.7</v>
      </c>
      <c r="F339" s="518">
        <f>SUMIF('פ.נ. EUROPE'!C:C,C:C,'פ.נ. EUROPE'!E:E)</f>
        <v>0</v>
      </c>
      <c r="G339" s="439"/>
      <c r="H339" s="52"/>
      <c r="I339" s="439"/>
      <c r="J339" s="965">
        <f t="shared" si="79"/>
        <v>-170835.7</v>
      </c>
      <c r="K339" s="4260">
        <f>M339+SUMIF('פ.נ. EUROPE'!C:C,'מאזן בוחן EUROPE'!C339,'פ.נ. EUROPE'!F:F)</f>
        <v>-230446.24</v>
      </c>
      <c r="L339" s="2222">
        <f>SUM('[89]2019 ספרים'!$E$86:$E$97)+K339</f>
        <v>-1.2485337181715295E-2</v>
      </c>
      <c r="M339" s="171">
        <f>IFERROR(VLOOKUP(C339,'פ.נ. EUROPE'!$D$164:$H$353,4,0),"")</f>
        <v>-230446.24</v>
      </c>
      <c r="N339" s="1104">
        <f t="shared" si="80"/>
        <v>0.74132561242917228</v>
      </c>
      <c r="O339" s="434"/>
      <c r="Q339" s="137">
        <v>-71040.3</v>
      </c>
      <c r="R339" s="137">
        <v>-71004.36</v>
      </c>
      <c r="S339" s="137">
        <v>-70669.02</v>
      </c>
      <c r="T339" s="137">
        <v>-63152.36</v>
      </c>
      <c r="U339" s="137">
        <v>-63137.540000000037</v>
      </c>
      <c r="V339" s="137">
        <v>-63037.509999999995</v>
      </c>
      <c r="W339" s="141">
        <v>-63037.509999999937</v>
      </c>
      <c r="X339" s="141">
        <v>-62872.989999999976</v>
      </c>
      <c r="Y339" s="141">
        <v>-62613.030000000013</v>
      </c>
      <c r="Z339" s="141">
        <v>-62398.810000000056</v>
      </c>
      <c r="AA339" s="141">
        <v>-60418.130000000005</v>
      </c>
      <c r="AB339" s="141">
        <v>514051.2300000001</v>
      </c>
      <c r="AC339" s="141">
        <f>'[26]מאזן בוחן EUROPE'!AC351</f>
        <v>-54958.18</v>
      </c>
      <c r="AD339" s="141">
        <f>'[27]מאזן בוחן EUROPE'!AD351</f>
        <v>-54958.18</v>
      </c>
      <c r="AE339" s="141">
        <f>'[28]מאזן בוחן EUROPE'!AE359</f>
        <v>-53679.569999999992</v>
      </c>
      <c r="AF339" s="141">
        <f>'[29]מאזן בוחן EUROPE'!AF355</f>
        <v>-8933.6000000000058</v>
      </c>
      <c r="AG339" s="141">
        <f>'[30]מאזן בוחן EUROPE'!AG359</f>
        <v>-8933.6000000000058</v>
      </c>
      <c r="AH339" s="141">
        <f>'[31]מאזן בוחן EUROPE'!AH361</f>
        <v>-8933.6000000000058</v>
      </c>
      <c r="AI339" s="141">
        <v>-8933.5999999999767</v>
      </c>
      <c r="AJ339" s="141">
        <v>-8933.6000000000058</v>
      </c>
      <c r="AK339" s="141">
        <v>-8826.2200000000012</v>
      </c>
      <c r="AL339" s="141">
        <v>-4908.5200000000186</v>
      </c>
      <c r="AM339" s="141">
        <v>-4908.5699999999779</v>
      </c>
      <c r="AN339" s="141">
        <f>$K339-SUM($AC339:AM339)</f>
        <v>-3539</v>
      </c>
      <c r="AO339" s="141"/>
      <c r="AP339" s="141"/>
      <c r="AQ339" s="141"/>
      <c r="AR339" s="141"/>
      <c r="AS339" s="141"/>
      <c r="AT339" s="141"/>
      <c r="AU339" s="141"/>
      <c r="AV339" s="141"/>
      <c r="AW339" s="141"/>
      <c r="AX339" s="141"/>
      <c r="AY339" s="141"/>
      <c r="BC339" s="1951"/>
    </row>
    <row r="340" spans="1:56" ht="13.5" thickBot="1">
      <c r="A340" s="406"/>
      <c r="B340" s="3659" t="s">
        <v>720</v>
      </c>
      <c r="C340" s="585">
        <v>80063</v>
      </c>
      <c r="D340" s="159" t="s">
        <v>724</v>
      </c>
      <c r="E340" s="439">
        <f>IFERROR(VLOOKUP(C340,'פ.נ. EUROPE'!$D$164:$F$353,3,0),0)</f>
        <v>-68763.48</v>
      </c>
      <c r="F340" s="518">
        <f>SUMIF('פ.נ. EUROPE'!C:C,C:C,'פ.נ. EUROPE'!E:E)</f>
        <v>0</v>
      </c>
      <c r="G340" s="439"/>
      <c r="H340" s="52"/>
      <c r="I340" s="439"/>
      <c r="J340" s="965">
        <f t="shared" si="79"/>
        <v>-68763.48</v>
      </c>
      <c r="K340" s="4260">
        <f>M340+SUMIF('פ.נ. EUROPE'!C:C,'מאזן בוחן EUROPE'!C340,'פ.נ. EUROPE'!F:F)</f>
        <v>-89433.12</v>
      </c>
      <c r="L340" s="2222">
        <f>SUM('[89]2019 ספרים'!$E$31:$E$42)+K340</f>
        <v>4.9976608119322918E-2</v>
      </c>
      <c r="M340" s="171">
        <f>IFERROR(VLOOKUP(C340,'פ.נ. EUROPE'!$D$164:$H$353,4,0),"")</f>
        <v>-89433.12</v>
      </c>
      <c r="N340" s="1104">
        <f t="shared" si="80"/>
        <v>0.76888159554312763</v>
      </c>
      <c r="O340" s="434"/>
      <c r="Q340" s="137">
        <v>-7452.76</v>
      </c>
      <c r="R340" s="137">
        <v>-7452.76</v>
      </c>
      <c r="S340" s="137">
        <v>-7452.7599999999984</v>
      </c>
      <c r="T340" s="137">
        <v>-7452.76</v>
      </c>
      <c r="U340" s="137">
        <v>-7452.76</v>
      </c>
      <c r="V340" s="137">
        <v>-7452.7599999999948</v>
      </c>
      <c r="W340" s="141">
        <v>-7452.7599999999966</v>
      </c>
      <c r="X340" s="141">
        <v>-7452.7600000000057</v>
      </c>
      <c r="Y340" s="141">
        <v>-7452.7599999999984</v>
      </c>
      <c r="Z340" s="141">
        <v>-7452.7600000000093</v>
      </c>
      <c r="AA340" s="141">
        <v>-7452.7599999999948</v>
      </c>
      <c r="AB340" s="141">
        <v>29811.040000000001</v>
      </c>
      <c r="AC340" s="141">
        <f>'[26]מאזן בוחן EUROPE'!AC352</f>
        <v>-7452.76</v>
      </c>
      <c r="AD340" s="141">
        <f>'[27]מאזן בוחן EUROPE'!AD352</f>
        <v>-7452.76</v>
      </c>
      <c r="AE340" s="141">
        <f>'[28]מאזן בוחן EUROPE'!AE360</f>
        <v>-7452.7599999999984</v>
      </c>
      <c r="AF340" s="141">
        <f>'[29]מאזן בוחן EUROPE'!AF356</f>
        <v>-7452.760000000002</v>
      </c>
      <c r="AG340" s="141">
        <f>'[30]מאזן בוחן EUROPE'!AG360</f>
        <v>-7452.760000000002</v>
      </c>
      <c r="AH340" s="141">
        <f>'[31]מאזן בוחן EUROPE'!AH362</f>
        <v>-7452.7599999999948</v>
      </c>
      <c r="AI340" s="141">
        <v>-7452.760000000002</v>
      </c>
      <c r="AJ340" s="141">
        <v>-7452.760000000002</v>
      </c>
      <c r="AK340" s="141">
        <v>-7452.7599999999948</v>
      </c>
      <c r="AL340" s="141">
        <v>-7452.7600000000093</v>
      </c>
      <c r="AM340" s="141">
        <v>-7452.7599999999948</v>
      </c>
      <c r="AN340" s="141">
        <f>$K340-SUM($AC340:AM340)</f>
        <v>-7452.7599999999948</v>
      </c>
      <c r="AO340" s="141"/>
      <c r="AP340" s="141"/>
      <c r="AQ340" s="141"/>
      <c r="AR340" s="141"/>
      <c r="AS340" s="141"/>
      <c r="AT340" s="141"/>
      <c r="AU340" s="141"/>
      <c r="AV340" s="141"/>
      <c r="AW340" s="141"/>
      <c r="AX340" s="141"/>
      <c r="AY340" s="141"/>
      <c r="BC340" s="1951"/>
    </row>
    <row r="341" spans="1:56" ht="13.5" thickBot="1">
      <c r="A341" s="406"/>
      <c r="B341" s="3659"/>
      <c r="C341" s="585"/>
      <c r="D341" s="1675" t="s">
        <v>2550</v>
      </c>
      <c r="E341" s="439"/>
      <c r="F341" s="518"/>
      <c r="G341" s="439"/>
      <c r="H341" s="52"/>
      <c r="I341" s="439"/>
      <c r="J341" s="965"/>
      <c r="K341" s="590"/>
      <c r="L341" s="51"/>
      <c r="M341" s="171"/>
      <c r="N341" s="1104"/>
      <c r="O341" s="434"/>
      <c r="P341" s="1442"/>
      <c r="W341" s="141"/>
      <c r="X341" s="141">
        <v>0</v>
      </c>
      <c r="Y341" s="141">
        <v>0</v>
      </c>
      <c r="Z341" s="141">
        <v>0</v>
      </c>
      <c r="AA341" s="141">
        <v>0</v>
      </c>
      <c r="AB341" s="141">
        <v>0</v>
      </c>
      <c r="AC341" s="141">
        <f>'[26]מאזן בוחן EUROPE'!AC353</f>
        <v>0</v>
      </c>
      <c r="AD341" s="141">
        <f>'[27]מאזן בוחן EUROPE'!AD353</f>
        <v>0</v>
      </c>
      <c r="AE341" s="141">
        <f>'[28]מאזן בוחן EUROPE'!AE361</f>
        <v>0</v>
      </c>
      <c r="AF341" s="141">
        <f>'[29]מאזן בוחן EUROPE'!AF357</f>
        <v>0</v>
      </c>
      <c r="AG341" s="141">
        <f>'[30]מאזן בוחן EUROPE'!AG361</f>
        <v>0</v>
      </c>
      <c r="AH341" s="141">
        <f>'[31]מאזן בוחן EUROPE'!AH363</f>
        <v>0</v>
      </c>
      <c r="AI341" s="141">
        <v>0</v>
      </c>
      <c r="AJ341" s="141">
        <v>0</v>
      </c>
      <c r="AK341" s="141">
        <v>0</v>
      </c>
      <c r="AL341" s="141">
        <v>0</v>
      </c>
      <c r="AM341" s="141">
        <v>0</v>
      </c>
      <c r="AN341" s="141">
        <f>$K341-SUM($AC341:AM341)</f>
        <v>0</v>
      </c>
      <c r="AO341" s="141"/>
      <c r="AP341" s="141"/>
      <c r="AQ341" s="141"/>
      <c r="AR341" s="141"/>
      <c r="AS341" s="141"/>
      <c r="AT341" s="141"/>
      <c r="AU341" s="141"/>
      <c r="AV341" s="141"/>
      <c r="AW341" s="141"/>
      <c r="AX341" s="141"/>
      <c r="AY341" s="141"/>
      <c r="BC341" s="1951"/>
      <c r="BD341" s="2810"/>
    </row>
    <row r="342" spans="1:56" ht="13.5" thickBot="1">
      <c r="A342" s="406"/>
      <c r="B342" s="3749" t="s">
        <v>713</v>
      </c>
      <c r="C342" s="1447" t="s">
        <v>718</v>
      </c>
      <c r="D342" s="1337" t="s">
        <v>719</v>
      </c>
      <c r="E342" s="439">
        <f>IFERROR(VLOOKUP(C342,'פ.נ. EUROPE'!$D$164:$F$353,3,0),0)</f>
        <v>-27681.09</v>
      </c>
      <c r="F342" s="1415">
        <f>SUMIF('פ.נ. EUROPE'!C:C,C:C,'פ.נ. EUROPE'!E:E)</f>
        <v>0</v>
      </c>
      <c r="G342" s="1416"/>
      <c r="H342" s="1417"/>
      <c r="I342" s="1416"/>
      <c r="J342" s="1418">
        <f>SUM(E342:I342)</f>
        <v>-27681.09</v>
      </c>
      <c r="K342" s="4266">
        <f>M342+SUMIF('פ.נ. EUROPE'!C:C,'מאזן בוחן EUROPE'!C342,'פ.נ. EUROPE'!F:F)</f>
        <v>-38127.93</v>
      </c>
      <c r="L342" s="2222"/>
      <c r="M342" s="1341">
        <f>IFERROR(VLOOKUP(C342,'פ.נ. EUROPE'!$D$164:$H$353,4,0),"")</f>
        <v>-38127.93</v>
      </c>
      <c r="N342" s="1420">
        <f>IF(K342=0,"-",J342/K342)</f>
        <v>0.72600558173496432</v>
      </c>
      <c r="O342" s="434"/>
      <c r="P342" s="2826" t="s">
        <v>3232</v>
      </c>
      <c r="Q342" s="137">
        <v>-4082</v>
      </c>
      <c r="R342" s="137">
        <v>-4082</v>
      </c>
      <c r="S342" s="137">
        <v>-4082</v>
      </c>
      <c r="T342" s="137">
        <v>-4082</v>
      </c>
      <c r="U342" s="137">
        <v>-4082</v>
      </c>
      <c r="V342" s="137">
        <v>-4082</v>
      </c>
      <c r="W342" s="141">
        <v>-4082</v>
      </c>
      <c r="X342" s="141">
        <v>-4082</v>
      </c>
      <c r="Y342" s="141">
        <v>-4082</v>
      </c>
      <c r="Z342" s="141">
        <v>-4082</v>
      </c>
      <c r="AA342" s="141">
        <v>-4082</v>
      </c>
      <c r="AB342" s="141">
        <v>-9738.93</v>
      </c>
      <c r="AC342" s="141">
        <f>'[26]מאזן בוחן EUROPE'!AC354</f>
        <v>-44419.85</v>
      </c>
      <c r="AD342" s="141">
        <f>'[27]מאזן בוחן EUROPE'!AD354</f>
        <v>0</v>
      </c>
      <c r="AE342" s="141">
        <f>'[28]מאזן בוחן EUROPE'!AE362</f>
        <v>0</v>
      </c>
      <c r="AF342" s="141">
        <f>'[29]מאזן בוחן EUROPE'!AF358</f>
        <v>0</v>
      </c>
      <c r="AG342" s="141">
        <f>'[30]מאזן בוחן EUROPE'!AG362</f>
        <v>0</v>
      </c>
      <c r="AH342" s="141">
        <f>'[31]מאזן בוחן EUROPE'!AH364</f>
        <v>-10221.080000000002</v>
      </c>
      <c r="AI342" s="141">
        <v>0</v>
      </c>
      <c r="AJ342" s="141">
        <v>0</v>
      </c>
      <c r="AK342" s="141">
        <v>0</v>
      </c>
      <c r="AL342" s="141">
        <v>0</v>
      </c>
      <c r="AM342" s="141">
        <v>0</v>
      </c>
      <c r="AN342" s="141">
        <f>$K342-SUM($AC342:AM342)</f>
        <v>16513</v>
      </c>
      <c r="AO342" s="141"/>
      <c r="AP342" s="141"/>
      <c r="AQ342" s="141"/>
      <c r="AR342" s="141"/>
      <c r="AS342" s="141"/>
      <c r="AT342" s="141"/>
      <c r="AU342" s="141"/>
      <c r="AV342" s="141"/>
      <c r="AW342" s="141"/>
      <c r="AX342" s="141"/>
      <c r="AY342" s="141"/>
    </row>
    <row r="343" spans="1:56">
      <c r="A343" s="406"/>
      <c r="B343" s="3749" t="s">
        <v>1052</v>
      </c>
      <c r="C343" s="585">
        <v>80105</v>
      </c>
      <c r="D343" s="159" t="s">
        <v>1437</v>
      </c>
      <c r="E343" s="439">
        <f>IFERROR(VLOOKUP(C343,'פ.נ. EUROPE'!$D$164:$F$353,3,0),0)</f>
        <v>-15731</v>
      </c>
      <c r="F343" s="1415">
        <f>SUMIF('פ.נ. EUROPE'!C:C,C:C,'פ.נ. EUROPE'!E:E)</f>
        <v>0</v>
      </c>
      <c r="G343" s="1416"/>
      <c r="H343" s="1417"/>
      <c r="I343" s="1416"/>
      <c r="J343" s="1418">
        <f>SUM(E343:I343)</f>
        <v>-15731</v>
      </c>
      <c r="K343" s="4266">
        <f>M343+SUMIF('פ.נ. EUROPE'!C:C,'מאזן בוחן EUROPE'!C343,'פ.נ. EUROPE'!F:F)</f>
        <v>-19286</v>
      </c>
      <c r="L343" s="439"/>
      <c r="M343" s="1341">
        <f>IFERROR(VLOOKUP(C343,'פ.נ. EUROPE'!$D$164:$H$353,4,0),"")</f>
        <v>-19286</v>
      </c>
      <c r="N343" s="3036">
        <f>IF(K343=0,"-",J343/K343)</f>
        <v>0.81566939749040757</v>
      </c>
      <c r="O343" s="434"/>
      <c r="P343" s="2840"/>
      <c r="Q343" s="137">
        <v>0</v>
      </c>
      <c r="R343" s="137">
        <v>0</v>
      </c>
      <c r="S343" s="137">
        <v>0</v>
      </c>
      <c r="T343" s="137">
        <v>0</v>
      </c>
      <c r="U343" s="137">
        <v>0</v>
      </c>
      <c r="V343" s="137">
        <v>19286</v>
      </c>
      <c r="W343" s="141">
        <v>0</v>
      </c>
      <c r="X343" s="141">
        <v>0</v>
      </c>
      <c r="Y343" s="141">
        <v>0</v>
      </c>
      <c r="Z343" s="141">
        <v>0</v>
      </c>
      <c r="AA343" s="141">
        <v>-32926.46</v>
      </c>
      <c r="AB343" s="141">
        <v>13640.46</v>
      </c>
      <c r="AC343" s="141">
        <f>'[26]מאזן בוחן EUROPE'!AC355</f>
        <v>0</v>
      </c>
      <c r="AD343" s="141">
        <f>'[27]מאזן בוחן EUROPE'!AD355</f>
        <v>0</v>
      </c>
      <c r="AE343" s="141">
        <f>'[28]מאזן בוחן EUROPE'!AE363</f>
        <v>0</v>
      </c>
      <c r="AF343" s="141">
        <f>'[29]מאזן בוחן EUROPE'!AF359</f>
        <v>0</v>
      </c>
      <c r="AG343" s="141">
        <f>'[30]מאזן בוחן EUROPE'!AG363</f>
        <v>0</v>
      </c>
      <c r="AH343" s="141">
        <f>'[31]מאזן בוחן EUROPE'!AH365</f>
        <v>0</v>
      </c>
      <c r="AI343" s="141">
        <v>0</v>
      </c>
      <c r="AJ343" s="141">
        <v>0</v>
      </c>
      <c r="AK343" s="141">
        <v>-19286</v>
      </c>
      <c r="AL343" s="141">
        <v>0</v>
      </c>
      <c r="AM343" s="141">
        <v>0</v>
      </c>
      <c r="AN343" s="141">
        <f>$K343-SUM($AC343:AM343)</f>
        <v>0</v>
      </c>
      <c r="AO343" s="141"/>
      <c r="AP343" s="141"/>
      <c r="AQ343" s="141"/>
      <c r="AR343" s="141"/>
      <c r="AS343" s="141"/>
      <c r="AT343" s="141"/>
      <c r="AU343" s="141"/>
      <c r="AV343" s="141"/>
      <c r="AW343" s="141"/>
      <c r="AX343" s="141"/>
      <c r="AY343" s="141"/>
    </row>
    <row r="344" spans="1:56">
      <c r="A344" s="406"/>
      <c r="B344" s="3659"/>
      <c r="C344" s="407"/>
      <c r="D344" s="45"/>
      <c r="E344" s="3314"/>
      <c r="J344" s="440"/>
      <c r="K344" s="97"/>
      <c r="L344" s="51"/>
      <c r="M344" s="97"/>
      <c r="N344" s="1104"/>
      <c r="O344" s="434"/>
      <c r="P344" s="401"/>
      <c r="Q344" s="51"/>
      <c r="R344" s="51"/>
      <c r="S344" s="51"/>
      <c r="W344" s="141">
        <v>0</v>
      </c>
      <c r="X344" s="141">
        <v>0</v>
      </c>
      <c r="Y344" s="141">
        <v>0</v>
      </c>
      <c r="Z344" s="141">
        <v>0</v>
      </c>
      <c r="AA344" s="141">
        <v>0</v>
      </c>
      <c r="AB344" s="141">
        <v>0</v>
      </c>
      <c r="AC344" s="141">
        <f>'[26]מאזן בוחן EUROPE'!AC356</f>
        <v>0</v>
      </c>
      <c r="AD344" s="141">
        <f>'[27]מאזן בוחן EUROPE'!AD356</f>
        <v>0</v>
      </c>
      <c r="AE344" s="141">
        <f>'[28]מאזן בוחן EUROPE'!AE364</f>
        <v>0</v>
      </c>
      <c r="AF344" s="141">
        <f>'[29]מאזן בוחן EUROPE'!AF360</f>
        <v>0</v>
      </c>
      <c r="AG344" s="141">
        <f>'[30]מאזן בוחן EUROPE'!AG364</f>
        <v>0</v>
      </c>
      <c r="AH344" s="141">
        <f>'[31]מאזן בוחן EUROPE'!AH366</f>
        <v>0</v>
      </c>
      <c r="AI344" s="141">
        <v>0</v>
      </c>
      <c r="AJ344" s="141">
        <v>0</v>
      </c>
      <c r="AK344" s="141">
        <v>0</v>
      </c>
      <c r="AL344" s="141">
        <v>0</v>
      </c>
      <c r="AM344" s="141">
        <v>0</v>
      </c>
      <c r="AN344" s="141">
        <f>$K344-SUM($AC344:AM344)</f>
        <v>0</v>
      </c>
      <c r="AO344" s="141"/>
      <c r="AP344" s="141"/>
      <c r="AQ344" s="141"/>
      <c r="AR344" s="141"/>
      <c r="AS344" s="141"/>
      <c r="AT344" s="141"/>
      <c r="AU344" s="141"/>
      <c r="AV344" s="141"/>
      <c r="AW344" s="141"/>
      <c r="AX344" s="141"/>
      <c r="AY344" s="141"/>
    </row>
    <row r="345" spans="1:56">
      <c r="B345" s="3668"/>
      <c r="C345" s="407"/>
      <c r="D345" s="67" t="s">
        <v>454</v>
      </c>
      <c r="E345" s="1351">
        <f>SUM(E314:E344)</f>
        <v>-14349707.909999998</v>
      </c>
      <c r="F345" s="1351">
        <f>SUM(F315:F344)</f>
        <v>0</v>
      </c>
      <c r="G345" s="1351">
        <f>SUM(G315:G344)</f>
        <v>0</v>
      </c>
      <c r="H345" s="1351">
        <f>SUM(H315:H344)</f>
        <v>0</v>
      </c>
      <c r="I345" s="1351">
        <f>SUM(I315:I344)</f>
        <v>0</v>
      </c>
      <c r="J345" s="1351">
        <f>SUM(J314:J344)</f>
        <v>-14349707.909999998</v>
      </c>
      <c r="K345" s="1351">
        <f>SUM(K314:K344)</f>
        <v>-19220396.5</v>
      </c>
      <c r="L345" s="336"/>
      <c r="M345" s="1351">
        <f>SUM(M314:M344)</f>
        <v>-19220396.5</v>
      </c>
      <c r="N345" s="1104"/>
      <c r="O345" s="434"/>
      <c r="P345" s="401"/>
      <c r="Q345" s="51"/>
      <c r="R345" s="51"/>
      <c r="S345" s="51"/>
      <c r="Z345" s="141"/>
      <c r="AA345" s="141"/>
      <c r="AB345" s="141"/>
      <c r="AC345" s="141"/>
      <c r="AD345" s="141"/>
      <c r="AE345" s="141"/>
      <c r="AF345" s="141"/>
      <c r="AG345" s="141"/>
      <c r="AH345" s="141"/>
      <c r="AI345" s="141"/>
      <c r="AJ345" s="141"/>
      <c r="AK345" s="141"/>
      <c r="AL345" s="141"/>
      <c r="AM345" s="141"/>
      <c r="AN345" s="141"/>
      <c r="AO345" s="141"/>
      <c r="AP345" s="141"/>
      <c r="AQ345" s="141"/>
      <c r="AR345" s="141"/>
      <c r="AS345" s="141"/>
      <c r="AT345" s="141"/>
      <c r="AU345" s="141"/>
      <c r="AV345" s="141"/>
      <c r="AW345" s="141"/>
      <c r="AX345" s="141"/>
      <c r="AY345" s="141"/>
    </row>
    <row r="346" spans="1:56">
      <c r="B346" s="3668"/>
      <c r="C346" s="407"/>
      <c r="D346" s="50"/>
      <c r="E346" s="3312"/>
      <c r="K346" s="399"/>
      <c r="L346" s="51"/>
      <c r="M346" s="399"/>
      <c r="N346" s="1104"/>
      <c r="O346" s="434"/>
      <c r="P346" s="401"/>
      <c r="Q346" s="51"/>
      <c r="R346" s="51"/>
      <c r="S346" s="51"/>
      <c r="Z346" s="141"/>
      <c r="AA346" s="141"/>
      <c r="AB346" s="141"/>
      <c r="AC346" s="141"/>
      <c r="AD346" s="141"/>
      <c r="AE346" s="141"/>
      <c r="AF346" s="141"/>
      <c r="AG346" s="141"/>
      <c r="AH346" s="141"/>
      <c r="AI346" s="141"/>
      <c r="AJ346" s="141"/>
      <c r="AK346" s="141"/>
      <c r="AL346" s="141"/>
      <c r="AM346" s="141"/>
      <c r="AN346" s="141"/>
      <c r="AO346" s="141"/>
      <c r="AP346" s="141"/>
      <c r="AQ346" s="141"/>
      <c r="AR346" s="141"/>
      <c r="AS346" s="141"/>
      <c r="AT346" s="141"/>
      <c r="AU346" s="141"/>
      <c r="AV346" s="141"/>
      <c r="AW346" s="141"/>
      <c r="AX346" s="141"/>
      <c r="AY346" s="141"/>
    </row>
    <row r="347" spans="1:56">
      <c r="B347" s="3668"/>
      <c r="C347" s="407"/>
      <c r="D347" s="70" t="s">
        <v>251</v>
      </c>
      <c r="J347" s="52"/>
      <c r="K347" s="399"/>
      <c r="L347" s="51"/>
      <c r="M347" s="399"/>
      <c r="N347" s="1104"/>
      <c r="O347" s="434"/>
      <c r="P347" s="401"/>
      <c r="Q347" s="51"/>
      <c r="R347" s="51"/>
      <c r="S347" s="51"/>
      <c r="Z347" s="141"/>
      <c r="AA347" s="141"/>
      <c r="AB347" s="141"/>
      <c r="AC347" s="141"/>
      <c r="AD347" s="141"/>
      <c r="AE347" s="141"/>
      <c r="AF347" s="141"/>
      <c r="AG347" s="141"/>
      <c r="AH347" s="141"/>
      <c r="AI347" s="141"/>
      <c r="AJ347" s="141"/>
      <c r="AK347" s="141"/>
      <c r="AL347" s="141"/>
      <c r="AM347" s="141"/>
      <c r="AN347" s="141"/>
      <c r="AO347" s="141"/>
      <c r="AP347" s="141"/>
      <c r="AQ347" s="141"/>
      <c r="AR347" s="141"/>
      <c r="AS347" s="141"/>
      <c r="AT347" s="141"/>
      <c r="AU347" s="141"/>
      <c r="AV347" s="141"/>
      <c r="AW347" s="141"/>
      <c r="AX347" s="141"/>
      <c r="AY347" s="141"/>
    </row>
    <row r="348" spans="1:56">
      <c r="B348" s="3668"/>
      <c r="C348" s="407"/>
      <c r="D348" s="407"/>
      <c r="J348" s="52"/>
      <c r="K348" s="399"/>
      <c r="L348" s="51"/>
      <c r="M348" s="399"/>
      <c r="N348" s="1104"/>
      <c r="O348" s="434"/>
      <c r="P348" s="401"/>
      <c r="Q348" s="1414" t="s">
        <v>2126</v>
      </c>
      <c r="R348" s="1414" t="s">
        <v>2142</v>
      </c>
      <c r="S348" s="1414" t="s">
        <v>2143</v>
      </c>
      <c r="T348" s="2216" t="s">
        <v>2208</v>
      </c>
      <c r="U348" s="2216" t="s">
        <v>2210</v>
      </c>
      <c r="V348" s="2216" t="s">
        <v>2211</v>
      </c>
      <c r="W348" s="2216" t="s">
        <v>2241</v>
      </c>
      <c r="X348" s="2217" t="s">
        <v>2555</v>
      </c>
      <c r="Y348" s="2217" t="s">
        <v>2632</v>
      </c>
      <c r="Z348" s="2217" t="s">
        <v>2633</v>
      </c>
      <c r="AA348" s="500" t="s">
        <v>2957</v>
      </c>
      <c r="AB348" s="500" t="s">
        <v>2635</v>
      </c>
      <c r="AC348" s="500" t="s">
        <v>3210</v>
      </c>
      <c r="AD348" s="500" t="s">
        <v>3307</v>
      </c>
      <c r="AE348" s="500" t="s">
        <v>3384</v>
      </c>
      <c r="AF348" s="500" t="s">
        <v>3564</v>
      </c>
      <c r="AG348" s="500" t="s">
        <v>3633</v>
      </c>
      <c r="AH348" s="500" t="s">
        <v>3721</v>
      </c>
      <c r="AI348" s="500" t="s">
        <v>3888</v>
      </c>
      <c r="AJ348" s="500" t="s">
        <v>3994</v>
      </c>
      <c r="AK348" s="500" t="s">
        <v>3556</v>
      </c>
      <c r="AL348" s="500" t="s">
        <v>3557</v>
      </c>
      <c r="AM348" s="500" t="s">
        <v>3558</v>
      </c>
      <c r="AN348" s="500" t="s">
        <v>3559</v>
      </c>
      <c r="AO348" s="500"/>
      <c r="AP348" s="500"/>
      <c r="AQ348" s="500"/>
      <c r="AR348" s="500"/>
      <c r="AS348" s="500"/>
      <c r="AT348" s="500"/>
      <c r="AU348" s="500"/>
      <c r="AV348" s="500"/>
      <c r="AW348" s="500"/>
      <c r="AX348" s="500" t="s">
        <v>3209</v>
      </c>
      <c r="AY348" s="500" t="s">
        <v>3032</v>
      </c>
      <c r="AZ348" s="500"/>
      <c r="BA348" s="500"/>
      <c r="BB348" s="500"/>
      <c r="BC348" s="502"/>
      <c r="BD348" s="454"/>
    </row>
    <row r="349" spans="1:56">
      <c r="B349" s="3659" t="str">
        <f>"520.Payroll PS"</f>
        <v>520.Payroll PS</v>
      </c>
      <c r="C349" s="585">
        <v>5200001</v>
      </c>
      <c r="D349" s="45" t="s">
        <v>359</v>
      </c>
      <c r="E349" s="439">
        <f>IFERROR(VLOOKUP(C349,'פ.נ. EUROPE'!$D$164:$F$353,3,0),0)</f>
        <v>244479.62</v>
      </c>
      <c r="F349" s="518">
        <f>SUMIF('פ.נ. EUROPE'!C:C,C:C,'פ.נ. EUROPE'!E:E)</f>
        <v>0</v>
      </c>
      <c r="G349" s="439"/>
      <c r="H349" s="52"/>
      <c r="I349" s="439"/>
      <c r="J349" s="965">
        <f t="shared" ref="J349:J357" si="81">SUM(E349:I349)</f>
        <v>244479.62</v>
      </c>
      <c r="K349" s="590">
        <f>M349+SUMIF('פ.נ. EUROPE'!C:C,'מאזן בוחן EUROPE'!C349,'פ.נ. EUROPE'!F:F)</f>
        <v>335376.40000000002</v>
      </c>
      <c r="L349" s="51"/>
      <c r="M349" s="171">
        <f>IFERROR(VLOOKUP(C349,'פ.נ. EUROPE'!$D$164:$H$353,4,0),"")</f>
        <v>335376.40000000002</v>
      </c>
      <c r="N349" s="1104">
        <f t="shared" ref="N349:N357" si="82">IF(K349=0,"-",J349/K349)</f>
        <v>0.72897085185481147</v>
      </c>
      <c r="O349" s="434"/>
      <c r="P349" s="1133"/>
      <c r="Q349" s="137">
        <v>71516.66</v>
      </c>
      <c r="R349" s="137">
        <v>92843.389999999985</v>
      </c>
      <c r="S349" s="137">
        <v>76399.830000000016</v>
      </c>
      <c r="T349" s="137">
        <v>68203.479999999981</v>
      </c>
      <c r="U349" s="137">
        <v>68743.300000000017</v>
      </c>
      <c r="V349" s="137">
        <v>69815.639999999985</v>
      </c>
      <c r="W349" s="141">
        <v>29095.300000000017</v>
      </c>
      <c r="X349" s="141">
        <v>29767.380000000005</v>
      </c>
      <c r="Y349" s="141">
        <v>21514.469999999856</v>
      </c>
      <c r="Z349" s="141">
        <v>29269.980000000098</v>
      </c>
      <c r="AA349" s="141">
        <v>29821.269999999902</v>
      </c>
      <c r="AB349" s="141">
        <v>30500.080000000075</v>
      </c>
      <c r="AC349" s="141">
        <f>'[26]מאזן בוחן EUROPE'!AC361</f>
        <v>30537.43</v>
      </c>
      <c r="AD349" s="141">
        <f>'[27]מאזן בוחן EUROPE'!AD361</f>
        <v>38978.560000000005</v>
      </c>
      <c r="AE349" s="141">
        <f>'[28]מאזן בוחן EUROPE'!AE369</f>
        <v>21285.259999999995</v>
      </c>
      <c r="AF349" s="141">
        <f>'[29]מאזן בוחן EUROPE'!AF365</f>
        <v>18143.61</v>
      </c>
      <c r="AG349" s="141">
        <f>'[30]מאזן בוחן EUROPE'!AG369</f>
        <v>13991.990000000005</v>
      </c>
      <c r="AH349" s="141">
        <f>'[31]מאזן בוחן EUROPE'!AH371</f>
        <v>10612.239999999991</v>
      </c>
      <c r="AI349" s="141">
        <v>24238.22</v>
      </c>
      <c r="AJ349" s="141">
        <v>24102.580000000016</v>
      </c>
      <c r="AK349" s="141">
        <v>36617.199999999983</v>
      </c>
      <c r="AL349" s="141">
        <v>36517</v>
      </c>
      <c r="AM349" s="141">
        <v>35422.25999999998</v>
      </c>
      <c r="AN349" s="141">
        <f>$K349-SUM($AC349:AM349)</f>
        <v>44930.050000000047</v>
      </c>
      <c r="AO349" s="141" t="s">
        <v>4648</v>
      </c>
      <c r="AP349" s="141"/>
      <c r="AQ349" s="141"/>
      <c r="AR349" s="141" t="s">
        <v>4149</v>
      </c>
      <c r="AS349" s="141"/>
      <c r="AT349" s="141" t="s">
        <v>3946</v>
      </c>
      <c r="AU349" s="141"/>
      <c r="AV349" s="141" t="s">
        <v>3400</v>
      </c>
      <c r="AW349" s="141"/>
      <c r="AX349" s="141"/>
      <c r="AY349" s="141"/>
    </row>
    <row r="350" spans="1:56">
      <c r="B350" s="3659" t="str">
        <f>"520.Payroll PS"</f>
        <v>520.Payroll PS</v>
      </c>
      <c r="C350" s="585">
        <v>5200002</v>
      </c>
      <c r="D350" s="45" t="s">
        <v>1736</v>
      </c>
      <c r="E350" s="79">
        <f>IFERROR(VLOOKUP(C350,'פ.נ. EUROPE'!$D$164:$F$353,3,0),0)</f>
        <v>12834.13</v>
      </c>
      <c r="F350" s="518">
        <f>SUMIF('פ.נ. EUROPE'!C:C,C:C,'פ.נ. EUROPE'!E:E)</f>
        <v>0</v>
      </c>
      <c r="G350" s="1213"/>
      <c r="H350" s="976"/>
      <c r="I350" s="1213"/>
      <c r="J350" s="521">
        <f t="shared" si="81"/>
        <v>12834.13</v>
      </c>
      <c r="K350" s="522">
        <f>M350+SUMIF('פ.נ. EUROPE'!C:C,'מאזן בוחן EUROPE'!C350,'פ.נ. EUROPE'!F:F)</f>
        <v>17356.490000000002</v>
      </c>
      <c r="L350" s="518"/>
      <c r="M350" s="522">
        <f>IFERROR(VLOOKUP(C350,'פ.נ. EUROPE'!$D$164:$H$353,4,0),"")</f>
        <v>17356.490000000002</v>
      </c>
      <c r="N350" s="3036">
        <f t="shared" si="82"/>
        <v>0.73944270990275096</v>
      </c>
      <c r="O350" s="434"/>
      <c r="P350" s="1133"/>
      <c r="Q350" s="137">
        <v>0</v>
      </c>
      <c r="R350" s="137">
        <v>-2204</v>
      </c>
      <c r="S350" s="137">
        <v>0</v>
      </c>
      <c r="T350" s="137">
        <v>0</v>
      </c>
      <c r="U350" s="137">
        <v>0</v>
      </c>
      <c r="V350" s="137">
        <v>0</v>
      </c>
      <c r="W350" s="141">
        <v>0</v>
      </c>
      <c r="X350" s="141">
        <v>0</v>
      </c>
      <c r="Y350" s="141">
        <v>0</v>
      </c>
      <c r="Z350" s="141">
        <v>0</v>
      </c>
      <c r="AA350" s="141">
        <v>56.070000000000164</v>
      </c>
      <c r="AB350" s="141">
        <v>0</v>
      </c>
      <c r="AC350" s="141">
        <f>'[26]מאזן בוחן EUROPE'!AC362</f>
        <v>0</v>
      </c>
      <c r="AD350" s="141">
        <f>'[27]מאזן בוחן EUROPE'!AD362</f>
        <v>0</v>
      </c>
      <c r="AE350" s="141">
        <f>'[28]מאזן בוחן EUROPE'!AE370</f>
        <v>0</v>
      </c>
      <c r="AF350" s="141">
        <f>'[29]מאזן בוחן EUROPE'!AF366</f>
        <v>0</v>
      </c>
      <c r="AG350" s="141">
        <f>'[30]מאזן בוחן EUROPE'!AG370</f>
        <v>0</v>
      </c>
      <c r="AH350" s="141">
        <f>'[31]מאזן בוחן EUROPE'!AH372</f>
        <v>0</v>
      </c>
      <c r="AI350" s="141">
        <v>708.8</v>
      </c>
      <c r="AJ350" s="141">
        <v>0</v>
      </c>
      <c r="AK350" s="141">
        <v>0</v>
      </c>
      <c r="AL350" s="141">
        <v>0</v>
      </c>
      <c r="AM350" s="141">
        <v>0</v>
      </c>
      <c r="AN350" s="141">
        <f>$K350-SUM($AC350:AM350)</f>
        <v>16647.690000000002</v>
      </c>
      <c r="AO350" s="141"/>
      <c r="AP350" s="141"/>
      <c r="AQ350" s="141"/>
      <c r="AR350" s="141"/>
      <c r="AS350" s="141"/>
      <c r="AT350" s="141"/>
      <c r="AU350" s="141"/>
      <c r="AV350" s="141"/>
      <c r="AW350" s="141"/>
      <c r="AX350" s="141"/>
      <c r="AY350" s="141"/>
    </row>
    <row r="351" spans="1:56">
      <c r="B351" s="3659" t="str">
        <f>"520.Payroll PS"</f>
        <v>520.Payroll PS</v>
      </c>
      <c r="C351" s="585">
        <v>5200003</v>
      </c>
      <c r="D351" s="45" t="s">
        <v>847</v>
      </c>
      <c r="E351" s="439">
        <f>IFERROR(VLOOKUP(C351,'פ.נ. EUROPE'!$D$164:$F$353,3,0),0)</f>
        <v>10350.200000000001</v>
      </c>
      <c r="F351" s="439">
        <f>SUMIF('פ.נ. EUROPE'!C:C,C:C,'פ.נ. EUROPE'!E:E)</f>
        <v>0</v>
      </c>
      <c r="G351" s="439"/>
      <c r="H351" s="52"/>
      <c r="I351" s="439"/>
      <c r="J351" s="965">
        <f t="shared" si="81"/>
        <v>10350.200000000001</v>
      </c>
      <c r="K351" s="590">
        <f>M351+SUMIF('פ.נ. EUROPE'!C:C,'מאזן בוחן EUROPE'!C351,'פ.נ. EUROPE'!F:F)</f>
        <v>14620.97</v>
      </c>
      <c r="L351" s="51"/>
      <c r="M351" s="171">
        <f>IFERROR(VLOOKUP(C351,'פ.נ. EUROPE'!$D$164:$H$353,4,0),"")</f>
        <v>14620.97</v>
      </c>
      <c r="N351" s="1104">
        <f t="shared" si="82"/>
        <v>0.70790104897281103</v>
      </c>
      <c r="O351" s="434"/>
      <c r="P351" s="1133"/>
      <c r="Q351" s="137">
        <v>4375</v>
      </c>
      <c r="R351" s="137">
        <v>4527.3999999999996</v>
      </c>
      <c r="S351" s="137">
        <v>4720.3600000000006</v>
      </c>
      <c r="T351" s="137">
        <v>3905.9999999999982</v>
      </c>
      <c r="U351" s="137">
        <v>3906.0000000000018</v>
      </c>
      <c r="V351" s="137">
        <v>3906</v>
      </c>
      <c r="W351" s="141">
        <v>3906</v>
      </c>
      <c r="X351" s="141">
        <v>3906.0000000000018</v>
      </c>
      <c r="Y351" s="141">
        <v>-16566.000000000004</v>
      </c>
      <c r="Z351" s="141">
        <v>3906</v>
      </c>
      <c r="AA351" s="141">
        <v>3906</v>
      </c>
      <c r="AB351" s="141">
        <v>-533</v>
      </c>
      <c r="AC351" s="141">
        <f>'[26]מאזן בוחן EUROPE'!AC363</f>
        <v>1951.82</v>
      </c>
      <c r="AD351" s="141">
        <f>'[27]מאזן בוחן EUROPE'!AD363</f>
        <v>-506.43999999999983</v>
      </c>
      <c r="AE351" s="141">
        <f>'[28]מאזן בוחן EUROPE'!AE371</f>
        <v>965.07999999999993</v>
      </c>
      <c r="AF351" s="141">
        <f>'[29]מאזן בוחן EUROPE'!AF367</f>
        <v>1638</v>
      </c>
      <c r="AG351" s="141">
        <f>'[30]מאזן בוחן EUROPE'!AG371</f>
        <v>1638</v>
      </c>
      <c r="AH351" s="141">
        <f>'[31]מאזן בוחן EUROPE'!AH373</f>
        <v>1638</v>
      </c>
      <c r="AI351" s="141">
        <v>1637.9999999999991</v>
      </c>
      <c r="AJ351" s="141">
        <v>1638</v>
      </c>
      <c r="AK351" s="141">
        <v>1638</v>
      </c>
      <c r="AL351" s="141">
        <v>1638</v>
      </c>
      <c r="AM351" s="141">
        <v>1638</v>
      </c>
      <c r="AN351" s="141">
        <f>$K351-SUM($AC351:AM351)</f>
        <v>-893.48999999999978</v>
      </c>
      <c r="AO351" s="141"/>
      <c r="AP351" s="141"/>
      <c r="AQ351" s="141"/>
      <c r="AR351" s="141"/>
      <c r="AS351" s="141"/>
      <c r="AT351" s="141"/>
      <c r="AU351" s="141"/>
      <c r="AV351" s="141"/>
      <c r="AW351" s="141"/>
      <c r="AX351" s="141"/>
      <c r="AY351" s="141"/>
    </row>
    <row r="352" spans="1:56">
      <c r="B352" s="3659" t="s">
        <v>1070</v>
      </c>
      <c r="C352" s="585">
        <v>5200100</v>
      </c>
      <c r="D352" s="45" t="s">
        <v>4738</v>
      </c>
      <c r="E352" s="439">
        <f>IFERROR(VLOOKUP(C352,'פ.נ. EUROPE'!$D$164:$F$353,3,0),0)</f>
        <v>890.48</v>
      </c>
      <c r="F352" s="518">
        <f>SUMIF('פ.נ. EUROPE'!C:C,C:C,'פ.נ. EUROPE'!E:E)</f>
        <v>0</v>
      </c>
      <c r="G352" s="439"/>
      <c r="H352" s="52"/>
      <c r="I352" s="439"/>
      <c r="J352" s="965">
        <f t="shared" ref="J352" si="83">SUM(E352:I352)</f>
        <v>890.48</v>
      </c>
      <c r="K352" s="590">
        <f>M352+SUMIF('פ.נ. EUROPE'!C:C,'מאזן בוחן EUROPE'!C352,'פ.נ. EUROPE'!F:F)</f>
        <v>1203.47</v>
      </c>
      <c r="L352" s="51"/>
      <c r="M352" s="171">
        <f>IFERROR(VLOOKUP(C352,'פ.נ. EUROPE'!$D$164:$H$353,4,0),"")</f>
        <v>1203.47</v>
      </c>
      <c r="N352" s="1104">
        <f t="shared" ref="N352" si="84">IF(K352=0,"-",J352/K352)</f>
        <v>0.73992704429690814</v>
      </c>
      <c r="O352" s="434"/>
      <c r="P352" s="1133"/>
      <c r="W352" s="141"/>
      <c r="X352" s="141"/>
      <c r="Y352" s="141"/>
      <c r="Z352" s="141"/>
      <c r="AA352" s="141"/>
      <c r="AB352" s="141"/>
      <c r="AC352" s="141"/>
      <c r="AD352" s="141"/>
      <c r="AE352" s="141"/>
      <c r="AF352" s="141"/>
      <c r="AG352" s="141"/>
      <c r="AH352" s="141"/>
      <c r="AI352" s="141"/>
      <c r="AJ352" s="141"/>
      <c r="AK352" s="141"/>
      <c r="AL352" s="141"/>
      <c r="AM352" s="141"/>
      <c r="AN352" s="141">
        <f>$K352-SUM($AC352:AM352)</f>
        <v>1203.47</v>
      </c>
      <c r="AO352" s="141"/>
      <c r="AP352" s="141"/>
      <c r="AQ352" s="141"/>
      <c r="AR352" s="141"/>
      <c r="AS352" s="141"/>
      <c r="AT352" s="141"/>
      <c r="AU352" s="141"/>
      <c r="AV352" s="141"/>
      <c r="AW352" s="141"/>
      <c r="AX352" s="141"/>
      <c r="AY352" s="141"/>
    </row>
    <row r="353" spans="1:51">
      <c r="B353" s="3659" t="s">
        <v>1082</v>
      </c>
      <c r="C353" s="585">
        <v>5200029</v>
      </c>
      <c r="D353" s="45" t="s">
        <v>2072</v>
      </c>
      <c r="E353" s="439">
        <f>IFERROR(VLOOKUP(C353,'פ.נ. EUROPE'!$D$164:$F$353,3,0),0)</f>
        <v>5343.62</v>
      </c>
      <c r="F353" s="518">
        <f>SUMIF('פ.נ. EUROPE'!C:C,C:C,'פ.נ. EUROPE'!E:E)</f>
        <v>0</v>
      </c>
      <c r="G353" s="439"/>
      <c r="H353" s="52"/>
      <c r="I353" s="439"/>
      <c r="J353" s="965">
        <f t="shared" si="81"/>
        <v>5343.62</v>
      </c>
      <c r="K353" s="590">
        <f>M353+SUMIF('פ.נ. EUROPE'!C:C,'מאזן בוחן EUROPE'!C353,'פ.נ. EUROPE'!F:F)</f>
        <v>7246.78</v>
      </c>
      <c r="L353" s="51"/>
      <c r="M353" s="171">
        <f>IFERROR(VLOOKUP(C353,'פ.נ. EUROPE'!$D$164:$H$353,4,0),"")</f>
        <v>7246.78</v>
      </c>
      <c r="N353" s="1104">
        <f t="shared" si="82"/>
        <v>0.73737853225846517</v>
      </c>
      <c r="O353" s="434"/>
      <c r="P353" s="1133"/>
      <c r="Q353" s="137">
        <v>3983</v>
      </c>
      <c r="R353" s="137">
        <v>1850.6099999999997</v>
      </c>
      <c r="S353" s="137">
        <v>3691.0299999999997</v>
      </c>
      <c r="T353" s="137">
        <v>450.3700000000008</v>
      </c>
      <c r="U353" s="137">
        <v>480.50999999999931</v>
      </c>
      <c r="V353" s="137">
        <v>57.200000000000728</v>
      </c>
      <c r="W353" s="141">
        <v>60.489999999998872</v>
      </c>
      <c r="X353" s="141">
        <v>830.07000000000153</v>
      </c>
      <c r="Y353" s="141">
        <v>681.56999999999789</v>
      </c>
      <c r="Z353" s="141">
        <v>358.28000000000065</v>
      </c>
      <c r="AA353" s="141">
        <v>96.460000000000946</v>
      </c>
      <c r="AB353" s="141">
        <v>0</v>
      </c>
      <c r="AC353" s="141">
        <f>'[26]מאזן בוחן EUROPE'!AC364</f>
        <v>181.7</v>
      </c>
      <c r="AD353" s="141">
        <f>'[27]מאזן בוחן EUROPE'!AD364</f>
        <v>507.27000000000004</v>
      </c>
      <c r="AE353" s="141">
        <f>'[28]מאזן בוחן EUROPE'!AE372</f>
        <v>319.02999999999997</v>
      </c>
      <c r="AF353" s="141">
        <f>'[29]מאזן בוחן EUROPE'!AF368</f>
        <v>76.539999999999964</v>
      </c>
      <c r="AG353" s="141">
        <f>'[30]מאזן בוחן EUROPE'!AG372</f>
        <v>83.660000000000082</v>
      </c>
      <c r="AH353" s="141">
        <f>'[31]מאזן בוחן EUROPE'!AH374</f>
        <v>82.559999999999945</v>
      </c>
      <c r="AI353" s="141">
        <v>545.92000000000007</v>
      </c>
      <c r="AJ353" s="141">
        <v>183.23000000000002</v>
      </c>
      <c r="AK353" s="141">
        <v>191.26999999999975</v>
      </c>
      <c r="AL353" s="141">
        <v>1340</v>
      </c>
      <c r="AM353" s="141">
        <v>2717.89</v>
      </c>
      <c r="AN353" s="141">
        <f>$K353-SUM($AC353:AM353)</f>
        <v>1017.71</v>
      </c>
      <c r="AO353" s="141"/>
      <c r="AP353" s="141"/>
      <c r="AQ353" s="141"/>
      <c r="AR353" s="141"/>
      <c r="AS353" s="141"/>
      <c r="AT353" s="141"/>
      <c r="AU353" s="141"/>
      <c r="AV353" s="141"/>
      <c r="AW353" s="141"/>
      <c r="AX353" s="141"/>
      <c r="AY353" s="141"/>
    </row>
    <row r="354" spans="1:51">
      <c r="B354" s="3659" t="s">
        <v>1082</v>
      </c>
      <c r="C354" s="585">
        <v>5210099</v>
      </c>
      <c r="D354" s="45" t="s">
        <v>1953</v>
      </c>
      <c r="E354" s="1213">
        <f>IFERROR(VLOOKUP(C354,'פ.נ. EUROPE'!$D$164:$F$353,3,0),0)</f>
        <v>0</v>
      </c>
      <c r="F354" s="518">
        <f>SUMIF('פ.נ. EUROPE'!C:C,C:C,'פ.נ. EUROPE'!E:E)</f>
        <v>0</v>
      </c>
      <c r="G354" s="439"/>
      <c r="H354" s="52"/>
      <c r="I354" s="439"/>
      <c r="J354" s="521">
        <f t="shared" si="81"/>
        <v>0</v>
      </c>
      <c r="K354" s="522">
        <f>M354+SUMIF('פ.נ. EUROPE'!C:C,'מאזן בוחן EUROPE'!C354,'פ.נ. EUROPE'!F:F)</f>
        <v>0</v>
      </c>
      <c r="L354" s="51"/>
      <c r="M354" s="171" t="str">
        <f>IFERROR(VLOOKUP(C354,'פ.נ. EUROPE'!$D$164:$H$353,4,0),"")</f>
        <v/>
      </c>
      <c r="N354" s="1104" t="str">
        <f t="shared" si="82"/>
        <v>-</v>
      </c>
      <c r="O354" s="434"/>
      <c r="P354" s="1408" t="s">
        <v>1955</v>
      </c>
      <c r="Q354" s="137">
        <v>0</v>
      </c>
      <c r="R354" s="137">
        <v>0</v>
      </c>
      <c r="S354" s="137">
        <v>0</v>
      </c>
      <c r="T354" s="137">
        <v>0</v>
      </c>
      <c r="U354" s="137">
        <v>0</v>
      </c>
      <c r="V354" s="137">
        <v>0</v>
      </c>
      <c r="W354" s="141">
        <v>0</v>
      </c>
      <c r="X354" s="141">
        <v>0</v>
      </c>
      <c r="Y354" s="141">
        <v>0</v>
      </c>
      <c r="Z354" s="141">
        <v>0</v>
      </c>
      <c r="AA354" s="141">
        <v>0</v>
      </c>
      <c r="AB354" s="141">
        <v>-784.3</v>
      </c>
      <c r="AC354" s="141">
        <f>'[26]מאזן בוחן EUROPE'!AC365</f>
        <v>0</v>
      </c>
      <c r="AD354" s="141">
        <f>'[27]מאזן בוחן EUROPE'!AD365</f>
        <v>0</v>
      </c>
      <c r="AE354" s="141">
        <f>'[28]מאזן בוחן EUROPE'!AE373</f>
        <v>0</v>
      </c>
      <c r="AF354" s="141">
        <f>'[29]מאזן בוחן EUROPE'!AF369</f>
        <v>0</v>
      </c>
      <c r="AG354" s="141">
        <f>'[30]מאזן בוחן EUROPE'!AG373</f>
        <v>0</v>
      </c>
      <c r="AH354" s="141">
        <f>'[31]מאזן בוחן EUROPE'!AH375</f>
        <v>0</v>
      </c>
      <c r="AI354" s="141">
        <v>0</v>
      </c>
      <c r="AJ354" s="141">
        <v>0</v>
      </c>
      <c r="AK354" s="141">
        <v>0</v>
      </c>
      <c r="AL354" s="141">
        <v>0</v>
      </c>
      <c r="AM354" s="141">
        <v>0</v>
      </c>
      <c r="AN354" s="141">
        <f>$K354-SUM($AC354:AM354)</f>
        <v>0</v>
      </c>
      <c r="AO354" s="141"/>
      <c r="AP354" s="141"/>
      <c r="AQ354" s="141"/>
      <c r="AR354" s="141"/>
      <c r="AS354" s="141"/>
      <c r="AT354" s="141"/>
      <c r="AU354" s="141"/>
      <c r="AV354" s="141"/>
      <c r="AW354" s="141"/>
      <c r="AX354" s="141"/>
      <c r="AY354" s="141"/>
    </row>
    <row r="355" spans="1:51">
      <c r="B355" s="3659" t="s">
        <v>1082</v>
      </c>
      <c r="C355" s="585">
        <v>5210006</v>
      </c>
      <c r="D355" s="45" t="s">
        <v>2042</v>
      </c>
      <c r="E355" s="1213">
        <f>IFERROR(VLOOKUP(C355,'פ.נ. EUROPE'!$D$164:$F$353,3,0),0)</f>
        <v>0</v>
      </c>
      <c r="F355" s="518">
        <f>SUMIF('פ.נ. EUROPE'!C:C,C:C,'פ.נ. EUROPE'!E:E)</f>
        <v>0</v>
      </c>
      <c r="G355" s="439"/>
      <c r="H355" s="52"/>
      <c r="I355" s="439"/>
      <c r="J355" s="521">
        <f t="shared" si="81"/>
        <v>0</v>
      </c>
      <c r="K355" s="522">
        <f>M355+SUMIF('פ.נ. EUROPE'!C:C,'מאזן בוחן EUROPE'!C355,'פ.נ. EUROPE'!F:F)</f>
        <v>0</v>
      </c>
      <c r="L355" s="51"/>
      <c r="M355" s="171" t="str">
        <f>IFERROR(VLOOKUP(C355,'פ.נ. EUROPE'!$D$164:$H$353,4,0),"")</f>
        <v/>
      </c>
      <c r="N355" s="1104" t="str">
        <f t="shared" si="82"/>
        <v>-</v>
      </c>
      <c r="O355" s="434"/>
      <c r="P355" s="1408"/>
      <c r="Q355" s="137">
        <v>-2622.49</v>
      </c>
      <c r="R355" s="137">
        <v>5246.68</v>
      </c>
      <c r="S355" s="137">
        <v>0</v>
      </c>
      <c r="T355" s="137">
        <v>-4.5474735088646412E-13</v>
      </c>
      <c r="U355" s="137">
        <v>0</v>
      </c>
      <c r="V355" s="137">
        <v>0</v>
      </c>
      <c r="W355" s="141">
        <v>0</v>
      </c>
      <c r="X355" s="141">
        <v>0</v>
      </c>
      <c r="Y355" s="141">
        <v>0</v>
      </c>
      <c r="Z355" s="141">
        <v>0</v>
      </c>
      <c r="AA355" s="141">
        <v>0</v>
      </c>
      <c r="AB355" s="141">
        <v>0</v>
      </c>
      <c r="AC355" s="141">
        <f>'[26]מאזן בוחן EUROPE'!AC366</f>
        <v>0</v>
      </c>
      <c r="AD355" s="141">
        <f>'[27]מאזן בוחן EUROPE'!AD366</f>
        <v>0</v>
      </c>
      <c r="AE355" s="141">
        <f>'[28]מאזן בוחן EUROPE'!AE374</f>
        <v>0</v>
      </c>
      <c r="AF355" s="141">
        <f>'[29]מאזן בוחן EUROPE'!AF370</f>
        <v>0</v>
      </c>
      <c r="AG355" s="141">
        <f>'[30]מאזן בוחן EUROPE'!AG374</f>
        <v>0</v>
      </c>
      <c r="AH355" s="141">
        <f>'[31]מאזן בוחן EUROPE'!AH376</f>
        <v>0</v>
      </c>
      <c r="AI355" s="141">
        <v>0</v>
      </c>
      <c r="AJ355" s="141">
        <v>0</v>
      </c>
      <c r="AK355" s="141">
        <v>0</v>
      </c>
      <c r="AL355" s="141">
        <v>0</v>
      </c>
      <c r="AM355" s="141">
        <v>0</v>
      </c>
      <c r="AN355" s="141">
        <f>$K355-SUM($AC355:AM355)</f>
        <v>0</v>
      </c>
      <c r="AO355" s="141"/>
      <c r="AP355" s="141"/>
      <c r="AQ355" s="141"/>
      <c r="AR355" s="141"/>
      <c r="AS355" s="141"/>
      <c r="AT355" s="141"/>
      <c r="AU355" s="141"/>
      <c r="AV355" s="141"/>
      <c r="AW355" s="141"/>
      <c r="AX355" s="141"/>
      <c r="AY355" s="141"/>
    </row>
    <row r="356" spans="1:51">
      <c r="B356" s="3659" t="str">
        <f>"520.Payroll PS"</f>
        <v>520.Payroll PS</v>
      </c>
      <c r="C356" s="585">
        <v>5200020</v>
      </c>
      <c r="D356" s="45" t="s">
        <v>1072</v>
      </c>
      <c r="E356" s="1213">
        <f>IFERROR(VLOOKUP(C356,'פ.נ. EUROPE'!$D$164:$F$353,3,0),0)</f>
        <v>35277.15</v>
      </c>
      <c r="F356" s="518">
        <f>SUMIF('פ.נ. EUROPE'!C:C,C:C,'פ.נ. EUROPE'!E:E)</f>
        <v>0</v>
      </c>
      <c r="G356" s="439"/>
      <c r="H356" s="52"/>
      <c r="I356" s="439"/>
      <c r="J356" s="521">
        <f t="shared" si="81"/>
        <v>35277.15</v>
      </c>
      <c r="K356" s="522">
        <f>M356+SUMIF('פ.נ. EUROPE'!C:C,'מאזן בוחן EUROPE'!C356,'פ.נ. EUROPE'!F:F)</f>
        <v>47686.99</v>
      </c>
      <c r="L356" s="51"/>
      <c r="M356" s="171">
        <f>IFERROR(VLOOKUP(C356,'פ.נ. EUROPE'!$D$164:$H$353,4,0),"")</f>
        <v>47686.99</v>
      </c>
      <c r="N356" s="1104">
        <f t="shared" si="82"/>
        <v>0.73976466117907635</v>
      </c>
      <c r="O356" s="434"/>
      <c r="P356" s="1133"/>
      <c r="Q356" s="137">
        <v>0</v>
      </c>
      <c r="R356" s="137">
        <v>0</v>
      </c>
      <c r="S356" s="137">
        <v>0</v>
      </c>
      <c r="T356" s="137">
        <v>0</v>
      </c>
      <c r="U356" s="137">
        <v>0</v>
      </c>
      <c r="V356" s="137">
        <v>0</v>
      </c>
      <c r="W356" s="141">
        <v>0</v>
      </c>
      <c r="X356" s="141">
        <v>0</v>
      </c>
      <c r="Y356" s="141">
        <v>0</v>
      </c>
      <c r="Z356" s="141">
        <v>0</v>
      </c>
      <c r="AA356" s="141">
        <v>0</v>
      </c>
      <c r="AB356" s="141">
        <v>0</v>
      </c>
      <c r="AC356" s="141">
        <f>'[26]מאזן בוחן EUROPE'!AC367</f>
        <v>0</v>
      </c>
      <c r="AD356" s="141">
        <f>'[27]מאזן בוחן EUROPE'!AD367</f>
        <v>0</v>
      </c>
      <c r="AE356" s="141">
        <f>'[28]מאזן בוחן EUROPE'!AE375</f>
        <v>0</v>
      </c>
      <c r="AF356" s="141">
        <f>'[29]מאזן בוחן EUROPE'!AF371</f>
        <v>0</v>
      </c>
      <c r="AG356" s="141">
        <f>'[30]מאזן בוחן EUROPE'!AG375</f>
        <v>0</v>
      </c>
      <c r="AH356" s="141">
        <f>'[31]מאזן בוחן EUROPE'!AH377</f>
        <v>0</v>
      </c>
      <c r="AI356" s="141">
        <v>25227.61</v>
      </c>
      <c r="AJ356" s="141">
        <v>0</v>
      </c>
      <c r="AK356" s="141">
        <v>0</v>
      </c>
      <c r="AL356" s="141">
        <v>0</v>
      </c>
      <c r="AM356" s="141">
        <v>0</v>
      </c>
      <c r="AN356" s="141">
        <f>$K356-SUM($AC356:AM356)</f>
        <v>22459.379999999997</v>
      </c>
      <c r="AO356" s="141"/>
      <c r="AP356" s="141"/>
      <c r="AQ356" s="141"/>
      <c r="AR356" s="141"/>
      <c r="AS356" s="141"/>
      <c r="AT356" s="141"/>
      <c r="AU356" s="141"/>
      <c r="AV356" s="141"/>
      <c r="AW356" s="141"/>
      <c r="AX356" s="141"/>
      <c r="AY356" s="141"/>
    </row>
    <row r="357" spans="1:51">
      <c r="B357" s="3659" t="s">
        <v>1830</v>
      </c>
      <c r="C357" s="585">
        <v>5209999</v>
      </c>
      <c r="D357" s="52" t="s">
        <v>1448</v>
      </c>
      <c r="E357" s="1213">
        <f>IFERROR(VLOOKUP(C357,'פ.נ. EUROPE'!$D$164:$F$353,3,0),0)</f>
        <v>0</v>
      </c>
      <c r="F357" s="518">
        <f>SUMIF('פ.נ. EUROPE'!C:C,C:C,'פ.נ. EUROPE'!E:E)</f>
        <v>0</v>
      </c>
      <c r="G357" s="439"/>
      <c r="H357" s="52"/>
      <c r="I357" s="439"/>
      <c r="J357" s="521">
        <f t="shared" si="81"/>
        <v>0</v>
      </c>
      <c r="K357" s="522">
        <f>M357+SUMIF('פ.נ. EUROPE'!C:C,'מאזן בוחן EUROPE'!C357,'פ.נ. EUROPE'!F:F)</f>
        <v>0</v>
      </c>
      <c r="L357" s="51"/>
      <c r="M357" s="171" t="str">
        <f>IFERROR(VLOOKUP(C357,'פ.נ. EUROPE'!$D$164:$H$353,4,0),"")</f>
        <v/>
      </c>
      <c r="N357" s="1104" t="str">
        <f t="shared" si="82"/>
        <v>-</v>
      </c>
      <c r="O357" s="434"/>
      <c r="P357" s="1133"/>
      <c r="Q357" s="137">
        <v>3307.431111111111</v>
      </c>
      <c r="R357" s="137">
        <v>3386.3466666666664</v>
      </c>
      <c r="S357" s="137">
        <v>-782.40299516908181</v>
      </c>
      <c r="T357" s="137">
        <v>1940.0947826086958</v>
      </c>
      <c r="U357" s="137">
        <v>1864.1382608695631</v>
      </c>
      <c r="V357" s="137">
        <v>1318.3608695652183</v>
      </c>
      <c r="W357" s="141">
        <v>1866.9104347826114</v>
      </c>
      <c r="X357" s="141">
        <v>1849.3460869565206</v>
      </c>
      <c r="Y357" s="141">
        <v>1977.2747826086961</v>
      </c>
      <c r="Z357" s="141">
        <v>2027.402608695651</v>
      </c>
      <c r="AA357" s="141">
        <v>1961.3217391304352</v>
      </c>
      <c r="AB357" s="141">
        <v>1231.2056521739141</v>
      </c>
      <c r="AC357" s="141">
        <f>'[26]מאזן בוחן EUROPE'!AC368</f>
        <v>0</v>
      </c>
      <c r="AD357" s="141">
        <f>'[27]מאזן בוחן EUROPE'!AD368</f>
        <v>0</v>
      </c>
      <c r="AE357" s="141">
        <f>'[28]מאזן בוחן EUROPE'!AE376</f>
        <v>0</v>
      </c>
      <c r="AF357" s="141">
        <f>'[29]מאזן בוחן EUROPE'!AF372</f>
        <v>0</v>
      </c>
      <c r="AG357" s="141">
        <f>'[30]מאזן בוחן EUROPE'!AG376</f>
        <v>0</v>
      </c>
      <c r="AH357" s="141">
        <f>'[31]מאזן בוחן EUROPE'!AH378</f>
        <v>0</v>
      </c>
      <c r="AI357" s="141">
        <v>0</v>
      </c>
      <c r="AJ357" s="141">
        <v>0</v>
      </c>
      <c r="AK357" s="141">
        <v>0</v>
      </c>
      <c r="AL357" s="141">
        <v>0</v>
      </c>
      <c r="AM357" s="141">
        <v>0</v>
      </c>
      <c r="AN357" s="141">
        <f>$K357-SUM($AC357:AM357)</f>
        <v>0</v>
      </c>
      <c r="AO357" s="141"/>
      <c r="AP357" s="141"/>
      <c r="AQ357" s="141"/>
      <c r="AR357" s="141"/>
      <c r="AS357" s="141"/>
      <c r="AT357" s="141"/>
      <c r="AU357" s="141"/>
      <c r="AV357" s="141"/>
      <c r="AW357" s="141"/>
      <c r="AX357" s="141"/>
      <c r="AY357" s="141"/>
    </row>
    <row r="358" spans="1:51">
      <c r="B358" s="3659"/>
      <c r="C358" s="585"/>
      <c r="D358" s="52"/>
      <c r="E358" s="517"/>
      <c r="F358" s="518"/>
      <c r="J358" s="521"/>
      <c r="K358" s="517"/>
      <c r="L358" s="51"/>
      <c r="M358" s="97"/>
      <c r="N358" s="1104"/>
      <c r="O358" s="434"/>
      <c r="P358" s="1133"/>
      <c r="W358" s="141"/>
      <c r="X358" s="141"/>
      <c r="Y358" s="141"/>
      <c r="Z358" s="141"/>
      <c r="AA358" s="141"/>
      <c r="AB358" s="141"/>
      <c r="AC358" s="141">
        <f>'[26]מאזן בוחן EUROPE'!AC369</f>
        <v>0</v>
      </c>
      <c r="AD358" s="141">
        <f>'[27]מאזן בוחן EUROPE'!AD369</f>
        <v>0</v>
      </c>
      <c r="AE358" s="141">
        <f>'[28]מאזן בוחן EUROPE'!AE377</f>
        <v>0</v>
      </c>
      <c r="AF358" s="141">
        <f>'[29]מאזן בוחן EUROPE'!AF373</f>
        <v>0</v>
      </c>
      <c r="AG358" s="141">
        <f>'[30]מאזן בוחן EUROPE'!AG377</f>
        <v>0</v>
      </c>
      <c r="AH358" s="141">
        <f>'[31]מאזן בוחן EUROPE'!AH379</f>
        <v>0</v>
      </c>
      <c r="AI358" s="141">
        <v>0</v>
      </c>
      <c r="AJ358" s="141">
        <v>0</v>
      </c>
      <c r="AK358" s="141">
        <v>0</v>
      </c>
      <c r="AL358" s="141">
        <v>0</v>
      </c>
      <c r="AM358" s="141">
        <v>0</v>
      </c>
      <c r="AN358" s="141">
        <f>$K358-SUM($AC358:AM358)</f>
        <v>0</v>
      </c>
      <c r="AO358" s="141"/>
      <c r="AP358" s="141"/>
      <c r="AQ358" s="141"/>
      <c r="AR358" s="141"/>
      <c r="AS358" s="141"/>
      <c r="AT358" s="141"/>
      <c r="AU358" s="141"/>
      <c r="AV358" s="141"/>
      <c r="AW358" s="141"/>
      <c r="AX358" s="141"/>
      <c r="AY358" s="141"/>
    </row>
    <row r="359" spans="1:51">
      <c r="B359" s="3659" t="s">
        <v>731</v>
      </c>
      <c r="C359" s="585">
        <v>5300003</v>
      </c>
      <c r="D359" s="45" t="s">
        <v>858</v>
      </c>
      <c r="E359" s="1213">
        <f>IFERROR(VLOOKUP(C359,'פ.נ. EUROPE'!$D$164:$F$353,3,0),0)</f>
        <v>0</v>
      </c>
      <c r="F359" s="518">
        <f>SUMIF('פ.נ. EUROPE'!C:C,C:C,'פ.נ. EUROPE'!E:E)</f>
        <v>0</v>
      </c>
      <c r="J359" s="521">
        <f t="shared" ref="J359:J364" si="85">SUM(E359:I359)</f>
        <v>0</v>
      </c>
      <c r="K359" s="517">
        <f>M359+SUMIF('פ.נ. EUROPE'!C:C,'מאזן בוחן EUROPE'!C359,'פ.נ. EUROPE'!F:F)</f>
        <v>0</v>
      </c>
      <c r="L359" s="51"/>
      <c r="M359" s="97" t="str">
        <f>IFERROR(VLOOKUP(C359,'פ.נ. EUROPE'!$D$164:$H$353,4,0),"")</f>
        <v/>
      </c>
      <c r="N359" s="1104" t="str">
        <f t="shared" ref="N359:N364" si="86">IF(K359=0,"-",J359/K359)</f>
        <v>-</v>
      </c>
      <c r="O359" s="434"/>
      <c r="P359" s="1133"/>
      <c r="Q359" s="137">
        <v>0</v>
      </c>
      <c r="R359" s="137">
        <v>0</v>
      </c>
      <c r="S359" s="137">
        <v>0</v>
      </c>
      <c r="T359" s="137">
        <v>0</v>
      </c>
      <c r="U359" s="137">
        <v>0</v>
      </c>
      <c r="V359" s="137">
        <v>0</v>
      </c>
      <c r="W359" s="141">
        <v>0</v>
      </c>
      <c r="X359" s="141">
        <v>0</v>
      </c>
      <c r="Y359" s="141">
        <v>0</v>
      </c>
      <c r="Z359" s="141">
        <v>0</v>
      </c>
      <c r="AA359" s="141">
        <v>0</v>
      </c>
      <c r="AB359" s="141">
        <v>0</v>
      </c>
      <c r="AC359" s="141">
        <f>'[26]מאזן בוחן EUROPE'!AC370</f>
        <v>0</v>
      </c>
      <c r="AD359" s="141">
        <f>'[27]מאזן בוחן EUROPE'!AD370</f>
        <v>0</v>
      </c>
      <c r="AE359" s="141">
        <f>'[28]מאזן בוחן EUROPE'!AE378</f>
        <v>0</v>
      </c>
      <c r="AF359" s="141">
        <f>'[29]מאזן בוחן EUROPE'!AF374</f>
        <v>0</v>
      </c>
      <c r="AG359" s="141">
        <f>'[30]מאזן בוחן EUROPE'!AG378</f>
        <v>0</v>
      </c>
      <c r="AH359" s="141">
        <f>'[31]מאזן בוחן EUROPE'!AH380</f>
        <v>0</v>
      </c>
      <c r="AI359" s="141">
        <v>0</v>
      </c>
      <c r="AJ359" s="141">
        <v>0</v>
      </c>
      <c r="AK359" s="141">
        <v>0</v>
      </c>
      <c r="AL359" s="141">
        <v>0</v>
      </c>
      <c r="AM359" s="141">
        <v>0</v>
      </c>
      <c r="AN359" s="141">
        <f>$K359-SUM($AC359:AM359)</f>
        <v>0</v>
      </c>
      <c r="AO359" s="141"/>
      <c r="AP359" s="141"/>
      <c r="AQ359" s="141"/>
      <c r="AR359" s="141"/>
      <c r="AS359" s="141"/>
      <c r="AT359" s="141"/>
      <c r="AU359" s="141"/>
      <c r="AV359" s="141"/>
      <c r="AW359" s="141"/>
      <c r="AX359" s="141"/>
      <c r="AY359" s="141"/>
    </row>
    <row r="360" spans="1:51">
      <c r="A360" s="52"/>
      <c r="B360" s="3659" t="s">
        <v>731</v>
      </c>
      <c r="C360" s="585">
        <v>5300005</v>
      </c>
      <c r="D360" s="45" t="s">
        <v>1114</v>
      </c>
      <c r="E360" s="1213">
        <f>IFERROR(VLOOKUP(C360,'פ.נ. EUROPE'!$D$164:$F$353,3,0),0)</f>
        <v>0</v>
      </c>
      <c r="F360" s="518">
        <f>SUMIF('פ.נ. EUROPE'!C:C,C:C,'פ.נ. EUROPE'!E:E)</f>
        <v>0</v>
      </c>
      <c r="J360" s="521">
        <f t="shared" si="85"/>
        <v>0</v>
      </c>
      <c r="K360" s="517">
        <f>M360+SUMIF('פ.נ. EUROPE'!C:C,'מאזן בוחן EUROPE'!C360,'פ.נ. EUROPE'!F:F)</f>
        <v>0</v>
      </c>
      <c r="L360" s="51"/>
      <c r="M360" s="97" t="str">
        <f>IFERROR(VLOOKUP(C360,'פ.נ. EUROPE'!$D$164:$H$353,4,0),"")</f>
        <v/>
      </c>
      <c r="N360" s="1104" t="str">
        <f t="shared" si="86"/>
        <v>-</v>
      </c>
      <c r="O360" s="434"/>
      <c r="P360" s="1133"/>
      <c r="Q360" s="137">
        <v>0</v>
      </c>
      <c r="R360" s="137">
        <v>0</v>
      </c>
      <c r="S360" s="137">
        <v>0</v>
      </c>
      <c r="T360" s="137">
        <v>0</v>
      </c>
      <c r="U360" s="137">
        <v>0</v>
      </c>
      <c r="V360" s="137">
        <v>0</v>
      </c>
      <c r="W360" s="141">
        <v>0</v>
      </c>
      <c r="X360" s="141">
        <v>0</v>
      </c>
      <c r="Y360" s="141">
        <v>0</v>
      </c>
      <c r="Z360" s="141">
        <v>0</v>
      </c>
      <c r="AA360" s="141">
        <v>0</v>
      </c>
      <c r="AB360" s="141">
        <v>-99215.719999999972</v>
      </c>
      <c r="AC360" s="141">
        <f>'[26]מאזן בוחן EUROPE'!AC371</f>
        <v>0</v>
      </c>
      <c r="AD360" s="141">
        <f>'[27]מאזן בוחן EUROPE'!AD371</f>
        <v>0</v>
      </c>
      <c r="AE360" s="141">
        <f>'[28]מאזן בוחן EUROPE'!AE379</f>
        <v>0</v>
      </c>
      <c r="AF360" s="141">
        <f>'[29]מאזן בוחן EUROPE'!AF375</f>
        <v>0</v>
      </c>
      <c r="AG360" s="141">
        <f>'[30]מאזן בוחן EUROPE'!AG379</f>
        <v>0</v>
      </c>
      <c r="AH360" s="141">
        <f>'[31]מאזן בוחן EUROPE'!AH381</f>
        <v>0</v>
      </c>
      <c r="AI360" s="141">
        <v>0</v>
      </c>
      <c r="AJ360" s="141">
        <v>0</v>
      </c>
      <c r="AK360" s="141">
        <v>0</v>
      </c>
      <c r="AL360" s="141">
        <v>0</v>
      </c>
      <c r="AM360" s="141">
        <v>0</v>
      </c>
      <c r="AN360" s="141">
        <f>$K360-SUM($AC360:AM360)</f>
        <v>0</v>
      </c>
      <c r="AO360" s="141"/>
      <c r="AP360" s="141"/>
      <c r="AQ360" s="141"/>
      <c r="AR360" s="141"/>
      <c r="AS360" s="141"/>
      <c r="AT360" s="141"/>
      <c r="AU360" s="141"/>
      <c r="AV360" s="141"/>
      <c r="AW360" s="141"/>
      <c r="AX360" s="141"/>
      <c r="AY360" s="141"/>
    </row>
    <row r="361" spans="1:51">
      <c r="A361" s="52"/>
      <c r="B361" s="3659" t="s">
        <v>731</v>
      </c>
      <c r="C361" s="585">
        <v>5300021</v>
      </c>
      <c r="D361" s="45" t="s">
        <v>1327</v>
      </c>
      <c r="E361" s="1213">
        <f>IFERROR(VLOOKUP(C361,'פ.נ. EUROPE'!$D$164:$F$353,3,0),0)</f>
        <v>0</v>
      </c>
      <c r="F361" s="518">
        <f>SUMIF('פ.נ. EUROPE'!C:C,C:C,'פ.נ. EUROPE'!E:E)</f>
        <v>0</v>
      </c>
      <c r="J361" s="521">
        <f t="shared" si="85"/>
        <v>0</v>
      </c>
      <c r="K361" s="517">
        <f>M361+SUMIF('פ.נ. EUROPE'!C:C,'מאזן בוחן EUROPE'!C361,'פ.נ. EUROPE'!F:F)</f>
        <v>0</v>
      </c>
      <c r="L361" s="51"/>
      <c r="M361" s="97" t="str">
        <f>IFERROR(VLOOKUP(C361,'פ.נ. EUROPE'!$D$164:$H$353,4,0),"")</f>
        <v/>
      </c>
      <c r="N361" s="1104" t="str">
        <f t="shared" si="86"/>
        <v>-</v>
      </c>
      <c r="O361" s="434"/>
      <c r="P361" s="1133"/>
      <c r="Q361" s="137">
        <v>0</v>
      </c>
      <c r="R361" s="137">
        <v>0</v>
      </c>
      <c r="S361" s="137">
        <v>0</v>
      </c>
      <c r="T361" s="137">
        <v>0</v>
      </c>
      <c r="U361" s="137">
        <v>0</v>
      </c>
      <c r="V361" s="137">
        <v>0</v>
      </c>
      <c r="W361" s="141">
        <v>0</v>
      </c>
      <c r="X361" s="141">
        <v>0</v>
      </c>
      <c r="Y361" s="141">
        <v>0</v>
      </c>
      <c r="Z361" s="141">
        <v>0</v>
      </c>
      <c r="AA361" s="141">
        <v>0</v>
      </c>
      <c r="AB361" s="141">
        <v>-619335.58000000007</v>
      </c>
      <c r="AC361" s="141">
        <f>'[26]מאזן בוחן EUROPE'!AC372</f>
        <v>0</v>
      </c>
      <c r="AD361" s="141">
        <f>'[27]מאזן בוחן EUROPE'!AD372</f>
        <v>0</v>
      </c>
      <c r="AE361" s="141">
        <f>'[28]מאזן בוחן EUROPE'!AE380</f>
        <v>0</v>
      </c>
      <c r="AF361" s="141">
        <f>'[29]מאזן בוחן EUROPE'!AF376</f>
        <v>0</v>
      </c>
      <c r="AG361" s="141">
        <f>'[30]מאזן בוחן EUROPE'!AG380</f>
        <v>0</v>
      </c>
      <c r="AH361" s="141">
        <f>'[31]מאזן בוחן EUROPE'!AH382</f>
        <v>0</v>
      </c>
      <c r="AI361" s="141">
        <v>0</v>
      </c>
      <c r="AJ361" s="141">
        <v>0</v>
      </c>
      <c r="AK361" s="141">
        <v>0</v>
      </c>
      <c r="AL361" s="141">
        <v>0</v>
      </c>
      <c r="AM361" s="141">
        <v>0</v>
      </c>
      <c r="AN361" s="141">
        <f>$K361-SUM($AC361:AM361)</f>
        <v>0</v>
      </c>
      <c r="AO361" s="141"/>
      <c r="AP361" s="141"/>
      <c r="AQ361" s="141"/>
      <c r="AR361" s="141"/>
      <c r="AS361" s="141"/>
      <c r="AT361" s="141"/>
      <c r="AU361" s="141"/>
      <c r="AV361" s="141"/>
      <c r="AW361" s="141"/>
      <c r="AX361" s="141"/>
      <c r="AY361" s="141"/>
    </row>
    <row r="362" spans="1:51">
      <c r="A362" s="52"/>
      <c r="B362" s="3659" t="s">
        <v>731</v>
      </c>
      <c r="C362" s="585">
        <v>5300023</v>
      </c>
      <c r="D362" s="45" t="s">
        <v>1515</v>
      </c>
      <c r="E362" s="1213">
        <f>IFERROR(VLOOKUP(C362,'פ.נ. EUROPE'!$D$164:$F$353,3,0),0)</f>
        <v>0</v>
      </c>
      <c r="F362" s="518">
        <f>SUMIF('פ.נ. EUROPE'!C:C,C:C,'פ.נ. EUROPE'!E:E)</f>
        <v>0</v>
      </c>
      <c r="J362" s="521">
        <f t="shared" si="85"/>
        <v>0</v>
      </c>
      <c r="K362" s="517">
        <f>M362+SUMIF('פ.נ. EUROPE'!C:C,'מאזן בוחן EUROPE'!C362,'פ.נ. EUROPE'!F:F)</f>
        <v>0</v>
      </c>
      <c r="L362" s="51"/>
      <c r="M362" s="97" t="str">
        <f>IFERROR(VLOOKUP(C362,'פ.נ. EUROPE'!$D$164:$H$353,4,0),"")</f>
        <v/>
      </c>
      <c r="N362" s="1104" t="str">
        <f t="shared" si="86"/>
        <v>-</v>
      </c>
      <c r="O362" s="449"/>
      <c r="P362" s="1133"/>
      <c r="Q362" s="137">
        <v>0</v>
      </c>
      <c r="R362" s="137">
        <v>0</v>
      </c>
      <c r="S362" s="137">
        <v>0</v>
      </c>
      <c r="T362" s="137">
        <v>0</v>
      </c>
      <c r="U362" s="137">
        <v>0</v>
      </c>
      <c r="V362" s="137">
        <v>0</v>
      </c>
      <c r="W362" s="141">
        <v>0</v>
      </c>
      <c r="X362" s="141">
        <v>0</v>
      </c>
      <c r="Y362" s="141">
        <v>0</v>
      </c>
      <c r="Z362" s="141">
        <v>0</v>
      </c>
      <c r="AA362" s="141">
        <v>0</v>
      </c>
      <c r="AB362" s="141">
        <v>0</v>
      </c>
      <c r="AC362" s="141">
        <f>'[26]מאזן בוחן EUROPE'!AC375</f>
        <v>0</v>
      </c>
      <c r="AD362" s="141">
        <f>'[27]מאזן בוחן EUROPE'!AD373</f>
        <v>0</v>
      </c>
      <c r="AE362" s="141">
        <f>'[28]מאזן בוחן EUROPE'!AE381</f>
        <v>0</v>
      </c>
      <c r="AF362" s="141">
        <f>'[29]מאזן בוחן EUROPE'!AF377</f>
        <v>0</v>
      </c>
      <c r="AG362" s="141">
        <f>'[30]מאזן בוחן EUROPE'!AG381</f>
        <v>0</v>
      </c>
      <c r="AH362" s="141">
        <f>'[31]מאזן בוחן EUROPE'!AH383</f>
        <v>0</v>
      </c>
      <c r="AI362" s="141">
        <v>0</v>
      </c>
      <c r="AJ362" s="141">
        <v>0</v>
      </c>
      <c r="AK362" s="141">
        <v>0</v>
      </c>
      <c r="AL362" s="141">
        <v>0</v>
      </c>
      <c r="AM362" s="141">
        <v>0</v>
      </c>
      <c r="AN362" s="141">
        <f>$K362-SUM($AC362:AM362)</f>
        <v>0</v>
      </c>
      <c r="AO362" s="141"/>
      <c r="AP362" s="141"/>
      <c r="AQ362" s="141"/>
      <c r="AR362" s="141"/>
      <c r="AS362" s="141"/>
      <c r="AT362" s="141"/>
      <c r="AU362" s="141"/>
      <c r="AV362" s="141"/>
      <c r="AW362" s="141"/>
      <c r="AX362" s="141"/>
      <c r="AY362" s="141"/>
    </row>
    <row r="363" spans="1:51">
      <c r="A363" s="52"/>
      <c r="B363" s="3659" t="s">
        <v>1088</v>
      </c>
      <c r="C363" s="585">
        <v>5420004</v>
      </c>
      <c r="D363" s="45" t="s">
        <v>1095</v>
      </c>
      <c r="E363" s="439">
        <f>IFERROR(VLOOKUP(C363,'פ.נ. EUROPE'!$D$164:$F$353,3,0),0)</f>
        <v>80206.399999999994</v>
      </c>
      <c r="F363" s="518">
        <f>SUMIF('פ.נ. EUROPE'!C:C,C:C,'פ.נ. EUROPE'!E:E)</f>
        <v>0</v>
      </c>
      <c r="J363" s="170">
        <f t="shared" si="85"/>
        <v>80206.399999999994</v>
      </c>
      <c r="K363" s="97">
        <f>M363+SUMIF('פ.נ. EUROPE'!C:C,'מאזן בוחן EUROPE'!C363,'פ.נ. EUROPE'!F:F)</f>
        <v>108966.33</v>
      </c>
      <c r="L363" s="51"/>
      <c r="M363" s="97">
        <f>IFERROR(VLOOKUP(C363,'פ.נ. EUROPE'!$D$164:$H$353,4,0),"")</f>
        <v>108966.33</v>
      </c>
      <c r="N363" s="1104">
        <f t="shared" si="86"/>
        <v>0.73606590219198897</v>
      </c>
      <c r="O363" s="434"/>
      <c r="P363" s="1133"/>
      <c r="Q363" s="137">
        <v>5940.47</v>
      </c>
      <c r="R363" s="137">
        <v>4450.53</v>
      </c>
      <c r="S363" s="137">
        <v>0</v>
      </c>
      <c r="T363" s="137">
        <v>3748.4500000000016</v>
      </c>
      <c r="U363" s="137">
        <v>17489.759999999998</v>
      </c>
      <c r="V363" s="137">
        <v>7782.6600000000035</v>
      </c>
      <c r="W363" s="141">
        <v>0</v>
      </c>
      <c r="X363" s="141">
        <v>6045.1499999999915</v>
      </c>
      <c r="Y363" s="141">
        <v>4015.3100000000095</v>
      </c>
      <c r="Z363" s="141">
        <v>1953.3899999999921</v>
      </c>
      <c r="AA363" s="141">
        <v>1762.1999999999971</v>
      </c>
      <c r="AB363" s="141">
        <v>-2065.66</v>
      </c>
      <c r="AC363" s="141">
        <f>'[26]מאזן בוחן EUROPE'!AC376</f>
        <v>0</v>
      </c>
      <c r="AD363" s="141">
        <f>'[27]מאזן בוחן EUROPE'!AD374</f>
        <v>11175.99</v>
      </c>
      <c r="AE363" s="141">
        <f>'[28]מאזן בוחן EUROPE'!AE382</f>
        <v>34044.03</v>
      </c>
      <c r="AF363" s="141">
        <f>'[29]מאזן בוחן EUROPE'!AF378</f>
        <v>20730.170000000006</v>
      </c>
      <c r="AG363" s="141">
        <f>'[30]מאזן בוחן EUROPE'!AG382</f>
        <v>0</v>
      </c>
      <c r="AH363" s="141">
        <f>'[31]מאזן בוחן EUROPE'!AH384</f>
        <v>16510.550000000003</v>
      </c>
      <c r="AI363" s="141">
        <v>3671.6299999999901</v>
      </c>
      <c r="AJ363" s="141">
        <v>2805</v>
      </c>
      <c r="AK363" s="141">
        <v>2125.6699999999983</v>
      </c>
      <c r="AL363" s="141">
        <v>761.73000000001048</v>
      </c>
      <c r="AM363" s="141">
        <v>14887.559999999998</v>
      </c>
      <c r="AN363" s="141">
        <f>$K363-SUM($AC363:AM363)</f>
        <v>2254</v>
      </c>
      <c r="AO363" s="141"/>
      <c r="AP363" s="141"/>
      <c r="AQ363" s="141"/>
      <c r="AR363" s="141"/>
      <c r="AS363" s="141"/>
      <c r="AT363" s="141"/>
      <c r="AU363" s="141"/>
      <c r="AV363" s="141"/>
      <c r="AW363" s="141"/>
      <c r="AX363" s="141"/>
      <c r="AY363" s="141"/>
    </row>
    <row r="364" spans="1:51">
      <c r="A364" s="52"/>
      <c r="B364" s="3659" t="s">
        <v>732</v>
      </c>
      <c r="C364" s="585">
        <v>5800001</v>
      </c>
      <c r="D364" s="45" t="s">
        <v>733</v>
      </c>
      <c r="E364" s="1213">
        <f>IFERROR(VLOOKUP(C364,'פ.נ. EUROPE'!$D$164:$F$353,3,0),0)</f>
        <v>0</v>
      </c>
      <c r="F364" s="518">
        <f>SUMIF('פ.נ. EUROPE'!C:C,C:C,'פ.נ. EUROPE'!E:E)</f>
        <v>0</v>
      </c>
      <c r="G364" s="517"/>
      <c r="H364" s="518"/>
      <c r="I364" s="517"/>
      <c r="J364" s="521">
        <f t="shared" si="85"/>
        <v>0</v>
      </c>
      <c r="K364" s="517">
        <f>M364+SUMIF('פ.נ. EUROPE'!C:C,'מאזן בוחן EUROPE'!C364,'פ.נ. EUROPE'!F:F)</f>
        <v>0</v>
      </c>
      <c r="L364" s="518"/>
      <c r="M364" s="517" t="str">
        <f>IFERROR(VLOOKUP(C364,'פ.נ. EUROPE'!$D$164:$H$353,4,0),"")</f>
        <v/>
      </c>
      <c r="N364" s="3036" t="str">
        <f t="shared" si="86"/>
        <v>-</v>
      </c>
      <c r="O364" s="434"/>
      <c r="Q364" s="137">
        <v>0</v>
      </c>
      <c r="R364" s="137">
        <v>0</v>
      </c>
      <c r="S364" s="137">
        <v>0</v>
      </c>
      <c r="T364" s="137">
        <v>0</v>
      </c>
      <c r="U364" s="137">
        <v>0</v>
      </c>
      <c r="V364" s="137">
        <v>0</v>
      </c>
      <c r="W364" s="141">
        <v>0</v>
      </c>
      <c r="X364" s="141">
        <v>0</v>
      </c>
      <c r="Y364" s="141">
        <v>0</v>
      </c>
      <c r="Z364" s="141">
        <v>0</v>
      </c>
      <c r="AA364" s="141">
        <v>0</v>
      </c>
      <c r="AB364" s="141">
        <v>0</v>
      </c>
      <c r="AC364" s="141">
        <f>'[26]מאזן בוחן EUROPE'!AC377</f>
        <v>0</v>
      </c>
      <c r="AD364" s="141">
        <f>'[27]מאזן בוחן EUROPE'!AD375</f>
        <v>0</v>
      </c>
      <c r="AE364" s="141">
        <f>'[28]מאזן בוחן EUROPE'!AE383</f>
        <v>0</v>
      </c>
      <c r="AF364" s="141">
        <f>'[29]מאזן בוחן EUROPE'!AF379</f>
        <v>0</v>
      </c>
      <c r="AG364" s="141">
        <f>'[30]מאזן בוחן EUROPE'!AG383</f>
        <v>0</v>
      </c>
      <c r="AH364" s="141">
        <f>'[31]מאזן בוחן EUROPE'!AH385</f>
        <v>0</v>
      </c>
      <c r="AI364" s="141">
        <v>0</v>
      </c>
      <c r="AJ364" s="141">
        <v>0</v>
      </c>
      <c r="AK364" s="141">
        <v>0</v>
      </c>
      <c r="AL364" s="141">
        <v>0</v>
      </c>
      <c r="AM364" s="141">
        <v>0</v>
      </c>
      <c r="AN364" s="141">
        <f>$K364-SUM($AC364:AM364)</f>
        <v>0</v>
      </c>
      <c r="AO364" s="141"/>
      <c r="AP364" s="141"/>
      <c r="AQ364" s="141"/>
      <c r="AR364" s="141"/>
      <c r="AS364" s="141"/>
      <c r="AT364" s="141"/>
      <c r="AU364" s="141"/>
      <c r="AV364" s="141"/>
      <c r="AW364" s="141"/>
      <c r="AX364" s="141"/>
      <c r="AY364" s="141"/>
    </row>
    <row r="365" spans="1:51">
      <c r="A365" s="52"/>
      <c r="B365" s="3659"/>
      <c r="C365" s="465"/>
      <c r="D365" s="137"/>
      <c r="F365" s="518"/>
      <c r="J365" s="170"/>
      <c r="K365" s="97"/>
      <c r="L365" s="51"/>
      <c r="M365" s="97"/>
      <c r="N365" s="1104"/>
      <c r="O365" s="434"/>
      <c r="Q365" s="137">
        <v>0</v>
      </c>
      <c r="R365" s="137">
        <v>0</v>
      </c>
      <c r="S365" s="137">
        <v>0</v>
      </c>
      <c r="T365" s="137">
        <v>0</v>
      </c>
      <c r="U365" s="137">
        <v>0</v>
      </c>
      <c r="V365" s="137">
        <v>0</v>
      </c>
      <c r="W365" s="141">
        <v>0</v>
      </c>
      <c r="X365" s="141">
        <v>0</v>
      </c>
      <c r="Y365" s="141">
        <v>0</v>
      </c>
      <c r="Z365" s="141">
        <v>0</v>
      </c>
      <c r="AA365" s="141">
        <v>0</v>
      </c>
      <c r="AB365" s="141">
        <v>-65457.349999999977</v>
      </c>
      <c r="AC365" s="141">
        <f>'[26]מאזן בוחן EUROPE'!AC378</f>
        <v>0</v>
      </c>
      <c r="AD365" s="141">
        <f>'[27]מאזן בוחן EUROPE'!AD376</f>
        <v>0</v>
      </c>
      <c r="AE365" s="141">
        <f>'[28]מאזן בוחן EUROPE'!AE384</f>
        <v>0</v>
      </c>
      <c r="AF365" s="141">
        <f>'[29]מאזן בוחן EUROPE'!AF380</f>
        <v>0</v>
      </c>
      <c r="AG365" s="141">
        <f>'[30]מאזן בוחן EUROPE'!AG384</f>
        <v>0</v>
      </c>
      <c r="AH365" s="141">
        <f>'[31]מאזן בוחן EUROPE'!AH386</f>
        <v>0</v>
      </c>
      <c r="AI365" s="141">
        <v>0</v>
      </c>
      <c r="AJ365" s="141">
        <v>0</v>
      </c>
      <c r="AK365" s="141">
        <v>0</v>
      </c>
      <c r="AL365" s="141">
        <v>0</v>
      </c>
      <c r="AM365" s="141">
        <v>0</v>
      </c>
      <c r="AN365" s="141">
        <f>$K365-SUM($AC365:AM365)</f>
        <v>0</v>
      </c>
      <c r="AO365" s="141"/>
      <c r="AP365" s="141"/>
      <c r="AQ365" s="141"/>
      <c r="AR365" s="141"/>
      <c r="AS365" s="141"/>
      <c r="AT365" s="141"/>
      <c r="AU365" s="141"/>
      <c r="AV365" s="141"/>
      <c r="AW365" s="141"/>
      <c r="AX365" s="141"/>
      <c r="AY365" s="141"/>
    </row>
    <row r="366" spans="1:51">
      <c r="A366" s="52"/>
      <c r="B366" s="3659" t="s">
        <v>1066</v>
      </c>
      <c r="C366" s="585" t="s">
        <v>1238</v>
      </c>
      <c r="D366" s="45" t="s">
        <v>1239</v>
      </c>
      <c r="E366" s="439">
        <f>IFERROR(VLOOKUP(C366,'פ.נ. EUROPE'!$D$164:$F$353,3,0),0)</f>
        <v>3082.1</v>
      </c>
      <c r="F366" s="518">
        <f>SUMIF('פ.נ. EUROPE'!C:C,C:C,'פ.נ. EUROPE'!E:E)</f>
        <v>0</v>
      </c>
      <c r="J366" s="170">
        <f>SUM(E366:I366)</f>
        <v>3082.1</v>
      </c>
      <c r="K366" s="97">
        <f>M366+SUMIF('פ.נ. EUROPE'!C:C,'מאזן בוחן EUROPE'!C366,'פ.נ. EUROPE'!F:F)</f>
        <v>4199.28</v>
      </c>
      <c r="L366" s="51"/>
      <c r="M366" s="97">
        <f>IFERROR(VLOOKUP(C366,'פ.נ. EUROPE'!$D$164:$H$353,4,0),"")</f>
        <v>4199.28</v>
      </c>
      <c r="N366" s="1104">
        <f>IF(K366=0,"-",J366/K366)</f>
        <v>0.73395915490274521</v>
      </c>
      <c r="O366" s="434"/>
      <c r="Q366" s="137">
        <v>0</v>
      </c>
      <c r="R366" s="137">
        <v>0</v>
      </c>
      <c r="S366" s="137">
        <v>1191.5317965844242</v>
      </c>
      <c r="T366" s="137">
        <v>0</v>
      </c>
      <c r="U366" s="137">
        <v>0.46820341557577194</v>
      </c>
      <c r="V366" s="137">
        <v>1184.2057885552367</v>
      </c>
      <c r="W366" s="141">
        <v>0.79421144476327754</v>
      </c>
      <c r="X366" s="141">
        <v>0</v>
      </c>
      <c r="Y366" s="141">
        <v>830</v>
      </c>
      <c r="Z366" s="141">
        <v>0</v>
      </c>
      <c r="AA366" s="141">
        <v>0</v>
      </c>
      <c r="AB366" s="141">
        <v>-25025.679999999993</v>
      </c>
      <c r="AC366" s="141">
        <f>'[26]מאזן בוחן EUROPE'!AC379</f>
        <v>0</v>
      </c>
      <c r="AD366" s="141">
        <f>'[27]מאזן בוחן EUROPE'!AD377</f>
        <v>0</v>
      </c>
      <c r="AE366" s="141">
        <f>'[28]מאזן בוחן EUROPE'!AE385</f>
        <v>886.56</v>
      </c>
      <c r="AF366" s="141">
        <f>'[29]מאזן בוחן EUROPE'!AF381</f>
        <v>0</v>
      </c>
      <c r="AG366" s="141">
        <f>'[30]מאזן בוחן EUROPE'!AG385</f>
        <v>0</v>
      </c>
      <c r="AH366" s="141">
        <f>'[31]מאזן בוחן EUROPE'!AH387</f>
        <v>957.28</v>
      </c>
      <c r="AI366" s="141">
        <v>0</v>
      </c>
      <c r="AJ366" s="141">
        <v>0</v>
      </c>
      <c r="AK366" s="141">
        <v>976.14999999999986</v>
      </c>
      <c r="AL366" s="141">
        <v>0</v>
      </c>
      <c r="AM366" s="141">
        <v>0</v>
      </c>
      <c r="AN366" s="141">
        <f>$K366-SUM($AC366:AM366)</f>
        <v>1379.29</v>
      </c>
      <c r="AO366" s="141"/>
      <c r="AP366" s="141"/>
      <c r="AQ366" s="141"/>
      <c r="AR366" s="141"/>
      <c r="AS366" s="141"/>
      <c r="AT366" s="141"/>
      <c r="AU366" s="141"/>
      <c r="AV366" s="141"/>
      <c r="AW366" s="141"/>
      <c r="AX366" s="141"/>
      <c r="AY366" s="141"/>
    </row>
    <row r="367" spans="1:51">
      <c r="A367" s="52"/>
      <c r="B367" s="3659"/>
      <c r="C367" s="178"/>
      <c r="D367" s="51"/>
      <c r="F367" s="518"/>
      <c r="J367" s="170"/>
      <c r="K367" s="97"/>
      <c r="L367" s="51"/>
      <c r="M367" s="97"/>
      <c r="N367" s="1104"/>
      <c r="O367" s="434"/>
      <c r="P367" s="1133"/>
      <c r="Q367" s="137">
        <v>0</v>
      </c>
      <c r="R367" s="137">
        <v>0</v>
      </c>
      <c r="S367" s="137">
        <v>0</v>
      </c>
      <c r="T367" s="137">
        <v>0</v>
      </c>
      <c r="U367" s="137">
        <v>0</v>
      </c>
      <c r="V367" s="137">
        <v>0</v>
      </c>
      <c r="W367" s="141">
        <v>0</v>
      </c>
      <c r="X367" s="141">
        <v>0</v>
      </c>
      <c r="Y367" s="141">
        <v>0</v>
      </c>
      <c r="Z367" s="141">
        <v>0</v>
      </c>
      <c r="AA367" s="141">
        <v>0</v>
      </c>
      <c r="AB367" s="141">
        <v>-61752.700000000012</v>
      </c>
      <c r="AC367" s="141">
        <f>'[26]מאזן בוחן EUROPE'!AC380</f>
        <v>0</v>
      </c>
      <c r="AD367" s="141">
        <f>'[27]מאזן בוחן EUROPE'!AD378</f>
        <v>0</v>
      </c>
      <c r="AE367" s="141">
        <f>'[28]מאזן בוחן EUROPE'!AE386</f>
        <v>0</v>
      </c>
      <c r="AF367" s="141">
        <f>'[29]מאזן בוחן EUROPE'!AF382</f>
        <v>0</v>
      </c>
      <c r="AG367" s="141">
        <f>'[30]מאזן בוחן EUROPE'!AG386</f>
        <v>0</v>
      </c>
      <c r="AH367" s="141">
        <f>'[31]מאזן בוחן EUROPE'!AH388</f>
        <v>0</v>
      </c>
      <c r="AI367" s="141">
        <v>0</v>
      </c>
      <c r="AJ367" s="141">
        <v>0</v>
      </c>
      <c r="AK367" s="141">
        <v>0</v>
      </c>
      <c r="AL367" s="141">
        <v>0</v>
      </c>
      <c r="AM367" s="141">
        <v>0</v>
      </c>
      <c r="AN367" s="141">
        <f>$K367-SUM($AC367:AM367)</f>
        <v>0</v>
      </c>
      <c r="AO367" s="141"/>
      <c r="AP367" s="141"/>
      <c r="AQ367" s="141"/>
      <c r="AR367" s="141"/>
      <c r="AS367" s="141"/>
      <c r="AT367" s="141"/>
      <c r="AU367" s="141"/>
      <c r="AV367" s="141"/>
      <c r="AW367" s="141"/>
      <c r="AX367" s="141"/>
      <c r="AY367" s="141"/>
    </row>
    <row r="368" spans="1:51">
      <c r="A368" s="52"/>
      <c r="B368" s="3659" t="s">
        <v>734</v>
      </c>
      <c r="C368" s="1166">
        <v>5900001</v>
      </c>
      <c r="D368" s="61" t="s">
        <v>735</v>
      </c>
      <c r="E368" s="439">
        <f>IFERROR(VLOOKUP(C368,'פ.נ. EUROPE'!$D$164:$F$353,3,0),0)</f>
        <v>10422680.859999999</v>
      </c>
      <c r="F368" s="51">
        <f>SUMIF('פ.נ. EUROPE'!C:C,C:C,'פ.נ. EUROPE'!E:E)</f>
        <v>0</v>
      </c>
      <c r="J368" s="51">
        <f>SUM(E368:I368)</f>
        <v>10422680.859999999</v>
      </c>
      <c r="K368" s="430">
        <f>M368+SUMIF('פ.נ. EUROPE'!C:C,'מאזן בוחן EUROPE'!C368,'פ.נ. EUROPE'!F:F)</f>
        <v>13870837.5</v>
      </c>
      <c r="M368" s="430">
        <f>IFERROR(VLOOKUP(C368,'פ.נ. EUROPE'!$D$164:$H$353,4,0),"")</f>
        <v>13870837.5</v>
      </c>
      <c r="N368" s="1104">
        <f>IF(K368=0,"-",J368/K368)</f>
        <v>0.75140962901483055</v>
      </c>
      <c r="P368" s="1133" t="s">
        <v>1577</v>
      </c>
      <c r="Q368" s="137">
        <v>728909.82099999953</v>
      </c>
      <c r="R368" s="137">
        <v>865165.53245948488</v>
      </c>
      <c r="S368" s="137">
        <v>1275859.2552499985</v>
      </c>
      <c r="T368" s="137">
        <v>838968</v>
      </c>
      <c r="U368" s="137">
        <v>745260.35500000278</v>
      </c>
      <c r="V368" s="137">
        <v>1107914.5162905152</v>
      </c>
      <c r="W368" s="141">
        <v>1167405.3839999968</v>
      </c>
      <c r="X368" s="141">
        <v>1217036.9604238588</v>
      </c>
      <c r="Y368" s="141">
        <v>2364064.3855761443</v>
      </c>
      <c r="Z368" s="141">
        <v>823890.1005442217</v>
      </c>
      <c r="AA368" s="141">
        <v>2506020.0049269553</v>
      </c>
      <c r="AB368" s="141">
        <v>0</v>
      </c>
      <c r="AC368" s="141">
        <f>'[26]מאזן בוחן EUROPE'!AC381</f>
        <v>818552.38675000053</v>
      </c>
      <c r="AD368" s="141">
        <f>'[27]מאזן בוחן EUROPE'!AD379</f>
        <v>811603.73757470259</v>
      </c>
      <c r="AE368" s="141">
        <f>'[28]מאזן בוחן EUROPE'!AE387</f>
        <v>2169413.5656752968</v>
      </c>
      <c r="AF368" s="141">
        <f>'[29]מאזן בוחן EUROPE'!AF383</f>
        <v>653367.27563209413</v>
      </c>
      <c r="AG368" s="141">
        <f>'[30]מאזן בוחן EUROPE'!AG387</f>
        <v>994834.66133680567</v>
      </c>
      <c r="AH368" s="141">
        <f>'[31]מאזן בוחן EUROPE'!AH389</f>
        <v>1088289.9930311004</v>
      </c>
      <c r="AI368" s="141">
        <v>1077191.7646139143</v>
      </c>
      <c r="AJ368" s="141">
        <v>959077.51389403455</v>
      </c>
      <c r="AK368" s="141">
        <v>829817.06149205193</v>
      </c>
      <c r="AL368" s="141">
        <v>845726.76103166677</v>
      </c>
      <c r="AM368" s="141">
        <v>1288412.4723185804</v>
      </c>
      <c r="AN368" s="141">
        <f>$K368-SUM($AC368:AM368)</f>
        <v>2334550.306649752</v>
      </c>
      <c r="AO368" s="141"/>
      <c r="AP368" s="141"/>
      <c r="AQ368" s="141"/>
      <c r="AR368" s="141"/>
      <c r="AS368" s="141"/>
      <c r="AT368" s="141"/>
      <c r="AU368" s="141"/>
      <c r="AV368" s="141"/>
      <c r="AW368" s="141"/>
      <c r="AX368" s="141"/>
      <c r="AY368" s="141"/>
    </row>
    <row r="369" spans="1:57">
      <c r="A369" s="52"/>
      <c r="B369" s="3659"/>
      <c r="C369" s="1160"/>
      <c r="M369" s="430"/>
      <c r="N369" s="1104"/>
      <c r="Q369" s="137">
        <v>0</v>
      </c>
      <c r="R369" s="137">
        <v>0</v>
      </c>
      <c r="S369" s="137">
        <v>0</v>
      </c>
      <c r="T369" s="137">
        <v>0</v>
      </c>
      <c r="U369" s="137">
        <v>0</v>
      </c>
      <c r="V369" s="137">
        <v>0</v>
      </c>
      <c r="W369" s="141">
        <v>0</v>
      </c>
      <c r="X369" s="141">
        <v>0</v>
      </c>
      <c r="Y369" s="141">
        <v>0</v>
      </c>
      <c r="Z369" s="141">
        <v>0</v>
      </c>
      <c r="AA369" s="141">
        <v>0</v>
      </c>
      <c r="AB369" s="141">
        <v>-433874.37999999989</v>
      </c>
      <c r="AC369" s="141">
        <f>'[26]מאזן בוחן EUROPE'!AC382</f>
        <v>0</v>
      </c>
      <c r="AD369" s="141">
        <f>'[27]מאזן בוחן EUROPE'!AD380</f>
        <v>0</v>
      </c>
      <c r="AE369" s="141">
        <f>'[28]מאזן בוחן EUROPE'!AE388</f>
        <v>0</v>
      </c>
      <c r="AF369" s="141">
        <f>'[29]מאזן בוחן EUROPE'!AF384</f>
        <v>0</v>
      </c>
      <c r="AG369" s="141">
        <f>'[30]מאזן בוחן EUROPE'!AG388</f>
        <v>0</v>
      </c>
      <c r="AH369" s="141">
        <f>'[31]מאזן בוחן EUROPE'!AH390</f>
        <v>0</v>
      </c>
      <c r="AI369" s="141">
        <v>0</v>
      </c>
      <c r="AJ369" s="141">
        <v>0</v>
      </c>
      <c r="AK369" s="141">
        <v>0</v>
      </c>
      <c r="AL369" s="141">
        <v>0</v>
      </c>
      <c r="AM369" s="141">
        <v>0</v>
      </c>
      <c r="AN369" s="141">
        <f>$K369-SUM($AC369:AM369)</f>
        <v>0</v>
      </c>
      <c r="AO369" s="141"/>
      <c r="AP369" s="141"/>
      <c r="AQ369" s="141"/>
      <c r="AR369" s="141"/>
      <c r="AS369" s="141"/>
      <c r="AT369" s="141"/>
      <c r="AU369" s="141"/>
      <c r="AV369" s="141"/>
      <c r="AW369" s="141"/>
      <c r="AX369" s="141"/>
      <c r="AY369" s="141"/>
    </row>
    <row r="370" spans="1:57">
      <c r="A370" s="52"/>
      <c r="B370" s="3659"/>
      <c r="C370" s="1160"/>
      <c r="D370" s="67" t="s">
        <v>548</v>
      </c>
      <c r="E370" s="3313">
        <f t="shared" ref="E370:K370" si="87">SUM(E349:E369)</f>
        <v>10815144.559999999</v>
      </c>
      <c r="F370" s="1623">
        <f t="shared" si="87"/>
        <v>0</v>
      </c>
      <c r="G370" s="1351">
        <f t="shared" si="87"/>
        <v>0</v>
      </c>
      <c r="H370" s="1351">
        <f t="shared" si="87"/>
        <v>0</v>
      </c>
      <c r="I370" s="1351">
        <f t="shared" si="87"/>
        <v>0</v>
      </c>
      <c r="J370" s="1351">
        <f t="shared" si="87"/>
        <v>10815144.559999999</v>
      </c>
      <c r="K370" s="1351">
        <f t="shared" si="87"/>
        <v>14407494.210000001</v>
      </c>
      <c r="L370" s="336"/>
      <c r="M370" s="1351">
        <f>SUM(M349:M369)</f>
        <v>14407494.210000001</v>
      </c>
      <c r="N370" s="1104"/>
      <c r="O370" s="434"/>
      <c r="P370" s="1118"/>
      <c r="Q370" s="137">
        <v>815409.89211111062</v>
      </c>
      <c r="R370" s="137">
        <v>975266.48912615154</v>
      </c>
      <c r="S370" s="137">
        <v>1361079.6040514139</v>
      </c>
      <c r="T370" s="137">
        <v>917216.39478260884</v>
      </c>
      <c r="U370" s="137">
        <v>837744.53146428755</v>
      </c>
      <c r="V370" s="137">
        <v>1191978.5829486353</v>
      </c>
      <c r="W370" s="141">
        <v>1202334.8786462257</v>
      </c>
      <c r="X370" s="141">
        <v>1259434.906510816</v>
      </c>
      <c r="Y370" s="141">
        <v>2376517.0103587518</v>
      </c>
      <c r="Z370" s="141">
        <v>861405.15315291844</v>
      </c>
      <c r="AA370" s="141">
        <v>2543623.3266660869</v>
      </c>
      <c r="AB370" s="141">
        <v>0</v>
      </c>
      <c r="AC370" s="141">
        <f>'[26]מאזן בוחן EUROPE'!AC383</f>
        <v>851223.33675000048</v>
      </c>
      <c r="AD370" s="141">
        <f>'[27]מאזן בוחן EUROPE'!AD381</f>
        <v>861759.11757470272</v>
      </c>
      <c r="AE370" s="141">
        <f>'[28]מאזן בוחן EUROPE'!AE389</f>
        <v>2226913.5256752968</v>
      </c>
      <c r="AF370" s="141">
        <f>'[29]מאזן בוחן EUROPE'!AF385</f>
        <v>693955.59563209442</v>
      </c>
      <c r="AG370" s="141">
        <f>'[30]מאזן בוחן EUROPE'!AG389</f>
        <v>1010548.3113368051</v>
      </c>
      <c r="AH370" s="141">
        <f>'[31]מאזן בוחן EUROPE'!AH391</f>
        <v>1118090.6230311003</v>
      </c>
      <c r="AI370" s="141">
        <v>1133221.9446139149</v>
      </c>
      <c r="AJ370" s="141">
        <v>987806.32389403507</v>
      </c>
      <c r="AK370" s="141">
        <v>871365.35149205104</v>
      </c>
      <c r="AL370" s="141">
        <v>885983.49103166722</v>
      </c>
      <c r="AM370" s="141">
        <v>1343078.1823185794</v>
      </c>
      <c r="AN370" s="141">
        <f>$K370-SUM($AC370:AM370)</f>
        <v>2423548.4066497535</v>
      </c>
      <c r="AO370" s="141"/>
      <c r="AP370" s="141"/>
      <c r="AQ370" s="141"/>
      <c r="AR370" s="141"/>
      <c r="AS370" s="141"/>
      <c r="AT370" s="141"/>
      <c r="AU370" s="141"/>
      <c r="AV370" s="141"/>
      <c r="AW370" s="141"/>
      <c r="AX370" s="141"/>
      <c r="AY370" s="141"/>
    </row>
    <row r="371" spans="1:57">
      <c r="A371" s="52"/>
      <c r="B371" s="3659"/>
      <c r="C371" s="1160"/>
      <c r="D371" s="54"/>
      <c r="K371" s="399"/>
      <c r="L371" s="51"/>
      <c r="M371" s="399"/>
      <c r="N371" s="1104"/>
      <c r="O371" s="434"/>
      <c r="P371" s="401"/>
      <c r="Q371" s="137">
        <v>0</v>
      </c>
      <c r="R371" s="137">
        <v>0</v>
      </c>
      <c r="S371" s="137">
        <v>0</v>
      </c>
      <c r="T371" s="137">
        <v>0</v>
      </c>
      <c r="U371" s="137">
        <v>0</v>
      </c>
      <c r="V371" s="137">
        <v>0</v>
      </c>
      <c r="W371" s="141">
        <v>0</v>
      </c>
      <c r="X371" s="141">
        <v>0</v>
      </c>
      <c r="Y371" s="141">
        <v>0</v>
      </c>
      <c r="Z371" s="141">
        <v>0</v>
      </c>
      <c r="AA371" s="141">
        <v>0</v>
      </c>
      <c r="AB371" s="141">
        <v>-71574.420000000042</v>
      </c>
      <c r="AC371" s="141">
        <f>'[26]מאזן בוחן EUROPE'!AC384</f>
        <v>0</v>
      </c>
      <c r="AD371" s="141">
        <f>'[27]מאזן בוחן EUROPE'!AD382</f>
        <v>0</v>
      </c>
      <c r="AE371" s="141">
        <f>'[28]מאזן בוחן EUROPE'!AE390</f>
        <v>0</v>
      </c>
      <c r="AF371" s="141">
        <f>'[29]מאזן בוחן EUROPE'!AF386</f>
        <v>0</v>
      </c>
      <c r="AG371" s="141">
        <f>'[30]מאזן בוחן EUROPE'!AG390</f>
        <v>0</v>
      </c>
      <c r="AH371" s="141">
        <f>'[31]מאזן בוחן EUROPE'!AH392</f>
        <v>0</v>
      </c>
      <c r="AI371" s="141">
        <v>0</v>
      </c>
      <c r="AJ371" s="141">
        <v>0</v>
      </c>
      <c r="AK371" s="141">
        <v>0</v>
      </c>
      <c r="AL371" s="141">
        <v>0</v>
      </c>
      <c r="AM371" s="141">
        <v>0</v>
      </c>
      <c r="AN371" s="141">
        <f>$K371-SUM($AC371:AM371)</f>
        <v>0</v>
      </c>
      <c r="AO371" s="141"/>
      <c r="AP371" s="141"/>
      <c r="AQ371" s="141"/>
      <c r="AR371" s="141"/>
      <c r="AS371" s="141"/>
      <c r="AT371" s="141"/>
      <c r="AU371" s="141"/>
      <c r="AV371" s="141"/>
      <c r="AW371" s="141"/>
      <c r="AX371" s="141"/>
      <c r="AY371" s="141"/>
    </row>
    <row r="372" spans="1:57">
      <c r="A372" s="52"/>
      <c r="B372" s="3659"/>
      <c r="C372" s="1160"/>
      <c r="D372" s="70" t="s">
        <v>91</v>
      </c>
      <c r="E372" s="429"/>
      <c r="J372" s="440"/>
      <c r="K372" s="446"/>
      <c r="L372" s="51"/>
      <c r="M372" s="446"/>
      <c r="N372" s="1104"/>
      <c r="O372" s="434"/>
      <c r="P372" s="445"/>
      <c r="Q372" s="137">
        <v>0</v>
      </c>
      <c r="R372" s="137">
        <v>0</v>
      </c>
      <c r="S372" s="137">
        <v>0</v>
      </c>
      <c r="T372" s="137">
        <v>0</v>
      </c>
      <c r="U372" s="137">
        <v>0</v>
      </c>
      <c r="V372" s="137">
        <v>0</v>
      </c>
      <c r="W372" s="141">
        <v>0</v>
      </c>
      <c r="X372" s="141">
        <v>0</v>
      </c>
      <c r="Y372" s="141">
        <v>0</v>
      </c>
      <c r="Z372" s="141">
        <v>0</v>
      </c>
      <c r="AA372" s="141">
        <v>0</v>
      </c>
      <c r="AB372" s="141">
        <v>-14537.639999999985</v>
      </c>
      <c r="AC372" s="141">
        <f>'[26]מאזן בוחן EUROPE'!AC385</f>
        <v>0</v>
      </c>
      <c r="AD372" s="141">
        <f>'[27]מאזן בוחן EUROPE'!AD383</f>
        <v>0</v>
      </c>
      <c r="AE372" s="141">
        <f>'[28]מאזן בוחן EUROPE'!AE391</f>
        <v>0</v>
      </c>
      <c r="AF372" s="141">
        <f>'[29]מאזן בוחן EUROPE'!AF387</f>
        <v>0</v>
      </c>
      <c r="AG372" s="141">
        <f>'[30]מאזן בוחן EUROPE'!AG391</f>
        <v>0</v>
      </c>
      <c r="AH372" s="141">
        <f>'[31]מאזן בוחן EUROPE'!AH393</f>
        <v>0</v>
      </c>
      <c r="AI372" s="141">
        <v>0</v>
      </c>
      <c r="AJ372" s="141">
        <v>0</v>
      </c>
      <c r="AK372" s="141">
        <v>0</v>
      </c>
      <c r="AL372" s="141">
        <v>0</v>
      </c>
      <c r="AM372" s="141">
        <v>0</v>
      </c>
      <c r="AN372" s="141">
        <f>$K372-SUM($AC372:AM372)</f>
        <v>0</v>
      </c>
      <c r="AO372" s="141"/>
      <c r="AP372" s="141"/>
      <c r="AQ372" s="141"/>
      <c r="AR372" s="141"/>
      <c r="AS372" s="141"/>
      <c r="AT372" s="141"/>
      <c r="AU372" s="141"/>
      <c r="AV372" s="141"/>
      <c r="AW372" s="141"/>
      <c r="AX372" s="141"/>
      <c r="AY372" s="141"/>
    </row>
    <row r="373" spans="1:57">
      <c r="A373" s="52"/>
      <c r="B373" s="3659"/>
      <c r="C373" s="1160"/>
      <c r="D373" s="50" t="s">
        <v>86</v>
      </c>
      <c r="E373" s="429"/>
      <c r="J373" s="440"/>
      <c r="K373" s="446"/>
      <c r="L373" s="51"/>
      <c r="M373" s="446"/>
      <c r="N373" s="1104"/>
      <c r="O373" s="434"/>
      <c r="P373" s="445"/>
      <c r="Q373" s="137">
        <v>0</v>
      </c>
      <c r="R373" s="137">
        <v>0</v>
      </c>
      <c r="S373" s="137">
        <v>0</v>
      </c>
      <c r="T373" s="137">
        <v>0</v>
      </c>
      <c r="U373" s="137">
        <v>0</v>
      </c>
      <c r="V373" s="137">
        <v>0</v>
      </c>
      <c r="W373" s="141">
        <v>0</v>
      </c>
      <c r="X373" s="141">
        <v>0</v>
      </c>
      <c r="Y373" s="141">
        <v>0</v>
      </c>
      <c r="Z373" s="141">
        <v>0</v>
      </c>
      <c r="AA373" s="141">
        <v>0</v>
      </c>
      <c r="AB373" s="141">
        <v>-56623.399999999907</v>
      </c>
      <c r="AC373" s="141">
        <f>'[26]מאזן בוחן EUROPE'!AC386</f>
        <v>0</v>
      </c>
      <c r="AD373" s="141">
        <f>'[27]מאזן בוחן EUROPE'!AD384</f>
        <v>0</v>
      </c>
      <c r="AE373" s="141">
        <f>'[28]מאזן בוחן EUROPE'!AE392</f>
        <v>0</v>
      </c>
      <c r="AF373" s="141">
        <f>'[29]מאזן בוחן EUROPE'!AF388</f>
        <v>0</v>
      </c>
      <c r="AG373" s="141">
        <f>'[30]מאזן בוחן EUROPE'!AG392</f>
        <v>0</v>
      </c>
      <c r="AH373" s="141">
        <f>'[31]מאזן בוחן EUROPE'!AH394</f>
        <v>0</v>
      </c>
      <c r="AI373" s="141">
        <v>0</v>
      </c>
      <c r="AJ373" s="141">
        <v>0</v>
      </c>
      <c r="AK373" s="141">
        <v>0</v>
      </c>
      <c r="AL373" s="141">
        <v>0</v>
      </c>
      <c r="AM373" s="141">
        <v>0</v>
      </c>
      <c r="AN373" s="141">
        <f>$K373-SUM($AC373:AM373)</f>
        <v>0</v>
      </c>
      <c r="AO373" s="141"/>
      <c r="AP373" s="141"/>
      <c r="AQ373" s="141"/>
      <c r="AR373" s="141"/>
      <c r="AS373" s="141"/>
      <c r="AT373" s="141"/>
      <c r="AU373" s="141"/>
      <c r="AV373" s="141"/>
      <c r="AW373" s="141"/>
      <c r="AX373" s="141"/>
      <c r="AY373" s="141"/>
    </row>
    <row r="374" spans="1:57">
      <c r="A374" s="52"/>
      <c r="B374" s="3659"/>
      <c r="C374" s="1160"/>
      <c r="D374" s="50"/>
      <c r="E374" s="429"/>
      <c r="J374" s="440"/>
      <c r="K374" s="446"/>
      <c r="L374" s="51"/>
      <c r="M374" s="446"/>
      <c r="N374" s="1104"/>
      <c r="O374" s="434"/>
      <c r="P374" s="445"/>
      <c r="Q374" s="137">
        <v>0</v>
      </c>
      <c r="R374" s="137">
        <v>0</v>
      </c>
      <c r="S374" s="137">
        <v>0</v>
      </c>
      <c r="T374" s="137">
        <v>0</v>
      </c>
      <c r="U374" s="137">
        <v>0</v>
      </c>
      <c r="V374" s="137">
        <v>0</v>
      </c>
      <c r="W374" s="141">
        <v>0</v>
      </c>
      <c r="X374" s="141">
        <v>0</v>
      </c>
      <c r="Y374" s="141">
        <v>0</v>
      </c>
      <c r="Z374" s="141">
        <v>0</v>
      </c>
      <c r="AA374" s="141">
        <v>0</v>
      </c>
      <c r="AB374" s="141">
        <v>-7452.7599999999948</v>
      </c>
      <c r="AC374" s="141">
        <f>'[26]מאזן בוחן EUROPE'!AC387</f>
        <v>0</v>
      </c>
      <c r="AD374" s="141">
        <f>'[27]מאזן בוחן EUROPE'!AD385</f>
        <v>0</v>
      </c>
      <c r="AE374" s="141">
        <f>'[28]מאזן בוחן EUROPE'!AE393</f>
        <v>0</v>
      </c>
      <c r="AF374" s="141">
        <f>'[29]מאזן בוחן EUROPE'!AF389</f>
        <v>0</v>
      </c>
      <c r="AG374" s="141">
        <f>'[30]מאזן בוחן EUROPE'!AG393</f>
        <v>0</v>
      </c>
      <c r="AH374" s="141">
        <f>'[31]מאזן בוחן EUROPE'!AH395</f>
        <v>0</v>
      </c>
      <c r="AI374" s="141">
        <v>0</v>
      </c>
      <c r="AJ374" s="141">
        <v>0</v>
      </c>
      <c r="AK374" s="141">
        <v>0</v>
      </c>
      <c r="AL374" s="141">
        <v>0</v>
      </c>
      <c r="AM374" s="141">
        <v>0</v>
      </c>
      <c r="AN374" s="141">
        <f>$K374-SUM($AC374:AM374)</f>
        <v>0</v>
      </c>
      <c r="AO374" s="141"/>
      <c r="AP374" s="141"/>
      <c r="AQ374" s="141"/>
      <c r="AR374" s="141"/>
      <c r="AS374" s="141"/>
      <c r="AT374" s="141"/>
      <c r="AU374" s="141"/>
      <c r="AV374" s="141"/>
      <c r="AW374" s="141"/>
      <c r="AX374" s="141"/>
      <c r="AY374" s="141"/>
    </row>
    <row r="375" spans="1:57">
      <c r="A375" s="52"/>
      <c r="B375" s="3659"/>
      <c r="C375" s="1160"/>
      <c r="D375" s="48"/>
      <c r="J375" s="440"/>
      <c r="K375" s="97"/>
      <c r="L375" s="51"/>
      <c r="M375" s="97"/>
      <c r="N375" s="1104"/>
      <c r="O375" s="434"/>
      <c r="P375" s="2842"/>
      <c r="Q375" s="137">
        <v>0</v>
      </c>
      <c r="R375" s="137">
        <v>0</v>
      </c>
      <c r="S375" s="137">
        <v>0</v>
      </c>
      <c r="T375" s="137">
        <v>0</v>
      </c>
      <c r="U375" s="137">
        <v>0</v>
      </c>
      <c r="V375" s="137">
        <v>0</v>
      </c>
      <c r="W375" s="141">
        <v>0</v>
      </c>
      <c r="X375" s="141">
        <v>0</v>
      </c>
      <c r="Y375" s="141">
        <v>0</v>
      </c>
      <c r="Z375" s="141">
        <v>0</v>
      </c>
      <c r="AA375" s="141">
        <v>0</v>
      </c>
      <c r="AB375" s="141">
        <v>0</v>
      </c>
      <c r="AC375" s="141">
        <f>'[26]מאזן בוחן EUROPE'!AC388</f>
        <v>0</v>
      </c>
      <c r="AD375" s="141">
        <f>'[27]מאזן בוחן EUROPE'!AD386</f>
        <v>0</v>
      </c>
      <c r="AE375" s="141">
        <f>'[28]מאזן בוחן EUROPE'!AE394</f>
        <v>0</v>
      </c>
      <c r="AF375" s="141">
        <f>'[29]מאזן בוחן EUROPE'!AF390</f>
        <v>0</v>
      </c>
      <c r="AG375" s="141">
        <f>'[30]מאזן בוחן EUROPE'!AG394</f>
        <v>0</v>
      </c>
      <c r="AH375" s="141">
        <f>'[31]מאזן בוחן EUROPE'!AH396</f>
        <v>0</v>
      </c>
      <c r="AI375" s="141">
        <v>0</v>
      </c>
      <c r="AJ375" s="141">
        <v>0</v>
      </c>
      <c r="AK375" s="141">
        <v>0</v>
      </c>
      <c r="AL375" s="141">
        <v>0</v>
      </c>
      <c r="AM375" s="141">
        <v>0</v>
      </c>
      <c r="AN375" s="141">
        <f>$K375-SUM($AC375:AM375)</f>
        <v>0</v>
      </c>
      <c r="AO375" s="141"/>
      <c r="AP375" s="141"/>
      <c r="AQ375" s="141"/>
      <c r="AR375" s="141"/>
      <c r="AS375" s="141"/>
      <c r="AT375" s="141"/>
      <c r="AU375" s="141"/>
      <c r="AV375" s="141"/>
      <c r="AW375" s="141"/>
      <c r="AX375" s="141"/>
      <c r="AY375" s="141"/>
    </row>
    <row r="376" spans="1:57">
      <c r="A376" s="52"/>
      <c r="B376" s="3659"/>
      <c r="C376" s="1160"/>
      <c r="D376" s="48"/>
      <c r="J376" s="170"/>
      <c r="K376" s="97"/>
      <c r="L376" s="51"/>
      <c r="M376" s="97"/>
      <c r="N376" s="1104"/>
      <c r="O376" s="434"/>
      <c r="P376" s="2842"/>
      <c r="Q376" s="137">
        <v>0</v>
      </c>
      <c r="R376" s="137">
        <v>0</v>
      </c>
      <c r="S376" s="137">
        <v>0</v>
      </c>
      <c r="T376" s="137">
        <v>0</v>
      </c>
      <c r="U376" s="137">
        <v>0</v>
      </c>
      <c r="V376" s="137">
        <v>0</v>
      </c>
      <c r="W376" s="141">
        <v>0</v>
      </c>
      <c r="X376" s="141">
        <v>0</v>
      </c>
      <c r="Y376" s="141">
        <v>0</v>
      </c>
      <c r="Z376" s="141">
        <v>0</v>
      </c>
      <c r="AA376" s="141">
        <v>0</v>
      </c>
      <c r="AB376" s="141">
        <v>40337.85</v>
      </c>
      <c r="AC376" s="141">
        <f>'[26]מאזן בוחן EUROPE'!AC389</f>
        <v>0</v>
      </c>
      <c r="AD376" s="141">
        <f>'[27]מאזן בוחן EUROPE'!AD387</f>
        <v>0</v>
      </c>
      <c r="AE376" s="141">
        <f>'[28]מאזן בוחן EUROPE'!AE395</f>
        <v>0</v>
      </c>
      <c r="AF376" s="141">
        <f>'[29]מאזן בוחן EUROPE'!AF391</f>
        <v>0</v>
      </c>
      <c r="AG376" s="141">
        <f>'[30]מאזן בוחן EUROPE'!AG395</f>
        <v>0</v>
      </c>
      <c r="AH376" s="141">
        <f>'[31]מאזן בוחן EUROPE'!AH397</f>
        <v>0</v>
      </c>
      <c r="AI376" s="141">
        <v>0</v>
      </c>
      <c r="AJ376" s="141">
        <v>0</v>
      </c>
      <c r="AK376" s="141">
        <v>0</v>
      </c>
      <c r="AL376" s="141">
        <v>0</v>
      </c>
      <c r="AM376" s="141">
        <v>0</v>
      </c>
      <c r="AN376" s="141">
        <f>$K376-SUM($AC376:AM376)</f>
        <v>0</v>
      </c>
      <c r="AO376" s="141"/>
      <c r="AP376" s="141"/>
      <c r="AQ376" s="141"/>
      <c r="AR376" s="141"/>
      <c r="AS376" s="141"/>
      <c r="AT376" s="141"/>
      <c r="AU376" s="141"/>
      <c r="AV376" s="141"/>
      <c r="AW376" s="141"/>
      <c r="AX376" s="141"/>
      <c r="AY376" s="141"/>
    </row>
    <row r="377" spans="1:57">
      <c r="A377" s="52"/>
      <c r="B377" s="3659"/>
      <c r="C377" s="156"/>
      <c r="D377" s="45"/>
      <c r="J377" s="170"/>
      <c r="K377" s="98"/>
      <c r="L377" s="51"/>
      <c r="M377" s="98"/>
      <c r="N377" s="1104"/>
      <c r="O377" s="449"/>
      <c r="P377" s="2842"/>
      <c r="Q377" s="137">
        <v>0</v>
      </c>
      <c r="R377" s="137">
        <v>0</v>
      </c>
      <c r="S377" s="137">
        <v>0</v>
      </c>
      <c r="T377" s="137">
        <v>0</v>
      </c>
      <c r="U377" s="137">
        <v>0</v>
      </c>
      <c r="V377" s="137">
        <v>0</v>
      </c>
      <c r="W377" s="141">
        <v>0</v>
      </c>
      <c r="X377" s="141">
        <v>0</v>
      </c>
      <c r="Y377" s="141">
        <v>0</v>
      </c>
      <c r="Z377" s="141">
        <v>0</v>
      </c>
      <c r="AA377" s="141">
        <v>0</v>
      </c>
      <c r="AB377" s="141">
        <v>0</v>
      </c>
      <c r="AC377" s="141">
        <f>'[26]מאזן בוחן EUROPE'!AC390</f>
        <v>0</v>
      </c>
      <c r="AD377" s="141">
        <f>'[27]מאזן בוחן EUROPE'!AD388</f>
        <v>0</v>
      </c>
      <c r="AE377" s="141">
        <f>'[28]מאזן בוחן EUROPE'!AE396</f>
        <v>0</v>
      </c>
      <c r="AF377" s="141">
        <f>'[29]מאזן בוחן EUROPE'!AF392</f>
        <v>0</v>
      </c>
      <c r="AG377" s="141">
        <f>'[30]מאזן בוחן EUROPE'!AG396</f>
        <v>0</v>
      </c>
      <c r="AH377" s="141">
        <f>'[31]מאזן בוחן EUROPE'!AH398</f>
        <v>0</v>
      </c>
      <c r="AI377" s="141">
        <v>0</v>
      </c>
      <c r="AJ377" s="141">
        <v>0</v>
      </c>
      <c r="AK377" s="141">
        <v>0</v>
      </c>
      <c r="AL377" s="141">
        <v>0</v>
      </c>
      <c r="AM377" s="141">
        <v>0</v>
      </c>
      <c r="AN377" s="141">
        <f>$K377-SUM($AC377:AM377)</f>
        <v>0</v>
      </c>
      <c r="AO377" s="141"/>
      <c r="AP377" s="141"/>
      <c r="AQ377" s="141"/>
      <c r="AR377" s="141"/>
      <c r="AS377" s="141"/>
      <c r="AT377" s="141"/>
      <c r="AU377" s="141"/>
      <c r="AV377" s="141"/>
      <c r="AW377" s="141"/>
      <c r="AX377" s="141"/>
      <c r="AY377" s="141"/>
    </row>
    <row r="378" spans="1:57">
      <c r="A378" s="52"/>
      <c r="B378" s="3659"/>
      <c r="C378" s="407"/>
      <c r="D378" s="62"/>
      <c r="E378" s="3308">
        <f t="shared" ref="E378:K378" si="88">SUM(E375:E377)</f>
        <v>0</v>
      </c>
      <c r="F378" s="3306">
        <f t="shared" si="88"/>
        <v>0</v>
      </c>
      <c r="G378" s="1206">
        <f t="shared" si="88"/>
        <v>0</v>
      </c>
      <c r="H378" s="1206">
        <f t="shared" si="88"/>
        <v>0</v>
      </c>
      <c r="I378" s="1206">
        <f t="shared" si="88"/>
        <v>0</v>
      </c>
      <c r="J378" s="1206">
        <f t="shared" si="88"/>
        <v>0</v>
      </c>
      <c r="K378" s="1206">
        <f t="shared" si="88"/>
        <v>0</v>
      </c>
      <c r="L378" s="490"/>
      <c r="M378" s="1206">
        <f>SUM(M375:M377)</f>
        <v>0</v>
      </c>
      <c r="N378" s="1104"/>
      <c r="O378" s="449"/>
      <c r="P378" s="2842"/>
      <c r="Q378" s="137">
        <v>0</v>
      </c>
      <c r="R378" s="137">
        <v>0</v>
      </c>
      <c r="S378" s="137">
        <v>0</v>
      </c>
      <c r="T378" s="137">
        <v>0</v>
      </c>
      <c r="U378" s="137">
        <v>0</v>
      </c>
      <c r="V378" s="137">
        <v>0</v>
      </c>
      <c r="W378" s="141">
        <v>0</v>
      </c>
      <c r="X378" s="141">
        <v>0</v>
      </c>
      <c r="Y378" s="141">
        <v>0</v>
      </c>
      <c r="Z378" s="141">
        <v>0</v>
      </c>
      <c r="AA378" s="141">
        <v>0</v>
      </c>
      <c r="AB378" s="141">
        <v>0</v>
      </c>
      <c r="AC378" s="141">
        <f>'[26]מאזן בוחן EUROPE'!AC391</f>
        <v>0</v>
      </c>
      <c r="AD378" s="141">
        <f>'[27]מאזן בוחן EUROPE'!AD389</f>
        <v>0</v>
      </c>
      <c r="AE378" s="141">
        <f>'[28]מאזן בוחן EUROPE'!AE397</f>
        <v>0</v>
      </c>
      <c r="AF378" s="141">
        <f>'[29]מאזן בוחן EUROPE'!AF393</f>
        <v>0</v>
      </c>
      <c r="AG378" s="141">
        <f>'[30]מאזן בוחן EUROPE'!AG397</f>
        <v>0</v>
      </c>
      <c r="AH378" s="141">
        <f>'[31]מאזן בוחן EUROPE'!AH399</f>
        <v>0</v>
      </c>
      <c r="AI378" s="141">
        <v>0</v>
      </c>
      <c r="AJ378" s="141">
        <v>0</v>
      </c>
      <c r="AK378" s="141">
        <v>0</v>
      </c>
      <c r="AL378" s="141">
        <v>0</v>
      </c>
      <c r="AM378" s="141">
        <v>0</v>
      </c>
      <c r="AN378" s="141">
        <f>$K378-SUM($AC378:AM378)</f>
        <v>0</v>
      </c>
      <c r="AO378" s="141"/>
      <c r="AP378" s="141"/>
      <c r="AQ378" s="141"/>
      <c r="AR378" s="141"/>
      <c r="AS378" s="141"/>
      <c r="AT378" s="141"/>
      <c r="AU378" s="141"/>
      <c r="AV378" s="141"/>
      <c r="AW378" s="141"/>
      <c r="AX378" s="141"/>
      <c r="AY378" s="141"/>
    </row>
    <row r="379" spans="1:57">
      <c r="A379" s="52"/>
      <c r="B379" s="3659"/>
      <c r="D379" s="50" t="s">
        <v>87</v>
      </c>
      <c r="E379" s="522"/>
      <c r="F379" s="521"/>
      <c r="G379" s="522"/>
      <c r="H379" s="521"/>
      <c r="I379" s="522"/>
      <c r="J379" s="521"/>
      <c r="K379" s="522"/>
      <c r="L379" s="518"/>
      <c r="M379" s="522"/>
      <c r="N379" s="1104"/>
      <c r="O379" s="449"/>
      <c r="P379" s="2842"/>
      <c r="Q379" s="137">
        <v>0</v>
      </c>
      <c r="R379" s="137">
        <v>0</v>
      </c>
      <c r="S379" s="137">
        <v>0</v>
      </c>
      <c r="T379" s="137">
        <v>0</v>
      </c>
      <c r="U379" s="137">
        <v>0</v>
      </c>
      <c r="V379" s="137">
        <v>0</v>
      </c>
      <c r="W379" s="141">
        <v>0</v>
      </c>
      <c r="X379" s="141">
        <v>0</v>
      </c>
      <c r="Y379" s="141">
        <v>0</v>
      </c>
      <c r="Z379" s="141">
        <v>0</v>
      </c>
      <c r="AA379" s="141">
        <v>0</v>
      </c>
      <c r="AB379" s="141">
        <v>0</v>
      </c>
      <c r="AC379" s="141">
        <f>'[26]מאזן בוחן EUROPE'!AC392</f>
        <v>0</v>
      </c>
      <c r="AD379" s="141">
        <f>'[27]מאזן בוחן EUROPE'!AD390</f>
        <v>0</v>
      </c>
      <c r="AE379" s="141">
        <f>'[28]מאזן בוחן EUROPE'!AE398</f>
        <v>0</v>
      </c>
      <c r="AF379" s="141">
        <f>'[29]מאזן בוחן EUROPE'!AF394</f>
        <v>0</v>
      </c>
      <c r="AG379" s="141">
        <f>'[30]מאזן בוחן EUROPE'!AG398</f>
        <v>0</v>
      </c>
      <c r="AH379" s="141">
        <f>'[31]מאזן בוחן EUROPE'!AH400</f>
        <v>0</v>
      </c>
      <c r="AI379" s="141">
        <v>0</v>
      </c>
      <c r="AJ379" s="141">
        <v>0</v>
      </c>
      <c r="AK379" s="141">
        <v>0</v>
      </c>
      <c r="AL379" s="141">
        <v>0</v>
      </c>
      <c r="AM379" s="141">
        <v>0</v>
      </c>
      <c r="AN379" s="141">
        <f>$K379-SUM($AC379:AM379)</f>
        <v>0</v>
      </c>
      <c r="AO379" s="141"/>
      <c r="AP379" s="141"/>
      <c r="AQ379" s="141"/>
      <c r="AR379" s="141"/>
      <c r="AS379" s="141"/>
      <c r="AT379" s="141"/>
      <c r="AU379" s="141"/>
      <c r="AV379" s="141"/>
      <c r="AW379" s="141"/>
      <c r="AX379" s="141"/>
      <c r="AY379" s="141"/>
    </row>
    <row r="380" spans="1:57">
      <c r="A380" s="52"/>
      <c r="B380" s="3659"/>
      <c r="C380" s="156"/>
      <c r="D380" s="45"/>
      <c r="E380" s="517"/>
      <c r="F380" s="518"/>
      <c r="G380" s="522"/>
      <c r="H380" s="521"/>
      <c r="I380" s="522"/>
      <c r="J380" s="521"/>
      <c r="K380" s="1213"/>
      <c r="L380" s="518"/>
      <c r="M380" s="1213"/>
      <c r="N380" s="1104"/>
      <c r="O380" s="449"/>
      <c r="P380" s="2842"/>
      <c r="Q380" s="137">
        <v>0</v>
      </c>
      <c r="R380" s="137">
        <v>0</v>
      </c>
      <c r="S380" s="137">
        <v>0</v>
      </c>
      <c r="T380" s="137">
        <v>0</v>
      </c>
      <c r="U380" s="137">
        <v>0</v>
      </c>
      <c r="V380" s="137">
        <v>0</v>
      </c>
      <c r="W380" s="141">
        <v>0</v>
      </c>
      <c r="X380" s="141">
        <v>0</v>
      </c>
      <c r="Y380" s="141">
        <v>0</v>
      </c>
      <c r="Z380" s="141">
        <v>0</v>
      </c>
      <c r="AA380" s="141">
        <v>0</v>
      </c>
      <c r="AB380" s="141">
        <v>0</v>
      </c>
      <c r="AC380" s="141">
        <f>'[26]מאזן בוחן EUROPE'!AC393</f>
        <v>0</v>
      </c>
      <c r="AD380" s="141">
        <f>'[27]מאזן בוחן EUROPE'!AD391</f>
        <v>0</v>
      </c>
      <c r="AE380" s="141">
        <f>'[28]מאזן בוחן EUROPE'!AE399</f>
        <v>0</v>
      </c>
      <c r="AF380" s="141">
        <f>'[29]מאזן בוחן EUROPE'!AF395</f>
        <v>0</v>
      </c>
      <c r="AG380" s="141">
        <f>'[30]מאזן בוחן EUROPE'!AG399</f>
        <v>0</v>
      </c>
      <c r="AH380" s="141">
        <f>'[31]מאזן בוחן EUROPE'!AH401</f>
        <v>0</v>
      </c>
      <c r="AI380" s="141">
        <v>0</v>
      </c>
      <c r="AJ380" s="141">
        <v>0</v>
      </c>
      <c r="AK380" s="141">
        <v>0</v>
      </c>
      <c r="AL380" s="141">
        <v>0</v>
      </c>
      <c r="AM380" s="141">
        <v>0</v>
      </c>
      <c r="AN380" s="141">
        <f>$K380-SUM($AC380:AM380)</f>
        <v>0</v>
      </c>
      <c r="AO380" s="141"/>
      <c r="AP380" s="141"/>
      <c r="AQ380" s="141"/>
      <c r="AR380" s="141"/>
      <c r="AS380" s="141"/>
      <c r="AT380" s="141"/>
      <c r="AU380" s="141"/>
      <c r="AV380" s="141"/>
      <c r="AW380" s="141"/>
      <c r="AX380" s="141"/>
      <c r="AY380" s="141"/>
    </row>
    <row r="381" spans="1:57">
      <c r="A381" s="52"/>
      <c r="B381" s="3659"/>
      <c r="C381" s="407"/>
      <c r="D381" s="62"/>
      <c r="E381" s="3308">
        <f t="shared" ref="E381:K381" si="89">SUM(E380:E380)</f>
        <v>0</v>
      </c>
      <c r="F381" s="3306">
        <f t="shared" si="89"/>
        <v>0</v>
      </c>
      <c r="G381" s="1206">
        <f t="shared" si="89"/>
        <v>0</v>
      </c>
      <c r="H381" s="1206">
        <f t="shared" si="89"/>
        <v>0</v>
      </c>
      <c r="I381" s="1206">
        <f t="shared" si="89"/>
        <v>0</v>
      </c>
      <c r="J381" s="1206">
        <f t="shared" si="89"/>
        <v>0</v>
      </c>
      <c r="K381" s="1206">
        <f t="shared" si="89"/>
        <v>0</v>
      </c>
      <c r="L381" s="490"/>
      <c r="M381" s="1206">
        <f>SUM(M380:M380)</f>
        <v>0</v>
      </c>
      <c r="N381" s="1104"/>
      <c r="O381" s="449"/>
      <c r="P381" s="2842"/>
      <c r="Q381" s="137">
        <v>0</v>
      </c>
      <c r="R381" s="137">
        <v>0</v>
      </c>
      <c r="S381" s="137">
        <v>0</v>
      </c>
      <c r="T381" s="137">
        <v>0</v>
      </c>
      <c r="U381" s="137">
        <v>0</v>
      </c>
      <c r="V381" s="137">
        <v>0</v>
      </c>
      <c r="W381" s="141">
        <v>0</v>
      </c>
      <c r="X381" s="141">
        <v>0</v>
      </c>
      <c r="Y381" s="141">
        <v>0</v>
      </c>
      <c r="Z381" s="141">
        <v>0</v>
      </c>
      <c r="AA381" s="141">
        <v>0</v>
      </c>
      <c r="AB381" s="141">
        <v>0</v>
      </c>
      <c r="AC381" s="141">
        <f>'[26]מאזן בוחן EUROPE'!AC394</f>
        <v>0</v>
      </c>
      <c r="AD381" s="141">
        <f>'[27]מאזן בוחן EUROPE'!AD392</f>
        <v>0</v>
      </c>
      <c r="AE381" s="141">
        <f>'[28]מאזן בוחן EUROPE'!AE400</f>
        <v>0</v>
      </c>
      <c r="AF381" s="141">
        <f>'[29]מאזן בוחן EUROPE'!AF396</f>
        <v>0</v>
      </c>
      <c r="AG381" s="141">
        <f>'[30]מאזן בוחן EUROPE'!AG400</f>
        <v>0</v>
      </c>
      <c r="AH381" s="141">
        <f>'[31]מאזן בוחן EUROPE'!AH402</f>
        <v>0</v>
      </c>
      <c r="AI381" s="141">
        <v>0</v>
      </c>
      <c r="AJ381" s="141">
        <v>0</v>
      </c>
      <c r="AK381" s="141">
        <v>0</v>
      </c>
      <c r="AL381" s="141">
        <v>0</v>
      </c>
      <c r="AM381" s="141">
        <v>0</v>
      </c>
      <c r="AN381" s="141">
        <f>$K381-SUM($AC381:AM381)</f>
        <v>0</v>
      </c>
      <c r="AO381" s="141"/>
      <c r="AP381" s="141"/>
      <c r="AQ381" s="141"/>
      <c r="AR381" s="141"/>
      <c r="AS381" s="141"/>
      <c r="AT381" s="141"/>
      <c r="AU381" s="141"/>
      <c r="AV381" s="141"/>
      <c r="AW381" s="141"/>
      <c r="AX381" s="141"/>
      <c r="AY381" s="141"/>
    </row>
    <row r="382" spans="1:57">
      <c r="A382" s="52"/>
      <c r="B382" s="3659"/>
      <c r="D382" s="50" t="s">
        <v>92</v>
      </c>
      <c r="J382" s="1710"/>
      <c r="K382" s="49"/>
      <c r="L382" s="51"/>
      <c r="M382" s="439"/>
      <c r="N382" s="1104"/>
      <c r="O382" s="449"/>
      <c r="P382" s="2842"/>
      <c r="Q382" s="137">
        <v>0</v>
      </c>
      <c r="R382" s="137">
        <v>0</v>
      </c>
      <c r="S382" s="137">
        <v>0</v>
      </c>
      <c r="T382" s="137">
        <v>0</v>
      </c>
      <c r="U382" s="137">
        <v>0</v>
      </c>
      <c r="V382" s="137">
        <v>0</v>
      </c>
      <c r="W382" s="141">
        <v>0</v>
      </c>
      <c r="X382" s="141">
        <v>0</v>
      </c>
      <c r="Y382" s="141">
        <v>0</v>
      </c>
      <c r="Z382" s="141">
        <v>0</v>
      </c>
      <c r="AA382" s="141">
        <v>0</v>
      </c>
      <c r="AB382" s="141" t="s">
        <v>2635</v>
      </c>
      <c r="AC382" s="141">
        <f>'[26]מאזן בוחן EUROPE'!AC395</f>
        <v>0</v>
      </c>
      <c r="AD382" s="141">
        <f>'[27]מאזן בוחן EUROPE'!AD393</f>
        <v>0</v>
      </c>
      <c r="AE382" s="141">
        <f>'[28]מאזן בוחן EUROPE'!AE401</f>
        <v>0</v>
      </c>
      <c r="AF382" s="141">
        <f>'[29]מאזן בוחן EUROPE'!AF397</f>
        <v>0</v>
      </c>
      <c r="AG382" s="141">
        <f>'[30]מאזן בוחן EUROPE'!AG401</f>
        <v>0</v>
      </c>
      <c r="AH382" s="141">
        <f>'[31]מאזן בוחן EUROPE'!AH403</f>
        <v>0</v>
      </c>
      <c r="AI382" s="141">
        <v>0</v>
      </c>
      <c r="AJ382" s="141">
        <v>0</v>
      </c>
      <c r="AK382" s="141">
        <v>0</v>
      </c>
      <c r="AL382" s="141">
        <v>0</v>
      </c>
      <c r="AM382" s="141">
        <v>0</v>
      </c>
      <c r="AN382" s="141">
        <f>$K382-SUM($AC382:AM382)</f>
        <v>0</v>
      </c>
      <c r="AO382" s="141"/>
      <c r="AP382" s="141"/>
      <c r="AQ382" s="141"/>
      <c r="AR382" s="141"/>
      <c r="AS382" s="141"/>
      <c r="AT382" s="141"/>
      <c r="AU382" s="141"/>
      <c r="AV382" s="141"/>
      <c r="AW382" s="141"/>
      <c r="AX382" s="141"/>
      <c r="AY382" s="141"/>
    </row>
    <row r="383" spans="1:57">
      <c r="A383" s="52"/>
      <c r="B383" s="3659" t="s">
        <v>764</v>
      </c>
      <c r="C383" s="585">
        <v>8410069</v>
      </c>
      <c r="D383" s="45" t="s">
        <v>765</v>
      </c>
      <c r="E383" s="439">
        <f>IFERROR(VLOOKUP(C383,'פ.נ. EUROPE'!$D$164:$F$453,3,0),0)</f>
        <v>25789.82</v>
      </c>
      <c r="F383" s="518">
        <f>SUMIF('פ.נ. EUROPE'!C:C,C:C,'פ.נ. EUROPE'!E:E)</f>
        <v>0</v>
      </c>
      <c r="G383" s="517"/>
      <c r="H383" s="518"/>
      <c r="I383" s="517"/>
      <c r="J383" s="399">
        <f>SUM(E383:I383)</f>
        <v>25789.82</v>
      </c>
      <c r="K383" s="967">
        <f>M383+SUMIF('פ.נ. EUROPE'!C:C,'מאזן בוחן EUROPE'!C383,'פ.נ. EUROPE'!F:F)</f>
        <v>35734.660000000003</v>
      </c>
      <c r="L383" s="51"/>
      <c r="M383" s="98">
        <f>IFERROR(VLOOKUP(C383,'פ.נ. EUROPE'!$D$164:$H$3571,4,0),"")</f>
        <v>35734.660000000003</v>
      </c>
      <c r="N383" s="1104">
        <f>IF(K383=0,"-",J383/K383)</f>
        <v>0.72170324273408493</v>
      </c>
      <c r="O383" s="434"/>
      <c r="P383" s="3477" t="s">
        <v>4337</v>
      </c>
      <c r="Q383" s="137">
        <v>2541.3200000000002</v>
      </c>
      <c r="R383" s="137">
        <v>1765.8899999999999</v>
      </c>
      <c r="S383" s="137">
        <v>1620.2599999999998</v>
      </c>
      <c r="T383" s="137">
        <v>2360.83</v>
      </c>
      <c r="U383" s="137">
        <v>1853.1599999999999</v>
      </c>
      <c r="V383" s="137">
        <v>6541.0400000000009</v>
      </c>
      <c r="W383" s="141">
        <v>3630.3400000000015</v>
      </c>
      <c r="X383" s="141">
        <v>2419.682076145154</v>
      </c>
      <c r="Y383" s="141">
        <v>1693.1379238548411</v>
      </c>
      <c r="Z383" s="141">
        <v>2307.4189557763566</v>
      </c>
      <c r="AA383" s="141">
        <v>-576.63042695732656</v>
      </c>
      <c r="AB383" s="141">
        <v>30500.080000000075</v>
      </c>
      <c r="AC383" s="141">
        <f>'[26]מאזן בוחן EUROPE'!AC396</f>
        <v>345.07</v>
      </c>
      <c r="AD383" s="141">
        <f>'[27]מאזן בוחן EUROPE'!AD394</f>
        <v>3924.8938617886183</v>
      </c>
      <c r="AE383" s="141">
        <f>'[28]מאזן בוחן EUROPE'!AE402</f>
        <v>2034.9961382113815</v>
      </c>
      <c r="AF383" s="141">
        <f>'[29]מאזן בוחן EUROPE'!AF398</f>
        <v>2124.0916179037058</v>
      </c>
      <c r="AG383" s="141">
        <f>'[30]מאזן בוחן EUROPE'!AG402</f>
        <v>3009.2619131957927</v>
      </c>
      <c r="AH383" s="141">
        <f>'[31]מאזן בוחן EUROPE'!AH404</f>
        <v>1993.2364689005008</v>
      </c>
      <c r="AI383" s="141">
        <v>2317.634704608723</v>
      </c>
      <c r="AJ383" s="141">
        <v>2265.8817874399228</v>
      </c>
      <c r="AK383" s="141">
        <v>8584.5735079513543</v>
      </c>
      <c r="AL383" s="141">
        <v>2961.6099683343891</v>
      </c>
      <c r="AM383" s="141">
        <v>4256.8084314126063</v>
      </c>
      <c r="AN383" s="141">
        <f>$K383-SUM($AC383:AM383)</f>
        <v>1916.6016002530087</v>
      </c>
      <c r="AO383" s="141"/>
      <c r="AP383" s="141"/>
      <c r="AQ383" s="141"/>
      <c r="AR383" s="141" t="s">
        <v>4148</v>
      </c>
      <c r="AS383" s="141"/>
      <c r="AT383" s="141"/>
      <c r="AU383" s="141"/>
      <c r="AV383" s="141"/>
      <c r="AW383" s="141"/>
      <c r="AX383" s="141"/>
      <c r="AY383" s="141"/>
    </row>
    <row r="384" spans="1:57">
      <c r="A384" s="52"/>
      <c r="B384" s="3659" t="s">
        <v>764</v>
      </c>
      <c r="C384" s="585">
        <v>8410070</v>
      </c>
      <c r="D384" s="45" t="s">
        <v>482</v>
      </c>
      <c r="E384" s="439">
        <f>IFERROR(VLOOKUP(C384,'פ.נ. EUROPE'!$D$164:$F$453,3,0),0)</f>
        <v>2081.3000000000002</v>
      </c>
      <c r="F384" s="518">
        <f>SUMIF('פ.נ. EUROPE'!C:C,C:C,'פ.נ. EUROPE'!E:E)</f>
        <v>0</v>
      </c>
      <c r="G384" s="517"/>
      <c r="H384" s="518"/>
      <c r="I384" s="517"/>
      <c r="J384" s="399">
        <f>SUM(E384:I384)</f>
        <v>2081.3000000000002</v>
      </c>
      <c r="K384" s="967">
        <f>M384+SUMIF('פ.נ. EUROPE'!C:C,'מאזן בוחן EUROPE'!C384,'פ.נ. EUROPE'!F:F)</f>
        <v>2812.03</v>
      </c>
      <c r="L384" s="51"/>
      <c r="M384" s="98">
        <f>IFERROR(VLOOKUP(C384,'פ.נ. EUROPE'!$D$164:$H$3571,4,0),"")</f>
        <v>2812.03</v>
      </c>
      <c r="N384" s="1104">
        <f>IF(K384=0,"-",J384/K384)</f>
        <v>0.7401414636401461</v>
      </c>
      <c r="O384" s="434"/>
      <c r="P384" s="2842"/>
      <c r="Q384" s="137">
        <v>125.89</v>
      </c>
      <c r="R384" s="137">
        <v>1453.1599999999999</v>
      </c>
      <c r="S384" s="137">
        <v>2416.4100000000003</v>
      </c>
      <c r="T384" s="137">
        <v>3441.9399999999991</v>
      </c>
      <c r="U384" s="137">
        <v>887.1599999999994</v>
      </c>
      <c r="V384" s="137">
        <v>797.53000000000065</v>
      </c>
      <c r="W384" s="141">
        <v>125.89000000000065</v>
      </c>
      <c r="X384" s="141">
        <v>259.21000000000106</v>
      </c>
      <c r="Y384" s="141">
        <v>125.88999999999929</v>
      </c>
      <c r="Z384" s="141">
        <v>707.80999999999767</v>
      </c>
      <c r="AA384" s="141">
        <v>1137.5</v>
      </c>
      <c r="AB384" s="141">
        <v>0</v>
      </c>
      <c r="AC384" s="141">
        <f>'[26]מאזן בוחן EUROPE'!AC397</f>
        <v>128.13999999999999</v>
      </c>
      <c r="AD384" s="141">
        <f>'[27]מאזן בוחן EUROPE'!AD395</f>
        <v>128.13999999999999</v>
      </c>
      <c r="AE384" s="141">
        <f>'[28]מאזן בוחן EUROPE'!AE403</f>
        <v>128.14000000000004</v>
      </c>
      <c r="AF384" s="141">
        <f>'[29]מאזן בוחן EUROPE'!AF399</f>
        <v>1114.05</v>
      </c>
      <c r="AG384" s="141">
        <f>'[30]מאזן בוחן EUROPE'!AG403</f>
        <v>412.23</v>
      </c>
      <c r="AH384" s="141">
        <f>'[31]מאזן בוחן EUROPE'!AH405</f>
        <v>128.13999999999987</v>
      </c>
      <c r="AI384" s="141">
        <v>128.1400000000001</v>
      </c>
      <c r="AJ384" s="141">
        <v>128.13999999999987</v>
      </c>
      <c r="AK384" s="141">
        <v>128.14000000000033</v>
      </c>
      <c r="AL384" s="141">
        <v>128.13999999999987</v>
      </c>
      <c r="AM384" s="141">
        <v>129.48000000000002</v>
      </c>
      <c r="AN384" s="141">
        <f>$K384-SUM($AC384:AM384)</f>
        <v>131.15000000000009</v>
      </c>
      <c r="AO384" s="141"/>
      <c r="AP384" s="141"/>
      <c r="AQ384" s="141"/>
      <c r="AR384" s="141"/>
      <c r="AS384" s="141"/>
      <c r="AT384" s="141"/>
      <c r="AU384" s="141"/>
      <c r="AV384" s="141"/>
      <c r="AW384" s="141"/>
      <c r="AX384" s="141"/>
      <c r="AY384" s="141"/>
      <c r="BE384" s="63"/>
    </row>
    <row r="385" spans="1:57">
      <c r="A385" s="52"/>
      <c r="B385" s="3659" t="s">
        <v>1337</v>
      </c>
      <c r="C385" s="585">
        <v>8410027</v>
      </c>
      <c r="D385" s="203" t="s">
        <v>311</v>
      </c>
      <c r="E385" s="439">
        <f>IFERROR(VLOOKUP(C385,'פ.נ. EUROPE'!$D$164:$F$453,3,0),0)</f>
        <v>-652.02</v>
      </c>
      <c r="F385" s="518">
        <f>SUMIF('פ.נ. EUROPE'!C:C,C:C,'פ.נ. EUROPE'!E:E)</f>
        <v>0</v>
      </c>
      <c r="G385" s="517"/>
      <c r="H385" s="518"/>
      <c r="I385" s="517"/>
      <c r="J385" s="474">
        <f>SUM(E385:I385)</f>
        <v>-652.02</v>
      </c>
      <c r="K385" s="474">
        <f>M385+SUMIF('פ.נ. EUROPE'!C:C,'מאזן בוחן EUROPE'!C385,'פ.נ. EUROPE'!F:F)</f>
        <v>-906.55</v>
      </c>
      <c r="L385" s="490"/>
      <c r="M385" s="98">
        <f>IFERROR(VLOOKUP(C385,'פ.נ. EUROPE'!$D$164:$H$3571,4,0),"")</f>
        <v>-906.55</v>
      </c>
      <c r="N385" s="1104">
        <f>IF(K385=0,"-",J385/K385)</f>
        <v>0.71923225415035019</v>
      </c>
      <c r="O385" s="398"/>
      <c r="P385" s="2842"/>
      <c r="Q385" s="137">
        <v>401.72</v>
      </c>
      <c r="R385" s="137">
        <v>437.6</v>
      </c>
      <c r="S385" s="137">
        <v>0</v>
      </c>
      <c r="T385" s="137">
        <v>-1429.01</v>
      </c>
      <c r="U385" s="137">
        <v>0</v>
      </c>
      <c r="V385" s="137">
        <v>0</v>
      </c>
      <c r="W385" s="141">
        <v>0</v>
      </c>
      <c r="X385" s="141">
        <v>0</v>
      </c>
      <c r="Y385" s="141">
        <v>0</v>
      </c>
      <c r="Z385" s="141">
        <v>0</v>
      </c>
      <c r="AA385" s="141">
        <v>0</v>
      </c>
      <c r="AB385" s="141">
        <v>3906</v>
      </c>
      <c r="AC385" s="141">
        <f>'[26]מאזן בוחן EUROPE'!AC398</f>
        <v>0</v>
      </c>
      <c r="AD385" s="141">
        <f>'[27]מאזן בוחן EUROPE'!AD396</f>
        <v>0</v>
      </c>
      <c r="AE385" s="141">
        <f>'[28]מאזן בוחן EUROPE'!AE404</f>
        <v>0</v>
      </c>
      <c r="AF385" s="141">
        <f>'[29]מאזן בוחן EUROPE'!AF400</f>
        <v>0</v>
      </c>
      <c r="AG385" s="141">
        <f>'[30]מאזן בוחן EUROPE'!AG404</f>
        <v>-906.55</v>
      </c>
      <c r="AH385" s="141">
        <f>'[31]מאזן בוחן EUROPE'!AH406</f>
        <v>0</v>
      </c>
      <c r="AI385" s="141">
        <v>0</v>
      </c>
      <c r="AJ385" s="141">
        <v>0</v>
      </c>
      <c r="AK385" s="141">
        <v>0</v>
      </c>
      <c r="AL385" s="141">
        <v>0</v>
      </c>
      <c r="AM385" s="141">
        <v>0</v>
      </c>
      <c r="AN385" s="141">
        <f>$K385-SUM($AC385:AM385)</f>
        <v>0</v>
      </c>
      <c r="AO385" s="141"/>
      <c r="AP385" s="141"/>
      <c r="AQ385" s="141"/>
      <c r="AR385" s="141"/>
      <c r="AS385" s="141"/>
      <c r="AT385" s="141"/>
      <c r="AU385" s="141"/>
      <c r="AV385" s="141"/>
      <c r="AW385" s="141"/>
      <c r="AX385" s="141"/>
      <c r="AY385" s="141"/>
      <c r="BE385" s="63"/>
    </row>
    <row r="386" spans="1:57">
      <c r="A386" s="52"/>
      <c r="B386" s="3659"/>
      <c r="C386" s="156"/>
      <c r="D386" s="1949"/>
      <c r="F386" s="518"/>
      <c r="G386" s="517"/>
      <c r="H386" s="518"/>
      <c r="I386" s="517"/>
      <c r="J386" s="170"/>
      <c r="K386" s="2583"/>
      <c r="L386" s="51"/>
      <c r="M386" s="98"/>
      <c r="N386" s="1104"/>
      <c r="O386" s="449"/>
      <c r="P386" s="2842"/>
      <c r="Q386" s="137">
        <v>0</v>
      </c>
      <c r="R386" s="137">
        <v>0</v>
      </c>
      <c r="S386" s="137">
        <v>0</v>
      </c>
      <c r="T386" s="137">
        <v>0</v>
      </c>
      <c r="U386" s="137">
        <v>0</v>
      </c>
      <c r="V386" s="137">
        <v>0</v>
      </c>
      <c r="W386" s="141">
        <v>0</v>
      </c>
      <c r="X386" s="141">
        <v>0</v>
      </c>
      <c r="Y386" s="141">
        <v>0</v>
      </c>
      <c r="Z386" s="141">
        <v>0</v>
      </c>
      <c r="AA386" s="141">
        <v>0</v>
      </c>
      <c r="AB386" s="141">
        <v>0</v>
      </c>
      <c r="AC386" s="141">
        <f>'[26]מאזן בוחן EUROPE'!AC399</f>
        <v>0</v>
      </c>
      <c r="AD386" s="141">
        <f>'[27]מאזן בוחן EUROPE'!AD397</f>
        <v>0</v>
      </c>
      <c r="AE386" s="141">
        <f>'[28]מאזן בוחן EUROPE'!AE405</f>
        <v>0</v>
      </c>
      <c r="AF386" s="141">
        <f>'[29]מאזן בוחן EUROPE'!AF401</f>
        <v>0</v>
      </c>
      <c r="AG386" s="141">
        <f>'[30]מאזן בוחן EUROPE'!AG405</f>
        <v>0</v>
      </c>
      <c r="AH386" s="141">
        <f>'[31]מאזן בוחן EUROPE'!AH407</f>
        <v>0</v>
      </c>
      <c r="AI386" s="141">
        <v>0</v>
      </c>
      <c r="AJ386" s="141">
        <v>0</v>
      </c>
      <c r="AK386" s="141">
        <v>0</v>
      </c>
      <c r="AL386" s="141">
        <v>0</v>
      </c>
      <c r="AM386" s="141">
        <v>0</v>
      </c>
      <c r="AN386" s="141">
        <f>$K386-SUM($AC386:AM386)</f>
        <v>0</v>
      </c>
      <c r="AO386" s="141"/>
      <c r="AP386" s="141"/>
      <c r="AQ386" s="141"/>
      <c r="AR386" s="141"/>
      <c r="AS386" s="141"/>
      <c r="AT386" s="141"/>
      <c r="AU386" s="141"/>
      <c r="AV386" s="141"/>
      <c r="AW386" s="141"/>
      <c r="AX386" s="141"/>
      <c r="AY386" s="141"/>
      <c r="BE386" s="63"/>
    </row>
    <row r="387" spans="1:57">
      <c r="A387" s="52"/>
      <c r="B387" s="3668"/>
      <c r="C387" s="1160"/>
      <c r="D387" s="1950"/>
      <c r="E387" s="3313">
        <f t="shared" ref="E387:K387" si="90">SUM(E383:E386)</f>
        <v>27219.1</v>
      </c>
      <c r="F387" s="3310">
        <f t="shared" si="90"/>
        <v>0</v>
      </c>
      <c r="G387" s="1206">
        <f t="shared" si="90"/>
        <v>0</v>
      </c>
      <c r="H387" s="1206">
        <f t="shared" si="90"/>
        <v>0</v>
      </c>
      <c r="I387" s="1206">
        <f t="shared" si="90"/>
        <v>0</v>
      </c>
      <c r="J387" s="1351">
        <f t="shared" si="90"/>
        <v>27219.1</v>
      </c>
      <c r="K387" s="1351">
        <f t="shared" si="90"/>
        <v>37640.14</v>
      </c>
      <c r="L387" s="336"/>
      <c r="M387" s="1351">
        <f>SUM(M383:M386)</f>
        <v>37640.14</v>
      </c>
      <c r="N387" s="1104"/>
      <c r="O387" s="449"/>
      <c r="P387" s="2842"/>
      <c r="Q387" s="137">
        <v>3068.9300000000003</v>
      </c>
      <c r="R387" s="137">
        <v>3656.6499999999996</v>
      </c>
      <c r="S387" s="137">
        <v>4036.67</v>
      </c>
      <c r="T387" s="137">
        <v>4373.7599999999984</v>
      </c>
      <c r="U387" s="137">
        <v>2740.3199999999997</v>
      </c>
      <c r="V387" s="137">
        <v>7338.5700000000015</v>
      </c>
      <c r="W387" s="141">
        <v>3756.2299999999977</v>
      </c>
      <c r="X387" s="141">
        <v>2678.8920761451573</v>
      </c>
      <c r="Y387" s="141">
        <v>1819.0279238548392</v>
      </c>
      <c r="Z387" s="141">
        <v>3015.2289557763506</v>
      </c>
      <c r="AA387" s="141">
        <v>560.8695730426698</v>
      </c>
      <c r="AB387" s="141">
        <v>-784.3</v>
      </c>
      <c r="AC387" s="141">
        <f>'[26]מאזן בוחן EUROPE'!AC400</f>
        <v>473.21</v>
      </c>
      <c r="AD387" s="141">
        <f>'[27]מאזן בוחן EUROPE'!AD398</f>
        <v>4053.0338617886182</v>
      </c>
      <c r="AE387" s="141">
        <f>'[28]מאזן בוחן EUROPE'!AE406</f>
        <v>2163.1361382113819</v>
      </c>
      <c r="AF387" s="141">
        <f>'[29]מאזן בוחן EUROPE'!AF402</f>
        <v>3238.1416179037051</v>
      </c>
      <c r="AG387" s="141">
        <f>'[30]מאזן בוחן EUROPE'!AG406</f>
        <v>2514.9419131957948</v>
      </c>
      <c r="AH387" s="141">
        <f>'[31]מאזן בוחן EUROPE'!AH408</f>
        <v>2121.3764689005002</v>
      </c>
      <c r="AI387" s="141">
        <v>2445.7747046087243</v>
      </c>
      <c r="AJ387" s="141">
        <v>2394.0217874399204</v>
      </c>
      <c r="AK387" s="141">
        <v>8712.7135079513573</v>
      </c>
      <c r="AL387" s="141">
        <v>3089.7499683343885</v>
      </c>
      <c r="AM387" s="141">
        <v>4386.2884314125986</v>
      </c>
      <c r="AN387" s="141">
        <f>$K387-SUM($AC387:AM387)</f>
        <v>2047.7516002530101</v>
      </c>
      <c r="AO387" s="141"/>
      <c r="AP387" s="141"/>
      <c r="AQ387" s="141"/>
      <c r="AR387" s="141"/>
      <c r="AS387" s="141"/>
      <c r="AT387" s="141"/>
      <c r="AU387" s="141"/>
      <c r="AV387" s="141"/>
      <c r="AW387" s="141"/>
      <c r="AX387" s="141"/>
      <c r="AY387" s="141"/>
      <c r="BE387" s="63"/>
    </row>
    <row r="388" spans="1:57">
      <c r="A388" s="52"/>
      <c r="B388" s="3668"/>
      <c r="C388" s="178"/>
      <c r="D388" s="50" t="s">
        <v>93</v>
      </c>
      <c r="E388" s="429"/>
      <c r="F388" s="3311"/>
      <c r="G388" s="517"/>
      <c r="H388" s="518"/>
      <c r="I388" s="517"/>
      <c r="J388" s="440"/>
      <c r="K388" s="439"/>
      <c r="L388" s="51"/>
      <c r="M388" s="439"/>
      <c r="N388" s="1104"/>
      <c r="O388" s="434"/>
      <c r="P388" s="401"/>
      <c r="Q388" s="137">
        <v>0</v>
      </c>
      <c r="R388" s="137">
        <v>0</v>
      </c>
      <c r="S388" s="137">
        <v>0</v>
      </c>
      <c r="T388" s="137">
        <v>0</v>
      </c>
      <c r="U388" s="137">
        <v>0</v>
      </c>
      <c r="V388" s="137">
        <v>0</v>
      </c>
      <c r="W388" s="141">
        <v>0</v>
      </c>
      <c r="X388" s="141">
        <v>0</v>
      </c>
      <c r="Y388" s="141">
        <v>0</v>
      </c>
      <c r="Z388" s="141">
        <v>0</v>
      </c>
      <c r="AA388" s="141">
        <v>0</v>
      </c>
      <c r="AB388" s="141">
        <v>0</v>
      </c>
      <c r="AC388" s="141">
        <f>'[26]מאזן בוחן EUROPE'!AC401</f>
        <v>0</v>
      </c>
      <c r="AD388" s="141">
        <f>'[27]מאזן בוחן EUROPE'!AD399</f>
        <v>0</v>
      </c>
      <c r="AE388" s="141">
        <f>'[28]מאזן בוחן EUROPE'!AE407</f>
        <v>0</v>
      </c>
      <c r="AF388" s="141">
        <f>'[29]מאזן בוחן EUROPE'!AF403</f>
        <v>0</v>
      </c>
      <c r="AG388" s="141">
        <f>'[30]מאזן בוחן EUROPE'!AG407</f>
        <v>0</v>
      </c>
      <c r="AH388" s="141">
        <f>'[31]מאזן בוחן EUROPE'!AH409</f>
        <v>0</v>
      </c>
      <c r="AI388" s="141">
        <v>0</v>
      </c>
      <c r="AJ388" s="141">
        <v>0</v>
      </c>
      <c r="AK388" s="141">
        <v>0</v>
      </c>
      <c r="AL388" s="141">
        <v>0</v>
      </c>
      <c r="AM388" s="141">
        <v>0</v>
      </c>
      <c r="AN388" s="141">
        <f>$K388-SUM($AC388:AM388)</f>
        <v>0</v>
      </c>
      <c r="AO388" s="141"/>
      <c r="AP388" s="141"/>
      <c r="AQ388" s="141"/>
      <c r="AR388" s="141"/>
      <c r="AS388" s="141"/>
      <c r="AT388" s="141"/>
      <c r="AU388" s="141"/>
      <c r="AV388" s="141"/>
      <c r="AW388" s="141"/>
      <c r="AX388" s="141"/>
      <c r="AY388" s="141"/>
      <c r="BE388" s="63"/>
    </row>
    <row r="389" spans="1:57">
      <c r="A389" s="52"/>
      <c r="B389" s="3659" t="s">
        <v>766</v>
      </c>
      <c r="C389" s="585">
        <v>8030001</v>
      </c>
      <c r="D389" s="45" t="s">
        <v>410</v>
      </c>
      <c r="E389" s="439">
        <f>IFERROR(VLOOKUP(C389,'פ.נ. EUROPE'!$D$164:$F$453,3,0),0)</f>
        <v>-15564</v>
      </c>
      <c r="F389" s="518">
        <f>SUMIF('פ.נ. EUROPE'!C:C,C:C,'פ.נ. EUROPE'!H:H)</f>
        <v>0</v>
      </c>
      <c r="G389" s="517"/>
      <c r="H389" s="2141"/>
      <c r="I389" s="3027"/>
      <c r="J389" s="474">
        <f t="shared" ref="J389:J397" si="91">SUM(E389:I389)</f>
        <v>-15564</v>
      </c>
      <c r="K389" s="474">
        <f>M389+SUMIF('פ.נ. EUROPE'!C:C,'מאזן בוחן EUROPE'!C389,'פ.נ. EUROPE'!I:I)</f>
        <v>-20770.57</v>
      </c>
      <c r="L389" s="518"/>
      <c r="M389" s="98">
        <f>IFERROR(VLOOKUP(C389,'פ.נ. EUROPE'!$D$164:$H$424,4,0),0)</f>
        <v>-20770.57</v>
      </c>
      <c r="N389" s="1104">
        <f t="shared" ref="N389:N397" si="92">IF(K389=0,"-",J389/K389)</f>
        <v>0.7493294599040855</v>
      </c>
      <c r="O389" s="434"/>
      <c r="P389" s="2843"/>
      <c r="Q389" s="137">
        <v>7441.72</v>
      </c>
      <c r="R389" s="137">
        <v>7619.28</v>
      </c>
      <c r="S389" s="137">
        <v>7587.05</v>
      </c>
      <c r="T389" s="137">
        <v>7437.0300000000016</v>
      </c>
      <c r="U389" s="137">
        <v>7145.5099999999957</v>
      </c>
      <c r="V389" s="137">
        <v>5053.7700000000032</v>
      </c>
      <c r="W389" s="141">
        <v>7155.4699999999984</v>
      </c>
      <c r="X389" s="141">
        <v>7088.12</v>
      </c>
      <c r="Y389" s="141">
        <v>7577.9900000000061</v>
      </c>
      <c r="Z389" s="141">
        <v>7771.7099999999846</v>
      </c>
      <c r="AA389" s="141">
        <v>7408.5800000000017</v>
      </c>
      <c r="AB389" s="141">
        <v>0</v>
      </c>
      <c r="AC389" s="141">
        <f>'[26]מאזן בוחן EUROPE'!AC402</f>
        <v>0</v>
      </c>
      <c r="AD389" s="141">
        <f>'[27]מאזן בוחן EUROPE'!AD400</f>
        <v>0</v>
      </c>
      <c r="AE389" s="141">
        <f>'[28]מאזן בוחן EUROPE'!AE408</f>
        <v>0</v>
      </c>
      <c r="AF389" s="141">
        <f>'[29]מאזן בוחן EUROPE'!AF404</f>
        <v>0</v>
      </c>
      <c r="AG389" s="141">
        <f>'[30]מאזן בוחן EUROPE'!AG408</f>
        <v>0</v>
      </c>
      <c r="AH389" s="141">
        <f>'[31]מאזן בוחן EUROPE'!AH410</f>
        <v>0</v>
      </c>
      <c r="AI389" s="141">
        <v>0</v>
      </c>
      <c r="AJ389" s="141">
        <v>0</v>
      </c>
      <c r="AK389" s="141">
        <v>0</v>
      </c>
      <c r="AL389" s="141">
        <v>0</v>
      </c>
      <c r="AM389" s="141">
        <v>-20770.57</v>
      </c>
      <c r="AN389" s="141">
        <f>$K389-SUM($AC389:AM389)</f>
        <v>0</v>
      </c>
      <c r="AO389" s="141"/>
      <c r="AP389" s="141"/>
      <c r="AQ389" s="141"/>
      <c r="AR389" s="141"/>
      <c r="AS389" s="141"/>
      <c r="AT389" s="141"/>
      <c r="AU389" s="141"/>
      <c r="AV389" s="141"/>
      <c r="AW389" s="141"/>
      <c r="AX389" s="141"/>
      <c r="AY389" s="141" t="s">
        <v>3050</v>
      </c>
      <c r="BD389" s="63"/>
    </row>
    <row r="390" spans="1:57">
      <c r="A390" s="52"/>
      <c r="B390" s="3659" t="s">
        <v>766</v>
      </c>
      <c r="C390" s="585">
        <v>8030006</v>
      </c>
      <c r="D390" s="45" t="s">
        <v>767</v>
      </c>
      <c r="E390" s="439">
        <f>IFERROR(VLOOKUP(C390,'פ.נ. EUROPE'!$D$164:$F$453,3,0),0)</f>
        <v>4321.54</v>
      </c>
      <c r="F390" s="518">
        <f>SUMIF('פ.נ. EUROPE'!C:C,C:C,'פ.נ. EUROPE'!E:E)</f>
        <v>0</v>
      </c>
      <c r="G390" s="3027"/>
      <c r="H390" s="2141"/>
      <c r="I390" s="3027"/>
      <c r="J390" s="474">
        <f t="shared" si="91"/>
        <v>4321.54</v>
      </c>
      <c r="K390" s="474">
        <f>M390+SUMIF('פ.נ. EUROPE'!C:C,'מאזן בוחן EUROPE'!C390,'פ.נ. EUROPE'!F:F)</f>
        <v>5953.28</v>
      </c>
      <c r="L390" s="51"/>
      <c r="M390" s="98">
        <f>IFERROR(VLOOKUP(C390,'פ.נ. EUROPE'!$D$164:$H$424,4,0),0)</f>
        <v>5953.28</v>
      </c>
      <c r="N390" s="1104">
        <f t="shared" si="92"/>
        <v>0.72590907869275423</v>
      </c>
      <c r="O390" s="434"/>
      <c r="P390" s="1133"/>
      <c r="Q390" s="137">
        <v>0</v>
      </c>
      <c r="R390" s="137">
        <v>0</v>
      </c>
      <c r="S390" s="137">
        <v>12.22</v>
      </c>
      <c r="T390" s="137">
        <v>0</v>
      </c>
      <c r="U390" s="137">
        <v>1.5199999999999996</v>
      </c>
      <c r="V390" s="137">
        <v>1.7799999999999994</v>
      </c>
      <c r="W390" s="141">
        <v>1.0199999999999996</v>
      </c>
      <c r="X390" s="141">
        <v>1.0399999999999991</v>
      </c>
      <c r="Y390" s="141">
        <v>1.5500000000000007</v>
      </c>
      <c r="Z390" s="141">
        <v>0</v>
      </c>
      <c r="AA390" s="141">
        <v>109.82</v>
      </c>
      <c r="AB390" s="141">
        <v>1231.2027950310585</v>
      </c>
      <c r="AC390" s="141">
        <f>'[26]מאזן בוחן EUROPE'!AC403</f>
        <v>110.88</v>
      </c>
      <c r="AD390" s="141">
        <f>'[27]מאזן בוחן EUROPE'!AD401</f>
        <v>135.24</v>
      </c>
      <c r="AE390" s="141">
        <f>'[28]מאזן בוחן EUROPE'!AE409</f>
        <v>135.67000000000002</v>
      </c>
      <c r="AF390" s="141">
        <f>'[29]מאזן בוחן EUROPE'!AF405</f>
        <v>140.57</v>
      </c>
      <c r="AG390" s="141">
        <f>'[30]מאזן בוחן EUROPE'!AG409</f>
        <v>136.44999999999993</v>
      </c>
      <c r="AH390" s="141">
        <f>'[31]מאזן בוחן EUROPE'!AH411</f>
        <v>136.72000000000003</v>
      </c>
      <c r="AI390" s="141">
        <v>140.42000000000007</v>
      </c>
      <c r="AJ390" s="141">
        <v>136.64999999999986</v>
      </c>
      <c r="AK390" s="141">
        <v>212.59000000000015</v>
      </c>
      <c r="AL390" s="141">
        <v>1818.23</v>
      </c>
      <c r="AM390" s="141">
        <v>2671.17</v>
      </c>
      <c r="AN390" s="141">
        <f>$K390-SUM($AC390:AM390)</f>
        <v>178.6899999999996</v>
      </c>
      <c r="AO390" s="141"/>
      <c r="AP390" s="141"/>
      <c r="AQ390" s="141"/>
      <c r="AR390" s="141"/>
      <c r="AS390" s="141"/>
      <c r="AT390" s="141"/>
      <c r="AU390" s="141"/>
      <c r="AV390" s="141"/>
      <c r="AW390" s="141"/>
      <c r="AX390" s="141"/>
      <c r="AY390" s="141"/>
      <c r="BE390" s="63"/>
    </row>
    <row r="391" spans="1:57">
      <c r="A391" s="52"/>
      <c r="B391" s="3659" t="s">
        <v>766</v>
      </c>
      <c r="C391" s="585">
        <v>8030020</v>
      </c>
      <c r="D391" s="45" t="s">
        <v>481</v>
      </c>
      <c r="E391" s="439">
        <f>IFERROR(VLOOKUP(C391,'פ.נ. EUROPE'!$D$164:$F$453,3,0),0)</f>
        <v>4691</v>
      </c>
      <c r="F391" s="518">
        <f>SUMIF('פ.נ. EUROPE'!C:C,C:C,'פ.נ. EUROPE'!E:E)</f>
        <v>0</v>
      </c>
      <c r="G391" s="3027"/>
      <c r="H391" s="2141"/>
      <c r="I391" s="3027"/>
      <c r="J391" s="474">
        <f t="shared" si="91"/>
        <v>4691</v>
      </c>
      <c r="K391" s="474">
        <f>M391+SUMIF('פ.נ. EUROPE'!C:C,'מאזן בוחן EUROPE'!C391,'פ.נ. EUROPE'!F:F)</f>
        <v>6433.08</v>
      </c>
      <c r="L391" s="51"/>
      <c r="M391" s="98">
        <f>IFERROR(VLOOKUP(C391,'פ.נ. EUROPE'!$D$164:$H$424,4,0),0)</f>
        <v>6433.08</v>
      </c>
      <c r="N391" s="1104">
        <f t="shared" si="92"/>
        <v>0.72919969905550686</v>
      </c>
      <c r="O391" s="434"/>
      <c r="P391" s="1133"/>
      <c r="W391" s="141"/>
      <c r="X391" s="141"/>
      <c r="Y391" s="141">
        <v>0</v>
      </c>
      <c r="Z391" s="141">
        <v>143.57</v>
      </c>
      <c r="AA391" s="141">
        <v>0</v>
      </c>
      <c r="AB391" s="141">
        <v>0</v>
      </c>
      <c r="AC391" s="141">
        <f>'[26]מאזן בוחן EUROPE'!AC404</f>
        <v>0</v>
      </c>
      <c r="AD391" s="141">
        <f>'[27]מאזן בוחן EUROPE'!AD402</f>
        <v>0</v>
      </c>
      <c r="AE391" s="141">
        <f>'[28]מאזן בוחן EUROPE'!AE410</f>
        <v>515.91999999999996</v>
      </c>
      <c r="AF391" s="141">
        <f>'[29]מאזן בוחן EUROPE'!AF406</f>
        <v>0</v>
      </c>
      <c r="AG391" s="141">
        <f>'[30]מאזן בוחן EUROPE'!AG410</f>
        <v>0</v>
      </c>
      <c r="AH391" s="141">
        <f>'[31]מאזן בוחן EUROPE'!AH412</f>
        <v>903.54000000000008</v>
      </c>
      <c r="AI391" s="141">
        <v>0</v>
      </c>
      <c r="AJ391" s="141">
        <v>0</v>
      </c>
      <c r="AK391" s="141">
        <v>1443</v>
      </c>
      <c r="AL391" s="141">
        <v>0</v>
      </c>
      <c r="AM391" s="141">
        <v>0</v>
      </c>
      <c r="AN391" s="141">
        <f>$K391-SUM($AC391:AM391)</f>
        <v>3570.62</v>
      </c>
      <c r="AO391" s="141"/>
      <c r="AP391" s="141"/>
      <c r="AQ391" s="141"/>
      <c r="AR391" s="141"/>
      <c r="AS391" s="141"/>
      <c r="AT391" s="141"/>
      <c r="AU391" s="141"/>
      <c r="AV391" s="141"/>
      <c r="AW391" s="141"/>
      <c r="AX391" s="141"/>
      <c r="AY391" s="141"/>
      <c r="BE391" s="63"/>
    </row>
    <row r="392" spans="1:57">
      <c r="A392" s="52"/>
      <c r="B392" s="3659" t="s">
        <v>1183</v>
      </c>
      <c r="C392" s="585">
        <v>8030002</v>
      </c>
      <c r="D392" s="45" t="s">
        <v>3171</v>
      </c>
      <c r="E392" s="439">
        <f>IFERROR(VLOOKUP(C392,'פ.נ. EUROPE'!$D$164:$F$453,3,0),0)</f>
        <v>2779.96</v>
      </c>
      <c r="F392" s="518">
        <f>SUMIF('פ.נ. EUROPE'!C:C,C:C,'פ.נ. EUROPE'!E:E)</f>
        <v>0</v>
      </c>
      <c r="G392" s="3027"/>
      <c r="H392" s="2141"/>
      <c r="I392" s="3027"/>
      <c r="J392" s="474">
        <f>SUM(E392:I392)</f>
        <v>2779.96</v>
      </c>
      <c r="K392" s="474">
        <f>M392+SUMIF('פ.נ. EUROPE'!C:C,'מאזן בוחן EUROPE'!C392,'פ.נ. EUROPE'!F:F)</f>
        <v>3757.06</v>
      </c>
      <c r="L392" s="51"/>
      <c r="M392" s="98">
        <f>IFERROR(VLOOKUP(C392,'פ.נ. EUROPE'!$D$164:$H$424,4,0),0)</f>
        <v>3757.06</v>
      </c>
      <c r="N392" s="1104">
        <f>IF(K392=0,"-",J392/K392)</f>
        <v>0.73992962582444788</v>
      </c>
      <c r="O392" s="434"/>
      <c r="P392" s="1133"/>
      <c r="W392" s="141"/>
      <c r="X392" s="141"/>
      <c r="Y392" s="141"/>
      <c r="Z392" s="141"/>
      <c r="AA392" s="141"/>
      <c r="AB392" s="141">
        <v>0</v>
      </c>
      <c r="AC392" s="141">
        <f>'[26]מאזן בוחן EUROPE'!AC405</f>
        <v>0</v>
      </c>
      <c r="AD392" s="141">
        <f>'[27]מאזן בוחן EUROPE'!AD403</f>
        <v>0</v>
      </c>
      <c r="AE392" s="141">
        <f>'[28]מאזן בוחן EUROPE'!AE411</f>
        <v>0</v>
      </c>
      <c r="AF392" s="141">
        <f>'[29]מאזן בוחן EUROPE'!AF407</f>
        <v>0</v>
      </c>
      <c r="AG392" s="141">
        <f>'[30]מאזן בוחן EUROPE'!AG411</f>
        <v>0</v>
      </c>
      <c r="AH392" s="141">
        <f>'[31]מאזן בוחן EUROPE'!AH413</f>
        <v>0</v>
      </c>
      <c r="AI392" s="141">
        <v>0</v>
      </c>
      <c r="AJ392" s="141">
        <v>0</v>
      </c>
      <c r="AK392" s="141">
        <v>0</v>
      </c>
      <c r="AL392" s="141">
        <v>0</v>
      </c>
      <c r="AM392" s="141">
        <v>0</v>
      </c>
      <c r="AN392" s="141">
        <f>$K392-SUM($AC392:AM392)</f>
        <v>3757.06</v>
      </c>
      <c r="AO392" s="141"/>
      <c r="AP392" s="141"/>
      <c r="AQ392" s="141"/>
      <c r="AR392" s="141"/>
      <c r="AS392" s="141"/>
      <c r="AT392" s="141"/>
      <c r="AU392" s="141"/>
      <c r="AV392" s="141"/>
      <c r="AW392" s="141"/>
      <c r="AX392" s="141"/>
      <c r="AY392" s="141"/>
      <c r="BE392" s="63"/>
    </row>
    <row r="393" spans="1:57">
      <c r="A393" s="52"/>
      <c r="B393" s="3659" t="s">
        <v>766</v>
      </c>
      <c r="C393" s="585">
        <v>8030024</v>
      </c>
      <c r="D393" s="45" t="s">
        <v>768</v>
      </c>
      <c r="E393" s="439">
        <f>IFERROR(VLOOKUP(C393,'פ.נ. EUROPE'!$D$164:$F$453,3,0),0)</f>
        <v>0</v>
      </c>
      <c r="F393" s="518">
        <f>SUMIF('פ.נ. EUROPE'!C:C,C:C,'פ.נ. EUROPE'!E:E)</f>
        <v>0</v>
      </c>
      <c r="G393" s="517"/>
      <c r="H393" s="518"/>
      <c r="I393" s="517"/>
      <c r="J393" s="474">
        <f t="shared" si="91"/>
        <v>0</v>
      </c>
      <c r="K393" s="474">
        <f>M393+SUMIF('פ.נ. EUROPE'!C:C,'מאזן בוחן EUROPE'!C393,'פ.נ. EUROPE'!F:F)</f>
        <v>0</v>
      </c>
      <c r="L393" s="51"/>
      <c r="M393" s="98">
        <f>IFERROR(VLOOKUP(C393,'פ.נ. EUROPE'!$D$164:$H$424,4,0),0)</f>
        <v>0</v>
      </c>
      <c r="N393" s="1104" t="str">
        <f t="shared" si="92"/>
        <v>-</v>
      </c>
      <c r="O393" s="434"/>
      <c r="P393" s="1133"/>
      <c r="Q393" s="137">
        <v>0</v>
      </c>
      <c r="R393" s="137">
        <v>0</v>
      </c>
      <c r="S393" s="137">
        <v>0</v>
      </c>
      <c r="T393" s="137">
        <v>0</v>
      </c>
      <c r="U393" s="137">
        <v>0</v>
      </c>
      <c r="V393" s="137">
        <v>0</v>
      </c>
      <c r="W393" s="141">
        <v>0</v>
      </c>
      <c r="X393" s="141">
        <v>0</v>
      </c>
      <c r="Y393" s="141">
        <v>0</v>
      </c>
      <c r="Z393" s="141">
        <v>0</v>
      </c>
      <c r="AA393" s="141">
        <v>0</v>
      </c>
      <c r="AB393" s="141">
        <v>0</v>
      </c>
      <c r="AC393" s="141">
        <f>'[26]מאזן בוחן EUROPE'!AC406</f>
        <v>0</v>
      </c>
      <c r="AD393" s="141">
        <f>'[27]מאזן בוחן EUROPE'!AD404</f>
        <v>0</v>
      </c>
      <c r="AE393" s="141">
        <f>'[28]מאזן בוחן EUROPE'!AE412</f>
        <v>0</v>
      </c>
      <c r="AF393" s="141">
        <f>'[29]מאזן בוחן EUROPE'!AF408</f>
        <v>0</v>
      </c>
      <c r="AG393" s="141">
        <f>'[30]מאזן בוחן EUROPE'!AG412</f>
        <v>0</v>
      </c>
      <c r="AH393" s="141">
        <f>'[31]מאזן בוחן EUROPE'!AH414</f>
        <v>0</v>
      </c>
      <c r="AI393" s="141">
        <v>0</v>
      </c>
      <c r="AJ393" s="141">
        <v>0</v>
      </c>
      <c r="AK393" s="141">
        <v>0</v>
      </c>
      <c r="AL393" s="141">
        <v>0</v>
      </c>
      <c r="AM393" s="141">
        <v>0</v>
      </c>
      <c r="AN393" s="141">
        <f>$K393-SUM($AC393:AM393)</f>
        <v>0</v>
      </c>
      <c r="AO393" s="141"/>
      <c r="AP393" s="141"/>
      <c r="AQ393" s="141"/>
      <c r="AR393" s="141"/>
      <c r="AS393" s="141"/>
      <c r="AT393" s="141"/>
      <c r="AU393" s="141"/>
      <c r="AV393" s="141"/>
      <c r="AW393" s="141"/>
      <c r="AX393" s="141"/>
      <c r="AY393" s="141"/>
      <c r="BE393" s="63"/>
    </row>
    <row r="394" spans="1:57">
      <c r="A394" s="52"/>
      <c r="B394" s="3659" t="s">
        <v>766</v>
      </c>
      <c r="C394" s="585">
        <v>8030100</v>
      </c>
      <c r="D394" s="45" t="s">
        <v>1390</v>
      </c>
      <c r="E394" s="439">
        <f>IFERROR(VLOOKUP(C394,'פ.נ. EUROPE'!$D$164:$F$453,3,0),0)</f>
        <v>0</v>
      </c>
      <c r="F394" s="518">
        <f>SUMIF('פ.נ. EUROPE'!C:C,C:C,'פ.נ. EUROPE'!E:E)</f>
        <v>0</v>
      </c>
      <c r="G394" s="517"/>
      <c r="H394" s="518"/>
      <c r="I394" s="517"/>
      <c r="J394" s="474">
        <f t="shared" si="91"/>
        <v>0</v>
      </c>
      <c r="K394" s="474">
        <f>M394+SUMIF('פ.נ. EUROPE'!C:C,'מאזן בוחן EUROPE'!C394,'פ.נ. EUROPE'!F:F)</f>
        <v>0</v>
      </c>
      <c r="L394" s="51"/>
      <c r="M394" s="98">
        <f>IFERROR(VLOOKUP(C394,'פ.נ. EUROPE'!$D$164:$H$424,4,0),0)</f>
        <v>0</v>
      </c>
      <c r="N394" s="1104" t="str">
        <f t="shared" si="92"/>
        <v>-</v>
      </c>
      <c r="O394" s="434"/>
      <c r="P394" s="1133"/>
      <c r="Q394" s="137">
        <v>0</v>
      </c>
      <c r="R394" s="137">
        <v>0</v>
      </c>
      <c r="S394" s="137">
        <v>0</v>
      </c>
      <c r="T394" s="137">
        <v>0</v>
      </c>
      <c r="U394" s="137">
        <v>0</v>
      </c>
      <c r="V394" s="137">
        <v>0</v>
      </c>
      <c r="W394" s="141">
        <v>0</v>
      </c>
      <c r="X394" s="141">
        <v>0</v>
      </c>
      <c r="Y394" s="141">
        <v>0</v>
      </c>
      <c r="Z394" s="141">
        <v>0</v>
      </c>
      <c r="AA394" s="141">
        <v>0</v>
      </c>
      <c r="AB394" s="141">
        <v>0</v>
      </c>
      <c r="AC394" s="141">
        <f>'[26]מאזן בוחן EUROPE'!AC407</f>
        <v>0</v>
      </c>
      <c r="AD394" s="141">
        <f>'[27]מאזן בוחן EUROPE'!AD405</f>
        <v>0</v>
      </c>
      <c r="AE394" s="141">
        <f>'[28]מאזן בוחן EUROPE'!AE413</f>
        <v>0</v>
      </c>
      <c r="AF394" s="141">
        <f>'[29]מאזן בוחן EUROPE'!AF409</f>
        <v>0</v>
      </c>
      <c r="AG394" s="141">
        <f>'[30]מאזן בוחן EUROPE'!AG413</f>
        <v>0</v>
      </c>
      <c r="AH394" s="141">
        <f>'[31]מאזן בוחן EUROPE'!AH415</f>
        <v>0</v>
      </c>
      <c r="AI394" s="141">
        <v>0</v>
      </c>
      <c r="AJ394" s="141">
        <v>0</v>
      </c>
      <c r="AK394" s="141">
        <v>0</v>
      </c>
      <c r="AL394" s="141">
        <v>0</v>
      </c>
      <c r="AM394" s="141">
        <v>0</v>
      </c>
      <c r="AN394" s="141">
        <f>$K394-SUM($AC394:AM394)</f>
        <v>0</v>
      </c>
      <c r="AO394" s="141"/>
      <c r="AP394" s="141"/>
      <c r="AQ394" s="141"/>
      <c r="AR394" s="141"/>
      <c r="AS394" s="141"/>
      <c r="AT394" s="141"/>
      <c r="AU394" s="141"/>
      <c r="AV394" s="141"/>
      <c r="AW394" s="141"/>
      <c r="AX394" s="141"/>
      <c r="AY394" s="141"/>
      <c r="BE394" s="63"/>
    </row>
    <row r="395" spans="1:57">
      <c r="A395" s="52"/>
      <c r="B395" s="3659" t="s">
        <v>766</v>
      </c>
      <c r="C395" s="585">
        <v>8030101</v>
      </c>
      <c r="D395" s="203" t="s">
        <v>4363</v>
      </c>
      <c r="E395" s="439">
        <f>IFERROR(VLOOKUP(C395,'פ.נ. EUROPE'!$D$164:$F$453,3,0),0)</f>
        <v>-80871.39</v>
      </c>
      <c r="F395" s="518">
        <f>SUMIF('פ.נ. EUROPE'!C:C,C:C,'פ.נ. EUROPE'!E:E)</f>
        <v>0</v>
      </c>
      <c r="G395" s="517"/>
      <c r="H395" s="518"/>
      <c r="I395" s="517"/>
      <c r="J395" s="474">
        <f t="shared" si="91"/>
        <v>-80871.39</v>
      </c>
      <c r="K395" s="474">
        <f>M395+SUMIF('פ.נ. EUROPE'!C:C,'מאזן בוחן EUROPE'!C395,'פ.נ. EUROPE'!F:F)</f>
        <v>-111514.43</v>
      </c>
      <c r="L395" s="51"/>
      <c r="M395" s="98">
        <f>IFERROR(VLOOKUP(C395,'פ.נ. EUROPE'!$D$164:$H$424,4,0),0)</f>
        <v>-111514.43</v>
      </c>
      <c r="N395" s="1104">
        <f t="shared" si="92"/>
        <v>0.7252100916446419</v>
      </c>
      <c r="O395" s="434"/>
      <c r="P395" s="1133"/>
      <c r="Q395" s="137">
        <v>0</v>
      </c>
      <c r="R395" s="137">
        <v>0</v>
      </c>
      <c r="S395" s="137">
        <v>0</v>
      </c>
      <c r="T395" s="137">
        <v>0</v>
      </c>
      <c r="U395" s="137">
        <v>0</v>
      </c>
      <c r="V395" s="137">
        <v>0</v>
      </c>
      <c r="W395" s="141">
        <v>0</v>
      </c>
      <c r="X395" s="141">
        <v>0</v>
      </c>
      <c r="Y395" s="141">
        <v>0</v>
      </c>
      <c r="Z395" s="141">
        <v>0</v>
      </c>
      <c r="AA395" s="141">
        <v>0</v>
      </c>
      <c r="AB395" s="141">
        <v>0</v>
      </c>
      <c r="AC395" s="141">
        <f>'[26]מאזן בוחן EUROPE'!AC408</f>
        <v>0</v>
      </c>
      <c r="AD395" s="141">
        <f>'[27]מאזן בוחן EUROPE'!AD406</f>
        <v>0</v>
      </c>
      <c r="AE395" s="141">
        <f>'[28]מאזן בוחן EUROPE'!AE414</f>
        <v>0</v>
      </c>
      <c r="AF395" s="141">
        <f>'[29]מאזן בוחן EUROPE'!AF410</f>
        <v>0</v>
      </c>
      <c r="AG395" s="141">
        <f>'[30]מאזן בוחן EUROPE'!AG414</f>
        <v>0</v>
      </c>
      <c r="AH395" s="141">
        <f>'[31]מאזן בוחן EUROPE'!AH416</f>
        <v>0</v>
      </c>
      <c r="AI395" s="141">
        <v>0</v>
      </c>
      <c r="AJ395" s="141">
        <v>0</v>
      </c>
      <c r="AK395" s="141">
        <v>0</v>
      </c>
      <c r="AL395" s="141">
        <v>-111514.43</v>
      </c>
      <c r="AM395" s="141">
        <v>0</v>
      </c>
      <c r="AN395" s="141">
        <f>$K395-SUM($AC395:AM395)</f>
        <v>0</v>
      </c>
      <c r="AO395" s="141"/>
      <c r="AP395" s="141"/>
      <c r="AQ395" s="141"/>
      <c r="AR395" s="141"/>
      <c r="AS395" s="141"/>
      <c r="AT395" s="141"/>
      <c r="AU395" s="141"/>
      <c r="AV395" s="141"/>
      <c r="AW395" s="141"/>
      <c r="AX395" s="141"/>
      <c r="AY395" s="141"/>
      <c r="BE395" s="63"/>
    </row>
    <row r="396" spans="1:57">
      <c r="A396" s="52"/>
      <c r="B396" s="3659" t="s">
        <v>766</v>
      </c>
      <c r="C396" s="585" t="s">
        <v>3048</v>
      </c>
      <c r="D396" s="203" t="s">
        <v>3047</v>
      </c>
      <c r="E396" s="439">
        <f>IFERROR(VLOOKUP(C396,'פ.נ. EUROPE'!$D$164:$F$453,3,0),0)</f>
        <v>0</v>
      </c>
      <c r="F396" s="518">
        <f>SUMIF('פ.נ. EUROPE'!C:C,C:C,'פ.נ. EUROPE'!E:E)</f>
        <v>0</v>
      </c>
      <c r="G396" s="3027"/>
      <c r="H396" s="2141"/>
      <c r="I396" s="3027"/>
      <c r="J396" s="521">
        <f>SUM(E396:I396)</f>
        <v>0</v>
      </c>
      <c r="K396" s="1213">
        <f>M396+SUMIF('פ.נ. EUROPE'!C:C,'מאזן בוחן EUROPE'!C396,'פ.נ. EUROPE'!F:F)</f>
        <v>0</v>
      </c>
      <c r="L396" s="51"/>
      <c r="M396" s="98">
        <f>IFERROR(VLOOKUP(C396,'פ.נ. EUROPE'!$D$164:$H$424,4,0),0)</f>
        <v>0</v>
      </c>
      <c r="N396" s="1104" t="str">
        <f>IF(K396=0,"-",J396/K396)</f>
        <v>-</v>
      </c>
      <c r="O396" s="434"/>
      <c r="P396" s="1133"/>
      <c r="W396" s="141"/>
      <c r="X396" s="141"/>
      <c r="Y396" s="141"/>
      <c r="Z396" s="141"/>
      <c r="AA396" s="141"/>
      <c r="AB396" s="141">
        <v>0</v>
      </c>
      <c r="AC396" s="141">
        <f>'[26]מאזן בוחן EUROPE'!AC409</f>
        <v>0</v>
      </c>
      <c r="AD396" s="141">
        <f>'[27]מאזן בוחן EUROPE'!AD407</f>
        <v>0</v>
      </c>
      <c r="AE396" s="141">
        <f>'[28]מאזן בוחן EUROPE'!AE415</f>
        <v>0</v>
      </c>
      <c r="AF396" s="141">
        <f>'[29]מאזן בוחן EUROPE'!AF411</f>
        <v>0</v>
      </c>
      <c r="AG396" s="141">
        <f>'[30]מאזן בוחן EUROPE'!AG415</f>
        <v>0</v>
      </c>
      <c r="AH396" s="141">
        <f>'[31]מאזן בוחן EUROPE'!AH417</f>
        <v>0</v>
      </c>
      <c r="AI396" s="141">
        <v>0</v>
      </c>
      <c r="AJ396" s="141">
        <v>0</v>
      </c>
      <c r="AK396" s="141">
        <v>0</v>
      </c>
      <c r="AL396" s="141">
        <v>0</v>
      </c>
      <c r="AM396" s="141">
        <v>0</v>
      </c>
      <c r="AN396" s="141">
        <f>$K396-SUM($AC396:AM396)</f>
        <v>0</v>
      </c>
      <c r="AO396" s="141"/>
      <c r="AP396" s="141"/>
      <c r="AQ396" s="141"/>
      <c r="AR396" s="141"/>
      <c r="AS396" s="141"/>
      <c r="AT396" s="141"/>
      <c r="AU396" s="141"/>
      <c r="AV396" s="141"/>
      <c r="AW396" s="141"/>
      <c r="AX396" s="141"/>
      <c r="AY396" s="141"/>
      <c r="BE396" s="63"/>
    </row>
    <row r="397" spans="1:57">
      <c r="A397" s="52"/>
      <c r="B397" s="3659" t="s">
        <v>766</v>
      </c>
      <c r="C397" s="3750">
        <v>93100</v>
      </c>
      <c r="D397" s="169" t="s">
        <v>186</v>
      </c>
      <c r="E397" s="439">
        <f>IFERROR(VLOOKUP(C397,'פ.נ. EUROPE'!$D$164:$F$453,3,0),0)</f>
        <v>0</v>
      </c>
      <c r="F397" s="976">
        <f>SUMIF('פ.נ. EUROPE'!C:C,C:C,'פ.נ. EUROPE'!E:E)</f>
        <v>0</v>
      </c>
      <c r="G397" s="1213"/>
      <c r="H397" s="976"/>
      <c r="I397" s="1213"/>
      <c r="J397" s="521">
        <f t="shared" si="91"/>
        <v>0</v>
      </c>
      <c r="K397" s="1213">
        <f>M397+SUMIF('פ.נ. EUROPE'!C:C,'מאזן בוחן EUROPE'!C397,'פ.נ. EUROPE'!F:F)</f>
        <v>0</v>
      </c>
      <c r="L397" s="51"/>
      <c r="M397" s="98">
        <f>IFERROR(VLOOKUP(C397,'פ.נ. EUROPE'!$D$164:$H$424,4,0),0)</f>
        <v>0</v>
      </c>
      <c r="N397" s="1104" t="str">
        <f t="shared" si="92"/>
        <v>-</v>
      </c>
      <c r="O397" s="1395"/>
      <c r="P397" s="1133"/>
      <c r="Q397" s="137">
        <v>-7441.7199999999993</v>
      </c>
      <c r="R397" s="137">
        <v>-7619.2800000000007</v>
      </c>
      <c r="S397" s="137">
        <v>-7599.27</v>
      </c>
      <c r="T397" s="137">
        <v>-7437.0300000000043</v>
      </c>
      <c r="U397" s="137">
        <v>-7147.0299999999897</v>
      </c>
      <c r="V397" s="137">
        <v>-5055.5500000000029</v>
      </c>
      <c r="W397" s="141">
        <v>-7156.4900000000071</v>
      </c>
      <c r="X397" s="141">
        <v>-7089.1599999999962</v>
      </c>
      <c r="Y397" s="141">
        <v>-7579.5399999999972</v>
      </c>
      <c r="Z397" s="141">
        <v>-7771.7100000000064</v>
      </c>
      <c r="AA397" s="141">
        <v>-7518.3999999999942</v>
      </c>
      <c r="AB397" s="141">
        <v>0</v>
      </c>
      <c r="AC397" s="141">
        <f>'[26]מאזן בוחן EUROPE'!AC410</f>
        <v>0</v>
      </c>
      <c r="AD397" s="141">
        <f>'[27]מאזן בוחן EUROPE'!AD408</f>
        <v>0</v>
      </c>
      <c r="AE397" s="141">
        <f>'[28]מאזן בוחן EUROPE'!AE416</f>
        <v>0</v>
      </c>
      <c r="AF397" s="141">
        <f>'[29]מאזן בוחן EUROPE'!AF412</f>
        <v>0</v>
      </c>
      <c r="AG397" s="141">
        <f>'[30]מאזן בוחן EUROPE'!AG416</f>
        <v>0</v>
      </c>
      <c r="AH397" s="141">
        <f>'[31]מאזן בוחן EUROPE'!AH418</f>
        <v>0</v>
      </c>
      <c r="AI397" s="141">
        <v>0</v>
      </c>
      <c r="AJ397" s="141">
        <v>0</v>
      </c>
      <c r="AK397" s="141">
        <v>0</v>
      </c>
      <c r="AL397" s="141">
        <v>0</v>
      </c>
      <c r="AM397" s="141">
        <v>0</v>
      </c>
      <c r="AN397" s="141">
        <f>$K397-SUM($AC397:AM397)</f>
        <v>0</v>
      </c>
      <c r="AO397" s="141"/>
      <c r="AP397" s="141"/>
      <c r="AQ397" s="141"/>
      <c r="AR397" s="141"/>
      <c r="AS397" s="141"/>
      <c r="AT397" s="141"/>
      <c r="AU397" s="141"/>
      <c r="AV397" s="141"/>
      <c r="AW397" s="141"/>
      <c r="AX397" s="141"/>
      <c r="AY397" s="141"/>
    </row>
    <row r="398" spans="1:57">
      <c r="A398" s="52"/>
      <c r="B398" s="3669"/>
      <c r="C398" s="156"/>
      <c r="D398" s="1136"/>
      <c r="F398" s="518"/>
      <c r="G398" s="517"/>
      <c r="H398" s="518"/>
      <c r="I398" s="517"/>
      <c r="J398" s="170"/>
      <c r="K398" s="187"/>
      <c r="L398" s="51"/>
      <c r="M398" s="187"/>
      <c r="N398" s="1104"/>
      <c r="O398" s="434"/>
      <c r="P398" s="1133"/>
      <c r="Q398" s="137">
        <v>0</v>
      </c>
      <c r="R398" s="137">
        <v>0</v>
      </c>
      <c r="S398" s="137">
        <v>0</v>
      </c>
      <c r="T398" s="137">
        <v>0</v>
      </c>
      <c r="U398" s="137">
        <v>0</v>
      </c>
      <c r="V398" s="137">
        <v>0</v>
      </c>
      <c r="W398" s="141">
        <v>0</v>
      </c>
      <c r="X398" s="141">
        <v>0</v>
      </c>
      <c r="Y398" s="141">
        <v>0</v>
      </c>
      <c r="Z398" s="141">
        <v>0</v>
      </c>
      <c r="AA398" s="141">
        <v>0</v>
      </c>
      <c r="AB398" s="141">
        <v>0</v>
      </c>
      <c r="AC398" s="141">
        <f>'[26]מאזן בוחן EUROPE'!AC411</f>
        <v>0</v>
      </c>
      <c r="AD398" s="141">
        <f>'[27]מאזן בוחן EUROPE'!AD409</f>
        <v>0</v>
      </c>
      <c r="AE398" s="141">
        <f>'[28]מאזן בוחן EUROPE'!AE417</f>
        <v>0</v>
      </c>
      <c r="AF398" s="141">
        <f>'[29]מאזן בוחן EUROPE'!AF413</f>
        <v>0</v>
      </c>
      <c r="AG398" s="141">
        <f>'[30]מאזן בוחן EUROPE'!AG417</f>
        <v>0</v>
      </c>
      <c r="AH398" s="141">
        <f>'[31]מאזן בוחן EUROPE'!AH419</f>
        <v>0</v>
      </c>
      <c r="AI398" s="141">
        <v>0</v>
      </c>
      <c r="AJ398" s="141">
        <v>0</v>
      </c>
      <c r="AK398" s="141">
        <v>0</v>
      </c>
      <c r="AL398" s="141">
        <v>0</v>
      </c>
      <c r="AM398" s="141">
        <v>0</v>
      </c>
      <c r="AN398" s="141">
        <f>$K398-SUM($AC398:AM398)</f>
        <v>0</v>
      </c>
      <c r="AO398" s="141"/>
      <c r="AP398" s="141"/>
      <c r="AQ398" s="141"/>
      <c r="AR398" s="141"/>
      <c r="AS398" s="141"/>
      <c r="AT398" s="141"/>
      <c r="AU398" s="141"/>
      <c r="AV398" s="141"/>
      <c r="AW398" s="141"/>
      <c r="AX398" s="141"/>
      <c r="AY398" s="141"/>
    </row>
    <row r="399" spans="1:57" ht="13.5" thickBot="1">
      <c r="A399" s="52"/>
      <c r="B399" s="3659"/>
      <c r="C399" s="156"/>
      <c r="D399" s="71" t="s">
        <v>319</v>
      </c>
      <c r="E399" s="3313">
        <f t="shared" ref="E399:M399" si="93">SUM(E389:E397)</f>
        <v>-84642.89</v>
      </c>
      <c r="F399" s="3306">
        <f t="shared" si="93"/>
        <v>0</v>
      </c>
      <c r="G399" s="1206">
        <f t="shared" si="93"/>
        <v>0</v>
      </c>
      <c r="H399" s="1206">
        <f t="shared" si="93"/>
        <v>0</v>
      </c>
      <c r="I399" s="1206">
        <f t="shared" si="93"/>
        <v>0</v>
      </c>
      <c r="J399" s="1351">
        <f t="shared" si="93"/>
        <v>-84642.89</v>
      </c>
      <c r="K399" s="1351">
        <f t="shared" si="93"/>
        <v>-116141.57999999999</v>
      </c>
      <c r="L399" s="336"/>
      <c r="M399" s="1351">
        <f t="shared" si="93"/>
        <v>-116141.57999999999</v>
      </c>
      <c r="N399" s="1104"/>
      <c r="O399" s="449"/>
      <c r="P399" s="1133"/>
      <c r="Q399" s="137">
        <v>0</v>
      </c>
      <c r="R399" s="137">
        <v>0</v>
      </c>
      <c r="S399" s="137">
        <v>0</v>
      </c>
      <c r="T399" s="137">
        <v>0</v>
      </c>
      <c r="U399" s="137">
        <v>0</v>
      </c>
      <c r="V399" s="137">
        <v>0</v>
      </c>
      <c r="W399" s="141">
        <v>0</v>
      </c>
      <c r="X399" s="141">
        <v>0</v>
      </c>
      <c r="Y399" s="141">
        <v>143.56999999999971</v>
      </c>
      <c r="Z399" s="141">
        <v>7.2759576141834259E-12</v>
      </c>
      <c r="AA399" s="141">
        <v>0</v>
      </c>
      <c r="AB399" s="141">
        <v>421.63000000000466</v>
      </c>
      <c r="AC399" s="141">
        <f>'[26]מאזן בוחן EUROPE'!AC412</f>
        <v>110.88</v>
      </c>
      <c r="AD399" s="141">
        <f>'[27]מאזן בוחן EUROPE'!AD410</f>
        <v>135.24</v>
      </c>
      <c r="AE399" s="141">
        <f>'[28]מאזן בוחן EUROPE'!AE418</f>
        <v>651.59</v>
      </c>
      <c r="AF399" s="141">
        <f>'[29]מאזן בוחן EUROPE'!AF414</f>
        <v>140.56999999999994</v>
      </c>
      <c r="AG399" s="141">
        <f>'[30]מאזן בוחן EUROPE'!AG418</f>
        <v>136.45000000000005</v>
      </c>
      <c r="AH399" s="141">
        <f>'[31]מאזן בוחן EUROPE'!AH420</f>
        <v>1040.2599999999998</v>
      </c>
      <c r="AI399" s="141">
        <v>140.42000000000007</v>
      </c>
      <c r="AJ399" s="141">
        <v>136.65000000000009</v>
      </c>
      <c r="AK399" s="141">
        <v>1655.5899999999997</v>
      </c>
      <c r="AL399" s="141">
        <v>-109696.19999999998</v>
      </c>
      <c r="AM399" s="141">
        <v>-18099.400000000009</v>
      </c>
      <c r="AN399" s="141">
        <f>$K399-SUM($AC399:AM399)</f>
        <v>7506.3700000000099</v>
      </c>
      <c r="AO399" s="141"/>
      <c r="AP399" s="141"/>
      <c r="AQ399" s="141"/>
      <c r="AR399" s="141"/>
      <c r="AS399" s="141"/>
      <c r="AT399" s="141"/>
      <c r="AU399" s="141"/>
      <c r="AV399" s="141"/>
      <c r="AW399" s="141"/>
      <c r="AX399" s="141"/>
      <c r="AY399" s="141"/>
      <c r="BE399" s="63"/>
    </row>
    <row r="400" spans="1:57">
      <c r="A400" s="52"/>
      <c r="B400" s="3659"/>
      <c r="C400" s="156"/>
      <c r="D400" s="45"/>
      <c r="E400" s="448"/>
      <c r="F400" s="518"/>
      <c r="G400" s="517"/>
      <c r="H400" s="518"/>
      <c r="I400" s="517"/>
      <c r="J400" s="170"/>
      <c r="K400" s="97"/>
      <c r="L400" s="51"/>
      <c r="M400" s="97"/>
      <c r="N400" s="1104"/>
      <c r="O400" s="434"/>
      <c r="P400" s="1133"/>
      <c r="Q400" s="137">
        <v>0</v>
      </c>
      <c r="R400" s="137">
        <v>0</v>
      </c>
      <c r="S400" s="137">
        <v>0</v>
      </c>
      <c r="T400" s="137">
        <v>0</v>
      </c>
      <c r="U400" s="137">
        <v>0</v>
      </c>
      <c r="V400" s="137">
        <v>0</v>
      </c>
      <c r="W400" s="141">
        <v>0</v>
      </c>
      <c r="X400" s="141">
        <v>0</v>
      </c>
      <c r="Y400" s="141">
        <v>0</v>
      </c>
      <c r="Z400" s="141">
        <v>0</v>
      </c>
      <c r="AA400" s="141">
        <v>0</v>
      </c>
      <c r="AB400" s="141">
        <v>0</v>
      </c>
      <c r="AC400" s="141">
        <f>'[26]מאזן בוחן EUROPE'!AC413</f>
        <v>0</v>
      </c>
      <c r="AD400" s="141">
        <f>'[27]מאזן בוחן EUROPE'!AD411</f>
        <v>0</v>
      </c>
      <c r="AE400" s="141">
        <f>'[28]מאזן בוחן EUROPE'!AE419</f>
        <v>0</v>
      </c>
      <c r="AF400" s="141">
        <f>'[29]מאזן בוחן EUROPE'!AF415</f>
        <v>0</v>
      </c>
      <c r="AG400" s="141">
        <f>'[30]מאזן בוחן EUROPE'!AG419</f>
        <v>0</v>
      </c>
      <c r="AH400" s="141">
        <f>'[31]מאזן בוחן EUROPE'!AH421</f>
        <v>0</v>
      </c>
      <c r="AI400" s="141">
        <v>0</v>
      </c>
      <c r="AJ400" s="141">
        <v>0</v>
      </c>
      <c r="AK400" s="141">
        <v>0</v>
      </c>
      <c r="AL400" s="141">
        <v>0</v>
      </c>
      <c r="AM400" s="141">
        <v>0</v>
      </c>
      <c r="AN400" s="141">
        <f>$K400-SUM($AC400:AM400)</f>
        <v>0</v>
      </c>
      <c r="AO400" s="141"/>
      <c r="AP400" s="141"/>
      <c r="AQ400" s="141"/>
      <c r="AR400" s="141"/>
      <c r="AS400" s="141"/>
      <c r="AT400" s="141"/>
      <c r="AU400" s="141"/>
      <c r="AV400" s="141"/>
      <c r="AW400" s="141"/>
      <c r="AX400" s="141"/>
      <c r="AY400" s="141"/>
      <c r="BE400" s="63"/>
    </row>
    <row r="401" spans="1:57">
      <c r="A401" s="52"/>
      <c r="B401" s="3659"/>
      <c r="C401" s="156"/>
      <c r="D401" s="72"/>
      <c r="E401" s="485"/>
      <c r="F401" s="2141"/>
      <c r="G401" s="3027"/>
      <c r="H401" s="2141"/>
      <c r="I401" s="3027"/>
      <c r="J401" s="163"/>
      <c r="K401" s="164"/>
      <c r="L401" s="51"/>
      <c r="M401" s="164"/>
      <c r="N401" s="1104"/>
      <c r="O401" s="434"/>
      <c r="P401" s="1133"/>
      <c r="Q401" s="137">
        <v>0</v>
      </c>
      <c r="R401" s="137">
        <v>0</v>
      </c>
      <c r="S401" s="137">
        <v>0</v>
      </c>
      <c r="T401" s="137">
        <v>0</v>
      </c>
      <c r="U401" s="137">
        <v>0</v>
      </c>
      <c r="V401" s="137">
        <v>0</v>
      </c>
      <c r="W401" s="141">
        <v>0</v>
      </c>
      <c r="X401" s="141">
        <v>0</v>
      </c>
      <c r="Y401" s="141">
        <v>0</v>
      </c>
      <c r="Z401" s="141">
        <v>0</v>
      </c>
      <c r="AA401" s="141">
        <v>0</v>
      </c>
      <c r="AB401" s="141">
        <v>0</v>
      </c>
      <c r="AC401" s="141">
        <f>'[26]מאזן בוחן EUROPE'!AC414</f>
        <v>0</v>
      </c>
      <c r="AD401" s="141">
        <f>'[27]מאזן בוחן EUROPE'!AD412</f>
        <v>0</v>
      </c>
      <c r="AE401" s="141">
        <f>'[28]מאזן בוחן EUROPE'!AE420</f>
        <v>0</v>
      </c>
      <c r="AF401" s="141">
        <f>'[29]מאזן בוחן EUROPE'!AF416</f>
        <v>0</v>
      </c>
      <c r="AG401" s="141">
        <f>'[30]מאזן בוחן EUROPE'!AG420</f>
        <v>0</v>
      </c>
      <c r="AH401" s="141">
        <f>'[31]מאזן בוחן EUROPE'!AH422</f>
        <v>0</v>
      </c>
      <c r="AI401" s="141">
        <v>0</v>
      </c>
      <c r="AJ401" s="141">
        <v>0</v>
      </c>
      <c r="AK401" s="141">
        <v>0</v>
      </c>
      <c r="AL401" s="141">
        <v>0</v>
      </c>
      <c r="AM401" s="141">
        <v>0</v>
      </c>
      <c r="AN401" s="141">
        <f>$K401-SUM($AC401:AM401)</f>
        <v>0</v>
      </c>
      <c r="AO401" s="141"/>
      <c r="AP401" s="141"/>
      <c r="AQ401" s="141"/>
      <c r="AR401" s="141"/>
      <c r="AS401" s="141"/>
      <c r="AT401" s="141"/>
      <c r="AU401" s="141"/>
      <c r="AV401" s="141"/>
      <c r="AW401" s="141"/>
      <c r="AX401" s="141"/>
      <c r="AY401" s="141"/>
      <c r="BE401" s="63"/>
    </row>
    <row r="402" spans="1:57">
      <c r="A402" s="52"/>
      <c r="B402" s="3659"/>
      <c r="C402" s="156"/>
      <c r="D402" s="67" t="s">
        <v>179</v>
      </c>
      <c r="E402" s="3313">
        <f t="shared" ref="E402:K402" si="94">E378+E381+E387+E399</f>
        <v>-57423.79</v>
      </c>
      <c r="F402" s="3306">
        <f t="shared" si="94"/>
        <v>0</v>
      </c>
      <c r="G402" s="1206">
        <f t="shared" si="94"/>
        <v>0</v>
      </c>
      <c r="H402" s="1206">
        <f t="shared" si="94"/>
        <v>0</v>
      </c>
      <c r="I402" s="1206">
        <f t="shared" si="94"/>
        <v>0</v>
      </c>
      <c r="J402" s="1351">
        <f t="shared" si="94"/>
        <v>-57423.79</v>
      </c>
      <c r="K402" s="1351">
        <f t="shared" si="94"/>
        <v>-78501.439999999988</v>
      </c>
      <c r="L402" s="336"/>
      <c r="M402" s="1351">
        <f>M378+M381+M387+M399</f>
        <v>-78501.439999999988</v>
      </c>
      <c r="N402" s="1104"/>
      <c r="O402" s="434"/>
      <c r="P402" s="1133"/>
      <c r="Q402" s="137">
        <v>3068.9300000000003</v>
      </c>
      <c r="R402" s="137">
        <v>3656.6499999999996</v>
      </c>
      <c r="S402" s="137">
        <v>4036.67</v>
      </c>
      <c r="T402" s="137">
        <v>4373.7599999999984</v>
      </c>
      <c r="U402" s="137">
        <v>2740.3199999999997</v>
      </c>
      <c r="V402" s="137">
        <v>7338.5700000000015</v>
      </c>
      <c r="W402" s="141">
        <v>3756.2299999999977</v>
      </c>
      <c r="X402" s="141">
        <v>2678.8920761451573</v>
      </c>
      <c r="Y402" s="141">
        <v>1962.5979238548389</v>
      </c>
      <c r="Z402" s="141">
        <v>3015.2289557763579</v>
      </c>
      <c r="AA402" s="141">
        <v>560.8695730426698</v>
      </c>
      <c r="AB402" s="141">
        <v>834.04</v>
      </c>
      <c r="AC402" s="141">
        <f>'[26]מאזן בוחן EUROPE'!AC415</f>
        <v>584.08999999999992</v>
      </c>
      <c r="AD402" s="141">
        <f>'[27]מאזן בוחן EUROPE'!AD413</f>
        <v>4188.273861788618</v>
      </c>
      <c r="AE402" s="141">
        <f>'[28]מאזן בוחן EUROPE'!AE421</f>
        <v>2814.726138211382</v>
      </c>
      <c r="AF402" s="141">
        <f>'[29]מאזן בוחן EUROPE'!AF417</f>
        <v>3378.7116179037057</v>
      </c>
      <c r="AG402" s="141">
        <f>'[30]מאזן בוחן EUROPE'!AG421</f>
        <v>2651.3919131957937</v>
      </c>
      <c r="AH402" s="141">
        <f>'[31]מאזן בוחן EUROPE'!AH423</f>
        <v>3161.6364689005022</v>
      </c>
      <c r="AI402" s="141">
        <v>2586.1947046087225</v>
      </c>
      <c r="AJ402" s="141">
        <v>2530.6717874399219</v>
      </c>
      <c r="AK402" s="141">
        <v>10368.303507951354</v>
      </c>
      <c r="AL402" s="141">
        <v>-106606.45003166559</v>
      </c>
      <c r="AM402" s="141">
        <v>-13713.111568587425</v>
      </c>
      <c r="AN402" s="141">
        <f>$K402-SUM($AC402:AM402)</f>
        <v>9554.1216002530273</v>
      </c>
      <c r="AO402" s="141"/>
      <c r="AP402" s="141"/>
      <c r="AQ402" s="141"/>
      <c r="AR402" s="141"/>
      <c r="AS402" s="141"/>
      <c r="AT402" s="141"/>
      <c r="AU402" s="141"/>
      <c r="AV402" s="141"/>
      <c r="AW402" s="141"/>
      <c r="AX402" s="141"/>
      <c r="AY402" s="141"/>
      <c r="BE402" s="63"/>
    </row>
    <row r="403" spans="1:57">
      <c r="A403" s="52"/>
      <c r="B403" s="3659"/>
      <c r="C403" s="156"/>
      <c r="D403" s="398"/>
      <c r="F403" s="1918"/>
      <c r="G403" s="517"/>
      <c r="H403" s="517"/>
      <c r="I403" s="517"/>
      <c r="J403" s="398"/>
      <c r="K403" s="398"/>
      <c r="L403" s="398"/>
      <c r="M403" s="398"/>
      <c r="N403" s="1104"/>
      <c r="O403" s="434"/>
      <c r="P403" s="1133"/>
      <c r="Q403" s="137">
        <v>0</v>
      </c>
      <c r="R403" s="137">
        <v>0</v>
      </c>
      <c r="S403" s="137">
        <v>0</v>
      </c>
      <c r="T403" s="137">
        <v>0</v>
      </c>
      <c r="U403" s="137">
        <v>0</v>
      </c>
      <c r="V403" s="137">
        <v>0</v>
      </c>
      <c r="W403" s="141">
        <v>0</v>
      </c>
      <c r="X403" s="141">
        <v>0</v>
      </c>
      <c r="Y403" s="141">
        <v>0</v>
      </c>
      <c r="Z403" s="141">
        <v>0</v>
      </c>
      <c r="AA403" s="141">
        <v>0</v>
      </c>
      <c r="AB403" s="141">
        <v>0</v>
      </c>
      <c r="AC403" s="141">
        <f>'[26]מאזן בוחן EUROPE'!AC416</f>
        <v>0</v>
      </c>
      <c r="AD403" s="141">
        <f>'[27]מאזן בוחן EUROPE'!AD414</f>
        <v>0</v>
      </c>
      <c r="AE403" s="141">
        <f>'[28]מאזן בוחן EUROPE'!AE422</f>
        <v>0</v>
      </c>
      <c r="AF403" s="141">
        <f>'[29]מאזן בוחן EUROPE'!AF418</f>
        <v>0</v>
      </c>
      <c r="AG403" s="141">
        <f>'[30]מאזן בוחן EUROPE'!AG422</f>
        <v>0</v>
      </c>
      <c r="AH403" s="141">
        <f>'[31]מאזן בוחן EUROPE'!AH424</f>
        <v>0</v>
      </c>
      <c r="AI403" s="141">
        <v>0</v>
      </c>
      <c r="AJ403" s="141">
        <v>0</v>
      </c>
      <c r="AK403" s="141">
        <v>0</v>
      </c>
      <c r="AL403" s="141">
        <v>0</v>
      </c>
      <c r="AM403" s="141">
        <v>0</v>
      </c>
      <c r="AN403" s="141">
        <f>$K403-SUM($AC403:AM403)</f>
        <v>0</v>
      </c>
      <c r="AO403" s="141"/>
      <c r="AP403" s="141"/>
      <c r="AQ403" s="141"/>
      <c r="AR403" s="141"/>
      <c r="AS403" s="141"/>
      <c r="AT403" s="141"/>
      <c r="AU403" s="141"/>
      <c r="AV403" s="141"/>
      <c r="AW403" s="141"/>
      <c r="AX403" s="141"/>
      <c r="AY403" s="141"/>
      <c r="BE403" s="63"/>
    </row>
    <row r="404" spans="1:57">
      <c r="A404" s="52"/>
      <c r="B404" s="3659"/>
      <c r="C404" s="156"/>
      <c r="D404" s="54"/>
      <c r="E404" s="1521"/>
      <c r="F404" s="2141"/>
      <c r="G404" s="3027"/>
      <c r="H404" s="2141"/>
      <c r="I404" s="3027"/>
      <c r="J404" s="163"/>
      <c r="K404" s="164"/>
      <c r="L404" s="51"/>
      <c r="M404" s="164"/>
      <c r="N404" s="1104"/>
      <c r="O404" s="434"/>
      <c r="P404" s="1133"/>
      <c r="Q404" s="137">
        <v>0</v>
      </c>
      <c r="R404" s="137">
        <v>0</v>
      </c>
      <c r="S404" s="137">
        <v>0</v>
      </c>
      <c r="T404" s="137">
        <v>0</v>
      </c>
      <c r="U404" s="137">
        <v>0</v>
      </c>
      <c r="V404" s="137">
        <v>0</v>
      </c>
      <c r="W404" s="141">
        <v>0</v>
      </c>
      <c r="X404" s="141">
        <v>0</v>
      </c>
      <c r="Y404" s="141">
        <v>0</v>
      </c>
      <c r="Z404" s="141">
        <v>0</v>
      </c>
      <c r="AA404" s="141">
        <v>0</v>
      </c>
      <c r="AB404" s="141">
        <v>2187332.1059020013</v>
      </c>
      <c r="AC404" s="141">
        <f>'[26]מאזן בוחן EUROPE'!AC417</f>
        <v>0</v>
      </c>
      <c r="AD404" s="141">
        <f>'[27]מאזן בוחן EUROPE'!AD415</f>
        <v>0</v>
      </c>
      <c r="AE404" s="141">
        <f>'[28]מאזן בוחן EUROPE'!AE423</f>
        <v>0</v>
      </c>
      <c r="AF404" s="141">
        <f>'[29]מאזן בוחן EUROPE'!AF419</f>
        <v>0</v>
      </c>
      <c r="AG404" s="141">
        <f>'[30]מאזן בוחן EUROPE'!AG423</f>
        <v>0</v>
      </c>
      <c r="AH404" s="141">
        <f>'[31]מאזן בוחן EUROPE'!AH425</f>
        <v>0</v>
      </c>
      <c r="AI404" s="141">
        <v>0</v>
      </c>
      <c r="AJ404" s="141">
        <v>0</v>
      </c>
      <c r="AK404" s="141">
        <v>0</v>
      </c>
      <c r="AL404" s="141">
        <v>0</v>
      </c>
      <c r="AM404" s="141">
        <v>0</v>
      </c>
      <c r="AN404" s="141">
        <f>$K404-SUM($AC404:AM404)</f>
        <v>0</v>
      </c>
      <c r="AO404" s="141"/>
      <c r="AP404" s="141"/>
      <c r="AQ404" s="141"/>
      <c r="AR404" s="141"/>
      <c r="AS404" s="141"/>
      <c r="AT404" s="141"/>
      <c r="AU404" s="141"/>
      <c r="AV404" s="141"/>
      <c r="AW404" s="141"/>
      <c r="AX404" s="141"/>
      <c r="AY404" s="141"/>
      <c r="BE404" s="63"/>
    </row>
    <row r="405" spans="1:57">
      <c r="A405" s="52"/>
      <c r="B405" s="3659"/>
      <c r="D405" s="70" t="s">
        <v>97</v>
      </c>
      <c r="F405" s="518"/>
      <c r="G405" s="517"/>
      <c r="H405" s="518"/>
      <c r="I405" s="517"/>
      <c r="J405" s="440"/>
      <c r="K405" s="446"/>
      <c r="L405" s="51"/>
      <c r="M405" s="446"/>
      <c r="N405" s="1104"/>
      <c r="O405" s="434"/>
      <c r="P405" s="1133"/>
      <c r="Q405" s="137">
        <v>0</v>
      </c>
      <c r="R405" s="137">
        <v>0</v>
      </c>
      <c r="S405" s="137">
        <v>0</v>
      </c>
      <c r="T405" s="137">
        <v>0</v>
      </c>
      <c r="U405" s="137">
        <v>0</v>
      </c>
      <c r="V405" s="137">
        <v>0</v>
      </c>
      <c r="W405" s="141">
        <v>0</v>
      </c>
      <c r="X405" s="141">
        <v>0</v>
      </c>
      <c r="Y405" s="141">
        <v>0</v>
      </c>
      <c r="Z405" s="141">
        <v>0</v>
      </c>
      <c r="AA405" s="141">
        <v>0</v>
      </c>
      <c r="AB405" s="141">
        <v>0</v>
      </c>
      <c r="AC405" s="141">
        <f>'[26]מאזן בוחן EUROPE'!AC418</f>
        <v>0</v>
      </c>
      <c r="AD405" s="141">
        <f>'[27]מאזן בוחן EUROPE'!AD416</f>
        <v>0</v>
      </c>
      <c r="AE405" s="141">
        <f>'[28]מאזן בוחן EUROPE'!AE424</f>
        <v>0</v>
      </c>
      <c r="AF405" s="141">
        <f>'[29]מאזן בוחן EUROPE'!AF420</f>
        <v>0</v>
      </c>
      <c r="AG405" s="141">
        <f>'[30]מאזן בוחן EUROPE'!AG424</f>
        <v>0</v>
      </c>
      <c r="AH405" s="141">
        <f>'[31]מאזן בוחן EUROPE'!AH426</f>
        <v>0</v>
      </c>
      <c r="AI405" s="141">
        <v>0</v>
      </c>
      <c r="AJ405" s="141">
        <v>0</v>
      </c>
      <c r="AK405" s="141">
        <v>0</v>
      </c>
      <c r="AL405" s="141">
        <v>0</v>
      </c>
      <c r="AM405" s="141">
        <v>0</v>
      </c>
      <c r="AN405" s="141">
        <f>$K405-SUM($AC405:AM405)</f>
        <v>0</v>
      </c>
      <c r="AO405" s="141"/>
      <c r="AP405" s="141"/>
      <c r="AQ405" s="141"/>
      <c r="AR405" s="141"/>
      <c r="AS405" s="141"/>
      <c r="AT405" s="141"/>
      <c r="AU405" s="141"/>
      <c r="AV405" s="141"/>
      <c r="AW405" s="141"/>
      <c r="AX405" s="141"/>
      <c r="AY405" s="141"/>
      <c r="BE405" s="63"/>
    </row>
    <row r="406" spans="1:57">
      <c r="A406" s="52"/>
      <c r="B406" s="3659"/>
      <c r="D406" s="50" t="s">
        <v>219</v>
      </c>
      <c r="F406" s="518"/>
      <c r="G406" s="517"/>
      <c r="H406" s="518"/>
      <c r="I406" s="517"/>
      <c r="J406" s="440"/>
      <c r="K406" s="446"/>
      <c r="L406" s="51"/>
      <c r="M406" s="446"/>
      <c r="N406" s="1104"/>
      <c r="O406" s="434"/>
      <c r="P406" s="1133"/>
      <c r="W406" s="141"/>
      <c r="X406" s="141"/>
      <c r="Y406" s="141"/>
      <c r="Z406" s="141"/>
      <c r="AA406" s="141"/>
      <c r="AB406" s="141"/>
      <c r="AC406" s="141"/>
      <c r="AD406" s="141"/>
      <c r="AE406" s="141"/>
      <c r="AF406" s="141"/>
      <c r="AG406" s="141"/>
      <c r="AH406" s="141"/>
      <c r="AI406" s="141"/>
      <c r="AJ406" s="141">
        <v>0</v>
      </c>
      <c r="AK406" s="141">
        <v>0</v>
      </c>
      <c r="AL406" s="141">
        <v>0</v>
      </c>
      <c r="AM406" s="141">
        <v>0</v>
      </c>
      <c r="AN406" s="141">
        <f>$K406-SUM($AC406:AM406)</f>
        <v>0</v>
      </c>
      <c r="AO406" s="141"/>
      <c r="AP406" s="141"/>
      <c r="AQ406" s="141"/>
      <c r="AR406" s="141"/>
      <c r="AS406" s="141"/>
      <c r="AT406" s="141"/>
      <c r="AU406" s="141"/>
      <c r="AV406" s="141"/>
      <c r="AW406" s="141"/>
      <c r="AX406" s="141"/>
      <c r="AY406" s="141"/>
      <c r="BE406" s="63"/>
    </row>
    <row r="407" spans="1:57">
      <c r="A407" s="52"/>
      <c r="B407" s="3659" t="s">
        <v>1122</v>
      </c>
      <c r="C407" s="585">
        <v>7010001</v>
      </c>
      <c r="D407" s="45" t="s">
        <v>3902</v>
      </c>
      <c r="E407" s="439">
        <f>IFERROR(VLOOKUP(C407,'פ.נ. EUROPE'!$D$164:$F$453,3,0),0)</f>
        <v>26682.94</v>
      </c>
      <c r="F407" s="518">
        <f>SUMIF('פ.נ. EUROPE'!C:C,C:C,'פ.נ. EUROPE'!E:E)</f>
        <v>0</v>
      </c>
      <c r="G407" s="517"/>
      <c r="H407" s="518"/>
      <c r="I407" s="517"/>
      <c r="J407" s="170">
        <f>SUM(E407:I407)</f>
        <v>26682.94</v>
      </c>
      <c r="K407" s="98">
        <f>M407+SUMIF('פ.נ. EUROPE'!C:C,'מאזן בוחן EUROPE'!C407,'פ.נ. EUROPE'!F:F)</f>
        <v>36365.300000000003</v>
      </c>
      <c r="L407" s="51"/>
      <c r="M407" s="98">
        <f>IFERROR(VLOOKUP(C407,'פ.נ. EUROPE'!$D$164:$H$353,4,0),"")</f>
        <v>36365.300000000003</v>
      </c>
      <c r="N407" s="1104">
        <f>IF(K407=0,"-",J407/K407)</f>
        <v>0.73374728106189135</v>
      </c>
      <c r="O407" s="434"/>
      <c r="P407" s="459"/>
      <c r="W407" s="141"/>
      <c r="X407" s="141"/>
      <c r="Y407" s="141"/>
      <c r="Z407" s="141"/>
      <c r="AA407" s="141"/>
      <c r="AB407" s="141"/>
      <c r="AC407" s="141"/>
      <c r="AD407" s="141"/>
      <c r="AE407" s="141"/>
      <c r="AF407" s="141"/>
      <c r="AG407" s="141"/>
      <c r="AH407" s="141"/>
      <c r="AI407" s="141">
        <v>6080.28</v>
      </c>
      <c r="AJ407" s="141">
        <v>6063.5100000000011</v>
      </c>
      <c r="AK407" s="141">
        <v>6019.1699999999983</v>
      </c>
      <c r="AL407" s="141">
        <v>6564.380000000001</v>
      </c>
      <c r="AM407" s="141">
        <v>5798.02</v>
      </c>
      <c r="AN407" s="141">
        <f>$K407-SUM($AC407:AM407)</f>
        <v>5839.9400000000023</v>
      </c>
      <c r="AO407" s="141"/>
      <c r="AP407" s="141"/>
      <c r="AQ407" s="141"/>
      <c r="AR407" s="141"/>
      <c r="AS407" s="141"/>
      <c r="AT407" s="141"/>
      <c r="AU407" s="141"/>
      <c r="AV407" s="141"/>
      <c r="AW407" s="141"/>
      <c r="AX407" s="141"/>
      <c r="AY407" s="141"/>
      <c r="BE407" s="63"/>
    </row>
    <row r="408" spans="1:57">
      <c r="A408" s="52"/>
      <c r="B408" s="3659" t="s">
        <v>1122</v>
      </c>
      <c r="C408" s="585">
        <v>7010002</v>
      </c>
      <c r="D408" s="45" t="s">
        <v>4276</v>
      </c>
      <c r="E408" s="439">
        <f>IFERROR(VLOOKUP(C408,'פ.נ. EUROPE'!$D$164:$F$453,3,0),0)</f>
        <v>2149.6999999999998</v>
      </c>
      <c r="F408" s="518">
        <f>SUMIF('פ.נ. EUROPE'!C:C,C:C,'פ.נ. EUROPE'!E:E)</f>
        <v>0</v>
      </c>
      <c r="G408" s="517"/>
      <c r="H408" s="518"/>
      <c r="I408" s="517"/>
      <c r="J408" s="170">
        <f t="shared" ref="J408" si="95">SUM(E408:I408)</f>
        <v>2149.6999999999998</v>
      </c>
      <c r="K408" s="98">
        <f>M408+SUMIF('פ.נ. EUROPE'!C:C,'מאזן בוחן EUROPE'!C408,'פ.נ. EUROPE'!F:F)</f>
        <v>2949.39</v>
      </c>
      <c r="L408" s="51"/>
      <c r="M408" s="98">
        <f>IFERROR(VLOOKUP(C408,'פ.נ. EUROPE'!$D$164:$H$353,4,0),"")</f>
        <v>2949.39</v>
      </c>
      <c r="N408" s="1104">
        <f t="shared" ref="N408" si="96">IF(K408=0,"-",J408/K408)</f>
        <v>0.72886257836366164</v>
      </c>
      <c r="O408" s="434"/>
      <c r="P408" s="459"/>
      <c r="W408" s="141"/>
      <c r="X408" s="141"/>
      <c r="Y408" s="141"/>
      <c r="Z408" s="141"/>
      <c r="AA408" s="141"/>
      <c r="AB408" s="141"/>
      <c r="AC408" s="141"/>
      <c r="AD408" s="141"/>
      <c r="AE408" s="141"/>
      <c r="AF408" s="141"/>
      <c r="AG408" s="141"/>
      <c r="AH408" s="141"/>
      <c r="AI408" s="141"/>
      <c r="AJ408" s="141"/>
      <c r="AK408" s="141"/>
      <c r="AL408" s="141">
        <v>2949.39</v>
      </c>
      <c r="AM408" s="141">
        <v>0</v>
      </c>
      <c r="AN408" s="141">
        <f>$K408-SUM($AC408:AM408)</f>
        <v>0</v>
      </c>
      <c r="AO408" s="141"/>
      <c r="AP408" s="141"/>
      <c r="AQ408" s="141"/>
      <c r="AR408" s="141"/>
      <c r="AS408" s="141"/>
      <c r="AT408" s="141"/>
      <c r="AU408" s="141"/>
      <c r="AV408" s="141"/>
      <c r="AW408" s="141"/>
      <c r="AX408" s="141"/>
      <c r="AY408" s="141"/>
      <c r="BE408" s="63"/>
    </row>
    <row r="409" spans="1:57">
      <c r="A409" s="52"/>
      <c r="B409" s="3659" t="s">
        <v>1122</v>
      </c>
      <c r="C409" s="585">
        <v>7010010</v>
      </c>
      <c r="D409" s="45" t="s">
        <v>1740</v>
      </c>
      <c r="E409" s="439">
        <f>IFERROR(VLOOKUP(C409,'פ.נ. EUROPE'!$D$164:$F$453,3,0),0)</f>
        <v>843</v>
      </c>
      <c r="F409" s="518">
        <f>SUMIF('פ.נ. EUROPE'!C:C,C:C,'פ.נ. EUROPE'!E:E)</f>
        <v>0</v>
      </c>
      <c r="G409" s="517"/>
      <c r="H409" s="518"/>
      <c r="I409" s="517"/>
      <c r="J409" s="170">
        <f>SUM(E409:I409)</f>
        <v>843</v>
      </c>
      <c r="K409" s="98">
        <f>M409+SUMIF('פ.נ. EUROPE'!C:C,'מאזן בוחן EUROPE'!C409,'פ.נ. EUROPE'!F:F)</f>
        <v>1174.8499999999999</v>
      </c>
      <c r="L409" s="51"/>
      <c r="M409" s="98">
        <f>IFERROR(VLOOKUP(C409,'פ.נ. EUROPE'!$D$164:$H$353,4,0),"")</f>
        <v>1174.8499999999999</v>
      </c>
      <c r="N409" s="1104">
        <f>IF(K409=0,"-",J409/K409)</f>
        <v>0.717538409158616</v>
      </c>
      <c r="O409" s="434"/>
      <c r="P409" s="1133"/>
      <c r="Q409" s="137">
        <v>0</v>
      </c>
      <c r="R409" s="137">
        <v>0</v>
      </c>
      <c r="S409" s="137">
        <v>0</v>
      </c>
      <c r="T409" s="137">
        <v>0</v>
      </c>
      <c r="U409" s="137">
        <v>3562.38</v>
      </c>
      <c r="V409" s="137">
        <v>1939.2600000000002</v>
      </c>
      <c r="W409" s="141">
        <v>414.65999999999985</v>
      </c>
      <c r="X409" s="141">
        <v>0</v>
      </c>
      <c r="Y409" s="141">
        <v>0</v>
      </c>
      <c r="Z409" s="141">
        <v>408.30000000000018</v>
      </c>
      <c r="AA409" s="141">
        <v>0</v>
      </c>
      <c r="AB409" s="141">
        <v>941.21999999999935</v>
      </c>
      <c r="AC409" s="141">
        <f>'[26]מאזן בוחן EUROPE'!AC426</f>
        <v>0</v>
      </c>
      <c r="AD409" s="141">
        <f>'[27]מאזן בוחן EUROPE'!AD424</f>
        <v>446.99</v>
      </c>
      <c r="AE409" s="141">
        <f>'[28]מאזן בוחן EUROPE'!AE432</f>
        <v>0</v>
      </c>
      <c r="AF409" s="141">
        <f>'[29]מאזן בוחן EUROPE'!AF428</f>
        <v>268.34000000000003</v>
      </c>
      <c r="AG409" s="141">
        <f>'[30]מאזן בוחן EUROPE'!AG432</f>
        <v>459.51999999999987</v>
      </c>
      <c r="AH409" s="141">
        <f>'[31]מאזן בוחן EUROPE'!AH434</f>
        <v>0</v>
      </c>
      <c r="AI409" s="141">
        <v>0</v>
      </c>
      <c r="AJ409" s="141">
        <v>0</v>
      </c>
      <c r="AK409" s="141">
        <v>0</v>
      </c>
      <c r="AL409" s="141">
        <v>0</v>
      </c>
      <c r="AM409" s="141">
        <v>0</v>
      </c>
      <c r="AN409" s="141">
        <f>$K409-SUM($AC409:AM409)</f>
        <v>0</v>
      </c>
      <c r="AO409" s="141"/>
      <c r="AP409" s="141"/>
      <c r="AQ409" s="141"/>
      <c r="AR409" s="141"/>
      <c r="AS409" s="141"/>
      <c r="AT409" s="141"/>
      <c r="AU409" s="141"/>
      <c r="AV409" s="141"/>
      <c r="AW409" s="141"/>
      <c r="AX409" s="141"/>
      <c r="AY409" s="141"/>
      <c r="BE409" s="63"/>
    </row>
    <row r="410" spans="1:57">
      <c r="A410" s="52"/>
      <c r="B410" s="3659"/>
      <c r="C410" s="407"/>
      <c r="D410" s="50" t="s">
        <v>740</v>
      </c>
      <c r="F410" s="518"/>
      <c r="G410" s="517"/>
      <c r="H410" s="518"/>
      <c r="I410" s="517"/>
      <c r="J410" s="170"/>
      <c r="K410" s="171"/>
      <c r="L410" s="51"/>
      <c r="M410" s="171"/>
      <c r="N410" s="1104"/>
      <c r="O410" s="434"/>
      <c r="P410" s="445"/>
      <c r="Q410" s="137">
        <v>0</v>
      </c>
      <c r="R410" s="137">
        <v>0</v>
      </c>
      <c r="S410" s="137">
        <v>0</v>
      </c>
      <c r="T410" s="137">
        <v>0</v>
      </c>
      <c r="U410" s="137">
        <v>0</v>
      </c>
      <c r="V410" s="137">
        <v>0</v>
      </c>
      <c r="W410" s="141">
        <v>0</v>
      </c>
      <c r="X410" s="141">
        <v>0</v>
      </c>
      <c r="Y410" s="141">
        <v>0</v>
      </c>
      <c r="Z410" s="141">
        <v>0</v>
      </c>
      <c r="AA410" s="141">
        <v>0</v>
      </c>
      <c r="AB410" s="141">
        <v>2223440.7586970311</v>
      </c>
      <c r="AC410" s="141">
        <f>'[26]מאזן בוחן EUROPE'!AC419</f>
        <v>0</v>
      </c>
      <c r="AD410" s="141">
        <f>'[27]מאזן בוחן EUROPE'!AD417</f>
        <v>0</v>
      </c>
      <c r="AE410" s="141">
        <f>'[28]מאזן בוחן EUROPE'!AE425</f>
        <v>0</v>
      </c>
      <c r="AF410" s="141">
        <f>'[29]מאזן בוחן EUROPE'!AF421</f>
        <v>0</v>
      </c>
      <c r="AG410" s="141">
        <f>'[30]מאזן בוחן EUROPE'!AG425</f>
        <v>0</v>
      </c>
      <c r="AH410" s="141">
        <f>'[31]מאזן בוחן EUROPE'!AH427</f>
        <v>0</v>
      </c>
      <c r="AI410" s="141">
        <v>0</v>
      </c>
      <c r="AJ410" s="141">
        <v>0</v>
      </c>
      <c r="AK410" s="141">
        <v>0</v>
      </c>
      <c r="AL410" s="141">
        <v>0</v>
      </c>
      <c r="AM410" s="141">
        <v>0</v>
      </c>
      <c r="AN410" s="141">
        <f>$K410-SUM($AC410:AM410)</f>
        <v>0</v>
      </c>
      <c r="AO410" s="141"/>
      <c r="AP410" s="141"/>
      <c r="AQ410" s="141"/>
      <c r="AR410" s="141"/>
      <c r="AS410" s="141"/>
      <c r="AT410" s="141"/>
      <c r="AU410" s="141"/>
      <c r="AV410" s="141"/>
      <c r="AW410" s="141"/>
      <c r="AX410" s="141"/>
      <c r="AY410" s="141"/>
      <c r="BE410" s="63"/>
    </row>
    <row r="411" spans="1:57">
      <c r="A411" s="52"/>
      <c r="B411" s="3659" t="s">
        <v>736</v>
      </c>
      <c r="C411" s="585">
        <v>7020027</v>
      </c>
      <c r="D411" s="45" t="s">
        <v>737</v>
      </c>
      <c r="E411" s="439">
        <f>IFERROR(VLOOKUP(C411,'פ.נ. EUROPE'!$D$164:$F$453,3,0),0)</f>
        <v>44017.74</v>
      </c>
      <c r="F411" s="518">
        <f>SUMIF('פ.נ. EUROPE'!C:C,C:C,'פ.נ. EUROPE'!E:E)</f>
        <v>0</v>
      </c>
      <c r="G411" s="517"/>
      <c r="H411" s="518"/>
      <c r="I411" s="517"/>
      <c r="J411" s="170">
        <f t="shared" ref="J411:J416" si="97">SUM(E411:I411)</f>
        <v>44017.74</v>
      </c>
      <c r="K411" s="98">
        <f>M411+SUMIF('פ.נ. EUROPE'!C:C,'מאזן בוחן EUROPE'!C411,'פ.נ. EUROPE'!F:F)</f>
        <v>60654.04</v>
      </c>
      <c r="L411" s="51"/>
      <c r="M411" s="98">
        <f>IFERROR(VLOOKUP(C411,'פ.נ. EUROPE'!$D$164:$H$353,4,0),"")</f>
        <v>60654.04</v>
      </c>
      <c r="N411" s="1104">
        <f t="shared" ref="N411:N416" si="98">IF(K411=0,"-",J411/K411)</f>
        <v>0.72571818793933585</v>
      </c>
      <c r="O411" s="434"/>
      <c r="P411" s="459"/>
      <c r="Q411" s="137">
        <v>0</v>
      </c>
      <c r="R411" s="137">
        <v>8737.83</v>
      </c>
      <c r="S411" s="137">
        <v>4674.49</v>
      </c>
      <c r="T411" s="137">
        <v>4246.880000000001</v>
      </c>
      <c r="U411" s="137">
        <v>4146.25</v>
      </c>
      <c r="V411" s="137">
        <v>4341.649999999996</v>
      </c>
      <c r="W411" s="141">
        <v>4430.0000000000018</v>
      </c>
      <c r="X411" s="141">
        <v>4559.4800000000032</v>
      </c>
      <c r="Y411" s="141">
        <v>4445.7999999999956</v>
      </c>
      <c r="Z411" s="141">
        <v>3344.3600000000006</v>
      </c>
      <c r="AA411" s="141">
        <v>4602.93</v>
      </c>
      <c r="AB411" s="141">
        <v>4714.32</v>
      </c>
      <c r="AC411" s="141">
        <f>'[26]מאזן בוחן EUROPE'!AC420</f>
        <v>4711.3599999999997</v>
      </c>
      <c r="AD411" s="141">
        <f>'[27]מאזן בוחן EUROPE'!AD418</f>
        <v>4710.6899999999996</v>
      </c>
      <c r="AE411" s="141">
        <f>'[28]מאזן בוחן EUROPE'!AE426</f>
        <v>4612.9800000000014</v>
      </c>
      <c r="AF411" s="141">
        <f>'[29]מאזן בוחן EUROPE'!AF422</f>
        <v>4621.0899999999983</v>
      </c>
      <c r="AG411" s="141">
        <f>'[30]מאזן בוחן EUROPE'!AG426</f>
        <v>5381</v>
      </c>
      <c r="AH411" s="141">
        <f>'[31]מאזן בוחן EUROPE'!AH428</f>
        <v>5314.760000000002</v>
      </c>
      <c r="AI411" s="141">
        <v>4580.4500000000007</v>
      </c>
      <c r="AJ411" s="141">
        <v>4549.5599999999977</v>
      </c>
      <c r="AK411" s="141">
        <v>4563.0900000000038</v>
      </c>
      <c r="AL411" s="141">
        <v>8820.5299999999988</v>
      </c>
      <c r="AM411" s="141">
        <v>4425.6599999999962</v>
      </c>
      <c r="AN411" s="141">
        <f>$K411-SUM($AC411:AM411)</f>
        <v>4362.8700000000026</v>
      </c>
      <c r="AO411" s="141"/>
      <c r="AP411" s="141"/>
      <c r="AQ411" s="141"/>
      <c r="AR411" s="141"/>
      <c r="AS411" s="141"/>
      <c r="AT411" s="141"/>
      <c r="AU411" s="141"/>
      <c r="AV411" s="141"/>
      <c r="AW411" s="141"/>
      <c r="AX411" s="141"/>
      <c r="AY411" s="141"/>
      <c r="BE411" s="63"/>
    </row>
    <row r="412" spans="1:57">
      <c r="A412" s="52"/>
      <c r="B412" s="3659" t="s">
        <v>558</v>
      </c>
      <c r="C412" s="585">
        <v>7010004</v>
      </c>
      <c r="D412" s="45" t="s">
        <v>4277</v>
      </c>
      <c r="E412" s="439">
        <f>IFERROR(VLOOKUP(C412,'פ.נ. EUROPE'!$D$164:$F$453,3,0),0)</f>
        <v>1339.78</v>
      </c>
      <c r="F412" s="518">
        <f>SUMIF('פ.נ. EUROPE'!C:C,C:C,'פ.נ. EUROPE'!E:E)</f>
        <v>0</v>
      </c>
      <c r="G412" s="517"/>
      <c r="H412" s="518"/>
      <c r="I412" s="517"/>
      <c r="J412" s="170">
        <f>SUM(E412:I412)</f>
        <v>1339.78</v>
      </c>
      <c r="K412" s="98">
        <f>M412+SUMIF('פ.נ. EUROPE'!C:C,'מאזן בוחן EUROPE'!C412,'פ.נ. EUROPE'!F:F)</f>
        <v>1831.8</v>
      </c>
      <c r="L412" s="51"/>
      <c r="M412" s="98">
        <f>IFERROR(VLOOKUP(C412,'פ.נ. EUROPE'!$D$164:$H$353,4,0),"")</f>
        <v>1831.8</v>
      </c>
      <c r="N412" s="1104">
        <f>IF(K412=0,"-",J412/K412)</f>
        <v>0.73140080794846596</v>
      </c>
      <c r="O412" s="434"/>
      <c r="P412" s="459"/>
      <c r="W412" s="141"/>
      <c r="X412" s="141"/>
      <c r="Y412" s="141"/>
      <c r="Z412" s="141"/>
      <c r="AA412" s="141"/>
      <c r="AB412" s="141"/>
      <c r="AC412" s="141"/>
      <c r="AD412" s="141"/>
      <c r="AE412" s="141"/>
      <c r="AF412" s="141"/>
      <c r="AG412" s="141"/>
      <c r="AH412" s="141"/>
      <c r="AI412" s="141"/>
      <c r="AJ412" s="141"/>
      <c r="AK412" s="141"/>
      <c r="AL412" s="141">
        <v>1555.07</v>
      </c>
      <c r="AM412" s="141">
        <v>0</v>
      </c>
      <c r="AN412" s="141">
        <f>$K412-SUM($AC412:AM412)</f>
        <v>276.73</v>
      </c>
      <c r="AO412" s="141"/>
      <c r="AP412" s="141"/>
      <c r="AQ412" s="141"/>
      <c r="AR412" s="141"/>
      <c r="AS412" s="141"/>
      <c r="AT412" s="141"/>
      <c r="AU412" s="141"/>
      <c r="AV412" s="141"/>
      <c r="AW412" s="141"/>
      <c r="AX412" s="141"/>
      <c r="AY412" s="141"/>
      <c r="BE412" s="63"/>
    </row>
    <row r="413" spans="1:57">
      <c r="A413" s="52"/>
      <c r="B413" s="3659" t="s">
        <v>558</v>
      </c>
      <c r="C413" s="585">
        <v>7020038</v>
      </c>
      <c r="D413" s="45" t="s">
        <v>2163</v>
      </c>
      <c r="E413" s="439">
        <f>IFERROR(VLOOKUP(C413,'פ.נ. EUROPE'!$D$164:$F$453,3,0),0)</f>
        <v>0</v>
      </c>
      <c r="F413" s="518">
        <f>SUMIF('פ.נ. EUROPE'!C:C,C:C,'פ.נ. EUROPE'!E:E)</f>
        <v>0</v>
      </c>
      <c r="G413" s="517"/>
      <c r="H413" s="518"/>
      <c r="I413" s="517"/>
      <c r="J413" s="170">
        <f t="shared" si="97"/>
        <v>0</v>
      </c>
      <c r="K413" s="98">
        <f>M413+SUMIF('פ.נ. EUROPE'!C:C,'מאזן בוחן EUROPE'!C413,'פ.נ. EUROPE'!F:F)</f>
        <v>0</v>
      </c>
      <c r="L413" s="51"/>
      <c r="M413" s="98" t="str">
        <f>IFERROR(VLOOKUP(C413,'פ.נ. EUROPE'!$D$164:$H$353,4,0),"")</f>
        <v/>
      </c>
      <c r="N413" s="1104" t="str">
        <f>IF(K413=0,"-",J413/K413)</f>
        <v>-</v>
      </c>
      <c r="O413" s="434"/>
      <c r="P413" s="459"/>
      <c r="W413" s="141"/>
      <c r="X413" s="141">
        <v>0</v>
      </c>
      <c r="Y413" s="141">
        <v>14000</v>
      </c>
      <c r="Z413" s="141">
        <v>0</v>
      </c>
      <c r="AA413" s="141">
        <v>0</v>
      </c>
      <c r="AB413" s="141">
        <v>0</v>
      </c>
      <c r="AC413" s="141">
        <f>'[26]מאזן בוחן EUROPE'!AC421</f>
        <v>0</v>
      </c>
      <c r="AD413" s="141">
        <f>'[27]מאזן בוחן EUROPE'!AD419</f>
        <v>0</v>
      </c>
      <c r="AE413" s="141">
        <f>'[28]מאזן בוחן EUROPE'!AE427</f>
        <v>0</v>
      </c>
      <c r="AF413" s="141">
        <f>'[29]מאזן בוחן EUROPE'!AF423</f>
        <v>0</v>
      </c>
      <c r="AG413" s="141">
        <f>'[30]מאזן בוחן EUROPE'!AG427</f>
        <v>0</v>
      </c>
      <c r="AH413" s="141">
        <f>'[31]מאזן בוחן EUROPE'!AH429</f>
        <v>0</v>
      </c>
      <c r="AI413" s="141">
        <v>0</v>
      </c>
      <c r="AJ413" s="141">
        <v>0</v>
      </c>
      <c r="AK413" s="141">
        <v>0</v>
      </c>
      <c r="AL413" s="141">
        <v>0</v>
      </c>
      <c r="AM413" s="141">
        <v>0</v>
      </c>
      <c r="AN413" s="141">
        <f>$K413-SUM($AC413:AM413)</f>
        <v>0</v>
      </c>
      <c r="AO413" s="141"/>
      <c r="AP413" s="141"/>
      <c r="AQ413" s="141"/>
      <c r="AR413" s="141"/>
      <c r="AS413" s="141"/>
      <c r="AT413" s="141"/>
      <c r="AU413" s="141"/>
      <c r="AV413" s="141"/>
      <c r="AW413" s="141"/>
      <c r="AX413" s="141"/>
      <c r="AY413" s="141"/>
      <c r="BE413" s="63"/>
    </row>
    <row r="414" spans="1:57">
      <c r="A414" s="52"/>
      <c r="B414" s="3659" t="s">
        <v>558</v>
      </c>
      <c r="C414" s="585">
        <v>7020026</v>
      </c>
      <c r="D414" s="45" t="s">
        <v>934</v>
      </c>
      <c r="E414" s="439">
        <f>IFERROR(VLOOKUP(C414,'פ.נ. EUROPE'!$D$164:$F$453,3,0),0)</f>
        <v>7025.46</v>
      </c>
      <c r="F414" s="518">
        <f>SUMIF('פ.נ. EUROPE'!C:C,C:C,'פ.נ. EUROPE'!E:E)</f>
        <v>0</v>
      </c>
      <c r="G414" s="517"/>
      <c r="H414" s="518"/>
      <c r="I414" s="517"/>
      <c r="J414" s="170">
        <f t="shared" si="97"/>
        <v>7025.46</v>
      </c>
      <c r="K414" s="98">
        <f>M414+SUMIF('פ.נ. EUROPE'!C:C,'מאזן בוחן EUROPE'!C414,'פ.נ. EUROPE'!F:F)</f>
        <v>9638</v>
      </c>
      <c r="L414" s="51"/>
      <c r="M414" s="98">
        <f>IFERROR(VLOOKUP(C414,'פ.נ. EUROPE'!$D$164:$H$353,4,0),"")</f>
        <v>9638</v>
      </c>
      <c r="N414" s="1104">
        <f t="shared" si="98"/>
        <v>0.72893338866984847</v>
      </c>
      <c r="O414" s="434"/>
      <c r="P414" s="1150"/>
      <c r="Q414" s="137">
        <v>2097</v>
      </c>
      <c r="R414" s="137">
        <v>0</v>
      </c>
      <c r="S414" s="137">
        <v>0</v>
      </c>
      <c r="T414" s="137">
        <v>344.71000000000004</v>
      </c>
      <c r="U414" s="137">
        <v>699</v>
      </c>
      <c r="V414" s="137">
        <v>699</v>
      </c>
      <c r="W414" s="141">
        <v>721.97999999999956</v>
      </c>
      <c r="X414" s="141">
        <v>699</v>
      </c>
      <c r="Y414" s="141">
        <v>699</v>
      </c>
      <c r="Z414" s="141">
        <v>699</v>
      </c>
      <c r="AA414" s="141">
        <v>699</v>
      </c>
      <c r="AB414" s="141">
        <v>699</v>
      </c>
      <c r="AC414" s="141">
        <f>'[26]מאזן בוחן EUROPE'!AC422</f>
        <v>331.31</v>
      </c>
      <c r="AD414" s="141">
        <f>'[27]מאזן בוחן EUROPE'!AD420</f>
        <v>1566.69</v>
      </c>
      <c r="AE414" s="141">
        <f>'[28]מאזן בוחן EUROPE'!AE428</f>
        <v>699</v>
      </c>
      <c r="AF414" s="141">
        <f>'[29]מאזן בוחן EUROPE'!AF424</f>
        <v>676.02</v>
      </c>
      <c r="AG414" s="141">
        <f>'[30]מאזן בוחן EUROPE'!AG428</f>
        <v>1449.0000000000005</v>
      </c>
      <c r="AH414" s="141">
        <f>'[31]מאזן בוחן EUROPE'!AH430</f>
        <v>699</v>
      </c>
      <c r="AI414" s="141">
        <v>721.97999999999956</v>
      </c>
      <c r="AJ414" s="141">
        <v>699</v>
      </c>
      <c r="AK414" s="141">
        <v>699</v>
      </c>
      <c r="AL414" s="141">
        <v>331.3100000000004</v>
      </c>
      <c r="AM414" s="141">
        <v>1066.6899999999996</v>
      </c>
      <c r="AN414" s="141">
        <f>$K414-SUM($AC414:AM414)</f>
        <v>699</v>
      </c>
      <c r="AO414" s="141"/>
      <c r="AP414" s="141"/>
      <c r="AQ414" s="141"/>
      <c r="AR414" s="141"/>
      <c r="AS414" s="141"/>
      <c r="AT414" s="141"/>
      <c r="AU414" s="141"/>
      <c r="AV414" s="141"/>
      <c r="AW414" s="141"/>
      <c r="AX414" s="141"/>
      <c r="AY414" s="141"/>
      <c r="BE414" s="63"/>
    </row>
    <row r="415" spans="1:57">
      <c r="A415" s="52"/>
      <c r="B415" s="3659" t="s">
        <v>558</v>
      </c>
      <c r="C415" s="585">
        <v>7020039</v>
      </c>
      <c r="D415" s="45" t="s">
        <v>1949</v>
      </c>
      <c r="E415" s="439">
        <f>IFERROR(VLOOKUP(C415,'פ.נ. EUROPE'!$D$164:$F$453,3,0),0)</f>
        <v>3797.57</v>
      </c>
      <c r="F415" s="518">
        <f>SUMIF('פ.נ. EUROPE'!C:C,C:C,'פ.נ. EUROPE'!E:E)</f>
        <v>0</v>
      </c>
      <c r="G415" s="517"/>
      <c r="H415" s="518"/>
      <c r="I415" s="517"/>
      <c r="J415" s="170">
        <f t="shared" si="97"/>
        <v>3797.57</v>
      </c>
      <c r="K415" s="98">
        <f>M415+SUMIF('פ.נ. EUROPE'!C:C,'מאזן בוחן EUROPE'!C415,'פ.נ. EUROPE'!F:F)</f>
        <v>5172.25</v>
      </c>
      <c r="L415" s="51"/>
      <c r="M415" s="98">
        <f>IFERROR(VLOOKUP(C415,'פ.נ. EUROPE'!$D$164:$H$353,4,0),"")</f>
        <v>5172.25</v>
      </c>
      <c r="N415" s="1104">
        <f t="shared" si="98"/>
        <v>0.73422011697037071</v>
      </c>
      <c r="O415" s="434"/>
      <c r="P415" s="1133"/>
      <c r="Q415" s="137">
        <v>37.299999999999997</v>
      </c>
      <c r="R415" s="137">
        <v>1367.68</v>
      </c>
      <c r="S415" s="137">
        <v>1475.38</v>
      </c>
      <c r="T415" s="137">
        <v>134.81999999999971</v>
      </c>
      <c r="U415" s="137">
        <v>371.44000000000005</v>
      </c>
      <c r="V415" s="137">
        <v>189.88999999999987</v>
      </c>
      <c r="W415" s="141">
        <v>112.32000000000012</v>
      </c>
      <c r="X415" s="141">
        <v>88.680000000000248</v>
      </c>
      <c r="Y415" s="141">
        <v>70.009999999999721</v>
      </c>
      <c r="Z415" s="141">
        <v>127.59999999999991</v>
      </c>
      <c r="AA415" s="141">
        <v>379.76000000000022</v>
      </c>
      <c r="AB415" s="141">
        <v>1574.04</v>
      </c>
      <c r="AC415" s="141">
        <f>'[26]מאזן בוחן EUROPE'!AC424</f>
        <v>2398.6</v>
      </c>
      <c r="AD415" s="141">
        <f>'[27]מאזן בוחן EUROPE'!AD422</f>
        <v>33.75</v>
      </c>
      <c r="AE415" s="141">
        <f>'[28]מאזן בוחן EUROPE'!AE430</f>
        <v>42.5</v>
      </c>
      <c r="AF415" s="141">
        <f>'[29]מאזן בוחן EUROPE'!AF426</f>
        <v>129.11999999999989</v>
      </c>
      <c r="AG415" s="141">
        <f>'[30]מאזן בוחן EUROPE'!AG430</f>
        <v>0</v>
      </c>
      <c r="AH415" s="141">
        <f>'[31]מאזן בוחן EUROPE'!AH432</f>
        <v>71.880000000000109</v>
      </c>
      <c r="AI415" s="141">
        <v>171.15000000000009</v>
      </c>
      <c r="AJ415" s="141">
        <v>0</v>
      </c>
      <c r="AK415" s="141">
        <v>549.26000000000022</v>
      </c>
      <c r="AL415" s="141">
        <v>414.08999999999969</v>
      </c>
      <c r="AM415" s="141">
        <v>849.17000000000053</v>
      </c>
      <c r="AN415" s="141">
        <f>$K415-SUM($AC415:AM415)</f>
        <v>512.72999999999956</v>
      </c>
      <c r="AO415" s="141"/>
      <c r="AP415" s="141"/>
      <c r="AQ415" s="141"/>
      <c r="AR415" s="141"/>
      <c r="AS415" s="141"/>
      <c r="AT415" s="141"/>
      <c r="AU415" s="141"/>
      <c r="AV415" s="141"/>
      <c r="AW415" s="141"/>
      <c r="AX415" s="141"/>
      <c r="AY415" s="141"/>
      <c r="BE415" s="63"/>
    </row>
    <row r="416" spans="1:57">
      <c r="A416" s="52"/>
      <c r="B416" s="3659" t="s">
        <v>736</v>
      </c>
      <c r="C416" s="585">
        <v>7020037</v>
      </c>
      <c r="D416" s="45" t="s">
        <v>739</v>
      </c>
      <c r="E416" s="439">
        <f>IFERROR(VLOOKUP(C416,'פ.נ. EUROPE'!$D$164:$F$453,3,0),0)</f>
        <v>141103.09</v>
      </c>
      <c r="F416" s="518">
        <f>SUMIF('פ.נ. EUROPE'!C:C,C:C,'פ.נ. EUROPE'!E:E)</f>
        <v>0</v>
      </c>
      <c r="G416" s="517"/>
      <c r="H416" s="518"/>
      <c r="I416" s="517"/>
      <c r="J416" s="170">
        <f t="shared" si="97"/>
        <v>141103.09</v>
      </c>
      <c r="K416" s="98">
        <f>M416+SUMIF('פ.נ. EUROPE'!C:C,'מאזן בוחן EUROPE'!C416,'פ.נ. EUROPE'!F:F)</f>
        <v>192548.59</v>
      </c>
      <c r="L416" s="51"/>
      <c r="M416" s="98">
        <f>IFERROR(VLOOKUP(C416,'פ.נ. EUROPE'!$D$164:$H$353,4,0),"")</f>
        <v>192548.59</v>
      </c>
      <c r="N416" s="1104">
        <f t="shared" si="98"/>
        <v>0.7328180902285496</v>
      </c>
      <c r="O416" s="434"/>
      <c r="P416" s="1133"/>
      <c r="Q416" s="137">
        <v>39745.480000000003</v>
      </c>
      <c r="R416" s="137">
        <v>40835.299999999996</v>
      </c>
      <c r="S416" s="137">
        <v>17943</v>
      </c>
      <c r="T416" s="137">
        <v>0</v>
      </c>
      <c r="U416" s="137">
        <v>5000</v>
      </c>
      <c r="V416" s="137">
        <v>8880.6399999999921</v>
      </c>
      <c r="W416" s="141">
        <v>0</v>
      </c>
      <c r="X416" s="141">
        <v>429.91000000000349</v>
      </c>
      <c r="Y416" s="141">
        <v>5555.7099999999919</v>
      </c>
      <c r="Z416" s="141">
        <v>64834.850000000035</v>
      </c>
      <c r="AA416" s="141">
        <v>0</v>
      </c>
      <c r="AB416" s="141">
        <v>16630.349999999977</v>
      </c>
      <c r="AC416" s="141">
        <f>'[26]מאזן בוחן EUROPE'!AC425</f>
        <v>-42.34</v>
      </c>
      <c r="AD416" s="141">
        <f>'[27]מאזן בוחן EUROPE'!AD423</f>
        <v>13336.6</v>
      </c>
      <c r="AE416" s="141">
        <f>'[28]מאזן בוחן EUROPE'!AE431</f>
        <v>21264.119999999995</v>
      </c>
      <c r="AF416" s="141">
        <f>'[29]מאזן בוחן EUROPE'!AF427</f>
        <v>6597.7000000000044</v>
      </c>
      <c r="AG416" s="141">
        <f>'[30]מאזן בוחן EUROPE'!AG431</f>
        <v>-3582.0200000000041</v>
      </c>
      <c r="AH416" s="141">
        <f>'[31]מאזן בוחן EUROPE'!AH433</f>
        <v>37189.260000000009</v>
      </c>
      <c r="AI416" s="141">
        <v>189.33999999999651</v>
      </c>
      <c r="AJ416" s="141">
        <v>0</v>
      </c>
      <c r="AK416" s="141">
        <v>22374.239999999991</v>
      </c>
      <c r="AL416" s="141">
        <v>68963.929999999993</v>
      </c>
      <c r="AM416" s="141">
        <v>-507.92999999999302</v>
      </c>
      <c r="AN416" s="141">
        <f>$K416-SUM($AC416:AM416)</f>
        <v>26765.690000000002</v>
      </c>
      <c r="AO416" s="141"/>
      <c r="AP416" s="141"/>
      <c r="AQ416" s="141" t="s">
        <v>4338</v>
      </c>
      <c r="AR416" s="141" t="s">
        <v>4150</v>
      </c>
      <c r="AS416" s="141"/>
      <c r="AT416" s="141"/>
      <c r="AU416" s="141"/>
      <c r="AV416" s="141"/>
      <c r="AW416" s="141"/>
      <c r="AX416" s="141"/>
      <c r="AY416" s="141"/>
      <c r="BE416" s="63"/>
    </row>
    <row r="417" spans="1:57">
      <c r="A417" s="52"/>
      <c r="B417" s="3668"/>
      <c r="C417" s="156"/>
      <c r="D417" s="486"/>
      <c r="E417" s="171"/>
      <c r="F417" s="518"/>
      <c r="G417" s="517"/>
      <c r="H417" s="518"/>
      <c r="I417" s="517"/>
      <c r="J417" s="170"/>
      <c r="K417" s="98"/>
      <c r="L417" s="51"/>
      <c r="M417" s="98"/>
      <c r="N417" s="1104"/>
      <c r="O417" s="434"/>
      <c r="P417" s="1133"/>
      <c r="W417" s="141"/>
      <c r="X417" s="141"/>
      <c r="Y417" s="141"/>
      <c r="Z417" s="141"/>
      <c r="AA417" s="141"/>
      <c r="AB417" s="141"/>
      <c r="AC417" s="141"/>
      <c r="AD417" s="141"/>
      <c r="AE417" s="141"/>
      <c r="AF417" s="141"/>
      <c r="AG417" s="141"/>
      <c r="AH417" s="141"/>
      <c r="AI417" s="141"/>
      <c r="AJ417" s="141">
        <v>0</v>
      </c>
      <c r="AK417" s="141">
        <v>0</v>
      </c>
      <c r="AL417" s="141">
        <v>0</v>
      </c>
      <c r="AM417" s="141">
        <v>0</v>
      </c>
      <c r="AN417" s="141">
        <f>$K417-SUM($AC417:AM417)</f>
        <v>0</v>
      </c>
      <c r="AO417" s="141"/>
      <c r="AP417" s="141"/>
      <c r="AQ417" s="141"/>
      <c r="AR417" s="141"/>
      <c r="AS417" s="141"/>
      <c r="AT417" s="141"/>
      <c r="AU417" s="141"/>
      <c r="AV417" s="141"/>
      <c r="AW417" s="141"/>
      <c r="AX417" s="141"/>
      <c r="AY417" s="141"/>
      <c r="BE417" s="63"/>
    </row>
    <row r="418" spans="1:57">
      <c r="A418" s="52"/>
      <c r="B418" s="3668"/>
      <c r="C418" s="156"/>
      <c r="D418" s="486"/>
      <c r="E418" s="171"/>
      <c r="F418" s="518"/>
      <c r="G418" s="517"/>
      <c r="H418" s="518"/>
      <c r="I418" s="517"/>
      <c r="J418" s="170"/>
      <c r="K418" s="98"/>
      <c r="L418" s="51"/>
      <c r="M418" s="98"/>
      <c r="N418" s="1104"/>
      <c r="O418" s="434"/>
      <c r="P418" s="1133"/>
      <c r="Q418" s="137">
        <v>0</v>
      </c>
      <c r="R418" s="137">
        <v>0</v>
      </c>
      <c r="S418" s="137">
        <v>0</v>
      </c>
      <c r="T418" s="137">
        <v>0</v>
      </c>
      <c r="U418" s="137">
        <v>0</v>
      </c>
      <c r="V418" s="137">
        <v>0</v>
      </c>
      <c r="W418" s="141">
        <v>0</v>
      </c>
      <c r="X418" s="141">
        <v>0</v>
      </c>
      <c r="Y418" s="141">
        <v>0</v>
      </c>
      <c r="Z418" s="141">
        <v>0</v>
      </c>
      <c r="AA418" s="141">
        <v>0</v>
      </c>
      <c r="AB418" s="141"/>
      <c r="AC418" s="141">
        <f>'[26]מאזן בוחן EUROPE'!AC427</f>
        <v>0</v>
      </c>
      <c r="AD418" s="141">
        <f>'[27]מאזן בוחן EUROPE'!AD425</f>
        <v>0</v>
      </c>
      <c r="AE418" s="141">
        <f>'[28]מאזן בוחן EUROPE'!AE433</f>
        <v>0</v>
      </c>
      <c r="AF418" s="141">
        <f>'[29]מאזן בוחן EUROPE'!AF429</f>
        <v>0</v>
      </c>
      <c r="AG418" s="141">
        <f>'[30]מאזן בוחן EUROPE'!AG433</f>
        <v>0</v>
      </c>
      <c r="AH418" s="141">
        <f>'[31]מאזן בוחן EUROPE'!AH435</f>
        <v>0</v>
      </c>
      <c r="AI418" s="141">
        <v>0</v>
      </c>
      <c r="AJ418" s="141">
        <v>0</v>
      </c>
      <c r="AK418" s="141">
        <v>0</v>
      </c>
      <c r="AL418" s="141">
        <v>0</v>
      </c>
      <c r="AM418" s="141">
        <v>0</v>
      </c>
      <c r="AN418" s="141">
        <f>$K418-SUM($AC418:AM418)</f>
        <v>0</v>
      </c>
      <c r="AO418" s="141"/>
      <c r="AP418" s="141"/>
      <c r="AQ418" s="141"/>
      <c r="AR418" s="141"/>
      <c r="AS418" s="141"/>
      <c r="AT418" s="141"/>
      <c r="AU418" s="141"/>
      <c r="AV418" s="141"/>
      <c r="AW418" s="141"/>
      <c r="AX418" s="141"/>
      <c r="AY418" s="141"/>
      <c r="BE418" s="63"/>
    </row>
    <row r="419" spans="1:57" ht="13.5" thickBot="1">
      <c r="A419" s="52"/>
      <c r="B419" s="3668"/>
      <c r="C419" s="156"/>
      <c r="D419" s="75"/>
      <c r="E419" s="3313">
        <f t="shared" ref="E419:K419" si="99">SUM(E406:E418)</f>
        <v>226959.28000000003</v>
      </c>
      <c r="F419" s="1623">
        <f t="shared" si="99"/>
        <v>0</v>
      </c>
      <c r="G419" s="1351">
        <f t="shared" si="99"/>
        <v>0</v>
      </c>
      <c r="H419" s="1351">
        <f t="shared" si="99"/>
        <v>0</v>
      </c>
      <c r="I419" s="1351">
        <f t="shared" si="99"/>
        <v>0</v>
      </c>
      <c r="J419" s="1351">
        <f t="shared" si="99"/>
        <v>226959.28000000003</v>
      </c>
      <c r="K419" s="1351">
        <f t="shared" si="99"/>
        <v>310334.21999999997</v>
      </c>
      <c r="L419" s="336"/>
      <c r="M419" s="1351">
        <f>SUM(M406:M418)</f>
        <v>310334.21999999997</v>
      </c>
      <c r="N419" s="1104"/>
      <c r="O419" s="434"/>
      <c r="P419" s="1133"/>
      <c r="Q419" s="137">
        <v>41879.780000000006</v>
      </c>
      <c r="R419" s="137">
        <v>50940.80999999999</v>
      </c>
      <c r="S419" s="137">
        <v>24092.869999999988</v>
      </c>
      <c r="T419" s="137">
        <v>4726.4100000000035</v>
      </c>
      <c r="U419" s="137">
        <v>13779.070000000007</v>
      </c>
      <c r="V419" s="137">
        <v>16050.440000000002</v>
      </c>
      <c r="W419" s="141">
        <v>5678.9599999999846</v>
      </c>
      <c r="X419" s="141">
        <v>5777.070000000007</v>
      </c>
      <c r="Y419" s="141">
        <v>24770.519999999982</v>
      </c>
      <c r="Z419" s="141">
        <v>69414.110000000015</v>
      </c>
      <c r="AA419" s="141">
        <v>5681.6899999999732</v>
      </c>
      <c r="AB419" s="141"/>
      <c r="AC419" s="141">
        <f>'[26]מאזן בוחן EUROPE'!AC428</f>
        <v>7398.93</v>
      </c>
      <c r="AD419" s="141">
        <f>'[27]מאזן בוחן EUROPE'!AD426</f>
        <v>20094.72</v>
      </c>
      <c r="AE419" s="141">
        <f>'[28]מאזן בוחן EUROPE'!AE434</f>
        <v>26618.599999999991</v>
      </c>
      <c r="AF419" s="141">
        <f>'[29]מאזן בוחן EUROPE'!AF430</f>
        <v>12292.270000000011</v>
      </c>
      <c r="AG419" s="141">
        <f>'[30]מאזן בוחן EUROPE'!AG434</f>
        <v>3707.5</v>
      </c>
      <c r="AH419" s="141">
        <f>'[31]מאזן בוחן EUROPE'!AH436</f>
        <v>43274.900000000009</v>
      </c>
      <c r="AI419" s="141">
        <v>11743.199999999983</v>
      </c>
      <c r="AJ419" s="141">
        <v>11312.070000000007</v>
      </c>
      <c r="AK419" s="141">
        <v>34204.760000000009</v>
      </c>
      <c r="AL419" s="141">
        <v>89598.699999999983</v>
      </c>
      <c r="AM419" s="141">
        <v>11631.610000000015</v>
      </c>
      <c r="AN419" s="141">
        <f>$K419-SUM($AC419:AM419)</f>
        <v>38456.959999999963</v>
      </c>
      <c r="AO419" s="141"/>
      <c r="AP419" s="141"/>
      <c r="AQ419" s="141"/>
      <c r="AR419" s="141"/>
      <c r="AS419" s="141">
        <v>16459.18</v>
      </c>
      <c r="AT419" s="141"/>
      <c r="AU419" s="141"/>
      <c r="AV419" s="141"/>
      <c r="AW419" s="141"/>
      <c r="AX419" s="141"/>
      <c r="AY419" s="141"/>
      <c r="BE419" s="63"/>
    </row>
    <row r="420" spans="1:57">
      <c r="A420" s="52"/>
      <c r="B420" s="3668"/>
      <c r="C420" s="156"/>
      <c r="D420" s="48"/>
      <c r="F420" s="518"/>
      <c r="G420" s="517"/>
      <c r="H420" s="518"/>
      <c r="I420" s="517"/>
      <c r="J420" s="168"/>
      <c r="K420" s="97"/>
      <c r="L420" s="51"/>
      <c r="M420" s="97"/>
      <c r="N420" s="1104"/>
      <c r="O420" s="434"/>
      <c r="P420" s="1133"/>
      <c r="Q420" s="137">
        <v>0</v>
      </c>
      <c r="R420" s="137">
        <v>0</v>
      </c>
      <c r="S420" s="137">
        <v>0</v>
      </c>
      <c r="T420" s="137">
        <v>0</v>
      </c>
      <c r="U420" s="137">
        <v>0</v>
      </c>
      <c r="V420" s="137">
        <v>0</v>
      </c>
      <c r="W420" s="141">
        <v>0</v>
      </c>
      <c r="X420" s="141">
        <v>0</v>
      </c>
      <c r="Y420" s="141">
        <v>0</v>
      </c>
      <c r="Z420" s="141">
        <v>0</v>
      </c>
      <c r="AA420" s="141">
        <v>0</v>
      </c>
      <c r="AB420" s="141"/>
      <c r="AC420" s="141">
        <f>'[26]מאזן בוחן EUROPE'!AC429</f>
        <v>0</v>
      </c>
      <c r="AD420" s="141">
        <f>'[27]מאזן בוחן EUROPE'!AD427</f>
        <v>0</v>
      </c>
      <c r="AE420" s="141">
        <f>'[28]מאזן בוחן EUROPE'!AE435</f>
        <v>0</v>
      </c>
      <c r="AF420" s="141">
        <f>'[29]מאזן בוחן EUROPE'!AF431</f>
        <v>0</v>
      </c>
      <c r="AG420" s="141">
        <f>'[30]מאזן בוחן EUROPE'!AG435</f>
        <v>0</v>
      </c>
      <c r="AH420" s="141">
        <f>'[31]מאזן בוחן EUROPE'!AH437</f>
        <v>0</v>
      </c>
      <c r="AI420" s="141">
        <v>0</v>
      </c>
      <c r="AJ420" s="141">
        <v>0</v>
      </c>
      <c r="AK420" s="141">
        <v>0</v>
      </c>
      <c r="AL420" s="141">
        <v>0</v>
      </c>
      <c r="AM420" s="141">
        <v>0</v>
      </c>
      <c r="AN420" s="141">
        <f>$K420-SUM($AC420:AM420)</f>
        <v>0</v>
      </c>
      <c r="AO420" s="141"/>
      <c r="AP420" s="141"/>
      <c r="AQ420" s="141"/>
      <c r="AR420" s="141"/>
      <c r="AS420" s="141">
        <v>3005.76</v>
      </c>
      <c r="AT420" s="141"/>
      <c r="AU420" s="141"/>
      <c r="AV420" s="141"/>
      <c r="AW420" s="141"/>
      <c r="AX420" s="141"/>
      <c r="AY420" s="141"/>
      <c r="BE420" s="63"/>
    </row>
    <row r="421" spans="1:57">
      <c r="A421" s="52"/>
      <c r="B421" s="3668"/>
      <c r="C421" s="156"/>
      <c r="D421" s="50" t="s">
        <v>87</v>
      </c>
      <c r="F421" s="518"/>
      <c r="G421" s="517"/>
      <c r="H421" s="518"/>
      <c r="I421" s="517"/>
      <c r="J421" s="168"/>
      <c r="K421" s="97"/>
      <c r="L421" s="51"/>
      <c r="M421" s="97"/>
      <c r="N421" s="1104"/>
      <c r="O421" s="434"/>
      <c r="P421" s="1133"/>
      <c r="Q421" s="137">
        <v>0</v>
      </c>
      <c r="R421" s="137">
        <v>0</v>
      </c>
      <c r="S421" s="137">
        <v>0</v>
      </c>
      <c r="T421" s="137">
        <v>0</v>
      </c>
      <c r="U421" s="137">
        <v>0</v>
      </c>
      <c r="V421" s="137">
        <v>0</v>
      </c>
      <c r="W421" s="141">
        <v>0</v>
      </c>
      <c r="X421" s="141">
        <v>0</v>
      </c>
      <c r="Y421" s="141">
        <v>0</v>
      </c>
      <c r="Z421" s="141">
        <v>0</v>
      </c>
      <c r="AA421" s="141">
        <v>0</v>
      </c>
      <c r="AB421" s="141"/>
      <c r="AC421" s="141">
        <f>'[26]מאזן בוחן EUROPE'!AC430</f>
        <v>0</v>
      </c>
      <c r="AD421" s="141">
        <f>'[27]מאזן בוחן EUROPE'!AD428</f>
        <v>0</v>
      </c>
      <c r="AE421" s="141">
        <f>'[28]מאזן בוחן EUROPE'!AE436</f>
        <v>0</v>
      </c>
      <c r="AF421" s="141">
        <f>'[29]מאזן בוחן EUROPE'!AF432</f>
        <v>0</v>
      </c>
      <c r="AG421" s="141">
        <f>'[30]מאזן בוחן EUROPE'!AG436</f>
        <v>0</v>
      </c>
      <c r="AH421" s="141">
        <f>'[31]מאזן בוחן EUROPE'!AH438</f>
        <v>0</v>
      </c>
      <c r="AI421" s="141">
        <v>0</v>
      </c>
      <c r="AJ421" s="141">
        <v>0</v>
      </c>
      <c r="AK421" s="141">
        <v>0</v>
      </c>
      <c r="AL421" s="141">
        <v>0</v>
      </c>
      <c r="AM421" s="141">
        <v>0</v>
      </c>
      <c r="AN421" s="141">
        <f>$K421-SUM($AC421:AM421)</f>
        <v>0</v>
      </c>
      <c r="AO421" s="141"/>
      <c r="AP421" s="141"/>
      <c r="AQ421" s="141"/>
      <c r="AR421" s="141"/>
      <c r="AS421" s="141">
        <v>-22441.67</v>
      </c>
      <c r="AT421" s="141"/>
      <c r="AU421" s="141"/>
      <c r="AV421" s="141"/>
      <c r="AW421" s="141"/>
      <c r="AX421" s="141"/>
      <c r="AY421" s="141"/>
      <c r="BE421" s="63"/>
    </row>
    <row r="422" spans="1:57">
      <c r="A422" s="52"/>
      <c r="B422" s="3668"/>
      <c r="C422" s="156"/>
      <c r="D422" s="48"/>
      <c r="F422" s="518"/>
      <c r="G422" s="517"/>
      <c r="H422" s="1321"/>
      <c r="I422" s="517"/>
      <c r="J422" s="168"/>
      <c r="K422" s="97"/>
      <c r="L422" s="51"/>
      <c r="M422" s="97"/>
      <c r="N422" s="1104"/>
      <c r="O422" s="434"/>
      <c r="P422" s="1133"/>
      <c r="Q422" s="137">
        <v>0</v>
      </c>
      <c r="R422" s="137">
        <v>0</v>
      </c>
      <c r="S422" s="137">
        <v>0</v>
      </c>
      <c r="T422" s="137">
        <v>0</v>
      </c>
      <c r="U422" s="137">
        <v>0</v>
      </c>
      <c r="V422" s="137">
        <v>0</v>
      </c>
      <c r="W422" s="141">
        <v>0</v>
      </c>
      <c r="X422" s="141">
        <v>0</v>
      </c>
      <c r="Y422" s="141">
        <v>0</v>
      </c>
      <c r="Z422" s="141">
        <v>0</v>
      </c>
      <c r="AA422" s="141">
        <v>0</v>
      </c>
      <c r="AB422" s="141"/>
      <c r="AC422" s="141">
        <f>'[26]מאזן בוחן EUROPE'!AC431</f>
        <v>0</v>
      </c>
      <c r="AD422" s="141">
        <f>'[27]מאזן בוחן EUROPE'!AD429</f>
        <v>0</v>
      </c>
      <c r="AE422" s="141">
        <f>'[28]מאזן בוחן EUROPE'!AE437</f>
        <v>0</v>
      </c>
      <c r="AF422" s="141">
        <f>'[29]מאזן בוחן EUROPE'!AF433</f>
        <v>0</v>
      </c>
      <c r="AG422" s="141">
        <f>'[30]מאזן בוחן EUROPE'!AG437</f>
        <v>0</v>
      </c>
      <c r="AH422" s="141">
        <f>'[31]מאזן בוחן EUROPE'!AH439</f>
        <v>0</v>
      </c>
      <c r="AI422" s="141">
        <v>0</v>
      </c>
      <c r="AJ422" s="141">
        <v>0</v>
      </c>
      <c r="AK422" s="141">
        <v>0</v>
      </c>
      <c r="AL422" s="141">
        <v>0</v>
      </c>
      <c r="AM422" s="141">
        <v>0</v>
      </c>
      <c r="AN422" s="141">
        <f>$K422-SUM($AC422:AM422)</f>
        <v>0</v>
      </c>
      <c r="AO422" s="141"/>
      <c r="AP422" s="141"/>
      <c r="AQ422" s="141"/>
      <c r="AR422" s="3391"/>
      <c r="AS422" s="141">
        <v>-3257.18</v>
      </c>
      <c r="AT422" s="141"/>
      <c r="AU422" s="141"/>
      <c r="AV422" s="141"/>
      <c r="AW422" s="141"/>
      <c r="AX422" s="141"/>
      <c r="AY422" s="141"/>
      <c r="BE422" s="63"/>
    </row>
    <row r="423" spans="1:57" ht="13.5" thickBot="1">
      <c r="A423" s="52"/>
      <c r="B423" s="3668"/>
      <c r="C423" s="156"/>
      <c r="D423" s="75"/>
      <c r="E423" s="3313">
        <f t="shared" ref="E423:K423" si="100">SUM(E422:E422)</f>
        <v>0</v>
      </c>
      <c r="F423" s="3306">
        <f t="shared" si="100"/>
        <v>0</v>
      </c>
      <c r="G423" s="1206">
        <f t="shared" si="100"/>
        <v>0</v>
      </c>
      <c r="H423" s="1206">
        <f t="shared" si="100"/>
        <v>0</v>
      </c>
      <c r="I423" s="1206">
        <f t="shared" si="100"/>
        <v>0</v>
      </c>
      <c r="J423" s="1351">
        <f t="shared" si="100"/>
        <v>0</v>
      </c>
      <c r="K423" s="1351">
        <f t="shared" si="100"/>
        <v>0</v>
      </c>
      <c r="L423" s="336"/>
      <c r="M423" s="1351">
        <f>SUM(M422:M422)</f>
        <v>0</v>
      </c>
      <c r="N423" s="1104"/>
      <c r="O423" s="434"/>
      <c r="P423" s="1133"/>
      <c r="Q423" s="137">
        <v>0</v>
      </c>
      <c r="R423" s="137">
        <v>0</v>
      </c>
      <c r="S423" s="137">
        <v>0</v>
      </c>
      <c r="T423" s="137">
        <v>0</v>
      </c>
      <c r="U423" s="137">
        <v>0</v>
      </c>
      <c r="V423" s="137">
        <v>0</v>
      </c>
      <c r="W423" s="141">
        <v>0</v>
      </c>
      <c r="X423" s="141">
        <v>0</v>
      </c>
      <c r="Y423" s="141">
        <v>0</v>
      </c>
      <c r="Z423" s="141">
        <v>0</v>
      </c>
      <c r="AA423" s="141">
        <v>0</v>
      </c>
      <c r="AB423" s="141"/>
      <c r="AC423" s="141">
        <f>'[26]מאזן בוחן EUROPE'!AC432</f>
        <v>0</v>
      </c>
      <c r="AD423" s="141">
        <f>'[27]מאזן בוחן EUROPE'!AD430</f>
        <v>0</v>
      </c>
      <c r="AE423" s="141">
        <f>'[28]מאזן בוחן EUROPE'!AE438</f>
        <v>0</v>
      </c>
      <c r="AF423" s="141">
        <f>'[29]מאזן בוחן EUROPE'!AF434</f>
        <v>0</v>
      </c>
      <c r="AG423" s="141">
        <f>'[30]מאזן בוחן EUROPE'!AG438</f>
        <v>0</v>
      </c>
      <c r="AH423" s="141">
        <f>'[31]מאזן בוחן EUROPE'!AH440</f>
        <v>0</v>
      </c>
      <c r="AI423" s="141">
        <v>0</v>
      </c>
      <c r="AJ423" s="141">
        <v>0</v>
      </c>
      <c r="AK423" s="141">
        <v>0</v>
      </c>
      <c r="AL423" s="141">
        <v>0</v>
      </c>
      <c r="AM423" s="141">
        <v>0</v>
      </c>
      <c r="AN423" s="141">
        <f>$K423-SUM($AC423:AM423)</f>
        <v>0</v>
      </c>
      <c r="AO423" s="141"/>
      <c r="AP423" s="141"/>
      <c r="AQ423" s="141"/>
      <c r="AR423" s="3391"/>
      <c r="AS423" s="141"/>
      <c r="AT423" s="141"/>
      <c r="AU423" s="141"/>
      <c r="AV423" s="141"/>
      <c r="AW423" s="141"/>
      <c r="AX423" s="141"/>
      <c r="AY423" s="141"/>
      <c r="BE423" s="63"/>
    </row>
    <row r="424" spans="1:57">
      <c r="A424" s="52"/>
      <c r="B424" s="3659"/>
      <c r="C424" s="156"/>
      <c r="D424" s="48"/>
      <c r="J424" s="440"/>
      <c r="K424" s="446"/>
      <c r="L424" s="51"/>
      <c r="M424" s="446"/>
      <c r="N424" s="1104"/>
      <c r="O424" s="434"/>
      <c r="P424" s="1133"/>
      <c r="Q424" s="137">
        <v>0</v>
      </c>
      <c r="R424" s="137">
        <v>0</v>
      </c>
      <c r="S424" s="137">
        <v>0</v>
      </c>
      <c r="T424" s="137">
        <v>0</v>
      </c>
      <c r="U424" s="137">
        <v>0</v>
      </c>
      <c r="V424" s="137">
        <v>0</v>
      </c>
      <c r="W424" s="141">
        <v>0</v>
      </c>
      <c r="X424" s="141">
        <v>0</v>
      </c>
      <c r="Y424" s="141">
        <v>0</v>
      </c>
      <c r="Z424" s="141">
        <v>0</v>
      </c>
      <c r="AA424" s="141">
        <v>0</v>
      </c>
      <c r="AB424" s="141"/>
      <c r="AC424" s="141">
        <f>'[26]מאזן בוחן EUROPE'!AC433</f>
        <v>0</v>
      </c>
      <c r="AD424" s="141">
        <f>'[27]מאזן בוחן EUROPE'!AD431</f>
        <v>0</v>
      </c>
      <c r="AE424" s="141">
        <f>'[28]מאזן בוחן EUROPE'!AE439</f>
        <v>0</v>
      </c>
      <c r="AF424" s="141">
        <f>'[29]מאזן בוחן EUROPE'!AF435</f>
        <v>0</v>
      </c>
      <c r="AG424" s="141">
        <f>'[30]מאזן בוחן EUROPE'!AG439</f>
        <v>0</v>
      </c>
      <c r="AH424" s="141">
        <f>'[31]מאזן בוחן EUROPE'!AH441</f>
        <v>0</v>
      </c>
      <c r="AI424" s="141">
        <v>0</v>
      </c>
      <c r="AJ424" s="141">
        <v>0</v>
      </c>
      <c r="AK424" s="141">
        <v>0</v>
      </c>
      <c r="AL424" s="141">
        <v>0</v>
      </c>
      <c r="AM424" s="141">
        <v>0</v>
      </c>
      <c r="AN424" s="141">
        <f>$K424-SUM($AC424:AM424)</f>
        <v>0</v>
      </c>
      <c r="AO424" s="141"/>
      <c r="AP424" s="141"/>
      <c r="AQ424" s="141"/>
      <c r="AR424" s="3391"/>
      <c r="AS424" s="141"/>
      <c r="AT424" s="141"/>
      <c r="AU424" s="141"/>
      <c r="AV424" s="141"/>
      <c r="AW424" s="141"/>
      <c r="AX424" s="141"/>
      <c r="AY424" s="141"/>
      <c r="BE424" s="63"/>
    </row>
    <row r="425" spans="1:57">
      <c r="A425" s="52"/>
      <c r="B425" s="3659"/>
      <c r="C425" s="156"/>
      <c r="D425" s="70" t="s">
        <v>579</v>
      </c>
      <c r="E425" s="79"/>
      <c r="F425" s="168"/>
      <c r="G425" s="98"/>
      <c r="H425" s="168"/>
      <c r="I425" s="98"/>
      <c r="J425" s="168"/>
      <c r="K425" s="98"/>
      <c r="L425" s="51"/>
      <c r="M425" s="98"/>
      <c r="N425" s="1104"/>
      <c r="O425" s="434"/>
      <c r="P425" s="1133"/>
      <c r="Q425" s="137">
        <v>0</v>
      </c>
      <c r="R425" s="137">
        <v>0</v>
      </c>
      <c r="S425" s="137">
        <v>0</v>
      </c>
      <c r="T425" s="137">
        <v>0</v>
      </c>
      <c r="U425" s="137">
        <v>0</v>
      </c>
      <c r="V425" s="137">
        <v>0</v>
      </c>
      <c r="W425" s="141">
        <v>0</v>
      </c>
      <c r="X425" s="141">
        <v>0</v>
      </c>
      <c r="Y425" s="141">
        <v>0</v>
      </c>
      <c r="Z425" s="141">
        <v>0</v>
      </c>
      <c r="AA425" s="141">
        <v>0</v>
      </c>
      <c r="AB425" s="141"/>
      <c r="AC425" s="141">
        <f>'[26]מאזן בוחן EUROPE'!AC434</f>
        <v>0</v>
      </c>
      <c r="AD425" s="141">
        <f>'[27]מאזן בוחן EUROPE'!AD432</f>
        <v>0</v>
      </c>
      <c r="AE425" s="141">
        <f>'[28]מאזן בוחן EUROPE'!AE440</f>
        <v>0</v>
      </c>
      <c r="AF425" s="141">
        <f>'[29]מאזן בוחן EUROPE'!AF436</f>
        <v>0</v>
      </c>
      <c r="AG425" s="141">
        <f>'[30]מאזן בוחן EUROPE'!AG440</f>
        <v>0</v>
      </c>
      <c r="AH425" s="141">
        <f>'[31]מאזן בוחן EUROPE'!AH442</f>
        <v>0</v>
      </c>
      <c r="AI425" s="141">
        <v>0</v>
      </c>
      <c r="AJ425" s="141">
        <v>0</v>
      </c>
      <c r="AK425" s="141">
        <v>0</v>
      </c>
      <c r="AL425" s="141">
        <v>0</v>
      </c>
      <c r="AM425" s="141">
        <v>0</v>
      </c>
      <c r="AN425" s="141">
        <f>$K425-SUM($AC425:AM425)</f>
        <v>0</v>
      </c>
      <c r="AO425" s="141"/>
      <c r="AP425" s="141"/>
      <c r="AQ425" s="141"/>
      <c r="AR425" s="3391"/>
      <c r="AS425" s="141"/>
      <c r="AT425" s="141"/>
      <c r="AU425" s="141"/>
      <c r="AV425" s="141"/>
      <c r="AW425" s="141"/>
      <c r="AX425" s="141"/>
      <c r="AY425" s="141"/>
      <c r="BE425" s="63"/>
    </row>
    <row r="426" spans="1:57">
      <c r="A426" s="52"/>
      <c r="B426" s="3659"/>
      <c r="C426" s="156"/>
      <c r="D426" s="50" t="s">
        <v>219</v>
      </c>
      <c r="J426" s="170"/>
      <c r="K426" s="98"/>
      <c r="L426" s="51"/>
      <c r="M426" s="98"/>
      <c r="N426" s="1104"/>
      <c r="O426" s="434"/>
      <c r="P426" s="1133"/>
      <c r="Q426" s="137">
        <v>0</v>
      </c>
      <c r="R426" s="137">
        <v>0</v>
      </c>
      <c r="S426" s="137">
        <v>0</v>
      </c>
      <c r="T426" s="137">
        <v>0</v>
      </c>
      <c r="U426" s="137">
        <v>0</v>
      </c>
      <c r="V426" s="137">
        <v>0</v>
      </c>
      <c r="W426" s="141">
        <v>0</v>
      </c>
      <c r="X426" s="141">
        <v>0</v>
      </c>
      <c r="Y426" s="141">
        <v>0</v>
      </c>
      <c r="Z426" s="141">
        <v>0</v>
      </c>
      <c r="AA426" s="141">
        <v>0</v>
      </c>
      <c r="AB426" s="141">
        <v>0</v>
      </c>
      <c r="AC426" s="141">
        <f>'[26]מאזן בוחן EUROPE'!AC435</f>
        <v>0</v>
      </c>
      <c r="AD426" s="141">
        <f>'[27]מאזן בוחן EUROPE'!AD433</f>
        <v>0</v>
      </c>
      <c r="AE426" s="141">
        <f>'[28]מאזן בוחן EUROPE'!AE441</f>
        <v>0</v>
      </c>
      <c r="AF426" s="141">
        <f>'[29]מאזן בוחן EUROPE'!AF437</f>
        <v>0</v>
      </c>
      <c r="AG426" s="141">
        <f>'[30]מאזן בוחן EUROPE'!AG441</f>
        <v>0</v>
      </c>
      <c r="AH426" s="141">
        <f>'[31]מאזן בוחן EUROPE'!AH443</f>
        <v>0</v>
      </c>
      <c r="AI426" s="141">
        <v>0</v>
      </c>
      <c r="AJ426" s="141">
        <v>0</v>
      </c>
      <c r="AK426" s="141">
        <v>0</v>
      </c>
      <c r="AL426" s="141">
        <v>0</v>
      </c>
      <c r="AM426" s="141">
        <v>0</v>
      </c>
      <c r="AN426" s="141">
        <f>$K426-SUM($AC426:AM426)</f>
        <v>0</v>
      </c>
      <c r="AO426" s="141"/>
      <c r="AP426" s="141"/>
      <c r="AQ426" s="141"/>
      <c r="AR426" s="3391"/>
      <c r="AS426" s="141"/>
      <c r="AT426" s="141"/>
      <c r="AU426" s="141"/>
      <c r="AV426" s="141"/>
      <c r="AW426" s="141"/>
      <c r="AX426" s="141"/>
      <c r="AY426" s="141"/>
      <c r="BD426" s="2811"/>
      <c r="BE426" s="63"/>
    </row>
    <row r="427" spans="1:57" ht="15" thickBot="1">
      <c r="A427" s="52"/>
      <c r="B427" s="3659" t="s">
        <v>741</v>
      </c>
      <c r="C427" s="585">
        <v>7110001</v>
      </c>
      <c r="D427" s="169" t="s">
        <v>742</v>
      </c>
      <c r="E427" s="439">
        <f>IFERROR(VLOOKUP(C427,'פ.נ. EUROPE'!$D$164:$F$3251,3,0),0)</f>
        <v>606184.49</v>
      </c>
      <c r="F427" s="976">
        <f>SUMIF('פ.נ. EUROPE'!C:C,C:C,'פ.נ. EUROPE'!E:E)</f>
        <v>0</v>
      </c>
      <c r="G427" s="1213"/>
      <c r="H427" s="976"/>
      <c r="I427" s="1213"/>
      <c r="J427" s="170">
        <f>SUM(E427:I427)</f>
        <v>606184.49</v>
      </c>
      <c r="K427" s="98">
        <f>M427+SUMIF('פ.נ. EUROPE'!C:C,'מאזן בוחן EUROPE'!C427,'פ.נ. EUROPE'!F:F)</f>
        <v>832812.71</v>
      </c>
      <c r="L427" s="51"/>
      <c r="M427" s="98">
        <f>IFERROR(VLOOKUP(C427,'פ.נ. EUROPE'!$D$164:$H$3424,4,0),"")</f>
        <v>832812.71</v>
      </c>
      <c r="N427" s="1104">
        <f>IF(K427=0,"-",J427/K427)</f>
        <v>0.72787612715468764</v>
      </c>
      <c r="O427" s="434"/>
      <c r="P427" s="1133"/>
      <c r="Q427" s="137">
        <v>104075.26</v>
      </c>
      <c r="R427" s="137">
        <v>64529.479999999996</v>
      </c>
      <c r="S427" s="137">
        <v>64583.700000000026</v>
      </c>
      <c r="T427" s="137">
        <v>82086.33</v>
      </c>
      <c r="U427" s="137">
        <v>78588.750000000015</v>
      </c>
      <c r="V427" s="137">
        <v>72406.149999999951</v>
      </c>
      <c r="W427" s="141">
        <v>64975.680000000008</v>
      </c>
      <c r="X427" s="141">
        <v>71619.73</v>
      </c>
      <c r="Y427" s="141">
        <v>67593.050000000061</v>
      </c>
      <c r="Z427" s="141">
        <v>72994.209999999963</v>
      </c>
      <c r="AA427" s="141">
        <v>67330.239999999991</v>
      </c>
      <c r="AB427" s="141">
        <v>63630.410000000033</v>
      </c>
      <c r="AC427" s="141">
        <f>'[26]מאזן בוחן EUROPE'!AC436</f>
        <v>66539.98</v>
      </c>
      <c r="AD427" s="141">
        <f>'[27]מאזן בוחן EUROPE'!AD434</f>
        <v>50526.260000000009</v>
      </c>
      <c r="AE427" s="141">
        <f>'[28]מאזן בוחן EUROPE'!AE442</f>
        <v>51940.279999999984</v>
      </c>
      <c r="AF427" s="141">
        <f>'[29]מאזן בוחן EUROPE'!AF438</f>
        <v>60933.48000000001</v>
      </c>
      <c r="AG427" s="141">
        <f>'[30]מאזן בוחן EUROPE'!AG442</f>
        <v>71367.780000000028</v>
      </c>
      <c r="AH427" s="141">
        <f>'[31]מאזן בוחן EUROPE'!AH444</f>
        <v>59759.989999999991</v>
      </c>
      <c r="AI427" s="141">
        <v>59281.299999999988</v>
      </c>
      <c r="AJ427" s="141">
        <v>115709.12999999995</v>
      </c>
      <c r="AK427" s="141">
        <v>89380.220000000088</v>
      </c>
      <c r="AL427" s="141">
        <v>47794.279999999912</v>
      </c>
      <c r="AM427" s="141">
        <v>80161.770000000019</v>
      </c>
      <c r="AN427" s="141">
        <f>$K427-SUM($AC427:AM427)</f>
        <v>79418.239999999991</v>
      </c>
      <c r="AO427" s="141"/>
      <c r="AP427" s="141"/>
      <c r="AQ427" s="3256" t="s">
        <v>4342</v>
      </c>
      <c r="AR427" s="3391" t="s">
        <v>4144</v>
      </c>
      <c r="AS427" s="141"/>
      <c r="AT427" s="141"/>
      <c r="AU427" s="3098" t="s">
        <v>3740</v>
      </c>
      <c r="AV427" s="141" t="s">
        <v>3608</v>
      </c>
      <c r="AW427" s="141"/>
      <c r="AX427" s="141" t="s">
        <v>3361</v>
      </c>
      <c r="AY427" s="141" t="s">
        <v>3065</v>
      </c>
      <c r="BE427" s="63"/>
    </row>
    <row r="428" spans="1:57" ht="13.5" thickBot="1">
      <c r="A428" s="52"/>
      <c r="B428" s="3659" t="s">
        <v>741</v>
      </c>
      <c r="C428" s="585">
        <v>7110002</v>
      </c>
      <c r="D428" s="169" t="s">
        <v>743</v>
      </c>
      <c r="E428" s="439">
        <f>IFERROR(VLOOKUP(C428,'פ.נ. EUROPE'!$D$164:$F$3251,3,0),0)</f>
        <v>30066.26</v>
      </c>
      <c r="F428" s="439">
        <f>SUMIF('פ.נ. EUROPE'!C:C,C:C,'פ.נ. EUROPE'!E:E)</f>
        <v>0</v>
      </c>
      <c r="G428" s="1213"/>
      <c r="H428" s="976"/>
      <c r="I428" s="1213"/>
      <c r="J428" s="170">
        <f t="shared" ref="J428:J449" si="101">SUM(E428:I428)</f>
        <v>30066.26</v>
      </c>
      <c r="K428" s="98">
        <f>M428+SUMIF('פ.נ. EUROPE'!C:C,'מאזן בוחן EUROPE'!C428,'פ.נ. EUROPE'!F:F)</f>
        <v>41084.44</v>
      </c>
      <c r="L428" s="51"/>
      <c r="M428" s="98">
        <f>IFERROR(VLOOKUP(C428,'פ.נ. EUROPE'!$D$164:$H$3424,4,0),"")</f>
        <v>41084.44</v>
      </c>
      <c r="N428" s="1104">
        <f t="shared" ref="N428:N449" si="102">IF(K428=0,"-",J428/K428)</f>
        <v>0.73181623018349518</v>
      </c>
      <c r="O428" s="434"/>
      <c r="P428" s="1133"/>
      <c r="Q428" s="137">
        <v>4375</v>
      </c>
      <c r="R428" s="137">
        <v>-2407.1999999999998</v>
      </c>
      <c r="S428" s="137">
        <v>3425</v>
      </c>
      <c r="T428" s="137">
        <v>3425</v>
      </c>
      <c r="U428" s="137">
        <v>3425</v>
      </c>
      <c r="V428" s="137">
        <v>3425</v>
      </c>
      <c r="W428" s="141">
        <v>3425</v>
      </c>
      <c r="X428" s="141">
        <v>3424.9999999999991</v>
      </c>
      <c r="Y428" s="141">
        <v>5635</v>
      </c>
      <c r="Z428" s="141">
        <v>3425</v>
      </c>
      <c r="AA428" s="141">
        <v>3425.0000000000036</v>
      </c>
      <c r="AB428" s="141">
        <v>-26758.000000000004</v>
      </c>
      <c r="AC428" s="141">
        <f>'[26]מאזן בוחן EUROPE'!AC437</f>
        <v>641.04</v>
      </c>
      <c r="AD428" s="141">
        <f>'[27]מאזן בוחן EUROPE'!AD435</f>
        <v>758.05</v>
      </c>
      <c r="AE428" s="141">
        <f>'[28]מאזן בוחן EUROPE'!AE443</f>
        <v>8502.3799999999992</v>
      </c>
      <c r="AF428" s="141">
        <f>'[29]מאזן בוחן EUROPE'!AF439</f>
        <v>3266</v>
      </c>
      <c r="AG428" s="141">
        <f>'[30]מאזן בוחן EUROPE'!AG443</f>
        <v>3266.0000000000018</v>
      </c>
      <c r="AH428" s="141">
        <f>'[31]מאזן בוחן EUROPE'!AH445</f>
        <v>3266</v>
      </c>
      <c r="AI428" s="141">
        <v>3266</v>
      </c>
      <c r="AJ428" s="141">
        <v>3266</v>
      </c>
      <c r="AK428" s="141">
        <v>3266</v>
      </c>
      <c r="AL428" s="141">
        <v>3266</v>
      </c>
      <c r="AM428" s="141">
        <v>3266</v>
      </c>
      <c r="AN428" s="141">
        <f>$K428-SUM($AC428:AM428)</f>
        <v>5054.9700000000012</v>
      </c>
      <c r="AO428" s="141"/>
      <c r="AP428" s="141"/>
      <c r="AQ428" s="141"/>
      <c r="AR428" s="3391"/>
      <c r="AS428" s="141"/>
      <c r="AT428" s="141"/>
      <c r="AU428" s="141"/>
      <c r="AV428" s="141"/>
      <c r="AW428" s="141"/>
      <c r="AX428" s="2933">
        <f>AD428+AD435+AD444+AD445+AD429+AD450-('Accrued expenses'!E155-'Accrued expenses'!D155)</f>
        <v>-1383.7299999999996</v>
      </c>
      <c r="AY428" s="141"/>
      <c r="BE428" s="63"/>
    </row>
    <row r="429" spans="1:57" ht="13.5" thickBot="1">
      <c r="A429" s="52"/>
      <c r="B429" s="3659" t="s">
        <v>1137</v>
      </c>
      <c r="C429" s="585">
        <v>7110005</v>
      </c>
      <c r="D429" s="203" t="s">
        <v>2954</v>
      </c>
      <c r="E429" s="439">
        <f>IFERROR(VLOOKUP(C429,'פ.נ. EUROPE'!$D$164:$F$3251,3,0),0)</f>
        <v>-5936.81</v>
      </c>
      <c r="F429" s="976">
        <f>SUMIF('פ.נ. EUROPE'!C:C,C:C,'פ.נ. EUROPE'!E:E)</f>
        <v>0</v>
      </c>
      <c r="G429" s="1213"/>
      <c r="H429" s="976"/>
      <c r="I429" s="1213"/>
      <c r="J429" s="170">
        <f>SUM(E429:I429)</f>
        <v>-5936.81</v>
      </c>
      <c r="K429" s="98">
        <f>M429+SUMIF('פ.נ. EUROPE'!C:C,'מאזן בוחן EUROPE'!C429,'פ.נ. EUROPE'!F:F)</f>
        <v>-6854.9</v>
      </c>
      <c r="L429" s="51"/>
      <c r="M429" s="98">
        <f>IFERROR(VLOOKUP(C429,'פ.נ. EUROPE'!$D$164:$H$3424,4,0),"")</f>
        <v>-6854.9</v>
      </c>
      <c r="N429" s="1104">
        <f>IF(K429=0,"-",J429/K429)</f>
        <v>0.86606806809727355</v>
      </c>
      <c r="O429" s="434"/>
      <c r="P429" s="469"/>
      <c r="W429" s="141"/>
      <c r="X429" s="141"/>
      <c r="Y429" s="141"/>
      <c r="Z429" s="141">
        <v>0</v>
      </c>
      <c r="AA429" s="141">
        <v>755.44</v>
      </c>
      <c r="AB429" s="141">
        <v>56134.99</v>
      </c>
      <c r="AC429" s="141">
        <f>'[26]מאזן בוחן EUROPE'!AC452</f>
        <v>0</v>
      </c>
      <c r="AD429" s="141">
        <f>'[27]מאזן בוחן EUROPE'!AD450</f>
        <v>-6942.27</v>
      </c>
      <c r="AE429" s="141">
        <f>'[28]מאזן בוחן EUROPE'!AE458</f>
        <v>0</v>
      </c>
      <c r="AF429" s="141">
        <f>'[29]מאזן בוחן EUROPE'!AF454</f>
        <v>0</v>
      </c>
      <c r="AG429" s="141">
        <f>'[30]מאזן בוחן EUROPE'!AG458</f>
        <v>0</v>
      </c>
      <c r="AH429" s="141">
        <f>'[31]מאזן בוחן EUROPE'!AH460</f>
        <v>0</v>
      </c>
      <c r="AI429" s="141">
        <v>0</v>
      </c>
      <c r="AJ429" s="141">
        <v>0</v>
      </c>
      <c r="AK429" s="141">
        <v>0</v>
      </c>
      <c r="AL429" s="141">
        <v>0</v>
      </c>
      <c r="AM429" s="141">
        <v>87.3700000000008</v>
      </c>
      <c r="AN429" s="141">
        <f>$K429-SUM($AC429:AM429)</f>
        <v>0</v>
      </c>
      <c r="AO429" s="141"/>
      <c r="AP429" s="141"/>
      <c r="AQ429" s="141"/>
      <c r="AR429" s="3391"/>
      <c r="AS429" s="141"/>
      <c r="AT429" s="141"/>
      <c r="AU429" s="141"/>
      <c r="AV429" s="141"/>
      <c r="AW429" s="141"/>
      <c r="AX429" s="141"/>
      <c r="AY429" s="141"/>
      <c r="BE429" s="63"/>
    </row>
    <row r="430" spans="1:57" ht="13.5" thickBot="1">
      <c r="A430" s="52"/>
      <c r="B430" s="3659" t="s">
        <v>741</v>
      </c>
      <c r="C430" s="585">
        <v>7110003</v>
      </c>
      <c r="D430" s="1413" t="s">
        <v>744</v>
      </c>
      <c r="E430" s="439">
        <f>IFERROR(VLOOKUP(C430,'פ.נ. EUROPE'!$D$164:$F$3251,3,0),0)</f>
        <v>321152.55</v>
      </c>
      <c r="F430" s="439">
        <f>SUMIF('פ.נ. EUROPE'!C:C,C:C,'פ.נ. EUROPE'!E:E)</f>
        <v>0</v>
      </c>
      <c r="G430" s="1213"/>
      <c r="H430" s="976"/>
      <c r="I430" s="1213"/>
      <c r="J430" s="170">
        <f t="shared" si="101"/>
        <v>321152.55</v>
      </c>
      <c r="K430" s="3278">
        <f>M430+SUMIF('פ.נ. EUROPE'!C:C,'מאזן בוחן EUROPE'!C430,'פ.נ. EUROPE'!F:F)</f>
        <v>423123.73</v>
      </c>
      <c r="L430" s="956"/>
      <c r="M430" s="42">
        <f>IFERROR(VLOOKUP(C430,'פ.נ. EUROPE'!$D$164:$H$3424,4,0),"")</f>
        <v>423123.73</v>
      </c>
      <c r="N430" s="1104">
        <f t="shared" si="102"/>
        <v>0.75900387340601294</v>
      </c>
      <c r="O430" s="434"/>
      <c r="P430" s="1133"/>
      <c r="Q430" s="2502">
        <v>-814414.18</v>
      </c>
      <c r="R430" s="2502">
        <v>0</v>
      </c>
      <c r="S430" s="2502">
        <v>111504.92974968988</v>
      </c>
      <c r="T430" s="2502">
        <v>-111504.92974968988</v>
      </c>
      <c r="U430" s="2502">
        <v>0</v>
      </c>
      <c r="V430" s="2502">
        <v>103680</v>
      </c>
      <c r="W430" s="2502">
        <v>-103680</v>
      </c>
      <c r="X430" s="2502">
        <v>0</v>
      </c>
      <c r="Y430" s="2502">
        <v>289577</v>
      </c>
      <c r="Z430" s="2502">
        <v>-157813.7699999999</v>
      </c>
      <c r="AA430" s="2502">
        <v>0</v>
      </c>
      <c r="AB430" s="2502">
        <v>295822.54999999993</v>
      </c>
      <c r="AC430" s="2502">
        <f>'[26]מאזן בוחן EUROPE'!AC438</f>
        <v>-206829.72</v>
      </c>
      <c r="AD430" s="2502">
        <f>'[27]מאזן בוחן EUROPE'!AD436</f>
        <v>-192593.11000000002</v>
      </c>
      <c r="AE430" s="2502">
        <f>'[28]מאזן בוחן EUROPE'!AE444</f>
        <v>122841.70000000001</v>
      </c>
      <c r="AF430" s="2502">
        <f>'[29]מאזן בוחן EUROPE'!AF440</f>
        <v>-122841.70000000001</v>
      </c>
      <c r="AG430" s="2502">
        <f>'[30]מאזן בוחן EUROPE'!AG444</f>
        <v>0</v>
      </c>
      <c r="AH430" s="2502">
        <f>'[31]מאזן בוחן EUROPE'!AH446</f>
        <v>117899</v>
      </c>
      <c r="AI430" s="2502">
        <v>-104413.60999999999</v>
      </c>
      <c r="AJ430" s="2502">
        <v>0</v>
      </c>
      <c r="AK430" s="2502">
        <v>361333.47</v>
      </c>
      <c r="AL430" s="2502">
        <v>-295509.94999999995</v>
      </c>
      <c r="AM430" s="2502">
        <v>-60124.31</v>
      </c>
      <c r="AN430" s="2502">
        <f>$K430-SUM($AC430:AM430)</f>
        <v>803361.96</v>
      </c>
      <c r="AO430" s="2502"/>
      <c r="AP430" s="2502" t="s">
        <v>4489</v>
      </c>
      <c r="AQ430" s="3255" t="s">
        <v>4313</v>
      </c>
      <c r="AR430" s="3392"/>
      <c r="AS430" s="2502"/>
      <c r="AT430" s="141"/>
      <c r="AU430" s="2502" t="s">
        <v>3947</v>
      </c>
      <c r="AW430" s="141"/>
      <c r="BE430" s="63"/>
    </row>
    <row r="431" spans="1:57">
      <c r="A431" s="52"/>
      <c r="B431" s="3659" t="s">
        <v>741</v>
      </c>
      <c r="C431" s="585">
        <v>7110013</v>
      </c>
      <c r="D431" s="169" t="s">
        <v>3260</v>
      </c>
      <c r="E431" s="439">
        <f>IFERROR(VLOOKUP(C431,'פ.נ. EUROPE'!$D$164:$F$3251,3,0),0)</f>
        <v>-17978.75</v>
      </c>
      <c r="F431" s="976">
        <f>SUMIF('פ.נ. EUROPE'!C:C,C:C,'פ.נ. EUROPE'!E:E)</f>
        <v>0</v>
      </c>
      <c r="G431" s="1213"/>
      <c r="H431" s="976"/>
      <c r="I431" s="1213"/>
      <c r="J431" s="170">
        <f>SUM(E431:I431)</f>
        <v>-17978.75</v>
      </c>
      <c r="K431" s="98">
        <f>M431+SUMIF('פ.נ. EUROPE'!C:C,'מאזן בוחן EUROPE'!C431,'פ.נ. EUROPE'!F:F)</f>
        <v>-24926.34</v>
      </c>
      <c r="L431" s="51"/>
      <c r="M431" s="98">
        <f>IFERROR(VLOOKUP(C431,'פ.נ. EUROPE'!$D$164:$H$3424,4,0),"")</f>
        <v>-24926.34</v>
      </c>
      <c r="N431" s="1104">
        <f>IF(K431=0,"-",J431/K431)</f>
        <v>0.72127516514658785</v>
      </c>
      <c r="O431" s="434"/>
      <c r="P431" s="1133"/>
      <c r="Q431" s="141"/>
      <c r="R431" s="141"/>
      <c r="S431" s="141"/>
      <c r="T431" s="141"/>
      <c r="U431" s="141"/>
      <c r="V431" s="141"/>
      <c r="W431" s="141"/>
      <c r="X431" s="141"/>
      <c r="Y431" s="141"/>
      <c r="Z431" s="141"/>
      <c r="AA431" s="141"/>
      <c r="AB431" s="141"/>
      <c r="AC431" s="141">
        <v>-20999</v>
      </c>
      <c r="AD431" s="141">
        <f>'[27]מאזן בוחן EUROPE'!AD437</f>
        <v>-36389.21</v>
      </c>
      <c r="AE431" s="141">
        <f>'[28]מאזן בוחן EUROPE'!AE445</f>
        <v>15066.010000000002</v>
      </c>
      <c r="AF431" s="141">
        <f>'[29]מאזן בוחן EUROPE'!AF441</f>
        <v>-15066.010000000002</v>
      </c>
      <c r="AG431" s="141">
        <f>'[30]מאזן בוחן EUROPE'!AG445</f>
        <v>0</v>
      </c>
      <c r="AH431" s="141">
        <f>'[31]מאזן בוחן EUROPE'!AH447</f>
        <v>6454</v>
      </c>
      <c r="AI431" s="141">
        <v>-6454</v>
      </c>
      <c r="AJ431" s="141">
        <v>0</v>
      </c>
      <c r="AK431" s="141">
        <v>11521.690000000002</v>
      </c>
      <c r="AL431" s="141">
        <v>-11521.690000000002</v>
      </c>
      <c r="AM431" s="141">
        <v>0</v>
      </c>
      <c r="AN431" s="141">
        <f>$K431-SUM($AC431:AM431)</f>
        <v>32461.87</v>
      </c>
      <c r="AO431" s="141"/>
      <c r="AP431" s="141"/>
      <c r="AQ431" s="141"/>
      <c r="AR431" s="3391"/>
      <c r="AS431" s="141"/>
      <c r="AT431" s="141"/>
      <c r="AU431" s="141"/>
      <c r="AV431" s="141"/>
      <c r="AW431" s="141"/>
      <c r="AX431" s="141"/>
      <c r="BE431" s="63"/>
    </row>
    <row r="432" spans="1:57">
      <c r="A432" s="52"/>
      <c r="B432" s="3659" t="s">
        <v>741</v>
      </c>
      <c r="C432" s="585">
        <v>7110004</v>
      </c>
      <c r="D432" s="1413" t="s">
        <v>745</v>
      </c>
      <c r="E432" s="439">
        <f>IFERROR(VLOOKUP(C432,'פ.נ. EUROPE'!$D$164:$F$3251,3,0),0)</f>
        <v>321046.28000000003</v>
      </c>
      <c r="F432" s="976">
        <f>SUMIF('פ.נ. EUROPE'!C:C,C:C,'פ.נ. EUROPE'!E:E)</f>
        <v>0</v>
      </c>
      <c r="G432" s="1213"/>
      <c r="H432" s="976"/>
      <c r="I432" s="1213"/>
      <c r="J432" s="170">
        <f t="shared" si="101"/>
        <v>321046.28000000003</v>
      </c>
      <c r="K432" s="98">
        <f>M432+SUMIF('פ.נ. EUROPE'!C:C,'מאזן בוחן EUROPE'!C432,'פ.נ. EUROPE'!F:F)</f>
        <v>440910.45</v>
      </c>
      <c r="L432" s="52"/>
      <c r="M432" s="98">
        <f>IFERROR(VLOOKUP(C432,'פ.נ. EUROPE'!$D$164:$H$3424,4,0),"")</f>
        <v>440910.45</v>
      </c>
      <c r="N432" s="1104">
        <f t="shared" si="102"/>
        <v>0.72814395757687311</v>
      </c>
      <c r="O432" s="434"/>
      <c r="P432" s="1133"/>
      <c r="Q432" s="2502">
        <v>287088.02</v>
      </c>
      <c r="R432" s="2502">
        <v>8210.7199999999721</v>
      </c>
      <c r="S432" s="2502">
        <v>0</v>
      </c>
      <c r="T432" s="2502">
        <v>43101.06</v>
      </c>
      <c r="U432" s="2502">
        <v>5792.8300000000163</v>
      </c>
      <c r="V432" s="2502">
        <v>5608.390000000014</v>
      </c>
      <c r="W432" s="2502">
        <v>23172.380000000005</v>
      </c>
      <c r="X432" s="2502">
        <v>5118.5699999999488</v>
      </c>
      <c r="Y432" s="2502">
        <v>4927.390000000014</v>
      </c>
      <c r="Z432" s="2502">
        <v>74606.179999999993</v>
      </c>
      <c r="AA432" s="2502">
        <v>521.47000000003027</v>
      </c>
      <c r="AB432" s="2502">
        <v>0</v>
      </c>
      <c r="AC432" s="2502">
        <f>'[26]מאזן בוחן EUROPE'!AC440</f>
        <v>69182.39</v>
      </c>
      <c r="AD432" s="2502">
        <f>'[27]מאזן בוחן EUROPE'!AD438</f>
        <v>8972.6499999999942</v>
      </c>
      <c r="AE432" s="2502">
        <f>'[28]מאזן בוחן EUROPE'!AE446</f>
        <v>1515.6500000000087</v>
      </c>
      <c r="AF432" s="2502">
        <f>'[29]מאזן בוחן EUROPE'!AF442</f>
        <v>63497.889999999985</v>
      </c>
      <c r="AG432" s="2502">
        <f>'[30]מאזן בוחן EUROPE'!AG446</f>
        <v>4537.8800000000047</v>
      </c>
      <c r="AH432" s="2502">
        <f>'[31]מאזן בוחן EUROPE'!AH448</f>
        <v>2900.8600000000151</v>
      </c>
      <c r="AI432" s="2502">
        <v>39504.329999999987</v>
      </c>
      <c r="AJ432" s="2502">
        <v>12290.99000000002</v>
      </c>
      <c r="AK432" s="2502">
        <v>9438.9799999999814</v>
      </c>
      <c r="AL432" s="2502">
        <v>205358.87</v>
      </c>
      <c r="AM432" s="2502">
        <v>12346.229999999981</v>
      </c>
      <c r="AN432" s="2502">
        <f>$K432-SUM($AC432:AM432)</f>
        <v>11363.73000000004</v>
      </c>
      <c r="AO432" s="2502"/>
      <c r="AP432" s="2502"/>
      <c r="AQ432" s="2502"/>
      <c r="AR432" s="3392" t="s">
        <v>4145</v>
      </c>
      <c r="AS432" s="3255" t="s">
        <v>4034</v>
      </c>
      <c r="AT432" s="2502"/>
      <c r="AU432" s="2502"/>
      <c r="AV432" s="141"/>
      <c r="AW432" s="141"/>
      <c r="AX432" s="141"/>
      <c r="AY432" s="141"/>
      <c r="BE432" s="63"/>
    </row>
    <row r="433" spans="1:57">
      <c r="A433" s="52"/>
      <c r="B433" s="3659" t="s">
        <v>741</v>
      </c>
      <c r="C433" s="585">
        <v>7110030</v>
      </c>
      <c r="D433" s="169" t="s">
        <v>748</v>
      </c>
      <c r="E433" s="439">
        <f>IFERROR(VLOOKUP(C433,'פ.נ. EUROPE'!$D$164:$F$3251,3,0),0)</f>
        <v>112402.41</v>
      </c>
      <c r="F433" s="976">
        <f>SUMIF('פ.נ. EUROPE'!C:C,C:C,'פ.נ. EUROPE'!E:E)</f>
        <v>0</v>
      </c>
      <c r="G433" s="1213"/>
      <c r="H433" s="976"/>
      <c r="I433" s="1213"/>
      <c r="J433" s="521">
        <f t="shared" si="101"/>
        <v>112402.41</v>
      </c>
      <c r="K433" s="1213">
        <f>M433+SUMIF('פ.נ. EUROPE'!C:C,'מאזן בוחן EUROPE'!C433,'פ.נ. EUROPE'!F:F)</f>
        <v>155486.89000000001</v>
      </c>
      <c r="L433" s="976"/>
      <c r="M433" s="98">
        <f>IFERROR(VLOOKUP(C433,'פ.נ. EUROPE'!$D$164:$H$3424,4,0),"")</f>
        <v>155486.89000000001</v>
      </c>
      <c r="N433" s="1104">
        <f t="shared" si="102"/>
        <v>0.7229060276400151</v>
      </c>
      <c r="O433" s="434"/>
      <c r="P433" s="1133"/>
      <c r="Q433" s="137">
        <v>0</v>
      </c>
      <c r="R433" s="137">
        <v>0</v>
      </c>
      <c r="S433" s="137">
        <v>0</v>
      </c>
      <c r="T433" s="137">
        <v>0</v>
      </c>
      <c r="U433" s="137">
        <v>0</v>
      </c>
      <c r="V433" s="137">
        <v>0</v>
      </c>
      <c r="W433" s="141">
        <v>0</v>
      </c>
      <c r="X433" s="141">
        <v>0</v>
      </c>
      <c r="Y433" s="141">
        <v>0</v>
      </c>
      <c r="Z433" s="141">
        <v>0</v>
      </c>
      <c r="AA433" s="141">
        <v>0</v>
      </c>
      <c r="AB433" s="141">
        <v>0</v>
      </c>
      <c r="AC433" s="141">
        <f>'[26]מאזן בוחן EUROPE'!AC441</f>
        <v>0</v>
      </c>
      <c r="AD433" s="141">
        <f>'[27]מאזן בוחן EUROPE'!AD439</f>
        <v>0</v>
      </c>
      <c r="AE433" s="141">
        <f>'[28]מאזן בוחן EUROPE'!AE447</f>
        <v>0</v>
      </c>
      <c r="AF433" s="141">
        <f>'[29]מאזן בוחן EUROPE'!AF443</f>
        <v>15960.91</v>
      </c>
      <c r="AG433" s="141">
        <f>'[30]מאזן בוחן EUROPE'!AG447</f>
        <v>0</v>
      </c>
      <c r="AH433" s="141">
        <f>'[31]מאזן בוחן EUROPE'!AH449</f>
        <v>0</v>
      </c>
      <c r="AI433" s="141">
        <v>512.06999999999971</v>
      </c>
      <c r="AJ433" s="141">
        <v>83981.73000000001</v>
      </c>
      <c r="AK433" s="141">
        <v>25419.839999999997</v>
      </c>
      <c r="AL433" s="141">
        <v>27436.460000000006</v>
      </c>
      <c r="AM433" s="141">
        <v>0</v>
      </c>
      <c r="AN433" s="141">
        <f>$K433-SUM($AC433:AM433)</f>
        <v>2175.8800000000047</v>
      </c>
      <c r="AO433" s="141"/>
      <c r="AP433" s="141"/>
      <c r="AQ433" s="141"/>
      <c r="AR433" s="3391" t="s">
        <v>4146</v>
      </c>
      <c r="AS433" s="141"/>
      <c r="AT433" s="141"/>
      <c r="AU433" s="141"/>
      <c r="AV433" s="141"/>
      <c r="AW433" s="141"/>
      <c r="AX433" s="141"/>
      <c r="AY433" s="141"/>
      <c r="BE433" s="63"/>
    </row>
    <row r="434" spans="1:57">
      <c r="A434" s="52"/>
      <c r="B434" s="3659" t="s">
        <v>741</v>
      </c>
      <c r="C434" s="585">
        <v>7110050</v>
      </c>
      <c r="D434" s="169" t="s">
        <v>749</v>
      </c>
      <c r="E434" s="439">
        <f>IFERROR(VLOOKUP(C434,'פ.נ. EUROPE'!$D$164:$F$3251,3,0),0)</f>
        <v>94468.800000000003</v>
      </c>
      <c r="F434" s="976">
        <f>SUMIF('פ.נ. EUROPE'!C:C,C:C,'פ.נ. EUROPE'!E:E)</f>
        <v>0</v>
      </c>
      <c r="G434" s="1213"/>
      <c r="H434" s="976"/>
      <c r="I434" s="1213"/>
      <c r="J434" s="170">
        <f t="shared" si="101"/>
        <v>94468.800000000003</v>
      </c>
      <c r="K434" s="98">
        <f>M434+SUMIF('פ.נ. EUROPE'!C:C,'מאזן בוחן EUROPE'!C434,'פ.נ. EUROPE'!F:F)</f>
        <v>130009.23</v>
      </c>
      <c r="L434" s="52"/>
      <c r="M434" s="98">
        <f>IFERROR(VLOOKUP(C434,'פ.נ. EUROPE'!$D$164:$H$3424,4,0),"")</f>
        <v>130009.23</v>
      </c>
      <c r="N434" s="1104">
        <f t="shared" si="102"/>
        <v>0.72663148608756478</v>
      </c>
      <c r="O434" s="434"/>
      <c r="P434" s="1133"/>
      <c r="Q434" s="137">
        <v>9279.33</v>
      </c>
      <c r="R434" s="137">
        <v>9892.7300000000014</v>
      </c>
      <c r="S434" s="137">
        <v>9897.42</v>
      </c>
      <c r="T434" s="137">
        <v>9924.3699999999935</v>
      </c>
      <c r="U434" s="137">
        <v>10046.940000000004</v>
      </c>
      <c r="V434" s="137">
        <v>10272.949999999995</v>
      </c>
      <c r="W434" s="141">
        <v>10444.210000000001</v>
      </c>
      <c r="X434" s="141">
        <v>10946.900000000011</v>
      </c>
      <c r="Y434" s="141">
        <v>10811.140000000001</v>
      </c>
      <c r="Z434" s="141">
        <v>10803.259999999995</v>
      </c>
      <c r="AA434" s="141">
        <v>10843.259999999995</v>
      </c>
      <c r="AB434" s="141">
        <v>11233.350000000006</v>
      </c>
      <c r="AC434" s="141">
        <f>'[26]מאזן בוחן EUROPE'!AC442</f>
        <v>11120.83</v>
      </c>
      <c r="AD434" s="141">
        <f>'[27]מאזן בוחן EUROPE'!AD440</f>
        <v>11110.140000000001</v>
      </c>
      <c r="AE434" s="141">
        <f>'[28]מאזן בוחן EUROPE'!AE448</f>
        <v>10931.470000000001</v>
      </c>
      <c r="AF434" s="141">
        <f>'[29]מאזן בוחן EUROPE'!AF444</f>
        <v>11030.89</v>
      </c>
      <c r="AG434" s="141">
        <f>'[30]מאזן בוחן EUROPE'!AG448</f>
        <v>11232.43</v>
      </c>
      <c r="AH434" s="141">
        <f>'[31]מאזן בוחן EUROPE'!AH450</f>
        <v>10906.260000000002</v>
      </c>
      <c r="AI434" s="141">
        <v>10797.11</v>
      </c>
      <c r="AJ434" s="141">
        <v>10741.069999999992</v>
      </c>
      <c r="AK434" s="141">
        <v>10734.11</v>
      </c>
      <c r="AL434" s="141">
        <v>10691.229999999996</v>
      </c>
      <c r="AM434" s="141">
        <v>10378.200000000012</v>
      </c>
      <c r="AN434" s="141">
        <f>$K434-SUM($AC434:AM434)</f>
        <v>10335.489999999991</v>
      </c>
      <c r="AO434" s="141"/>
      <c r="AP434" s="141"/>
      <c r="AQ434" s="141"/>
      <c r="AR434" s="3391"/>
      <c r="AS434" s="141"/>
      <c r="AT434" s="141"/>
      <c r="AU434" s="141"/>
      <c r="AV434" s="141"/>
      <c r="AW434" s="141"/>
      <c r="AX434" s="141"/>
      <c r="AY434" s="141"/>
      <c r="BE434" s="63"/>
    </row>
    <row r="435" spans="1:57">
      <c r="A435" s="52"/>
      <c r="B435" s="3659" t="s">
        <v>741</v>
      </c>
      <c r="C435" s="585">
        <v>7110051</v>
      </c>
      <c r="D435" s="169" t="s">
        <v>750</v>
      </c>
      <c r="E435" s="439">
        <f>IFERROR(VLOOKUP(C435,'פ.נ. EUROPE'!$D$164:$F$3251,3,0),0)</f>
        <v>1637.03</v>
      </c>
      <c r="F435" s="976">
        <f>SUMIF('פ.נ. EUROPE'!C:C,C:C,'פ.נ. EUROPE'!E:E)</f>
        <v>0</v>
      </c>
      <c r="G435" s="1213"/>
      <c r="H435" s="976"/>
      <c r="I435" s="1213"/>
      <c r="J435" s="170">
        <f t="shared" si="101"/>
        <v>1637.03</v>
      </c>
      <c r="K435" s="98">
        <f>M435+SUMIF('פ.נ. EUROPE'!C:C,'מאזן בוחן EUROPE'!C435,'פ.נ. EUROPE'!F:F)</f>
        <v>2288.29</v>
      </c>
      <c r="L435" s="52"/>
      <c r="M435" s="98">
        <f>IFERROR(VLOOKUP(C435,'פ.נ. EUROPE'!$D$164:$H$3424,4,0),"")</f>
        <v>2288.29</v>
      </c>
      <c r="N435" s="1104">
        <f t="shared" si="102"/>
        <v>0.71539446486240821</v>
      </c>
      <c r="O435" s="434"/>
      <c r="P435" s="1133"/>
      <c r="Q435" s="137">
        <v>0</v>
      </c>
      <c r="R435" s="137">
        <v>5334.52</v>
      </c>
      <c r="S435" s="137">
        <v>0</v>
      </c>
      <c r="T435" s="137">
        <v>0</v>
      </c>
      <c r="U435" s="137">
        <v>0</v>
      </c>
      <c r="V435" s="137">
        <v>0</v>
      </c>
      <c r="W435" s="141">
        <v>0</v>
      </c>
      <c r="X435" s="141">
        <v>0</v>
      </c>
      <c r="Y435" s="141">
        <v>0</v>
      </c>
      <c r="Z435" s="141">
        <v>0</v>
      </c>
      <c r="AA435" s="141">
        <v>402.17999999999938</v>
      </c>
      <c r="AB435" s="141">
        <v>0</v>
      </c>
      <c r="AC435" s="141">
        <f>'[26]מאזן בוחן EUROPE'!AC443</f>
        <v>0</v>
      </c>
      <c r="AD435" s="141">
        <f>'[27]מאזן בוחן EUROPE'!AD441</f>
        <v>2288.29</v>
      </c>
      <c r="AE435" s="141">
        <f>'[28]מאזן בוחן EUROPE'!AE449</f>
        <v>0</v>
      </c>
      <c r="AF435" s="141">
        <f>'[29]מאזן בוחן EUROPE'!AF445</f>
        <v>0</v>
      </c>
      <c r="AG435" s="141">
        <f>'[30]מאזן בוחן EUROPE'!AG449</f>
        <v>0</v>
      </c>
      <c r="AH435" s="141">
        <f>'[31]מאזן בוחן EUROPE'!AH451</f>
        <v>0</v>
      </c>
      <c r="AI435" s="141">
        <v>0</v>
      </c>
      <c r="AJ435" s="141">
        <v>0</v>
      </c>
      <c r="AK435" s="141">
        <v>0</v>
      </c>
      <c r="AL435" s="141">
        <v>0</v>
      </c>
      <c r="AM435" s="141">
        <v>0</v>
      </c>
      <c r="AN435" s="141">
        <f>$K435-SUM($AC435:AM435)</f>
        <v>0</v>
      </c>
      <c r="AO435" s="141"/>
      <c r="AP435" s="141"/>
      <c r="AQ435" s="141"/>
      <c r="AR435" s="3391"/>
      <c r="AS435" s="141"/>
      <c r="AT435" s="141"/>
      <c r="AU435" s="141"/>
      <c r="AV435" s="141"/>
      <c r="AW435" s="141"/>
      <c r="AX435" s="141"/>
      <c r="AY435" s="141"/>
      <c r="BE435" s="63"/>
    </row>
    <row r="436" spans="1:57">
      <c r="A436" s="52"/>
      <c r="B436" s="3659" t="s">
        <v>741</v>
      </c>
      <c r="C436" s="585">
        <v>7110052</v>
      </c>
      <c r="D436" s="1413" t="s">
        <v>751</v>
      </c>
      <c r="E436" s="439">
        <f>IFERROR(VLOOKUP(C436,'פ.נ. EUROPE'!$D$164:$F$3251,3,0),0)</f>
        <v>158128.06</v>
      </c>
      <c r="F436" s="976">
        <f>SUMIF('פ.נ. EUROPE'!C:C,C:C,'פ.נ. EUROPE'!E:E)</f>
        <v>0</v>
      </c>
      <c r="G436" s="1213"/>
      <c r="H436" s="976"/>
      <c r="I436" s="1213"/>
      <c r="J436" s="170">
        <f t="shared" si="101"/>
        <v>158128.06</v>
      </c>
      <c r="K436" s="98">
        <f>M436+SUMIF('פ.נ. EUROPE'!C:C,'מאזן בוחן EUROPE'!C436,'פ.נ. EUROPE'!F:F)</f>
        <v>216979.21</v>
      </c>
      <c r="L436" s="52"/>
      <c r="M436" s="98">
        <f>IFERROR(VLOOKUP(C436,'פ.נ. EUROPE'!$D$164:$H$3424,4,0),"")</f>
        <v>216979.21</v>
      </c>
      <c r="N436" s="1104">
        <f t="shared" si="102"/>
        <v>0.72877055824841475</v>
      </c>
      <c r="O436" s="434"/>
      <c r="P436" s="1133"/>
      <c r="Q436" s="2502">
        <v>307008.59999999998</v>
      </c>
      <c r="R436" s="2502">
        <v>0</v>
      </c>
      <c r="S436" s="2502">
        <v>0</v>
      </c>
      <c r="T436" s="2502">
        <v>17627.770000000019</v>
      </c>
      <c r="U436" s="2502">
        <v>0</v>
      </c>
      <c r="V436" s="2502">
        <v>0</v>
      </c>
      <c r="W436" s="2502">
        <v>17672.440000000002</v>
      </c>
      <c r="X436" s="2502">
        <v>0</v>
      </c>
      <c r="Y436" s="2502">
        <v>0</v>
      </c>
      <c r="Z436" s="2502">
        <v>20680.429999999993</v>
      </c>
      <c r="AA436" s="2502">
        <v>0</v>
      </c>
      <c r="AB436" s="2502">
        <v>0</v>
      </c>
      <c r="AC436" s="2502">
        <f>'[26]מאזן בוחן EUROPE'!AC444</f>
        <v>0</v>
      </c>
      <c r="AD436" s="2502">
        <f>'[27]מאזן בוחן EUROPE'!AD442</f>
        <v>186584</v>
      </c>
      <c r="AE436" s="2502">
        <f>'[28]מאזן בוחן EUROPE'!AE450</f>
        <v>0</v>
      </c>
      <c r="AF436" s="2502">
        <f>'[29]מאזן בוחן EUROPE'!AF446</f>
        <v>6181.820000000007</v>
      </c>
      <c r="AG436" s="2502">
        <f>'[30]מאזן בוחן EUROPE'!AG450</f>
        <v>0</v>
      </c>
      <c r="AH436" s="2502">
        <f>'[31]מאזן בוחן EUROPE'!AH452</f>
        <v>0</v>
      </c>
      <c r="AI436" s="3255">
        <v>8560.0499999999884</v>
      </c>
      <c r="AJ436" s="2502">
        <v>0</v>
      </c>
      <c r="AK436" s="2502">
        <v>0</v>
      </c>
      <c r="AL436" s="2502">
        <v>15653.339999999997</v>
      </c>
      <c r="AM436" s="2502">
        <v>0</v>
      </c>
      <c r="AN436" s="2502">
        <f>$K436-SUM($AC436:AM436)</f>
        <v>0</v>
      </c>
      <c r="AO436" s="2502"/>
      <c r="AP436" s="2502"/>
      <c r="AQ436" s="2502"/>
      <c r="AR436" s="3392"/>
      <c r="AS436" s="3255"/>
      <c r="AT436" s="2502"/>
      <c r="AU436" s="2502"/>
      <c r="AV436" s="141"/>
      <c r="AW436" s="141"/>
      <c r="AX436" s="141"/>
      <c r="AY436" s="141"/>
      <c r="BB436" s="204"/>
      <c r="BE436" s="63"/>
    </row>
    <row r="437" spans="1:57">
      <c r="A437" s="52"/>
      <c r="B437" s="3659" t="s">
        <v>1137</v>
      </c>
      <c r="C437" s="585">
        <v>7110042</v>
      </c>
      <c r="D437" s="169" t="s">
        <v>3563</v>
      </c>
      <c r="E437" s="439">
        <f>IFERROR(VLOOKUP(C437,'פ.נ. EUROPE'!$D$164:$F$3251,3,0),0)</f>
        <v>18621.34</v>
      </c>
      <c r="F437" s="976">
        <f>SUMIF('פ.נ. EUROPE'!C:C,C:C,'פ.נ. EUROPE'!E:E)</f>
        <v>0</v>
      </c>
      <c r="G437" s="1213"/>
      <c r="H437" s="976"/>
      <c r="I437" s="1213"/>
      <c r="J437" s="170">
        <f>SUM(E437:I437)</f>
        <v>18621.34</v>
      </c>
      <c r="K437" s="98">
        <f>M437+SUMIF('פ.נ. EUROPE'!C:C,'מאזן בוחן EUROPE'!C437,'פ.נ. EUROPE'!F:F)</f>
        <v>25191.69</v>
      </c>
      <c r="L437" s="51"/>
      <c r="M437" s="98">
        <f>IFERROR(VLOOKUP(C437,'פ.נ. EUROPE'!$D$164:$H$3424,4,0),"")</f>
        <v>25191.69</v>
      </c>
      <c r="N437" s="1104">
        <f>IF(K437=0,"-",J437/K437)</f>
        <v>0.73918581881564915</v>
      </c>
      <c r="O437" s="434"/>
      <c r="P437" s="469" t="s">
        <v>3795</v>
      </c>
      <c r="W437" s="141"/>
      <c r="X437" s="141"/>
      <c r="Y437" s="141"/>
      <c r="Z437" s="141"/>
      <c r="AA437" s="141"/>
      <c r="AB437" s="141"/>
      <c r="AC437" s="141"/>
      <c r="AD437" s="141"/>
      <c r="AE437" s="141">
        <v>0</v>
      </c>
      <c r="AF437" s="141">
        <f>'[29]מאזן בוחן EUROPE'!AF455</f>
        <v>5946.57</v>
      </c>
      <c r="AG437" s="141">
        <f>'[30]מאזן בוחן EUROPE'!AG459</f>
        <v>6096.8099999999995</v>
      </c>
      <c r="AH437" s="141">
        <f>'[31]מאזן בוחן EUROPE'!AH461</f>
        <v>0</v>
      </c>
      <c r="AI437" s="3256">
        <v>0</v>
      </c>
      <c r="AJ437" s="141">
        <v>0</v>
      </c>
      <c r="AK437" s="141">
        <v>0</v>
      </c>
      <c r="AL437" s="141">
        <v>0</v>
      </c>
      <c r="AM437" s="141">
        <v>0</v>
      </c>
      <c r="AN437" s="141">
        <f>$K437-SUM($AC437:AM437)</f>
        <v>13148.31</v>
      </c>
      <c r="AO437" s="141"/>
      <c r="AP437" s="141"/>
      <c r="AQ437" s="141"/>
      <c r="AR437" s="3391"/>
      <c r="AS437" s="3256"/>
      <c r="AT437" s="141"/>
      <c r="AU437" s="141"/>
      <c r="AV437" s="141"/>
      <c r="AW437" s="141"/>
      <c r="AX437" s="141"/>
      <c r="AY437" s="141"/>
      <c r="BE437" s="63"/>
    </row>
    <row r="438" spans="1:57">
      <c r="A438" s="52"/>
      <c r="B438" s="3659" t="s">
        <v>1137</v>
      </c>
      <c r="C438" s="585">
        <v>7110033</v>
      </c>
      <c r="D438" s="203" t="s">
        <v>4032</v>
      </c>
      <c r="E438" s="439">
        <f>IFERROR(VLOOKUP(C438,'פ.נ. EUROPE'!$D$164:$F$3251,3,0),0)</f>
        <v>76262.38</v>
      </c>
      <c r="F438" s="976">
        <f>SUMIF('פ.נ. EUROPE'!C:C,C:C,'פ.נ. EUROPE'!E:E)</f>
        <v>0</v>
      </c>
      <c r="G438" s="1213"/>
      <c r="H438" s="976"/>
      <c r="I438" s="1213"/>
      <c r="J438" s="521">
        <f>SUM(E438:I438)</f>
        <v>76262.38</v>
      </c>
      <c r="K438" s="1213">
        <f>M438+SUMIF('פ.נ. EUROPE'!C:C,'מאזן בוחן EUROPE'!C438,'פ.נ. EUROPE'!F:F)</f>
        <v>104038.76</v>
      </c>
      <c r="L438" s="518"/>
      <c r="M438" s="98">
        <f>IFERROR(VLOOKUP(C438,'פ.נ. EUROPE'!$D$164:$H$3424,4,0),"")</f>
        <v>104038.76</v>
      </c>
      <c r="N438" s="3036">
        <f>IF(K438=0,"-",J438/K438)</f>
        <v>0.73301892486992359</v>
      </c>
      <c r="O438" s="434"/>
      <c r="P438" s="3330" t="s">
        <v>4491</v>
      </c>
      <c r="Q438" s="141"/>
      <c r="R438" s="141"/>
      <c r="S438" s="141"/>
      <c r="T438" s="141"/>
      <c r="U438" s="141"/>
      <c r="V438" s="141"/>
      <c r="W438" s="141"/>
      <c r="X438" s="141"/>
      <c r="Y438" s="141"/>
      <c r="Z438" s="141"/>
      <c r="AA438" s="141"/>
      <c r="AB438" s="141"/>
      <c r="AC438" s="141"/>
      <c r="AD438" s="141"/>
      <c r="AE438" s="141"/>
      <c r="AF438" s="141"/>
      <c r="AG438" s="141"/>
      <c r="AH438" s="141"/>
      <c r="AI438" s="141"/>
      <c r="AJ438" s="141">
        <v>19833.32</v>
      </c>
      <c r="AK438" s="141">
        <v>33240.639999999999</v>
      </c>
      <c r="AL438" s="141">
        <v>25881.46</v>
      </c>
      <c r="AM438" s="141">
        <v>12541.669999999998</v>
      </c>
      <c r="AN438" s="141">
        <f>$K438-SUM($AC438:AM438)</f>
        <v>12541.669999999998</v>
      </c>
      <c r="AO438" s="141"/>
      <c r="AP438" s="141"/>
      <c r="AQ438" s="141" t="s">
        <v>4339</v>
      </c>
      <c r="AR438" s="141"/>
      <c r="AS438" s="141"/>
      <c r="AT438" s="141"/>
      <c r="AU438" s="141"/>
      <c r="AV438" s="141"/>
      <c r="AW438" s="141"/>
      <c r="AX438" s="141"/>
      <c r="AY438" s="141"/>
      <c r="BE438" s="63"/>
    </row>
    <row r="439" spans="1:57">
      <c r="A439" s="52"/>
      <c r="B439" s="3659" t="s">
        <v>1137</v>
      </c>
      <c r="C439" s="585">
        <v>7110034</v>
      </c>
      <c r="D439" s="1413" t="s">
        <v>4033</v>
      </c>
      <c r="E439" s="439">
        <f>IFERROR(VLOOKUP(C439,'פ.נ. EUROPE'!$D$164:$F$3251,3,0),0)</f>
        <v>18241.21</v>
      </c>
      <c r="F439" s="976">
        <f>SUMIF('פ.נ. EUROPE'!C:C,C:C,'פ.נ. EUROPE'!E:E)</f>
        <v>0</v>
      </c>
      <c r="G439" s="1213"/>
      <c r="H439" s="976"/>
      <c r="I439" s="1213"/>
      <c r="J439" s="521">
        <f>SUM(E439:I439)</f>
        <v>18241.21</v>
      </c>
      <c r="K439" s="1213">
        <f>M439+SUMIF('פ.נ. EUROPE'!C:C,'מאזן בוחן EUROPE'!C439,'פ.נ. EUROPE'!F:F)</f>
        <v>24900.36</v>
      </c>
      <c r="L439" s="518"/>
      <c r="M439" s="98">
        <f>IFERROR(VLOOKUP(C439,'פ.נ. EUROPE'!$D$164:$H$3424,4,0),"")</f>
        <v>24900.36</v>
      </c>
      <c r="N439" s="3036">
        <f>IF(K439=0,"-",J439/K439)</f>
        <v>0.73256812351307365</v>
      </c>
      <c r="O439" s="434"/>
      <c r="P439" s="3330" t="s">
        <v>4491</v>
      </c>
      <c r="Q439" s="2502"/>
      <c r="R439" s="2502"/>
      <c r="S439" s="2502"/>
      <c r="T439" s="2502"/>
      <c r="U439" s="2502"/>
      <c r="V439" s="2502"/>
      <c r="W439" s="2502"/>
      <c r="X439" s="2502"/>
      <c r="Y439" s="2502"/>
      <c r="Z439" s="2502"/>
      <c r="AA439" s="2502"/>
      <c r="AB439" s="2502"/>
      <c r="AC439" s="2502"/>
      <c r="AD439" s="2502"/>
      <c r="AE439" s="2502"/>
      <c r="AF439" s="2502"/>
      <c r="AG439" s="2502"/>
      <c r="AH439" s="2502"/>
      <c r="AI439" s="3255"/>
      <c r="AJ439" s="2502">
        <v>4600</v>
      </c>
      <c r="AK439" s="2502">
        <v>6664</v>
      </c>
      <c r="AL439" s="2502">
        <v>6000</v>
      </c>
      <c r="AM439" s="2502">
        <v>6000</v>
      </c>
      <c r="AN439" s="2502">
        <f>$K439-SUM($AC439:AM439)</f>
        <v>1636.3600000000006</v>
      </c>
      <c r="AO439" s="2502"/>
      <c r="AP439" s="2502"/>
      <c r="AQ439" s="2502"/>
      <c r="AR439" s="3392"/>
      <c r="AS439" s="3255"/>
      <c r="AT439" s="141"/>
      <c r="AU439" s="141"/>
      <c r="AV439" s="141"/>
      <c r="AW439" s="141"/>
      <c r="AX439" s="141"/>
      <c r="AY439" s="141"/>
      <c r="BE439" s="63"/>
    </row>
    <row r="440" spans="1:57">
      <c r="A440" s="52"/>
      <c r="B440" s="3659" t="s">
        <v>1137</v>
      </c>
      <c r="C440" s="585">
        <v>7110040</v>
      </c>
      <c r="D440" s="203" t="s">
        <v>4278</v>
      </c>
      <c r="E440" s="439">
        <f>IFERROR(VLOOKUP(C440,'פ.נ. EUROPE'!$D$164:$F$3251,3,0),0)</f>
        <v>44272.89</v>
      </c>
      <c r="F440" s="976">
        <f>SUMIF('פ.נ. EUROPE'!C:C,C:C,'פ.נ. EUROPE'!E:E)</f>
        <v>0</v>
      </c>
      <c r="G440" s="1213"/>
      <c r="H440" s="976"/>
      <c r="I440" s="1213"/>
      <c r="J440" s="521">
        <f>SUM(E440:I440)</f>
        <v>44272.89</v>
      </c>
      <c r="K440" s="1213">
        <f>M440+SUMIF('פ.נ. EUROPE'!C:C,'מאזן בוחן EUROPE'!C440,'פ.נ. EUROPE'!F:F)</f>
        <v>59999.98</v>
      </c>
      <c r="L440" s="518"/>
      <c r="M440" s="98">
        <f>IFERROR(VLOOKUP(C440,'פ.נ. EUROPE'!$D$164:$H$3424,4,0),"")</f>
        <v>59999.98</v>
      </c>
      <c r="N440" s="3036">
        <f>IF(K440=0,"-",J440/K440)</f>
        <v>0.73788174596058198</v>
      </c>
      <c r="O440" s="434"/>
      <c r="P440" s="2224" t="s">
        <v>4271</v>
      </c>
      <c r="Q440" s="2502"/>
      <c r="R440" s="2502"/>
      <c r="S440" s="2502"/>
      <c r="T440" s="2502"/>
      <c r="U440" s="2502"/>
      <c r="V440" s="2502"/>
      <c r="W440" s="2502"/>
      <c r="X440" s="2502"/>
      <c r="Y440" s="2502"/>
      <c r="Z440" s="2502"/>
      <c r="AA440" s="141"/>
      <c r="AB440" s="141"/>
      <c r="AC440" s="141"/>
      <c r="AD440" s="141"/>
      <c r="AE440" s="141"/>
      <c r="AF440" s="141"/>
      <c r="AG440" s="141"/>
      <c r="AH440" s="141"/>
      <c r="AI440" s="141"/>
      <c r="AJ440" s="141"/>
      <c r="AK440" s="141">
        <v>0</v>
      </c>
      <c r="AL440" s="141">
        <v>46666.66</v>
      </c>
      <c r="AM440" s="141">
        <v>6666.6599999999962</v>
      </c>
      <c r="AN440" s="141">
        <f>$K440-SUM($AC440:AM440)</f>
        <v>6666.6600000000035</v>
      </c>
      <c r="AO440" s="141"/>
      <c r="AP440" s="141"/>
      <c r="AQ440" s="141" t="s">
        <v>4312</v>
      </c>
      <c r="AR440" s="141"/>
      <c r="AS440" s="141"/>
      <c r="AT440" s="141"/>
      <c r="AU440" s="141"/>
      <c r="AV440" s="141"/>
      <c r="AW440" s="141"/>
      <c r="AX440" s="141"/>
      <c r="AY440" s="141"/>
      <c r="BE440" s="63"/>
    </row>
    <row r="441" spans="1:57">
      <c r="A441" s="52"/>
      <c r="B441" s="3659" t="s">
        <v>1137</v>
      </c>
      <c r="C441" s="585">
        <v>7110041</v>
      </c>
      <c r="D441" s="1413" t="s">
        <v>4314</v>
      </c>
      <c r="E441" s="439">
        <f>IFERROR(VLOOKUP(C441,'פ.נ. EUROPE'!$D$164:$F$3251,3,0),0)</f>
        <v>8273.1200000000008</v>
      </c>
      <c r="F441" s="976">
        <f>SUMIF('פ.נ. EUROPE'!C:C,C:C,'פ.נ. EUROPE'!E:E)</f>
        <v>0</v>
      </c>
      <c r="G441" s="1213"/>
      <c r="H441" s="976"/>
      <c r="I441" s="1213"/>
      <c r="J441" s="521">
        <f>SUM(E441:I441)</f>
        <v>8273.1200000000008</v>
      </c>
      <c r="K441" s="1213">
        <f>M441+SUMIF('פ.נ. EUROPE'!C:C,'מאזן בוחן EUROPE'!C441,'פ.נ. EUROPE'!F:F)</f>
        <v>11250</v>
      </c>
      <c r="L441" s="518"/>
      <c r="M441" s="98">
        <f>IFERROR(VLOOKUP(C441,'פ.נ. EUROPE'!$D$164:$H$3424,4,0),"")</f>
        <v>11250</v>
      </c>
      <c r="N441" s="3036">
        <f>IF(K441=0,"-",J441/K441)</f>
        <v>0.73538844444444451</v>
      </c>
      <c r="O441" s="434"/>
      <c r="P441" s="2224" t="s">
        <v>4271</v>
      </c>
      <c r="Q441" s="2502"/>
      <c r="R441" s="2502"/>
      <c r="S441" s="2502"/>
      <c r="T441" s="2502"/>
      <c r="U441" s="2502"/>
      <c r="V441" s="2502"/>
      <c r="W441" s="2502"/>
      <c r="X441" s="2502"/>
      <c r="Y441" s="2502"/>
      <c r="Z441" s="2502"/>
      <c r="AA441" s="2502"/>
      <c r="AB441" s="2502"/>
      <c r="AC441" s="2502"/>
      <c r="AD441" s="2502"/>
      <c r="AE441" s="2502"/>
      <c r="AF441" s="2502"/>
      <c r="AG441" s="2502"/>
      <c r="AH441" s="2502"/>
      <c r="AI441" s="3255"/>
      <c r="AJ441" s="2502"/>
      <c r="AK441" s="2502">
        <v>0</v>
      </c>
      <c r="AL441" s="2502">
        <v>11250</v>
      </c>
      <c r="AM441" s="2502">
        <v>0</v>
      </c>
      <c r="AN441" s="2502">
        <f>$K441-SUM($AC441:AM441)</f>
        <v>0</v>
      </c>
      <c r="AO441" s="2502"/>
      <c r="AP441" s="2502"/>
      <c r="AQ441" s="2502"/>
      <c r="AR441" s="3392"/>
      <c r="AS441" s="3255"/>
      <c r="AT441" s="141"/>
      <c r="AU441" s="141"/>
      <c r="AV441" s="141"/>
      <c r="AW441" s="141"/>
      <c r="AX441" s="141"/>
      <c r="AY441" s="141"/>
      <c r="BE441" s="63"/>
    </row>
    <row r="442" spans="1:57">
      <c r="A442" s="52"/>
      <c r="B442" s="3659" t="s">
        <v>1137</v>
      </c>
      <c r="C442" s="585">
        <v>7110039</v>
      </c>
      <c r="D442" s="169" t="s">
        <v>4333</v>
      </c>
      <c r="E442" s="439">
        <f>IFERROR(VLOOKUP(C442,'פ.נ. EUROPE'!$D$164:$F$3251,3,0),0)</f>
        <v>0</v>
      </c>
      <c r="F442" s="976">
        <f>SUMIF('פ.נ. EUROPE'!C:C,C:C,'פ.נ. EUROPE'!E:E)</f>
        <v>0</v>
      </c>
      <c r="G442" s="1213"/>
      <c r="H442" s="976"/>
      <c r="I442" s="1213"/>
      <c r="J442" s="521">
        <f t="shared" ref="J442" si="103">SUM(E442:I442)</f>
        <v>0</v>
      </c>
      <c r="K442" s="1213">
        <f>M442+SUMIF('פ.נ. EUROPE'!C:C,'מאזן בוחן EUROPE'!C442,'פ.נ. EUROPE'!F:F)</f>
        <v>0</v>
      </c>
      <c r="L442" s="518"/>
      <c r="M442" s="98" t="str">
        <f>IFERROR(VLOOKUP(C442,'פ.נ. EUROPE'!$D$164:$H$3424,4,0),"")</f>
        <v/>
      </c>
      <c r="N442" s="3036" t="str">
        <f t="shared" ref="N442" si="104">IF(K442=0,"-",J442/K442)</f>
        <v>-</v>
      </c>
      <c r="O442" s="434"/>
      <c r="P442" s="2224" t="s">
        <v>4271</v>
      </c>
      <c r="Q442" s="2502"/>
      <c r="R442" s="2502"/>
      <c r="S442" s="2502"/>
      <c r="T442" s="2502"/>
      <c r="U442" s="2502"/>
      <c r="V442" s="2502"/>
      <c r="W442" s="2502"/>
      <c r="X442" s="2502"/>
      <c r="Y442" s="2502"/>
      <c r="Z442" s="2502"/>
      <c r="AA442" s="2502"/>
      <c r="AB442" s="141"/>
      <c r="AC442" s="141"/>
      <c r="AD442" s="141"/>
      <c r="AE442" s="141"/>
      <c r="AF442" s="141"/>
      <c r="AG442" s="141"/>
      <c r="AH442" s="141"/>
      <c r="AI442" s="3256"/>
      <c r="AJ442" s="141"/>
      <c r="AK442" s="141"/>
      <c r="AL442" s="141">
        <v>0</v>
      </c>
      <c r="AM442" s="141">
        <v>0</v>
      </c>
      <c r="AN442" s="141">
        <f>$K442-SUM($AC442:AM442)</f>
        <v>0</v>
      </c>
      <c r="AO442" s="141"/>
      <c r="AP442" s="141"/>
      <c r="AQ442" s="141"/>
      <c r="AR442" s="3391"/>
      <c r="AS442" s="3256"/>
      <c r="AT442" s="141"/>
      <c r="AU442" s="141"/>
      <c r="AV442" s="141"/>
      <c r="AW442" s="141"/>
      <c r="AX442" s="141"/>
      <c r="AY442" s="141"/>
      <c r="BE442" s="63"/>
    </row>
    <row r="443" spans="1:57">
      <c r="A443" s="52"/>
      <c r="B443" s="3659" t="s">
        <v>752</v>
      </c>
      <c r="C443" s="585">
        <v>7140001</v>
      </c>
      <c r="D443" s="169" t="s">
        <v>753</v>
      </c>
      <c r="E443" s="439">
        <f>IFERROR(VLOOKUP(C443,'פ.נ. EUROPE'!$D$164:$F$3251,3,0),0)</f>
        <v>649814.02</v>
      </c>
      <c r="F443" s="976">
        <f>SUMIF('פ.נ. EUROPE'!C:C,C:C,'פ.נ. EUROPE'!E:E)</f>
        <v>0</v>
      </c>
      <c r="G443" s="1213"/>
      <c r="H443" s="976"/>
      <c r="I443" s="1213"/>
      <c r="J443" s="170">
        <f t="shared" si="101"/>
        <v>649814.02</v>
      </c>
      <c r="K443" s="98">
        <f>M443+SUMIF('פ.נ. EUROPE'!C:C,'מאזן בוחן EUROPE'!C443,'פ.נ. EUROPE'!F:F)</f>
        <v>895409.43</v>
      </c>
      <c r="L443" s="52"/>
      <c r="M443" s="98">
        <f>IFERROR(VLOOKUP(C443,'פ.נ. EUROPE'!$D$164:$H$3424,4,0),"")</f>
        <v>895409.43</v>
      </c>
      <c r="N443" s="1104">
        <f t="shared" si="102"/>
        <v>0.72571719509364563</v>
      </c>
      <c r="O443" s="434"/>
      <c r="P443" s="1133"/>
      <c r="Q443" s="137">
        <v>118570.46</v>
      </c>
      <c r="R443" s="137">
        <v>84301.599999999991</v>
      </c>
      <c r="S443" s="137">
        <v>75072.380000000019</v>
      </c>
      <c r="T443" s="137">
        <v>82853.64</v>
      </c>
      <c r="U443" s="137">
        <v>77734.560000000012</v>
      </c>
      <c r="V443" s="137">
        <v>78998.509999999995</v>
      </c>
      <c r="W443" s="141">
        <v>87677.510000000024</v>
      </c>
      <c r="X443" s="141">
        <v>99367.11</v>
      </c>
      <c r="Y443" s="141">
        <v>79397.999999999956</v>
      </c>
      <c r="Z443" s="141">
        <v>89616.449999999953</v>
      </c>
      <c r="AA443" s="141">
        <v>86618.849999999977</v>
      </c>
      <c r="AB443" s="141">
        <v>91437.000000000116</v>
      </c>
      <c r="AC443" s="141">
        <f>'[26]מאזן בוחן EUROPE'!AC445</f>
        <v>115466.03</v>
      </c>
      <c r="AD443" s="141">
        <f>'[27]מאזן בוחן EUROPE'!AD443</f>
        <v>97477.81</v>
      </c>
      <c r="AE443" s="141">
        <f>'[28]מאזן בוחן EUROPE'!AE451</f>
        <v>78476.91</v>
      </c>
      <c r="AF443" s="141">
        <f>'[29]מאזן בוחן EUROPE'!AF447</f>
        <v>78529.340000000026</v>
      </c>
      <c r="AG443" s="141">
        <f>'[30]מאזן בוחן EUROPE'!AG451</f>
        <v>77318.209999999963</v>
      </c>
      <c r="AH443" s="141">
        <f>'[31]מאזן בוחן EUROPE'!AH453</f>
        <v>70933.87</v>
      </c>
      <c r="AI443" s="141">
        <v>67060.090000000026</v>
      </c>
      <c r="AJ443" s="141">
        <v>61772.660000000033</v>
      </c>
      <c r="AK443" s="141">
        <v>53041.369999999995</v>
      </c>
      <c r="AL443" s="141">
        <v>69142.079999999958</v>
      </c>
      <c r="AM443" s="141">
        <v>62774.079999999958</v>
      </c>
      <c r="AN443" s="141">
        <f>$K443-SUM($AC443:AM443)</f>
        <v>63416.980000000098</v>
      </c>
      <c r="AO443" s="141"/>
      <c r="AP443" s="141"/>
      <c r="AQ443" s="141" t="s">
        <v>4341</v>
      </c>
      <c r="AR443" s="3391" t="s">
        <v>4147</v>
      </c>
      <c r="AS443" s="3256" t="s">
        <v>4035</v>
      </c>
      <c r="AT443" s="141"/>
      <c r="AU443" s="141"/>
      <c r="AV443" s="141" t="s">
        <v>3401</v>
      </c>
      <c r="AW443" s="141"/>
      <c r="AX443" s="141" t="s">
        <v>3231</v>
      </c>
      <c r="AY443" s="141" t="s">
        <v>3051</v>
      </c>
      <c r="BE443" s="63"/>
    </row>
    <row r="444" spans="1:57">
      <c r="A444" s="52"/>
      <c r="B444" s="3659" t="s">
        <v>752</v>
      </c>
      <c r="C444" s="585">
        <v>7140002</v>
      </c>
      <c r="D444" s="169" t="s">
        <v>754</v>
      </c>
      <c r="E444" s="439">
        <f>IFERROR(VLOOKUP(C444,'פ.נ. EUROPE'!$D$164:$F$3251,3,0),0)</f>
        <v>5106.66</v>
      </c>
      <c r="F444" s="439">
        <f>SUMIF('פ.נ. EUROPE'!C:C,C:C,'פ.נ. EUROPE'!E:E)</f>
        <v>0</v>
      </c>
      <c r="G444" s="1213"/>
      <c r="H444" s="976"/>
      <c r="I444" s="1213"/>
      <c r="J444" s="170">
        <f>SUM(E444:I444)</f>
        <v>5106.66</v>
      </c>
      <c r="K444" s="98">
        <f>M444+SUMIF('פ.נ. EUROPE'!C:C,'מאזן בוחן EUROPE'!C444,'פ.נ. EUROPE'!F:F)</f>
        <v>7554.28</v>
      </c>
      <c r="L444" s="52"/>
      <c r="M444" s="98">
        <f>IFERROR(VLOOKUP(C444,'פ.נ. EUROPE'!$D$164:$H$3424,4,0),"")</f>
        <v>7554.28</v>
      </c>
      <c r="N444" s="1104">
        <f>IF(K444=0,"-",J444/K444)</f>
        <v>0.67599559455037406</v>
      </c>
      <c r="O444" s="434"/>
      <c r="P444" s="1133"/>
      <c r="Q444" s="137">
        <v>3946</v>
      </c>
      <c r="R444" s="137">
        <v>13266.060000000001</v>
      </c>
      <c r="S444" s="137">
        <v>3752.239999999998</v>
      </c>
      <c r="T444" s="137">
        <v>3107</v>
      </c>
      <c r="U444" s="137">
        <v>3107</v>
      </c>
      <c r="V444" s="137">
        <v>3107</v>
      </c>
      <c r="W444" s="141">
        <v>3107.0000000000036</v>
      </c>
      <c r="X444" s="141">
        <v>3107</v>
      </c>
      <c r="Y444" s="141">
        <v>9487.0000000000036</v>
      </c>
      <c r="Z444" s="141">
        <v>3107</v>
      </c>
      <c r="AA444" s="141">
        <v>3107</v>
      </c>
      <c r="AB444" s="141">
        <v>-6633</v>
      </c>
      <c r="AC444" s="141">
        <f>'[26]מאזן בוחן EUROPE'!AC446</f>
        <v>3821.62</v>
      </c>
      <c r="AD444" s="141">
        <f>'[27]מאזן בוחן EUROPE'!AD444</f>
        <v>-7238.7999999999993</v>
      </c>
      <c r="AE444" s="141">
        <f>'[28]מאזן בוחן EUROPE'!AE452</f>
        <v>3498.0499999999993</v>
      </c>
      <c r="AF444" s="141">
        <f>'[29]מאזן בוחן EUROPE'!AF448</f>
        <v>3743</v>
      </c>
      <c r="AG444" s="141">
        <f>'[30]מאזן בוחן EUROPE'!AG452</f>
        <v>3743</v>
      </c>
      <c r="AH444" s="141">
        <f>'[31]מאזן בוחן EUROPE'!AH454</f>
        <v>3743.0000000000009</v>
      </c>
      <c r="AI444" s="141">
        <v>3743</v>
      </c>
      <c r="AJ444" s="141">
        <v>3742.9999999999982</v>
      </c>
      <c r="AK444" s="141">
        <v>3743</v>
      </c>
      <c r="AL444" s="141">
        <v>3743</v>
      </c>
      <c r="AM444" s="141">
        <v>3743</v>
      </c>
      <c r="AN444" s="141">
        <f>$K444-SUM($AC444:AM444)</f>
        <v>-22470.59</v>
      </c>
      <c r="AO444" s="141"/>
      <c r="AP444" s="141"/>
      <c r="AQ444" s="141"/>
      <c r="AR444" s="3391"/>
      <c r="AS444" s="141"/>
      <c r="AT444" s="141"/>
      <c r="AU444" s="141"/>
      <c r="AV444" s="141"/>
      <c r="AW444" s="141"/>
      <c r="AX444" s="141"/>
      <c r="AY444" s="141"/>
      <c r="BE444" s="63"/>
    </row>
    <row r="445" spans="1:57">
      <c r="A445" s="52"/>
      <c r="B445" s="3659" t="s">
        <v>752</v>
      </c>
      <c r="C445" s="585">
        <v>7140003</v>
      </c>
      <c r="D445" s="169" t="s">
        <v>915</v>
      </c>
      <c r="E445" s="439">
        <f>IFERROR(VLOOKUP(C445,'פ.נ. EUROPE'!$D$164:$F$3251,3,0),0)</f>
        <v>7193.44</v>
      </c>
      <c r="F445" s="976">
        <f>SUMIF('פ.נ. EUROPE'!C:C,C:C,'פ.נ. EUROPE'!E:E)</f>
        <v>0</v>
      </c>
      <c r="G445" s="1213"/>
      <c r="H445" s="976"/>
      <c r="I445" s="1213"/>
      <c r="J445" s="170">
        <f>SUM(E445:I445)</f>
        <v>7193.44</v>
      </c>
      <c r="K445" s="98">
        <f>M445+SUMIF('פ.נ. EUROPE'!C:C,'מאזן בוחן EUROPE'!C445,'פ.נ. EUROPE'!F:F)</f>
        <v>11313.25</v>
      </c>
      <c r="L445" s="52"/>
      <c r="M445" s="98">
        <f>IFERROR(VLOOKUP(C445,'פ.נ. EUROPE'!$D$164:$H$3424,4,0),"")</f>
        <v>11313.25</v>
      </c>
      <c r="N445" s="1104">
        <f>IF(K445=0,"-",J445/K445)</f>
        <v>0.63584204362141727</v>
      </c>
      <c r="O445" s="434"/>
      <c r="P445" s="1133"/>
      <c r="Q445" s="137">
        <v>0</v>
      </c>
      <c r="R445" s="137">
        <v>-10913.77</v>
      </c>
      <c r="S445" s="137">
        <v>0</v>
      </c>
      <c r="T445" s="137">
        <v>0</v>
      </c>
      <c r="U445" s="137">
        <v>0</v>
      </c>
      <c r="V445" s="137">
        <v>0</v>
      </c>
      <c r="W445" s="141">
        <v>0</v>
      </c>
      <c r="X445" s="141">
        <v>0</v>
      </c>
      <c r="Y445" s="141">
        <v>0</v>
      </c>
      <c r="Z445" s="141">
        <v>102.22000000000116</v>
      </c>
      <c r="AA445" s="141">
        <v>278.98999999999978</v>
      </c>
      <c r="AB445" s="141">
        <v>32062.36</v>
      </c>
      <c r="AC445" s="141">
        <f>'[26]מאזן בוחן EUROPE'!AC447</f>
        <v>0</v>
      </c>
      <c r="AD445" s="141">
        <f>'[27]מאזן בוחן EUROPE'!AD445</f>
        <v>11313.25</v>
      </c>
      <c r="AE445" s="141">
        <f>'[28]מאזן בוחן EUROPE'!AE453</f>
        <v>0</v>
      </c>
      <c r="AF445" s="141">
        <f>'[29]מאזן בוחן EUROPE'!AF449</f>
        <v>0</v>
      </c>
      <c r="AG445" s="141">
        <f>'[30]מאזן בוחן EUROPE'!AG453</f>
        <v>0</v>
      </c>
      <c r="AH445" s="141">
        <f>'[31]מאזן בוחן EUROPE'!AH455</f>
        <v>0</v>
      </c>
      <c r="AI445" s="141">
        <v>0</v>
      </c>
      <c r="AJ445" s="141">
        <v>0</v>
      </c>
      <c r="AK445" s="141">
        <v>0</v>
      </c>
      <c r="AL445" s="141">
        <v>0</v>
      </c>
      <c r="AM445" s="141">
        <v>0</v>
      </c>
      <c r="AN445" s="141">
        <f>$K445-SUM($AC445:AM445)</f>
        <v>0</v>
      </c>
      <c r="AO445" s="141"/>
      <c r="AP445" s="141"/>
      <c r="AQ445" s="141"/>
      <c r="AR445" s="3391"/>
      <c r="AS445" s="141"/>
      <c r="AT445" s="141"/>
      <c r="AU445" s="141"/>
      <c r="AV445" s="141"/>
      <c r="AW445" s="141"/>
      <c r="AX445" s="141"/>
      <c r="AY445" s="141"/>
      <c r="BE445" s="63"/>
    </row>
    <row r="446" spans="1:57">
      <c r="A446" s="52"/>
      <c r="B446" s="3659" t="s">
        <v>752</v>
      </c>
      <c r="C446" s="585">
        <v>7140042</v>
      </c>
      <c r="D446" s="203" t="s">
        <v>1336</v>
      </c>
      <c r="E446" s="439">
        <f>IFERROR(VLOOKUP(C446,'פ.נ. EUROPE'!$D$164:$F$3251,3,0),0)</f>
        <v>0</v>
      </c>
      <c r="F446" s="976">
        <f>SUMIF('פ.נ. EUROPE'!C:C,C:C,'פ.נ. EUROPE'!E:E)</f>
        <v>0</v>
      </c>
      <c r="G446" s="1213"/>
      <c r="H446" s="976"/>
      <c r="I446" s="1213"/>
      <c r="J446" s="521">
        <f>SUM(E446:I446)</f>
        <v>0</v>
      </c>
      <c r="K446" s="1213">
        <f>M446+SUMIF('פ.נ. EUROPE'!C:C,'מאזן בוחן EUROPE'!C446,'פ.נ. EUROPE'!F:F)</f>
        <v>0</v>
      </c>
      <c r="L446" s="518"/>
      <c r="M446" s="98" t="str">
        <f>IFERROR(VLOOKUP(C446,'פ.נ. EUROPE'!$D$164:$H$3424,4,0),"")</f>
        <v/>
      </c>
      <c r="N446" s="3036" t="str">
        <f>IF(K446=0,"-",J446/K446)</f>
        <v>-</v>
      </c>
      <c r="O446" s="434"/>
      <c r="P446" s="469"/>
      <c r="Q446" s="137">
        <v>0</v>
      </c>
      <c r="R446" s="137">
        <v>0</v>
      </c>
      <c r="S446" s="137">
        <v>0</v>
      </c>
      <c r="T446" s="137">
        <v>0</v>
      </c>
      <c r="U446" s="137">
        <v>0</v>
      </c>
      <c r="V446" s="137">
        <v>0</v>
      </c>
      <c r="W446" s="141">
        <v>0</v>
      </c>
      <c r="X446" s="141">
        <v>0</v>
      </c>
      <c r="Y446" s="141">
        <v>0</v>
      </c>
      <c r="Z446" s="141">
        <v>0</v>
      </c>
      <c r="AA446" s="141">
        <v>0</v>
      </c>
      <c r="AB446" s="141">
        <v>0</v>
      </c>
      <c r="AC446" s="141">
        <f>'[26]מאזן בוחן EUROPE'!AC453</f>
        <v>0</v>
      </c>
      <c r="AD446" s="141">
        <f>'[27]מאזן בוחן EUROPE'!AD451</f>
        <v>0</v>
      </c>
      <c r="AE446" s="141">
        <f>'[28]מאזן בוחן EUROPE'!AE459</f>
        <v>0</v>
      </c>
      <c r="AF446" s="141">
        <f>'[29]מאזן בוחן EUROPE'!AF456</f>
        <v>0</v>
      </c>
      <c r="AG446" s="141">
        <f>'[30]מאזן בוחן EUROPE'!AG460</f>
        <v>0</v>
      </c>
      <c r="AH446" s="141">
        <f>'[31]מאזן בוחן EUROPE'!AH464</f>
        <v>0</v>
      </c>
      <c r="AI446" s="141">
        <v>0</v>
      </c>
      <c r="AJ446" s="141">
        <v>0</v>
      </c>
      <c r="AK446" s="141">
        <v>0</v>
      </c>
      <c r="AL446" s="141">
        <v>0</v>
      </c>
      <c r="AM446" s="141">
        <v>0</v>
      </c>
      <c r="AN446" s="141">
        <f>$K446-SUM($AC446:AM446)</f>
        <v>0</v>
      </c>
      <c r="AO446" s="141"/>
      <c r="AP446" s="141"/>
      <c r="AQ446" s="141"/>
      <c r="AR446" s="141"/>
      <c r="AS446" s="141"/>
      <c r="AT446" s="141"/>
      <c r="AU446" s="141"/>
      <c r="AV446" s="141"/>
      <c r="AW446" s="141"/>
      <c r="AX446" s="141"/>
      <c r="AY446" s="141"/>
      <c r="BE446" s="63"/>
    </row>
    <row r="447" spans="1:57">
      <c r="A447" s="52"/>
      <c r="B447" s="3659" t="s">
        <v>752</v>
      </c>
      <c r="C447" s="1428">
        <v>7140004</v>
      </c>
      <c r="D447" s="1413" t="s">
        <v>755</v>
      </c>
      <c r="E447" s="439">
        <f>IFERROR(VLOOKUP(C447,'פ.נ. EUROPE'!$D$164:$F$3251,3,0),0)</f>
        <v>182320.32</v>
      </c>
      <c r="F447" s="976">
        <f>SUMIF('פ.נ. EUROPE'!C:C,C:C,'פ.נ. EUROPE'!E:E)</f>
        <v>0</v>
      </c>
      <c r="G447" s="1213"/>
      <c r="H447" s="976"/>
      <c r="I447" s="1213"/>
      <c r="J447" s="170">
        <f t="shared" si="101"/>
        <v>182320.32</v>
      </c>
      <c r="K447" s="98">
        <f>M447+SUMIF('פ.נ. EUROPE'!C:C,'מאזן בוחן EUROPE'!C447,'פ.נ. EUROPE'!F:F)</f>
        <v>250069.28</v>
      </c>
      <c r="L447" s="52"/>
      <c r="M447" s="98">
        <f>IFERROR(VLOOKUP(C447,'פ.נ. EUROPE'!$D$164:$H$3424,4,0),"")</f>
        <v>250069.28</v>
      </c>
      <c r="N447" s="1104">
        <f t="shared" si="102"/>
        <v>0.72907923756168691</v>
      </c>
      <c r="P447" s="469"/>
      <c r="Q447" s="2502">
        <v>187810.52</v>
      </c>
      <c r="R447" s="2502">
        <v>0</v>
      </c>
      <c r="S447" s="2502">
        <v>0</v>
      </c>
      <c r="T447" s="2502">
        <v>43244.72</v>
      </c>
      <c r="U447" s="2502">
        <v>2321.6500000000233</v>
      </c>
      <c r="V447" s="2502">
        <v>1549.3299999999872</v>
      </c>
      <c r="W447" s="2502">
        <v>31794.569999999978</v>
      </c>
      <c r="X447" s="2502">
        <v>1660.1500000000233</v>
      </c>
      <c r="Y447" s="2502">
        <v>2046.5599999999977</v>
      </c>
      <c r="Z447" s="2502">
        <v>42499.840000000026</v>
      </c>
      <c r="AA447" s="2502">
        <v>1668.609999999986</v>
      </c>
      <c r="AB447" s="2502">
        <v>2196.9099999999744</v>
      </c>
      <c r="AC447" s="2502">
        <f>'[26]מאזן בוחן EUROPE'!AC448</f>
        <v>125312.47</v>
      </c>
      <c r="AD447" s="2502">
        <f>'[27]מאזן בוחן EUROPE'!AD446</f>
        <v>4774.8399999999965</v>
      </c>
      <c r="AE447" s="2502">
        <f>'[28]מאזן בוחן EUROPE'!AE454</f>
        <v>2187.2900000000081</v>
      </c>
      <c r="AF447" s="2502">
        <f>'[29]מאזן בוחן EUROPE'!AF450</f>
        <v>36385.739999999991</v>
      </c>
      <c r="AG447" s="2502">
        <f>'[30]מאזן בוחן EUROPE'!AG454</f>
        <v>3101.4700000000012</v>
      </c>
      <c r="AH447" s="2502">
        <f>'[31]מאזן בוחן EUROPE'!AH456</f>
        <v>0</v>
      </c>
      <c r="AI447" s="2502">
        <v>34857.26999999999</v>
      </c>
      <c r="AJ447" s="2502">
        <v>0</v>
      </c>
      <c r="AK447" s="2502">
        <v>2302.6100000000151</v>
      </c>
      <c r="AL447" s="2502">
        <v>27335.850000000006</v>
      </c>
      <c r="AM447" s="2502">
        <v>2562.6499999999942</v>
      </c>
      <c r="AN447" s="2502">
        <f>$K447-SUM($AC447:AM447)</f>
        <v>11249.089999999997</v>
      </c>
      <c r="AO447" s="2502"/>
      <c r="AP447" s="2502"/>
      <c r="AQ447" s="2502"/>
      <c r="AR447" s="3392"/>
      <c r="AS447" s="2502"/>
      <c r="AT447" s="2502"/>
      <c r="AU447" s="2502"/>
      <c r="AV447" s="141"/>
      <c r="AW447" s="141"/>
      <c r="AX447" s="141"/>
      <c r="AY447" s="141"/>
    </row>
    <row r="448" spans="1:57">
      <c r="A448" s="52"/>
      <c r="B448" s="3659" t="s">
        <v>752</v>
      </c>
      <c r="C448" s="1428">
        <v>7140032</v>
      </c>
      <c r="D448" s="169" t="s">
        <v>756</v>
      </c>
      <c r="E448" s="439">
        <f>IFERROR(VLOOKUP(C448,'פ.נ. EUROPE'!$D$164:$F$3251,3,0),0)</f>
        <v>118095.42</v>
      </c>
      <c r="F448" s="976">
        <f>SUMIF('פ.נ. EUROPE'!C:C,C:C,'פ.נ. EUROPE'!E:E)</f>
        <v>0</v>
      </c>
      <c r="G448" s="1213"/>
      <c r="H448" s="976"/>
      <c r="I448" s="1213"/>
      <c r="J448" s="170">
        <f t="shared" si="101"/>
        <v>118095.42</v>
      </c>
      <c r="K448" s="98">
        <f>M448+SUMIF('פ.נ. EUROPE'!C:C,'מאזן בוחן EUROPE'!C448,'פ.נ. EUROPE'!F:F)</f>
        <v>163360.19</v>
      </c>
      <c r="L448" s="52"/>
      <c r="M448" s="98">
        <f>IFERROR(VLOOKUP(C448,'פ.נ. EUROPE'!$D$164:$H$3424,4,0),"")</f>
        <v>163360.19</v>
      </c>
      <c r="N448" s="1104">
        <f t="shared" si="102"/>
        <v>0.7229143159052398</v>
      </c>
      <c r="P448" s="469"/>
      <c r="Q448" s="137">
        <v>13850.29</v>
      </c>
      <c r="R448" s="137">
        <v>13538.869999999999</v>
      </c>
      <c r="S448" s="137">
        <v>13353.509999999998</v>
      </c>
      <c r="T448" s="137">
        <v>13577.380000000008</v>
      </c>
      <c r="U448" s="137">
        <v>13700.36</v>
      </c>
      <c r="V448" s="137">
        <v>14112.55</v>
      </c>
      <c r="W448" s="141">
        <v>14523.750000000011</v>
      </c>
      <c r="X448" s="141">
        <v>14769.48999999998</v>
      </c>
      <c r="Y448" s="141">
        <v>14597.650000000012</v>
      </c>
      <c r="Z448" s="141">
        <v>14780.75</v>
      </c>
      <c r="AA448" s="141">
        <v>14876.459999999992</v>
      </c>
      <c r="AB448" s="141">
        <v>15215.700000000012</v>
      </c>
      <c r="AC448" s="141">
        <f>'[26]מאזן בוחן EUROPE'!AC449</f>
        <v>15196.8</v>
      </c>
      <c r="AD448" s="141">
        <f>'[27]מאזן בוחן EUROPE'!AD447</f>
        <v>15629.43</v>
      </c>
      <c r="AE448" s="141">
        <f>'[28]מאזן בוחן EUROPE'!AE455</f>
        <v>15143.689999999999</v>
      </c>
      <c r="AF448" s="141">
        <f>'[29]מאזן בוחן EUROPE'!AF451</f>
        <v>15527.490000000005</v>
      </c>
      <c r="AG448" s="141">
        <f>'[30]מאזן בוחן EUROPE'!AG455</f>
        <v>15668.809999999998</v>
      </c>
      <c r="AH448" s="141">
        <f>'[31]מאזן בוחן EUROPE'!AH457</f>
        <v>15348.5</v>
      </c>
      <c r="AI448" s="141">
        <v>15174.100000000006</v>
      </c>
      <c r="AJ448" s="141">
        <v>15031.289999999994</v>
      </c>
      <c r="AK448" s="141">
        <v>15072.310000000012</v>
      </c>
      <c r="AL448" s="141">
        <v>14987.129999999976</v>
      </c>
      <c r="AM448" s="141">
        <v>10580.640000000014</v>
      </c>
      <c r="AN448" s="141">
        <f>$K448-SUM($AC448:AM448)</f>
        <v>0</v>
      </c>
      <c r="AO448" s="141"/>
      <c r="AP448" s="141"/>
      <c r="AQ448" s="141"/>
      <c r="AR448" s="3391"/>
      <c r="AS448" s="141"/>
      <c r="AT448" s="141"/>
      <c r="AU448" s="141"/>
      <c r="AV448" s="141"/>
      <c r="AW448" s="141"/>
      <c r="AX448" s="141"/>
      <c r="AY448" s="141"/>
    </row>
    <row r="449" spans="1:57">
      <c r="A449" s="52"/>
      <c r="B449" s="3659" t="s">
        <v>752</v>
      </c>
      <c r="C449" s="1428">
        <v>7140033</v>
      </c>
      <c r="D449" s="1413" t="s">
        <v>757</v>
      </c>
      <c r="E449" s="439">
        <f>IFERROR(VLOOKUP(C449,'פ.נ. EUROPE'!$D$164:$F$3251,3,0),0)</f>
        <v>75240.289999999994</v>
      </c>
      <c r="F449" s="976">
        <f>SUMIF('פ.נ. EUROPE'!C:C,C:C,'פ.נ. EUROPE'!E:E)</f>
        <v>0</v>
      </c>
      <c r="G449" s="1213"/>
      <c r="H449" s="976"/>
      <c r="I449" s="1213"/>
      <c r="J449" s="170">
        <f t="shared" si="101"/>
        <v>75240.289999999994</v>
      </c>
      <c r="K449" s="98">
        <f>M449+SUMIF('פ.נ. EUROPE'!C:C,'מאזן בוחן EUROPE'!C449,'פ.נ. EUROPE'!F:F)</f>
        <v>102469.87</v>
      </c>
      <c r="L449" s="52"/>
      <c r="M449" s="98">
        <f>IFERROR(VLOOKUP(C449,'פ.נ. EUROPE'!$D$164:$H$3424,4,0),"")</f>
        <v>102469.87</v>
      </c>
      <c r="N449" s="1104">
        <f t="shared" si="102"/>
        <v>0.73426744856805226</v>
      </c>
      <c r="P449" s="469"/>
      <c r="Q449" s="2502">
        <v>32958.160000000003</v>
      </c>
      <c r="R449" s="2502">
        <v>0</v>
      </c>
      <c r="S449" s="2502">
        <v>0</v>
      </c>
      <c r="T449" s="2502">
        <v>7259.0199999999968</v>
      </c>
      <c r="U449" s="2502">
        <v>0</v>
      </c>
      <c r="V449" s="2502">
        <v>0</v>
      </c>
      <c r="W449" s="2502">
        <v>4313.5999999999985</v>
      </c>
      <c r="X449" s="2502">
        <v>0</v>
      </c>
      <c r="Y449" s="2502">
        <v>0</v>
      </c>
      <c r="Z449" s="2502">
        <v>22478.570000000007</v>
      </c>
      <c r="AA449" s="2502">
        <v>201.1299999999901</v>
      </c>
      <c r="AB449" s="2502">
        <v>0</v>
      </c>
      <c r="AC449" s="2502">
        <f>'[26]מאזן בוחן EUROPE'!AC450</f>
        <v>10956.06</v>
      </c>
      <c r="AD449" s="2502">
        <f>'[27]מאזן בוחן EUROPE'!AD448</f>
        <v>0</v>
      </c>
      <c r="AE449" s="2502">
        <f>'[28]מאזן בוחן EUROPE'!AE456</f>
        <v>0</v>
      </c>
      <c r="AF449" s="2502">
        <f>'[29]מאזן בוחן EUROPE'!AF452</f>
        <v>16418.07</v>
      </c>
      <c r="AG449" s="2502">
        <f>'[30]מאזן בוחן EUROPE'!AG456</f>
        <v>0</v>
      </c>
      <c r="AH449" s="2502">
        <f>'[31]מאזן בוחן EUROPE'!AH458</f>
        <v>0</v>
      </c>
      <c r="AI449" s="3255">
        <v>13126.600000000006</v>
      </c>
      <c r="AJ449" s="2502">
        <v>1552.25</v>
      </c>
      <c r="AK449" s="2502">
        <v>0</v>
      </c>
      <c r="AL449" s="2502">
        <v>4540.6099999999933</v>
      </c>
      <c r="AM449" s="2502">
        <v>55876.28</v>
      </c>
      <c r="AN449" s="2502">
        <f>$K449-SUM($AC449:AM449)</f>
        <v>0</v>
      </c>
      <c r="AO449" s="2502"/>
      <c r="AP449" s="2502"/>
      <c r="AQ449" s="2502"/>
      <c r="AR449" s="3392"/>
      <c r="AS449" s="3255"/>
      <c r="AT449" s="3254">
        <f>O2</f>
        <v>0</v>
      </c>
      <c r="AU449" s="2502"/>
      <c r="AV449" s="141"/>
      <c r="AW449" s="141"/>
      <c r="AX449" s="141"/>
      <c r="AY449" s="141"/>
    </row>
    <row r="450" spans="1:57">
      <c r="A450" s="52"/>
      <c r="B450" s="3659" t="s">
        <v>752</v>
      </c>
      <c r="C450" s="585">
        <v>7140034</v>
      </c>
      <c r="D450" s="203" t="s">
        <v>1335</v>
      </c>
      <c r="E450" s="439">
        <f>IFERROR(VLOOKUP(C450,'פ.נ. EUROPE'!$D$164:$F$3251,3,0),0)</f>
        <v>2215.21</v>
      </c>
      <c r="F450" s="976">
        <f>SUMIF('פ.נ. EUROPE'!C:C,C:C,'פ.נ. EUROPE'!E:E)</f>
        <v>0</v>
      </c>
      <c r="G450" s="1213"/>
      <c r="H450" s="976"/>
      <c r="I450" s="1213"/>
      <c r="J450" s="170">
        <f t="shared" ref="J450:J452" si="105">SUM(E450:I450)</f>
        <v>2215.21</v>
      </c>
      <c r="K450" s="98">
        <f>M450+SUMIF('פ.נ. EUROPE'!C:C,'מאזן בוחן EUROPE'!C450,'פ.נ. EUROPE'!F:F)</f>
        <v>3130.75</v>
      </c>
      <c r="L450" s="51"/>
      <c r="M450" s="98">
        <f>IFERROR(VLOOKUP(C450,'פ.נ. EUROPE'!$D$164:$H$3424,4,0),"")</f>
        <v>3130.75</v>
      </c>
      <c r="N450" s="1104">
        <f t="shared" ref="N450:N452" si="106">IF(K450=0,"-",J450/K450)</f>
        <v>0.70756527988501161</v>
      </c>
      <c r="O450" s="434"/>
      <c r="P450" s="469"/>
      <c r="Q450" s="137">
        <v>0</v>
      </c>
      <c r="R450" s="137">
        <v>3035.97</v>
      </c>
      <c r="S450" s="137">
        <v>0</v>
      </c>
      <c r="T450" s="137">
        <v>0</v>
      </c>
      <c r="U450" s="137">
        <v>0</v>
      </c>
      <c r="V450" s="137">
        <v>0</v>
      </c>
      <c r="W450" s="141">
        <v>0</v>
      </c>
      <c r="X450" s="141">
        <v>0</v>
      </c>
      <c r="Y450" s="141">
        <v>0</v>
      </c>
      <c r="Z450" s="141">
        <v>0</v>
      </c>
      <c r="AA450" s="141">
        <v>0</v>
      </c>
      <c r="AB450" s="141">
        <v>0</v>
      </c>
      <c r="AC450" s="141">
        <f>'[26]מאזן בוחן EUROPE'!AC451</f>
        <v>0</v>
      </c>
      <c r="AD450" s="141">
        <f>'[27]מאזן בוחן EUROPE'!AD449</f>
        <v>3130.75</v>
      </c>
      <c r="AE450" s="141">
        <f>'[28]מאזן בוחן EUROPE'!AE457</f>
        <v>0</v>
      </c>
      <c r="AF450" s="141">
        <f>'[29]מאזן בוחן EUROPE'!AF453</f>
        <v>0</v>
      </c>
      <c r="AG450" s="141">
        <f>'[30]מאזן בוחן EUROPE'!AG457</f>
        <v>0</v>
      </c>
      <c r="AH450" s="141">
        <f>'[31]מאזן בוחן EUROPE'!AH459</f>
        <v>0</v>
      </c>
      <c r="AI450" s="141">
        <v>0</v>
      </c>
      <c r="AJ450" s="141">
        <v>0</v>
      </c>
      <c r="AK450" s="141">
        <v>0</v>
      </c>
      <c r="AL450" s="141">
        <v>0</v>
      </c>
      <c r="AM450" s="141">
        <v>0</v>
      </c>
      <c r="AN450" s="141">
        <f>$K450-SUM($AC450:AM450)</f>
        <v>0</v>
      </c>
      <c r="AO450" s="141"/>
      <c r="AP450" s="141"/>
      <c r="AQ450" s="141"/>
      <c r="AR450" s="3391"/>
      <c r="AS450" s="141"/>
      <c r="AT450" s="141"/>
      <c r="AU450" s="141"/>
      <c r="AV450" s="141"/>
      <c r="AW450" s="141"/>
      <c r="AX450" s="141"/>
      <c r="AY450" s="141"/>
      <c r="BE450" s="63"/>
    </row>
    <row r="451" spans="1:57" ht="38.25">
      <c r="A451" s="52"/>
      <c r="B451" s="3659" t="s">
        <v>1156</v>
      </c>
      <c r="C451" s="585">
        <v>7140045</v>
      </c>
      <c r="D451" s="169" t="s">
        <v>3793</v>
      </c>
      <c r="E451" s="439">
        <f>IFERROR(VLOOKUP(C451,'פ.נ. EUROPE'!$D$164:$F$3251,3,0),0)</f>
        <v>77533.929999999993</v>
      </c>
      <c r="F451" s="976">
        <f>SUMIF('פ.נ. EUROPE'!C:C,C:C,'פ.נ. EUROPE'!E:E)</f>
        <v>0</v>
      </c>
      <c r="G451" s="1213"/>
      <c r="H451" s="976"/>
      <c r="I451" s="1213"/>
      <c r="J451" s="170">
        <f>SUM(E451:I451)</f>
        <v>77533.929999999993</v>
      </c>
      <c r="K451" s="98">
        <f>M451+SUMIF('פ.נ. EUROPE'!C:C,'מאזן בוחן EUROPE'!C451,'פ.נ. EUROPE'!F:F)</f>
        <v>106291.34</v>
      </c>
      <c r="L451" s="51"/>
      <c r="M451" s="98">
        <f>IFERROR(VLOOKUP(C451,'פ.נ. EUROPE'!$D$164:$H$3424,4,0),"")</f>
        <v>106291.34</v>
      </c>
      <c r="N451" s="1104">
        <f>IF(K451=0,"-",J451/K451)</f>
        <v>0.72944729081409643</v>
      </c>
      <c r="O451" s="434"/>
      <c r="P451" s="3800" t="s">
        <v>4791</v>
      </c>
      <c r="W451" s="141"/>
      <c r="X451" s="141"/>
      <c r="Y451" s="141"/>
      <c r="Z451" s="141"/>
      <c r="AA451" s="141"/>
      <c r="AB451" s="3580"/>
      <c r="AC451" s="3580"/>
      <c r="AD451" s="141"/>
      <c r="AE451" s="141"/>
      <c r="AF451" s="141"/>
      <c r="AG451" s="141"/>
      <c r="AH451" s="141">
        <f>'[31]מאזן בוחן EUROPE'!AH463</f>
        <v>2721.98</v>
      </c>
      <c r="AI451" s="3256">
        <v>2720.9500000000003</v>
      </c>
      <c r="AJ451" s="141">
        <v>2710.96</v>
      </c>
      <c r="AK451" s="141">
        <v>0</v>
      </c>
      <c r="AL451" s="141">
        <v>67923.37</v>
      </c>
      <c r="AM451" s="141">
        <v>15827.200000000012</v>
      </c>
      <c r="AN451" s="141">
        <f>$K451-SUM($AC451:AM451)</f>
        <v>14386.87999999999</v>
      </c>
      <c r="AO451" s="141"/>
      <c r="AP451" s="3580"/>
      <c r="AQ451" s="3580"/>
      <c r="AR451" s="3531"/>
      <c r="AS451" s="3580"/>
      <c r="AT451" s="3580"/>
      <c r="AU451" s="3580"/>
      <c r="AV451" s="3580"/>
      <c r="AW451" s="141"/>
      <c r="AX451" s="141"/>
      <c r="AY451" s="141"/>
      <c r="BE451" s="63"/>
    </row>
    <row r="452" spans="1:57">
      <c r="A452" s="52"/>
      <c r="B452" s="3659" t="s">
        <v>1156</v>
      </c>
      <c r="C452" s="585">
        <v>7140046</v>
      </c>
      <c r="D452" s="1413" t="s">
        <v>3794</v>
      </c>
      <c r="E452" s="439">
        <f>IFERROR(VLOOKUP(C452,'פ.נ. EUROPE'!$D$164:$F$3251,3,0),0)</f>
        <v>18849.02</v>
      </c>
      <c r="F452" s="976">
        <f>SUMIF('פ.נ. EUROPE'!C:C,C:C,'פ.נ. EUROPE'!E:E)</f>
        <v>0</v>
      </c>
      <c r="G452" s="1213"/>
      <c r="H452" s="976"/>
      <c r="I452" s="1213"/>
      <c r="J452" s="170">
        <f t="shared" si="105"/>
        <v>18849.02</v>
      </c>
      <c r="K452" s="98">
        <f>M452+SUMIF('פ.נ. EUROPE'!C:C,'מאזן בוחן EUROPE'!C452,'פ.נ. EUROPE'!F:F)</f>
        <v>25888.31</v>
      </c>
      <c r="L452" s="51"/>
      <c r="M452" s="98">
        <f>IFERROR(VLOOKUP(C452,'פ.נ. EUROPE'!$D$164:$H$3424,4,0),"")</f>
        <v>25888.31</v>
      </c>
      <c r="N452" s="1104">
        <f t="shared" si="106"/>
        <v>0.7280900143732828</v>
      </c>
      <c r="O452" s="434"/>
      <c r="P452" s="2224" t="s">
        <v>3872</v>
      </c>
      <c r="W452" s="141"/>
      <c r="X452" s="141"/>
      <c r="Y452" s="141"/>
      <c r="Z452" s="141"/>
      <c r="AA452" s="141"/>
      <c r="AB452" s="2502"/>
      <c r="AC452" s="2502"/>
      <c r="AD452" s="2502"/>
      <c r="AE452" s="2502"/>
      <c r="AF452" s="2502"/>
      <c r="AG452" s="2502"/>
      <c r="AH452" s="2502">
        <f>'[31]מאזן בוחן EUROPE'!AH462</f>
        <v>15063.45</v>
      </c>
      <c r="AI452" s="3255">
        <v>15057.71</v>
      </c>
      <c r="AJ452" s="2502">
        <v>15002.45</v>
      </c>
      <c r="AK452" s="2502">
        <v>14407.839999999997</v>
      </c>
      <c r="AL452" s="2502">
        <v>-41608.369999999995</v>
      </c>
      <c r="AM452" s="2502">
        <v>7965.23</v>
      </c>
      <c r="AN452" s="2502">
        <f>$K452-SUM($AC452:AM452)</f>
        <v>0</v>
      </c>
      <c r="AO452" s="2502"/>
      <c r="AP452" s="141"/>
      <c r="AQ452" s="141"/>
      <c r="AR452" s="141"/>
      <c r="AS452" s="141"/>
      <c r="AT452" s="141"/>
      <c r="AU452" s="141"/>
      <c r="AV452" s="141"/>
      <c r="AW452" s="141"/>
      <c r="AX452" s="141"/>
      <c r="AY452" s="141"/>
      <c r="BE452" s="63"/>
    </row>
    <row r="453" spans="1:57">
      <c r="A453" s="52"/>
      <c r="B453" s="3659" t="s">
        <v>1156</v>
      </c>
      <c r="C453" s="585">
        <v>7140023</v>
      </c>
      <c r="D453" s="169" t="s">
        <v>4485</v>
      </c>
      <c r="E453" s="439">
        <f>IFERROR(VLOOKUP(C453,'פ.נ. EUROPE'!$D$164:$F$3251,3,0),0)</f>
        <v>14821.57</v>
      </c>
      <c r="F453" s="976">
        <f>SUMIF('פ.נ. EUROPE'!C:C,C:C,'פ.נ. EUROPE'!E:E)</f>
        <v>0</v>
      </c>
      <c r="G453" s="1213"/>
      <c r="H453" s="976"/>
      <c r="I453" s="1213"/>
      <c r="J453" s="521">
        <f t="shared" ref="J453" si="107">SUM(E453:I453)</f>
        <v>14821.57</v>
      </c>
      <c r="K453" s="1213">
        <f>M453+SUMIF('פ.נ. EUROPE'!C:C,'מאזן בוחן EUROPE'!C453,'פ.נ. EUROPE'!F:F)</f>
        <v>19833.32</v>
      </c>
      <c r="L453" s="518"/>
      <c r="M453" s="98">
        <f>IFERROR(VLOOKUP(C453,'פ.נ. EUROPE'!$D$164:$H$3424,4,0),"")</f>
        <v>19833.32</v>
      </c>
      <c r="N453" s="3036">
        <f t="shared" ref="N453" si="108">IF(K453=0,"-",J453/K453)</f>
        <v>0.7473065528111279</v>
      </c>
      <c r="O453" s="434"/>
      <c r="P453" s="3330" t="s">
        <v>4490</v>
      </c>
      <c r="Q453" s="2502"/>
      <c r="R453" s="2502"/>
      <c r="S453" s="2502"/>
      <c r="T453" s="2502"/>
      <c r="U453" s="2502"/>
      <c r="V453" s="2502"/>
      <c r="W453" s="2502"/>
      <c r="X453" s="2502"/>
      <c r="Y453" s="2502"/>
      <c r="Z453" s="2502"/>
      <c r="AA453" s="2502"/>
      <c r="AB453" s="141"/>
      <c r="AC453" s="141"/>
      <c r="AD453" s="141"/>
      <c r="AE453" s="141"/>
      <c r="AF453" s="141"/>
      <c r="AG453" s="141"/>
      <c r="AH453" s="141"/>
      <c r="AI453" s="3256"/>
      <c r="AJ453" s="141"/>
      <c r="AK453" s="141"/>
      <c r="AL453" s="141"/>
      <c r="AM453" s="141">
        <v>9916.66</v>
      </c>
      <c r="AN453" s="141">
        <f>$K453-SUM($AC453:AM453)</f>
        <v>9916.66</v>
      </c>
      <c r="AO453" s="141"/>
      <c r="AP453" s="141"/>
      <c r="AQ453" s="141"/>
      <c r="AR453" s="3391"/>
      <c r="AS453" s="3256"/>
      <c r="AT453" s="141"/>
      <c r="AU453" s="141"/>
      <c r="AV453" s="141"/>
      <c r="AW453" s="141"/>
      <c r="AX453" s="141"/>
      <c r="AY453" s="141"/>
      <c r="BE453" s="63"/>
    </row>
    <row r="454" spans="1:57">
      <c r="A454" s="52"/>
      <c r="B454" s="3659" t="s">
        <v>1156</v>
      </c>
      <c r="C454" s="585">
        <v>7140053</v>
      </c>
      <c r="D454" s="203" t="s">
        <v>4003</v>
      </c>
      <c r="E454" s="439">
        <f>IFERROR(VLOOKUP(C454,'פ.נ. EUROPE'!$D$164:$F$3251,3,0),0)</f>
        <v>38553.129999999997</v>
      </c>
      <c r="F454" s="976">
        <f>SUMIF('פ.נ. EUROPE'!C:C,C:C,'פ.נ. EUROPE'!E:E)</f>
        <v>0</v>
      </c>
      <c r="G454" s="1213"/>
      <c r="H454" s="976"/>
      <c r="I454" s="1213"/>
      <c r="J454" s="521">
        <f>SUM(E454:I454)</f>
        <v>38553.129999999997</v>
      </c>
      <c r="K454" s="1213">
        <f>M454+SUMIF('פ.נ. EUROPE'!C:C,'מאזן בוחן EUROPE'!C454,'פ.נ. EUROPE'!F:F)</f>
        <v>52538.22</v>
      </c>
      <c r="L454" s="518"/>
      <c r="M454" s="98">
        <f>IFERROR(VLOOKUP(C454,'פ.נ. EUROPE'!$D$164:$H$3424,4,0),"")</f>
        <v>52538.22</v>
      </c>
      <c r="N454" s="3036">
        <f>IF(K454=0,"-",J454/K454)</f>
        <v>0.73381111883881855</v>
      </c>
      <c r="O454" s="434"/>
      <c r="P454" s="2224" t="s">
        <v>4036</v>
      </c>
      <c r="W454" s="141"/>
      <c r="X454" s="141"/>
      <c r="Y454" s="141"/>
      <c r="Z454" s="141"/>
      <c r="AA454" s="141"/>
      <c r="AB454" s="141"/>
      <c r="AC454" s="141"/>
      <c r="AD454" s="141"/>
      <c r="AE454" s="141"/>
      <c r="AF454" s="141"/>
      <c r="AG454" s="141"/>
      <c r="AH454" s="141"/>
      <c r="AI454" s="141"/>
      <c r="AJ454" s="141">
        <v>10728.71</v>
      </c>
      <c r="AK454" s="141">
        <v>10628.900000000001</v>
      </c>
      <c r="AL454" s="141">
        <v>10767.64</v>
      </c>
      <c r="AM454" s="141">
        <v>10216.019999999997</v>
      </c>
      <c r="AN454" s="141">
        <f>$K454-SUM($AC454:AM454)</f>
        <v>10196.950000000004</v>
      </c>
      <c r="AO454" s="141"/>
      <c r="AP454" s="141"/>
      <c r="AQ454" s="141"/>
      <c r="AR454" s="141"/>
      <c r="AS454" s="141"/>
      <c r="AT454" s="141"/>
      <c r="AU454" s="141"/>
      <c r="AV454" s="141"/>
      <c r="AW454" s="141"/>
      <c r="AX454" s="141"/>
      <c r="AY454" s="141"/>
      <c r="BE454" s="63"/>
    </row>
    <row r="455" spans="1:57">
      <c r="A455" s="52"/>
      <c r="B455" s="3659" t="s">
        <v>1156</v>
      </c>
      <c r="C455" s="585">
        <v>7140054</v>
      </c>
      <c r="D455" s="1413" t="s">
        <v>4004</v>
      </c>
      <c r="E455" s="439">
        <f>IFERROR(VLOOKUP(C455,'פ.נ. EUROPE'!$D$164:$F$3251,3,0),0)</f>
        <v>5358.44</v>
      </c>
      <c r="F455" s="976">
        <f>SUMIF('פ.נ. EUROPE'!C:C,C:C,'פ.נ. EUROPE'!E:E)</f>
        <v>0</v>
      </c>
      <c r="G455" s="1213"/>
      <c r="H455" s="976"/>
      <c r="I455" s="1213"/>
      <c r="J455" s="521">
        <f>SUM(E455:I455)</f>
        <v>5358.44</v>
      </c>
      <c r="K455" s="1213">
        <f>M455+SUMIF('פ.נ. EUROPE'!C:C,'מאזן בוחן EUROPE'!C455,'פ.נ. EUROPE'!F:F)</f>
        <v>7370.39</v>
      </c>
      <c r="L455" s="518"/>
      <c r="M455" s="98">
        <f>IFERROR(VLOOKUP(C455,'פ.נ. EUROPE'!$D$164:$H$3424,4,0),"")</f>
        <v>7370.39</v>
      </c>
      <c r="N455" s="3036">
        <f>IF(K455=0,"-",J455/K455)</f>
        <v>0.72702258632175498</v>
      </c>
      <c r="O455" s="434"/>
      <c r="P455" s="2224" t="s">
        <v>4036</v>
      </c>
      <c r="Q455" s="2502"/>
      <c r="R455" s="2502"/>
      <c r="S455" s="2502"/>
      <c r="T455" s="2502"/>
      <c r="U455" s="2502"/>
      <c r="V455" s="2502"/>
      <c r="W455" s="2502"/>
      <c r="X455" s="2502"/>
      <c r="Y455" s="2502"/>
      <c r="Z455" s="2502"/>
      <c r="AA455" s="2502"/>
      <c r="AB455" s="2502"/>
      <c r="AC455" s="2502"/>
      <c r="AD455" s="2502"/>
      <c r="AE455" s="2502"/>
      <c r="AF455" s="2502"/>
      <c r="AG455" s="2502"/>
      <c r="AH455" s="2502"/>
      <c r="AI455" s="3255"/>
      <c r="AJ455" s="2502">
        <v>2468.3000000000002</v>
      </c>
      <c r="AK455" s="2502">
        <v>2445.33</v>
      </c>
      <c r="AL455" s="2502">
        <v>2456.7600000000002</v>
      </c>
      <c r="AM455" s="2502">
        <v>0</v>
      </c>
      <c r="AN455" s="2502">
        <f>$K455-SUM($AC455:AM455)</f>
        <v>0</v>
      </c>
      <c r="AO455" s="2502"/>
      <c r="AP455" s="2502"/>
      <c r="AQ455" s="2502"/>
      <c r="AR455" s="3392"/>
      <c r="AS455" s="3255" t="s">
        <v>4037</v>
      </c>
      <c r="AT455" s="141"/>
      <c r="AU455" s="141"/>
      <c r="AV455" s="141"/>
      <c r="AW455" s="141"/>
      <c r="AX455" s="141"/>
      <c r="AY455" s="141"/>
      <c r="BE455" s="63"/>
    </row>
    <row r="456" spans="1:57">
      <c r="A456" s="52"/>
      <c r="B456" s="3659" t="s">
        <v>1156</v>
      </c>
      <c r="C456" s="585">
        <v>7140050</v>
      </c>
      <c r="D456" s="169" t="s">
        <v>4486</v>
      </c>
      <c r="E456" s="439">
        <f>IFERROR(VLOOKUP(C456,'פ.נ. EUROPE'!$D$164:$F$3251,3,0),0)</f>
        <v>22743.32</v>
      </c>
      <c r="F456" s="976">
        <f>SUMIF('פ.נ. EUROPE'!C:C,C:C,'פ.נ. EUROPE'!E:E)</f>
        <v>0</v>
      </c>
      <c r="G456" s="1213"/>
      <c r="H456" s="976"/>
      <c r="I456" s="1213"/>
      <c r="J456" s="521">
        <f t="shared" ref="J456:J457" si="109">SUM(E456:I456)</f>
        <v>22743.32</v>
      </c>
      <c r="K456" s="1213">
        <f>M456+SUMIF('פ.נ. EUROPE'!C:C,'מאזן בוחן EUROPE'!C456,'פ.נ. EUROPE'!F:F)</f>
        <v>30210.87</v>
      </c>
      <c r="L456" s="518"/>
      <c r="M456" s="98">
        <f>IFERROR(VLOOKUP(C456,'פ.נ. EUROPE'!$D$164:$H$3424,4,0),"")</f>
        <v>30210.87</v>
      </c>
      <c r="N456" s="3036">
        <f t="shared" ref="N456:N457" si="110">IF(K456=0,"-",J456/K456)</f>
        <v>0.75281910120430162</v>
      </c>
      <c r="O456" s="434"/>
      <c r="P456" s="3330"/>
      <c r="Q456" s="2502"/>
      <c r="R456" s="2502"/>
      <c r="S456" s="2502"/>
      <c r="T456" s="2502"/>
      <c r="U456" s="2502"/>
      <c r="V456" s="2502"/>
      <c r="W456" s="2502"/>
      <c r="X456" s="2502"/>
      <c r="Y456" s="2502"/>
      <c r="Z456" s="141"/>
      <c r="AA456" s="141"/>
      <c r="AB456" s="141"/>
      <c r="AC456" s="141"/>
      <c r="AD456" s="141"/>
      <c r="AE456" s="141"/>
      <c r="AF456" s="141"/>
      <c r="AG456" s="141"/>
      <c r="AH456" s="141"/>
      <c r="AI456" s="3256"/>
      <c r="AJ456" s="141"/>
      <c r="AK456" s="141"/>
      <c r="AL456" s="141"/>
      <c r="AM456" s="141">
        <v>15091.05</v>
      </c>
      <c r="AN456" s="141">
        <f>$K456-SUM($AC456:AM456)</f>
        <v>15119.82</v>
      </c>
      <c r="AO456" s="141"/>
      <c r="AP456" s="141"/>
      <c r="AQ456" s="141"/>
      <c r="AR456" s="3391"/>
      <c r="AS456" s="3256"/>
      <c r="AT456" s="141"/>
      <c r="AU456" s="141"/>
      <c r="AV456" s="141"/>
      <c r="AW456" s="141"/>
      <c r="AX456" s="141"/>
      <c r="AY456" s="141"/>
      <c r="BE456" s="63"/>
    </row>
    <row r="457" spans="1:57">
      <c r="A457" s="52"/>
      <c r="B457" s="3659" t="s">
        <v>1156</v>
      </c>
      <c r="C457" s="585">
        <v>7140051</v>
      </c>
      <c r="D457" s="1413" t="s">
        <v>4487</v>
      </c>
      <c r="E457" s="439">
        <f>IFERROR(VLOOKUP(C457,'פ.נ. EUROPE'!$D$164:$F$3251,3,0),0)</f>
        <v>5424.77</v>
      </c>
      <c r="F457" s="976">
        <f>SUMIF('פ.נ. EUROPE'!C:C,C:C,'פ.נ. EUROPE'!E:E)</f>
        <v>0</v>
      </c>
      <c r="G457" s="1213"/>
      <c r="H457" s="976"/>
      <c r="I457" s="1213"/>
      <c r="J457" s="521">
        <f t="shared" si="109"/>
        <v>5424.77</v>
      </c>
      <c r="K457" s="1213">
        <f>M457+SUMIF('פ.נ. EUROPE'!C:C,'מאזן בוחן EUROPE'!C457,'פ.נ. EUROPE'!F:F)</f>
        <v>7205.94</v>
      </c>
      <c r="L457" s="518"/>
      <c r="M457" s="98">
        <f>IFERROR(VLOOKUP(C457,'פ.נ. EUROPE'!$D$164:$H$3424,4,0),"")</f>
        <v>7205.94</v>
      </c>
      <c r="N457" s="3036">
        <f t="shared" si="110"/>
        <v>0.75281920193618057</v>
      </c>
      <c r="O457" s="434"/>
      <c r="P457" s="3330"/>
      <c r="Q457" s="2502"/>
      <c r="R457" s="2502"/>
      <c r="S457" s="2502"/>
      <c r="T457" s="2502"/>
      <c r="U457" s="2502"/>
      <c r="V457" s="2502"/>
      <c r="W457" s="2502"/>
      <c r="X457" s="2502"/>
      <c r="Y457" s="2502"/>
      <c r="Z457" s="2502"/>
      <c r="AA457" s="2502"/>
      <c r="AB457" s="2502"/>
      <c r="AC457" s="2502"/>
      <c r="AD457" s="2502"/>
      <c r="AE457" s="2502"/>
      <c r="AF457" s="2502"/>
      <c r="AG457" s="2502"/>
      <c r="AH457" s="2502"/>
      <c r="AI457" s="3255"/>
      <c r="AJ457" s="2502"/>
      <c r="AK457" s="2502"/>
      <c r="AL457" s="2502"/>
      <c r="AM457" s="2502">
        <v>3599.54</v>
      </c>
      <c r="AN457" s="2502">
        <f>$K457-SUM($AC457:AM457)</f>
        <v>3606.3999999999996</v>
      </c>
      <c r="AO457" s="2502"/>
      <c r="AP457" s="2502"/>
      <c r="AQ457" s="2502"/>
      <c r="AR457" s="3392"/>
      <c r="AS457" s="3255"/>
      <c r="AT457" s="141"/>
      <c r="AU457" s="141"/>
      <c r="AV457" s="141"/>
      <c r="AW457" s="141"/>
      <c r="AX457" s="141"/>
      <c r="AY457" s="141"/>
      <c r="BE457" s="63"/>
    </row>
    <row r="458" spans="1:57">
      <c r="A458" s="52"/>
      <c r="B458" s="3659"/>
      <c r="C458" s="585"/>
      <c r="D458" s="203"/>
      <c r="E458" s="171"/>
      <c r="F458" s="976"/>
      <c r="G458" s="1213"/>
      <c r="H458" s="976"/>
      <c r="I458" s="1213"/>
      <c r="J458" s="170"/>
      <c r="K458" s="98"/>
      <c r="L458" s="51"/>
      <c r="M458" s="98"/>
      <c r="N458" s="1104"/>
      <c r="O458" s="434"/>
      <c r="P458" s="469"/>
      <c r="Q458" s="137">
        <v>0</v>
      </c>
      <c r="R458" s="137">
        <v>0</v>
      </c>
      <c r="S458" s="137">
        <v>0</v>
      </c>
      <c r="T458" s="137">
        <v>0</v>
      </c>
      <c r="U458" s="137">
        <v>0</v>
      </c>
      <c r="V458" s="137">
        <v>0</v>
      </c>
      <c r="W458" s="141">
        <v>0</v>
      </c>
      <c r="X458" s="141">
        <v>0</v>
      </c>
      <c r="Y458" s="141">
        <v>0</v>
      </c>
      <c r="Z458" s="141">
        <v>0</v>
      </c>
      <c r="AA458" s="141">
        <v>0</v>
      </c>
      <c r="AB458" s="141">
        <v>941.21999999999935</v>
      </c>
      <c r="AC458" s="141">
        <f>'[26]מאזן בוחן EUROPE'!AC454</f>
        <v>0</v>
      </c>
      <c r="AD458" s="141">
        <f>'[27]מאזן בוחן EUROPE'!AD452</f>
        <v>0</v>
      </c>
      <c r="AE458" s="141">
        <f>'[28]מאזן בוחן EUROPE'!AE460</f>
        <v>0</v>
      </c>
      <c r="AF458" s="141">
        <f>'[29]מאזן בוחן EUROPE'!AF457</f>
        <v>0</v>
      </c>
      <c r="AG458" s="141">
        <f>'[30]מאזן בוחן EUROPE'!AG461</f>
        <v>0</v>
      </c>
      <c r="AH458" s="141">
        <f>'[31]מאזן בוחן EUROPE'!AH465</f>
        <v>0</v>
      </c>
      <c r="AI458" s="141">
        <v>0</v>
      </c>
      <c r="AJ458" s="141">
        <v>0</v>
      </c>
      <c r="AK458" s="141">
        <v>0</v>
      </c>
      <c r="AL458" s="141">
        <v>0</v>
      </c>
      <c r="AM458" s="141">
        <v>0</v>
      </c>
      <c r="AN458" s="141">
        <f>$K458-SUM($AC458:AM458)</f>
        <v>0</v>
      </c>
      <c r="AO458" s="141"/>
      <c r="AP458" s="141"/>
      <c r="AQ458" s="141"/>
      <c r="AR458" s="141"/>
      <c r="AS458" s="141"/>
      <c r="AT458" s="141"/>
      <c r="AU458" s="141"/>
      <c r="AV458" s="141"/>
      <c r="AW458" s="141"/>
      <c r="AX458" s="141"/>
      <c r="AY458" s="141"/>
      <c r="BE458" s="63"/>
    </row>
    <row r="459" spans="1:57">
      <c r="A459" s="52"/>
      <c r="B459" s="3659" t="s">
        <v>741</v>
      </c>
      <c r="C459" s="585">
        <v>7110006</v>
      </c>
      <c r="D459" s="203" t="s">
        <v>1244</v>
      </c>
      <c r="E459" s="439">
        <f>IFERROR(VLOOKUP(C459,'פ.נ. EUROPE'!$D$164:$F$1353,3,0),0)</f>
        <v>42128.42</v>
      </c>
      <c r="F459" s="976">
        <f>SUMIF('פ.נ. EUROPE'!C:C,C:C,'פ.נ. EUROPE'!E:E)</f>
        <v>0</v>
      </c>
      <c r="G459" s="1213"/>
      <c r="H459" s="976"/>
      <c r="I459" s="1213"/>
      <c r="J459" s="170">
        <f>SUM(E459:I459)</f>
        <v>42128.42</v>
      </c>
      <c r="K459" s="98">
        <f>M459+SUMIF('פ.נ. EUROPE'!C:C,'מאזן בוחן EUROPE'!C459,'פ.נ. EUROPE'!F:F)</f>
        <v>57505.62</v>
      </c>
      <c r="L459" s="51"/>
      <c r="M459" s="97">
        <f>IFERROR(VLOOKUP(C459,'פ.נ. EUROPE'!$D$164:$H$1385,4,0),"")</f>
        <v>57505.62</v>
      </c>
      <c r="N459" s="1104">
        <f>IF(K459=0,"-",J459/K459)</f>
        <v>0.73259657056127725</v>
      </c>
      <c r="O459" s="434"/>
      <c r="P459" s="469"/>
      <c r="Q459" s="137">
        <v>0</v>
      </c>
      <c r="R459" s="137">
        <v>0</v>
      </c>
      <c r="S459" s="137">
        <v>15825.899258984173</v>
      </c>
      <c r="T459" s="137">
        <v>0</v>
      </c>
      <c r="U459" s="137">
        <v>-0.89925898417277494</v>
      </c>
      <c r="V459" s="137">
        <v>17594.125681543912</v>
      </c>
      <c r="W459" s="141">
        <v>-1.1256815439119237</v>
      </c>
      <c r="X459" s="141">
        <v>0</v>
      </c>
      <c r="Y459" s="141">
        <v>12372</v>
      </c>
      <c r="Z459" s="141">
        <v>0</v>
      </c>
      <c r="AA459" s="141">
        <v>0</v>
      </c>
      <c r="AB459" s="141">
        <v>0</v>
      </c>
      <c r="AC459" s="141">
        <f>'[26]מאזן בוחן EUROPE'!AC455</f>
        <v>0</v>
      </c>
      <c r="AD459" s="141">
        <f>'[27]מאזן בוחן EUROPE'!AD453</f>
        <v>0</v>
      </c>
      <c r="AE459" s="141">
        <f>'[28]מאזן בוחן EUROPE'!AE461</f>
        <v>15087.84</v>
      </c>
      <c r="AF459" s="141">
        <f>'[29]מאזן בוחן EUROPE'!AF458</f>
        <v>0</v>
      </c>
      <c r="AG459" s="141">
        <f>'[30]מאזן בוחן EUROPE'!AG462</f>
        <v>0</v>
      </c>
      <c r="AH459" s="141">
        <f>'[31]מאזן בוחן EUROPE'!AH466</f>
        <v>14898.939999999999</v>
      </c>
      <c r="AI459" s="141">
        <v>0</v>
      </c>
      <c r="AJ459" s="141">
        <v>0</v>
      </c>
      <c r="AK459" s="141">
        <v>11665.630000000005</v>
      </c>
      <c r="AL459" s="141">
        <v>0</v>
      </c>
      <c r="AM459" s="141">
        <v>0</v>
      </c>
      <c r="AN459" s="141">
        <f>$K459-SUM($AC459:AM459)</f>
        <v>15853.21</v>
      </c>
      <c r="AO459" s="141"/>
      <c r="AP459" s="141"/>
      <c r="AQ459" s="141"/>
      <c r="AR459" s="141"/>
      <c r="AS459" s="141"/>
      <c r="AT459" s="141"/>
      <c r="AU459" s="141"/>
      <c r="AV459" s="141"/>
      <c r="AW459" s="141"/>
      <c r="AX459" s="141"/>
      <c r="AY459" s="141"/>
      <c r="BE459" s="63"/>
    </row>
    <row r="460" spans="1:57">
      <c r="A460" s="52"/>
      <c r="B460" s="3659"/>
      <c r="C460" s="585"/>
      <c r="D460" s="203"/>
      <c r="E460" s="171"/>
      <c r="F460" s="976"/>
      <c r="G460" s="1213"/>
      <c r="H460" s="976"/>
      <c r="I460" s="1213"/>
      <c r="J460" s="170"/>
      <c r="K460" s="98"/>
      <c r="L460" s="51"/>
      <c r="M460" s="98"/>
      <c r="N460" s="1104"/>
      <c r="O460" s="434"/>
      <c r="P460" s="469"/>
      <c r="W460" s="141"/>
      <c r="X460" s="141"/>
      <c r="Y460" s="141">
        <v>0</v>
      </c>
      <c r="Z460" s="141">
        <v>0</v>
      </c>
      <c r="AA460" s="141">
        <v>0</v>
      </c>
      <c r="AB460" s="141">
        <v>24558.929999999993</v>
      </c>
      <c r="AC460" s="141">
        <f>'[26]מאזן בוחן EUROPE'!AC456</f>
        <v>0</v>
      </c>
      <c r="AD460" s="141">
        <f>'[27]מאזן בוחן EUROPE'!AD454</f>
        <v>0</v>
      </c>
      <c r="AE460" s="141">
        <f>'[28]מאזן בוחן EUROPE'!AE462</f>
        <v>0</v>
      </c>
      <c r="AF460" s="141">
        <f>'[29]מאזן בוחן EUROPE'!AF459</f>
        <v>0</v>
      </c>
      <c r="AG460" s="141">
        <f>'[30]מאזן בוחן EUROPE'!AG463</f>
        <v>0</v>
      </c>
      <c r="AH460" s="141">
        <f>'[31]מאזן בוחן EUROPE'!AH467</f>
        <v>0</v>
      </c>
      <c r="AI460" s="141">
        <v>0</v>
      </c>
      <c r="AJ460" s="141">
        <v>0</v>
      </c>
      <c r="AK460" s="141">
        <v>0</v>
      </c>
      <c r="AL460" s="141">
        <v>0</v>
      </c>
      <c r="AM460" s="141">
        <v>0</v>
      </c>
      <c r="AN460" s="141">
        <f>$K460-SUM($AC460:AM460)</f>
        <v>0</v>
      </c>
      <c r="AO460" s="141"/>
      <c r="AP460" s="141"/>
      <c r="AQ460" s="141"/>
      <c r="AR460" s="141"/>
      <c r="AS460" s="141"/>
      <c r="AT460" s="141"/>
      <c r="AU460" s="141"/>
      <c r="AV460" s="141"/>
      <c r="AW460" s="141"/>
      <c r="AX460" s="141"/>
      <c r="AY460" s="141"/>
      <c r="BE460" s="63"/>
    </row>
    <row r="461" spans="1:57">
      <c r="A461" s="52"/>
      <c r="B461" s="3659" t="s">
        <v>741</v>
      </c>
      <c r="C461" s="585">
        <v>7110077</v>
      </c>
      <c r="D461" s="203" t="s">
        <v>3545</v>
      </c>
      <c r="E461" s="171">
        <f>IFERROR(VLOOKUP(C461,'פ.נ. EUROPE'!$D$164:$F$1353,3,0),0)</f>
        <v>-286322.81</v>
      </c>
      <c r="F461" s="170">
        <f>SUMIF('פ.נ. EUROPE'!C:C,C:C,'פ.נ. EUROPE'!E:E)</f>
        <v>0</v>
      </c>
      <c r="G461" s="1213"/>
      <c r="H461" s="976"/>
      <c r="I461" s="1213"/>
      <c r="J461" s="170">
        <f>SUM(E461:I461)</f>
        <v>-286322.81</v>
      </c>
      <c r="K461" s="98">
        <f>M461+SUMIF('פ.נ. EUROPE'!C:C,'מאזן בוחן EUROPE'!C461,'פ.נ. EUROPE'!F:F)</f>
        <v>-389549.97</v>
      </c>
      <c r="L461" s="51"/>
      <c r="M461" s="98">
        <f>IFERROR(VLOOKUP(C461,'פ.נ. EUROPE'!$D$164:$H$1385,4,0),"")</f>
        <v>-389549.97</v>
      </c>
      <c r="N461" s="1104">
        <f>IF(K461=0,"-",J461/K461)</f>
        <v>0.7350091953543213</v>
      </c>
      <c r="O461" s="434"/>
      <c r="P461" s="469"/>
      <c r="W461" s="141"/>
      <c r="X461" s="141"/>
      <c r="Y461" s="141"/>
      <c r="Z461" s="141"/>
      <c r="AA461" s="141"/>
      <c r="AB461" s="141"/>
      <c r="AC461" s="141"/>
      <c r="AD461" s="141"/>
      <c r="AE461" s="141">
        <f>'[28]מאזן בוחן EUROPE'!AE463</f>
        <v>0</v>
      </c>
      <c r="AF461" s="141">
        <f>'[29]מאזן בוחן EUROPE'!AF460</f>
        <v>-71086.02</v>
      </c>
      <c r="AG461" s="141">
        <f>'[30]מאזן בוחן EUROPE'!AG464</f>
        <v>0</v>
      </c>
      <c r="AH461" s="141">
        <f>'[31]מאזן בוחן EUROPE'!AH468</f>
        <v>-78405.3</v>
      </c>
      <c r="AI461" s="141">
        <v>0</v>
      </c>
      <c r="AJ461" s="141">
        <v>0</v>
      </c>
      <c r="AK461" s="141">
        <v>-24221.660000000003</v>
      </c>
      <c r="AL461" s="141">
        <v>6876.390000000014</v>
      </c>
      <c r="AM461" s="141">
        <v>0</v>
      </c>
      <c r="AN461" s="141">
        <f>$K461-SUM($AC461:AM461)</f>
        <v>-222713.37999999998</v>
      </c>
      <c r="AO461" s="141"/>
      <c r="AP461" s="141"/>
      <c r="AQ461" s="141"/>
      <c r="AR461" s="141"/>
      <c r="AS461" s="141"/>
      <c r="AT461" s="141"/>
      <c r="AU461" s="141"/>
      <c r="AV461" s="141"/>
      <c r="AW461" s="141"/>
      <c r="AX461" s="141"/>
      <c r="AY461" s="141"/>
      <c r="BE461" s="63"/>
    </row>
    <row r="462" spans="1:57">
      <c r="A462" s="52"/>
      <c r="B462" s="3659" t="s">
        <v>741</v>
      </c>
      <c r="C462" s="585">
        <v>7110066</v>
      </c>
      <c r="D462" s="203" t="s">
        <v>2172</v>
      </c>
      <c r="E462" s="171">
        <f>IFERROR(VLOOKUP(C462,'פ.נ. EUROPE'!$D$164:$F$1353,3,0),0)</f>
        <v>67487.28</v>
      </c>
      <c r="F462" s="976">
        <f>SUMIF('פ.נ. EUROPE'!C:C,C:C,'פ.נ. EUROPE'!E:E)</f>
        <v>0</v>
      </c>
      <c r="G462" s="1213"/>
      <c r="H462" s="976"/>
      <c r="I462" s="1213"/>
      <c r="J462" s="170">
        <f>SUM(E462:I462)</f>
        <v>67487.28</v>
      </c>
      <c r="K462" s="98">
        <f>M462+SUMIF('פ.נ. EUROPE'!C:C,'מאזן בוחן EUROPE'!C462,'פ.נ. EUROPE'!F:F)</f>
        <v>87156.68</v>
      </c>
      <c r="L462" s="51"/>
      <c r="M462" s="98">
        <f>IFERROR(VLOOKUP(C462,'פ.נ. EUROPE'!$D$164:$H$1385,4,0),"")</f>
        <v>87156.68</v>
      </c>
      <c r="N462" s="1104">
        <f>IF(K462=0,"-",J462/K462)</f>
        <v>0.77432137158046865</v>
      </c>
      <c r="O462" s="434"/>
      <c r="P462" s="469"/>
      <c r="S462" s="137">
        <v>-28257.088559841945</v>
      </c>
      <c r="T462" s="137">
        <v>0</v>
      </c>
      <c r="U462" s="137">
        <v>8.8559841944515938E-2</v>
      </c>
      <c r="V462" s="137">
        <v>-41542</v>
      </c>
      <c r="W462" s="141">
        <v>0</v>
      </c>
      <c r="X462" s="141">
        <v>0</v>
      </c>
      <c r="Y462" s="141">
        <v>-123542</v>
      </c>
      <c r="Z462" s="141">
        <v>0</v>
      </c>
      <c r="AA462" s="141">
        <v>0</v>
      </c>
      <c r="AB462" s="141">
        <v>0</v>
      </c>
      <c r="AC462" s="141">
        <f>'[26]מאזן בוחן EUROPE'!AC457</f>
        <v>0</v>
      </c>
      <c r="AD462" s="141">
        <f>'[27]מאזן בוחן EUROPE'!AD455</f>
        <v>0</v>
      </c>
      <c r="AE462" s="141">
        <f>'[28]מאזן בוחן EUROPE'!AE464</f>
        <v>22184.63</v>
      </c>
      <c r="AF462" s="141">
        <f>'[29]מאזן בוחן EUROPE'!AF461</f>
        <v>0</v>
      </c>
      <c r="AG462" s="141">
        <f>'[30]מאזן בוחן EUROPE'!AG465</f>
        <v>0</v>
      </c>
      <c r="AH462" s="141">
        <f>'[31]מאזן בוחן EUROPE'!AH469</f>
        <v>22049.469999999998</v>
      </c>
      <c r="AI462" s="141">
        <v>0</v>
      </c>
      <c r="AJ462" s="141">
        <v>0</v>
      </c>
      <c r="AK462" s="141">
        <v>21941.110000000008</v>
      </c>
      <c r="AL462" s="141">
        <v>0</v>
      </c>
      <c r="AM462" s="141">
        <v>0</v>
      </c>
      <c r="AN462" s="141">
        <f>$K462-SUM($AC462:AM462)</f>
        <v>20981.469999999987</v>
      </c>
      <c r="AO462" s="141"/>
      <c r="AP462" s="141"/>
      <c r="AQ462" s="141"/>
      <c r="AR462" s="141"/>
      <c r="AS462" s="141"/>
      <c r="AT462" s="141"/>
      <c r="AU462" s="141"/>
      <c r="AV462" s="141"/>
      <c r="AW462" s="141"/>
      <c r="AX462" s="141"/>
      <c r="AY462" s="141"/>
      <c r="BE462" s="63"/>
    </row>
    <row r="463" spans="1:57">
      <c r="A463" s="52"/>
      <c r="B463" s="3659" t="s">
        <v>741</v>
      </c>
      <c r="C463" s="585">
        <v>7110055</v>
      </c>
      <c r="D463" s="169" t="s">
        <v>1814</v>
      </c>
      <c r="E463" s="439">
        <f>IFERROR(VLOOKUP(C463,'פ.נ. EUROPE'!$D$164:$F$1353,3,0),0)</f>
        <v>76593.649999999994</v>
      </c>
      <c r="F463" s="976">
        <f>SUMIF('פ.נ. EUROPE'!C:C,C:C,'פ.נ. EUROPE'!E:E)</f>
        <v>0</v>
      </c>
      <c r="G463" s="1213"/>
      <c r="H463" s="976"/>
      <c r="I463" s="1213"/>
      <c r="J463" s="170">
        <f>SUM(E463:I463)</f>
        <v>76593.649999999994</v>
      </c>
      <c r="K463" s="98">
        <f>M463+SUMIF('פ.נ. EUROPE'!C:C,'מאזן בוחן EUROPE'!C463,'פ.נ. EUROPE'!F:F)</f>
        <v>98303.8</v>
      </c>
      <c r="L463" s="51"/>
      <c r="M463" s="97">
        <f>IFERROR(VLOOKUP(C463,'פ.נ. EUROPE'!$D$164:$H$1385,4,0),"")</f>
        <v>98303.8</v>
      </c>
      <c r="N463" s="1104">
        <f>IF(K463=0,"-",J463/K463)</f>
        <v>0.77915248444108964</v>
      </c>
      <c r="O463" s="434"/>
      <c r="P463" s="365"/>
      <c r="Q463" s="137">
        <v>0</v>
      </c>
      <c r="R463" s="137">
        <v>0</v>
      </c>
      <c r="S463" s="137">
        <v>30088.957774955819</v>
      </c>
      <c r="T463" s="137">
        <v>0</v>
      </c>
      <c r="U463" s="137">
        <v>-0.95777495581933181</v>
      </c>
      <c r="V463" s="137">
        <v>29008</v>
      </c>
      <c r="W463" s="141">
        <v>0</v>
      </c>
      <c r="X463" s="141">
        <v>0</v>
      </c>
      <c r="Y463" s="141">
        <v>28459.000000000004</v>
      </c>
      <c r="Z463" s="141">
        <v>0</v>
      </c>
      <c r="AA463" s="141">
        <v>0</v>
      </c>
      <c r="AB463" s="141">
        <v>0</v>
      </c>
      <c r="AC463" s="141">
        <f>'[26]מאזן בוחן EUROPE'!AC458</f>
        <v>0</v>
      </c>
      <c r="AD463" s="141">
        <f>'[27]מאזן בוחן EUROPE'!AD456</f>
        <v>0</v>
      </c>
      <c r="AE463" s="141">
        <f>'[28]מאזן בוחן EUROPE'!AE465</f>
        <v>26275.32</v>
      </c>
      <c r="AF463" s="141">
        <f>'[29]מאזן בוחן EUROPE'!AF462</f>
        <v>0</v>
      </c>
      <c r="AG463" s="141">
        <f>'[30]מאזן בוחן EUROPE'!AG466</f>
        <v>0</v>
      </c>
      <c r="AH463" s="141">
        <f>'[31]מאזן בוחן EUROPE'!AH470</f>
        <v>24042.67</v>
      </c>
      <c r="AI463" s="141">
        <v>0</v>
      </c>
      <c r="AJ463" s="141">
        <v>0</v>
      </c>
      <c r="AK463" s="141">
        <v>24042.670000000006</v>
      </c>
      <c r="AL463" s="141">
        <v>0</v>
      </c>
      <c r="AM463" s="141">
        <v>0</v>
      </c>
      <c r="AN463" s="141">
        <f>$K463-SUM($AC463:AM463)</f>
        <v>23943.14</v>
      </c>
      <c r="AO463" s="141"/>
      <c r="AP463" s="141"/>
      <c r="AQ463" s="141"/>
      <c r="AR463" s="141"/>
      <c r="AS463" s="141"/>
      <c r="AT463" s="141"/>
      <c r="AU463" s="141"/>
      <c r="AV463" s="141"/>
      <c r="AW463" s="141"/>
      <c r="AX463" s="141"/>
      <c r="AY463" s="141"/>
      <c r="BE463" s="63"/>
    </row>
    <row r="464" spans="1:57">
      <c r="A464" s="52"/>
      <c r="B464" s="3659" t="s">
        <v>741</v>
      </c>
      <c r="C464" s="585">
        <v>7110044</v>
      </c>
      <c r="D464" s="169" t="s">
        <v>1810</v>
      </c>
      <c r="E464" s="439">
        <f>IFERROR(VLOOKUP(C464,'פ.נ. EUROPE'!$D$164:$F$1353,3,0),0)</f>
        <v>37189.03</v>
      </c>
      <c r="F464" s="976">
        <f>SUMIF('פ.נ. EUROPE'!C:C,C:C,'פ.נ. EUROPE'!E:E)</f>
        <v>0</v>
      </c>
      <c r="G464" s="1213"/>
      <c r="H464" s="976"/>
      <c r="I464" s="1213"/>
      <c r="J464" s="170">
        <f>SUM(E464:I464)</f>
        <v>37189.03</v>
      </c>
      <c r="K464" s="98">
        <f>M464+SUMIF('פ.נ. EUROPE'!C:C,'מאזן בוחן EUROPE'!C464,'פ.נ. EUROPE'!F:F)</f>
        <v>47561.78</v>
      </c>
      <c r="L464" s="51"/>
      <c r="M464" s="97">
        <f>IFERROR(VLOOKUP(C464,'פ.נ. EUROPE'!$D$164:$H$1385,4,0),"")</f>
        <v>47561.78</v>
      </c>
      <c r="N464" s="1104">
        <f>IF(K464=0,"-",J464/K464)</f>
        <v>0.7819099705688054</v>
      </c>
      <c r="P464" s="365"/>
      <c r="Q464" s="137">
        <v>0</v>
      </c>
      <c r="R464" s="137">
        <v>0</v>
      </c>
      <c r="S464" s="137">
        <v>23856.130383570664</v>
      </c>
      <c r="T464" s="137">
        <v>0</v>
      </c>
      <c r="U464" s="137">
        <v>-0.13038357066398021</v>
      </c>
      <c r="V464" s="137">
        <v>21460</v>
      </c>
      <c r="W464" s="141">
        <v>0</v>
      </c>
      <c r="X464" s="141">
        <v>0</v>
      </c>
      <c r="Y464" s="141">
        <v>19063</v>
      </c>
      <c r="Z464" s="141">
        <v>0</v>
      </c>
      <c r="AA464" s="141">
        <v>0</v>
      </c>
      <c r="AB464" s="141">
        <v>0</v>
      </c>
      <c r="AC464" s="141">
        <f>'[26]מאזן בוחן EUROPE'!AC459</f>
        <v>0</v>
      </c>
      <c r="AD464" s="141">
        <f>'[27]מאזן בוחן EUROPE'!AD457</f>
        <v>0</v>
      </c>
      <c r="AE464" s="141">
        <f>'[28]מאזן בוחן EUROPE'!AE466</f>
        <v>14270.38</v>
      </c>
      <c r="AF464" s="141">
        <f>'[29]מאזן בוחן EUROPE'!AF463</f>
        <v>0</v>
      </c>
      <c r="AG464" s="141">
        <f>'[30]מאזן בוחן EUROPE'!AG467</f>
        <v>0</v>
      </c>
      <c r="AH464" s="141">
        <f>'[31]מאזן בוחן EUROPE'!AH471</f>
        <v>12683.76</v>
      </c>
      <c r="AI464" s="141">
        <v>0</v>
      </c>
      <c r="AJ464" s="141">
        <v>0</v>
      </c>
      <c r="AK464" s="141">
        <v>11097.129999999997</v>
      </c>
      <c r="AL464" s="141">
        <v>0</v>
      </c>
      <c r="AM464" s="141">
        <v>0</v>
      </c>
      <c r="AN464" s="141">
        <f>$K464-SUM($AC464:AM464)</f>
        <v>9510.510000000002</v>
      </c>
      <c r="AO464" s="141"/>
      <c r="AP464" s="141"/>
      <c r="AQ464" s="141"/>
      <c r="AR464" s="141"/>
      <c r="AS464" s="141"/>
      <c r="AT464" s="141"/>
      <c r="AU464" s="141"/>
      <c r="AV464" s="141"/>
      <c r="AW464" s="141"/>
      <c r="AX464" s="141"/>
      <c r="AY464" s="141"/>
    </row>
    <row r="465" spans="1:57">
      <c r="A465" s="52"/>
      <c r="B465" s="3659"/>
      <c r="C465" s="585"/>
      <c r="D465" s="169"/>
      <c r="E465" s="171"/>
      <c r="F465" s="976"/>
      <c r="G465" s="1213"/>
      <c r="H465" s="976"/>
      <c r="I465" s="1213"/>
      <c r="J465" s="170"/>
      <c r="K465" s="98"/>
      <c r="L465" s="51"/>
      <c r="M465" s="98"/>
      <c r="N465" s="1104"/>
      <c r="P465" s="365"/>
      <c r="W465" s="141"/>
      <c r="X465" s="141"/>
      <c r="Y465" s="141">
        <v>0</v>
      </c>
      <c r="Z465" s="141">
        <v>0</v>
      </c>
      <c r="AA465" s="141">
        <v>0</v>
      </c>
      <c r="AB465" s="141">
        <v>0</v>
      </c>
      <c r="AC465" s="141">
        <f>'[26]מאזן בוחן EUROPE'!AC460</f>
        <v>0</v>
      </c>
      <c r="AD465" s="141">
        <f>'[27]מאזן בוחן EUROPE'!AD458</f>
        <v>0</v>
      </c>
      <c r="AE465" s="141">
        <f>'[28]מאזן בוחן EUROPE'!AE467</f>
        <v>0</v>
      </c>
      <c r="AF465" s="141">
        <f>'[29]מאזן בוחן EUROPE'!AF464</f>
        <v>0</v>
      </c>
      <c r="AG465" s="141">
        <f>'[30]מאזן בוחן EUROPE'!AG468</f>
        <v>0</v>
      </c>
      <c r="AH465" s="141">
        <f>'[31]מאזן בוחן EUROPE'!AH472</f>
        <v>0</v>
      </c>
      <c r="AI465" s="141">
        <v>0</v>
      </c>
      <c r="AJ465" s="141">
        <v>0</v>
      </c>
      <c r="AK465" s="141">
        <v>0</v>
      </c>
      <c r="AL465" s="141">
        <v>0</v>
      </c>
      <c r="AM465" s="141">
        <v>0</v>
      </c>
      <c r="AN465" s="141">
        <f>$K465-SUM($AC465:AM465)</f>
        <v>0</v>
      </c>
      <c r="AO465" s="141"/>
      <c r="AP465" s="141"/>
      <c r="AQ465" s="141"/>
      <c r="AR465" s="141"/>
      <c r="AS465" s="141"/>
      <c r="AT465" s="141"/>
      <c r="AU465" s="141"/>
      <c r="AV465" s="141"/>
      <c r="AW465" s="141"/>
      <c r="AX465" s="141"/>
      <c r="AY465" s="141"/>
    </row>
    <row r="466" spans="1:57">
      <c r="A466" s="52"/>
      <c r="B466" s="3659"/>
      <c r="C466" s="1160"/>
      <c r="D466" s="607" t="s">
        <v>740</v>
      </c>
      <c r="E466" s="171"/>
      <c r="F466" s="518"/>
      <c r="G466" s="517"/>
      <c r="H466" s="518"/>
      <c r="I466" s="517"/>
      <c r="J466" s="168"/>
      <c r="K466" s="97"/>
      <c r="L466" s="51"/>
      <c r="M466" s="97"/>
      <c r="N466" s="1104"/>
      <c r="O466" s="434"/>
      <c r="P466" s="1133"/>
      <c r="Q466" s="137">
        <v>0</v>
      </c>
      <c r="R466" s="137">
        <v>0</v>
      </c>
      <c r="S466" s="137">
        <v>0</v>
      </c>
      <c r="T466" s="137">
        <v>0</v>
      </c>
      <c r="U466" s="137">
        <v>0</v>
      </c>
      <c r="V466" s="137">
        <v>0</v>
      </c>
      <c r="W466" s="141">
        <v>0</v>
      </c>
      <c r="X466" s="141">
        <v>0</v>
      </c>
      <c r="Y466" s="141">
        <v>0</v>
      </c>
      <c r="Z466" s="141">
        <v>0</v>
      </c>
      <c r="AA466" s="141">
        <v>0</v>
      </c>
      <c r="AB466" s="141">
        <v>0</v>
      </c>
      <c r="AC466" s="141">
        <f>'[26]מאזן בוחן EUROPE'!AC461</f>
        <v>0</v>
      </c>
      <c r="AD466" s="141">
        <f>'[27]מאזן בוחן EUROPE'!AD459</f>
        <v>0</v>
      </c>
      <c r="AE466" s="141">
        <f>'[28]מאזן בוחן EUROPE'!AE468</f>
        <v>0</v>
      </c>
      <c r="AF466" s="141">
        <f>'[29]מאזן בוחן EUROPE'!AF465</f>
        <v>0</v>
      </c>
      <c r="AG466" s="141">
        <f>'[30]מאזן בוחן EUROPE'!AG469</f>
        <v>0</v>
      </c>
      <c r="AH466" s="141">
        <f>'[31]מאזן בוחן EUROPE'!AH473</f>
        <v>0</v>
      </c>
      <c r="AI466" s="141">
        <v>0</v>
      </c>
      <c r="AJ466" s="141">
        <v>0</v>
      </c>
      <c r="AK466" s="141">
        <v>0</v>
      </c>
      <c r="AL466" s="141">
        <v>0</v>
      </c>
      <c r="AM466" s="141">
        <v>0</v>
      </c>
      <c r="AN466" s="141">
        <f>$K466-SUM($AC466:AM466)</f>
        <v>0</v>
      </c>
      <c r="AO466" s="141"/>
      <c r="AP466" s="141"/>
      <c r="AQ466" s="141"/>
      <c r="AR466" s="141"/>
      <c r="AS466" s="141"/>
      <c r="AT466" s="141"/>
      <c r="AU466" s="141"/>
      <c r="AV466" s="141"/>
      <c r="AW466" s="141"/>
      <c r="AX466" s="141"/>
      <c r="AY466" s="141"/>
      <c r="BE466" s="63"/>
    </row>
    <row r="467" spans="1:57">
      <c r="A467" s="52"/>
      <c r="B467" s="3659" t="s">
        <v>563</v>
      </c>
      <c r="C467" s="585">
        <v>7120042</v>
      </c>
      <c r="D467" s="203" t="s">
        <v>4628</v>
      </c>
      <c r="E467" s="1213">
        <f>IFERROR(VLOOKUP(C467,'פ.נ. EUROPE'!$D$164:$F$1353,3,0),0)</f>
        <v>3313.7</v>
      </c>
      <c r="F467" s="518">
        <f>SUMIF('פ.נ. EUROPE'!C:C,C:C,'פ.נ. EUROPE'!E:E)</f>
        <v>0</v>
      </c>
      <c r="G467" s="517"/>
      <c r="H467" s="518"/>
      <c r="I467" s="517"/>
      <c r="J467" s="521">
        <f t="shared" ref="J467:J469" si="111">SUM(E467:I467)</f>
        <v>3313.7</v>
      </c>
      <c r="K467" s="1213">
        <f>M467+SUMIF('פ.נ. EUROPE'!C:C,'מאזן בוחן EUROPE'!C467,'פ.נ. EUROPE'!F:F)</f>
        <v>4394</v>
      </c>
      <c r="L467" s="518"/>
      <c r="M467" s="1213">
        <f>IFERROR(VLOOKUP(C467,'פ.נ. EUROPE'!$D$164:$H$424,4,0),"")</f>
        <v>4394</v>
      </c>
      <c r="N467" s="1104">
        <f t="shared" ref="N467:N469" si="112">IF(K467=0,"-",J467/K467)</f>
        <v>0.7541420118343195</v>
      </c>
      <c r="O467" s="434"/>
      <c r="P467" s="1133"/>
      <c r="W467" s="141"/>
      <c r="X467" s="141"/>
      <c r="Y467" s="141"/>
      <c r="Z467" s="141"/>
      <c r="AA467" s="141"/>
      <c r="AB467" s="141"/>
      <c r="AC467" s="141"/>
      <c r="AD467" s="141"/>
      <c r="AE467" s="141"/>
      <c r="AF467" s="141"/>
      <c r="AG467" s="141"/>
      <c r="AH467" s="141"/>
      <c r="AI467" s="141"/>
      <c r="AJ467" s="141"/>
      <c r="AK467" s="141"/>
      <c r="AL467" s="141"/>
      <c r="AM467" s="141"/>
      <c r="AN467" s="141">
        <f>$K467-SUM($AC467:AM467)</f>
        <v>4394</v>
      </c>
      <c r="AO467" s="141"/>
      <c r="AP467" s="141"/>
      <c r="AQ467" s="141"/>
      <c r="AR467" s="141"/>
      <c r="AS467" s="141"/>
      <c r="AT467" s="141"/>
      <c r="AU467" s="141"/>
      <c r="AV467" s="141"/>
      <c r="AW467" s="141"/>
      <c r="AX467" s="141"/>
      <c r="AY467" s="141"/>
      <c r="BE467" s="63"/>
    </row>
    <row r="468" spans="1:57">
      <c r="A468" s="52"/>
      <c r="B468" s="3659" t="s">
        <v>563</v>
      </c>
      <c r="C468" s="585">
        <v>7120043</v>
      </c>
      <c r="D468" s="203" t="s">
        <v>4629</v>
      </c>
      <c r="E468" s="1213">
        <f>IFERROR(VLOOKUP(C468,'פ.נ. EUROPE'!$D$164:$F$1353,3,0),0)</f>
        <v>684.02</v>
      </c>
      <c r="F468" s="518">
        <f>SUMIF('פ.נ. EUROPE'!C:C,C:C,'פ.נ. EUROPE'!E:E)</f>
        <v>0</v>
      </c>
      <c r="G468" s="517"/>
      <c r="H468" s="518"/>
      <c r="I468" s="517"/>
      <c r="J468" s="521">
        <f t="shared" si="111"/>
        <v>684.02</v>
      </c>
      <c r="K468" s="1213">
        <f>M468+SUMIF('פ.נ. EUROPE'!C:C,'מאזן בוחן EUROPE'!C468,'פ.נ. EUROPE'!F:F)</f>
        <v>902.85</v>
      </c>
      <c r="L468" s="518"/>
      <c r="M468" s="1213">
        <f>IFERROR(VLOOKUP(C468,'פ.נ. EUROPE'!$D$164:$H$424,4,0),"")</f>
        <v>902.85</v>
      </c>
      <c r="N468" s="1104">
        <f t="shared" si="112"/>
        <v>0.75762308246109533</v>
      </c>
      <c r="O468" s="434"/>
      <c r="P468" s="1133"/>
      <c r="W468" s="141"/>
      <c r="X468" s="141"/>
      <c r="Y468" s="141"/>
      <c r="Z468" s="141"/>
      <c r="AA468" s="141"/>
      <c r="AB468" s="141"/>
      <c r="AC468" s="141"/>
      <c r="AD468" s="141"/>
      <c r="AE468" s="141"/>
      <c r="AF468" s="141"/>
      <c r="AG468" s="141"/>
      <c r="AH468" s="141"/>
      <c r="AI468" s="141"/>
      <c r="AJ468" s="141"/>
      <c r="AK468" s="141"/>
      <c r="AL468" s="141"/>
      <c r="AM468" s="141"/>
      <c r="AN468" s="141">
        <f>$K468-SUM($AC468:AM468)</f>
        <v>902.85</v>
      </c>
      <c r="AO468" s="141"/>
      <c r="AP468" s="141"/>
      <c r="AQ468" s="141"/>
      <c r="AR468" s="141"/>
      <c r="AS468" s="141"/>
      <c r="AT468" s="141"/>
      <c r="AU468" s="141"/>
      <c r="AV468" s="141"/>
      <c r="AW468" s="141"/>
      <c r="AX468" s="141"/>
      <c r="AY468" s="141"/>
      <c r="BE468" s="63"/>
    </row>
    <row r="469" spans="1:57">
      <c r="A469" s="52"/>
      <c r="B469" s="3659" t="s">
        <v>563</v>
      </c>
      <c r="C469" s="585">
        <v>7120044</v>
      </c>
      <c r="D469" s="203" t="s">
        <v>4630</v>
      </c>
      <c r="E469" s="1213">
        <f>IFERROR(VLOOKUP(C469,'פ.נ. EUROPE'!$D$164:$F$1353,3,0),0)</f>
        <v>2208.2199999999998</v>
      </c>
      <c r="F469" s="518">
        <f>SUMIF('פ.נ. EUROPE'!C:C,C:C,'פ.נ. EUROPE'!E:E)</f>
        <v>0</v>
      </c>
      <c r="G469" s="517"/>
      <c r="H469" s="518"/>
      <c r="I469" s="517"/>
      <c r="J469" s="521">
        <f t="shared" si="111"/>
        <v>2208.2199999999998</v>
      </c>
      <c r="K469" s="1213">
        <f>M469+SUMIF('פ.נ. EUROPE'!C:C,'מאזן בוחן EUROPE'!C469,'פ.נ. EUROPE'!F:F)</f>
        <v>2961.22</v>
      </c>
      <c r="L469" s="518"/>
      <c r="M469" s="1213">
        <f>IFERROR(VLOOKUP(C469,'פ.נ. EUROPE'!$D$164:$H$424,4,0),"")</f>
        <v>2961.22</v>
      </c>
      <c r="N469" s="1104">
        <f t="shared" si="112"/>
        <v>0.74571291562261499</v>
      </c>
      <c r="O469" s="434"/>
      <c r="P469" s="1133"/>
      <c r="W469" s="141"/>
      <c r="X469" s="141"/>
      <c r="Y469" s="141"/>
      <c r="Z469" s="141"/>
      <c r="AA469" s="141"/>
      <c r="AB469" s="141"/>
      <c r="AC469" s="141"/>
      <c r="AD469" s="141"/>
      <c r="AE469" s="141"/>
      <c r="AF469" s="141"/>
      <c r="AG469" s="141"/>
      <c r="AH469" s="141"/>
      <c r="AI469" s="141"/>
      <c r="AJ469" s="141"/>
      <c r="AK469" s="141"/>
      <c r="AL469" s="141"/>
      <c r="AM469" s="141"/>
      <c r="AN469" s="141">
        <f>$K469-SUM($AC469:AM469)</f>
        <v>2961.22</v>
      </c>
      <c r="AO469" s="141"/>
      <c r="AP469" s="141"/>
      <c r="AQ469" s="141"/>
      <c r="AR469" s="141"/>
      <c r="AS469" s="141"/>
      <c r="AT469" s="141"/>
      <c r="AU469" s="141"/>
      <c r="AV469" s="141"/>
      <c r="AW469" s="141"/>
      <c r="AX469" s="141"/>
      <c r="AY469" s="141"/>
      <c r="BE469" s="63"/>
    </row>
    <row r="470" spans="1:57">
      <c r="A470" s="52"/>
      <c r="B470" s="3659" t="s">
        <v>563</v>
      </c>
      <c r="C470" s="585">
        <v>7120030</v>
      </c>
      <c r="D470" s="203" t="s">
        <v>3739</v>
      </c>
      <c r="E470" s="1213">
        <f>IFERROR(VLOOKUP(C470,'פ.נ. EUROPE'!$D$164:$F$1353,3,0),0)</f>
        <v>0</v>
      </c>
      <c r="F470" s="518">
        <f>SUMIF('פ.נ. EUROPE'!C:C,C:C,'פ.נ. EUROPE'!E:E)</f>
        <v>0</v>
      </c>
      <c r="G470" s="517"/>
      <c r="H470" s="518"/>
      <c r="I470" s="517"/>
      <c r="J470" s="521">
        <f>SUM(E470:I470)</f>
        <v>0</v>
      </c>
      <c r="K470" s="1213">
        <f>M470+SUMIF('פ.נ. EUROPE'!C:C,'מאזן בוחן EUROPE'!C470,'פ.נ. EUROPE'!F:F)</f>
        <v>0</v>
      </c>
      <c r="L470" s="518"/>
      <c r="M470" s="1213" t="str">
        <f>IFERROR(VLOOKUP(C470,'פ.נ. EUROPE'!$D$164:$H$424,4,0),"")</f>
        <v/>
      </c>
      <c r="N470" s="1104" t="str">
        <f>IF(K470=0,"-",J470/K470)</f>
        <v>-</v>
      </c>
      <c r="O470" s="434"/>
      <c r="P470" s="1133"/>
      <c r="W470" s="141"/>
      <c r="X470" s="141"/>
      <c r="Y470" s="141"/>
      <c r="Z470" s="141"/>
      <c r="AA470" s="141"/>
      <c r="AB470" s="141"/>
      <c r="AC470" s="141"/>
      <c r="AD470" s="141"/>
      <c r="AE470" s="141"/>
      <c r="AF470" s="141"/>
      <c r="AG470" s="141"/>
      <c r="AH470" s="141">
        <v>951</v>
      </c>
      <c r="AI470" s="141">
        <v>0.20000000000004547</v>
      </c>
      <c r="AJ470" s="141">
        <v>0</v>
      </c>
      <c r="AK470" s="141">
        <v>0</v>
      </c>
      <c r="AL470" s="141">
        <v>2140.3199999999997</v>
      </c>
      <c r="AM470" s="141">
        <v>0</v>
      </c>
      <c r="AN470" s="141">
        <f>$K470-SUM($AC470:AM470)</f>
        <v>-3091.5199999999995</v>
      </c>
      <c r="AO470" s="141"/>
      <c r="AP470" s="141"/>
      <c r="AQ470" s="141"/>
      <c r="AR470" s="141"/>
      <c r="AS470" s="141"/>
      <c r="AT470" s="141"/>
      <c r="AU470" s="141"/>
      <c r="AV470" s="141"/>
      <c r="AW470" s="141"/>
      <c r="AX470" s="141"/>
      <c r="AY470" s="141"/>
      <c r="BE470" s="63"/>
    </row>
    <row r="471" spans="1:57">
      <c r="A471" s="52"/>
      <c r="B471" s="3659" t="s">
        <v>563</v>
      </c>
      <c r="C471" s="585">
        <v>7120039</v>
      </c>
      <c r="D471" s="203" t="s">
        <v>4484</v>
      </c>
      <c r="E471" s="1213">
        <f>IFERROR(VLOOKUP(C471,'פ.נ. EUROPE'!$D$164:$F$1353,3,0),0)</f>
        <v>1191.98</v>
      </c>
      <c r="F471" s="518">
        <f>SUMIF('פ.נ. EUROPE'!C:C,C:C,'פ.נ. EUROPE'!E:E)</f>
        <v>0</v>
      </c>
      <c r="G471" s="517"/>
      <c r="H471" s="518"/>
      <c r="I471" s="517"/>
      <c r="J471" s="521">
        <f>SUM(E471:I471)</f>
        <v>1191.98</v>
      </c>
      <c r="K471" s="1213">
        <f>M471+SUMIF('פ.נ. EUROPE'!C:C,'מאזן בוחן EUROPE'!C471,'פ.נ. EUROPE'!F:F)</f>
        <v>1607.72</v>
      </c>
      <c r="L471" s="518"/>
      <c r="M471" s="1213">
        <f>IFERROR(VLOOKUP(C471,'פ.נ. EUROPE'!$D$164:$H$424,4,0),"")</f>
        <v>1607.72</v>
      </c>
      <c r="N471" s="1104">
        <f>IF(K471=0,"-",J471/K471)</f>
        <v>0.7414101958052397</v>
      </c>
      <c r="O471" s="434"/>
      <c r="P471" s="1133"/>
      <c r="W471" s="141"/>
      <c r="X471" s="141"/>
      <c r="Y471" s="141"/>
      <c r="Z471" s="141"/>
      <c r="AA471" s="141"/>
      <c r="AB471" s="141"/>
      <c r="AC471" s="141"/>
      <c r="AD471" s="141"/>
      <c r="AE471" s="141"/>
      <c r="AF471" s="141"/>
      <c r="AG471" s="141"/>
      <c r="AH471" s="141"/>
      <c r="AI471" s="141"/>
      <c r="AJ471" s="141"/>
      <c r="AK471" s="141"/>
      <c r="AL471" s="141"/>
      <c r="AM471" s="141">
        <v>1607.72</v>
      </c>
      <c r="AN471" s="141">
        <f>$K471-SUM($AC471:AM471)</f>
        <v>0</v>
      </c>
      <c r="AO471" s="141"/>
      <c r="AP471" s="141"/>
      <c r="AQ471" s="141"/>
      <c r="AR471" s="141"/>
      <c r="AS471" s="141"/>
      <c r="AT471" s="141"/>
      <c r="AU471" s="141"/>
      <c r="AV471" s="141"/>
      <c r="AW471" s="141"/>
      <c r="AX471" s="141"/>
      <c r="AY471" s="141"/>
      <c r="BE471" s="63"/>
    </row>
    <row r="472" spans="1:57">
      <c r="A472" s="52"/>
      <c r="B472" s="3659" t="s">
        <v>758</v>
      </c>
      <c r="C472" s="585">
        <v>7120022</v>
      </c>
      <c r="D472" s="203" t="s">
        <v>759</v>
      </c>
      <c r="E472" s="439">
        <f>IFERROR(VLOOKUP(C472,'פ.נ. EUROPE'!$D$164:$F$1353,3,0),0)</f>
        <v>6659.38</v>
      </c>
      <c r="F472" s="518">
        <f>SUMIF('פ.נ. EUROPE'!C:C,C:C,'פ.נ. EUROPE'!E:E)</f>
        <v>0</v>
      </c>
      <c r="G472" s="517"/>
      <c r="H472" s="518"/>
      <c r="I472" s="517"/>
      <c r="J472" s="170">
        <f t="shared" ref="J472:J477" si="113">SUM(E472:I472)</f>
        <v>6659.38</v>
      </c>
      <c r="K472" s="98">
        <f>M472+SUMIF('פ.נ. EUROPE'!C:C,'מאזן בוחן EUROPE'!C472,'פ.נ. EUROPE'!F:F)</f>
        <v>9111.24</v>
      </c>
      <c r="L472" s="51"/>
      <c r="M472" s="1213">
        <f>IFERROR(VLOOKUP(C472,'פ.נ. EUROPE'!$D$164:$H$424,4,0),"")</f>
        <v>9111.24</v>
      </c>
      <c r="N472" s="1104">
        <f t="shared" ref="N472:N482" si="114">IF(K472=0,"-",J472/K472)</f>
        <v>0.73089722145394043</v>
      </c>
      <c r="O472" s="434"/>
      <c r="P472" s="1133"/>
      <c r="Q472" s="137">
        <v>3850.32</v>
      </c>
      <c r="R472" s="137">
        <v>5450.2000000000007</v>
      </c>
      <c r="S472" s="137">
        <v>3880.68</v>
      </c>
      <c r="T472" s="137">
        <v>1185.849999999999</v>
      </c>
      <c r="U472" s="137">
        <v>-47.959999999999127</v>
      </c>
      <c r="V472" s="137">
        <v>1133.2899999999991</v>
      </c>
      <c r="W472" s="141">
        <v>1151.3299999999995</v>
      </c>
      <c r="X472" s="141">
        <v>6368.4999999999982</v>
      </c>
      <c r="Y472" s="141">
        <v>400.80000000000427</v>
      </c>
      <c r="Z472" s="141">
        <v>1268.5799999999981</v>
      </c>
      <c r="AA472" s="141">
        <v>1707.0600000000013</v>
      </c>
      <c r="AB472" s="141">
        <v>0</v>
      </c>
      <c r="AC472" s="141">
        <f>'[26]מאזן בוחן EUROPE'!AC463</f>
        <v>725.91</v>
      </c>
      <c r="AD472" s="141">
        <f>'[27]מאזן בוחן EUROPE'!AD461</f>
        <v>433.41999999999996</v>
      </c>
      <c r="AE472" s="141">
        <f>'[28]מאזן בוחן EUROPE'!AE470</f>
        <v>975.65999999999985</v>
      </c>
      <c r="AF472" s="141">
        <f>'[29]מאזן בוחן EUROPE'!AF467</f>
        <v>241.54000000000042</v>
      </c>
      <c r="AG472" s="141">
        <f>'[30]מאזן בוחן EUROPE'!AG471</f>
        <v>642.5</v>
      </c>
      <c r="AH472" s="141">
        <f>'[31]מאזן בוחן EUROPE'!AH476</f>
        <v>188.76999999999998</v>
      </c>
      <c r="AI472" s="141">
        <v>625.48</v>
      </c>
      <c r="AJ472" s="141">
        <v>814.15000000000009</v>
      </c>
      <c r="AK472" s="141">
        <v>350.78999999999996</v>
      </c>
      <c r="AL472" s="141">
        <v>1792</v>
      </c>
      <c r="AM472" s="141">
        <v>1555.87</v>
      </c>
      <c r="AN472" s="141">
        <f>$K472-SUM($AC472:AM472)</f>
        <v>765.14999999999964</v>
      </c>
      <c r="AO472" s="141"/>
      <c r="AP472" s="141"/>
      <c r="AQ472" s="141"/>
      <c r="AR472" s="141"/>
      <c r="AS472" s="141"/>
      <c r="AT472" s="141"/>
      <c r="AU472" s="141"/>
      <c r="AV472" s="141"/>
      <c r="AW472" s="141"/>
      <c r="AX472" s="141"/>
      <c r="AY472" s="141"/>
      <c r="BE472" s="63"/>
    </row>
    <row r="473" spans="1:57">
      <c r="A473" s="52"/>
      <c r="B473" s="3659" t="s">
        <v>758</v>
      </c>
      <c r="C473" s="585">
        <v>7120026</v>
      </c>
      <c r="D473" s="45" t="s">
        <v>1981</v>
      </c>
      <c r="E473" s="439">
        <f>IFERROR(VLOOKUP(C473,'פ.נ. EUROPE'!$D$164:$F$1353,3,0),0)</f>
        <v>15663.58</v>
      </c>
      <c r="F473" s="518">
        <f>SUMIF('פ.נ. EUROPE'!C:C,C:C,'פ.נ. EUROPE'!E:E)</f>
        <v>0</v>
      </c>
      <c r="G473" s="517"/>
      <c r="H473" s="518"/>
      <c r="I473" s="517"/>
      <c r="J473" s="170">
        <f t="shared" si="113"/>
        <v>15663.58</v>
      </c>
      <c r="K473" s="98">
        <f>M473+SUMIF('פ.נ. EUROPE'!C:C,'מאזן בוחן EUROPE'!C473,'פ.נ. EUROPE'!F:F)</f>
        <v>21348.560000000001</v>
      </c>
      <c r="L473" s="51"/>
      <c r="M473" s="1213">
        <f>IFERROR(VLOOKUP(C473,'פ.נ. EUROPE'!$D$164:$H$424,4,0),"")</f>
        <v>21348.560000000001</v>
      </c>
      <c r="N473" s="1104">
        <f t="shared" si="114"/>
        <v>0.73370662939327047</v>
      </c>
      <c r="O473" s="434"/>
      <c r="P473" s="1133"/>
      <c r="Q473" s="137">
        <v>6959.36</v>
      </c>
      <c r="R473" s="137">
        <v>3948.4100000000008</v>
      </c>
      <c r="S473" s="137">
        <v>4627.3900000000003</v>
      </c>
      <c r="T473" s="137">
        <v>192.06999999999971</v>
      </c>
      <c r="U473" s="137">
        <v>3412.1899999999978</v>
      </c>
      <c r="V473" s="137">
        <v>644.80000000000291</v>
      </c>
      <c r="W473" s="141">
        <v>131.71000000000095</v>
      </c>
      <c r="X473" s="141">
        <v>3653.0099999999957</v>
      </c>
      <c r="Y473" s="141">
        <v>973.2400000000016</v>
      </c>
      <c r="Z473" s="141">
        <v>3351.7000000000044</v>
      </c>
      <c r="AA473" s="141">
        <v>660.06999999999971</v>
      </c>
      <c r="AB473" s="141">
        <v>437577.78681765153</v>
      </c>
      <c r="AC473" s="141">
        <f>'[26]מאזן בוחן EUROPE'!AC464</f>
        <v>1365.15</v>
      </c>
      <c r="AD473" s="141">
        <f>'[27]מאזן בוחן EUROPE'!AD462</f>
        <v>411.05999999999995</v>
      </c>
      <c r="AE473" s="141">
        <f>'[28]מאזן בוחן EUROPE'!AE471</f>
        <v>444.98999999999978</v>
      </c>
      <c r="AF473" s="141">
        <f>'[29]מאזן בוחן EUROPE'!AF468</f>
        <v>2974.66</v>
      </c>
      <c r="AG473" s="141">
        <f>'[30]מאזן בוחן EUROPE'!AG472</f>
        <v>1115.7700000000004</v>
      </c>
      <c r="AH473" s="141">
        <f>'[31]מאזן בוחן EUROPE'!AH477</f>
        <v>304.05999999999949</v>
      </c>
      <c r="AI473" s="141">
        <v>133.97000000000025</v>
      </c>
      <c r="AJ473" s="141">
        <v>307.90999999999985</v>
      </c>
      <c r="AK473" s="141">
        <v>360.75</v>
      </c>
      <c r="AL473" s="141">
        <v>6598.380000000001</v>
      </c>
      <c r="AM473" s="141">
        <v>7197.3600000000006</v>
      </c>
      <c r="AN473" s="141">
        <f>$K473-SUM($AC473:AM473)</f>
        <v>134.5</v>
      </c>
      <c r="AO473" s="141"/>
      <c r="AP473" s="141"/>
      <c r="AQ473" s="141" t="s">
        <v>4340</v>
      </c>
      <c r="AR473" s="141"/>
      <c r="AS473" s="141"/>
      <c r="AT473" s="141"/>
      <c r="AU473" s="141"/>
      <c r="AV473" s="141"/>
      <c r="AW473" s="141"/>
      <c r="AX473" s="141"/>
      <c r="AY473" s="141"/>
      <c r="BE473" s="63"/>
    </row>
    <row r="474" spans="1:57">
      <c r="A474" s="52"/>
      <c r="B474" s="3659" t="s">
        <v>758</v>
      </c>
      <c r="C474" s="585">
        <v>7120032</v>
      </c>
      <c r="D474" s="45" t="s">
        <v>760</v>
      </c>
      <c r="E474" s="439">
        <f>IFERROR(VLOOKUP(C474,'פ.נ. EUROPE'!$D$164:$F$1353,3,0),0)</f>
        <v>7771.98</v>
      </c>
      <c r="F474" s="518">
        <f>SUMIF('פ.נ. EUROPE'!C:C,C:C,'פ.נ. EUROPE'!E:E)</f>
        <v>0</v>
      </c>
      <c r="G474" s="517"/>
      <c r="H474" s="518"/>
      <c r="I474" s="517"/>
      <c r="J474" s="170">
        <f t="shared" si="113"/>
        <v>7771.98</v>
      </c>
      <c r="K474" s="98">
        <f>M474+SUMIF('פ.נ. EUROPE'!C:C,'מאזן בוחן EUROPE'!C474,'פ.נ. EUROPE'!F:F)</f>
        <v>10708.3</v>
      </c>
      <c r="L474" s="51"/>
      <c r="M474" s="1213">
        <f>IFERROR(VLOOKUP(C474,'פ.נ. EUROPE'!$D$164:$H$424,4,0),"")</f>
        <v>10708.3</v>
      </c>
      <c r="N474" s="1104">
        <f t="shared" si="114"/>
        <v>0.72579027483354031</v>
      </c>
      <c r="O474" s="434"/>
      <c r="P474" s="1133"/>
      <c r="Q474" s="137">
        <v>1147.71</v>
      </c>
      <c r="R474" s="137">
        <v>1356.62</v>
      </c>
      <c r="S474" s="137">
        <v>2857.4700000000003</v>
      </c>
      <c r="T474" s="137">
        <v>216.84000000000015</v>
      </c>
      <c r="U474" s="137">
        <v>135.25999999999931</v>
      </c>
      <c r="V474" s="137">
        <v>360.68000000000029</v>
      </c>
      <c r="W474" s="141">
        <v>128.77999999999975</v>
      </c>
      <c r="X474" s="141">
        <v>271.27000000000044</v>
      </c>
      <c r="Y474" s="141">
        <v>2019.2899999999991</v>
      </c>
      <c r="Z474" s="141">
        <v>2276.840000000002</v>
      </c>
      <c r="AA474" s="141">
        <v>3415.3099999999995</v>
      </c>
      <c r="AB474" s="141">
        <v>0</v>
      </c>
      <c r="AC474" s="141">
        <f>'[26]מאזן בוחן EUROPE'!AC465</f>
        <v>204.26</v>
      </c>
      <c r="AD474" s="141">
        <f>'[27]מאזן בוחן EUROPE'!AD463</f>
        <v>204.10000000000002</v>
      </c>
      <c r="AE474" s="141">
        <f>'[28]מאזן בוחן EUROPE'!AE472</f>
        <v>583.84</v>
      </c>
      <c r="AF474" s="141">
        <f>'[29]מאזן בוחן EUROPE'!AF469</f>
        <v>174.40999999999985</v>
      </c>
      <c r="AG474" s="141">
        <f>'[30]מאזן בוחן EUROPE'!AG473</f>
        <v>2226.8100000000004</v>
      </c>
      <c r="AH474" s="141">
        <f>'[31]מאזן בוחן EUROPE'!AH478</f>
        <v>1536.6499999999996</v>
      </c>
      <c r="AI474" s="141">
        <v>431.63000000000011</v>
      </c>
      <c r="AJ474" s="141">
        <v>87.090000000000146</v>
      </c>
      <c r="AK474" s="141">
        <v>341.4399999999996</v>
      </c>
      <c r="AL474" s="141">
        <v>2722.26</v>
      </c>
      <c r="AM474" s="141">
        <v>128.23999999999978</v>
      </c>
      <c r="AN474" s="141">
        <f>$K474-SUM($AC474:AM474)</f>
        <v>2067.5699999999997</v>
      </c>
      <c r="AO474" s="141"/>
      <c r="AP474" s="141"/>
      <c r="AQ474" s="141"/>
      <c r="AR474" s="141"/>
      <c r="AS474" s="141"/>
      <c r="AT474" s="141"/>
      <c r="AU474" s="141"/>
      <c r="AV474" s="141"/>
      <c r="AW474" s="141"/>
      <c r="AX474" s="141"/>
      <c r="AY474" s="141"/>
      <c r="BE474" s="63"/>
    </row>
    <row r="475" spans="1:57">
      <c r="A475" s="52"/>
      <c r="B475" s="3659" t="s">
        <v>758</v>
      </c>
      <c r="C475" s="585">
        <v>7120033</v>
      </c>
      <c r="D475" s="45" t="s">
        <v>1588</v>
      </c>
      <c r="E475" s="1213">
        <f>IFERROR(VLOOKUP(C475,'פ.נ. EUROPE'!$D$164:$F$1353,3,0),0)</f>
        <v>4343.79</v>
      </c>
      <c r="F475" s="518">
        <f>SUMIF('פ.נ. EUROPE'!C:C,C:C,'פ.נ. EUROPE'!E:E)</f>
        <v>0</v>
      </c>
      <c r="G475" s="517"/>
      <c r="H475" s="518"/>
      <c r="I475" s="517"/>
      <c r="J475" s="521">
        <f>SUM(E475:I475)</f>
        <v>4343.79</v>
      </c>
      <c r="K475" s="1213">
        <f>M475+SUMIF('פ.נ. EUROPE'!C:C,'מאזן בוחן EUROPE'!C475,'פ.נ. EUROPE'!F:F)</f>
        <v>5943.91</v>
      </c>
      <c r="L475" s="518"/>
      <c r="M475" s="1213">
        <f>IFERROR(VLOOKUP(C475,'פ.נ. EUROPE'!$D$164:$H$424,4,0),"")</f>
        <v>5943.91</v>
      </c>
      <c r="N475" s="1104">
        <f>IF(K475=0,"-",J475/K475)</f>
        <v>0.73079673144445323</v>
      </c>
      <c r="O475" s="434"/>
      <c r="P475" s="1133"/>
      <c r="Q475" s="137">
        <v>11247.11</v>
      </c>
      <c r="R475" s="137">
        <v>0</v>
      </c>
      <c r="S475" s="137">
        <v>3183.0999999999985</v>
      </c>
      <c r="T475" s="137">
        <v>-1611.0299999999988</v>
      </c>
      <c r="U475" s="137">
        <v>0</v>
      </c>
      <c r="V475" s="137">
        <v>0</v>
      </c>
      <c r="W475" s="141">
        <v>3101.3199999999997</v>
      </c>
      <c r="X475" s="141">
        <v>0</v>
      </c>
      <c r="Y475" s="141">
        <v>0</v>
      </c>
      <c r="Z475" s="141">
        <v>1785.5</v>
      </c>
      <c r="AA475" s="141">
        <v>0</v>
      </c>
      <c r="AB475" s="141">
        <v>0</v>
      </c>
      <c r="AC475" s="141">
        <f>'[26]מאזן בוחן EUROPE'!AC466</f>
        <v>0</v>
      </c>
      <c r="AD475" s="141">
        <f>'[27]מאזן בוחן EUROPE'!AD464</f>
        <v>0</v>
      </c>
      <c r="AE475" s="141">
        <f>'[28]מאזן בוחן EUROPE'!AE473</f>
        <v>0</v>
      </c>
      <c r="AF475" s="141">
        <f>'[29]מאזן בוחן EUROPE'!AF470</f>
        <v>0</v>
      </c>
      <c r="AG475" s="141">
        <f>'[30]מאזן בוחן EUROPE'!AG474</f>
        <v>0</v>
      </c>
      <c r="AH475" s="141">
        <f>'[31]מאזן בוחן EUROPE'!AH479</f>
        <v>835.23</v>
      </c>
      <c r="AI475" s="141">
        <v>0</v>
      </c>
      <c r="AJ475" s="141">
        <v>0</v>
      </c>
      <c r="AK475" s="141">
        <v>393.23</v>
      </c>
      <c r="AL475" s="141">
        <v>99.970000000000027</v>
      </c>
      <c r="AM475" s="141">
        <v>626.86999999999989</v>
      </c>
      <c r="AN475" s="141">
        <f>$K475-SUM($AC475:AM475)</f>
        <v>3988.6099999999997</v>
      </c>
      <c r="AO475" s="141"/>
      <c r="AP475" s="141"/>
      <c r="AQ475" s="141"/>
      <c r="AR475" s="141"/>
      <c r="AS475" s="141"/>
      <c r="AT475" s="141"/>
      <c r="AU475" s="141"/>
      <c r="AV475" s="141"/>
      <c r="AW475" s="141"/>
      <c r="AX475" s="141"/>
      <c r="AY475" s="141"/>
      <c r="BE475" s="63"/>
    </row>
    <row r="476" spans="1:57">
      <c r="A476" s="52"/>
      <c r="B476" s="3659" t="s">
        <v>758</v>
      </c>
      <c r="C476" s="585">
        <v>7120040</v>
      </c>
      <c r="D476" s="45" t="s">
        <v>761</v>
      </c>
      <c r="E476" s="1213">
        <f>IFERROR(VLOOKUP(C476,'פ.נ. EUROPE'!$D$164:$F$1353,3,0),0)</f>
        <v>0</v>
      </c>
      <c r="F476" s="518">
        <f>SUMIF('פ.נ. EUROPE'!C:C,C:C,'פ.נ. EUROPE'!E:E)</f>
        <v>0</v>
      </c>
      <c r="G476" s="517"/>
      <c r="H476" s="518"/>
      <c r="I476" s="517"/>
      <c r="J476" s="521">
        <f t="shared" si="113"/>
        <v>0</v>
      </c>
      <c r="K476" s="1213">
        <f>M476+SUMIF('פ.נ. EUROPE'!C:C,'מאזן בוחן EUROPE'!C476,'פ.נ. EUROPE'!F:F)</f>
        <v>0</v>
      </c>
      <c r="L476" s="518"/>
      <c r="M476" s="1213" t="str">
        <f>IFERROR(VLOOKUP(C476,'פ.נ. EUROPE'!$D$164:$H$424,4,0),"")</f>
        <v/>
      </c>
      <c r="N476" s="1104" t="str">
        <f t="shared" si="114"/>
        <v>-</v>
      </c>
      <c r="O476" s="434"/>
      <c r="P476" s="1133"/>
      <c r="Q476" s="137">
        <v>0</v>
      </c>
      <c r="R476" s="137">
        <v>0</v>
      </c>
      <c r="S476" s="137">
        <v>0</v>
      </c>
      <c r="T476" s="137">
        <v>0</v>
      </c>
      <c r="U476" s="137">
        <v>0</v>
      </c>
      <c r="V476" s="137">
        <v>0</v>
      </c>
      <c r="W476" s="141">
        <v>0</v>
      </c>
      <c r="X476" s="141">
        <v>0</v>
      </c>
      <c r="Y476" s="141">
        <v>0</v>
      </c>
      <c r="Z476" s="141">
        <v>0</v>
      </c>
      <c r="AA476" s="141">
        <v>0</v>
      </c>
      <c r="AB476" s="141">
        <v>0</v>
      </c>
      <c r="AC476" s="141">
        <f>'[26]מאזן בוחן EUROPE'!AC468</f>
        <v>0</v>
      </c>
      <c r="AD476" s="141">
        <f>'[27]מאזן בוחן EUROPE'!AD466</f>
        <v>0</v>
      </c>
      <c r="AE476" s="141">
        <f>'[28]מאזן בוחן EUROPE'!AE475</f>
        <v>0</v>
      </c>
      <c r="AF476" s="141">
        <f>'[29]מאזן בוחן EUROPE'!AF472</f>
        <v>0</v>
      </c>
      <c r="AG476" s="141">
        <f>'[30]מאזן בוחן EUROPE'!AG476</f>
        <v>0</v>
      </c>
      <c r="AH476" s="141">
        <f>'[31]מאזן בוחן EUROPE'!AH480</f>
        <v>0</v>
      </c>
      <c r="AI476" s="141">
        <v>0</v>
      </c>
      <c r="AJ476" s="141">
        <v>0</v>
      </c>
      <c r="AK476" s="141">
        <v>0</v>
      </c>
      <c r="AL476" s="141">
        <v>0</v>
      </c>
      <c r="AM476" s="141">
        <v>0</v>
      </c>
      <c r="AN476" s="141">
        <f>$K476-SUM($AC476:AM476)</f>
        <v>0</v>
      </c>
      <c r="AO476" s="141"/>
      <c r="AP476" s="141"/>
      <c r="AQ476" s="141"/>
      <c r="AR476" s="141"/>
      <c r="AS476" s="141"/>
      <c r="AT476" s="141"/>
      <c r="AU476" s="141"/>
      <c r="AV476" s="141"/>
      <c r="AW476" s="141"/>
      <c r="AX476" s="141"/>
      <c r="AY476" s="141"/>
      <c r="BE476" s="63"/>
    </row>
    <row r="477" spans="1:57">
      <c r="A477" s="52"/>
      <c r="B477" s="3659" t="s">
        <v>758</v>
      </c>
      <c r="C477" s="585">
        <v>7120074</v>
      </c>
      <c r="D477" s="45" t="s">
        <v>763</v>
      </c>
      <c r="E477" s="439">
        <f>IFERROR(VLOOKUP(C477,'פ.נ. EUROPE'!$D$164:$F$1353,3,0),0)</f>
        <v>2104.37</v>
      </c>
      <c r="F477" s="518">
        <f>SUMIF('פ.נ. EUROPE'!C:C,C:C,'פ.נ. EUROPE'!E:E)</f>
        <v>0</v>
      </c>
      <c r="G477" s="517"/>
      <c r="H477" s="518"/>
      <c r="I477" s="517"/>
      <c r="J477" s="170">
        <f t="shared" si="113"/>
        <v>2104.37</v>
      </c>
      <c r="K477" s="98">
        <f>M477+SUMIF('פ.נ. EUROPE'!C:C,'מאזן בוחן EUROPE'!C477,'פ.נ. EUROPE'!F:F)</f>
        <v>2884.79</v>
      </c>
      <c r="L477" s="51"/>
      <c r="M477" s="1213">
        <f>IFERROR(VLOOKUP(C477,'פ.נ. EUROPE'!$D$164:$H$424,4,0),"")</f>
        <v>2884.79</v>
      </c>
      <c r="N477" s="1104">
        <f t="shared" si="114"/>
        <v>0.72947077603569066</v>
      </c>
      <c r="O477" s="434"/>
      <c r="P477" s="1133"/>
      <c r="Q477" s="137">
        <v>3404.02</v>
      </c>
      <c r="R477" s="137">
        <v>0</v>
      </c>
      <c r="S477" s="137">
        <v>0</v>
      </c>
      <c r="T477" s="137">
        <v>5310.09</v>
      </c>
      <c r="U477" s="137">
        <v>142.48999999999978</v>
      </c>
      <c r="V477" s="137">
        <v>0</v>
      </c>
      <c r="W477" s="141">
        <v>0</v>
      </c>
      <c r="X477" s="141">
        <v>0</v>
      </c>
      <c r="Y477" s="141">
        <v>0</v>
      </c>
      <c r="Z477" s="141">
        <v>0</v>
      </c>
      <c r="AA477" s="141">
        <v>1564.1800000000003</v>
      </c>
      <c r="AB477" s="141">
        <v>0</v>
      </c>
      <c r="AC477" s="141">
        <f>'[26]מאזן בוחן EUROPE'!AC469</f>
        <v>445.12</v>
      </c>
      <c r="AD477" s="141">
        <f>'[27]מאזן בוחן EUROPE'!AD467</f>
        <v>0</v>
      </c>
      <c r="AE477" s="141">
        <f>'[28]מאזן בוחן EUROPE'!AE476</f>
        <v>0</v>
      </c>
      <c r="AF477" s="141">
        <f>'[29]מאזן בוחן EUROPE'!AF473</f>
        <v>461.26</v>
      </c>
      <c r="AG477" s="141">
        <f>'[30]מאזן בוחן EUROPE'!AG477</f>
        <v>0</v>
      </c>
      <c r="AH477" s="141">
        <f>'[31]מאזן בוחן EUROPE'!AH481</f>
        <v>0</v>
      </c>
      <c r="AI477" s="141">
        <v>0</v>
      </c>
      <c r="AJ477" s="141">
        <v>456.19999999999993</v>
      </c>
      <c r="AK477" s="141">
        <v>0</v>
      </c>
      <c r="AL477" s="141">
        <v>874.90999999999985</v>
      </c>
      <c r="AM477" s="141">
        <v>647.30000000000018</v>
      </c>
      <c r="AN477" s="141">
        <f>$K477-SUM($AC477:AM477)</f>
        <v>0</v>
      </c>
      <c r="AO477" s="141"/>
      <c r="AP477" s="141"/>
      <c r="AQ477" s="141"/>
      <c r="AR477" s="141"/>
      <c r="AS477" s="141"/>
      <c r="AT477" s="141"/>
      <c r="AU477" s="141"/>
      <c r="AV477" s="141"/>
      <c r="AW477" s="141"/>
      <c r="AX477" s="141"/>
      <c r="AY477" s="141"/>
      <c r="BE477" s="63"/>
    </row>
    <row r="478" spans="1:57">
      <c r="A478" s="52"/>
      <c r="B478" s="3659" t="s">
        <v>563</v>
      </c>
      <c r="C478" s="585">
        <v>7120041</v>
      </c>
      <c r="D478" s="45" t="s">
        <v>4002</v>
      </c>
      <c r="E478" s="439">
        <f>IFERROR(VLOOKUP(C478,'פ.נ. EUROPE'!$D$164:$F$1353,3,0),0)</f>
        <v>2487.6999999999998</v>
      </c>
      <c r="F478" s="518">
        <f>SUMIF('פ.נ. EUROPE'!C:C,C:C,'פ.נ. EUROPE'!E:E)</f>
        <v>0</v>
      </c>
      <c r="G478" s="517"/>
      <c r="H478" s="518"/>
      <c r="I478" s="517"/>
      <c r="J478" s="170">
        <f>SUM(E478:I478)</f>
        <v>2487.6999999999998</v>
      </c>
      <c r="K478" s="98">
        <f>M478+SUMIF('פ.נ. EUROPE'!C:C,'מאזן בוחן EUROPE'!C478,'פ.נ. EUROPE'!F:F)</f>
        <v>3386.86</v>
      </c>
      <c r="L478" s="51"/>
      <c r="M478" s="1213">
        <f>IFERROR(VLOOKUP(C478,'פ.נ. EUROPE'!$D$164:$H$424,4,0),"")</f>
        <v>3386.86</v>
      </c>
      <c r="N478" s="1104">
        <f>IF(K478=0,"-",J478/K478)</f>
        <v>0.73451515563087921</v>
      </c>
      <c r="O478" s="434"/>
      <c r="P478" s="1133"/>
      <c r="W478" s="141"/>
      <c r="X478" s="141"/>
      <c r="Y478" s="141"/>
      <c r="Z478" s="141"/>
      <c r="AA478" s="141"/>
      <c r="AB478" s="141"/>
      <c r="AC478" s="141"/>
      <c r="AD478" s="141"/>
      <c r="AE478" s="141"/>
      <c r="AF478" s="141"/>
      <c r="AG478" s="141"/>
      <c r="AH478" s="141"/>
      <c r="AI478" s="141"/>
      <c r="AJ478" s="141">
        <v>454.94</v>
      </c>
      <c r="AK478" s="141">
        <v>453.82</v>
      </c>
      <c r="AL478" s="141">
        <v>996.84999999999991</v>
      </c>
      <c r="AM478" s="141">
        <v>835.08000000000015</v>
      </c>
      <c r="AN478" s="141">
        <f>$K478-SUM($AC478:AM478)</f>
        <v>646.17000000000007</v>
      </c>
      <c r="AO478" s="141"/>
      <c r="AP478" s="141"/>
      <c r="AQ478" s="141"/>
      <c r="AR478" s="141"/>
      <c r="AS478" s="141"/>
      <c r="AT478" s="141"/>
      <c r="AU478" s="141"/>
      <c r="AV478" s="141"/>
      <c r="AW478" s="141"/>
      <c r="AX478" s="141"/>
      <c r="AY478" s="141"/>
      <c r="BE478" s="63"/>
    </row>
    <row r="479" spans="1:57">
      <c r="A479" s="52"/>
      <c r="B479" s="3659" t="s">
        <v>563</v>
      </c>
      <c r="C479" s="585">
        <v>7120034</v>
      </c>
      <c r="D479" s="45" t="s">
        <v>3903</v>
      </c>
      <c r="E479" s="439">
        <f>IFERROR(VLOOKUP(C479,'פ.נ. EUROPE'!$D$164:$F$1353,3,0),0)</f>
        <v>2680.03</v>
      </c>
      <c r="F479" s="518">
        <f>SUMIF('פ.נ. EUROPE'!C:C,C:C,'פ.נ. EUROPE'!E:E)</f>
        <v>0</v>
      </c>
      <c r="G479" s="517"/>
      <c r="H479" s="518"/>
      <c r="I479" s="517"/>
      <c r="J479" s="170">
        <f>SUM(E479:I479)</f>
        <v>2680.03</v>
      </c>
      <c r="K479" s="98">
        <f>M479+SUMIF('פ.נ. EUROPE'!C:C,'מאזן בוחן EUROPE'!C479,'פ.נ. EUROPE'!F:F)</f>
        <v>3689.95</v>
      </c>
      <c r="L479" s="51"/>
      <c r="M479" s="1213">
        <f>IFERROR(VLOOKUP(C479,'פ.נ. EUROPE'!$D$164:$H$424,4,0),"")</f>
        <v>3689.95</v>
      </c>
      <c r="N479" s="1104">
        <f>IF(K479=0,"-",J479/K479)</f>
        <v>0.72630523448827233</v>
      </c>
      <c r="O479" s="434"/>
      <c r="P479" s="1133"/>
      <c r="W479" s="141"/>
      <c r="X479" s="141"/>
      <c r="Y479" s="141"/>
      <c r="Z479" s="141"/>
      <c r="AA479" s="141"/>
      <c r="AB479" s="141"/>
      <c r="AC479" s="141"/>
      <c r="AD479" s="141"/>
      <c r="AE479" s="141"/>
      <c r="AF479" s="141"/>
      <c r="AG479" s="141"/>
      <c r="AH479" s="141"/>
      <c r="AI479" s="141"/>
      <c r="AJ479" s="141">
        <v>1765.75</v>
      </c>
      <c r="AK479" s="141">
        <v>720.59999999999991</v>
      </c>
      <c r="AL479" s="141">
        <v>1203.5999999999999</v>
      </c>
      <c r="AM479" s="141">
        <v>0</v>
      </c>
      <c r="AN479" s="141">
        <f>$K479-SUM($AC479:AM479)</f>
        <v>0</v>
      </c>
      <c r="AO479" s="141"/>
      <c r="AP479" s="141"/>
      <c r="AQ479" s="141"/>
      <c r="AR479" s="141"/>
      <c r="AS479" s="141"/>
      <c r="AT479" s="141"/>
      <c r="AU479" s="141"/>
      <c r="AV479" s="141"/>
      <c r="AW479" s="141"/>
      <c r="AX479" s="141"/>
      <c r="AY479" s="141"/>
      <c r="BE479" s="63"/>
    </row>
    <row r="480" spans="1:57">
      <c r="A480" s="52"/>
      <c r="B480" s="3659"/>
      <c r="C480" s="585"/>
      <c r="D480" s="45"/>
      <c r="F480" s="518"/>
      <c r="G480" s="517"/>
      <c r="H480" s="518"/>
      <c r="I480" s="517"/>
      <c r="J480" s="170"/>
      <c r="K480" s="98"/>
      <c r="L480" s="51"/>
      <c r="M480" s="98"/>
      <c r="N480" s="1104"/>
      <c r="O480" s="434"/>
      <c r="P480" s="1133"/>
      <c r="Q480" s="137">
        <v>0</v>
      </c>
      <c r="R480" s="137">
        <v>0</v>
      </c>
      <c r="S480" s="137">
        <v>0</v>
      </c>
      <c r="T480" s="137">
        <v>0</v>
      </c>
      <c r="U480" s="137">
        <v>0</v>
      </c>
      <c r="V480" s="137">
        <v>0</v>
      </c>
      <c r="W480" s="141">
        <v>0</v>
      </c>
      <c r="X480" s="141">
        <v>0</v>
      </c>
      <c r="Y480" s="141">
        <v>0</v>
      </c>
      <c r="Z480" s="141">
        <v>0</v>
      </c>
      <c r="AA480" s="141">
        <v>0</v>
      </c>
      <c r="AB480" s="141">
        <v>0</v>
      </c>
      <c r="AC480" s="141">
        <f>'[26]מאזן בוחן EUROPE'!AC470</f>
        <v>0</v>
      </c>
      <c r="AD480" s="141">
        <f>'[27]מאזן בוחן EUROPE'!AD468</f>
        <v>0</v>
      </c>
      <c r="AE480" s="141">
        <f>'[28]מאזן בוחן EUROPE'!AE477</f>
        <v>0</v>
      </c>
      <c r="AF480" s="141">
        <f>'[29]מאזן בוחן EUROPE'!AF474</f>
        <v>0</v>
      </c>
      <c r="AG480" s="141">
        <f>'[30]מאזן בוחן EUROPE'!AG478</f>
        <v>0</v>
      </c>
      <c r="AH480" s="141">
        <f>'[31]מאזן בוחן EUROPE'!AH482</f>
        <v>0</v>
      </c>
      <c r="AI480" s="141">
        <v>0</v>
      </c>
      <c r="AJ480" s="141">
        <v>0</v>
      </c>
      <c r="AK480" s="141">
        <v>0</v>
      </c>
      <c r="AL480" s="141">
        <v>0</v>
      </c>
      <c r="AM480" s="141">
        <v>0</v>
      </c>
      <c r="AN480" s="141">
        <f>$K480-SUM($AC480:AM480)</f>
        <v>0</v>
      </c>
      <c r="AO480" s="141"/>
      <c r="AP480" s="141"/>
      <c r="AQ480" s="141"/>
      <c r="AR480" s="141"/>
      <c r="AS480" s="141"/>
      <c r="AT480" s="141"/>
      <c r="AU480" s="141"/>
      <c r="AV480" s="141"/>
      <c r="AW480" s="141"/>
      <c r="AX480" s="141"/>
      <c r="AY480" s="141"/>
      <c r="BE480" s="63"/>
    </row>
    <row r="481" spans="1:57">
      <c r="A481" s="52"/>
      <c r="B481" s="3744" t="s">
        <v>1831</v>
      </c>
      <c r="C481" s="585">
        <v>7159999</v>
      </c>
      <c r="D481" s="48" t="s">
        <v>1832</v>
      </c>
      <c r="E481" s="1213">
        <f>IFERROR(VLOOKUP(C481,'פ.נ. EUROPE'!$D$164:$F$1353,3,0),0)</f>
        <v>0</v>
      </c>
      <c r="F481" s="518">
        <f>SUMIF('פ.נ. EUROPE'!C:C,C:C,'פ.נ. EUROPE'!E:E)</f>
        <v>0</v>
      </c>
      <c r="G481" s="517"/>
      <c r="H481" s="518"/>
      <c r="I481" s="517"/>
      <c r="J481" s="521">
        <f>SUM(E481:I481)</f>
        <v>0</v>
      </c>
      <c r="K481" s="1213">
        <f>M481+SUMIF('פ.נ. EUROPE'!C:C,'מאזן בוחן EUROPE'!C481,'פ.נ. EUROPE'!F:F)</f>
        <v>0</v>
      </c>
      <c r="L481" s="518"/>
      <c r="M481" s="1213">
        <f>IFERROR(VLOOKUP(C481,'פ.נ. EUROPE'!$D$164:$H$1385,4,0),0)</f>
        <v>0</v>
      </c>
      <c r="N481" s="1104" t="str">
        <f t="shared" si="114"/>
        <v>-</v>
      </c>
      <c r="O481" s="434"/>
      <c r="P481" s="1133"/>
      <c r="Q481" s="137">
        <v>2480.5733333333333</v>
      </c>
      <c r="R481" s="137">
        <v>2539.7599999999998</v>
      </c>
      <c r="S481" s="137">
        <v>2861.4997101449285</v>
      </c>
      <c r="T481" s="137">
        <v>2586.7930434782606</v>
      </c>
      <c r="U481" s="137">
        <v>2486.1843478260839</v>
      </c>
      <c r="V481" s="137">
        <v>1758.1478260869567</v>
      </c>
      <c r="W481" s="141">
        <v>2489.2139130434812</v>
      </c>
      <c r="X481" s="141">
        <v>2465.7947826086934</v>
      </c>
      <c r="Y481" s="141">
        <v>2636.3630434782631</v>
      </c>
      <c r="Z481" s="141">
        <v>2703.203478260868</v>
      </c>
      <c r="AA481" s="141">
        <v>2615.0956521739135</v>
      </c>
      <c r="AB481" s="141">
        <v>0</v>
      </c>
      <c r="AC481" s="141">
        <f>'[26]מאזן בוחן EUROPE'!AC471</f>
        <v>0</v>
      </c>
      <c r="AD481" s="141">
        <f>'[27]מאזן בוחן EUROPE'!AD469</f>
        <v>0</v>
      </c>
      <c r="AE481" s="141">
        <f>'[28]מאזן בוחן EUROPE'!AE478</f>
        <v>0</v>
      </c>
      <c r="AF481" s="141">
        <f>'[29]מאזן בוחן EUROPE'!AF475</f>
        <v>0</v>
      </c>
      <c r="AG481" s="141">
        <f>'[30]מאזן בוחן EUROPE'!AG479</f>
        <v>0</v>
      </c>
      <c r="AH481" s="141">
        <f>'[31]מאזן בוחן EUROPE'!AH483</f>
        <v>0</v>
      </c>
      <c r="AI481" s="141">
        <v>0</v>
      </c>
      <c r="AJ481" s="141">
        <v>0</v>
      </c>
      <c r="AK481" s="141">
        <v>0</v>
      </c>
      <c r="AL481" s="141">
        <v>0</v>
      </c>
      <c r="AM481" s="141">
        <v>0</v>
      </c>
      <c r="AN481" s="141">
        <f>$K481-SUM($AC481:AM481)</f>
        <v>0</v>
      </c>
      <c r="AO481" s="141"/>
      <c r="AP481" s="141"/>
      <c r="AQ481" s="141"/>
      <c r="AR481" s="141"/>
      <c r="AS481" s="141"/>
      <c r="AT481" s="141"/>
      <c r="AU481" s="141"/>
      <c r="AV481" s="141"/>
      <c r="AW481" s="141"/>
      <c r="AX481" s="141"/>
      <c r="AY481" s="141"/>
      <c r="BE481" s="63"/>
    </row>
    <row r="482" spans="1:57">
      <c r="A482" s="52"/>
      <c r="B482" s="3745" t="s">
        <v>758</v>
      </c>
      <c r="C482" s="585">
        <v>7129999</v>
      </c>
      <c r="D482" s="48" t="s">
        <v>1833</v>
      </c>
      <c r="E482" s="1213">
        <f>IFERROR(VLOOKUP(C482,'פ.נ. EUROPE'!$D$164:$F$1353,3,0),0)</f>
        <v>0</v>
      </c>
      <c r="F482" s="518">
        <f>SUMIF('פ.נ. EUROPE'!C:C,C:C,'פ.נ. EUROPE'!E:E)</f>
        <v>0</v>
      </c>
      <c r="G482" s="517"/>
      <c r="H482" s="518"/>
      <c r="I482" s="517"/>
      <c r="J482" s="521">
        <f>SUM(E482:I482)</f>
        <v>0</v>
      </c>
      <c r="K482" s="1213">
        <f>M482+SUMIF('פ.נ. EUROPE'!C:C,'מאזן בוחן EUROPE'!C482,'פ.נ. EUROPE'!F:F)</f>
        <v>0</v>
      </c>
      <c r="L482" s="518"/>
      <c r="M482" s="1213">
        <f>IFERROR(VLOOKUP(C482,'פ.נ. EUROPE'!$D$164:$H$1385,4,0),0)</f>
        <v>0</v>
      </c>
      <c r="N482" s="1104" t="str">
        <f t="shared" si="114"/>
        <v>-</v>
      </c>
      <c r="O482" s="434"/>
      <c r="P482" s="1133"/>
      <c r="Q482" s="137">
        <v>1653.7155555555555</v>
      </c>
      <c r="R482" s="137">
        <v>1693.1733333333332</v>
      </c>
      <c r="S482" s="137">
        <v>5520.1732850241551</v>
      </c>
      <c r="T482" s="137">
        <v>2910.1421739130474</v>
      </c>
      <c r="U482" s="137">
        <v>2796.7073913043423</v>
      </c>
      <c r="V482" s="137">
        <v>1979.0413043478293</v>
      </c>
      <c r="W482" s="141">
        <v>2800.3656521739113</v>
      </c>
      <c r="X482" s="141">
        <v>2774.0191304347854</v>
      </c>
      <c r="Y482" s="141">
        <v>2965.9021739130403</v>
      </c>
      <c r="Z482" s="141">
        <v>3041.1039130434765</v>
      </c>
      <c r="AA482" s="141">
        <v>2941.9826086956527</v>
      </c>
      <c r="AB482" s="141">
        <v>0</v>
      </c>
      <c r="AC482" s="141">
        <f>'[26]מאזן בוחן EUROPE'!AC472</f>
        <v>0</v>
      </c>
      <c r="AD482" s="141">
        <f>'[27]מאזן בוחן EUROPE'!AD470</f>
        <v>0</v>
      </c>
      <c r="AE482" s="141">
        <f>'[28]מאזן בוחן EUROPE'!AE479</f>
        <v>0</v>
      </c>
      <c r="AF482" s="141">
        <f>'[29]מאזן בוחן EUROPE'!AF476</f>
        <v>0</v>
      </c>
      <c r="AG482" s="141">
        <f>'[30]מאזן בוחן EUROPE'!AG480</f>
        <v>0</v>
      </c>
      <c r="AH482" s="141">
        <f>'[31]מאזן בוחן EUROPE'!AH484</f>
        <v>0</v>
      </c>
      <c r="AI482" s="141">
        <v>0</v>
      </c>
      <c r="AJ482" s="141">
        <v>0</v>
      </c>
      <c r="AK482" s="141">
        <v>0</v>
      </c>
      <c r="AL482" s="141">
        <v>0</v>
      </c>
      <c r="AM482" s="141">
        <v>0</v>
      </c>
      <c r="AN482" s="141">
        <f>$K482-SUM($AC482:AM482)</f>
        <v>0</v>
      </c>
      <c r="AO482" s="141"/>
      <c r="AP482" s="141"/>
      <c r="AQ482" s="141"/>
      <c r="AR482" s="141"/>
      <c r="AS482" s="141"/>
      <c r="AT482" s="141"/>
      <c r="AU482" s="141"/>
      <c r="AV482" s="141"/>
      <c r="AW482" s="141"/>
      <c r="AX482" s="141"/>
      <c r="AY482" s="141"/>
      <c r="BE482" s="63"/>
    </row>
    <row r="483" spans="1:57">
      <c r="A483" s="52"/>
      <c r="B483" s="3659"/>
      <c r="C483" s="1160"/>
      <c r="D483" s="48"/>
      <c r="E483" s="3314"/>
      <c r="F483" s="518"/>
      <c r="G483" s="517"/>
      <c r="H483" s="1321"/>
      <c r="I483" s="517"/>
      <c r="J483" s="168"/>
      <c r="K483" s="97"/>
      <c r="L483" s="51"/>
      <c r="M483" s="97"/>
      <c r="N483" s="1104"/>
      <c r="O483" s="434"/>
      <c r="Q483" s="137">
        <v>0</v>
      </c>
      <c r="R483" s="137">
        <v>0</v>
      </c>
      <c r="S483" s="137">
        <v>0</v>
      </c>
      <c r="T483" s="137">
        <v>0</v>
      </c>
      <c r="U483" s="137">
        <v>0</v>
      </c>
      <c r="V483" s="137">
        <v>0</v>
      </c>
      <c r="W483" s="141">
        <v>0</v>
      </c>
      <c r="X483" s="141">
        <v>0</v>
      </c>
      <c r="Y483" s="141">
        <v>0</v>
      </c>
      <c r="Z483" s="141">
        <v>0</v>
      </c>
      <c r="AA483" s="141">
        <v>0</v>
      </c>
      <c r="AB483" s="141">
        <v>0</v>
      </c>
      <c r="AC483" s="141">
        <f>'[26]מאזן בוחן EUROPE'!AC473</f>
        <v>0</v>
      </c>
      <c r="AD483" s="141">
        <f>'[27]מאזן בוחן EUROPE'!AD471</f>
        <v>0</v>
      </c>
      <c r="AE483" s="141">
        <f>'[28]מאזן בוחן EUROPE'!AE480</f>
        <v>0</v>
      </c>
      <c r="AF483" s="141">
        <f>'[29]מאזן בוחן EUROPE'!AF477</f>
        <v>0</v>
      </c>
      <c r="AG483" s="141">
        <f>'[30]מאזן בוחן EUROPE'!AG481</f>
        <v>0</v>
      </c>
      <c r="AH483" s="141">
        <f>'[31]מאזן בוחן EUROPE'!AH485</f>
        <v>0</v>
      </c>
      <c r="AI483" s="141">
        <v>0</v>
      </c>
      <c r="AJ483" s="141">
        <v>0</v>
      </c>
      <c r="AK483" s="141">
        <v>0</v>
      </c>
      <c r="AL483" s="141">
        <v>0</v>
      </c>
      <c r="AM483" s="141">
        <v>0</v>
      </c>
      <c r="AN483" s="141">
        <f>$K483-SUM($AC483:AM483)</f>
        <v>0</v>
      </c>
      <c r="AO483" s="141"/>
      <c r="AP483" s="141"/>
      <c r="AQ483" s="141"/>
      <c r="AR483" s="141"/>
      <c r="AS483" s="141"/>
      <c r="AT483" s="141"/>
      <c r="AU483" s="141"/>
      <c r="AV483" s="141"/>
      <c r="AW483" s="141"/>
      <c r="AX483" s="141"/>
      <c r="AY483" s="141"/>
      <c r="BE483" s="63"/>
    </row>
    <row r="484" spans="1:57">
      <c r="A484" s="52"/>
      <c r="B484" s="3668"/>
      <c r="D484" s="62"/>
      <c r="E484" s="1351">
        <f t="shared" ref="E484:K484" si="115">SUM(E426:E483)</f>
        <v>2996295.1199999996</v>
      </c>
      <c r="F484" s="1206">
        <f t="shared" si="115"/>
        <v>0</v>
      </c>
      <c r="G484" s="1206">
        <f t="shared" si="115"/>
        <v>0</v>
      </c>
      <c r="H484" s="1206">
        <f t="shared" si="115"/>
        <v>0</v>
      </c>
      <c r="I484" s="1206">
        <f t="shared" si="115"/>
        <v>0</v>
      </c>
      <c r="J484" s="1351">
        <f t="shared" si="115"/>
        <v>2996295.1199999996</v>
      </c>
      <c r="K484" s="1351">
        <f t="shared" si="115"/>
        <v>4086857.2500000005</v>
      </c>
      <c r="L484" s="336"/>
      <c r="M484" s="1351">
        <f>SUM(M426:M483)</f>
        <v>4086857.2500000005</v>
      </c>
      <c r="N484" s="1104"/>
      <c r="O484" s="434"/>
      <c r="Q484" s="137">
        <v>285290.26888888882</v>
      </c>
      <c r="R484" s="137">
        <v>203777.14333333325</v>
      </c>
      <c r="S484" s="137">
        <v>346033.39160252764</v>
      </c>
      <c r="T484" s="137">
        <v>205492.11546770151</v>
      </c>
      <c r="U484" s="137">
        <v>203640.06288146158</v>
      </c>
      <c r="V484" s="137">
        <v>325555.96481197863</v>
      </c>
      <c r="W484" s="141">
        <v>167227.73388367385</v>
      </c>
      <c r="X484" s="141">
        <v>225546.54391304322</v>
      </c>
      <c r="Y484" s="141">
        <v>429420.38521739194</v>
      </c>
      <c r="Z484" s="141">
        <v>211707.06739130383</v>
      </c>
      <c r="AA484" s="141">
        <v>202932.32826086925</v>
      </c>
      <c r="AB484" s="141">
        <v>0</v>
      </c>
      <c r="AC484" s="141">
        <f>'[26]מאזן בוחן EUROPE'!AC474</f>
        <v>185446.11999999997</v>
      </c>
      <c r="AD484" s="141">
        <f>'[27]מאזן בוחן EUROPE'!AD472</f>
        <v>158153.47999999995</v>
      </c>
      <c r="AE484" s="141">
        <f>'[28]מאזן בוחן EUROPE'!AE481</f>
        <v>318840.06999999989</v>
      </c>
      <c r="AF484" s="141">
        <f>'[29]מאזן בוחן EUROPE'!AF478</f>
        <v>183365.36</v>
      </c>
      <c r="AG484" s="141">
        <f>'[30]מאזן בוחן EUROPE'!AG482</f>
        <v>200317.47000000009</v>
      </c>
      <c r="AH484" s="141">
        <f>'[31]מאזן בוחן EUROPE'!AH486</f>
        <v>308082.35999999952</v>
      </c>
      <c r="AI484" s="141">
        <v>165749.80000000028</v>
      </c>
      <c r="AJ484" s="141">
        <v>365552.15000000037</v>
      </c>
      <c r="AK484" s="141">
        <v>699785.8200000003</v>
      </c>
      <c r="AL484" s="141">
        <v>275559.41000000108</v>
      </c>
      <c r="AM484" s="141">
        <v>282074.37999999896</v>
      </c>
      <c r="AN484" s="141">
        <f>$K484-SUM($AC484:AM484)</f>
        <v>943930.83000000007</v>
      </c>
      <c r="AO484" s="141"/>
      <c r="AP484" s="141"/>
      <c r="AQ484" s="141"/>
      <c r="AR484" s="141"/>
      <c r="AS484" s="141"/>
      <c r="AT484" s="141"/>
      <c r="AU484" s="141"/>
      <c r="AV484" s="141"/>
      <c r="AW484" s="141"/>
      <c r="AX484" s="141"/>
      <c r="AY484" s="141"/>
      <c r="BE484" s="63"/>
    </row>
    <row r="485" spans="1:57">
      <c r="A485" s="52"/>
      <c r="B485" s="3668"/>
      <c r="D485" s="52"/>
      <c r="E485" s="1135"/>
      <c r="J485" s="440"/>
      <c r="K485" s="446"/>
      <c r="L485" s="51"/>
      <c r="M485" s="446"/>
      <c r="N485" s="1104"/>
      <c r="O485" s="434"/>
      <c r="Q485" s="137">
        <v>0</v>
      </c>
      <c r="R485" s="137">
        <v>0</v>
      </c>
      <c r="S485" s="137">
        <v>0</v>
      </c>
      <c r="T485" s="137">
        <v>0</v>
      </c>
      <c r="U485" s="137">
        <v>0</v>
      </c>
      <c r="V485" s="137">
        <v>0</v>
      </c>
      <c r="W485" s="141">
        <v>0</v>
      </c>
      <c r="X485" s="141">
        <v>0</v>
      </c>
      <c r="Y485" s="141">
        <v>0</v>
      </c>
      <c r="Z485" s="141">
        <v>0</v>
      </c>
      <c r="AA485" s="141">
        <v>0</v>
      </c>
      <c r="AB485" s="141">
        <v>0</v>
      </c>
      <c r="AC485" s="141">
        <f>'[26]מאזן בוחן EUROPE'!AC475</f>
        <v>0</v>
      </c>
      <c r="AD485" s="141">
        <f>'[27]מאזן בוחן EUROPE'!AD473</f>
        <v>0</v>
      </c>
      <c r="AE485" s="141">
        <f>'[28]מאזן בוחן EUROPE'!AE482</f>
        <v>0</v>
      </c>
      <c r="AF485" s="141">
        <f>'[29]מאזן בוחן EUROPE'!AF479</f>
        <v>0</v>
      </c>
      <c r="AG485" s="141">
        <f>'[30]מאזן בוחן EUROPE'!AG483</f>
        <v>0</v>
      </c>
      <c r="AH485" s="141">
        <f>'[31]מאזן בוחן EUROPE'!AH487</f>
        <v>0</v>
      </c>
      <c r="AI485" s="141">
        <v>0</v>
      </c>
      <c r="AJ485" s="141">
        <v>0</v>
      </c>
      <c r="AK485" s="141">
        <v>0</v>
      </c>
      <c r="AL485" s="141">
        <v>0</v>
      </c>
      <c r="AM485" s="141">
        <v>0</v>
      </c>
      <c r="AN485" s="141">
        <f>$K485-SUM($AC485:AM485)</f>
        <v>0</v>
      </c>
      <c r="AO485" s="141"/>
      <c r="AP485" s="141"/>
      <c r="AQ485" s="141"/>
      <c r="AR485" s="141"/>
      <c r="AS485" s="141"/>
      <c r="AT485" s="141"/>
      <c r="AU485" s="141"/>
      <c r="AV485" s="141"/>
      <c r="AW485" s="141"/>
      <c r="AX485" s="141"/>
      <c r="AY485" s="141"/>
      <c r="BE485" s="63"/>
    </row>
    <row r="486" spans="1:57" ht="13.5" thickBot="1">
      <c r="A486" s="52"/>
      <c r="B486" s="3668"/>
      <c r="D486" s="71"/>
      <c r="E486" s="1129"/>
      <c r="F486" s="1130"/>
      <c r="G486" s="1131"/>
      <c r="H486" s="1130"/>
      <c r="I486" s="1131"/>
      <c r="J486" s="1130"/>
      <c r="K486" s="1131"/>
      <c r="L486" s="51"/>
      <c r="M486" s="1131"/>
      <c r="N486" s="1104"/>
      <c r="O486" s="434"/>
      <c r="Q486" s="137">
        <v>0</v>
      </c>
      <c r="R486" s="137">
        <v>0</v>
      </c>
      <c r="S486" s="137">
        <v>0</v>
      </c>
      <c r="T486" s="137">
        <v>0</v>
      </c>
      <c r="U486" s="137">
        <v>0</v>
      </c>
      <c r="V486" s="137">
        <v>0</v>
      </c>
      <c r="W486" s="141">
        <v>0</v>
      </c>
      <c r="X486" s="141">
        <v>0</v>
      </c>
      <c r="Y486" s="141">
        <v>0</v>
      </c>
      <c r="Z486" s="141">
        <v>0</v>
      </c>
      <c r="AA486" s="141">
        <v>0</v>
      </c>
      <c r="AB486" s="141">
        <v>91437.000000000116</v>
      </c>
      <c r="AC486" s="141">
        <f>'[26]מאזן בוחן EUROPE'!AC476</f>
        <v>0</v>
      </c>
      <c r="AD486" s="141">
        <f>'[27]מאזן בוחן EUROPE'!AD474</f>
        <v>0</v>
      </c>
      <c r="AE486" s="141">
        <f>'[28]מאזן בוחן EUROPE'!AE483</f>
        <v>0</v>
      </c>
      <c r="AF486" s="141">
        <f>'[29]מאזן בוחן EUROPE'!AF480</f>
        <v>0</v>
      </c>
      <c r="AG486" s="141">
        <f>'[30]מאזן בוחן EUROPE'!AG484</f>
        <v>0</v>
      </c>
      <c r="AH486" s="141">
        <f>'[31]מאזן בוחן EUROPE'!AH488</f>
        <v>0</v>
      </c>
      <c r="AI486" s="141">
        <v>0</v>
      </c>
      <c r="AJ486" s="141">
        <v>0</v>
      </c>
      <c r="AK486" s="141">
        <v>0</v>
      </c>
      <c r="AL486" s="141">
        <v>0</v>
      </c>
      <c r="AM486" s="141">
        <v>0</v>
      </c>
      <c r="AN486" s="141">
        <f>$K486-SUM($AC486:AM486)</f>
        <v>0</v>
      </c>
      <c r="AO486" s="141"/>
      <c r="AP486" s="141"/>
      <c r="AQ486" s="141"/>
      <c r="AR486" s="141"/>
      <c r="AS486" s="141"/>
      <c r="AT486" s="141"/>
      <c r="AU486" s="141"/>
      <c r="AV486" s="141"/>
      <c r="AW486" s="141"/>
      <c r="AX486" s="141"/>
      <c r="AY486" s="141"/>
      <c r="BE486" s="63"/>
    </row>
    <row r="487" spans="1:57">
      <c r="B487" s="3668"/>
      <c r="D487" s="72"/>
      <c r="E487" s="485"/>
      <c r="F487" s="163"/>
      <c r="G487" s="84"/>
      <c r="H487" s="163"/>
      <c r="I487" s="164"/>
      <c r="J487" s="163"/>
      <c r="K487" s="164"/>
      <c r="L487" s="51"/>
      <c r="M487" s="164"/>
      <c r="N487" s="1104"/>
      <c r="O487" s="434"/>
      <c r="P487" s="1133"/>
      <c r="Q487" s="137">
        <v>0</v>
      </c>
      <c r="R487" s="137">
        <v>0</v>
      </c>
      <c r="S487" s="137">
        <v>0</v>
      </c>
      <c r="T487" s="137">
        <v>0</v>
      </c>
      <c r="U487" s="137">
        <v>0</v>
      </c>
      <c r="V487" s="137">
        <v>0</v>
      </c>
      <c r="W487" s="141">
        <v>0</v>
      </c>
      <c r="X487" s="141">
        <v>0</v>
      </c>
      <c r="Y487" s="141">
        <v>0</v>
      </c>
      <c r="Z487" s="141">
        <v>0</v>
      </c>
      <c r="AA487" s="141">
        <v>0</v>
      </c>
      <c r="AB487" s="141">
        <v>3107</v>
      </c>
      <c r="AC487" s="141">
        <f>'[26]מאזן בוחן EUROPE'!AC477</f>
        <v>0</v>
      </c>
      <c r="AD487" s="141">
        <f>'[27]מאזן בוחן EUROPE'!AD475</f>
        <v>0</v>
      </c>
      <c r="AE487" s="141">
        <f>'[28]מאזן בוחן EUROPE'!AE484</f>
        <v>0</v>
      </c>
      <c r="AF487" s="141">
        <f>'[29]מאזן בוחן EUROPE'!AF481</f>
        <v>0</v>
      </c>
      <c r="AG487" s="141">
        <f>'[30]מאזן בוחן EUROPE'!AG485</f>
        <v>0</v>
      </c>
      <c r="AH487" s="141">
        <f>'[31]מאזן בוחן EUROPE'!AH489</f>
        <v>0</v>
      </c>
      <c r="AI487" s="141">
        <v>0</v>
      </c>
      <c r="AJ487" s="141">
        <v>0</v>
      </c>
      <c r="AK487" s="141">
        <v>0</v>
      </c>
      <c r="AL487" s="141">
        <v>0</v>
      </c>
      <c r="AM487" s="141">
        <v>0</v>
      </c>
      <c r="AN487" s="141">
        <f>$K487-SUM($AC487:AM487)</f>
        <v>0</v>
      </c>
      <c r="AO487" s="141"/>
      <c r="AP487" s="141"/>
      <c r="AQ487" s="141"/>
      <c r="AR487" s="141"/>
      <c r="AS487" s="141"/>
      <c r="AT487" s="141"/>
      <c r="AU487" s="141"/>
      <c r="AV487" s="141"/>
      <c r="AW487" s="141"/>
      <c r="AX487" s="141"/>
      <c r="AY487" s="141"/>
      <c r="BE487" s="63"/>
    </row>
    <row r="488" spans="1:57">
      <c r="B488" s="3668"/>
      <c r="D488" s="62" t="s">
        <v>612</v>
      </c>
      <c r="E488" s="1351">
        <f t="shared" ref="E488:K488" si="116">E419+E423+E484</f>
        <v>3223254.3999999994</v>
      </c>
      <c r="F488" s="1206">
        <f t="shared" si="116"/>
        <v>0</v>
      </c>
      <c r="G488" s="1206">
        <f t="shared" si="116"/>
        <v>0</v>
      </c>
      <c r="H488" s="1206">
        <f t="shared" si="116"/>
        <v>0</v>
      </c>
      <c r="I488" s="1206">
        <f t="shared" si="116"/>
        <v>0</v>
      </c>
      <c r="J488" s="1351">
        <f t="shared" si="116"/>
        <v>3223254.3999999994</v>
      </c>
      <c r="K488" s="1351">
        <f t="shared" si="116"/>
        <v>4397191.4700000007</v>
      </c>
      <c r="L488" s="336"/>
      <c r="M488" s="1351">
        <f>M419+M423+M484</f>
        <v>4397191.4700000007</v>
      </c>
      <c r="N488" s="1104"/>
      <c r="O488" s="434"/>
      <c r="P488" s="1133"/>
      <c r="Q488" s="137">
        <v>327170.04888888885</v>
      </c>
      <c r="R488" s="137">
        <v>254717.95333333319</v>
      </c>
      <c r="S488" s="137">
        <v>370126.26160252775</v>
      </c>
      <c r="T488" s="137">
        <v>210218.52546770166</v>
      </c>
      <c r="U488" s="137">
        <v>217419.13288146141</v>
      </c>
      <c r="V488" s="137">
        <v>341606.40481197857</v>
      </c>
      <c r="W488" s="141">
        <v>172906.69388367404</v>
      </c>
      <c r="X488" s="141">
        <v>231323.61391304323</v>
      </c>
      <c r="Y488" s="141">
        <v>454190.9052173922</v>
      </c>
      <c r="Z488" s="141">
        <v>281121.17739130324</v>
      </c>
      <c r="AA488" s="141">
        <v>208614.0182608692</v>
      </c>
      <c r="AB488" s="141">
        <v>32062.363919129079</v>
      </c>
      <c r="AC488" s="141">
        <f>'[26]מאזן בוחן EUROPE'!AC478</f>
        <v>192845.04999999996</v>
      </c>
      <c r="AD488" s="141">
        <f>'[27]מאזן בוחן EUROPE'!AD476</f>
        <v>178248.19999999998</v>
      </c>
      <c r="AE488" s="141">
        <f>'[28]מאזן בוחן EUROPE'!AE485</f>
        <v>345458.66999999987</v>
      </c>
      <c r="AF488" s="141">
        <f>'[29]מאזן בוחן EUROPE'!AF482</f>
        <v>195657.63</v>
      </c>
      <c r="AG488" s="141">
        <f>'[30]מאזן בוחן EUROPE'!AG486</f>
        <v>204024.96999999997</v>
      </c>
      <c r="AH488" s="141">
        <f>'[31]מאזן בוחן EUROPE'!AH490</f>
        <v>351357.25999999954</v>
      </c>
      <c r="AI488" s="141">
        <v>177493.00000000047</v>
      </c>
      <c r="AJ488" s="141">
        <v>376864.2200000002</v>
      </c>
      <c r="AK488" s="141">
        <v>733990.58000000054</v>
      </c>
      <c r="AL488" s="141">
        <v>365158.1100000008</v>
      </c>
      <c r="AM488" s="141">
        <v>293705.98999999929</v>
      </c>
      <c r="AN488" s="141">
        <f>$K488-SUM($AC488:AM488)</f>
        <v>982387.79</v>
      </c>
      <c r="AO488" s="141"/>
      <c r="AP488" s="141"/>
      <c r="AQ488" s="141"/>
      <c r="AR488" s="141"/>
      <c r="AS488" s="141"/>
      <c r="AT488" s="141"/>
      <c r="AU488" s="141"/>
      <c r="AV488" s="141"/>
      <c r="AW488" s="141"/>
      <c r="AX488" s="141"/>
      <c r="AY488" s="141"/>
      <c r="BE488" s="63"/>
    </row>
    <row r="489" spans="1:57">
      <c r="B489" s="3668"/>
      <c r="E489" s="489"/>
      <c r="F489" s="518"/>
      <c r="G489" s="517"/>
      <c r="H489" s="518"/>
      <c r="I489" s="517"/>
      <c r="K489" s="399"/>
      <c r="L489" s="51"/>
      <c r="M489" s="399"/>
      <c r="N489" s="1104"/>
      <c r="O489" s="434"/>
      <c r="P489" s="1133"/>
      <c r="Q489" s="137">
        <v>0</v>
      </c>
      <c r="R489" s="137">
        <v>0</v>
      </c>
      <c r="S489" s="137">
        <v>0</v>
      </c>
      <c r="T489" s="137">
        <v>0</v>
      </c>
      <c r="U489" s="137">
        <v>0</v>
      </c>
      <c r="V489" s="137">
        <v>0</v>
      </c>
      <c r="W489" s="141">
        <v>0</v>
      </c>
      <c r="X489" s="141">
        <v>0</v>
      </c>
      <c r="Y489" s="141">
        <v>0</v>
      </c>
      <c r="Z489" s="141">
        <v>0</v>
      </c>
      <c r="AA489" s="141">
        <v>0</v>
      </c>
      <c r="AB489" s="141">
        <v>2196.9099999999744</v>
      </c>
      <c r="AC489" s="141">
        <f>'[26]מאזן בוחן EUROPE'!AC479</f>
        <v>0</v>
      </c>
      <c r="AD489" s="141">
        <f>'[27]מאזן בוחן EUROPE'!AD477</f>
        <v>0</v>
      </c>
      <c r="AE489" s="141">
        <f>'[28]מאזן בוחן EUROPE'!AE486</f>
        <v>0</v>
      </c>
      <c r="AF489" s="141">
        <f>'[29]מאזן בוחן EUROPE'!AF483</f>
        <v>0</v>
      </c>
      <c r="AG489" s="141">
        <f>'[30]מאזן בוחן EUROPE'!AG487</f>
        <v>0</v>
      </c>
      <c r="AH489" s="141">
        <f>'[31]מאזן בוחן EUROPE'!AH491</f>
        <v>0</v>
      </c>
      <c r="AI489" s="141">
        <v>0</v>
      </c>
      <c r="AJ489" s="141">
        <v>0</v>
      </c>
      <c r="AK489" s="141">
        <v>0</v>
      </c>
      <c r="AL489" s="141">
        <v>0</v>
      </c>
      <c r="AM489" s="141">
        <v>0</v>
      </c>
      <c r="AN489" s="141">
        <f>$K489-SUM($AC489:AM489)</f>
        <v>0</v>
      </c>
      <c r="AO489" s="141"/>
      <c r="AP489" s="141"/>
      <c r="AQ489" s="141"/>
      <c r="AR489" s="141"/>
      <c r="AS489" s="141"/>
      <c r="AT489" s="141"/>
      <c r="AU489" s="141"/>
      <c r="AV489" s="141"/>
      <c r="AW489" s="141"/>
      <c r="AX489" s="141"/>
      <c r="AY489" s="141"/>
    </row>
    <row r="490" spans="1:57">
      <c r="B490" s="3668"/>
      <c r="D490" s="70" t="s">
        <v>587</v>
      </c>
      <c r="F490" s="518"/>
      <c r="G490" s="517"/>
      <c r="H490" s="518"/>
      <c r="I490" s="517"/>
      <c r="J490" s="399"/>
      <c r="K490" s="399"/>
      <c r="L490" s="51"/>
      <c r="M490" s="399"/>
      <c r="N490" s="1104"/>
      <c r="O490" s="434"/>
      <c r="P490" s="401"/>
      <c r="Q490" s="137">
        <v>0</v>
      </c>
      <c r="R490" s="137">
        <v>0</v>
      </c>
      <c r="S490" s="137">
        <v>0</v>
      </c>
      <c r="T490" s="137">
        <v>0</v>
      </c>
      <c r="U490" s="137">
        <v>0</v>
      </c>
      <c r="V490" s="137">
        <v>0</v>
      </c>
      <c r="W490" s="141">
        <v>0</v>
      </c>
      <c r="X490" s="141">
        <v>0</v>
      </c>
      <c r="Y490" s="141">
        <v>0</v>
      </c>
      <c r="Z490" s="141">
        <v>0</v>
      </c>
      <c r="AA490" s="141">
        <v>0</v>
      </c>
      <c r="AB490" s="141">
        <v>15215.700000000012</v>
      </c>
      <c r="AC490" s="141">
        <f>'[26]מאזן בוחן EUROPE'!AC480</f>
        <v>0</v>
      </c>
      <c r="AD490" s="141">
        <f>'[27]מאזן בוחן EUROPE'!AD478</f>
        <v>0</v>
      </c>
      <c r="AE490" s="141">
        <f>'[28]מאזן בוחן EUROPE'!AE487</f>
        <v>0</v>
      </c>
      <c r="AF490" s="141">
        <f>'[29]מאזן בוחן EUROPE'!AF484</f>
        <v>0</v>
      </c>
      <c r="AG490" s="141">
        <f>'[30]מאזן בוחן EUROPE'!AG488</f>
        <v>0</v>
      </c>
      <c r="AH490" s="141">
        <f>'[31]מאזן בוחן EUROPE'!AH492</f>
        <v>0</v>
      </c>
      <c r="AI490" s="141">
        <v>0</v>
      </c>
      <c r="AJ490" s="141">
        <v>0</v>
      </c>
      <c r="AK490" s="141">
        <v>0</v>
      </c>
      <c r="AL490" s="141">
        <v>0</v>
      </c>
      <c r="AM490" s="141">
        <v>0</v>
      </c>
      <c r="AN490" s="141">
        <f>$K490-SUM($AC490:AM490)</f>
        <v>0</v>
      </c>
      <c r="AO490" s="141"/>
      <c r="AP490" s="141"/>
      <c r="AQ490" s="141"/>
      <c r="AR490" s="141"/>
      <c r="AS490" s="141"/>
      <c r="AT490" s="141"/>
      <c r="AU490" s="141"/>
      <c r="AV490" s="141"/>
      <c r="AW490" s="141"/>
      <c r="AX490" s="141"/>
      <c r="AY490" s="141"/>
    </row>
    <row r="491" spans="1:57">
      <c r="B491" s="3659" t="s">
        <v>770</v>
      </c>
      <c r="C491" s="1166">
        <v>9100001</v>
      </c>
      <c r="D491" s="61" t="s">
        <v>771</v>
      </c>
      <c r="E491" s="1151">
        <f>IFERROR(VLOOKUP(C491,'פ.נ. EUROPE'!$D$164:$F$1353,3,0),0)</f>
        <v>0</v>
      </c>
      <c r="F491" s="517">
        <f>SUMIF('פ.נ. EUROPE'!C:C,C:C,'פ.נ. EUROPE'!E:E)</f>
        <v>0</v>
      </c>
      <c r="G491" s="517"/>
      <c r="H491" s="517"/>
      <c r="I491" s="517"/>
      <c r="J491" s="518">
        <f>SUM(E491:I491)</f>
        <v>0</v>
      </c>
      <c r="K491" s="517">
        <f>M491+SUMIF('פ.נ. EUROPE'!C:C,'מאזן בוחן EUROPE'!C491,'פ.נ. EUROPE'!F:F)</f>
        <v>0</v>
      </c>
      <c r="L491" s="518"/>
      <c r="M491" s="517">
        <f>IFERROR(VLOOKUP(C491,'פ.נ. EUROPE'!$D$164:$H$1385,4,0),0)</f>
        <v>0</v>
      </c>
      <c r="N491" s="1104" t="str">
        <f>IF(K491=0,"-",J491/K491)</f>
        <v>-</v>
      </c>
      <c r="O491" s="434"/>
      <c r="P491" s="401" t="s">
        <v>2856</v>
      </c>
      <c r="Q491" s="137">
        <v>0</v>
      </c>
      <c r="R491" s="137">
        <v>0</v>
      </c>
      <c r="S491" s="137">
        <v>0</v>
      </c>
      <c r="T491" s="137">
        <v>0</v>
      </c>
      <c r="U491" s="137">
        <v>0</v>
      </c>
      <c r="V491" s="137">
        <v>139670</v>
      </c>
      <c r="W491" s="141">
        <v>-51407.733753526685</v>
      </c>
      <c r="X491" s="141">
        <v>-14806.578459710814</v>
      </c>
      <c r="Y491" s="141">
        <v>-40999.957786762505</v>
      </c>
      <c r="Z491" s="141">
        <v>-10849.999999999996</v>
      </c>
      <c r="AA491" s="141">
        <v>0</v>
      </c>
      <c r="AB491" s="141">
        <v>0</v>
      </c>
      <c r="AC491" s="141">
        <f>'[26]מאזן בוחן EUROPE'!AC481</f>
        <v>0</v>
      </c>
      <c r="AD491" s="141">
        <f>'[27]מאזן בוחן EUROPE'!AD479</f>
        <v>0</v>
      </c>
      <c r="AE491" s="141">
        <f>'[28]מאזן בוחן EUROPE'!AE488</f>
        <v>0</v>
      </c>
      <c r="AF491" s="141">
        <f>'[29]מאזן בוחן EUROPE'!AF485</f>
        <v>0</v>
      </c>
      <c r="AG491" s="141">
        <f>'[30]מאזן בוחן EUROPE'!AG489</f>
        <v>0</v>
      </c>
      <c r="AH491" s="141">
        <f>'[31]מאזן בוחן EUROPE'!AH493</f>
        <v>0</v>
      </c>
      <c r="AI491" s="141">
        <v>3841.73</v>
      </c>
      <c r="AJ491" s="141">
        <v>0</v>
      </c>
      <c r="AK491" s="141">
        <v>61199.859999999993</v>
      </c>
      <c r="AL491" s="141">
        <v>0</v>
      </c>
      <c r="AM491" s="141">
        <v>0</v>
      </c>
      <c r="AN491" s="141">
        <f>$K491-SUM($AC491:AM491)</f>
        <v>-65041.59</v>
      </c>
      <c r="AO491" s="141"/>
      <c r="AP491" s="141"/>
      <c r="AQ491" s="141"/>
      <c r="AR491" s="141"/>
      <c r="AS491" s="141"/>
      <c r="AT491" s="141"/>
      <c r="AU491" s="141"/>
      <c r="AV491" s="141"/>
      <c r="AW491" s="141"/>
      <c r="AX491" s="141"/>
      <c r="AY491" s="141"/>
    </row>
    <row r="492" spans="1:57">
      <c r="B492" s="3659" t="s">
        <v>770</v>
      </c>
      <c r="C492" s="585">
        <v>9100003</v>
      </c>
      <c r="D492" s="45" t="s">
        <v>2002</v>
      </c>
      <c r="E492" s="1213">
        <f>IFERROR(VLOOKUP(C492,'פ.נ. EUROPE'!$D$164:$F$1353,3,0),0)</f>
        <v>5949.7</v>
      </c>
      <c r="F492" s="518">
        <f>SUMIF('פ.נ. EUROPE'!C:C,C:C,'פ.נ. EUROPE'!E:E)</f>
        <v>0</v>
      </c>
      <c r="G492" s="517"/>
      <c r="H492" s="518"/>
      <c r="I492" s="517"/>
      <c r="J492" s="976">
        <f>SUM(E492:I492)</f>
        <v>5949.7</v>
      </c>
      <c r="K492" s="1213">
        <f>M492+SUMIF('פ.נ. EUROPE'!C:C,'מאזן בוחן EUROPE'!C492,'פ.נ. EUROPE'!F:F)</f>
        <v>8123.22</v>
      </c>
      <c r="L492" s="518"/>
      <c r="M492" s="517">
        <f>IFERROR(VLOOKUP(C492,'פ.נ. EUROPE'!$D$164:$H$1385,4,0),0)</f>
        <v>8123.22</v>
      </c>
      <c r="N492" s="1104">
        <f>IF(K492=0,"-",J492/K492)</f>
        <v>0.73243122801056715</v>
      </c>
      <c r="O492" s="434"/>
      <c r="P492" s="401"/>
      <c r="Q492" s="137">
        <v>0</v>
      </c>
      <c r="R492" s="137">
        <v>0</v>
      </c>
      <c r="S492" s="137">
        <v>0</v>
      </c>
      <c r="T492" s="137">
        <v>0</v>
      </c>
      <c r="U492" s="137">
        <v>0</v>
      </c>
      <c r="V492" s="137">
        <v>0</v>
      </c>
      <c r="W492" s="141">
        <v>0</v>
      </c>
      <c r="X492" s="141">
        <v>0</v>
      </c>
      <c r="Y492" s="141">
        <v>0</v>
      </c>
      <c r="Z492" s="141">
        <v>0</v>
      </c>
      <c r="AA492" s="141">
        <v>0</v>
      </c>
      <c r="AB492" s="141">
        <v>0</v>
      </c>
      <c r="AC492" s="141">
        <f>'[26]מאזן בוחן EUROPE'!AC482</f>
        <v>0</v>
      </c>
      <c r="AD492" s="141">
        <f>'[27]מאזן בוחן EUROPE'!AD480</f>
        <v>0</v>
      </c>
      <c r="AE492" s="141">
        <f>'[28]מאזן בוחן EUROPE'!AE489</f>
        <v>0</v>
      </c>
      <c r="AF492" s="141">
        <f>'[29]מאזן בוחן EUROPE'!AF486</f>
        <v>0</v>
      </c>
      <c r="AG492" s="141">
        <f>'[30]מאזן בוחן EUROPE'!AG490</f>
        <v>0</v>
      </c>
      <c r="AH492" s="141">
        <f>'[31]מאזן בוחן EUROPE'!AH494</f>
        <v>0</v>
      </c>
      <c r="AI492" s="141">
        <v>0</v>
      </c>
      <c r="AJ492" s="141">
        <v>0</v>
      </c>
      <c r="AK492" s="141">
        <v>-14624.7</v>
      </c>
      <c r="AL492" s="141">
        <v>0</v>
      </c>
      <c r="AM492" s="141">
        <v>0</v>
      </c>
      <c r="AN492" s="141">
        <f>$K492-SUM($AC492:AM492)</f>
        <v>22747.920000000002</v>
      </c>
      <c r="AO492" s="141"/>
      <c r="AP492" s="141"/>
      <c r="AQ492" s="141"/>
      <c r="AR492" s="141"/>
      <c r="AS492" s="141"/>
      <c r="AT492" s="141"/>
      <c r="AU492" s="141"/>
      <c r="AV492" s="141"/>
      <c r="AW492" s="141"/>
      <c r="AX492" s="141"/>
      <c r="AY492" s="141"/>
    </row>
    <row r="493" spans="1:57" s="137" customFormat="1">
      <c r="A493" s="3022"/>
      <c r="B493" s="3659" t="s">
        <v>770</v>
      </c>
      <c r="C493" s="1119">
        <v>9100007</v>
      </c>
      <c r="D493" s="3023" t="s">
        <v>3532</v>
      </c>
      <c r="E493" s="1213">
        <f>IFERROR(VLOOKUP(C493,'פ.נ. EUROPE'!$D$164:$F$1353,3,0),0)</f>
        <v>31816.18</v>
      </c>
      <c r="F493" s="518">
        <f>SUMIF('פ.נ. EUROPE'!C:C,C:C,'פ.נ. EUROPE'!E:E)</f>
        <v>0</v>
      </c>
      <c r="G493" s="517"/>
      <c r="H493" s="518"/>
      <c r="I493" s="517"/>
      <c r="J493" s="976">
        <f>SUM(E493:I493)</f>
        <v>31816.18</v>
      </c>
      <c r="K493" s="1213">
        <f>M493+SUMIF('פ.נ. EUROPE'!C:C,'מאזן בוחן EUROPE'!C493,'פ.נ. EUROPE'!F:F)</f>
        <v>42998.9</v>
      </c>
      <c r="L493" s="518"/>
      <c r="M493" s="517">
        <f>IFERROR(VLOOKUP(C493,'פ.נ. EUROPE'!$D$164:$H$1385,4,0),0)</f>
        <v>42998.9</v>
      </c>
      <c r="N493" s="1104">
        <f>IF(K493=0,"-",J493/K493)</f>
        <v>0.73993009123489206</v>
      </c>
      <c r="O493" s="3024"/>
      <c r="P493" s="3025"/>
      <c r="Y493" s="490"/>
      <c r="AE493" s="141">
        <f>'[28]מאזן בוחן EUROPE'!AE490</f>
        <v>0</v>
      </c>
      <c r="AF493" s="141">
        <f>'[29]מאזן בוחן EUROPE'!AF487</f>
        <v>0</v>
      </c>
      <c r="AG493" s="141">
        <f>'[30]מאזן בוחן EUROPE'!AG491</f>
        <v>0</v>
      </c>
      <c r="AH493" s="141">
        <f>'[31]מאזן בוחן EUROPE'!AH495</f>
        <v>0</v>
      </c>
      <c r="AI493" s="141">
        <v>0</v>
      </c>
      <c r="AJ493" s="141">
        <v>0</v>
      </c>
      <c r="AK493" s="141">
        <v>0</v>
      </c>
      <c r="AL493" s="141">
        <v>0</v>
      </c>
      <c r="AM493" s="141">
        <v>0</v>
      </c>
      <c r="AN493" s="141">
        <f>$K493-SUM($AC493:AM493)</f>
        <v>42998.9</v>
      </c>
      <c r="AO493" s="141"/>
      <c r="AP493" s="141"/>
      <c r="AQ493" s="141"/>
      <c r="AR493" s="141"/>
      <c r="AS493" s="141"/>
      <c r="AT493" s="141"/>
      <c r="AU493" s="141"/>
    </row>
    <row r="494" spans="1:57">
      <c r="B494" s="3659" t="s">
        <v>1218</v>
      </c>
      <c r="C494" s="585">
        <v>9100004</v>
      </c>
      <c r="D494" s="45" t="s">
        <v>1454</v>
      </c>
      <c r="E494" s="1213">
        <f>IFERROR(VLOOKUP(C494,'פ.נ. EUROPE'!$D$164:$F$1353,3,0),0)</f>
        <v>7202.93</v>
      </c>
      <c r="F494" s="518">
        <f>SUMIF('פ.נ. EUROPE'!C:C,C:C,'פ.נ. EUROPE'!E:E)</f>
        <v>0</v>
      </c>
      <c r="G494" s="517"/>
      <c r="H494" s="518"/>
      <c r="I494" s="517"/>
      <c r="J494" s="518">
        <f>SUM(E494:I494)</f>
        <v>7202.93</v>
      </c>
      <c r="K494" s="517">
        <f>M494+SUMIF('פ.נ. EUROPE'!C:C,'מאזן בוחן EUROPE'!C494,'פ.נ. EUROPE'!F:F)</f>
        <v>9741.02</v>
      </c>
      <c r="L494" s="518"/>
      <c r="M494" s="517">
        <f>IFERROR(VLOOKUP(C494,'פ.נ. EUROPE'!$D$164:$H$1385,4,0),0)</f>
        <v>9741.02</v>
      </c>
      <c r="N494" s="1104">
        <f>IF(K494=0,"-",J494/K494)</f>
        <v>0.73944309733477598</v>
      </c>
      <c r="O494" s="434"/>
      <c r="P494" s="1407" t="s">
        <v>2001</v>
      </c>
      <c r="Q494" s="137">
        <v>0</v>
      </c>
      <c r="R494" s="137">
        <v>0</v>
      </c>
      <c r="S494" s="137">
        <v>0</v>
      </c>
      <c r="T494" s="137">
        <v>0</v>
      </c>
      <c r="U494" s="137">
        <v>0</v>
      </c>
      <c r="V494" s="137">
        <v>0</v>
      </c>
      <c r="W494" s="141">
        <v>0</v>
      </c>
      <c r="X494" s="141">
        <v>0</v>
      </c>
      <c r="Y494" s="141">
        <v>0</v>
      </c>
      <c r="Z494" s="141">
        <v>0</v>
      </c>
      <c r="AA494" s="141">
        <v>19711.2</v>
      </c>
      <c r="AB494" s="141">
        <v>43633.748055987562</v>
      </c>
      <c r="AC494" s="141">
        <f>'[26]מאזן בוחן EUROPE'!AC483</f>
        <v>0</v>
      </c>
      <c r="AD494" s="141">
        <f>'[27]מאזן בוחן EUROPE'!AD481</f>
        <v>0</v>
      </c>
      <c r="AE494" s="141">
        <f>'[28]מאזן בוחן EUROPE'!AE491</f>
        <v>0</v>
      </c>
      <c r="AF494" s="141">
        <f>'[29]מאזן בוחן EUROPE'!AF488</f>
        <v>0</v>
      </c>
      <c r="AG494" s="141">
        <f>'[30]מאזן בוחן EUROPE'!AG492</f>
        <v>0</v>
      </c>
      <c r="AH494" s="141">
        <f>'[31]מאזן בוחן EUROPE'!AH496</f>
        <v>0</v>
      </c>
      <c r="AI494" s="141">
        <v>0</v>
      </c>
      <c r="AJ494" s="141">
        <v>0</v>
      </c>
      <c r="AK494" s="141">
        <v>5985.93</v>
      </c>
      <c r="AL494" s="141">
        <v>0</v>
      </c>
      <c r="AM494" s="141">
        <v>0</v>
      </c>
      <c r="AN494" s="141">
        <f>$K494-SUM($AC494:AM494)</f>
        <v>3755.09</v>
      </c>
      <c r="AO494" s="141"/>
      <c r="AP494" s="141"/>
      <c r="AQ494" s="141"/>
      <c r="AR494" s="141"/>
      <c r="AS494" s="141"/>
      <c r="AT494" s="141"/>
      <c r="AU494" s="141"/>
      <c r="AV494" s="141"/>
      <c r="AW494" s="141"/>
      <c r="AX494" s="141"/>
      <c r="AY494" s="141"/>
    </row>
    <row r="495" spans="1:57">
      <c r="B495" s="3668"/>
      <c r="C495" s="407"/>
      <c r="D495" s="63"/>
      <c r="E495" s="517"/>
      <c r="F495" s="518"/>
      <c r="G495" s="517"/>
      <c r="H495" s="518"/>
      <c r="I495" s="517"/>
      <c r="J495" s="518"/>
      <c r="K495" s="517"/>
      <c r="L495" s="518"/>
      <c r="M495" s="517"/>
      <c r="N495" s="1104"/>
      <c r="O495" s="434"/>
      <c r="P495" s="401"/>
      <c r="Q495" s="137">
        <v>0</v>
      </c>
      <c r="R495" s="137">
        <v>0</v>
      </c>
      <c r="S495" s="137">
        <v>0</v>
      </c>
      <c r="T495" s="137">
        <v>0</v>
      </c>
      <c r="U495" s="137">
        <v>0</v>
      </c>
      <c r="V495" s="137">
        <v>0</v>
      </c>
      <c r="W495" s="141">
        <v>0</v>
      </c>
      <c r="X495" s="141">
        <v>0</v>
      </c>
      <c r="Y495" s="141">
        <v>0</v>
      </c>
      <c r="Z495" s="141">
        <v>0</v>
      </c>
      <c r="AA495" s="141">
        <v>0</v>
      </c>
      <c r="AB495" s="141">
        <v>0</v>
      </c>
      <c r="AC495" s="141">
        <f>'[26]מאזן בוחן EUROPE'!AC484</f>
        <v>0</v>
      </c>
      <c r="AD495" s="141">
        <f>'[27]מאזן בוחן EUROPE'!AD482</f>
        <v>0</v>
      </c>
      <c r="AE495" s="141">
        <f>'[28]מאזן בוחן EUROPE'!AE492</f>
        <v>0</v>
      </c>
      <c r="AF495" s="141">
        <f>'[29]מאזן בוחן EUROPE'!AF489</f>
        <v>0</v>
      </c>
      <c r="AG495" s="141">
        <f>'[30]מאזן בוחן EUROPE'!AG493</f>
        <v>0</v>
      </c>
      <c r="AH495" s="141">
        <f>'[31]מאזן בוחן EUROPE'!AH497</f>
        <v>0</v>
      </c>
      <c r="AI495" s="141">
        <v>0</v>
      </c>
      <c r="AJ495" s="141">
        <v>0</v>
      </c>
      <c r="AK495" s="141">
        <v>0</v>
      </c>
      <c r="AL495" s="141">
        <v>0</v>
      </c>
      <c r="AM495" s="141">
        <v>0</v>
      </c>
      <c r="AN495" s="141">
        <f>$K495-SUM($AC495:AM495)</f>
        <v>0</v>
      </c>
      <c r="AO495" s="141"/>
      <c r="AP495" s="141"/>
      <c r="AQ495" s="141"/>
      <c r="AR495" s="141"/>
      <c r="AS495" s="141"/>
      <c r="AT495" s="141"/>
      <c r="AU495" s="141"/>
      <c r="AV495" s="141"/>
      <c r="AW495" s="141"/>
      <c r="AX495" s="141"/>
      <c r="AY495" s="141"/>
    </row>
    <row r="496" spans="1:57" ht="13.5" thickBot="1">
      <c r="B496" s="3668"/>
      <c r="D496" s="62" t="s">
        <v>462</v>
      </c>
      <c r="E496" s="3308">
        <f>SUM(E490:E495)</f>
        <v>44968.81</v>
      </c>
      <c r="F496" s="3306">
        <f>SUM(F490:F495)</f>
        <v>0</v>
      </c>
      <c r="G496" s="1206">
        <f>SUM(G490:G495)</f>
        <v>0</v>
      </c>
      <c r="H496" s="1206">
        <f>SUM(H490:H495)</f>
        <v>0</v>
      </c>
      <c r="I496" s="1206">
        <f>SUM(I490:I495)</f>
        <v>0</v>
      </c>
      <c r="J496" s="1206">
        <f>SUM(J491:J495)</f>
        <v>44968.81</v>
      </c>
      <c r="K496" s="1206">
        <f>SUM(K491:K495)</f>
        <v>60863.14</v>
      </c>
      <c r="L496" s="490"/>
      <c r="M496" s="1206">
        <f>SUM(M491:M495)</f>
        <v>60863.14</v>
      </c>
      <c r="N496" s="1104"/>
      <c r="O496" s="434"/>
      <c r="P496" s="1137"/>
      <c r="Q496" s="137">
        <v>0</v>
      </c>
      <c r="R496" s="137">
        <v>0</v>
      </c>
      <c r="S496" s="137">
        <v>0</v>
      </c>
      <c r="T496" s="137">
        <v>0</v>
      </c>
      <c r="U496" s="137">
        <v>0</v>
      </c>
      <c r="V496" s="137">
        <v>139670</v>
      </c>
      <c r="W496" s="141">
        <v>-51407.733753526685</v>
      </c>
      <c r="X496" s="141">
        <v>-14806.578459710814</v>
      </c>
      <c r="Y496" s="141">
        <v>-40999.957786762505</v>
      </c>
      <c r="Z496" s="141">
        <v>-10849.999999999996</v>
      </c>
      <c r="AA496" s="141">
        <v>19711.2</v>
      </c>
      <c r="AB496" s="141">
        <v>0</v>
      </c>
      <c r="AC496" s="141">
        <f>'[26]מאזן בוחן EUROPE'!AC485</f>
        <v>0</v>
      </c>
      <c r="AD496" s="141">
        <f>'[27]מאזן בוחן EUROPE'!AD483</f>
        <v>0</v>
      </c>
      <c r="AE496" s="141">
        <f>'[28]מאזן בוחן EUROPE'!AE493</f>
        <v>0</v>
      </c>
      <c r="AF496" s="141">
        <f>'[29]מאזן בוחן EUROPE'!AF490</f>
        <v>0</v>
      </c>
      <c r="AG496" s="141">
        <f>'[30]מאזן בוחן EUROPE'!AG494</f>
        <v>0</v>
      </c>
      <c r="AH496" s="141">
        <f>'[31]מאזן בוחן EUROPE'!AH498</f>
        <v>0</v>
      </c>
      <c r="AI496" s="141">
        <v>3841.73</v>
      </c>
      <c r="AJ496" s="141">
        <v>0</v>
      </c>
      <c r="AK496" s="141">
        <v>52561.09</v>
      </c>
      <c r="AL496" s="141">
        <v>0</v>
      </c>
      <c r="AM496" s="141">
        <v>0</v>
      </c>
      <c r="AN496" s="141">
        <f>$K496-SUM($AC496:AM496)</f>
        <v>4460.32</v>
      </c>
      <c r="AO496" s="141"/>
      <c r="AP496" s="141"/>
      <c r="AQ496" s="141"/>
      <c r="AR496" s="141"/>
      <c r="AS496" s="141"/>
      <c r="AT496" s="141"/>
      <c r="AU496" s="141"/>
      <c r="AV496" s="141"/>
      <c r="AW496" s="141"/>
      <c r="AX496" s="141"/>
      <c r="AY496" s="141"/>
    </row>
    <row r="497" spans="1:65">
      <c r="B497" s="3668"/>
      <c r="F497" s="518"/>
      <c r="G497" s="517"/>
      <c r="H497" s="518"/>
      <c r="I497" s="517"/>
      <c r="K497" s="399"/>
      <c r="L497" s="51"/>
      <c r="M497" s="399"/>
      <c r="N497" s="1104"/>
      <c r="O497" s="434"/>
      <c r="P497" s="401"/>
      <c r="Q497" s="137">
        <v>0</v>
      </c>
      <c r="R497" s="137">
        <v>0</v>
      </c>
      <c r="S497" s="137">
        <v>0</v>
      </c>
      <c r="T497" s="137">
        <v>0</v>
      </c>
      <c r="U497" s="137">
        <v>0</v>
      </c>
      <c r="V497" s="137">
        <v>0</v>
      </c>
      <c r="W497" s="141">
        <v>0</v>
      </c>
      <c r="X497" s="141">
        <v>0</v>
      </c>
      <c r="Y497" s="141">
        <v>0</v>
      </c>
      <c r="Z497" s="141">
        <v>0</v>
      </c>
      <c r="AA497" s="141">
        <v>0</v>
      </c>
      <c r="AB497" s="141">
        <v>0</v>
      </c>
      <c r="AC497" s="141">
        <f>'[26]מאזן בוחן EUROPE'!AC486</f>
        <v>0</v>
      </c>
      <c r="AD497" s="141">
        <f>'[27]מאזן בוחן EUROPE'!AD484</f>
        <v>0</v>
      </c>
      <c r="AE497" s="141">
        <f>'[28]מאזן בוחן EUROPE'!AE494</f>
        <v>0</v>
      </c>
      <c r="AF497" s="141">
        <f>'[29]מאזן בוחן EUROPE'!AF491</f>
        <v>0</v>
      </c>
      <c r="AG497" s="141">
        <f>'[30]מאזן בוחן EUROPE'!AG495</f>
        <v>0</v>
      </c>
      <c r="AH497" s="141">
        <f>'[31]מאזן בוחן EUROPE'!AH499</f>
        <v>0</v>
      </c>
      <c r="AI497" s="141">
        <v>0</v>
      </c>
      <c r="AJ497" s="141">
        <v>0</v>
      </c>
      <c r="AK497" s="141">
        <v>0</v>
      </c>
      <c r="AL497" s="141">
        <v>0</v>
      </c>
      <c r="AM497" s="141">
        <v>0</v>
      </c>
      <c r="AN497" s="141">
        <f>$K497-SUM($AC497:AM497)</f>
        <v>0</v>
      </c>
      <c r="AO497" s="141"/>
      <c r="AP497" s="141"/>
      <c r="AQ497" s="141"/>
      <c r="AR497" s="141"/>
      <c r="AS497" s="141"/>
      <c r="AT497" s="141"/>
      <c r="AU497" s="141"/>
      <c r="AV497" s="141"/>
      <c r="AW497" s="141"/>
      <c r="AX497" s="141"/>
      <c r="AY497" s="141"/>
    </row>
    <row r="498" spans="1:65">
      <c r="B498" s="3668"/>
      <c r="C498" s="154"/>
      <c r="D498" s="70" t="s">
        <v>99</v>
      </c>
      <c r="E498" s="429"/>
      <c r="F498" s="518"/>
      <c r="G498" s="517"/>
      <c r="H498" s="518"/>
      <c r="I498" s="517"/>
      <c r="J498" s="440"/>
      <c r="K498" s="441"/>
      <c r="L498" s="51"/>
      <c r="M498" s="441"/>
      <c r="N498" s="1104"/>
      <c r="O498" s="434"/>
      <c r="Q498" s="137">
        <v>0</v>
      </c>
      <c r="R498" s="137">
        <v>0</v>
      </c>
      <c r="S498" s="137">
        <v>0</v>
      </c>
      <c r="T498" s="137">
        <v>0</v>
      </c>
      <c r="U498" s="137">
        <v>0</v>
      </c>
      <c r="V498" s="137">
        <v>0</v>
      </c>
      <c r="W498" s="141">
        <v>0</v>
      </c>
      <c r="X498" s="141">
        <v>0</v>
      </c>
      <c r="Y498" s="141">
        <v>0</v>
      </c>
      <c r="Z498" s="141">
        <v>0</v>
      </c>
      <c r="AA498" s="141">
        <v>0</v>
      </c>
      <c r="AB498" s="141">
        <v>15457.160000000003</v>
      </c>
      <c r="AC498" s="141">
        <f>'[26]מאזן בוחן EUROPE'!AC487</f>
        <v>0</v>
      </c>
      <c r="AD498" s="141">
        <f>'[27]מאזן בוחן EUROPE'!AD485</f>
        <v>0</v>
      </c>
      <c r="AE498" s="141">
        <f>'[28]מאזן בוחן EUROPE'!AE495</f>
        <v>0</v>
      </c>
      <c r="AF498" s="141">
        <f>'[29]מאזן בוחן EUROPE'!AF492</f>
        <v>0</v>
      </c>
      <c r="AG498" s="141">
        <f>'[30]מאזן בוחן EUROPE'!AG496</f>
        <v>0</v>
      </c>
      <c r="AH498" s="141">
        <f>'[31]מאזן בוחן EUROPE'!AH500</f>
        <v>0</v>
      </c>
      <c r="AI498" s="141">
        <v>0</v>
      </c>
      <c r="AJ498" s="141">
        <v>0</v>
      </c>
      <c r="AK498" s="141">
        <v>0</v>
      </c>
      <c r="AL498" s="141">
        <v>0</v>
      </c>
      <c r="AM498" s="141">
        <v>0</v>
      </c>
      <c r="AN498" s="141">
        <f>$K498-SUM($AC498:AM498)</f>
        <v>0</v>
      </c>
      <c r="AO498" s="141"/>
      <c r="AP498" s="141"/>
      <c r="AQ498" s="141"/>
      <c r="AR498" s="141"/>
      <c r="AS498" s="141"/>
      <c r="AT498" s="141"/>
      <c r="AU498" s="141"/>
      <c r="AV498" s="141"/>
      <c r="AW498" s="141"/>
      <c r="AX498" s="141"/>
      <c r="AY498" s="141"/>
      <c r="BE498" s="63"/>
    </row>
    <row r="499" spans="1:65">
      <c r="B499" s="3668"/>
      <c r="F499" s="518"/>
      <c r="G499" s="517"/>
      <c r="H499" s="518"/>
      <c r="I499" s="517"/>
      <c r="M499" s="430"/>
      <c r="N499" s="1104"/>
      <c r="Q499" s="137">
        <v>0</v>
      </c>
      <c r="R499" s="137">
        <v>0</v>
      </c>
      <c r="S499" s="137">
        <v>0</v>
      </c>
      <c r="T499" s="137">
        <v>0</v>
      </c>
      <c r="U499" s="137">
        <v>0</v>
      </c>
      <c r="V499" s="137">
        <v>0</v>
      </c>
      <c r="W499" s="141">
        <v>0</v>
      </c>
      <c r="X499" s="141">
        <v>0</v>
      </c>
      <c r="Y499" s="141">
        <v>0</v>
      </c>
      <c r="Z499" s="141">
        <v>0</v>
      </c>
      <c r="AA499" s="141">
        <v>0</v>
      </c>
      <c r="AB499" s="141">
        <v>0</v>
      </c>
      <c r="AC499" s="141">
        <f>'[26]מאזן בוחן EUROPE'!AC488</f>
        <v>0</v>
      </c>
      <c r="AD499" s="141">
        <f>'[27]מאזן בוחן EUROPE'!AD486</f>
        <v>0</v>
      </c>
      <c r="AE499" s="141">
        <f>'[28]מאזן בוחן EUROPE'!AE496</f>
        <v>0</v>
      </c>
      <c r="AF499" s="141">
        <f>'[29]מאזן בוחן EUROPE'!AF493</f>
        <v>0</v>
      </c>
      <c r="AG499" s="141">
        <f>'[30]מאזן בוחן EUROPE'!AG497</f>
        <v>0</v>
      </c>
      <c r="AH499" s="141">
        <f>'[31]מאזן בוחן EUROPE'!AH501</f>
        <v>0</v>
      </c>
      <c r="AI499" s="141">
        <v>0</v>
      </c>
      <c r="AJ499" s="141">
        <v>0</v>
      </c>
      <c r="AK499" s="141">
        <v>0</v>
      </c>
      <c r="AL499" s="141">
        <v>0</v>
      </c>
      <c r="AM499" s="141">
        <v>0</v>
      </c>
      <c r="AN499" s="141">
        <f>$K499-SUM($AC499:AM499)</f>
        <v>0</v>
      </c>
      <c r="AO499" s="141"/>
      <c r="AP499" s="141"/>
      <c r="AQ499" s="141"/>
      <c r="AR499" s="141"/>
      <c r="AS499" s="141"/>
      <c r="AT499" s="141"/>
      <c r="AU499" s="141"/>
      <c r="AV499" s="141"/>
      <c r="AW499" s="141"/>
      <c r="AX499" s="141"/>
      <c r="AY499" s="141"/>
    </row>
    <row r="500" spans="1:65">
      <c r="B500" s="3659" t="s">
        <v>769</v>
      </c>
      <c r="C500" s="1119">
        <v>9010001</v>
      </c>
      <c r="D500" s="203" t="s">
        <v>494</v>
      </c>
      <c r="E500" s="439">
        <f>IFERROR(VLOOKUP(C500,'פ.נ. EUROPE'!$D$164:$F$1353,3,0),0)</f>
        <v>9990.24</v>
      </c>
      <c r="F500" s="518">
        <f>SUMIF('פ.נ. EUROPE'!C:C,C:C,'פ.נ. EUROPE'!E:E)</f>
        <v>0</v>
      </c>
      <c r="G500" s="517"/>
      <c r="H500" s="518"/>
      <c r="I500" s="517"/>
      <c r="J500" s="170">
        <f>SUM(E500:I500)</f>
        <v>9990.24</v>
      </c>
      <c r="K500" s="98">
        <f>M500+SUMIF('פ.נ. EUROPE'!C:C,'מאזן בוחן EUROPE'!C500,'פ.נ. EUROPE'!F:F)</f>
        <v>13702.69</v>
      </c>
      <c r="L500" s="51"/>
      <c r="M500" s="97">
        <f>IFERROR(VLOOKUP(C500,'פ.נ. EUROPE'!$D$164:$H$1385,4,0),"")</f>
        <v>13702.69</v>
      </c>
      <c r="N500" s="1104">
        <f>IF(K500=0,"-",J500/K500)</f>
        <v>0.72907144509581689</v>
      </c>
      <c r="Q500" s="137">
        <v>582.02</v>
      </c>
      <c r="R500" s="137">
        <v>-679.33999999999992</v>
      </c>
      <c r="S500" s="137">
        <v>-249.31000000000006</v>
      </c>
      <c r="T500" s="137">
        <v>257.25</v>
      </c>
      <c r="U500" s="137">
        <v>324</v>
      </c>
      <c r="V500" s="137">
        <v>3391.5299999999997</v>
      </c>
      <c r="W500" s="141">
        <v>232.00000000000045</v>
      </c>
      <c r="X500" s="141">
        <v>350.24000000000046</v>
      </c>
      <c r="Y500" s="141">
        <v>620.83999999999878</v>
      </c>
      <c r="Z500" s="141">
        <v>276.63000000000011</v>
      </c>
      <c r="AA500" s="141">
        <v>382.03999999999996</v>
      </c>
      <c r="AB500" s="141">
        <v>741.51000000000022</v>
      </c>
      <c r="AC500" s="141">
        <f>'[26]מאזן בוחן EUROPE'!AC489</f>
        <v>276.20999999999998</v>
      </c>
      <c r="AD500" s="141">
        <f>'[27]מאזן בוחן EUROPE'!AD487</f>
        <v>306.41000000000003</v>
      </c>
      <c r="AE500" s="141">
        <f>'[28]מאזן בוחן EUROPE'!AE497</f>
        <v>846.55000000000007</v>
      </c>
      <c r="AF500" s="141">
        <f>'[29]מאזן בוחן EUROPE'!AF494</f>
        <v>268.6099999999999</v>
      </c>
      <c r="AG500" s="141">
        <f>'[30]מאזן בוחן EUROPE'!AG498</f>
        <v>378.73000000000025</v>
      </c>
      <c r="AH500" s="141">
        <f>'[31]מאזן בוחן EUROPE'!AH502</f>
        <v>1008.3299999999999</v>
      </c>
      <c r="AI500" s="141">
        <v>1278.04</v>
      </c>
      <c r="AJ500" s="141">
        <v>580.29</v>
      </c>
      <c r="AK500" s="141">
        <v>4545.59</v>
      </c>
      <c r="AL500" s="141">
        <v>1808.3799999999992</v>
      </c>
      <c r="AM500" s="141">
        <v>1060.1200000000008</v>
      </c>
      <c r="AN500" s="141">
        <f>$K500-SUM($AC500:AM500)</f>
        <v>1345.4300000000003</v>
      </c>
      <c r="AO500" s="141"/>
      <c r="AP500" s="141"/>
      <c r="AQ500" s="141"/>
      <c r="AR500" s="141"/>
      <c r="AS500" s="141"/>
      <c r="AT500" s="141"/>
      <c r="AU500" s="141"/>
      <c r="AV500" s="141"/>
      <c r="AW500" s="141"/>
      <c r="AX500" s="141"/>
      <c r="AY500" s="141"/>
    </row>
    <row r="501" spans="1:65">
      <c r="B501" s="3659" t="s">
        <v>769</v>
      </c>
      <c r="C501" s="1429" t="s">
        <v>1999</v>
      </c>
      <c r="D501" s="203" t="s">
        <v>2000</v>
      </c>
      <c r="E501" s="1213">
        <f>IFERROR(VLOOKUP(C501,'פ.נ. EUROPE'!$D$164:$F$1353,3,0),0)</f>
        <v>0</v>
      </c>
      <c r="F501" s="518">
        <f>SUMIF('פ.נ. EUROPE'!C:C,C:C,'פ.נ. EUROPE'!E:E)</f>
        <v>0</v>
      </c>
      <c r="G501" s="517"/>
      <c r="H501" s="518"/>
      <c r="I501" s="517"/>
      <c r="J501" s="521">
        <f>SUM(E501:I501)</f>
        <v>0</v>
      </c>
      <c r="K501" s="1213">
        <f>M501+SUMIF('פ.נ. EUROPE'!C:C,'מאזן בוחן EUROPE'!C501,'פ.נ. EUROPE'!F:F)</f>
        <v>0</v>
      </c>
      <c r="L501" s="51"/>
      <c r="M501" s="3026">
        <f>IFERROR(VLOOKUP(C501,'פ.נ. EUROPE'!$D$164:$H$385,4,0),0)</f>
        <v>0</v>
      </c>
      <c r="N501" s="1104" t="str">
        <f>IF(K501=0,"-",J501/K501)</f>
        <v>-</v>
      </c>
      <c r="P501" s="1407" t="s">
        <v>2001</v>
      </c>
      <c r="Q501" s="137">
        <v>0</v>
      </c>
      <c r="R501" s="137">
        <v>0</v>
      </c>
      <c r="S501" s="137">
        <v>0</v>
      </c>
      <c r="T501" s="137">
        <v>0</v>
      </c>
      <c r="U501" s="137">
        <v>0</v>
      </c>
      <c r="V501" s="137">
        <v>0</v>
      </c>
      <c r="W501" s="141">
        <v>0</v>
      </c>
      <c r="X501" s="141">
        <v>0</v>
      </c>
      <c r="Y501" s="141">
        <v>0</v>
      </c>
      <c r="Z501" s="141">
        <v>0</v>
      </c>
      <c r="AA501" s="141">
        <v>0</v>
      </c>
      <c r="AB501" s="141">
        <v>0</v>
      </c>
      <c r="AC501" s="141">
        <f>'[26]מאזן בוחן EUROPE'!AC490</f>
        <v>0</v>
      </c>
      <c r="AD501" s="141">
        <f>'[27]מאזן בוחן EUROPE'!AD488</f>
        <v>0</v>
      </c>
      <c r="AE501" s="141">
        <f>'[28]מאזן בוחן EUROPE'!AE498</f>
        <v>0</v>
      </c>
      <c r="AF501" s="141">
        <f>'[29]מאזן בוחן EUROPE'!AF495</f>
        <v>0</v>
      </c>
      <c r="AG501" s="141">
        <f>'[30]מאזן בוחן EUROPE'!AG499</f>
        <v>0</v>
      </c>
      <c r="AH501" s="141">
        <f>'[31]מאזן בוחן EUROPE'!AH503</f>
        <v>0</v>
      </c>
      <c r="AI501" s="141">
        <v>0</v>
      </c>
      <c r="AJ501" s="141">
        <v>0</v>
      </c>
      <c r="AK501" s="141">
        <v>0</v>
      </c>
      <c r="AL501" s="141">
        <v>0</v>
      </c>
      <c r="AM501" s="141">
        <v>0</v>
      </c>
      <c r="AN501" s="141">
        <f>$K501-SUM($AC501:AM501)</f>
        <v>0</v>
      </c>
      <c r="AO501" s="141"/>
      <c r="AP501" s="141"/>
      <c r="AQ501" s="141"/>
      <c r="AR501" s="141"/>
      <c r="AS501" s="141"/>
      <c r="AT501" s="141"/>
      <c r="AU501" s="141"/>
      <c r="AV501" s="141"/>
      <c r="AW501" s="141"/>
      <c r="AX501" s="141"/>
      <c r="AY501" s="141"/>
    </row>
    <row r="502" spans="1:65">
      <c r="B502" s="3659" t="s">
        <v>769</v>
      </c>
      <c r="C502" s="1429">
        <v>9010002</v>
      </c>
      <c r="D502" s="203" t="s">
        <v>634</v>
      </c>
      <c r="E502" s="439">
        <f>IFERROR(VLOOKUP(C502,'פ.נ. EUROPE'!$D$164:$F$1353,3,0),0)</f>
        <v>342090.16</v>
      </c>
      <c r="F502" s="518">
        <f>SUMIF('פ.נ. EUROPE'!C:C,C:C,'פ.נ. EUROPE'!E:E)</f>
        <v>0</v>
      </c>
      <c r="G502" s="517"/>
      <c r="H502" s="518"/>
      <c r="I502" s="517"/>
      <c r="J502" s="170">
        <f>SUM(E502:I502)</f>
        <v>342090.16</v>
      </c>
      <c r="K502" s="98">
        <f>M502+SUMIF('פ.נ. EUROPE'!C:C,'מאזן בוחן EUROPE'!C502,'פ.נ. EUROPE'!F:F)</f>
        <v>32415.72</v>
      </c>
      <c r="L502" s="52"/>
      <c r="M502" s="97">
        <f>IFERROR(VLOOKUP(C502,'פ.נ. EUROPE'!$D$164:$H$1385,4,0),"")</f>
        <v>32415.72</v>
      </c>
      <c r="N502" s="1104">
        <f>IF(K502=0,"-",J502/K502)</f>
        <v>10.553218006572118</v>
      </c>
      <c r="O502" s="434"/>
      <c r="Q502" s="137">
        <v>122875.26440519186</v>
      </c>
      <c r="R502" s="137">
        <v>20687.512730928414</v>
      </c>
      <c r="S502" s="137">
        <v>129648.36041270803</v>
      </c>
      <c r="T502" s="137">
        <v>-7618.0445539530483</v>
      </c>
      <c r="U502" s="137">
        <v>-13502.991076951788</v>
      </c>
      <c r="V502" s="137">
        <v>-107095.62191792346</v>
      </c>
      <c r="W502" s="141">
        <v>-275865.55907741014</v>
      </c>
      <c r="X502" s="141">
        <v>-33280.103017495218</v>
      </c>
      <c r="Y502" s="141">
        <v>841308.47209490556</v>
      </c>
      <c r="Z502" s="141">
        <v>-720559.89956413209</v>
      </c>
      <c r="AA502" s="141">
        <v>631922.32407186541</v>
      </c>
      <c r="AB502" s="141">
        <v>-867254.55450773356</v>
      </c>
      <c r="AC502" s="141">
        <f>'[26]מאזן בוחן EUROPE'!AC491</f>
        <v>144955.5243835923</v>
      </c>
      <c r="AD502" s="141">
        <f>'[27]מאזן בוחן EUROPE'!AD489</f>
        <v>163531.6741176885</v>
      </c>
      <c r="AE502" s="141">
        <f>'[28]מאזן בוחן EUROPE'!AE499</f>
        <v>-153711.12850128079</v>
      </c>
      <c r="AF502" s="141">
        <f>'[29]מאזן בוחן EUROPE'!AF496</f>
        <v>-192893.55237172416</v>
      </c>
      <c r="AG502" s="141">
        <f>'[30]מאזן בוחן EUROPE'!AG500</f>
        <v>60975.536059445993</v>
      </c>
      <c r="AH502" s="141">
        <f>'[31]מאזן בוחן EUROPE'!AH504</f>
        <v>16773.156312278159</v>
      </c>
      <c r="AI502" s="141">
        <v>-58296.337160729548</v>
      </c>
      <c r="AJ502" s="141">
        <v>-13170.672721789699</v>
      </c>
      <c r="AK502" s="141">
        <v>8880.169882519247</v>
      </c>
      <c r="AL502" s="141">
        <v>97443.801231464051</v>
      </c>
      <c r="AM502" s="141">
        <v>-66883.499543283251</v>
      </c>
      <c r="AN502" s="141">
        <f>$K502-SUM($AC502:AM502)</f>
        <v>24811.048311819206</v>
      </c>
      <c r="AO502" s="141"/>
      <c r="AP502" s="141"/>
      <c r="AQ502" s="141"/>
      <c r="AR502" s="141"/>
      <c r="AS502" s="141"/>
      <c r="AT502" s="141"/>
      <c r="AU502" s="141"/>
      <c r="AV502" s="141"/>
      <c r="AW502" s="141"/>
      <c r="AX502" s="141"/>
      <c r="AY502" s="141"/>
    </row>
    <row r="503" spans="1:65">
      <c r="B503" s="3659"/>
      <c r="C503" s="156"/>
      <c r="D503" s="203"/>
      <c r="E503" s="448"/>
      <c r="F503" s="518"/>
      <c r="G503" s="1213"/>
      <c r="H503" s="976"/>
      <c r="I503" s="1213"/>
      <c r="J503" s="170"/>
      <c r="K503" s="97"/>
      <c r="L503" s="51"/>
      <c r="M503" s="97"/>
      <c r="N503" s="1104"/>
      <c r="O503" s="434"/>
      <c r="P503" s="1133"/>
      <c r="Q503" s="137">
        <v>0</v>
      </c>
      <c r="R503" s="137">
        <v>0</v>
      </c>
      <c r="S503" s="137">
        <v>0</v>
      </c>
      <c r="T503" s="137">
        <v>0</v>
      </c>
      <c r="V503" s="137">
        <v>0</v>
      </c>
      <c r="W503" s="141">
        <v>0</v>
      </c>
      <c r="X503" s="141">
        <v>0</v>
      </c>
      <c r="Y503" s="141">
        <v>0</v>
      </c>
      <c r="Z503" s="141">
        <v>0</v>
      </c>
      <c r="AA503" s="141">
        <v>0</v>
      </c>
      <c r="AB503" s="141"/>
      <c r="AC503" s="141">
        <f>'[26]מאזן בוחן EUROPE'!AC492</f>
        <v>0</v>
      </c>
      <c r="AD503" s="141"/>
      <c r="AE503" s="141"/>
      <c r="AF503" s="141"/>
      <c r="AG503" s="141"/>
      <c r="AH503" s="141"/>
      <c r="AI503" s="141"/>
      <c r="AJ503" s="141"/>
      <c r="AK503" s="141"/>
      <c r="AL503" s="141"/>
      <c r="AM503" s="141"/>
      <c r="AN503" s="141"/>
      <c r="AO503" s="141"/>
      <c r="AP503" s="141"/>
      <c r="AQ503" s="141"/>
      <c r="AR503" s="141"/>
      <c r="AS503" s="141"/>
      <c r="AT503" s="141"/>
      <c r="AU503" s="141"/>
      <c r="AV503" s="141"/>
      <c r="AW503" s="141"/>
      <c r="AX503" s="141"/>
      <c r="AY503" s="141"/>
    </row>
    <row r="504" spans="1:65">
      <c r="B504" s="3668"/>
      <c r="D504" s="1932" t="s">
        <v>100</v>
      </c>
      <c r="E504" s="3309">
        <f>SUM(E498:E503)</f>
        <v>352080.39999999997</v>
      </c>
      <c r="F504" s="3306">
        <f t="shared" ref="F504:M504" si="117">SUM(F498:F503)</f>
        <v>0</v>
      </c>
      <c r="G504" s="1206">
        <f t="shared" si="117"/>
        <v>0</v>
      </c>
      <c r="H504" s="1206">
        <f t="shared" si="117"/>
        <v>0</v>
      </c>
      <c r="I504" s="1206">
        <f t="shared" si="117"/>
        <v>0</v>
      </c>
      <c r="J504" s="1351">
        <f t="shared" si="117"/>
        <v>352080.39999999997</v>
      </c>
      <c r="K504" s="1351">
        <f t="shared" si="117"/>
        <v>46118.41</v>
      </c>
      <c r="L504" s="336"/>
      <c r="M504" s="1351">
        <f t="shared" si="117"/>
        <v>46118.41</v>
      </c>
      <c r="N504" s="1104"/>
      <c r="O504" s="434"/>
      <c r="P504" s="1138"/>
      <c r="U504" s="141"/>
      <c r="V504" s="490"/>
      <c r="W504" s="490"/>
      <c r="X504" s="490"/>
      <c r="Y504" s="490"/>
      <c r="Z504" s="490"/>
      <c r="AA504" s="141"/>
      <c r="AB504" s="141"/>
      <c r="AC504" s="141"/>
      <c r="AD504" s="141"/>
      <c r="AE504" s="141"/>
      <c r="AF504" s="141"/>
      <c r="AG504" s="141"/>
      <c r="AH504" s="141"/>
      <c r="AI504" s="141"/>
      <c r="AJ504" s="141"/>
      <c r="AK504" s="141"/>
      <c r="AL504" s="141"/>
      <c r="AM504" s="141"/>
      <c r="AN504" s="141"/>
      <c r="AO504" s="141"/>
      <c r="AP504" s="141"/>
      <c r="AQ504" s="141"/>
      <c r="AR504" s="141"/>
      <c r="AS504" s="141"/>
      <c r="AT504" s="141"/>
      <c r="AU504" s="141"/>
      <c r="AV504" s="141"/>
      <c r="AW504" s="141"/>
      <c r="AX504" s="141"/>
      <c r="AY504" s="141"/>
      <c r="AZ504" s="976"/>
      <c r="BA504" s="976"/>
      <c r="BB504" s="976"/>
    </row>
    <row r="505" spans="1:65">
      <c r="C505" s="407"/>
      <c r="E505" s="3266"/>
      <c r="F505" s="1320"/>
      <c r="G505" s="3029"/>
      <c r="H505" s="3028"/>
      <c r="I505" s="3029"/>
      <c r="J505" s="470"/>
      <c r="K505" s="471"/>
      <c r="L505" s="51"/>
      <c r="M505" s="52"/>
      <c r="N505" s="1104"/>
      <c r="O505" s="434"/>
      <c r="U505" s="141"/>
      <c r="V505" s="490"/>
      <c r="W505" s="490"/>
      <c r="X505" s="490"/>
      <c r="Y505" s="490"/>
      <c r="Z505" s="490"/>
      <c r="AA505" s="490"/>
      <c r="AB505" s="490"/>
      <c r="AC505" s="490"/>
      <c r="AD505" s="490"/>
      <c r="AE505" s="490"/>
      <c r="AF505" s="490"/>
      <c r="AG505" s="490"/>
      <c r="AH505" s="490"/>
      <c r="AI505" s="490"/>
      <c r="AJ505" s="490"/>
      <c r="AK505" s="490"/>
      <c r="AL505" s="490"/>
      <c r="AM505" s="490"/>
      <c r="AN505" s="490"/>
      <c r="AO505" s="490"/>
      <c r="AP505" s="490"/>
      <c r="AQ505" s="490"/>
      <c r="AR505" s="490"/>
      <c r="AS505" s="490"/>
      <c r="AT505" s="490"/>
      <c r="AU505" s="490"/>
      <c r="AV505" s="490"/>
      <c r="AW505" s="490"/>
      <c r="AX505" s="490"/>
      <c r="AY505" s="490"/>
      <c r="AZ505" s="976"/>
      <c r="BA505" s="976"/>
      <c r="BB505" s="976"/>
    </row>
    <row r="506" spans="1:65" ht="13.5" thickBot="1">
      <c r="C506" s="407"/>
      <c r="F506" s="3030"/>
      <c r="G506" s="3031"/>
      <c r="H506" s="3030"/>
      <c r="I506" s="3031"/>
      <c r="K506" s="476"/>
      <c r="L506" s="51"/>
      <c r="M506" s="52"/>
      <c r="N506" s="1104"/>
      <c r="O506" s="434"/>
      <c r="V506" s="490"/>
      <c r="W506" s="490"/>
      <c r="X506" s="490"/>
      <c r="Y506" s="490"/>
      <c r="Z506" s="490"/>
      <c r="AA506" s="490"/>
      <c r="AB506" s="490"/>
      <c r="AC506" s="490"/>
      <c r="AD506" s="490"/>
      <c r="AE506" s="490"/>
      <c r="AF506" s="490"/>
      <c r="AG506" s="490"/>
      <c r="AH506" s="490"/>
      <c r="AI506" s="490"/>
      <c r="AJ506" s="490"/>
      <c r="AK506" s="490"/>
      <c r="AL506" s="490"/>
      <c r="AM506" s="490"/>
      <c r="AN506" s="490"/>
      <c r="AO506" s="490"/>
      <c r="AP506" s="490"/>
      <c r="AQ506" s="490"/>
      <c r="AR506" s="490"/>
      <c r="AS506" s="490"/>
      <c r="AT506" s="490"/>
      <c r="AU506" s="490"/>
      <c r="AV506" s="490"/>
      <c r="AW506" s="490"/>
      <c r="AX506" s="490"/>
      <c r="AY506" s="490"/>
      <c r="AZ506" s="976"/>
      <c r="BA506" s="976"/>
      <c r="BB506" s="976"/>
    </row>
    <row r="507" spans="1:65">
      <c r="C507" s="407"/>
      <c r="D507" s="72" t="s">
        <v>101</v>
      </c>
      <c r="E507" s="89">
        <f>E511+E309+E216</f>
        <v>0</v>
      </c>
      <c r="F507" s="3307">
        <f>F504+F496+F488+F402+F370+F345+F309+F216</f>
        <v>0</v>
      </c>
      <c r="G507" s="3032">
        <f>G511+G309+G216</f>
        <v>0</v>
      </c>
      <c r="H507" s="3033">
        <f>H511+H309+H216</f>
        <v>0</v>
      </c>
      <c r="I507" s="3032">
        <f>I511+I309+I216</f>
        <v>0</v>
      </c>
      <c r="J507" s="92">
        <f>J511+J309+J216</f>
        <v>0</v>
      </c>
      <c r="K507" s="43">
        <f>K511+K309+K216</f>
        <v>0</v>
      </c>
      <c r="L507" s="51"/>
      <c r="M507" s="52"/>
      <c r="N507" s="1104"/>
      <c r="O507" s="434"/>
      <c r="V507" s="490"/>
      <c r="W507" s="490"/>
      <c r="X507" s="490"/>
      <c r="Y507" s="490"/>
      <c r="Z507" s="490"/>
      <c r="AA507" s="490"/>
      <c r="AB507" s="490"/>
      <c r="AC507" s="490"/>
      <c r="AD507" s="490"/>
      <c r="AE507" s="490"/>
      <c r="AF507" s="490"/>
      <c r="AG507" s="490"/>
      <c r="AH507" s="490"/>
      <c r="AI507" s="490"/>
      <c r="AJ507" s="490"/>
      <c r="AK507" s="490"/>
      <c r="AL507" s="490"/>
      <c r="AM507" s="490"/>
      <c r="AN507" s="490"/>
      <c r="AO507" s="490"/>
      <c r="AP507" s="490"/>
      <c r="AQ507" s="490"/>
      <c r="AR507" s="490"/>
      <c r="AS507" s="490"/>
      <c r="AT507" s="490"/>
      <c r="AU507" s="490"/>
      <c r="AV507" s="490"/>
      <c r="AW507" s="490"/>
      <c r="AX507" s="490"/>
      <c r="AY507" s="490"/>
      <c r="AZ507" s="976"/>
      <c r="BA507" s="976"/>
      <c r="BB507" s="976"/>
    </row>
    <row r="508" spans="1:65" ht="13.5" thickBot="1">
      <c r="C508" s="407"/>
      <c r="E508" s="90">
        <f>E507/2</f>
        <v>0</v>
      </c>
      <c r="F508" s="3034">
        <f>F507/2</f>
        <v>0</v>
      </c>
      <c r="G508" s="3035"/>
      <c r="H508" s="3034">
        <f>H507/2</f>
        <v>0</v>
      </c>
      <c r="I508" s="3035"/>
      <c r="J508" s="93"/>
      <c r="K508" s="44" t="s">
        <v>102</v>
      </c>
      <c r="L508" s="51"/>
      <c r="M508" s="52"/>
      <c r="N508" s="1104"/>
      <c r="O508" s="434"/>
      <c r="S508" s="490"/>
      <c r="T508" s="490"/>
    </row>
    <row r="509" spans="1:65">
      <c r="A509" s="402" t="s">
        <v>169</v>
      </c>
      <c r="K509" s="399"/>
      <c r="L509" s="51"/>
      <c r="M509" s="52"/>
      <c r="N509" s="1104"/>
      <c r="O509" s="434"/>
      <c r="P509" s="401"/>
      <c r="T509" s="490"/>
      <c r="BM509" s="976"/>
    </row>
    <row r="510" spans="1:65">
      <c r="C510" s="407"/>
      <c r="J510" s="440"/>
      <c r="L510" s="51"/>
      <c r="M510" s="52"/>
      <c r="N510" s="1104"/>
      <c r="O510" s="491"/>
    </row>
    <row r="511" spans="1:65">
      <c r="C511" s="407"/>
      <c r="D511" s="72" t="s">
        <v>610</v>
      </c>
      <c r="E511" s="162">
        <f>E345+E370+E402+E488+E496+E504</f>
        <v>28316.469999999739</v>
      </c>
      <c r="F511" s="163"/>
      <c r="G511" s="164"/>
      <c r="H511" s="163"/>
      <c r="I511" s="164"/>
      <c r="J511" s="165">
        <f>J345+J370+J402+J488+J496+J504</f>
        <v>28316.469999999739</v>
      </c>
      <c r="K511" s="166">
        <f>K345+K370+K402+K488+K496+K504</f>
        <v>-387230.7099999988</v>
      </c>
      <c r="L511" s="51"/>
      <c r="M511" s="440"/>
      <c r="N511" s="1104"/>
      <c r="O511" s="491"/>
    </row>
    <row r="512" spans="1:65">
      <c r="C512" s="407"/>
      <c r="L512" s="51"/>
      <c r="N512" s="1104"/>
      <c r="O512" s="491"/>
    </row>
    <row r="513" spans="1:51">
      <c r="C513" s="407"/>
      <c r="L513" s="51"/>
      <c r="N513" s="1104"/>
      <c r="O513" s="491"/>
    </row>
    <row r="514" spans="1:51">
      <c r="C514" s="407"/>
      <c r="D514" s="153" t="s">
        <v>84</v>
      </c>
      <c r="J514" s="430">
        <f>J345</f>
        <v>-14349707.909999998</v>
      </c>
      <c r="K514" s="430">
        <f>K345</f>
        <v>-19220396.5</v>
      </c>
      <c r="L514" s="51"/>
      <c r="M514" s="493">
        <f>J514/K514</f>
        <v>0.7465875071827992</v>
      </c>
      <c r="N514" s="1104"/>
      <c r="O514" s="491"/>
    </row>
    <row r="515" spans="1:51">
      <c r="C515" s="407"/>
      <c r="D515" s="153" t="s">
        <v>576</v>
      </c>
      <c r="J515" s="51">
        <f>J370-J516-J366</f>
        <v>389381.59999999928</v>
      </c>
      <c r="K515" s="430">
        <f>K370-K516-K366</f>
        <v>532457.43000000087</v>
      </c>
      <c r="L515" s="51"/>
      <c r="M515" s="493">
        <f t="shared" ref="M515:M520" si="118">J515/K515</f>
        <v>0.7312915137647692</v>
      </c>
      <c r="N515" s="1104"/>
      <c r="O515" s="491"/>
    </row>
    <row r="516" spans="1:51">
      <c r="A516" s="494"/>
      <c r="C516" s="407"/>
      <c r="D516" s="153" t="s">
        <v>609</v>
      </c>
      <c r="J516" s="51">
        <f>J368</f>
        <v>10422680.859999999</v>
      </c>
      <c r="K516" s="430">
        <f>K368</f>
        <v>13870837.5</v>
      </c>
      <c r="L516" s="51"/>
      <c r="M516" s="493">
        <f t="shared" si="118"/>
        <v>0.75140962901483055</v>
      </c>
      <c r="N516" s="1104"/>
      <c r="O516" s="491"/>
    </row>
    <row r="517" spans="1:51">
      <c r="A517" s="494"/>
      <c r="C517" s="407"/>
      <c r="D517" s="153" t="s">
        <v>193</v>
      </c>
      <c r="J517" s="51">
        <f>J402</f>
        <v>-57423.79</v>
      </c>
      <c r="K517" s="430">
        <f>K402</f>
        <v>-78501.439999999988</v>
      </c>
      <c r="L517" s="51"/>
      <c r="M517" s="493">
        <f t="shared" si="118"/>
        <v>0.7314998298120392</v>
      </c>
      <c r="N517" s="1104"/>
      <c r="O517" s="491"/>
    </row>
    <row r="518" spans="1:51">
      <c r="A518" s="494"/>
      <c r="C518" s="407"/>
      <c r="D518" s="153" t="s">
        <v>611</v>
      </c>
      <c r="J518" s="51">
        <f>J488-J459</f>
        <v>3181125.9799999995</v>
      </c>
      <c r="K518" s="430">
        <f>K488-K459</f>
        <v>4339685.8500000006</v>
      </c>
      <c r="L518" s="51"/>
      <c r="M518" s="493">
        <f t="shared" si="118"/>
        <v>0.73303139673117101</v>
      </c>
      <c r="N518" s="1104"/>
      <c r="O518" s="491"/>
    </row>
    <row r="519" spans="1:51">
      <c r="A519" s="52"/>
      <c r="B519" s="52"/>
      <c r="C519" s="407"/>
      <c r="D519" s="153" t="s">
        <v>256</v>
      </c>
      <c r="J519" s="51">
        <f>J496</f>
        <v>44968.81</v>
      </c>
      <c r="K519" s="430">
        <f>K496</f>
        <v>60863.14</v>
      </c>
      <c r="L519" s="51"/>
      <c r="M519" s="493"/>
      <c r="N519" s="1104"/>
      <c r="O519" s="491"/>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c r="AT519" s="52"/>
      <c r="AU519" s="52"/>
      <c r="AV519" s="52"/>
      <c r="AW519" s="52"/>
      <c r="AX519" s="52"/>
      <c r="AY519" s="52"/>
    </row>
    <row r="520" spans="1:51">
      <c r="A520" s="52"/>
      <c r="B520" s="52"/>
      <c r="C520" s="407"/>
      <c r="D520" s="153" t="s">
        <v>616</v>
      </c>
      <c r="J520" s="51">
        <f>J500</f>
        <v>9990.24</v>
      </c>
      <c r="K520" s="430">
        <f>K500</f>
        <v>13702.69</v>
      </c>
      <c r="L520" s="51"/>
      <c r="M520" s="493">
        <f t="shared" si="118"/>
        <v>0.72907144509581689</v>
      </c>
      <c r="N520" s="1104"/>
      <c r="O520" s="491"/>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c r="AT520" s="52"/>
      <c r="AU520" s="52"/>
      <c r="AV520" s="52"/>
      <c r="AW520" s="52"/>
      <c r="AX520" s="52"/>
      <c r="AY520" s="52"/>
    </row>
    <row r="521" spans="1:51">
      <c r="A521" s="52"/>
      <c r="B521" s="52"/>
      <c r="C521" s="407"/>
      <c r="D521" s="153" t="s">
        <v>615</v>
      </c>
      <c r="J521" s="51">
        <f>J502</f>
        <v>342090.16</v>
      </c>
      <c r="K521" s="430">
        <f>K502</f>
        <v>32415.72</v>
      </c>
      <c r="L521" s="51"/>
      <c r="N521" s="1104"/>
      <c r="O521" s="491"/>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c r="AT521" s="52"/>
      <c r="AU521" s="52"/>
      <c r="AV521" s="52"/>
      <c r="AW521" s="52"/>
      <c r="AX521" s="52"/>
      <c r="AY521" s="52"/>
    </row>
    <row r="522" spans="1:51">
      <c r="A522" s="52"/>
      <c r="B522" s="52"/>
      <c r="C522" s="407"/>
      <c r="J522" s="495"/>
      <c r="K522" s="496"/>
      <c r="L522" s="51"/>
      <c r="N522" s="1104"/>
      <c r="O522" s="491"/>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c r="AT522" s="52"/>
      <c r="AU522" s="52"/>
      <c r="AV522" s="52"/>
      <c r="AW522" s="52"/>
      <c r="AX522" s="52"/>
      <c r="AY522" s="52"/>
    </row>
    <row r="523" spans="1:51">
      <c r="A523" s="52"/>
      <c r="B523" s="52"/>
      <c r="C523" s="407"/>
      <c r="D523" s="72" t="s">
        <v>610</v>
      </c>
      <c r="J523" s="185">
        <f>SUM(J514:J522)</f>
        <v>-16894.049999999814</v>
      </c>
      <c r="K523" s="185">
        <f>SUM(K514:K522)</f>
        <v>-448935.6100000001</v>
      </c>
      <c r="L523" s="51"/>
      <c r="N523" s="1104"/>
      <c r="O523" s="491"/>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c r="AT523" s="52"/>
      <c r="AU523" s="52"/>
      <c r="AV523" s="52"/>
      <c r="AW523" s="52"/>
      <c r="AX523" s="52"/>
      <c r="AY523" s="52"/>
    </row>
    <row r="524" spans="1:51">
      <c r="A524" s="52"/>
      <c r="B524" s="52"/>
      <c r="C524" s="407"/>
      <c r="J524" s="440"/>
      <c r="L524" s="51"/>
      <c r="N524" s="1104"/>
      <c r="O524" s="491"/>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c r="AT524" s="52"/>
      <c r="AU524" s="52"/>
      <c r="AV524" s="52"/>
      <c r="AW524" s="52"/>
      <c r="AX524" s="52"/>
      <c r="AY524" s="52"/>
    </row>
    <row r="525" spans="1:51">
      <c r="A525" s="52"/>
      <c r="B525" s="52"/>
      <c r="C525" s="407"/>
      <c r="D525" s="153" t="s">
        <v>610</v>
      </c>
      <c r="J525" s="430">
        <f>J511</f>
        <v>28316.469999999739</v>
      </c>
      <c r="K525" s="430">
        <f>K511</f>
        <v>-387230.7099999988</v>
      </c>
      <c r="L525" s="51"/>
      <c r="N525" s="1104"/>
      <c r="O525" s="491"/>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c r="AT525" s="52"/>
      <c r="AU525" s="52"/>
      <c r="AV525" s="52"/>
      <c r="AW525" s="52"/>
      <c r="AX525" s="52"/>
      <c r="AY525" s="52"/>
    </row>
    <row r="526" spans="1:51">
      <c r="A526" s="52"/>
      <c r="B526" s="52"/>
      <c r="C526" s="407"/>
      <c r="D526" s="153" t="s">
        <v>256</v>
      </c>
      <c r="J526" s="430">
        <f>-J519</f>
        <v>-44968.81</v>
      </c>
      <c r="K526" s="430">
        <f>-K519</f>
        <v>-60863.14</v>
      </c>
      <c r="L526" s="51"/>
      <c r="N526" s="1104"/>
      <c r="O526" s="491"/>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c r="AT526" s="52"/>
      <c r="AU526" s="52"/>
      <c r="AV526" s="52"/>
      <c r="AW526" s="52"/>
      <c r="AX526" s="52"/>
      <c r="AY526" s="52"/>
    </row>
    <row r="527" spans="1:51">
      <c r="A527" s="52"/>
      <c r="B527" s="52"/>
      <c r="C527" s="407"/>
      <c r="D527" s="153" t="s">
        <v>615</v>
      </c>
      <c r="J527" s="496">
        <f>-J521</f>
        <v>-342090.16</v>
      </c>
      <c r="K527" s="496">
        <f>-K521</f>
        <v>-32415.72</v>
      </c>
      <c r="L527" s="51"/>
      <c r="N527" s="1104"/>
      <c r="O527" s="491"/>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c r="AT527" s="52"/>
      <c r="AU527" s="52"/>
      <c r="AV527" s="52"/>
      <c r="AW527" s="52"/>
      <c r="AX527" s="52"/>
      <c r="AY527" s="52"/>
    </row>
    <row r="528" spans="1:51" ht="13.5" thickBot="1">
      <c r="A528" s="52"/>
      <c r="B528" s="52"/>
      <c r="C528" s="407"/>
      <c r="J528" s="430"/>
      <c r="L528" s="51"/>
      <c r="N528" s="1104"/>
      <c r="O528" s="491"/>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c r="AT528" s="52"/>
      <c r="AU528" s="52"/>
      <c r="AV528" s="52"/>
      <c r="AW528" s="52"/>
      <c r="AX528" s="52"/>
      <c r="AY528" s="52"/>
    </row>
    <row r="529" spans="1:51" ht="13.5" thickBot="1">
      <c r="A529" s="52"/>
      <c r="B529" s="52"/>
      <c r="C529" s="407"/>
      <c r="D529" s="153" t="s">
        <v>1873</v>
      </c>
      <c r="G529" s="460"/>
      <c r="H529" s="2476">
        <f>J529/J514</f>
        <v>2.4999986219231711E-2</v>
      </c>
      <c r="I529" s="967"/>
      <c r="J529" s="430">
        <f>SUM(J525:J528)</f>
        <v>-358742.50000000023</v>
      </c>
      <c r="K529" s="430">
        <f>SUM(K525:K528)</f>
        <v>-480509.56999999878</v>
      </c>
      <c r="M529" s="2476">
        <f>K529/K514</f>
        <v>2.4999982180388357E-2</v>
      </c>
      <c r="N529" s="1104"/>
      <c r="O529" s="434"/>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c r="AT529" s="52"/>
      <c r="AU529" s="52"/>
      <c r="AV529" s="52"/>
      <c r="AW529" s="52"/>
      <c r="AX529" s="52"/>
      <c r="AY529" s="52"/>
    </row>
    <row r="530" spans="1:51">
      <c r="A530" s="52"/>
      <c r="B530" s="52"/>
      <c r="C530" s="407"/>
      <c r="L530" s="51"/>
      <c r="N530" s="492"/>
      <c r="O530" s="434"/>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c r="AX530" s="52"/>
      <c r="AY530" s="52"/>
    </row>
    <row r="531" spans="1:51">
      <c r="A531" s="52"/>
      <c r="B531" s="52"/>
      <c r="C531" s="407"/>
      <c r="L531" s="51"/>
      <c r="N531" s="492"/>
      <c r="O531" s="434"/>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c r="AT531" s="52"/>
      <c r="AU531" s="52"/>
      <c r="AV531" s="52"/>
      <c r="AW531" s="52"/>
      <c r="AX531" s="52"/>
      <c r="AY531" s="52"/>
    </row>
    <row r="532" spans="1:51">
      <c r="A532" s="52"/>
      <c r="B532" s="52"/>
      <c r="C532" s="407"/>
      <c r="L532" s="51"/>
      <c r="N532" s="492"/>
      <c r="O532" s="434"/>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c r="AT532" s="52"/>
      <c r="AU532" s="52"/>
      <c r="AV532" s="52"/>
      <c r="AW532" s="52"/>
      <c r="AX532" s="52"/>
      <c r="AY532" s="52"/>
    </row>
    <row r="533" spans="1:51">
      <c r="A533" s="52"/>
      <c r="B533" s="52"/>
      <c r="C533" s="1170"/>
      <c r="L533" s="51"/>
      <c r="N533" s="492"/>
      <c r="O533" s="434"/>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c r="AT533" s="52"/>
      <c r="AU533" s="52"/>
      <c r="AV533" s="52"/>
      <c r="AW533" s="52"/>
      <c r="AX533" s="52"/>
      <c r="AY533" s="52"/>
    </row>
    <row r="534" spans="1:51">
      <c r="A534" s="52"/>
      <c r="B534" s="52"/>
      <c r="C534" s="1170"/>
      <c r="L534" s="51"/>
      <c r="N534" s="492"/>
      <c r="O534" s="491"/>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c r="AT534" s="52"/>
      <c r="AU534" s="52"/>
      <c r="AV534" s="52"/>
      <c r="AW534" s="52"/>
      <c r="AX534" s="52"/>
      <c r="AY534" s="52"/>
    </row>
    <row r="535" spans="1:51">
      <c r="A535" s="497"/>
      <c r="B535" s="584"/>
      <c r="C535" s="1170"/>
      <c r="L535" s="51"/>
      <c r="N535" s="492"/>
      <c r="O535" s="491"/>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c r="AT535" s="52"/>
      <c r="AU535" s="52"/>
      <c r="AV535" s="52"/>
      <c r="AW535" s="52"/>
      <c r="AX535" s="52"/>
      <c r="AY535" s="52"/>
    </row>
    <row r="536" spans="1:51">
      <c r="A536" s="497"/>
      <c r="B536" s="584"/>
      <c r="C536" s="1170"/>
      <c r="L536" s="51"/>
      <c r="N536" s="492"/>
      <c r="O536" s="434"/>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c r="AT536" s="52"/>
      <c r="AU536" s="52"/>
      <c r="AV536" s="52"/>
      <c r="AW536" s="52"/>
      <c r="AX536" s="52"/>
      <c r="AY536" s="52"/>
    </row>
    <row r="537" spans="1:51">
      <c r="A537" s="497"/>
      <c r="B537" s="584"/>
      <c r="C537" s="1170"/>
      <c r="L537" s="51"/>
      <c r="N537" s="492"/>
      <c r="O537" s="434"/>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c r="AT537" s="52"/>
      <c r="AU537" s="52"/>
      <c r="AV537" s="52"/>
      <c r="AW537" s="52"/>
      <c r="AX537" s="52"/>
      <c r="AY537" s="52"/>
    </row>
    <row r="538" spans="1:51">
      <c r="A538" s="497"/>
      <c r="B538" s="584"/>
      <c r="C538" s="1170"/>
      <c r="L538" s="51"/>
      <c r="N538" s="492"/>
      <c r="O538" s="498"/>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c r="AT538" s="52"/>
      <c r="AU538" s="52"/>
      <c r="AV538" s="52"/>
      <c r="AW538" s="52"/>
      <c r="AX538" s="52"/>
      <c r="AY538" s="52"/>
    </row>
    <row r="539" spans="1:51">
      <c r="A539" s="497"/>
      <c r="B539" s="584"/>
      <c r="C539" s="1170"/>
      <c r="L539" s="51"/>
      <c r="N539" s="492"/>
      <c r="O539" s="498"/>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c r="AT539" s="52"/>
      <c r="AU539" s="52"/>
      <c r="AV539" s="52"/>
      <c r="AW539" s="52"/>
      <c r="AX539" s="52"/>
      <c r="AY539" s="52"/>
    </row>
    <row r="540" spans="1:51">
      <c r="A540" s="497"/>
      <c r="B540" s="584"/>
      <c r="C540" s="1170"/>
      <c r="L540" s="51"/>
      <c r="N540" s="492"/>
      <c r="O540" s="498"/>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c r="AT540" s="52"/>
      <c r="AU540" s="52"/>
      <c r="AV540" s="52"/>
      <c r="AW540" s="52"/>
      <c r="AX540" s="52"/>
      <c r="AY540" s="52"/>
    </row>
    <row r="541" spans="1:51">
      <c r="A541" s="497"/>
      <c r="B541" s="584"/>
      <c r="C541" s="1170"/>
      <c r="L541" s="51"/>
      <c r="N541" s="492"/>
      <c r="O541" s="498"/>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c r="AT541" s="52"/>
      <c r="AU541" s="52"/>
      <c r="AV541" s="52"/>
      <c r="AW541" s="52"/>
      <c r="AX541" s="52"/>
      <c r="AY541" s="52"/>
    </row>
    <row r="542" spans="1:51">
      <c r="A542" s="497"/>
      <c r="B542" s="584"/>
      <c r="C542" s="1170"/>
      <c r="L542" s="51"/>
      <c r="N542" s="492"/>
      <c r="O542" s="498"/>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c r="AT542" s="52"/>
      <c r="AU542" s="52"/>
      <c r="AV542" s="52"/>
      <c r="AW542" s="52"/>
      <c r="AX542" s="52"/>
      <c r="AY542" s="52"/>
    </row>
    <row r="543" spans="1:51">
      <c r="A543" s="497"/>
      <c r="B543" s="584"/>
      <c r="C543" s="1170"/>
      <c r="L543" s="51"/>
      <c r="N543" s="492"/>
      <c r="O543" s="498"/>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c r="AX543" s="52"/>
      <c r="AY543" s="52"/>
    </row>
    <row r="544" spans="1:51">
      <c r="A544" s="497"/>
      <c r="B544" s="584"/>
      <c r="C544" s="1170"/>
      <c r="L544" s="51"/>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c r="AX544" s="52"/>
      <c r="AY544" s="52"/>
    </row>
    <row r="545" spans="1:51">
      <c r="A545" s="497"/>
      <c r="B545" s="584"/>
      <c r="C545" s="1170"/>
      <c r="L545" s="51"/>
      <c r="N545" s="492"/>
      <c r="O545" s="498"/>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c r="AX545" s="52"/>
      <c r="AY545" s="52"/>
    </row>
    <row r="546" spans="1:51">
      <c r="A546" s="497"/>
      <c r="B546" s="584"/>
      <c r="C546" s="1170"/>
      <c r="L546" s="51"/>
      <c r="N546" s="492"/>
      <c r="O546" s="498"/>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c r="AX546" s="52"/>
      <c r="AY546" s="52"/>
    </row>
    <row r="547" spans="1:51">
      <c r="A547" s="497"/>
      <c r="B547" s="584"/>
      <c r="C547" s="1170"/>
      <c r="L547" s="51"/>
      <c r="N547" s="492"/>
      <c r="O547" s="498"/>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c r="AT547" s="52"/>
      <c r="AU547" s="52"/>
      <c r="AV547" s="52"/>
      <c r="AW547" s="52"/>
      <c r="AX547" s="52"/>
      <c r="AY547" s="52"/>
    </row>
    <row r="548" spans="1:51">
      <c r="A548" s="497"/>
      <c r="B548" s="584"/>
      <c r="C548" s="1170"/>
      <c r="L548" s="51"/>
      <c r="N548" s="492"/>
      <c r="O548" s="498"/>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c r="AT548" s="52"/>
      <c r="AU548" s="52"/>
      <c r="AV548" s="52"/>
      <c r="AW548" s="52"/>
      <c r="AX548" s="52"/>
      <c r="AY548" s="52"/>
    </row>
    <row r="549" spans="1:51">
      <c r="A549" s="497"/>
      <c r="B549" s="584"/>
      <c r="C549" s="1170"/>
      <c r="L549" s="51"/>
      <c r="N549" s="492"/>
      <c r="O549" s="498"/>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c r="AT549" s="52"/>
      <c r="AU549" s="52"/>
      <c r="AV549" s="52"/>
      <c r="AW549" s="52"/>
      <c r="AX549" s="52"/>
      <c r="AY549" s="52"/>
    </row>
    <row r="550" spans="1:51">
      <c r="A550" s="497"/>
      <c r="B550" s="584"/>
      <c r="C550" s="1170"/>
      <c r="L550" s="51"/>
      <c r="N550" s="492"/>
      <c r="O550" s="498"/>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c r="AT550" s="52"/>
      <c r="AU550" s="52"/>
      <c r="AV550" s="52"/>
      <c r="AW550" s="52"/>
      <c r="AX550" s="52"/>
      <c r="AY550" s="52"/>
    </row>
    <row r="551" spans="1:51">
      <c r="A551" s="497"/>
      <c r="B551" s="584"/>
      <c r="C551" s="1170"/>
      <c r="L551" s="51"/>
      <c r="N551" s="492"/>
      <c r="O551" s="498"/>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c r="AX551" s="52"/>
      <c r="AY551" s="52"/>
    </row>
    <row r="552" spans="1:51">
      <c r="A552" s="497"/>
      <c r="B552" s="584"/>
      <c r="C552" s="1170"/>
      <c r="L552" s="51"/>
      <c r="N552" s="492"/>
      <c r="O552" s="498"/>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c r="AT552" s="52"/>
      <c r="AU552" s="52"/>
      <c r="AV552" s="52"/>
      <c r="AW552" s="52"/>
      <c r="AX552" s="52"/>
      <c r="AY552" s="52"/>
    </row>
    <row r="553" spans="1:51">
      <c r="A553" s="497"/>
      <c r="B553" s="584"/>
      <c r="C553" s="1170"/>
      <c r="L553" s="51"/>
      <c r="N553" s="492"/>
      <c r="O553" s="498"/>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c r="AT553" s="52"/>
      <c r="AU553" s="52"/>
      <c r="AV553" s="52"/>
      <c r="AW553" s="52"/>
      <c r="AX553" s="52"/>
      <c r="AY553" s="52"/>
    </row>
    <row r="554" spans="1:51">
      <c r="A554" s="497"/>
      <c r="B554" s="584"/>
      <c r="C554" s="1170"/>
      <c r="L554" s="51"/>
      <c r="N554" s="492"/>
      <c r="O554" s="498"/>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c r="AT554" s="52"/>
      <c r="AU554" s="52"/>
      <c r="AV554" s="52"/>
      <c r="AW554" s="52"/>
      <c r="AX554" s="52"/>
      <c r="AY554" s="52"/>
    </row>
    <row r="555" spans="1:51">
      <c r="A555" s="497"/>
      <c r="B555" s="584"/>
      <c r="C555" s="1170"/>
      <c r="L555" s="51"/>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c r="AT555" s="52"/>
      <c r="AU555" s="52"/>
      <c r="AV555" s="52"/>
      <c r="AW555" s="52"/>
      <c r="AX555" s="52"/>
      <c r="AY555" s="52"/>
    </row>
    <row r="556" spans="1:51">
      <c r="A556" s="497"/>
      <c r="B556" s="584"/>
      <c r="C556" s="1170"/>
      <c r="L556" s="51"/>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c r="AT556" s="52"/>
      <c r="AU556" s="52"/>
      <c r="AV556" s="52"/>
      <c r="AW556" s="52"/>
      <c r="AX556" s="52"/>
      <c r="AY556" s="52"/>
    </row>
    <row r="557" spans="1:51">
      <c r="A557" s="497"/>
      <c r="B557" s="584"/>
      <c r="C557" s="1170"/>
      <c r="L557" s="51"/>
      <c r="N557" s="492"/>
      <c r="O557" s="498"/>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c r="AT557" s="52"/>
      <c r="AU557" s="52"/>
      <c r="AV557" s="52"/>
      <c r="AW557" s="52"/>
      <c r="AX557" s="52"/>
      <c r="AY557" s="52"/>
    </row>
    <row r="558" spans="1:51">
      <c r="A558" s="497"/>
      <c r="B558" s="584"/>
      <c r="C558" s="1170"/>
      <c r="L558" s="51"/>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c r="AT558" s="52"/>
      <c r="AU558" s="52"/>
      <c r="AV558" s="52"/>
      <c r="AW558" s="52"/>
      <c r="AX558" s="52"/>
      <c r="AY558" s="52"/>
    </row>
    <row r="559" spans="1:51">
      <c r="A559" s="497"/>
      <c r="B559" s="584"/>
      <c r="C559" s="1170"/>
      <c r="L559" s="51"/>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c r="AT559" s="52"/>
      <c r="AU559" s="52"/>
      <c r="AV559" s="52"/>
      <c r="AW559" s="52"/>
      <c r="AX559" s="52"/>
      <c r="AY559" s="52"/>
    </row>
    <row r="560" spans="1:51">
      <c r="A560" s="497"/>
      <c r="B560" s="584"/>
      <c r="C560" s="1170"/>
      <c r="L560" s="51"/>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c r="AT560" s="52"/>
      <c r="AU560" s="52"/>
      <c r="AV560" s="52"/>
      <c r="AW560" s="52"/>
      <c r="AX560" s="52"/>
      <c r="AY560" s="52"/>
    </row>
    <row r="561" spans="1:51">
      <c r="A561" s="497"/>
      <c r="B561" s="584"/>
      <c r="C561" s="499"/>
      <c r="L561" s="51"/>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c r="AT561" s="52"/>
      <c r="AU561" s="52"/>
      <c r="AV561" s="52"/>
      <c r="AW561" s="52"/>
      <c r="AX561" s="52"/>
      <c r="AY561" s="52"/>
    </row>
    <row r="562" spans="1:51">
      <c r="A562" s="497"/>
      <c r="B562" s="584"/>
      <c r="C562" s="499"/>
      <c r="L562" s="51"/>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c r="AT562" s="52"/>
      <c r="AU562" s="52"/>
      <c r="AV562" s="52"/>
      <c r="AW562" s="52"/>
      <c r="AX562" s="52"/>
      <c r="AY562" s="52"/>
    </row>
    <row r="563" spans="1:51">
      <c r="A563" s="497"/>
      <c r="B563" s="584"/>
      <c r="C563" s="499"/>
      <c r="L563" s="51"/>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c r="AT563" s="52"/>
      <c r="AU563" s="52"/>
      <c r="AV563" s="52"/>
      <c r="AW563" s="52"/>
      <c r="AX563" s="52"/>
      <c r="AY563" s="52"/>
    </row>
    <row r="564" spans="1:51">
      <c r="A564" s="497"/>
      <c r="B564" s="584"/>
      <c r="C564" s="499"/>
      <c r="L564" s="51"/>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c r="AT564" s="52"/>
      <c r="AU564" s="52"/>
      <c r="AV564" s="52"/>
      <c r="AW564" s="52"/>
      <c r="AX564" s="52"/>
      <c r="AY564" s="52"/>
    </row>
    <row r="565" spans="1:51">
      <c r="A565" s="497"/>
      <c r="B565" s="584"/>
      <c r="C565" s="499"/>
      <c r="L565" s="51"/>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c r="AT565" s="52"/>
      <c r="AU565" s="52"/>
      <c r="AV565" s="52"/>
      <c r="AW565" s="52"/>
      <c r="AX565" s="52"/>
      <c r="AY565" s="52"/>
    </row>
    <row r="566" spans="1:51">
      <c r="A566" s="497"/>
      <c r="B566" s="584"/>
      <c r="C566" s="499"/>
      <c r="L566" s="51"/>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c r="AT566" s="52"/>
      <c r="AU566" s="52"/>
      <c r="AV566" s="52"/>
      <c r="AW566" s="52"/>
      <c r="AX566" s="52"/>
      <c r="AY566" s="52"/>
    </row>
    <row r="567" spans="1:51">
      <c r="A567" s="497"/>
      <c r="B567" s="584"/>
      <c r="C567" s="499"/>
      <c r="D567" s="51"/>
      <c r="K567" s="399"/>
      <c r="L567" s="51"/>
      <c r="O567" s="137"/>
      <c r="P567" s="401"/>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c r="AT567" s="52"/>
      <c r="AU567" s="52"/>
      <c r="AV567" s="52"/>
      <c r="AW567" s="52"/>
      <c r="AX567" s="52"/>
      <c r="AY567" s="52"/>
    </row>
    <row r="568" spans="1:51">
      <c r="A568" s="497"/>
      <c r="B568" s="584"/>
      <c r="C568" s="499"/>
      <c r="D568" s="51"/>
      <c r="K568" s="399"/>
      <c r="L568" s="51"/>
      <c r="O568" s="137"/>
      <c r="P568" s="401"/>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c r="AT568" s="52"/>
      <c r="AU568" s="52"/>
      <c r="AV568" s="52"/>
      <c r="AW568" s="52"/>
      <c r="AX568" s="52"/>
      <c r="AY568" s="52"/>
    </row>
    <row r="569" spans="1:51">
      <c r="A569" s="497"/>
      <c r="B569" s="584"/>
      <c r="C569" s="499"/>
      <c r="D569" s="51"/>
      <c r="K569" s="399"/>
      <c r="L569" s="51"/>
      <c r="O569" s="137"/>
      <c r="P569" s="401"/>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c r="AT569" s="52"/>
      <c r="AU569" s="52"/>
      <c r="AV569" s="52"/>
      <c r="AW569" s="52"/>
      <c r="AX569" s="52"/>
      <c r="AY569" s="52"/>
    </row>
    <row r="570" spans="1:51">
      <c r="A570" s="497"/>
      <c r="B570" s="584"/>
      <c r="C570" s="499"/>
      <c r="D570" s="51"/>
      <c r="K570" s="399"/>
      <c r="L570" s="51"/>
      <c r="O570" s="137"/>
      <c r="P570" s="401"/>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c r="AT570" s="52"/>
      <c r="AU570" s="52"/>
      <c r="AV570" s="52"/>
      <c r="AW570" s="52"/>
      <c r="AX570" s="52"/>
      <c r="AY570" s="52"/>
    </row>
    <row r="571" spans="1:51">
      <c r="A571" s="497"/>
      <c r="B571" s="584"/>
      <c r="C571" s="499"/>
      <c r="D571" s="51"/>
      <c r="K571" s="399"/>
      <c r="L571" s="51"/>
      <c r="O571" s="137"/>
      <c r="P571" s="401"/>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c r="AT571" s="52"/>
      <c r="AU571" s="52"/>
      <c r="AV571" s="52"/>
      <c r="AW571" s="52"/>
      <c r="AX571" s="52"/>
      <c r="AY571" s="52"/>
    </row>
    <row r="572" spans="1:51">
      <c r="A572" s="497"/>
      <c r="B572" s="584"/>
      <c r="C572" s="499"/>
      <c r="D572" s="51"/>
      <c r="K572" s="399"/>
      <c r="L572" s="51"/>
      <c r="O572" s="137"/>
      <c r="P572" s="401"/>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c r="AT572" s="52"/>
      <c r="AU572" s="52"/>
      <c r="AV572" s="52"/>
      <c r="AW572" s="52"/>
      <c r="AX572" s="52"/>
      <c r="AY572" s="52"/>
    </row>
    <row r="573" spans="1:51">
      <c r="A573" s="497"/>
      <c r="B573" s="584"/>
      <c r="C573" s="499"/>
      <c r="D573" s="51"/>
      <c r="K573" s="399"/>
      <c r="L573" s="51"/>
      <c r="O573" s="137"/>
      <c r="P573" s="401"/>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c r="AT573" s="52"/>
      <c r="AU573" s="52"/>
      <c r="AV573" s="52"/>
      <c r="AW573" s="52"/>
      <c r="AX573" s="52"/>
      <c r="AY573" s="52"/>
    </row>
    <row r="574" spans="1:51">
      <c r="A574" s="497"/>
      <c r="B574" s="584"/>
      <c r="C574" s="499"/>
      <c r="D574" s="51"/>
      <c r="K574" s="399"/>
      <c r="L574" s="51"/>
      <c r="O574" s="137"/>
      <c r="P574" s="401"/>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c r="AT574" s="52"/>
      <c r="AU574" s="52"/>
      <c r="AV574" s="52"/>
      <c r="AW574" s="52"/>
      <c r="AX574" s="52"/>
      <c r="AY574" s="52"/>
    </row>
    <row r="575" spans="1:51">
      <c r="A575" s="497"/>
      <c r="B575" s="584"/>
      <c r="C575" s="499"/>
      <c r="D575" s="51"/>
      <c r="K575" s="399"/>
      <c r="L575" s="51"/>
      <c r="O575" s="137"/>
      <c r="P575" s="401"/>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c r="AT575" s="52"/>
      <c r="AU575" s="52"/>
      <c r="AV575" s="52"/>
      <c r="AW575" s="52"/>
      <c r="AX575" s="52"/>
      <c r="AY575" s="52"/>
    </row>
    <row r="576" spans="1:51">
      <c r="A576" s="497"/>
      <c r="B576" s="584"/>
      <c r="C576" s="499"/>
      <c r="D576" s="51"/>
      <c r="K576" s="399"/>
      <c r="L576" s="51"/>
      <c r="O576" s="137"/>
      <c r="P576" s="401"/>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c r="AT576" s="52"/>
      <c r="AU576" s="52"/>
      <c r="AV576" s="52"/>
      <c r="AW576" s="52"/>
      <c r="AX576" s="52"/>
      <c r="AY576" s="52"/>
    </row>
    <row r="577" spans="1:51">
      <c r="A577" s="497"/>
      <c r="B577" s="584"/>
      <c r="C577" s="499"/>
      <c r="D577" s="51"/>
      <c r="K577" s="399"/>
      <c r="L577" s="51"/>
      <c r="O577" s="137"/>
      <c r="P577" s="401"/>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c r="AT577" s="52"/>
      <c r="AU577" s="52"/>
      <c r="AV577" s="52"/>
      <c r="AW577" s="52"/>
      <c r="AX577" s="52"/>
      <c r="AY577" s="52"/>
    </row>
    <row r="578" spans="1:51">
      <c r="A578" s="497"/>
      <c r="B578" s="584"/>
      <c r="C578" s="499"/>
      <c r="D578" s="51"/>
      <c r="K578" s="399"/>
      <c r="L578" s="51"/>
      <c r="O578" s="137"/>
      <c r="P578" s="401"/>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c r="AT578" s="52"/>
      <c r="AU578" s="52"/>
      <c r="AV578" s="52"/>
      <c r="AW578" s="52"/>
      <c r="AX578" s="52"/>
      <c r="AY578" s="52"/>
    </row>
    <row r="579" spans="1:51">
      <c r="A579" s="497"/>
      <c r="B579" s="584"/>
      <c r="C579" s="499"/>
      <c r="D579" s="51"/>
      <c r="K579" s="399"/>
      <c r="L579" s="51"/>
      <c r="O579" s="137"/>
      <c r="P579" s="401"/>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c r="AT579" s="52"/>
      <c r="AU579" s="52"/>
      <c r="AV579" s="52"/>
      <c r="AW579" s="52"/>
      <c r="AX579" s="52"/>
      <c r="AY579" s="52"/>
    </row>
    <row r="580" spans="1:51">
      <c r="A580" s="497"/>
      <c r="B580" s="584"/>
      <c r="C580" s="499"/>
      <c r="D580" s="51"/>
      <c r="K580" s="399"/>
      <c r="L580" s="51"/>
      <c r="O580" s="137"/>
      <c r="P580" s="401"/>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c r="AX580" s="52"/>
      <c r="AY580" s="52"/>
    </row>
    <row r="581" spans="1:51">
      <c r="A581" s="497"/>
      <c r="B581" s="584"/>
      <c r="C581" s="499"/>
      <c r="D581" s="51"/>
      <c r="K581" s="399"/>
      <c r="L581" s="51"/>
      <c r="O581" s="137"/>
      <c r="P581" s="401"/>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52"/>
      <c r="AU581" s="52"/>
      <c r="AV581" s="52"/>
      <c r="AW581" s="52"/>
      <c r="AX581" s="52"/>
      <c r="AY581" s="52"/>
    </row>
    <row r="582" spans="1:51">
      <c r="A582" s="497"/>
      <c r="B582" s="584"/>
      <c r="C582" s="499"/>
      <c r="D582" s="51"/>
      <c r="K582" s="399"/>
      <c r="L582" s="51"/>
      <c r="O582" s="137"/>
      <c r="P582" s="401"/>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c r="AT582" s="52"/>
      <c r="AU582" s="52"/>
      <c r="AV582" s="52"/>
      <c r="AW582" s="52"/>
      <c r="AX582" s="52"/>
      <c r="AY582" s="52"/>
    </row>
    <row r="583" spans="1:51">
      <c r="A583" s="497"/>
      <c r="B583" s="584"/>
      <c r="C583" s="499"/>
      <c r="D583" s="51"/>
      <c r="K583" s="399"/>
      <c r="L583" s="51"/>
      <c r="O583" s="137"/>
      <c r="P583" s="401"/>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c r="AT583" s="52"/>
      <c r="AU583" s="52"/>
      <c r="AV583" s="52"/>
      <c r="AW583" s="52"/>
      <c r="AX583" s="52"/>
      <c r="AY583" s="52"/>
    </row>
    <row r="584" spans="1:51">
      <c r="A584" s="497"/>
      <c r="B584" s="584"/>
      <c r="C584" s="499"/>
      <c r="D584" s="51"/>
      <c r="K584" s="399"/>
      <c r="L584" s="51"/>
      <c r="O584" s="137"/>
      <c r="P584" s="401"/>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c r="AT584" s="52"/>
      <c r="AU584" s="52"/>
      <c r="AV584" s="52"/>
      <c r="AW584" s="52"/>
      <c r="AX584" s="52"/>
      <c r="AY584" s="52"/>
    </row>
    <row r="585" spans="1:51">
      <c r="A585" s="497"/>
      <c r="B585" s="584"/>
      <c r="C585" s="499"/>
      <c r="D585" s="51"/>
      <c r="K585" s="399"/>
      <c r="L585" s="51"/>
      <c r="O585" s="137"/>
      <c r="P585" s="401"/>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c r="AT585" s="52"/>
      <c r="AU585" s="52"/>
      <c r="AV585" s="52"/>
      <c r="AW585" s="52"/>
      <c r="AX585" s="52"/>
      <c r="AY585" s="52"/>
    </row>
    <row r="586" spans="1:51">
      <c r="A586" s="497"/>
      <c r="B586" s="584"/>
      <c r="C586" s="499"/>
      <c r="D586" s="51"/>
      <c r="K586" s="399"/>
      <c r="L586" s="51"/>
      <c r="O586" s="137"/>
      <c r="P586" s="401"/>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c r="AT586" s="52"/>
      <c r="AU586" s="52"/>
      <c r="AV586" s="52"/>
      <c r="AW586" s="52"/>
      <c r="AX586" s="52"/>
      <c r="AY586" s="52"/>
    </row>
    <row r="587" spans="1:51">
      <c r="A587" s="497"/>
      <c r="B587" s="584"/>
      <c r="C587" s="499"/>
      <c r="D587" s="51"/>
      <c r="K587" s="399"/>
      <c r="L587" s="51"/>
      <c r="O587" s="137"/>
      <c r="P587" s="401"/>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c r="AT587" s="52"/>
      <c r="AU587" s="52"/>
      <c r="AV587" s="52"/>
      <c r="AW587" s="52"/>
      <c r="AX587" s="52"/>
      <c r="AY587" s="52"/>
    </row>
    <row r="588" spans="1:51">
      <c r="A588" s="497"/>
      <c r="B588" s="584"/>
      <c r="C588" s="499"/>
      <c r="D588" s="51"/>
      <c r="K588" s="399"/>
      <c r="L588" s="51"/>
      <c r="O588" s="137"/>
      <c r="P588" s="401"/>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c r="AT588" s="52"/>
      <c r="AU588" s="52"/>
      <c r="AV588" s="52"/>
      <c r="AW588" s="52"/>
      <c r="AX588" s="52"/>
      <c r="AY588" s="52"/>
    </row>
    <row r="589" spans="1:51">
      <c r="A589" s="497"/>
      <c r="B589" s="584"/>
      <c r="C589" s="499"/>
      <c r="D589" s="51"/>
      <c r="K589" s="399"/>
      <c r="L589" s="51"/>
      <c r="O589" s="137"/>
      <c r="P589" s="401"/>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c r="AT589" s="52"/>
      <c r="AU589" s="52"/>
      <c r="AV589" s="52"/>
      <c r="AW589" s="52"/>
      <c r="AX589" s="52"/>
      <c r="AY589" s="52"/>
    </row>
    <row r="590" spans="1:51">
      <c r="A590" s="497"/>
      <c r="B590" s="584"/>
      <c r="C590" s="499"/>
      <c r="D590" s="51"/>
      <c r="K590" s="399"/>
      <c r="L590" s="51"/>
      <c r="O590" s="137"/>
      <c r="P590" s="401"/>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c r="AT590" s="52"/>
      <c r="AU590" s="52"/>
      <c r="AV590" s="52"/>
      <c r="AW590" s="52"/>
      <c r="AX590" s="52"/>
      <c r="AY590" s="52"/>
    </row>
    <row r="591" spans="1:51">
      <c r="A591" s="497"/>
      <c r="B591" s="584"/>
      <c r="C591" s="499"/>
      <c r="D591" s="51"/>
      <c r="K591" s="399"/>
      <c r="L591" s="51"/>
      <c r="O591" s="137"/>
      <c r="P591" s="401"/>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c r="AT591" s="52"/>
      <c r="AU591" s="52"/>
      <c r="AV591" s="52"/>
      <c r="AW591" s="52"/>
      <c r="AX591" s="52"/>
      <c r="AY591" s="52"/>
    </row>
    <row r="592" spans="1:51">
      <c r="A592" s="497"/>
      <c r="B592" s="584"/>
      <c r="C592" s="499"/>
      <c r="D592" s="51"/>
      <c r="K592" s="399"/>
      <c r="L592" s="51"/>
      <c r="O592" s="137"/>
      <c r="P592" s="401"/>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c r="AT592" s="52"/>
      <c r="AU592" s="52"/>
      <c r="AV592" s="52"/>
      <c r="AW592" s="52"/>
      <c r="AX592" s="52"/>
      <c r="AY592" s="52"/>
    </row>
    <row r="593" spans="1:51">
      <c r="A593" s="497"/>
      <c r="B593" s="584"/>
      <c r="C593" s="499"/>
      <c r="D593" s="51"/>
      <c r="K593" s="399"/>
      <c r="L593" s="51"/>
      <c r="O593" s="137"/>
      <c r="P593" s="401"/>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c r="AT593" s="52"/>
      <c r="AU593" s="52"/>
      <c r="AV593" s="52"/>
      <c r="AW593" s="52"/>
      <c r="AX593" s="52"/>
      <c r="AY593" s="52"/>
    </row>
    <row r="594" spans="1:51">
      <c r="A594" s="497"/>
      <c r="B594" s="584"/>
      <c r="C594" s="499"/>
      <c r="D594" s="51"/>
      <c r="K594" s="399"/>
      <c r="L594" s="51"/>
      <c r="O594" s="137"/>
      <c r="P594" s="401"/>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c r="AT594" s="52"/>
      <c r="AU594" s="52"/>
      <c r="AV594" s="52"/>
      <c r="AW594" s="52"/>
      <c r="AX594" s="52"/>
      <c r="AY594" s="52"/>
    </row>
    <row r="595" spans="1:51">
      <c r="A595" s="497"/>
      <c r="B595" s="584"/>
      <c r="C595" s="499"/>
      <c r="D595" s="51"/>
      <c r="K595" s="399"/>
      <c r="L595" s="51"/>
      <c r="O595" s="137"/>
      <c r="P595" s="401"/>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c r="AT595" s="52"/>
      <c r="AU595" s="52"/>
      <c r="AV595" s="52"/>
      <c r="AW595" s="52"/>
      <c r="AX595" s="52"/>
      <c r="AY595" s="52"/>
    </row>
    <row r="596" spans="1:51">
      <c r="A596" s="497"/>
      <c r="B596" s="584"/>
      <c r="C596" s="499"/>
      <c r="D596" s="51"/>
      <c r="K596" s="399"/>
      <c r="L596" s="51"/>
      <c r="O596" s="137"/>
      <c r="P596" s="401"/>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c r="AT596" s="52"/>
      <c r="AU596" s="52"/>
      <c r="AV596" s="52"/>
      <c r="AW596" s="52"/>
      <c r="AX596" s="52"/>
      <c r="AY596" s="52"/>
    </row>
    <row r="597" spans="1:51">
      <c r="A597" s="497"/>
      <c r="B597" s="584"/>
      <c r="C597" s="499"/>
      <c r="D597" s="51"/>
      <c r="K597" s="399"/>
      <c r="L597" s="51"/>
      <c r="O597" s="137"/>
      <c r="P597" s="401"/>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c r="AT597" s="52"/>
      <c r="AU597" s="52"/>
      <c r="AV597" s="52"/>
      <c r="AW597" s="52"/>
      <c r="AX597" s="52"/>
      <c r="AY597" s="52"/>
    </row>
    <row r="598" spans="1:51">
      <c r="A598" s="497"/>
      <c r="B598" s="584"/>
      <c r="C598" s="499"/>
      <c r="D598" s="51"/>
      <c r="K598" s="399"/>
      <c r="L598" s="51"/>
      <c r="O598" s="137"/>
      <c r="P598" s="401"/>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c r="AT598" s="52"/>
      <c r="AU598" s="52"/>
      <c r="AV598" s="52"/>
      <c r="AW598" s="52"/>
      <c r="AX598" s="52"/>
      <c r="AY598" s="52"/>
    </row>
    <row r="599" spans="1:51">
      <c r="A599" s="497"/>
      <c r="B599" s="584"/>
      <c r="C599" s="499"/>
      <c r="D599" s="51"/>
      <c r="K599" s="399"/>
      <c r="L599" s="51"/>
      <c r="O599" s="137"/>
      <c r="P599" s="401"/>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c r="AT599" s="52"/>
      <c r="AU599" s="52"/>
      <c r="AV599" s="52"/>
      <c r="AW599" s="52"/>
      <c r="AX599" s="52"/>
      <c r="AY599" s="52"/>
    </row>
    <row r="600" spans="1:51">
      <c r="A600" s="497"/>
      <c r="B600" s="584"/>
      <c r="C600" s="499"/>
      <c r="D600" s="51"/>
      <c r="K600" s="399"/>
      <c r="L600" s="51"/>
      <c r="O600" s="137"/>
      <c r="P600" s="401"/>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c r="AT600" s="52"/>
      <c r="AU600" s="52"/>
      <c r="AV600" s="52"/>
      <c r="AW600" s="52"/>
      <c r="AX600" s="52"/>
      <c r="AY600" s="52"/>
    </row>
    <row r="601" spans="1:51">
      <c r="A601" s="497"/>
      <c r="B601" s="584"/>
      <c r="C601" s="499"/>
      <c r="D601" s="51"/>
      <c r="K601" s="399"/>
      <c r="L601" s="51"/>
      <c r="O601" s="137"/>
      <c r="P601" s="401"/>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c r="AT601" s="52"/>
      <c r="AU601" s="52"/>
      <c r="AV601" s="52"/>
      <c r="AW601" s="52"/>
      <c r="AX601" s="52"/>
      <c r="AY601" s="52"/>
    </row>
    <row r="602" spans="1:51">
      <c r="A602" s="497"/>
      <c r="B602" s="584"/>
      <c r="C602" s="499"/>
      <c r="D602" s="51"/>
      <c r="K602" s="399"/>
      <c r="L602" s="51"/>
      <c r="O602" s="137"/>
      <c r="P602" s="401"/>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c r="AT602" s="52"/>
      <c r="AU602" s="52"/>
      <c r="AV602" s="52"/>
      <c r="AW602" s="52"/>
      <c r="AX602" s="52"/>
      <c r="AY602" s="52"/>
    </row>
    <row r="603" spans="1:51">
      <c r="A603" s="497"/>
      <c r="B603" s="584"/>
      <c r="C603" s="499"/>
      <c r="D603" s="51"/>
      <c r="K603" s="399"/>
      <c r="L603" s="51"/>
      <c r="O603" s="137"/>
      <c r="P603" s="401"/>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c r="AT603" s="52"/>
      <c r="AU603" s="52"/>
      <c r="AV603" s="52"/>
      <c r="AW603" s="52"/>
      <c r="AX603" s="52"/>
      <c r="AY603" s="52"/>
    </row>
    <row r="604" spans="1:51">
      <c r="A604" s="497"/>
      <c r="B604" s="584"/>
      <c r="C604" s="499"/>
      <c r="D604" s="51"/>
      <c r="K604" s="399"/>
      <c r="L604" s="51"/>
      <c r="O604" s="137"/>
      <c r="P604" s="401"/>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c r="AT604" s="52"/>
      <c r="AU604" s="52"/>
      <c r="AV604" s="52"/>
      <c r="AW604" s="52"/>
      <c r="AX604" s="52"/>
      <c r="AY604" s="52"/>
    </row>
    <row r="605" spans="1:51">
      <c r="A605" s="497"/>
      <c r="B605" s="584"/>
      <c r="C605" s="499"/>
      <c r="D605" s="51"/>
      <c r="K605" s="399"/>
      <c r="L605" s="51"/>
      <c r="O605" s="137"/>
      <c r="P605" s="401"/>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c r="AT605" s="52"/>
      <c r="AU605" s="52"/>
      <c r="AV605" s="52"/>
      <c r="AW605" s="52"/>
      <c r="AX605" s="52"/>
      <c r="AY605" s="52"/>
    </row>
    <row r="606" spans="1:51">
      <c r="A606" s="497"/>
      <c r="B606" s="584"/>
      <c r="C606" s="499"/>
      <c r="D606" s="51"/>
      <c r="K606" s="399"/>
      <c r="L606" s="51"/>
      <c r="O606" s="137"/>
      <c r="P606" s="401"/>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c r="AT606" s="52"/>
      <c r="AU606" s="52"/>
      <c r="AV606" s="52"/>
      <c r="AW606" s="52"/>
      <c r="AX606" s="52"/>
      <c r="AY606" s="52"/>
    </row>
    <row r="607" spans="1:51">
      <c r="A607" s="497"/>
      <c r="B607" s="584"/>
      <c r="C607" s="499"/>
      <c r="D607" s="51"/>
      <c r="K607" s="399"/>
      <c r="L607" s="51"/>
      <c r="O607" s="137"/>
      <c r="P607" s="401"/>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c r="AT607" s="52"/>
      <c r="AU607" s="52"/>
      <c r="AV607" s="52"/>
      <c r="AW607" s="52"/>
      <c r="AX607" s="52"/>
      <c r="AY607" s="52"/>
    </row>
    <row r="608" spans="1:51">
      <c r="A608" s="497"/>
      <c r="B608" s="584"/>
      <c r="C608" s="499"/>
      <c r="D608" s="51"/>
      <c r="K608" s="399"/>
      <c r="L608" s="51"/>
      <c r="O608" s="137"/>
      <c r="P608" s="401"/>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c r="AT608" s="52"/>
      <c r="AU608" s="52"/>
      <c r="AV608" s="52"/>
      <c r="AW608" s="52"/>
      <c r="AX608" s="52"/>
      <c r="AY608" s="52"/>
    </row>
    <row r="609" spans="1:51">
      <c r="A609" s="497"/>
      <c r="B609" s="584"/>
      <c r="C609" s="499"/>
      <c r="D609" s="51"/>
      <c r="K609" s="399"/>
      <c r="L609" s="51"/>
      <c r="O609" s="137"/>
      <c r="P609" s="401"/>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c r="AT609" s="52"/>
      <c r="AU609" s="52"/>
      <c r="AV609" s="52"/>
      <c r="AW609" s="52"/>
      <c r="AX609" s="52"/>
      <c r="AY609" s="52"/>
    </row>
    <row r="610" spans="1:51">
      <c r="A610" s="497"/>
      <c r="B610" s="584"/>
      <c r="C610" s="499"/>
      <c r="D610" s="51"/>
      <c r="K610" s="399"/>
      <c r="L610" s="51"/>
      <c r="O610" s="137"/>
      <c r="P610" s="401"/>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c r="AT610" s="52"/>
      <c r="AU610" s="52"/>
      <c r="AV610" s="52"/>
      <c r="AW610" s="52"/>
      <c r="AX610" s="52"/>
      <c r="AY610" s="52"/>
    </row>
    <row r="611" spans="1:51">
      <c r="A611" s="497"/>
      <c r="B611" s="584"/>
      <c r="C611" s="499"/>
      <c r="D611" s="51"/>
      <c r="K611" s="399"/>
      <c r="L611" s="51"/>
      <c r="O611" s="137"/>
      <c r="P611" s="401"/>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c r="AT611" s="52"/>
      <c r="AU611" s="52"/>
      <c r="AV611" s="52"/>
      <c r="AW611" s="52"/>
      <c r="AX611" s="52"/>
      <c r="AY611" s="52"/>
    </row>
    <row r="612" spans="1:51">
      <c r="A612" s="497"/>
      <c r="B612" s="584"/>
      <c r="C612" s="499"/>
      <c r="D612" s="51"/>
      <c r="K612" s="399"/>
      <c r="L612" s="51"/>
      <c r="O612" s="137"/>
      <c r="P612" s="401"/>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c r="AT612" s="52"/>
      <c r="AU612" s="52"/>
      <c r="AV612" s="52"/>
      <c r="AW612" s="52"/>
      <c r="AX612" s="52"/>
      <c r="AY612" s="52"/>
    </row>
    <row r="613" spans="1:51">
      <c r="A613" s="497"/>
      <c r="B613" s="584"/>
      <c r="C613" s="499"/>
      <c r="D613" s="51"/>
      <c r="K613" s="399"/>
      <c r="L613" s="51"/>
      <c r="O613" s="137"/>
      <c r="P613" s="401"/>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c r="AT613" s="52"/>
      <c r="AU613" s="52"/>
      <c r="AV613" s="52"/>
      <c r="AW613" s="52"/>
      <c r="AX613" s="52"/>
      <c r="AY613" s="52"/>
    </row>
    <row r="614" spans="1:51">
      <c r="A614" s="497"/>
      <c r="B614" s="584"/>
      <c r="C614" s="499"/>
      <c r="D614" s="51"/>
      <c r="K614" s="399"/>
      <c r="L614" s="51"/>
      <c r="O614" s="137"/>
      <c r="P614" s="401"/>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c r="AT614" s="52"/>
      <c r="AU614" s="52"/>
      <c r="AV614" s="52"/>
      <c r="AW614" s="52"/>
      <c r="AX614" s="52"/>
      <c r="AY614" s="52"/>
    </row>
    <row r="615" spans="1:51">
      <c r="A615" s="497"/>
      <c r="B615" s="584"/>
      <c r="C615" s="499"/>
      <c r="D615" s="51"/>
      <c r="K615" s="399"/>
      <c r="L615" s="51"/>
      <c r="O615" s="137"/>
      <c r="P615" s="401"/>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c r="AT615" s="52"/>
      <c r="AU615" s="52"/>
      <c r="AV615" s="52"/>
      <c r="AW615" s="52"/>
      <c r="AX615" s="52"/>
      <c r="AY615" s="52"/>
    </row>
    <row r="616" spans="1:51">
      <c r="A616" s="497"/>
      <c r="B616" s="584"/>
      <c r="C616" s="499"/>
      <c r="D616" s="51"/>
      <c r="K616" s="399"/>
      <c r="L616" s="51"/>
      <c r="O616" s="137"/>
      <c r="P616" s="401"/>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c r="AT616" s="52"/>
      <c r="AU616" s="52"/>
      <c r="AV616" s="52"/>
      <c r="AW616" s="52"/>
      <c r="AX616" s="52"/>
      <c r="AY616" s="52"/>
    </row>
    <row r="617" spans="1:51">
      <c r="A617" s="497"/>
      <c r="B617" s="584"/>
      <c r="C617" s="499"/>
      <c r="D617" s="51"/>
      <c r="K617" s="399"/>
      <c r="L617" s="51"/>
      <c r="O617" s="137"/>
      <c r="P617" s="401"/>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c r="AT617" s="52"/>
      <c r="AU617" s="52"/>
      <c r="AV617" s="52"/>
      <c r="AW617" s="52"/>
      <c r="AX617" s="52"/>
      <c r="AY617" s="52"/>
    </row>
    <row r="618" spans="1:51">
      <c r="A618" s="497"/>
      <c r="B618" s="584"/>
      <c r="C618" s="499"/>
      <c r="D618" s="51"/>
      <c r="K618" s="399"/>
      <c r="L618" s="51"/>
      <c r="O618" s="137"/>
      <c r="P618" s="401"/>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c r="AT618" s="52"/>
      <c r="AU618" s="52"/>
      <c r="AV618" s="52"/>
      <c r="AW618" s="52"/>
      <c r="AX618" s="52"/>
      <c r="AY618" s="52"/>
    </row>
    <row r="619" spans="1:51">
      <c r="A619" s="497"/>
      <c r="B619" s="584"/>
      <c r="C619" s="499"/>
      <c r="D619" s="51"/>
      <c r="K619" s="399"/>
      <c r="L619" s="51"/>
      <c r="O619" s="137"/>
      <c r="P619" s="401"/>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c r="AT619" s="52"/>
      <c r="AU619" s="52"/>
      <c r="AV619" s="52"/>
      <c r="AW619" s="52"/>
      <c r="AX619" s="52"/>
      <c r="AY619" s="52"/>
    </row>
    <row r="620" spans="1:51">
      <c r="A620" s="497"/>
      <c r="B620" s="584"/>
      <c r="C620" s="499"/>
      <c r="D620" s="51"/>
      <c r="K620" s="399"/>
      <c r="L620" s="51"/>
      <c r="O620" s="137"/>
      <c r="P620" s="401"/>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c r="AT620" s="52"/>
      <c r="AU620" s="52"/>
      <c r="AV620" s="52"/>
      <c r="AW620" s="52"/>
      <c r="AX620" s="52"/>
      <c r="AY620" s="52"/>
    </row>
    <row r="621" spans="1:51">
      <c r="A621" s="497"/>
      <c r="B621" s="584"/>
      <c r="C621" s="499"/>
      <c r="D621" s="51"/>
      <c r="K621" s="399"/>
      <c r="L621" s="51"/>
      <c r="O621" s="137"/>
      <c r="P621" s="401"/>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c r="AT621" s="52"/>
      <c r="AU621" s="52"/>
      <c r="AV621" s="52"/>
      <c r="AW621" s="52"/>
      <c r="AX621" s="52"/>
      <c r="AY621" s="52"/>
    </row>
    <row r="622" spans="1:51">
      <c r="A622" s="497"/>
      <c r="B622" s="584"/>
      <c r="C622" s="499"/>
      <c r="D622" s="51"/>
      <c r="K622" s="399"/>
      <c r="L622" s="51"/>
      <c r="O622" s="137"/>
      <c r="P622" s="401"/>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c r="AT622" s="52"/>
      <c r="AU622" s="52"/>
      <c r="AV622" s="52"/>
      <c r="AW622" s="52"/>
      <c r="AX622" s="52"/>
      <c r="AY622" s="52"/>
    </row>
    <row r="623" spans="1:51">
      <c r="A623" s="497"/>
      <c r="B623" s="584"/>
      <c r="C623" s="499"/>
      <c r="D623" s="51"/>
      <c r="K623" s="399"/>
      <c r="L623" s="51"/>
      <c r="O623" s="137"/>
      <c r="P623" s="401"/>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c r="AT623" s="52"/>
      <c r="AU623" s="52"/>
      <c r="AV623" s="52"/>
      <c r="AW623" s="52"/>
      <c r="AX623" s="52"/>
      <c r="AY623" s="52"/>
    </row>
    <row r="624" spans="1:51">
      <c r="A624" s="497"/>
      <c r="B624" s="584"/>
      <c r="C624" s="499"/>
      <c r="D624" s="51"/>
      <c r="K624" s="399"/>
      <c r="L624" s="51"/>
      <c r="O624" s="137"/>
      <c r="P624" s="401"/>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c r="AT624" s="52"/>
      <c r="AU624" s="52"/>
      <c r="AV624" s="52"/>
      <c r="AW624" s="52"/>
      <c r="AX624" s="52"/>
      <c r="AY624" s="52"/>
    </row>
    <row r="625" spans="1:51">
      <c r="A625" s="497"/>
      <c r="B625" s="584"/>
      <c r="C625" s="499"/>
      <c r="D625" s="51"/>
      <c r="K625" s="399"/>
      <c r="L625" s="51"/>
      <c r="O625" s="137"/>
      <c r="P625" s="401"/>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c r="AT625" s="52"/>
      <c r="AU625" s="52"/>
      <c r="AV625" s="52"/>
      <c r="AW625" s="52"/>
      <c r="AX625" s="52"/>
      <c r="AY625" s="52"/>
    </row>
    <row r="626" spans="1:51">
      <c r="A626" s="497"/>
      <c r="B626" s="584"/>
      <c r="C626" s="499"/>
      <c r="D626" s="51"/>
      <c r="K626" s="399"/>
      <c r="L626" s="51"/>
      <c r="O626" s="137"/>
      <c r="P626" s="401"/>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c r="AT626" s="52"/>
      <c r="AU626" s="52"/>
      <c r="AV626" s="52"/>
      <c r="AW626" s="52"/>
      <c r="AX626" s="52"/>
      <c r="AY626" s="52"/>
    </row>
    <row r="627" spans="1:51">
      <c r="A627" s="497"/>
      <c r="B627" s="584"/>
      <c r="C627" s="499"/>
      <c r="D627" s="51"/>
      <c r="K627" s="399"/>
      <c r="L627" s="51"/>
      <c r="O627" s="137"/>
      <c r="P627" s="401"/>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c r="AT627" s="52"/>
      <c r="AU627" s="52"/>
      <c r="AV627" s="52"/>
      <c r="AW627" s="52"/>
      <c r="AX627" s="52"/>
      <c r="AY627" s="52"/>
    </row>
    <row r="628" spans="1:51">
      <c r="A628" s="497"/>
      <c r="B628" s="584"/>
      <c r="C628" s="499"/>
      <c r="D628" s="51"/>
      <c r="K628" s="399"/>
      <c r="L628" s="51"/>
      <c r="O628" s="137"/>
      <c r="P628" s="401"/>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c r="AT628" s="52"/>
      <c r="AU628" s="52"/>
      <c r="AV628" s="52"/>
      <c r="AW628" s="52"/>
      <c r="AX628" s="52"/>
      <c r="AY628" s="52"/>
    </row>
    <row r="629" spans="1:51">
      <c r="A629" s="497"/>
      <c r="B629" s="584"/>
      <c r="C629" s="499"/>
      <c r="D629" s="51"/>
      <c r="K629" s="399"/>
      <c r="L629" s="51"/>
      <c r="O629" s="137"/>
      <c r="P629" s="401"/>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c r="AT629" s="52"/>
      <c r="AU629" s="52"/>
      <c r="AV629" s="52"/>
      <c r="AW629" s="52"/>
      <c r="AX629" s="52"/>
      <c r="AY629" s="52"/>
    </row>
    <row r="630" spans="1:51">
      <c r="A630" s="497"/>
      <c r="B630" s="584"/>
      <c r="C630" s="499"/>
      <c r="D630" s="51"/>
      <c r="K630" s="399"/>
      <c r="L630" s="51"/>
      <c r="O630" s="137"/>
      <c r="P630" s="401"/>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c r="AT630" s="52"/>
      <c r="AU630" s="52"/>
      <c r="AV630" s="52"/>
      <c r="AW630" s="52"/>
      <c r="AX630" s="52"/>
      <c r="AY630" s="52"/>
    </row>
    <row r="631" spans="1:51">
      <c r="A631" s="497"/>
      <c r="B631" s="584"/>
      <c r="C631" s="499"/>
      <c r="D631" s="51"/>
      <c r="K631" s="399"/>
      <c r="L631" s="51"/>
      <c r="O631" s="137"/>
      <c r="P631" s="401"/>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c r="AT631" s="52"/>
      <c r="AU631" s="52"/>
      <c r="AV631" s="52"/>
      <c r="AW631" s="52"/>
      <c r="AX631" s="52"/>
      <c r="AY631" s="52"/>
    </row>
    <row r="632" spans="1:51">
      <c r="A632" s="497"/>
      <c r="B632" s="584"/>
      <c r="C632" s="499"/>
      <c r="D632" s="51"/>
      <c r="K632" s="399"/>
      <c r="L632" s="51"/>
      <c r="O632" s="137"/>
      <c r="P632" s="401"/>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c r="AT632" s="52"/>
      <c r="AU632" s="52"/>
      <c r="AV632" s="52"/>
      <c r="AW632" s="52"/>
      <c r="AX632" s="52"/>
      <c r="AY632" s="52"/>
    </row>
    <row r="633" spans="1:51">
      <c r="A633" s="497"/>
      <c r="B633" s="584"/>
      <c r="C633" s="499"/>
      <c r="D633" s="51"/>
      <c r="K633" s="399"/>
      <c r="L633" s="51"/>
      <c r="O633" s="137"/>
      <c r="P633" s="401"/>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c r="AT633" s="52"/>
      <c r="AU633" s="52"/>
      <c r="AV633" s="52"/>
      <c r="AW633" s="52"/>
      <c r="AX633" s="52"/>
      <c r="AY633" s="52"/>
    </row>
    <row r="634" spans="1:51">
      <c r="A634" s="497"/>
      <c r="B634" s="584"/>
      <c r="C634" s="499"/>
      <c r="D634" s="51"/>
      <c r="K634" s="399"/>
      <c r="L634" s="51"/>
      <c r="O634" s="137"/>
      <c r="P634" s="401"/>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c r="AT634" s="52"/>
      <c r="AU634" s="52"/>
      <c r="AV634" s="52"/>
      <c r="AW634" s="52"/>
      <c r="AX634" s="52"/>
      <c r="AY634" s="52"/>
    </row>
    <row r="635" spans="1:51">
      <c r="A635" s="497"/>
      <c r="B635" s="584"/>
      <c r="C635" s="499"/>
      <c r="D635" s="51"/>
      <c r="K635" s="399"/>
      <c r="L635" s="51"/>
      <c r="O635" s="137"/>
      <c r="P635" s="401"/>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c r="AT635" s="52"/>
      <c r="AU635" s="52"/>
      <c r="AV635" s="52"/>
      <c r="AW635" s="52"/>
      <c r="AX635" s="52"/>
      <c r="AY635" s="52"/>
    </row>
    <row r="636" spans="1:51">
      <c r="A636" s="497"/>
      <c r="B636" s="584"/>
      <c r="C636" s="499"/>
      <c r="D636" s="51"/>
      <c r="K636" s="399"/>
      <c r="L636" s="51"/>
      <c r="O636" s="137"/>
      <c r="P636" s="401"/>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c r="AT636" s="52"/>
      <c r="AU636" s="52"/>
      <c r="AV636" s="52"/>
      <c r="AW636" s="52"/>
      <c r="AX636" s="52"/>
      <c r="AY636" s="52"/>
    </row>
    <row r="637" spans="1:51">
      <c r="A637" s="497"/>
      <c r="B637" s="584"/>
      <c r="C637" s="499"/>
      <c r="D637" s="51"/>
      <c r="K637" s="399"/>
      <c r="L637" s="51"/>
      <c r="O637" s="137"/>
      <c r="P637" s="401"/>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c r="AT637" s="52"/>
      <c r="AU637" s="52"/>
      <c r="AV637" s="52"/>
      <c r="AW637" s="52"/>
      <c r="AX637" s="52"/>
      <c r="AY637" s="52"/>
    </row>
    <row r="638" spans="1:51">
      <c r="A638" s="497"/>
      <c r="B638" s="584"/>
      <c r="C638" s="499"/>
      <c r="D638" s="51"/>
      <c r="K638" s="399"/>
      <c r="L638" s="51"/>
      <c r="O638" s="137"/>
      <c r="P638" s="401"/>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c r="AT638" s="52"/>
      <c r="AU638" s="52"/>
      <c r="AV638" s="52"/>
      <c r="AW638" s="52"/>
      <c r="AX638" s="52"/>
      <c r="AY638" s="52"/>
    </row>
    <row r="639" spans="1:51">
      <c r="A639" s="497"/>
      <c r="B639" s="584"/>
      <c r="C639" s="499"/>
      <c r="D639" s="51"/>
      <c r="K639" s="399"/>
      <c r="L639" s="51"/>
      <c r="O639" s="137"/>
      <c r="P639" s="401"/>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c r="AT639" s="52"/>
      <c r="AU639" s="52"/>
      <c r="AV639" s="52"/>
      <c r="AW639" s="52"/>
      <c r="AX639" s="52"/>
      <c r="AY639" s="52"/>
    </row>
    <row r="640" spans="1:51">
      <c r="A640" s="497"/>
      <c r="B640" s="584"/>
      <c r="C640" s="499"/>
      <c r="D640" s="51"/>
      <c r="K640" s="399"/>
      <c r="L640" s="51"/>
      <c r="O640" s="137"/>
      <c r="P640" s="401"/>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c r="AX640" s="52"/>
      <c r="AY640" s="52"/>
    </row>
    <row r="641" spans="1:51">
      <c r="A641" s="497"/>
      <c r="B641" s="584"/>
      <c r="C641" s="499"/>
      <c r="D641" s="51"/>
      <c r="K641" s="399"/>
      <c r="L641" s="51"/>
      <c r="O641" s="137"/>
      <c r="P641" s="401"/>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c r="AT641" s="52"/>
      <c r="AU641" s="52"/>
      <c r="AV641" s="52"/>
      <c r="AW641" s="52"/>
      <c r="AX641" s="52"/>
      <c r="AY641" s="52"/>
    </row>
    <row r="642" spans="1:51">
      <c r="A642" s="497"/>
      <c r="B642" s="584"/>
      <c r="C642" s="499"/>
      <c r="D642" s="51"/>
      <c r="K642" s="399"/>
      <c r="L642" s="51"/>
      <c r="O642" s="137"/>
      <c r="P642" s="401"/>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c r="AT642" s="52"/>
      <c r="AU642" s="52"/>
      <c r="AV642" s="52"/>
      <c r="AW642" s="52"/>
      <c r="AX642" s="52"/>
      <c r="AY642" s="52"/>
    </row>
    <row r="643" spans="1:51">
      <c r="A643" s="497"/>
      <c r="B643" s="584"/>
      <c r="C643" s="499"/>
      <c r="D643" s="51"/>
      <c r="K643" s="399"/>
      <c r="L643" s="51"/>
      <c r="O643" s="137"/>
      <c r="P643" s="401"/>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c r="AT643" s="52"/>
      <c r="AU643" s="52"/>
      <c r="AV643" s="52"/>
      <c r="AW643" s="52"/>
      <c r="AX643" s="52"/>
      <c r="AY643" s="52"/>
    </row>
    <row r="644" spans="1:51">
      <c r="A644" s="497"/>
      <c r="B644" s="584"/>
      <c r="C644" s="499"/>
      <c r="D644" s="51"/>
      <c r="K644" s="399"/>
      <c r="L644" s="51"/>
      <c r="O644" s="137"/>
      <c r="P644" s="401"/>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c r="AT644" s="52"/>
      <c r="AU644" s="52"/>
      <c r="AV644" s="52"/>
      <c r="AW644" s="52"/>
      <c r="AX644" s="52"/>
      <c r="AY644" s="52"/>
    </row>
    <row r="645" spans="1:51">
      <c r="A645" s="497"/>
      <c r="B645" s="584"/>
      <c r="C645" s="499"/>
      <c r="D645" s="51"/>
      <c r="K645" s="399"/>
      <c r="L645" s="51"/>
      <c r="O645" s="137"/>
      <c r="P645" s="401"/>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c r="AT645" s="52"/>
      <c r="AU645" s="52"/>
      <c r="AV645" s="52"/>
      <c r="AW645" s="52"/>
      <c r="AX645" s="52"/>
      <c r="AY645" s="52"/>
    </row>
    <row r="646" spans="1:51">
      <c r="A646" s="497"/>
      <c r="B646" s="584"/>
      <c r="C646" s="499"/>
      <c r="D646" s="51"/>
      <c r="K646" s="399"/>
      <c r="L646" s="51"/>
      <c r="O646" s="137"/>
      <c r="P646" s="401"/>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c r="AT646" s="52"/>
      <c r="AU646" s="52"/>
      <c r="AV646" s="52"/>
      <c r="AW646" s="52"/>
      <c r="AX646" s="52"/>
      <c r="AY646" s="52"/>
    </row>
    <row r="647" spans="1:51">
      <c r="A647" s="497"/>
      <c r="B647" s="584"/>
      <c r="C647" s="499"/>
      <c r="D647" s="51"/>
      <c r="K647" s="399"/>
      <c r="L647" s="51"/>
      <c r="O647" s="137"/>
      <c r="P647" s="401"/>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c r="AT647" s="52"/>
      <c r="AU647" s="52"/>
      <c r="AV647" s="52"/>
      <c r="AW647" s="52"/>
      <c r="AX647" s="52"/>
      <c r="AY647" s="52"/>
    </row>
    <row r="648" spans="1:51">
      <c r="A648" s="497"/>
      <c r="B648" s="584"/>
      <c r="C648" s="499"/>
      <c r="D648" s="51"/>
      <c r="K648" s="399"/>
      <c r="L648" s="51"/>
      <c r="O648" s="137"/>
      <c r="P648" s="401"/>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c r="AT648" s="52"/>
      <c r="AU648" s="52"/>
      <c r="AV648" s="52"/>
      <c r="AW648" s="52"/>
      <c r="AX648" s="52"/>
      <c r="AY648" s="52"/>
    </row>
    <row r="649" spans="1:51">
      <c r="A649" s="497"/>
      <c r="B649" s="584"/>
      <c r="C649" s="499"/>
      <c r="D649" s="51"/>
      <c r="K649" s="399"/>
      <c r="L649" s="51"/>
      <c r="O649" s="137"/>
      <c r="P649" s="401"/>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c r="AT649" s="52"/>
      <c r="AU649" s="52"/>
      <c r="AV649" s="52"/>
      <c r="AW649" s="52"/>
      <c r="AX649" s="52"/>
      <c r="AY649" s="52"/>
    </row>
    <row r="650" spans="1:51">
      <c r="A650" s="497"/>
      <c r="B650" s="584"/>
      <c r="C650" s="499"/>
      <c r="D650" s="51"/>
      <c r="K650" s="399"/>
      <c r="L650" s="51"/>
      <c r="O650" s="137"/>
      <c r="P650" s="401"/>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c r="AT650" s="52"/>
      <c r="AU650" s="52"/>
      <c r="AV650" s="52"/>
      <c r="AW650" s="52"/>
      <c r="AX650" s="52"/>
      <c r="AY650" s="52"/>
    </row>
    <row r="651" spans="1:51">
      <c r="A651" s="497"/>
      <c r="B651" s="584"/>
      <c r="C651" s="499"/>
      <c r="D651" s="51"/>
      <c r="K651" s="399"/>
      <c r="L651" s="51"/>
      <c r="O651" s="137"/>
      <c r="P651" s="401"/>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c r="AT651" s="52"/>
      <c r="AU651" s="52"/>
      <c r="AV651" s="52"/>
      <c r="AW651" s="52"/>
      <c r="AX651" s="52"/>
      <c r="AY651" s="52"/>
    </row>
    <row r="652" spans="1:51">
      <c r="A652" s="497"/>
      <c r="B652" s="584"/>
      <c r="C652" s="499"/>
      <c r="D652" s="51"/>
      <c r="K652" s="399"/>
      <c r="L652" s="51"/>
      <c r="O652" s="137"/>
      <c r="P652" s="401"/>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c r="AT652" s="52"/>
      <c r="AU652" s="52"/>
      <c r="AV652" s="52"/>
      <c r="AW652" s="52"/>
      <c r="AX652" s="52"/>
      <c r="AY652" s="52"/>
    </row>
    <row r="653" spans="1:51">
      <c r="A653" s="497"/>
      <c r="B653" s="584"/>
      <c r="C653" s="499"/>
      <c r="D653" s="51"/>
      <c r="K653" s="399"/>
      <c r="L653" s="51"/>
      <c r="O653" s="137"/>
      <c r="P653" s="401"/>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c r="AT653" s="52"/>
      <c r="AU653" s="52"/>
      <c r="AV653" s="52"/>
      <c r="AW653" s="52"/>
      <c r="AX653" s="52"/>
      <c r="AY653" s="52"/>
    </row>
    <row r="654" spans="1:51">
      <c r="A654" s="497"/>
      <c r="B654" s="584"/>
      <c r="C654" s="499"/>
      <c r="D654" s="51"/>
      <c r="K654" s="399"/>
      <c r="L654" s="51"/>
      <c r="O654" s="137"/>
      <c r="P654" s="401"/>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c r="AT654" s="52"/>
      <c r="AU654" s="52"/>
      <c r="AV654" s="52"/>
      <c r="AW654" s="52"/>
      <c r="AX654" s="52"/>
      <c r="AY654" s="52"/>
    </row>
    <row r="655" spans="1:51">
      <c r="A655" s="497"/>
      <c r="B655" s="584"/>
      <c r="C655" s="499"/>
      <c r="D655" s="51"/>
      <c r="K655" s="399"/>
      <c r="L655" s="51"/>
      <c r="O655" s="137"/>
      <c r="P655" s="401"/>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c r="AT655" s="52"/>
      <c r="AU655" s="52"/>
      <c r="AV655" s="52"/>
      <c r="AW655" s="52"/>
      <c r="AX655" s="52"/>
      <c r="AY655" s="52"/>
    </row>
    <row r="656" spans="1:51">
      <c r="A656" s="497"/>
      <c r="B656" s="584"/>
      <c r="C656" s="499"/>
      <c r="D656" s="51"/>
      <c r="K656" s="399"/>
      <c r="L656" s="51"/>
      <c r="O656" s="137"/>
      <c r="P656" s="401"/>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c r="AT656" s="52"/>
      <c r="AU656" s="52"/>
      <c r="AV656" s="52"/>
      <c r="AW656" s="52"/>
      <c r="AX656" s="52"/>
      <c r="AY656" s="52"/>
    </row>
    <row r="657" spans="1:51">
      <c r="A657" s="497"/>
      <c r="B657" s="584"/>
      <c r="C657" s="499"/>
      <c r="D657" s="51"/>
      <c r="K657" s="399"/>
      <c r="L657" s="51"/>
      <c r="O657" s="137"/>
      <c r="P657" s="401"/>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c r="AT657" s="52"/>
      <c r="AU657" s="52"/>
      <c r="AV657" s="52"/>
      <c r="AW657" s="52"/>
      <c r="AX657" s="52"/>
      <c r="AY657" s="52"/>
    </row>
    <row r="658" spans="1:51">
      <c r="A658" s="497"/>
      <c r="B658" s="584"/>
      <c r="C658" s="499"/>
      <c r="D658" s="51"/>
      <c r="K658" s="399"/>
      <c r="L658" s="51"/>
      <c r="O658" s="137"/>
      <c r="P658" s="401"/>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c r="AT658" s="52"/>
      <c r="AU658" s="52"/>
      <c r="AV658" s="52"/>
      <c r="AW658" s="52"/>
      <c r="AX658" s="52"/>
      <c r="AY658" s="52"/>
    </row>
    <row r="659" spans="1:51">
      <c r="A659" s="497"/>
      <c r="B659" s="584"/>
      <c r="C659" s="499"/>
      <c r="D659" s="51"/>
      <c r="K659" s="399"/>
      <c r="L659" s="51"/>
      <c r="O659" s="137"/>
      <c r="P659" s="401"/>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c r="AT659" s="52"/>
      <c r="AU659" s="52"/>
      <c r="AV659" s="52"/>
      <c r="AW659" s="52"/>
      <c r="AX659" s="52"/>
      <c r="AY659" s="52"/>
    </row>
    <row r="660" spans="1:51">
      <c r="A660" s="497"/>
      <c r="B660" s="584"/>
      <c r="C660" s="499"/>
      <c r="D660" s="51"/>
      <c r="K660" s="399"/>
      <c r="L660" s="51"/>
      <c r="O660" s="137"/>
      <c r="P660" s="401"/>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c r="AT660" s="52"/>
      <c r="AU660" s="52"/>
      <c r="AV660" s="52"/>
      <c r="AW660" s="52"/>
      <c r="AX660" s="52"/>
      <c r="AY660" s="52"/>
    </row>
    <row r="661" spans="1:51">
      <c r="A661" s="497"/>
      <c r="B661" s="584"/>
      <c r="C661" s="499"/>
      <c r="D661" s="51"/>
      <c r="K661" s="399"/>
      <c r="L661" s="51"/>
      <c r="O661" s="137"/>
      <c r="P661" s="401"/>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c r="AT661" s="52"/>
      <c r="AU661" s="52"/>
      <c r="AV661" s="52"/>
      <c r="AW661" s="52"/>
      <c r="AX661" s="52"/>
      <c r="AY661" s="52"/>
    </row>
    <row r="662" spans="1:51">
      <c r="A662" s="497"/>
      <c r="B662" s="584"/>
      <c r="C662" s="499"/>
      <c r="D662" s="51"/>
      <c r="K662" s="399"/>
      <c r="L662" s="51"/>
      <c r="O662" s="137"/>
      <c r="P662" s="401"/>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c r="AT662" s="52"/>
      <c r="AU662" s="52"/>
      <c r="AV662" s="52"/>
      <c r="AW662" s="52"/>
      <c r="AX662" s="52"/>
      <c r="AY662" s="52"/>
    </row>
    <row r="663" spans="1:51">
      <c r="A663" s="497"/>
      <c r="B663" s="584"/>
      <c r="C663" s="499"/>
      <c r="D663" s="51"/>
      <c r="K663" s="399"/>
      <c r="L663" s="51"/>
      <c r="O663" s="137"/>
      <c r="P663" s="401"/>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c r="AT663" s="52"/>
      <c r="AU663" s="52"/>
      <c r="AV663" s="52"/>
      <c r="AW663" s="52"/>
      <c r="AX663" s="52"/>
      <c r="AY663" s="52"/>
    </row>
    <row r="664" spans="1:51">
      <c r="A664" s="497"/>
      <c r="B664" s="584"/>
      <c r="C664" s="499"/>
      <c r="D664" s="51"/>
      <c r="K664" s="399"/>
      <c r="L664" s="51"/>
      <c r="O664" s="137"/>
      <c r="P664" s="401"/>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c r="AX664" s="52"/>
      <c r="AY664" s="52"/>
    </row>
    <row r="665" spans="1:51">
      <c r="A665" s="497"/>
      <c r="B665" s="584"/>
      <c r="C665" s="499"/>
      <c r="D665" s="51"/>
      <c r="K665" s="399"/>
      <c r="L665" s="51"/>
      <c r="O665" s="137"/>
      <c r="P665" s="401"/>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c r="AT665" s="52"/>
      <c r="AU665" s="52"/>
      <c r="AV665" s="52"/>
      <c r="AW665" s="52"/>
      <c r="AX665" s="52"/>
      <c r="AY665" s="52"/>
    </row>
    <row r="666" spans="1:51">
      <c r="A666" s="497"/>
      <c r="B666" s="584"/>
      <c r="C666" s="499"/>
      <c r="D666" s="51"/>
      <c r="K666" s="399"/>
      <c r="L666" s="51"/>
      <c r="O666" s="137"/>
      <c r="P666" s="401"/>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c r="AT666" s="52"/>
      <c r="AU666" s="52"/>
      <c r="AV666" s="52"/>
      <c r="AW666" s="52"/>
      <c r="AX666" s="52"/>
      <c r="AY666" s="52"/>
    </row>
    <row r="667" spans="1:51">
      <c r="A667" s="497"/>
      <c r="B667" s="584"/>
      <c r="C667" s="499"/>
      <c r="D667" s="51"/>
      <c r="K667" s="399"/>
      <c r="L667" s="51"/>
      <c r="O667" s="137"/>
      <c r="P667" s="401"/>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c r="AT667" s="52"/>
      <c r="AU667" s="52"/>
      <c r="AV667" s="52"/>
      <c r="AW667" s="52"/>
      <c r="AX667" s="52"/>
      <c r="AY667" s="52"/>
    </row>
    <row r="668" spans="1:51">
      <c r="A668" s="497"/>
      <c r="B668" s="584"/>
      <c r="C668" s="499"/>
      <c r="D668" s="51"/>
      <c r="K668" s="399"/>
      <c r="L668" s="51"/>
      <c r="O668" s="137"/>
      <c r="P668" s="401"/>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c r="AT668" s="52"/>
      <c r="AU668" s="52"/>
      <c r="AV668" s="52"/>
      <c r="AW668" s="52"/>
      <c r="AX668" s="52"/>
      <c r="AY668" s="52"/>
    </row>
    <row r="669" spans="1:51">
      <c r="A669" s="497"/>
      <c r="B669" s="584"/>
      <c r="C669" s="499"/>
      <c r="D669" s="51"/>
      <c r="K669" s="399"/>
      <c r="L669" s="51"/>
      <c r="O669" s="137"/>
      <c r="P669" s="401"/>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c r="AT669" s="52"/>
      <c r="AU669" s="52"/>
      <c r="AV669" s="52"/>
      <c r="AW669" s="52"/>
      <c r="AX669" s="52"/>
      <c r="AY669" s="52"/>
    </row>
    <row r="670" spans="1:51">
      <c r="A670" s="497"/>
      <c r="B670" s="584"/>
      <c r="C670" s="499"/>
      <c r="D670" s="51"/>
      <c r="K670" s="399"/>
      <c r="L670" s="51"/>
      <c r="O670" s="137"/>
      <c r="P670" s="401"/>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c r="AT670" s="52"/>
      <c r="AU670" s="52"/>
      <c r="AV670" s="52"/>
      <c r="AW670" s="52"/>
      <c r="AX670" s="52"/>
      <c r="AY670" s="52"/>
    </row>
    <row r="671" spans="1:51">
      <c r="A671" s="497"/>
      <c r="B671" s="584"/>
      <c r="C671" s="499"/>
      <c r="D671" s="51"/>
      <c r="K671" s="399"/>
      <c r="L671" s="51"/>
      <c r="O671" s="137"/>
      <c r="P671" s="401"/>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c r="AT671" s="52"/>
      <c r="AU671" s="52"/>
      <c r="AV671" s="52"/>
      <c r="AW671" s="52"/>
      <c r="AX671" s="52"/>
      <c r="AY671" s="52"/>
    </row>
    <row r="672" spans="1:51">
      <c r="A672" s="497"/>
      <c r="B672" s="584"/>
      <c r="C672" s="499"/>
      <c r="D672" s="51"/>
      <c r="K672" s="399"/>
      <c r="L672" s="51"/>
      <c r="O672" s="137"/>
      <c r="P672" s="401"/>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c r="AT672" s="52"/>
      <c r="AU672" s="52"/>
      <c r="AV672" s="52"/>
      <c r="AW672" s="52"/>
      <c r="AX672" s="52"/>
      <c r="AY672" s="52"/>
    </row>
    <row r="673" spans="1:51">
      <c r="A673" s="497"/>
      <c r="B673" s="584"/>
      <c r="C673" s="499"/>
      <c r="D673" s="51"/>
      <c r="K673" s="399"/>
      <c r="L673" s="51"/>
      <c r="O673" s="137"/>
      <c r="P673" s="401"/>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c r="AT673" s="52"/>
      <c r="AU673" s="52"/>
      <c r="AV673" s="52"/>
      <c r="AW673" s="52"/>
      <c r="AX673" s="52"/>
      <c r="AY673" s="52"/>
    </row>
    <row r="674" spans="1:51">
      <c r="A674" s="497"/>
      <c r="B674" s="584"/>
      <c r="C674" s="499"/>
      <c r="D674" s="51"/>
      <c r="K674" s="399"/>
      <c r="L674" s="51"/>
      <c r="O674" s="137"/>
      <c r="P674" s="401"/>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c r="AT674" s="52"/>
      <c r="AU674" s="52"/>
      <c r="AV674" s="52"/>
      <c r="AW674" s="52"/>
      <c r="AX674" s="52"/>
      <c r="AY674" s="52"/>
    </row>
    <row r="675" spans="1:51">
      <c r="A675" s="497"/>
      <c r="B675" s="584"/>
      <c r="C675" s="499"/>
      <c r="D675" s="51"/>
      <c r="K675" s="399"/>
      <c r="L675" s="51"/>
      <c r="O675" s="137"/>
      <c r="P675" s="401"/>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c r="AT675" s="52"/>
      <c r="AU675" s="52"/>
      <c r="AV675" s="52"/>
      <c r="AW675" s="52"/>
      <c r="AX675" s="52"/>
      <c r="AY675" s="52"/>
    </row>
    <row r="676" spans="1:51">
      <c r="A676" s="497"/>
      <c r="B676" s="584"/>
      <c r="C676" s="499"/>
      <c r="D676" s="51"/>
      <c r="K676" s="399"/>
      <c r="L676" s="51"/>
      <c r="O676" s="137"/>
      <c r="P676" s="401"/>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c r="AT676" s="52"/>
      <c r="AU676" s="52"/>
      <c r="AV676" s="52"/>
      <c r="AW676" s="52"/>
      <c r="AX676" s="52"/>
      <c r="AY676" s="52"/>
    </row>
    <row r="677" spans="1:51">
      <c r="A677" s="497"/>
      <c r="B677" s="584"/>
      <c r="C677" s="499"/>
      <c r="D677" s="51"/>
      <c r="K677" s="399"/>
      <c r="L677" s="51"/>
      <c r="O677" s="137"/>
      <c r="P677" s="401"/>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c r="AT677" s="52"/>
      <c r="AU677" s="52"/>
      <c r="AV677" s="52"/>
      <c r="AW677" s="52"/>
      <c r="AX677" s="52"/>
      <c r="AY677" s="52"/>
    </row>
    <row r="678" spans="1:51">
      <c r="A678" s="497"/>
      <c r="B678" s="584"/>
      <c r="C678" s="499"/>
      <c r="D678" s="51"/>
      <c r="K678" s="399"/>
      <c r="L678" s="51"/>
      <c r="O678" s="137"/>
      <c r="P678" s="401"/>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c r="AT678" s="52"/>
      <c r="AU678" s="52"/>
      <c r="AV678" s="52"/>
      <c r="AW678" s="52"/>
      <c r="AX678" s="52"/>
      <c r="AY678" s="52"/>
    </row>
    <row r="679" spans="1:51">
      <c r="A679" s="497"/>
      <c r="B679" s="584"/>
      <c r="C679" s="499"/>
      <c r="D679" s="51"/>
      <c r="K679" s="399"/>
      <c r="L679" s="51"/>
      <c r="O679" s="137"/>
      <c r="P679" s="401"/>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c r="AT679" s="52"/>
      <c r="AU679" s="52"/>
      <c r="AV679" s="52"/>
      <c r="AW679" s="52"/>
      <c r="AX679" s="52"/>
      <c r="AY679" s="52"/>
    </row>
    <row r="680" spans="1:51">
      <c r="A680" s="497"/>
      <c r="B680" s="584"/>
      <c r="C680" s="499"/>
      <c r="D680" s="51"/>
      <c r="K680" s="399"/>
      <c r="L680" s="51"/>
      <c r="O680" s="137"/>
      <c r="P680" s="401"/>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c r="AT680" s="52"/>
      <c r="AU680" s="52"/>
      <c r="AV680" s="52"/>
      <c r="AW680" s="52"/>
      <c r="AX680" s="52"/>
      <c r="AY680" s="52"/>
    </row>
    <row r="681" spans="1:51">
      <c r="A681" s="497"/>
      <c r="B681" s="584"/>
      <c r="C681" s="499"/>
      <c r="D681" s="51"/>
      <c r="K681" s="399"/>
      <c r="L681" s="51"/>
      <c r="O681" s="137"/>
      <c r="P681" s="401"/>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c r="AT681" s="52"/>
      <c r="AU681" s="52"/>
      <c r="AV681" s="52"/>
      <c r="AW681" s="52"/>
      <c r="AX681" s="52"/>
      <c r="AY681" s="52"/>
    </row>
    <row r="682" spans="1:51">
      <c r="A682" s="497"/>
      <c r="B682" s="584"/>
      <c r="C682" s="499"/>
      <c r="D682" s="51"/>
      <c r="K682" s="399"/>
      <c r="L682" s="51"/>
      <c r="O682" s="137"/>
      <c r="P682" s="401"/>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c r="AT682" s="52"/>
      <c r="AU682" s="52"/>
      <c r="AV682" s="52"/>
      <c r="AW682" s="52"/>
      <c r="AX682" s="52"/>
      <c r="AY682" s="52"/>
    </row>
    <row r="683" spans="1:51">
      <c r="A683" s="497"/>
      <c r="B683" s="584"/>
      <c r="C683" s="499"/>
      <c r="D683" s="51"/>
      <c r="K683" s="399"/>
      <c r="L683" s="51"/>
      <c r="O683" s="137"/>
      <c r="P683" s="401"/>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c r="AT683" s="52"/>
      <c r="AU683" s="52"/>
      <c r="AV683" s="52"/>
      <c r="AW683" s="52"/>
      <c r="AX683" s="52"/>
      <c r="AY683" s="52"/>
    </row>
    <row r="684" spans="1:51">
      <c r="A684" s="497"/>
      <c r="B684" s="584"/>
      <c r="C684" s="499"/>
      <c r="D684" s="51"/>
      <c r="K684" s="399"/>
      <c r="L684" s="51"/>
      <c r="O684" s="137"/>
      <c r="P684" s="401"/>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c r="AT684" s="52"/>
      <c r="AU684" s="52"/>
      <c r="AV684" s="52"/>
      <c r="AW684" s="52"/>
      <c r="AX684" s="52"/>
      <c r="AY684" s="52"/>
    </row>
    <row r="685" spans="1:51">
      <c r="A685" s="497"/>
      <c r="B685" s="584"/>
      <c r="C685" s="499"/>
      <c r="D685" s="51"/>
      <c r="K685" s="399"/>
      <c r="L685" s="51"/>
      <c r="O685" s="137"/>
      <c r="P685" s="401"/>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c r="AT685" s="52"/>
      <c r="AU685" s="52"/>
      <c r="AV685" s="52"/>
      <c r="AW685" s="52"/>
      <c r="AX685" s="52"/>
      <c r="AY685" s="52"/>
    </row>
    <row r="686" spans="1:51">
      <c r="A686" s="497"/>
      <c r="B686" s="584"/>
      <c r="C686" s="499"/>
      <c r="D686" s="51"/>
      <c r="K686" s="399"/>
      <c r="L686" s="51"/>
      <c r="O686" s="137"/>
      <c r="P686" s="401"/>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c r="AT686" s="52"/>
      <c r="AU686" s="52"/>
      <c r="AV686" s="52"/>
      <c r="AW686" s="52"/>
      <c r="AX686" s="52"/>
      <c r="AY686" s="52"/>
    </row>
    <row r="687" spans="1:51">
      <c r="A687" s="497"/>
      <c r="B687" s="584"/>
      <c r="C687" s="499"/>
      <c r="D687" s="51"/>
      <c r="K687" s="399"/>
      <c r="L687" s="51"/>
      <c r="O687" s="137"/>
      <c r="P687" s="401"/>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c r="AT687" s="52"/>
      <c r="AU687" s="52"/>
      <c r="AV687" s="52"/>
      <c r="AW687" s="52"/>
      <c r="AX687" s="52"/>
      <c r="AY687" s="52"/>
    </row>
    <row r="688" spans="1:51">
      <c r="A688" s="497"/>
      <c r="B688" s="584"/>
      <c r="C688" s="499"/>
      <c r="D688" s="51"/>
      <c r="K688" s="399"/>
      <c r="L688" s="51"/>
      <c r="O688" s="137"/>
      <c r="P688" s="401"/>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c r="AT688" s="52"/>
      <c r="AU688" s="52"/>
      <c r="AV688" s="52"/>
      <c r="AW688" s="52"/>
      <c r="AX688" s="52"/>
      <c r="AY688" s="52"/>
    </row>
    <row r="689" spans="1:51">
      <c r="A689" s="497"/>
      <c r="B689" s="584"/>
      <c r="C689" s="499"/>
      <c r="D689" s="51"/>
      <c r="K689" s="399"/>
      <c r="L689" s="51"/>
      <c r="O689" s="137"/>
      <c r="P689" s="401"/>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c r="AT689" s="52"/>
      <c r="AU689" s="52"/>
      <c r="AV689" s="52"/>
      <c r="AW689" s="52"/>
      <c r="AX689" s="52"/>
      <c r="AY689" s="52"/>
    </row>
    <row r="690" spans="1:51">
      <c r="A690" s="497"/>
      <c r="B690" s="584"/>
      <c r="C690" s="499"/>
      <c r="D690" s="51"/>
      <c r="K690" s="399"/>
      <c r="L690" s="51"/>
      <c r="O690" s="137"/>
      <c r="P690" s="401"/>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c r="AT690" s="52"/>
      <c r="AU690" s="52"/>
      <c r="AV690" s="52"/>
      <c r="AW690" s="52"/>
      <c r="AX690" s="52"/>
      <c r="AY690" s="52"/>
    </row>
    <row r="691" spans="1:51">
      <c r="A691" s="497"/>
      <c r="B691" s="584"/>
      <c r="C691" s="499"/>
      <c r="D691" s="51"/>
      <c r="K691" s="399"/>
      <c r="L691" s="51"/>
      <c r="O691" s="137"/>
      <c r="P691" s="401"/>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c r="AT691" s="52"/>
      <c r="AU691" s="52"/>
      <c r="AV691" s="52"/>
      <c r="AW691" s="52"/>
      <c r="AX691" s="52"/>
      <c r="AY691" s="52"/>
    </row>
    <row r="692" spans="1:51">
      <c r="A692" s="497"/>
      <c r="B692" s="584"/>
      <c r="C692" s="499"/>
      <c r="D692" s="51"/>
      <c r="K692" s="399"/>
      <c r="L692" s="51"/>
      <c r="O692" s="137"/>
      <c r="P692" s="401"/>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c r="AT692" s="52"/>
      <c r="AU692" s="52"/>
      <c r="AV692" s="52"/>
      <c r="AW692" s="52"/>
      <c r="AX692" s="52"/>
      <c r="AY692" s="52"/>
    </row>
    <row r="693" spans="1:51">
      <c r="L693" s="51"/>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c r="AT693" s="52"/>
      <c r="AU693" s="52"/>
      <c r="AV693" s="52"/>
      <c r="AW693" s="52"/>
      <c r="AX693" s="52"/>
      <c r="AY693" s="52"/>
    </row>
    <row r="694" spans="1:51">
      <c r="L694" s="51"/>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c r="AT694" s="52"/>
      <c r="AU694" s="52"/>
      <c r="AV694" s="52"/>
      <c r="AW694" s="52"/>
      <c r="AX694" s="52"/>
      <c r="AY694" s="52"/>
    </row>
    <row r="695" spans="1:51">
      <c r="A695" s="52"/>
      <c r="B695" s="52"/>
      <c r="C695" s="52"/>
      <c r="D695" s="52"/>
      <c r="E695" s="52"/>
      <c r="F695" s="52"/>
      <c r="G695" s="52"/>
      <c r="H695" s="52"/>
      <c r="I695" s="52"/>
      <c r="J695" s="52"/>
      <c r="K695" s="52"/>
      <c r="L695" s="51"/>
      <c r="M695" s="52"/>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c r="AR695" s="52"/>
      <c r="AS695" s="52"/>
      <c r="AT695" s="52"/>
      <c r="AU695" s="52"/>
      <c r="AV695" s="52"/>
      <c r="AW695" s="52"/>
      <c r="AX695" s="52"/>
      <c r="AY695" s="52"/>
    </row>
    <row r="696" spans="1:51">
      <c r="A696" s="52"/>
      <c r="B696" s="52"/>
      <c r="C696" s="52"/>
      <c r="D696" s="52"/>
      <c r="E696" s="52"/>
      <c r="F696" s="52"/>
      <c r="G696" s="52"/>
      <c r="H696" s="52"/>
      <c r="I696" s="52"/>
      <c r="J696" s="52"/>
      <c r="K696" s="52"/>
      <c r="L696" s="51"/>
      <c r="M696" s="52"/>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c r="AR696" s="52"/>
      <c r="AS696" s="52"/>
      <c r="AT696" s="52"/>
      <c r="AU696" s="52"/>
      <c r="AV696" s="52"/>
      <c r="AW696" s="52"/>
      <c r="AX696" s="52"/>
      <c r="AY696" s="52"/>
    </row>
    <row r="697" spans="1:51">
      <c r="A697" s="52"/>
      <c r="B697" s="52"/>
      <c r="C697" s="52"/>
      <c r="D697" s="52"/>
      <c r="E697" s="52"/>
      <c r="F697" s="52"/>
      <c r="G697" s="52"/>
      <c r="H697" s="52"/>
      <c r="I697" s="52"/>
      <c r="J697" s="52"/>
      <c r="K697" s="52"/>
      <c r="L697" s="51"/>
      <c r="M697" s="52"/>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c r="AR697" s="52"/>
      <c r="AS697" s="52"/>
      <c r="AT697" s="52"/>
      <c r="AU697" s="52"/>
      <c r="AV697" s="52"/>
      <c r="AW697" s="52"/>
      <c r="AX697" s="52"/>
      <c r="AY697" s="52"/>
    </row>
    <row r="698" spans="1:51">
      <c r="A698" s="52"/>
      <c r="B698" s="52"/>
      <c r="C698" s="52"/>
      <c r="D698" s="52"/>
      <c r="E698" s="52"/>
      <c r="F698" s="52"/>
      <c r="G698" s="52"/>
      <c r="H698" s="52"/>
      <c r="I698" s="52"/>
      <c r="J698" s="52"/>
      <c r="K698" s="52"/>
      <c r="L698" s="51"/>
      <c r="M698" s="52"/>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c r="AR698" s="52"/>
      <c r="AS698" s="52"/>
      <c r="AT698" s="52"/>
      <c r="AU698" s="52"/>
      <c r="AV698" s="52"/>
      <c r="AW698" s="52"/>
      <c r="AX698" s="52"/>
      <c r="AY698" s="52"/>
    </row>
    <row r="699" spans="1:51">
      <c r="A699" s="52"/>
      <c r="B699" s="52"/>
      <c r="C699" s="52"/>
      <c r="D699" s="52"/>
      <c r="E699" s="52"/>
      <c r="F699" s="52"/>
      <c r="G699" s="52"/>
      <c r="H699" s="52"/>
      <c r="I699" s="52"/>
      <c r="J699" s="52"/>
      <c r="K699" s="52"/>
      <c r="L699" s="51"/>
      <c r="M699" s="52"/>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c r="AR699" s="52"/>
      <c r="AS699" s="52"/>
      <c r="AT699" s="52"/>
      <c r="AU699" s="52"/>
      <c r="AV699" s="52"/>
      <c r="AW699" s="52"/>
      <c r="AX699" s="52"/>
      <c r="AY699" s="52"/>
    </row>
    <row r="700" spans="1:51">
      <c r="A700" s="52"/>
      <c r="B700" s="52"/>
      <c r="C700" s="52"/>
      <c r="D700" s="52"/>
      <c r="E700" s="52"/>
      <c r="F700" s="52"/>
      <c r="G700" s="52"/>
      <c r="H700" s="52"/>
      <c r="I700" s="52"/>
      <c r="J700" s="52"/>
      <c r="K700" s="52"/>
      <c r="L700" s="51"/>
      <c r="M700" s="52"/>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c r="AR700" s="52"/>
      <c r="AS700" s="52"/>
      <c r="AT700" s="52"/>
      <c r="AU700" s="52"/>
      <c r="AV700" s="52"/>
      <c r="AW700" s="52"/>
      <c r="AX700" s="52"/>
      <c r="AY700" s="52"/>
    </row>
    <row r="701" spans="1:51">
      <c r="A701" s="52"/>
      <c r="B701" s="52"/>
      <c r="C701" s="52"/>
      <c r="D701" s="52"/>
      <c r="E701" s="52"/>
      <c r="F701" s="52"/>
      <c r="G701" s="52"/>
      <c r="H701" s="52"/>
      <c r="I701" s="52"/>
      <c r="J701" s="52"/>
      <c r="K701" s="52"/>
      <c r="L701" s="51"/>
      <c r="M701" s="52"/>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c r="AR701" s="52"/>
      <c r="AS701" s="52"/>
      <c r="AT701" s="52"/>
      <c r="AU701" s="52"/>
      <c r="AV701" s="52"/>
      <c r="AW701" s="52"/>
      <c r="AX701" s="52"/>
      <c r="AY701" s="52"/>
    </row>
    <row r="702" spans="1:51">
      <c r="A702" s="52"/>
      <c r="B702" s="52"/>
      <c r="C702" s="52"/>
      <c r="D702" s="52"/>
      <c r="E702" s="52"/>
      <c r="F702" s="52"/>
      <c r="G702" s="52"/>
      <c r="H702" s="52"/>
      <c r="I702" s="52"/>
      <c r="J702" s="52"/>
      <c r="K702" s="52"/>
      <c r="L702" s="51"/>
      <c r="M702" s="52"/>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c r="AR702" s="52"/>
      <c r="AS702" s="52"/>
      <c r="AT702" s="52"/>
      <c r="AU702" s="52"/>
      <c r="AV702" s="52"/>
      <c r="AW702" s="52"/>
      <c r="AX702" s="52"/>
      <c r="AY702" s="52"/>
    </row>
    <row r="703" spans="1:51">
      <c r="A703" s="52"/>
      <c r="B703" s="52"/>
      <c r="C703" s="52"/>
      <c r="D703" s="52"/>
      <c r="E703" s="52"/>
      <c r="F703" s="52"/>
      <c r="G703" s="52"/>
      <c r="H703" s="52"/>
      <c r="I703" s="52"/>
      <c r="J703" s="52"/>
      <c r="K703" s="52"/>
      <c r="L703" s="51"/>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c r="AT703" s="52"/>
      <c r="AU703" s="52"/>
      <c r="AV703" s="52"/>
      <c r="AW703" s="52"/>
      <c r="AX703" s="52"/>
      <c r="AY703" s="52"/>
    </row>
    <row r="704" spans="1:51">
      <c r="A704" s="52"/>
      <c r="B704" s="52"/>
      <c r="C704" s="52"/>
      <c r="D704" s="52"/>
      <c r="E704" s="52"/>
      <c r="F704" s="52"/>
      <c r="G704" s="52"/>
      <c r="H704" s="52"/>
      <c r="I704" s="52"/>
      <c r="J704" s="52"/>
      <c r="K704" s="52"/>
      <c r="L704" s="51"/>
      <c r="M704" s="52"/>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c r="AR704" s="52"/>
      <c r="AS704" s="52"/>
      <c r="AT704" s="52"/>
      <c r="AU704" s="52"/>
      <c r="AV704" s="52"/>
      <c r="AW704" s="52"/>
      <c r="AX704" s="52"/>
      <c r="AY704" s="52"/>
    </row>
    <row r="705" spans="12:12" s="52" customFormat="1">
      <c r="L705" s="51"/>
    </row>
    <row r="706" spans="12:12" s="52" customFormat="1">
      <c r="L706" s="51"/>
    </row>
    <row r="707" spans="12:12" s="52" customFormat="1">
      <c r="L707" s="51"/>
    </row>
    <row r="708" spans="12:12" s="52" customFormat="1">
      <c r="L708" s="51"/>
    </row>
    <row r="709" spans="12:12" s="52" customFormat="1">
      <c r="L709" s="51"/>
    </row>
    <row r="710" spans="12:12" s="52" customFormat="1">
      <c r="L710" s="51"/>
    </row>
    <row r="711" spans="12:12" s="52" customFormat="1">
      <c r="L711" s="51"/>
    </row>
    <row r="712" spans="12:12" s="52" customFormat="1">
      <c r="L712" s="51"/>
    </row>
    <row r="713" spans="12:12" s="52" customFormat="1">
      <c r="L713" s="51"/>
    </row>
    <row r="714" spans="12:12" s="52" customFormat="1">
      <c r="L714" s="51"/>
    </row>
    <row r="715" spans="12:12" s="52" customFormat="1">
      <c r="L715" s="51"/>
    </row>
    <row r="716" spans="12:12" s="52" customFormat="1">
      <c r="L716" s="51"/>
    </row>
    <row r="717" spans="12:12" s="52" customFormat="1">
      <c r="L717" s="51"/>
    </row>
    <row r="718" spans="12:12" s="52" customFormat="1">
      <c r="L718" s="51"/>
    </row>
    <row r="719" spans="12:12" s="52" customFormat="1">
      <c r="L719" s="51"/>
    </row>
    <row r="720" spans="12:12" s="52" customFormat="1">
      <c r="L720" s="51"/>
    </row>
    <row r="721" spans="12:12" s="52" customFormat="1">
      <c r="L721" s="51"/>
    </row>
    <row r="722" spans="12:12" s="52" customFormat="1">
      <c r="L722" s="51"/>
    </row>
    <row r="723" spans="12:12" s="52" customFormat="1">
      <c r="L723" s="51"/>
    </row>
    <row r="724" spans="12:12" s="52" customFormat="1">
      <c r="L724" s="51"/>
    </row>
    <row r="725" spans="12:12" s="52" customFormat="1">
      <c r="L725" s="51"/>
    </row>
    <row r="726" spans="12:12" s="52" customFormat="1">
      <c r="L726" s="51"/>
    </row>
    <row r="727" spans="12:12" s="52" customFormat="1">
      <c r="L727" s="51"/>
    </row>
    <row r="728" spans="12:12" s="52" customFormat="1">
      <c r="L728" s="51"/>
    </row>
    <row r="729" spans="12:12" s="52" customFormat="1">
      <c r="L729" s="51"/>
    </row>
    <row r="730" spans="12:12" s="52" customFormat="1">
      <c r="L730" s="51"/>
    </row>
    <row r="731" spans="12:12" s="52" customFormat="1">
      <c r="L731" s="51"/>
    </row>
    <row r="732" spans="12:12" s="52" customFormat="1">
      <c r="L732" s="51"/>
    </row>
    <row r="733" spans="12:12" s="52" customFormat="1">
      <c r="L733" s="51"/>
    </row>
    <row r="734" spans="12:12" s="52" customFormat="1">
      <c r="L734" s="51"/>
    </row>
    <row r="735" spans="12:12" s="52" customFormat="1">
      <c r="L735" s="51"/>
    </row>
    <row r="736" spans="12:12" s="52" customFormat="1">
      <c r="L736" s="51"/>
    </row>
    <row r="737" spans="12:12" s="52" customFormat="1">
      <c r="L737" s="51"/>
    </row>
    <row r="738" spans="12:12" s="52" customFormat="1">
      <c r="L738" s="51"/>
    </row>
    <row r="739" spans="12:12" s="52" customFormat="1">
      <c r="L739" s="51"/>
    </row>
    <row r="740" spans="12:12" s="52" customFormat="1">
      <c r="L740" s="51"/>
    </row>
    <row r="741" spans="12:12" s="52" customFormat="1">
      <c r="L741" s="51"/>
    </row>
    <row r="742" spans="12:12" s="52" customFormat="1">
      <c r="L742" s="51"/>
    </row>
    <row r="743" spans="12:12" s="52" customFormat="1">
      <c r="L743" s="51"/>
    </row>
    <row r="744" spans="12:12" s="52" customFormat="1">
      <c r="L744" s="51"/>
    </row>
    <row r="745" spans="12:12" s="52" customFormat="1">
      <c r="L745" s="51"/>
    </row>
    <row r="746" spans="12:12" s="52" customFormat="1">
      <c r="L746" s="51"/>
    </row>
    <row r="747" spans="12:12" s="52" customFormat="1">
      <c r="L747" s="51"/>
    </row>
    <row r="748" spans="12:12" s="52" customFormat="1">
      <c r="L748" s="51"/>
    </row>
    <row r="749" spans="12:12" s="52" customFormat="1">
      <c r="L749" s="51"/>
    </row>
    <row r="750" spans="12:12" s="52" customFormat="1">
      <c r="L750" s="51"/>
    </row>
    <row r="751" spans="12:12" s="52" customFormat="1">
      <c r="L751" s="51"/>
    </row>
    <row r="752" spans="12:12" s="52" customFormat="1">
      <c r="L752" s="51"/>
    </row>
    <row r="753" spans="12:12" s="52" customFormat="1">
      <c r="L753" s="51"/>
    </row>
    <row r="754" spans="12:12" s="52" customFormat="1">
      <c r="L754" s="51"/>
    </row>
    <row r="755" spans="12:12" s="52" customFormat="1">
      <c r="L755" s="51"/>
    </row>
    <row r="756" spans="12:12" s="52" customFormat="1">
      <c r="L756" s="51"/>
    </row>
    <row r="757" spans="12:12" s="52" customFormat="1">
      <c r="L757" s="51"/>
    </row>
    <row r="758" spans="12:12" s="52" customFormat="1">
      <c r="L758" s="51"/>
    </row>
    <row r="759" spans="12:12" s="52" customFormat="1">
      <c r="L759" s="51"/>
    </row>
    <row r="760" spans="12:12" s="52" customFormat="1">
      <c r="L760" s="51"/>
    </row>
    <row r="761" spans="12:12" s="52" customFormat="1">
      <c r="L761" s="51"/>
    </row>
    <row r="762" spans="12:12" s="52" customFormat="1">
      <c r="L762" s="51"/>
    </row>
    <row r="763" spans="12:12" s="52" customFormat="1">
      <c r="L763" s="51"/>
    </row>
    <row r="764" spans="12:12" s="52" customFormat="1">
      <c r="L764" s="51"/>
    </row>
    <row r="765" spans="12:12" s="52" customFormat="1">
      <c r="L765" s="51"/>
    </row>
    <row r="766" spans="12:12" s="52" customFormat="1">
      <c r="L766" s="51"/>
    </row>
    <row r="767" spans="12:12" s="52" customFormat="1">
      <c r="L767" s="51"/>
    </row>
    <row r="768" spans="12:12" s="52" customFormat="1">
      <c r="L768" s="51"/>
    </row>
    <row r="769" spans="12:12" s="52" customFormat="1">
      <c r="L769" s="51"/>
    </row>
    <row r="770" spans="12:12" s="52" customFormat="1">
      <c r="L770" s="51"/>
    </row>
    <row r="771" spans="12:12" s="52" customFormat="1">
      <c r="L771" s="51"/>
    </row>
    <row r="772" spans="12:12" s="52" customFormat="1">
      <c r="L772" s="51"/>
    </row>
    <row r="773" spans="12:12" s="52" customFormat="1">
      <c r="L773" s="51"/>
    </row>
    <row r="774" spans="12:12" s="52" customFormat="1">
      <c r="L774" s="51"/>
    </row>
    <row r="775" spans="12:12" s="52" customFormat="1">
      <c r="L775" s="51"/>
    </row>
    <row r="776" spans="12:12" s="52" customFormat="1">
      <c r="L776" s="51"/>
    </row>
    <row r="777" spans="12:12" s="52" customFormat="1">
      <c r="L777" s="51"/>
    </row>
    <row r="778" spans="12:12" s="52" customFormat="1">
      <c r="L778" s="51"/>
    </row>
    <row r="779" spans="12:12" s="52" customFormat="1">
      <c r="L779" s="51"/>
    </row>
    <row r="780" spans="12:12" s="52" customFormat="1">
      <c r="L780" s="51"/>
    </row>
    <row r="781" spans="12:12" s="52" customFormat="1">
      <c r="L781" s="51"/>
    </row>
    <row r="782" spans="12:12" s="52" customFormat="1">
      <c r="L782" s="51"/>
    </row>
    <row r="783" spans="12:12" s="52" customFormat="1">
      <c r="L783" s="51"/>
    </row>
    <row r="784" spans="12:12" s="52" customFormat="1">
      <c r="L784" s="51"/>
    </row>
    <row r="785" spans="12:12" s="52" customFormat="1">
      <c r="L785" s="51"/>
    </row>
    <row r="786" spans="12:12" s="52" customFormat="1">
      <c r="L786" s="51"/>
    </row>
    <row r="787" spans="12:12" s="52" customFormat="1">
      <c r="L787" s="51"/>
    </row>
    <row r="788" spans="12:12" s="52" customFormat="1">
      <c r="L788" s="51"/>
    </row>
    <row r="789" spans="12:12" s="52" customFormat="1">
      <c r="L789" s="51"/>
    </row>
    <row r="790" spans="12:12" s="52" customFormat="1">
      <c r="L790" s="51"/>
    </row>
    <row r="791" spans="12:12" s="52" customFormat="1">
      <c r="L791" s="51"/>
    </row>
    <row r="792" spans="12:12" s="52" customFormat="1">
      <c r="L792" s="51"/>
    </row>
    <row r="793" spans="12:12" s="52" customFormat="1">
      <c r="L793" s="51"/>
    </row>
    <row r="794" spans="12:12" s="52" customFormat="1">
      <c r="L794" s="51"/>
    </row>
    <row r="795" spans="12:12" s="52" customFormat="1">
      <c r="L795" s="51"/>
    </row>
    <row r="796" spans="12:12" s="52" customFormat="1">
      <c r="L796" s="51"/>
    </row>
    <row r="797" spans="12:12" s="52" customFormat="1">
      <c r="L797" s="51"/>
    </row>
    <row r="798" spans="12:12" s="52" customFormat="1">
      <c r="L798" s="51"/>
    </row>
    <row r="799" spans="12:12" s="52" customFormat="1">
      <c r="L799" s="51"/>
    </row>
    <row r="800" spans="12:12" s="52" customFormat="1">
      <c r="L800" s="51"/>
    </row>
    <row r="801" spans="12:12" s="52" customFormat="1">
      <c r="L801" s="51"/>
    </row>
    <row r="802" spans="12:12" s="52" customFormat="1">
      <c r="L802" s="51"/>
    </row>
    <row r="803" spans="12:12" s="52" customFormat="1">
      <c r="L803" s="51"/>
    </row>
    <row r="804" spans="12:12" s="52" customFormat="1">
      <c r="L804" s="51"/>
    </row>
    <row r="805" spans="12:12" s="52" customFormat="1">
      <c r="L805" s="51"/>
    </row>
    <row r="806" spans="12:12" s="52" customFormat="1">
      <c r="L806" s="51"/>
    </row>
    <row r="807" spans="12:12" s="52" customFormat="1">
      <c r="L807" s="51"/>
    </row>
    <row r="808" spans="12:12" s="52" customFormat="1">
      <c r="L808" s="51"/>
    </row>
    <row r="809" spans="12:12" s="52" customFormat="1">
      <c r="L809" s="51"/>
    </row>
    <row r="810" spans="12:12" s="52" customFormat="1">
      <c r="L810" s="51"/>
    </row>
    <row r="811" spans="12:12" s="52" customFormat="1">
      <c r="L811" s="51"/>
    </row>
    <row r="812" spans="12:12" s="52" customFormat="1">
      <c r="L812" s="51"/>
    </row>
    <row r="813" spans="12:12" s="52" customFormat="1">
      <c r="L813" s="51"/>
    </row>
    <row r="814" spans="12:12" s="52" customFormat="1">
      <c r="L814" s="51"/>
    </row>
    <row r="815" spans="12:12" s="52" customFormat="1">
      <c r="L815" s="51"/>
    </row>
    <row r="816" spans="12:12" s="52" customFormat="1">
      <c r="L816" s="51"/>
    </row>
    <row r="817" spans="12:12" s="52" customFormat="1">
      <c r="L817" s="51"/>
    </row>
    <row r="818" spans="12:12" s="52" customFormat="1">
      <c r="L818" s="51"/>
    </row>
    <row r="819" spans="12:12" s="52" customFormat="1">
      <c r="L819" s="51"/>
    </row>
    <row r="820" spans="12:12" s="52" customFormat="1">
      <c r="L820" s="51"/>
    </row>
    <row r="821" spans="12:12" s="52" customFormat="1">
      <c r="L821" s="51"/>
    </row>
    <row r="822" spans="12:12" s="52" customFormat="1">
      <c r="L822" s="51"/>
    </row>
    <row r="823" spans="12:12" s="52" customFormat="1">
      <c r="L823" s="51"/>
    </row>
    <row r="824" spans="12:12" s="52" customFormat="1">
      <c r="L824" s="51"/>
    </row>
    <row r="825" spans="12:12" s="52" customFormat="1">
      <c r="L825" s="51"/>
    </row>
    <row r="826" spans="12:12" s="52" customFormat="1">
      <c r="L826" s="51"/>
    </row>
    <row r="827" spans="12:12" s="52" customFormat="1">
      <c r="L827" s="51"/>
    </row>
    <row r="828" spans="12:12" s="52" customFormat="1">
      <c r="L828" s="51"/>
    </row>
    <row r="829" spans="12:12" s="52" customFormat="1">
      <c r="L829" s="51"/>
    </row>
    <row r="830" spans="12:12" s="52" customFormat="1">
      <c r="L830" s="51"/>
    </row>
    <row r="831" spans="12:12" s="52" customFormat="1">
      <c r="L831" s="51"/>
    </row>
    <row r="832" spans="12:12" s="52" customFormat="1">
      <c r="L832" s="51"/>
    </row>
    <row r="833" spans="12:12" s="52" customFormat="1">
      <c r="L833" s="51"/>
    </row>
    <row r="834" spans="12:12" s="52" customFormat="1">
      <c r="L834" s="51"/>
    </row>
    <row r="835" spans="12:12" s="52" customFormat="1">
      <c r="L835" s="51"/>
    </row>
    <row r="836" spans="12:12" s="52" customFormat="1">
      <c r="L836" s="51"/>
    </row>
    <row r="837" spans="12:12" s="52" customFormat="1">
      <c r="L837" s="51"/>
    </row>
    <row r="838" spans="12:12" s="52" customFormat="1">
      <c r="L838" s="51"/>
    </row>
    <row r="839" spans="12:12" s="52" customFormat="1">
      <c r="L839" s="51"/>
    </row>
    <row r="840" spans="12:12" s="52" customFormat="1">
      <c r="L840" s="51"/>
    </row>
    <row r="841" spans="12:12" s="52" customFormat="1">
      <c r="L841" s="51"/>
    </row>
    <row r="842" spans="12:12" s="52" customFormat="1">
      <c r="L842" s="51"/>
    </row>
    <row r="843" spans="12:12" s="52" customFormat="1">
      <c r="L843" s="51"/>
    </row>
    <row r="844" spans="12:12" s="52" customFormat="1">
      <c r="L844" s="51"/>
    </row>
    <row r="845" spans="12:12" s="52" customFormat="1">
      <c r="L845" s="51"/>
    </row>
    <row r="846" spans="12:12" s="52" customFormat="1">
      <c r="L846" s="51"/>
    </row>
    <row r="847" spans="12:12" s="52" customFormat="1">
      <c r="L847" s="51"/>
    </row>
    <row r="848" spans="12:12" s="52" customFormat="1">
      <c r="L848" s="51"/>
    </row>
    <row r="849" spans="12:12" s="52" customFormat="1">
      <c r="L849" s="51"/>
    </row>
    <row r="850" spans="12:12" s="52" customFormat="1">
      <c r="L850" s="51"/>
    </row>
    <row r="851" spans="12:12" s="52" customFormat="1">
      <c r="L851" s="51"/>
    </row>
    <row r="852" spans="12:12" s="52" customFormat="1">
      <c r="L852" s="51"/>
    </row>
    <row r="853" spans="12:12" s="52" customFormat="1">
      <c r="L853" s="51"/>
    </row>
    <row r="854" spans="12:12" s="52" customFormat="1">
      <c r="L854" s="51"/>
    </row>
    <row r="855" spans="12:12" s="52" customFormat="1">
      <c r="L855" s="51"/>
    </row>
  </sheetData>
  <autoFilter ref="K1:K859" xr:uid="{00000000-0009-0000-0000-00000F000000}"/>
  <mergeCells count="9">
    <mergeCell ref="P331:P332"/>
    <mergeCell ref="L337:L338"/>
    <mergeCell ref="B2:D2"/>
    <mergeCell ref="E3:K3"/>
    <mergeCell ref="L284:L285"/>
    <mergeCell ref="L335:L336"/>
    <mergeCell ref="L287:L288"/>
    <mergeCell ref="L260:L261"/>
    <mergeCell ref="L263:L264"/>
  </mergeCells>
  <phoneticPr fontId="75" type="noConversion"/>
  <conditionalFormatting sqref="C503">
    <cfRule type="duplicateValues" dxfId="853" priority="310" stopIfTrue="1"/>
  </conditionalFormatting>
  <conditionalFormatting sqref="C275">
    <cfRule type="duplicateValues" dxfId="852" priority="323" stopIfTrue="1"/>
  </conditionalFormatting>
  <conditionalFormatting sqref="C243">
    <cfRule type="duplicateValues" dxfId="851" priority="269" stopIfTrue="1"/>
    <cfRule type="duplicateValues" dxfId="850" priority="270" stopIfTrue="1"/>
  </conditionalFormatting>
  <conditionalFormatting sqref="C204">
    <cfRule type="duplicateValues" dxfId="849" priority="259" stopIfTrue="1"/>
    <cfRule type="duplicateValues" dxfId="848" priority="260" stopIfTrue="1"/>
  </conditionalFormatting>
  <conditionalFormatting sqref="C377">
    <cfRule type="duplicateValues" dxfId="847" priority="2106" stopIfTrue="1"/>
    <cfRule type="duplicateValues" dxfId="846" priority="2107" stopIfTrue="1"/>
  </conditionalFormatting>
  <conditionalFormatting sqref="C364">
    <cfRule type="duplicateValues" dxfId="845" priority="237" stopIfTrue="1"/>
    <cfRule type="duplicateValues" dxfId="844" priority="238" stopIfTrue="1"/>
  </conditionalFormatting>
  <conditionalFormatting sqref="C29">
    <cfRule type="duplicateValues" dxfId="843" priority="214" stopIfTrue="1"/>
    <cfRule type="duplicateValues" dxfId="842" priority="215" stopIfTrue="1"/>
  </conditionalFormatting>
  <conditionalFormatting sqref="C314">
    <cfRule type="duplicateValues" dxfId="841" priority="202" stopIfTrue="1"/>
    <cfRule type="duplicateValues" dxfId="840" priority="203" stopIfTrue="1"/>
  </conditionalFormatting>
  <conditionalFormatting sqref="D348">
    <cfRule type="duplicateValues" dxfId="839" priority="200" stopIfTrue="1"/>
    <cfRule type="duplicateValues" dxfId="838" priority="201" stopIfTrue="1"/>
  </conditionalFormatting>
  <conditionalFormatting sqref="C419">
    <cfRule type="duplicateValues" dxfId="837" priority="196" stopIfTrue="1"/>
    <cfRule type="duplicateValues" dxfId="836" priority="197" stopIfTrue="1"/>
  </conditionalFormatting>
  <conditionalFormatting sqref="C483 C466">
    <cfRule type="duplicateValues" dxfId="835" priority="5769" stopIfTrue="1"/>
    <cfRule type="duplicateValues" dxfId="834" priority="5770" stopIfTrue="1"/>
  </conditionalFormatting>
  <conditionalFormatting sqref="C349:C351 C353:C355">
    <cfRule type="duplicateValues" dxfId="833" priority="174" stopIfTrue="1"/>
    <cfRule type="duplicateValues" dxfId="832" priority="175" stopIfTrue="1"/>
  </conditionalFormatting>
  <conditionalFormatting sqref="C459:C460 C463:C465">
    <cfRule type="duplicateValues" dxfId="831" priority="168" stopIfTrue="1"/>
    <cfRule type="duplicateValues" dxfId="830" priority="169" stopIfTrue="1"/>
  </conditionalFormatting>
  <conditionalFormatting sqref="C245">
    <cfRule type="duplicateValues" dxfId="829" priority="151" stopIfTrue="1"/>
    <cfRule type="duplicateValues" dxfId="828" priority="152" stopIfTrue="1"/>
  </conditionalFormatting>
  <conditionalFormatting sqref="C356">
    <cfRule type="duplicateValues" dxfId="827" priority="149" stopIfTrue="1"/>
    <cfRule type="duplicateValues" dxfId="826" priority="150" stopIfTrue="1"/>
  </conditionalFormatting>
  <conditionalFormatting sqref="C273 C270 C268">
    <cfRule type="duplicateValues" dxfId="825" priority="7573" stopIfTrue="1"/>
  </conditionalFormatting>
  <conditionalFormatting sqref="C127">
    <cfRule type="duplicateValues" dxfId="824" priority="135" stopIfTrue="1"/>
    <cfRule type="duplicateValues" dxfId="823" priority="136" stopIfTrue="1"/>
  </conditionalFormatting>
  <conditionalFormatting sqref="C128">
    <cfRule type="duplicateValues" dxfId="822" priority="133" stopIfTrue="1"/>
    <cfRule type="duplicateValues" dxfId="821" priority="134" stopIfTrue="1"/>
  </conditionalFormatting>
  <conditionalFormatting sqref="C366">
    <cfRule type="duplicateValues" dxfId="820" priority="127" stopIfTrue="1"/>
    <cfRule type="duplicateValues" dxfId="819" priority="128" stopIfTrue="1"/>
  </conditionalFormatting>
  <conditionalFormatting sqref="C343">
    <cfRule type="duplicateValues" dxfId="818" priority="123" stopIfTrue="1"/>
    <cfRule type="duplicateValues" dxfId="817" priority="124" stopIfTrue="1"/>
  </conditionalFormatting>
  <conditionalFormatting sqref="C161">
    <cfRule type="duplicateValues" dxfId="816" priority="114" stopIfTrue="1"/>
    <cfRule type="duplicateValues" dxfId="815" priority="115" stopIfTrue="1"/>
  </conditionalFormatting>
  <conditionalFormatting sqref="C500">
    <cfRule type="duplicateValues" dxfId="814" priority="106" stopIfTrue="1"/>
    <cfRule type="duplicateValues" dxfId="813" priority="107" stopIfTrue="1"/>
  </conditionalFormatting>
  <conditionalFormatting sqref="C160">
    <cfRule type="duplicateValues" dxfId="812" priority="102" stopIfTrue="1"/>
    <cfRule type="duplicateValues" dxfId="811" priority="103" stopIfTrue="1"/>
  </conditionalFormatting>
  <conditionalFormatting sqref="C254:C256">
    <cfRule type="duplicateValues" dxfId="810" priority="93" stopIfTrue="1"/>
    <cfRule type="duplicateValues" dxfId="809" priority="94" stopIfTrue="1"/>
  </conditionalFormatting>
  <conditionalFormatting sqref="C257">
    <cfRule type="duplicateValues" dxfId="808" priority="91" stopIfTrue="1"/>
    <cfRule type="duplicateValues" dxfId="807" priority="92" stopIfTrue="1"/>
  </conditionalFormatting>
  <conditionalFormatting sqref="C397">
    <cfRule type="duplicateValues" dxfId="806" priority="85" stopIfTrue="1"/>
    <cfRule type="duplicateValues" dxfId="805" priority="86" stopIfTrue="1"/>
  </conditionalFormatting>
  <conditionalFormatting sqref="C357:C358">
    <cfRule type="duplicateValues" dxfId="804" priority="83" stopIfTrue="1"/>
    <cfRule type="duplicateValues" dxfId="803" priority="84" stopIfTrue="1"/>
  </conditionalFormatting>
  <conditionalFormatting sqref="C482">
    <cfRule type="duplicateValues" dxfId="802" priority="81" stopIfTrue="1"/>
    <cfRule type="duplicateValues" dxfId="801" priority="82" stopIfTrue="1"/>
  </conditionalFormatting>
  <conditionalFormatting sqref="C481">
    <cfRule type="duplicateValues" dxfId="800" priority="79" stopIfTrue="1"/>
    <cfRule type="duplicateValues" dxfId="799" priority="80" stopIfTrue="1"/>
  </conditionalFormatting>
  <conditionalFormatting sqref="C501">
    <cfRule type="duplicateValues" dxfId="798" priority="71" stopIfTrue="1"/>
    <cfRule type="duplicateValues" dxfId="797" priority="72" stopIfTrue="1"/>
  </conditionalFormatting>
  <conditionalFormatting sqref="C1">
    <cfRule type="duplicateValues" dxfId="796" priority="69" stopIfTrue="1"/>
    <cfRule type="duplicateValues" dxfId="795" priority="70" stopIfTrue="1"/>
  </conditionalFormatting>
  <conditionalFormatting sqref="C178:C181">
    <cfRule type="duplicateValues" dxfId="794" priority="67" stopIfTrue="1"/>
    <cfRule type="duplicateValues" dxfId="793" priority="68" stopIfTrue="1"/>
  </conditionalFormatting>
  <conditionalFormatting sqref="C187">
    <cfRule type="duplicateValues" dxfId="792" priority="65" stopIfTrue="1"/>
    <cfRule type="duplicateValues" dxfId="791" priority="66" stopIfTrue="1"/>
  </conditionalFormatting>
  <conditionalFormatting sqref="C205:C207">
    <cfRule type="duplicateValues" dxfId="790" priority="61" stopIfTrue="1"/>
    <cfRule type="duplicateValues" dxfId="789" priority="62" stopIfTrue="1"/>
  </conditionalFormatting>
  <conditionalFormatting sqref="C201">
    <cfRule type="duplicateValues" dxfId="788" priority="59" stopIfTrue="1"/>
    <cfRule type="duplicateValues" dxfId="787" priority="60" stopIfTrue="1"/>
  </conditionalFormatting>
  <conditionalFormatting sqref="C214:C222">
    <cfRule type="duplicateValues" dxfId="786" priority="57" stopIfTrue="1"/>
    <cfRule type="duplicateValues" dxfId="785" priority="58" stopIfTrue="1"/>
  </conditionalFormatting>
  <conditionalFormatting sqref="C223">
    <cfRule type="duplicateValues" dxfId="784" priority="55" stopIfTrue="1"/>
    <cfRule type="duplicateValues" dxfId="783" priority="56" stopIfTrue="1"/>
  </conditionalFormatting>
  <conditionalFormatting sqref="C162:C163">
    <cfRule type="duplicateValues" dxfId="782" priority="53" stopIfTrue="1"/>
    <cfRule type="duplicateValues" dxfId="781" priority="54" stopIfTrue="1"/>
  </conditionalFormatting>
  <conditionalFormatting sqref="C274">
    <cfRule type="duplicateValues" dxfId="780" priority="48" stopIfTrue="1"/>
  </conditionalFormatting>
  <conditionalFormatting sqref="C274">
    <cfRule type="duplicateValues" dxfId="779" priority="49" stopIfTrue="1"/>
    <cfRule type="duplicateValues" dxfId="778" priority="50" stopIfTrue="1"/>
  </conditionalFormatting>
  <conditionalFormatting sqref="C258:C261 C251:C253 C264">
    <cfRule type="duplicateValues" dxfId="777" priority="16026" stopIfTrue="1"/>
    <cfRule type="duplicateValues" dxfId="776" priority="16027" stopIfTrue="1"/>
  </conditionalFormatting>
  <conditionalFormatting sqref="C394:C396">
    <cfRule type="duplicateValues" dxfId="775" priority="16178" stopIfTrue="1"/>
    <cfRule type="duplicateValues" dxfId="774" priority="16179" stopIfTrue="1"/>
  </conditionalFormatting>
  <conditionalFormatting sqref="C193:C197">
    <cfRule type="duplicateValues" dxfId="773" priority="16260" stopIfTrue="1"/>
    <cfRule type="duplicateValues" dxfId="772" priority="16261" stopIfTrue="1"/>
  </conditionalFormatting>
  <conditionalFormatting sqref="C359:C361">
    <cfRule type="duplicateValues" dxfId="771" priority="17927" stopIfTrue="1"/>
    <cfRule type="duplicateValues" dxfId="770" priority="17928" stopIfTrue="1"/>
  </conditionalFormatting>
  <conditionalFormatting sqref="C363">
    <cfRule type="duplicateValues" dxfId="769" priority="18005" stopIfTrue="1"/>
    <cfRule type="duplicateValues" dxfId="768" priority="18006" stopIfTrue="1"/>
  </conditionalFormatting>
  <conditionalFormatting sqref="C504">
    <cfRule type="duplicateValues" dxfId="767" priority="42" stopIfTrue="1"/>
    <cfRule type="duplicateValues" dxfId="766" priority="43" stopIfTrue="1"/>
  </conditionalFormatting>
  <conditionalFormatting sqref="C496">
    <cfRule type="duplicateValues" dxfId="765" priority="40" stopIfTrue="1"/>
    <cfRule type="duplicateValues" dxfId="764" priority="41" stopIfTrue="1"/>
  </conditionalFormatting>
  <conditionalFormatting sqref="C398:C404">
    <cfRule type="duplicateValues" dxfId="763" priority="34" stopIfTrue="1"/>
    <cfRule type="duplicateValues" dxfId="762" priority="35" stopIfTrue="1"/>
  </conditionalFormatting>
  <conditionalFormatting sqref="C369:C374">
    <cfRule type="duplicateValues" dxfId="761" priority="32" stopIfTrue="1"/>
    <cfRule type="duplicateValues" dxfId="760" priority="33" stopIfTrue="1"/>
  </conditionalFormatting>
  <conditionalFormatting sqref="C344:C346">
    <cfRule type="duplicateValues" dxfId="759" priority="30" stopIfTrue="1"/>
    <cfRule type="duplicateValues" dxfId="758" priority="31" stopIfTrue="1"/>
  </conditionalFormatting>
  <conditionalFormatting sqref="C307:C311">
    <cfRule type="duplicateValues" dxfId="757" priority="28" stopIfTrue="1"/>
    <cfRule type="duplicateValues" dxfId="756" priority="29" stopIfTrue="1"/>
  </conditionalFormatting>
  <conditionalFormatting sqref="C265">
    <cfRule type="duplicateValues" dxfId="755" priority="26" stopIfTrue="1"/>
    <cfRule type="duplicateValues" dxfId="754" priority="27" stopIfTrue="1"/>
  </conditionalFormatting>
  <conditionalFormatting sqref="C484:C489">
    <cfRule type="duplicateValues" dxfId="753" priority="20383" stopIfTrue="1"/>
    <cfRule type="duplicateValues" dxfId="752" priority="20384" stopIfTrue="1"/>
  </conditionalFormatting>
  <conditionalFormatting sqref="C324:C342 C313 C315:C318 C320:C322">
    <cfRule type="duplicateValues" dxfId="751" priority="20805" stopIfTrue="1"/>
    <cfRule type="duplicateValues" dxfId="750" priority="20806" stopIfTrue="1"/>
  </conditionalFormatting>
  <conditionalFormatting sqref="R291">
    <cfRule type="duplicateValues" dxfId="749" priority="24" stopIfTrue="1"/>
    <cfRule type="duplicateValues" dxfId="748" priority="25" stopIfTrue="1"/>
  </conditionalFormatting>
  <conditionalFormatting sqref="C431">
    <cfRule type="duplicateValues" dxfId="747" priority="22" stopIfTrue="1"/>
    <cfRule type="duplicateValues" dxfId="746" priority="23" stopIfTrue="1"/>
  </conditionalFormatting>
  <conditionalFormatting sqref="C502">
    <cfRule type="duplicateValues" dxfId="745" priority="20" stopIfTrue="1"/>
    <cfRule type="duplicateValues" dxfId="744" priority="21" stopIfTrue="1"/>
  </conditionalFormatting>
  <conditionalFormatting sqref="C493">
    <cfRule type="duplicateValues" dxfId="743" priority="18" stopIfTrue="1"/>
    <cfRule type="duplicateValues" dxfId="742" priority="19" stopIfTrue="1"/>
  </conditionalFormatting>
  <conditionalFormatting sqref="C461:C462">
    <cfRule type="duplicateValues" dxfId="741" priority="16" stopIfTrue="1"/>
    <cfRule type="duplicateValues" dxfId="740" priority="17" stopIfTrue="1"/>
  </conditionalFormatting>
  <conditionalFormatting sqref="C157">
    <cfRule type="duplicateValues" dxfId="739" priority="21037" stopIfTrue="1"/>
    <cfRule type="duplicateValues" dxfId="738" priority="21038" stopIfTrue="1"/>
  </conditionalFormatting>
  <conditionalFormatting sqref="C117">
    <cfRule type="duplicateValues" dxfId="737" priority="14" stopIfTrue="1"/>
    <cfRule type="duplicateValues" dxfId="736" priority="15" stopIfTrue="1"/>
  </conditionalFormatting>
  <conditionalFormatting sqref="C497:C498 C139 C503 C2:C28 C182 C367 C375:C376 C30:C35 C188:C192 C312 C347:C348 C505:C65689 C244 C362 C273 C246:C250 C458 C378:C393 C208:C213 C164:C170 C198 C202:C203 C107:C108 C200 C490:C492 C405:C406 C266:C270 C239:C242 C275:C306 C432:C436 C443:C445 C494:C495 C224:C237 C418:C428 C430 C409:C411 C413:C416 C467:C480">
    <cfRule type="duplicateValues" dxfId="735" priority="21128" stopIfTrue="1"/>
    <cfRule type="duplicateValues" dxfId="734" priority="21129" stopIfTrue="1"/>
  </conditionalFormatting>
  <conditionalFormatting sqref="C417">
    <cfRule type="duplicateValues" dxfId="733" priority="10" stopIfTrue="1"/>
    <cfRule type="duplicateValues" dxfId="732" priority="11" stopIfTrue="1"/>
  </conditionalFormatting>
  <conditionalFormatting sqref="C118:C136 C36:C116">
    <cfRule type="duplicateValues" dxfId="731" priority="21256" stopIfTrue="1"/>
    <cfRule type="duplicateValues" dxfId="730" priority="21257" stopIfTrue="1"/>
  </conditionalFormatting>
  <conditionalFormatting sqref="C262:C263">
    <cfRule type="duplicateValues" dxfId="729" priority="5" stopIfTrue="1"/>
    <cfRule type="duplicateValues" dxfId="728" priority="6" stopIfTrue="1"/>
  </conditionalFormatting>
  <conditionalFormatting sqref="C412 C407:C408">
    <cfRule type="duplicateValues" dxfId="727" priority="21816" stopIfTrue="1"/>
    <cfRule type="duplicateValues" dxfId="726" priority="21817" stopIfTrue="1"/>
  </conditionalFormatting>
  <conditionalFormatting sqref="C158:C159">
    <cfRule type="duplicateValues" dxfId="725" priority="21857" stopIfTrue="1"/>
    <cfRule type="duplicateValues" dxfId="724" priority="21858" stopIfTrue="1"/>
  </conditionalFormatting>
  <conditionalFormatting sqref="C429 C450:C457 C446 C438:C442">
    <cfRule type="duplicateValues" dxfId="723" priority="22013" stopIfTrue="1"/>
    <cfRule type="duplicateValues" dxfId="722" priority="22014" stopIfTrue="1"/>
  </conditionalFormatting>
  <conditionalFormatting sqref="C150:C156 C134:C138 C140">
    <cfRule type="duplicateValues" dxfId="721" priority="22246" stopIfTrue="1"/>
    <cfRule type="duplicateValues" dxfId="720" priority="22247" stopIfTrue="1"/>
  </conditionalFormatting>
  <conditionalFormatting sqref="C141:C149">
    <cfRule type="duplicateValues" dxfId="719" priority="22258" stopIfTrue="1"/>
    <cfRule type="duplicateValues" dxfId="718" priority="22259" stopIfTrue="1"/>
  </conditionalFormatting>
  <conditionalFormatting sqref="C271:C272">
    <cfRule type="duplicateValues" dxfId="717" priority="22272" stopIfTrue="1"/>
  </conditionalFormatting>
  <conditionalFormatting sqref="C271:C272">
    <cfRule type="duplicateValues" dxfId="716" priority="22273" stopIfTrue="1"/>
    <cfRule type="duplicateValues" dxfId="715" priority="22274" stopIfTrue="1"/>
  </conditionalFormatting>
  <conditionalFormatting sqref="C437">
    <cfRule type="duplicateValues" dxfId="714" priority="3" stopIfTrue="1"/>
    <cfRule type="duplicateValues" dxfId="713" priority="4" stopIfTrue="1"/>
  </conditionalFormatting>
  <conditionalFormatting sqref="C352">
    <cfRule type="duplicateValues" dxfId="712" priority="1" stopIfTrue="1"/>
    <cfRule type="duplicateValues" dxfId="711" priority="2" stopIfTrue="1"/>
  </conditionalFormatting>
  <hyperlinks>
    <hyperlink ref="P183" location="'Prepaid expenses'!A1" display="'Prepaid expenses'!A1" xr:uid="{D6723288-023D-4B3E-AFBF-D2320B0CA5D6}"/>
    <hyperlink ref="P239" location="'Accrued expenses'!A101" display="'Accrued expenses'!A101" xr:uid="{C80D35A9-365E-4BD0-89FE-41A6CA25A6B1}"/>
    <hyperlink ref="P268" location="'Accrued expenses'!A101" display="'Accrued expenses'!A101" xr:uid="{F5224F73-E454-419C-942A-4EE135F1D84C}"/>
  </hyperlinks>
  <printOptions horizontalCentered="1" gridLines="1" gridLinesSet="0"/>
  <pageMargins left="0.51181102362204722" right="0.11811023622047245" top="0.51181102362204722" bottom="0.55118110236220474" header="0.51181102362204722" footer="0.51181102362204722"/>
  <pageSetup paperSize="9" scale="10" fitToHeight="6" orientation="landscape" blackAndWhite="1" cellComments="asDisplayed" horizontalDpi="300" verticalDpi="300" r:id="rId1"/>
  <headerFooter alignWithMargins="0"/>
  <rowBreaks count="1" manualBreakCount="1">
    <brk id="370" max="84" man="1"/>
  </rowBreaks>
  <ignoredErrors>
    <ignoredError sqref="J169:K169 J14 F1 F279 M501 M129" formula="1"/>
  </ignoredErrors>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7">
    <tabColor rgb="FFFF66CC"/>
  </sheetPr>
  <dimension ref="A1:AG391"/>
  <sheetViews>
    <sheetView rightToLeft="1" topLeftCell="A125" zoomScale="85" zoomScaleNormal="85" workbookViewId="0">
      <selection activeCell="C53" sqref="C52:C53"/>
    </sheetView>
  </sheetViews>
  <sheetFormatPr defaultColWidth="9.33203125" defaultRowHeight="12.75"/>
  <cols>
    <col min="1" max="1" width="16.33203125" style="141" customWidth="1"/>
    <col min="2" max="2" width="35.5" style="141" customWidth="1"/>
    <col min="3" max="3" width="45.83203125" style="141" customWidth="1"/>
    <col min="4" max="4" width="62" style="141" customWidth="1"/>
    <col min="5" max="5" width="30" style="141" customWidth="1"/>
    <col min="6" max="7" width="26.6640625" style="726" customWidth="1"/>
    <col min="8" max="8" width="19" style="141" customWidth="1"/>
    <col min="9" max="9" width="18.83203125" style="141" customWidth="1"/>
    <col min="10" max="10" width="5.33203125" style="141" customWidth="1"/>
    <col min="11" max="11" width="21" style="141" customWidth="1"/>
    <col min="12" max="12" width="18.1640625" style="141" customWidth="1"/>
    <col min="13" max="13" width="14.1640625" style="538" customWidth="1"/>
    <col min="14" max="15" width="13.1640625" style="141" bestFit="1" customWidth="1"/>
    <col min="16" max="16" width="38" style="137" bestFit="1" customWidth="1"/>
    <col min="17" max="17" width="21.83203125" style="137" bestFit="1" customWidth="1"/>
    <col min="18" max="18" width="12.83203125" style="137" bestFit="1" customWidth="1"/>
    <col min="19" max="19" width="15.5" style="137" bestFit="1" customWidth="1"/>
    <col min="20" max="20" width="16.83203125" style="137" bestFit="1" customWidth="1"/>
    <col min="21" max="21" width="9.6640625" style="137" bestFit="1" customWidth="1"/>
    <col min="22" max="22" width="11.5" style="137" bestFit="1" customWidth="1"/>
    <col min="23" max="16384" width="9.33203125" style="137"/>
  </cols>
  <sheetData>
    <row r="1" spans="1:28" ht="13.5" thickBot="1">
      <c r="B1" s="1087" t="str">
        <f>'מאזן בוחן EUROPE'!B2:D2</f>
        <v xml:space="preserve">Algosec Europe Ltd </v>
      </c>
      <c r="C1" s="1087"/>
      <c r="D1" s="1088"/>
      <c r="E1" s="1088"/>
      <c r="F1" s="3132"/>
      <c r="G1" s="3133"/>
    </row>
    <row r="2" spans="1:28" ht="13.5" thickBot="1">
      <c r="B2" s="1375">
        <f>'נתונים לשינוי'!C1</f>
        <v>44561</v>
      </c>
      <c r="C2" s="1087"/>
      <c r="D2" s="1088"/>
      <c r="E2" s="1088"/>
      <c r="F2" s="3132"/>
      <c r="G2" s="3133"/>
      <c r="J2" s="52"/>
      <c r="K2" s="52"/>
      <c r="L2" s="52"/>
      <c r="M2" s="52"/>
      <c r="N2" s="52"/>
      <c r="O2" s="52"/>
    </row>
    <row r="3" spans="1:28" ht="13.5" thickBot="1">
      <c r="B3" s="1089" t="s">
        <v>49</v>
      </c>
      <c r="C3" s="1087"/>
      <c r="D3" s="1088"/>
      <c r="E3" s="1090"/>
      <c r="F3" s="3132"/>
      <c r="G3" s="3133"/>
      <c r="J3" s="52"/>
      <c r="K3" s="52"/>
      <c r="L3" s="52"/>
      <c r="M3" s="52"/>
      <c r="N3" s="52"/>
      <c r="O3" s="52"/>
    </row>
    <row r="4" spans="1:28" ht="13.5" thickBot="1">
      <c r="B4" s="540" t="s">
        <v>57</v>
      </c>
      <c r="C4" s="540" t="s">
        <v>178</v>
      </c>
      <c r="D4" s="541" t="s">
        <v>59</v>
      </c>
      <c r="E4" s="1093"/>
      <c r="F4" s="3134"/>
      <c r="G4" s="1531"/>
      <c r="H4" s="52"/>
      <c r="I4" s="52"/>
      <c r="J4" s="52"/>
      <c r="K4" s="52"/>
      <c r="L4" s="52"/>
      <c r="M4" s="52"/>
      <c r="N4" s="52"/>
      <c r="O4" s="52"/>
    </row>
    <row r="5" spans="1:28" ht="13.5" customHeight="1" thickBot="1">
      <c r="A5" s="50"/>
      <c r="B5" s="50"/>
      <c r="C5" s="50"/>
      <c r="D5" s="50"/>
      <c r="E5" s="956">
        <f>SUM(E7:E116)</f>
        <v>0</v>
      </c>
      <c r="F5" s="956">
        <f>SUM(F35:F116)</f>
        <v>0</v>
      </c>
      <c r="G5" s="1531"/>
      <c r="H5" s="52"/>
      <c r="I5" s="52"/>
      <c r="J5" s="52"/>
      <c r="K5" s="52"/>
      <c r="L5" s="52"/>
      <c r="M5" s="52"/>
      <c r="N5" s="52"/>
      <c r="O5" s="52"/>
    </row>
    <row r="6" spans="1:28" ht="13.5" thickBot="1">
      <c r="A6" s="50"/>
      <c r="B6" s="2220">
        <v>1</v>
      </c>
      <c r="C6" s="1346" t="s">
        <v>2733</v>
      </c>
      <c r="D6" s="1344"/>
      <c r="E6" s="1197" t="s">
        <v>400</v>
      </c>
      <c r="F6" s="3135" t="s">
        <v>4</v>
      </c>
      <c r="G6" s="4444" t="s">
        <v>2429</v>
      </c>
      <c r="I6" s="52"/>
      <c r="J6" s="52"/>
      <c r="K6" s="52"/>
      <c r="L6" s="52"/>
      <c r="M6" s="52"/>
      <c r="N6" s="52"/>
      <c r="O6" s="52"/>
    </row>
    <row r="7" spans="1:28">
      <c r="A7" s="50"/>
      <c r="B7" s="4347"/>
      <c r="C7" s="1374">
        <v>2160000</v>
      </c>
      <c r="D7" s="63" t="str">
        <f>VLOOKUP(C7,'מאזן בוחן EUROPE'!C:D,2,0)</f>
        <v>מיון לקוחות בזכות לזכאים</v>
      </c>
      <c r="E7" s="1348">
        <f>-E8</f>
        <v>0</v>
      </c>
      <c r="F7" s="1348">
        <f>-F8</f>
        <v>0</v>
      </c>
      <c r="G7" s="4445"/>
      <c r="H7" s="976" t="e">
        <f>E7/F7</f>
        <v>#DIV/0!</v>
      </c>
      <c r="J7" s="52"/>
      <c r="K7" s="52"/>
      <c r="L7" s="52"/>
      <c r="M7" s="52"/>
      <c r="N7" s="52"/>
      <c r="O7" s="52"/>
      <c r="X7" s="153"/>
      <c r="Y7" s="139"/>
      <c r="Z7" s="139"/>
      <c r="AB7" s="139"/>
    </row>
    <row r="8" spans="1:28" ht="13.5" thickBot="1">
      <c r="A8" s="50"/>
      <c r="B8" s="4334"/>
      <c r="C8" s="1347">
        <v>2090001</v>
      </c>
      <c r="D8" s="525" t="str">
        <f>VLOOKUP(C8,'מאזן בוחן EUROPE'!C:D,2,0)</f>
        <v xml:space="preserve">הכנסות מראש (קיטון מהלקוחות) לקוחות בזכות </v>
      </c>
      <c r="E8" s="1349"/>
      <c r="F8" s="1349"/>
      <c r="G8" s="4446"/>
      <c r="H8" s="976" t="e">
        <f>E8/F8</f>
        <v>#DIV/0!</v>
      </c>
      <c r="J8" s="52"/>
      <c r="K8" s="52"/>
      <c r="L8" s="52"/>
      <c r="M8" s="52"/>
      <c r="N8" s="52"/>
      <c r="O8" s="52"/>
      <c r="V8" s="153"/>
      <c r="W8" s="153"/>
      <c r="X8" s="153"/>
      <c r="AB8" s="139"/>
    </row>
    <row r="9" spans="1:28" ht="13.5" thickBot="1">
      <c r="A9" s="50"/>
      <c r="B9" s="2223">
        <v>2</v>
      </c>
      <c r="C9" s="1346" t="s">
        <v>4824</v>
      </c>
      <c r="D9" s="1344"/>
      <c r="E9" s="1197" t="s">
        <v>400</v>
      </c>
      <c r="F9" s="3135" t="s">
        <v>4</v>
      </c>
      <c r="G9" s="1689" t="s">
        <v>3478</v>
      </c>
      <c r="H9" s="52"/>
      <c r="J9" s="52"/>
      <c r="K9" s="52"/>
      <c r="L9" s="52"/>
      <c r="M9" s="52"/>
      <c r="N9" s="52"/>
      <c r="O9" s="52"/>
      <c r="V9" s="153"/>
      <c r="W9" s="153"/>
      <c r="X9" s="153"/>
      <c r="AB9" s="139"/>
    </row>
    <row r="10" spans="1:28">
      <c r="A10" s="50"/>
      <c r="B10" s="4333"/>
      <c r="C10" s="545">
        <v>7110003</v>
      </c>
      <c r="D10" s="63" t="str">
        <f>VLOOKUP(C10,'מאזן בוחן EUROPE'!C:D,2,0)</f>
        <v>Commission - Sales from provision only</v>
      </c>
      <c r="E10" s="1348"/>
      <c r="F10" s="1348">
        <f>E10/'מאזן בוחן EUROPE'!$N$2</f>
        <v>0</v>
      </c>
      <c r="G10" s="3831" t="s">
        <v>1386</v>
      </c>
      <c r="H10" s="976" t="e">
        <f>E10/F10</f>
        <v>#DIV/0!</v>
      </c>
      <c r="J10" s="52"/>
      <c r="K10" s="52"/>
      <c r="L10" s="52"/>
      <c r="M10" s="52"/>
      <c r="N10" s="52"/>
      <c r="O10" s="52"/>
      <c r="V10" s="153"/>
      <c r="W10" s="153"/>
      <c r="X10" s="153"/>
      <c r="AB10" s="139"/>
    </row>
    <row r="11" spans="1:28">
      <c r="A11" s="50"/>
      <c r="B11" s="4333"/>
      <c r="C11" s="545">
        <v>7110003</v>
      </c>
      <c r="D11" s="63" t="str">
        <f>VLOOKUP(C11,'מאזן בוחן EUROPE'!C:D,2,0)</f>
        <v>Commission - Sales from provision only</v>
      </c>
      <c r="E11" s="1348"/>
      <c r="F11" s="1348">
        <f>E11/'מאזן בוחן EUROPE'!$N$2</f>
        <v>0</v>
      </c>
      <c r="G11" s="3831" t="s">
        <v>1387</v>
      </c>
      <c r="H11" s="976" t="e">
        <f>E11/F11</f>
        <v>#DIV/0!</v>
      </c>
      <c r="I11" s="3472"/>
      <c r="J11" s="52"/>
      <c r="K11" s="52"/>
      <c r="L11" s="52"/>
      <c r="M11" s="52"/>
      <c r="N11" s="52"/>
      <c r="O11" s="52"/>
      <c r="V11" s="153"/>
      <c r="W11" s="153"/>
      <c r="X11" s="153"/>
      <c r="AB11" s="139"/>
    </row>
    <row r="12" spans="1:28" ht="13.5" thickBot="1">
      <c r="A12" s="50"/>
      <c r="B12" s="4334"/>
      <c r="C12" s="546">
        <v>2400001</v>
      </c>
      <c r="D12" s="2258" t="str">
        <f>VLOOKUP(C12,'מאזן בוחן EUROPE'!C:D,2,0)</f>
        <v>Accrued expenses Employees</v>
      </c>
      <c r="E12" s="1604">
        <f>-E11-E10</f>
        <v>0</v>
      </c>
      <c r="F12" s="1604">
        <f>-F11-F10</f>
        <v>0</v>
      </c>
      <c r="G12" s="3829" t="s">
        <v>3137</v>
      </c>
      <c r="H12" s="976" t="e">
        <f>E12/F12</f>
        <v>#DIV/0!</v>
      </c>
      <c r="J12" s="52"/>
      <c r="K12" s="52"/>
      <c r="L12" s="52"/>
      <c r="M12" s="52"/>
      <c r="N12" s="52"/>
      <c r="O12" s="52"/>
      <c r="V12" s="570"/>
      <c r="W12" s="153"/>
      <c r="X12" s="570"/>
      <c r="AB12" s="139"/>
    </row>
    <row r="13" spans="1:28" ht="13.5" thickBot="1">
      <c r="A13" s="50"/>
      <c r="B13" s="2223">
        <f>B9+1</f>
        <v>3</v>
      </c>
      <c r="C13" s="1346" t="s">
        <v>4644</v>
      </c>
      <c r="D13" s="1344"/>
      <c r="E13" s="1197" t="s">
        <v>400</v>
      </c>
      <c r="F13" s="3135" t="s">
        <v>4</v>
      </c>
      <c r="G13" s="4444" t="s">
        <v>2427</v>
      </c>
      <c r="H13" s="52"/>
      <c r="J13" s="52"/>
      <c r="K13" s="52"/>
      <c r="L13" s="52"/>
      <c r="M13" s="52"/>
      <c r="N13" s="52"/>
      <c r="O13" s="52"/>
      <c r="V13" s="570"/>
      <c r="W13" s="570"/>
      <c r="X13" s="570"/>
      <c r="AB13" s="139"/>
    </row>
    <row r="14" spans="1:28">
      <c r="A14" s="50"/>
      <c r="B14" s="4384"/>
      <c r="C14" s="1425">
        <v>1620001</v>
      </c>
      <c r="D14" s="63" t="str">
        <f>VLOOKUP(C14,'מאזן בוחן EUROPE'!C:D,2,0)</f>
        <v xml:space="preserve">DEFERRED TAX - SHARE BASED COMP </v>
      </c>
      <c r="E14" s="1348"/>
      <c r="F14" s="1348"/>
      <c r="G14" s="4445"/>
      <c r="H14" s="976" t="e">
        <f>E14/F14</f>
        <v>#DIV/0!</v>
      </c>
      <c r="J14" s="52"/>
      <c r="K14" s="52"/>
      <c r="L14" s="52"/>
      <c r="M14" s="52"/>
      <c r="N14" s="52"/>
      <c r="O14" s="52"/>
      <c r="V14" s="570"/>
      <c r="W14" s="570"/>
      <c r="X14" s="570"/>
      <c r="AB14" s="139"/>
    </row>
    <row r="15" spans="1:28" ht="13.5" thickBot="1">
      <c r="A15" s="50"/>
      <c r="B15" s="4385"/>
      <c r="C15" s="545">
        <v>9100003</v>
      </c>
      <c r="D15" s="61" t="str">
        <f>VLOOKUP(C15,'מאזן בוחן EUROPE'!C:D,2,0)</f>
        <v xml:space="preserve">deferred tax </v>
      </c>
      <c r="E15" s="1348">
        <f>-E14</f>
        <v>0</v>
      </c>
      <c r="F15" s="1348">
        <f>-F14</f>
        <v>0</v>
      </c>
      <c r="G15" s="4446"/>
      <c r="H15" s="976" t="e">
        <f>E15/F15</f>
        <v>#DIV/0!</v>
      </c>
      <c r="J15" s="52"/>
      <c r="K15" s="52"/>
      <c r="L15" s="52"/>
      <c r="M15" s="52"/>
      <c r="N15" s="52"/>
      <c r="O15" s="52"/>
      <c r="V15" s="570"/>
      <c r="W15" s="570"/>
      <c r="X15" s="570"/>
      <c r="AB15" s="139"/>
    </row>
    <row r="16" spans="1:28" ht="13.5" thickBot="1">
      <c r="A16" s="50"/>
      <c r="B16" s="2223">
        <f>B13+1</f>
        <v>4</v>
      </c>
      <c r="C16" s="1346" t="s">
        <v>4520</v>
      </c>
      <c r="D16" s="1344"/>
      <c r="E16" s="1197" t="s">
        <v>400</v>
      </c>
      <c r="F16" s="3135" t="s">
        <v>4</v>
      </c>
      <c r="H16" s="52"/>
      <c r="J16" s="52"/>
      <c r="K16" s="52"/>
      <c r="L16" s="52"/>
      <c r="M16" s="52"/>
      <c r="N16" s="52"/>
      <c r="O16" s="52"/>
      <c r="V16" s="570"/>
      <c r="W16" s="570"/>
      <c r="X16" s="570"/>
      <c r="Y16" s="139"/>
      <c r="Z16" s="274"/>
      <c r="AB16" s="139"/>
    </row>
    <row r="17" spans="1:33">
      <c r="A17" s="50"/>
      <c r="B17" s="4461"/>
      <c r="C17" s="585">
        <v>8410069</v>
      </c>
      <c r="D17" s="63" t="str">
        <f>VLOOKUP(C17,'מאזן בוחן EUROPE'!C:D,2,0)</f>
        <v>G &amp; A Consultants, Accounting Services</v>
      </c>
      <c r="E17" s="1348"/>
      <c r="F17" s="1601">
        <f>E17/'מאזן בוחן EUROPE'!$N$2</f>
        <v>0</v>
      </c>
      <c r="G17" s="4444" t="s">
        <v>2427</v>
      </c>
      <c r="H17" s="976" t="e">
        <f>E17/F17</f>
        <v>#DIV/0!</v>
      </c>
      <c r="J17" s="52"/>
      <c r="K17" s="52"/>
      <c r="L17" s="52"/>
      <c r="M17" s="52"/>
      <c r="N17" s="52"/>
      <c r="O17" s="52"/>
      <c r="V17" s="570"/>
      <c r="W17" s="570"/>
      <c r="X17" s="570"/>
      <c r="Y17" s="139"/>
      <c r="Z17" s="139"/>
      <c r="AB17" s="139"/>
    </row>
    <row r="18" spans="1:33" ht="13.5" thickBot="1">
      <c r="A18" s="50"/>
      <c r="B18" s="4462"/>
      <c r="C18" s="1347">
        <v>2200001</v>
      </c>
      <c r="D18" s="525" t="str">
        <f>VLOOKUP(C18,'מאזן בוחן EUROPE'!C:D,2,0)</f>
        <v>Accrued expenses</v>
      </c>
      <c r="E18" s="1349">
        <f>-E17</f>
        <v>0</v>
      </c>
      <c r="F18" s="1604">
        <f>-F17</f>
        <v>0</v>
      </c>
      <c r="G18" s="4446"/>
      <c r="H18" s="976" t="e">
        <f>E18/F18</f>
        <v>#DIV/0!</v>
      </c>
      <c r="J18" s="52"/>
      <c r="N18" s="137"/>
      <c r="O18" s="137"/>
      <c r="Z18" s="139"/>
      <c r="AB18" s="139"/>
    </row>
    <row r="19" spans="1:33" ht="13.5" thickBot="1">
      <c r="A19" s="50"/>
      <c r="B19" s="2223">
        <f>B16+1</f>
        <v>5</v>
      </c>
      <c r="C19" s="1346" t="s">
        <v>4652</v>
      </c>
      <c r="D19" s="1344"/>
      <c r="E19" s="1197" t="s">
        <v>400</v>
      </c>
      <c r="F19" s="3135" t="s">
        <v>4</v>
      </c>
      <c r="H19" s="52"/>
      <c r="J19" s="52"/>
      <c r="N19" s="137"/>
      <c r="O19" s="137"/>
      <c r="V19" s="570"/>
      <c r="W19" s="570"/>
      <c r="X19" s="570"/>
      <c r="Y19" s="139"/>
      <c r="Z19" s="139"/>
      <c r="AB19" s="139"/>
    </row>
    <row r="20" spans="1:33" ht="13.5" thickBot="1">
      <c r="A20" s="50"/>
      <c r="B20" s="4449"/>
      <c r="C20" s="532"/>
      <c r="D20" s="63" t="e">
        <f>VLOOKUP(C20,'מאזן בוחן EUROPE'!C:D,2,0)</f>
        <v>#N/A</v>
      </c>
      <c r="E20" s="1601"/>
      <c r="F20" s="1463"/>
      <c r="G20" s="3141" t="s">
        <v>2427</v>
      </c>
      <c r="H20" s="976" t="e">
        <f>E20/F20</f>
        <v>#DIV/0!</v>
      </c>
      <c r="I20" s="52"/>
      <c r="J20" s="52"/>
      <c r="K20" s="52"/>
      <c r="L20" s="137"/>
      <c r="M20" s="137"/>
      <c r="N20" s="137"/>
      <c r="V20" s="570"/>
      <c r="W20" s="570"/>
      <c r="X20" s="570"/>
      <c r="Y20" s="139"/>
      <c r="Z20" s="139"/>
      <c r="AB20" s="139"/>
    </row>
    <row r="21" spans="1:33" ht="13.5" thickBot="1">
      <c r="A21" s="50"/>
      <c r="B21" s="4450"/>
      <c r="C21" s="546"/>
      <c r="D21" s="63" t="e">
        <f>VLOOKUP(C21,'מאזן בוחן EUROPE'!C:D,2,0)</f>
        <v>#N/A</v>
      </c>
      <c r="E21" s="1604">
        <f>-E20</f>
        <v>0</v>
      </c>
      <c r="F21" s="3138"/>
      <c r="G21" s="3142"/>
      <c r="H21" s="976" t="e">
        <f>E21/F21</f>
        <v>#DIV/0!</v>
      </c>
      <c r="I21" s="52"/>
      <c r="J21" s="550"/>
      <c r="K21" s="551"/>
      <c r="L21" s="551"/>
      <c r="M21" s="552"/>
      <c r="N21" s="553"/>
      <c r="V21" s="570"/>
      <c r="W21" s="570"/>
      <c r="X21" s="570"/>
      <c r="Y21" s="139"/>
      <c r="Z21" s="139"/>
      <c r="AB21" s="139"/>
    </row>
    <row r="22" spans="1:33" ht="13.5" thickBot="1">
      <c r="A22" s="50"/>
      <c r="B22" s="2223">
        <f>B19+1</f>
        <v>6</v>
      </c>
      <c r="C22" s="1346" t="s">
        <v>2450</v>
      </c>
      <c r="D22" s="1344"/>
      <c r="E22" s="1197" t="s">
        <v>400</v>
      </c>
      <c r="F22" s="3135" t="s">
        <v>4</v>
      </c>
      <c r="H22" s="52"/>
      <c r="I22" s="52"/>
      <c r="J22" s="145"/>
      <c r="K22" s="52"/>
      <c r="L22" s="51"/>
      <c r="M22" s="2946" t="s">
        <v>400</v>
      </c>
      <c r="N22" s="2947" t="s">
        <v>294</v>
      </c>
      <c r="V22" s="570"/>
      <c r="W22" s="570"/>
      <c r="X22" s="570"/>
      <c r="Y22" s="139"/>
      <c r="Z22" s="139"/>
      <c r="AB22" s="139"/>
    </row>
    <row r="23" spans="1:33">
      <c r="A23" s="50"/>
      <c r="B23" s="4347"/>
      <c r="C23" s="1438">
        <v>9100001</v>
      </c>
      <c r="D23" s="63" t="str">
        <f>VLOOKUP(C23,'מאזן בוחן EUROPE'!C:D,2,0)</f>
        <v>Tax on Income</v>
      </c>
      <c r="E23" s="1601"/>
      <c r="F23" s="1601"/>
      <c r="G23" s="4458" t="s">
        <v>2718</v>
      </c>
      <c r="H23" s="976" t="e">
        <f>E23/F23</f>
        <v>#DIV/0!</v>
      </c>
      <c r="I23" s="52"/>
      <c r="J23" s="145"/>
      <c r="K23" s="52"/>
      <c r="L23" s="51"/>
      <c r="M23" s="207"/>
      <c r="N23" s="1364"/>
      <c r="V23" s="570"/>
      <c r="W23" s="570"/>
      <c r="X23" s="570"/>
      <c r="Y23" s="139"/>
      <c r="Z23" s="139"/>
      <c r="AB23" s="139"/>
    </row>
    <row r="24" spans="1:33">
      <c r="A24" s="50"/>
      <c r="B24" s="4333"/>
      <c r="C24" s="1438">
        <v>9010002</v>
      </c>
      <c r="D24" s="63" t="str">
        <f>VLOOKUP(C24,'מאזן בוחן EUROPE'!C:D,2,0)</f>
        <v>Exchange Rate</v>
      </c>
      <c r="E24" s="2503"/>
      <c r="F24" s="2503"/>
      <c r="G24" s="4459"/>
      <c r="H24" s="976" t="e">
        <f>E24/F24</f>
        <v>#DIV/0!</v>
      </c>
      <c r="I24" s="52"/>
      <c r="J24" s="145"/>
      <c r="K24" s="52"/>
      <c r="L24" s="51"/>
      <c r="M24" s="207"/>
      <c r="N24" s="1364"/>
      <c r="V24" s="570"/>
      <c r="W24" s="570"/>
      <c r="X24" s="570"/>
      <c r="Y24" s="139"/>
      <c r="Z24" s="139"/>
      <c r="AB24" s="139"/>
    </row>
    <row r="25" spans="1:33" ht="13.5" thickBot="1">
      <c r="A25" s="50"/>
      <c r="B25" s="4334"/>
      <c r="C25" s="1603">
        <v>2500047</v>
      </c>
      <c r="D25" s="63" t="str">
        <f>VLOOKUP(C25,'מאזן בוחן EUROPE'!C:D,2,0)</f>
        <v>הפרשה למס אנגליה 2021</v>
      </c>
      <c r="E25" s="1604"/>
      <c r="F25" s="2503"/>
      <c r="G25" s="4460"/>
      <c r="H25" s="976" t="e">
        <f>E25/F25</f>
        <v>#DIV/0!</v>
      </c>
      <c r="I25" s="52"/>
      <c r="J25" s="385" t="s">
        <v>1875</v>
      </c>
      <c r="K25" s="52"/>
      <c r="L25" s="52"/>
      <c r="M25" s="207"/>
      <c r="N25" s="1364"/>
      <c r="V25" s="570"/>
      <c r="W25" s="570"/>
      <c r="X25" s="570"/>
      <c r="Y25" s="139"/>
      <c r="Z25" s="139"/>
      <c r="AB25" s="139"/>
    </row>
    <row r="26" spans="1:33" ht="13.5" thickBot="1">
      <c r="A26" s="50"/>
      <c r="B26" s="2223">
        <f>B22+1</f>
        <v>7</v>
      </c>
      <c r="C26" s="2985" t="s">
        <v>2453</v>
      </c>
      <c r="D26" s="560"/>
      <c r="E26" s="1196" t="s">
        <v>400</v>
      </c>
      <c r="F26" s="3144" t="s">
        <v>4</v>
      </c>
      <c r="H26" s="52"/>
      <c r="I26" s="52"/>
      <c r="J26" s="145"/>
      <c r="K26" s="52"/>
      <c r="L26" s="51"/>
      <c r="M26" s="207"/>
      <c r="N26" s="1364"/>
      <c r="V26" s="570"/>
      <c r="W26" s="570"/>
      <c r="X26" s="570"/>
      <c r="Y26" s="139"/>
      <c r="Z26" s="139"/>
      <c r="AB26" s="139"/>
    </row>
    <row r="27" spans="1:33">
      <c r="A27" s="50"/>
      <c r="B27" s="4347"/>
      <c r="C27" s="2986">
        <v>5900001</v>
      </c>
      <c r="D27" s="413" t="str">
        <f>VLOOKUP(C27,'מאזן בוחן EUROPE'!C:D,2,0)</f>
        <v>Transfer Pricing per IC Agreeme-Cost of sales</v>
      </c>
      <c r="E27" s="1461"/>
      <c r="F27" s="1461"/>
      <c r="G27" s="4458" t="s">
        <v>2486</v>
      </c>
      <c r="H27" s="976" t="e">
        <f>E27/F27</f>
        <v>#DIV/0!</v>
      </c>
      <c r="I27" s="1455"/>
      <c r="J27" s="147" t="s">
        <v>504</v>
      </c>
      <c r="K27" s="138"/>
      <c r="L27" s="133"/>
      <c r="M27" s="142">
        <f>-'מאזן בוחן EUROPE'!J345</f>
        <v>14349707.909999998</v>
      </c>
      <c r="N27" s="1365">
        <f>-'מאזן בוחן EUROPE'!K345</f>
        <v>19220396.5</v>
      </c>
      <c r="V27" s="570"/>
      <c r="W27" s="570"/>
      <c r="X27" s="570"/>
      <c r="Y27" s="139"/>
      <c r="Z27" s="139"/>
      <c r="AB27" s="139"/>
    </row>
    <row r="28" spans="1:33">
      <c r="A28" s="50"/>
      <c r="B28" s="4333"/>
      <c r="C28" s="545">
        <v>9010002</v>
      </c>
      <c r="D28" s="61" t="str">
        <f>VLOOKUP(C28,'מאזן בוחן EUROPE'!C:D,2,0)</f>
        <v>Exchange Rate</v>
      </c>
      <c r="E28" s="1348"/>
      <c r="F28" s="1348"/>
      <c r="G28" s="4459"/>
      <c r="H28" s="976" t="e">
        <f>E28/F28</f>
        <v>#DIV/0!</v>
      </c>
      <c r="I28" s="383"/>
      <c r="J28" s="147"/>
      <c r="K28" s="138"/>
      <c r="L28" s="133"/>
      <c r="M28" s="142"/>
      <c r="N28" s="1365"/>
      <c r="V28" s="570"/>
      <c r="W28" s="570"/>
      <c r="X28" s="570"/>
      <c r="Y28" s="139"/>
      <c r="Z28" s="139"/>
      <c r="AB28" s="139"/>
    </row>
    <row r="29" spans="1:33" ht="13.5" thickBot="1">
      <c r="A29" s="50"/>
      <c r="B29" s="4334"/>
      <c r="C29" s="556">
        <v>1130002</v>
      </c>
      <c r="D29" s="524" t="str">
        <f>VLOOKUP(C29,'מאזן בוחן EUROPE'!C:D,2,0)</f>
        <v>Algosec Israel</v>
      </c>
      <c r="E29" s="1349"/>
      <c r="F29" s="1349"/>
      <c r="G29" s="4460"/>
      <c r="H29" s="976" t="e">
        <f>E29/F29</f>
        <v>#DIV/0!</v>
      </c>
      <c r="I29" s="383"/>
      <c r="J29" s="147" t="s">
        <v>658</v>
      </c>
      <c r="K29" s="138"/>
      <c r="L29" s="134">
        <v>2.5000000000000001E-2</v>
      </c>
      <c r="M29" s="143">
        <f>+M27*L29</f>
        <v>358742.69774999999</v>
      </c>
      <c r="N29" s="1366">
        <f>+N27*L29</f>
        <v>480509.91250000003</v>
      </c>
      <c r="V29" s="570"/>
      <c r="W29" s="570"/>
      <c r="X29" s="153"/>
      <c r="Y29" s="139"/>
      <c r="Z29" s="139"/>
      <c r="AB29" s="139"/>
    </row>
    <row r="30" spans="1:33" ht="13.5" thickBot="1">
      <c r="A30" s="50"/>
      <c r="B30" s="2223">
        <f>B26+1</f>
        <v>8</v>
      </c>
      <c r="C30" s="2985" t="s">
        <v>2845</v>
      </c>
      <c r="D30" s="560"/>
      <c r="E30" s="1196" t="s">
        <v>400</v>
      </c>
      <c r="F30" s="3146" t="s">
        <v>4</v>
      </c>
      <c r="H30" s="52"/>
      <c r="I30" s="502" t="s">
        <v>3172</v>
      </c>
      <c r="J30" s="147" t="s">
        <v>613</v>
      </c>
      <c r="K30" s="138"/>
      <c r="L30" s="135"/>
      <c r="M30" s="143">
        <f>-'מאזן בוחן EUROPE'!J529</f>
        <v>358742.50000000023</v>
      </c>
      <c r="N30" s="1366">
        <f>-'מאזן בוחן EUROPE'!K529</f>
        <v>480509.56999999878</v>
      </c>
      <c r="V30" s="570"/>
      <c r="W30" s="570"/>
      <c r="X30" s="570"/>
      <c r="Y30" s="139"/>
      <c r="Z30" s="139"/>
      <c r="AB30" s="139"/>
    </row>
    <row r="31" spans="1:33" ht="13.5" thickBot="1">
      <c r="A31" s="50"/>
      <c r="B31" s="4347"/>
      <c r="C31" s="1917">
        <v>5900001</v>
      </c>
      <c r="D31" s="528" t="str">
        <f>VLOOKUP(C31,'מאזן בוחן EUROPE'!C:D,2,0)</f>
        <v>Transfer Pricing per IC Agreeme-Cost of sales</v>
      </c>
      <c r="E31" s="1961"/>
      <c r="F31" s="1461"/>
      <c r="G31" s="4463" t="s">
        <v>2749</v>
      </c>
      <c r="H31" s="976" t="e">
        <f>E31/F31</f>
        <v>#DIV/0!</v>
      </c>
      <c r="I31" s="4099">
        <f>'[17]12.2021'!$A$14051</f>
        <v>0.33900722741336176</v>
      </c>
      <c r="J31" s="147" t="s">
        <v>234</v>
      </c>
      <c r="K31" s="133"/>
      <c r="L31" s="133"/>
      <c r="M31" s="956">
        <f>+M30-M29</f>
        <v>-0.19774999975925311</v>
      </c>
      <c r="N31" s="956">
        <f>+N30-N29</f>
        <v>-0.34250000125030056</v>
      </c>
      <c r="V31" s="32"/>
      <c r="W31" s="380"/>
      <c r="X31" s="380"/>
      <c r="Y31" s="380"/>
      <c r="Z31" s="380"/>
      <c r="AA31" s="380"/>
      <c r="AB31" s="141"/>
      <c r="AC31" s="380"/>
      <c r="AD31" s="380"/>
      <c r="AE31" s="380"/>
      <c r="AF31" s="380"/>
      <c r="AG31" s="380"/>
    </row>
    <row r="32" spans="1:33">
      <c r="A32" s="50"/>
      <c r="B32" s="4333"/>
      <c r="C32" s="545">
        <v>1100999</v>
      </c>
      <c r="D32" s="63" t="str">
        <f>VLOOKUP(C32,'מאזן בוחן EUROPE'!C:D,2,0)</f>
        <v>Prepaid Expenses TP IC</v>
      </c>
      <c r="E32" s="719"/>
      <c r="F32" s="3137"/>
      <c r="G32" s="4464"/>
      <c r="H32" s="976" t="e">
        <f>E32/F32</f>
        <v>#DIV/0!</v>
      </c>
      <c r="I32" s="52"/>
      <c r="J32" s="147"/>
      <c r="K32" s="133"/>
      <c r="L32" s="133"/>
      <c r="M32" s="144"/>
      <c r="N32" s="1463"/>
      <c r="V32" s="32"/>
      <c r="W32" s="380"/>
      <c r="X32" s="380"/>
      <c r="Y32" s="380"/>
      <c r="Z32" s="380"/>
      <c r="AA32" s="380"/>
      <c r="AB32" s="380"/>
      <c r="AC32" s="380"/>
      <c r="AD32" s="380"/>
      <c r="AE32" s="380"/>
      <c r="AF32" s="380"/>
      <c r="AG32" s="380"/>
    </row>
    <row r="33" spans="1:33" ht="13.5" thickBot="1">
      <c r="A33" s="50"/>
      <c r="B33" s="4334"/>
      <c r="C33" s="546">
        <v>1610097</v>
      </c>
      <c r="D33" s="386" t="str">
        <f>VLOOKUP(C33,'מאזן בוחן EUROPE'!C:D,2,0)</f>
        <v xml:space="preserve">Prepaid TP - Long term </v>
      </c>
      <c r="E33" s="1192"/>
      <c r="F33" s="1349"/>
      <c r="G33" s="4465"/>
      <c r="H33" s="976" t="e">
        <f>E33/F33</f>
        <v>#DIV/0!</v>
      </c>
      <c r="I33" s="52"/>
      <c r="J33" s="147" t="s">
        <v>619</v>
      </c>
      <c r="K33" s="133"/>
      <c r="L33" s="133"/>
      <c r="M33" s="144"/>
      <c r="N33" s="1463"/>
      <c r="V33" s="153"/>
      <c r="W33" s="153"/>
      <c r="X33" s="380"/>
      <c r="Y33" s="380"/>
      <c r="Z33" s="380"/>
      <c r="AA33" s="380"/>
      <c r="AB33" s="380"/>
      <c r="AC33" s="380"/>
      <c r="AD33" s="380"/>
      <c r="AE33" s="380"/>
      <c r="AF33" s="380"/>
      <c r="AG33" s="380"/>
    </row>
    <row r="34" spans="1:33" ht="13.5" thickBot="1">
      <c r="A34" s="50"/>
      <c r="B34" s="2223">
        <f>B30+1</f>
        <v>9</v>
      </c>
      <c r="C34" s="1346" t="s">
        <v>4957</v>
      </c>
      <c r="D34" s="1344"/>
      <c r="E34" s="1197" t="s">
        <v>400</v>
      </c>
      <c r="F34" s="3135" t="s">
        <v>4</v>
      </c>
      <c r="H34" s="52"/>
      <c r="I34" s="52"/>
      <c r="J34" s="148" t="s">
        <v>158</v>
      </c>
      <c r="K34" s="133"/>
      <c r="L34" s="46"/>
      <c r="M34" s="3470">
        <f>-'מאזן בוחן EUROPE'!J502</f>
        <v>-342090.16</v>
      </c>
      <c r="N34" s="4222">
        <f>-'מאזן בוחן EUROPE'!K502</f>
        <v>-32415.72</v>
      </c>
      <c r="V34" s="535"/>
      <c r="W34" s="535"/>
      <c r="X34" s="380"/>
      <c r="Y34" s="380"/>
      <c r="Z34" s="380"/>
      <c r="AA34" s="380"/>
      <c r="AB34" s="380"/>
      <c r="AC34" s="380"/>
      <c r="AD34" s="380"/>
      <c r="AE34" s="380"/>
      <c r="AF34" s="380"/>
      <c r="AG34" s="380"/>
    </row>
    <row r="35" spans="1:33" ht="12.95" customHeight="1" thickBot="1">
      <c r="B35" s="4347"/>
      <c r="C35" s="3019">
        <v>9100007</v>
      </c>
      <c r="D35" s="1457" t="str">
        <f>VLOOKUP(C35,'מאזן בוחן EUROPE'!C:D,2,0)</f>
        <v>Tax exp. Due WHT deduction</v>
      </c>
      <c r="E35" s="1601"/>
      <c r="F35" s="1601"/>
      <c r="G35" s="3139" t="s">
        <v>2427</v>
      </c>
      <c r="H35" s="976" t="e">
        <f>E35/F35</f>
        <v>#DIV/0!</v>
      </c>
      <c r="I35" s="52"/>
      <c r="J35" s="4223" t="s">
        <v>332</v>
      </c>
      <c r="K35" s="4224"/>
      <c r="L35" s="4224"/>
      <c r="M35" s="4225">
        <f>+M29+M34</f>
        <v>16652.537750000018</v>
      </c>
      <c r="N35" s="4226">
        <f>+N29+N34</f>
        <v>448094.1925</v>
      </c>
      <c r="V35" s="535"/>
      <c r="W35" s="535"/>
      <c r="X35" s="380"/>
      <c r="Y35" s="380"/>
      <c r="Z35" s="380"/>
      <c r="AA35" s="380"/>
      <c r="AB35" s="380"/>
      <c r="AC35" s="380"/>
      <c r="AD35" s="380"/>
      <c r="AE35" s="380"/>
      <c r="AF35" s="380"/>
      <c r="AG35" s="380"/>
    </row>
    <row r="36" spans="1:33" ht="12.95" customHeight="1" thickBot="1">
      <c r="B36" s="4334"/>
      <c r="C36" s="1603" t="s">
        <v>4650</v>
      </c>
      <c r="D36" s="1456" t="e">
        <f>VLOOKUP(C36,'מאזן בוחן EUROPE'!C:D,2,0)</f>
        <v>#N/A</v>
      </c>
      <c r="E36" s="1604"/>
      <c r="F36" s="1604"/>
      <c r="G36" s="3140"/>
      <c r="H36" s="976" t="e">
        <f>E36/F36</f>
        <v>#DIV/0!</v>
      </c>
      <c r="J36" s="52"/>
      <c r="K36" s="52"/>
      <c r="L36" s="52"/>
      <c r="M36" s="542"/>
      <c r="N36" s="52"/>
      <c r="O36" s="52"/>
      <c r="V36" s="535"/>
      <c r="W36" s="535"/>
      <c r="X36" s="380"/>
      <c r="Y36" s="380"/>
      <c r="Z36" s="380"/>
      <c r="AA36" s="380"/>
      <c r="AB36" s="380"/>
      <c r="AC36" s="380"/>
      <c r="AD36" s="380"/>
      <c r="AE36" s="380"/>
      <c r="AF36" s="380"/>
      <c r="AG36" s="380"/>
    </row>
    <row r="37" spans="1:33" ht="13.5" thickBot="1">
      <c r="B37" s="2223">
        <f>B34+1</f>
        <v>10</v>
      </c>
      <c r="C37" s="1346" t="s">
        <v>4637</v>
      </c>
      <c r="D37" s="1344"/>
      <c r="E37" s="1197" t="s">
        <v>400</v>
      </c>
      <c r="F37" s="3135" t="s">
        <v>4</v>
      </c>
      <c r="H37" s="52"/>
      <c r="J37" s="4468" t="s">
        <v>4638</v>
      </c>
      <c r="K37" s="4469"/>
      <c r="L37" s="4469"/>
      <c r="M37" s="4469"/>
      <c r="N37" s="4470"/>
      <c r="O37" s="52"/>
    </row>
    <row r="38" spans="1:33" s="51" customFormat="1" ht="12.6" customHeight="1">
      <c r="A38" s="52"/>
      <c r="B38" s="4466"/>
      <c r="C38" s="1438">
        <v>8030020</v>
      </c>
      <c r="D38" s="2257" t="str">
        <f>VLOOKUP(C38,'מאזן בוחן EUROPE'!C:D,2,0)</f>
        <v>Depreciation Expense</v>
      </c>
      <c r="E38" s="3020"/>
      <c r="F38" s="1463"/>
      <c r="G38" s="4444" t="s">
        <v>2427</v>
      </c>
      <c r="H38" s="976" t="e">
        <f>E38/F38</f>
        <v>#DIV/0!</v>
      </c>
      <c r="J38" s="1466"/>
      <c r="K38" s="52"/>
      <c r="L38" s="52"/>
      <c r="M38" s="52"/>
      <c r="N38" s="146"/>
      <c r="O38" s="52"/>
      <c r="V38" s="1738"/>
      <c r="W38" s="1738"/>
      <c r="X38" s="383"/>
      <c r="Y38" s="383"/>
      <c r="Z38" s="383"/>
      <c r="AA38" s="383"/>
      <c r="AB38" s="383"/>
      <c r="AC38" s="383"/>
      <c r="AD38" s="383"/>
      <c r="AE38" s="383"/>
      <c r="AF38" s="383"/>
      <c r="AG38" s="383"/>
    </row>
    <row r="39" spans="1:33" s="51" customFormat="1" ht="12.95" customHeight="1" thickBot="1">
      <c r="A39" s="52"/>
      <c r="B39" s="4467"/>
      <c r="C39" s="1603">
        <v>1490001</v>
      </c>
      <c r="D39" s="2258" t="str">
        <f>VLOOKUP(C39,'מאזן בוחן EUROPE'!C:D,2,0)</f>
        <v>מחשבים פחת נצבר</v>
      </c>
      <c r="E39" s="1604">
        <f>-E38</f>
        <v>0</v>
      </c>
      <c r="F39" s="1604">
        <f>-F38</f>
        <v>0</v>
      </c>
      <c r="G39" s="4446"/>
      <c r="H39" s="976" t="e">
        <f>E39/F39</f>
        <v>#DIV/0!</v>
      </c>
      <c r="J39" s="1466"/>
      <c r="M39" s="3723" t="s">
        <v>400</v>
      </c>
      <c r="N39" s="3729" t="s">
        <v>4639</v>
      </c>
      <c r="O39" s="52"/>
      <c r="V39" s="1738"/>
      <c r="W39" s="1738"/>
      <c r="X39" s="383"/>
      <c r="Y39" s="383"/>
      <c r="Z39" s="383"/>
      <c r="AA39" s="383"/>
      <c r="AB39" s="383"/>
      <c r="AC39" s="383"/>
      <c r="AD39" s="383"/>
      <c r="AE39" s="383"/>
      <c r="AF39" s="383"/>
      <c r="AG39" s="383"/>
    </row>
    <row r="40" spans="1:33" s="51" customFormat="1" ht="13.5" thickBot="1">
      <c r="A40" s="52"/>
      <c r="B40" s="2223">
        <f>B37+1</f>
        <v>11</v>
      </c>
      <c r="C40" s="1346" t="s">
        <v>4332</v>
      </c>
      <c r="D40" s="1344"/>
      <c r="E40" s="1197" t="s">
        <v>400</v>
      </c>
      <c r="F40" s="3135" t="s">
        <v>4</v>
      </c>
      <c r="G40" s="726"/>
      <c r="H40" s="548"/>
      <c r="J40" s="1466"/>
      <c r="K40" s="52"/>
      <c r="L40" s="52"/>
      <c r="M40" s="976">
        <v>0</v>
      </c>
      <c r="N40" s="565" t="s">
        <v>256</v>
      </c>
      <c r="O40" s="52"/>
    </row>
    <row r="41" spans="1:33" s="51" customFormat="1" ht="12.6" customHeight="1">
      <c r="A41" s="320"/>
      <c r="B41" s="4347"/>
      <c r="C41" s="1438">
        <v>8410069</v>
      </c>
      <c r="D41" s="2257" t="str">
        <f>VLOOKUP(C41,'מאזן בוחן EUROPE'!C:D,2,0)</f>
        <v>G &amp; A Consultants, Accounting Services</v>
      </c>
      <c r="E41" s="1601"/>
      <c r="F41" s="1601">
        <f>E41/'מאזן בוחן EUROPE'!$N$2</f>
        <v>0</v>
      </c>
      <c r="G41" s="4458" t="s">
        <v>2486</v>
      </c>
      <c r="H41" s="976" t="e">
        <f>E41/F41</f>
        <v>#DIV/0!</v>
      </c>
      <c r="J41" s="1466"/>
      <c r="K41" s="52"/>
      <c r="L41" s="52"/>
      <c r="M41" s="3561">
        <f>'מאזן בוחן EUROPE'!J207</f>
        <v>24260.23</v>
      </c>
      <c r="N41" s="565" t="s">
        <v>3075</v>
      </c>
      <c r="O41" s="383"/>
      <c r="V41" s="555"/>
    </row>
    <row r="42" spans="1:33" s="51" customFormat="1" ht="12.95" customHeight="1" thickBot="1">
      <c r="A42" s="320"/>
      <c r="B42" s="4334"/>
      <c r="C42" s="1603">
        <v>2200001</v>
      </c>
      <c r="D42" s="2258" t="str">
        <f>VLOOKUP(C42,'מאזן בוחן EUROPE'!C:D,2,0)</f>
        <v>Accrued expenses</v>
      </c>
      <c r="E42" s="1604">
        <f>-E41</f>
        <v>0</v>
      </c>
      <c r="F42" s="1604">
        <f>-F41</f>
        <v>0</v>
      </c>
      <c r="G42" s="4460"/>
      <c r="H42" s="976" t="e">
        <f>E42/F42</f>
        <v>#DIV/0!</v>
      </c>
      <c r="J42" s="1466"/>
      <c r="K42" s="52"/>
      <c r="L42" s="52"/>
      <c r="M42" s="52">
        <f>M40-M41</f>
        <v>-24260.23</v>
      </c>
      <c r="N42" s="558"/>
      <c r="O42" s="383"/>
      <c r="V42" s="555"/>
    </row>
    <row r="43" spans="1:33" s="51" customFormat="1" ht="13.5" thickBot="1">
      <c r="A43" s="320"/>
      <c r="B43" s="2223">
        <f>B40+1</f>
        <v>12</v>
      </c>
      <c r="C43" s="1346" t="s">
        <v>4647</v>
      </c>
      <c r="D43" s="1344"/>
      <c r="E43" s="1197" t="s">
        <v>400</v>
      </c>
      <c r="F43" s="3135" t="s">
        <v>4</v>
      </c>
      <c r="G43" s="726"/>
      <c r="H43" s="1467"/>
      <c r="J43" s="1466"/>
      <c r="K43" s="383"/>
      <c r="L43" s="135">
        <v>0.19</v>
      </c>
      <c r="M43" s="51">
        <f>1/3*$M$42*L43</f>
        <v>-1536.4812333333332</v>
      </c>
      <c r="N43" s="3730" t="s">
        <v>4640</v>
      </c>
      <c r="O43" s="383"/>
      <c r="V43" s="555"/>
    </row>
    <row r="44" spans="1:33" s="51" customFormat="1" ht="12.6" customHeight="1">
      <c r="A44" s="320"/>
      <c r="B44" s="4347"/>
      <c r="C44" s="1438">
        <v>8410069</v>
      </c>
      <c r="D44" s="2257" t="str">
        <f>VLOOKUP(C44,'מאזן בוחן EUROPE'!C:D,2,0)</f>
        <v>G &amp; A Consultants, Accounting Services</v>
      </c>
      <c r="E44" s="1601"/>
      <c r="F44" s="1601">
        <f>E44/'מאזן בוחן EUROPE'!$N$2</f>
        <v>0</v>
      </c>
      <c r="G44" s="4458" t="s">
        <v>2486</v>
      </c>
      <c r="H44" s="976" t="e">
        <f>E44/F44</f>
        <v>#DIV/0!</v>
      </c>
      <c r="J44" s="1466"/>
      <c r="K44" s="3725" t="s">
        <v>4642</v>
      </c>
      <c r="L44" s="135">
        <v>0.25</v>
      </c>
      <c r="M44" s="3562">
        <f>2/3*$M$42*L44</f>
        <v>-4043.3716666666664</v>
      </c>
      <c r="N44" s="3730" t="s">
        <v>4641</v>
      </c>
      <c r="O44" s="383"/>
      <c r="V44" s="555"/>
    </row>
    <row r="45" spans="1:33" s="51" customFormat="1" ht="12.95" customHeight="1" thickBot="1">
      <c r="A45" s="320"/>
      <c r="B45" s="4334"/>
      <c r="C45" s="1603">
        <v>2200001</v>
      </c>
      <c r="D45" s="2258" t="str">
        <f>VLOOKUP(C45,'מאזן בוחן EUROPE'!C:D,2,0)</f>
        <v>Accrued expenses</v>
      </c>
      <c r="E45" s="1604">
        <f>-E44</f>
        <v>0</v>
      </c>
      <c r="F45" s="1604">
        <f>-F44</f>
        <v>0</v>
      </c>
      <c r="G45" s="4460"/>
      <c r="H45" s="976" t="e">
        <f>E45/F45</f>
        <v>#DIV/0!</v>
      </c>
      <c r="J45" s="1466"/>
      <c r="K45" s="52"/>
      <c r="L45" s="52"/>
      <c r="M45" s="383">
        <f>M43+M44</f>
        <v>-5579.8528999999999</v>
      </c>
      <c r="N45" s="558"/>
      <c r="O45" s="383"/>
      <c r="V45" s="555"/>
    </row>
    <row r="46" spans="1:33" s="51" customFormat="1" ht="13.5" thickBot="1">
      <c r="A46" s="320"/>
      <c r="B46" s="2223">
        <f>B43+1</f>
        <v>13</v>
      </c>
      <c r="C46" s="1346" t="s">
        <v>3261</v>
      </c>
      <c r="D46" s="1344"/>
      <c r="E46" s="1197" t="s">
        <v>400</v>
      </c>
      <c r="F46" s="3135" t="s">
        <v>4</v>
      </c>
      <c r="G46" s="726"/>
      <c r="H46" s="1467"/>
      <c r="J46" s="1466"/>
      <c r="K46" s="52"/>
      <c r="L46" s="52"/>
      <c r="M46" s="383"/>
      <c r="N46" s="558"/>
      <c r="O46" s="383"/>
      <c r="V46" s="555"/>
    </row>
    <row r="47" spans="1:33" s="51" customFormat="1" ht="12.6" customHeight="1">
      <c r="A47" s="320"/>
      <c r="B47" s="4347"/>
      <c r="C47" s="1438">
        <v>8410069</v>
      </c>
      <c r="D47" s="2257" t="str">
        <f>VLOOKUP(C47,'מאזן בוחן EUROPE'!C:D,2,0)</f>
        <v>G &amp; A Consultants, Accounting Services</v>
      </c>
      <c r="E47" s="1601"/>
      <c r="F47" s="1463">
        <f>E47/'מאזן בוחן EUROPE'!$N$2</f>
        <v>0</v>
      </c>
      <c r="G47" s="3141" t="s">
        <v>2427</v>
      </c>
      <c r="H47" s="976" t="e">
        <f>E47/F47</f>
        <v>#DIV/0!</v>
      </c>
      <c r="J47" s="1466"/>
      <c r="K47" s="52"/>
      <c r="L47" s="52"/>
      <c r="M47" s="383"/>
      <c r="N47" s="3729" t="s">
        <v>4643</v>
      </c>
      <c r="O47" s="383"/>
      <c r="V47" s="555"/>
    </row>
    <row r="48" spans="1:33" s="51" customFormat="1" ht="12.95" customHeight="1" thickBot="1">
      <c r="A48" s="320"/>
      <c r="B48" s="4334"/>
      <c r="C48" s="1603">
        <v>2200001</v>
      </c>
      <c r="D48" s="2258" t="str">
        <f>VLOOKUP(C48,'מאזן בוחן EUROPE'!C:D,2,0)</f>
        <v>Accrued expenses</v>
      </c>
      <c r="E48" s="1604">
        <f>-E47</f>
        <v>0</v>
      </c>
      <c r="F48" s="3138">
        <f>-F47</f>
        <v>0</v>
      </c>
      <c r="G48" s="3142"/>
      <c r="H48" s="976" t="e">
        <f>E48/F48</f>
        <v>#DIV/0!</v>
      </c>
      <c r="J48" s="1466"/>
      <c r="K48" s="52"/>
      <c r="L48" s="52"/>
      <c r="M48" s="976">
        <v>0</v>
      </c>
      <c r="N48" s="565" t="s">
        <v>256</v>
      </c>
      <c r="O48" s="383"/>
      <c r="V48" s="555"/>
    </row>
    <row r="49" spans="1:22" s="51" customFormat="1" ht="13.5" thickBot="1">
      <c r="A49" s="320"/>
      <c r="B49" s="2223">
        <f>B43+1</f>
        <v>13</v>
      </c>
      <c r="C49" s="1346" t="s">
        <v>4631</v>
      </c>
      <c r="D49" s="1344"/>
      <c r="E49" s="1197" t="s">
        <v>400</v>
      </c>
      <c r="F49" s="3135" t="s">
        <v>4</v>
      </c>
      <c r="G49" s="726"/>
      <c r="H49" s="52"/>
      <c r="J49" s="1466"/>
      <c r="K49" s="52"/>
      <c r="L49" s="52"/>
      <c r="M49" s="3726">
        <f>VLOOKUP(99911,'מאזן בוחן EUROPE'!$C:$K,8,0)</f>
        <v>-107808.61</v>
      </c>
      <c r="N49" s="565" t="s">
        <v>3075</v>
      </c>
      <c r="O49" s="383"/>
      <c r="V49" s="555"/>
    </row>
    <row r="50" spans="1:22" s="51" customFormat="1" ht="12.6" customHeight="1">
      <c r="A50" s="320"/>
      <c r="B50" s="4347"/>
      <c r="C50" s="545" t="s">
        <v>1238</v>
      </c>
      <c r="D50" s="63" t="str">
        <f>VLOOKUP(C50,'מאזן בוחן EUROPE'!C:D,2,0)</f>
        <v>תשלום מבוסס מניות עלות המכר</v>
      </c>
      <c r="E50" s="1348">
        <f>F50*'מאזן בוחן EUROPE'!$N$2</f>
        <v>0</v>
      </c>
      <c r="F50" s="3185"/>
      <c r="G50" s="4458" t="s">
        <v>2486</v>
      </c>
      <c r="H50" s="976" t="e">
        <f>E50/F50</f>
        <v>#DIV/0!</v>
      </c>
      <c r="J50" s="1466"/>
      <c r="K50" s="52"/>
      <c r="L50" s="52"/>
      <c r="M50" s="52">
        <f>M48-M49</f>
        <v>107808.61</v>
      </c>
      <c r="N50" s="565"/>
      <c r="O50" s="383"/>
    </row>
    <row r="51" spans="1:22" s="51" customFormat="1" ht="12.6" customHeight="1">
      <c r="A51" s="320"/>
      <c r="B51" s="4333"/>
      <c r="C51" s="545">
        <v>7110006</v>
      </c>
      <c r="D51" s="63" t="str">
        <f>VLOOKUP(C51,'מאזן בוחן EUROPE'!C:D,2,0)</f>
        <v>תשלום מבוסס מניות מכירות</v>
      </c>
      <c r="E51" s="1348">
        <f>F51*'מאזן בוחן EUROPE'!$N$2</f>
        <v>0</v>
      </c>
      <c r="F51" s="3185"/>
      <c r="G51" s="4459"/>
      <c r="H51" s="976" t="e">
        <f>E51/F51</f>
        <v>#DIV/0!</v>
      </c>
      <c r="J51" s="1466"/>
      <c r="K51" s="52"/>
      <c r="L51" s="135">
        <v>0.25</v>
      </c>
      <c r="M51" s="52">
        <f>M50*L51</f>
        <v>26952.1525</v>
      </c>
      <c r="N51" s="565"/>
      <c r="O51" s="383"/>
    </row>
    <row r="52" spans="1:22" s="51" customFormat="1" ht="12.95" customHeight="1" thickBot="1">
      <c r="A52" s="320"/>
      <c r="B52" s="4334"/>
      <c r="C52" s="546">
        <v>99911</v>
      </c>
      <c r="D52" s="386" t="str">
        <f>VLOOKUP(C52,'מאזן בוחן EUROPE'!C:D,2,0)</f>
        <v>Capital fund and share-based payment</v>
      </c>
      <c r="E52" s="1349">
        <f>F52*'מאזן בוחן EUROPE'!$N$2</f>
        <v>0</v>
      </c>
      <c r="F52" s="1349">
        <f>-F51-F50</f>
        <v>0</v>
      </c>
      <c r="G52" s="4460"/>
      <c r="H52" s="976" t="e">
        <f>E52/F52</f>
        <v>#DIV/0!</v>
      </c>
      <c r="J52" s="1466"/>
      <c r="K52" s="52"/>
      <c r="L52" s="52"/>
      <c r="M52" s="3561"/>
      <c r="N52" s="565"/>
      <c r="O52" s="383"/>
    </row>
    <row r="53" spans="1:22" s="51" customFormat="1" ht="13.5" thickBot="1">
      <c r="A53" s="320"/>
      <c r="B53" s="1820">
        <f>B49+1</f>
        <v>14</v>
      </c>
      <c r="C53" s="1346" t="s">
        <v>4571</v>
      </c>
      <c r="D53" s="1344"/>
      <c r="E53" s="1197" t="s">
        <v>400</v>
      </c>
      <c r="F53" s="3147" t="s">
        <v>294</v>
      </c>
      <c r="G53" s="726"/>
      <c r="H53" s="52"/>
      <c r="J53" s="1466"/>
      <c r="K53" s="52"/>
      <c r="L53" s="52"/>
      <c r="M53" s="3727">
        <f>M51+M45</f>
        <v>21372.299599999998</v>
      </c>
      <c r="N53" s="565" t="s">
        <v>4657</v>
      </c>
      <c r="O53" s="383"/>
    </row>
    <row r="54" spans="1:22" s="51" customFormat="1" ht="12.6" customHeight="1">
      <c r="A54" s="320"/>
      <c r="B54" s="4347"/>
      <c r="C54" s="545">
        <v>1100008</v>
      </c>
      <c r="D54" s="63" t="str">
        <f>VLOOKUP(C54,'מאזן בוחן EUROPE'!C:D,2,0)</f>
        <v>income receivable</v>
      </c>
      <c r="E54" s="566">
        <f>F54*'מאזן בוחן EUROPE'!$N$2</f>
        <v>0</v>
      </c>
      <c r="F54" s="2592"/>
      <c r="G54" s="3141" t="s">
        <v>2486</v>
      </c>
      <c r="H54" s="976" t="e">
        <f>E54/F54</f>
        <v>#DIV/0!</v>
      </c>
      <c r="J54" s="1466"/>
      <c r="K54" s="52"/>
      <c r="L54" s="52"/>
      <c r="M54" s="52">
        <f>'מאזן בוחן EUROPE'!E211</f>
        <v>21372.3</v>
      </c>
      <c r="N54" s="565" t="s">
        <v>4645</v>
      </c>
      <c r="O54" s="383"/>
    </row>
    <row r="55" spans="1:22" s="51" customFormat="1" ht="12.95" customHeight="1" thickBot="1">
      <c r="A55" s="320"/>
      <c r="B55" s="4334"/>
      <c r="C55" s="546">
        <v>53599</v>
      </c>
      <c r="D55" s="386" t="str">
        <f>VLOOKUP(C55,'מאזן בוחן EUROPE'!C:D,2,0)</f>
        <v>Sorting from Income</v>
      </c>
      <c r="E55" s="567">
        <f>-E54</f>
        <v>0</v>
      </c>
      <c r="F55" s="567">
        <f>-F54</f>
        <v>0</v>
      </c>
      <c r="G55" s="3142"/>
      <c r="H55" s="976" t="e">
        <f>E55/F55</f>
        <v>#DIV/0!</v>
      </c>
      <c r="J55" s="3731"/>
      <c r="K55" s="150"/>
      <c r="L55" s="150"/>
      <c r="M55" s="3732">
        <f>M53-M54</f>
        <v>-4.0000000080908649E-4</v>
      </c>
      <c r="N55" s="1097" t="s">
        <v>284</v>
      </c>
      <c r="O55" s="383"/>
    </row>
    <row r="56" spans="1:22" s="51" customFormat="1" ht="13.5" thickBot="1">
      <c r="A56" s="320"/>
      <c r="B56" s="1820">
        <f>B53+1</f>
        <v>15</v>
      </c>
      <c r="C56" s="1346" t="s">
        <v>1219</v>
      </c>
      <c r="D56" s="1344"/>
      <c r="E56" s="1197" t="s">
        <v>400</v>
      </c>
      <c r="F56" s="3147" t="s">
        <v>294</v>
      </c>
      <c r="G56" s="726"/>
      <c r="H56" s="976"/>
      <c r="J56" s="52"/>
      <c r="K56" s="52"/>
      <c r="L56" s="52"/>
      <c r="M56" s="542"/>
      <c r="N56" s="383"/>
      <c r="O56" s="383"/>
    </row>
    <row r="57" spans="1:22" s="51" customFormat="1" ht="12.6" customHeight="1">
      <c r="A57" s="320"/>
      <c r="B57" s="4347"/>
      <c r="C57" s="545" t="s">
        <v>1868</v>
      </c>
      <c r="D57" s="63" t="str">
        <f>VLOOKUP(C57,'מאזן בוחן EUROPE'!C:D,2,0)</f>
        <v>הכנסות מראש לצורך מאזן בלבד</v>
      </c>
      <c r="E57" s="1348">
        <f>F57*'מאזן בוחן EUROPE'!$N$2</f>
        <v>0</v>
      </c>
      <c r="F57" s="1348">
        <f>-F58</f>
        <v>0</v>
      </c>
      <c r="G57" s="3141" t="s">
        <v>2749</v>
      </c>
      <c r="H57" s="976" t="e">
        <f>E57/F57</f>
        <v>#DIV/0!</v>
      </c>
      <c r="J57" s="4468" t="s">
        <v>4653</v>
      </c>
      <c r="K57" s="4469"/>
      <c r="L57" s="4469"/>
      <c r="M57" s="4469"/>
      <c r="N57" s="4470"/>
      <c r="O57" s="383"/>
    </row>
    <row r="58" spans="1:22" s="51" customFormat="1" ht="12.95" customHeight="1" thickBot="1">
      <c r="A58" s="320"/>
      <c r="B58" s="4334"/>
      <c r="C58" s="546">
        <v>53600</v>
      </c>
      <c r="D58" s="386" t="str">
        <f>VLOOKUP(C58,'מאזן בוחן EUROPE'!C:D,2,0)</f>
        <v>הכנסות מראש זמן ארוך</v>
      </c>
      <c r="E58" s="1349">
        <f>-E57</f>
        <v>0</v>
      </c>
      <c r="F58" s="1349"/>
      <c r="G58" s="3142"/>
      <c r="H58" s="976" t="e">
        <f>E58/F58</f>
        <v>#DIV/0!</v>
      </c>
      <c r="J58" s="52"/>
      <c r="K58" s="52"/>
      <c r="L58" s="52"/>
      <c r="O58" s="383"/>
    </row>
    <row r="59" spans="1:22" s="51" customFormat="1" ht="13.5" thickBot="1">
      <c r="A59" s="320"/>
      <c r="B59" s="1820">
        <f>B56+1</f>
        <v>16</v>
      </c>
      <c r="C59" s="1346" t="s">
        <v>4656</v>
      </c>
      <c r="D59" s="1344"/>
      <c r="E59" s="1197" t="s">
        <v>400</v>
      </c>
      <c r="F59" s="3147" t="s">
        <v>294</v>
      </c>
      <c r="G59" s="3136"/>
      <c r="H59" s="141"/>
      <c r="I59" s="52"/>
      <c r="J59" s="52"/>
      <c r="K59" s="3723" t="s">
        <v>400</v>
      </c>
      <c r="L59" s="52"/>
      <c r="N59" s="383"/>
      <c r="O59" s="383"/>
    </row>
    <row r="60" spans="1:22" s="51" customFormat="1">
      <c r="A60" s="320"/>
      <c r="B60" s="4347"/>
      <c r="C60" s="545">
        <v>99911</v>
      </c>
      <c r="D60" s="63" t="str">
        <f>VLOOKUP(C60,'מאזן בוחן EUROPE'!C:D,2,0)</f>
        <v>Capital fund and share-based payment</v>
      </c>
      <c r="E60" s="566"/>
      <c r="F60" s="566"/>
      <c r="G60" s="4458" t="s">
        <v>2427</v>
      </c>
      <c r="H60" s="976" t="e">
        <f>E60/F60</f>
        <v>#DIV/0!</v>
      </c>
      <c r="J60" s="52"/>
      <c r="K60" s="3752">
        <f>'מאזן בוחן EUROPE'!J264</f>
        <v>32784.019999999997</v>
      </c>
      <c r="L60" s="52"/>
      <c r="N60" s="3751" t="s">
        <v>4654</v>
      </c>
      <c r="O60" s="383"/>
    </row>
    <row r="61" spans="1:22" ht="13.5" thickBot="1">
      <c r="A61" s="32"/>
      <c r="B61" s="4334"/>
      <c r="C61" s="546">
        <v>3030098</v>
      </c>
      <c r="D61" s="386" t="str">
        <f>VLOOKUP(C61,'מאזן בוחן EUROPE'!C:D,2,0)</f>
        <v>Special retained earnings - share based comp to ret earnings</v>
      </c>
      <c r="E61" s="567">
        <f>-E60</f>
        <v>0</v>
      </c>
      <c r="F61" s="567">
        <f>-F60</f>
        <v>0</v>
      </c>
      <c r="G61" s="4460"/>
      <c r="H61" s="976" t="e">
        <f>E61/F61</f>
        <v>#DIV/0!</v>
      </c>
      <c r="J61" s="383"/>
      <c r="K61" s="383"/>
      <c r="L61" s="383"/>
      <c r="M61" s="527"/>
      <c r="N61" s="383" t="s">
        <v>4655</v>
      </c>
      <c r="O61" s="383"/>
      <c r="V61" s="140"/>
    </row>
    <row r="62" spans="1:22" ht="13.5" thickBot="1">
      <c r="A62" s="32"/>
      <c r="B62" s="1820">
        <f>B59+1</f>
        <v>17</v>
      </c>
      <c r="C62" s="543" t="s">
        <v>3548</v>
      </c>
      <c r="D62" s="560"/>
      <c r="E62" s="1196" t="s">
        <v>400</v>
      </c>
      <c r="F62" s="3146" t="s">
        <v>294</v>
      </c>
      <c r="G62" s="4444" t="s">
        <v>2427</v>
      </c>
      <c r="H62" s="383"/>
      <c r="J62" s="383"/>
      <c r="K62" s="383"/>
      <c r="L62" s="383"/>
      <c r="M62" s="527"/>
      <c r="N62" s="383"/>
      <c r="O62" s="383"/>
      <c r="V62" s="140"/>
    </row>
    <row r="63" spans="1:22">
      <c r="A63" s="32"/>
      <c r="B63" s="4347"/>
      <c r="C63" s="545">
        <v>1100099</v>
      </c>
      <c r="D63" s="63" t="str">
        <f>VLOOKUP(C63,'מאזן בוחן EUROPE'!C:D,2,0)</f>
        <v>Prepaid Comm - 606</v>
      </c>
      <c r="E63" s="1348"/>
      <c r="F63" s="1348"/>
      <c r="G63" s="4445"/>
      <c r="H63" s="976" t="e">
        <f>E63/F63</f>
        <v>#DIV/0!</v>
      </c>
      <c r="J63" s="383"/>
      <c r="K63" s="383"/>
      <c r="L63" s="383"/>
      <c r="M63" s="527"/>
      <c r="N63" s="383"/>
      <c r="O63" s="383"/>
      <c r="V63" s="140"/>
    </row>
    <row r="64" spans="1:22" ht="13.5" thickBot="1">
      <c r="A64" s="32"/>
      <c r="B64" s="4334"/>
      <c r="C64" s="546">
        <v>1610005</v>
      </c>
      <c r="D64" s="386" t="str">
        <f>VLOOKUP(C64,'מאזן בוחן EUROPE'!C:D,2,0)</f>
        <v xml:space="preserve">Prepaid Comm 606 - Long term </v>
      </c>
      <c r="E64" s="1349"/>
      <c r="F64" s="1349"/>
      <c r="G64" s="4446"/>
      <c r="H64" s="976" t="e">
        <f>E64/F64</f>
        <v>#DIV/0!</v>
      </c>
      <c r="J64" s="383"/>
      <c r="K64" s="383"/>
      <c r="L64" s="383"/>
      <c r="M64" s="527"/>
      <c r="N64" s="383"/>
      <c r="O64" s="383"/>
      <c r="V64" s="140"/>
    </row>
    <row r="65" spans="1:22" ht="13.5" thickBot="1">
      <c r="A65" s="32"/>
      <c r="B65" s="1820">
        <f>B62+1</f>
        <v>18</v>
      </c>
      <c r="C65" s="543" t="s">
        <v>4906</v>
      </c>
      <c r="D65" s="560"/>
      <c r="E65" s="2925" t="s">
        <v>400</v>
      </c>
      <c r="F65" s="2803" t="s">
        <v>294</v>
      </c>
      <c r="G65" s="3191"/>
      <c r="H65" s="383"/>
      <c r="J65" s="383"/>
      <c r="K65" s="383"/>
      <c r="L65" s="383"/>
      <c r="M65" s="527"/>
      <c r="N65" s="383"/>
      <c r="O65" s="383"/>
      <c r="V65" s="140"/>
    </row>
    <row r="66" spans="1:22">
      <c r="A66" s="32"/>
      <c r="B66" s="4449"/>
      <c r="C66" s="532">
        <v>1100099</v>
      </c>
      <c r="D66" s="63" t="str">
        <f>VLOOKUP(C66,'מאזן בוחן EUROPE'!C:D,2,0)</f>
        <v>Prepaid Comm - 606</v>
      </c>
      <c r="E66" s="2503">
        <f>G66*F66</f>
        <v>0</v>
      </c>
      <c r="F66" s="1602">
        <f>-F67</f>
        <v>0</v>
      </c>
      <c r="G66" s="3195">
        <v>0.78190999999999999</v>
      </c>
      <c r="H66" s="976"/>
      <c r="J66" s="383"/>
      <c r="K66" s="383"/>
      <c r="L66" s="383"/>
      <c r="M66" s="527"/>
      <c r="N66" s="383"/>
      <c r="O66" s="383"/>
      <c r="V66" s="140"/>
    </row>
    <row r="67" spans="1:22" ht="13.5" thickBot="1">
      <c r="A67" s="32"/>
      <c r="B67" s="4450"/>
      <c r="C67" s="546">
        <v>7110044</v>
      </c>
      <c r="D67" s="386" t="str">
        <f>VLOOKUP(C67,'מאזן בוחן EUROPE'!C:D,2,0)</f>
        <v>Comm 606</v>
      </c>
      <c r="E67" s="1604">
        <f>-E66</f>
        <v>0</v>
      </c>
      <c r="F67" s="4211"/>
      <c r="G67" s="3195"/>
      <c r="H67" s="976"/>
      <c r="J67" s="383"/>
      <c r="K67" s="383"/>
      <c r="L67" s="383"/>
      <c r="M67" s="527"/>
      <c r="N67" s="383"/>
      <c r="O67" s="383"/>
      <c r="V67" s="140"/>
    </row>
    <row r="68" spans="1:22" ht="13.5" thickBot="1">
      <c r="A68" s="32"/>
      <c r="B68" s="1820">
        <f>B65+1</f>
        <v>19</v>
      </c>
      <c r="C68" s="543" t="s">
        <v>4907</v>
      </c>
      <c r="D68" s="560"/>
      <c r="E68" s="2925" t="s">
        <v>400</v>
      </c>
      <c r="F68" s="3146" t="s">
        <v>294</v>
      </c>
      <c r="G68" s="1570"/>
      <c r="H68" s="383"/>
      <c r="J68" s="383"/>
      <c r="K68" s="383"/>
      <c r="L68" s="383"/>
      <c r="M68" s="527"/>
      <c r="N68" s="383"/>
      <c r="O68" s="383"/>
      <c r="V68" s="140"/>
    </row>
    <row r="69" spans="1:22">
      <c r="A69" s="32"/>
      <c r="B69" s="4449"/>
      <c r="C69" s="545">
        <v>1100099</v>
      </c>
      <c r="D69" s="63" t="str">
        <f>VLOOKUP(C69,'מאזן בוחן EUROPE'!C:D,2,0)</f>
        <v>Prepaid Comm - 606</v>
      </c>
      <c r="E69" s="2503">
        <f>G69*$F$69</f>
        <v>0</v>
      </c>
      <c r="F69" s="1602">
        <f>-F70</f>
        <v>0</v>
      </c>
      <c r="G69" s="3195">
        <v>0.76739999999999997</v>
      </c>
      <c r="H69" s="976"/>
      <c r="J69" s="383"/>
      <c r="K69" s="383"/>
      <c r="L69" s="383"/>
      <c r="M69" s="527"/>
      <c r="N69" s="383"/>
      <c r="O69" s="383"/>
      <c r="V69" s="140"/>
    </row>
    <row r="70" spans="1:22" ht="13.5" thickBot="1">
      <c r="A70" s="32"/>
      <c r="B70" s="4450"/>
      <c r="C70" s="546">
        <v>7110055</v>
      </c>
      <c r="D70" s="386" t="str">
        <f>VLOOKUP(C70,'מאזן בוחן EUROPE'!C:D,2,0)</f>
        <v>Comm 606 - 2019</v>
      </c>
      <c r="E70" s="1604">
        <f>-E69</f>
        <v>0</v>
      </c>
      <c r="F70" s="4211"/>
      <c r="G70" s="3195"/>
      <c r="H70" s="976"/>
      <c r="J70" s="383"/>
      <c r="K70" s="383"/>
      <c r="L70" s="383"/>
      <c r="M70" s="527"/>
      <c r="N70" s="383"/>
      <c r="O70" s="383"/>
      <c r="V70" s="140"/>
    </row>
    <row r="71" spans="1:22" ht="13.5" thickBot="1">
      <c r="A71" s="32"/>
      <c r="B71" s="1820">
        <f>B68+1</f>
        <v>20</v>
      </c>
      <c r="C71" s="543" t="s">
        <v>4908</v>
      </c>
      <c r="D71" s="560"/>
      <c r="E71" s="3193" t="s">
        <v>400</v>
      </c>
      <c r="F71" s="3194" t="s">
        <v>294</v>
      </c>
      <c r="G71" s="3195"/>
      <c r="H71" s="383"/>
      <c r="J71" s="383"/>
      <c r="K71" s="383"/>
      <c r="L71" s="383"/>
      <c r="M71" s="527"/>
      <c r="N71" s="383"/>
      <c r="O71" s="383"/>
      <c r="V71" s="140"/>
    </row>
    <row r="72" spans="1:22">
      <c r="A72" s="32"/>
      <c r="B72" s="4449"/>
      <c r="C72" s="545">
        <v>1100099</v>
      </c>
      <c r="D72" s="63" t="str">
        <f>VLOOKUP(C72,'מאזן בוחן EUROPE'!C:D,2,0)</f>
        <v>Prepaid Comm - 606</v>
      </c>
      <c r="E72" s="2503">
        <f>G72*F72</f>
        <v>0</v>
      </c>
      <c r="F72" s="1602">
        <f>-F73</f>
        <v>0</v>
      </c>
      <c r="G72" s="3195">
        <f>3.566/4.5216</f>
        <v>0.78865888181174792</v>
      </c>
      <c r="H72" s="976"/>
      <c r="J72" s="383"/>
      <c r="K72" s="383"/>
      <c r="L72" s="383"/>
      <c r="M72" s="527"/>
      <c r="N72" s="383"/>
      <c r="O72" s="383"/>
      <c r="V72" s="140"/>
    </row>
    <row r="73" spans="1:22" ht="13.5" thickBot="1">
      <c r="A73" s="32"/>
      <c r="B73" s="4450"/>
      <c r="C73" s="546">
        <v>7110055</v>
      </c>
      <c r="D73" s="386" t="str">
        <f>VLOOKUP(C73,'מאזן בוחן EUROPE'!C:D,2,0)</f>
        <v>Comm 606 - 2019</v>
      </c>
      <c r="E73" s="1604">
        <f>-E72</f>
        <v>0</v>
      </c>
      <c r="F73" s="4211"/>
      <c r="G73" s="3195"/>
      <c r="H73" s="383"/>
      <c r="J73" s="383"/>
      <c r="K73" s="383"/>
      <c r="L73" s="383"/>
      <c r="M73" s="527"/>
      <c r="N73" s="383"/>
      <c r="O73" s="383"/>
      <c r="V73" s="140"/>
    </row>
    <row r="74" spans="1:22" ht="13.5" thickBot="1">
      <c r="A74" s="32"/>
      <c r="B74" s="2223">
        <f>B71+1</f>
        <v>21</v>
      </c>
      <c r="C74" s="543" t="s">
        <v>4909</v>
      </c>
      <c r="D74" s="560"/>
      <c r="E74" s="2925" t="s">
        <v>400</v>
      </c>
      <c r="F74" s="2803" t="s">
        <v>294</v>
      </c>
      <c r="G74" s="3195"/>
      <c r="H74" s="383"/>
      <c r="J74" s="383"/>
      <c r="K74" s="383"/>
      <c r="L74" s="383"/>
      <c r="M74" s="527"/>
      <c r="N74" s="383"/>
      <c r="O74" s="383"/>
      <c r="V74" s="140"/>
    </row>
    <row r="75" spans="1:22">
      <c r="A75" s="32"/>
      <c r="B75" s="4449"/>
      <c r="C75" s="545">
        <v>1100099</v>
      </c>
      <c r="D75" s="63" t="str">
        <f>VLOOKUP(C75,'מאזן בוחן EUROPE'!C:D,2,0)</f>
        <v>Prepaid Comm - 606</v>
      </c>
      <c r="E75" s="2503">
        <f>G75*F75</f>
        <v>0</v>
      </c>
      <c r="F75" s="1602">
        <f>-F76</f>
        <v>0</v>
      </c>
      <c r="G75" s="3195">
        <v>0.81359999999999999</v>
      </c>
      <c r="H75" s="976"/>
      <c r="J75" s="383"/>
      <c r="K75" s="383"/>
      <c r="L75" s="383"/>
      <c r="M75" s="527"/>
      <c r="N75" s="383"/>
      <c r="O75" s="383"/>
      <c r="V75" s="140"/>
    </row>
    <row r="76" spans="1:22" ht="13.5" thickBot="1">
      <c r="A76" s="32"/>
      <c r="B76" s="4450"/>
      <c r="C76" s="546">
        <v>7110055</v>
      </c>
      <c r="D76" s="386" t="str">
        <f>VLOOKUP(C76,'מאזן בוחן EUROPE'!C:D,2,0)</f>
        <v>Comm 606 - 2019</v>
      </c>
      <c r="E76" s="1604">
        <f>-E75</f>
        <v>0</v>
      </c>
      <c r="F76" s="4211"/>
      <c r="G76" s="3195"/>
      <c r="H76" s="976"/>
      <c r="J76" s="383"/>
      <c r="K76" s="383"/>
      <c r="L76" s="383"/>
      <c r="M76" s="527"/>
      <c r="N76" s="383"/>
      <c r="O76" s="383"/>
      <c r="V76" s="140"/>
    </row>
    <row r="77" spans="1:22" ht="13.5" thickBot="1">
      <c r="A77" s="32"/>
      <c r="B77" s="1820">
        <f>B74+1</f>
        <v>22</v>
      </c>
      <c r="C77" s="543" t="s">
        <v>4910</v>
      </c>
      <c r="D77" s="528"/>
      <c r="E77" s="2925" t="s">
        <v>400</v>
      </c>
      <c r="F77" s="2803" t="s">
        <v>294</v>
      </c>
      <c r="G77" s="3195"/>
      <c r="H77" s="383"/>
      <c r="J77" s="383"/>
      <c r="K77" s="383"/>
      <c r="L77" s="383"/>
      <c r="M77" s="527"/>
      <c r="N77" s="383"/>
      <c r="O77" s="383"/>
      <c r="V77" s="140"/>
    </row>
    <row r="78" spans="1:22">
      <c r="A78" s="32"/>
      <c r="B78" s="4449"/>
      <c r="C78" s="532">
        <v>1100099</v>
      </c>
      <c r="D78" s="63" t="str">
        <f>VLOOKUP(C78,'מאזן בוחן EUROPE'!C:D,2,0)</f>
        <v>Prepaid Comm - 606</v>
      </c>
      <c r="E78" s="2503">
        <f>G78*F78</f>
        <v>0</v>
      </c>
      <c r="F78" s="1602">
        <f>-F79</f>
        <v>0</v>
      </c>
      <c r="G78" s="3195">
        <v>0.75790000000000002</v>
      </c>
      <c r="H78" s="976"/>
      <c r="J78" s="383"/>
      <c r="K78" s="383"/>
      <c r="L78" s="383"/>
      <c r="M78" s="527"/>
      <c r="N78" s="383"/>
      <c r="O78" s="383"/>
      <c r="V78" s="140"/>
    </row>
    <row r="79" spans="1:22" ht="13.5" thickBot="1">
      <c r="A79" s="32"/>
      <c r="B79" s="4450"/>
      <c r="C79" s="546">
        <v>7110055</v>
      </c>
      <c r="D79" s="386" t="str">
        <f>VLOOKUP(C79,'מאזן בוחן EUROPE'!C:D,2,0)</f>
        <v>Comm 606 - 2019</v>
      </c>
      <c r="E79" s="1604">
        <f>-E78</f>
        <v>0</v>
      </c>
      <c r="F79" s="4211"/>
      <c r="G79" s="3195"/>
      <c r="H79" s="976"/>
      <c r="J79" s="383"/>
      <c r="K79" s="383"/>
      <c r="L79" s="383"/>
      <c r="M79" s="527"/>
      <c r="N79" s="383"/>
      <c r="O79" s="383"/>
      <c r="V79" s="140"/>
    </row>
    <row r="80" spans="1:22" ht="13.5" thickBot="1">
      <c r="A80" s="32"/>
      <c r="B80" s="1820">
        <f>B77+1</f>
        <v>23</v>
      </c>
      <c r="C80" s="543" t="s">
        <v>4911</v>
      </c>
      <c r="D80" s="528"/>
      <c r="E80" s="2925" t="s">
        <v>400</v>
      </c>
      <c r="F80" s="2803" t="s">
        <v>294</v>
      </c>
      <c r="G80" s="3195"/>
      <c r="H80" s="976"/>
      <c r="J80" s="383"/>
      <c r="K80" s="383"/>
      <c r="L80" s="383"/>
      <c r="M80" s="527"/>
      <c r="N80" s="383"/>
      <c r="O80" s="383"/>
      <c r="V80" s="140"/>
    </row>
    <row r="81" spans="1:22">
      <c r="A81" s="32"/>
      <c r="B81" s="4449"/>
      <c r="C81" s="532">
        <v>1100099</v>
      </c>
      <c r="D81" s="63" t="str">
        <f>VLOOKUP(C81,'מאזן בוחן EUROPE'!C:D,2,0)</f>
        <v>Prepaid Comm - 606</v>
      </c>
      <c r="E81" s="2503">
        <f>G81*F81</f>
        <v>0</v>
      </c>
      <c r="F81" s="1602">
        <f>-F82</f>
        <v>0</v>
      </c>
      <c r="G81" s="3195">
        <v>0.8105</v>
      </c>
      <c r="H81" s="976"/>
      <c r="J81" s="383"/>
      <c r="K81" s="383"/>
      <c r="L81" s="383"/>
      <c r="M81" s="527"/>
      <c r="N81" s="383"/>
      <c r="O81" s="383"/>
      <c r="V81" s="140"/>
    </row>
    <row r="82" spans="1:22" ht="13.5" thickBot="1">
      <c r="A82" s="32"/>
      <c r="B82" s="4450"/>
      <c r="C82" s="546">
        <v>7110066</v>
      </c>
      <c r="D82" s="386" t="str">
        <f>VLOOKUP(C82,'מאזן בוחן EUROPE'!C:D,2,0)</f>
        <v>Comm 606 - 2020</v>
      </c>
      <c r="E82" s="1604">
        <f>-E81</f>
        <v>0</v>
      </c>
      <c r="F82" s="4211"/>
      <c r="G82" s="3195"/>
      <c r="H82" s="976"/>
      <c r="J82" s="383"/>
      <c r="K82" s="383"/>
      <c r="L82" s="383"/>
      <c r="M82" s="527"/>
      <c r="N82" s="383"/>
      <c r="O82" s="383"/>
      <c r="V82" s="140"/>
    </row>
    <row r="83" spans="1:22" ht="13.5" thickBot="1">
      <c r="A83" s="32"/>
      <c r="B83" s="1820">
        <f>B80+1</f>
        <v>24</v>
      </c>
      <c r="C83" s="543" t="s">
        <v>4912</v>
      </c>
      <c r="D83" s="528"/>
      <c r="E83" s="2925" t="s">
        <v>400</v>
      </c>
      <c r="F83" s="2803" t="s">
        <v>294</v>
      </c>
      <c r="G83" s="3195"/>
      <c r="H83" s="976"/>
      <c r="J83" s="383"/>
      <c r="K83" s="383"/>
      <c r="L83" s="383"/>
      <c r="M83" s="527"/>
      <c r="N83" s="383"/>
      <c r="O83" s="383"/>
      <c r="V83" s="140"/>
    </row>
    <row r="84" spans="1:22">
      <c r="A84" s="32"/>
      <c r="B84" s="4449"/>
      <c r="C84" s="532">
        <v>1100099</v>
      </c>
      <c r="D84" s="63" t="str">
        <f>VLOOKUP(C84,'מאזן בוחן EUROPE'!C:D,2,0)</f>
        <v>Prepaid Comm - 606</v>
      </c>
      <c r="E84" s="2503">
        <f>G84*F84</f>
        <v>0</v>
      </c>
      <c r="F84" s="1602">
        <f>-F85</f>
        <v>0</v>
      </c>
      <c r="G84" s="3195">
        <v>0.81469999999999998</v>
      </c>
      <c r="H84" s="976"/>
      <c r="J84" s="383"/>
      <c r="K84" s="383"/>
      <c r="L84" s="383"/>
      <c r="M84" s="527"/>
      <c r="N84" s="383"/>
      <c r="O84" s="383"/>
      <c r="V84" s="140"/>
    </row>
    <row r="85" spans="1:22" ht="13.5" thickBot="1">
      <c r="A85" s="32"/>
      <c r="B85" s="4450"/>
      <c r="C85" s="546">
        <v>7110066</v>
      </c>
      <c r="D85" s="386" t="str">
        <f>VLOOKUP(C85,'מאזן בוחן EUROPE'!C:D,2,0)</f>
        <v>Comm 606 - 2020</v>
      </c>
      <c r="E85" s="1604">
        <f>-E84</f>
        <v>0</v>
      </c>
      <c r="F85" s="4211"/>
      <c r="G85" s="3195"/>
      <c r="H85" s="976"/>
      <c r="J85" s="383"/>
      <c r="K85" s="383"/>
      <c r="L85" s="383"/>
      <c r="M85" s="527"/>
      <c r="N85" s="383"/>
      <c r="O85" s="383"/>
      <c r="V85" s="140"/>
    </row>
    <row r="86" spans="1:22" ht="13.5" thickBot="1">
      <c r="A86" s="32"/>
      <c r="B86" s="1820">
        <f>B83+1</f>
        <v>25</v>
      </c>
      <c r="C86" s="543" t="s">
        <v>4913</v>
      </c>
      <c r="D86" s="528"/>
      <c r="E86" s="2925" t="s">
        <v>400</v>
      </c>
      <c r="F86" s="2803" t="s">
        <v>294</v>
      </c>
      <c r="G86" s="3195"/>
      <c r="H86" s="976"/>
      <c r="J86" s="383"/>
      <c r="K86" s="383"/>
      <c r="L86" s="383"/>
      <c r="M86" s="527"/>
      <c r="N86" s="383"/>
      <c r="O86" s="383"/>
      <c r="V86" s="140"/>
    </row>
    <row r="87" spans="1:22">
      <c r="A87" s="32"/>
      <c r="B87" s="4449"/>
      <c r="C87" s="532">
        <v>1100099</v>
      </c>
      <c r="D87" s="63" t="str">
        <f>VLOOKUP(C87,'מאזן בוחן EUROPE'!C:D,2,0)</f>
        <v>Prepaid Comm - 606</v>
      </c>
      <c r="E87" s="2503">
        <f>G87*F87</f>
        <v>0</v>
      </c>
      <c r="F87" s="1602">
        <f>-F88</f>
        <v>0</v>
      </c>
      <c r="G87" s="3195">
        <v>0.7801305885553641</v>
      </c>
      <c r="H87" s="976"/>
      <c r="J87" s="383"/>
      <c r="K87" s="383"/>
      <c r="L87" s="383"/>
      <c r="M87" s="527"/>
      <c r="N87" s="383"/>
      <c r="O87" s="383"/>
      <c r="V87" s="140"/>
    </row>
    <row r="88" spans="1:22" ht="13.5" thickBot="1">
      <c r="A88" s="32"/>
      <c r="B88" s="4450"/>
      <c r="C88" s="546">
        <v>7110066</v>
      </c>
      <c r="D88" s="386" t="str">
        <f>VLOOKUP(C88,'מאזן בוחן EUROPE'!C:D,2,0)</f>
        <v>Comm 606 - 2020</v>
      </c>
      <c r="E88" s="1604">
        <f>-E87</f>
        <v>0</v>
      </c>
      <c r="F88" s="4211"/>
      <c r="G88" s="3195"/>
      <c r="H88" s="976"/>
      <c r="J88" s="383"/>
      <c r="K88" s="383"/>
      <c r="L88" s="383"/>
      <c r="M88" s="527"/>
      <c r="N88" s="383"/>
      <c r="O88" s="383"/>
      <c r="V88" s="140"/>
    </row>
    <row r="89" spans="1:22" ht="13.5" thickBot="1">
      <c r="A89" s="32"/>
      <c r="B89" s="1820">
        <f>B86+1</f>
        <v>26</v>
      </c>
      <c r="C89" s="543" t="s">
        <v>4914</v>
      </c>
      <c r="D89" s="528"/>
      <c r="E89" s="2925" t="s">
        <v>400</v>
      </c>
      <c r="F89" s="2803" t="s">
        <v>294</v>
      </c>
      <c r="G89" s="3196"/>
      <c r="H89" s="976"/>
      <c r="J89" s="383"/>
      <c r="K89" s="383"/>
      <c r="L89" s="383"/>
      <c r="M89" s="527"/>
      <c r="N89" s="383"/>
      <c r="O89" s="383"/>
      <c r="V89" s="140"/>
    </row>
    <row r="90" spans="1:22">
      <c r="A90" s="32"/>
      <c r="B90" s="4449"/>
      <c r="C90" s="532">
        <v>1100099</v>
      </c>
      <c r="D90" s="63" t="str">
        <f>VLOOKUP(C90,'מאזן בוחן EUROPE'!C:D,2,0)</f>
        <v>Prepaid Comm - 606</v>
      </c>
      <c r="E90" s="2503">
        <f>G90*F90</f>
        <v>0</v>
      </c>
      <c r="F90" s="1602">
        <f>-F91</f>
        <v>0</v>
      </c>
      <c r="G90" s="3195">
        <v>0.73202941779184405</v>
      </c>
      <c r="H90" s="976"/>
      <c r="J90" s="383"/>
      <c r="K90" s="383"/>
      <c r="L90" s="383"/>
      <c r="M90" s="527"/>
      <c r="N90" s="383"/>
      <c r="O90" s="383"/>
      <c r="V90" s="140"/>
    </row>
    <row r="91" spans="1:22" ht="13.5" thickBot="1">
      <c r="A91" s="32"/>
      <c r="B91" s="4450"/>
      <c r="C91" s="546">
        <v>7110066</v>
      </c>
      <c r="D91" s="386" t="str">
        <f>VLOOKUP(C91,'מאזן בוחן EUROPE'!C:D,2,0)</f>
        <v>Comm 606 - 2020</v>
      </c>
      <c r="E91" s="1604">
        <f>-E90</f>
        <v>0</v>
      </c>
      <c r="F91" s="4211"/>
      <c r="G91" s="3196"/>
      <c r="H91" s="976"/>
      <c r="J91" s="383"/>
      <c r="K91" s="383"/>
      <c r="L91" s="383"/>
      <c r="M91" s="527"/>
      <c r="N91" s="383"/>
      <c r="O91" s="383"/>
      <c r="V91" s="140"/>
    </row>
    <row r="92" spans="1:22" ht="13.5" thickBot="1">
      <c r="A92" s="32"/>
      <c r="B92" s="1820">
        <f>B65+1</f>
        <v>19</v>
      </c>
      <c r="C92" s="543" t="s">
        <v>4915</v>
      </c>
      <c r="D92" s="528"/>
      <c r="E92" s="2925" t="s">
        <v>400</v>
      </c>
      <c r="F92" s="3146" t="s">
        <v>294</v>
      </c>
      <c r="G92" s="3196"/>
      <c r="H92" s="383"/>
      <c r="J92" s="383"/>
      <c r="K92" s="383"/>
      <c r="L92" s="383"/>
      <c r="M92" s="527"/>
      <c r="N92" s="383"/>
      <c r="O92" s="383"/>
      <c r="V92" s="140"/>
    </row>
    <row r="93" spans="1:22">
      <c r="A93" s="32"/>
      <c r="B93" s="4449"/>
      <c r="C93" s="545">
        <v>1100099</v>
      </c>
      <c r="D93" s="63" t="str">
        <f>VLOOKUP(C93,'מאזן בוחן EUROPE'!C:D,2,0)</f>
        <v>Prepaid Comm - 606</v>
      </c>
      <c r="E93" s="2503">
        <f>G93*F93</f>
        <v>0</v>
      </c>
      <c r="F93" s="1602">
        <f>-F94</f>
        <v>0</v>
      </c>
      <c r="G93" s="3195">
        <v>0.7268525583727572</v>
      </c>
      <c r="H93" s="976"/>
      <c r="J93" s="383"/>
      <c r="K93" s="383"/>
      <c r="L93" s="383"/>
      <c r="M93" s="527"/>
      <c r="N93" s="383"/>
      <c r="O93" s="383"/>
      <c r="V93" s="140"/>
    </row>
    <row r="94" spans="1:22" ht="13.5" thickBot="1">
      <c r="A94" s="32"/>
      <c r="B94" s="4450"/>
      <c r="C94" s="546">
        <v>7110077</v>
      </c>
      <c r="D94" s="386" t="str">
        <f>VLOOKUP(C94,'מאזן בוחן EUROPE'!C:D,2,0)</f>
        <v>Comm 606 - 2021</v>
      </c>
      <c r="E94" s="1604">
        <f>-E93</f>
        <v>0</v>
      </c>
      <c r="F94" s="4204"/>
      <c r="G94" s="3192"/>
      <c r="H94" s="976"/>
      <c r="J94" s="383"/>
      <c r="K94" s="383"/>
      <c r="L94" s="383"/>
      <c r="M94" s="527"/>
      <c r="N94" s="383"/>
      <c r="O94" s="383"/>
      <c r="V94" s="140"/>
    </row>
    <row r="95" spans="1:22" ht="13.5" thickBot="1">
      <c r="A95" s="32"/>
      <c r="B95" s="1820">
        <f>B92+1</f>
        <v>20</v>
      </c>
      <c r="C95" s="543" t="s">
        <v>4916</v>
      </c>
      <c r="D95" s="528"/>
      <c r="E95" s="1196" t="s">
        <v>400</v>
      </c>
      <c r="F95" s="3146" t="s">
        <v>294</v>
      </c>
      <c r="G95" s="3192"/>
      <c r="H95" s="976"/>
      <c r="J95" s="383"/>
      <c r="K95" s="383"/>
      <c r="L95" s="383"/>
      <c r="M95" s="527"/>
      <c r="N95" s="383"/>
      <c r="O95" s="383"/>
      <c r="V95" s="140"/>
    </row>
    <row r="96" spans="1:22">
      <c r="A96" s="32"/>
      <c r="B96" s="4449"/>
      <c r="C96" s="532">
        <v>1100099</v>
      </c>
      <c r="D96" s="63" t="str">
        <f>VLOOKUP(C96,'מאזן בוחן EUROPE'!C:D,2,0)</f>
        <v>Prepaid Comm - 606</v>
      </c>
      <c r="E96" s="1348">
        <f>G96*F96</f>
        <v>0</v>
      </c>
      <c r="F96" s="1348">
        <f>-F97</f>
        <v>0</v>
      </c>
      <c r="G96" s="3195">
        <v>0.72160612701153248</v>
      </c>
      <c r="H96" s="976"/>
      <c r="J96" s="383"/>
      <c r="K96" s="383"/>
      <c r="L96" s="383"/>
      <c r="M96" s="527"/>
      <c r="N96" s="383"/>
      <c r="O96" s="383"/>
      <c r="V96" s="140"/>
    </row>
    <row r="97" spans="1:22" ht="13.5" thickBot="1">
      <c r="A97" s="32"/>
      <c r="B97" s="4450"/>
      <c r="C97" s="546">
        <v>7110077</v>
      </c>
      <c r="D97" s="386" t="str">
        <f>VLOOKUP(C97,'מאזן בוחן EUROPE'!C:D,2,0)</f>
        <v>Comm 606 - 2021</v>
      </c>
      <c r="E97" s="1349">
        <f>-E96</f>
        <v>0</v>
      </c>
      <c r="F97" s="4210"/>
      <c r="G97" s="204"/>
      <c r="H97" s="976"/>
      <c r="J97" s="383"/>
      <c r="K97" s="383"/>
      <c r="L97" s="383"/>
      <c r="M97" s="527"/>
      <c r="N97" s="383"/>
      <c r="O97" s="383"/>
      <c r="V97" s="140"/>
    </row>
    <row r="98" spans="1:22" ht="13.5" thickBot="1">
      <c r="A98" s="32"/>
      <c r="B98" s="1820">
        <f>B95+1</f>
        <v>21</v>
      </c>
      <c r="C98" s="543" t="s">
        <v>4917</v>
      </c>
      <c r="D98" s="528"/>
      <c r="E98" s="1196" t="s">
        <v>400</v>
      </c>
      <c r="F98" s="3146" t="s">
        <v>294</v>
      </c>
      <c r="G98" s="3192"/>
      <c r="H98" s="976"/>
      <c r="J98" s="383"/>
      <c r="K98" s="383"/>
      <c r="L98" s="383"/>
      <c r="M98" s="527"/>
      <c r="N98" s="383"/>
      <c r="O98" s="383"/>
      <c r="V98" s="140"/>
    </row>
    <row r="99" spans="1:22">
      <c r="A99" s="32"/>
      <c r="B99" s="4449"/>
      <c r="C99" s="532">
        <v>1100099</v>
      </c>
      <c r="D99" s="63" t="str">
        <f>VLOOKUP(C99,'מאזן בוחן EUROPE'!C:D,2,0)</f>
        <v>Prepaid Comm - 606</v>
      </c>
      <c r="E99" s="1348">
        <f>G99*F99</f>
        <v>0</v>
      </c>
      <c r="F99" s="1348">
        <f>-F100</f>
        <v>0</v>
      </c>
      <c r="G99" s="3195">
        <v>0.72160612701153248</v>
      </c>
      <c r="H99" s="976"/>
      <c r="J99" s="383"/>
      <c r="K99" s="383"/>
      <c r="L99" s="383"/>
      <c r="M99" s="527"/>
      <c r="N99" s="383"/>
      <c r="O99" s="383"/>
      <c r="V99" s="140"/>
    </row>
    <row r="100" spans="1:22" ht="13.5" thickBot="1">
      <c r="A100" s="32"/>
      <c r="B100" s="4450"/>
      <c r="C100" s="546">
        <v>7110077</v>
      </c>
      <c r="D100" s="386" t="str">
        <f>VLOOKUP(C100,'מאזן בוחן EUROPE'!C:D,2,0)</f>
        <v>Comm 606 - 2021</v>
      </c>
      <c r="E100" s="1349">
        <f>-E99</f>
        <v>0</v>
      </c>
      <c r="F100" s="1349"/>
      <c r="G100" s="204"/>
      <c r="H100" s="976"/>
      <c r="J100" s="383"/>
      <c r="K100" s="383"/>
      <c r="L100" s="383"/>
      <c r="M100" s="527"/>
      <c r="N100" s="383"/>
      <c r="O100" s="383"/>
      <c r="V100" s="140"/>
    </row>
    <row r="101" spans="1:22" ht="13.5" thickBot="1">
      <c r="A101" s="32"/>
      <c r="B101" s="1820">
        <f>B98+1</f>
        <v>22</v>
      </c>
      <c r="C101" s="543" t="s">
        <v>4894</v>
      </c>
      <c r="D101" s="528"/>
      <c r="E101" s="1196" t="s">
        <v>400</v>
      </c>
      <c r="F101" s="3146" t="s">
        <v>294</v>
      </c>
      <c r="G101" s="3192"/>
      <c r="H101" s="976"/>
      <c r="J101" s="383"/>
      <c r="K101" s="383"/>
      <c r="L101" s="383"/>
      <c r="M101" s="527"/>
      <c r="N101" s="383"/>
      <c r="O101" s="383"/>
      <c r="V101" s="140"/>
    </row>
    <row r="102" spans="1:22">
      <c r="A102" s="32"/>
      <c r="B102" s="4449"/>
      <c r="C102" s="532">
        <v>1100099</v>
      </c>
      <c r="D102" s="63" t="str">
        <f>VLOOKUP(C102,'מאזן בוחן EUROPE'!C:D,2,0)</f>
        <v>Prepaid Comm - 606</v>
      </c>
      <c r="E102" s="1348">
        <f>G102*F102</f>
        <v>0</v>
      </c>
      <c r="F102" s="1348">
        <f>-F103</f>
        <v>0</v>
      </c>
      <c r="G102" s="3435">
        <f>'מאזן בוחן EUROPE'!N2</f>
        <v>0.73993005162855985</v>
      </c>
      <c r="H102" s="976"/>
      <c r="J102" s="383"/>
      <c r="K102" s="383"/>
      <c r="L102" s="383"/>
      <c r="M102" s="527"/>
      <c r="N102" s="383"/>
      <c r="O102" s="383"/>
      <c r="V102" s="140"/>
    </row>
    <row r="103" spans="1:22" ht="13.5" thickBot="1">
      <c r="A103" s="32"/>
      <c r="B103" s="4450"/>
      <c r="C103" s="546">
        <v>7110077</v>
      </c>
      <c r="D103" s="386" t="str">
        <f>VLOOKUP(C103,'מאזן בוחן EUROPE'!C:D,2,0)</f>
        <v>Comm 606 - 2021</v>
      </c>
      <c r="E103" s="1349">
        <f>-E102</f>
        <v>0</v>
      </c>
      <c r="F103" s="1349"/>
      <c r="G103" s="204"/>
      <c r="H103" s="976"/>
      <c r="J103" s="383"/>
      <c r="K103" s="383"/>
      <c r="L103" s="383"/>
      <c r="M103" s="527"/>
      <c r="N103" s="383"/>
      <c r="O103" s="383"/>
      <c r="V103" s="140"/>
    </row>
    <row r="104" spans="1:22" ht="13.5" thickBot="1">
      <c r="A104" s="380"/>
      <c r="B104" s="1820">
        <f>1+B95</f>
        <v>21</v>
      </c>
      <c r="C104" s="543" t="s">
        <v>4887</v>
      </c>
      <c r="D104" s="528"/>
      <c r="E104" s="1196" t="s">
        <v>400</v>
      </c>
      <c r="F104" s="3146" t="s">
        <v>294</v>
      </c>
      <c r="G104" s="4177" t="s">
        <v>4888</v>
      </c>
      <c r="H104" s="383"/>
      <c r="J104" s="383"/>
      <c r="K104" s="383"/>
      <c r="L104" s="383"/>
      <c r="M104" s="527"/>
      <c r="N104" s="383"/>
      <c r="O104" s="383"/>
      <c r="V104" s="140"/>
    </row>
    <row r="105" spans="1:22" ht="12.95" customHeight="1">
      <c r="A105" s="380"/>
      <c r="B105" s="4344"/>
      <c r="C105" s="532">
        <v>2400001</v>
      </c>
      <c r="D105" s="61" t="str">
        <f>VLOOKUP(C105,'מאזן בוחן EUROPE'!C:D,2,0)</f>
        <v>Accrued expenses Employees</v>
      </c>
      <c r="E105" s="1348">
        <f>-SUM(E106:E110)</f>
        <v>0</v>
      </c>
      <c r="F105" s="1348">
        <f>-SUM(F106:F110)</f>
        <v>0</v>
      </c>
      <c r="G105" s="4144" t="s">
        <v>2427</v>
      </c>
      <c r="H105" s="976" t="e">
        <f t="shared" ref="H105:H110" si="0">E105/F105</f>
        <v>#DIV/0!</v>
      </c>
      <c r="J105" s="383"/>
      <c r="K105" s="383"/>
      <c r="L105" s="383"/>
      <c r="M105" s="527"/>
      <c r="N105" s="383"/>
      <c r="O105" s="383"/>
      <c r="V105" s="140"/>
    </row>
    <row r="106" spans="1:22" ht="12.95" customHeight="1">
      <c r="A106" s="380"/>
      <c r="B106" s="4346"/>
      <c r="C106" s="532">
        <v>5200003</v>
      </c>
      <c r="D106" s="63" t="str">
        <f>VLOOKUP(C106,'מאזן בוחן EUROPE'!C:D,2,0)</f>
        <v>MBO - Professional  Services</v>
      </c>
      <c r="E106" s="1348"/>
      <c r="F106" s="1348"/>
      <c r="G106" s="4178" t="s">
        <v>1386</v>
      </c>
      <c r="H106" s="976" t="e">
        <f t="shared" si="0"/>
        <v>#DIV/0!</v>
      </c>
      <c r="J106" s="383"/>
      <c r="K106" s="383"/>
      <c r="L106" s="383"/>
      <c r="M106" s="527"/>
      <c r="N106" s="383"/>
      <c r="O106" s="383"/>
      <c r="V106" s="140"/>
    </row>
    <row r="107" spans="1:22" ht="12.95" customHeight="1">
      <c r="A107" s="380"/>
      <c r="B107" s="4346"/>
      <c r="C107" s="3465">
        <v>7110002</v>
      </c>
      <c r="D107" s="63" t="str">
        <f>VLOOKUP(C107,'מאזן בוחן EUROPE'!C:D,2,0)</f>
        <v>MBO - Sales</v>
      </c>
      <c r="E107" s="1348"/>
      <c r="F107" s="1348"/>
      <c r="G107" s="4178" t="s">
        <v>1387</v>
      </c>
      <c r="H107" s="976" t="e">
        <f t="shared" si="0"/>
        <v>#DIV/0!</v>
      </c>
      <c r="J107" s="383"/>
      <c r="K107" s="383"/>
      <c r="L107" s="383"/>
      <c r="M107" s="527"/>
      <c r="N107" s="383"/>
      <c r="O107" s="383"/>
      <c r="V107" s="140"/>
    </row>
    <row r="108" spans="1:22" ht="12.95" customHeight="1">
      <c r="A108" s="380"/>
      <c r="B108" s="4346"/>
      <c r="C108" s="532">
        <v>7110002</v>
      </c>
      <c r="D108" s="63" t="str">
        <f>VLOOKUP(C108,'מאזן בוחן EUROPE'!C:D,2,0)</f>
        <v>MBO - Sales</v>
      </c>
      <c r="E108" s="1348"/>
      <c r="F108" s="1348"/>
      <c r="G108" s="4178" t="s">
        <v>1386</v>
      </c>
      <c r="H108" s="976" t="e">
        <f t="shared" si="0"/>
        <v>#DIV/0!</v>
      </c>
      <c r="J108" s="383"/>
      <c r="K108" s="383"/>
      <c r="L108" s="383"/>
      <c r="M108" s="527"/>
      <c r="N108" s="383"/>
      <c r="O108" s="383"/>
      <c r="V108" s="140"/>
    </row>
    <row r="109" spans="1:22" ht="12.95" customHeight="1">
      <c r="A109" s="380"/>
      <c r="B109" s="4346"/>
      <c r="C109" s="532">
        <v>7140002</v>
      </c>
      <c r="D109" s="63" t="str">
        <f>VLOOKUP(C109,'מאזן בוחן EUROPE'!C:D,2,0)</f>
        <v>MBO - SE</v>
      </c>
      <c r="E109" s="1348"/>
      <c r="F109" s="1348"/>
      <c r="G109" s="4178" t="s">
        <v>1387</v>
      </c>
      <c r="H109" s="976" t="e">
        <f t="shared" si="0"/>
        <v>#DIV/0!</v>
      </c>
      <c r="J109" s="383"/>
      <c r="K109" s="383"/>
      <c r="L109" s="383"/>
      <c r="M109" s="527"/>
      <c r="N109" s="383"/>
      <c r="O109" s="383"/>
      <c r="V109" s="140"/>
    </row>
    <row r="110" spans="1:22" ht="13.5" customHeight="1" thickBot="1">
      <c r="A110" s="380"/>
      <c r="B110" s="4345"/>
      <c r="C110" s="546">
        <v>7140002</v>
      </c>
      <c r="D110" s="386" t="str">
        <f>VLOOKUP(C110,'מאזן בוחן EUROPE'!C:D,2,0)</f>
        <v>MBO - SE</v>
      </c>
      <c r="E110" s="1349"/>
      <c r="F110" s="1349"/>
      <c r="G110" s="4179" t="s">
        <v>1386</v>
      </c>
      <c r="H110" s="976" t="e">
        <f t="shared" si="0"/>
        <v>#DIV/0!</v>
      </c>
      <c r="J110" s="383"/>
      <c r="K110" s="383"/>
      <c r="L110" s="383"/>
      <c r="M110" s="527"/>
      <c r="N110" s="383"/>
      <c r="O110" s="383"/>
      <c r="V110" s="140"/>
    </row>
    <row r="111" spans="1:22" ht="13.5" thickBot="1">
      <c r="A111" s="380"/>
      <c r="B111" s="1820">
        <f>1+B104</f>
        <v>22</v>
      </c>
      <c r="C111" s="543" t="s">
        <v>4225</v>
      </c>
      <c r="D111" s="1559"/>
      <c r="E111" s="1196" t="s">
        <v>400</v>
      </c>
      <c r="F111" s="3146" t="s">
        <v>294</v>
      </c>
      <c r="G111" s="3148" t="s">
        <v>1932</v>
      </c>
      <c r="H111" s="383"/>
      <c r="J111" s="383"/>
      <c r="K111" s="383"/>
      <c r="L111" s="383"/>
      <c r="M111" s="527"/>
      <c r="N111" s="383"/>
      <c r="O111" s="383"/>
      <c r="V111" s="140"/>
    </row>
    <row r="112" spans="1:22">
      <c r="A112" s="380"/>
      <c r="B112" s="4447"/>
      <c r="C112" s="545">
        <v>7110003</v>
      </c>
      <c r="D112" s="63" t="str">
        <f>VLOOKUP(C112,'מאזן בוחן EUROPE'!C:D,2,0)</f>
        <v>Commission - Sales from provision only</v>
      </c>
      <c r="E112" s="1348"/>
      <c r="F112" s="2592">
        <f>E112/'מאזן בוחן EUROPE'!$N$2</f>
        <v>0</v>
      </c>
      <c r="G112" s="3143" t="s">
        <v>1386</v>
      </c>
      <c r="H112" s="976" t="e">
        <f>E112/F112</f>
        <v>#DIV/0!</v>
      </c>
      <c r="J112" s="383"/>
      <c r="K112" s="383"/>
      <c r="L112" s="383"/>
      <c r="M112" s="527"/>
      <c r="N112" s="383"/>
      <c r="O112" s="383"/>
      <c r="V112" s="140"/>
    </row>
    <row r="113" spans="1:22" ht="13.5" thickBot="1">
      <c r="A113" s="380"/>
      <c r="B113" s="4448"/>
      <c r="C113" s="546">
        <v>2400001</v>
      </c>
      <c r="D113" s="386" t="str">
        <f>VLOOKUP(C113,'מאזן בוחן EUROPE'!C:D,2,0)</f>
        <v>Accrued expenses Employees</v>
      </c>
      <c r="E113" s="1349">
        <f>-E112</f>
        <v>0</v>
      </c>
      <c r="F113" s="1349">
        <f>-F112</f>
        <v>0</v>
      </c>
      <c r="G113" s="3142"/>
      <c r="H113" s="976" t="e">
        <f>E113/F113</f>
        <v>#DIV/0!</v>
      </c>
      <c r="J113" s="383"/>
      <c r="K113" s="383"/>
      <c r="L113" s="383"/>
      <c r="M113" s="527"/>
      <c r="N113" s="383"/>
      <c r="O113" s="383"/>
      <c r="V113" s="140"/>
    </row>
    <row r="114" spans="1:22" ht="13.5" thickBot="1">
      <c r="A114" s="380"/>
      <c r="B114" s="1820">
        <f>1+B111</f>
        <v>23</v>
      </c>
      <c r="C114" s="543" t="s">
        <v>4825</v>
      </c>
      <c r="D114" s="1559"/>
      <c r="E114" s="1196" t="s">
        <v>400</v>
      </c>
      <c r="F114" s="3146" t="s">
        <v>294</v>
      </c>
      <c r="G114" s="1689" t="s">
        <v>3478</v>
      </c>
      <c r="J114" s="383"/>
      <c r="K114" s="383"/>
      <c r="L114" s="383"/>
      <c r="M114" s="527"/>
      <c r="N114" s="383"/>
      <c r="O114" s="383"/>
      <c r="V114" s="140"/>
    </row>
    <row r="115" spans="1:22">
      <c r="A115" s="380"/>
      <c r="B115" s="4447"/>
      <c r="C115" s="545">
        <v>7110013</v>
      </c>
      <c r="D115" s="63" t="str">
        <f>VLOOKUP(C115,'מאזן בוחן EUROPE'!C:D,2,0)</f>
        <v>Social security from provision only</v>
      </c>
      <c r="E115" s="1348"/>
      <c r="F115" s="1348">
        <f>E115/'מאזן בוחן EUROPE'!$N$2</f>
        <v>0</v>
      </c>
      <c r="G115" s="3830" t="s">
        <v>1386</v>
      </c>
      <c r="H115" s="976" t="e">
        <f>E115/F115</f>
        <v>#DIV/0!</v>
      </c>
      <c r="J115" s="383"/>
      <c r="K115" s="383"/>
      <c r="L115" s="383"/>
      <c r="M115" s="527"/>
      <c r="N115" s="383"/>
      <c r="O115" s="383"/>
      <c r="V115" s="140"/>
    </row>
    <row r="116" spans="1:22" ht="13.5" thickBot="1">
      <c r="A116" s="380"/>
      <c r="B116" s="4448"/>
      <c r="C116" s="546">
        <v>2400001</v>
      </c>
      <c r="D116" s="386" t="str">
        <f>VLOOKUP(C116,'מאזן בוחן EUROPE'!C:D,2,0)</f>
        <v>Accrued expenses Employees</v>
      </c>
      <c r="E116" s="1349">
        <f>-E115</f>
        <v>0</v>
      </c>
      <c r="F116" s="1349">
        <f>-F115</f>
        <v>0</v>
      </c>
      <c r="G116" s="3142" t="s">
        <v>3137</v>
      </c>
      <c r="H116" s="976" t="e">
        <f>E116/F116</f>
        <v>#DIV/0!</v>
      </c>
      <c r="J116" s="383"/>
      <c r="K116" s="383"/>
      <c r="L116" s="383"/>
      <c r="M116" s="527"/>
      <c r="N116" s="383"/>
      <c r="O116" s="383"/>
      <c r="V116" s="140"/>
    </row>
    <row r="117" spans="1:22" ht="12.95" customHeight="1" thickBot="1">
      <c r="A117" s="380"/>
      <c r="B117" s="1820">
        <f>B114+1</f>
        <v>24</v>
      </c>
      <c r="C117" s="543" t="s">
        <v>3467</v>
      </c>
      <c r="D117" s="1559"/>
      <c r="E117" s="2584" t="s">
        <v>400</v>
      </c>
      <c r="F117" s="3146" t="s">
        <v>294</v>
      </c>
      <c r="G117" s="3146" t="s">
        <v>1411</v>
      </c>
      <c r="H117" s="2178" t="s">
        <v>3466</v>
      </c>
      <c r="I117" s="383"/>
      <c r="J117" s="383"/>
      <c r="K117" s="383"/>
      <c r="L117" s="383"/>
      <c r="M117" s="527"/>
      <c r="N117" s="383"/>
      <c r="O117" s="383"/>
      <c r="V117" s="140"/>
    </row>
    <row r="118" spans="1:22">
      <c r="A118" s="380"/>
      <c r="B118" s="4447"/>
      <c r="C118" s="585">
        <v>53514</v>
      </c>
      <c r="D118" s="63" t="str">
        <f>VLOOKUP(C118,'מאזן בוחן EUROPE'!C:D,2,0)</f>
        <v>Deferred Revenues PS</v>
      </c>
      <c r="E118" s="1348"/>
      <c r="F118" s="1348"/>
      <c r="G118" s="3137"/>
      <c r="H118" s="2179"/>
      <c r="I118" s="976" t="e">
        <f>E118/F118</f>
        <v>#DIV/0!</v>
      </c>
      <c r="J118" s="383"/>
      <c r="K118" s="383"/>
      <c r="L118" s="383"/>
      <c r="M118" s="527"/>
      <c r="N118" s="383"/>
      <c r="O118" s="383"/>
      <c r="V118" s="140"/>
    </row>
    <row r="119" spans="1:22" ht="13.5" thickBot="1">
      <c r="A119" s="380"/>
      <c r="B119" s="4448"/>
      <c r="C119" s="1603">
        <v>80152</v>
      </c>
      <c r="D119" s="386" t="str">
        <f>VLOOKUP(C119,'מאזן בוחן EUROPE'!C:D,2,0)</f>
        <v>PS Revenues Foreign Currency</v>
      </c>
      <c r="E119" s="1349"/>
      <c r="F119" s="1349"/>
      <c r="G119" s="3145"/>
      <c r="H119" s="2180"/>
      <c r="I119" s="976" t="e">
        <f>E119/F119</f>
        <v>#DIV/0!</v>
      </c>
      <c r="J119" s="383"/>
      <c r="K119" s="383"/>
      <c r="L119" s="383"/>
      <c r="M119" s="527"/>
      <c r="N119" s="383"/>
      <c r="O119" s="383"/>
      <c r="V119" s="140"/>
    </row>
    <row r="120" spans="1:22" ht="13.5" thickBot="1">
      <c r="A120" s="380"/>
      <c r="B120" s="1820">
        <f>B117+1</f>
        <v>25</v>
      </c>
      <c r="C120" s="543" t="s">
        <v>4843</v>
      </c>
      <c r="D120" s="1559"/>
      <c r="E120" s="2584" t="s">
        <v>400</v>
      </c>
      <c r="F120" s="3146" t="s">
        <v>294</v>
      </c>
      <c r="G120" s="4444" t="s">
        <v>2427</v>
      </c>
      <c r="H120" s="383"/>
      <c r="I120" s="383"/>
      <c r="J120" s="383"/>
      <c r="K120" s="383"/>
      <c r="L120" s="383"/>
      <c r="M120" s="527"/>
      <c r="N120" s="383"/>
      <c r="O120" s="383"/>
      <c r="V120" s="140"/>
    </row>
    <row r="121" spans="1:22">
      <c r="A121" s="380"/>
      <c r="B121" s="4447"/>
      <c r="C121" s="585">
        <v>1100008</v>
      </c>
      <c r="D121" s="63" t="str">
        <f>VLOOKUP(C121,'מאזן בוחן EUROPE'!C:D,2,0)</f>
        <v>income receivable</v>
      </c>
      <c r="E121" s="1348">
        <f>F121*'מאזן בוחן EUROPE'!$N$2</f>
        <v>0</v>
      </c>
      <c r="F121" s="1348"/>
      <c r="G121" s="4445"/>
      <c r="H121" s="976" t="e">
        <f>E121/F121</f>
        <v>#DIV/0!</v>
      </c>
      <c r="I121" s="383"/>
      <c r="J121" s="383"/>
      <c r="K121" s="383"/>
      <c r="L121" s="383"/>
      <c r="M121" s="527"/>
      <c r="N121" s="383"/>
      <c r="O121" s="383"/>
      <c r="V121" s="140"/>
    </row>
    <row r="122" spans="1:22" ht="13.5" thickBot="1">
      <c r="A122" s="380"/>
      <c r="B122" s="4448"/>
      <c r="C122" s="1603" t="s">
        <v>459</v>
      </c>
      <c r="D122" s="386" t="str">
        <f>VLOOKUP(C122,'מאזן בוחן EUROPE'!C:D,2,0)</f>
        <v>Maintenance Revenues Euro and Dollar-for Bal2014</v>
      </c>
      <c r="E122" s="1349">
        <f>-E121</f>
        <v>0</v>
      </c>
      <c r="F122" s="1349">
        <f>-F121</f>
        <v>0</v>
      </c>
      <c r="G122" s="4446"/>
      <c r="H122" s="976" t="e">
        <f>E122/F122</f>
        <v>#DIV/0!</v>
      </c>
      <c r="I122" s="383"/>
      <c r="J122" s="383"/>
      <c r="K122" s="383"/>
      <c r="L122" s="383"/>
      <c r="M122" s="527"/>
      <c r="N122" s="383"/>
      <c r="O122" s="383"/>
      <c r="V122" s="140"/>
    </row>
    <row r="123" spans="1:22" ht="13.5" thickBot="1">
      <c r="A123" s="380"/>
      <c r="B123" s="1820">
        <f>B120+1</f>
        <v>26</v>
      </c>
      <c r="C123" s="543" t="s">
        <v>4226</v>
      </c>
      <c r="D123" s="1559"/>
      <c r="E123" s="2584" t="s">
        <v>400</v>
      </c>
      <c r="F123" s="3146" t="s">
        <v>294</v>
      </c>
      <c r="G123" s="1689" t="s">
        <v>3478</v>
      </c>
      <c r="H123" s="976"/>
      <c r="I123" s="976"/>
      <c r="J123" s="383"/>
      <c r="K123" s="383"/>
      <c r="L123" s="383"/>
      <c r="M123" s="527"/>
      <c r="N123" s="383"/>
      <c r="O123" s="383"/>
      <c r="V123" s="140"/>
    </row>
    <row r="124" spans="1:22">
      <c r="A124" s="380"/>
      <c r="B124" s="4447"/>
      <c r="C124" s="545">
        <v>7110003</v>
      </c>
      <c r="D124" s="63" t="str">
        <f>VLOOKUP(C124,'מאזן בוחן EUROPE'!C:D,2,0)</f>
        <v>Commission - Sales from provision only</v>
      </c>
      <c r="E124" s="1348"/>
      <c r="F124" s="2592">
        <f>E124/'מאזן בוחן EUROPE'!$N$2</f>
        <v>0</v>
      </c>
      <c r="G124" s="3831" t="s">
        <v>1386</v>
      </c>
      <c r="H124" s="976" t="e">
        <f>E124/F124</f>
        <v>#DIV/0!</v>
      </c>
      <c r="I124" s="976"/>
      <c r="J124" s="383"/>
      <c r="K124" s="383"/>
      <c r="L124" s="383"/>
      <c r="M124" s="527"/>
      <c r="N124" s="383"/>
      <c r="O124" s="383"/>
      <c r="V124" s="140"/>
    </row>
    <row r="125" spans="1:22">
      <c r="A125" s="380"/>
      <c r="B125" s="4451"/>
      <c r="C125" s="545">
        <v>7110003</v>
      </c>
      <c r="D125" s="63" t="s">
        <v>744</v>
      </c>
      <c r="E125" s="1348"/>
      <c r="F125" s="2592">
        <f>E125/'מאזן בוחן EUROPE'!$N$2</f>
        <v>0</v>
      </c>
      <c r="G125" s="3831" t="s">
        <v>1387</v>
      </c>
      <c r="H125" s="976" t="e">
        <f>E125/F125</f>
        <v>#DIV/0!</v>
      </c>
      <c r="I125" s="976"/>
      <c r="J125" s="383"/>
      <c r="K125" s="383"/>
      <c r="L125" s="383"/>
      <c r="M125" s="527"/>
      <c r="N125" s="383"/>
      <c r="O125" s="383"/>
      <c r="V125" s="140"/>
    </row>
    <row r="126" spans="1:22" ht="13.5" thickBot="1">
      <c r="A126" s="380"/>
      <c r="B126" s="4448"/>
      <c r="C126" s="546">
        <v>2400001</v>
      </c>
      <c r="D126" s="386" t="str">
        <f>VLOOKUP(C126,'מאזן בוחן EUROPE'!C:D,2,0)</f>
        <v>Accrued expenses Employees</v>
      </c>
      <c r="E126" s="1349">
        <f>-SUM(E124:E125)</f>
        <v>0</v>
      </c>
      <c r="F126" s="1349">
        <f>-SUM(F124:F125)</f>
        <v>0</v>
      </c>
      <c r="G126" s="3829" t="s">
        <v>3137</v>
      </c>
      <c r="H126" s="976" t="e">
        <f>E126/F126</f>
        <v>#DIV/0!</v>
      </c>
      <c r="I126" s="976"/>
      <c r="J126" s="383"/>
      <c r="K126" s="383"/>
      <c r="L126" s="383"/>
      <c r="M126" s="527"/>
      <c r="N126" s="383"/>
      <c r="O126" s="383"/>
      <c r="V126" s="140"/>
    </row>
    <row r="127" spans="1:22" ht="13.5" thickBot="1">
      <c r="A127" s="380"/>
      <c r="B127" s="1820">
        <f>B123+1</f>
        <v>27</v>
      </c>
      <c r="C127" s="543" t="s">
        <v>4826</v>
      </c>
      <c r="D127" s="1559"/>
      <c r="E127" s="1196" t="s">
        <v>400</v>
      </c>
      <c r="F127" s="3146" t="s">
        <v>294</v>
      </c>
      <c r="G127" s="1689" t="s">
        <v>3478</v>
      </c>
      <c r="I127" s="976"/>
      <c r="J127" s="383"/>
      <c r="K127" s="383"/>
      <c r="L127" s="383"/>
      <c r="M127" s="527"/>
      <c r="N127" s="383"/>
      <c r="O127" s="383"/>
      <c r="V127" s="140"/>
    </row>
    <row r="128" spans="1:22">
      <c r="A128" s="380"/>
      <c r="B128" s="4447"/>
      <c r="C128" s="545">
        <v>7110013</v>
      </c>
      <c r="D128" s="63" t="str">
        <f>VLOOKUP(C128,'מאזן בוחן EUROPE'!C:D,2,0)</f>
        <v>Social security from provision only</v>
      </c>
      <c r="E128" s="1348"/>
      <c r="F128" s="3185">
        <f>E128/'מאזן בוחן EUROPE'!$N$2</f>
        <v>0</v>
      </c>
      <c r="G128" s="3830" t="s">
        <v>1386</v>
      </c>
      <c r="H128" s="976" t="e">
        <f>E128/F128</f>
        <v>#DIV/0!</v>
      </c>
      <c r="I128" s="976"/>
      <c r="J128" s="383"/>
      <c r="K128" s="383"/>
      <c r="L128" s="383"/>
      <c r="M128" s="527"/>
      <c r="N128" s="383"/>
      <c r="O128" s="383"/>
      <c r="V128" s="140"/>
    </row>
    <row r="129" spans="1:22" ht="13.5" thickBot="1">
      <c r="A129" s="380"/>
      <c r="B129" s="4448"/>
      <c r="C129" s="546">
        <v>2400001</v>
      </c>
      <c r="D129" s="386" t="str">
        <f>VLOOKUP(C129,'מאזן בוחן EUROPE'!C:D,2,0)</f>
        <v>Accrued expenses Employees</v>
      </c>
      <c r="E129" s="1349">
        <f>-E128</f>
        <v>0</v>
      </c>
      <c r="F129" s="1349">
        <f>-F128</f>
        <v>0</v>
      </c>
      <c r="G129" s="3828" t="s">
        <v>3137</v>
      </c>
      <c r="H129" s="976" t="e">
        <f>E129/F129</f>
        <v>#DIV/0!</v>
      </c>
      <c r="I129" s="976"/>
      <c r="J129" s="383"/>
      <c r="K129" s="383"/>
      <c r="L129" s="383"/>
      <c r="M129" s="527"/>
      <c r="N129" s="383"/>
      <c r="O129" s="383"/>
      <c r="V129" s="140"/>
    </row>
    <row r="130" spans="1:22" ht="13.5" thickBot="1">
      <c r="A130" s="380"/>
      <c r="B130" s="1820">
        <f>B127+1</f>
        <v>28</v>
      </c>
      <c r="C130" s="543" t="s">
        <v>3054</v>
      </c>
      <c r="D130" s="1559"/>
      <c r="E130" s="2584" t="s">
        <v>400</v>
      </c>
      <c r="F130" s="3746" t="s">
        <v>294</v>
      </c>
      <c r="G130" s="4473" t="s">
        <v>3137</v>
      </c>
      <c r="H130" s="2178" t="s">
        <v>4649</v>
      </c>
      <c r="I130" s="383"/>
      <c r="J130" s="383"/>
      <c r="K130" s="383"/>
      <c r="L130" s="383"/>
      <c r="M130" s="527"/>
      <c r="N130" s="383"/>
      <c r="O130" s="383"/>
      <c r="V130" s="140"/>
    </row>
    <row r="131" spans="1:22">
      <c r="A131" s="380"/>
      <c r="B131" s="4447"/>
      <c r="C131" s="585" t="s">
        <v>718</v>
      </c>
      <c r="D131" s="63" t="str">
        <f>VLOOKUP(C131,'מאזן בוחן EUROPE'!C:D,2,0)</f>
        <v>Sort income</v>
      </c>
      <c r="E131" s="3747"/>
      <c r="F131" s="3748"/>
      <c r="G131" s="4474"/>
      <c r="H131" s="566"/>
      <c r="I131" s="383"/>
      <c r="J131" s="383"/>
      <c r="K131" s="383"/>
      <c r="L131" s="383"/>
      <c r="M131" s="527"/>
      <c r="N131" s="383"/>
      <c r="O131" s="383"/>
      <c r="V131" s="140"/>
    </row>
    <row r="132" spans="1:22" ht="13.5" thickBot="1">
      <c r="A132" s="380"/>
      <c r="B132" s="4448"/>
      <c r="C132" s="1603">
        <v>53599</v>
      </c>
      <c r="D132" s="386" t="str">
        <f>VLOOKUP(C132,'מאזן בוחן EUROPE'!C:D,2,0)</f>
        <v>Sorting from Income</v>
      </c>
      <c r="E132" s="1349">
        <f>-E131</f>
        <v>0</v>
      </c>
      <c r="F132" s="1349">
        <f>-F131</f>
        <v>0</v>
      </c>
      <c r="G132" s="4475"/>
      <c r="H132" s="567"/>
      <c r="I132" s="383"/>
      <c r="J132" s="383"/>
      <c r="K132" s="383"/>
      <c r="L132" s="383"/>
      <c r="M132" s="527"/>
      <c r="N132" s="383"/>
      <c r="O132" s="383"/>
      <c r="V132" s="140"/>
    </row>
    <row r="133" spans="1:22" ht="13.5" thickBot="1">
      <c r="A133" s="380"/>
      <c r="B133" s="1820">
        <f>B130+1</f>
        <v>29</v>
      </c>
      <c r="C133" s="543" t="s">
        <v>3055</v>
      </c>
      <c r="D133" s="1559"/>
      <c r="E133" s="2584" t="s">
        <v>400</v>
      </c>
      <c r="F133" s="3146" t="s">
        <v>294</v>
      </c>
      <c r="G133" s="3146"/>
      <c r="H133" s="2178" t="s">
        <v>2427</v>
      </c>
      <c r="I133" s="383"/>
      <c r="J133" s="383"/>
      <c r="K133" s="383"/>
      <c r="L133" s="383"/>
      <c r="M133" s="527"/>
      <c r="N133" s="383"/>
      <c r="O133" s="383"/>
      <c r="V133" s="140"/>
    </row>
    <row r="134" spans="1:22">
      <c r="A134" s="380"/>
      <c r="B134" s="4447"/>
      <c r="C134" s="585" t="s">
        <v>2233</v>
      </c>
      <c r="D134" s="63" t="str">
        <f>VLOOKUP(C134,'מאזן בוחן EUROPE'!C:D,2,0)</f>
        <v>מיון הכנסות PS-מאזן בלבד</v>
      </c>
      <c r="E134" s="1348"/>
      <c r="F134" s="1463"/>
      <c r="G134" s="1463"/>
      <c r="H134" s="2179"/>
      <c r="I134" s="976" t="e">
        <f>E134/F134</f>
        <v>#DIV/0!</v>
      </c>
      <c r="J134" s="383"/>
      <c r="K134" s="383"/>
      <c r="L134" s="383"/>
      <c r="M134" s="527"/>
      <c r="N134" s="383"/>
      <c r="O134" s="383"/>
      <c r="V134" s="140"/>
    </row>
    <row r="135" spans="1:22" ht="13.5" thickBot="1">
      <c r="A135" s="380"/>
      <c r="B135" s="4448"/>
      <c r="C135" s="1603">
        <v>5210099</v>
      </c>
      <c r="D135" s="386" t="str">
        <f>VLOOKUP(C135,'מאזן בוחן EUROPE'!C:D,2,0)</f>
        <v>החזר הוצ.טיסה -מיון מחשבוניות ללקוחות PS</v>
      </c>
      <c r="E135" s="1349"/>
      <c r="F135" s="3138"/>
      <c r="G135" s="3138"/>
      <c r="H135" s="2180"/>
      <c r="I135" s="976" t="e">
        <f>E135/F135</f>
        <v>#DIV/0!</v>
      </c>
      <c r="J135" s="383"/>
      <c r="K135" s="383"/>
      <c r="L135" s="383"/>
      <c r="M135" s="527"/>
      <c r="N135" s="383"/>
      <c r="O135" s="383"/>
      <c r="V135" s="140"/>
    </row>
    <row r="136" spans="1:22" ht="13.5" thickBot="1">
      <c r="A136" s="380"/>
      <c r="B136" s="1820">
        <f>B133+1</f>
        <v>30</v>
      </c>
      <c r="C136" s="543" t="s">
        <v>4918</v>
      </c>
      <c r="D136" s="1559"/>
      <c r="E136" s="2584" t="s">
        <v>400</v>
      </c>
      <c r="F136" s="3146" t="s">
        <v>294</v>
      </c>
      <c r="G136" s="4444" t="s">
        <v>2427</v>
      </c>
      <c r="H136" s="320"/>
      <c r="I136" s="976"/>
      <c r="J136" s="383"/>
      <c r="K136" s="383"/>
      <c r="L136" s="383"/>
      <c r="M136" s="527"/>
      <c r="N136" s="383"/>
      <c r="O136" s="383"/>
      <c r="V136" s="140"/>
    </row>
    <row r="137" spans="1:22">
      <c r="A137" s="380"/>
      <c r="B137" s="4447"/>
      <c r="C137" s="585">
        <v>7110013</v>
      </c>
      <c r="D137" s="63" t="str">
        <f>VLOOKUP(C137,'מאזן בוחן EUROPE'!C:D,2,0)</f>
        <v>Social security from provision only</v>
      </c>
      <c r="E137" s="1348">
        <f>F137*'מאזן בוחן EUROPE'!N2</f>
        <v>0</v>
      </c>
      <c r="F137" s="2587"/>
      <c r="G137" s="4445"/>
      <c r="H137" s="320"/>
      <c r="I137" s="976"/>
      <c r="J137" s="383"/>
      <c r="K137" s="383"/>
      <c r="L137" s="383"/>
      <c r="M137" s="527"/>
      <c r="N137" s="383"/>
      <c r="O137" s="383"/>
      <c r="V137" s="140"/>
    </row>
    <row r="138" spans="1:22" ht="13.5" thickBot="1">
      <c r="A138" s="380"/>
      <c r="B138" s="4448"/>
      <c r="C138" s="1603">
        <v>2400001</v>
      </c>
      <c r="D138" s="386" t="str">
        <f>VLOOKUP(C138,'מאזן בוחן EUROPE'!C:D,2,0)</f>
        <v>Accrued expenses Employees</v>
      </c>
      <c r="E138" s="1349">
        <f>-E137</f>
        <v>0</v>
      </c>
      <c r="F138" s="1349">
        <f>-F137</f>
        <v>0</v>
      </c>
      <c r="G138" s="4446"/>
      <c r="H138" s="320"/>
      <c r="I138" s="976"/>
      <c r="J138" s="383"/>
      <c r="K138" s="383"/>
      <c r="L138" s="383"/>
      <c r="M138" s="527"/>
      <c r="N138" s="383"/>
      <c r="O138" s="383"/>
      <c r="V138" s="140"/>
    </row>
    <row r="139" spans="1:22" ht="13.5" thickBot="1">
      <c r="A139" s="380"/>
      <c r="B139" s="1820">
        <f>B136+1</f>
        <v>31</v>
      </c>
      <c r="C139" s="3394" t="s">
        <v>4689</v>
      </c>
      <c r="D139" s="1559"/>
      <c r="E139" s="2584" t="s">
        <v>400</v>
      </c>
      <c r="F139" s="3146" t="s">
        <v>294</v>
      </c>
      <c r="G139" s="4452" t="s">
        <v>2427</v>
      </c>
      <c r="H139" s="320"/>
      <c r="I139" s="976"/>
      <c r="J139" s="383"/>
      <c r="K139" s="383"/>
      <c r="L139" s="383"/>
      <c r="M139" s="527"/>
      <c r="N139" s="383"/>
      <c r="O139" s="383"/>
      <c r="V139" s="140"/>
    </row>
    <row r="140" spans="1:22">
      <c r="A140" s="380"/>
      <c r="B140" s="4447"/>
      <c r="C140" s="585">
        <v>1100008</v>
      </c>
      <c r="D140" s="63" t="str">
        <f>VLOOKUP(C140,'מאזן בוחן EUROPE'!C:D,2,0)</f>
        <v>income receivable</v>
      </c>
      <c r="E140" s="1348"/>
      <c r="F140" s="2587"/>
      <c r="G140" s="4453"/>
      <c r="H140" s="320"/>
      <c r="I140" s="976"/>
      <c r="J140" s="383"/>
      <c r="K140" s="383"/>
      <c r="L140" s="383"/>
      <c r="M140" s="527"/>
      <c r="N140" s="383"/>
      <c r="O140" s="383"/>
      <c r="V140" s="140"/>
    </row>
    <row r="141" spans="1:22" ht="13.5" thickBot="1">
      <c r="A141" s="380"/>
      <c r="B141" s="4448"/>
      <c r="C141" s="1603" t="s">
        <v>2233</v>
      </c>
      <c r="D141" s="386" t="str">
        <f>VLOOKUP(C141,'מאזן בוחן EUROPE'!C:D,2,0)</f>
        <v>מיון הכנסות PS-מאזן בלבד</v>
      </c>
      <c r="E141" s="1349">
        <f>-E140</f>
        <v>0</v>
      </c>
      <c r="F141" s="1349">
        <f>-F140</f>
        <v>0</v>
      </c>
      <c r="G141" s="4454"/>
      <c r="H141" s="320"/>
      <c r="I141" s="976"/>
      <c r="J141" s="383"/>
      <c r="K141" s="383"/>
      <c r="L141" s="383"/>
      <c r="M141" s="527"/>
      <c r="N141" s="383"/>
      <c r="O141" s="383"/>
      <c r="V141" s="140"/>
    </row>
    <row r="142" spans="1:22" ht="13.5" thickBot="1">
      <c r="A142" s="380"/>
      <c r="B142" s="1820">
        <f>B139+1</f>
        <v>32</v>
      </c>
      <c r="C142" s="3394" t="s">
        <v>4690</v>
      </c>
      <c r="D142" s="1559"/>
      <c r="E142" s="2584" t="s">
        <v>400</v>
      </c>
      <c r="F142" s="3146" t="s">
        <v>294</v>
      </c>
      <c r="G142" s="4452" t="s">
        <v>3137</v>
      </c>
      <c r="H142" s="320" t="s">
        <v>4945</v>
      </c>
      <c r="I142" s="976"/>
      <c r="J142" s="383"/>
      <c r="K142" s="383"/>
      <c r="L142" s="383"/>
      <c r="M142" s="527"/>
      <c r="N142" s="383"/>
      <c r="O142" s="383"/>
      <c r="V142" s="140"/>
    </row>
    <row r="143" spans="1:22">
      <c r="A143" s="380"/>
      <c r="B143" s="4447"/>
      <c r="C143" s="585">
        <v>2090001</v>
      </c>
      <c r="D143" s="63" t="str">
        <f>VLOOKUP(C143,'מאזן בוחן EUROPE'!C:D,2,0)</f>
        <v xml:space="preserve">הכנסות מראש (קיטון מהלקוחות) לקוחות בזכות </v>
      </c>
      <c r="E143" s="1348">
        <f>-E144</f>
        <v>0</v>
      </c>
      <c r="F143" s="1348">
        <f>-F144</f>
        <v>0</v>
      </c>
      <c r="G143" s="4453"/>
      <c r="H143" s="320"/>
      <c r="I143" s="976"/>
      <c r="J143" s="383"/>
      <c r="K143" s="383"/>
      <c r="L143" s="383"/>
      <c r="M143" s="527"/>
      <c r="N143" s="383"/>
      <c r="O143" s="383"/>
      <c r="V143" s="140"/>
    </row>
    <row r="144" spans="1:22" ht="13.5" thickBot="1">
      <c r="A144" s="380"/>
      <c r="B144" s="4448"/>
      <c r="C144" s="1603">
        <v>53581</v>
      </c>
      <c r="D144" s="386" t="str">
        <f>VLOOKUP(C144,'מאזן בוחן EUROPE'!C:D,2,0)</f>
        <v>הכנסות מראש מטח Subsription פטורות חדש</v>
      </c>
      <c r="E144" s="1349"/>
      <c r="F144" s="1349"/>
      <c r="G144" s="4454"/>
      <c r="H144" s="320"/>
      <c r="I144" s="976"/>
      <c r="J144" s="383"/>
      <c r="K144" s="383"/>
      <c r="L144" s="383"/>
      <c r="M144" s="527"/>
      <c r="N144" s="383"/>
      <c r="O144" s="383"/>
      <c r="V144" s="140"/>
    </row>
    <row r="145" spans="1:22" ht="13.5" thickBot="1">
      <c r="A145" s="380"/>
      <c r="B145" s="1820">
        <f>B142+1</f>
        <v>33</v>
      </c>
      <c r="C145" s="3394" t="s">
        <v>3201</v>
      </c>
      <c r="D145" s="1559"/>
      <c r="E145" s="2584" t="s">
        <v>400</v>
      </c>
      <c r="F145" s="3146" t="s">
        <v>294</v>
      </c>
      <c r="G145" s="4452" t="s">
        <v>2427</v>
      </c>
      <c r="H145" s="320"/>
      <c r="I145" s="976"/>
      <c r="J145" s="383"/>
      <c r="K145" s="383"/>
      <c r="L145" s="383"/>
      <c r="M145" s="527"/>
      <c r="N145" s="383"/>
      <c r="O145" s="383"/>
      <c r="V145" s="140"/>
    </row>
    <row r="146" spans="1:22">
      <c r="A146" s="380"/>
      <c r="B146" s="4447"/>
      <c r="C146" s="585">
        <v>5200002</v>
      </c>
      <c r="D146" s="63" t="str">
        <f>VLOOKUP(C146,'מאזן בוחן EUROPE'!C:D,2,0)</f>
        <v>בונוס Delivery</v>
      </c>
      <c r="E146" s="1348">
        <f>F146*'מאזן בוחן EUROPE'!$N$2</f>
        <v>0</v>
      </c>
      <c r="F146" s="2587"/>
      <c r="G146" s="4453"/>
      <c r="H146" s="320"/>
      <c r="I146" s="976"/>
      <c r="J146" s="383"/>
      <c r="K146" s="383"/>
      <c r="L146" s="383"/>
      <c r="M146" s="527"/>
      <c r="N146" s="383"/>
      <c r="O146" s="383"/>
      <c r="V146" s="140"/>
    </row>
    <row r="147" spans="1:22" ht="13.5" thickBot="1">
      <c r="A147" s="380"/>
      <c r="B147" s="4448"/>
      <c r="C147" s="1603">
        <v>2400001</v>
      </c>
      <c r="D147" s="386" t="str">
        <f>VLOOKUP(C147,'מאזן בוחן EUROPE'!C:D,2,0)</f>
        <v>Accrued expenses Employees</v>
      </c>
      <c r="E147" s="1349">
        <f>-E146</f>
        <v>0</v>
      </c>
      <c r="F147" s="1349">
        <f>-F146</f>
        <v>0</v>
      </c>
      <c r="G147" s="4454"/>
      <c r="H147" s="320"/>
      <c r="I147" s="976"/>
      <c r="J147" s="383"/>
      <c r="K147" s="383"/>
      <c r="L147" s="383"/>
      <c r="M147" s="527"/>
      <c r="N147" s="383"/>
      <c r="O147" s="383"/>
      <c r="V147" s="140"/>
    </row>
    <row r="148" spans="1:22" ht="13.5" thickBot="1">
      <c r="A148" s="380"/>
      <c r="B148" s="1820">
        <f>B145+1</f>
        <v>34</v>
      </c>
      <c r="C148" s="3394" t="s">
        <v>4737</v>
      </c>
      <c r="D148" s="1559"/>
      <c r="E148" s="2584" t="s">
        <v>400</v>
      </c>
      <c r="F148" s="3146" t="s">
        <v>294</v>
      </c>
      <c r="G148" s="4452" t="s">
        <v>2427</v>
      </c>
      <c r="H148" s="320"/>
      <c r="I148" s="976"/>
      <c r="J148" s="383"/>
      <c r="K148" s="383"/>
      <c r="L148" s="383"/>
      <c r="M148" s="527"/>
      <c r="N148" s="383"/>
      <c r="O148" s="383"/>
      <c r="V148" s="140"/>
    </row>
    <row r="149" spans="1:22">
      <c r="A149" s="380"/>
      <c r="B149" s="4447"/>
      <c r="C149" s="585">
        <v>5210100</v>
      </c>
      <c r="D149" s="63" t="e">
        <f>VLOOKUP(C149,'מאזן בוחן EUROPE'!C:D,2,0)</f>
        <v>#N/A</v>
      </c>
      <c r="E149" s="1348">
        <f>F149*'מאזן בוחן EUROPE'!$N$2</f>
        <v>0</v>
      </c>
      <c r="F149" s="2587"/>
      <c r="G149" s="4453"/>
      <c r="H149" s="320"/>
      <c r="I149" s="976"/>
      <c r="J149" s="383"/>
      <c r="K149" s="383"/>
      <c r="L149" s="383"/>
      <c r="M149" s="527"/>
      <c r="N149" s="383"/>
      <c r="O149" s="383"/>
      <c r="V149" s="140"/>
    </row>
    <row r="150" spans="1:22" ht="13.5" thickBot="1">
      <c r="A150" s="380"/>
      <c r="B150" s="4448"/>
      <c r="C150" s="1603">
        <v>2400001</v>
      </c>
      <c r="D150" s="386" t="str">
        <f>VLOOKUP(C150,'מאזן בוחן EUROPE'!C:D,2,0)</f>
        <v>Accrued expenses Employees</v>
      </c>
      <c r="E150" s="1349">
        <f>-E149</f>
        <v>0</v>
      </c>
      <c r="F150" s="1349">
        <f>-F149</f>
        <v>0</v>
      </c>
      <c r="G150" s="4454"/>
      <c r="H150" s="320"/>
      <c r="I150" s="976"/>
      <c r="J150" s="383"/>
      <c r="K150" s="383"/>
      <c r="L150" s="383"/>
      <c r="M150" s="527"/>
      <c r="N150" s="383"/>
      <c r="O150" s="383"/>
      <c r="V150" s="140"/>
    </row>
    <row r="151" spans="1:22" ht="13.5" thickBot="1">
      <c r="A151" s="380"/>
      <c r="B151" s="2223">
        <f>B148+1</f>
        <v>35</v>
      </c>
      <c r="C151" s="3394" t="s">
        <v>5027</v>
      </c>
      <c r="D151" s="413"/>
      <c r="E151" s="2925" t="s">
        <v>400</v>
      </c>
      <c r="F151" s="3146" t="s">
        <v>294</v>
      </c>
      <c r="G151" s="4455" t="s">
        <v>2427</v>
      </c>
      <c r="H151" s="320"/>
      <c r="I151" s="976"/>
      <c r="J151" s="383"/>
      <c r="K151" s="383"/>
      <c r="L151" s="383"/>
      <c r="M151" s="527"/>
      <c r="N151" s="383"/>
      <c r="O151" s="383"/>
      <c r="V151" s="140"/>
    </row>
    <row r="152" spans="1:22">
      <c r="A152" s="380"/>
      <c r="B152" s="4449"/>
      <c r="C152" s="2477">
        <v>9100001</v>
      </c>
      <c r="D152" s="63" t="str">
        <f>VLOOKUP(C152,'מאזן בוחן EUROPE'!C:D,2,0)</f>
        <v>Tax on Income</v>
      </c>
      <c r="E152" s="1348"/>
      <c r="F152" s="1348"/>
      <c r="G152" s="4456"/>
      <c r="H152" s="320"/>
      <c r="I152" s="976"/>
      <c r="J152" s="383"/>
      <c r="K152" s="383"/>
      <c r="L152" s="383"/>
      <c r="M152" s="527"/>
      <c r="N152" s="383"/>
      <c r="O152" s="383"/>
      <c r="V152" s="140"/>
    </row>
    <row r="153" spans="1:22" ht="13.5" thickBot="1">
      <c r="A153" s="380"/>
      <c r="B153" s="4450"/>
      <c r="C153" s="4212">
        <v>9100004</v>
      </c>
      <c r="D153" s="4213" t="str">
        <f>VLOOKUP(C153,'[133]מאזן בוחן EUROPE'!C:D,2,0)</f>
        <v>הוצ' (הכנסות) מס שנים קודמות</v>
      </c>
      <c r="E153" s="1349"/>
      <c r="F153" s="1604"/>
      <c r="G153" s="4457"/>
      <c r="H153" s="320"/>
      <c r="I153" s="976"/>
      <c r="J153" s="383"/>
      <c r="K153" s="383"/>
      <c r="L153" s="383"/>
      <c r="M153" s="527"/>
      <c r="N153" s="383"/>
      <c r="O153" s="383"/>
      <c r="V153" s="140"/>
    </row>
    <row r="154" spans="1:22" ht="13.5" thickBot="1">
      <c r="A154" s="380"/>
      <c r="B154" s="1820">
        <f>B151+1</f>
        <v>36</v>
      </c>
      <c r="C154" s="3394" t="s">
        <v>5036</v>
      </c>
      <c r="D154" s="1559"/>
      <c r="E154" s="2584" t="s">
        <v>400</v>
      </c>
      <c r="F154" s="3146" t="s">
        <v>294</v>
      </c>
      <c r="G154" s="4452" t="s">
        <v>2427</v>
      </c>
      <c r="H154" s="320"/>
      <c r="I154" s="976"/>
      <c r="J154" s="383"/>
      <c r="K154" s="383"/>
      <c r="L154" s="383"/>
      <c r="M154" s="527"/>
      <c r="N154" s="383"/>
      <c r="O154" s="383"/>
      <c r="V154" s="140"/>
    </row>
    <row r="155" spans="1:22">
      <c r="A155" s="380"/>
      <c r="B155" s="4447"/>
      <c r="C155" s="585">
        <v>2090001</v>
      </c>
      <c r="D155" s="63" t="str">
        <f>VLOOKUP(C155,'מאזן בוחן EUROPE'!C:D,2,0)</f>
        <v xml:space="preserve">הכנסות מראש (קיטון מהלקוחות) לקוחות בזכות </v>
      </c>
      <c r="E155" s="1348"/>
      <c r="F155" s="1348"/>
      <c r="G155" s="4453"/>
      <c r="H155" s="320"/>
      <c r="I155" s="976"/>
      <c r="J155" s="383"/>
      <c r="K155" s="383"/>
      <c r="L155" s="383"/>
      <c r="M155" s="527"/>
      <c r="N155" s="383"/>
      <c r="O155" s="383"/>
      <c r="V155" s="140"/>
    </row>
    <row r="156" spans="1:22">
      <c r="A156" s="380"/>
      <c r="B156" s="4451"/>
      <c r="C156" s="2477">
        <v>53599</v>
      </c>
      <c r="D156" s="63" t="str">
        <f>VLOOKUP(C156,'מאזן בוחן EUROPE'!C:D,2,0)</f>
        <v>Sorting from Income</v>
      </c>
      <c r="E156" s="1348"/>
      <c r="F156" s="1348"/>
      <c r="G156" s="4453"/>
      <c r="H156" s="320"/>
      <c r="I156" s="976"/>
      <c r="J156" s="383"/>
      <c r="K156" s="383"/>
      <c r="L156" s="383"/>
      <c r="M156" s="527"/>
      <c r="N156" s="383"/>
      <c r="O156" s="383"/>
      <c r="V156" s="140"/>
    </row>
    <row r="157" spans="1:22" ht="13.5" thickBot="1">
      <c r="A157" s="380"/>
      <c r="B157" s="4448"/>
      <c r="C157" s="4212">
        <v>80070</v>
      </c>
      <c r="D157" s="4298" t="str">
        <f>VLOOKUP(C157,'מאזן בוחן EUROPE'!C:D,2,0)</f>
        <v>הכנסות מוצר SUBSCRIPTION פטורות</v>
      </c>
      <c r="E157" s="1349"/>
      <c r="F157" s="1349"/>
      <c r="G157" s="4454"/>
      <c r="H157" s="320"/>
      <c r="I157" s="976"/>
      <c r="J157" s="383"/>
      <c r="K157" s="383"/>
      <c r="L157" s="383"/>
      <c r="M157" s="527"/>
      <c r="N157" s="383"/>
      <c r="O157" s="383"/>
      <c r="V157" s="140"/>
    </row>
    <row r="158" spans="1:22">
      <c r="A158" s="380"/>
      <c r="B158" s="52"/>
      <c r="C158" s="1369"/>
      <c r="D158" s="63"/>
      <c r="E158" s="383"/>
      <c r="F158" s="204"/>
      <c r="G158" s="204"/>
      <c r="H158" s="320"/>
      <c r="I158" s="976"/>
      <c r="J158" s="383"/>
      <c r="K158" s="383"/>
      <c r="L158" s="383"/>
      <c r="M158" s="527"/>
      <c r="N158" s="383"/>
      <c r="O158" s="383"/>
      <c r="V158" s="140"/>
    </row>
    <row r="159" spans="1:22">
      <c r="A159" s="380"/>
      <c r="B159" s="52"/>
      <c r="C159" s="1369"/>
      <c r="D159" s="63"/>
      <c r="E159" s="383"/>
      <c r="F159" s="204"/>
      <c r="G159" s="204"/>
      <c r="H159" s="320"/>
      <c r="I159" s="976"/>
      <c r="J159" s="383"/>
      <c r="K159" s="383"/>
      <c r="L159" s="383"/>
      <c r="M159" s="527"/>
      <c r="N159" s="383"/>
      <c r="O159" s="383"/>
      <c r="V159" s="140"/>
    </row>
    <row r="160" spans="1:22">
      <c r="A160" s="380"/>
      <c r="B160" s="52"/>
      <c r="C160" s="1369"/>
      <c r="D160" s="63"/>
      <c r="E160" s="383"/>
      <c r="F160" s="204"/>
      <c r="G160" s="204"/>
      <c r="H160" s="320"/>
      <c r="I160" s="976"/>
      <c r="J160" s="383"/>
      <c r="K160" s="383"/>
      <c r="L160" s="383"/>
      <c r="M160" s="527"/>
      <c r="N160" s="383"/>
      <c r="O160" s="383"/>
      <c r="V160" s="140"/>
    </row>
    <row r="161" spans="1:17" s="380" customFormat="1">
      <c r="A161" s="4471" t="s">
        <v>4611</v>
      </c>
      <c r="B161" s="4472"/>
      <c r="C161" s="4472"/>
      <c r="D161" s="4472"/>
      <c r="E161" s="4472"/>
      <c r="F161" s="4472"/>
      <c r="G161" s="4472"/>
      <c r="H161" s="4472"/>
      <c r="I161" s="141"/>
      <c r="J161" s="141"/>
      <c r="K161" s="141"/>
      <c r="L161" s="141"/>
      <c r="M161" s="538"/>
      <c r="N161" s="141"/>
      <c r="O161" s="141"/>
    </row>
    <row r="162" spans="1:17" s="380" customFormat="1">
      <c r="A162" s="141"/>
      <c r="B162" s="141"/>
      <c r="C162" s="141"/>
      <c r="D162" s="141"/>
      <c r="E162" s="141"/>
      <c r="F162" s="726"/>
      <c r="G162" s="726"/>
      <c r="H162" s="141"/>
      <c r="I162" s="41"/>
      <c r="J162" s="41"/>
      <c r="K162" s="41"/>
      <c r="L162" s="41"/>
      <c r="M162" s="259"/>
      <c r="N162" s="32"/>
      <c r="O162" s="32"/>
    </row>
    <row r="163" spans="1:17" s="380" customFormat="1">
      <c r="A163" s="153" t="s">
        <v>427</v>
      </c>
      <c r="B163" s="153" t="s">
        <v>428</v>
      </c>
      <c r="C163" s="153" t="s">
        <v>429</v>
      </c>
      <c r="D163" s="153" t="s">
        <v>430</v>
      </c>
      <c r="E163" s="153" t="s">
        <v>1255</v>
      </c>
      <c r="F163" s="716" t="s">
        <v>1303</v>
      </c>
      <c r="G163" s="716" t="s">
        <v>1257</v>
      </c>
      <c r="H163" s="1711" t="s">
        <v>2520</v>
      </c>
      <c r="I163" s="1711" t="s">
        <v>2283</v>
      </c>
      <c r="J163" s="1711"/>
      <c r="K163" s="32"/>
      <c r="L163" s="32"/>
      <c r="M163" s="533"/>
      <c r="N163" s="32"/>
      <c r="O163" s="32"/>
    </row>
    <row r="164" spans="1:17" s="380" customFormat="1">
      <c r="A164" s="153" t="s">
        <v>1258</v>
      </c>
      <c r="B164" s="153" t="s">
        <v>1259</v>
      </c>
      <c r="C164" s="153" t="s">
        <v>340</v>
      </c>
      <c r="D164" s="587">
        <v>1000016</v>
      </c>
      <c r="E164" s="153" t="s">
        <v>2027</v>
      </c>
      <c r="F164" s="716">
        <v>1859590.07</v>
      </c>
      <c r="G164" s="716">
        <v>2513197.11</v>
      </c>
      <c r="H164" s="32">
        <f>VLOOKUP(D164,'מאזן בוחן EUROPE'!$C:$E,3,0)-F164</f>
        <v>0</v>
      </c>
      <c r="I164" s="32">
        <f>VLOOKUP(D164,'מאזן בוחן EUROPE'!$C:$M,11,0)-G164</f>
        <v>0</v>
      </c>
      <c r="J164" s="32"/>
      <c r="L164" s="534"/>
      <c r="M164" s="516"/>
      <c r="N164" s="153"/>
      <c r="O164" s="153"/>
    </row>
    <row r="165" spans="1:17" s="380" customFormat="1">
      <c r="A165" s="153" t="s">
        <v>1258</v>
      </c>
      <c r="B165" s="153" t="s">
        <v>1259</v>
      </c>
      <c r="C165" s="153" t="s">
        <v>340</v>
      </c>
      <c r="D165" s="587">
        <v>1000017</v>
      </c>
      <c r="E165" s="153" t="s">
        <v>2028</v>
      </c>
      <c r="F165" s="716">
        <v>1319466.95</v>
      </c>
      <c r="G165" s="716">
        <v>1783232.01</v>
      </c>
      <c r="H165" s="32">
        <f>VLOOKUP(D165,'מאזן בוחן EUROPE'!$C:$E,3,0)-F165</f>
        <v>0</v>
      </c>
      <c r="I165" s="32">
        <f>VLOOKUP(D165,'מאזן בוחן EUROPE'!$C:$M,11,0)-G165</f>
        <v>0</v>
      </c>
      <c r="J165" s="32"/>
      <c r="L165" s="534"/>
      <c r="M165" s="516"/>
      <c r="N165" s="153"/>
      <c r="O165" s="153"/>
    </row>
    <row r="166" spans="1:17" s="380" customFormat="1">
      <c r="A166" s="153" t="s">
        <v>1258</v>
      </c>
      <c r="B166" s="153" t="s">
        <v>1259</v>
      </c>
      <c r="C166" s="153" t="s">
        <v>340</v>
      </c>
      <c r="D166" s="587">
        <v>1000018</v>
      </c>
      <c r="E166" s="153" t="s">
        <v>2029</v>
      </c>
      <c r="F166" s="716">
        <v>336355.05</v>
      </c>
      <c r="G166" s="716">
        <v>454576.82</v>
      </c>
      <c r="H166" s="32">
        <f>VLOOKUP(D166,'מאזן בוחן EUROPE'!$C:$E,3,0)-F166</f>
        <v>0</v>
      </c>
      <c r="I166" s="32">
        <f>VLOOKUP(D166,'מאזן בוחן EUROPE'!$C:$M,11,0)-G166</f>
        <v>0</v>
      </c>
      <c r="J166" s="32"/>
      <c r="L166" s="534"/>
      <c r="M166" s="516"/>
      <c r="N166" s="153"/>
      <c r="O166" s="153"/>
    </row>
    <row r="167" spans="1:17" s="380" customFormat="1">
      <c r="A167" s="153" t="s">
        <v>1258</v>
      </c>
      <c r="B167" s="153" t="s">
        <v>1259</v>
      </c>
      <c r="C167" s="153" t="s">
        <v>340</v>
      </c>
      <c r="D167" s="587">
        <v>1000019</v>
      </c>
      <c r="E167" s="153" t="s">
        <v>2030</v>
      </c>
      <c r="F167" s="716">
        <v>18.79</v>
      </c>
      <c r="G167" s="716">
        <v>25.4</v>
      </c>
      <c r="H167" s="32">
        <f>VLOOKUP(D167,'מאזן בוחן EUROPE'!$C:$E,3,0)-F167</f>
        <v>0</v>
      </c>
      <c r="I167" s="32">
        <f>VLOOKUP(D167,'מאזן בוחן EUROPE'!$C:$M,11,0)-G167</f>
        <v>0</v>
      </c>
      <c r="J167" s="32"/>
      <c r="L167" s="534"/>
      <c r="M167" s="516"/>
      <c r="N167" s="153"/>
      <c r="O167" s="153"/>
    </row>
    <row r="168" spans="1:17" s="380" customFormat="1">
      <c r="A168" s="153" t="s">
        <v>1258</v>
      </c>
      <c r="B168" s="153" t="s">
        <v>1260</v>
      </c>
      <c r="C168" s="153" t="s">
        <v>568</v>
      </c>
      <c r="D168" s="587">
        <v>1100001</v>
      </c>
      <c r="E168" s="153" t="s">
        <v>25</v>
      </c>
      <c r="F168" s="716">
        <v>14316.31</v>
      </c>
      <c r="G168" s="716">
        <v>19443.12</v>
      </c>
      <c r="H168" s="32">
        <f>VLOOKUP(D168,'מאזן בוחן EUROPE'!$C:$E,3,0)-F168</f>
        <v>0</v>
      </c>
      <c r="I168" s="32">
        <f>VLOOKUP(D168,'מאזן בוחן EUROPE'!$C:$M,11,0)-G168</f>
        <v>0</v>
      </c>
      <c r="J168" s="32"/>
      <c r="L168" s="534"/>
      <c r="M168" s="516"/>
      <c r="N168" s="153"/>
      <c r="O168" s="153"/>
    </row>
    <row r="169" spans="1:17" s="380" customFormat="1">
      <c r="A169" s="153" t="s">
        <v>1258</v>
      </c>
      <c r="B169" s="153" t="s">
        <v>1260</v>
      </c>
      <c r="C169" s="153" t="s">
        <v>568</v>
      </c>
      <c r="D169" s="587">
        <v>1100008</v>
      </c>
      <c r="E169" s="153" t="s">
        <v>2194</v>
      </c>
      <c r="F169" s="716">
        <v>381211.15</v>
      </c>
      <c r="G169" s="716">
        <v>504116.47</v>
      </c>
      <c r="H169" s="32">
        <f>VLOOKUP(D169,'מאזן בוחן EUROPE'!$C:$E,3,0)-F169</f>
        <v>0</v>
      </c>
      <c r="I169" s="32">
        <f>VLOOKUP(D169,'מאזן בוחן EUROPE'!$C:$M,11,0)-G169</f>
        <v>0</v>
      </c>
      <c r="J169" s="32"/>
      <c r="L169" s="534"/>
      <c r="M169" s="516"/>
      <c r="N169" s="153"/>
      <c r="O169" s="153"/>
    </row>
    <row r="170" spans="1:17" s="380" customFormat="1">
      <c r="A170" s="153" t="s">
        <v>1258</v>
      </c>
      <c r="B170" s="153" t="s">
        <v>1260</v>
      </c>
      <c r="C170" s="153" t="s">
        <v>568</v>
      </c>
      <c r="D170" s="587">
        <v>1100099</v>
      </c>
      <c r="E170" s="153" t="s">
        <v>1835</v>
      </c>
      <c r="F170" s="716">
        <v>234982.5</v>
      </c>
      <c r="G170" s="716">
        <v>321829.65999999997</v>
      </c>
      <c r="H170" s="32">
        <f>VLOOKUP(D170,'מאזן בוחן EUROPE'!$C:$E,3,0)-F170</f>
        <v>0</v>
      </c>
      <c r="I170" s="32">
        <f>VLOOKUP(D170,'מאזן בוחן EUROPE'!$C:$M,11,0)-G170</f>
        <v>0</v>
      </c>
      <c r="J170" s="32"/>
      <c r="L170" s="534"/>
      <c r="M170" s="516"/>
      <c r="N170" s="153"/>
      <c r="O170" s="153"/>
    </row>
    <row r="171" spans="1:17" s="380" customFormat="1">
      <c r="A171" s="153" t="s">
        <v>1258</v>
      </c>
      <c r="B171" s="153" t="s">
        <v>1260</v>
      </c>
      <c r="C171" s="153" t="s">
        <v>568</v>
      </c>
      <c r="D171" s="587">
        <v>1100999</v>
      </c>
      <c r="E171" s="153" t="s">
        <v>1918</v>
      </c>
      <c r="F171" s="716">
        <v>4702398</v>
      </c>
      <c r="G171" s="716">
        <v>6142606</v>
      </c>
      <c r="H171" s="32">
        <f>VLOOKUP(D171,'מאזן בוחן EUROPE'!$C:$E,3,0)-F171</f>
        <v>0</v>
      </c>
      <c r="I171" s="32">
        <f>VLOOKUP(D171,'מאזן בוחן EUROPE'!$C:$M,11,0)-G171</f>
        <v>0</v>
      </c>
      <c r="J171" s="32"/>
      <c r="L171" s="534"/>
      <c r="M171" s="516"/>
      <c r="N171" s="153"/>
      <c r="O171" s="153"/>
      <c r="P171" s="535"/>
      <c r="Q171" s="535"/>
    </row>
    <row r="172" spans="1:17" s="380" customFormat="1">
      <c r="A172" s="153" t="s">
        <v>1258</v>
      </c>
      <c r="B172" s="153" t="s">
        <v>1260</v>
      </c>
      <c r="C172" s="153" t="s">
        <v>570</v>
      </c>
      <c r="D172" s="587">
        <v>1130002</v>
      </c>
      <c r="E172" s="153" t="s">
        <v>774</v>
      </c>
      <c r="F172" s="716">
        <v>-3831150.49</v>
      </c>
      <c r="G172" s="716">
        <v>-5177719.82</v>
      </c>
      <c r="H172" s="32">
        <f>VLOOKUP(D172,'מאזן בוחן EUROPE'!$C:$E,3,0)-F172</f>
        <v>0</v>
      </c>
      <c r="I172" s="32">
        <f>VLOOKUP(D172,'מאזן בוחן EUROPE'!$C:$M,11,0)-G172</f>
        <v>0</v>
      </c>
      <c r="J172" s="32"/>
      <c r="L172" s="534"/>
      <c r="M172" s="516"/>
      <c r="N172" s="153"/>
      <c r="O172" s="153"/>
      <c r="P172" s="535"/>
      <c r="Q172" s="535"/>
    </row>
    <row r="173" spans="1:17" s="380" customFormat="1">
      <c r="A173" s="153" t="s">
        <v>1258</v>
      </c>
      <c r="B173" s="153" t="s">
        <v>1260</v>
      </c>
      <c r="C173" s="153" t="s">
        <v>570</v>
      </c>
      <c r="D173" s="587" t="s">
        <v>3036</v>
      </c>
      <c r="E173" s="153" t="s">
        <v>3037</v>
      </c>
      <c r="F173" s="716">
        <v>9.6</v>
      </c>
      <c r="G173" s="716">
        <v>12.97</v>
      </c>
      <c r="H173" s="32">
        <f>VLOOKUP(D173,'מאזן בוחן EUROPE'!$C:$E,3,0)-F173</f>
        <v>0</v>
      </c>
      <c r="I173" s="32">
        <f>VLOOKUP(D173,'מאזן בוחן EUROPE'!$C:$M,11,0)-G173</f>
        <v>0</v>
      </c>
      <c r="J173" s="32"/>
      <c r="L173" s="534"/>
      <c r="M173" s="516"/>
      <c r="N173" s="153"/>
      <c r="O173" s="153"/>
      <c r="P173" s="535"/>
      <c r="Q173" s="535"/>
    </row>
    <row r="174" spans="1:17" s="380" customFormat="1">
      <c r="A174" s="153" t="s">
        <v>1258</v>
      </c>
      <c r="B174" s="153" t="s">
        <v>1260</v>
      </c>
      <c r="C174" s="153" t="s">
        <v>2022</v>
      </c>
      <c r="D174" s="587" t="s">
        <v>2432</v>
      </c>
      <c r="E174" s="153" t="s">
        <v>2433</v>
      </c>
      <c r="F174" s="716">
        <v>903.13</v>
      </c>
      <c r="G174" s="716">
        <v>1099.6600000000001</v>
      </c>
      <c r="H174" s="32">
        <f>VLOOKUP(D174,'מאזן בוחן EUROPE'!$C:$E,3,0)-F174</f>
        <v>0</v>
      </c>
      <c r="I174" s="32">
        <f>VLOOKUP(D174,'מאזן בוחן EUROPE'!$C:$M,11,0)-G174</f>
        <v>0</v>
      </c>
      <c r="J174" s="32"/>
      <c r="L174" s="534"/>
      <c r="M174" s="516"/>
      <c r="N174" s="153"/>
      <c r="O174" s="153"/>
      <c r="P174" s="535"/>
      <c r="Q174" s="535"/>
    </row>
    <row r="175" spans="1:17" s="380" customFormat="1">
      <c r="A175" s="153" t="s">
        <v>1258</v>
      </c>
      <c r="B175" s="153" t="s">
        <v>1261</v>
      </c>
      <c r="C175" s="153" t="s">
        <v>572</v>
      </c>
      <c r="D175" s="587">
        <v>200721</v>
      </c>
      <c r="E175" s="153" t="s">
        <v>2725</v>
      </c>
      <c r="F175" s="716">
        <v>21771.200000000001</v>
      </c>
      <c r="G175" s="716">
        <v>29423.32</v>
      </c>
      <c r="H175" s="32">
        <f>VLOOKUP(D175,'מאזן בוחן EUROPE'!$C:$E,3,0)-F175</f>
        <v>0</v>
      </c>
      <c r="I175" s="32">
        <f>VLOOKUP(D175,'מאזן בוחן EUROPE'!$C:$M,11,0)-G175</f>
        <v>0</v>
      </c>
      <c r="J175" s="32"/>
      <c r="L175" s="534"/>
      <c r="M175" s="516"/>
      <c r="N175" s="153"/>
      <c r="O175" s="153"/>
      <c r="P175" s="153"/>
      <c r="Q175" s="535"/>
    </row>
    <row r="176" spans="1:17" s="380" customFormat="1">
      <c r="A176" s="153" t="s">
        <v>1258</v>
      </c>
      <c r="B176" s="153" t="s">
        <v>1261</v>
      </c>
      <c r="C176" s="153" t="s">
        <v>572</v>
      </c>
      <c r="D176" s="587">
        <v>200904</v>
      </c>
      <c r="E176" s="153" t="s">
        <v>2047</v>
      </c>
      <c r="F176" s="716">
        <v>5345.99</v>
      </c>
      <c r="G176" s="716">
        <v>7225</v>
      </c>
      <c r="H176" s="32">
        <f>VLOOKUP(D176,'מאזן בוחן EUROPE'!$C:$E,3,0)-F176</f>
        <v>0</v>
      </c>
      <c r="I176" s="32">
        <f>VLOOKUP(D176,'מאזן בוחן EUROPE'!$C:$M,11,0)-G176</f>
        <v>0</v>
      </c>
      <c r="J176" s="32"/>
      <c r="L176" s="534"/>
      <c r="M176" s="516"/>
      <c r="N176" s="153"/>
      <c r="O176" s="153"/>
      <c r="P176" s="535"/>
      <c r="Q176" s="535"/>
    </row>
    <row r="177" spans="1:17" s="380" customFormat="1">
      <c r="A177" s="153" t="s">
        <v>1258</v>
      </c>
      <c r="B177" s="153" t="s">
        <v>1261</v>
      </c>
      <c r="C177" s="153" t="s">
        <v>572</v>
      </c>
      <c r="D177" s="587">
        <v>201623</v>
      </c>
      <c r="E177" s="153" t="s">
        <v>3038</v>
      </c>
      <c r="F177" s="716">
        <v>14056.45</v>
      </c>
      <c r="G177" s="716">
        <v>18997</v>
      </c>
      <c r="H177" s="32">
        <f>VLOOKUP(D177,'מאזן בוחן EUROPE'!$C:$E,3,0)-F177</f>
        <v>0</v>
      </c>
      <c r="I177" s="32">
        <f>VLOOKUP(D177,'מאזן בוחן EUROPE'!$C:$M,11,0)-G177</f>
        <v>0</v>
      </c>
      <c r="J177" s="32"/>
      <c r="L177" s="534"/>
      <c r="M177" s="516"/>
      <c r="N177" s="153"/>
      <c r="O177" s="153"/>
      <c r="P177" s="535"/>
      <c r="Q177" s="535"/>
    </row>
    <row r="178" spans="1:17" s="380" customFormat="1">
      <c r="A178" s="153" t="s">
        <v>1258</v>
      </c>
      <c r="B178" s="153" t="s">
        <v>1261</v>
      </c>
      <c r="C178" s="153" t="s">
        <v>572</v>
      </c>
      <c r="D178" s="587">
        <v>202812</v>
      </c>
      <c r="E178" s="153" t="s">
        <v>4006</v>
      </c>
      <c r="F178" s="716">
        <v>371290.43</v>
      </c>
      <c r="G178" s="716">
        <v>501791.25</v>
      </c>
      <c r="H178" s="32">
        <f>VLOOKUP(D178,'מאזן בוחן EUROPE'!$C:$E,3,0)-F178</f>
        <v>0</v>
      </c>
      <c r="I178" s="32">
        <f>VLOOKUP(D178,'מאזן בוחן EUROPE'!$C:$M,11,0)-G178</f>
        <v>0</v>
      </c>
      <c r="J178" s="32"/>
      <c r="L178" s="534"/>
      <c r="M178" s="516"/>
      <c r="N178" s="153"/>
      <c r="O178" s="153"/>
      <c r="P178" s="535"/>
      <c r="Q178" s="535"/>
    </row>
    <row r="179" spans="1:17" s="380" customFormat="1">
      <c r="A179" s="153" t="s">
        <v>1258</v>
      </c>
      <c r="B179" s="153" t="s">
        <v>1261</v>
      </c>
      <c r="C179" s="153" t="s">
        <v>572</v>
      </c>
      <c r="D179" s="587">
        <v>202864</v>
      </c>
      <c r="E179" s="153" t="s">
        <v>667</v>
      </c>
      <c r="F179" s="716">
        <v>12924.36</v>
      </c>
      <c r="G179" s="716">
        <v>17467</v>
      </c>
      <c r="H179" s="32">
        <f>VLOOKUP(D179,'מאזן בוחן EUROPE'!$C:$E,3,0)-F179</f>
        <v>0</v>
      </c>
      <c r="I179" s="32">
        <f>VLOOKUP(D179,'מאזן בוחן EUROPE'!$C:$M,11,0)-G179</f>
        <v>0</v>
      </c>
      <c r="J179" s="32"/>
      <c r="L179" s="534"/>
      <c r="M179" s="516"/>
      <c r="N179" s="153"/>
      <c r="O179" s="153"/>
      <c r="P179" s="535"/>
      <c r="Q179" s="535"/>
    </row>
    <row r="180" spans="1:17" s="380" customFormat="1">
      <c r="A180" s="153" t="s">
        <v>1258</v>
      </c>
      <c r="B180" s="153" t="s">
        <v>1261</v>
      </c>
      <c r="C180" s="153" t="s">
        <v>572</v>
      </c>
      <c r="D180" s="587">
        <v>204650</v>
      </c>
      <c r="E180" s="153" t="s">
        <v>668</v>
      </c>
      <c r="F180" s="716">
        <v>4439.58</v>
      </c>
      <c r="G180" s="716">
        <v>6000</v>
      </c>
      <c r="H180" s="32">
        <f>VLOOKUP(D180,'מאזן בוחן EUROPE'!$C:$E,3,0)-F180</f>
        <v>0</v>
      </c>
      <c r="I180" s="32">
        <f>VLOOKUP(D180,'מאזן בוחן EUROPE'!$C:$M,11,0)-G180</f>
        <v>0</v>
      </c>
      <c r="J180" s="32"/>
      <c r="L180" s="534"/>
      <c r="M180" s="516"/>
      <c r="N180" s="153"/>
      <c r="O180" s="153"/>
      <c r="P180" s="535"/>
      <c r="Q180" s="535"/>
    </row>
    <row r="181" spans="1:17" s="380" customFormat="1">
      <c r="A181" s="153" t="s">
        <v>1258</v>
      </c>
      <c r="B181" s="153" t="s">
        <v>1261</v>
      </c>
      <c r="C181" s="153" t="s">
        <v>572</v>
      </c>
      <c r="D181" s="587">
        <v>204959</v>
      </c>
      <c r="E181" s="153" t="s">
        <v>669</v>
      </c>
      <c r="F181" s="716">
        <v>35080.15</v>
      </c>
      <c r="G181" s="716">
        <v>47410.09</v>
      </c>
      <c r="H181" s="32">
        <f>VLOOKUP(D181,'מאזן בוחן EUROPE'!$C:$E,3,0)-F181</f>
        <v>0</v>
      </c>
      <c r="I181" s="32">
        <f>VLOOKUP(D181,'מאזן בוחן EUROPE'!$C:$M,11,0)-G181</f>
        <v>0</v>
      </c>
      <c r="J181" s="32"/>
      <c r="L181" s="534"/>
      <c r="M181" s="516"/>
      <c r="N181" s="153"/>
      <c r="O181" s="153"/>
      <c r="P181" s="535"/>
      <c r="Q181" s="535"/>
    </row>
    <row r="182" spans="1:17" s="380" customFormat="1">
      <c r="A182" s="153" t="s">
        <v>1258</v>
      </c>
      <c r="B182" s="153" t="s">
        <v>1261</v>
      </c>
      <c r="C182" s="153" t="s">
        <v>572</v>
      </c>
      <c r="D182" s="587">
        <v>205459</v>
      </c>
      <c r="E182" s="153" t="s">
        <v>2735</v>
      </c>
      <c r="F182" s="716">
        <v>2890.33</v>
      </c>
      <c r="G182" s="716">
        <v>3906.22</v>
      </c>
      <c r="H182" s="32">
        <f>VLOOKUP(D182,'מאזן בוחן EUROPE'!$C:$E,3,0)-F182</f>
        <v>0</v>
      </c>
      <c r="I182" s="32">
        <f>VLOOKUP(D182,'מאזן בוחן EUROPE'!$C:$M,11,0)-G182</f>
        <v>0</v>
      </c>
      <c r="J182" s="32"/>
      <c r="L182" s="534"/>
      <c r="M182" s="516"/>
      <c r="N182" s="153"/>
      <c r="O182" s="153"/>
      <c r="P182" s="153"/>
      <c r="Q182" s="153"/>
    </row>
    <row r="183" spans="1:17" s="380" customFormat="1">
      <c r="A183" s="153" t="s">
        <v>1258</v>
      </c>
      <c r="B183" s="153" t="s">
        <v>1261</v>
      </c>
      <c r="C183" s="153" t="s">
        <v>572</v>
      </c>
      <c r="D183" s="587">
        <v>206060</v>
      </c>
      <c r="E183" s="153" t="s">
        <v>1909</v>
      </c>
      <c r="F183" s="716">
        <v>50389.24</v>
      </c>
      <c r="G183" s="716">
        <v>68100</v>
      </c>
      <c r="H183" s="32">
        <f>VLOOKUP(D183,'מאזן בוחן EUROPE'!$C:$E,3,0)-F183</f>
        <v>0</v>
      </c>
      <c r="I183" s="32">
        <f>VLOOKUP(D183,'מאזן בוחן EUROPE'!$C:$M,11,0)-G183</f>
        <v>0</v>
      </c>
      <c r="J183" s="32"/>
      <c r="L183" s="534"/>
      <c r="M183" s="516"/>
      <c r="N183" s="153"/>
      <c r="O183" s="153"/>
      <c r="P183" s="535"/>
      <c r="Q183" s="535"/>
    </row>
    <row r="184" spans="1:17" s="380" customFormat="1">
      <c r="A184" s="153" t="s">
        <v>1258</v>
      </c>
      <c r="B184" s="153" t="s">
        <v>1261</v>
      </c>
      <c r="C184" s="153" t="s">
        <v>572</v>
      </c>
      <c r="D184" s="587">
        <v>207951</v>
      </c>
      <c r="E184" s="153" t="s">
        <v>4612</v>
      </c>
      <c r="F184" s="716">
        <v>6858.93</v>
      </c>
      <c r="G184" s="716">
        <v>9269.7000000000007</v>
      </c>
      <c r="H184" s="32">
        <f>VLOOKUP(D184,'מאזן בוחן EUROPE'!$C:$E,3,0)-F184</f>
        <v>0</v>
      </c>
      <c r="I184" s="32">
        <f>VLOOKUP(D184,'מאזן בוחן EUROPE'!$C:$M,11,0)-G184</f>
        <v>0</v>
      </c>
      <c r="J184" s="32"/>
      <c r="L184" s="534"/>
      <c r="M184" s="516"/>
      <c r="N184" s="153"/>
      <c r="O184" s="153"/>
      <c r="P184" s="153"/>
      <c r="Q184" s="153"/>
    </row>
    <row r="185" spans="1:17" s="380" customFormat="1">
      <c r="A185" s="153" t="s">
        <v>1258</v>
      </c>
      <c r="B185" s="153" t="s">
        <v>1261</v>
      </c>
      <c r="C185" s="153" t="s">
        <v>572</v>
      </c>
      <c r="D185" s="587">
        <v>209226</v>
      </c>
      <c r="E185" s="153" t="s">
        <v>4613</v>
      </c>
      <c r="F185" s="716">
        <v>11964.18</v>
      </c>
      <c r="G185" s="716">
        <v>16169.34</v>
      </c>
      <c r="H185" s="32">
        <f>VLOOKUP(D185,'מאזן בוחן EUROPE'!$C:$E,3,0)-F185</f>
        <v>0</v>
      </c>
      <c r="I185" s="32">
        <f>VLOOKUP(D185,'מאזן בוחן EUROPE'!$C:$M,11,0)-G185</f>
        <v>0</v>
      </c>
      <c r="J185" s="32"/>
      <c r="L185" s="534"/>
      <c r="M185" s="516"/>
      <c r="N185" s="153"/>
      <c r="O185" s="153"/>
      <c r="P185" s="535"/>
      <c r="Q185" s="535"/>
    </row>
    <row r="186" spans="1:17" s="380" customFormat="1">
      <c r="A186" s="153" t="s">
        <v>1258</v>
      </c>
      <c r="B186" s="153" t="s">
        <v>1261</v>
      </c>
      <c r="C186" s="153" t="s">
        <v>572</v>
      </c>
      <c r="D186" s="587">
        <v>209950</v>
      </c>
      <c r="E186" s="153" t="s">
        <v>674</v>
      </c>
      <c r="F186" s="716">
        <v>23872.36</v>
      </c>
      <c r="G186" s="716">
        <v>32262.99</v>
      </c>
      <c r="H186" s="32">
        <f>VLOOKUP(D186,'מאזן בוחן EUROPE'!$C:$E,3,0)-F186</f>
        <v>0</v>
      </c>
      <c r="I186" s="32">
        <f>VLOOKUP(D186,'מאזן בוחן EUROPE'!$C:$M,11,0)-G186</f>
        <v>0</v>
      </c>
      <c r="J186" s="32"/>
      <c r="L186" s="534"/>
      <c r="M186" s="516"/>
      <c r="N186" s="153"/>
      <c r="O186" s="153"/>
      <c r="P186" s="153"/>
      <c r="Q186" s="153"/>
    </row>
    <row r="187" spans="1:17" s="380" customFormat="1">
      <c r="A187" s="153" t="s">
        <v>1258</v>
      </c>
      <c r="B187" s="153" t="s">
        <v>1261</v>
      </c>
      <c r="C187" s="153" t="s">
        <v>572</v>
      </c>
      <c r="D187" s="587">
        <v>216811</v>
      </c>
      <c r="E187" s="153" t="s">
        <v>2552</v>
      </c>
      <c r="F187" s="716">
        <v>13022.77</v>
      </c>
      <c r="G187" s="716">
        <v>17600</v>
      </c>
      <c r="H187" s="32">
        <f>VLOOKUP(D187,'מאזן בוחן EUROPE'!$C:$E,3,0)-F187</f>
        <v>0</v>
      </c>
      <c r="I187" s="32">
        <f>VLOOKUP(D187,'מאזן בוחן EUROPE'!$C:$M,11,0)-G187</f>
        <v>0</v>
      </c>
      <c r="J187" s="32"/>
      <c r="L187" s="534"/>
      <c r="M187" s="516"/>
      <c r="N187" s="153"/>
      <c r="O187" s="153"/>
      <c r="P187" s="153"/>
      <c r="Q187" s="535"/>
    </row>
    <row r="188" spans="1:17" s="380" customFormat="1">
      <c r="A188" s="153" t="s">
        <v>1258</v>
      </c>
      <c r="B188" s="153" t="s">
        <v>1261</v>
      </c>
      <c r="C188" s="153" t="s">
        <v>572</v>
      </c>
      <c r="D188" s="587">
        <v>217546</v>
      </c>
      <c r="E188" s="153" t="s">
        <v>1738</v>
      </c>
      <c r="F188" s="716">
        <v>7883.81</v>
      </c>
      <c r="G188" s="716">
        <v>10654.81</v>
      </c>
      <c r="H188" s="32">
        <f>VLOOKUP(D188,'מאזן בוחן EUROPE'!$C:$E,3,0)-F188</f>
        <v>0</v>
      </c>
      <c r="I188" s="32">
        <f>VLOOKUP(D188,'מאזן בוחן EUROPE'!$C:$M,11,0)-G188</f>
        <v>0</v>
      </c>
      <c r="J188" s="32"/>
      <c r="L188" s="534"/>
      <c r="M188" s="516"/>
      <c r="N188" s="153"/>
      <c r="O188" s="153"/>
      <c r="P188" s="535"/>
      <c r="Q188" s="535"/>
    </row>
    <row r="189" spans="1:17" s="380" customFormat="1">
      <c r="A189" s="153" t="s">
        <v>1258</v>
      </c>
      <c r="B189" s="153" t="s">
        <v>1261</v>
      </c>
      <c r="C189" s="153" t="s">
        <v>572</v>
      </c>
      <c r="D189" s="587">
        <v>221165</v>
      </c>
      <c r="E189" s="153" t="s">
        <v>675</v>
      </c>
      <c r="F189" s="716">
        <v>83490.06</v>
      </c>
      <c r="G189" s="716">
        <v>112835.07</v>
      </c>
      <c r="H189" s="32">
        <f>VLOOKUP(D189,'מאזן בוחן EUROPE'!$C:$E,3,0)-F189</f>
        <v>0</v>
      </c>
      <c r="I189" s="32">
        <f>VLOOKUP(D189,'מאזן בוחן EUROPE'!$C:$M,11,0)-G189</f>
        <v>0</v>
      </c>
      <c r="J189" s="32"/>
      <c r="L189" s="534"/>
      <c r="M189" s="516"/>
      <c r="N189" s="153"/>
      <c r="O189" s="153"/>
      <c r="P189" s="535"/>
      <c r="Q189" s="535"/>
    </row>
    <row r="190" spans="1:17" s="380" customFormat="1">
      <c r="A190" s="153" t="s">
        <v>1258</v>
      </c>
      <c r="B190" s="153" t="s">
        <v>1261</v>
      </c>
      <c r="C190" s="153" t="s">
        <v>572</v>
      </c>
      <c r="D190" s="587">
        <v>223854</v>
      </c>
      <c r="E190" s="153" t="s">
        <v>2197</v>
      </c>
      <c r="F190" s="716">
        <v>91083.54</v>
      </c>
      <c r="G190" s="716">
        <v>123097.5</v>
      </c>
      <c r="H190" s="32">
        <f>VLOOKUP(D190,'מאזן בוחן EUROPE'!$C:$E,3,0)-F190</f>
        <v>0</v>
      </c>
      <c r="I190" s="32">
        <f>VLOOKUP(D190,'מאזן בוחן EUROPE'!$C:$M,11,0)-G190</f>
        <v>0</v>
      </c>
      <c r="J190" s="32"/>
      <c r="L190" s="534"/>
      <c r="M190" s="516"/>
      <c r="N190" s="153"/>
      <c r="O190" s="153"/>
      <c r="P190" s="535"/>
      <c r="Q190" s="535"/>
    </row>
    <row r="191" spans="1:17" s="380" customFormat="1">
      <c r="A191" s="153" t="s">
        <v>1258</v>
      </c>
      <c r="B191" s="153" t="s">
        <v>1261</v>
      </c>
      <c r="C191" s="153" t="s">
        <v>572</v>
      </c>
      <c r="D191" s="587">
        <v>225616</v>
      </c>
      <c r="E191" s="153" t="s">
        <v>2728</v>
      </c>
      <c r="F191" s="716">
        <v>23843.97</v>
      </c>
      <c r="G191" s="716">
        <v>32224.63</v>
      </c>
      <c r="H191" s="32">
        <f>VLOOKUP(D191,'מאזן בוחן EUROPE'!$C:$E,3,0)-F191</f>
        <v>0</v>
      </c>
      <c r="I191" s="32">
        <f>VLOOKUP(D191,'מאזן בוחן EUROPE'!$C:$M,11,0)-G191</f>
        <v>0</v>
      </c>
      <c r="J191" s="32"/>
      <c r="L191" s="534"/>
      <c r="M191" s="516"/>
      <c r="N191" s="153"/>
      <c r="O191" s="153"/>
      <c r="P191" s="153"/>
      <c r="Q191" s="153"/>
    </row>
    <row r="192" spans="1:17" s="380" customFormat="1">
      <c r="A192" s="153" t="s">
        <v>1258</v>
      </c>
      <c r="B192" s="153" t="s">
        <v>1261</v>
      </c>
      <c r="C192" s="153" t="s">
        <v>572</v>
      </c>
      <c r="D192" s="587">
        <v>227448</v>
      </c>
      <c r="E192" s="153" t="s">
        <v>4614</v>
      </c>
      <c r="F192" s="716">
        <v>687930.78</v>
      </c>
      <c r="G192" s="716">
        <v>929724.07</v>
      </c>
      <c r="H192" s="32">
        <f>VLOOKUP(D192,'מאזן בוחן EUROPE'!$C:$E,3,0)-F192</f>
        <v>0</v>
      </c>
      <c r="I192" s="32">
        <f>VLOOKUP(D192,'מאזן בוחן EUROPE'!$C:$M,11,0)-G192</f>
        <v>0</v>
      </c>
      <c r="J192" s="32"/>
      <c r="L192" s="534"/>
      <c r="M192" s="516"/>
      <c r="N192" s="153"/>
      <c r="O192" s="153"/>
      <c r="P192" s="535"/>
      <c r="Q192" s="535"/>
    </row>
    <row r="193" spans="1:17" s="380" customFormat="1">
      <c r="A193" s="153" t="s">
        <v>1258</v>
      </c>
      <c r="B193" s="153" t="s">
        <v>1261</v>
      </c>
      <c r="C193" s="153" t="s">
        <v>572</v>
      </c>
      <c r="D193" s="587" t="s">
        <v>4615</v>
      </c>
      <c r="E193" s="153" t="s">
        <v>3900</v>
      </c>
      <c r="F193" s="716">
        <v>22425.21</v>
      </c>
      <c r="G193" s="716">
        <v>30307.200000000001</v>
      </c>
      <c r="H193" s="32">
        <f>VLOOKUP(D193,'מאזן בוחן EUROPE'!$C:$E,3,0)-F193</f>
        <v>0</v>
      </c>
      <c r="I193" s="32">
        <f>VLOOKUP(D193,'מאזן בוחן EUROPE'!$C:$M,11,0)-G193</f>
        <v>0</v>
      </c>
      <c r="J193" s="32"/>
      <c r="L193" s="534"/>
      <c r="M193" s="516"/>
      <c r="N193" s="153"/>
      <c r="O193" s="153"/>
      <c r="P193" s="535"/>
      <c r="Q193" s="535"/>
    </row>
    <row r="194" spans="1:17" s="380" customFormat="1">
      <c r="A194" s="153" t="s">
        <v>1258</v>
      </c>
      <c r="B194" s="153" t="s">
        <v>1261</v>
      </c>
      <c r="C194" s="153" t="s">
        <v>572</v>
      </c>
      <c r="D194" s="587">
        <v>228910</v>
      </c>
      <c r="E194" s="153" t="s">
        <v>2839</v>
      </c>
      <c r="F194" s="716">
        <v>143371.18</v>
      </c>
      <c r="G194" s="716">
        <v>193763.15</v>
      </c>
      <c r="H194" s="32">
        <f>VLOOKUP(D194,'מאזן בוחן EUROPE'!$C:$E,3,0)-F194</f>
        <v>0</v>
      </c>
      <c r="I194" s="32">
        <f>VLOOKUP(D194,'מאזן בוחן EUROPE'!$C:$M,11,0)-G194</f>
        <v>0</v>
      </c>
      <c r="J194" s="32"/>
      <c r="L194" s="534"/>
      <c r="M194" s="516"/>
      <c r="N194" s="153"/>
      <c r="O194" s="153"/>
      <c r="P194" s="535"/>
      <c r="Q194" s="535"/>
    </row>
    <row r="195" spans="1:17" s="380" customFormat="1">
      <c r="A195" s="153" t="s">
        <v>1258</v>
      </c>
      <c r="B195" s="153" t="s">
        <v>1261</v>
      </c>
      <c r="C195" s="153" t="s">
        <v>572</v>
      </c>
      <c r="D195" s="587">
        <v>229863</v>
      </c>
      <c r="E195" s="153" t="s">
        <v>4616</v>
      </c>
      <c r="F195" s="716">
        <v>46115.47</v>
      </c>
      <c r="G195" s="716">
        <v>62324.1</v>
      </c>
      <c r="H195" s="32">
        <f>VLOOKUP(D195,'מאזן בוחן EUROPE'!$C:$E,3,0)-F195</f>
        <v>0</v>
      </c>
      <c r="I195" s="32">
        <f>VLOOKUP(D195,'מאזן בוחן EUROPE'!$C:$M,11,0)-G195</f>
        <v>0</v>
      </c>
      <c r="J195" s="32"/>
      <c r="L195" s="534"/>
      <c r="M195" s="516"/>
      <c r="N195" s="153"/>
      <c r="O195" s="153"/>
      <c r="P195" s="535"/>
      <c r="Q195" s="535"/>
    </row>
    <row r="196" spans="1:17" s="380" customFormat="1">
      <c r="A196" s="153" t="s">
        <v>1258</v>
      </c>
      <c r="B196" s="153" t="s">
        <v>1261</v>
      </c>
      <c r="C196" s="153" t="s">
        <v>572</v>
      </c>
      <c r="D196" s="587">
        <v>232108</v>
      </c>
      <c r="E196" s="153" t="s">
        <v>4270</v>
      </c>
      <c r="F196" s="716">
        <v>13318.74</v>
      </c>
      <c r="G196" s="716">
        <v>18000</v>
      </c>
      <c r="H196" s="32">
        <f>VLOOKUP(D196,'מאזן בוחן EUROPE'!$C:$E,3,0)-F196</f>
        <v>0</v>
      </c>
      <c r="I196" s="32">
        <f>VLOOKUP(D196,'מאזן בוחן EUROPE'!$C:$M,11,0)-G196</f>
        <v>0</v>
      </c>
      <c r="J196" s="32"/>
      <c r="L196" s="534"/>
      <c r="M196" s="516"/>
      <c r="N196" s="153"/>
      <c r="O196" s="153"/>
      <c r="P196" s="535"/>
      <c r="Q196" s="535"/>
    </row>
    <row r="197" spans="1:17" s="380" customFormat="1">
      <c r="A197" s="153" t="s">
        <v>1258</v>
      </c>
      <c r="B197" s="153" t="s">
        <v>1261</v>
      </c>
      <c r="C197" s="153" t="s">
        <v>574</v>
      </c>
      <c r="D197" s="587">
        <v>200174</v>
      </c>
      <c r="E197" s="153" t="s">
        <v>2729</v>
      </c>
      <c r="F197" s="716">
        <v>329267.87</v>
      </c>
      <c r="G197" s="716">
        <v>444998.64</v>
      </c>
      <c r="H197" s="32">
        <f>VLOOKUP(D197,'מאזן בוחן EUROPE'!$C:$E,3,0)-F197</f>
        <v>0</v>
      </c>
      <c r="I197" s="32">
        <f>VLOOKUP(D197,'מאזן בוחן EUROPE'!$C:$M,11,0)-G197</f>
        <v>0</v>
      </c>
      <c r="J197" s="32"/>
      <c r="L197" s="534"/>
      <c r="M197" s="516"/>
      <c r="N197" s="153"/>
      <c r="O197" s="153"/>
      <c r="P197" s="535"/>
      <c r="Q197" s="535"/>
    </row>
    <row r="198" spans="1:17" s="380" customFormat="1">
      <c r="A198" s="153" t="s">
        <v>1258</v>
      </c>
      <c r="B198" s="153" t="s">
        <v>1261</v>
      </c>
      <c r="C198" s="153" t="s">
        <v>574</v>
      </c>
      <c r="D198" s="587">
        <v>200175</v>
      </c>
      <c r="E198" s="153" t="s">
        <v>4473</v>
      </c>
      <c r="F198" s="716">
        <v>79784.69</v>
      </c>
      <c r="G198" s="716">
        <v>107827.34</v>
      </c>
      <c r="H198" s="32">
        <f>VLOOKUP(D198,'מאזן בוחן EUROPE'!$C:$E,3,0)-F198</f>
        <v>0</v>
      </c>
      <c r="I198" s="32">
        <f>VLOOKUP(D198,'מאזן בוחן EUROPE'!$C:$M,11,0)-G198</f>
        <v>0</v>
      </c>
      <c r="J198" s="32"/>
      <c r="L198" s="534"/>
      <c r="M198" s="516"/>
      <c r="N198" s="153"/>
      <c r="O198" s="153"/>
      <c r="P198" s="535"/>
      <c r="Q198" s="535"/>
    </row>
    <row r="199" spans="1:17" s="380" customFormat="1">
      <c r="A199" s="153" t="s">
        <v>1258</v>
      </c>
      <c r="B199" s="153" t="s">
        <v>1261</v>
      </c>
      <c r="C199" s="153" t="s">
        <v>574</v>
      </c>
      <c r="D199" s="587">
        <v>200672</v>
      </c>
      <c r="E199" s="153" t="s">
        <v>3039</v>
      </c>
      <c r="F199" s="716">
        <v>146772.42000000001</v>
      </c>
      <c r="G199" s="716">
        <v>198359.86</v>
      </c>
      <c r="H199" s="32">
        <f>VLOOKUP(D199,'מאזן בוחן EUROPE'!$C:$E,3,0)-F199</f>
        <v>0</v>
      </c>
      <c r="I199" s="32">
        <f>VLOOKUP(D199,'מאזן בוחן EUROPE'!$C:$M,11,0)-G199</f>
        <v>0</v>
      </c>
      <c r="J199" s="32"/>
      <c r="L199" s="534"/>
      <c r="M199" s="516"/>
      <c r="N199" s="153"/>
      <c r="O199" s="153"/>
      <c r="P199" s="535"/>
      <c r="Q199" s="535"/>
    </row>
    <row r="200" spans="1:17" s="380" customFormat="1">
      <c r="A200" s="153" t="s">
        <v>1258</v>
      </c>
      <c r="B200" s="153" t="s">
        <v>1261</v>
      </c>
      <c r="C200" s="153" t="s">
        <v>574</v>
      </c>
      <c r="D200" s="587">
        <v>200864</v>
      </c>
      <c r="E200" s="153" t="s">
        <v>677</v>
      </c>
      <c r="F200" s="716">
        <v>98746.38</v>
      </c>
      <c r="G200" s="716">
        <v>133453.67000000001</v>
      </c>
      <c r="H200" s="32">
        <f>VLOOKUP(D200,'מאזן בוחן EUROPE'!$C:$E,3,0)-F200</f>
        <v>0</v>
      </c>
      <c r="I200" s="32">
        <f>VLOOKUP(D200,'מאזן בוחן EUROPE'!$C:$M,11,0)-G200</f>
        <v>0</v>
      </c>
      <c r="J200" s="32"/>
      <c r="L200" s="534"/>
      <c r="M200" s="516"/>
      <c r="N200" s="153"/>
      <c r="O200" s="153"/>
      <c r="P200" s="535"/>
      <c r="Q200" s="535"/>
    </row>
    <row r="201" spans="1:17" s="380" customFormat="1">
      <c r="A201" s="153" t="s">
        <v>1258</v>
      </c>
      <c r="B201" s="153" t="s">
        <v>1261</v>
      </c>
      <c r="C201" s="153" t="s">
        <v>574</v>
      </c>
      <c r="D201" s="587">
        <v>201546</v>
      </c>
      <c r="E201" s="153" t="s">
        <v>2124</v>
      </c>
      <c r="F201" s="716">
        <v>-17297.599999999999</v>
      </c>
      <c r="G201" s="716">
        <v>-23377.34</v>
      </c>
      <c r="H201" s="32">
        <f>VLOOKUP(D201,'מאזן בוחן EUROPE'!$C:$E,3,0)-F201</f>
        <v>0</v>
      </c>
      <c r="I201" s="32">
        <f>VLOOKUP(D201,'מאזן בוחן EUROPE'!$C:$M,11,0)-G201</f>
        <v>0</v>
      </c>
      <c r="J201" s="32"/>
      <c r="L201" s="534"/>
      <c r="M201" s="516"/>
      <c r="N201" s="153"/>
      <c r="O201" s="153"/>
      <c r="P201" s="535"/>
      <c r="Q201" s="535"/>
    </row>
    <row r="202" spans="1:17" s="380" customFormat="1">
      <c r="A202" s="153" t="s">
        <v>1258</v>
      </c>
      <c r="B202" s="153" t="s">
        <v>1261</v>
      </c>
      <c r="C202" s="153" t="s">
        <v>574</v>
      </c>
      <c r="D202" s="587">
        <v>202319</v>
      </c>
      <c r="E202" s="153" t="s">
        <v>4474</v>
      </c>
      <c r="F202" s="716">
        <v>15211.18</v>
      </c>
      <c r="G202" s="716">
        <v>20557.599999999999</v>
      </c>
      <c r="H202" s="32">
        <f>VLOOKUP(D202,'מאזן בוחן EUROPE'!$C:$E,3,0)-F202</f>
        <v>0</v>
      </c>
      <c r="I202" s="32">
        <f>VLOOKUP(D202,'מאזן בוחן EUROPE'!$C:$M,11,0)-G202</f>
        <v>0</v>
      </c>
      <c r="J202" s="32"/>
      <c r="L202" s="534"/>
      <c r="M202" s="516"/>
      <c r="N202" s="153"/>
      <c r="O202" s="153"/>
      <c r="P202" s="535"/>
      <c r="Q202" s="535"/>
    </row>
    <row r="203" spans="1:17" s="380" customFormat="1">
      <c r="A203" s="153" t="s">
        <v>1258</v>
      </c>
      <c r="B203" s="153" t="s">
        <v>1261</v>
      </c>
      <c r="C203" s="153" t="s">
        <v>574</v>
      </c>
      <c r="D203" s="587">
        <v>202348</v>
      </c>
      <c r="E203" s="153" t="s">
        <v>4134</v>
      </c>
      <c r="F203" s="716">
        <v>266796.12</v>
      </c>
      <c r="G203" s="716">
        <v>360569.38</v>
      </c>
      <c r="H203" s="32">
        <f>VLOOKUP(D203,'מאזן בוחן EUROPE'!$C:$E,3,0)-F203</f>
        <v>0</v>
      </c>
      <c r="I203" s="32">
        <f>VLOOKUP(D203,'מאזן בוחן EUROPE'!$C:$M,11,0)-G203</f>
        <v>0</v>
      </c>
      <c r="J203" s="32"/>
      <c r="L203" s="534"/>
      <c r="M203" s="516"/>
      <c r="N203" s="153"/>
      <c r="O203" s="153"/>
      <c r="P203" s="535"/>
      <c r="Q203" s="535"/>
    </row>
    <row r="204" spans="1:17" s="380" customFormat="1">
      <c r="A204" s="153" t="s">
        <v>1258</v>
      </c>
      <c r="B204" s="153" t="s">
        <v>1261</v>
      </c>
      <c r="C204" s="153" t="s">
        <v>574</v>
      </c>
      <c r="D204" s="587">
        <v>202603</v>
      </c>
      <c r="E204" s="153" t="s">
        <v>4269</v>
      </c>
      <c r="F204" s="716">
        <v>6595.39</v>
      </c>
      <c r="G204" s="716">
        <v>8913.5300000000007</v>
      </c>
      <c r="H204" s="32">
        <f>VLOOKUP(D204,'מאזן בוחן EUROPE'!$C:$E,3,0)-F204</f>
        <v>0</v>
      </c>
      <c r="I204" s="32">
        <f>VLOOKUP(D204,'מאזן בוחן EUROPE'!$C:$M,11,0)-G204</f>
        <v>0</v>
      </c>
      <c r="J204" s="32"/>
      <c r="L204" s="534"/>
      <c r="M204" s="516"/>
      <c r="N204" s="153"/>
      <c r="O204" s="153"/>
      <c r="P204" s="535"/>
      <c r="Q204" s="535"/>
    </row>
    <row r="205" spans="1:17" s="380" customFormat="1">
      <c r="A205" s="153" t="s">
        <v>1258</v>
      </c>
      <c r="B205" s="153" t="s">
        <v>1261</v>
      </c>
      <c r="C205" s="153" t="s">
        <v>574</v>
      </c>
      <c r="D205" s="587">
        <v>202627</v>
      </c>
      <c r="E205" s="153" t="s">
        <v>4617</v>
      </c>
      <c r="F205" s="716">
        <v>48784.84</v>
      </c>
      <c r="G205" s="716">
        <v>65931.69</v>
      </c>
      <c r="H205" s="32">
        <f>VLOOKUP(D205,'מאזן בוחן EUROPE'!$C:$E,3,0)-F205</f>
        <v>0</v>
      </c>
      <c r="I205" s="32">
        <f>VLOOKUP(D205,'מאזן בוחן EUROPE'!$C:$M,11,0)-G205</f>
        <v>0</v>
      </c>
      <c r="J205" s="32"/>
      <c r="L205" s="534"/>
      <c r="M205" s="516"/>
      <c r="N205" s="153"/>
      <c r="O205" s="153"/>
      <c r="P205" s="153"/>
      <c r="Q205" s="535"/>
    </row>
    <row r="206" spans="1:17" s="380" customFormat="1">
      <c r="A206" s="153" t="s">
        <v>1258</v>
      </c>
      <c r="B206" s="153" t="s">
        <v>1261</v>
      </c>
      <c r="C206" s="153" t="s">
        <v>574</v>
      </c>
      <c r="D206" s="587">
        <v>202841</v>
      </c>
      <c r="E206" s="153" t="s">
        <v>2730</v>
      </c>
      <c r="F206" s="716">
        <v>137784.4</v>
      </c>
      <c r="G206" s="716">
        <v>186212.74</v>
      </c>
      <c r="H206" s="32">
        <f>VLOOKUP(D206,'מאזן בוחן EUROPE'!$C:$E,3,0)-F206</f>
        <v>0</v>
      </c>
      <c r="I206" s="32">
        <f>VLOOKUP(D206,'מאזן בוחן EUROPE'!$C:$M,11,0)-G206</f>
        <v>0</v>
      </c>
      <c r="J206" s="32"/>
      <c r="L206" s="534"/>
      <c r="M206" s="516"/>
      <c r="N206" s="153"/>
      <c r="O206" s="153"/>
      <c r="P206" s="535"/>
      <c r="Q206" s="535"/>
    </row>
    <row r="207" spans="1:17" s="380" customFormat="1">
      <c r="A207" s="153" t="s">
        <v>1258</v>
      </c>
      <c r="B207" s="153" t="s">
        <v>1261</v>
      </c>
      <c r="C207" s="153" t="s">
        <v>574</v>
      </c>
      <c r="D207" s="587">
        <v>203290</v>
      </c>
      <c r="E207" s="153" t="s">
        <v>4618</v>
      </c>
      <c r="F207" s="716">
        <v>4653.3900000000003</v>
      </c>
      <c r="G207" s="716">
        <v>6288.96</v>
      </c>
      <c r="H207" s="32">
        <f>VLOOKUP(D207,'מאזן בוחן EUROPE'!$C:$E,3,0)-F207</f>
        <v>0</v>
      </c>
      <c r="I207" s="32">
        <f>VLOOKUP(D207,'מאזן בוחן EUROPE'!$C:$M,11,0)-G207</f>
        <v>0</v>
      </c>
      <c r="J207" s="32"/>
      <c r="L207" s="534"/>
      <c r="M207" s="516"/>
      <c r="N207" s="153"/>
      <c r="O207" s="153"/>
      <c r="P207" s="535"/>
      <c r="Q207" s="535"/>
    </row>
    <row r="208" spans="1:17" s="380" customFormat="1">
      <c r="A208" s="153" t="s">
        <v>1258</v>
      </c>
      <c r="B208" s="153" t="s">
        <v>1261</v>
      </c>
      <c r="C208" s="153" t="s">
        <v>574</v>
      </c>
      <c r="D208" s="587">
        <v>204694</v>
      </c>
      <c r="E208" s="153" t="s">
        <v>460</v>
      </c>
      <c r="F208" s="716">
        <v>199034.55</v>
      </c>
      <c r="G208" s="716">
        <v>268991.03000000003</v>
      </c>
      <c r="H208" s="32">
        <f>VLOOKUP(D208,'מאזן בוחן EUROPE'!$C:$E,3,0)-F208</f>
        <v>0</v>
      </c>
      <c r="I208" s="32">
        <f>VLOOKUP(D208,'מאזן בוחן EUROPE'!$C:$M,11,0)-G208</f>
        <v>0</v>
      </c>
      <c r="J208" s="32"/>
      <c r="L208" s="534"/>
      <c r="M208" s="516"/>
      <c r="N208" s="153"/>
      <c r="O208" s="153"/>
      <c r="P208" s="535"/>
      <c r="Q208" s="535"/>
    </row>
    <row r="209" spans="1:17" s="380" customFormat="1">
      <c r="A209" s="153" t="s">
        <v>1258</v>
      </c>
      <c r="B209" s="153" t="s">
        <v>1261</v>
      </c>
      <c r="C209" s="153" t="s">
        <v>574</v>
      </c>
      <c r="D209" s="587">
        <v>206021</v>
      </c>
      <c r="E209" s="153" t="s">
        <v>4135</v>
      </c>
      <c r="F209" s="716">
        <v>30243.79</v>
      </c>
      <c r="G209" s="716">
        <v>40873.85</v>
      </c>
      <c r="H209" s="32">
        <f>VLOOKUP(D209,'מאזן בוחן EUROPE'!$C:$E,3,0)-F209</f>
        <v>0</v>
      </c>
      <c r="I209" s="32">
        <f>VLOOKUP(D209,'מאזן בוחן EUROPE'!$C:$M,11,0)-G209</f>
        <v>0</v>
      </c>
      <c r="J209" s="32"/>
      <c r="L209" s="534"/>
      <c r="M209" s="516"/>
      <c r="N209" s="153"/>
      <c r="O209" s="153"/>
      <c r="P209" s="535"/>
      <c r="Q209" s="535"/>
    </row>
    <row r="210" spans="1:17" s="380" customFormat="1">
      <c r="A210" s="153" t="s">
        <v>1258</v>
      </c>
      <c r="B210" s="153" t="s">
        <v>1261</v>
      </c>
      <c r="C210" s="153" t="s">
        <v>574</v>
      </c>
      <c r="D210" s="587">
        <v>206031</v>
      </c>
      <c r="E210" s="153" t="s">
        <v>3396</v>
      </c>
      <c r="F210" s="716">
        <v>306808.36</v>
      </c>
      <c r="G210" s="716">
        <v>414645.08</v>
      </c>
      <c r="H210" s="32">
        <f>VLOOKUP(D210,'מאזן בוחן EUROPE'!$C:$E,3,0)-F210</f>
        <v>0</v>
      </c>
      <c r="I210" s="32">
        <f>VLOOKUP(D210,'מאזן בוחן EUROPE'!$C:$M,11,0)-G210</f>
        <v>0</v>
      </c>
      <c r="J210" s="32"/>
      <c r="L210" s="534"/>
      <c r="M210" s="516"/>
      <c r="N210" s="153"/>
      <c r="O210" s="153"/>
      <c r="P210" s="535"/>
      <c r="Q210" s="535"/>
    </row>
    <row r="211" spans="1:17" s="380" customFormat="1">
      <c r="A211" s="153" t="s">
        <v>1258</v>
      </c>
      <c r="B211" s="153" t="s">
        <v>1261</v>
      </c>
      <c r="C211" s="153" t="s">
        <v>574</v>
      </c>
      <c r="D211" s="587">
        <v>206178</v>
      </c>
      <c r="E211" s="153" t="s">
        <v>3223</v>
      </c>
      <c r="F211" s="716">
        <v>7272.13</v>
      </c>
      <c r="G211" s="716">
        <v>9828.14</v>
      </c>
      <c r="H211" s="32">
        <f>VLOOKUP(D211,'מאזן בוחן EUROPE'!$C:$E,3,0)-F211</f>
        <v>0</v>
      </c>
      <c r="I211" s="32">
        <f>VLOOKUP(D211,'מאזן בוחן EUROPE'!$C:$M,11,0)-G211</f>
        <v>0</v>
      </c>
      <c r="J211" s="32"/>
      <c r="L211" s="534"/>
      <c r="M211" s="516"/>
      <c r="N211" s="153"/>
      <c r="O211" s="153"/>
      <c r="P211" s="535"/>
      <c r="Q211" s="535"/>
    </row>
    <row r="212" spans="1:17" s="380" customFormat="1">
      <c r="A212" s="153" t="s">
        <v>1258</v>
      </c>
      <c r="B212" s="153" t="s">
        <v>1261</v>
      </c>
      <c r="C212" s="153" t="s">
        <v>574</v>
      </c>
      <c r="D212" s="587">
        <v>206239</v>
      </c>
      <c r="E212" s="153" t="s">
        <v>2553</v>
      </c>
      <c r="F212" s="716">
        <v>4504.8500000000004</v>
      </c>
      <c r="G212" s="716">
        <v>6088.22</v>
      </c>
      <c r="H212" s="32">
        <f>VLOOKUP(D212,'מאזן בוחן EUROPE'!$C:$E,3,0)-F212</f>
        <v>0</v>
      </c>
      <c r="I212" s="32">
        <f>VLOOKUP(D212,'מאזן בוחן EUROPE'!$C:$M,11,0)-G212</f>
        <v>0</v>
      </c>
      <c r="J212" s="32"/>
      <c r="L212" s="534"/>
      <c r="M212" s="516"/>
      <c r="N212" s="153"/>
      <c r="O212" s="153"/>
      <c r="P212" s="535"/>
      <c r="Q212" s="535"/>
    </row>
    <row r="213" spans="1:17" s="380" customFormat="1">
      <c r="A213" s="153" t="s">
        <v>1258</v>
      </c>
      <c r="B213" s="153" t="s">
        <v>1261</v>
      </c>
      <c r="C213" s="153" t="s">
        <v>574</v>
      </c>
      <c r="D213" s="587">
        <v>206315</v>
      </c>
      <c r="E213" s="153" t="s">
        <v>4619</v>
      </c>
      <c r="F213" s="716">
        <v>174545.96</v>
      </c>
      <c r="G213" s="716">
        <v>235895.22</v>
      </c>
      <c r="H213" s="32">
        <f>VLOOKUP(D213,'מאזן בוחן EUROPE'!$C:$E,3,0)-F213</f>
        <v>0</v>
      </c>
      <c r="I213" s="32">
        <f>VLOOKUP(D213,'מאזן בוחן EUROPE'!$C:$M,11,0)-G213</f>
        <v>0</v>
      </c>
      <c r="J213" s="32"/>
      <c r="L213" s="534"/>
      <c r="M213" s="516"/>
      <c r="N213" s="153"/>
      <c r="O213" s="153"/>
      <c r="P213" s="535"/>
      <c r="Q213" s="535"/>
    </row>
    <row r="214" spans="1:17" s="380" customFormat="1">
      <c r="A214" s="153" t="s">
        <v>1258</v>
      </c>
      <c r="B214" s="153" t="s">
        <v>1261</v>
      </c>
      <c r="C214" s="153" t="s">
        <v>574</v>
      </c>
      <c r="D214" s="587">
        <v>206797</v>
      </c>
      <c r="E214" s="153" t="s">
        <v>3999</v>
      </c>
      <c r="F214" s="716">
        <v>5690.96</v>
      </c>
      <c r="G214" s="716">
        <v>7691.22</v>
      </c>
      <c r="H214" s="32">
        <f>VLOOKUP(D214,'מאזן בוחן EUROPE'!$C:$E,3,0)-F214</f>
        <v>0</v>
      </c>
      <c r="I214" s="32">
        <f>VLOOKUP(D214,'מאזן בוחן EUROPE'!$C:$M,11,0)-G214</f>
        <v>0</v>
      </c>
      <c r="J214" s="32"/>
      <c r="L214" s="534"/>
      <c r="M214" s="516"/>
      <c r="N214" s="153"/>
      <c r="O214" s="153"/>
      <c r="P214" s="535"/>
      <c r="Q214" s="535"/>
    </row>
    <row r="215" spans="1:17" s="380" customFormat="1">
      <c r="A215" s="153" t="s">
        <v>1258</v>
      </c>
      <c r="B215" s="153" t="s">
        <v>1261</v>
      </c>
      <c r="C215" s="153" t="s">
        <v>574</v>
      </c>
      <c r="D215" s="587">
        <v>206813</v>
      </c>
      <c r="E215" s="153" t="s">
        <v>1942</v>
      </c>
      <c r="F215" s="716">
        <v>-15356.72</v>
      </c>
      <c r="G215" s="716">
        <v>-20754.28</v>
      </c>
      <c r="H215" s="32">
        <f>VLOOKUP(D215,'מאזן בוחן EUROPE'!$C:$E,3,0)-F215</f>
        <v>0</v>
      </c>
      <c r="I215" s="32">
        <f>VLOOKUP(D215,'מאזן בוחן EUROPE'!$C:$M,11,0)-G215</f>
        <v>0</v>
      </c>
      <c r="J215" s="32"/>
      <c r="L215" s="534"/>
      <c r="M215" s="516"/>
      <c r="N215" s="153"/>
      <c r="O215" s="153"/>
      <c r="P215" s="535"/>
      <c r="Q215" s="535"/>
    </row>
    <row r="216" spans="1:17" s="380" customFormat="1">
      <c r="A216" s="153" t="s">
        <v>1258</v>
      </c>
      <c r="B216" s="153" t="s">
        <v>1261</v>
      </c>
      <c r="C216" s="153" t="s">
        <v>574</v>
      </c>
      <c r="D216" s="587">
        <v>207665</v>
      </c>
      <c r="E216" s="153" t="s">
        <v>4000</v>
      </c>
      <c r="F216" s="716">
        <v>4212.47</v>
      </c>
      <c r="G216" s="716">
        <v>5693.07</v>
      </c>
      <c r="H216" s="32">
        <f>VLOOKUP(D216,'מאזן בוחן EUROPE'!$C:$E,3,0)-F216</f>
        <v>0</v>
      </c>
      <c r="I216" s="32">
        <f>VLOOKUP(D216,'מאזן בוחן EUROPE'!$C:$M,11,0)-G216</f>
        <v>0</v>
      </c>
      <c r="J216" s="32"/>
      <c r="L216" s="534"/>
      <c r="M216" s="516"/>
      <c r="N216" s="153"/>
      <c r="O216" s="153"/>
      <c r="P216" s="535"/>
      <c r="Q216" s="535"/>
    </row>
    <row r="217" spans="1:17" s="380" customFormat="1">
      <c r="A217" s="153" t="s">
        <v>1258</v>
      </c>
      <c r="B217" s="153" t="s">
        <v>1261</v>
      </c>
      <c r="C217" s="153" t="s">
        <v>574</v>
      </c>
      <c r="D217" s="587">
        <v>208918</v>
      </c>
      <c r="E217" s="153" t="s">
        <v>2731</v>
      </c>
      <c r="F217" s="716">
        <v>4660.05</v>
      </c>
      <c r="G217" s="716">
        <v>6297.96</v>
      </c>
      <c r="H217" s="32">
        <f>VLOOKUP(D217,'מאזן בוחן EUROPE'!$C:$E,3,0)-F217</f>
        <v>0</v>
      </c>
      <c r="I217" s="32">
        <f>VLOOKUP(D217,'מאזן בוחן EUROPE'!$C:$M,11,0)-G217</f>
        <v>0</v>
      </c>
      <c r="J217" s="32"/>
      <c r="L217" s="534"/>
      <c r="M217" s="516"/>
      <c r="N217" s="153"/>
      <c r="O217" s="153"/>
      <c r="P217" s="153"/>
      <c r="Q217" s="153"/>
    </row>
    <row r="218" spans="1:17" s="380" customFormat="1">
      <c r="A218" s="153" t="s">
        <v>1258</v>
      </c>
      <c r="B218" s="153" t="s">
        <v>1261</v>
      </c>
      <c r="C218" s="153" t="s">
        <v>574</v>
      </c>
      <c r="D218" s="587">
        <v>209094</v>
      </c>
      <c r="E218" s="153" t="s">
        <v>4620</v>
      </c>
      <c r="F218" s="716">
        <v>57338.33</v>
      </c>
      <c r="G218" s="716">
        <v>77491.56</v>
      </c>
      <c r="H218" s="32">
        <f>VLOOKUP(D218,'מאזן בוחן EUROPE'!$C:$E,3,0)-F218</f>
        <v>0</v>
      </c>
      <c r="I218" s="32">
        <f>VLOOKUP(D218,'מאזן בוחן EUROPE'!$C:$M,11,0)-G218</f>
        <v>0</v>
      </c>
      <c r="J218" s="32"/>
      <c r="L218" s="534"/>
      <c r="M218" s="516"/>
      <c r="N218" s="153"/>
      <c r="O218" s="153"/>
      <c r="P218" s="535"/>
      <c r="Q218" s="535"/>
    </row>
    <row r="219" spans="1:17" s="380" customFormat="1">
      <c r="A219" s="153" t="s">
        <v>1258</v>
      </c>
      <c r="B219" s="153" t="s">
        <v>1261</v>
      </c>
      <c r="C219" s="153" t="s">
        <v>574</v>
      </c>
      <c r="D219" s="587">
        <v>214104</v>
      </c>
      <c r="E219" s="153" t="s">
        <v>2841</v>
      </c>
      <c r="F219" s="716">
        <v>9465.84</v>
      </c>
      <c r="G219" s="716">
        <v>12792.88</v>
      </c>
      <c r="H219" s="32">
        <f>VLOOKUP(D219,'מאזן בוחן EUROPE'!$C:$E,3,0)-F219</f>
        <v>0</v>
      </c>
      <c r="I219" s="32">
        <f>VLOOKUP(D219,'מאזן בוחן EUROPE'!$C:$M,11,0)-G219</f>
        <v>0</v>
      </c>
      <c r="J219" s="32"/>
      <c r="L219" s="534"/>
      <c r="M219" s="516"/>
      <c r="N219" s="153"/>
      <c r="O219" s="153"/>
      <c r="P219" s="535"/>
      <c r="Q219" s="535"/>
    </row>
    <row r="220" spans="1:17" s="380" customFormat="1">
      <c r="A220" s="153" t="s">
        <v>1258</v>
      </c>
      <c r="B220" s="153" t="s">
        <v>1261</v>
      </c>
      <c r="C220" s="153" t="s">
        <v>574</v>
      </c>
      <c r="D220" s="587">
        <v>214941</v>
      </c>
      <c r="E220" s="153" t="s">
        <v>4621</v>
      </c>
      <c r="F220" s="716">
        <v>15790.27</v>
      </c>
      <c r="G220" s="716">
        <v>21340.21</v>
      </c>
      <c r="H220" s="32">
        <f>VLOOKUP(D220,'מאזן בוחן EUROPE'!$C:$E,3,0)-F220</f>
        <v>0</v>
      </c>
      <c r="I220" s="32">
        <f>VLOOKUP(D220,'מאזן בוחן EUROPE'!$C:$M,11,0)-G220</f>
        <v>0</v>
      </c>
      <c r="J220" s="32"/>
      <c r="L220" s="534"/>
      <c r="M220" s="516"/>
      <c r="N220" s="153"/>
      <c r="O220" s="153"/>
      <c r="P220" s="535"/>
      <c r="Q220" s="535"/>
    </row>
    <row r="221" spans="1:17" s="380" customFormat="1">
      <c r="A221" s="153" t="s">
        <v>1258</v>
      </c>
      <c r="B221" s="153" t="s">
        <v>1261</v>
      </c>
      <c r="C221" s="153" t="s">
        <v>574</v>
      </c>
      <c r="D221" s="587">
        <v>215607</v>
      </c>
      <c r="E221" s="153" t="s">
        <v>2221</v>
      </c>
      <c r="F221" s="716">
        <v>119.5</v>
      </c>
      <c r="G221" s="716">
        <v>161.5</v>
      </c>
      <c r="H221" s="32">
        <f>VLOOKUP(D221,'מאזן בוחן EUROPE'!$C:$E,3,0)-F221</f>
        <v>0</v>
      </c>
      <c r="I221" s="32">
        <f>VLOOKUP(D221,'מאזן בוחן EUROPE'!$C:$M,11,0)-G221</f>
        <v>0</v>
      </c>
      <c r="J221" s="32"/>
      <c r="L221" s="534"/>
      <c r="M221" s="516"/>
      <c r="N221" s="153"/>
      <c r="O221" s="153"/>
      <c r="P221" s="535"/>
      <c r="Q221" s="535"/>
    </row>
    <row r="222" spans="1:17" s="380" customFormat="1">
      <c r="A222" s="153" t="s">
        <v>1258</v>
      </c>
      <c r="B222" s="153" t="s">
        <v>1261</v>
      </c>
      <c r="C222" s="153" t="s">
        <v>574</v>
      </c>
      <c r="D222" s="587">
        <v>217196</v>
      </c>
      <c r="E222" s="153" t="s">
        <v>3224</v>
      </c>
      <c r="F222" s="716">
        <v>4462.05</v>
      </c>
      <c r="G222" s="716">
        <v>6030.37</v>
      </c>
      <c r="H222" s="32">
        <f>VLOOKUP(D222,'מאזן בוחן EUROPE'!$C:$E,3,0)-F222</f>
        <v>0</v>
      </c>
      <c r="I222" s="32">
        <f>VLOOKUP(D222,'מאזן בוחן EUROPE'!$C:$M,11,0)-G222</f>
        <v>0</v>
      </c>
      <c r="J222" s="32"/>
      <c r="L222" s="534"/>
      <c r="M222" s="516"/>
      <c r="N222" s="153"/>
      <c r="O222" s="153"/>
      <c r="P222" s="535"/>
      <c r="Q222" s="535"/>
    </row>
    <row r="223" spans="1:17" s="380" customFormat="1">
      <c r="A223" s="153" t="s">
        <v>1258</v>
      </c>
      <c r="B223" s="153" t="s">
        <v>1261</v>
      </c>
      <c r="C223" s="153" t="s">
        <v>574</v>
      </c>
      <c r="D223" s="587">
        <v>221627</v>
      </c>
      <c r="E223" s="153" t="s">
        <v>4622</v>
      </c>
      <c r="F223" s="716">
        <v>34718.31</v>
      </c>
      <c r="G223" s="716">
        <v>46921.07</v>
      </c>
      <c r="H223" s="32">
        <f>VLOOKUP(D223,'מאזן בוחן EUROPE'!$C:$E,3,0)-F223</f>
        <v>0</v>
      </c>
      <c r="I223" s="32">
        <f>VLOOKUP(D223,'מאזן בוחן EUROPE'!$C:$M,11,0)-G223</f>
        <v>0</v>
      </c>
      <c r="J223" s="32"/>
      <c r="L223" s="534"/>
      <c r="M223" s="516"/>
      <c r="N223" s="153"/>
      <c r="O223" s="153"/>
      <c r="P223" s="535"/>
      <c r="Q223" s="535"/>
    </row>
    <row r="224" spans="1:17" s="380" customFormat="1">
      <c r="A224" s="153" t="s">
        <v>1258</v>
      </c>
      <c r="B224" s="153" t="s">
        <v>1261</v>
      </c>
      <c r="C224" s="153" t="s">
        <v>574</v>
      </c>
      <c r="D224" s="587">
        <v>223534</v>
      </c>
      <c r="E224" s="153" t="s">
        <v>4623</v>
      </c>
      <c r="F224" s="716">
        <v>84584.78</v>
      </c>
      <c r="G224" s="716">
        <v>114314.56</v>
      </c>
      <c r="H224" s="32">
        <f>VLOOKUP(D224,'מאזן בוחן EUROPE'!$C:$E,3,0)-F224</f>
        <v>0</v>
      </c>
      <c r="I224" s="32">
        <f>VLOOKUP(D224,'מאזן בוחן EUROPE'!$C:$M,11,0)-G224</f>
        <v>0</v>
      </c>
      <c r="J224" s="32"/>
      <c r="L224" s="534"/>
      <c r="M224" s="516"/>
      <c r="N224" s="153"/>
      <c r="O224" s="153"/>
      <c r="P224" s="535"/>
      <c r="Q224" s="535"/>
    </row>
    <row r="225" spans="1:17" s="380" customFormat="1">
      <c r="A225" s="153" t="s">
        <v>1258</v>
      </c>
      <c r="B225" s="153" t="s">
        <v>1261</v>
      </c>
      <c r="C225" s="153" t="s">
        <v>574</v>
      </c>
      <c r="D225" s="587">
        <v>223567</v>
      </c>
      <c r="E225" s="153" t="s">
        <v>4478</v>
      </c>
      <c r="F225" s="716">
        <v>5275.96</v>
      </c>
      <c r="G225" s="716">
        <v>7130.34</v>
      </c>
      <c r="H225" s="32">
        <f>VLOOKUP(D225,'מאזן בוחן EUROPE'!$C:$E,3,0)-F225</f>
        <v>0</v>
      </c>
      <c r="I225" s="32">
        <f>VLOOKUP(D225,'מאזן בוחן EUROPE'!$C:$M,11,0)-G225</f>
        <v>0</v>
      </c>
      <c r="J225" s="32"/>
      <c r="L225" s="534"/>
      <c r="M225" s="516"/>
      <c r="N225" s="153"/>
      <c r="O225" s="153"/>
      <c r="P225" s="535"/>
      <c r="Q225" s="535"/>
    </row>
    <row r="226" spans="1:17" s="380" customFormat="1">
      <c r="A226" s="153" t="s">
        <v>1258</v>
      </c>
      <c r="B226" s="153" t="s">
        <v>1261</v>
      </c>
      <c r="C226" s="153" t="s">
        <v>574</v>
      </c>
      <c r="D226" s="587">
        <v>224666</v>
      </c>
      <c r="E226" s="153" t="s">
        <v>2048</v>
      </c>
      <c r="F226" s="716">
        <v>19658.21</v>
      </c>
      <c r="G226" s="716">
        <v>26567.66</v>
      </c>
      <c r="H226" s="32">
        <f>VLOOKUP(D226,'מאזן בוחן EUROPE'!$C:$E,3,0)-F226</f>
        <v>0</v>
      </c>
      <c r="I226" s="32">
        <f>VLOOKUP(D226,'מאזן בוחן EUROPE'!$C:$M,11,0)-G226</f>
        <v>0</v>
      </c>
      <c r="J226" s="32"/>
      <c r="L226" s="534"/>
      <c r="M226" s="516"/>
      <c r="N226" s="153"/>
      <c r="O226" s="153"/>
      <c r="P226" s="535"/>
      <c r="Q226" s="535"/>
    </row>
    <row r="227" spans="1:17" s="380" customFormat="1">
      <c r="A227" s="153" t="s">
        <v>1258</v>
      </c>
      <c r="B227" s="153" t="s">
        <v>1261</v>
      </c>
      <c r="C227" s="153" t="s">
        <v>574</v>
      </c>
      <c r="D227" s="587">
        <v>229225</v>
      </c>
      <c r="E227" s="153" t="s">
        <v>2952</v>
      </c>
      <c r="F227" s="716">
        <v>24872.36</v>
      </c>
      <c r="G227" s="716">
        <v>33614.480000000003</v>
      </c>
      <c r="H227" s="32">
        <f>VLOOKUP(D227,'מאזן בוחן EUROPE'!$C:$E,3,0)-F227</f>
        <v>0</v>
      </c>
      <c r="I227" s="32">
        <f>VLOOKUP(D227,'מאזן בוחן EUROPE'!$C:$M,11,0)-G227</f>
        <v>0</v>
      </c>
      <c r="J227" s="32"/>
      <c r="L227" s="534"/>
      <c r="M227" s="516"/>
      <c r="N227" s="153"/>
      <c r="O227" s="153"/>
      <c r="P227" s="535"/>
      <c r="Q227" s="535"/>
    </row>
    <row r="228" spans="1:17" s="380" customFormat="1">
      <c r="A228" s="153" t="s">
        <v>1258</v>
      </c>
      <c r="B228" s="153" t="s">
        <v>1261</v>
      </c>
      <c r="C228" s="153" t="s">
        <v>574</v>
      </c>
      <c r="D228" s="587">
        <v>229873</v>
      </c>
      <c r="E228" s="153" t="s">
        <v>4624</v>
      </c>
      <c r="F228" s="716">
        <v>17860.580000000002</v>
      </c>
      <c r="G228" s="716">
        <v>24138.2</v>
      </c>
      <c r="H228" s="32">
        <f>VLOOKUP(D228,'מאזן בוחן EUROPE'!$C:$E,3,0)-F228</f>
        <v>0</v>
      </c>
      <c r="I228" s="32">
        <f>VLOOKUP(D228,'מאזן בוחן EUROPE'!$C:$M,11,0)-G228</f>
        <v>0</v>
      </c>
      <c r="J228" s="32"/>
      <c r="L228" s="534"/>
      <c r="M228" s="516"/>
      <c r="N228" s="153"/>
      <c r="O228" s="153"/>
      <c r="P228" s="535"/>
      <c r="Q228" s="535"/>
    </row>
    <row r="229" spans="1:17" s="380" customFormat="1">
      <c r="A229" s="153" t="s">
        <v>1258</v>
      </c>
      <c r="B229" s="153" t="s">
        <v>1261</v>
      </c>
      <c r="C229" s="153" t="s">
        <v>574</v>
      </c>
      <c r="D229" s="587">
        <v>232203</v>
      </c>
      <c r="E229" s="153" t="s">
        <v>4479</v>
      </c>
      <c r="F229" s="716">
        <v>252511.5</v>
      </c>
      <c r="G229" s="716">
        <v>341264.02</v>
      </c>
      <c r="H229" s="32">
        <f>VLOOKUP(D229,'מאזן בוחן EUROPE'!$C:$E,3,0)-F229</f>
        <v>0</v>
      </c>
      <c r="I229" s="32">
        <f>VLOOKUP(D229,'מאזן בוחן EUROPE'!$C:$M,11,0)-G229</f>
        <v>0</v>
      </c>
      <c r="J229" s="32"/>
      <c r="L229" s="534"/>
      <c r="M229" s="516"/>
      <c r="N229" s="153"/>
      <c r="O229" s="153"/>
      <c r="P229" s="535"/>
      <c r="Q229" s="535"/>
    </row>
    <row r="230" spans="1:17" s="380" customFormat="1">
      <c r="A230" s="153" t="s">
        <v>1258</v>
      </c>
      <c r="B230" s="153" t="s">
        <v>1261</v>
      </c>
      <c r="C230" s="153" t="s">
        <v>574</v>
      </c>
      <c r="D230" s="587">
        <v>232310</v>
      </c>
      <c r="E230" s="153" t="s">
        <v>4625</v>
      </c>
      <c r="F230" s="716">
        <v>197751.83</v>
      </c>
      <c r="G230" s="716">
        <v>267257.46000000002</v>
      </c>
      <c r="H230" s="32">
        <f>VLOOKUP(D230,'מאזן בוחן EUROPE'!$C:$E,3,0)-F230</f>
        <v>0</v>
      </c>
      <c r="I230" s="32">
        <f>VLOOKUP(D230,'מאזן בוחן EUROPE'!$C:$M,11,0)-G230</f>
        <v>0</v>
      </c>
      <c r="J230" s="32"/>
      <c r="L230" s="536"/>
      <c r="M230" s="516"/>
      <c r="N230" s="153"/>
      <c r="O230" s="153"/>
      <c r="P230" s="535"/>
      <c r="Q230" s="535"/>
    </row>
    <row r="231" spans="1:17" s="380" customFormat="1">
      <c r="A231" s="153" t="s">
        <v>1258</v>
      </c>
      <c r="B231" s="153" t="s">
        <v>1261</v>
      </c>
      <c r="C231" s="153" t="s">
        <v>1306</v>
      </c>
      <c r="D231" s="587">
        <v>200914</v>
      </c>
      <c r="E231" s="153" t="s">
        <v>684</v>
      </c>
      <c r="F231" s="716">
        <v>278412.26</v>
      </c>
      <c r="G231" s="716">
        <v>376268.35</v>
      </c>
      <c r="H231" s="32">
        <f>VLOOKUP(D231,'מאזן בוחן EUROPE'!$C:$E,3,0)-F231</f>
        <v>0</v>
      </c>
      <c r="I231" s="32">
        <f>VLOOKUP(D231,'מאזן בוחן EUROPE'!$C:$M,11,0)-G231</f>
        <v>0</v>
      </c>
      <c r="J231" s="32"/>
      <c r="L231" s="536"/>
      <c r="M231" s="1377"/>
      <c r="N231" s="153"/>
      <c r="O231" s="153"/>
      <c r="P231" s="535"/>
      <c r="Q231" s="535"/>
    </row>
    <row r="232" spans="1:17" s="380" customFormat="1">
      <c r="A232" s="153" t="s">
        <v>1258</v>
      </c>
      <c r="B232" s="153" t="s">
        <v>1261</v>
      </c>
      <c r="C232" s="153" t="s">
        <v>1306</v>
      </c>
      <c r="D232" s="587">
        <v>201542</v>
      </c>
      <c r="E232" s="153" t="s">
        <v>3390</v>
      </c>
      <c r="F232" s="716">
        <v>36069.69</v>
      </c>
      <c r="G232" s="716">
        <v>48747.43</v>
      </c>
      <c r="H232" s="32">
        <f>VLOOKUP(D232,'מאזן בוחן EUROPE'!$C:$E,3,0)-F232</f>
        <v>0</v>
      </c>
      <c r="I232" s="32">
        <f>VLOOKUP(D232,'מאזן בוחן EUROPE'!$C:$M,11,0)-G232</f>
        <v>0</v>
      </c>
      <c r="J232" s="32"/>
      <c r="L232" s="536"/>
      <c r="M232" s="1377"/>
      <c r="N232" s="153"/>
      <c r="O232" s="153"/>
      <c r="P232" s="535"/>
      <c r="Q232" s="535"/>
    </row>
    <row r="233" spans="1:17" s="380" customFormat="1">
      <c r="A233" s="153" t="s">
        <v>1258</v>
      </c>
      <c r="B233" s="153" t="s">
        <v>1261</v>
      </c>
      <c r="C233" s="153" t="s">
        <v>1306</v>
      </c>
      <c r="D233" s="587">
        <v>208313</v>
      </c>
      <c r="E233" s="153" t="s">
        <v>3392</v>
      </c>
      <c r="F233" s="716">
        <v>122026.85</v>
      </c>
      <c r="G233" s="716">
        <v>164916.74</v>
      </c>
      <c r="H233" s="32">
        <f>VLOOKUP(D233,'מאזן בוחן EUROPE'!$C:$E,3,0)-F233</f>
        <v>0</v>
      </c>
      <c r="I233" s="32">
        <f>VLOOKUP(D233,'מאזן בוחן EUROPE'!$C:$M,11,0)-G233</f>
        <v>0</v>
      </c>
      <c r="J233" s="32"/>
      <c r="L233" s="536"/>
      <c r="M233" s="1377"/>
      <c r="N233" s="153"/>
      <c r="O233" s="153"/>
      <c r="P233" s="535"/>
      <c r="Q233" s="535"/>
    </row>
    <row r="234" spans="1:17" s="380" customFormat="1">
      <c r="A234" s="153" t="s">
        <v>1258</v>
      </c>
      <c r="B234" s="153" t="s">
        <v>1261</v>
      </c>
      <c r="C234" s="153" t="s">
        <v>1306</v>
      </c>
      <c r="D234" s="587">
        <v>212087</v>
      </c>
      <c r="E234" s="153" t="s">
        <v>4480</v>
      </c>
      <c r="F234" s="716">
        <v>2353.42</v>
      </c>
      <c r="G234" s="716">
        <v>3180.6</v>
      </c>
      <c r="H234" s="32">
        <f>VLOOKUP(D234,'מאזן בוחן EUROPE'!$C:$E,3,0)-F234</f>
        <v>0</v>
      </c>
      <c r="I234" s="32">
        <f>VLOOKUP(D234,'מאזן בוחן EUROPE'!$C:$M,11,0)-G234</f>
        <v>0</v>
      </c>
      <c r="J234" s="32"/>
      <c r="L234" s="536"/>
      <c r="M234" s="1377"/>
      <c r="N234" s="153"/>
      <c r="O234" s="153"/>
      <c r="P234" s="535"/>
      <c r="Q234" s="535"/>
    </row>
    <row r="235" spans="1:17" s="380" customFormat="1">
      <c r="A235" s="153" t="s">
        <v>1258</v>
      </c>
      <c r="B235" s="153" t="s">
        <v>1261</v>
      </c>
      <c r="C235" s="153" t="s">
        <v>1306</v>
      </c>
      <c r="D235" s="587">
        <v>220629</v>
      </c>
      <c r="E235" s="153" t="s">
        <v>3228</v>
      </c>
      <c r="F235" s="716">
        <v>6691.91</v>
      </c>
      <c r="G235" s="716">
        <v>9043.98</v>
      </c>
      <c r="H235" s="32">
        <f>VLOOKUP(D235,'מאזן בוחן EUROPE'!$C:$E,3,0)-F235</f>
        <v>0</v>
      </c>
      <c r="I235" s="32">
        <f>VLOOKUP(D235,'מאזן בוחן EUROPE'!$C:$M,11,0)-G235</f>
        <v>0</v>
      </c>
      <c r="J235" s="32"/>
      <c r="L235" s="536"/>
      <c r="M235" s="1377"/>
      <c r="N235" s="153"/>
      <c r="O235" s="153"/>
      <c r="P235" s="535"/>
      <c r="Q235" s="535"/>
    </row>
    <row r="236" spans="1:17" s="380" customFormat="1">
      <c r="A236" s="153" t="s">
        <v>1258</v>
      </c>
      <c r="B236" s="153" t="s">
        <v>1261</v>
      </c>
      <c r="C236" s="153" t="s">
        <v>1306</v>
      </c>
      <c r="D236" s="587">
        <v>221294</v>
      </c>
      <c r="E236" s="153" t="s">
        <v>3738</v>
      </c>
      <c r="F236" s="716">
        <v>126181.44</v>
      </c>
      <c r="G236" s="716">
        <v>170531.58</v>
      </c>
      <c r="H236" s="32">
        <f>VLOOKUP(D236,'מאזן בוחן EUROPE'!$C:$E,3,0)-F236</f>
        <v>0</v>
      </c>
      <c r="I236" s="32">
        <f>VLOOKUP(D236,'מאזן בוחן EUROPE'!$C:$M,11,0)-G236</f>
        <v>0</v>
      </c>
      <c r="J236" s="32"/>
      <c r="L236" s="536"/>
      <c r="M236" s="1377"/>
      <c r="N236" s="153"/>
      <c r="O236" s="153"/>
      <c r="P236" s="535"/>
      <c r="Q236" s="535"/>
    </row>
    <row r="237" spans="1:17" s="380" customFormat="1">
      <c r="A237" s="153" t="s">
        <v>1258</v>
      </c>
      <c r="B237" s="153" t="s">
        <v>1261</v>
      </c>
      <c r="C237" s="153" t="s">
        <v>1435</v>
      </c>
      <c r="D237" s="587">
        <v>2090001</v>
      </c>
      <c r="E237" s="153" t="s">
        <v>4686</v>
      </c>
      <c r="F237" s="716">
        <v>-353661.75</v>
      </c>
      <c r="G237" s="716">
        <v>-477966.49</v>
      </c>
      <c r="H237" s="32">
        <f>VLOOKUP(D237,'מאזן בוחן EUROPE'!$C:$E,3,0)-F237</f>
        <v>0</v>
      </c>
      <c r="I237" s="32">
        <f>VLOOKUP(D237,'מאזן בוחן EUROPE'!$C:$M,11,0)-G237</f>
        <v>0</v>
      </c>
      <c r="J237" s="32"/>
      <c r="L237" s="536"/>
      <c r="M237" s="1377"/>
      <c r="N237" s="153"/>
      <c r="O237" s="153"/>
      <c r="P237" s="535"/>
      <c r="Q237" s="535"/>
    </row>
    <row r="238" spans="1:17" s="380" customFormat="1">
      <c r="A238" s="153" t="s">
        <v>1258</v>
      </c>
      <c r="B238" s="153" t="s">
        <v>1263</v>
      </c>
      <c r="C238" s="153" t="s">
        <v>1001</v>
      </c>
      <c r="D238" s="587">
        <v>1400001</v>
      </c>
      <c r="E238" s="153" t="s">
        <v>347</v>
      </c>
      <c r="F238" s="716">
        <v>29430.23</v>
      </c>
      <c r="G238" s="716">
        <v>40258.06</v>
      </c>
      <c r="H238" s="32">
        <f>VLOOKUP(D238,'מאזן בוחן EUROPE'!$C:$E,3,0)-F238</f>
        <v>0</v>
      </c>
      <c r="I238" s="32">
        <f>VLOOKUP(D238,'מאזן בוחן EUROPE'!$C:$M,11,0)-G238</f>
        <v>0</v>
      </c>
      <c r="J238" s="32"/>
      <c r="L238" s="536"/>
      <c r="M238" s="1377"/>
      <c r="N238" s="153"/>
      <c r="O238" s="153"/>
      <c r="P238" s="535"/>
      <c r="Q238" s="535"/>
    </row>
    <row r="239" spans="1:17" s="380" customFormat="1">
      <c r="A239" s="153" t="s">
        <v>1258</v>
      </c>
      <c r="B239" s="153" t="s">
        <v>1263</v>
      </c>
      <c r="C239" s="153" t="s">
        <v>1007</v>
      </c>
      <c r="D239" s="587">
        <v>1490001</v>
      </c>
      <c r="E239" s="153" t="s">
        <v>1008</v>
      </c>
      <c r="F239" s="716">
        <v>-5170</v>
      </c>
      <c r="G239" s="716">
        <v>-7078</v>
      </c>
      <c r="H239" s="32">
        <f>VLOOKUP(D239,'מאזן בוחן EUROPE'!$C:$E,3,0)-F239</f>
        <v>0</v>
      </c>
      <c r="I239" s="32">
        <f>VLOOKUP(D239,'מאזן בוחן EUROPE'!$C:$M,11,0)-G239</f>
        <v>0</v>
      </c>
      <c r="J239" s="32"/>
      <c r="L239" s="536"/>
      <c r="M239" s="1377"/>
      <c r="N239" s="153"/>
      <c r="O239" s="153"/>
      <c r="P239" s="535"/>
      <c r="Q239" s="535"/>
    </row>
    <row r="240" spans="1:17" s="380" customFormat="1">
      <c r="A240" s="153" t="s">
        <v>1258</v>
      </c>
      <c r="B240" s="153" t="s">
        <v>1264</v>
      </c>
      <c r="C240" s="153" t="s">
        <v>1013</v>
      </c>
      <c r="D240" s="587">
        <v>1510001</v>
      </c>
      <c r="E240" s="153" t="s">
        <v>1584</v>
      </c>
      <c r="F240" s="716">
        <v>99</v>
      </c>
      <c r="G240" s="716">
        <v>133.80000000000001</v>
      </c>
      <c r="H240" s="32">
        <f>VLOOKUP(D240,'מאזן בוחן EUROPE'!$C:$E,3,0)-F240</f>
        <v>0</v>
      </c>
      <c r="I240" s="32">
        <f>VLOOKUP(D240,'מאזן בוחן EUROPE'!$C:$M,11,0)-G240</f>
        <v>0</v>
      </c>
      <c r="J240" s="32"/>
      <c r="L240" s="536"/>
      <c r="M240" s="1377"/>
      <c r="N240" s="153"/>
      <c r="O240" s="153"/>
      <c r="P240" s="535"/>
      <c r="Q240" s="535"/>
    </row>
    <row r="241" spans="1:17" s="380" customFormat="1">
      <c r="A241" s="153" t="s">
        <v>1258</v>
      </c>
      <c r="B241" s="153" t="s">
        <v>1265</v>
      </c>
      <c r="C241" s="153" t="s">
        <v>1016</v>
      </c>
      <c r="D241" s="587">
        <v>1610005</v>
      </c>
      <c r="E241" s="153" t="s">
        <v>1940</v>
      </c>
      <c r="F241" s="716">
        <v>291202.39</v>
      </c>
      <c r="G241" s="716">
        <v>377994.78</v>
      </c>
      <c r="H241" s="32">
        <f>VLOOKUP(D241,'מאזן בוחן EUROPE'!$C:$E,3,0)-F241</f>
        <v>0</v>
      </c>
      <c r="I241" s="32">
        <f>VLOOKUP(D241,'מאזן בוחן EUROPE'!$C:$M,11,0)-G241</f>
        <v>0</v>
      </c>
      <c r="J241" s="32"/>
      <c r="L241" s="536"/>
      <c r="M241" s="1377"/>
      <c r="N241" s="153"/>
      <c r="O241" s="153"/>
      <c r="P241" s="535"/>
      <c r="Q241" s="535"/>
    </row>
    <row r="242" spans="1:17" s="380" customFormat="1">
      <c r="A242" s="153" t="s">
        <v>1258</v>
      </c>
      <c r="B242" s="153" t="s">
        <v>1265</v>
      </c>
      <c r="C242" s="153" t="s">
        <v>1016</v>
      </c>
      <c r="D242" s="587">
        <v>1610097</v>
      </c>
      <c r="E242" s="153" t="s">
        <v>2526</v>
      </c>
      <c r="F242" s="716">
        <v>2412722</v>
      </c>
      <c r="G242" s="716">
        <v>3151712.93</v>
      </c>
      <c r="H242" s="32">
        <f>VLOOKUP(D242,'מאזן בוחן EUROPE'!$C:$E,3,0)-F242</f>
        <v>0</v>
      </c>
      <c r="I242" s="32">
        <f>VLOOKUP(D242,'מאזן בוחן EUROPE'!$C:$M,11,0)-G242</f>
        <v>0</v>
      </c>
      <c r="J242" s="32"/>
      <c r="L242" s="536"/>
      <c r="M242" s="1377"/>
      <c r="N242" s="153"/>
      <c r="O242" s="153"/>
      <c r="P242" s="535"/>
      <c r="Q242" s="535"/>
    </row>
    <row r="243" spans="1:17" s="380" customFormat="1">
      <c r="A243" s="153" t="s">
        <v>1258</v>
      </c>
      <c r="B243" s="153" t="s">
        <v>1265</v>
      </c>
      <c r="C243" s="153" t="s">
        <v>1018</v>
      </c>
      <c r="D243" s="587">
        <v>1620001</v>
      </c>
      <c r="E243" s="153" t="s">
        <v>345</v>
      </c>
      <c r="F243" s="716">
        <v>21372.3</v>
      </c>
      <c r="G243" s="716">
        <v>28884.22</v>
      </c>
      <c r="H243" s="32">
        <f>VLOOKUP(D243,'מאזן בוחן EUROPE'!$C:$E,3,0)-F243</f>
        <v>0</v>
      </c>
      <c r="I243" s="32">
        <f>VLOOKUP(D243,'מאזן בוחן EUROPE'!$C:$M,11,0)-G243</f>
        <v>0</v>
      </c>
      <c r="J243" s="32"/>
      <c r="L243" s="536"/>
      <c r="M243" s="1377"/>
      <c r="N243" s="153"/>
      <c r="O243" s="153"/>
      <c r="P243" s="535"/>
      <c r="Q243" s="535"/>
    </row>
    <row r="244" spans="1:17" s="380" customFormat="1">
      <c r="A244" s="153" t="s">
        <v>1266</v>
      </c>
      <c r="B244" s="153" t="s">
        <v>1267</v>
      </c>
      <c r="C244" s="153" t="s">
        <v>1019</v>
      </c>
      <c r="D244" s="587" t="s">
        <v>1868</v>
      </c>
      <c r="E244" s="153" t="s">
        <v>1869</v>
      </c>
      <c r="F244" s="716">
        <v>3056715.52</v>
      </c>
      <c r="G244" s="716">
        <v>4131085.94</v>
      </c>
      <c r="H244" s="32">
        <f>VLOOKUP(D244,'מאזן בוחן EUROPE'!$C:$E,3,0)-F244</f>
        <v>0</v>
      </c>
      <c r="I244" s="32">
        <f>VLOOKUP(D244,'מאזן בוחן EUROPE'!$C:$M,11,0)-G244</f>
        <v>0</v>
      </c>
      <c r="J244" s="32"/>
      <c r="L244" s="536"/>
      <c r="M244" s="1377"/>
      <c r="N244" s="153"/>
      <c r="O244" s="153"/>
      <c r="P244" s="535"/>
      <c r="Q244" s="535"/>
    </row>
    <row r="245" spans="1:17" s="380" customFormat="1">
      <c r="A245" s="153" t="s">
        <v>1266</v>
      </c>
      <c r="B245" s="153" t="s">
        <v>1267</v>
      </c>
      <c r="C245" s="153" t="s">
        <v>1019</v>
      </c>
      <c r="D245" s="587">
        <v>53501</v>
      </c>
      <c r="E245" s="153" t="s">
        <v>1307</v>
      </c>
      <c r="F245" s="716">
        <v>-790308.23</v>
      </c>
      <c r="G245" s="716">
        <v>-1061856.24</v>
      </c>
      <c r="H245" s="32">
        <f>VLOOKUP(D245,'מאזן בוחן EUROPE'!$C:$E,3,0)-F245</f>
        <v>0</v>
      </c>
      <c r="I245" s="32">
        <f>VLOOKUP(D245,'מאזן בוחן EUROPE'!$C:$M,11,0)-G245</f>
        <v>0</v>
      </c>
      <c r="J245" s="32"/>
      <c r="L245" s="536"/>
      <c r="M245" s="1377"/>
      <c r="N245" s="153"/>
      <c r="O245" s="153"/>
      <c r="P245" s="535"/>
      <c r="Q245" s="535"/>
    </row>
    <row r="246" spans="1:17" s="380" customFormat="1">
      <c r="A246" s="153" t="s">
        <v>1266</v>
      </c>
      <c r="B246" s="153" t="s">
        <v>1267</v>
      </c>
      <c r="C246" s="153" t="s">
        <v>1019</v>
      </c>
      <c r="D246" s="587">
        <v>53502</v>
      </c>
      <c r="E246" s="153" t="s">
        <v>1308</v>
      </c>
      <c r="F246" s="716">
        <v>-4586888.95</v>
      </c>
      <c r="G246" s="716">
        <v>-6077720.8600000003</v>
      </c>
      <c r="H246" s="32">
        <f>VLOOKUP(D246,'מאזן בוחן EUROPE'!$C:$E,3,0)-F246</f>
        <v>0</v>
      </c>
      <c r="I246" s="32">
        <f>VLOOKUP(D246,'מאזן בוחן EUROPE'!$C:$M,11,0)-G246</f>
        <v>0</v>
      </c>
      <c r="J246" s="32"/>
      <c r="L246" s="536"/>
      <c r="M246" s="1377"/>
      <c r="N246" s="153"/>
      <c r="O246" s="153"/>
      <c r="P246" s="535"/>
      <c r="Q246" s="535"/>
    </row>
    <row r="247" spans="1:17" s="380" customFormat="1">
      <c r="A247" s="153" t="s">
        <v>1266</v>
      </c>
      <c r="B247" s="153" t="s">
        <v>1267</v>
      </c>
      <c r="C247" s="153" t="s">
        <v>1019</v>
      </c>
      <c r="D247" s="587">
        <v>53510</v>
      </c>
      <c r="E247" s="153" t="s">
        <v>1309</v>
      </c>
      <c r="F247" s="716">
        <v>1550006.98</v>
      </c>
      <c r="G247" s="716">
        <v>2795283.39</v>
      </c>
      <c r="H247" s="32">
        <f>VLOOKUP(D247,'מאזן בוחן EUROPE'!$C:$E,3,0)-F247</f>
        <v>0</v>
      </c>
      <c r="I247" s="32">
        <f>VLOOKUP(D247,'מאזן בוחן EUROPE'!$C:$M,11,0)-G247</f>
        <v>0</v>
      </c>
      <c r="J247" s="32"/>
      <c r="L247" s="536"/>
      <c r="M247" s="1377"/>
      <c r="N247" s="153"/>
      <c r="O247" s="153"/>
      <c r="P247" s="535"/>
      <c r="Q247" s="535"/>
    </row>
    <row r="248" spans="1:17" s="380" customFormat="1">
      <c r="A248" s="153" t="s">
        <v>1266</v>
      </c>
      <c r="B248" s="153" t="s">
        <v>1267</v>
      </c>
      <c r="C248" s="153" t="s">
        <v>1019</v>
      </c>
      <c r="D248" s="587">
        <v>53513</v>
      </c>
      <c r="E248" s="153" t="s">
        <v>1310</v>
      </c>
      <c r="F248" s="716">
        <v>-56473.2</v>
      </c>
      <c r="G248" s="716">
        <v>-65627.72</v>
      </c>
      <c r="H248" s="32">
        <f>VLOOKUP(D248,'מאזן בוחן EUROPE'!$C:$E,3,0)-F248</f>
        <v>0</v>
      </c>
      <c r="I248" s="32">
        <f>VLOOKUP(D248,'מאזן בוחן EUROPE'!$C:$M,11,0)-G248</f>
        <v>0</v>
      </c>
      <c r="J248" s="32"/>
      <c r="L248" s="536"/>
      <c r="M248" s="1377"/>
      <c r="N248" s="153"/>
      <c r="O248" s="153"/>
      <c r="P248" s="535"/>
      <c r="Q248" s="535"/>
    </row>
    <row r="249" spans="1:17" s="380" customFormat="1">
      <c r="A249" s="153" t="s">
        <v>1266</v>
      </c>
      <c r="B249" s="153" t="s">
        <v>1267</v>
      </c>
      <c r="C249" s="153" t="s">
        <v>1019</v>
      </c>
      <c r="D249" s="587">
        <v>53514</v>
      </c>
      <c r="E249" s="153" t="s">
        <v>1311</v>
      </c>
      <c r="F249" s="716">
        <v>-547423.63</v>
      </c>
      <c r="G249" s="716">
        <v>-749084.7</v>
      </c>
      <c r="H249" s="32">
        <f>VLOOKUP(D249,'מאזן בוחן EUROPE'!$C:$E,3,0)-F249</f>
        <v>0</v>
      </c>
      <c r="I249" s="32">
        <f>VLOOKUP(D249,'מאזן בוחן EUROPE'!$C:$M,11,0)-G249</f>
        <v>0</v>
      </c>
      <c r="J249" s="32"/>
      <c r="L249" s="536"/>
      <c r="M249" s="1377"/>
      <c r="N249" s="153"/>
      <c r="O249" s="153"/>
      <c r="P249" s="535"/>
      <c r="Q249" s="535"/>
    </row>
    <row r="250" spans="1:17" s="380" customFormat="1">
      <c r="A250" s="153" t="s">
        <v>1266</v>
      </c>
      <c r="B250" s="153" t="s">
        <v>1267</v>
      </c>
      <c r="C250" s="153" t="s">
        <v>1019</v>
      </c>
      <c r="D250" s="587">
        <v>53515</v>
      </c>
      <c r="E250" s="153" t="s">
        <v>1590</v>
      </c>
      <c r="F250" s="716">
        <v>-60814.49</v>
      </c>
      <c r="G250" s="716">
        <v>-82623.899999999994</v>
      </c>
      <c r="H250" s="32">
        <f>VLOOKUP(D250,'מאזן בוחן EUROPE'!$C:$E,3,0)-F250</f>
        <v>0</v>
      </c>
      <c r="I250" s="32">
        <f>VLOOKUP(D250,'מאזן בוחן EUROPE'!$C:$M,11,0)-G250</f>
        <v>0</v>
      </c>
      <c r="J250" s="32"/>
      <c r="L250" s="536"/>
      <c r="M250" s="1377"/>
      <c r="N250" s="153"/>
      <c r="O250" s="153"/>
      <c r="P250" s="535"/>
      <c r="Q250" s="535"/>
    </row>
    <row r="251" spans="1:17" s="380" customFormat="1">
      <c r="A251" s="153" t="s">
        <v>1266</v>
      </c>
      <c r="B251" s="153" t="s">
        <v>1267</v>
      </c>
      <c r="C251" s="153" t="s">
        <v>1019</v>
      </c>
      <c r="D251" s="587">
        <v>53516</v>
      </c>
      <c r="E251" s="153" t="s">
        <v>1638</v>
      </c>
      <c r="F251" s="716">
        <v>-37472.550000000003</v>
      </c>
      <c r="G251" s="716">
        <v>-48796.89</v>
      </c>
      <c r="H251" s="32">
        <f>VLOOKUP(D251,'מאזן בוחן EUROPE'!$C:$E,3,0)-F251</f>
        <v>0</v>
      </c>
      <c r="I251" s="32">
        <f>VLOOKUP(D251,'מאזן בוחן EUROPE'!$C:$M,11,0)-G251</f>
        <v>0</v>
      </c>
      <c r="J251" s="32"/>
      <c r="L251" s="536"/>
      <c r="M251" s="1377"/>
      <c r="N251" s="153"/>
      <c r="O251" s="153"/>
      <c r="P251" s="535"/>
      <c r="Q251" s="535"/>
    </row>
    <row r="252" spans="1:17" s="380" customFormat="1">
      <c r="A252" s="153" t="s">
        <v>1266</v>
      </c>
      <c r="B252" s="153" t="s">
        <v>1267</v>
      </c>
      <c r="C252" s="153" t="s">
        <v>1019</v>
      </c>
      <c r="D252" s="587">
        <v>53550</v>
      </c>
      <c r="E252" s="153" t="s">
        <v>1312</v>
      </c>
      <c r="F252" s="716">
        <v>-2084948.99</v>
      </c>
      <c r="G252" s="716">
        <v>-2839616.78</v>
      </c>
      <c r="H252" s="32">
        <f>VLOOKUP(D252,'מאזן בוחן EUROPE'!$C:$E,3,0)-F252</f>
        <v>0</v>
      </c>
      <c r="I252" s="32">
        <f>VLOOKUP(D252,'מאזן בוחן EUROPE'!$C:$M,11,0)-G252</f>
        <v>0</v>
      </c>
      <c r="J252" s="32"/>
      <c r="L252" s="536"/>
      <c r="M252" s="1377"/>
      <c r="N252" s="153"/>
      <c r="O252" s="153"/>
      <c r="P252" s="535"/>
      <c r="Q252" s="535"/>
    </row>
    <row r="253" spans="1:17" s="380" customFormat="1">
      <c r="A253" s="153" t="s">
        <v>1266</v>
      </c>
      <c r="B253" s="153" t="s">
        <v>1267</v>
      </c>
      <c r="C253" s="153" t="s">
        <v>1019</v>
      </c>
      <c r="D253" s="587">
        <v>53580</v>
      </c>
      <c r="E253" s="153" t="s">
        <v>1661</v>
      </c>
      <c r="F253" s="716">
        <v>-188189.68</v>
      </c>
      <c r="G253" s="716">
        <v>-244055.02</v>
      </c>
      <c r="H253" s="32">
        <f>VLOOKUP(D253,'מאזן בוחן EUROPE'!$C:$E,3,0)-F253</f>
        <v>0</v>
      </c>
      <c r="I253" s="32">
        <f>VLOOKUP(D253,'מאזן בוחן EUROPE'!$C:$M,11,0)-G253</f>
        <v>0</v>
      </c>
      <c r="J253" s="32"/>
      <c r="L253" s="536"/>
      <c r="M253" s="1377"/>
      <c r="N253" s="153"/>
      <c r="O253" s="153"/>
      <c r="P253" s="535"/>
      <c r="Q253" s="535"/>
    </row>
    <row r="254" spans="1:17" s="380" customFormat="1">
      <c r="A254" s="153" t="s">
        <v>1266</v>
      </c>
      <c r="B254" s="153" t="s">
        <v>1267</v>
      </c>
      <c r="C254" s="153" t="s">
        <v>1019</v>
      </c>
      <c r="D254" s="587">
        <v>53581</v>
      </c>
      <c r="E254" s="153" t="s">
        <v>1662</v>
      </c>
      <c r="F254" s="716">
        <v>-2260207.41</v>
      </c>
      <c r="G254" s="716">
        <v>-3019532.51</v>
      </c>
      <c r="H254" s="32">
        <f>VLOOKUP(D254,'מאזן בוחן EUROPE'!$C:$E,3,0)-F254</f>
        <v>0</v>
      </c>
      <c r="I254" s="32">
        <f>VLOOKUP(D254,'מאזן בוחן EUROPE'!$C:$M,11,0)-G254</f>
        <v>0</v>
      </c>
      <c r="J254" s="32"/>
      <c r="L254" s="536"/>
      <c r="M254" s="1377"/>
      <c r="N254" s="153"/>
      <c r="O254" s="153"/>
      <c r="P254" s="535"/>
      <c r="Q254" s="535"/>
    </row>
    <row r="255" spans="1:17" s="380" customFormat="1">
      <c r="A255" s="153" t="s">
        <v>1266</v>
      </c>
      <c r="B255" s="153" t="s">
        <v>1267</v>
      </c>
      <c r="C255" s="153" t="s">
        <v>1019</v>
      </c>
      <c r="D255" s="587">
        <v>53599</v>
      </c>
      <c r="E255" s="153" t="s">
        <v>1952</v>
      </c>
      <c r="F255" s="716">
        <v>-449415.6</v>
      </c>
      <c r="G255" s="716">
        <v>-579656.18000000005</v>
      </c>
      <c r="H255" s="32">
        <f>VLOOKUP(D255,'מאזן בוחן EUROPE'!$C:$E,3,0)-F255</f>
        <v>0</v>
      </c>
      <c r="I255" s="32">
        <f>VLOOKUP(D255,'מאזן בוחן EUROPE'!$C:$M,11,0)-G255</f>
        <v>0</v>
      </c>
      <c r="J255" s="32"/>
      <c r="L255" s="536"/>
      <c r="M255" s="1377"/>
      <c r="N255" s="153"/>
      <c r="O255" s="153"/>
      <c r="P255" s="535"/>
      <c r="Q255" s="535"/>
    </row>
    <row r="256" spans="1:17" s="380" customFormat="1">
      <c r="A256" s="153" t="s">
        <v>1266</v>
      </c>
      <c r="B256" s="153" t="s">
        <v>1267</v>
      </c>
      <c r="C256" s="153" t="s">
        <v>1019</v>
      </c>
      <c r="D256" s="587">
        <v>53600</v>
      </c>
      <c r="E256" s="153" t="s">
        <v>498</v>
      </c>
      <c r="F256" s="716">
        <v>-3056715.52</v>
      </c>
      <c r="G256" s="716">
        <v>-4131087.14</v>
      </c>
      <c r="H256" s="32">
        <f>VLOOKUP(D256,'מאזן בוחן EUROPE'!$C:$E,3,0)-F256</f>
        <v>0</v>
      </c>
      <c r="I256" s="32">
        <f>VLOOKUP(D256,'מאזן בוחן EUROPE'!$C:$M,11,0)-G256</f>
        <v>0</v>
      </c>
      <c r="J256" s="32"/>
      <c r="L256" s="536"/>
      <c r="M256" s="1377"/>
      <c r="N256" s="153"/>
      <c r="O256" s="153"/>
      <c r="P256" s="153"/>
      <c r="Q256" s="535"/>
    </row>
    <row r="257" spans="1:17" s="380" customFormat="1">
      <c r="A257" s="153" t="s">
        <v>1266</v>
      </c>
      <c r="B257" s="153" t="s">
        <v>1268</v>
      </c>
      <c r="C257" s="153" t="s">
        <v>1034</v>
      </c>
      <c r="D257" s="587">
        <v>2130043</v>
      </c>
      <c r="E257" s="153" t="s">
        <v>4140</v>
      </c>
      <c r="F257" s="716">
        <v>-1674.91</v>
      </c>
      <c r="G257" s="716">
        <v>-2263.6</v>
      </c>
      <c r="H257" s="32">
        <f>VLOOKUP(D257,'מאזן בוחן EUROPE'!$C:$E,3,0)-F257</f>
        <v>0</v>
      </c>
      <c r="I257" s="32">
        <f>VLOOKUP(D257,'מאזן בוחן EUROPE'!$C:$M,11,0)-G257</f>
        <v>0</v>
      </c>
      <c r="J257" s="32"/>
      <c r="L257" s="534"/>
      <c r="M257" s="516"/>
      <c r="N257" s="153"/>
      <c r="O257" s="153"/>
      <c r="P257" s="535"/>
      <c r="Q257" s="535"/>
    </row>
    <row r="258" spans="1:17" s="380" customFormat="1">
      <c r="A258" s="153" t="s">
        <v>1266</v>
      </c>
      <c r="B258" s="153" t="s">
        <v>1268</v>
      </c>
      <c r="C258" s="153" t="s">
        <v>1034</v>
      </c>
      <c r="D258" s="587">
        <v>2150056</v>
      </c>
      <c r="E258" s="153" t="s">
        <v>2763</v>
      </c>
      <c r="F258" s="716">
        <v>-3242.56</v>
      </c>
      <c r="G258" s="716">
        <v>-4382.25</v>
      </c>
      <c r="H258" s="32">
        <f>VLOOKUP(D258,'מאזן בוחן EUROPE'!$C:$E,3,0)-F258</f>
        <v>0</v>
      </c>
      <c r="I258" s="32">
        <f>VLOOKUP(D258,'מאזן בוחן EUROPE'!$C:$M,11,0)-G258</f>
        <v>0</v>
      </c>
      <c r="J258" s="32"/>
      <c r="L258" s="534"/>
      <c r="M258" s="516"/>
      <c r="N258" s="153"/>
      <c r="O258" s="153"/>
      <c r="P258" s="153"/>
      <c r="Q258" s="535"/>
    </row>
    <row r="259" spans="1:17" s="380" customFormat="1">
      <c r="A259" s="153" t="s">
        <v>1266</v>
      </c>
      <c r="B259" s="153" t="s">
        <v>1268</v>
      </c>
      <c r="C259" s="153" t="s">
        <v>1034</v>
      </c>
      <c r="D259" s="587">
        <v>2150061</v>
      </c>
      <c r="E259" s="153" t="s">
        <v>4626</v>
      </c>
      <c r="F259" s="716">
        <v>-17586.52</v>
      </c>
      <c r="G259" s="716">
        <v>-23767.81</v>
      </c>
      <c r="H259" s="32">
        <f>VLOOKUP(D259,'מאזן בוחן EUROPE'!$C:$E,3,0)-F259</f>
        <v>0</v>
      </c>
      <c r="I259" s="32">
        <f>VLOOKUP(D259,'מאזן בוחן EUROPE'!$C:$M,11,0)-G259</f>
        <v>0</v>
      </c>
      <c r="J259" s="32"/>
      <c r="L259" s="536"/>
      <c r="M259" s="516"/>
      <c r="N259" s="153"/>
      <c r="O259" s="153"/>
      <c r="P259" s="153"/>
      <c r="Q259" s="153"/>
    </row>
    <row r="260" spans="1:17" s="380" customFormat="1">
      <c r="A260" s="153" t="s">
        <v>1266</v>
      </c>
      <c r="B260" s="153" t="s">
        <v>1268</v>
      </c>
      <c r="C260" s="153" t="s">
        <v>1034</v>
      </c>
      <c r="D260" s="587">
        <v>2170081</v>
      </c>
      <c r="E260" s="153" t="s">
        <v>2843</v>
      </c>
      <c r="F260" s="716">
        <v>-2261.12</v>
      </c>
      <c r="G260" s="716">
        <v>-3055.86</v>
      </c>
      <c r="H260" s="32">
        <f>VLOOKUP(D260,'מאזן בוחן EUROPE'!$C:$E,3,0)-F260</f>
        <v>0</v>
      </c>
      <c r="I260" s="32">
        <f>VLOOKUP(D260,'מאזן בוחן EUROPE'!$C:$M,11,0)-G260</f>
        <v>0</v>
      </c>
      <c r="J260" s="32"/>
      <c r="L260" s="534"/>
      <c r="M260" s="516"/>
      <c r="N260" s="153"/>
      <c r="O260" s="153"/>
      <c r="P260" s="153"/>
      <c r="Q260" s="535"/>
    </row>
    <row r="261" spans="1:17" s="380" customFormat="1">
      <c r="A261" s="153" t="s">
        <v>1266</v>
      </c>
      <c r="B261" s="153" t="s">
        <v>1268</v>
      </c>
      <c r="C261" s="153" t="s">
        <v>1035</v>
      </c>
      <c r="D261" s="587">
        <v>2150055</v>
      </c>
      <c r="E261" s="153" t="s">
        <v>2196</v>
      </c>
      <c r="F261" s="716">
        <v>-1932</v>
      </c>
      <c r="G261" s="716">
        <v>-2611.06</v>
      </c>
      <c r="H261" s="32">
        <f>VLOOKUP(D261,'מאזן בוחן EUROPE'!$C:$E,3,0)-F261</f>
        <v>0</v>
      </c>
      <c r="I261" s="32">
        <f>VLOOKUP(D261,'מאזן בוחן EUROPE'!$C:$M,11,0)-G261</f>
        <v>0</v>
      </c>
      <c r="J261" s="32"/>
      <c r="L261" s="534"/>
      <c r="M261" s="516"/>
      <c r="N261" s="153"/>
      <c r="O261" s="153"/>
      <c r="P261" s="535"/>
      <c r="Q261" s="535"/>
    </row>
    <row r="262" spans="1:17" s="380" customFormat="1">
      <c r="A262" s="153" t="s">
        <v>1266</v>
      </c>
      <c r="B262" s="153" t="s">
        <v>1268</v>
      </c>
      <c r="C262" s="153" t="s">
        <v>1035</v>
      </c>
      <c r="D262" s="587">
        <v>2170114</v>
      </c>
      <c r="E262" s="153" t="s">
        <v>4274</v>
      </c>
      <c r="F262" s="716">
        <v>-20400</v>
      </c>
      <c r="G262" s="716">
        <v>-27570.17</v>
      </c>
      <c r="H262" s="32">
        <f>VLOOKUP(D262,'מאזן בוחן EUROPE'!$C:$E,3,0)-F262</f>
        <v>0</v>
      </c>
      <c r="I262" s="32">
        <f>VLOOKUP(D262,'מאזן בוחן EUROPE'!$C:$M,11,0)-G262</f>
        <v>0</v>
      </c>
      <c r="J262" s="32"/>
      <c r="L262" s="534"/>
      <c r="M262" s="516"/>
      <c r="N262" s="153"/>
      <c r="O262" s="153"/>
      <c r="P262" s="535"/>
      <c r="Q262" s="535"/>
    </row>
    <row r="263" spans="1:17" s="380" customFormat="1">
      <c r="A263" s="153" t="s">
        <v>1266</v>
      </c>
      <c r="B263" s="153" t="s">
        <v>1268</v>
      </c>
      <c r="C263" s="153" t="s">
        <v>4687</v>
      </c>
      <c r="D263" s="587">
        <v>2160000</v>
      </c>
      <c r="E263" s="153" t="s">
        <v>4688</v>
      </c>
      <c r="F263" s="716">
        <v>-32654.32</v>
      </c>
      <c r="G263" s="716">
        <v>-44131.62</v>
      </c>
      <c r="H263" s="32">
        <f>VLOOKUP(D263,'מאזן בוחן EUROPE'!$C:$E,3,0)-F263</f>
        <v>0</v>
      </c>
      <c r="I263" s="32">
        <f>VLOOKUP(D263,'מאזן בוחן EUROPE'!$C:$M,11,0)-G263</f>
        <v>0</v>
      </c>
      <c r="J263" s="32"/>
      <c r="L263" s="534"/>
      <c r="M263" s="516"/>
      <c r="N263" s="153"/>
      <c r="O263" s="153"/>
      <c r="P263" s="535"/>
      <c r="Q263" s="535"/>
    </row>
    <row r="264" spans="1:17" s="380" customFormat="1">
      <c r="A264" s="153" t="s">
        <v>1266</v>
      </c>
      <c r="B264" s="153" t="s">
        <v>1270</v>
      </c>
      <c r="C264" s="153" t="s">
        <v>1037</v>
      </c>
      <c r="D264" s="587">
        <v>2200001</v>
      </c>
      <c r="E264" s="153" t="s">
        <v>1313</v>
      </c>
      <c r="F264" s="716">
        <v>-11153.37</v>
      </c>
      <c r="G264" s="716">
        <v>-15073.54</v>
      </c>
      <c r="H264" s="32">
        <f>VLOOKUP(D264,'מאזן בוחן EUROPE'!$C:$E,3,0)-F264</f>
        <v>0</v>
      </c>
      <c r="I264" s="32">
        <f>VLOOKUP(D264,'מאזן בוחן EUROPE'!$C:$M,11,0)-G264</f>
        <v>0</v>
      </c>
      <c r="J264" s="32"/>
      <c r="L264" s="534"/>
      <c r="M264" s="516"/>
      <c r="N264" s="153"/>
      <c r="O264" s="153"/>
      <c r="P264" s="535"/>
      <c r="Q264" s="535"/>
    </row>
    <row r="265" spans="1:17" s="380" customFormat="1">
      <c r="A265" s="153" t="s">
        <v>1266</v>
      </c>
      <c r="B265" s="153" t="s">
        <v>1271</v>
      </c>
      <c r="C265" s="153" t="s">
        <v>1040</v>
      </c>
      <c r="D265" s="587">
        <v>2400001</v>
      </c>
      <c r="E265" s="153" t="s">
        <v>519</v>
      </c>
      <c r="F265" s="716">
        <v>-702686.61</v>
      </c>
      <c r="G265" s="716">
        <v>-947832.52</v>
      </c>
      <c r="H265" s="32">
        <f>VLOOKUP(D265,'מאזן בוחן EUROPE'!$C:$E,3,0)-F265</f>
        <v>0</v>
      </c>
      <c r="I265" s="32">
        <f>VLOOKUP(D265,'מאזן בוחן EUROPE'!$C:$M,11,0)-G265</f>
        <v>0</v>
      </c>
      <c r="J265" s="32"/>
      <c r="L265" s="534"/>
      <c r="M265" s="516"/>
      <c r="N265" s="153"/>
      <c r="O265" s="153"/>
      <c r="P265" s="535"/>
      <c r="Q265" s="535"/>
    </row>
    <row r="266" spans="1:17" s="380" customFormat="1">
      <c r="A266" s="153" t="s">
        <v>1266</v>
      </c>
      <c r="B266" s="153" t="s">
        <v>1271</v>
      </c>
      <c r="C266" s="153" t="s">
        <v>1040</v>
      </c>
      <c r="D266" s="587">
        <v>2400021</v>
      </c>
      <c r="E266" s="153" t="s">
        <v>2011</v>
      </c>
      <c r="F266" s="716">
        <v>95.89</v>
      </c>
      <c r="G266" s="716">
        <v>129.59</v>
      </c>
      <c r="H266" s="32">
        <f>VLOOKUP(D266,'מאזן בוחן EUROPE'!$C:$E,3,0)-F266</f>
        <v>0</v>
      </c>
      <c r="I266" s="32">
        <f>VLOOKUP(D266,'מאזן בוחן EUROPE'!$C:$M,11,0)-G266</f>
        <v>0</v>
      </c>
      <c r="J266" s="32"/>
      <c r="L266" s="534"/>
      <c r="M266" s="516"/>
      <c r="N266" s="153"/>
      <c r="O266" s="153"/>
      <c r="P266" s="535"/>
      <c r="Q266" s="535"/>
    </row>
    <row r="267" spans="1:17" s="380" customFormat="1">
      <c r="A267" s="153" t="s">
        <v>1266</v>
      </c>
      <c r="B267" s="153" t="s">
        <v>1271</v>
      </c>
      <c r="C267" s="153" t="s">
        <v>1040</v>
      </c>
      <c r="D267" s="587">
        <v>2400030</v>
      </c>
      <c r="E267" s="153" t="s">
        <v>1639</v>
      </c>
      <c r="F267" s="716">
        <v>2077.91</v>
      </c>
      <c r="G267" s="716">
        <v>2808.26</v>
      </c>
      <c r="H267" s="32">
        <f>VLOOKUP(D267,'מאזן בוחן EUROPE'!$C:$E,3,0)-F267</f>
        <v>0</v>
      </c>
      <c r="I267" s="32">
        <f>VLOOKUP(D267,'מאזן בוחן EUROPE'!$C:$M,11,0)-G267</f>
        <v>0</v>
      </c>
      <c r="J267" s="32"/>
      <c r="L267" s="534"/>
      <c r="M267" s="516"/>
      <c r="N267" s="153"/>
      <c r="O267" s="153"/>
      <c r="P267" s="535"/>
      <c r="Q267" s="535"/>
    </row>
    <row r="268" spans="1:17" s="380" customFormat="1">
      <c r="A268" s="153" t="s">
        <v>1266</v>
      </c>
      <c r="B268" s="153" t="s">
        <v>1271</v>
      </c>
      <c r="C268" s="153" t="s">
        <v>1040</v>
      </c>
      <c r="D268" s="587">
        <v>2400215</v>
      </c>
      <c r="E268" s="153" t="s">
        <v>4886</v>
      </c>
      <c r="F268" s="716">
        <v>-2779.96</v>
      </c>
      <c r="G268" s="716">
        <v>-3757.06</v>
      </c>
      <c r="H268" s="32">
        <f>VLOOKUP(D268,'מאזן בוחן EUROPE'!$C:$E,3,0)-F268</f>
        <v>0</v>
      </c>
      <c r="I268" s="32">
        <f>VLOOKUP(D268,'מאזן בוחן EUROPE'!$C:$M,11,0)-G268</f>
        <v>0</v>
      </c>
      <c r="J268" s="32"/>
      <c r="L268" s="534"/>
      <c r="M268" s="516"/>
      <c r="N268" s="153"/>
      <c r="O268" s="153"/>
      <c r="P268" s="153"/>
      <c r="Q268" s="153"/>
    </row>
    <row r="269" spans="1:17" s="380" customFormat="1">
      <c r="A269" s="153" t="s">
        <v>1266</v>
      </c>
      <c r="B269" s="153" t="s">
        <v>1271</v>
      </c>
      <c r="C269" s="153" t="s">
        <v>1040</v>
      </c>
      <c r="D269" s="587">
        <v>2400220</v>
      </c>
      <c r="E269" s="153" t="s">
        <v>2032</v>
      </c>
      <c r="F269" s="716">
        <v>-3578.44</v>
      </c>
      <c r="G269" s="716">
        <v>-4836.18</v>
      </c>
      <c r="H269" s="32">
        <f>VLOOKUP(D269,'מאזן בוחן EUROPE'!$C:$E,3,0)-F269</f>
        <v>0</v>
      </c>
      <c r="I269" s="32">
        <f>VLOOKUP(D269,'מאזן בוחן EUROPE'!$C:$M,11,0)-G269</f>
        <v>0</v>
      </c>
      <c r="J269" s="32"/>
      <c r="L269" s="534"/>
      <c r="M269" s="516"/>
      <c r="N269" s="153"/>
      <c r="O269" s="153"/>
      <c r="P269" s="153"/>
      <c r="Q269" s="153"/>
    </row>
    <row r="270" spans="1:17" s="380" customFormat="1">
      <c r="A270" s="153" t="s">
        <v>1266</v>
      </c>
      <c r="B270" s="153" t="s">
        <v>1272</v>
      </c>
      <c r="C270" s="153" t="s">
        <v>1044</v>
      </c>
      <c r="D270" s="587">
        <v>2000060</v>
      </c>
      <c r="E270" s="153" t="s">
        <v>2010</v>
      </c>
      <c r="F270" s="716">
        <v>63480.17</v>
      </c>
      <c r="G270" s="716">
        <v>85792.12</v>
      </c>
      <c r="H270" s="32">
        <f>VLOOKUP(D270,'מאזן בוחן EUROPE'!$C:$E,3,0)-F270</f>
        <v>0</v>
      </c>
      <c r="I270" s="32">
        <f>VLOOKUP(D270,'מאזן בוחן EUROPE'!$C:$M,11,0)-G270</f>
        <v>0</v>
      </c>
      <c r="J270" s="32"/>
      <c r="L270" s="534"/>
      <c r="M270" s="516"/>
      <c r="N270" s="153"/>
      <c r="O270" s="153"/>
      <c r="P270" s="153"/>
      <c r="Q270" s="153"/>
    </row>
    <row r="271" spans="1:17" s="380" customFormat="1">
      <c r="A271" s="153" t="s">
        <v>1266</v>
      </c>
      <c r="B271" s="153" t="s">
        <v>1272</v>
      </c>
      <c r="C271" s="153" t="s">
        <v>1044</v>
      </c>
      <c r="D271" s="587">
        <v>2000070</v>
      </c>
      <c r="E271" s="153" t="s">
        <v>2953</v>
      </c>
      <c r="F271" s="716">
        <v>14500</v>
      </c>
      <c r="G271" s="716">
        <v>19596.45</v>
      </c>
      <c r="H271" s="32">
        <f>VLOOKUP(D271,'מאזן בוחן EUROPE'!$C:$E,3,0)-F271</f>
        <v>0</v>
      </c>
      <c r="I271" s="32">
        <f>VLOOKUP(D271,'מאזן בוחן EUROPE'!$C:$M,11,0)-G271</f>
        <v>0</v>
      </c>
      <c r="J271" s="32"/>
      <c r="L271" s="534"/>
      <c r="M271" s="516"/>
      <c r="N271" s="153"/>
      <c r="O271" s="153"/>
      <c r="P271" s="153"/>
      <c r="Q271" s="153"/>
    </row>
    <row r="272" spans="1:17" s="380" customFormat="1">
      <c r="A272" s="153" t="s">
        <v>1266</v>
      </c>
      <c r="B272" s="153" t="s">
        <v>1272</v>
      </c>
      <c r="C272" s="153" t="s">
        <v>1044</v>
      </c>
      <c r="D272" s="587">
        <v>2000080</v>
      </c>
      <c r="E272" s="153" t="s">
        <v>4275</v>
      </c>
      <c r="F272" s="716">
        <v>61339</v>
      </c>
      <c r="G272" s="716">
        <v>82898.38</v>
      </c>
      <c r="H272" s="32">
        <f>VLOOKUP(D272,'מאזן בוחן EUROPE'!$C:$E,3,0)-F272</f>
        <v>0</v>
      </c>
      <c r="I272" s="32">
        <f>VLOOKUP(D272,'מאזן בוחן EUROPE'!$C:$M,11,0)-G272</f>
        <v>0</v>
      </c>
      <c r="J272" s="32"/>
      <c r="L272" s="534"/>
      <c r="M272" s="516"/>
      <c r="N272" s="153"/>
      <c r="O272" s="153"/>
      <c r="P272" s="153"/>
      <c r="Q272" s="153"/>
    </row>
    <row r="273" spans="1:17" s="380" customFormat="1">
      <c r="A273" s="153" t="s">
        <v>1266</v>
      </c>
      <c r="B273" s="153" t="s">
        <v>1272</v>
      </c>
      <c r="C273" s="153" t="s">
        <v>1044</v>
      </c>
      <c r="D273" s="587">
        <v>2050043</v>
      </c>
      <c r="E273" s="153" t="s">
        <v>2813</v>
      </c>
      <c r="F273" s="716">
        <v>-21339.59</v>
      </c>
      <c r="G273" s="716">
        <v>-28840.01</v>
      </c>
      <c r="H273" s="32">
        <f>VLOOKUP(D273,'מאזן בוחן EUROPE'!$C:$E,3,0)-F273</f>
        <v>0</v>
      </c>
      <c r="I273" s="32">
        <f>VLOOKUP(D273,'מאזן בוחן EUROPE'!$C:$M,11,0)-G273</f>
        <v>0</v>
      </c>
      <c r="J273" s="32"/>
      <c r="L273" s="534"/>
      <c r="M273" s="516"/>
      <c r="N273" s="153"/>
      <c r="O273" s="153"/>
      <c r="P273" s="153"/>
      <c r="Q273" s="153"/>
    </row>
    <row r="274" spans="1:17" s="380" customFormat="1">
      <c r="A274" s="153" t="s">
        <v>1266</v>
      </c>
      <c r="B274" s="153" t="s">
        <v>1272</v>
      </c>
      <c r="C274" s="153" t="s">
        <v>1044</v>
      </c>
      <c r="D274" s="587">
        <v>2050044</v>
      </c>
      <c r="E274" s="153" t="s">
        <v>4651</v>
      </c>
      <c r="F274" s="716">
        <v>-31816.18</v>
      </c>
      <c r="G274" s="716">
        <v>-42998.9</v>
      </c>
      <c r="H274" s="32">
        <f>VLOOKUP(D274,'מאזן בוחן EUROPE'!$C:$E,3,0)-F274</f>
        <v>0</v>
      </c>
      <c r="I274" s="32">
        <f>VLOOKUP(D274,'מאזן בוחן EUROPE'!$C:$M,11,0)-G274</f>
        <v>0</v>
      </c>
      <c r="J274" s="32"/>
      <c r="L274" s="534"/>
      <c r="M274" s="516"/>
      <c r="N274" s="153"/>
      <c r="O274" s="153"/>
      <c r="P274" s="535"/>
      <c r="Q274" s="535"/>
    </row>
    <row r="275" spans="1:17" s="380" customFormat="1">
      <c r="A275" s="153" t="s">
        <v>1266</v>
      </c>
      <c r="B275" s="153" t="s">
        <v>1272</v>
      </c>
      <c r="C275" s="153" t="s">
        <v>1044</v>
      </c>
      <c r="D275" s="587">
        <v>21010</v>
      </c>
      <c r="E275" s="153" t="s">
        <v>1567</v>
      </c>
      <c r="F275" s="716">
        <v>-37247</v>
      </c>
      <c r="G275" s="716">
        <v>-50338.54</v>
      </c>
      <c r="H275" s="32">
        <f>VLOOKUP(D275,'מאזן בוחן EUROPE'!$C:$E,3,0)-F275</f>
        <v>0</v>
      </c>
      <c r="I275" s="32">
        <f>VLOOKUP(D275,'מאזן בוחן EUROPE'!$C:$M,11,0)-G275</f>
        <v>0</v>
      </c>
      <c r="J275" s="32"/>
      <c r="L275" s="534"/>
      <c r="M275" s="516"/>
      <c r="N275" s="153"/>
      <c r="O275" s="153"/>
      <c r="P275" s="535"/>
      <c r="Q275" s="535"/>
    </row>
    <row r="276" spans="1:17" s="380" customFormat="1">
      <c r="A276" s="153" t="s">
        <v>1266</v>
      </c>
      <c r="B276" s="153" t="s">
        <v>1272</v>
      </c>
      <c r="C276" s="153" t="s">
        <v>1044</v>
      </c>
      <c r="D276" s="587">
        <v>2500005</v>
      </c>
      <c r="E276" s="153" t="s">
        <v>4481</v>
      </c>
      <c r="F276" s="716">
        <v>-60757.8</v>
      </c>
      <c r="G276" s="716">
        <v>-82112.899999999994</v>
      </c>
      <c r="H276" s="32">
        <f>VLOOKUP(D276,'מאזן בוחן EUROPE'!$C:$E,3,0)-F276</f>
        <v>0</v>
      </c>
      <c r="I276" s="32">
        <f>VLOOKUP(D276,'מאזן בוחן EUROPE'!$C:$M,11,0)-G276</f>
        <v>0</v>
      </c>
      <c r="J276" s="32"/>
      <c r="L276" s="534"/>
      <c r="M276" s="516"/>
      <c r="N276" s="153"/>
      <c r="O276" s="153"/>
      <c r="P276" s="153"/>
      <c r="Q276" s="153"/>
    </row>
    <row r="277" spans="1:17" s="380" customFormat="1">
      <c r="A277" s="153" t="s">
        <v>1266</v>
      </c>
      <c r="B277" s="153" t="s">
        <v>1272</v>
      </c>
      <c r="C277" s="153" t="s">
        <v>1044</v>
      </c>
      <c r="D277" s="587">
        <v>2500006</v>
      </c>
      <c r="E277" s="153" t="s">
        <v>1568</v>
      </c>
      <c r="F277" s="716">
        <v>37040.93</v>
      </c>
      <c r="G277" s="716">
        <v>50060.04</v>
      </c>
      <c r="H277" s="32">
        <f>VLOOKUP(D277,'מאזן בוחן EUROPE'!$C:$E,3,0)-F277</f>
        <v>0</v>
      </c>
      <c r="I277" s="32">
        <f>VLOOKUP(D277,'מאזן בוחן EUROPE'!$C:$M,11,0)-G277</f>
        <v>0</v>
      </c>
      <c r="J277" s="32"/>
      <c r="L277" s="534"/>
      <c r="M277" s="516"/>
      <c r="N277" s="153"/>
      <c r="O277" s="153"/>
      <c r="P277" s="153"/>
      <c r="Q277" s="153"/>
    </row>
    <row r="278" spans="1:17" s="380" customFormat="1">
      <c r="A278" s="153" t="s">
        <v>1266</v>
      </c>
      <c r="B278" s="153" t="s">
        <v>1272</v>
      </c>
      <c r="C278" s="153" t="s">
        <v>1044</v>
      </c>
      <c r="D278" s="587">
        <v>2500010</v>
      </c>
      <c r="E278" s="153" t="s">
        <v>773</v>
      </c>
      <c r="F278" s="716">
        <v>-2296.21</v>
      </c>
      <c r="G278" s="716">
        <v>-3103.28</v>
      </c>
      <c r="H278" s="32">
        <f>VLOOKUP(D278,'מאזן בוחן EUROPE'!$C:$E,3,0)-F278</f>
        <v>0</v>
      </c>
      <c r="I278" s="32">
        <f>VLOOKUP(D278,'מאזן בוחן EUROPE'!$C:$M,11,0)-G278</f>
        <v>0</v>
      </c>
      <c r="J278" s="32"/>
      <c r="L278" s="534"/>
      <c r="M278" s="516"/>
      <c r="N278" s="153"/>
      <c r="O278" s="153"/>
      <c r="P278" s="153"/>
      <c r="Q278" s="153"/>
    </row>
    <row r="279" spans="1:17" s="380" customFormat="1">
      <c r="A279" s="153" t="s">
        <v>1266</v>
      </c>
      <c r="B279" s="153" t="s">
        <v>1272</v>
      </c>
      <c r="C279" s="153" t="s">
        <v>1044</v>
      </c>
      <c r="D279" s="587">
        <v>2500031</v>
      </c>
      <c r="E279" s="153" t="s">
        <v>1579</v>
      </c>
      <c r="F279" s="716">
        <v>2501.5700000000002</v>
      </c>
      <c r="G279" s="716">
        <v>3380.82</v>
      </c>
      <c r="H279" s="32">
        <f>VLOOKUP(D279,'מאזן בוחן EUROPE'!$C:$E,3,0)-F279</f>
        <v>0</v>
      </c>
      <c r="I279" s="32">
        <f>VLOOKUP(D279,'מאזן בוחן EUROPE'!$C:$M,11,0)-G279</f>
        <v>0</v>
      </c>
      <c r="J279" s="32"/>
      <c r="L279" s="534"/>
      <c r="M279" s="516"/>
      <c r="N279" s="153"/>
      <c r="O279" s="153"/>
      <c r="P279" s="535"/>
      <c r="Q279" s="535"/>
    </row>
    <row r="280" spans="1:17" s="380" customFormat="1">
      <c r="A280" s="153" t="s">
        <v>1266</v>
      </c>
      <c r="B280" s="153" t="s">
        <v>1272</v>
      </c>
      <c r="C280" s="153" t="s">
        <v>1044</v>
      </c>
      <c r="D280" s="587">
        <v>2500040</v>
      </c>
      <c r="E280" s="153" t="s">
        <v>1569</v>
      </c>
      <c r="F280" s="716">
        <v>59797.24</v>
      </c>
      <c r="G280" s="716">
        <v>80814.720000000001</v>
      </c>
      <c r="H280" s="32">
        <f>VLOOKUP(D280,'מאזן בוחן EUROPE'!$C:$E,3,0)-F280</f>
        <v>0</v>
      </c>
      <c r="I280" s="32">
        <f>VLOOKUP(D280,'מאזן בוחן EUROPE'!$C:$M,11,0)-G280</f>
        <v>0</v>
      </c>
      <c r="J280" s="32"/>
      <c r="L280" s="534"/>
      <c r="M280" s="516"/>
      <c r="N280" s="153"/>
      <c r="O280" s="153"/>
      <c r="P280" s="535"/>
      <c r="Q280" s="535"/>
    </row>
    <row r="281" spans="1:17" s="380" customFormat="1">
      <c r="A281" s="153" t="s">
        <v>1266</v>
      </c>
      <c r="B281" s="153" t="s">
        <v>1272</v>
      </c>
      <c r="C281" s="153" t="s">
        <v>1044</v>
      </c>
      <c r="D281" s="587">
        <v>2500041</v>
      </c>
      <c r="E281" s="153" t="s">
        <v>1669</v>
      </c>
      <c r="F281" s="716">
        <v>24525.93</v>
      </c>
      <c r="G281" s="716">
        <v>33146.28</v>
      </c>
      <c r="H281" s="32">
        <f>VLOOKUP(D281,'מאזן בוחן EUROPE'!$C:$E,3,0)-F281</f>
        <v>0</v>
      </c>
      <c r="I281" s="32">
        <f>VLOOKUP(D281,'מאזן בוחן EUROPE'!$C:$M,11,0)-G281</f>
        <v>0</v>
      </c>
      <c r="J281" s="32"/>
      <c r="L281" s="534"/>
      <c r="M281" s="516"/>
      <c r="N281" s="153"/>
      <c r="O281" s="153"/>
      <c r="P281" s="153"/>
      <c r="Q281" s="153"/>
    </row>
    <row r="282" spans="1:17" s="380" customFormat="1">
      <c r="A282" s="153" t="s">
        <v>1266</v>
      </c>
      <c r="B282" s="153" t="s">
        <v>1272</v>
      </c>
      <c r="C282" s="153" t="s">
        <v>1044</v>
      </c>
      <c r="D282" s="587">
        <v>2500042</v>
      </c>
      <c r="E282" s="153" t="s">
        <v>2120</v>
      </c>
      <c r="F282" s="716">
        <v>-23520</v>
      </c>
      <c r="G282" s="716">
        <v>-31786.79</v>
      </c>
      <c r="H282" s="32">
        <f>VLOOKUP(D282,'מאזן בוחן EUROPE'!$C:$E,3,0)-F282</f>
        <v>0</v>
      </c>
      <c r="I282" s="32">
        <f>VLOOKUP(D282,'מאזן בוחן EUROPE'!$C:$M,11,0)-G282</f>
        <v>0</v>
      </c>
      <c r="J282" s="32"/>
      <c r="L282" s="534"/>
      <c r="M282" s="516"/>
      <c r="N282" s="153"/>
      <c r="O282" s="153"/>
      <c r="P282" s="535"/>
      <c r="Q282" s="535"/>
    </row>
    <row r="283" spans="1:17" s="380" customFormat="1">
      <c r="A283" s="153" t="s">
        <v>1266</v>
      </c>
      <c r="B283" s="153" t="s">
        <v>1272</v>
      </c>
      <c r="C283" s="153" t="s">
        <v>1044</v>
      </c>
      <c r="D283" s="587">
        <v>2500045</v>
      </c>
      <c r="E283" s="153" t="s">
        <v>2108</v>
      </c>
      <c r="F283" s="716">
        <v>21934.81</v>
      </c>
      <c r="G283" s="716">
        <v>29644.44</v>
      </c>
      <c r="H283" s="32">
        <f>VLOOKUP(D283,'מאזן בוחן EUROPE'!$C:$E,3,0)-F283</f>
        <v>0</v>
      </c>
      <c r="I283" s="32">
        <f>VLOOKUP(D283,'מאזן בוחן EUROPE'!$C:$M,11,0)-G283</f>
        <v>0</v>
      </c>
      <c r="J283" s="32"/>
      <c r="L283" s="534"/>
      <c r="M283" s="516"/>
      <c r="N283" s="153"/>
      <c r="O283" s="153"/>
      <c r="P283" s="535"/>
      <c r="Q283" s="535"/>
    </row>
    <row r="284" spans="1:17" s="380" customFormat="1">
      <c r="A284" s="153" t="s">
        <v>1266</v>
      </c>
      <c r="B284" s="153" t="s">
        <v>1272</v>
      </c>
      <c r="C284" s="153" t="s">
        <v>1044</v>
      </c>
      <c r="D284" s="587">
        <v>2500046</v>
      </c>
      <c r="E284" s="153" t="s">
        <v>3321</v>
      </c>
      <c r="F284" s="716">
        <v>32784.019999999997</v>
      </c>
      <c r="G284" s="716">
        <v>44306.92</v>
      </c>
      <c r="H284" s="32">
        <f>VLOOKUP(D284,'מאזן בוחן EUROPE'!$C:$E,3,0)-F284</f>
        <v>0</v>
      </c>
      <c r="I284" s="32">
        <f>VLOOKUP(D284,'מאזן בוחן EUROPE'!$C:$M,11,0)-G284</f>
        <v>0</v>
      </c>
      <c r="J284" s="32"/>
      <c r="L284" s="534"/>
      <c r="M284" s="516"/>
      <c r="N284" s="153"/>
      <c r="O284" s="153"/>
      <c r="P284" s="535"/>
      <c r="Q284" s="535"/>
    </row>
    <row r="285" spans="1:17" s="380" customFormat="1">
      <c r="A285" s="153" t="s">
        <v>1266</v>
      </c>
      <c r="B285" s="153" t="s">
        <v>1272</v>
      </c>
      <c r="C285" s="153" t="s">
        <v>1044</v>
      </c>
      <c r="D285" s="587">
        <v>2500050</v>
      </c>
      <c r="E285" s="153" t="s">
        <v>1600</v>
      </c>
      <c r="F285" s="716">
        <v>-65558</v>
      </c>
      <c r="G285" s="716">
        <v>-88600.27</v>
      </c>
      <c r="H285" s="32">
        <f>VLOOKUP(D285,'מאזן בוחן EUROPE'!$C:$E,3,0)-F285</f>
        <v>0</v>
      </c>
      <c r="I285" s="32">
        <f>VLOOKUP(D285,'מאזן בוחן EUROPE'!$C:$M,11,0)-G285</f>
        <v>0</v>
      </c>
      <c r="J285" s="32"/>
      <c r="L285" s="534"/>
      <c r="M285" s="516"/>
      <c r="N285" s="153"/>
      <c r="O285" s="153"/>
      <c r="P285" s="535"/>
      <c r="Q285" s="535"/>
    </row>
    <row r="286" spans="1:17" s="380" customFormat="1">
      <c r="A286" s="153" t="s">
        <v>1266</v>
      </c>
      <c r="B286" s="153" t="s">
        <v>1272</v>
      </c>
      <c r="C286" s="153" t="s">
        <v>1044</v>
      </c>
      <c r="D286" s="587">
        <v>2500051</v>
      </c>
      <c r="E286" s="153" t="s">
        <v>2960</v>
      </c>
      <c r="F286" s="716">
        <v>-15379</v>
      </c>
      <c r="G286" s="716">
        <v>-20784.400000000001</v>
      </c>
      <c r="H286" s="32">
        <f>VLOOKUP(D286,'מאזן בוחן EUROPE'!$C:$E,3,0)-F286</f>
        <v>0</v>
      </c>
      <c r="I286" s="32">
        <f>VLOOKUP(D286,'מאזן בוחן EUROPE'!$C:$M,11,0)-G286</f>
        <v>0</v>
      </c>
      <c r="J286" s="32"/>
      <c r="L286" s="534"/>
      <c r="M286" s="516"/>
      <c r="N286" s="153"/>
      <c r="O286" s="153"/>
      <c r="P286" s="535"/>
      <c r="Q286" s="535"/>
    </row>
    <row r="287" spans="1:17" s="380" customFormat="1">
      <c r="A287" s="153" t="s">
        <v>1266</v>
      </c>
      <c r="B287" s="153" t="s">
        <v>1272</v>
      </c>
      <c r="C287" s="153" t="s">
        <v>1044</v>
      </c>
      <c r="D287" s="587">
        <v>2500054</v>
      </c>
      <c r="E287" s="153" t="s">
        <v>2236</v>
      </c>
      <c r="F287" s="716">
        <v>-60718.01</v>
      </c>
      <c r="G287" s="716">
        <v>-82059.12</v>
      </c>
      <c r="H287" s="32">
        <f>VLOOKUP(D287,'מאזן בוחן EUROPE'!$C:$E,3,0)-F287</f>
        <v>0</v>
      </c>
      <c r="I287" s="32">
        <f>VLOOKUP(D287,'מאזן בוחן EUROPE'!$C:$M,11,0)-G287</f>
        <v>0</v>
      </c>
      <c r="J287" s="32"/>
      <c r="L287" s="534"/>
      <c r="M287" s="516"/>
      <c r="N287" s="153"/>
      <c r="O287" s="153"/>
      <c r="P287" s="535"/>
      <c r="Q287" s="535"/>
    </row>
    <row r="288" spans="1:17" s="380" customFormat="1">
      <c r="A288" s="153" t="s">
        <v>1266</v>
      </c>
      <c r="B288" s="153" t="s">
        <v>1272</v>
      </c>
      <c r="C288" s="153" t="s">
        <v>1044</v>
      </c>
      <c r="D288" s="587">
        <v>2500099</v>
      </c>
      <c r="E288" s="153" t="s">
        <v>1761</v>
      </c>
      <c r="F288" s="716">
        <v>-57724</v>
      </c>
      <c r="G288" s="716">
        <v>-78012.78</v>
      </c>
      <c r="H288" s="32">
        <f>VLOOKUP(D288,'מאזן בוחן EUROPE'!$C:$E,3,0)-F288</f>
        <v>0</v>
      </c>
      <c r="I288" s="32">
        <f>VLOOKUP(D288,'מאזן בוחן EUROPE'!$C:$M,11,0)-G288</f>
        <v>0</v>
      </c>
      <c r="J288" s="32"/>
      <c r="L288" s="534"/>
      <c r="M288" s="516"/>
      <c r="N288" s="153"/>
      <c r="O288" s="153"/>
      <c r="P288" s="535"/>
      <c r="Q288" s="535"/>
    </row>
    <row r="289" spans="1:21" s="380" customFormat="1">
      <c r="A289" s="153" t="s">
        <v>1275</v>
      </c>
      <c r="B289" s="153" t="s">
        <v>1276</v>
      </c>
      <c r="C289" s="153" t="s">
        <v>1963</v>
      </c>
      <c r="D289" s="587">
        <v>3000001</v>
      </c>
      <c r="E289" s="153" t="s">
        <v>1964</v>
      </c>
      <c r="F289" s="716">
        <v>-100</v>
      </c>
      <c r="G289" s="716">
        <v>-128</v>
      </c>
      <c r="H289" s="32">
        <f>VLOOKUP(D289,'מאזן בוחן EUROPE'!$C:$E,3,0)-F289</f>
        <v>0</v>
      </c>
      <c r="I289" s="32">
        <f>VLOOKUP(D289,'מאזן בוחן EUROPE'!$C:$M,11,0)-G289</f>
        <v>0</v>
      </c>
      <c r="J289" s="32"/>
      <c r="L289" s="534"/>
      <c r="M289" s="516"/>
      <c r="N289" s="153"/>
      <c r="O289" s="153"/>
      <c r="P289" s="535"/>
      <c r="Q289" s="535"/>
    </row>
    <row r="290" spans="1:21" s="380" customFormat="1">
      <c r="A290" s="153" t="s">
        <v>1275</v>
      </c>
      <c r="B290" s="153" t="s">
        <v>1276</v>
      </c>
      <c r="C290" s="153" t="s">
        <v>1319</v>
      </c>
      <c r="D290" s="587">
        <v>99911</v>
      </c>
      <c r="E290" s="153" t="s">
        <v>776</v>
      </c>
      <c r="F290" s="716">
        <v>-107808.61</v>
      </c>
      <c r="G290" s="716">
        <v>-140563.95000000001</v>
      </c>
      <c r="H290" s="32">
        <f>VLOOKUP(D290,'מאזן בוחן EUROPE'!$C:$E,3,0)-F290</f>
        <v>0</v>
      </c>
      <c r="I290" s="32">
        <f>VLOOKUP(D290,'מאזן בוחן EUROPE'!$C:$M,11,0)-G290</f>
        <v>0</v>
      </c>
      <c r="J290" s="32"/>
      <c r="L290" s="534"/>
      <c r="M290" s="516"/>
      <c r="N290" s="153"/>
      <c r="O290" s="153"/>
      <c r="P290" s="535"/>
      <c r="Q290" s="535"/>
    </row>
    <row r="291" spans="1:21" s="380" customFormat="1">
      <c r="A291" s="153" t="s">
        <v>1275</v>
      </c>
      <c r="B291" s="153" t="s">
        <v>1276</v>
      </c>
      <c r="C291" s="153" t="s">
        <v>1050</v>
      </c>
      <c r="D291" s="587">
        <v>3030001</v>
      </c>
      <c r="E291" s="153" t="s">
        <v>1051</v>
      </c>
      <c r="F291" s="716">
        <v>-1579224.97</v>
      </c>
      <c r="G291" s="716">
        <v>-2240324.7999999998</v>
      </c>
      <c r="H291" s="32">
        <f>VLOOKUP(D291,'מאזן בוחן EUROPE'!$C:$E,3,0)-F291</f>
        <v>0</v>
      </c>
      <c r="I291" s="32">
        <f>VLOOKUP(D291,'מאזן בוחן EUROPE'!$C:$M,11,0)-G291</f>
        <v>0</v>
      </c>
      <c r="J291" s="32"/>
      <c r="L291" s="534"/>
      <c r="M291" s="516"/>
      <c r="N291" s="153"/>
      <c r="O291" s="153"/>
      <c r="P291" s="535"/>
      <c r="Q291" s="535"/>
    </row>
    <row r="292" spans="1:21" s="380" customFormat="1">
      <c r="A292" s="153" t="s">
        <v>1275</v>
      </c>
      <c r="B292" s="153" t="s">
        <v>1276</v>
      </c>
      <c r="C292" s="153" t="s">
        <v>1050</v>
      </c>
      <c r="D292" s="587">
        <v>3030098</v>
      </c>
      <c r="E292" s="153" t="s">
        <v>2033</v>
      </c>
      <c r="F292" s="716">
        <v>-160582.54</v>
      </c>
      <c r="G292" s="716">
        <v>-213591</v>
      </c>
      <c r="H292" s="32">
        <f>VLOOKUP(D292,'מאזן בוחן EUROPE'!$C:$E,3,0)-F292</f>
        <v>0</v>
      </c>
      <c r="I292" s="32">
        <f>VLOOKUP(D292,'מאזן בוחן EUROPE'!$C:$M,11,0)-G292</f>
        <v>0</v>
      </c>
      <c r="J292" s="32"/>
      <c r="L292" s="534"/>
      <c r="M292" s="516"/>
      <c r="N292" s="153"/>
      <c r="O292" s="153"/>
      <c r="P292" s="535"/>
      <c r="Q292" s="535"/>
    </row>
    <row r="293" spans="1:21" s="380" customFormat="1">
      <c r="A293" s="153" t="s">
        <v>1275</v>
      </c>
      <c r="B293" s="153" t="s">
        <v>1276</v>
      </c>
      <c r="C293" s="153" t="s">
        <v>1050</v>
      </c>
      <c r="D293" s="587">
        <v>3030099</v>
      </c>
      <c r="E293" s="153" t="s">
        <v>1836</v>
      </c>
      <c r="F293" s="716">
        <v>-54561</v>
      </c>
      <c r="G293" s="716">
        <v>-91142</v>
      </c>
      <c r="H293" s="32">
        <f>VLOOKUP(D293,'מאזן בוחן EUROPE'!$C:$E,3,0)-F293</f>
        <v>0</v>
      </c>
      <c r="I293" s="32">
        <f>VLOOKUP(D293,'מאזן בוחן EUROPE'!$C:$M,11,0)-G293</f>
        <v>0</v>
      </c>
      <c r="J293" s="32"/>
      <c r="L293" s="534"/>
      <c r="M293" s="516"/>
      <c r="N293" s="153"/>
      <c r="O293" s="153"/>
      <c r="P293" s="535"/>
      <c r="Q293" s="535"/>
    </row>
    <row r="294" spans="1:21" s="380" customFormat="1">
      <c r="A294" s="153" t="s">
        <v>1277</v>
      </c>
      <c r="B294" s="153" t="s">
        <v>1278</v>
      </c>
      <c r="C294" s="153" t="s">
        <v>1052</v>
      </c>
      <c r="D294" s="587">
        <v>80001</v>
      </c>
      <c r="E294" s="153" t="s">
        <v>3322</v>
      </c>
      <c r="F294" s="716">
        <v>-236568.12</v>
      </c>
      <c r="G294" s="716">
        <v>-324108.08</v>
      </c>
      <c r="H294" s="32">
        <f>VLOOKUP(D294,'מאזן בוחן EUROPE'!$C:$E,3,0)-F294</f>
        <v>0</v>
      </c>
      <c r="I294" s="32">
        <f>VLOOKUP(D294,'מאזן בוחן EUROPE'!$C:$M,11,0)-G294</f>
        <v>0</v>
      </c>
      <c r="J294" s="32"/>
      <c r="L294" s="534"/>
      <c r="M294" s="516"/>
      <c r="N294" s="153"/>
      <c r="O294" s="153"/>
      <c r="P294" s="535"/>
      <c r="Q294" s="535"/>
    </row>
    <row r="295" spans="1:21" s="380" customFormat="1">
      <c r="A295" s="153" t="s">
        <v>1277</v>
      </c>
      <c r="B295" s="153" t="s">
        <v>1278</v>
      </c>
      <c r="C295" s="153" t="s">
        <v>1052</v>
      </c>
      <c r="D295" s="587">
        <v>80101</v>
      </c>
      <c r="E295" s="153" t="s">
        <v>1320</v>
      </c>
      <c r="F295" s="716">
        <v>-2099355.0299999998</v>
      </c>
      <c r="G295" s="716">
        <v>-2858391.57</v>
      </c>
      <c r="H295" s="32">
        <f>VLOOKUP(D295,'מאזן בוחן EUROPE'!$C:$E,3,0)-F295</f>
        <v>0</v>
      </c>
      <c r="I295" s="32">
        <f>VLOOKUP(D295,'מאזן בוחן EUROPE'!$C:$M,11,0)-G295</f>
        <v>0</v>
      </c>
      <c r="J295" s="32"/>
      <c r="L295" s="534"/>
      <c r="M295" s="516"/>
      <c r="N295" s="153"/>
      <c r="O295" s="153"/>
      <c r="P295" s="535"/>
      <c r="Q295" s="535"/>
    </row>
    <row r="296" spans="1:21" s="380" customFormat="1">
      <c r="A296" s="153" t="s">
        <v>1277</v>
      </c>
      <c r="B296" s="153" t="s">
        <v>1278</v>
      </c>
      <c r="C296" s="153" t="s">
        <v>1052</v>
      </c>
      <c r="D296" s="587">
        <v>80103</v>
      </c>
      <c r="E296" s="153" t="s">
        <v>2222</v>
      </c>
      <c r="F296" s="716">
        <v>-150458.78</v>
      </c>
      <c r="G296" s="716">
        <v>-202849.95</v>
      </c>
      <c r="H296" s="32">
        <f>VLOOKUP(D296,'מאזן בוחן EUROPE'!$C:$E,3,0)-F296</f>
        <v>0</v>
      </c>
      <c r="I296" s="32">
        <f>VLOOKUP(D296,'מאזן בוחן EUROPE'!$C:$M,11,0)-G296</f>
        <v>0</v>
      </c>
      <c r="J296" s="32"/>
      <c r="L296" s="534"/>
      <c r="M296" s="516"/>
      <c r="N296" s="153"/>
      <c r="O296" s="153"/>
      <c r="P296" s="535"/>
      <c r="Q296" s="535"/>
    </row>
    <row r="297" spans="1:21" s="380" customFormat="1">
      <c r="A297" s="153" t="s">
        <v>1277</v>
      </c>
      <c r="B297" s="153" t="s">
        <v>1278</v>
      </c>
      <c r="C297" s="153" t="s">
        <v>1052</v>
      </c>
      <c r="D297" s="587" t="s">
        <v>718</v>
      </c>
      <c r="E297" s="153" t="s">
        <v>1056</v>
      </c>
      <c r="F297" s="716">
        <v>-27681.09</v>
      </c>
      <c r="G297" s="716">
        <v>-38127.93</v>
      </c>
      <c r="H297" s="32">
        <f>VLOOKUP(D297,'מאזן בוחן EUROPE'!$C:$E,3,0)-F297</f>
        <v>0</v>
      </c>
      <c r="I297" s="32">
        <f>VLOOKUP(D297,'מאזן בוחן EUROPE'!$C:$M,11,0)-G297</f>
        <v>0</v>
      </c>
      <c r="J297" s="32"/>
      <c r="L297" s="534"/>
      <c r="M297" s="516"/>
      <c r="N297" s="153"/>
      <c r="O297" s="153"/>
      <c r="P297" s="535"/>
      <c r="Q297" s="535"/>
    </row>
    <row r="298" spans="1:21" s="380" customFormat="1">
      <c r="A298" s="153" t="s">
        <v>1277</v>
      </c>
      <c r="B298" s="153" t="s">
        <v>1278</v>
      </c>
      <c r="C298" s="153" t="s">
        <v>1052</v>
      </c>
      <c r="D298" s="587">
        <v>80105</v>
      </c>
      <c r="E298" s="153" t="s">
        <v>1437</v>
      </c>
      <c r="F298" s="716">
        <v>-15731</v>
      </c>
      <c r="G298" s="716">
        <v>-19286</v>
      </c>
      <c r="H298" s="32">
        <f>VLOOKUP(D298,'מאזן בוחן EUROPE'!$C:$E,3,0)-F298</f>
        <v>0</v>
      </c>
      <c r="I298" s="32">
        <f>VLOOKUP(D298,'מאזן בוחן EUROPE'!$C:$M,11,0)-G298</f>
        <v>0</v>
      </c>
      <c r="J298" s="32"/>
      <c r="L298" s="534"/>
      <c r="M298" s="516"/>
      <c r="N298" s="153"/>
      <c r="O298" s="153"/>
      <c r="P298" s="535"/>
      <c r="Q298" s="535"/>
    </row>
    <row r="299" spans="1:21" s="141" customFormat="1">
      <c r="A299" s="153" t="s">
        <v>1277</v>
      </c>
      <c r="B299" s="153" t="s">
        <v>1278</v>
      </c>
      <c r="C299" s="153" t="s">
        <v>1057</v>
      </c>
      <c r="D299" s="587">
        <v>80060</v>
      </c>
      <c r="E299" s="153" t="s">
        <v>1321</v>
      </c>
      <c r="F299" s="716">
        <v>-1101139.82</v>
      </c>
      <c r="G299" s="716">
        <v>-1467370.68</v>
      </c>
      <c r="H299" s="32">
        <f>VLOOKUP(D299,'מאזן בוחן EUROPE'!$C:$E,3,0)-F299</f>
        <v>0</v>
      </c>
      <c r="I299" s="32">
        <f>VLOOKUP(D299,'מאזן בוחן EUROPE'!$C:$M,11,0)-G299</f>
        <v>0</v>
      </c>
      <c r="J299" s="32"/>
      <c r="L299" s="534"/>
      <c r="M299" s="516"/>
      <c r="N299" s="153"/>
      <c r="O299" s="153"/>
      <c r="P299" s="535"/>
      <c r="Q299" s="535"/>
      <c r="R299" s="380"/>
      <c r="S299" s="380"/>
      <c r="T299" s="380"/>
      <c r="U299" s="380"/>
    </row>
    <row r="300" spans="1:21" s="141" customFormat="1">
      <c r="A300" s="153" t="s">
        <v>1277</v>
      </c>
      <c r="B300" s="153" t="s">
        <v>1278</v>
      </c>
      <c r="C300" s="153" t="s">
        <v>1057</v>
      </c>
      <c r="D300" s="587">
        <v>80061</v>
      </c>
      <c r="E300" s="153" t="s">
        <v>1322</v>
      </c>
      <c r="F300" s="716">
        <v>-4868134.6900000004</v>
      </c>
      <c r="G300" s="716">
        <v>-6445099.5899999999</v>
      </c>
      <c r="H300" s="32">
        <f>VLOOKUP(D300,'מאזן בוחן EUROPE'!$C:$E,3,0)-F300</f>
        <v>0</v>
      </c>
      <c r="I300" s="32">
        <f>VLOOKUP(D300,'מאזן בוחן EUROPE'!$C:$M,11,0)-G300</f>
        <v>0</v>
      </c>
      <c r="J300" s="32"/>
      <c r="L300" s="534"/>
      <c r="M300" s="516"/>
      <c r="N300" s="153"/>
      <c r="O300" s="153"/>
      <c r="P300" s="535"/>
      <c r="Q300" s="535"/>
      <c r="R300" s="380"/>
      <c r="S300" s="380"/>
      <c r="T300" s="380"/>
      <c r="U300" s="380"/>
    </row>
    <row r="301" spans="1:21" s="141" customFormat="1">
      <c r="A301" s="153" t="s">
        <v>1277</v>
      </c>
      <c r="B301" s="153" t="s">
        <v>1278</v>
      </c>
      <c r="C301" s="153" t="s">
        <v>1057</v>
      </c>
      <c r="D301" s="587">
        <v>80062</v>
      </c>
      <c r="E301" s="153" t="s">
        <v>1323</v>
      </c>
      <c r="F301" s="716">
        <v>-170835.7</v>
      </c>
      <c r="G301" s="716">
        <v>-230446.24</v>
      </c>
      <c r="H301" s="32">
        <f>VLOOKUP(D301,'מאזן בוחן EUROPE'!$C:$E,3,0)-F301</f>
        <v>0</v>
      </c>
      <c r="I301" s="32">
        <f>VLOOKUP(D301,'מאזן בוחן EUROPE'!$C:$M,11,0)-G301</f>
        <v>0</v>
      </c>
      <c r="J301" s="32"/>
      <c r="L301" s="534"/>
      <c r="M301" s="516"/>
      <c r="N301" s="153"/>
      <c r="O301" s="153"/>
      <c r="P301" s="535"/>
      <c r="Q301" s="535"/>
      <c r="R301" s="380"/>
      <c r="S301" s="380"/>
      <c r="T301" s="380"/>
      <c r="U301" s="380"/>
    </row>
    <row r="302" spans="1:21" s="141" customFormat="1">
      <c r="A302" s="153" t="s">
        <v>1277</v>
      </c>
      <c r="B302" s="153" t="s">
        <v>1278</v>
      </c>
      <c r="C302" s="153" t="s">
        <v>1057</v>
      </c>
      <c r="D302" s="587">
        <v>80063</v>
      </c>
      <c r="E302" s="153" t="s">
        <v>1324</v>
      </c>
      <c r="F302" s="716">
        <v>-68763.48</v>
      </c>
      <c r="G302" s="716">
        <v>-89433.12</v>
      </c>
      <c r="H302" s="32">
        <f>VLOOKUP(D302,'מאזן בוחן EUROPE'!$C:$E,3,0)-F302</f>
        <v>0</v>
      </c>
      <c r="I302" s="32">
        <f>VLOOKUP(D302,'מאזן בוחן EUROPE'!$C:$M,11,0)-G302</f>
        <v>0</v>
      </c>
      <c r="J302" s="32"/>
      <c r="L302" s="534"/>
      <c r="M302" s="516"/>
      <c r="N302" s="153"/>
      <c r="O302" s="153"/>
      <c r="P302" s="535"/>
      <c r="Q302" s="535"/>
      <c r="R302" s="380"/>
      <c r="S302" s="380"/>
      <c r="T302" s="380"/>
      <c r="U302" s="380"/>
    </row>
    <row r="303" spans="1:21" s="141" customFormat="1">
      <c r="A303" s="153" t="s">
        <v>1277</v>
      </c>
      <c r="B303" s="153" t="s">
        <v>1278</v>
      </c>
      <c r="C303" s="153" t="s">
        <v>1057</v>
      </c>
      <c r="D303" s="587">
        <v>80064</v>
      </c>
      <c r="E303" s="153" t="s">
        <v>1593</v>
      </c>
      <c r="F303" s="716">
        <v>-76822.399999999994</v>
      </c>
      <c r="G303" s="716">
        <v>-104076.66</v>
      </c>
      <c r="H303" s="32">
        <f>VLOOKUP(D303,'מאזן בוחן EUROPE'!$C:$E,3,0)-F303</f>
        <v>0</v>
      </c>
      <c r="I303" s="32">
        <f>VLOOKUP(D303,'מאזן בוחן EUROPE'!$C:$M,11,0)-G303</f>
        <v>0</v>
      </c>
      <c r="J303" s="32"/>
      <c r="L303" s="534"/>
      <c r="M303" s="516"/>
      <c r="N303" s="153"/>
      <c r="O303" s="153"/>
      <c r="P303" s="535"/>
      <c r="Q303" s="535"/>
      <c r="R303" s="380"/>
    </row>
    <row r="304" spans="1:21" s="141" customFormat="1">
      <c r="A304" s="153" t="s">
        <v>1277</v>
      </c>
      <c r="B304" s="153" t="s">
        <v>1278</v>
      </c>
      <c r="C304" s="153" t="s">
        <v>1057</v>
      </c>
      <c r="D304" s="587" t="s">
        <v>2618</v>
      </c>
      <c r="E304" s="153" t="s">
        <v>2619</v>
      </c>
      <c r="F304" s="716">
        <v>-47750.93</v>
      </c>
      <c r="G304" s="716">
        <v>-60421.13</v>
      </c>
      <c r="H304" s="32">
        <f>VLOOKUP(D304,'מאזן בוחן EUROPE'!$C:$E,3,0)-F304</f>
        <v>0</v>
      </c>
      <c r="I304" s="32">
        <f>VLOOKUP(D304,'מאזן בוחן EUROPE'!$C:$M,11,0)-G304</f>
        <v>0</v>
      </c>
      <c r="J304" s="32"/>
      <c r="L304" s="534"/>
      <c r="M304" s="516"/>
      <c r="N304" s="153"/>
      <c r="O304" s="153"/>
      <c r="P304" s="535"/>
      <c r="Q304" s="535"/>
      <c r="R304" s="380"/>
    </row>
    <row r="305" spans="1:18" s="141" customFormat="1">
      <c r="A305" s="153" t="s">
        <v>1277</v>
      </c>
      <c r="B305" s="153" t="s">
        <v>1278</v>
      </c>
      <c r="C305" s="153" t="s">
        <v>1057</v>
      </c>
      <c r="D305" s="587">
        <v>80065</v>
      </c>
      <c r="E305" s="153" t="s">
        <v>1591</v>
      </c>
      <c r="F305" s="716">
        <v>-45462.57</v>
      </c>
      <c r="G305" s="716">
        <v>-59523.87</v>
      </c>
      <c r="H305" s="32">
        <f>VLOOKUP(D305,'מאזן בוחן EUROPE'!$C:$E,3,0)-F305</f>
        <v>0</v>
      </c>
      <c r="I305" s="32">
        <f>VLOOKUP(D305,'מאזן בוחן EUROPE'!$C:$M,11,0)-G305</f>
        <v>0</v>
      </c>
      <c r="J305" s="32"/>
      <c r="L305" s="534"/>
      <c r="M305" s="516"/>
      <c r="N305" s="153"/>
      <c r="O305" s="153"/>
      <c r="P305" s="535"/>
      <c r="Q305" s="535"/>
      <c r="R305" s="380"/>
    </row>
    <row r="306" spans="1:18" s="141" customFormat="1">
      <c r="A306" s="153" t="s">
        <v>1277</v>
      </c>
      <c r="B306" s="153" t="s">
        <v>1278</v>
      </c>
      <c r="C306" s="153" t="s">
        <v>1057</v>
      </c>
      <c r="D306" s="587" t="s">
        <v>459</v>
      </c>
      <c r="E306" s="153" t="s">
        <v>3461</v>
      </c>
      <c r="F306" s="716">
        <v>-239129.51</v>
      </c>
      <c r="G306" s="716">
        <v>-311174.57</v>
      </c>
      <c r="H306" s="32">
        <f>VLOOKUP(D306,'מאזן בוחן EUROPE'!$C:$E,3,0)-F306</f>
        <v>0</v>
      </c>
      <c r="I306" s="32">
        <f>VLOOKUP(D306,'מאזן בוחן EUROPE'!$C:$M,11,0)-G306</f>
        <v>0</v>
      </c>
      <c r="J306" s="32"/>
      <c r="L306" s="534"/>
      <c r="M306" s="516"/>
      <c r="N306" s="153"/>
      <c r="O306" s="153"/>
      <c r="P306" s="535"/>
      <c r="Q306" s="535"/>
      <c r="R306" s="380"/>
    </row>
    <row r="307" spans="1:18" s="141" customFormat="1">
      <c r="A307" s="153" t="s">
        <v>1277</v>
      </c>
      <c r="B307" s="153" t="s">
        <v>1278</v>
      </c>
      <c r="C307" s="153" t="s">
        <v>1062</v>
      </c>
      <c r="D307" s="587">
        <v>80150</v>
      </c>
      <c r="E307" s="153" t="s">
        <v>1739</v>
      </c>
      <c r="F307" s="716">
        <v>-58809.440000000002</v>
      </c>
      <c r="G307" s="716">
        <v>-79998.3</v>
      </c>
      <c r="H307" s="32">
        <f>VLOOKUP(D307,'מאזן בוחן EUROPE'!$C:$E,3,0)-F307</f>
        <v>0</v>
      </c>
      <c r="I307" s="32">
        <f>VLOOKUP(D307,'מאזן בוחן EUROPE'!$C:$M,11,0)-G307</f>
        <v>0</v>
      </c>
      <c r="J307" s="32"/>
      <c r="L307" s="534"/>
      <c r="M307" s="516"/>
      <c r="N307" s="153"/>
      <c r="O307" s="153"/>
      <c r="P307" s="535"/>
      <c r="Q307" s="535"/>
      <c r="R307" s="380"/>
    </row>
    <row r="308" spans="1:18" s="141" customFormat="1">
      <c r="A308" s="153" t="s">
        <v>1277</v>
      </c>
      <c r="B308" s="153" t="s">
        <v>1278</v>
      </c>
      <c r="C308" s="153" t="s">
        <v>1062</v>
      </c>
      <c r="D308" s="587">
        <v>80151</v>
      </c>
      <c r="E308" s="153" t="s">
        <v>1663</v>
      </c>
      <c r="F308" s="716">
        <v>-19056.5</v>
      </c>
      <c r="G308" s="716">
        <v>-26395.03</v>
      </c>
      <c r="H308" s="32">
        <f>VLOOKUP(D308,'מאזן בוחן EUROPE'!$C:$E,3,0)-F308</f>
        <v>0</v>
      </c>
      <c r="I308" s="32">
        <f>VLOOKUP(D308,'מאזן בוחן EUROPE'!$C:$M,11,0)-G308</f>
        <v>0</v>
      </c>
      <c r="J308" s="32"/>
      <c r="L308" s="534"/>
      <c r="M308" s="516"/>
      <c r="N308" s="153"/>
      <c r="O308" s="153"/>
      <c r="P308" s="535"/>
      <c r="Q308" s="535"/>
      <c r="R308" s="380"/>
    </row>
    <row r="309" spans="1:18" s="141" customFormat="1">
      <c r="A309" s="153" t="s">
        <v>1277</v>
      </c>
      <c r="B309" s="153" t="s">
        <v>1278</v>
      </c>
      <c r="C309" s="153" t="s">
        <v>1062</v>
      </c>
      <c r="D309" s="587">
        <v>80152</v>
      </c>
      <c r="E309" s="153" t="s">
        <v>1326</v>
      </c>
      <c r="F309" s="716">
        <v>-781748.42</v>
      </c>
      <c r="G309" s="716">
        <v>-1044818.02</v>
      </c>
      <c r="H309" s="32">
        <f>VLOOKUP(D309,'מאזן בוחן EUROPE'!$C:$E,3,0)-F309</f>
        <v>0</v>
      </c>
      <c r="I309" s="32">
        <f>VLOOKUP(D309,'מאזן בוחן EUROPE'!$C:$M,11,0)-G309</f>
        <v>0</v>
      </c>
      <c r="J309" s="32"/>
      <c r="L309" s="534"/>
      <c r="M309" s="516"/>
      <c r="N309" s="153"/>
      <c r="O309" s="153"/>
      <c r="P309" s="535"/>
      <c r="Q309" s="535"/>
      <c r="R309" s="380"/>
    </row>
    <row r="310" spans="1:18">
      <c r="A310" s="153" t="s">
        <v>1277</v>
      </c>
      <c r="B310" s="153" t="s">
        <v>1278</v>
      </c>
      <c r="C310" s="153" t="s">
        <v>1062</v>
      </c>
      <c r="D310" s="587">
        <v>80153</v>
      </c>
      <c r="E310" s="153" t="s">
        <v>1627</v>
      </c>
      <c r="F310" s="716">
        <v>-191821</v>
      </c>
      <c r="G310" s="716">
        <v>-265187.95</v>
      </c>
      <c r="H310" s="32">
        <f>VLOOKUP(D310,'מאזן בוחן EUROPE'!$C:$E,3,0)-F310</f>
        <v>0</v>
      </c>
      <c r="I310" s="32">
        <f>VLOOKUP(D310,'מאזן בוחן EUROPE'!$C:$M,11,0)-G310</f>
        <v>0</v>
      </c>
      <c r="J310" s="32"/>
      <c r="K310" s="137"/>
      <c r="L310" s="534"/>
      <c r="M310" s="516"/>
      <c r="N310" s="153"/>
      <c r="O310" s="153"/>
      <c r="P310" s="535"/>
      <c r="Q310" s="535"/>
      <c r="R310" s="380"/>
    </row>
    <row r="311" spans="1:18" s="141" customFormat="1">
      <c r="A311" s="153" t="s">
        <v>1277</v>
      </c>
      <c r="B311" s="153" t="s">
        <v>1278</v>
      </c>
      <c r="C311" s="153" t="s">
        <v>1062</v>
      </c>
      <c r="D311" s="587" t="s">
        <v>2233</v>
      </c>
      <c r="E311" s="153" t="s">
        <v>2234</v>
      </c>
      <c r="F311" s="716">
        <v>217506.23</v>
      </c>
      <c r="G311" s="716">
        <v>294823.2</v>
      </c>
      <c r="H311" s="32">
        <f>VLOOKUP(D311,'מאזן בוחן EUROPE'!$C:$E,3,0)-F311</f>
        <v>0</v>
      </c>
      <c r="I311" s="32">
        <f>VLOOKUP(D311,'מאזן בוחן EUROPE'!$C:$M,11,0)-G311</f>
        <v>0</v>
      </c>
      <c r="J311" s="32"/>
      <c r="L311" s="534"/>
      <c r="M311" s="516"/>
      <c r="N311" s="153"/>
      <c r="O311" s="153"/>
      <c r="P311" s="535"/>
      <c r="Q311" s="535"/>
      <c r="R311" s="380"/>
    </row>
    <row r="312" spans="1:18" s="141" customFormat="1">
      <c r="A312" s="153" t="s">
        <v>1277</v>
      </c>
      <c r="B312" s="153" t="s">
        <v>1278</v>
      </c>
      <c r="C312" s="153" t="s">
        <v>1765</v>
      </c>
      <c r="D312" s="587">
        <v>80080</v>
      </c>
      <c r="E312" s="153" t="s">
        <v>1667</v>
      </c>
      <c r="F312" s="716">
        <v>-971933.85</v>
      </c>
      <c r="G312" s="716">
        <v>-1273992.48</v>
      </c>
      <c r="H312" s="32">
        <f>VLOOKUP(D312,'מאזן בוחן EUROPE'!$C:$E,3,0)-F312</f>
        <v>0</v>
      </c>
      <c r="I312" s="32">
        <f>VLOOKUP(D312,'מאזן בוחן EUROPE'!$C:$M,11,0)-G312</f>
        <v>0</v>
      </c>
      <c r="J312" s="32"/>
      <c r="L312" s="534"/>
      <c r="M312" s="516"/>
      <c r="N312" s="153"/>
      <c r="O312" s="153"/>
      <c r="P312" s="535"/>
      <c r="Q312" s="535"/>
      <c r="R312" s="380"/>
    </row>
    <row r="313" spans="1:18" s="141" customFormat="1">
      <c r="A313" s="153" t="s">
        <v>1277</v>
      </c>
      <c r="B313" s="153" t="s">
        <v>1278</v>
      </c>
      <c r="C313" s="153" t="s">
        <v>1765</v>
      </c>
      <c r="D313" s="587">
        <v>80081</v>
      </c>
      <c r="E313" s="153" t="s">
        <v>2044</v>
      </c>
      <c r="F313" s="716">
        <v>-159683.69</v>
      </c>
      <c r="G313" s="716">
        <v>-201096.5</v>
      </c>
      <c r="H313" s="32">
        <f>VLOOKUP(D313,'מאזן בוחן EUROPE'!$C:$E,3,0)-F313</f>
        <v>0</v>
      </c>
      <c r="I313" s="32">
        <f>VLOOKUP(D313,'מאזן בוחן EUROPE'!$C:$M,11,0)-G313</f>
        <v>0</v>
      </c>
      <c r="J313" s="32"/>
      <c r="L313" s="534"/>
      <c r="M313" s="516"/>
      <c r="N313" s="153"/>
      <c r="O313" s="153"/>
      <c r="P313" s="535"/>
      <c r="Q313" s="535"/>
      <c r="R313" s="380"/>
    </row>
    <row r="314" spans="1:18" s="141" customFormat="1">
      <c r="A314" s="153" t="s">
        <v>1277</v>
      </c>
      <c r="B314" s="153" t="s">
        <v>1278</v>
      </c>
      <c r="C314" s="153" t="s">
        <v>1766</v>
      </c>
      <c r="D314" s="587">
        <v>80070</v>
      </c>
      <c r="E314" s="153" t="s">
        <v>1665</v>
      </c>
      <c r="F314" s="716">
        <v>-3019705.14</v>
      </c>
      <c r="G314" s="716">
        <v>-4119576.28</v>
      </c>
      <c r="H314" s="32">
        <f>VLOOKUP(D314,'מאזן בוחן EUROPE'!$C:$E,3,0)-F314</f>
        <v>0</v>
      </c>
      <c r="I314" s="32">
        <f>VLOOKUP(D314,'מאזן בוחן EUROPE'!$C:$M,11,0)-G314</f>
        <v>0</v>
      </c>
      <c r="J314" s="32"/>
      <c r="L314" s="534"/>
      <c r="M314" s="516"/>
      <c r="N314" s="153"/>
      <c r="O314" s="153"/>
      <c r="P314" s="535"/>
      <c r="Q314" s="535"/>
      <c r="R314" s="380"/>
    </row>
    <row r="315" spans="1:18" s="141" customFormat="1">
      <c r="A315" s="153" t="s">
        <v>1277</v>
      </c>
      <c r="B315" s="153" t="s">
        <v>1278</v>
      </c>
      <c r="C315" s="153" t="s">
        <v>1766</v>
      </c>
      <c r="D315" s="587">
        <v>80071</v>
      </c>
      <c r="E315" s="153" t="s">
        <v>2123</v>
      </c>
      <c r="F315" s="716">
        <v>-216622.98</v>
      </c>
      <c r="G315" s="716">
        <v>-293845.75</v>
      </c>
      <c r="H315" s="32">
        <f>VLOOKUP(D315,'מאזן בוחן EUROPE'!$C:$E,3,0)-F315</f>
        <v>0</v>
      </c>
      <c r="I315" s="32">
        <f>VLOOKUP(D315,'מאזן בוחן EUROPE'!$C:$M,11,0)-G315</f>
        <v>0</v>
      </c>
      <c r="J315" s="32"/>
      <c r="L315" s="534"/>
      <c r="M315" s="516"/>
      <c r="N315" s="153"/>
      <c r="O315" s="153"/>
      <c r="P315" s="535"/>
      <c r="Q315" s="535"/>
      <c r="R315" s="380"/>
    </row>
    <row r="316" spans="1:18" s="141" customFormat="1">
      <c r="A316" s="153" t="s">
        <v>1281</v>
      </c>
      <c r="B316" s="153" t="s">
        <v>1282</v>
      </c>
      <c r="C316" s="153" t="s">
        <v>1066</v>
      </c>
      <c r="D316" s="587" t="s">
        <v>1238</v>
      </c>
      <c r="E316" s="153" t="s">
        <v>1239</v>
      </c>
      <c r="F316" s="716">
        <v>3082.1</v>
      </c>
      <c r="G316" s="716">
        <v>4199.28</v>
      </c>
      <c r="H316" s="32">
        <f>VLOOKUP(D316,'מאזן בוחן EUROPE'!$C:$E,3,0)-F316</f>
        <v>0</v>
      </c>
      <c r="I316" s="32">
        <f>VLOOKUP(D316,'מאזן בוחן EUROPE'!$C:$M,11,0)-G316</f>
        <v>0</v>
      </c>
      <c r="J316" s="32"/>
      <c r="L316" s="534"/>
      <c r="M316" s="516"/>
      <c r="N316" s="153"/>
      <c r="O316" s="153"/>
      <c r="P316" s="535"/>
      <c r="Q316" s="535"/>
      <c r="R316" s="380"/>
    </row>
    <row r="317" spans="1:18" s="141" customFormat="1">
      <c r="A317" s="153" t="s">
        <v>1281</v>
      </c>
      <c r="B317" s="153" t="s">
        <v>1283</v>
      </c>
      <c r="C317" s="153" t="s">
        <v>1070</v>
      </c>
      <c r="D317" s="587">
        <v>5200001</v>
      </c>
      <c r="E317" s="153" t="s">
        <v>1637</v>
      </c>
      <c r="F317" s="716">
        <v>244479.62</v>
      </c>
      <c r="G317" s="716">
        <v>335376.40000000002</v>
      </c>
      <c r="H317" s="32">
        <f>VLOOKUP(D317,'מאזן בוחן EUROPE'!$C:$E,3,0)-F317</f>
        <v>0</v>
      </c>
      <c r="I317" s="32">
        <f>VLOOKUP(D317,'מאזן בוחן EUROPE'!$C:$M,11,0)-G317</f>
        <v>0</v>
      </c>
      <c r="J317" s="32"/>
      <c r="L317" s="534"/>
      <c r="M317" s="516"/>
      <c r="N317" s="153"/>
      <c r="O317" s="153"/>
      <c r="P317" s="535"/>
      <c r="Q317" s="535"/>
      <c r="R317" s="380"/>
    </row>
    <row r="318" spans="1:18" s="141" customFormat="1">
      <c r="A318" s="153" t="s">
        <v>1281</v>
      </c>
      <c r="B318" s="153" t="s">
        <v>1283</v>
      </c>
      <c r="C318" s="153" t="s">
        <v>1070</v>
      </c>
      <c r="D318" s="587">
        <v>5200002</v>
      </c>
      <c r="E318" s="153" t="s">
        <v>1736</v>
      </c>
      <c r="F318" s="716">
        <v>12834.13</v>
      </c>
      <c r="G318" s="716">
        <v>17356.490000000002</v>
      </c>
      <c r="H318" s="32">
        <f>VLOOKUP(D318,'מאזן בוחן EUROPE'!$C:$E,3,0)-F318</f>
        <v>0</v>
      </c>
      <c r="I318" s="32">
        <f>VLOOKUP(D318,'מאזן בוחן EUROPE'!$C:$M,11,0)-G318</f>
        <v>0</v>
      </c>
      <c r="J318" s="32"/>
      <c r="L318" s="534"/>
      <c r="M318" s="516"/>
      <c r="N318" s="153"/>
      <c r="O318" s="153"/>
      <c r="P318" s="535"/>
      <c r="Q318" s="535"/>
      <c r="R318" s="380"/>
    </row>
    <row r="319" spans="1:18" s="141" customFormat="1">
      <c r="A319" s="153" t="s">
        <v>1281</v>
      </c>
      <c r="B319" s="153" t="s">
        <v>1283</v>
      </c>
      <c r="C319" s="153" t="s">
        <v>1070</v>
      </c>
      <c r="D319" s="587">
        <v>5200003</v>
      </c>
      <c r="E319" s="153" t="s">
        <v>1734</v>
      </c>
      <c r="F319" s="716">
        <v>10350.200000000001</v>
      </c>
      <c r="G319" s="716">
        <v>14620.97</v>
      </c>
      <c r="H319" s="32">
        <f>VLOOKUP(D319,'מאזן בוחן EUROPE'!$C:$E,3,0)-F319</f>
        <v>0</v>
      </c>
      <c r="I319" s="32">
        <f>VLOOKUP(D319,'מאזן בוחן EUROPE'!$C:$M,11,0)-G319</f>
        <v>0</v>
      </c>
      <c r="J319" s="32"/>
      <c r="L319" s="534"/>
      <c r="M319" s="516"/>
      <c r="N319" s="153"/>
      <c r="O319" s="153"/>
      <c r="P319" s="535"/>
      <c r="Q319" s="535"/>
      <c r="R319" s="380"/>
    </row>
    <row r="320" spans="1:18" s="141" customFormat="1">
      <c r="A320" s="153" t="s">
        <v>1281</v>
      </c>
      <c r="B320" s="153" t="s">
        <v>1283</v>
      </c>
      <c r="C320" s="153" t="s">
        <v>1070</v>
      </c>
      <c r="D320" s="587">
        <v>5200020</v>
      </c>
      <c r="E320" s="153" t="s">
        <v>3901</v>
      </c>
      <c r="F320" s="716">
        <v>35277.15</v>
      </c>
      <c r="G320" s="716">
        <v>47686.99</v>
      </c>
      <c r="H320" s="32">
        <f>VLOOKUP(D320,'מאזן בוחן EUROPE'!$C:$E,3,0)-F320</f>
        <v>0</v>
      </c>
      <c r="I320" s="32">
        <f>VLOOKUP(D320,'מאזן בוחן EUROPE'!$C:$M,11,0)-G320</f>
        <v>0</v>
      </c>
      <c r="J320" s="32"/>
      <c r="L320" s="534"/>
      <c r="M320" s="516"/>
      <c r="N320" s="153"/>
      <c r="O320" s="153"/>
      <c r="P320" s="535"/>
      <c r="Q320" s="535"/>
      <c r="R320" s="380"/>
    </row>
    <row r="321" spans="1:18" s="141" customFormat="1">
      <c r="A321" s="153" t="s">
        <v>1281</v>
      </c>
      <c r="B321" s="153" t="s">
        <v>1283</v>
      </c>
      <c r="C321" s="153" t="s">
        <v>1070</v>
      </c>
      <c r="D321" s="587">
        <v>5200100</v>
      </c>
      <c r="E321" s="153" t="s">
        <v>4738</v>
      </c>
      <c r="F321" s="716">
        <v>890.48</v>
      </c>
      <c r="G321" s="716">
        <v>1203.47</v>
      </c>
      <c r="H321" s="32">
        <f>VLOOKUP(D321,'מאזן בוחן EUROPE'!$C:$E,3,0)-F321</f>
        <v>0</v>
      </c>
      <c r="I321" s="32">
        <f>VLOOKUP(D321,'מאזן בוחן EUROPE'!$C:$M,11,0)-G321</f>
        <v>0</v>
      </c>
      <c r="J321" s="32"/>
      <c r="L321" s="534"/>
      <c r="M321" s="516"/>
      <c r="N321" s="153"/>
      <c r="O321" s="153"/>
      <c r="P321" s="535"/>
      <c r="Q321" s="535"/>
      <c r="R321" s="380"/>
    </row>
    <row r="322" spans="1:18" s="141" customFormat="1">
      <c r="A322" s="153" t="s">
        <v>1281</v>
      </c>
      <c r="B322" s="153" t="s">
        <v>1283</v>
      </c>
      <c r="C322" s="153" t="s">
        <v>1082</v>
      </c>
      <c r="D322" s="587">
        <v>5200029</v>
      </c>
      <c r="E322" s="153" t="s">
        <v>2072</v>
      </c>
      <c r="F322" s="716">
        <v>5343.62</v>
      </c>
      <c r="G322" s="716">
        <v>7246.78</v>
      </c>
      <c r="H322" s="32">
        <f>VLOOKUP(D322,'מאזן בוחן EUROPE'!$C:$E,3,0)-F322</f>
        <v>0</v>
      </c>
      <c r="I322" s="32">
        <f>VLOOKUP(D322,'מאזן בוחן EUROPE'!$C:$M,11,0)-G322</f>
        <v>0</v>
      </c>
      <c r="J322" s="32"/>
      <c r="L322" s="534"/>
      <c r="M322" s="516"/>
      <c r="N322" s="153"/>
      <c r="O322" s="153"/>
      <c r="P322" s="535"/>
      <c r="Q322" s="535"/>
      <c r="R322" s="380"/>
    </row>
    <row r="323" spans="1:18" s="141" customFormat="1">
      <c r="A323" s="153" t="s">
        <v>1281</v>
      </c>
      <c r="B323" s="153" t="s">
        <v>1284</v>
      </c>
      <c r="C323" s="153" t="s">
        <v>1088</v>
      </c>
      <c r="D323" s="587">
        <v>5420004</v>
      </c>
      <c r="E323" s="153" t="s">
        <v>1095</v>
      </c>
      <c r="F323" s="716">
        <v>80206.399999999994</v>
      </c>
      <c r="G323" s="716">
        <v>108966.33</v>
      </c>
      <c r="H323" s="32">
        <f>VLOOKUP(D323,'מאזן בוחן EUROPE'!$C:$E,3,0)-F323</f>
        <v>0</v>
      </c>
      <c r="I323" s="32">
        <f>VLOOKUP(D323,'מאזן בוחן EUROPE'!$C:$M,11,0)-G323</f>
        <v>0</v>
      </c>
      <c r="J323" s="32"/>
      <c r="L323" s="534"/>
      <c r="M323" s="516"/>
      <c r="N323" s="153"/>
      <c r="O323" s="153"/>
      <c r="P323" s="535"/>
      <c r="Q323" s="535"/>
      <c r="R323" s="380"/>
    </row>
    <row r="324" spans="1:18" s="141" customFormat="1">
      <c r="A324" s="153" t="s">
        <v>1281</v>
      </c>
      <c r="B324" s="153" t="s">
        <v>1834</v>
      </c>
      <c r="C324" s="153" t="s">
        <v>1098</v>
      </c>
      <c r="D324" s="587">
        <v>5900001</v>
      </c>
      <c r="E324" s="153" t="s">
        <v>1099</v>
      </c>
      <c r="F324" s="716">
        <v>10422680.859999999</v>
      </c>
      <c r="G324" s="716">
        <v>13870837.5</v>
      </c>
      <c r="H324" s="32">
        <f>VLOOKUP(D324,'מאזן בוחן EUROPE'!$C:$E,3,0)-F324</f>
        <v>0</v>
      </c>
      <c r="I324" s="32">
        <f>VLOOKUP(D324,'מאזן בוחן EUROPE'!$C:$M,11,0)-G324</f>
        <v>0</v>
      </c>
      <c r="J324" s="32"/>
      <c r="L324" s="534"/>
      <c r="M324" s="516"/>
      <c r="N324" s="153"/>
      <c r="O324" s="153"/>
      <c r="P324" s="535"/>
      <c r="Q324" s="535"/>
      <c r="R324" s="380"/>
    </row>
    <row r="325" spans="1:18" s="141" customFormat="1">
      <c r="A325" s="153" t="s">
        <v>1288</v>
      </c>
      <c r="B325" s="153" t="s">
        <v>1289</v>
      </c>
      <c r="C325" s="153" t="s">
        <v>1122</v>
      </c>
      <c r="D325" s="587">
        <v>7010001</v>
      </c>
      <c r="E325" s="153" t="s">
        <v>3902</v>
      </c>
      <c r="F325" s="716">
        <v>26682.94</v>
      </c>
      <c r="G325" s="716">
        <v>36365.300000000003</v>
      </c>
      <c r="H325" s="32">
        <f>VLOOKUP(D325,'מאזן בוחן EUROPE'!$C:$E,3,0)-F325</f>
        <v>0</v>
      </c>
      <c r="I325" s="32">
        <f>VLOOKUP(D325,'מאזן בוחן EUROPE'!$C:$M,11,0)-G325</f>
        <v>0</v>
      </c>
      <c r="J325" s="32"/>
      <c r="L325" s="534"/>
      <c r="M325" s="516"/>
      <c r="N325" s="153"/>
      <c r="O325" s="153"/>
      <c r="P325" s="535"/>
      <c r="Q325" s="535"/>
      <c r="R325" s="380"/>
    </row>
    <row r="326" spans="1:18" s="141" customFormat="1">
      <c r="A326" s="153" t="s">
        <v>1288</v>
      </c>
      <c r="B326" s="153" t="s">
        <v>1289</v>
      </c>
      <c r="C326" s="153" t="s">
        <v>1122</v>
      </c>
      <c r="D326" s="587">
        <v>7010002</v>
      </c>
      <c r="E326" s="153" t="s">
        <v>4276</v>
      </c>
      <c r="F326" s="716">
        <v>2149.6999999999998</v>
      </c>
      <c r="G326" s="716">
        <v>2949.39</v>
      </c>
      <c r="H326" s="32">
        <f>VLOOKUP(D326,'מאזן בוחן EUROPE'!$C:$E,3,0)-F326</f>
        <v>0</v>
      </c>
      <c r="I326" s="32">
        <f>VLOOKUP(D326,'מאזן בוחן EUROPE'!$C:$M,11,0)-G326</f>
        <v>0</v>
      </c>
      <c r="J326" s="32"/>
      <c r="L326" s="534"/>
      <c r="M326" s="516"/>
      <c r="N326" s="153"/>
      <c r="O326" s="153"/>
      <c r="P326" s="535"/>
      <c r="Q326" s="535"/>
      <c r="R326" s="380"/>
    </row>
    <row r="327" spans="1:18" s="141" customFormat="1">
      <c r="A327" s="153" t="s">
        <v>1288</v>
      </c>
      <c r="B327" s="153" t="s">
        <v>1289</v>
      </c>
      <c r="C327" s="153" t="s">
        <v>1122</v>
      </c>
      <c r="D327" s="587">
        <v>7010010</v>
      </c>
      <c r="E327" s="153" t="s">
        <v>1740</v>
      </c>
      <c r="F327" s="716">
        <v>843</v>
      </c>
      <c r="G327" s="716">
        <v>1174.8499999999999</v>
      </c>
      <c r="H327" s="32">
        <f>VLOOKUP(D327,'מאזן בוחן EUROPE'!$C:$E,3,0)-F327</f>
        <v>0</v>
      </c>
      <c r="I327" s="32">
        <f>VLOOKUP(D327,'מאזן בוחן EUROPE'!$C:$M,11,0)-G327</f>
        <v>0</v>
      </c>
      <c r="J327" s="32"/>
      <c r="L327" s="534"/>
      <c r="M327" s="516"/>
      <c r="N327" s="153"/>
      <c r="O327" s="153"/>
      <c r="P327" s="535"/>
      <c r="Q327" s="535"/>
      <c r="R327" s="380"/>
    </row>
    <row r="328" spans="1:18" s="141" customFormat="1">
      <c r="A328" s="153" t="s">
        <v>1288</v>
      </c>
      <c r="B328" s="153" t="s">
        <v>1289</v>
      </c>
      <c r="C328" s="153" t="s">
        <v>558</v>
      </c>
      <c r="D328" s="587">
        <v>7010004</v>
      </c>
      <c r="E328" s="153" t="s">
        <v>4277</v>
      </c>
      <c r="F328" s="716">
        <v>1339.78</v>
      </c>
      <c r="G328" s="716">
        <v>1831.8</v>
      </c>
      <c r="H328" s="32">
        <f>VLOOKUP(D328,'מאזן בוחן EUROPE'!$C:$E,3,0)-F328</f>
        <v>0</v>
      </c>
      <c r="I328" s="32">
        <f>VLOOKUP(D328,'מאזן בוחן EUROPE'!$C:$M,11,0)-G328</f>
        <v>0</v>
      </c>
      <c r="J328" s="32"/>
      <c r="L328" s="534"/>
      <c r="M328" s="516"/>
      <c r="N328" s="153"/>
      <c r="O328" s="153"/>
      <c r="P328" s="535"/>
      <c r="Q328" s="535"/>
      <c r="R328" s="380"/>
    </row>
    <row r="329" spans="1:18" s="141" customFormat="1">
      <c r="A329" s="153" t="s">
        <v>1288</v>
      </c>
      <c r="B329" s="153" t="s">
        <v>1289</v>
      </c>
      <c r="C329" s="153" t="s">
        <v>558</v>
      </c>
      <c r="D329" s="587">
        <v>7020026</v>
      </c>
      <c r="E329" s="153" t="s">
        <v>934</v>
      </c>
      <c r="F329" s="716">
        <v>7025.46</v>
      </c>
      <c r="G329" s="716">
        <v>9638</v>
      </c>
      <c r="H329" s="32">
        <f>VLOOKUP(D329,'מאזן בוחן EUROPE'!$C:$E,3,0)-F329</f>
        <v>0</v>
      </c>
      <c r="I329" s="32">
        <f>VLOOKUP(D329,'מאזן בוחן EUROPE'!$C:$M,11,0)-G329</f>
        <v>0</v>
      </c>
      <c r="J329" s="32"/>
      <c r="L329" s="534"/>
      <c r="M329" s="516"/>
      <c r="N329" s="153"/>
      <c r="O329" s="153"/>
      <c r="P329" s="535"/>
      <c r="Q329" s="535"/>
      <c r="R329" s="380"/>
    </row>
    <row r="330" spans="1:18" s="141" customFormat="1">
      <c r="A330" s="153" t="s">
        <v>1288</v>
      </c>
      <c r="B330" s="153" t="s">
        <v>1289</v>
      </c>
      <c r="C330" s="153" t="s">
        <v>558</v>
      </c>
      <c r="D330" s="587">
        <v>7020027</v>
      </c>
      <c r="E330" s="153" t="s">
        <v>1131</v>
      </c>
      <c r="F330" s="716">
        <v>44017.74</v>
      </c>
      <c r="G330" s="716">
        <v>60654.04</v>
      </c>
      <c r="H330" s="32">
        <f>VLOOKUP(D330,'מאזן בוחן EUROPE'!$C:$E,3,0)-F330</f>
        <v>0</v>
      </c>
      <c r="I330" s="32">
        <f>VLOOKUP(D330,'מאזן בוחן EUROPE'!$C:$M,11,0)-G330</f>
        <v>0</v>
      </c>
      <c r="J330" s="32"/>
      <c r="L330" s="534"/>
      <c r="M330" s="516"/>
      <c r="N330" s="153"/>
      <c r="O330" s="153"/>
      <c r="P330" s="535"/>
      <c r="Q330" s="535"/>
      <c r="R330" s="380"/>
    </row>
    <row r="331" spans="1:18" s="141" customFormat="1">
      <c r="A331" s="153" t="s">
        <v>1288</v>
      </c>
      <c r="B331" s="153" t="s">
        <v>1289</v>
      </c>
      <c r="C331" s="153" t="s">
        <v>558</v>
      </c>
      <c r="D331" s="587">
        <v>7020037</v>
      </c>
      <c r="E331" s="153" t="s">
        <v>739</v>
      </c>
      <c r="F331" s="716">
        <v>141103.09</v>
      </c>
      <c r="G331" s="716">
        <v>192548.59</v>
      </c>
      <c r="H331" s="32">
        <f>VLOOKUP(D331,'מאזן בוחן EUROPE'!$C:$E,3,0)-F331</f>
        <v>0</v>
      </c>
      <c r="I331" s="32">
        <f>VLOOKUP(D331,'מאזן בוחן EUROPE'!$C:$M,11,0)-G331</f>
        <v>0</v>
      </c>
      <c r="J331" s="32"/>
      <c r="L331" s="534"/>
      <c r="M331" s="516"/>
      <c r="N331" s="153"/>
      <c r="O331" s="153"/>
      <c r="P331" s="535"/>
      <c r="Q331" s="535"/>
      <c r="R331" s="380"/>
    </row>
    <row r="332" spans="1:18" s="141" customFormat="1">
      <c r="A332" s="153" t="s">
        <v>1288</v>
      </c>
      <c r="B332" s="153" t="s">
        <v>1289</v>
      </c>
      <c r="C332" s="153" t="s">
        <v>558</v>
      </c>
      <c r="D332" s="587">
        <v>7020039</v>
      </c>
      <c r="E332" s="153" t="s">
        <v>1949</v>
      </c>
      <c r="F332" s="716">
        <v>3797.57</v>
      </c>
      <c r="G332" s="716">
        <v>5172.25</v>
      </c>
      <c r="H332" s="32">
        <f>VLOOKUP(D332,'מאזן בוחן EUROPE'!$C:$E,3,0)-F332</f>
        <v>0</v>
      </c>
      <c r="I332" s="32">
        <f>VLOOKUP(D332,'מאזן בוחן EUROPE'!$C:$M,11,0)-G332</f>
        <v>0</v>
      </c>
      <c r="J332" s="32"/>
      <c r="L332" s="534"/>
      <c r="M332" s="516"/>
      <c r="N332" s="153"/>
      <c r="O332" s="153"/>
      <c r="P332" s="535"/>
      <c r="Q332" s="535"/>
      <c r="R332" s="380"/>
    </row>
    <row r="333" spans="1:18">
      <c r="A333" s="153" t="s">
        <v>1288</v>
      </c>
      <c r="B333" s="153" t="s">
        <v>1291</v>
      </c>
      <c r="C333" s="153" t="s">
        <v>1137</v>
      </c>
      <c r="D333" s="587">
        <v>7110001</v>
      </c>
      <c r="E333" s="153" t="s">
        <v>1943</v>
      </c>
      <c r="F333" s="716">
        <v>606184.49</v>
      </c>
      <c r="G333" s="716">
        <v>832812.71</v>
      </c>
      <c r="H333" s="32">
        <f>VLOOKUP(D333,'מאזן בוחן EUROPE'!$C:$E,3,0)-F333</f>
        <v>0</v>
      </c>
      <c r="I333" s="32">
        <f>VLOOKUP(D333,'מאזן בוחן EUROPE'!$C:$M,11,0)-G333</f>
        <v>0</v>
      </c>
      <c r="J333" s="32"/>
      <c r="K333" s="137"/>
      <c r="L333" s="534"/>
      <c r="M333" s="516"/>
      <c r="N333" s="32"/>
      <c r="O333" s="32"/>
      <c r="P333" s="32"/>
    </row>
    <row r="334" spans="1:18">
      <c r="A334" s="153" t="s">
        <v>1288</v>
      </c>
      <c r="B334" s="153" t="s">
        <v>1291</v>
      </c>
      <c r="C334" s="153" t="s">
        <v>1137</v>
      </c>
      <c r="D334" s="587">
        <v>7110002</v>
      </c>
      <c r="E334" s="153" t="s">
        <v>3262</v>
      </c>
      <c r="F334" s="716">
        <v>30066.26</v>
      </c>
      <c r="G334" s="716">
        <v>41084.44</v>
      </c>
      <c r="H334" s="32">
        <f>VLOOKUP(D334,'מאזן בוחן EUROPE'!$C:$E,3,0)-F334</f>
        <v>0</v>
      </c>
      <c r="I334" s="32">
        <f>VLOOKUP(D334,'מאזן בוחן EUROPE'!$C:$M,11,0)-G334</f>
        <v>0</v>
      </c>
      <c r="J334" s="32"/>
      <c r="K334" s="137"/>
      <c r="L334" s="534"/>
      <c r="M334" s="516"/>
      <c r="N334" s="32"/>
      <c r="O334" s="32"/>
      <c r="P334" s="32"/>
    </row>
    <row r="335" spans="1:18">
      <c r="A335" s="153" t="s">
        <v>1288</v>
      </c>
      <c r="B335" s="153" t="s">
        <v>1291</v>
      </c>
      <c r="C335" s="153" t="s">
        <v>1137</v>
      </c>
      <c r="D335" s="587">
        <v>7110003</v>
      </c>
      <c r="E335" s="153" t="s">
        <v>3263</v>
      </c>
      <c r="F335" s="716">
        <v>321152.55</v>
      </c>
      <c r="G335" s="716">
        <v>423123.73</v>
      </c>
      <c r="H335" s="32">
        <f>VLOOKUP(D335,'מאזן בוחן EUROPE'!$C:$E,3,0)-F335</f>
        <v>0</v>
      </c>
      <c r="I335" s="32">
        <f>VLOOKUP(D335,'מאזן בוחן EUROPE'!$C:$M,11,0)-G335</f>
        <v>0</v>
      </c>
      <c r="J335" s="32"/>
      <c r="K335" s="137"/>
      <c r="L335" s="534"/>
      <c r="M335" s="516"/>
      <c r="N335" s="32"/>
      <c r="O335" s="32"/>
      <c r="P335" s="32"/>
    </row>
    <row r="336" spans="1:18">
      <c r="A336" s="153" t="s">
        <v>1288</v>
      </c>
      <c r="B336" s="153" t="s">
        <v>1291</v>
      </c>
      <c r="C336" s="153" t="s">
        <v>1137</v>
      </c>
      <c r="D336" s="587">
        <v>7110004</v>
      </c>
      <c r="E336" s="153" t="s">
        <v>1944</v>
      </c>
      <c r="F336" s="716">
        <v>321046.28000000003</v>
      </c>
      <c r="G336" s="716">
        <v>440910.45</v>
      </c>
      <c r="H336" s="32">
        <f>VLOOKUP(D336,'מאזן בוחן EUROPE'!$C:$E,3,0)-F336</f>
        <v>0</v>
      </c>
      <c r="I336" s="32">
        <f>VLOOKUP(D336,'מאזן בוחן EUROPE'!$C:$M,11,0)-G336</f>
        <v>0</v>
      </c>
      <c r="J336" s="32"/>
      <c r="K336" s="137"/>
      <c r="L336" s="534"/>
      <c r="M336" s="516"/>
      <c r="N336" s="32"/>
      <c r="O336" s="32"/>
      <c r="P336" s="32"/>
    </row>
    <row r="337" spans="1:16">
      <c r="A337" s="153" t="s">
        <v>1288</v>
      </c>
      <c r="B337" s="153" t="s">
        <v>1291</v>
      </c>
      <c r="C337" s="153" t="s">
        <v>1137</v>
      </c>
      <c r="D337" s="587">
        <v>7110005</v>
      </c>
      <c r="E337" s="153" t="s">
        <v>2954</v>
      </c>
      <c r="F337" s="716">
        <v>-5936.81</v>
      </c>
      <c r="G337" s="716">
        <v>-6854.9</v>
      </c>
      <c r="H337" s="32">
        <f>VLOOKUP(D337,'מאזן בוחן EUROPE'!$C:$E,3,0)-F337</f>
        <v>0</v>
      </c>
      <c r="I337" s="32">
        <f>VLOOKUP(D337,'מאזן בוחן EUROPE'!$C:$M,11,0)-G337</f>
        <v>0</v>
      </c>
      <c r="J337" s="32"/>
      <c r="K337" s="137"/>
      <c r="L337" s="534"/>
      <c r="M337" s="516"/>
      <c r="N337" s="32"/>
      <c r="O337" s="32"/>
      <c r="P337" s="32"/>
    </row>
    <row r="338" spans="1:16">
      <c r="A338" s="153" t="s">
        <v>1288</v>
      </c>
      <c r="B338" s="153" t="s">
        <v>1291</v>
      </c>
      <c r="C338" s="153" t="s">
        <v>1137</v>
      </c>
      <c r="D338" s="587">
        <v>7110006</v>
      </c>
      <c r="E338" s="153" t="s">
        <v>1242</v>
      </c>
      <c r="F338" s="716">
        <v>42128.42</v>
      </c>
      <c r="G338" s="716">
        <v>57505.62</v>
      </c>
      <c r="H338" s="32">
        <f>VLOOKUP(D338,'מאזן בוחן EUROPE'!$C:$E,3,0)-F338</f>
        <v>0</v>
      </c>
      <c r="I338" s="32">
        <f>VLOOKUP(D338,'מאזן בוחן EUROPE'!$C:$M,11,0)-G338</f>
        <v>0</v>
      </c>
      <c r="J338" s="32"/>
      <c r="K338" s="137"/>
      <c r="L338" s="534"/>
      <c r="M338" s="516"/>
      <c r="N338" s="32"/>
      <c r="O338" s="32"/>
      <c r="P338" s="32"/>
    </row>
    <row r="339" spans="1:16">
      <c r="A339" s="153" t="s">
        <v>1288</v>
      </c>
      <c r="B339" s="153" t="s">
        <v>1291</v>
      </c>
      <c r="C339" s="153" t="s">
        <v>1137</v>
      </c>
      <c r="D339" s="587">
        <v>7110013</v>
      </c>
      <c r="E339" s="153" t="s">
        <v>3260</v>
      </c>
      <c r="F339" s="716">
        <v>-17978.75</v>
      </c>
      <c r="G339" s="716">
        <v>-24926.34</v>
      </c>
      <c r="H339" s="32">
        <f>VLOOKUP(D339,'מאזן בוחן EUROPE'!$C:$E,3,0)-F339</f>
        <v>0</v>
      </c>
      <c r="I339" s="32">
        <f>VLOOKUP(D339,'מאזן בוחן EUROPE'!$C:$M,11,0)-G339</f>
        <v>0</v>
      </c>
      <c r="J339" s="32"/>
      <c r="K339" s="137"/>
      <c r="L339" s="534"/>
      <c r="M339" s="516"/>
      <c r="N339" s="32"/>
      <c r="O339" s="32"/>
      <c r="P339" s="32"/>
    </row>
    <row r="340" spans="1:16">
      <c r="A340" s="153" t="s">
        <v>1288</v>
      </c>
      <c r="B340" s="153" t="s">
        <v>1291</v>
      </c>
      <c r="C340" s="153" t="s">
        <v>1137</v>
      </c>
      <c r="D340" s="587">
        <v>7110030</v>
      </c>
      <c r="E340" s="153" t="s">
        <v>3562</v>
      </c>
      <c r="F340" s="716">
        <v>112402.41</v>
      </c>
      <c r="G340" s="716">
        <v>155486.89000000001</v>
      </c>
      <c r="H340" s="32">
        <f>VLOOKUP(D340,'מאזן בוחן EUROPE'!$C:$E,3,0)-F340</f>
        <v>0</v>
      </c>
      <c r="I340" s="32">
        <f>VLOOKUP(D340,'מאזן בוחן EUROPE'!$C:$M,11,0)-G340</f>
        <v>0</v>
      </c>
      <c r="J340" s="32"/>
      <c r="K340" s="137"/>
      <c r="L340" s="534"/>
      <c r="M340" s="516"/>
      <c r="N340" s="32"/>
      <c r="O340" s="32"/>
      <c r="P340" s="32"/>
    </row>
    <row r="341" spans="1:16">
      <c r="A341" s="153" t="s">
        <v>1288</v>
      </c>
      <c r="B341" s="153" t="s">
        <v>1291</v>
      </c>
      <c r="C341" s="153" t="s">
        <v>1137</v>
      </c>
      <c r="D341" s="587">
        <v>7110033</v>
      </c>
      <c r="E341" s="153" t="s">
        <v>4482</v>
      </c>
      <c r="F341" s="716">
        <v>76262.38</v>
      </c>
      <c r="G341" s="716">
        <v>104038.76</v>
      </c>
      <c r="H341" s="32">
        <f>VLOOKUP(D341,'מאזן בוחן EUROPE'!$C:$E,3,0)-F341</f>
        <v>0</v>
      </c>
      <c r="I341" s="32">
        <f>VLOOKUP(D341,'מאזן בוחן EUROPE'!$C:$M,11,0)-G341</f>
        <v>0</v>
      </c>
      <c r="J341" s="32"/>
      <c r="K341" s="137"/>
      <c r="L341" s="534"/>
      <c r="M341" s="516"/>
      <c r="N341" s="32"/>
      <c r="O341" s="32"/>
      <c r="P341" s="32"/>
    </row>
    <row r="342" spans="1:16">
      <c r="A342" s="153" t="s">
        <v>1288</v>
      </c>
      <c r="B342" s="153" t="s">
        <v>1291</v>
      </c>
      <c r="C342" s="153" t="s">
        <v>1137</v>
      </c>
      <c r="D342" s="587">
        <v>7110034</v>
      </c>
      <c r="E342" s="153" t="s">
        <v>4483</v>
      </c>
      <c r="F342" s="716">
        <v>18241.21</v>
      </c>
      <c r="G342" s="716">
        <v>24900.36</v>
      </c>
      <c r="H342" s="32">
        <f>VLOOKUP(D342,'מאזן בוחן EUROPE'!$C:$E,3,0)-F342</f>
        <v>0</v>
      </c>
      <c r="I342" s="32">
        <f>VLOOKUP(D342,'מאזן בוחן EUROPE'!$C:$M,11,0)-G342</f>
        <v>0</v>
      </c>
      <c r="J342" s="32"/>
      <c r="K342" s="137"/>
      <c r="L342" s="534"/>
      <c r="M342" s="516"/>
      <c r="N342" s="32"/>
      <c r="O342" s="32"/>
      <c r="P342" s="32"/>
    </row>
    <row r="343" spans="1:16">
      <c r="A343" s="153" t="s">
        <v>1288</v>
      </c>
      <c r="B343" s="153" t="s">
        <v>1291</v>
      </c>
      <c r="C343" s="153" t="s">
        <v>1137</v>
      </c>
      <c r="D343" s="587">
        <v>7110040</v>
      </c>
      <c r="E343" s="153" t="s">
        <v>4278</v>
      </c>
      <c r="F343" s="716">
        <v>44272.89</v>
      </c>
      <c r="G343" s="716">
        <v>59999.98</v>
      </c>
      <c r="H343" s="32">
        <f>VLOOKUP(D343,'מאזן בוחן EUROPE'!$C:$E,3,0)-F343</f>
        <v>0</v>
      </c>
      <c r="I343" s="32">
        <f>VLOOKUP(D343,'מאזן בוחן EUROPE'!$C:$M,11,0)-G343</f>
        <v>0</v>
      </c>
      <c r="J343" s="32"/>
      <c r="K343" s="137"/>
      <c r="L343" s="534"/>
      <c r="M343" s="516"/>
      <c r="N343" s="32"/>
      <c r="O343" s="32"/>
      <c r="P343" s="32"/>
    </row>
    <row r="344" spans="1:16">
      <c r="A344" s="153" t="s">
        <v>1288</v>
      </c>
      <c r="B344" s="153" t="s">
        <v>1291</v>
      </c>
      <c r="C344" s="153" t="s">
        <v>1137</v>
      </c>
      <c r="D344" s="587">
        <v>7110041</v>
      </c>
      <c r="E344" s="153" t="s">
        <v>4314</v>
      </c>
      <c r="F344" s="716">
        <v>8273.1200000000008</v>
      </c>
      <c r="G344" s="716">
        <v>11250</v>
      </c>
      <c r="H344" s="32">
        <f>VLOOKUP(D344,'מאזן בוחן EUROPE'!$C:$E,3,0)-F344</f>
        <v>0</v>
      </c>
      <c r="I344" s="32">
        <f>VLOOKUP(D344,'מאזן בוחן EUROPE'!$C:$M,11,0)-G344</f>
        <v>0</v>
      </c>
      <c r="J344" s="32"/>
      <c r="K344" s="137"/>
      <c r="L344" s="534"/>
      <c r="M344" s="516"/>
      <c r="N344" s="32"/>
      <c r="O344" s="32"/>
      <c r="P344" s="32"/>
    </row>
    <row r="345" spans="1:16">
      <c r="A345" s="161" t="s">
        <v>1288</v>
      </c>
      <c r="B345" s="161" t="s">
        <v>1291</v>
      </c>
      <c r="C345" s="161" t="s">
        <v>1137</v>
      </c>
      <c r="D345" s="196">
        <v>7110042</v>
      </c>
      <c r="E345" s="161" t="s">
        <v>5041</v>
      </c>
      <c r="F345" s="716">
        <v>18621.34</v>
      </c>
      <c r="G345" s="716">
        <v>25191.69</v>
      </c>
      <c r="H345" s="32">
        <f>VLOOKUP(D345,'מאזן בוחן EUROPE'!$C:$E,3,0)-F345</f>
        <v>0</v>
      </c>
      <c r="I345" s="32">
        <f>VLOOKUP(D345,'מאזן בוחן EUROPE'!$C:$M,11,0)-G345</f>
        <v>0</v>
      </c>
      <c r="J345" s="32"/>
      <c r="K345" s="137"/>
      <c r="L345" s="534"/>
      <c r="M345" s="516"/>
      <c r="N345" s="32"/>
      <c r="O345" s="32"/>
      <c r="P345" s="32"/>
    </row>
    <row r="346" spans="1:16">
      <c r="A346" s="161" t="s">
        <v>1288</v>
      </c>
      <c r="B346" s="161" t="s">
        <v>1291</v>
      </c>
      <c r="C346" s="161" t="s">
        <v>1137</v>
      </c>
      <c r="D346" s="196">
        <v>7110044</v>
      </c>
      <c r="E346" s="161" t="s">
        <v>1837</v>
      </c>
      <c r="F346" s="716">
        <v>37189.03</v>
      </c>
      <c r="G346" s="716">
        <v>47561.78</v>
      </c>
      <c r="H346" s="32">
        <f>VLOOKUP(D346,'מאזן בוחן EUROPE'!$C:$E,3,0)-F346</f>
        <v>0</v>
      </c>
      <c r="I346" s="32">
        <f>VLOOKUP(D346,'מאזן בוחן EUROPE'!$C:$M,11,0)-G346</f>
        <v>0</v>
      </c>
      <c r="J346" s="32"/>
      <c r="K346" s="137"/>
      <c r="L346" s="534"/>
      <c r="M346" s="516"/>
      <c r="N346" s="32"/>
      <c r="O346" s="32"/>
      <c r="P346" s="32"/>
    </row>
    <row r="347" spans="1:16">
      <c r="A347" s="161" t="s">
        <v>1288</v>
      </c>
      <c r="B347" s="161" t="s">
        <v>1291</v>
      </c>
      <c r="C347" s="161" t="s">
        <v>1137</v>
      </c>
      <c r="D347" s="196">
        <v>7110050</v>
      </c>
      <c r="E347" s="161" t="s">
        <v>1329</v>
      </c>
      <c r="F347" s="716">
        <v>94468.800000000003</v>
      </c>
      <c r="G347" s="716">
        <v>130009.23</v>
      </c>
      <c r="H347" s="32">
        <f>VLOOKUP(D347,'מאזן בוחן EUROPE'!$C:$E,3,0)-F347</f>
        <v>0</v>
      </c>
      <c r="I347" s="32">
        <f>VLOOKUP(D347,'מאזן בוחן EUROPE'!$C:$M,11,0)-G347</f>
        <v>0</v>
      </c>
      <c r="J347" s="32"/>
      <c r="K347" s="137"/>
      <c r="L347" s="534"/>
      <c r="M347" s="516"/>
      <c r="N347" s="32"/>
      <c r="O347" s="32"/>
      <c r="P347" s="32"/>
    </row>
    <row r="348" spans="1:16">
      <c r="A348" s="161" t="s">
        <v>1288</v>
      </c>
      <c r="B348" s="161" t="s">
        <v>1291</v>
      </c>
      <c r="C348" s="161" t="s">
        <v>1137</v>
      </c>
      <c r="D348" s="196">
        <v>7110051</v>
      </c>
      <c r="E348" s="161" t="s">
        <v>3323</v>
      </c>
      <c r="F348" s="716">
        <v>1637.03</v>
      </c>
      <c r="G348" s="716">
        <v>2288.29</v>
      </c>
      <c r="H348" s="32">
        <f>VLOOKUP(D348,'מאזן בוחן EUROPE'!$C:$E,3,0)-F348</f>
        <v>0</v>
      </c>
      <c r="I348" s="32">
        <f>VLOOKUP(D348,'מאזן בוחן EUROPE'!$C:$M,11,0)-G348</f>
        <v>0</v>
      </c>
      <c r="J348" s="32"/>
      <c r="K348" s="137"/>
      <c r="L348" s="534"/>
      <c r="M348" s="516"/>
      <c r="N348" s="32"/>
      <c r="O348" s="32"/>
      <c r="P348" s="32"/>
    </row>
    <row r="349" spans="1:16">
      <c r="A349" s="161" t="s">
        <v>1288</v>
      </c>
      <c r="B349" s="161" t="s">
        <v>1291</v>
      </c>
      <c r="C349" s="161" t="s">
        <v>1137</v>
      </c>
      <c r="D349" s="196">
        <v>7110052</v>
      </c>
      <c r="E349" s="161" t="s">
        <v>3324</v>
      </c>
      <c r="F349" s="716">
        <v>158128.06</v>
      </c>
      <c r="G349" s="716">
        <v>216979.21</v>
      </c>
      <c r="H349" s="32">
        <f>VLOOKUP(D349,'מאזן בוחן EUROPE'!$C:$E,3,0)-F349</f>
        <v>0</v>
      </c>
      <c r="I349" s="32">
        <f>VLOOKUP(D349,'מאזן בוחן EUROPE'!$C:$M,11,0)-G349</f>
        <v>0</v>
      </c>
      <c r="J349" s="32"/>
      <c r="K349" s="137"/>
      <c r="L349" s="534"/>
      <c r="M349" s="516"/>
      <c r="N349" s="32"/>
      <c r="O349" s="32"/>
      <c r="P349" s="32"/>
    </row>
    <row r="350" spans="1:16">
      <c r="A350" s="161" t="s">
        <v>1288</v>
      </c>
      <c r="B350" s="161" t="s">
        <v>1291</v>
      </c>
      <c r="C350" s="161" t="s">
        <v>1137</v>
      </c>
      <c r="D350" s="196">
        <v>7110055</v>
      </c>
      <c r="E350" s="161" t="s">
        <v>1838</v>
      </c>
      <c r="F350" s="716">
        <v>76593.649999999994</v>
      </c>
      <c r="G350" s="716">
        <v>98303.8</v>
      </c>
      <c r="H350" s="32">
        <f>VLOOKUP(D350,'מאזן בוחן EUROPE'!$C:$E,3,0)-F350</f>
        <v>0</v>
      </c>
      <c r="I350" s="32">
        <f>VLOOKUP(D350,'מאזן בוחן EUROPE'!$C:$M,11,0)-G350</f>
        <v>0</v>
      </c>
      <c r="J350" s="32"/>
      <c r="K350" s="137"/>
      <c r="L350" s="534"/>
      <c r="M350" s="516"/>
      <c r="N350" s="32"/>
      <c r="O350" s="32"/>
      <c r="P350" s="32"/>
    </row>
    <row r="351" spans="1:16">
      <c r="A351" s="161" t="s">
        <v>1288</v>
      </c>
      <c r="B351" s="161" t="s">
        <v>1291</v>
      </c>
      <c r="C351" s="161" t="s">
        <v>1137</v>
      </c>
      <c r="D351" s="196">
        <v>7110066</v>
      </c>
      <c r="E351" s="161" t="s">
        <v>2173</v>
      </c>
      <c r="F351" s="716">
        <v>67487.28</v>
      </c>
      <c r="G351" s="716">
        <v>87156.68</v>
      </c>
      <c r="H351" s="32">
        <f>VLOOKUP(D351,'מאזן בוחן EUROPE'!$C:$E,3,0)-F351</f>
        <v>0</v>
      </c>
      <c r="I351" s="32">
        <f>VLOOKUP(D351,'מאזן בוחן EUROPE'!$C:$M,11,0)-G351</f>
        <v>0</v>
      </c>
      <c r="J351" s="32"/>
      <c r="K351" s="137"/>
      <c r="L351" s="534"/>
      <c r="M351" s="516"/>
      <c r="N351" s="32"/>
      <c r="O351" s="32"/>
      <c r="P351" s="32"/>
    </row>
    <row r="352" spans="1:16">
      <c r="A352" s="161" t="s">
        <v>1288</v>
      </c>
      <c r="B352" s="161" t="s">
        <v>1291</v>
      </c>
      <c r="C352" s="161" t="s">
        <v>1137</v>
      </c>
      <c r="D352" s="196">
        <v>7110077</v>
      </c>
      <c r="E352" s="161" t="s">
        <v>3546</v>
      </c>
      <c r="F352" s="716">
        <v>-286322.81</v>
      </c>
      <c r="G352" s="716">
        <v>-389549.97</v>
      </c>
      <c r="H352" s="32">
        <f>VLOOKUP(D352,'מאזן בוחן EUROPE'!$C:$E,3,0)-F352</f>
        <v>0</v>
      </c>
      <c r="I352" s="32">
        <f>VLOOKUP(D352,'מאזן בוחן EUROPE'!$C:$M,11,0)-G352</f>
        <v>0</v>
      </c>
      <c r="J352" s="32"/>
      <c r="K352" s="137"/>
      <c r="L352" s="534"/>
      <c r="M352" s="516"/>
      <c r="N352" s="32"/>
      <c r="O352" s="32"/>
      <c r="P352" s="32"/>
    </row>
    <row r="353" spans="1:13">
      <c r="A353" s="161" t="s">
        <v>1288</v>
      </c>
      <c r="B353" s="161" t="s">
        <v>1291</v>
      </c>
      <c r="C353" s="161" t="s">
        <v>563</v>
      </c>
      <c r="D353" s="196">
        <v>7120022</v>
      </c>
      <c r="E353" s="161" t="s">
        <v>2073</v>
      </c>
      <c r="F353" s="716">
        <v>6659.38</v>
      </c>
      <c r="G353" s="716">
        <v>9111.24</v>
      </c>
      <c r="H353" s="32">
        <f>VLOOKUP(D353,'מאזן בוחן EUROPE'!$C:$E,3,0)-F353</f>
        <v>0</v>
      </c>
      <c r="I353" s="32">
        <f>VLOOKUP(D353,'מאזן בוחן EUROPE'!$C:$M,11,0)-G353</f>
        <v>0</v>
      </c>
      <c r="J353" s="32"/>
      <c r="K353" s="137"/>
      <c r="L353" s="534"/>
      <c r="M353" s="516"/>
    </row>
    <row r="354" spans="1:13">
      <c r="A354" s="141" t="s">
        <v>1288</v>
      </c>
      <c r="B354" s="161" t="s">
        <v>1291</v>
      </c>
      <c r="C354" s="161" t="s">
        <v>563</v>
      </c>
      <c r="D354" s="196">
        <v>7120026</v>
      </c>
      <c r="E354" s="161" t="s">
        <v>1981</v>
      </c>
      <c r="F354" s="3021">
        <v>15663.58</v>
      </c>
      <c r="G354" s="3021">
        <v>21348.560000000001</v>
      </c>
      <c r="H354" s="32">
        <f>VLOOKUP(D354,'מאזן בוחן EUROPE'!$C:$E,3,0)-F354</f>
        <v>0</v>
      </c>
      <c r="I354" s="32">
        <f>VLOOKUP(D354,'מאזן בוחן EUROPE'!$C:$M,11,0)-G354</f>
        <v>0</v>
      </c>
      <c r="J354" s="32"/>
      <c r="K354" s="32"/>
      <c r="L354" s="534"/>
      <c r="M354" s="516"/>
    </row>
    <row r="355" spans="1:13">
      <c r="A355" s="141" t="s">
        <v>1288</v>
      </c>
      <c r="B355" s="161" t="s">
        <v>1291</v>
      </c>
      <c r="C355" s="161" t="s">
        <v>563</v>
      </c>
      <c r="D355" s="196">
        <v>7120032</v>
      </c>
      <c r="E355" s="161" t="s">
        <v>1330</v>
      </c>
      <c r="F355" s="3021">
        <v>7771.98</v>
      </c>
      <c r="G355" s="3021">
        <v>10708.3</v>
      </c>
      <c r="H355" s="32">
        <f>VLOOKUP(D355,'מאזן בוחן EUROPE'!$C:$E,3,0)-F355</f>
        <v>0</v>
      </c>
      <c r="I355" s="32">
        <f>VLOOKUP(D355,'מאזן בוחן EUROPE'!$C:$M,11,0)-G355</f>
        <v>0</v>
      </c>
      <c r="J355" s="32"/>
      <c r="K355" s="32"/>
      <c r="L355" s="534"/>
      <c r="M355" s="516"/>
    </row>
    <row r="356" spans="1:13">
      <c r="A356" s="141" t="s">
        <v>1288</v>
      </c>
      <c r="B356" s="141" t="s">
        <v>1291</v>
      </c>
      <c r="C356" s="141" t="s">
        <v>563</v>
      </c>
      <c r="D356" s="1376">
        <v>7120033</v>
      </c>
      <c r="E356" s="141" t="s">
        <v>4627</v>
      </c>
      <c r="F356" s="726">
        <v>4343.79</v>
      </c>
      <c r="G356" s="726">
        <v>5943.91</v>
      </c>
      <c r="H356" s="32">
        <f>VLOOKUP(D356,'מאזן בוחן EUROPE'!$C:$E,3,0)-F356</f>
        <v>0</v>
      </c>
      <c r="I356" s="32">
        <f>VLOOKUP(D356,'מאזן בוחן EUROPE'!$C:$M,11,0)-G356</f>
        <v>0</v>
      </c>
      <c r="J356" s="32"/>
      <c r="K356" s="32"/>
      <c r="L356" s="534"/>
      <c r="M356" s="516"/>
    </row>
    <row r="357" spans="1:13">
      <c r="A357" s="141" t="s">
        <v>1288</v>
      </c>
      <c r="B357" s="141" t="s">
        <v>1291</v>
      </c>
      <c r="C357" s="141" t="s">
        <v>563</v>
      </c>
      <c r="D357" s="1376">
        <v>7120034</v>
      </c>
      <c r="E357" s="141" t="s">
        <v>3903</v>
      </c>
      <c r="F357" s="726">
        <v>2680.03</v>
      </c>
      <c r="G357" s="726">
        <v>3689.95</v>
      </c>
      <c r="H357" s="32">
        <f>VLOOKUP(D357,'מאזן בוחן EUROPE'!$C:$E,3,0)-F357</f>
        <v>0</v>
      </c>
      <c r="I357" s="32">
        <f>VLOOKUP(D357,'מאזן בוחן EUROPE'!$C:$M,11,0)-G357</f>
        <v>0</v>
      </c>
      <c r="J357" s="32"/>
    </row>
    <row r="358" spans="1:13">
      <c r="A358" s="141" t="s">
        <v>1288</v>
      </c>
      <c r="B358" s="141" t="s">
        <v>1291</v>
      </c>
      <c r="C358" s="141" t="s">
        <v>563</v>
      </c>
      <c r="D358" s="1376">
        <v>7120039</v>
      </c>
      <c r="E358" s="141" t="s">
        <v>4484</v>
      </c>
      <c r="F358" s="726">
        <v>1191.98</v>
      </c>
      <c r="G358" s="726">
        <v>1607.72</v>
      </c>
      <c r="H358" s="32">
        <f>VLOOKUP(D358,'מאזן בוחן EUROPE'!$C:$E,3,0)-F358</f>
        <v>0</v>
      </c>
      <c r="I358" s="32">
        <f>VLOOKUP(D358,'מאזן בוחן EUROPE'!$C:$M,11,0)-G358</f>
        <v>0</v>
      </c>
      <c r="J358" s="32"/>
    </row>
    <row r="359" spans="1:13">
      <c r="A359" s="141" t="s">
        <v>1288</v>
      </c>
      <c r="B359" s="141" t="s">
        <v>1291</v>
      </c>
      <c r="C359" s="141" t="s">
        <v>563</v>
      </c>
      <c r="D359" s="1376">
        <v>7120041</v>
      </c>
      <c r="E359" s="141" t="s">
        <v>4002</v>
      </c>
      <c r="F359" s="726">
        <v>2487.6999999999998</v>
      </c>
      <c r="G359" s="726">
        <v>3386.86</v>
      </c>
      <c r="H359" s="32">
        <f>VLOOKUP(D359,'מאזן בוחן EUROPE'!$C:$E,3,0)-F359</f>
        <v>0</v>
      </c>
      <c r="I359" s="32">
        <f>VLOOKUP(D359,'מאזן בוחן EUROPE'!$C:$M,11,0)-G359</f>
        <v>0</v>
      </c>
      <c r="J359" s="32"/>
    </row>
    <row r="360" spans="1:13">
      <c r="A360" s="141" t="s">
        <v>1288</v>
      </c>
      <c r="B360" s="141" t="s">
        <v>1291</v>
      </c>
      <c r="C360" s="141" t="s">
        <v>563</v>
      </c>
      <c r="D360" s="1376">
        <v>7120042</v>
      </c>
      <c r="E360" s="141" t="s">
        <v>4628</v>
      </c>
      <c r="F360" s="726">
        <v>3313.7</v>
      </c>
      <c r="G360" s="726">
        <v>4394</v>
      </c>
      <c r="H360" s="32">
        <f>VLOOKUP(D360,'מאזן בוחן EUROPE'!$C:$E,3,0)-F360</f>
        <v>0</v>
      </c>
      <c r="I360" s="32">
        <f>VLOOKUP(D360,'מאזן בוחן EUROPE'!$C:$M,11,0)-G360</f>
        <v>0</v>
      </c>
      <c r="J360" s="32"/>
    </row>
    <row r="361" spans="1:13">
      <c r="A361" s="141" t="s">
        <v>1288</v>
      </c>
      <c r="B361" s="141" t="s">
        <v>1291</v>
      </c>
      <c r="C361" s="141" t="s">
        <v>563</v>
      </c>
      <c r="D361" s="1376">
        <v>7120043</v>
      </c>
      <c r="E361" s="141" t="s">
        <v>4629</v>
      </c>
      <c r="F361" s="726">
        <v>684.02</v>
      </c>
      <c r="G361" s="726">
        <v>902.85</v>
      </c>
      <c r="H361" s="32">
        <f>VLOOKUP(D361,'מאזן בוחן EUROPE'!$C:$E,3,0)-F361</f>
        <v>0</v>
      </c>
      <c r="I361" s="32">
        <f>VLOOKUP(D361,'מאזן בוחן EUROPE'!$C:$M,11,0)-G361</f>
        <v>0</v>
      </c>
      <c r="J361" s="32"/>
    </row>
    <row r="362" spans="1:13">
      <c r="A362" s="141" t="s">
        <v>1288</v>
      </c>
      <c r="B362" s="141" t="s">
        <v>1291</v>
      </c>
      <c r="C362" s="141" t="s">
        <v>563</v>
      </c>
      <c r="D362" s="1376">
        <v>7120044</v>
      </c>
      <c r="E362" s="141" t="s">
        <v>4630</v>
      </c>
      <c r="F362" s="726">
        <v>2208.2199999999998</v>
      </c>
      <c r="G362" s="726">
        <v>2961.22</v>
      </c>
      <c r="H362" s="32">
        <f>VLOOKUP(D362,'מאזן בוחן EUROPE'!$C:$E,3,0)-F362</f>
        <v>0</v>
      </c>
      <c r="I362" s="32">
        <f>VLOOKUP(D362,'מאזן בוחן EUROPE'!$C:$M,11,0)-G362</f>
        <v>0</v>
      </c>
      <c r="J362" s="32"/>
    </row>
    <row r="363" spans="1:13">
      <c r="A363" s="141" t="s">
        <v>1288</v>
      </c>
      <c r="B363" s="141" t="s">
        <v>1291</v>
      </c>
      <c r="C363" s="141" t="s">
        <v>563</v>
      </c>
      <c r="D363" s="1376">
        <v>7120074</v>
      </c>
      <c r="E363" s="141" t="s">
        <v>1331</v>
      </c>
      <c r="F363" s="726">
        <v>2104.37</v>
      </c>
      <c r="G363" s="726">
        <v>2884.79</v>
      </c>
      <c r="H363" s="32">
        <f>VLOOKUP(D363,'מאזן בוחן EUROPE'!$C:$E,3,0)-F363</f>
        <v>0</v>
      </c>
      <c r="I363" s="32">
        <f>VLOOKUP(D363,'מאזן בוחן EUROPE'!$C:$M,11,0)-G363</f>
        <v>0</v>
      </c>
      <c r="J363" s="32"/>
    </row>
    <row r="364" spans="1:13">
      <c r="A364" s="141" t="s">
        <v>1288</v>
      </c>
      <c r="B364" s="141" t="s">
        <v>1291</v>
      </c>
      <c r="C364" s="141" t="s">
        <v>1156</v>
      </c>
      <c r="D364" s="1376">
        <v>7140001</v>
      </c>
      <c r="E364" s="141" t="s">
        <v>1157</v>
      </c>
      <c r="F364" s="726">
        <v>649814.02</v>
      </c>
      <c r="G364" s="726">
        <v>895409.43</v>
      </c>
      <c r="H364" s="32">
        <f>VLOOKUP(D364,'מאזן בוחן EUROPE'!$C:$E,3,0)-F364</f>
        <v>0</v>
      </c>
      <c r="I364" s="32">
        <f>VLOOKUP(D364,'מאזן בוחן EUROPE'!$C:$M,11,0)-G364</f>
        <v>0</v>
      </c>
      <c r="J364" s="32"/>
    </row>
    <row r="365" spans="1:13">
      <c r="A365" s="141" t="s">
        <v>1288</v>
      </c>
      <c r="B365" s="141" t="s">
        <v>1291</v>
      </c>
      <c r="C365" s="141" t="s">
        <v>1156</v>
      </c>
      <c r="D365" s="1376">
        <v>7140002</v>
      </c>
      <c r="E365" s="141" t="s">
        <v>1158</v>
      </c>
      <c r="F365" s="726">
        <v>5106.66</v>
      </c>
      <c r="G365" s="726">
        <v>7554.28</v>
      </c>
      <c r="H365" s="32">
        <f>VLOOKUP(D365,'מאזן בוחן EUROPE'!$C:$E,3,0)-F365</f>
        <v>0</v>
      </c>
      <c r="I365" s="32">
        <f>VLOOKUP(D365,'מאזן בוחן EUROPE'!$C:$M,11,0)-G365</f>
        <v>0</v>
      </c>
    </row>
    <row r="366" spans="1:13">
      <c r="A366" s="141" t="s">
        <v>1288</v>
      </c>
      <c r="B366" s="141" t="s">
        <v>1291</v>
      </c>
      <c r="C366" s="141" t="s">
        <v>1156</v>
      </c>
      <c r="D366" s="1376">
        <v>7140003</v>
      </c>
      <c r="E366" s="141" t="s">
        <v>915</v>
      </c>
      <c r="F366" s="726">
        <v>7193.44</v>
      </c>
      <c r="G366" s="726">
        <v>11313.25</v>
      </c>
      <c r="H366" s="32">
        <f>VLOOKUP(D366,'מאזן בוחן EUROPE'!$C:$E,3,0)-F366</f>
        <v>0</v>
      </c>
      <c r="I366" s="32">
        <f>VLOOKUP(D366,'מאזן בוחן EUROPE'!$C:$M,11,0)-G366</f>
        <v>0</v>
      </c>
    </row>
    <row r="367" spans="1:13">
      <c r="A367" s="141" t="s">
        <v>1288</v>
      </c>
      <c r="B367" s="141" t="s">
        <v>1291</v>
      </c>
      <c r="C367" s="141" t="s">
        <v>1156</v>
      </c>
      <c r="D367" s="1376">
        <v>7140004</v>
      </c>
      <c r="E367" s="141" t="s">
        <v>1332</v>
      </c>
      <c r="F367" s="726">
        <v>182320.32</v>
      </c>
      <c r="G367" s="726">
        <v>250069.28</v>
      </c>
      <c r="H367" s="32">
        <f>VLOOKUP(D367,'מאזן בוחן EUROPE'!$C:$E,3,0)-F367</f>
        <v>0</v>
      </c>
      <c r="I367" s="32">
        <f>VLOOKUP(D367,'מאזן בוחן EUROPE'!$C:$M,11,0)-G367</f>
        <v>0</v>
      </c>
    </row>
    <row r="368" spans="1:13">
      <c r="A368" s="141" t="s">
        <v>1288</v>
      </c>
      <c r="B368" s="141" t="s">
        <v>1291</v>
      </c>
      <c r="C368" s="141" t="s">
        <v>1156</v>
      </c>
      <c r="D368" s="1376">
        <v>7140023</v>
      </c>
      <c r="E368" s="141" t="s">
        <v>4485</v>
      </c>
      <c r="F368" s="726">
        <v>14821.57</v>
      </c>
      <c r="G368" s="726">
        <v>19833.32</v>
      </c>
      <c r="H368" s="32">
        <f>VLOOKUP(D368,'מאזן בוחן EUROPE'!$C:$E,3,0)-F368</f>
        <v>0</v>
      </c>
      <c r="I368" s="32">
        <f>VLOOKUP(D368,'מאזן בוחן EUROPE'!$C:$M,11,0)-G368</f>
        <v>0</v>
      </c>
    </row>
    <row r="369" spans="1:9">
      <c r="A369" s="141" t="s">
        <v>1288</v>
      </c>
      <c r="B369" s="141" t="s">
        <v>1291</v>
      </c>
      <c r="C369" s="141" t="s">
        <v>1156</v>
      </c>
      <c r="D369" s="1376">
        <v>7140032</v>
      </c>
      <c r="E369" s="141" t="s">
        <v>1333</v>
      </c>
      <c r="F369" s="726">
        <v>118095.42</v>
      </c>
      <c r="G369" s="726">
        <v>163360.19</v>
      </c>
      <c r="H369" s="32">
        <f>VLOOKUP(D369,'מאזן בוחן EUROPE'!$C:$E,3,0)-F369</f>
        <v>0</v>
      </c>
      <c r="I369" s="32">
        <f>VLOOKUP(D369,'מאזן בוחן EUROPE'!$C:$M,11,0)-G369</f>
        <v>0</v>
      </c>
    </row>
    <row r="370" spans="1:9">
      <c r="A370" s="141" t="s">
        <v>1288</v>
      </c>
      <c r="B370" s="141" t="s">
        <v>1291</v>
      </c>
      <c r="C370" s="141" t="s">
        <v>1156</v>
      </c>
      <c r="D370" s="1376">
        <v>7140033</v>
      </c>
      <c r="E370" s="141" t="s">
        <v>1334</v>
      </c>
      <c r="F370" s="726">
        <v>75240.289999999994</v>
      </c>
      <c r="G370" s="726">
        <v>102469.87</v>
      </c>
      <c r="H370" s="32">
        <f>VLOOKUP(D370,'מאזן בוחן EUROPE'!$C:$E,3,0)-F370</f>
        <v>0</v>
      </c>
      <c r="I370" s="32">
        <f>VLOOKUP(D370,'מאזן בוחן EUROPE'!$C:$M,11,0)-G370</f>
        <v>0</v>
      </c>
    </row>
    <row r="371" spans="1:9">
      <c r="A371" s="141" t="s">
        <v>1288</v>
      </c>
      <c r="B371" s="141" t="s">
        <v>1291</v>
      </c>
      <c r="C371" s="141" t="s">
        <v>1156</v>
      </c>
      <c r="D371" s="1376">
        <v>7140034</v>
      </c>
      <c r="E371" s="141" t="s">
        <v>1335</v>
      </c>
      <c r="F371" s="726">
        <v>2215.21</v>
      </c>
      <c r="G371" s="726">
        <v>3130.75</v>
      </c>
      <c r="H371" s="32">
        <f>VLOOKUP(D371,'מאזן בוחן EUROPE'!$C:$E,3,0)-F371</f>
        <v>0</v>
      </c>
      <c r="I371" s="32">
        <f>VLOOKUP(D371,'מאזן בוחן EUROPE'!$C:$M,11,0)-G371</f>
        <v>0</v>
      </c>
    </row>
    <row r="372" spans="1:9">
      <c r="A372" s="141" t="s">
        <v>1288</v>
      </c>
      <c r="B372" s="141" t="s">
        <v>1291</v>
      </c>
      <c r="C372" s="141" t="s">
        <v>1156</v>
      </c>
      <c r="D372" s="1376">
        <v>7140045</v>
      </c>
      <c r="E372" s="141" t="s">
        <v>3793</v>
      </c>
      <c r="F372" s="726">
        <v>77533.929999999993</v>
      </c>
      <c r="G372" s="726">
        <v>106291.34</v>
      </c>
      <c r="H372" s="32">
        <f>VLOOKUP(D372,'מאזן בוחן EUROPE'!$C:$E,3,0)-F372</f>
        <v>0</v>
      </c>
      <c r="I372" s="32">
        <f>VLOOKUP(D372,'מאזן בוחן EUROPE'!$C:$M,11,0)-G372</f>
        <v>0</v>
      </c>
    </row>
    <row r="373" spans="1:9">
      <c r="A373" s="141" t="s">
        <v>1288</v>
      </c>
      <c r="B373" s="141" t="s">
        <v>1291</v>
      </c>
      <c r="C373" s="141" t="s">
        <v>1156</v>
      </c>
      <c r="D373" s="1376">
        <v>7140046</v>
      </c>
      <c r="E373" s="141" t="s">
        <v>3794</v>
      </c>
      <c r="F373" s="726">
        <v>18849.02</v>
      </c>
      <c r="G373" s="726">
        <v>25888.31</v>
      </c>
      <c r="H373" s="32">
        <f>VLOOKUP(D373,'מאזן בוחן EUROPE'!$C:$E,3,0)-F373</f>
        <v>0</v>
      </c>
      <c r="I373" s="32">
        <f>VLOOKUP(D373,'מאזן בוחן EUROPE'!$C:$M,11,0)-G373</f>
        <v>0</v>
      </c>
    </row>
    <row r="374" spans="1:9">
      <c r="A374" s="141" t="s">
        <v>1288</v>
      </c>
      <c r="B374" s="141" t="s">
        <v>1291</v>
      </c>
      <c r="C374" s="141" t="s">
        <v>1156</v>
      </c>
      <c r="D374" s="1376">
        <v>7140050</v>
      </c>
      <c r="E374" s="141" t="s">
        <v>4486</v>
      </c>
      <c r="F374" s="726">
        <v>22743.32</v>
      </c>
      <c r="G374" s="726">
        <v>30210.87</v>
      </c>
      <c r="H374" s="32">
        <f>VLOOKUP(D374,'מאזן בוחן EUROPE'!$C:$E,3,0)-F374</f>
        <v>0</v>
      </c>
      <c r="I374" s="32">
        <f>VLOOKUP(D374,'מאזן בוחן EUROPE'!$C:$M,11,0)-G374</f>
        <v>0</v>
      </c>
    </row>
    <row r="375" spans="1:9">
      <c r="A375" s="141" t="s">
        <v>1288</v>
      </c>
      <c r="B375" s="141" t="s">
        <v>1291</v>
      </c>
      <c r="C375" s="141" t="s">
        <v>1156</v>
      </c>
      <c r="D375" s="1376">
        <v>7140051</v>
      </c>
      <c r="E375" s="141" t="s">
        <v>4487</v>
      </c>
      <c r="F375" s="726">
        <v>5424.77</v>
      </c>
      <c r="G375" s="726">
        <v>7205.94</v>
      </c>
      <c r="H375" s="32">
        <f>VLOOKUP(D375,'מאזן בוחן EUROPE'!$C:$E,3,0)-F375</f>
        <v>0</v>
      </c>
      <c r="I375" s="32">
        <f>VLOOKUP(D375,'מאזן בוחן EUROPE'!$C:$M,11,0)-G375</f>
        <v>0</v>
      </c>
    </row>
    <row r="376" spans="1:9">
      <c r="A376" s="141" t="s">
        <v>1288</v>
      </c>
      <c r="B376" s="141" t="s">
        <v>1291</v>
      </c>
      <c r="C376" s="141" t="s">
        <v>1156</v>
      </c>
      <c r="D376" s="1376">
        <v>7140053</v>
      </c>
      <c r="E376" s="141" t="s">
        <v>4003</v>
      </c>
      <c r="F376" s="726">
        <v>38553.129999999997</v>
      </c>
      <c r="G376" s="726">
        <v>52538.22</v>
      </c>
      <c r="H376" s="32">
        <f>VLOOKUP(D376,'מאזן בוחן EUROPE'!$C:$E,3,0)-F376</f>
        <v>0</v>
      </c>
      <c r="I376" s="32">
        <f>VLOOKUP(D376,'מאזן בוחן EUROPE'!$C:$M,11,0)-G376</f>
        <v>0</v>
      </c>
    </row>
    <row r="377" spans="1:9">
      <c r="A377" s="141" t="s">
        <v>1288</v>
      </c>
      <c r="B377" s="141" t="s">
        <v>1291</v>
      </c>
      <c r="C377" s="141" t="s">
        <v>1156</v>
      </c>
      <c r="D377" s="1376">
        <v>7140054</v>
      </c>
      <c r="E377" s="141" t="s">
        <v>4004</v>
      </c>
      <c r="F377" s="726">
        <v>5358.44</v>
      </c>
      <c r="G377" s="726">
        <v>7370.39</v>
      </c>
      <c r="H377" s="32">
        <f>VLOOKUP(D377,'מאזן בוחן EUROPE'!$C:$E,3,0)-F377</f>
        <v>0</v>
      </c>
      <c r="I377" s="32">
        <f>VLOOKUP(D377,'מאזן בוחן EUROPE'!$C:$M,11,0)-G377</f>
        <v>0</v>
      </c>
    </row>
    <row r="378" spans="1:9">
      <c r="A378" s="141" t="s">
        <v>1293</v>
      </c>
      <c r="B378" s="141" t="s">
        <v>1294</v>
      </c>
      <c r="C378" s="141" t="s">
        <v>1183</v>
      </c>
      <c r="D378" s="1376">
        <v>8030001</v>
      </c>
      <c r="E378" s="141" t="s">
        <v>394</v>
      </c>
      <c r="F378" s="726">
        <v>-15564</v>
      </c>
      <c r="G378" s="726">
        <v>-20770.57</v>
      </c>
      <c r="H378" s="32">
        <f>VLOOKUP(D378,'מאזן בוחן EUROPE'!$C:$E,3,0)-F378</f>
        <v>0</v>
      </c>
      <c r="I378" s="32">
        <f>VLOOKUP(D378,'מאזן בוחן EUROPE'!$C:$M,11,0)-G378</f>
        <v>0</v>
      </c>
    </row>
    <row r="379" spans="1:9">
      <c r="A379" s="141" t="s">
        <v>1293</v>
      </c>
      <c r="B379" s="141" t="s">
        <v>1294</v>
      </c>
      <c r="C379" s="141" t="s">
        <v>1183</v>
      </c>
      <c r="D379" s="1376">
        <v>8030002</v>
      </c>
      <c r="E379" s="141" t="s">
        <v>3171</v>
      </c>
      <c r="F379" s="726">
        <v>2779.96</v>
      </c>
      <c r="G379" s="726">
        <v>3757.06</v>
      </c>
      <c r="H379" s="32">
        <f>VLOOKUP(D379,'מאזן בוחן EUROPE'!$C:$E,3,0)-F379</f>
        <v>0</v>
      </c>
      <c r="I379" s="32">
        <f>VLOOKUP(D379,'מאזן בוחן EUROPE'!$C:$M,11,0)-G379</f>
        <v>0</v>
      </c>
    </row>
    <row r="380" spans="1:9">
      <c r="A380" s="141" t="s">
        <v>1293</v>
      </c>
      <c r="B380" s="141" t="s">
        <v>1294</v>
      </c>
      <c r="C380" s="141" t="s">
        <v>1183</v>
      </c>
      <c r="D380" s="1376">
        <v>8030006</v>
      </c>
      <c r="E380" s="141" t="s">
        <v>155</v>
      </c>
      <c r="F380" s="726">
        <v>4321.54</v>
      </c>
      <c r="G380" s="726">
        <v>5953.28</v>
      </c>
      <c r="H380" s="32">
        <f>VLOOKUP(D380,'מאזן בוחן EUROPE'!$C:$E,3,0)-F380</f>
        <v>0</v>
      </c>
      <c r="I380" s="32">
        <f>VLOOKUP(D380,'מאזן בוחן EUROPE'!$C:$M,11,0)-G380</f>
        <v>0</v>
      </c>
    </row>
    <row r="381" spans="1:9">
      <c r="A381" s="141" t="s">
        <v>1293</v>
      </c>
      <c r="B381" s="141" t="s">
        <v>1294</v>
      </c>
      <c r="C381" s="141" t="s">
        <v>1183</v>
      </c>
      <c r="D381" s="1376">
        <v>8030020</v>
      </c>
      <c r="E381" s="141" t="s">
        <v>19</v>
      </c>
      <c r="F381" s="726">
        <v>4691</v>
      </c>
      <c r="G381" s="726">
        <v>6433.08</v>
      </c>
      <c r="H381" s="32">
        <f>VLOOKUP(D381,'מאזן בוחן EUROPE'!$C:$E,3,0)-F381</f>
        <v>0</v>
      </c>
      <c r="I381" s="32">
        <f>VLOOKUP(D381,'מאזן בוחן EUROPE'!$C:$M,11,0)-G381</f>
        <v>0</v>
      </c>
    </row>
    <row r="382" spans="1:9">
      <c r="A382" s="141" t="s">
        <v>1293</v>
      </c>
      <c r="B382" s="141" t="s">
        <v>1294</v>
      </c>
      <c r="C382" s="141" t="s">
        <v>1183</v>
      </c>
      <c r="D382" s="1376">
        <v>8030101</v>
      </c>
      <c r="E382" s="141" t="s">
        <v>1640</v>
      </c>
      <c r="F382" s="726">
        <v>-80871.39</v>
      </c>
      <c r="G382" s="726">
        <v>-111514.43</v>
      </c>
      <c r="H382" s="32">
        <f>VLOOKUP(D382,'מאזן בוחן EUROPE'!$C:$E,3,0)-F382</f>
        <v>0</v>
      </c>
      <c r="I382" s="32">
        <f>VLOOKUP(D382,'מאזן בוחן EUROPE'!$C:$M,11,0)-G382</f>
        <v>0</v>
      </c>
    </row>
    <row r="383" spans="1:9">
      <c r="A383" s="141" t="s">
        <v>1293</v>
      </c>
      <c r="B383" s="141" t="s">
        <v>1299</v>
      </c>
      <c r="C383" s="141" t="s">
        <v>1337</v>
      </c>
      <c r="D383" s="1376">
        <v>8410027</v>
      </c>
      <c r="E383" s="141" t="s">
        <v>311</v>
      </c>
      <c r="F383" s="726">
        <v>-652.02</v>
      </c>
      <c r="G383" s="726">
        <v>-906.55</v>
      </c>
      <c r="H383" s="32">
        <f>VLOOKUP(D383,'מאזן בוחן EUROPE'!$C:$E,3,0)-F383</f>
        <v>0</v>
      </c>
      <c r="I383" s="32">
        <f>VLOOKUP(D383,'מאזן בוחן EUROPE'!$C:$M,11,0)-G383</f>
        <v>0</v>
      </c>
    </row>
    <row r="384" spans="1:9">
      <c r="A384" s="141" t="s">
        <v>1293</v>
      </c>
      <c r="B384" s="141" t="s">
        <v>1299</v>
      </c>
      <c r="C384" s="141" t="s">
        <v>1337</v>
      </c>
      <c r="D384" s="1376">
        <v>8410069</v>
      </c>
      <c r="E384" s="141" t="s">
        <v>1338</v>
      </c>
      <c r="F384" s="726">
        <v>25789.82</v>
      </c>
      <c r="G384" s="726">
        <v>35734.660000000003</v>
      </c>
      <c r="H384" s="32">
        <f>VLOOKUP(D384,'מאזן בוחן EUROPE'!$C:$E,3,0)-F384</f>
        <v>0</v>
      </c>
      <c r="I384" s="32">
        <f>VLOOKUP(D384,'מאזן בוחן EUROPE'!$C:$M,11,0)-G384</f>
        <v>0</v>
      </c>
    </row>
    <row r="385" spans="1:9">
      <c r="A385" s="141" t="s">
        <v>1293</v>
      </c>
      <c r="B385" s="141" t="s">
        <v>1299</v>
      </c>
      <c r="C385" s="141" t="s">
        <v>1337</v>
      </c>
      <c r="D385" s="1376">
        <v>8410070</v>
      </c>
      <c r="E385" s="141" t="s">
        <v>98</v>
      </c>
      <c r="F385" s="726">
        <v>2081.3000000000002</v>
      </c>
      <c r="G385" s="726">
        <v>2812.03</v>
      </c>
      <c r="H385" s="32">
        <f>VLOOKUP(D385,'מאזן בוחן EUROPE'!$C:$E,3,0)-F385</f>
        <v>0</v>
      </c>
      <c r="I385" s="32">
        <f>VLOOKUP(D385,'מאזן בוחן EUROPE'!$C:$M,11,0)-G385</f>
        <v>0</v>
      </c>
    </row>
    <row r="386" spans="1:9">
      <c r="A386" s="141" t="s">
        <v>1301</v>
      </c>
      <c r="B386" s="141" t="s">
        <v>1302</v>
      </c>
      <c r="C386" s="141" t="s">
        <v>1216</v>
      </c>
      <c r="D386" s="1376">
        <v>9010001</v>
      </c>
      <c r="E386" s="141" t="s">
        <v>1339</v>
      </c>
      <c r="F386" s="726">
        <v>9990.24</v>
      </c>
      <c r="G386" s="726">
        <v>13702.69</v>
      </c>
      <c r="H386" s="32">
        <f>VLOOKUP(D386,'מאזן בוחן EUROPE'!$C:$E,3,0)-F386</f>
        <v>0</v>
      </c>
      <c r="I386" s="32">
        <f>VLOOKUP(D386,'מאזן בוחן EUROPE'!$C:$M,11,0)-G386</f>
        <v>0</v>
      </c>
    </row>
    <row r="387" spans="1:9">
      <c r="A387" s="141" t="s">
        <v>1301</v>
      </c>
      <c r="B387" s="141" t="s">
        <v>1302</v>
      </c>
      <c r="C387" s="141" t="s">
        <v>1216</v>
      </c>
      <c r="D387" s="1376">
        <v>9010002</v>
      </c>
      <c r="E387" s="141" t="s">
        <v>158</v>
      </c>
      <c r="F387" s="726">
        <v>342090.16</v>
      </c>
      <c r="G387" s="726">
        <v>32415.72</v>
      </c>
      <c r="H387" s="32">
        <f>VLOOKUP(D387,'מאזן בוחן EUROPE'!$C:$E,3,0)-F387</f>
        <v>0</v>
      </c>
      <c r="I387" s="32">
        <f>VLOOKUP(D387,'מאזן בוחן EUROPE'!$C:$M,11,0)-G387</f>
        <v>0</v>
      </c>
    </row>
    <row r="388" spans="1:9">
      <c r="A388" s="141" t="s">
        <v>1301</v>
      </c>
      <c r="B388" s="141" t="s">
        <v>3448</v>
      </c>
      <c r="C388" s="141" t="s">
        <v>1218</v>
      </c>
      <c r="D388" s="1376">
        <v>9100003</v>
      </c>
      <c r="E388" s="141" t="s">
        <v>222</v>
      </c>
      <c r="F388" s="726">
        <v>5949.7</v>
      </c>
      <c r="G388" s="726">
        <v>8123.22</v>
      </c>
      <c r="H388" s="32">
        <f>VLOOKUP(D388,'מאזן בוחן EUROPE'!$C:$E,3,0)-F388</f>
        <v>0</v>
      </c>
      <c r="I388" s="32">
        <f>VLOOKUP(D388,'מאזן בוחן EUROPE'!$C:$M,11,0)-G388</f>
        <v>0</v>
      </c>
    </row>
    <row r="389" spans="1:9">
      <c r="A389" s="141" t="s">
        <v>1301</v>
      </c>
      <c r="B389" s="141" t="s">
        <v>3448</v>
      </c>
      <c r="C389" s="141" t="s">
        <v>1218</v>
      </c>
      <c r="D389" s="1376">
        <v>9100004</v>
      </c>
      <c r="E389" s="141" t="s">
        <v>1454</v>
      </c>
      <c r="F389" s="726">
        <v>7202.93</v>
      </c>
      <c r="G389" s="726">
        <v>9741.02</v>
      </c>
      <c r="H389" s="32">
        <f>VLOOKUP(D389,'מאזן בוחן EUROPE'!$C:$E,3,0)-F389</f>
        <v>0</v>
      </c>
      <c r="I389" s="32">
        <f>VLOOKUP(D389,'מאזן בוחן EUROPE'!$C:$M,11,0)-G389</f>
        <v>0</v>
      </c>
    </row>
    <row r="390" spans="1:9">
      <c r="A390" s="141" t="s">
        <v>1301</v>
      </c>
      <c r="B390" s="141" t="s">
        <v>3448</v>
      </c>
      <c r="C390" s="141" t="s">
        <v>1218</v>
      </c>
      <c r="D390" s="1376">
        <v>9100007</v>
      </c>
      <c r="E390" s="141" t="s">
        <v>3532</v>
      </c>
      <c r="F390" s="726">
        <v>31816.18</v>
      </c>
      <c r="G390" s="726">
        <v>42998.9</v>
      </c>
      <c r="H390" s="32">
        <f>VLOOKUP(D390,'מאזן בוחן EUROPE'!$C:$E,3,0)-F390</f>
        <v>0</v>
      </c>
      <c r="I390" s="32">
        <f>VLOOKUP(D390,'מאזן בוחן EUROPE'!$C:$M,11,0)-G390</f>
        <v>0</v>
      </c>
    </row>
    <row r="391" spans="1:9">
      <c r="H391" s="32"/>
      <c r="I391" s="32"/>
    </row>
  </sheetData>
  <autoFilter ref="A163:H163" xr:uid="{00000000-0009-0000-0000-000012000000}"/>
  <mergeCells count="71">
    <mergeCell ref="G154:G157"/>
    <mergeCell ref="B155:B157"/>
    <mergeCell ref="J37:N37"/>
    <mergeCell ref="J57:N57"/>
    <mergeCell ref="A161:H161"/>
    <mergeCell ref="G62:G64"/>
    <mergeCell ref="G60:G61"/>
    <mergeCell ref="G38:G39"/>
    <mergeCell ref="G41:G42"/>
    <mergeCell ref="G44:G45"/>
    <mergeCell ref="G136:G138"/>
    <mergeCell ref="G130:G132"/>
    <mergeCell ref="G148:G150"/>
    <mergeCell ref="G142:G144"/>
    <mergeCell ref="G145:G147"/>
    <mergeCell ref="B69:B70"/>
    <mergeCell ref="G31:G33"/>
    <mergeCell ref="B31:B33"/>
    <mergeCell ref="B72:B73"/>
    <mergeCell ref="B102:B103"/>
    <mergeCell ref="B96:B97"/>
    <mergeCell ref="B81:B82"/>
    <mergeCell ref="B84:B85"/>
    <mergeCell ref="B87:B88"/>
    <mergeCell ref="B90:B91"/>
    <mergeCell ref="B93:B94"/>
    <mergeCell ref="B35:B36"/>
    <mergeCell ref="B38:B39"/>
    <mergeCell ref="G50:G52"/>
    <mergeCell ref="B50:B52"/>
    <mergeCell ref="B41:B42"/>
    <mergeCell ref="B60:B61"/>
    <mergeCell ref="G27:G29"/>
    <mergeCell ref="B7:B8"/>
    <mergeCell ref="B20:B21"/>
    <mergeCell ref="B23:B25"/>
    <mergeCell ref="B27:B29"/>
    <mergeCell ref="B17:B18"/>
    <mergeCell ref="G17:G18"/>
    <mergeCell ref="G23:G25"/>
    <mergeCell ref="B14:B15"/>
    <mergeCell ref="B10:B12"/>
    <mergeCell ref="G6:G8"/>
    <mergeCell ref="G13:G15"/>
    <mergeCell ref="B44:B45"/>
    <mergeCell ref="B47:B48"/>
    <mergeCell ref="B57:B58"/>
    <mergeCell ref="B115:B116"/>
    <mergeCell ref="B118:B119"/>
    <mergeCell ref="B75:B76"/>
    <mergeCell ref="B66:B67"/>
    <mergeCell ref="B78:B79"/>
    <mergeCell ref="B105:B110"/>
    <mergeCell ref="B63:B64"/>
    <mergeCell ref="B112:B113"/>
    <mergeCell ref="B54:B55"/>
    <mergeCell ref="B99:B100"/>
    <mergeCell ref="G120:G122"/>
    <mergeCell ref="B143:B144"/>
    <mergeCell ref="B146:B147"/>
    <mergeCell ref="B149:B150"/>
    <mergeCell ref="B152:B153"/>
    <mergeCell ref="B140:B141"/>
    <mergeCell ref="B121:B122"/>
    <mergeCell ref="B124:B126"/>
    <mergeCell ref="B131:B132"/>
    <mergeCell ref="B134:B135"/>
    <mergeCell ref="B137:B138"/>
    <mergeCell ref="G139:G141"/>
    <mergeCell ref="G151:G153"/>
    <mergeCell ref="B128:B129"/>
  </mergeCells>
  <conditionalFormatting sqref="C66">
    <cfRule type="duplicateValues" dxfId="710" priority="146" stopIfTrue="1"/>
    <cfRule type="duplicateValues" dxfId="709" priority="147" stopIfTrue="1"/>
  </conditionalFormatting>
  <conditionalFormatting sqref="C20">
    <cfRule type="duplicateValues" dxfId="708" priority="140" stopIfTrue="1"/>
    <cfRule type="duplicateValues" dxfId="707" priority="141" stopIfTrue="1"/>
  </conditionalFormatting>
  <conditionalFormatting sqref="C78">
    <cfRule type="duplicateValues" dxfId="706" priority="138" stopIfTrue="1"/>
    <cfRule type="duplicateValues" dxfId="705" priority="139" stopIfTrue="1"/>
  </conditionalFormatting>
  <conditionalFormatting sqref="C81">
    <cfRule type="duplicateValues" dxfId="704" priority="96" stopIfTrue="1"/>
    <cfRule type="duplicateValues" dxfId="703" priority="97" stopIfTrue="1"/>
  </conditionalFormatting>
  <conditionalFormatting sqref="C7">
    <cfRule type="duplicateValues" dxfId="702" priority="93" stopIfTrue="1"/>
  </conditionalFormatting>
  <conditionalFormatting sqref="C7">
    <cfRule type="duplicateValues" dxfId="701" priority="94" stopIfTrue="1"/>
    <cfRule type="duplicateValues" dxfId="700" priority="95" stopIfTrue="1"/>
  </conditionalFormatting>
  <conditionalFormatting sqref="E5">
    <cfRule type="cellIs" dxfId="699" priority="80" operator="notBetween">
      <formula>10</formula>
      <formula>-10</formula>
    </cfRule>
  </conditionalFormatting>
  <conditionalFormatting sqref="M31">
    <cfRule type="cellIs" dxfId="698" priority="78" operator="notBetween">
      <formula>10</formula>
      <formula>-10</formula>
    </cfRule>
  </conditionalFormatting>
  <conditionalFormatting sqref="N31">
    <cfRule type="cellIs" dxfId="697" priority="77" operator="notBetween">
      <formula>10</formula>
      <formula>-10</formula>
    </cfRule>
  </conditionalFormatting>
  <conditionalFormatting sqref="C84">
    <cfRule type="duplicateValues" dxfId="696" priority="75" stopIfTrue="1"/>
    <cfRule type="duplicateValues" dxfId="695" priority="76" stopIfTrue="1"/>
  </conditionalFormatting>
  <conditionalFormatting sqref="C105">
    <cfRule type="duplicateValues" dxfId="694" priority="59" stopIfTrue="1"/>
    <cfRule type="duplicateValues" dxfId="693" priority="60" stopIfTrue="1"/>
  </conditionalFormatting>
  <conditionalFormatting sqref="F5">
    <cfRule type="cellIs" dxfId="692" priority="58" operator="notBetween">
      <formula>10</formula>
      <formula>-10</formula>
    </cfRule>
  </conditionalFormatting>
  <conditionalFormatting sqref="C121">
    <cfRule type="duplicateValues" dxfId="691" priority="52" stopIfTrue="1"/>
  </conditionalFormatting>
  <conditionalFormatting sqref="C121">
    <cfRule type="duplicateValues" dxfId="690" priority="53" stopIfTrue="1"/>
    <cfRule type="duplicateValues" dxfId="689" priority="54" stopIfTrue="1"/>
  </conditionalFormatting>
  <conditionalFormatting sqref="C131">
    <cfRule type="duplicateValues" dxfId="688" priority="49" stopIfTrue="1"/>
  </conditionalFormatting>
  <conditionalFormatting sqref="C131">
    <cfRule type="duplicateValues" dxfId="687" priority="50" stopIfTrue="1"/>
    <cfRule type="duplicateValues" dxfId="686" priority="51" stopIfTrue="1"/>
  </conditionalFormatting>
  <conditionalFormatting sqref="C134">
    <cfRule type="duplicateValues" dxfId="685" priority="44" stopIfTrue="1"/>
    <cfRule type="duplicateValues" dxfId="684" priority="45" stopIfTrue="1"/>
  </conditionalFormatting>
  <conditionalFormatting sqref="C87">
    <cfRule type="duplicateValues" dxfId="683" priority="42" stopIfTrue="1"/>
    <cfRule type="duplicateValues" dxfId="682" priority="43" stopIfTrue="1"/>
  </conditionalFormatting>
  <conditionalFormatting sqref="C17">
    <cfRule type="duplicateValues" dxfId="681" priority="40" stopIfTrue="1"/>
    <cfRule type="duplicateValues" dxfId="680" priority="41" stopIfTrue="1"/>
  </conditionalFormatting>
  <conditionalFormatting sqref="C118">
    <cfRule type="duplicateValues" dxfId="679" priority="21009" stopIfTrue="1"/>
  </conditionalFormatting>
  <conditionalFormatting sqref="C118">
    <cfRule type="duplicateValues" dxfId="678" priority="21010" stopIfTrue="1"/>
    <cfRule type="duplicateValues" dxfId="677" priority="21011" stopIfTrue="1"/>
  </conditionalFormatting>
  <conditionalFormatting sqref="C90">
    <cfRule type="duplicateValues" dxfId="676" priority="35" stopIfTrue="1"/>
    <cfRule type="duplicateValues" dxfId="675" priority="36" stopIfTrue="1"/>
  </conditionalFormatting>
  <conditionalFormatting sqref="C96">
    <cfRule type="duplicateValues" dxfId="674" priority="33" stopIfTrue="1"/>
    <cfRule type="duplicateValues" dxfId="673" priority="34" stopIfTrue="1"/>
  </conditionalFormatting>
  <conditionalFormatting sqref="C137">
    <cfRule type="duplicateValues" dxfId="672" priority="31" stopIfTrue="1"/>
    <cfRule type="duplicateValues" dxfId="671" priority="32" stopIfTrue="1"/>
  </conditionalFormatting>
  <conditionalFormatting sqref="C140">
    <cfRule type="duplicateValues" dxfId="670" priority="29" stopIfTrue="1"/>
    <cfRule type="duplicateValues" dxfId="669" priority="30" stopIfTrue="1"/>
  </conditionalFormatting>
  <conditionalFormatting sqref="C146">
    <cfRule type="duplicateValues" dxfId="668" priority="25" stopIfTrue="1"/>
    <cfRule type="duplicateValues" dxfId="667" priority="26" stopIfTrue="1"/>
  </conditionalFormatting>
  <conditionalFormatting sqref="C149">
    <cfRule type="duplicateValues" dxfId="666" priority="23" stopIfTrue="1"/>
    <cfRule type="duplicateValues" dxfId="665" priority="24" stopIfTrue="1"/>
  </conditionalFormatting>
  <conditionalFormatting sqref="C102">
    <cfRule type="duplicateValues" dxfId="664" priority="19" stopIfTrue="1"/>
    <cfRule type="duplicateValues" dxfId="663" priority="20" stopIfTrue="1"/>
  </conditionalFormatting>
  <conditionalFormatting sqref="C152">
    <cfRule type="duplicateValues" dxfId="662" priority="15" stopIfTrue="1"/>
    <cfRule type="duplicateValues" dxfId="661" priority="16" stopIfTrue="1"/>
  </conditionalFormatting>
  <conditionalFormatting sqref="J37">
    <cfRule type="duplicateValues" dxfId="660" priority="13" stopIfTrue="1"/>
    <cfRule type="duplicateValues" dxfId="659" priority="14" stopIfTrue="1"/>
  </conditionalFormatting>
  <conditionalFormatting sqref="J57">
    <cfRule type="duplicateValues" dxfId="658" priority="11" stopIfTrue="1"/>
    <cfRule type="duplicateValues" dxfId="657" priority="12" stopIfTrue="1"/>
  </conditionalFormatting>
  <conditionalFormatting sqref="C143">
    <cfRule type="duplicateValues" dxfId="656" priority="9" stopIfTrue="1"/>
    <cfRule type="duplicateValues" dxfId="655" priority="10" stopIfTrue="1"/>
  </conditionalFormatting>
  <conditionalFormatting sqref="C106 C108:C109">
    <cfRule type="duplicateValues" dxfId="654" priority="22298" stopIfTrue="1"/>
    <cfRule type="duplicateValues" dxfId="653" priority="22299" stopIfTrue="1"/>
  </conditionalFormatting>
  <conditionalFormatting sqref="C99">
    <cfRule type="duplicateValues" dxfId="652" priority="7" stopIfTrue="1"/>
    <cfRule type="duplicateValues" dxfId="651" priority="8" stopIfTrue="1"/>
  </conditionalFormatting>
  <conditionalFormatting sqref="C156">
    <cfRule type="duplicateValues" dxfId="650" priority="3" stopIfTrue="1"/>
    <cfRule type="duplicateValues" dxfId="649" priority="4" stopIfTrue="1"/>
  </conditionalFormatting>
  <conditionalFormatting sqref="C155">
    <cfRule type="duplicateValues" dxfId="648" priority="1" stopIfTrue="1"/>
    <cfRule type="duplicateValues" dxfId="647" priority="2" stopIfTrue="1"/>
  </conditionalFormatting>
  <pageMargins left="0.74803149606299202" right="0.74803149606299202" top="0.98425196850393704" bottom="0.98425196850393704" header="0.511811023622047" footer="0.511811023622047"/>
  <pageSetup paperSize="9" scale="45" fitToHeight="100" orientation="portrait" r:id="rId1"/>
  <headerFooter alignWithMargins="0"/>
  <ignoredErrors>
    <ignoredError sqref="N4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3D24-F2BC-4683-B349-77AE30FF3CC5}">
  <sheetPr codeName="Sheet18">
    <tabColor rgb="FFFF66CC"/>
  </sheetPr>
  <dimension ref="A1:BV75"/>
  <sheetViews>
    <sheetView workbookViewId="0">
      <selection activeCell="G14" sqref="G14"/>
    </sheetView>
  </sheetViews>
  <sheetFormatPr defaultColWidth="9.33203125" defaultRowHeight="12.75"/>
  <cols>
    <col min="1" max="1" width="69.5" style="253" customWidth="1"/>
    <col min="2" max="2" width="19.83203125" style="32" customWidth="1"/>
    <col min="3" max="3" width="17" style="32" customWidth="1"/>
    <col min="4" max="4" width="16.1640625" style="32" customWidth="1"/>
    <col min="5" max="5" width="22.33203125" style="32" customWidth="1"/>
    <col min="6" max="6" width="13.6640625" style="480" bestFit="1" customWidth="1"/>
    <col min="7" max="8" width="10.6640625" style="32" bestFit="1" customWidth="1"/>
    <col min="9" max="9" width="2.33203125" style="32" bestFit="1" customWidth="1"/>
    <col min="10" max="10" width="20.6640625" style="32" bestFit="1" customWidth="1"/>
    <col min="11" max="11" width="14.33203125" style="32" bestFit="1" customWidth="1"/>
    <col min="12" max="13" width="15" style="32" bestFit="1" customWidth="1"/>
    <col min="14" max="15" width="9.33203125" style="32"/>
    <col min="16" max="17" width="10.6640625" style="32" bestFit="1" customWidth="1"/>
    <col min="18" max="19" width="9.33203125" style="32"/>
    <col min="20" max="20" width="15" style="32" bestFit="1" customWidth="1"/>
    <col min="21" max="21" width="9.33203125" style="32"/>
    <col min="22" max="23" width="15" style="32" bestFit="1" customWidth="1"/>
    <col min="24" max="25" width="9.5" style="32" bestFit="1" customWidth="1"/>
    <col min="26" max="26" width="14.33203125" style="32" bestFit="1" customWidth="1"/>
    <col min="27" max="27" width="15" style="32" bestFit="1" customWidth="1"/>
    <col min="28" max="28" width="14.33203125" style="32" bestFit="1" customWidth="1"/>
    <col min="29" max="29" width="15" style="32" bestFit="1" customWidth="1"/>
    <col min="30" max="30" width="14.33203125" style="32" bestFit="1" customWidth="1"/>
    <col min="31" max="31" width="11.1640625" style="32" bestFit="1" customWidth="1"/>
    <col min="32" max="45" width="9.33203125" style="32"/>
    <col min="46" max="46" width="9.5" style="32" bestFit="1" customWidth="1"/>
    <col min="47" max="63" width="9.33203125" style="32"/>
    <col min="64" max="65" width="9.5" style="32" bestFit="1" customWidth="1"/>
    <col min="66" max="16384" width="9.33203125" style="32"/>
  </cols>
  <sheetData>
    <row r="1" spans="1:74" ht="13.5" thickBot="1">
      <c r="F1" s="3581" t="str">
        <f>"חשבון"</f>
        <v>חשבון</v>
      </c>
      <c r="G1" s="153" t="str">
        <f>"מספרו במערכת קודמת"</f>
        <v>מספרו במערכת קודמת</v>
      </c>
      <c r="H1" s="153" t="str">
        <f>"תקציב ראשי"</f>
        <v>תקציב ראשי</v>
      </c>
      <c r="I1" s="153" t="str">
        <f>"שם חברה מלא"</f>
        <v>שם חברה מלא</v>
      </c>
      <c r="J1" s="153" t="str">
        <f>"מבוטל ?"</f>
        <v>מבוטל ?</v>
      </c>
      <c r="K1" s="153" t="str">
        <f>"סגירה עד תאריך"</f>
        <v>סגירה עד תאריך</v>
      </c>
      <c r="L1" s="153" t="str">
        <f>"תאור חשבון"</f>
        <v>תאור חשבון</v>
      </c>
      <c r="M1" s="153" t="str">
        <f>"תאור חשבון (אנגלית)"</f>
        <v>תאור חשבון (אנגלית)</v>
      </c>
      <c r="N1" s="153" t="str">
        <f>"סעיף למאזן בוחן"</f>
        <v>סעיף למאזן בוחן</v>
      </c>
      <c r="O1" s="153" t="str">
        <f>"כותרת למאזן בוחן"</f>
        <v>כותרת למאזן בוחן</v>
      </c>
      <c r="P1" s="153" t="str">
        <f>"תוצאתי?"</f>
        <v>תוצאתי?</v>
      </c>
      <c r="Q1" s="153" t="str">
        <f>"סעיף מאזן/רווח והפסד"</f>
        <v>סעיף מאזן/רווח והפסד</v>
      </c>
      <c r="R1" s="153" t="str">
        <f>"כותרת מאזן/רווח והפ."</f>
        <v>כותרת מאזן/רווח והפ.</v>
      </c>
      <c r="S1" s="153" t="str">
        <f>"שיוך למאזן/רווח והפ."</f>
        <v>שיוך למאזן/רווח והפ.</v>
      </c>
      <c r="T1" s="153" t="str">
        <f>"יתרה במטבע חשבון"</f>
        <v>יתרה במטבע חשבון</v>
      </c>
      <c r="U1" s="153" t="str">
        <f>"מטבע החשבון"</f>
        <v>מטבע החשבון</v>
      </c>
      <c r="V1" s="153" t="str">
        <f>"יתרה בלירה שטרלינג"</f>
        <v>יתרה בלירה שטרלינג</v>
      </c>
      <c r="W1" s="153" t="str">
        <f>"יתרה בדולרים"</f>
        <v>יתרה בדולרים</v>
      </c>
      <c r="X1" s="153" t="str">
        <f>"חתך"</f>
        <v>חתך</v>
      </c>
      <c r="Y1" s="153" t="str">
        <f>"תאור חתך"</f>
        <v>תאור חתך</v>
      </c>
      <c r="Z1" s="153" t="str">
        <f>"סעיף בדו""ח מס"</f>
        <v>סעיף בדו"ח מס</v>
      </c>
      <c r="AA1" s="153" t="str">
        <f>"סניף"</f>
        <v>סניף</v>
      </c>
      <c r="AB1" s="153" t="str">
        <f>"תאור הסניף"</f>
        <v>תאור הסניף</v>
      </c>
      <c r="AC1" s="153" t="str">
        <f>"קוד תזרים"</f>
        <v>קוד תזרים</v>
      </c>
      <c r="AD1" s="153" t="str">
        <f>"רב מטבעי"</f>
        <v>רב מטבעי</v>
      </c>
      <c r="AE1" s="153" t="str">
        <f>"לחייב מילוי תקציב?"</f>
        <v>לחייב מילוי תקציב?</v>
      </c>
      <c r="AF1" s="153" t="str">
        <f>"תוכנת מקור"</f>
        <v>תוכנת מקור</v>
      </c>
      <c r="AG1" s="153" t="str">
        <f>"הכנסות/הוצאות מראש?"</f>
        <v>הכנסות/הוצאות מראש?</v>
      </c>
      <c r="AH1" s="153" t="str">
        <f>"חש' יעד ברירת מחדל"</f>
        <v>חש' יעד ברירת מחדל</v>
      </c>
      <c r="AI1" s="153" t="str">
        <f>"קוד חש' בנק לתזרים"</f>
        <v>קוד חש' בנק לתזרים</v>
      </c>
      <c r="AJ1" s="153" t="str">
        <f>"תת חברה"</f>
        <v>תת חברה</v>
      </c>
      <c r="AK1" s="153" t="str">
        <f>"שם תת חברה"</f>
        <v>שם תת חברה</v>
      </c>
      <c r="AL1" s="153" t="str">
        <f>"חשבון בחברה ראשית"</f>
        <v>חשבון בחברה ראשית</v>
      </c>
      <c r="AM1" s="153" t="str">
        <f>"תאור חשבון"</f>
        <v>תאור חשבון</v>
      </c>
      <c r="AN1" s="153" t="str">
        <f>"מספר חברה/זהות"</f>
        <v>מספר חברה/זהות</v>
      </c>
      <c r="AO1" s="153" t="str">
        <f>"מרכז רווח/עלות"</f>
        <v>מרכז רווח/עלות</v>
      </c>
      <c r="AP1" s="153" t="str">
        <f>"תאור מרכז רווח/עלות"</f>
        <v>תאור מרכז רווח/עלות</v>
      </c>
      <c r="AQ1" s="153" t="str">
        <f>"מרכז רווח/עלות 2"</f>
        <v>מרכז רווח/עלות 2</v>
      </c>
      <c r="AR1" s="153" t="str">
        <f>"תאור מרכז רווח/עלות2"</f>
        <v>תאור מרכז רווח/עלות2</v>
      </c>
      <c r="AS1" s="153" t="str">
        <f>"מרכז רווח/עלות 3"</f>
        <v>מרכז רווח/עלות 3</v>
      </c>
      <c r="AT1" s="153" t="str">
        <f>"תאור מרכז רווח/עלות3"</f>
        <v>תאור מרכז רווח/עלות3</v>
      </c>
      <c r="AU1" s="153" t="str">
        <f>"מרכז רווח/עלות 4"</f>
        <v>מרכז רווח/עלות 4</v>
      </c>
      <c r="AV1" s="153" t="str">
        <f>"תאור מרכז רווח/עלות4"</f>
        <v>תאור מרכז רווח/עלות4</v>
      </c>
      <c r="AW1" s="153" t="str">
        <f>"מרכז רווח/עלות 5"</f>
        <v>מרכז רווח/עלות 5</v>
      </c>
      <c r="AX1" s="153" t="str">
        <f>"תאור מרכז רווח/עלות5"</f>
        <v>תאור מרכז רווח/עלות5</v>
      </c>
      <c r="AY1" s="153" t="str">
        <f>"עץ מרכזי רווח/עלות"</f>
        <v>עץ מרכזי רווח/עלות</v>
      </c>
      <c r="AZ1" s="153" t="str">
        <f>"תאור עץ מרכזי רווח"</f>
        <v>תאור עץ מרכזי רווח</v>
      </c>
      <c r="BA1" s="153" t="str">
        <f>"חשבון חסוי?"</f>
        <v>חשבון חסוי?</v>
      </c>
      <c r="BB1" s="153" t="str">
        <f>"סעיף בטופס 6111"</f>
        <v>סעיף בטופס 6111</v>
      </c>
      <c r="BC1" s="153" t="str">
        <f>"הכנת תשלומים לחשבון?"</f>
        <v>הכנת תשלומים לחשבון?</v>
      </c>
      <c r="BD1" s="153" t="str">
        <f>"מניעת תנועות ידניות?"</f>
        <v>מניעת תנועות ידניות?</v>
      </c>
      <c r="BE1" s="153" t="str">
        <f>"מנע רישום המ. דחויות"</f>
        <v>מנע רישום המ. דחויות</v>
      </c>
      <c r="BF1" s="153" t="str">
        <f>"קוד מע""מ"</f>
        <v>קוד מע"מ</v>
      </c>
      <c r="BG1" s="153" t="str">
        <f>"תאור מע""מ"</f>
        <v>תאור מע"מ</v>
      </c>
      <c r="BH1" s="153" t="str">
        <f>"קוד קבוצת מס"</f>
        <v>קוד קבוצת מס</v>
      </c>
      <c r="BI1" s="153" t="str">
        <f>"קבוצת מס"</f>
        <v>קבוצת מס</v>
      </c>
      <c r="BJ1" s="153" t="str">
        <f>"קוד סוג הוצאה"</f>
        <v>קוד סוג הוצאה</v>
      </c>
      <c r="BK1" s="153" t="str">
        <f>"תאור סוג הוצאה"</f>
        <v>תאור סוג הוצאה</v>
      </c>
      <c r="BL1" s="153" t="str">
        <f>"% מוכר כהוצאה-איטליה"</f>
        <v>% מוכר כהוצאה-איטליה</v>
      </c>
      <c r="BM1" s="153" t="str">
        <f>"% מוכר כהוצאה-EU"</f>
        <v>% מוכר כהוצאה-EU</v>
      </c>
      <c r="BN1" s="153" t="str">
        <f>"קוד קיבוץ SAT"</f>
        <v>קוד קיבוץ SAT</v>
      </c>
      <c r="BO1" s="153" t="str">
        <f>"תאור קיבוץ SAT"</f>
        <v>תאור קיבוץ SAT</v>
      </c>
      <c r="BP1" s="153" t="str">
        <f>"אופי החשבון (מקסיקו)"</f>
        <v>אופי החשבון (מקסיקו)</v>
      </c>
      <c r="BQ1" s="153" t="str">
        <f>"תאריך פתיחה"</f>
        <v>תאריך פתיחה</v>
      </c>
      <c r="BR1" s="153" t="str">
        <f>"להחריג מד.מע""מ-אנגל."</f>
        <v>להחריג מד.מע"מ-אנגל.</v>
      </c>
      <c r="BS1" s="153" t="str">
        <f>"תבנית לחשבון ראשי"</f>
        <v>תבנית לחשבון ראשי</v>
      </c>
      <c r="BT1" s="153" t="str">
        <f>"קוד טקסונומיה"</f>
        <v>קוד טקסונומיה</v>
      </c>
      <c r="BU1" s="153" t="str">
        <f>"תאור טקסונומיה"</f>
        <v>תאור טקסונומיה</v>
      </c>
      <c r="BV1" s="153" t="str">
        <f>"חשבון COGS בלבד?"</f>
        <v>חשבון COGS בלבד?</v>
      </c>
    </row>
    <row r="2" spans="1:74">
      <c r="A2" s="2227" t="s">
        <v>3211</v>
      </c>
      <c r="B2" s="717"/>
      <c r="C2" s="717"/>
      <c r="D2" s="1813">
        <v>2.5000000000000001E-2</v>
      </c>
      <c r="F2" s="3581" t="str">
        <f>"1130002"</f>
        <v>1130002</v>
      </c>
      <c r="G2" s="153" t="str">
        <f>"56004"</f>
        <v>56004</v>
      </c>
      <c r="H2" s="153"/>
      <c r="I2" s="153" t="str">
        <f>"Algosec Europe Ltd"</f>
        <v>Algosec Europe Ltd</v>
      </c>
      <c r="J2" s="153"/>
      <c r="K2" s="153"/>
      <c r="L2" s="153" t="str">
        <f>"אלגוסק ישראל"</f>
        <v>אלגוסק ישראל</v>
      </c>
      <c r="M2" s="153" t="str">
        <f>"Algosec Israel"</f>
        <v>Algosec Israel</v>
      </c>
      <c r="N2" s="153" t="str">
        <f>"113"</f>
        <v>113</v>
      </c>
      <c r="O2" s="153" t="str">
        <f>"צדדים קשורים"</f>
        <v>צדדים קשורים</v>
      </c>
      <c r="P2" s="153" t="str">
        <f>"N"</f>
        <v>N</v>
      </c>
      <c r="Q2" s="153" t="str">
        <f>"צדדים קשורים חייבים"</f>
        <v>צדדים קשורים חייבים</v>
      </c>
      <c r="R2" s="153" t="str">
        <f>"רכוש שוטף"</f>
        <v>רכוש שוטף</v>
      </c>
      <c r="S2" s="153" t="str">
        <f>"נכסים"</f>
        <v>נכסים</v>
      </c>
      <c r="T2" s="153">
        <v>-1874161.97</v>
      </c>
      <c r="U2" s="153" t="str">
        <f>"GBP"</f>
        <v>GBP</v>
      </c>
      <c r="V2" s="153">
        <v>-1874161.97</v>
      </c>
      <c r="W2" s="153">
        <v>-2629107.37</v>
      </c>
      <c r="X2" s="153"/>
      <c r="Y2" s="153"/>
      <c r="Z2" s="153"/>
      <c r="AA2" s="153"/>
      <c r="AB2" s="153"/>
      <c r="AC2" s="153" t="str">
        <f>"330"</f>
        <v>330</v>
      </c>
      <c r="AD2" s="153"/>
      <c r="AE2" s="153"/>
      <c r="AF2" s="153"/>
      <c r="AG2" s="153"/>
      <c r="AH2" s="153"/>
      <c r="AI2" s="153"/>
      <c r="AJ2" s="153" t="str">
        <f>"000"</f>
        <v>000</v>
      </c>
      <c r="AK2" s="153" t="str">
        <f>"חברה ראשית"</f>
        <v>חברה ראשית</v>
      </c>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v>0</v>
      </c>
      <c r="BM2" s="153">
        <v>0</v>
      </c>
      <c r="BN2" s="153"/>
      <c r="BO2" s="153"/>
      <c r="BP2" s="153"/>
      <c r="BQ2" s="153"/>
      <c r="BR2" s="153"/>
      <c r="BS2" s="153"/>
      <c r="BT2" s="153"/>
      <c r="BU2" s="153"/>
      <c r="BV2" s="153"/>
    </row>
    <row r="3" spans="1:74">
      <c r="A3" s="2228" t="s">
        <v>1966</v>
      </c>
      <c r="B3" s="1460" t="s">
        <v>400</v>
      </c>
      <c r="C3" s="1460" t="s">
        <v>294</v>
      </c>
      <c r="D3" s="530"/>
      <c r="F3" s="3581" t="str">
        <f>"ת. למאזן"</f>
        <v>ת. למאזן</v>
      </c>
      <c r="G3" s="153" t="str">
        <f>"מס. תנועת היומן"</f>
        <v>מס. תנועת היומן</v>
      </c>
      <c r="H3" s="153" t="str">
        <f>"אסמכתא"</f>
        <v>אסמכתא</v>
      </c>
      <c r="I3" s="153" t="str">
        <f>"סוג תנועה"</f>
        <v>סוג תנועה</v>
      </c>
      <c r="J3" s="153" t="str">
        <f>"פרטים"</f>
        <v>פרטים</v>
      </c>
      <c r="K3" s="153" t="str">
        <f>"חובה"</f>
        <v>חובה</v>
      </c>
      <c r="L3" s="153" t="str">
        <f>"זכות"</f>
        <v>זכות</v>
      </c>
      <c r="M3" s="153" t="str">
        <f>"יתרה"</f>
        <v>יתרה</v>
      </c>
      <c r="N3" s="153" t="str">
        <f>"מטבע החשבון"</f>
        <v>מטבע החשבון</v>
      </c>
      <c r="O3" s="153" t="str">
        <f>"אסמכתא 2"</f>
        <v>אסמכתא 2</v>
      </c>
      <c r="P3" s="153" t="str">
        <f>"ת. ערך"</f>
        <v>ת. ערך</v>
      </c>
      <c r="Q3" s="153" t="str">
        <f>"ת. אסמכתא"</f>
        <v>ת. אסמכתא</v>
      </c>
      <c r="R3" s="153" t="str">
        <f>"חשבון נגדי"</f>
        <v>חשבון נגדי</v>
      </c>
      <c r="S3" s="153" t="str">
        <f>"תאור חשבון נגדי"</f>
        <v>תאור חשבון נגדי</v>
      </c>
      <c r="T3" s="153" t="str">
        <f>"מנה"</f>
        <v>מנה</v>
      </c>
      <c r="U3" s="153" t="str">
        <f>"אסמכתא 1 שורת ת""י"</f>
        <v>אסמכתא 1 שורת ת"י</v>
      </c>
      <c r="V3" s="153" t="str">
        <f>"אסמכתא 2 שורת ת""י"</f>
        <v>אסמכתא 2 שורת ת"י</v>
      </c>
      <c r="W3" s="153" t="str">
        <f>"קוד תזרים"</f>
        <v>קוד תזרים</v>
      </c>
      <c r="X3" s="153" t="str">
        <f>"התאמה בנק/אשראי"</f>
        <v>התאמה בנק/אשראי</v>
      </c>
      <c r="Y3" s="153" t="str">
        <f>"מס. התאמה פנימית"</f>
        <v>מס. התאמה פנימית</v>
      </c>
      <c r="Z3" s="153" t="str">
        <f>"חובה בלירה שטרלינג"</f>
        <v>חובה בלירה שטרלינג</v>
      </c>
      <c r="AA3" s="153" t="str">
        <f>"זכות בלירה שטרלינג"</f>
        <v>זכות בלירה שטרלינג</v>
      </c>
      <c r="AB3" s="153" t="str">
        <f>"חובה בדולרים"</f>
        <v>חובה בדולרים</v>
      </c>
      <c r="AC3" s="153" t="str">
        <f>"זכות בדולרים"</f>
        <v>זכות בדולרים</v>
      </c>
      <c r="AD3" s="153" t="str">
        <f>"חובה במט""ח עסקה"</f>
        <v>חובה במט"ח עסקה</v>
      </c>
      <c r="AE3" s="153" t="str">
        <f>"זכות במט""ח עסקה"</f>
        <v>זכות במט"ח עסקה</v>
      </c>
      <c r="AF3" s="153" t="str">
        <f>"מט""ח עסקה"</f>
        <v>מט"ח עסקה</v>
      </c>
      <c r="AG3" s="153" t="str">
        <f>"קוד מיון שורת פ""י"</f>
        <v>קוד מיון שורת פ"י</v>
      </c>
      <c r="AH3" s="153" t="str">
        <f>"מרכז רווח/עלות"</f>
        <v>מרכז רווח/עלות</v>
      </c>
      <c r="AI3" s="153" t="str">
        <f>"תאור מרכז רווח/עלות"</f>
        <v>תאור מרכז רווח/עלות</v>
      </c>
      <c r="AJ3" s="153" t="str">
        <f>"מרכז רווח/עלות 2"</f>
        <v>מרכז רווח/עלות 2</v>
      </c>
      <c r="AK3" s="153" t="str">
        <f>"תאור מרכז רווח/עלות2"</f>
        <v>תאור מרכז רווח/עלות2</v>
      </c>
      <c r="AL3" s="153" t="str">
        <f>"מרכז רווח/עלות 3"</f>
        <v>מרכז רווח/עלות 3</v>
      </c>
      <c r="AM3" s="153" t="str">
        <f>"תאור מרכז רווח/עלות3"</f>
        <v>תאור מרכז רווח/עלות3</v>
      </c>
      <c r="AN3" s="153" t="str">
        <f>"מרכז רווח/עלות 4"</f>
        <v>מרכז רווח/עלות 4</v>
      </c>
      <c r="AO3" s="153" t="str">
        <f>"תאור מרכז רווח/עלות4"</f>
        <v>תאור מרכז רווח/עלות4</v>
      </c>
      <c r="AP3" s="153" t="str">
        <f>"מרכז רווח/עלות 5"</f>
        <v>מרכז רווח/עלות 5</v>
      </c>
      <c r="AQ3" s="153" t="str">
        <f>"תאור מרכז רווח/עלות5"</f>
        <v>תאור מרכז רווח/עלות5</v>
      </c>
      <c r="AR3" s="153" t="str">
        <f>"סעיף תקציבי"</f>
        <v>סעיף תקציבי</v>
      </c>
      <c r="AS3" s="153" t="str">
        <f>"תאור סעיף תקציבי"</f>
        <v>תאור סעיף תקציבי</v>
      </c>
      <c r="AT3" s="153" t="str">
        <f>"כמות"</f>
        <v>כמות</v>
      </c>
      <c r="AU3" s="153"/>
      <c r="AV3" s="153"/>
      <c r="AW3" s="153"/>
      <c r="AX3" s="153"/>
      <c r="AY3" s="153"/>
      <c r="AZ3" s="153"/>
      <c r="BA3" s="153"/>
      <c r="BB3" s="153"/>
      <c r="BC3" s="153"/>
      <c r="BD3" s="153"/>
      <c r="BE3" s="153"/>
      <c r="BF3" s="153"/>
      <c r="BG3" s="153"/>
      <c r="BH3" s="153"/>
      <c r="BI3" s="153"/>
      <c r="BJ3" s="153"/>
      <c r="BK3" s="153"/>
      <c r="BL3" s="153"/>
      <c r="BM3" s="153"/>
      <c r="BN3" s="153"/>
      <c r="BO3" s="153"/>
      <c r="BP3" s="153"/>
      <c r="BQ3" s="153"/>
      <c r="BR3" s="153"/>
      <c r="BS3" s="153"/>
      <c r="BT3" s="153"/>
      <c r="BU3" s="153"/>
      <c r="BV3" s="153"/>
    </row>
    <row r="4" spans="1:74">
      <c r="A4" s="650"/>
      <c r="B4" s="320"/>
      <c r="C4" s="320"/>
      <c r="D4" s="530"/>
      <c r="F4" s="3582">
        <v>44197</v>
      </c>
      <c r="G4" s="153" t="str">
        <f>"21001311"</f>
        <v>21001311</v>
      </c>
      <c r="H4" s="153" t="str">
        <f>"UK208000257"</f>
        <v>UK208000257</v>
      </c>
      <c r="I4" s="153" t="str">
        <f>"פ"</f>
        <v>פ</v>
      </c>
      <c r="J4" s="153" t="str">
        <f>"Orange Cyberdefense Swed"</f>
        <v>Orange Cyberdefense Swed</v>
      </c>
      <c r="K4" s="153">
        <v>670.8</v>
      </c>
      <c r="L4" s="153">
        <v>0</v>
      </c>
      <c r="M4" s="153">
        <v>-6085339.8099999996</v>
      </c>
      <c r="N4" s="153" t="str">
        <f t="shared" ref="N4:N35" si="0">"GBP"</f>
        <v>GBP</v>
      </c>
      <c r="O4" s="153"/>
      <c r="P4" s="3515">
        <v>43872</v>
      </c>
      <c r="Q4" s="3515">
        <v>43872</v>
      </c>
      <c r="R4" s="153" t="str">
        <f>"200175"</f>
        <v>200175</v>
      </c>
      <c r="S4" s="153" t="str">
        <f>"Orange Cyberdefense Sweden AB"</f>
        <v>Orange Cyberdefense Sweden AB</v>
      </c>
      <c r="T4" s="153"/>
      <c r="U4" s="153"/>
      <c r="V4" s="153"/>
      <c r="W4" s="153"/>
      <c r="X4" s="153">
        <v>0</v>
      </c>
      <c r="Y4" s="153">
        <v>0</v>
      </c>
      <c r="Z4" s="153">
        <v>670.8</v>
      </c>
      <c r="AA4" s="153">
        <v>0</v>
      </c>
      <c r="AB4" s="153">
        <v>866.42</v>
      </c>
      <c r="AC4" s="153">
        <v>0</v>
      </c>
      <c r="AD4" s="153">
        <v>770</v>
      </c>
      <c r="AE4" s="153">
        <v>0</v>
      </c>
      <c r="AF4" s="153" t="str">
        <f>"EUR"</f>
        <v>EUR</v>
      </c>
      <c r="AG4" s="153"/>
      <c r="AH4" s="153"/>
      <c r="AI4" s="153"/>
      <c r="AJ4" s="153"/>
      <c r="AK4" s="153"/>
      <c r="AL4" s="153"/>
      <c r="AM4" s="153"/>
      <c r="AN4" s="153"/>
      <c r="AO4" s="153"/>
      <c r="AP4" s="153"/>
      <c r="AQ4" s="153"/>
      <c r="AR4" s="153"/>
      <c r="AS4" s="153"/>
      <c r="AT4" s="153">
        <v>0</v>
      </c>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row>
    <row r="5" spans="1:74">
      <c r="A5" s="1358" t="s">
        <v>1991</v>
      </c>
      <c r="B5" s="3616">
        <f>SUM([134]Main!$B$5)</f>
        <v>12350255.520000001</v>
      </c>
      <c r="C5" s="3616">
        <f>SUM([134]Main!$C$5)</f>
        <v>17017814.729999986</v>
      </c>
      <c r="D5" s="720">
        <f>B5/C5</f>
        <v>0.72572511312091437</v>
      </c>
      <c r="F5" s="3581" t="s">
        <v>4403</v>
      </c>
      <c r="G5" s="153" t="str">
        <f>"21001819"</f>
        <v>21001819</v>
      </c>
      <c r="H5" s="153"/>
      <c r="I5" s="153" t="str">
        <f>"הש"</f>
        <v>הש</v>
      </c>
      <c r="J5" s="153" t="str">
        <f>"הפרשי שער"</f>
        <v>הפרשי שער</v>
      </c>
      <c r="K5" s="153">
        <v>0</v>
      </c>
      <c r="L5" s="153">
        <v>0</v>
      </c>
      <c r="M5" s="153">
        <v>-6085339.8099999996</v>
      </c>
      <c r="N5" s="153" t="str">
        <f t="shared" si="0"/>
        <v>GBP</v>
      </c>
      <c r="O5" s="153"/>
      <c r="P5" s="153" t="s">
        <v>4403</v>
      </c>
      <c r="Q5" s="153" t="s">
        <v>4403</v>
      </c>
      <c r="R5" s="153" t="str">
        <f>"9010002"</f>
        <v>9010002</v>
      </c>
      <c r="S5" s="153" t="str">
        <f>"הפרשי שער"</f>
        <v>הפרשי שער</v>
      </c>
      <c r="T5" s="153"/>
      <c r="U5" s="153"/>
      <c r="V5" s="153"/>
      <c r="W5" s="153"/>
      <c r="X5" s="153">
        <v>-1</v>
      </c>
      <c r="Y5" s="153">
        <v>-1</v>
      </c>
      <c r="Z5" s="153">
        <v>0</v>
      </c>
      <c r="AA5" s="153">
        <v>0</v>
      </c>
      <c r="AB5" s="153">
        <v>27.31</v>
      </c>
      <c r="AC5" s="153">
        <v>0</v>
      </c>
      <c r="AD5" s="153">
        <v>0</v>
      </c>
      <c r="AE5" s="153">
        <v>0</v>
      </c>
      <c r="AF5" s="153"/>
      <c r="AG5" s="153"/>
      <c r="AH5" s="153"/>
      <c r="AI5" s="153"/>
      <c r="AJ5" s="153"/>
      <c r="AK5" s="153"/>
      <c r="AL5" s="153"/>
      <c r="AM5" s="153"/>
      <c r="AN5" s="153"/>
      <c r="AO5" s="153"/>
      <c r="AP5" s="153"/>
      <c r="AQ5" s="153"/>
      <c r="AR5" s="153"/>
      <c r="AS5" s="153"/>
      <c r="AT5" s="153">
        <v>0</v>
      </c>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row>
    <row r="6" spans="1:74">
      <c r="A6" s="1358"/>
      <c r="B6" s="978">
        <f>SUM(B5:B5)</f>
        <v>12350255.520000001</v>
      </c>
      <c r="C6" s="978">
        <f>SUM(C5:C5)</f>
        <v>17017814.729999986</v>
      </c>
      <c r="D6" s="530"/>
      <c r="F6" s="3581" t="s">
        <v>4403</v>
      </c>
      <c r="G6" s="153" t="str">
        <f>"21001988"</f>
        <v>21001988</v>
      </c>
      <c r="H6" s="153"/>
      <c r="I6" s="153" t="str">
        <f>"פ"</f>
        <v>פ</v>
      </c>
      <c r="J6" s="153" t="str">
        <f>"amazon gift 1/21"</f>
        <v>amazon gift 1/21</v>
      </c>
      <c r="K6" s="153">
        <v>0</v>
      </c>
      <c r="L6" s="153">
        <v>1754.88</v>
      </c>
      <c r="M6" s="153">
        <v>-6087094.6900000004</v>
      </c>
      <c r="N6" s="153" t="str">
        <f t="shared" si="0"/>
        <v>GBP</v>
      </c>
      <c r="O6" s="153"/>
      <c r="P6" s="153" t="s">
        <v>4403</v>
      </c>
      <c r="Q6" s="153" t="s">
        <v>4403</v>
      </c>
      <c r="R6" s="153" t="str">
        <f>"7020039"</f>
        <v>7020039</v>
      </c>
      <c r="S6" s="153" t="str">
        <f>"הוצאות שיווק ופרסום EMEA"</f>
        <v>הוצאות שיווק ופרסום EMEA</v>
      </c>
      <c r="T6" s="153"/>
      <c r="U6" s="153"/>
      <c r="V6" s="153"/>
      <c r="W6" s="153"/>
      <c r="X6" s="153">
        <v>0</v>
      </c>
      <c r="Y6" s="153">
        <v>0</v>
      </c>
      <c r="Z6" s="153">
        <v>0</v>
      </c>
      <c r="AA6" s="153">
        <v>1754.88</v>
      </c>
      <c r="AB6" s="153">
        <v>0</v>
      </c>
      <c r="AC6" s="153">
        <v>2398.6</v>
      </c>
      <c r="AD6" s="153">
        <v>0</v>
      </c>
      <c r="AE6" s="153">
        <v>0</v>
      </c>
      <c r="AF6" s="153"/>
      <c r="AG6" s="153"/>
      <c r="AH6" s="153"/>
      <c r="AI6" s="153"/>
      <c r="AJ6" s="153"/>
      <c r="AK6" s="153"/>
      <c r="AL6" s="153"/>
      <c r="AM6" s="153"/>
      <c r="AN6" s="153"/>
      <c r="AO6" s="153"/>
      <c r="AP6" s="153"/>
      <c r="AQ6" s="153"/>
      <c r="AR6" s="153"/>
      <c r="AS6" s="153"/>
      <c r="AT6" s="153">
        <v>0</v>
      </c>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row>
    <row r="7" spans="1:74">
      <c r="A7" s="1358"/>
      <c r="B7" s="320"/>
      <c r="C7" s="320"/>
      <c r="D7" s="530"/>
      <c r="F7" s="3581" t="s">
        <v>4403</v>
      </c>
      <c r="G7" s="153" t="str">
        <f>"21002131"</f>
        <v>21002131</v>
      </c>
      <c r="H7" s="153"/>
      <c r="I7" s="153" t="str">
        <f>"הש"</f>
        <v>הש</v>
      </c>
      <c r="J7" s="153" t="str">
        <f>"הפרשי שער"</f>
        <v>הפרשי שער</v>
      </c>
      <c r="K7" s="153">
        <v>0</v>
      </c>
      <c r="L7" s="153">
        <v>0</v>
      </c>
      <c r="M7" s="153">
        <v>-6087094.6900000004</v>
      </c>
      <c r="N7" s="153" t="str">
        <f t="shared" si="0"/>
        <v>GBP</v>
      </c>
      <c r="O7" s="153"/>
      <c r="P7" s="153" t="s">
        <v>4403</v>
      </c>
      <c r="Q7" s="153" t="s">
        <v>4403</v>
      </c>
      <c r="R7" s="153" t="str">
        <f>"9010002"</f>
        <v>9010002</v>
      </c>
      <c r="S7" s="153" t="str">
        <f>"הפרשי שער"</f>
        <v>הפרשי שער</v>
      </c>
      <c r="T7" s="153"/>
      <c r="U7" s="153"/>
      <c r="V7" s="153"/>
      <c r="W7" s="153"/>
      <c r="X7" s="153">
        <v>-1</v>
      </c>
      <c r="Y7" s="153">
        <v>-1</v>
      </c>
      <c r="Z7" s="153">
        <v>0</v>
      </c>
      <c r="AA7" s="153">
        <v>0</v>
      </c>
      <c r="AB7" s="153">
        <v>0</v>
      </c>
      <c r="AC7" s="153">
        <v>4561.32</v>
      </c>
      <c r="AD7" s="153">
        <v>0</v>
      </c>
      <c r="AE7" s="153">
        <v>0</v>
      </c>
      <c r="AF7" s="153"/>
      <c r="AG7" s="153"/>
      <c r="AH7" s="153"/>
      <c r="AI7" s="153"/>
      <c r="AJ7" s="153"/>
      <c r="AK7" s="153"/>
      <c r="AL7" s="153"/>
      <c r="AM7" s="153"/>
      <c r="AN7" s="153"/>
      <c r="AO7" s="153"/>
      <c r="AP7" s="153"/>
      <c r="AQ7" s="153"/>
      <c r="AR7" s="153"/>
      <c r="AS7" s="153"/>
      <c r="AT7" s="153">
        <v>0</v>
      </c>
      <c r="AU7" s="153"/>
      <c r="AV7" s="153"/>
      <c r="AW7" s="153"/>
      <c r="AX7" s="153"/>
      <c r="AY7" s="153"/>
      <c r="AZ7" s="153"/>
      <c r="BA7" s="153"/>
      <c r="BB7" s="153"/>
      <c r="BC7" s="153"/>
      <c r="BD7" s="153"/>
      <c r="BE7" s="153"/>
      <c r="BF7" s="153"/>
      <c r="BG7" s="153"/>
      <c r="BH7" s="153"/>
      <c r="BI7" s="153"/>
      <c r="BJ7" s="153"/>
      <c r="BK7" s="153"/>
      <c r="BL7" s="153"/>
      <c r="BM7" s="153"/>
      <c r="BN7" s="153"/>
      <c r="BO7" s="153"/>
      <c r="BP7" s="153"/>
      <c r="BQ7" s="153"/>
      <c r="BR7" s="153"/>
      <c r="BS7" s="153"/>
      <c r="BT7" s="153"/>
      <c r="BU7" s="153"/>
      <c r="BV7" s="153"/>
    </row>
    <row r="8" spans="1:74">
      <c r="A8" s="1357" t="s">
        <v>1967</v>
      </c>
      <c r="B8" s="978">
        <f>B6*(1-$D$2)</f>
        <v>12041499.132000001</v>
      </c>
      <c r="C8" s="978">
        <f>C6*(1-$D$2)</f>
        <v>16592369.361749986</v>
      </c>
      <c r="D8" s="530"/>
      <c r="F8" s="3582">
        <v>44318</v>
      </c>
      <c r="G8" s="153" t="str">
        <f>"21001977"</f>
        <v>21001977</v>
      </c>
      <c r="H8" s="153"/>
      <c r="I8" s="153" t="str">
        <f>"הת"</f>
        <v>הת</v>
      </c>
      <c r="J8" s="153" t="str">
        <f>"BRIGHTTALK"</f>
        <v>BRIGHTTALK</v>
      </c>
      <c r="K8" s="153">
        <v>3937.5</v>
      </c>
      <c r="L8" s="153">
        <v>0</v>
      </c>
      <c r="M8" s="153">
        <v>-6083157.1900000004</v>
      </c>
      <c r="N8" s="153" t="str">
        <f t="shared" si="0"/>
        <v>GBP</v>
      </c>
      <c r="O8" s="153"/>
      <c r="P8" s="3515">
        <v>44318</v>
      </c>
      <c r="Q8" s="3515">
        <v>44318</v>
      </c>
      <c r="R8" s="153" t="str">
        <f>"1000016"</f>
        <v>1000016</v>
      </c>
      <c r="S8" s="153" t="str">
        <f>"ברקליס ל""ש חדש"</f>
        <v>ברקליס ל"ש חדש</v>
      </c>
      <c r="T8" s="153"/>
      <c r="U8" s="153"/>
      <c r="V8" s="153"/>
      <c r="W8" s="153" t="str">
        <f>"330"</f>
        <v>330</v>
      </c>
      <c r="X8" s="153">
        <v>0</v>
      </c>
      <c r="Y8" s="153">
        <v>0</v>
      </c>
      <c r="Z8" s="153">
        <v>3937.5</v>
      </c>
      <c r="AA8" s="153">
        <v>0</v>
      </c>
      <c r="AB8" s="153">
        <v>5394.95</v>
      </c>
      <c r="AC8" s="153">
        <v>0</v>
      </c>
      <c r="AD8" s="153">
        <v>0</v>
      </c>
      <c r="AE8" s="153">
        <v>0</v>
      </c>
      <c r="AF8" s="153"/>
      <c r="AG8" s="153"/>
      <c r="AH8" s="153"/>
      <c r="AI8" s="153"/>
      <c r="AJ8" s="153"/>
      <c r="AK8" s="153"/>
      <c r="AL8" s="153"/>
      <c r="AM8" s="153"/>
      <c r="AN8" s="153"/>
      <c r="AO8" s="153"/>
      <c r="AP8" s="153"/>
      <c r="AQ8" s="153"/>
      <c r="AR8" s="153"/>
      <c r="AS8" s="153"/>
      <c r="AT8" s="153">
        <v>0</v>
      </c>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row>
    <row r="9" spans="1:74">
      <c r="A9" s="1358"/>
      <c r="B9" s="320"/>
      <c r="C9" s="320"/>
      <c r="D9" s="530"/>
      <c r="F9" s="3581" t="s">
        <v>4404</v>
      </c>
      <c r="G9" s="153" t="str">
        <f>"21002658"</f>
        <v>21002658</v>
      </c>
      <c r="H9" s="153"/>
      <c r="I9" s="153" t="str">
        <f>"הש"</f>
        <v>הש</v>
      </c>
      <c r="J9" s="153" t="str">
        <f>"הפרשי שער"</f>
        <v>הפרשי שער</v>
      </c>
      <c r="K9" s="153">
        <v>0</v>
      </c>
      <c r="L9" s="153">
        <v>0</v>
      </c>
      <c r="M9" s="153">
        <v>-6083157.1900000004</v>
      </c>
      <c r="N9" s="153" t="str">
        <f t="shared" si="0"/>
        <v>GBP</v>
      </c>
      <c r="O9" s="153"/>
      <c r="P9" s="153" t="s">
        <v>4404</v>
      </c>
      <c r="Q9" s="153" t="s">
        <v>4404</v>
      </c>
      <c r="R9" s="153" t="str">
        <f>"9010002"</f>
        <v>9010002</v>
      </c>
      <c r="S9" s="153" t="str">
        <f>"הפרשי שער"</f>
        <v>הפרשי שער</v>
      </c>
      <c r="T9" s="153"/>
      <c r="U9" s="153"/>
      <c r="V9" s="153"/>
      <c r="W9" s="153"/>
      <c r="X9" s="153">
        <v>-1</v>
      </c>
      <c r="Y9" s="153">
        <v>-1</v>
      </c>
      <c r="Z9" s="153">
        <v>0</v>
      </c>
      <c r="AA9" s="153">
        <v>0</v>
      </c>
      <c r="AB9" s="153">
        <v>0</v>
      </c>
      <c r="AC9" s="153">
        <v>290326.21999999997</v>
      </c>
      <c r="AD9" s="153">
        <v>0</v>
      </c>
      <c r="AE9" s="153">
        <v>0</v>
      </c>
      <c r="AF9" s="153"/>
      <c r="AG9" s="153"/>
      <c r="AH9" s="153"/>
      <c r="AI9" s="153"/>
      <c r="AJ9" s="153"/>
      <c r="AK9" s="153"/>
      <c r="AL9" s="153"/>
      <c r="AM9" s="153"/>
      <c r="AN9" s="153"/>
      <c r="AO9" s="153"/>
      <c r="AP9" s="153"/>
      <c r="AQ9" s="153"/>
      <c r="AR9" s="153"/>
      <c r="AS9" s="153"/>
      <c r="AT9" s="153">
        <v>0</v>
      </c>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row>
    <row r="10" spans="1:74">
      <c r="A10" s="317" t="str">
        <f>"TP Invoice – Q1/2021"</f>
        <v>TP Invoice – Q1/2021</v>
      </c>
      <c r="B10" s="3131">
        <f>VLOOKUP(A10,$J:$AC,3,0)</f>
        <v>3255602.23</v>
      </c>
      <c r="C10" s="3131">
        <f>VLOOKUP(A10,$J:$AC,20,0)</f>
        <v>4597026.3</v>
      </c>
      <c r="D10" s="3097">
        <f>B10/C10</f>
        <v>0.70819743406732305</v>
      </c>
      <c r="E10" s="320"/>
      <c r="F10" s="3581" t="s">
        <v>4404</v>
      </c>
      <c r="G10" s="153" t="str">
        <f>"21002825"</f>
        <v>21002825</v>
      </c>
      <c r="H10" s="153"/>
      <c r="I10" s="153" t="str">
        <f>"פ"</f>
        <v>פ</v>
      </c>
      <c r="J10" s="153" t="str">
        <f>"amazon gift 28/2"</f>
        <v>amazon gift 28/2</v>
      </c>
      <c r="K10" s="153">
        <v>0</v>
      </c>
      <c r="L10" s="153">
        <v>24.63</v>
      </c>
      <c r="M10" s="153">
        <v>-6083181.8200000003</v>
      </c>
      <c r="N10" s="153" t="str">
        <f t="shared" si="0"/>
        <v>GBP</v>
      </c>
      <c r="O10" s="153"/>
      <c r="P10" s="153" t="s">
        <v>4404</v>
      </c>
      <c r="Q10" s="153" t="s">
        <v>4404</v>
      </c>
      <c r="R10" s="153" t="str">
        <f>"7020039"</f>
        <v>7020039</v>
      </c>
      <c r="S10" s="153" t="str">
        <f>"הוצאות שיווק ופרסום EMEA"</f>
        <v>הוצאות שיווק ופרסום EMEA</v>
      </c>
      <c r="T10" s="153"/>
      <c r="U10" s="153"/>
      <c r="V10" s="153"/>
      <c r="W10" s="153"/>
      <c r="X10" s="153">
        <v>0</v>
      </c>
      <c r="Y10" s="153">
        <v>0</v>
      </c>
      <c r="Z10" s="153">
        <v>0</v>
      </c>
      <c r="AA10" s="153">
        <v>24.63</v>
      </c>
      <c r="AB10" s="153">
        <v>0</v>
      </c>
      <c r="AC10" s="153">
        <v>33.75</v>
      </c>
      <c r="AD10" s="153">
        <v>0</v>
      </c>
      <c r="AE10" s="153">
        <v>0</v>
      </c>
      <c r="AF10" s="153"/>
      <c r="AG10" s="153"/>
      <c r="AH10" s="153" t="str">
        <f>"ISR"</f>
        <v>ISR</v>
      </c>
      <c r="AI10" s="153" t="str">
        <f>"Israel"</f>
        <v>Israel</v>
      </c>
      <c r="AJ10" s="153"/>
      <c r="AK10" s="153"/>
      <c r="AL10" s="153"/>
      <c r="AM10" s="153"/>
      <c r="AN10" s="153"/>
      <c r="AO10" s="153"/>
      <c r="AP10" s="153"/>
      <c r="AQ10" s="153"/>
      <c r="AR10" s="153"/>
      <c r="AS10" s="153"/>
      <c r="AT10" s="153">
        <v>0</v>
      </c>
      <c r="AU10" s="153"/>
      <c r="AV10" s="153"/>
      <c r="AW10" s="153"/>
      <c r="AX10" s="153"/>
      <c r="AY10" s="153"/>
      <c r="AZ10" s="153"/>
      <c r="BA10" s="153"/>
      <c r="BB10" s="153"/>
      <c r="BC10" s="153"/>
      <c r="BD10" s="153"/>
      <c r="BE10" s="153"/>
      <c r="BF10" s="153"/>
      <c r="BG10" s="153"/>
      <c r="BH10" s="153"/>
      <c r="BI10" s="153"/>
      <c r="BJ10" s="153"/>
      <c r="BK10" s="153"/>
      <c r="BL10" s="153"/>
      <c r="BM10" s="153"/>
      <c r="BN10" s="153"/>
      <c r="BO10" s="153"/>
      <c r="BP10" s="153"/>
      <c r="BQ10" s="153"/>
      <c r="BR10" s="153"/>
      <c r="BS10" s="153"/>
      <c r="BT10" s="153"/>
      <c r="BU10" s="153"/>
      <c r="BV10" s="153"/>
    </row>
    <row r="11" spans="1:74">
      <c r="A11" s="317" t="str">
        <f>"TP Invoice – Q2/2021"</f>
        <v>TP Invoice – Q2/2021</v>
      </c>
      <c r="B11" s="3131">
        <f>VLOOKUP(A11,$J:$AC,3,0)</f>
        <v>3181252.42</v>
      </c>
      <c r="C11" s="3131">
        <f>VLOOKUP(A11,$J:$AC,20,0)</f>
        <v>4386894.51</v>
      </c>
      <c r="D11" s="3097">
        <f>B11/C11</f>
        <v>0.7251718528330876</v>
      </c>
      <c r="E11" s="153"/>
      <c r="F11" s="3581" t="s">
        <v>4404</v>
      </c>
      <c r="G11" s="153" t="str">
        <f>"21002826"</f>
        <v>21002826</v>
      </c>
      <c r="H11" s="153"/>
      <c r="I11" s="153" t="str">
        <f>"פ"</f>
        <v>פ</v>
      </c>
      <c r="J11" s="153" t="str">
        <f>"Docking station"</f>
        <v>Docking station</v>
      </c>
      <c r="K11" s="153">
        <v>0</v>
      </c>
      <c r="L11" s="153">
        <v>251.61</v>
      </c>
      <c r="M11" s="153">
        <v>-6083433.4299999997</v>
      </c>
      <c r="N11" s="153" t="str">
        <f t="shared" si="0"/>
        <v>GBP</v>
      </c>
      <c r="O11" s="153"/>
      <c r="P11" s="153" t="s">
        <v>4404</v>
      </c>
      <c r="Q11" s="153" t="s">
        <v>4404</v>
      </c>
      <c r="R11" s="153" t="str">
        <f>"1400001"</f>
        <v>1400001</v>
      </c>
      <c r="S11" s="153" t="str">
        <f>"מחשבים ותוכנות"</f>
        <v>מחשבים ותוכנות</v>
      </c>
      <c r="T11" s="153"/>
      <c r="U11" s="153"/>
      <c r="V11" s="153"/>
      <c r="W11" s="153"/>
      <c r="X11" s="153">
        <v>0</v>
      </c>
      <c r="Y11" s="153">
        <v>0</v>
      </c>
      <c r="Z11" s="153">
        <v>0</v>
      </c>
      <c r="AA11" s="153">
        <v>251.61</v>
      </c>
      <c r="AB11" s="153">
        <v>0</v>
      </c>
      <c r="AC11" s="153">
        <v>351.71</v>
      </c>
      <c r="AD11" s="153">
        <v>0</v>
      </c>
      <c r="AE11" s="153">
        <v>0</v>
      </c>
      <c r="AF11" s="153"/>
      <c r="AG11" s="153"/>
      <c r="AH11" s="153"/>
      <c r="AI11" s="153"/>
      <c r="AJ11" s="153"/>
      <c r="AK11" s="153"/>
      <c r="AL11" s="153"/>
      <c r="AM11" s="153"/>
      <c r="AN11" s="153"/>
      <c r="AO11" s="153"/>
      <c r="AP11" s="153"/>
      <c r="AQ11" s="153"/>
      <c r="AR11" s="153"/>
      <c r="AS11" s="153"/>
      <c r="AT11" s="153">
        <v>0</v>
      </c>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row>
    <row r="12" spans="1:74">
      <c r="A12" s="317" t="str">
        <f>"TP Invoice – Q3/2021"</f>
        <v>TP Invoice – Q3/2021</v>
      </c>
      <c r="B12" s="3131">
        <f>VLOOKUP(A12,$J:$AC,3,0)</f>
        <v>2265402.46</v>
      </c>
      <c r="C12" s="3131">
        <f>VLOOKUP(A12,$J:$AC,20,0)</f>
        <v>3023239.5</v>
      </c>
      <c r="D12" s="3097">
        <f>B12/C12</f>
        <v>0.74932947257403848</v>
      </c>
      <c r="E12" s="153"/>
      <c r="F12" s="3582">
        <v>44258</v>
      </c>
      <c r="G12" s="153" t="str">
        <f>"21002793"</f>
        <v>21002793</v>
      </c>
      <c r="H12" s="153"/>
      <c r="I12" s="153" t="str">
        <f>"הת"</f>
        <v>הת</v>
      </c>
      <c r="J12" s="153" t="str">
        <f>"algosec"</f>
        <v>algosec</v>
      </c>
      <c r="K12" s="153">
        <v>3589206.35</v>
      </c>
      <c r="L12" s="153">
        <v>0</v>
      </c>
      <c r="M12" s="153">
        <v>-2494227.08</v>
      </c>
      <c r="N12" s="153" t="str">
        <f t="shared" si="0"/>
        <v>GBP</v>
      </c>
      <c r="O12" s="153"/>
      <c r="P12" s="3515">
        <v>44258</v>
      </c>
      <c r="Q12" s="3515">
        <v>44258</v>
      </c>
      <c r="R12" s="153" t="str">
        <f>"1000017"</f>
        <v>1000017</v>
      </c>
      <c r="S12" s="153" t="str">
        <f>"ברקליס יורו חדש"</f>
        <v>ברקליס יורו חדש</v>
      </c>
      <c r="T12" s="153"/>
      <c r="U12" s="153"/>
      <c r="V12" s="153"/>
      <c r="W12" s="153" t="str">
        <f>"330"</f>
        <v>330</v>
      </c>
      <c r="X12" s="153">
        <v>0</v>
      </c>
      <c r="Y12" s="153">
        <v>0</v>
      </c>
      <c r="Z12" s="153">
        <v>3589206.35</v>
      </c>
      <c r="AA12" s="153">
        <v>0</v>
      </c>
      <c r="AB12" s="153">
        <v>4990944.29</v>
      </c>
      <c r="AC12" s="153">
        <v>0</v>
      </c>
      <c r="AD12" s="153">
        <v>4150000</v>
      </c>
      <c r="AE12" s="153">
        <v>0</v>
      </c>
      <c r="AF12" s="153" t="str">
        <f>"EUR"</f>
        <v>EUR</v>
      </c>
      <c r="AG12" s="153"/>
      <c r="AH12" s="153"/>
      <c r="AI12" s="153"/>
      <c r="AJ12" s="153"/>
      <c r="AK12" s="153"/>
      <c r="AL12" s="153"/>
      <c r="AM12" s="153"/>
      <c r="AN12" s="153"/>
      <c r="AO12" s="153"/>
      <c r="AP12" s="153"/>
      <c r="AQ12" s="153"/>
      <c r="AR12" s="153"/>
      <c r="AS12" s="153"/>
      <c r="AT12" s="153">
        <v>0</v>
      </c>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row>
    <row r="13" spans="1:74">
      <c r="A13" s="1612"/>
      <c r="B13" s="978"/>
      <c r="C13" s="978"/>
      <c r="D13" s="720"/>
      <c r="E13" s="153"/>
      <c r="F13" s="3581" t="s">
        <v>4405</v>
      </c>
      <c r="G13" s="153" t="str">
        <f>"21002850"</f>
        <v>21002850</v>
      </c>
      <c r="H13" s="153"/>
      <c r="I13" s="153" t="str">
        <f>"פ"</f>
        <v>פ</v>
      </c>
      <c r="J13" s="153" t="str">
        <f>"TP Charge 10-12/2020"</f>
        <v>TP Charge 10-12/2020</v>
      </c>
      <c r="K13" s="153">
        <v>0</v>
      </c>
      <c r="L13" s="153">
        <v>6055295.21</v>
      </c>
      <c r="M13" s="153">
        <v>-8549522.2899999991</v>
      </c>
      <c r="N13" s="153" t="str">
        <f t="shared" si="0"/>
        <v>GBP</v>
      </c>
      <c r="O13" s="153" t="str">
        <f>"IL218000043"</f>
        <v>IL218000043</v>
      </c>
      <c r="P13" s="153" t="s">
        <v>4405</v>
      </c>
      <c r="Q13" s="153" t="s">
        <v>4405</v>
      </c>
      <c r="R13" s="153" t="str">
        <f>"5900001"</f>
        <v>5900001</v>
      </c>
      <c r="S13" s="153" t="str">
        <f>"עלות המכר"</f>
        <v>עלות המכר</v>
      </c>
      <c r="T13" s="153"/>
      <c r="U13" s="153"/>
      <c r="V13" s="153"/>
      <c r="W13" s="153"/>
      <c r="X13" s="153">
        <v>0</v>
      </c>
      <c r="Y13" s="153">
        <v>0</v>
      </c>
      <c r="Z13" s="153">
        <v>0</v>
      </c>
      <c r="AA13" s="153">
        <v>6055295.21</v>
      </c>
      <c r="AB13" s="153">
        <v>0</v>
      </c>
      <c r="AC13" s="153">
        <v>8430932.6400000006</v>
      </c>
      <c r="AD13" s="153">
        <v>0</v>
      </c>
      <c r="AE13" s="153">
        <v>0</v>
      </c>
      <c r="AF13" s="153"/>
      <c r="AG13" s="153"/>
      <c r="AH13" s="153"/>
      <c r="AI13" s="153"/>
      <c r="AJ13" s="153"/>
      <c r="AK13" s="153"/>
      <c r="AL13" s="153"/>
      <c r="AM13" s="153"/>
      <c r="AN13" s="153"/>
      <c r="AO13" s="153"/>
      <c r="AP13" s="153"/>
      <c r="AQ13" s="153"/>
      <c r="AR13" s="153"/>
      <c r="AS13" s="153"/>
      <c r="AT13" s="153">
        <v>0</v>
      </c>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row>
    <row r="14" spans="1:74">
      <c r="A14" s="1358"/>
      <c r="B14" s="2159"/>
      <c r="C14" s="2159"/>
      <c r="D14" s="530"/>
      <c r="F14" s="3581" t="s">
        <v>4405</v>
      </c>
      <c r="G14" s="153" t="str">
        <f>"21002851"</f>
        <v>21002851</v>
      </c>
      <c r="H14" s="153"/>
      <c r="I14" s="153" t="str">
        <f>"הש"</f>
        <v>הש</v>
      </c>
      <c r="J14" s="153" t="str">
        <f>"ביטול ל 20011873"</f>
        <v>ביטול ל 20011873</v>
      </c>
      <c r="K14" s="153">
        <v>0</v>
      </c>
      <c r="L14" s="153">
        <v>-6055295.21</v>
      </c>
      <c r="M14" s="153">
        <v>-2494227.08</v>
      </c>
      <c r="N14" s="153" t="str">
        <f t="shared" si="0"/>
        <v>GBP</v>
      </c>
      <c r="O14" s="153"/>
      <c r="P14" s="153" t="s">
        <v>4406</v>
      </c>
      <c r="Q14" s="153" t="s">
        <v>4405</v>
      </c>
      <c r="R14" s="153" t="str">
        <f>"5900001"</f>
        <v>5900001</v>
      </c>
      <c r="S14" s="153" t="str">
        <f>"עלות המכר"</f>
        <v>עלות המכר</v>
      </c>
      <c r="T14" s="153"/>
      <c r="U14" s="153"/>
      <c r="V14" s="153"/>
      <c r="W14" s="153"/>
      <c r="X14" s="153">
        <v>53</v>
      </c>
      <c r="Y14" s="153">
        <v>55</v>
      </c>
      <c r="Z14" s="153">
        <v>0</v>
      </c>
      <c r="AA14" s="153">
        <v>-6055295.21</v>
      </c>
      <c r="AB14" s="153">
        <v>0</v>
      </c>
      <c r="AC14" s="153">
        <v>-8271928.7800000003</v>
      </c>
      <c r="AD14" s="153">
        <v>0</v>
      </c>
      <c r="AE14" s="153">
        <v>0</v>
      </c>
      <c r="AF14" s="153"/>
      <c r="AG14" s="153"/>
      <c r="AH14" s="153"/>
      <c r="AI14" s="153"/>
      <c r="AJ14" s="153"/>
      <c r="AK14" s="153"/>
      <c r="AL14" s="153"/>
      <c r="AM14" s="153"/>
      <c r="AN14" s="153"/>
      <c r="AO14" s="153"/>
      <c r="AP14" s="153"/>
      <c r="AQ14" s="153"/>
      <c r="AR14" s="153"/>
      <c r="AS14" s="153"/>
      <c r="AT14" s="153">
        <v>0</v>
      </c>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row>
    <row r="15" spans="1:74">
      <c r="A15" s="2228"/>
      <c r="B15" s="978"/>
      <c r="C15" s="978"/>
      <c r="D15" s="530"/>
      <c r="F15" s="3581" t="s">
        <v>4407</v>
      </c>
      <c r="G15" s="153" t="str">
        <f>"21003434"</f>
        <v>21003434</v>
      </c>
      <c r="H15" s="153"/>
      <c r="I15" s="153" t="str">
        <f>"פ"</f>
        <v>פ</v>
      </c>
      <c r="J15" s="153" t="str">
        <f>"amazon gift 3/21"</f>
        <v>amazon gift 3/21</v>
      </c>
      <c r="K15" s="153">
        <v>0</v>
      </c>
      <c r="L15" s="153">
        <v>30.89</v>
      </c>
      <c r="M15" s="153">
        <v>-2494257.9700000002</v>
      </c>
      <c r="N15" s="153" t="str">
        <f t="shared" si="0"/>
        <v>GBP</v>
      </c>
      <c r="O15" s="153"/>
      <c r="P15" s="153" t="s">
        <v>4407</v>
      </c>
      <c r="Q15" s="153" t="s">
        <v>4407</v>
      </c>
      <c r="R15" s="153" t="str">
        <f>"7020039"</f>
        <v>7020039</v>
      </c>
      <c r="S15" s="153" t="str">
        <f>"הוצאות שיווק ופרסום EMEA"</f>
        <v>הוצאות שיווק ופרסום EMEA</v>
      </c>
      <c r="T15" s="153"/>
      <c r="U15" s="153"/>
      <c r="V15" s="153"/>
      <c r="W15" s="153"/>
      <c r="X15" s="153">
        <v>0</v>
      </c>
      <c r="Y15" s="153">
        <v>0</v>
      </c>
      <c r="Z15" s="153">
        <v>0</v>
      </c>
      <c r="AA15" s="153">
        <v>30.89</v>
      </c>
      <c r="AB15" s="153">
        <v>0</v>
      </c>
      <c r="AC15" s="153">
        <v>42.5</v>
      </c>
      <c r="AD15" s="153">
        <v>0</v>
      </c>
      <c r="AE15" s="153">
        <v>0</v>
      </c>
      <c r="AF15" s="153"/>
      <c r="AG15" s="153"/>
      <c r="AH15" s="153" t="str">
        <f>"4"</f>
        <v>4</v>
      </c>
      <c r="AI15" s="153" t="str">
        <f>"EMEA"</f>
        <v>EMEA</v>
      </c>
      <c r="AJ15" s="153"/>
      <c r="AK15" s="153"/>
      <c r="AL15" s="153"/>
      <c r="AM15" s="153"/>
      <c r="AN15" s="153"/>
      <c r="AO15" s="153"/>
      <c r="AP15" s="153"/>
      <c r="AQ15" s="153"/>
      <c r="AR15" s="153"/>
      <c r="AS15" s="153"/>
      <c r="AT15" s="153">
        <v>0</v>
      </c>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row>
    <row r="16" spans="1:74" ht="13.5" thickBot="1">
      <c r="A16" s="1612" t="s">
        <v>1968</v>
      </c>
      <c r="B16" s="978">
        <f>B8-SUM(B10:B14)</f>
        <v>3339242.0220000017</v>
      </c>
      <c r="C16" s="978">
        <f>C8-SUM(C10:C14)</f>
        <v>4585209.0517499875</v>
      </c>
      <c r="D16" s="720">
        <f>B16/C16</f>
        <v>0.72826385543436656</v>
      </c>
      <c r="F16" s="3581" t="s">
        <v>4407</v>
      </c>
      <c r="G16" s="153" t="str">
        <f>"21003474"</f>
        <v>21003474</v>
      </c>
      <c r="H16" s="153"/>
      <c r="I16" s="153" t="str">
        <f>"הש"</f>
        <v>הש</v>
      </c>
      <c r="J16" s="153" t="str">
        <f>"הפרשי שער"</f>
        <v>הפרשי שער</v>
      </c>
      <c r="K16" s="153">
        <v>0</v>
      </c>
      <c r="L16" s="153">
        <v>0</v>
      </c>
      <c r="M16" s="153">
        <v>-2494257.9700000002</v>
      </c>
      <c r="N16" s="153" t="str">
        <f t="shared" si="0"/>
        <v>GBP</v>
      </c>
      <c r="O16" s="153"/>
      <c r="P16" s="153" t="s">
        <v>4407</v>
      </c>
      <c r="Q16" s="153" t="s">
        <v>4407</v>
      </c>
      <c r="R16" s="153" t="str">
        <f>"9010002"</f>
        <v>9010002</v>
      </c>
      <c r="S16" s="153" t="str">
        <f>"הפרשי שער"</f>
        <v>הפרשי שער</v>
      </c>
      <c r="T16" s="153"/>
      <c r="U16" s="153"/>
      <c r="V16" s="153"/>
      <c r="W16" s="153"/>
      <c r="X16" s="153">
        <v>-1</v>
      </c>
      <c r="Y16" s="153">
        <v>-1</v>
      </c>
      <c r="Z16" s="153">
        <v>0</v>
      </c>
      <c r="AA16" s="153">
        <v>0</v>
      </c>
      <c r="AB16" s="153">
        <v>341785.77</v>
      </c>
      <c r="AC16" s="153">
        <v>0</v>
      </c>
      <c r="AD16" s="153">
        <v>0</v>
      </c>
      <c r="AE16" s="153">
        <v>0</v>
      </c>
      <c r="AF16" s="153"/>
      <c r="AG16" s="153"/>
      <c r="AH16" s="153"/>
      <c r="AI16" s="153"/>
      <c r="AJ16" s="153"/>
      <c r="AK16" s="153"/>
      <c r="AL16" s="153"/>
      <c r="AM16" s="153"/>
      <c r="AN16" s="153"/>
      <c r="AO16" s="153"/>
      <c r="AP16" s="153"/>
      <c r="AQ16" s="153"/>
      <c r="AR16" s="153"/>
      <c r="AS16" s="153"/>
      <c r="AT16" s="153">
        <v>0</v>
      </c>
      <c r="AU16" s="153"/>
      <c r="AV16" s="153"/>
      <c r="AW16" s="153"/>
      <c r="AX16" s="153"/>
      <c r="AY16" s="153"/>
      <c r="AZ16" s="153"/>
      <c r="BA16" s="153"/>
      <c r="BB16" s="153"/>
      <c r="BC16" s="153"/>
      <c r="BD16" s="153"/>
      <c r="BE16" s="153"/>
      <c r="BF16" s="153"/>
      <c r="BG16" s="153"/>
      <c r="BH16" s="153"/>
      <c r="BI16" s="153"/>
      <c r="BJ16" s="153"/>
      <c r="BK16" s="153"/>
      <c r="BL16" s="153"/>
      <c r="BM16" s="153"/>
      <c r="BN16" s="153"/>
      <c r="BO16" s="153"/>
      <c r="BP16" s="153"/>
      <c r="BQ16" s="153"/>
      <c r="BR16" s="153"/>
      <c r="BS16" s="153"/>
      <c r="BT16" s="153"/>
      <c r="BU16" s="153"/>
      <c r="BV16" s="153"/>
    </row>
    <row r="17" spans="1:74" ht="13.5" thickBot="1">
      <c r="A17" s="1358"/>
      <c r="B17" s="956">
        <f>-'פ.נ. EUROPE'!E27+B16</f>
        <v>3339242.0220000017</v>
      </c>
      <c r="C17" s="956">
        <f>-'פ.נ. EUROPE'!F27+C16</f>
        <v>4585209.0517499875</v>
      </c>
      <c r="D17" s="530"/>
      <c r="F17" s="3581" t="s">
        <v>4407</v>
      </c>
      <c r="G17" s="153" t="str">
        <f>"21004405"</f>
        <v>21004405</v>
      </c>
      <c r="H17" s="153"/>
      <c r="I17" s="153" t="str">
        <f>"הש"</f>
        <v>הש</v>
      </c>
      <c r="J17" s="153" t="str">
        <f>"Intercompany invoice"</f>
        <v>Intercompany invoice</v>
      </c>
      <c r="K17" s="153">
        <v>0</v>
      </c>
      <c r="L17" s="153">
        <v>3255602.23</v>
      </c>
      <c r="M17" s="153">
        <v>-5749860.2000000002</v>
      </c>
      <c r="N17" s="153" t="str">
        <f t="shared" si="0"/>
        <v>GBP</v>
      </c>
      <c r="O17" s="153"/>
      <c r="P17" s="153" t="s">
        <v>4407</v>
      </c>
      <c r="Q17" s="153" t="s">
        <v>4407</v>
      </c>
      <c r="R17" s="153" t="str">
        <f>"5900001"</f>
        <v>5900001</v>
      </c>
      <c r="S17" s="153" t="str">
        <f>"עלות המכר"</f>
        <v>עלות המכר</v>
      </c>
      <c r="T17" s="153"/>
      <c r="U17" s="153"/>
      <c r="V17" s="153"/>
      <c r="W17" s="153"/>
      <c r="X17" s="153">
        <v>54</v>
      </c>
      <c r="Y17" s="153">
        <v>56</v>
      </c>
      <c r="Z17" s="153">
        <v>0</v>
      </c>
      <c r="AA17" s="153">
        <v>3255602.23</v>
      </c>
      <c r="AB17" s="153">
        <v>0</v>
      </c>
      <c r="AC17" s="153">
        <v>4479040.75</v>
      </c>
      <c r="AD17" s="153">
        <v>0</v>
      </c>
      <c r="AE17" s="153">
        <v>0</v>
      </c>
      <c r="AF17" s="153"/>
      <c r="AG17" s="153"/>
      <c r="AH17" s="153"/>
      <c r="AI17" s="153"/>
      <c r="AJ17" s="153"/>
      <c r="AK17" s="153"/>
      <c r="AL17" s="153"/>
      <c r="AM17" s="153"/>
      <c r="AN17" s="153"/>
      <c r="AO17" s="153"/>
      <c r="AP17" s="153"/>
      <c r="AQ17" s="153"/>
      <c r="AR17" s="153"/>
      <c r="AS17" s="153"/>
      <c r="AT17" s="153">
        <v>0</v>
      </c>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row>
    <row r="18" spans="1:74" ht="13.5" thickBot="1">
      <c r="A18" s="1360"/>
      <c r="B18" s="718"/>
      <c r="C18" s="718"/>
      <c r="D18" s="531"/>
      <c r="F18" s="3582">
        <v>44200</v>
      </c>
      <c r="G18" s="153" t="str">
        <f>"21004408"</f>
        <v>21004408</v>
      </c>
      <c r="H18" s="153"/>
      <c r="I18" s="153" t="str">
        <f>"הש"</f>
        <v>הש</v>
      </c>
      <c r="J18" s="153" t="str">
        <f>"ביטול ל 21004405"</f>
        <v>ביטול ל 21004405</v>
      </c>
      <c r="K18" s="153">
        <v>0</v>
      </c>
      <c r="L18" s="153">
        <v>-3255602.23</v>
      </c>
      <c r="M18" s="153">
        <v>-2494257.9700000002</v>
      </c>
      <c r="N18" s="153" t="str">
        <f t="shared" si="0"/>
        <v>GBP</v>
      </c>
      <c r="O18" s="153"/>
      <c r="P18" s="153" t="s">
        <v>4407</v>
      </c>
      <c r="Q18" s="3515">
        <v>44200</v>
      </c>
      <c r="R18" s="153" t="str">
        <f>"5900001"</f>
        <v>5900001</v>
      </c>
      <c r="S18" s="153" t="str">
        <f>"עלות המכר"</f>
        <v>עלות המכר</v>
      </c>
      <c r="T18" s="153"/>
      <c r="U18" s="153"/>
      <c r="V18" s="153"/>
      <c r="W18" s="153"/>
      <c r="X18" s="153">
        <v>54</v>
      </c>
      <c r="Y18" s="153">
        <v>56</v>
      </c>
      <c r="Z18" s="153">
        <v>0</v>
      </c>
      <c r="AA18" s="153">
        <v>-3255602.23</v>
      </c>
      <c r="AB18" s="153">
        <v>0</v>
      </c>
      <c r="AC18" s="153">
        <v>-4479040.75</v>
      </c>
      <c r="AD18" s="153">
        <v>0</v>
      </c>
      <c r="AE18" s="153">
        <v>0</v>
      </c>
      <c r="AF18" s="153"/>
      <c r="AG18" s="153"/>
      <c r="AH18" s="153"/>
      <c r="AI18" s="153"/>
      <c r="AJ18" s="153"/>
      <c r="AK18" s="153"/>
      <c r="AL18" s="153"/>
      <c r="AM18" s="153"/>
      <c r="AN18" s="153"/>
      <c r="AO18" s="153"/>
      <c r="AP18" s="153"/>
      <c r="AQ18" s="153"/>
      <c r="AR18" s="153"/>
      <c r="AS18" s="153"/>
      <c r="AT18" s="153">
        <v>0</v>
      </c>
      <c r="AU18" s="153"/>
      <c r="AV18" s="153"/>
      <c r="AW18" s="153"/>
      <c r="AX18" s="153"/>
      <c r="AY18" s="153"/>
      <c r="AZ18" s="153"/>
      <c r="BA18" s="153"/>
      <c r="BB18" s="153"/>
      <c r="BC18" s="153"/>
      <c r="BD18" s="153"/>
      <c r="BE18" s="153"/>
      <c r="BF18" s="153"/>
      <c r="BG18" s="153"/>
      <c r="BH18" s="153"/>
      <c r="BI18" s="153"/>
      <c r="BJ18" s="153"/>
      <c r="BK18" s="153"/>
      <c r="BL18" s="153"/>
      <c r="BM18" s="153"/>
      <c r="BN18" s="153"/>
      <c r="BO18" s="153"/>
      <c r="BP18" s="153"/>
      <c r="BQ18" s="153"/>
      <c r="BR18" s="153"/>
      <c r="BS18" s="153"/>
      <c r="BT18" s="153"/>
      <c r="BU18" s="153"/>
      <c r="BV18" s="153"/>
    </row>
    <row r="19" spans="1:74">
      <c r="A19" s="32"/>
      <c r="F19" s="3581" t="s">
        <v>4410</v>
      </c>
      <c r="G19" s="153" t="str">
        <f>"21004433"</f>
        <v>21004433</v>
      </c>
      <c r="H19" s="153"/>
      <c r="I19" s="153" t="str">
        <f>"פ"</f>
        <v>פ</v>
      </c>
      <c r="J19" s="153" t="str">
        <f>"amazon gift 4/21"</f>
        <v>amazon gift 4/21</v>
      </c>
      <c r="K19" s="153">
        <v>0</v>
      </c>
      <c r="L19" s="153">
        <v>92.87</v>
      </c>
      <c r="M19" s="153">
        <v>-2494350.84</v>
      </c>
      <c r="N19" s="153" t="str">
        <f t="shared" si="0"/>
        <v>GBP</v>
      </c>
      <c r="O19" s="153"/>
      <c r="P19" s="153" t="s">
        <v>4410</v>
      </c>
      <c r="Q19" s="153" t="s">
        <v>4410</v>
      </c>
      <c r="R19" s="153" t="str">
        <f>"7020039"</f>
        <v>7020039</v>
      </c>
      <c r="S19" s="153" t="str">
        <f>"הוצאות שיווק ופרסום EMEA"</f>
        <v>הוצאות שיווק ופרסום EMEA</v>
      </c>
      <c r="T19" s="153"/>
      <c r="U19" s="153"/>
      <c r="V19" s="153"/>
      <c r="W19" s="153"/>
      <c r="X19" s="153">
        <v>0</v>
      </c>
      <c r="Y19" s="153">
        <v>0</v>
      </c>
      <c r="Z19" s="153">
        <v>0</v>
      </c>
      <c r="AA19" s="153">
        <v>92.87</v>
      </c>
      <c r="AB19" s="153">
        <v>0</v>
      </c>
      <c r="AC19" s="153">
        <v>129.12</v>
      </c>
      <c r="AD19" s="153">
        <v>0</v>
      </c>
      <c r="AE19" s="153">
        <v>0</v>
      </c>
      <c r="AF19" s="153"/>
      <c r="AG19" s="153"/>
      <c r="AH19" s="153"/>
      <c r="AI19" s="153"/>
      <c r="AJ19" s="153"/>
      <c r="AK19" s="153"/>
      <c r="AL19" s="153"/>
      <c r="AM19" s="153"/>
      <c r="AN19" s="153"/>
      <c r="AO19" s="153"/>
      <c r="AP19" s="153"/>
      <c r="AQ19" s="153"/>
      <c r="AR19" s="153"/>
      <c r="AS19" s="153"/>
      <c r="AT19" s="153">
        <v>0</v>
      </c>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3"/>
      <c r="BR19" s="153"/>
      <c r="BS19" s="153"/>
      <c r="BT19" s="153"/>
      <c r="BU19" s="153"/>
      <c r="BV19" s="153"/>
    </row>
    <row r="20" spans="1:74">
      <c r="A20" s="32"/>
      <c r="F20" s="3581" t="s">
        <v>4410</v>
      </c>
      <c r="G20" s="153" t="str">
        <f>"21004445"</f>
        <v>21004445</v>
      </c>
      <c r="H20" s="153"/>
      <c r="I20" s="153" t="str">
        <f>"הש"</f>
        <v>הש</v>
      </c>
      <c r="J20" s="153" t="str">
        <f>"הפרשי שער"</f>
        <v>הפרשי שער</v>
      </c>
      <c r="K20" s="153">
        <v>0</v>
      </c>
      <c r="L20" s="153">
        <v>0</v>
      </c>
      <c r="M20" s="153">
        <v>-2494350.84</v>
      </c>
      <c r="N20" s="153" t="str">
        <f t="shared" si="0"/>
        <v>GBP</v>
      </c>
      <c r="O20" s="153"/>
      <c r="P20" s="153" t="s">
        <v>4410</v>
      </c>
      <c r="Q20" s="153" t="s">
        <v>4410</v>
      </c>
      <c r="R20" s="153" t="str">
        <f>"9010002"</f>
        <v>9010002</v>
      </c>
      <c r="S20" s="153" t="str">
        <f>"הפרשי שער"</f>
        <v>הפרשי שער</v>
      </c>
      <c r="T20" s="153"/>
      <c r="U20" s="153"/>
      <c r="V20" s="153"/>
      <c r="W20" s="153"/>
      <c r="X20" s="153">
        <v>-1</v>
      </c>
      <c r="Y20" s="153">
        <v>-1</v>
      </c>
      <c r="Z20" s="153">
        <v>0</v>
      </c>
      <c r="AA20" s="153">
        <v>0</v>
      </c>
      <c r="AB20" s="153">
        <v>0</v>
      </c>
      <c r="AC20" s="153">
        <v>36330.089999999997</v>
      </c>
      <c r="AD20" s="153">
        <v>0</v>
      </c>
      <c r="AE20" s="153">
        <v>0</v>
      </c>
      <c r="AF20" s="153"/>
      <c r="AG20" s="153"/>
      <c r="AH20" s="153"/>
      <c r="AI20" s="153"/>
      <c r="AJ20" s="153"/>
      <c r="AK20" s="153"/>
      <c r="AL20" s="153"/>
      <c r="AM20" s="153"/>
      <c r="AN20" s="153"/>
      <c r="AO20" s="153"/>
      <c r="AP20" s="153"/>
      <c r="AQ20" s="153"/>
      <c r="AR20" s="153"/>
      <c r="AS20" s="153"/>
      <c r="AT20" s="153">
        <v>0</v>
      </c>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row>
    <row r="21" spans="1:74">
      <c r="F21" s="3582">
        <v>44352</v>
      </c>
      <c r="G21" s="153" t="str">
        <f>"21004414"</f>
        <v>21004414</v>
      </c>
      <c r="H21" s="153"/>
      <c r="I21" s="153" t="str">
        <f>"הת"</f>
        <v>הת</v>
      </c>
      <c r="J21" s="153" t="str">
        <f>"BRIGHTTALK"</f>
        <v>BRIGHTTALK</v>
      </c>
      <c r="K21" s="153">
        <v>3937.5</v>
      </c>
      <c r="L21" s="153">
        <v>0</v>
      </c>
      <c r="M21" s="153">
        <v>-2490413.34</v>
      </c>
      <c r="N21" s="153" t="str">
        <f t="shared" si="0"/>
        <v>GBP</v>
      </c>
      <c r="O21" s="153"/>
      <c r="P21" s="3515">
        <v>44352</v>
      </c>
      <c r="Q21" s="3515">
        <v>44352</v>
      </c>
      <c r="R21" s="153" t="str">
        <f>"1000016"</f>
        <v>1000016</v>
      </c>
      <c r="S21" s="153" t="str">
        <f>"ברקליס ל""ש חדש"</f>
        <v>ברקליס ל"ש חדש</v>
      </c>
      <c r="T21" s="153"/>
      <c r="U21" s="153"/>
      <c r="V21" s="153"/>
      <c r="W21" s="153" t="str">
        <f>"330"</f>
        <v>330</v>
      </c>
      <c r="X21" s="153">
        <v>0</v>
      </c>
      <c r="Y21" s="153">
        <v>0</v>
      </c>
      <c r="Z21" s="153">
        <v>3937.5</v>
      </c>
      <c r="AA21" s="153">
        <v>0</v>
      </c>
      <c r="AB21" s="153">
        <v>5479.58</v>
      </c>
      <c r="AC21" s="153">
        <v>0</v>
      </c>
      <c r="AD21" s="153">
        <v>0</v>
      </c>
      <c r="AE21" s="153">
        <v>0</v>
      </c>
      <c r="AF21" s="153"/>
      <c r="AG21" s="153"/>
      <c r="AH21" s="153"/>
      <c r="AI21" s="153"/>
      <c r="AJ21" s="153"/>
      <c r="AK21" s="153"/>
      <c r="AL21" s="153"/>
      <c r="AM21" s="153"/>
      <c r="AN21" s="153"/>
      <c r="AO21" s="153"/>
      <c r="AP21" s="153"/>
      <c r="AQ21" s="153"/>
      <c r="AR21" s="153"/>
      <c r="AS21" s="153"/>
      <c r="AT21" s="153">
        <v>0</v>
      </c>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row>
    <row r="22" spans="1:74">
      <c r="F22" s="3581" t="s">
        <v>4420</v>
      </c>
      <c r="G22" s="153" t="str">
        <f>"21005329"</f>
        <v>21005329</v>
      </c>
      <c r="H22" s="153"/>
      <c r="I22" s="153" t="str">
        <f>"פ"</f>
        <v>פ</v>
      </c>
      <c r="J22" s="153" t="str">
        <f>"laptop +docking station"</f>
        <v>laptop +docking station</v>
      </c>
      <c r="K22" s="153">
        <v>0</v>
      </c>
      <c r="L22" s="153">
        <v>1889.19</v>
      </c>
      <c r="M22" s="153">
        <v>-2492302.5299999998</v>
      </c>
      <c r="N22" s="153" t="str">
        <f t="shared" si="0"/>
        <v>GBP</v>
      </c>
      <c r="O22" s="153"/>
      <c r="P22" s="153" t="s">
        <v>4420</v>
      </c>
      <c r="Q22" s="153" t="s">
        <v>4420</v>
      </c>
      <c r="R22" s="153" t="str">
        <f>"1400001"</f>
        <v>1400001</v>
      </c>
      <c r="S22" s="153" t="str">
        <f>"מחשבים ותוכנות"</f>
        <v>מחשבים ותוכנות</v>
      </c>
      <c r="T22" s="153"/>
      <c r="U22" s="153"/>
      <c r="V22" s="153"/>
      <c r="W22" s="153"/>
      <c r="X22" s="153">
        <v>0</v>
      </c>
      <c r="Y22" s="153">
        <v>0</v>
      </c>
      <c r="Z22" s="153">
        <v>0</v>
      </c>
      <c r="AA22" s="153">
        <v>1889.19</v>
      </c>
      <c r="AB22" s="153">
        <v>0</v>
      </c>
      <c r="AC22" s="153">
        <v>2667.96</v>
      </c>
      <c r="AD22" s="153">
        <v>0</v>
      </c>
      <c r="AE22" s="153">
        <v>0</v>
      </c>
      <c r="AF22" s="153"/>
      <c r="AG22" s="153"/>
      <c r="AH22" s="153"/>
      <c r="AI22" s="153"/>
      <c r="AJ22" s="153"/>
      <c r="AK22" s="153"/>
      <c r="AL22" s="153"/>
      <c r="AM22" s="153"/>
      <c r="AN22" s="153"/>
      <c r="AO22" s="153"/>
      <c r="AP22" s="153"/>
      <c r="AQ22" s="153"/>
      <c r="AR22" s="153"/>
      <c r="AS22" s="153"/>
      <c r="AT22" s="153">
        <v>0</v>
      </c>
      <c r="AU22" s="153"/>
      <c r="AV22" s="153"/>
      <c r="AW22" s="153"/>
      <c r="AX22" s="153"/>
      <c r="AY22" s="153"/>
      <c r="AZ22" s="153"/>
      <c r="BA22" s="153"/>
      <c r="BB22" s="153"/>
      <c r="BC22" s="153"/>
      <c r="BD22" s="153"/>
      <c r="BE22" s="153"/>
      <c r="BF22" s="153"/>
      <c r="BG22" s="153"/>
      <c r="BH22" s="153"/>
      <c r="BI22" s="153"/>
      <c r="BJ22" s="153"/>
      <c r="BK22" s="153"/>
      <c r="BL22" s="153"/>
      <c r="BM22" s="153"/>
      <c r="BN22" s="153"/>
      <c r="BO22" s="153"/>
      <c r="BP22" s="153"/>
      <c r="BQ22" s="153"/>
      <c r="BR22" s="153"/>
      <c r="BS22" s="153"/>
      <c r="BT22" s="153"/>
      <c r="BU22" s="153"/>
      <c r="BV22" s="153"/>
    </row>
    <row r="23" spans="1:74">
      <c r="F23" s="3581" t="s">
        <v>4421</v>
      </c>
      <c r="G23" s="153" t="str">
        <f>"21005330"</f>
        <v>21005330</v>
      </c>
      <c r="H23" s="153"/>
      <c r="I23" s="153" t="str">
        <f>"פ"</f>
        <v>פ</v>
      </c>
      <c r="J23" s="153" t="str">
        <f>"docking station"</f>
        <v>docking station</v>
      </c>
      <c r="K23" s="153">
        <v>0</v>
      </c>
      <c r="L23" s="153">
        <v>189.26</v>
      </c>
      <c r="M23" s="153">
        <v>-2492491.79</v>
      </c>
      <c r="N23" s="153" t="str">
        <f t="shared" si="0"/>
        <v>GBP</v>
      </c>
      <c r="O23" s="153"/>
      <c r="P23" s="153" t="s">
        <v>4421</v>
      </c>
      <c r="Q23" s="153" t="s">
        <v>4421</v>
      </c>
      <c r="R23" s="153" t="str">
        <f>"1400001"</f>
        <v>1400001</v>
      </c>
      <c r="S23" s="153" t="str">
        <f>"מחשבים ותוכנות"</f>
        <v>מחשבים ותוכנות</v>
      </c>
      <c r="T23" s="153"/>
      <c r="U23" s="153"/>
      <c r="V23" s="153"/>
      <c r="W23" s="153"/>
      <c r="X23" s="153">
        <v>0</v>
      </c>
      <c r="Y23" s="153">
        <v>0</v>
      </c>
      <c r="Z23" s="153">
        <v>0</v>
      </c>
      <c r="AA23" s="153">
        <v>189.26</v>
      </c>
      <c r="AB23" s="153">
        <v>0</v>
      </c>
      <c r="AC23" s="153">
        <v>268.83</v>
      </c>
      <c r="AD23" s="153">
        <v>0</v>
      </c>
      <c r="AE23" s="153">
        <v>0</v>
      </c>
      <c r="AF23" s="153"/>
      <c r="AG23" s="153"/>
      <c r="AH23" s="153"/>
      <c r="AI23" s="153"/>
      <c r="AJ23" s="153"/>
      <c r="AK23" s="153"/>
      <c r="AL23" s="153"/>
      <c r="AM23" s="153"/>
      <c r="AN23" s="153"/>
      <c r="AO23" s="153"/>
      <c r="AP23" s="153"/>
      <c r="AQ23" s="153"/>
      <c r="AR23" s="153"/>
      <c r="AS23" s="153"/>
      <c r="AT23" s="153">
        <v>0</v>
      </c>
      <c r="AU23" s="153"/>
      <c r="AV23" s="153"/>
      <c r="AW23" s="153"/>
      <c r="AX23" s="153"/>
      <c r="AY23" s="153"/>
      <c r="AZ23" s="153"/>
      <c r="BA23" s="153"/>
      <c r="BB23" s="153"/>
      <c r="BC23" s="153"/>
      <c r="BD23" s="153"/>
      <c r="BE23" s="153"/>
      <c r="BF23" s="153"/>
      <c r="BG23" s="153"/>
      <c r="BH23" s="153"/>
      <c r="BI23" s="153"/>
      <c r="BJ23" s="153"/>
      <c r="BK23" s="153"/>
      <c r="BL23" s="153"/>
      <c r="BM23" s="153"/>
      <c r="BN23" s="153"/>
      <c r="BO23" s="153"/>
      <c r="BP23" s="153"/>
      <c r="BQ23" s="153"/>
      <c r="BR23" s="153"/>
      <c r="BS23" s="153"/>
      <c r="BT23" s="153"/>
      <c r="BU23" s="153"/>
      <c r="BV23" s="153"/>
    </row>
    <row r="24" spans="1:74">
      <c r="F24" s="3581" t="s">
        <v>4411</v>
      </c>
      <c r="G24" s="153" t="str">
        <f>"21005199"</f>
        <v>21005199</v>
      </c>
      <c r="H24" s="153"/>
      <c r="I24" s="153" t="str">
        <f>"הש"</f>
        <v>הש</v>
      </c>
      <c r="J24" s="153" t="str">
        <f>"הפרשי שער"</f>
        <v>הפרשי שער</v>
      </c>
      <c r="K24" s="153">
        <v>0</v>
      </c>
      <c r="L24" s="153">
        <v>0</v>
      </c>
      <c r="M24" s="153">
        <v>-2492491.79</v>
      </c>
      <c r="N24" s="153" t="str">
        <f t="shared" si="0"/>
        <v>GBP</v>
      </c>
      <c r="O24" s="153"/>
      <c r="P24" s="153" t="s">
        <v>4411</v>
      </c>
      <c r="Q24" s="153" t="s">
        <v>4411</v>
      </c>
      <c r="R24" s="153" t="str">
        <f>"9010002"</f>
        <v>9010002</v>
      </c>
      <c r="S24" s="153" t="str">
        <f>"הפרשי שער"</f>
        <v>הפרשי שער</v>
      </c>
      <c r="T24" s="153"/>
      <c r="U24" s="153"/>
      <c r="V24" s="153"/>
      <c r="W24" s="153"/>
      <c r="X24" s="153">
        <v>-1</v>
      </c>
      <c r="Y24" s="153">
        <v>-1</v>
      </c>
      <c r="Z24" s="153">
        <v>0</v>
      </c>
      <c r="AA24" s="153">
        <v>0</v>
      </c>
      <c r="AB24" s="153">
        <v>0</v>
      </c>
      <c r="AC24" s="153">
        <v>74922.490000000005</v>
      </c>
      <c r="AD24" s="153">
        <v>0</v>
      </c>
      <c r="AE24" s="153">
        <v>0</v>
      </c>
      <c r="AF24" s="153"/>
      <c r="AG24" s="153"/>
      <c r="AH24" s="153"/>
      <c r="AI24" s="153"/>
      <c r="AJ24" s="153"/>
      <c r="AK24" s="153"/>
      <c r="AL24" s="153"/>
      <c r="AM24" s="153"/>
      <c r="AN24" s="153"/>
      <c r="AO24" s="153"/>
      <c r="AP24" s="153"/>
      <c r="AQ24" s="153"/>
      <c r="AR24" s="153"/>
      <c r="AS24" s="153"/>
      <c r="AT24" s="153">
        <v>0</v>
      </c>
      <c r="AU24" s="153"/>
      <c r="AV24" s="153"/>
      <c r="AW24" s="153"/>
      <c r="AX24" s="153"/>
      <c r="AY24" s="153"/>
      <c r="AZ24" s="153"/>
      <c r="BA24" s="153"/>
      <c r="BB24" s="153"/>
      <c r="BC24" s="153"/>
      <c r="BD24" s="153"/>
      <c r="BE24" s="153"/>
      <c r="BF24" s="153"/>
      <c r="BG24" s="153"/>
      <c r="BH24" s="153"/>
      <c r="BI24" s="153"/>
      <c r="BJ24" s="153"/>
      <c r="BK24" s="153"/>
      <c r="BL24" s="153"/>
      <c r="BM24" s="153"/>
      <c r="BN24" s="153"/>
      <c r="BO24" s="153"/>
      <c r="BP24" s="153"/>
      <c r="BQ24" s="153"/>
      <c r="BR24" s="153"/>
      <c r="BS24" s="153"/>
      <c r="BT24" s="153"/>
      <c r="BU24" s="153"/>
      <c r="BV24" s="153"/>
    </row>
    <row r="25" spans="1:74">
      <c r="F25" s="3581" t="s">
        <v>4411</v>
      </c>
      <c r="G25" s="153" t="str">
        <f>"21005369"</f>
        <v>21005369</v>
      </c>
      <c r="H25" s="153"/>
      <c r="I25" s="153" t="str">
        <f>"הש"</f>
        <v>הש</v>
      </c>
      <c r="J25" s="153" t="str">
        <f>"הפרשי שער"</f>
        <v>הפרשי שער</v>
      </c>
      <c r="K25" s="153">
        <v>0</v>
      </c>
      <c r="L25" s="153">
        <v>0</v>
      </c>
      <c r="M25" s="153">
        <v>-2492491.79</v>
      </c>
      <c r="N25" s="153" t="str">
        <f t="shared" si="0"/>
        <v>GBP</v>
      </c>
      <c r="O25" s="153"/>
      <c r="P25" s="153" t="s">
        <v>4411</v>
      </c>
      <c r="Q25" s="153" t="s">
        <v>4411</v>
      </c>
      <c r="R25" s="153" t="str">
        <f>"9010002"</f>
        <v>9010002</v>
      </c>
      <c r="S25" s="153" t="str">
        <f>"הפרשי שער"</f>
        <v>הפרשי שער</v>
      </c>
      <c r="T25" s="153"/>
      <c r="U25" s="153"/>
      <c r="V25" s="153"/>
      <c r="W25" s="153"/>
      <c r="X25" s="153">
        <v>-1</v>
      </c>
      <c r="Y25" s="153">
        <v>-1</v>
      </c>
      <c r="Z25" s="153">
        <v>0</v>
      </c>
      <c r="AA25" s="153">
        <v>0</v>
      </c>
      <c r="AB25" s="153">
        <v>0</v>
      </c>
      <c r="AC25" s="153">
        <v>15.53</v>
      </c>
      <c r="AD25" s="153">
        <v>0</v>
      </c>
      <c r="AE25" s="153">
        <v>0</v>
      </c>
      <c r="AF25" s="153"/>
      <c r="AG25" s="153"/>
      <c r="AH25" s="153"/>
      <c r="AI25" s="153"/>
      <c r="AJ25" s="153"/>
      <c r="AK25" s="153"/>
      <c r="AL25" s="153"/>
      <c r="AM25" s="153"/>
      <c r="AN25" s="153"/>
      <c r="AO25" s="153"/>
      <c r="AP25" s="153"/>
      <c r="AQ25" s="153"/>
      <c r="AR25" s="153"/>
      <c r="AS25" s="153"/>
      <c r="AT25" s="153">
        <v>0</v>
      </c>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c r="BU25" s="153"/>
      <c r="BV25" s="153"/>
    </row>
    <row r="26" spans="1:74">
      <c r="F26" s="3582">
        <v>44353</v>
      </c>
      <c r="G26" s="153" t="str">
        <f>"21005198"</f>
        <v>21005198</v>
      </c>
      <c r="H26" s="153"/>
      <c r="I26" s="153" t="str">
        <f t="shared" ref="I26:I33" si="1">"פ"</f>
        <v>פ</v>
      </c>
      <c r="J26" s="153" t="str">
        <f>"TP Invoice – Q1/2021"</f>
        <v>TP Invoice – Q1/2021</v>
      </c>
      <c r="K26" s="153">
        <v>0</v>
      </c>
      <c r="L26" s="153">
        <v>3255602.23</v>
      </c>
      <c r="M26" s="153">
        <v>-5748094.0199999996</v>
      </c>
      <c r="N26" s="153" t="str">
        <f t="shared" si="0"/>
        <v>GBP</v>
      </c>
      <c r="O26" s="153" t="str">
        <f>"IL218000120"</f>
        <v>IL218000120</v>
      </c>
      <c r="P26" s="3515">
        <v>44353</v>
      </c>
      <c r="Q26" s="3515">
        <v>44353</v>
      </c>
      <c r="R26" s="153" t="str">
        <f>"5900001"</f>
        <v>5900001</v>
      </c>
      <c r="S26" s="153" t="str">
        <f>"עלות המכר"</f>
        <v>עלות המכר</v>
      </c>
      <c r="T26" s="153"/>
      <c r="U26" s="153"/>
      <c r="V26" s="153"/>
      <c r="W26" s="153"/>
      <c r="X26" s="153">
        <v>55</v>
      </c>
      <c r="Y26" s="153">
        <v>57</v>
      </c>
      <c r="Z26" s="153">
        <v>0</v>
      </c>
      <c r="AA26" s="153">
        <v>3255602.23</v>
      </c>
      <c r="AB26" s="153">
        <v>0</v>
      </c>
      <c r="AC26" s="153">
        <v>4597026.3</v>
      </c>
      <c r="AD26" s="153">
        <v>0</v>
      </c>
      <c r="AE26" s="153">
        <v>0</v>
      </c>
      <c r="AF26" s="153"/>
      <c r="AG26" s="153"/>
      <c r="AH26" s="153"/>
      <c r="AI26" s="153"/>
      <c r="AJ26" s="153"/>
      <c r="AK26" s="153"/>
      <c r="AL26" s="153"/>
      <c r="AM26" s="153"/>
      <c r="AN26" s="153"/>
      <c r="AO26" s="153"/>
      <c r="AP26" s="153"/>
      <c r="AQ26" s="153"/>
      <c r="AR26" s="153"/>
      <c r="AS26" s="153"/>
      <c r="AT26" s="153">
        <v>0</v>
      </c>
      <c r="AU26" s="153"/>
      <c r="AV26" s="153"/>
      <c r="AW26" s="153"/>
      <c r="AX26" s="153"/>
      <c r="AY26" s="153"/>
      <c r="AZ26" s="153"/>
      <c r="BA26" s="153"/>
      <c r="BB26" s="153"/>
      <c r="BC26" s="153"/>
      <c r="BD26" s="153"/>
      <c r="BE26" s="153"/>
      <c r="BF26" s="153"/>
      <c r="BG26" s="153"/>
      <c r="BH26" s="153"/>
      <c r="BI26" s="153"/>
      <c r="BJ26" s="153"/>
      <c r="BK26" s="153"/>
      <c r="BL26" s="153"/>
      <c r="BM26" s="153"/>
      <c r="BN26" s="153"/>
      <c r="BO26" s="153"/>
      <c r="BP26" s="153"/>
      <c r="BQ26" s="153"/>
      <c r="BR26" s="153"/>
      <c r="BS26" s="153"/>
      <c r="BT26" s="153"/>
      <c r="BU26" s="153"/>
      <c r="BV26" s="153"/>
    </row>
    <row r="27" spans="1:74">
      <c r="F27" s="3582">
        <v>44353</v>
      </c>
      <c r="G27" s="153" t="str">
        <f>"21007064"</f>
        <v>21007064</v>
      </c>
      <c r="H27" s="153"/>
      <c r="I27" s="153" t="str">
        <f t="shared" si="1"/>
        <v>פ</v>
      </c>
      <c r="J27" s="153" t="str">
        <f>"ביטול ל 21005198"</f>
        <v>ביטול ל 21005198</v>
      </c>
      <c r="K27" s="153">
        <v>0</v>
      </c>
      <c r="L27" s="153">
        <v>-3255602.23</v>
      </c>
      <c r="M27" s="153">
        <v>-2492491.79</v>
      </c>
      <c r="N27" s="153" t="str">
        <f t="shared" si="0"/>
        <v>GBP</v>
      </c>
      <c r="O27" s="153" t="str">
        <f>"IL218000120"</f>
        <v>IL218000120</v>
      </c>
      <c r="P27" s="3515">
        <v>44353</v>
      </c>
      <c r="Q27" s="153" t="s">
        <v>4415</v>
      </c>
      <c r="R27" s="153" t="str">
        <f>"5900001"</f>
        <v>5900001</v>
      </c>
      <c r="S27" s="153" t="str">
        <f>"עלות המכר"</f>
        <v>עלות המכר</v>
      </c>
      <c r="T27" s="153"/>
      <c r="U27" s="153"/>
      <c r="V27" s="153"/>
      <c r="W27" s="153"/>
      <c r="X27" s="153">
        <v>55</v>
      </c>
      <c r="Y27" s="153">
        <v>57</v>
      </c>
      <c r="Z27" s="153">
        <v>0</v>
      </c>
      <c r="AA27" s="153">
        <v>-3255602.23</v>
      </c>
      <c r="AB27" s="153">
        <v>0</v>
      </c>
      <c r="AC27" s="153">
        <v>-4597026.3</v>
      </c>
      <c r="AD27" s="153">
        <v>0</v>
      </c>
      <c r="AE27" s="153">
        <v>0</v>
      </c>
      <c r="AF27" s="153"/>
      <c r="AG27" s="153"/>
      <c r="AH27" s="153"/>
      <c r="AI27" s="153"/>
      <c r="AJ27" s="153"/>
      <c r="AK27" s="153"/>
      <c r="AL27" s="153"/>
      <c r="AM27" s="153"/>
      <c r="AN27" s="153"/>
      <c r="AO27" s="153"/>
      <c r="AP27" s="153"/>
      <c r="AQ27" s="153"/>
      <c r="AR27" s="153"/>
      <c r="AS27" s="153"/>
      <c r="AT27" s="153">
        <v>0</v>
      </c>
      <c r="AU27" s="153"/>
      <c r="AV27" s="153"/>
      <c r="AW27" s="153"/>
      <c r="AX27" s="153"/>
      <c r="AY27" s="153"/>
      <c r="AZ27" s="153"/>
      <c r="BA27" s="153"/>
      <c r="BB27" s="153"/>
      <c r="BC27" s="153"/>
      <c r="BD27" s="153"/>
      <c r="BE27" s="153"/>
      <c r="BF27" s="153"/>
      <c r="BG27" s="153"/>
      <c r="BH27" s="153"/>
      <c r="BI27" s="153"/>
      <c r="BJ27" s="153"/>
      <c r="BK27" s="153"/>
      <c r="BL27" s="153"/>
      <c r="BM27" s="153"/>
      <c r="BN27" s="153"/>
      <c r="BO27" s="153"/>
      <c r="BP27" s="153"/>
      <c r="BQ27" s="153"/>
      <c r="BR27" s="153"/>
      <c r="BS27" s="153"/>
      <c r="BT27" s="153"/>
      <c r="BU27" s="153"/>
      <c r="BV27" s="153"/>
    </row>
    <row r="28" spans="1:74">
      <c r="F28" s="3582">
        <v>44353</v>
      </c>
      <c r="G28" s="153" t="str">
        <f>"21007065"</f>
        <v>21007065</v>
      </c>
      <c r="H28" s="153"/>
      <c r="I28" s="153" t="str">
        <f t="shared" si="1"/>
        <v>פ</v>
      </c>
      <c r="J28" s="153" t="str">
        <f>"TP Invoice – Q1/2021"</f>
        <v>TP Invoice – Q1/2021</v>
      </c>
      <c r="K28" s="153">
        <v>0</v>
      </c>
      <c r="L28" s="153">
        <v>3255602.23</v>
      </c>
      <c r="M28" s="153">
        <v>-5748094.0199999996</v>
      </c>
      <c r="N28" s="153" t="str">
        <f t="shared" si="0"/>
        <v>GBP</v>
      </c>
      <c r="O28" s="153" t="str">
        <f>"IL218000120"</f>
        <v>IL218000120</v>
      </c>
      <c r="P28" s="3515">
        <v>44353</v>
      </c>
      <c r="Q28" s="3515">
        <v>44353</v>
      </c>
      <c r="R28" s="153" t="str">
        <f>"5900001"</f>
        <v>5900001</v>
      </c>
      <c r="S28" s="153" t="str">
        <f>"עלות המכר"</f>
        <v>עלות המכר</v>
      </c>
      <c r="T28" s="153"/>
      <c r="U28" s="153"/>
      <c r="V28" s="153"/>
      <c r="W28" s="153"/>
      <c r="X28" s="153">
        <v>0</v>
      </c>
      <c r="Y28" s="153">
        <v>0</v>
      </c>
      <c r="Z28" s="153">
        <v>0</v>
      </c>
      <c r="AA28" s="153">
        <v>3255602.23</v>
      </c>
      <c r="AB28" s="153">
        <v>0</v>
      </c>
      <c r="AC28" s="153">
        <v>4597026.3</v>
      </c>
      <c r="AD28" s="153">
        <v>0</v>
      </c>
      <c r="AE28" s="153">
        <v>0</v>
      </c>
      <c r="AF28" s="153"/>
      <c r="AG28" s="153"/>
      <c r="AH28" s="153"/>
      <c r="AI28" s="153"/>
      <c r="AJ28" s="153"/>
      <c r="AK28" s="153"/>
      <c r="AL28" s="153"/>
      <c r="AM28" s="153"/>
      <c r="AN28" s="153"/>
      <c r="AO28" s="153"/>
      <c r="AP28" s="153"/>
      <c r="AQ28" s="153"/>
      <c r="AR28" s="153"/>
      <c r="AS28" s="153"/>
      <c r="AT28" s="153">
        <v>0</v>
      </c>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row>
    <row r="29" spans="1:74">
      <c r="F29" s="3581" t="s">
        <v>4422</v>
      </c>
      <c r="G29" s="153" t="str">
        <f>"21006076"</f>
        <v>21006076</v>
      </c>
      <c r="H29" s="153"/>
      <c r="I29" s="153" t="str">
        <f t="shared" si="1"/>
        <v>פ</v>
      </c>
      <c r="J29" s="153" t="str">
        <f>"מחשב+ציוד נלווה-Amazon"</f>
        <v>מחשב+ציוד נלווה-Amazon</v>
      </c>
      <c r="K29" s="153">
        <v>0</v>
      </c>
      <c r="L29" s="153">
        <v>1609.9</v>
      </c>
      <c r="M29" s="153">
        <v>-5749703.9199999999</v>
      </c>
      <c r="N29" s="153" t="str">
        <f t="shared" si="0"/>
        <v>GBP</v>
      </c>
      <c r="O29" s="153"/>
      <c r="P29" s="153" t="s">
        <v>4422</v>
      </c>
      <c r="Q29" s="153" t="s">
        <v>4422</v>
      </c>
      <c r="R29" s="153" t="str">
        <f>"1400001"</f>
        <v>1400001</v>
      </c>
      <c r="S29" s="153" t="str">
        <f>"מחשבים ותוכנות"</f>
        <v>מחשבים ותוכנות</v>
      </c>
      <c r="T29" s="153"/>
      <c r="U29" s="153"/>
      <c r="V29" s="153"/>
      <c r="W29" s="153"/>
      <c r="X29" s="153">
        <v>0</v>
      </c>
      <c r="Y29" s="153">
        <v>0</v>
      </c>
      <c r="Z29" s="153">
        <v>0</v>
      </c>
      <c r="AA29" s="153">
        <v>1609.9</v>
      </c>
      <c r="AB29" s="153">
        <v>0</v>
      </c>
      <c r="AC29" s="153">
        <v>2235.5700000000002</v>
      </c>
      <c r="AD29" s="153">
        <v>0</v>
      </c>
      <c r="AE29" s="153">
        <v>0</v>
      </c>
      <c r="AF29" s="153"/>
      <c r="AG29" s="153"/>
      <c r="AH29" s="153"/>
      <c r="AI29" s="153"/>
      <c r="AJ29" s="153"/>
      <c r="AK29" s="153"/>
      <c r="AL29" s="153"/>
      <c r="AM29" s="153"/>
      <c r="AN29" s="153"/>
      <c r="AO29" s="153"/>
      <c r="AP29" s="153"/>
      <c r="AQ29" s="153"/>
      <c r="AR29" s="153"/>
      <c r="AS29" s="153"/>
      <c r="AT29" s="153">
        <v>0</v>
      </c>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c r="BU29" s="153"/>
      <c r="BV29" s="153"/>
    </row>
    <row r="30" spans="1:74">
      <c r="F30" s="3581" t="s">
        <v>4423</v>
      </c>
      <c r="G30" s="153" t="str">
        <f>"21006077"</f>
        <v>21006077</v>
      </c>
      <c r="H30" s="153"/>
      <c r="I30" s="153" t="str">
        <f t="shared" si="1"/>
        <v>פ</v>
      </c>
      <c r="J30" s="153" t="str">
        <f>"מחשב+ת.עגינה+ציוד נלווה"</f>
        <v>מחשב+ת.עגינה+ציוד נלווה</v>
      </c>
      <c r="K30" s="153">
        <v>0</v>
      </c>
      <c r="L30" s="153">
        <v>1687.17</v>
      </c>
      <c r="M30" s="153">
        <v>-5751391.0899999999</v>
      </c>
      <c r="N30" s="153" t="str">
        <f t="shared" si="0"/>
        <v>GBP</v>
      </c>
      <c r="O30" s="153"/>
      <c r="P30" s="153" t="s">
        <v>4423</v>
      </c>
      <c r="Q30" s="153" t="s">
        <v>4423</v>
      </c>
      <c r="R30" s="153" t="str">
        <f>"1400001"</f>
        <v>1400001</v>
      </c>
      <c r="S30" s="153" t="str">
        <f>"מחשבים ותוכנות"</f>
        <v>מחשבים ותוכנות</v>
      </c>
      <c r="T30" s="153"/>
      <c r="U30" s="153"/>
      <c r="V30" s="153"/>
      <c r="W30" s="153"/>
      <c r="X30" s="153">
        <v>0</v>
      </c>
      <c r="Y30" s="153">
        <v>0</v>
      </c>
      <c r="Z30" s="153">
        <v>0</v>
      </c>
      <c r="AA30" s="153">
        <v>1687.17</v>
      </c>
      <c r="AB30" s="153">
        <v>0</v>
      </c>
      <c r="AC30" s="153">
        <v>2343.31</v>
      </c>
      <c r="AD30" s="153">
        <v>0</v>
      </c>
      <c r="AE30" s="153">
        <v>0</v>
      </c>
      <c r="AF30" s="153"/>
      <c r="AG30" s="153"/>
      <c r="AH30" s="153"/>
      <c r="AI30" s="153"/>
      <c r="AJ30" s="153"/>
      <c r="AK30" s="153"/>
      <c r="AL30" s="153"/>
      <c r="AM30" s="153"/>
      <c r="AN30" s="153"/>
      <c r="AO30" s="153"/>
      <c r="AP30" s="153"/>
      <c r="AQ30" s="153"/>
      <c r="AR30" s="153"/>
      <c r="AS30" s="153"/>
      <c r="AT30" s="153">
        <v>0</v>
      </c>
      <c r="AU30" s="153"/>
      <c r="AV30" s="153"/>
      <c r="AW30" s="153"/>
      <c r="AX30" s="153"/>
      <c r="AY30" s="153"/>
      <c r="AZ30" s="153"/>
      <c r="BA30" s="153"/>
      <c r="BB30" s="153"/>
      <c r="BC30" s="153"/>
      <c r="BD30" s="153"/>
      <c r="BE30" s="153"/>
      <c r="BF30" s="153"/>
      <c r="BG30" s="153"/>
      <c r="BH30" s="153"/>
      <c r="BI30" s="153"/>
      <c r="BJ30" s="153"/>
      <c r="BK30" s="153"/>
      <c r="BL30" s="153"/>
      <c r="BM30" s="153"/>
      <c r="BN30" s="153"/>
      <c r="BO30" s="153"/>
      <c r="BP30" s="153"/>
      <c r="BQ30" s="153"/>
      <c r="BR30" s="153"/>
      <c r="BS30" s="153"/>
      <c r="BT30" s="153"/>
      <c r="BU30" s="153"/>
      <c r="BV30" s="153"/>
    </row>
    <row r="31" spans="1:74">
      <c r="F31" s="3581" t="s">
        <v>4424</v>
      </c>
      <c r="G31" s="153" t="str">
        <f>"21006078"</f>
        <v>21006078</v>
      </c>
      <c r="H31" s="153"/>
      <c r="I31" s="153" t="str">
        <f t="shared" si="1"/>
        <v>פ</v>
      </c>
      <c r="J31" s="153" t="str">
        <f>"מסך מחשב-Amazon"</f>
        <v>מסך מחשב-Amazon</v>
      </c>
      <c r="K31" s="153">
        <v>0</v>
      </c>
      <c r="L31" s="153">
        <v>122.92</v>
      </c>
      <c r="M31" s="153">
        <v>-5751514.0099999998</v>
      </c>
      <c r="N31" s="153" t="str">
        <f t="shared" si="0"/>
        <v>GBP</v>
      </c>
      <c r="O31" s="153"/>
      <c r="P31" s="153" t="s">
        <v>4424</v>
      </c>
      <c r="Q31" s="153" t="s">
        <v>4424</v>
      </c>
      <c r="R31" s="153" t="str">
        <f>"1400001"</f>
        <v>1400001</v>
      </c>
      <c r="S31" s="153" t="str">
        <f>"מחשבים ותוכנות"</f>
        <v>מחשבים ותוכנות</v>
      </c>
      <c r="T31" s="153"/>
      <c r="U31" s="153"/>
      <c r="V31" s="153"/>
      <c r="W31" s="153"/>
      <c r="X31" s="153">
        <v>0</v>
      </c>
      <c r="Y31" s="153">
        <v>0</v>
      </c>
      <c r="Z31" s="153">
        <v>0</v>
      </c>
      <c r="AA31" s="153">
        <v>122.92</v>
      </c>
      <c r="AB31" s="153">
        <v>0</v>
      </c>
      <c r="AC31" s="153">
        <v>170.17</v>
      </c>
      <c r="AD31" s="153">
        <v>0</v>
      </c>
      <c r="AE31" s="153">
        <v>0</v>
      </c>
      <c r="AF31" s="153"/>
      <c r="AG31" s="153"/>
      <c r="AH31" s="153"/>
      <c r="AI31" s="153"/>
      <c r="AJ31" s="153"/>
      <c r="AK31" s="153"/>
      <c r="AL31" s="153"/>
      <c r="AM31" s="153"/>
      <c r="AN31" s="153"/>
      <c r="AO31" s="153"/>
      <c r="AP31" s="153"/>
      <c r="AQ31" s="153"/>
      <c r="AR31" s="153"/>
      <c r="AS31" s="153"/>
      <c r="AT31" s="153">
        <v>0</v>
      </c>
      <c r="AU31" s="153"/>
      <c r="AV31" s="153"/>
      <c r="AW31" s="153"/>
      <c r="AX31" s="153"/>
      <c r="AY31" s="153"/>
      <c r="AZ31" s="153"/>
      <c r="BA31" s="153"/>
      <c r="BB31" s="153"/>
      <c r="BC31" s="153"/>
      <c r="BD31" s="153"/>
      <c r="BE31" s="153"/>
      <c r="BF31" s="153"/>
      <c r="BG31" s="153"/>
      <c r="BH31" s="153"/>
      <c r="BI31" s="153"/>
      <c r="BJ31" s="153"/>
      <c r="BK31" s="153"/>
      <c r="BL31" s="153"/>
      <c r="BM31" s="153"/>
      <c r="BN31" s="153"/>
      <c r="BO31" s="153"/>
      <c r="BP31" s="153"/>
      <c r="BQ31" s="153"/>
      <c r="BR31" s="153"/>
      <c r="BS31" s="153"/>
      <c r="BT31" s="153"/>
      <c r="BU31" s="153"/>
      <c r="BV31" s="153"/>
    </row>
    <row r="32" spans="1:74">
      <c r="F32" s="3581" t="s">
        <v>4412</v>
      </c>
      <c r="G32" s="153" t="str">
        <f>"21006075"</f>
        <v>21006075</v>
      </c>
      <c r="H32" s="153"/>
      <c r="I32" s="153" t="str">
        <f t="shared" si="1"/>
        <v>פ</v>
      </c>
      <c r="J32" s="153" t="str">
        <f>"זיכוי בגין רכישות מחשבים"</f>
        <v>זיכוי בגין רכישות מחשבים</v>
      </c>
      <c r="K32" s="153">
        <v>0</v>
      </c>
      <c r="L32" s="153">
        <v>-378.68</v>
      </c>
      <c r="M32" s="153">
        <v>-5751135.3300000001</v>
      </c>
      <c r="N32" s="153" t="str">
        <f t="shared" si="0"/>
        <v>GBP</v>
      </c>
      <c r="O32" s="153"/>
      <c r="P32" s="153" t="s">
        <v>4412</v>
      </c>
      <c r="Q32" s="153" t="s">
        <v>4412</v>
      </c>
      <c r="R32" s="153" t="str">
        <f>"1400001"</f>
        <v>1400001</v>
      </c>
      <c r="S32" s="153" t="str">
        <f>"מחשבים ותוכנות"</f>
        <v>מחשבים ותוכנות</v>
      </c>
      <c r="T32" s="153"/>
      <c r="U32" s="153"/>
      <c r="V32" s="153"/>
      <c r="W32" s="153"/>
      <c r="X32" s="153">
        <v>0</v>
      </c>
      <c r="Y32" s="153">
        <v>0</v>
      </c>
      <c r="Z32" s="153">
        <v>0</v>
      </c>
      <c r="AA32" s="153">
        <v>-378.68</v>
      </c>
      <c r="AB32" s="153">
        <v>0</v>
      </c>
      <c r="AC32" s="153">
        <v>-524.77</v>
      </c>
      <c r="AD32" s="153">
        <v>0</v>
      </c>
      <c r="AE32" s="153">
        <v>0</v>
      </c>
      <c r="AF32" s="153"/>
      <c r="AG32" s="153"/>
      <c r="AH32" s="153"/>
      <c r="AI32" s="153"/>
      <c r="AJ32" s="153"/>
      <c r="AK32" s="153"/>
      <c r="AL32" s="153"/>
      <c r="AM32" s="153"/>
      <c r="AN32" s="153"/>
      <c r="AO32" s="153"/>
      <c r="AP32" s="153"/>
      <c r="AQ32" s="153"/>
      <c r="AR32" s="153"/>
      <c r="AS32" s="153"/>
      <c r="AT32" s="153">
        <v>0</v>
      </c>
      <c r="AU32" s="153"/>
      <c r="AV32" s="153"/>
      <c r="AW32" s="153"/>
      <c r="AX32" s="153"/>
      <c r="AY32" s="153"/>
      <c r="AZ32" s="153"/>
      <c r="BA32" s="153"/>
      <c r="BB32" s="153"/>
      <c r="BC32" s="153"/>
      <c r="BD32" s="153"/>
      <c r="BE32" s="153"/>
      <c r="BF32" s="153"/>
      <c r="BG32" s="153"/>
      <c r="BH32" s="153"/>
      <c r="BI32" s="153"/>
      <c r="BJ32" s="153"/>
      <c r="BK32" s="153"/>
      <c r="BL32" s="153"/>
      <c r="BM32" s="153"/>
      <c r="BN32" s="153"/>
      <c r="BO32" s="153"/>
      <c r="BP32" s="153"/>
      <c r="BQ32" s="153"/>
      <c r="BR32" s="153"/>
      <c r="BS32" s="153"/>
      <c r="BT32" s="153"/>
      <c r="BU32" s="153"/>
      <c r="BV32" s="153"/>
    </row>
    <row r="33" spans="6:74">
      <c r="F33" s="3581" t="s">
        <v>4412</v>
      </c>
      <c r="G33" s="153" t="str">
        <f>"21006079"</f>
        <v>21006079</v>
      </c>
      <c r="H33" s="153"/>
      <c r="I33" s="153" t="str">
        <f t="shared" si="1"/>
        <v>פ</v>
      </c>
      <c r="J33" s="153" t="str">
        <f>"amazon gift 6/21"</f>
        <v>amazon gift 6/21</v>
      </c>
      <c r="K33" s="153">
        <v>0</v>
      </c>
      <c r="L33" s="153">
        <v>51.87</v>
      </c>
      <c r="M33" s="153">
        <v>-5751187.2000000002</v>
      </c>
      <c r="N33" s="153" t="str">
        <f t="shared" si="0"/>
        <v>GBP</v>
      </c>
      <c r="O33" s="153"/>
      <c r="P33" s="153" t="s">
        <v>4412</v>
      </c>
      <c r="Q33" s="153" t="s">
        <v>4412</v>
      </c>
      <c r="R33" s="153" t="str">
        <f>"7020039"</f>
        <v>7020039</v>
      </c>
      <c r="S33" s="153" t="str">
        <f>"הוצאות שיווק ופרסום EMEA"</f>
        <v>הוצאות שיווק ופרסום EMEA</v>
      </c>
      <c r="T33" s="153"/>
      <c r="U33" s="153"/>
      <c r="V33" s="153"/>
      <c r="W33" s="153"/>
      <c r="X33" s="153">
        <v>0</v>
      </c>
      <c r="Y33" s="153">
        <v>0</v>
      </c>
      <c r="Z33" s="153">
        <v>0</v>
      </c>
      <c r="AA33" s="153">
        <v>51.87</v>
      </c>
      <c r="AB33" s="153">
        <v>0</v>
      </c>
      <c r="AC33" s="153">
        <v>71.88</v>
      </c>
      <c r="AD33" s="153">
        <v>0</v>
      </c>
      <c r="AE33" s="153">
        <v>0</v>
      </c>
      <c r="AF33" s="153"/>
      <c r="AG33" s="153"/>
      <c r="AH33" s="153" t="str">
        <f>"ISR"</f>
        <v>ISR</v>
      </c>
      <c r="AI33" s="153" t="str">
        <f>"Israel"</f>
        <v>Israel</v>
      </c>
      <c r="AJ33" s="153"/>
      <c r="AK33" s="153"/>
      <c r="AL33" s="153"/>
      <c r="AM33" s="153"/>
      <c r="AN33" s="153"/>
      <c r="AO33" s="153"/>
      <c r="AP33" s="153"/>
      <c r="AQ33" s="153"/>
      <c r="AR33" s="153"/>
      <c r="AS33" s="153"/>
      <c r="AT33" s="153">
        <v>0</v>
      </c>
      <c r="AU33" s="153"/>
      <c r="AV33" s="153"/>
      <c r="AW33" s="153"/>
      <c r="AX33" s="153"/>
      <c r="AY33" s="153"/>
      <c r="AZ33" s="153"/>
      <c r="BA33" s="153"/>
      <c r="BB33" s="153"/>
      <c r="BC33" s="153"/>
      <c r="BD33" s="153"/>
      <c r="BE33" s="153"/>
      <c r="BF33" s="153"/>
      <c r="BG33" s="153"/>
      <c r="BH33" s="153"/>
      <c r="BI33" s="153"/>
      <c r="BJ33" s="153"/>
      <c r="BK33" s="153"/>
      <c r="BL33" s="153"/>
      <c r="BM33" s="153"/>
      <c r="BN33" s="153"/>
      <c r="BO33" s="153"/>
      <c r="BP33" s="153"/>
      <c r="BQ33" s="153"/>
      <c r="BR33" s="153"/>
      <c r="BS33" s="153"/>
      <c r="BT33" s="153"/>
      <c r="BU33" s="153"/>
      <c r="BV33" s="153"/>
    </row>
    <row r="34" spans="6:74">
      <c r="F34" s="3581" t="s">
        <v>4412</v>
      </c>
      <c r="G34" s="153" t="str">
        <f>"21006080"</f>
        <v>21006080</v>
      </c>
      <c r="H34" s="153"/>
      <c r="I34" s="153" t="str">
        <f>"הש"</f>
        <v>הש</v>
      </c>
      <c r="J34" s="153" t="str">
        <f>"הפרשי שער"</f>
        <v>הפרשי שער</v>
      </c>
      <c r="K34" s="153">
        <v>0</v>
      </c>
      <c r="L34" s="153">
        <v>0</v>
      </c>
      <c r="M34" s="153">
        <v>-5751187.2000000002</v>
      </c>
      <c r="N34" s="153" t="str">
        <f t="shared" si="0"/>
        <v>GBP</v>
      </c>
      <c r="O34" s="153"/>
      <c r="P34" s="153" t="s">
        <v>4412</v>
      </c>
      <c r="Q34" s="153" t="s">
        <v>4412</v>
      </c>
      <c r="R34" s="153" t="str">
        <f>"9010002"</f>
        <v>9010002</v>
      </c>
      <c r="S34" s="153" t="str">
        <f>"הפרשי שער"</f>
        <v>הפרשי שער</v>
      </c>
      <c r="T34" s="153"/>
      <c r="U34" s="153"/>
      <c r="V34" s="153"/>
      <c r="W34" s="153"/>
      <c r="X34" s="153">
        <v>-1</v>
      </c>
      <c r="Y34" s="153">
        <v>-1</v>
      </c>
      <c r="Z34" s="153">
        <v>0</v>
      </c>
      <c r="AA34" s="153">
        <v>0</v>
      </c>
      <c r="AB34" s="153">
        <v>171783.04000000001</v>
      </c>
      <c r="AC34" s="153">
        <v>0</v>
      </c>
      <c r="AD34" s="153">
        <v>0</v>
      </c>
      <c r="AE34" s="153">
        <v>0</v>
      </c>
      <c r="AF34" s="153"/>
      <c r="AG34" s="153"/>
      <c r="AH34" s="153"/>
      <c r="AI34" s="153"/>
      <c r="AJ34" s="153"/>
      <c r="AK34" s="153"/>
      <c r="AL34" s="153"/>
      <c r="AM34" s="153"/>
      <c r="AN34" s="153"/>
      <c r="AO34" s="153"/>
      <c r="AP34" s="153"/>
      <c r="AQ34" s="153"/>
      <c r="AR34" s="153"/>
      <c r="AS34" s="153"/>
      <c r="AT34" s="153">
        <v>0</v>
      </c>
      <c r="AU34" s="153"/>
      <c r="AV34" s="153"/>
      <c r="AW34" s="153"/>
      <c r="AX34" s="153"/>
      <c r="AY34" s="153"/>
      <c r="AZ34" s="153"/>
      <c r="BA34" s="153"/>
      <c r="BB34" s="153"/>
      <c r="BC34" s="153"/>
      <c r="BD34" s="153"/>
      <c r="BE34" s="153"/>
      <c r="BF34" s="153"/>
      <c r="BG34" s="153"/>
      <c r="BH34" s="153"/>
      <c r="BI34" s="153"/>
      <c r="BJ34" s="153"/>
      <c r="BK34" s="153"/>
      <c r="BL34" s="153"/>
      <c r="BM34" s="153"/>
      <c r="BN34" s="153"/>
      <c r="BO34" s="153"/>
      <c r="BP34" s="153"/>
      <c r="BQ34" s="153"/>
      <c r="BR34" s="153"/>
      <c r="BS34" s="153"/>
      <c r="BT34" s="153"/>
      <c r="BU34" s="153"/>
      <c r="BV34" s="153"/>
    </row>
    <row r="35" spans="6:74">
      <c r="F35" s="3581" t="s">
        <v>4412</v>
      </c>
      <c r="G35" s="153" t="str">
        <f>"21006708"</f>
        <v>21006708</v>
      </c>
      <c r="H35" s="153"/>
      <c r="I35" s="153" t="str">
        <f>"הש"</f>
        <v>הש</v>
      </c>
      <c r="J35" s="153" t="str">
        <f>"Intercompany invoice"</f>
        <v>Intercompany invoice</v>
      </c>
      <c r="K35" s="153">
        <v>0</v>
      </c>
      <c r="L35" s="153">
        <v>3181252.42</v>
      </c>
      <c r="M35" s="153">
        <v>-8932439.6199999992</v>
      </c>
      <c r="N35" s="153" t="str">
        <f t="shared" si="0"/>
        <v>GBP</v>
      </c>
      <c r="O35" s="153"/>
      <c r="P35" s="153" t="s">
        <v>4412</v>
      </c>
      <c r="Q35" s="153" t="s">
        <v>4412</v>
      </c>
      <c r="R35" s="153" t="str">
        <f>"5900001"</f>
        <v>5900001</v>
      </c>
      <c r="S35" s="153" t="str">
        <f>"עלות המכר"</f>
        <v>עלות המכר</v>
      </c>
      <c r="T35" s="153"/>
      <c r="U35" s="153"/>
      <c r="V35" s="153"/>
      <c r="W35" s="153"/>
      <c r="X35" s="153">
        <v>56</v>
      </c>
      <c r="Y35" s="153">
        <v>58</v>
      </c>
      <c r="Z35" s="153">
        <v>0</v>
      </c>
      <c r="AA35" s="153">
        <v>3181252.42</v>
      </c>
      <c r="AB35" s="153">
        <v>0</v>
      </c>
      <c r="AC35" s="153">
        <v>4408572</v>
      </c>
      <c r="AD35" s="153">
        <v>0</v>
      </c>
      <c r="AE35" s="153">
        <v>0</v>
      </c>
      <c r="AF35" s="153"/>
      <c r="AG35" s="153"/>
      <c r="AH35" s="153"/>
      <c r="AI35" s="153"/>
      <c r="AJ35" s="153"/>
      <c r="AK35" s="153"/>
      <c r="AL35" s="153"/>
      <c r="AM35" s="153"/>
      <c r="AN35" s="153"/>
      <c r="AO35" s="153"/>
      <c r="AP35" s="153"/>
      <c r="AQ35" s="153"/>
      <c r="AR35" s="153"/>
      <c r="AS35" s="153"/>
      <c r="AT35" s="153">
        <v>0</v>
      </c>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153"/>
      <c r="BU35" s="153"/>
      <c r="BV35" s="153"/>
    </row>
    <row r="36" spans="6:74">
      <c r="F36" s="3582">
        <v>44203</v>
      </c>
      <c r="G36" s="153" t="str">
        <f>"21006845"</f>
        <v>21006845</v>
      </c>
      <c r="H36" s="153"/>
      <c r="I36" s="153" t="str">
        <f>"פ"</f>
        <v>פ</v>
      </c>
      <c r="J36" s="153" t="str">
        <f>"מסך מחשב"</f>
        <v>מסך מחשב</v>
      </c>
      <c r="K36" s="153">
        <v>0</v>
      </c>
      <c r="L36" s="153">
        <v>122.68</v>
      </c>
      <c r="M36" s="153">
        <v>-8932562.3000000007</v>
      </c>
      <c r="N36" s="153" t="str">
        <f t="shared" ref="N36:N67" si="2">"GBP"</f>
        <v>GBP</v>
      </c>
      <c r="O36" s="153"/>
      <c r="P36" s="3515">
        <v>44203</v>
      </c>
      <c r="Q36" s="3515">
        <v>44203</v>
      </c>
      <c r="R36" s="153" t="str">
        <f>"1400001"</f>
        <v>1400001</v>
      </c>
      <c r="S36" s="153" t="str">
        <f>"מחשבים ותוכנות"</f>
        <v>מחשבים ותוכנות</v>
      </c>
      <c r="T36" s="153"/>
      <c r="U36" s="153"/>
      <c r="V36" s="153"/>
      <c r="W36" s="153"/>
      <c r="X36" s="153">
        <v>0</v>
      </c>
      <c r="Y36" s="153">
        <v>0</v>
      </c>
      <c r="Z36" s="153">
        <v>0</v>
      </c>
      <c r="AA36" s="153">
        <v>122.68</v>
      </c>
      <c r="AB36" s="153">
        <v>0</v>
      </c>
      <c r="AC36" s="153">
        <v>169.33</v>
      </c>
      <c r="AD36" s="153">
        <v>0</v>
      </c>
      <c r="AE36" s="153">
        <v>0</v>
      </c>
      <c r="AF36" s="153"/>
      <c r="AG36" s="153"/>
      <c r="AH36" s="153"/>
      <c r="AI36" s="153"/>
      <c r="AJ36" s="153"/>
      <c r="AK36" s="153"/>
      <c r="AL36" s="153"/>
      <c r="AM36" s="153"/>
      <c r="AN36" s="153"/>
      <c r="AO36" s="153"/>
      <c r="AP36" s="153"/>
      <c r="AQ36" s="153"/>
      <c r="AR36" s="153"/>
      <c r="AS36" s="153"/>
      <c r="AT36" s="153">
        <v>0</v>
      </c>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c r="BU36" s="153"/>
      <c r="BV36" s="153"/>
    </row>
    <row r="37" spans="6:74">
      <c r="F37" s="3582">
        <v>44354</v>
      </c>
      <c r="G37" s="153" t="str">
        <f>"21006064"</f>
        <v>21006064</v>
      </c>
      <c r="H37" s="153"/>
      <c r="I37" s="153" t="str">
        <f>"פ"</f>
        <v>פ</v>
      </c>
      <c r="J37" s="153" t="str">
        <f>"DOCEBO"</f>
        <v>DOCEBO</v>
      </c>
      <c r="K37" s="153">
        <v>33214.19</v>
      </c>
      <c r="L37" s="153">
        <v>0</v>
      </c>
      <c r="M37" s="153">
        <v>-8899348.1099999994</v>
      </c>
      <c r="N37" s="153" t="str">
        <f t="shared" si="2"/>
        <v>GBP</v>
      </c>
      <c r="O37" s="153"/>
      <c r="P37" s="3515">
        <v>44354</v>
      </c>
      <c r="Q37" s="3515">
        <v>44354</v>
      </c>
      <c r="R37" s="153" t="str">
        <f>"1000017"</f>
        <v>1000017</v>
      </c>
      <c r="S37" s="153" t="str">
        <f>"ברקליס יורו חדש"</f>
        <v>ברקליס יורו חדש</v>
      </c>
      <c r="T37" s="153"/>
      <c r="U37" s="153"/>
      <c r="V37" s="153"/>
      <c r="W37" s="153"/>
      <c r="X37" s="153">
        <v>0</v>
      </c>
      <c r="Y37" s="153">
        <v>0</v>
      </c>
      <c r="Z37" s="153">
        <v>33214.19</v>
      </c>
      <c r="AA37" s="153">
        <v>0</v>
      </c>
      <c r="AB37" s="153">
        <v>46023.5</v>
      </c>
      <c r="AC37" s="153">
        <v>0</v>
      </c>
      <c r="AD37" s="153">
        <v>38850</v>
      </c>
      <c r="AE37" s="153">
        <v>0</v>
      </c>
      <c r="AF37" s="153" t="str">
        <f>"EUR"</f>
        <v>EUR</v>
      </c>
      <c r="AG37" s="153"/>
      <c r="AH37" s="153"/>
      <c r="AI37" s="153"/>
      <c r="AJ37" s="153"/>
      <c r="AK37" s="153"/>
      <c r="AL37" s="153"/>
      <c r="AM37" s="153"/>
      <c r="AN37" s="153"/>
      <c r="AO37" s="153"/>
      <c r="AP37" s="153"/>
      <c r="AQ37" s="153"/>
      <c r="AR37" s="153"/>
      <c r="AS37" s="153"/>
      <c r="AT37" s="153">
        <v>0</v>
      </c>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row>
    <row r="38" spans="6:74">
      <c r="F38" s="3582">
        <v>44415</v>
      </c>
      <c r="G38" s="153" t="str">
        <f>"21006846"</f>
        <v>21006846</v>
      </c>
      <c r="H38" s="153"/>
      <c r="I38" s="153" t="str">
        <f>"פ"</f>
        <v>פ</v>
      </c>
      <c r="J38" s="153" t="str">
        <f>"תחנת עגינה"</f>
        <v>תחנת עגינה</v>
      </c>
      <c r="K38" s="153">
        <v>0</v>
      </c>
      <c r="L38" s="153">
        <v>252.92</v>
      </c>
      <c r="M38" s="153">
        <v>-8899601.0299999993</v>
      </c>
      <c r="N38" s="153" t="str">
        <f t="shared" si="2"/>
        <v>GBP</v>
      </c>
      <c r="O38" s="153"/>
      <c r="P38" s="3515">
        <v>44415</v>
      </c>
      <c r="Q38" s="3515">
        <v>44415</v>
      </c>
      <c r="R38" s="153" t="str">
        <f>"1400001"</f>
        <v>1400001</v>
      </c>
      <c r="S38" s="153" t="str">
        <f>"מחשבים ותוכנות"</f>
        <v>מחשבים ותוכנות</v>
      </c>
      <c r="T38" s="153"/>
      <c r="U38" s="153"/>
      <c r="V38" s="153"/>
      <c r="W38" s="153"/>
      <c r="X38" s="153">
        <v>0</v>
      </c>
      <c r="Y38" s="153">
        <v>0</v>
      </c>
      <c r="Z38" s="153">
        <v>0</v>
      </c>
      <c r="AA38" s="153">
        <v>252.92</v>
      </c>
      <c r="AB38" s="153">
        <v>0</v>
      </c>
      <c r="AC38" s="153">
        <v>347.99</v>
      </c>
      <c r="AD38" s="153">
        <v>0</v>
      </c>
      <c r="AE38" s="153">
        <v>0</v>
      </c>
      <c r="AF38" s="153"/>
      <c r="AG38" s="153"/>
      <c r="AH38" s="153"/>
      <c r="AI38" s="153"/>
      <c r="AJ38" s="153"/>
      <c r="AK38" s="153"/>
      <c r="AL38" s="153"/>
      <c r="AM38" s="153"/>
      <c r="AN38" s="153"/>
      <c r="AO38" s="153"/>
      <c r="AP38" s="153"/>
      <c r="AQ38" s="153"/>
      <c r="AR38" s="153"/>
      <c r="AS38" s="153"/>
      <c r="AT38" s="153">
        <v>0</v>
      </c>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153"/>
      <c r="BU38" s="153"/>
      <c r="BV38" s="153"/>
    </row>
    <row r="39" spans="6:74">
      <c r="F39" s="3581" t="s">
        <v>4425</v>
      </c>
      <c r="G39" s="153" t="str">
        <f>"21006847"</f>
        <v>21006847</v>
      </c>
      <c r="H39" s="153"/>
      <c r="I39" s="153" t="str">
        <f>"פ"</f>
        <v>פ</v>
      </c>
      <c r="J39" s="153" t="str">
        <f>"מחשב+מסך+תחנת עגינה+ציוד"</f>
        <v>מחשב+מסך+תחנת עגינה+ציוד</v>
      </c>
      <c r="K39" s="153">
        <v>0</v>
      </c>
      <c r="L39" s="153">
        <v>2148.4299999999998</v>
      </c>
      <c r="M39" s="153">
        <v>-8901749.4600000009</v>
      </c>
      <c r="N39" s="153" t="str">
        <f t="shared" si="2"/>
        <v>GBP</v>
      </c>
      <c r="O39" s="153"/>
      <c r="P39" s="153" t="s">
        <v>4425</v>
      </c>
      <c r="Q39" s="153" t="s">
        <v>4425</v>
      </c>
      <c r="R39" s="153" t="str">
        <f>"1400001"</f>
        <v>1400001</v>
      </c>
      <c r="S39" s="153" t="str">
        <f>"מחשבים ותוכנות"</f>
        <v>מחשבים ותוכנות</v>
      </c>
      <c r="T39" s="153"/>
      <c r="U39" s="153"/>
      <c r="V39" s="153"/>
      <c r="W39" s="153"/>
      <c r="X39" s="153">
        <v>0</v>
      </c>
      <c r="Y39" s="153">
        <v>0</v>
      </c>
      <c r="Z39" s="153">
        <v>0</v>
      </c>
      <c r="AA39" s="153">
        <v>2148.4299999999998</v>
      </c>
      <c r="AB39" s="153">
        <v>0</v>
      </c>
      <c r="AC39" s="153">
        <v>2979.82</v>
      </c>
      <c r="AD39" s="153">
        <v>0</v>
      </c>
      <c r="AE39" s="153">
        <v>0</v>
      </c>
      <c r="AF39" s="153"/>
      <c r="AG39" s="153"/>
      <c r="AH39" s="153"/>
      <c r="AI39" s="153"/>
      <c r="AJ39" s="153"/>
      <c r="AK39" s="153"/>
      <c r="AL39" s="153"/>
      <c r="AM39" s="153"/>
      <c r="AN39" s="153"/>
      <c r="AO39" s="153"/>
      <c r="AP39" s="153"/>
      <c r="AQ39" s="153"/>
      <c r="AR39" s="153"/>
      <c r="AS39" s="153"/>
      <c r="AT39" s="153">
        <v>0</v>
      </c>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153"/>
      <c r="BU39" s="153"/>
      <c r="BV39" s="153"/>
    </row>
    <row r="40" spans="6:74">
      <c r="F40" s="3581" t="s">
        <v>4413</v>
      </c>
      <c r="G40" s="153" t="str">
        <f>"21006848"</f>
        <v>21006848</v>
      </c>
      <c r="H40" s="153"/>
      <c r="I40" s="153" t="str">
        <f>"פ"</f>
        <v>פ</v>
      </c>
      <c r="J40" s="153" t="str">
        <f>"מחשב+ת.עגינה+ציוד"</f>
        <v>מחשב+ת.עגינה+ציוד</v>
      </c>
      <c r="K40" s="153">
        <v>0</v>
      </c>
      <c r="L40" s="153">
        <v>2316.77</v>
      </c>
      <c r="M40" s="153">
        <v>-8904066.2300000004</v>
      </c>
      <c r="N40" s="153" t="str">
        <f t="shared" si="2"/>
        <v>GBP</v>
      </c>
      <c r="O40" s="153"/>
      <c r="P40" s="153" t="s">
        <v>4413</v>
      </c>
      <c r="Q40" s="153" t="s">
        <v>4413</v>
      </c>
      <c r="R40" s="153" t="str">
        <f>"1400001"</f>
        <v>1400001</v>
      </c>
      <c r="S40" s="153" t="str">
        <f>"מחשבים ותוכנות"</f>
        <v>מחשבים ותוכנות</v>
      </c>
      <c r="T40" s="153"/>
      <c r="U40" s="153"/>
      <c r="V40" s="153"/>
      <c r="W40" s="153"/>
      <c r="X40" s="153">
        <v>0</v>
      </c>
      <c r="Y40" s="153">
        <v>0</v>
      </c>
      <c r="Z40" s="153">
        <v>0</v>
      </c>
      <c r="AA40" s="153">
        <v>2316.77</v>
      </c>
      <c r="AB40" s="153">
        <v>0</v>
      </c>
      <c r="AC40" s="153">
        <v>3174.57</v>
      </c>
      <c r="AD40" s="153">
        <v>0</v>
      </c>
      <c r="AE40" s="153">
        <v>0</v>
      </c>
      <c r="AF40" s="153"/>
      <c r="AG40" s="153"/>
      <c r="AH40" s="153"/>
      <c r="AI40" s="153"/>
      <c r="AJ40" s="153"/>
      <c r="AK40" s="153"/>
      <c r="AL40" s="153"/>
      <c r="AM40" s="153"/>
      <c r="AN40" s="153"/>
      <c r="AO40" s="153"/>
      <c r="AP40" s="153"/>
      <c r="AQ40" s="153"/>
      <c r="AR40" s="153"/>
      <c r="AS40" s="153"/>
      <c r="AT40" s="153">
        <v>0</v>
      </c>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153"/>
      <c r="BU40" s="153"/>
      <c r="BV40" s="153"/>
    </row>
    <row r="41" spans="6:74">
      <c r="F41" s="3581" t="s">
        <v>4426</v>
      </c>
      <c r="G41" s="153" t="str">
        <f>"21006235"</f>
        <v>21006235</v>
      </c>
      <c r="H41" s="153"/>
      <c r="I41" s="153" t="str">
        <f>"הת"</f>
        <v>הת</v>
      </c>
      <c r="J41" s="153" t="str">
        <f>"algosec"</f>
        <v>algosec</v>
      </c>
      <c r="K41" s="153">
        <v>3890286</v>
      </c>
      <c r="L41" s="153">
        <v>0</v>
      </c>
      <c r="M41" s="153">
        <v>-5013780.2300000004</v>
      </c>
      <c r="N41" s="153" t="str">
        <f t="shared" si="2"/>
        <v>GBP</v>
      </c>
      <c r="O41" s="153"/>
      <c r="P41" s="153" t="s">
        <v>4426</v>
      </c>
      <c r="Q41" s="153" t="s">
        <v>4426</v>
      </c>
      <c r="R41" s="153" t="str">
        <f>"1000017"</f>
        <v>1000017</v>
      </c>
      <c r="S41" s="153" t="str">
        <f>"ברקליס יורו חדש"</f>
        <v>ברקליס יורו חדש</v>
      </c>
      <c r="T41" s="153"/>
      <c r="U41" s="153"/>
      <c r="V41" s="153"/>
      <c r="W41" s="153" t="str">
        <f>"330"</f>
        <v>330</v>
      </c>
      <c r="X41" s="153">
        <v>0</v>
      </c>
      <c r="Y41" s="153">
        <v>0</v>
      </c>
      <c r="Z41" s="153">
        <v>3890286</v>
      </c>
      <c r="AA41" s="153">
        <v>0</v>
      </c>
      <c r="AB41" s="153">
        <v>5296174.42</v>
      </c>
      <c r="AC41" s="153">
        <v>0</v>
      </c>
      <c r="AD41" s="153">
        <v>4500000</v>
      </c>
      <c r="AE41" s="153">
        <v>0</v>
      </c>
      <c r="AF41" s="153" t="str">
        <f>"EUR"</f>
        <v>EUR</v>
      </c>
      <c r="AG41" s="153"/>
      <c r="AH41" s="153"/>
      <c r="AI41" s="153"/>
      <c r="AJ41" s="153"/>
      <c r="AK41" s="153"/>
      <c r="AL41" s="153"/>
      <c r="AM41" s="153"/>
      <c r="AN41" s="153"/>
      <c r="AO41" s="153"/>
      <c r="AP41" s="153"/>
      <c r="AQ41" s="153"/>
      <c r="AR41" s="153"/>
      <c r="AS41" s="153"/>
      <c r="AT41" s="153">
        <v>0</v>
      </c>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row>
    <row r="42" spans="6:74">
      <c r="F42" s="3581" t="s">
        <v>4426</v>
      </c>
      <c r="G42" s="153" t="str">
        <f>"21006238"</f>
        <v>21006238</v>
      </c>
      <c r="H42" s="153"/>
      <c r="I42" s="153" t="str">
        <f>"הת"</f>
        <v>הת</v>
      </c>
      <c r="J42" s="153" t="str">
        <f>"ALGOSEC"</f>
        <v>ALGOSEC</v>
      </c>
      <c r="K42" s="153">
        <v>1469092</v>
      </c>
      <c r="L42" s="153">
        <v>0</v>
      </c>
      <c r="M42" s="153">
        <v>-3544688.23</v>
      </c>
      <c r="N42" s="153" t="str">
        <f t="shared" si="2"/>
        <v>GBP</v>
      </c>
      <c r="O42" s="153"/>
      <c r="P42" s="153" t="s">
        <v>4426</v>
      </c>
      <c r="Q42" s="153" t="s">
        <v>4426</v>
      </c>
      <c r="R42" s="153" t="str">
        <f>"1000018"</f>
        <v>1000018</v>
      </c>
      <c r="S42" s="153" t="str">
        <f>"ברקליס דולר חדש"</f>
        <v>ברקליס דולר חדש</v>
      </c>
      <c r="T42" s="153"/>
      <c r="U42" s="153"/>
      <c r="V42" s="153"/>
      <c r="W42" s="153" t="str">
        <f>"330"</f>
        <v>330</v>
      </c>
      <c r="X42" s="153">
        <v>0</v>
      </c>
      <c r="Y42" s="153">
        <v>0</v>
      </c>
      <c r="Z42" s="153">
        <v>1469092</v>
      </c>
      <c r="AA42" s="153">
        <v>0</v>
      </c>
      <c r="AB42" s="153">
        <v>2000000</v>
      </c>
      <c r="AC42" s="153">
        <v>0</v>
      </c>
      <c r="AD42" s="153">
        <v>2000000</v>
      </c>
      <c r="AE42" s="153">
        <v>0</v>
      </c>
      <c r="AF42" s="153" t="str">
        <f>"USD"</f>
        <v>USD</v>
      </c>
      <c r="AG42" s="153"/>
      <c r="AH42" s="153"/>
      <c r="AI42" s="153"/>
      <c r="AJ42" s="153"/>
      <c r="AK42" s="153"/>
      <c r="AL42" s="153"/>
      <c r="AM42" s="153"/>
      <c r="AN42" s="153"/>
      <c r="AO42" s="153"/>
      <c r="AP42" s="153"/>
      <c r="AQ42" s="153"/>
      <c r="AR42" s="153"/>
      <c r="AS42" s="153"/>
      <c r="AT42" s="153">
        <v>0</v>
      </c>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c r="BU42" s="153"/>
      <c r="BV42" s="153"/>
    </row>
    <row r="43" spans="6:74">
      <c r="F43" s="3581" t="s">
        <v>4427</v>
      </c>
      <c r="G43" s="153" t="str">
        <f>"21006849"</f>
        <v>21006849</v>
      </c>
      <c r="H43" s="153"/>
      <c r="I43" s="153" t="str">
        <f>"פ"</f>
        <v>פ</v>
      </c>
      <c r="J43" s="153" t="str">
        <f>"מחשב+ת.עגינה+ציוד"</f>
        <v>מחשב+ת.עגינה+ציוד</v>
      </c>
      <c r="K43" s="153">
        <v>0</v>
      </c>
      <c r="L43" s="153">
        <v>2257.6799999999998</v>
      </c>
      <c r="M43" s="153">
        <v>-3546945.91</v>
      </c>
      <c r="N43" s="153" t="str">
        <f t="shared" si="2"/>
        <v>GBP</v>
      </c>
      <c r="O43" s="153"/>
      <c r="P43" s="153" t="s">
        <v>4427</v>
      </c>
      <c r="Q43" s="153" t="s">
        <v>4427</v>
      </c>
      <c r="R43" s="153" t="str">
        <f>"1400001"</f>
        <v>1400001</v>
      </c>
      <c r="S43" s="153" t="str">
        <f>"מחשבים ותוכנות"</f>
        <v>מחשבים ותוכנות</v>
      </c>
      <c r="T43" s="153"/>
      <c r="U43" s="153"/>
      <c r="V43" s="153"/>
      <c r="W43" s="153"/>
      <c r="X43" s="153">
        <v>0</v>
      </c>
      <c r="Y43" s="153">
        <v>0</v>
      </c>
      <c r="Z43" s="153">
        <v>0</v>
      </c>
      <c r="AA43" s="153">
        <v>2257.6799999999998</v>
      </c>
      <c r="AB43" s="153">
        <v>0</v>
      </c>
      <c r="AC43" s="153">
        <v>3118.08</v>
      </c>
      <c r="AD43" s="153">
        <v>0</v>
      </c>
      <c r="AE43" s="153">
        <v>0</v>
      </c>
      <c r="AF43" s="153"/>
      <c r="AG43" s="153"/>
      <c r="AH43" s="153"/>
      <c r="AI43" s="153"/>
      <c r="AJ43" s="153"/>
      <c r="AK43" s="153"/>
      <c r="AL43" s="153"/>
      <c r="AM43" s="153"/>
      <c r="AN43" s="153"/>
      <c r="AO43" s="153"/>
      <c r="AP43" s="153"/>
      <c r="AQ43" s="153"/>
      <c r="AR43" s="153"/>
      <c r="AS43" s="153"/>
      <c r="AT43" s="153">
        <v>0</v>
      </c>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c r="BU43" s="153"/>
      <c r="BV43" s="153"/>
    </row>
    <row r="44" spans="6:74">
      <c r="F44" s="3581" t="s">
        <v>4414</v>
      </c>
      <c r="G44" s="153" t="str">
        <f>"21006843"</f>
        <v>21006843</v>
      </c>
      <c r="H44" s="153"/>
      <c r="I44" s="153" t="str">
        <f>"פ"</f>
        <v>פ</v>
      </c>
      <c r="J44" s="153" t="str">
        <f>"amazon gift 7/21"</f>
        <v>amazon gift 7/21</v>
      </c>
      <c r="K44" s="153">
        <v>0</v>
      </c>
      <c r="L44" s="153">
        <v>122.46</v>
      </c>
      <c r="M44" s="153">
        <v>-3547068.37</v>
      </c>
      <c r="N44" s="153" t="str">
        <f t="shared" si="2"/>
        <v>GBP</v>
      </c>
      <c r="O44" s="153"/>
      <c r="P44" s="153" t="s">
        <v>4414</v>
      </c>
      <c r="Q44" s="153" t="s">
        <v>4414</v>
      </c>
      <c r="R44" s="153" t="str">
        <f>"7020039"</f>
        <v>7020039</v>
      </c>
      <c r="S44" s="153" t="str">
        <f>"הוצאות שיווק ופרסום EMEA"</f>
        <v>הוצאות שיווק ופרסום EMEA</v>
      </c>
      <c r="T44" s="153"/>
      <c r="U44" s="153"/>
      <c r="V44" s="153"/>
      <c r="W44" s="153"/>
      <c r="X44" s="153">
        <v>0</v>
      </c>
      <c r="Y44" s="153">
        <v>0</v>
      </c>
      <c r="Z44" s="153">
        <v>0</v>
      </c>
      <c r="AA44" s="153">
        <v>122.46</v>
      </c>
      <c r="AB44" s="153">
        <v>0</v>
      </c>
      <c r="AC44" s="153">
        <v>171.15</v>
      </c>
      <c r="AD44" s="153">
        <v>0</v>
      </c>
      <c r="AE44" s="153">
        <v>0</v>
      </c>
      <c r="AF44" s="153"/>
      <c r="AG44" s="153"/>
      <c r="AH44" s="153" t="str">
        <f>"4"</f>
        <v>4</v>
      </c>
      <c r="AI44" s="153" t="str">
        <f>"EMEA"</f>
        <v>EMEA</v>
      </c>
      <c r="AJ44" s="153"/>
      <c r="AK44" s="153"/>
      <c r="AL44" s="153"/>
      <c r="AM44" s="153"/>
      <c r="AN44" s="153"/>
      <c r="AO44" s="153"/>
      <c r="AP44" s="153"/>
      <c r="AQ44" s="153"/>
      <c r="AR44" s="153"/>
      <c r="AS44" s="153"/>
      <c r="AT44" s="153">
        <v>0</v>
      </c>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row>
    <row r="45" spans="6:74">
      <c r="F45" s="3581" t="s">
        <v>4414</v>
      </c>
      <c r="G45" s="153" t="str">
        <f>"21006844"</f>
        <v>21006844</v>
      </c>
      <c r="H45" s="153"/>
      <c r="I45" s="153" t="str">
        <f>"פ"</f>
        <v>פ</v>
      </c>
      <c r="J45" s="153" t="str">
        <f>"זיכוי בגין מחשב ו2 ת.עגי"</f>
        <v>זיכוי בגין מחשב ו2 ת.עגי</v>
      </c>
      <c r="K45" s="153">
        <v>0</v>
      </c>
      <c r="L45" s="153">
        <v>-39.47</v>
      </c>
      <c r="M45" s="153">
        <v>-3547028.9</v>
      </c>
      <c r="N45" s="153" t="str">
        <f t="shared" si="2"/>
        <v>GBP</v>
      </c>
      <c r="O45" s="153"/>
      <c r="P45" s="153" t="s">
        <v>4414</v>
      </c>
      <c r="Q45" s="153" t="s">
        <v>4414</v>
      </c>
      <c r="R45" s="153" t="str">
        <f>"1400001"</f>
        <v>1400001</v>
      </c>
      <c r="S45" s="153" t="str">
        <f>"מחשבים ותוכנות"</f>
        <v>מחשבים ותוכנות</v>
      </c>
      <c r="T45" s="153"/>
      <c r="U45" s="153"/>
      <c r="V45" s="153"/>
      <c r="W45" s="153"/>
      <c r="X45" s="153">
        <v>0</v>
      </c>
      <c r="Y45" s="153">
        <v>0</v>
      </c>
      <c r="Z45" s="153">
        <v>0</v>
      </c>
      <c r="AA45" s="153">
        <v>-39.47</v>
      </c>
      <c r="AB45" s="153">
        <v>0</v>
      </c>
      <c r="AC45" s="153">
        <v>-55.16</v>
      </c>
      <c r="AD45" s="153">
        <v>0</v>
      </c>
      <c r="AE45" s="153">
        <v>0</v>
      </c>
      <c r="AF45" s="153"/>
      <c r="AG45" s="153"/>
      <c r="AH45" s="153"/>
      <c r="AI45" s="153"/>
      <c r="AJ45" s="153"/>
      <c r="AK45" s="153"/>
      <c r="AL45" s="153"/>
      <c r="AM45" s="153"/>
      <c r="AN45" s="153"/>
      <c r="AO45" s="153"/>
      <c r="AP45" s="153"/>
      <c r="AQ45" s="153"/>
      <c r="AR45" s="153"/>
      <c r="AS45" s="153"/>
      <c r="AT45" s="153">
        <v>0</v>
      </c>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c r="BU45" s="153"/>
      <c r="BV45" s="153"/>
    </row>
    <row r="46" spans="6:74">
      <c r="F46" s="3581" t="s">
        <v>4414</v>
      </c>
      <c r="G46" s="153" t="str">
        <f>"21006863"</f>
        <v>21006863</v>
      </c>
      <c r="H46" s="153"/>
      <c r="I46" s="153" t="str">
        <f>"הש"</f>
        <v>הש</v>
      </c>
      <c r="J46" s="153" t="str">
        <f>"הפרשי שער"</f>
        <v>הפרשי שער</v>
      </c>
      <c r="K46" s="153">
        <v>0</v>
      </c>
      <c r="L46" s="153">
        <v>0</v>
      </c>
      <c r="M46" s="153">
        <v>-3547028.9</v>
      </c>
      <c r="N46" s="153" t="str">
        <f t="shared" si="2"/>
        <v>GBP</v>
      </c>
      <c r="O46" s="153"/>
      <c r="P46" s="153" t="s">
        <v>4414</v>
      </c>
      <c r="Q46" s="153" t="s">
        <v>4414</v>
      </c>
      <c r="R46" s="153" t="str">
        <f>"9010002"</f>
        <v>9010002</v>
      </c>
      <c r="S46" s="153" t="str">
        <f>"הפרשי שער"</f>
        <v>הפרשי שער</v>
      </c>
      <c r="T46" s="153"/>
      <c r="U46" s="153"/>
      <c r="V46" s="153"/>
      <c r="W46" s="153"/>
      <c r="X46" s="153">
        <v>-1</v>
      </c>
      <c r="Y46" s="153">
        <v>-1</v>
      </c>
      <c r="Z46" s="153">
        <v>0</v>
      </c>
      <c r="AA46" s="153">
        <v>0</v>
      </c>
      <c r="AB46" s="153">
        <v>88978.14</v>
      </c>
      <c r="AC46" s="153">
        <v>0</v>
      </c>
      <c r="AD46" s="153">
        <v>0</v>
      </c>
      <c r="AE46" s="153">
        <v>0</v>
      </c>
      <c r="AF46" s="153"/>
      <c r="AG46" s="153"/>
      <c r="AH46" s="153"/>
      <c r="AI46" s="153"/>
      <c r="AJ46" s="153"/>
      <c r="AK46" s="153"/>
      <c r="AL46" s="153"/>
      <c r="AM46" s="153"/>
      <c r="AN46" s="153"/>
      <c r="AO46" s="153"/>
      <c r="AP46" s="153"/>
      <c r="AQ46" s="153"/>
      <c r="AR46" s="153"/>
      <c r="AS46" s="153"/>
      <c r="AT46" s="153">
        <v>0</v>
      </c>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c r="BU46" s="153"/>
      <c r="BV46" s="153"/>
    </row>
    <row r="47" spans="6:74">
      <c r="F47" s="3582">
        <v>44263</v>
      </c>
      <c r="G47" s="153" t="str">
        <f>"21007597"</f>
        <v>21007597</v>
      </c>
      <c r="H47" s="153"/>
      <c r="I47" s="153" t="str">
        <f>"פ"</f>
        <v>פ</v>
      </c>
      <c r="J47" s="153" t="str">
        <f>"זיכוי בגין רכישת מחשב"</f>
        <v>זיכוי בגין רכישת מחשב</v>
      </c>
      <c r="K47" s="153">
        <v>0</v>
      </c>
      <c r="L47" s="153">
        <v>-1808.74</v>
      </c>
      <c r="M47" s="153">
        <v>-3545220.16</v>
      </c>
      <c r="N47" s="153" t="str">
        <f t="shared" si="2"/>
        <v>GBP</v>
      </c>
      <c r="O47" s="153"/>
      <c r="P47" s="3515">
        <v>44263</v>
      </c>
      <c r="Q47" s="3515">
        <v>44263</v>
      </c>
      <c r="R47" s="153" t="str">
        <f>"1400001"</f>
        <v>1400001</v>
      </c>
      <c r="S47" s="153" t="str">
        <f>"מחשבים ותוכנות"</f>
        <v>מחשבים ותוכנות</v>
      </c>
      <c r="T47" s="153"/>
      <c r="U47" s="153"/>
      <c r="V47" s="153"/>
      <c r="W47" s="153"/>
      <c r="X47" s="153">
        <v>0</v>
      </c>
      <c r="Y47" s="153">
        <v>0</v>
      </c>
      <c r="Z47" s="153">
        <v>0</v>
      </c>
      <c r="AA47" s="153">
        <v>-1808.74</v>
      </c>
      <c r="AB47" s="153">
        <v>0</v>
      </c>
      <c r="AC47" s="153">
        <v>-2520.6</v>
      </c>
      <c r="AD47" s="153">
        <v>0</v>
      </c>
      <c r="AE47" s="153">
        <v>0</v>
      </c>
      <c r="AF47" s="153"/>
      <c r="AG47" s="153"/>
      <c r="AH47" s="153"/>
      <c r="AI47" s="153"/>
      <c r="AJ47" s="153"/>
      <c r="AK47" s="153"/>
      <c r="AL47" s="153"/>
      <c r="AM47" s="153"/>
      <c r="AN47" s="153"/>
      <c r="AO47" s="153"/>
      <c r="AP47" s="153"/>
      <c r="AQ47" s="153"/>
      <c r="AR47" s="153"/>
      <c r="AS47" s="153"/>
      <c r="AT47" s="153">
        <v>0</v>
      </c>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c r="BQ47" s="153"/>
      <c r="BR47" s="153"/>
      <c r="BS47" s="153"/>
      <c r="BT47" s="153"/>
      <c r="BU47" s="153"/>
      <c r="BV47" s="153"/>
    </row>
    <row r="48" spans="6:74">
      <c r="F48" s="3582">
        <v>44263</v>
      </c>
      <c r="G48" s="153" t="str">
        <f>"21007598"</f>
        <v>21007598</v>
      </c>
      <c r="H48" s="153"/>
      <c r="I48" s="153" t="str">
        <f>"פ"</f>
        <v>פ</v>
      </c>
      <c r="J48" s="153" t="str">
        <f>"רכישת מחשב"</f>
        <v>רכישת מחשב</v>
      </c>
      <c r="K48" s="153">
        <v>0</v>
      </c>
      <c r="L48" s="153">
        <v>1494.96</v>
      </c>
      <c r="M48" s="153">
        <v>-3546715.12</v>
      </c>
      <c r="N48" s="153" t="str">
        <f t="shared" si="2"/>
        <v>GBP</v>
      </c>
      <c r="O48" s="153"/>
      <c r="P48" s="3515">
        <v>44263</v>
      </c>
      <c r="Q48" s="3515">
        <v>44263</v>
      </c>
      <c r="R48" s="153" t="str">
        <f>"1400001"</f>
        <v>1400001</v>
      </c>
      <c r="S48" s="153" t="str">
        <f>"מחשבים ותוכנות"</f>
        <v>מחשבים ותוכנות</v>
      </c>
      <c r="T48" s="153"/>
      <c r="U48" s="153"/>
      <c r="V48" s="153"/>
      <c r="W48" s="153"/>
      <c r="X48" s="153">
        <v>0</v>
      </c>
      <c r="Y48" s="153">
        <v>0</v>
      </c>
      <c r="Z48" s="153">
        <v>0</v>
      </c>
      <c r="AA48" s="153">
        <v>1494.96</v>
      </c>
      <c r="AB48" s="153">
        <v>0</v>
      </c>
      <c r="AC48" s="153">
        <v>2083.3200000000002</v>
      </c>
      <c r="AD48" s="153">
        <v>0</v>
      </c>
      <c r="AE48" s="153">
        <v>1706.16</v>
      </c>
      <c r="AF48" s="153" t="str">
        <f>"EUR"</f>
        <v>EUR</v>
      </c>
      <c r="AG48" s="153"/>
      <c r="AH48" s="153"/>
      <c r="AI48" s="153"/>
      <c r="AJ48" s="153"/>
      <c r="AK48" s="153"/>
      <c r="AL48" s="153"/>
      <c r="AM48" s="153"/>
      <c r="AN48" s="153"/>
      <c r="AO48" s="153"/>
      <c r="AP48" s="153"/>
      <c r="AQ48" s="153"/>
      <c r="AR48" s="153"/>
      <c r="AS48" s="153"/>
      <c r="AT48" s="153">
        <v>0</v>
      </c>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row>
    <row r="49" spans="6:74">
      <c r="F49" s="3582">
        <v>44355</v>
      </c>
      <c r="G49" s="153" t="str">
        <f>"21006751"</f>
        <v>21006751</v>
      </c>
      <c r="H49" s="153"/>
      <c r="I49" s="153" t="str">
        <f>"הת"</f>
        <v>הת</v>
      </c>
      <c r="J49" s="153" t="str">
        <f>"BRIGHTTALK"</f>
        <v>BRIGHTTALK</v>
      </c>
      <c r="K49" s="153">
        <v>3937.5</v>
      </c>
      <c r="L49" s="153">
        <v>0</v>
      </c>
      <c r="M49" s="153">
        <v>-3542777.62</v>
      </c>
      <c r="N49" s="153" t="str">
        <f t="shared" si="2"/>
        <v>GBP</v>
      </c>
      <c r="O49" s="153"/>
      <c r="P49" s="3515">
        <v>44355</v>
      </c>
      <c r="Q49" s="3515">
        <v>44355</v>
      </c>
      <c r="R49" s="153" t="str">
        <f>"1000016"</f>
        <v>1000016</v>
      </c>
      <c r="S49" s="153" t="str">
        <f>"ברקליס ל""ש חדש"</f>
        <v>ברקליס ל"ש חדש</v>
      </c>
      <c r="T49" s="153"/>
      <c r="U49" s="153"/>
      <c r="V49" s="153"/>
      <c r="W49" s="153" t="str">
        <f>"330"</f>
        <v>330</v>
      </c>
      <c r="X49" s="153">
        <v>0</v>
      </c>
      <c r="Y49" s="153">
        <v>0</v>
      </c>
      <c r="Z49" s="153">
        <v>3937.5</v>
      </c>
      <c r="AA49" s="153">
        <v>0</v>
      </c>
      <c r="AB49" s="153">
        <v>5479.09</v>
      </c>
      <c r="AC49" s="153">
        <v>0</v>
      </c>
      <c r="AD49" s="153">
        <v>0</v>
      </c>
      <c r="AE49" s="153">
        <v>0</v>
      </c>
      <c r="AF49" s="153"/>
      <c r="AG49" s="153"/>
      <c r="AH49" s="153"/>
      <c r="AI49" s="153"/>
      <c r="AJ49" s="153"/>
      <c r="AK49" s="153"/>
      <c r="AL49" s="153"/>
      <c r="AM49" s="153"/>
      <c r="AN49" s="153"/>
      <c r="AO49" s="153"/>
      <c r="AP49" s="153"/>
      <c r="AQ49" s="153"/>
      <c r="AR49" s="153"/>
      <c r="AS49" s="153"/>
      <c r="AT49" s="153">
        <v>0</v>
      </c>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c r="BU49" s="153"/>
      <c r="BV49" s="153"/>
    </row>
    <row r="50" spans="6:74">
      <c r="F50" s="3581" t="s">
        <v>4415</v>
      </c>
      <c r="G50" s="153" t="str">
        <f>"21007066"</f>
        <v>21007066</v>
      </c>
      <c r="H50" s="153"/>
      <c r="I50" s="153" t="str">
        <f>"פ"</f>
        <v>פ</v>
      </c>
      <c r="J50" s="153" t="str">
        <f>"TP Invoice – Q2/2021"</f>
        <v>TP Invoice – Q2/2021</v>
      </c>
      <c r="K50" s="153">
        <v>0</v>
      </c>
      <c r="L50" s="153">
        <v>3181252.42</v>
      </c>
      <c r="M50" s="153">
        <v>-6724030.04</v>
      </c>
      <c r="N50" s="153" t="str">
        <f t="shared" si="2"/>
        <v>GBP</v>
      </c>
      <c r="O50" s="153" t="str">
        <f>"IL218000180"</f>
        <v>IL218000180</v>
      </c>
      <c r="P50" s="153" t="s">
        <v>4415</v>
      </c>
      <c r="Q50" s="153" t="s">
        <v>4415</v>
      </c>
      <c r="R50" s="153" t="str">
        <f>"5900001"</f>
        <v>5900001</v>
      </c>
      <c r="S50" s="153" t="str">
        <f>"עלות המכר"</f>
        <v>עלות המכר</v>
      </c>
      <c r="T50" s="153"/>
      <c r="U50" s="153"/>
      <c r="V50" s="153"/>
      <c r="W50" s="153"/>
      <c r="X50" s="153">
        <v>0</v>
      </c>
      <c r="Y50" s="153">
        <v>0</v>
      </c>
      <c r="Z50" s="153">
        <v>0</v>
      </c>
      <c r="AA50" s="153">
        <v>3181252.42</v>
      </c>
      <c r="AB50" s="153">
        <v>0</v>
      </c>
      <c r="AC50" s="153">
        <v>4386894.51</v>
      </c>
      <c r="AD50" s="153">
        <v>0</v>
      </c>
      <c r="AE50" s="153">
        <v>0</v>
      </c>
      <c r="AF50" s="153"/>
      <c r="AG50" s="153"/>
      <c r="AH50" s="153"/>
      <c r="AI50" s="153"/>
      <c r="AJ50" s="153"/>
      <c r="AK50" s="153"/>
      <c r="AL50" s="153"/>
      <c r="AM50" s="153"/>
      <c r="AN50" s="153"/>
      <c r="AO50" s="153"/>
      <c r="AP50" s="153"/>
      <c r="AQ50" s="153"/>
      <c r="AR50" s="153"/>
      <c r="AS50" s="153"/>
      <c r="AT50" s="153">
        <v>0</v>
      </c>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c r="BU50" s="153"/>
      <c r="BV50" s="153"/>
    </row>
    <row r="51" spans="6:74">
      <c r="F51" s="3581" t="s">
        <v>4415</v>
      </c>
      <c r="G51" s="153" t="str">
        <f>"21007067"</f>
        <v>21007067</v>
      </c>
      <c r="H51" s="153"/>
      <c r="I51" s="153" t="str">
        <f>"הש"</f>
        <v>הש</v>
      </c>
      <c r="J51" s="153" t="str">
        <f>"ביטול ל 21006708"</f>
        <v>ביטול ל 21006708</v>
      </c>
      <c r="K51" s="153">
        <v>0</v>
      </c>
      <c r="L51" s="153">
        <v>-3181252.42</v>
      </c>
      <c r="M51" s="153">
        <v>-3542777.62</v>
      </c>
      <c r="N51" s="153" t="str">
        <f t="shared" si="2"/>
        <v>GBP</v>
      </c>
      <c r="O51" s="153"/>
      <c r="P51" s="153" t="s">
        <v>4412</v>
      </c>
      <c r="Q51" s="153" t="s">
        <v>4415</v>
      </c>
      <c r="R51" s="153" t="str">
        <f>"5900001"</f>
        <v>5900001</v>
      </c>
      <c r="S51" s="153" t="str">
        <f>"עלות המכר"</f>
        <v>עלות המכר</v>
      </c>
      <c r="T51" s="153"/>
      <c r="U51" s="153"/>
      <c r="V51" s="153"/>
      <c r="W51" s="153"/>
      <c r="X51" s="153">
        <v>56</v>
      </c>
      <c r="Y51" s="153">
        <v>58</v>
      </c>
      <c r="Z51" s="153">
        <v>0</v>
      </c>
      <c r="AA51" s="153">
        <v>-3181252.42</v>
      </c>
      <c r="AB51" s="153">
        <v>0</v>
      </c>
      <c r="AC51" s="153">
        <v>-4408572</v>
      </c>
      <c r="AD51" s="153">
        <v>0</v>
      </c>
      <c r="AE51" s="153">
        <v>0</v>
      </c>
      <c r="AF51" s="153"/>
      <c r="AG51" s="153"/>
      <c r="AH51" s="153"/>
      <c r="AI51" s="153"/>
      <c r="AJ51" s="153"/>
      <c r="AK51" s="153"/>
      <c r="AL51" s="153"/>
      <c r="AM51" s="153"/>
      <c r="AN51" s="153"/>
      <c r="AO51" s="153"/>
      <c r="AP51" s="153"/>
      <c r="AQ51" s="153"/>
      <c r="AR51" s="153"/>
      <c r="AS51" s="153"/>
      <c r="AT51" s="153">
        <v>0</v>
      </c>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row>
    <row r="52" spans="6:74">
      <c r="F52" s="3581" t="s">
        <v>4415</v>
      </c>
      <c r="G52" s="153" t="str">
        <f>"21007602"</f>
        <v>21007602</v>
      </c>
      <c r="H52" s="153"/>
      <c r="I52" s="153" t="str">
        <f>"הש"</f>
        <v>הש</v>
      </c>
      <c r="J52" s="153" t="str">
        <f>"הפרשי שער"</f>
        <v>הפרשי שער</v>
      </c>
      <c r="K52" s="153">
        <v>0</v>
      </c>
      <c r="L52" s="153">
        <v>0</v>
      </c>
      <c r="M52" s="153">
        <v>-3542777.62</v>
      </c>
      <c r="N52" s="153" t="str">
        <f t="shared" si="2"/>
        <v>GBP</v>
      </c>
      <c r="O52" s="153"/>
      <c r="P52" s="153" t="s">
        <v>4415</v>
      </c>
      <c r="Q52" s="153" t="s">
        <v>4415</v>
      </c>
      <c r="R52" s="153" t="str">
        <f>"9010002"</f>
        <v>9010002</v>
      </c>
      <c r="S52" s="153" t="str">
        <f>"הפרשי שער"</f>
        <v>הפרשי שער</v>
      </c>
      <c r="T52" s="153"/>
      <c r="U52" s="153"/>
      <c r="V52" s="153"/>
      <c r="W52" s="153"/>
      <c r="X52" s="153">
        <v>-1</v>
      </c>
      <c r="Y52" s="153">
        <v>-1</v>
      </c>
      <c r="Z52" s="153">
        <v>0</v>
      </c>
      <c r="AA52" s="153">
        <v>0</v>
      </c>
      <c r="AB52" s="153">
        <v>44257.18</v>
      </c>
      <c r="AC52" s="153">
        <v>0</v>
      </c>
      <c r="AD52" s="153">
        <v>0</v>
      </c>
      <c r="AE52" s="153">
        <v>0</v>
      </c>
      <c r="AF52" s="153"/>
      <c r="AG52" s="153"/>
      <c r="AH52" s="153"/>
      <c r="AI52" s="153"/>
      <c r="AJ52" s="153"/>
      <c r="AK52" s="153"/>
      <c r="AL52" s="153"/>
      <c r="AM52" s="153"/>
      <c r="AN52" s="153"/>
      <c r="AO52" s="153"/>
      <c r="AP52" s="153"/>
      <c r="AQ52" s="153"/>
      <c r="AR52" s="153"/>
      <c r="AS52" s="153"/>
      <c r="AT52" s="153">
        <v>0</v>
      </c>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row>
    <row r="53" spans="6:74">
      <c r="F53" s="3581" t="s">
        <v>4415</v>
      </c>
      <c r="G53" s="153" t="str">
        <f>"21007727"</f>
        <v>21007727</v>
      </c>
      <c r="H53" s="153"/>
      <c r="I53" s="153" t="str">
        <f>"הש"</f>
        <v>הש</v>
      </c>
      <c r="J53" s="153" t="str">
        <f>"הפרשי שער"</f>
        <v>הפרשי שער</v>
      </c>
      <c r="K53" s="153">
        <v>1.2</v>
      </c>
      <c r="L53" s="153">
        <v>0</v>
      </c>
      <c r="M53" s="153">
        <v>-3542776.42</v>
      </c>
      <c r="N53" s="153" t="str">
        <f t="shared" si="2"/>
        <v>GBP</v>
      </c>
      <c r="O53" s="153"/>
      <c r="P53" s="153" t="s">
        <v>4415</v>
      </c>
      <c r="Q53" s="153" t="s">
        <v>4415</v>
      </c>
      <c r="R53" s="153" t="str">
        <f>"9010002"</f>
        <v>9010002</v>
      </c>
      <c r="S53" s="153" t="str">
        <f>"הפרשי שער"</f>
        <v>הפרשי שער</v>
      </c>
      <c r="T53" s="153"/>
      <c r="U53" s="153"/>
      <c r="V53" s="153"/>
      <c r="W53" s="153"/>
      <c r="X53" s="153">
        <v>0</v>
      </c>
      <c r="Y53" s="153">
        <v>0</v>
      </c>
      <c r="Z53" s="153">
        <v>1.2</v>
      </c>
      <c r="AA53" s="153">
        <v>0</v>
      </c>
      <c r="AB53" s="153">
        <v>1.66</v>
      </c>
      <c r="AC53" s="153">
        <v>0</v>
      </c>
      <c r="AD53" s="153">
        <v>0</v>
      </c>
      <c r="AE53" s="153">
        <v>0</v>
      </c>
      <c r="AF53" s="153"/>
      <c r="AG53" s="153"/>
      <c r="AH53" s="153"/>
      <c r="AI53" s="153"/>
      <c r="AJ53" s="153"/>
      <c r="AK53" s="153"/>
      <c r="AL53" s="153"/>
      <c r="AM53" s="153"/>
      <c r="AN53" s="153"/>
      <c r="AO53" s="153"/>
      <c r="AP53" s="153"/>
      <c r="AQ53" s="153"/>
      <c r="AR53" s="153"/>
      <c r="AS53" s="153"/>
      <c r="AT53" s="153">
        <v>0</v>
      </c>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c r="BU53" s="153"/>
      <c r="BV53" s="153"/>
    </row>
    <row r="54" spans="6:74">
      <c r="F54" s="3581" t="s">
        <v>4415</v>
      </c>
      <c r="G54" s="153" t="str">
        <f>"21007744"</f>
        <v>21007744</v>
      </c>
      <c r="H54" s="153"/>
      <c r="I54" s="153" t="str">
        <f>"פ"</f>
        <v>פ</v>
      </c>
      <c r="J54" s="153" t="str">
        <f>"השמה בגרמניה מכירות"</f>
        <v>השמה בגרמניה מכירות</v>
      </c>
      <c r="K54" s="153">
        <v>0</v>
      </c>
      <c r="L54" s="153">
        <v>23374.07</v>
      </c>
      <c r="M54" s="153">
        <v>-3566150.49</v>
      </c>
      <c r="N54" s="153" t="str">
        <f t="shared" si="2"/>
        <v>GBP</v>
      </c>
      <c r="O54" s="153"/>
      <c r="P54" s="153" t="s">
        <v>4415</v>
      </c>
      <c r="Q54" s="153" t="s">
        <v>4415</v>
      </c>
      <c r="R54" s="153" t="str">
        <f>"7110030"</f>
        <v>7110030</v>
      </c>
      <c r="S54" s="153" t="str">
        <f>"השמה מכירות"</f>
        <v>השמה מכירות</v>
      </c>
      <c r="T54" s="153"/>
      <c r="U54" s="153"/>
      <c r="V54" s="153"/>
      <c r="W54" s="153"/>
      <c r="X54" s="153">
        <v>0</v>
      </c>
      <c r="Y54" s="153">
        <v>0</v>
      </c>
      <c r="Z54" s="153">
        <v>0</v>
      </c>
      <c r="AA54" s="153">
        <v>23374.07</v>
      </c>
      <c r="AB54" s="153">
        <v>0</v>
      </c>
      <c r="AC54" s="153">
        <v>32232.45</v>
      </c>
      <c r="AD54" s="153">
        <v>0</v>
      </c>
      <c r="AE54" s="153">
        <v>26250</v>
      </c>
      <c r="AF54" s="153" t="str">
        <f>"EUR"</f>
        <v>EUR</v>
      </c>
      <c r="AG54" s="153"/>
      <c r="AH54" s="153" t="str">
        <f>"GBR"</f>
        <v>GBR</v>
      </c>
      <c r="AI54" s="153" t="str">
        <f>"United Kingdom"</f>
        <v>United Kingdom</v>
      </c>
      <c r="AJ54" s="153"/>
      <c r="AK54" s="153"/>
      <c r="AL54" s="153"/>
      <c r="AM54" s="153"/>
      <c r="AN54" s="153"/>
      <c r="AO54" s="153"/>
      <c r="AP54" s="153"/>
      <c r="AQ54" s="153"/>
      <c r="AR54" s="153"/>
      <c r="AS54" s="153"/>
      <c r="AT54" s="153">
        <v>0</v>
      </c>
      <c r="AU54" s="153"/>
      <c r="AV54" s="153"/>
      <c r="AW54" s="153"/>
      <c r="AX54" s="153"/>
      <c r="AY54" s="153"/>
      <c r="AZ54" s="153"/>
      <c r="BA54" s="153"/>
      <c r="BB54" s="153"/>
      <c r="BC54" s="153"/>
      <c r="BD54" s="153"/>
      <c r="BE54" s="153"/>
      <c r="BF54" s="153"/>
      <c r="BG54" s="153"/>
      <c r="BH54" s="153"/>
      <c r="BI54" s="153"/>
      <c r="BJ54" s="153"/>
      <c r="BK54" s="153"/>
      <c r="BL54" s="153"/>
      <c r="BM54" s="153"/>
      <c r="BN54" s="153"/>
      <c r="BO54" s="153"/>
      <c r="BP54" s="153"/>
      <c r="BQ54" s="153"/>
      <c r="BR54" s="153"/>
      <c r="BS54" s="153"/>
      <c r="BT54" s="153"/>
      <c r="BU54" s="153"/>
      <c r="BV54" s="153"/>
    </row>
    <row r="55" spans="6:74">
      <c r="F55" s="3582">
        <v>44295</v>
      </c>
      <c r="G55" s="153" t="str">
        <f>"21008496"</f>
        <v>21008496</v>
      </c>
      <c r="H55" s="153"/>
      <c r="I55" s="153" t="str">
        <f>"פ"</f>
        <v>פ</v>
      </c>
      <c r="J55" s="153" t="str">
        <f>"תחנת עגינה"</f>
        <v>תחנת עגינה</v>
      </c>
      <c r="K55" s="153">
        <v>0</v>
      </c>
      <c r="L55" s="153">
        <v>375.8</v>
      </c>
      <c r="M55" s="153">
        <v>-3566526.29</v>
      </c>
      <c r="N55" s="153" t="str">
        <f t="shared" si="2"/>
        <v>GBP</v>
      </c>
      <c r="O55" s="153"/>
      <c r="P55" s="3515">
        <v>44295</v>
      </c>
      <c r="Q55" s="3515">
        <v>44295</v>
      </c>
      <c r="R55" s="153" t="str">
        <f>"1400001"</f>
        <v>1400001</v>
      </c>
      <c r="S55" s="153" t="str">
        <f>"מחשבים ותוכנות"</f>
        <v>מחשבים ותוכנות</v>
      </c>
      <c r="T55" s="153"/>
      <c r="U55" s="153"/>
      <c r="V55" s="153"/>
      <c r="W55" s="153"/>
      <c r="X55" s="153">
        <v>0</v>
      </c>
      <c r="Y55" s="153">
        <v>0</v>
      </c>
      <c r="Z55" s="153">
        <v>0</v>
      </c>
      <c r="AA55" s="153">
        <v>375.8</v>
      </c>
      <c r="AB55" s="153">
        <v>0</v>
      </c>
      <c r="AC55" s="153">
        <v>520.03</v>
      </c>
      <c r="AD55" s="153">
        <v>0</v>
      </c>
      <c r="AE55" s="153">
        <v>0</v>
      </c>
      <c r="AF55" s="153"/>
      <c r="AG55" s="153"/>
      <c r="AH55" s="153"/>
      <c r="AI55" s="153"/>
      <c r="AJ55" s="153"/>
      <c r="AK55" s="153"/>
      <c r="AL55" s="153"/>
      <c r="AM55" s="153"/>
      <c r="AN55" s="153"/>
      <c r="AO55" s="153"/>
      <c r="AP55" s="153"/>
      <c r="AQ55" s="153"/>
      <c r="AR55" s="153"/>
      <c r="AS55" s="153"/>
      <c r="AT55" s="153">
        <v>0</v>
      </c>
      <c r="AU55" s="153"/>
      <c r="AV55" s="153"/>
      <c r="AW55" s="153"/>
      <c r="AX55" s="153"/>
      <c r="AY55" s="153"/>
      <c r="AZ55" s="153"/>
      <c r="BA55" s="153"/>
      <c r="BB55" s="153"/>
      <c r="BC55" s="153"/>
      <c r="BD55" s="153"/>
      <c r="BE55" s="153"/>
      <c r="BF55" s="153"/>
      <c r="BG55" s="153"/>
      <c r="BH55" s="153"/>
      <c r="BI55" s="153"/>
      <c r="BJ55" s="153"/>
      <c r="BK55" s="153"/>
      <c r="BL55" s="153"/>
      <c r="BM55" s="153"/>
      <c r="BN55" s="153"/>
      <c r="BO55" s="153"/>
      <c r="BP55" s="153"/>
      <c r="BQ55" s="153"/>
      <c r="BR55" s="153"/>
      <c r="BS55" s="153"/>
      <c r="BT55" s="153"/>
      <c r="BU55" s="153"/>
      <c r="BV55" s="153"/>
    </row>
    <row r="56" spans="6:74">
      <c r="F56" s="3581" t="s">
        <v>4428</v>
      </c>
      <c r="G56" s="153" t="str">
        <f>"21008495"</f>
        <v>21008495</v>
      </c>
      <c r="H56" s="153"/>
      <c r="I56" s="153" t="str">
        <f>"פ"</f>
        <v>פ</v>
      </c>
      <c r="J56" s="153" t="str">
        <f>"מחשב נייד+ת.עגינה+אוזניו"</f>
        <v>מחשב נייד+ת.עגינה+אוזניו</v>
      </c>
      <c r="K56" s="153">
        <v>0</v>
      </c>
      <c r="L56" s="153">
        <v>1576.15</v>
      </c>
      <c r="M56" s="153">
        <v>-3568102.44</v>
      </c>
      <c r="N56" s="153" t="str">
        <f t="shared" si="2"/>
        <v>GBP</v>
      </c>
      <c r="O56" s="153"/>
      <c r="P56" s="153" t="s">
        <v>4428</v>
      </c>
      <c r="Q56" s="153" t="s">
        <v>4428</v>
      </c>
      <c r="R56" s="153" t="str">
        <f>"1400001"</f>
        <v>1400001</v>
      </c>
      <c r="S56" s="153" t="str">
        <f>"מחשבים ותוכנות"</f>
        <v>מחשבים ותוכנות</v>
      </c>
      <c r="T56" s="153"/>
      <c r="U56" s="153"/>
      <c r="V56" s="153"/>
      <c r="W56" s="153"/>
      <c r="X56" s="153">
        <v>0</v>
      </c>
      <c r="Y56" s="153">
        <v>0</v>
      </c>
      <c r="Z56" s="153">
        <v>0</v>
      </c>
      <c r="AA56" s="153">
        <v>1576.15</v>
      </c>
      <c r="AB56" s="153">
        <v>0</v>
      </c>
      <c r="AC56" s="153">
        <v>2160.13</v>
      </c>
      <c r="AD56" s="153">
        <v>0</v>
      </c>
      <c r="AE56" s="153">
        <v>0</v>
      </c>
      <c r="AF56" s="153"/>
      <c r="AG56" s="153"/>
      <c r="AH56" s="153"/>
      <c r="AI56" s="153"/>
      <c r="AJ56" s="153"/>
      <c r="AK56" s="153"/>
      <c r="AL56" s="153"/>
      <c r="AM56" s="153"/>
      <c r="AN56" s="153"/>
      <c r="AO56" s="153"/>
      <c r="AP56" s="153"/>
      <c r="AQ56" s="153"/>
      <c r="AR56" s="153"/>
      <c r="AS56" s="153"/>
      <c r="AT56" s="153">
        <v>0</v>
      </c>
      <c r="AU56" s="153"/>
      <c r="AV56" s="153"/>
      <c r="AW56" s="153"/>
      <c r="AX56" s="153"/>
      <c r="AY56" s="153"/>
      <c r="AZ56" s="153"/>
      <c r="BA56" s="153"/>
      <c r="BB56" s="153"/>
      <c r="BC56" s="153"/>
      <c r="BD56" s="153"/>
      <c r="BE56" s="153"/>
      <c r="BF56" s="153"/>
      <c r="BG56" s="153"/>
      <c r="BH56" s="153"/>
      <c r="BI56" s="153"/>
      <c r="BJ56" s="153"/>
      <c r="BK56" s="153"/>
      <c r="BL56" s="153"/>
      <c r="BM56" s="153"/>
      <c r="BN56" s="153"/>
      <c r="BO56" s="153"/>
      <c r="BP56" s="153"/>
      <c r="BQ56" s="153"/>
      <c r="BR56" s="153"/>
      <c r="BS56" s="153"/>
      <c r="BT56" s="153"/>
      <c r="BU56" s="153"/>
      <c r="BV56" s="153"/>
    </row>
    <row r="57" spans="6:74">
      <c r="F57" s="3581" t="s">
        <v>4416</v>
      </c>
      <c r="G57" s="153" t="str">
        <f>"21008379"</f>
        <v>21008379</v>
      </c>
      <c r="H57" s="153"/>
      <c r="I57" s="153" t="str">
        <f>"הש"</f>
        <v>הש</v>
      </c>
      <c r="J57" s="153" t="str">
        <f>"הפרשי שער"</f>
        <v>הפרשי שער</v>
      </c>
      <c r="K57" s="153">
        <v>0</v>
      </c>
      <c r="L57" s="153">
        <v>0</v>
      </c>
      <c r="M57" s="153">
        <v>-3568102.44</v>
      </c>
      <c r="N57" s="153" t="str">
        <f t="shared" si="2"/>
        <v>GBP</v>
      </c>
      <c r="O57" s="153"/>
      <c r="P57" s="153" t="s">
        <v>4416</v>
      </c>
      <c r="Q57" s="153" t="s">
        <v>4416</v>
      </c>
      <c r="R57" s="153" t="str">
        <f>"9010002"</f>
        <v>9010002</v>
      </c>
      <c r="S57" s="153" t="str">
        <f>"הפרשי שער"</f>
        <v>הפרשי שער</v>
      </c>
      <c r="T57" s="153"/>
      <c r="U57" s="153"/>
      <c r="V57" s="153"/>
      <c r="W57" s="153"/>
      <c r="X57" s="153">
        <v>-1</v>
      </c>
      <c r="Y57" s="153">
        <v>-1</v>
      </c>
      <c r="Z57" s="153">
        <v>0</v>
      </c>
      <c r="AA57" s="153">
        <v>0</v>
      </c>
      <c r="AB57" s="153">
        <v>125061.14</v>
      </c>
      <c r="AC57" s="153">
        <v>0</v>
      </c>
      <c r="AD57" s="153">
        <v>0</v>
      </c>
      <c r="AE57" s="153">
        <v>0</v>
      </c>
      <c r="AF57" s="153"/>
      <c r="AG57" s="153"/>
      <c r="AH57" s="153"/>
      <c r="AI57" s="153"/>
      <c r="AJ57" s="153"/>
      <c r="AK57" s="153"/>
      <c r="AL57" s="153"/>
      <c r="AM57" s="153"/>
      <c r="AN57" s="153"/>
      <c r="AO57" s="153"/>
      <c r="AP57" s="153"/>
      <c r="AQ57" s="153"/>
      <c r="AR57" s="153"/>
      <c r="AS57" s="153"/>
      <c r="AT57" s="153">
        <v>0</v>
      </c>
      <c r="AU57" s="153"/>
      <c r="AV57" s="153"/>
      <c r="AW57" s="153"/>
      <c r="AX57" s="153"/>
      <c r="AY57" s="153"/>
      <c r="AZ57" s="153"/>
      <c r="BA57" s="153"/>
      <c r="BB57" s="153"/>
      <c r="BC57" s="153"/>
      <c r="BD57" s="153"/>
      <c r="BE57" s="153"/>
      <c r="BF57" s="153"/>
      <c r="BG57" s="153"/>
      <c r="BH57" s="153"/>
      <c r="BI57" s="153"/>
      <c r="BJ57" s="153"/>
      <c r="BK57" s="153"/>
      <c r="BL57" s="153"/>
      <c r="BM57" s="153"/>
      <c r="BN57" s="153"/>
      <c r="BO57" s="153"/>
      <c r="BP57" s="153"/>
      <c r="BQ57" s="153"/>
      <c r="BR57" s="153"/>
      <c r="BS57" s="153"/>
      <c r="BT57" s="153"/>
      <c r="BU57" s="153"/>
      <c r="BV57" s="153"/>
    </row>
    <row r="58" spans="6:74">
      <c r="F58" s="3581" t="s">
        <v>4416</v>
      </c>
      <c r="G58" s="153" t="str">
        <f>"21008494"</f>
        <v>21008494</v>
      </c>
      <c r="H58" s="153"/>
      <c r="I58" s="153" t="str">
        <f>"פ"</f>
        <v>פ</v>
      </c>
      <c r="J58" s="153" t="str">
        <f>"Elsayed-COMP/SCREEN"</f>
        <v>Elsayed-COMP/SCREEN</v>
      </c>
      <c r="K58" s="153">
        <v>0</v>
      </c>
      <c r="L58" s="153">
        <v>1360.61</v>
      </c>
      <c r="M58" s="153">
        <v>-3569463.05</v>
      </c>
      <c r="N58" s="153" t="str">
        <f t="shared" si="2"/>
        <v>GBP</v>
      </c>
      <c r="O58" s="153" t="str">
        <f>"6257654-5997930"</f>
        <v>6257654-5997930</v>
      </c>
      <c r="P58" s="153" t="s">
        <v>4416</v>
      </c>
      <c r="Q58" s="153" t="s">
        <v>4416</v>
      </c>
      <c r="R58" s="153" t="str">
        <f>"1400001"</f>
        <v>1400001</v>
      </c>
      <c r="S58" s="153" t="str">
        <f>"מחשבים ותוכנות"</f>
        <v>מחשבים ותוכנות</v>
      </c>
      <c r="T58" s="153"/>
      <c r="U58" s="153"/>
      <c r="V58" s="153"/>
      <c r="W58" s="153"/>
      <c r="X58" s="153">
        <v>0</v>
      </c>
      <c r="Y58" s="153">
        <v>0</v>
      </c>
      <c r="Z58" s="153">
        <v>0</v>
      </c>
      <c r="AA58" s="153">
        <v>1360.61</v>
      </c>
      <c r="AB58" s="153">
        <v>0</v>
      </c>
      <c r="AC58" s="153">
        <v>1828</v>
      </c>
      <c r="AD58" s="153">
        <v>0</v>
      </c>
      <c r="AE58" s="153">
        <v>0</v>
      </c>
      <c r="AF58" s="153"/>
      <c r="AG58" s="153"/>
      <c r="AH58" s="153"/>
      <c r="AI58" s="153"/>
      <c r="AJ58" s="153"/>
      <c r="AK58" s="153"/>
      <c r="AL58" s="153"/>
      <c r="AM58" s="153"/>
      <c r="AN58" s="153"/>
      <c r="AO58" s="153"/>
      <c r="AP58" s="153"/>
      <c r="AQ58" s="153"/>
      <c r="AR58" s="153"/>
      <c r="AS58" s="153"/>
      <c r="AT58" s="153">
        <v>0</v>
      </c>
      <c r="AU58" s="153"/>
      <c r="AV58" s="153"/>
      <c r="AW58" s="153"/>
      <c r="AX58" s="153"/>
      <c r="AY58" s="153"/>
      <c r="AZ58" s="153"/>
      <c r="BA58" s="153"/>
      <c r="BB58" s="153"/>
      <c r="BC58" s="153"/>
      <c r="BD58" s="153"/>
      <c r="BE58" s="153"/>
      <c r="BF58" s="153"/>
      <c r="BG58" s="153"/>
      <c r="BH58" s="153"/>
      <c r="BI58" s="153"/>
      <c r="BJ58" s="153"/>
      <c r="BK58" s="153"/>
      <c r="BL58" s="153"/>
      <c r="BM58" s="153"/>
      <c r="BN58" s="153"/>
      <c r="BO58" s="153"/>
      <c r="BP58" s="153"/>
      <c r="BQ58" s="153"/>
      <c r="BR58" s="153"/>
      <c r="BS58" s="153"/>
      <c r="BT58" s="153"/>
      <c r="BU58" s="153"/>
      <c r="BV58" s="153"/>
    </row>
    <row r="59" spans="6:74">
      <c r="F59" s="3581" t="s">
        <v>4416</v>
      </c>
      <c r="G59" s="153" t="str">
        <f>"21008497"</f>
        <v>21008497</v>
      </c>
      <c r="H59" s="153"/>
      <c r="I59" s="153" t="str">
        <f>"פ"</f>
        <v>פ</v>
      </c>
      <c r="J59" s="153" t="str">
        <f>"amazon gift 8+9/21"</f>
        <v>amazon gift 8+9/21</v>
      </c>
      <c r="K59" s="153">
        <v>0</v>
      </c>
      <c r="L59" s="153">
        <v>408.7</v>
      </c>
      <c r="M59" s="153">
        <v>-3569871.75</v>
      </c>
      <c r="N59" s="153" t="str">
        <f t="shared" si="2"/>
        <v>GBP</v>
      </c>
      <c r="O59" s="153"/>
      <c r="P59" s="153" t="s">
        <v>4416</v>
      </c>
      <c r="Q59" s="153" t="s">
        <v>4416</v>
      </c>
      <c r="R59" s="153" t="str">
        <f>"7020039"</f>
        <v>7020039</v>
      </c>
      <c r="S59" s="153" t="str">
        <f>"הוצאות שיווק ופרסום EMEA"</f>
        <v>הוצאות שיווק ופרסום EMEA</v>
      </c>
      <c r="T59" s="153"/>
      <c r="U59" s="153"/>
      <c r="V59" s="153"/>
      <c r="W59" s="153"/>
      <c r="X59" s="153">
        <v>0</v>
      </c>
      <c r="Y59" s="153">
        <v>0</v>
      </c>
      <c r="Z59" s="153">
        <v>0</v>
      </c>
      <c r="AA59" s="153">
        <v>408.7</v>
      </c>
      <c r="AB59" s="153">
        <v>0</v>
      </c>
      <c r="AC59" s="153">
        <v>549.26</v>
      </c>
      <c r="AD59" s="153">
        <v>0</v>
      </c>
      <c r="AE59" s="153">
        <v>0</v>
      </c>
      <c r="AF59" s="153"/>
      <c r="AG59" s="153"/>
      <c r="AH59" s="153" t="str">
        <f>"ISR"</f>
        <v>ISR</v>
      </c>
      <c r="AI59" s="153" t="str">
        <f>"Israel"</f>
        <v>Israel</v>
      </c>
      <c r="AJ59" s="153"/>
      <c r="AK59" s="153"/>
      <c r="AL59" s="153"/>
      <c r="AM59" s="153"/>
      <c r="AN59" s="153"/>
      <c r="AO59" s="153"/>
      <c r="AP59" s="153"/>
      <c r="AQ59" s="153"/>
      <c r="AR59" s="153"/>
      <c r="AS59" s="153"/>
      <c r="AT59" s="153">
        <v>0</v>
      </c>
      <c r="AU59" s="153"/>
      <c r="AV59" s="153"/>
      <c r="AW59" s="153"/>
      <c r="AX59" s="153"/>
      <c r="AY59" s="153"/>
      <c r="AZ59" s="153"/>
      <c r="BA59" s="153"/>
      <c r="BB59" s="153"/>
      <c r="BC59" s="153"/>
      <c r="BD59" s="153"/>
      <c r="BE59" s="153"/>
      <c r="BF59" s="153"/>
      <c r="BG59" s="153"/>
      <c r="BH59" s="153"/>
      <c r="BI59" s="153"/>
      <c r="BJ59" s="153"/>
      <c r="BK59" s="153"/>
      <c r="BL59" s="153"/>
      <c r="BM59" s="153"/>
      <c r="BN59" s="153"/>
      <c r="BO59" s="153"/>
      <c r="BP59" s="153"/>
      <c r="BQ59" s="153"/>
      <c r="BR59" s="153"/>
      <c r="BS59" s="153"/>
      <c r="BT59" s="153"/>
      <c r="BU59" s="153"/>
      <c r="BV59" s="153"/>
    </row>
    <row r="60" spans="6:74">
      <c r="F60" s="3581" t="s">
        <v>4416</v>
      </c>
      <c r="G60" s="153" t="str">
        <f>"21008504"</f>
        <v>21008504</v>
      </c>
      <c r="H60" s="153"/>
      <c r="I60" s="153" t="str">
        <f>"הש"</f>
        <v>הש</v>
      </c>
      <c r="J60" s="153" t="str">
        <f>"הפרשי שער"</f>
        <v>הפרשי שער</v>
      </c>
      <c r="K60" s="153">
        <v>0</v>
      </c>
      <c r="L60" s="153">
        <v>0</v>
      </c>
      <c r="M60" s="153">
        <v>-3569871.75</v>
      </c>
      <c r="N60" s="153" t="str">
        <f t="shared" si="2"/>
        <v>GBP</v>
      </c>
      <c r="O60" s="153"/>
      <c r="P60" s="153" t="s">
        <v>4416</v>
      </c>
      <c r="Q60" s="153" t="s">
        <v>4416</v>
      </c>
      <c r="R60" s="153" t="str">
        <f>"9010002"</f>
        <v>9010002</v>
      </c>
      <c r="S60" s="153" t="str">
        <f>"הפרשי שער"</f>
        <v>הפרשי שער</v>
      </c>
      <c r="T60" s="153"/>
      <c r="U60" s="153"/>
      <c r="V60" s="153"/>
      <c r="W60" s="153"/>
      <c r="X60" s="153">
        <v>-1</v>
      </c>
      <c r="Y60" s="153">
        <v>-1</v>
      </c>
      <c r="Z60" s="153">
        <v>0</v>
      </c>
      <c r="AA60" s="153">
        <v>0</v>
      </c>
      <c r="AB60" s="153">
        <v>56.37</v>
      </c>
      <c r="AC60" s="153">
        <v>0</v>
      </c>
      <c r="AD60" s="153">
        <v>0</v>
      </c>
      <c r="AE60" s="153">
        <v>0</v>
      </c>
      <c r="AF60" s="153"/>
      <c r="AG60" s="153"/>
      <c r="AH60" s="153"/>
      <c r="AI60" s="153"/>
      <c r="AJ60" s="153"/>
      <c r="AK60" s="153"/>
      <c r="AL60" s="153"/>
      <c r="AM60" s="153"/>
      <c r="AN60" s="153"/>
      <c r="AO60" s="153"/>
      <c r="AP60" s="153"/>
      <c r="AQ60" s="153"/>
      <c r="AR60" s="153"/>
      <c r="AS60" s="153"/>
      <c r="AT60" s="153">
        <v>0</v>
      </c>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c r="BU60" s="153"/>
      <c r="BV60" s="153"/>
    </row>
    <row r="61" spans="6:74">
      <c r="F61" s="3581" t="s">
        <v>4416</v>
      </c>
      <c r="G61" s="153" t="str">
        <f>"21008575"</f>
        <v>21008575</v>
      </c>
      <c r="H61" s="153"/>
      <c r="I61" s="153" t="str">
        <f>"הש"</f>
        <v>הש</v>
      </c>
      <c r="J61" s="153" t="str">
        <f>"Intercompany invoice"</f>
        <v>Intercompany invoice</v>
      </c>
      <c r="K61" s="153">
        <v>0</v>
      </c>
      <c r="L61" s="153">
        <v>2265402.46</v>
      </c>
      <c r="M61" s="153">
        <v>-5835274.21</v>
      </c>
      <c r="N61" s="153" t="str">
        <f t="shared" si="2"/>
        <v>GBP</v>
      </c>
      <c r="O61" s="153"/>
      <c r="P61" s="153" t="s">
        <v>4416</v>
      </c>
      <c r="Q61" s="153" t="s">
        <v>4416</v>
      </c>
      <c r="R61" s="153" t="str">
        <f>"5900001"</f>
        <v>5900001</v>
      </c>
      <c r="S61" s="153" t="str">
        <f>"עלות המכר"</f>
        <v>עלות המכר</v>
      </c>
      <c r="T61" s="153"/>
      <c r="U61" s="153"/>
      <c r="V61" s="153"/>
      <c r="W61" s="153"/>
      <c r="X61" s="153">
        <v>57</v>
      </c>
      <c r="Y61" s="153">
        <v>59</v>
      </c>
      <c r="Z61" s="153">
        <v>0</v>
      </c>
      <c r="AA61" s="153">
        <v>2265402.46</v>
      </c>
      <c r="AB61" s="153">
        <v>0</v>
      </c>
      <c r="AC61" s="153">
        <v>3044507.27</v>
      </c>
      <c r="AD61" s="153">
        <v>0</v>
      </c>
      <c r="AE61" s="153">
        <v>0</v>
      </c>
      <c r="AF61" s="153"/>
      <c r="AG61" s="153"/>
      <c r="AH61" s="153"/>
      <c r="AI61" s="153"/>
      <c r="AJ61" s="153"/>
      <c r="AK61" s="153"/>
      <c r="AL61" s="153"/>
      <c r="AM61" s="153"/>
      <c r="AN61" s="153"/>
      <c r="AO61" s="153"/>
      <c r="AP61" s="153"/>
      <c r="AQ61" s="153"/>
      <c r="AR61" s="153"/>
      <c r="AS61" s="153"/>
      <c r="AT61" s="153">
        <v>0</v>
      </c>
      <c r="AU61" s="153"/>
      <c r="AV61" s="153"/>
      <c r="AW61" s="153"/>
      <c r="AX61" s="153"/>
      <c r="AY61" s="153"/>
      <c r="AZ61" s="153"/>
      <c r="BA61" s="153"/>
      <c r="BB61" s="153"/>
      <c r="BC61" s="153"/>
      <c r="BD61" s="153"/>
      <c r="BE61" s="153"/>
      <c r="BF61" s="153"/>
      <c r="BG61" s="153"/>
      <c r="BH61" s="153"/>
      <c r="BI61" s="153"/>
      <c r="BJ61" s="153"/>
      <c r="BK61" s="153"/>
      <c r="BL61" s="153"/>
      <c r="BM61" s="153"/>
      <c r="BN61" s="153"/>
      <c r="BO61" s="153"/>
      <c r="BP61" s="153"/>
      <c r="BQ61" s="153"/>
      <c r="BR61" s="153"/>
      <c r="BS61" s="153"/>
      <c r="BT61" s="153"/>
      <c r="BU61" s="153"/>
      <c r="BV61" s="153"/>
    </row>
    <row r="62" spans="6:74">
      <c r="F62" s="3582">
        <v>44206</v>
      </c>
      <c r="G62" s="153" t="str">
        <f>"21009273"</f>
        <v>21009273</v>
      </c>
      <c r="H62" s="153"/>
      <c r="I62" s="153" t="str">
        <f>"פ"</f>
        <v>פ</v>
      </c>
      <c r="J62" s="153" t="str">
        <f>"מחשב נייד"</f>
        <v>מחשב נייד</v>
      </c>
      <c r="K62" s="153">
        <v>0</v>
      </c>
      <c r="L62" s="153">
        <v>1696.86</v>
      </c>
      <c r="M62" s="153">
        <v>-5836971.0700000003</v>
      </c>
      <c r="N62" s="153" t="str">
        <f t="shared" si="2"/>
        <v>GBP</v>
      </c>
      <c r="O62" s="153"/>
      <c r="P62" s="153" t="s">
        <v>4429</v>
      </c>
      <c r="Q62" s="153" t="s">
        <v>4429</v>
      </c>
      <c r="R62" s="153" t="str">
        <f>"1400001"</f>
        <v>1400001</v>
      </c>
      <c r="S62" s="153" t="str">
        <f>"מחשבים ותוכנות"</f>
        <v>מחשבים ותוכנות</v>
      </c>
      <c r="T62" s="153"/>
      <c r="U62" s="153"/>
      <c r="V62" s="153"/>
      <c r="W62" s="153"/>
      <c r="X62" s="153">
        <v>0</v>
      </c>
      <c r="Y62" s="153">
        <v>0</v>
      </c>
      <c r="Z62" s="153">
        <v>0</v>
      </c>
      <c r="AA62" s="153">
        <v>1696.86</v>
      </c>
      <c r="AB62" s="153">
        <v>0</v>
      </c>
      <c r="AC62" s="153">
        <v>2317.4699999999998</v>
      </c>
      <c r="AD62" s="153">
        <v>0</v>
      </c>
      <c r="AE62" s="153">
        <v>0</v>
      </c>
      <c r="AF62" s="153"/>
      <c r="AG62" s="153"/>
      <c r="AH62" s="153"/>
      <c r="AI62" s="153"/>
      <c r="AJ62" s="153"/>
      <c r="AK62" s="153"/>
      <c r="AL62" s="153"/>
      <c r="AM62" s="153"/>
      <c r="AN62" s="153"/>
      <c r="AO62" s="153"/>
      <c r="AP62" s="153"/>
      <c r="AQ62" s="153"/>
      <c r="AR62" s="153"/>
      <c r="AS62" s="153"/>
      <c r="AT62" s="153">
        <v>0</v>
      </c>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c r="BU62" s="153"/>
      <c r="BV62" s="153"/>
    </row>
    <row r="63" spans="6:74">
      <c r="F63" s="3582">
        <v>44357</v>
      </c>
      <c r="G63" s="153" t="str">
        <f>"21008280"</f>
        <v>21008280</v>
      </c>
      <c r="H63" s="153"/>
      <c r="I63" s="153" t="str">
        <f>"הת"</f>
        <v>הת</v>
      </c>
      <c r="J63" s="153" t="str">
        <f>"ALGOSEC"</f>
        <v>ALGOSEC</v>
      </c>
      <c r="K63" s="153">
        <v>1912500</v>
      </c>
      <c r="L63" s="153">
        <v>0</v>
      </c>
      <c r="M63" s="153">
        <v>-3924471.07</v>
      </c>
      <c r="N63" s="153" t="str">
        <f t="shared" si="2"/>
        <v>GBP</v>
      </c>
      <c r="O63" s="153"/>
      <c r="P63" s="3515">
        <v>44357</v>
      </c>
      <c r="Q63" s="3515">
        <v>44357</v>
      </c>
      <c r="R63" s="153" t="str">
        <f>"1000017"</f>
        <v>1000017</v>
      </c>
      <c r="S63" s="153" t="str">
        <f>"ברקליס יורו חדש"</f>
        <v>ברקליס יורו חדש</v>
      </c>
      <c r="T63" s="153"/>
      <c r="U63" s="153"/>
      <c r="V63" s="153"/>
      <c r="W63" s="153" t="str">
        <f>"330"</f>
        <v>330</v>
      </c>
      <c r="X63" s="153">
        <v>0</v>
      </c>
      <c r="Y63" s="153">
        <v>0</v>
      </c>
      <c r="Z63" s="153">
        <v>1912500</v>
      </c>
      <c r="AA63" s="153">
        <v>0</v>
      </c>
      <c r="AB63" s="153">
        <v>2595577.81</v>
      </c>
      <c r="AC63" s="153">
        <v>0</v>
      </c>
      <c r="AD63" s="153">
        <v>2250000</v>
      </c>
      <c r="AE63" s="153">
        <v>0</v>
      </c>
      <c r="AF63" s="153" t="str">
        <f>"EUR"</f>
        <v>EUR</v>
      </c>
      <c r="AG63" s="153"/>
      <c r="AH63" s="153"/>
      <c r="AI63" s="153"/>
      <c r="AJ63" s="153"/>
      <c r="AK63" s="153"/>
      <c r="AL63" s="153"/>
      <c r="AM63" s="153"/>
      <c r="AN63" s="153"/>
      <c r="AO63" s="153"/>
      <c r="AP63" s="153"/>
      <c r="AQ63" s="153"/>
      <c r="AR63" s="153"/>
      <c r="AS63" s="153"/>
      <c r="AT63" s="153">
        <v>0</v>
      </c>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53"/>
      <c r="BT63" s="153"/>
      <c r="BU63" s="153"/>
      <c r="BV63" s="153"/>
    </row>
    <row r="64" spans="6:74">
      <c r="F64" s="3582">
        <v>44418</v>
      </c>
      <c r="G64" s="153" t="str">
        <f>"21008342"</f>
        <v>21008342</v>
      </c>
      <c r="H64" s="153"/>
      <c r="I64" s="153" t="str">
        <f>"הת"</f>
        <v>הת</v>
      </c>
      <c r="J64" s="153" t="str">
        <f>"BRIGHTTALK"</f>
        <v>BRIGHTTALK</v>
      </c>
      <c r="K64" s="153">
        <v>3720</v>
      </c>
      <c r="L64" s="153">
        <v>0</v>
      </c>
      <c r="M64" s="153">
        <v>-3920751.07</v>
      </c>
      <c r="N64" s="153" t="str">
        <f t="shared" si="2"/>
        <v>GBP</v>
      </c>
      <c r="O64" s="153"/>
      <c r="P64" s="3515">
        <v>44418</v>
      </c>
      <c r="Q64" s="3515">
        <v>44418</v>
      </c>
      <c r="R64" s="153" t="str">
        <f>"1000016"</f>
        <v>1000016</v>
      </c>
      <c r="S64" s="153" t="str">
        <f>"ברקליס ל""ש חדש"</f>
        <v>ברקליס ל"ש חדש</v>
      </c>
      <c r="T64" s="153"/>
      <c r="U64" s="153"/>
      <c r="V64" s="153"/>
      <c r="W64" s="153" t="str">
        <f>"330"</f>
        <v>330</v>
      </c>
      <c r="X64" s="153">
        <v>0</v>
      </c>
      <c r="Y64" s="153">
        <v>0</v>
      </c>
      <c r="Z64" s="153">
        <v>3720</v>
      </c>
      <c r="AA64" s="153">
        <v>0</v>
      </c>
      <c r="AB64" s="153">
        <v>5058.5600000000004</v>
      </c>
      <c r="AC64" s="153">
        <v>0</v>
      </c>
      <c r="AD64" s="153">
        <v>0</v>
      </c>
      <c r="AE64" s="153">
        <v>0</v>
      </c>
      <c r="AF64" s="153"/>
      <c r="AG64" s="153"/>
      <c r="AH64" s="153"/>
      <c r="AI64" s="153"/>
      <c r="AJ64" s="153"/>
      <c r="AK64" s="153"/>
      <c r="AL64" s="153"/>
      <c r="AM64" s="153"/>
      <c r="AN64" s="153"/>
      <c r="AO64" s="153"/>
      <c r="AP64" s="153"/>
      <c r="AQ64" s="153"/>
      <c r="AR64" s="153"/>
      <c r="AS64" s="153"/>
      <c r="AT64" s="153">
        <v>0</v>
      </c>
      <c r="AU64" s="153"/>
      <c r="AV64" s="153"/>
      <c r="AW64" s="153"/>
      <c r="AX64" s="153"/>
      <c r="AY64" s="153"/>
      <c r="AZ64" s="153"/>
      <c r="BA64" s="153"/>
      <c r="BB64" s="153"/>
      <c r="BC64" s="153"/>
      <c r="BD64" s="153"/>
      <c r="BE64" s="153"/>
      <c r="BF64" s="153"/>
      <c r="BG64" s="153"/>
      <c r="BH64" s="153"/>
      <c r="BI64" s="153"/>
      <c r="BJ64" s="153"/>
      <c r="BK64" s="153"/>
      <c r="BL64" s="153"/>
      <c r="BM64" s="153"/>
      <c r="BN64" s="153"/>
      <c r="BO64" s="153"/>
      <c r="BP64" s="153"/>
      <c r="BQ64" s="153"/>
      <c r="BR64" s="153"/>
      <c r="BS64" s="153"/>
      <c r="BT64" s="153"/>
      <c r="BU64" s="153"/>
      <c r="BV64" s="153"/>
    </row>
    <row r="65" spans="6:74">
      <c r="F65" s="3581" t="s">
        <v>4430</v>
      </c>
      <c r="G65" s="153" t="str">
        <f>"21009098"</f>
        <v>21009098</v>
      </c>
      <c r="H65" s="153"/>
      <c r="I65" s="153" t="str">
        <f>"פ"</f>
        <v>פ</v>
      </c>
      <c r="J65" s="153" t="str">
        <f>"זיכוי ת.עגינה"</f>
        <v>זיכוי ת.עגינה</v>
      </c>
      <c r="K65" s="153">
        <v>0</v>
      </c>
      <c r="L65" s="153">
        <v>-170.9</v>
      </c>
      <c r="M65" s="153">
        <v>-3920580.17</v>
      </c>
      <c r="N65" s="153" t="str">
        <f t="shared" si="2"/>
        <v>GBP</v>
      </c>
      <c r="O65" s="153"/>
      <c r="P65" s="153" t="s">
        <v>4430</v>
      </c>
      <c r="Q65" s="153" t="s">
        <v>4430</v>
      </c>
      <c r="R65" s="153" t="str">
        <f>"1400001"</f>
        <v>1400001</v>
      </c>
      <c r="S65" s="153" t="str">
        <f>"מחשבים ותוכנות"</f>
        <v>מחשבים ותוכנות</v>
      </c>
      <c r="T65" s="153"/>
      <c r="U65" s="153"/>
      <c r="V65" s="153"/>
      <c r="W65" s="153"/>
      <c r="X65" s="153">
        <v>0</v>
      </c>
      <c r="Y65" s="153">
        <v>0</v>
      </c>
      <c r="Z65" s="153">
        <v>0</v>
      </c>
      <c r="AA65" s="153">
        <v>-170.9</v>
      </c>
      <c r="AB65" s="153">
        <v>0</v>
      </c>
      <c r="AC65" s="153">
        <v>-234.44</v>
      </c>
      <c r="AD65" s="153">
        <v>0</v>
      </c>
      <c r="AE65" s="153">
        <v>0</v>
      </c>
      <c r="AF65" s="153"/>
      <c r="AG65" s="153"/>
      <c r="AH65" s="153"/>
      <c r="AI65" s="153"/>
      <c r="AJ65" s="153"/>
      <c r="AK65" s="153"/>
      <c r="AL65" s="153"/>
      <c r="AM65" s="153"/>
      <c r="AN65" s="153"/>
      <c r="AO65" s="153"/>
      <c r="AP65" s="153"/>
      <c r="AQ65" s="153"/>
      <c r="AR65" s="153"/>
      <c r="AS65" s="153"/>
      <c r="AT65" s="153">
        <v>0</v>
      </c>
      <c r="AU65" s="153"/>
      <c r="AV65" s="153"/>
      <c r="AW65" s="153"/>
      <c r="AX65" s="153"/>
      <c r="AY65" s="153"/>
      <c r="AZ65" s="153"/>
      <c r="BA65" s="153"/>
      <c r="BB65" s="153"/>
      <c r="BC65" s="153"/>
      <c r="BD65" s="153"/>
      <c r="BE65" s="153"/>
      <c r="BF65" s="153"/>
      <c r="BG65" s="153"/>
      <c r="BH65" s="153"/>
      <c r="BI65" s="153"/>
      <c r="BJ65" s="153"/>
      <c r="BK65" s="153"/>
      <c r="BL65" s="153"/>
      <c r="BM65" s="153"/>
      <c r="BN65" s="153"/>
      <c r="BO65" s="153"/>
      <c r="BP65" s="153"/>
      <c r="BQ65" s="153"/>
      <c r="BR65" s="153"/>
      <c r="BS65" s="153"/>
      <c r="BT65" s="153"/>
      <c r="BU65" s="153"/>
      <c r="BV65" s="153"/>
    </row>
    <row r="66" spans="6:74">
      <c r="F66" s="3581" t="s">
        <v>4417</v>
      </c>
      <c r="G66" s="153" t="str">
        <f>"21009099"</f>
        <v>21009099</v>
      </c>
      <c r="H66" s="153"/>
      <c r="I66" s="153" t="str">
        <f>"פ"</f>
        <v>פ</v>
      </c>
      <c r="J66" s="153" t="str">
        <f>"amazon gift 10/21"</f>
        <v>amazon gift 10/21</v>
      </c>
      <c r="K66" s="153">
        <v>0</v>
      </c>
      <c r="L66" s="153">
        <v>300.3</v>
      </c>
      <c r="M66" s="153">
        <v>-3920880.47</v>
      </c>
      <c r="N66" s="153" t="str">
        <f t="shared" si="2"/>
        <v>GBP</v>
      </c>
      <c r="O66" s="153"/>
      <c r="P66" s="153" t="s">
        <v>4417</v>
      </c>
      <c r="Q66" s="153" t="s">
        <v>4417</v>
      </c>
      <c r="R66" s="153" t="str">
        <f>"7020039"</f>
        <v>7020039</v>
      </c>
      <c r="S66" s="153" t="str">
        <f>"הוצאות שיווק ופרסום EMEA"</f>
        <v>הוצאות שיווק ופרסום EMEA</v>
      </c>
      <c r="T66" s="153"/>
      <c r="U66" s="153"/>
      <c r="V66" s="153"/>
      <c r="W66" s="153"/>
      <c r="X66" s="153">
        <v>0</v>
      </c>
      <c r="Y66" s="153">
        <v>0</v>
      </c>
      <c r="Z66" s="153">
        <v>0</v>
      </c>
      <c r="AA66" s="153">
        <v>300.3</v>
      </c>
      <c r="AB66" s="153">
        <v>0</v>
      </c>
      <c r="AC66" s="153">
        <v>414.09</v>
      </c>
      <c r="AD66" s="153">
        <v>0</v>
      </c>
      <c r="AE66" s="153">
        <v>0</v>
      </c>
      <c r="AF66" s="153"/>
      <c r="AG66" s="153"/>
      <c r="AH66" s="153" t="str">
        <f>"ISR"</f>
        <v>ISR</v>
      </c>
      <c r="AI66" s="153" t="str">
        <f>"Israel"</f>
        <v>Israel</v>
      </c>
      <c r="AJ66" s="153"/>
      <c r="AK66" s="153"/>
      <c r="AL66" s="153"/>
      <c r="AM66" s="153"/>
      <c r="AN66" s="153"/>
      <c r="AO66" s="153"/>
      <c r="AP66" s="153"/>
      <c r="AQ66" s="153"/>
      <c r="AR66" s="153"/>
      <c r="AS66" s="153"/>
      <c r="AT66" s="153">
        <v>0</v>
      </c>
      <c r="AU66" s="153"/>
      <c r="AV66" s="153"/>
      <c r="AW66" s="153"/>
      <c r="AX66" s="153"/>
      <c r="AY66" s="153"/>
      <c r="AZ66" s="153"/>
      <c r="BA66" s="153"/>
      <c r="BB66" s="153"/>
      <c r="BC66" s="153"/>
      <c r="BD66" s="153"/>
      <c r="BE66" s="153"/>
      <c r="BF66" s="153"/>
      <c r="BG66" s="153"/>
      <c r="BH66" s="153"/>
      <c r="BI66" s="153"/>
      <c r="BJ66" s="153"/>
      <c r="BK66" s="153"/>
      <c r="BL66" s="153"/>
      <c r="BM66" s="153"/>
      <c r="BN66" s="153"/>
      <c r="BO66" s="153"/>
      <c r="BP66" s="153"/>
      <c r="BQ66" s="153"/>
      <c r="BR66" s="153"/>
      <c r="BS66" s="153"/>
      <c r="BT66" s="153"/>
      <c r="BU66" s="153"/>
      <c r="BV66" s="153"/>
    </row>
    <row r="67" spans="6:74">
      <c r="F67" s="3581" t="s">
        <v>4417</v>
      </c>
      <c r="G67" s="153" t="str">
        <f>"21009130"</f>
        <v>21009130</v>
      </c>
      <c r="H67" s="153"/>
      <c r="I67" s="153" t="str">
        <f>"הש"</f>
        <v>הש</v>
      </c>
      <c r="J67" s="153" t="str">
        <f>"הפרשי שער"</f>
        <v>הפרשי שער</v>
      </c>
      <c r="K67" s="153">
        <v>0</v>
      </c>
      <c r="L67" s="153">
        <v>0</v>
      </c>
      <c r="M67" s="153">
        <v>-3920880.47</v>
      </c>
      <c r="N67" s="153" t="str">
        <f t="shared" si="2"/>
        <v>GBP</v>
      </c>
      <c r="O67" s="153"/>
      <c r="P67" s="153" t="s">
        <v>4417</v>
      </c>
      <c r="Q67" s="153" t="s">
        <v>4417</v>
      </c>
      <c r="R67" s="153" t="str">
        <f>"9010002"</f>
        <v>9010002</v>
      </c>
      <c r="S67" s="153" t="str">
        <f>"הפרשי שער"</f>
        <v>הפרשי שער</v>
      </c>
      <c r="T67" s="153"/>
      <c r="U67" s="153"/>
      <c r="V67" s="153"/>
      <c r="W67" s="153"/>
      <c r="X67" s="153">
        <v>-1</v>
      </c>
      <c r="Y67" s="153">
        <v>-1</v>
      </c>
      <c r="Z67" s="153">
        <v>0</v>
      </c>
      <c r="AA67" s="153">
        <v>0</v>
      </c>
      <c r="AB67" s="153">
        <v>0</v>
      </c>
      <c r="AC67" s="153">
        <v>162551.18</v>
      </c>
      <c r="AD67" s="153">
        <v>0</v>
      </c>
      <c r="AE67" s="153">
        <v>0</v>
      </c>
      <c r="AF67" s="153"/>
      <c r="AG67" s="153"/>
      <c r="AH67" s="153"/>
      <c r="AI67" s="153"/>
      <c r="AJ67" s="153"/>
      <c r="AK67" s="153"/>
      <c r="AL67" s="153"/>
      <c r="AM67" s="153"/>
      <c r="AN67" s="153"/>
      <c r="AO67" s="153"/>
      <c r="AP67" s="153"/>
      <c r="AQ67" s="153"/>
      <c r="AR67" s="153"/>
      <c r="AS67" s="153"/>
      <c r="AT67" s="153">
        <v>0</v>
      </c>
      <c r="AU67" s="153"/>
      <c r="AV67" s="153"/>
      <c r="AW67" s="153"/>
      <c r="AX67" s="153"/>
      <c r="AY67" s="153"/>
      <c r="AZ67" s="153"/>
      <c r="BA67" s="153"/>
      <c r="BB67" s="153"/>
      <c r="BC67" s="153"/>
      <c r="BD67" s="153"/>
      <c r="BE67" s="153"/>
      <c r="BF67" s="153"/>
      <c r="BG67" s="153"/>
      <c r="BH67" s="153"/>
      <c r="BI67" s="153"/>
      <c r="BJ67" s="153"/>
      <c r="BK67" s="153"/>
      <c r="BL67" s="153"/>
      <c r="BM67" s="153"/>
      <c r="BN67" s="153"/>
      <c r="BO67" s="153"/>
      <c r="BP67" s="153"/>
      <c r="BQ67" s="153"/>
      <c r="BR67" s="153"/>
      <c r="BS67" s="153"/>
      <c r="BT67" s="153"/>
      <c r="BU67" s="153"/>
      <c r="BV67" s="153"/>
    </row>
    <row r="68" spans="6:74">
      <c r="F68" s="3581" t="s">
        <v>4417</v>
      </c>
      <c r="G68" s="153" t="str">
        <f>"21009299"</f>
        <v>21009299</v>
      </c>
      <c r="H68" s="153"/>
      <c r="I68" s="153" t="str">
        <f>"הש"</f>
        <v>הש</v>
      </c>
      <c r="J68" s="153" t="str">
        <f>"הפרשי שער"</f>
        <v>הפרשי שער</v>
      </c>
      <c r="K68" s="153">
        <v>0</v>
      </c>
      <c r="L68" s="153">
        <v>0</v>
      </c>
      <c r="M68" s="153">
        <v>-3920880.47</v>
      </c>
      <c r="N68" s="153" t="str">
        <f t="shared" ref="N68:N75" si="3">"GBP"</f>
        <v>GBP</v>
      </c>
      <c r="O68" s="153"/>
      <c r="P68" s="153" t="s">
        <v>4417</v>
      </c>
      <c r="Q68" s="153" t="s">
        <v>4417</v>
      </c>
      <c r="R68" s="153" t="str">
        <f>"9010002"</f>
        <v>9010002</v>
      </c>
      <c r="S68" s="153" t="str">
        <f>"הפרשי שער"</f>
        <v>הפרשי שער</v>
      </c>
      <c r="T68" s="153"/>
      <c r="U68" s="153"/>
      <c r="V68" s="153"/>
      <c r="W68" s="153"/>
      <c r="X68" s="153">
        <v>-1</v>
      </c>
      <c r="Y68" s="153">
        <v>-1</v>
      </c>
      <c r="Z68" s="153">
        <v>0</v>
      </c>
      <c r="AA68" s="153">
        <v>0</v>
      </c>
      <c r="AB68" s="153">
        <v>0</v>
      </c>
      <c r="AC68" s="153">
        <v>22.35</v>
      </c>
      <c r="AD68" s="153">
        <v>0</v>
      </c>
      <c r="AE68" s="153">
        <v>0</v>
      </c>
      <c r="AF68" s="153"/>
      <c r="AG68" s="153"/>
      <c r="AH68" s="153"/>
      <c r="AI68" s="153"/>
      <c r="AJ68" s="153"/>
      <c r="AK68" s="153"/>
      <c r="AL68" s="153"/>
      <c r="AM68" s="153"/>
      <c r="AN68" s="153"/>
      <c r="AO68" s="153"/>
      <c r="AP68" s="153"/>
      <c r="AQ68" s="153"/>
      <c r="AR68" s="153"/>
      <c r="AS68" s="153"/>
      <c r="AT68" s="153">
        <v>0</v>
      </c>
      <c r="AU68" s="153"/>
      <c r="AV68" s="153"/>
      <c r="AW68" s="153"/>
      <c r="AX68" s="153"/>
      <c r="AY68" s="153"/>
      <c r="AZ68" s="153"/>
      <c r="BA68" s="153"/>
      <c r="BB68" s="153"/>
      <c r="BC68" s="153"/>
      <c r="BD68" s="153"/>
      <c r="BE68" s="153"/>
      <c r="BF68" s="153"/>
      <c r="BG68" s="153"/>
      <c r="BH68" s="153"/>
      <c r="BI68" s="153"/>
      <c r="BJ68" s="153"/>
      <c r="BK68" s="153"/>
      <c r="BL68" s="153"/>
      <c r="BM68" s="153"/>
      <c r="BN68" s="153"/>
      <c r="BO68" s="153"/>
      <c r="BP68" s="153"/>
      <c r="BQ68" s="153"/>
      <c r="BR68" s="153"/>
      <c r="BS68" s="153"/>
      <c r="BT68" s="153"/>
      <c r="BU68" s="153"/>
      <c r="BV68" s="153"/>
    </row>
    <row r="69" spans="6:74">
      <c r="F69" s="3582">
        <v>44207</v>
      </c>
      <c r="G69" s="153" t="str">
        <f>"21009302"</f>
        <v>21009302</v>
      </c>
      <c r="H69" s="153"/>
      <c r="I69" s="153" t="str">
        <f>"פ"</f>
        <v>פ</v>
      </c>
      <c r="J69" s="153" t="str">
        <f>"AMZN Event equipment"</f>
        <v>AMZN Event equipment</v>
      </c>
      <c r="K69" s="153">
        <v>0</v>
      </c>
      <c r="L69" s="153">
        <v>416.9</v>
      </c>
      <c r="M69" s="153">
        <v>-3921297.37</v>
      </c>
      <c r="N69" s="153" t="str">
        <f t="shared" si="3"/>
        <v>GBP</v>
      </c>
      <c r="O69" s="153"/>
      <c r="P69" s="3515">
        <v>44207</v>
      </c>
      <c r="Q69" s="3515">
        <v>44207</v>
      </c>
      <c r="R69" s="153" t="str">
        <f>"7020039"</f>
        <v>7020039</v>
      </c>
      <c r="S69" s="153" t="str">
        <f>"הוצאות שיווק ופרסום EMEA"</f>
        <v>הוצאות שיווק ופרסום EMEA</v>
      </c>
      <c r="T69" s="153"/>
      <c r="U69" s="153"/>
      <c r="V69" s="153"/>
      <c r="W69" s="153"/>
      <c r="X69" s="153">
        <v>0</v>
      </c>
      <c r="Y69" s="153">
        <v>0</v>
      </c>
      <c r="Z69" s="153">
        <v>0</v>
      </c>
      <c r="AA69" s="153">
        <v>416.9</v>
      </c>
      <c r="AB69" s="153">
        <v>0</v>
      </c>
      <c r="AC69" s="153">
        <v>570.24</v>
      </c>
      <c r="AD69" s="153">
        <v>0</v>
      </c>
      <c r="AE69" s="153">
        <v>0</v>
      </c>
      <c r="AF69" s="153"/>
      <c r="AG69" s="153"/>
      <c r="AH69" s="153"/>
      <c r="AI69" s="153"/>
      <c r="AJ69" s="153"/>
      <c r="AK69" s="153"/>
      <c r="AL69" s="153"/>
      <c r="AM69" s="153"/>
      <c r="AN69" s="153"/>
      <c r="AO69" s="153"/>
      <c r="AP69" s="153"/>
      <c r="AQ69" s="153"/>
      <c r="AR69" s="153"/>
      <c r="AS69" s="153"/>
      <c r="AT69" s="153">
        <v>0</v>
      </c>
      <c r="AU69" s="153"/>
      <c r="AV69" s="153"/>
      <c r="AW69" s="153"/>
      <c r="AX69" s="153"/>
      <c r="AY69" s="153"/>
      <c r="AZ69" s="153"/>
      <c r="BA69" s="153"/>
      <c r="BB69" s="153"/>
      <c r="BC69" s="153"/>
      <c r="BD69" s="153"/>
      <c r="BE69" s="153"/>
      <c r="BF69" s="153"/>
      <c r="BG69" s="153"/>
      <c r="BH69" s="153"/>
      <c r="BI69" s="153"/>
      <c r="BJ69" s="153"/>
      <c r="BK69" s="153"/>
      <c r="BL69" s="153"/>
      <c r="BM69" s="153"/>
      <c r="BN69" s="153"/>
      <c r="BO69" s="153"/>
      <c r="BP69" s="153"/>
      <c r="BQ69" s="153"/>
      <c r="BR69" s="153"/>
      <c r="BS69" s="153"/>
      <c r="BT69" s="153"/>
      <c r="BU69" s="153"/>
      <c r="BV69" s="153"/>
    </row>
    <row r="70" spans="6:74">
      <c r="F70" s="3582">
        <v>44327</v>
      </c>
      <c r="G70" s="153" t="str">
        <f>"21009068"</f>
        <v>21009068</v>
      </c>
      <c r="H70" s="153"/>
      <c r="I70" s="153" t="str">
        <f>"הת"</f>
        <v>הת</v>
      </c>
      <c r="J70" s="153" t="str">
        <f>"BRIGHTTALK"</f>
        <v>BRIGHTTALK</v>
      </c>
      <c r="K70" s="153">
        <v>3937.5</v>
      </c>
      <c r="L70" s="153">
        <v>0</v>
      </c>
      <c r="M70" s="153">
        <v>-3917359.87</v>
      </c>
      <c r="N70" s="153" t="str">
        <f t="shared" si="3"/>
        <v>GBP</v>
      </c>
      <c r="O70" s="153"/>
      <c r="P70" s="3515">
        <v>44327</v>
      </c>
      <c r="Q70" s="3515">
        <v>44327</v>
      </c>
      <c r="R70" s="153" t="str">
        <f>"1000016"</f>
        <v>1000016</v>
      </c>
      <c r="S70" s="153" t="str">
        <f>"ברקליס ל""ש חדש"</f>
        <v>ברקליס ל"ש חדש</v>
      </c>
      <c r="T70" s="153"/>
      <c r="U70" s="153"/>
      <c r="V70" s="153"/>
      <c r="W70" s="153" t="str">
        <f>"330"</f>
        <v>330</v>
      </c>
      <c r="X70" s="153">
        <v>0</v>
      </c>
      <c r="Y70" s="153">
        <v>0</v>
      </c>
      <c r="Z70" s="153">
        <v>3937.5</v>
      </c>
      <c r="AA70" s="153">
        <v>0</v>
      </c>
      <c r="AB70" s="153">
        <v>5302.37</v>
      </c>
      <c r="AC70" s="153">
        <v>0</v>
      </c>
      <c r="AD70" s="153">
        <v>0</v>
      </c>
      <c r="AE70" s="153">
        <v>0</v>
      </c>
      <c r="AF70" s="153"/>
      <c r="AG70" s="153"/>
      <c r="AH70" s="153"/>
      <c r="AI70" s="153"/>
      <c r="AJ70" s="153"/>
      <c r="AK70" s="153"/>
      <c r="AL70" s="153"/>
      <c r="AM70" s="153"/>
      <c r="AN70" s="153"/>
      <c r="AO70" s="153"/>
      <c r="AP70" s="153"/>
      <c r="AQ70" s="153"/>
      <c r="AR70" s="153"/>
      <c r="AS70" s="153"/>
      <c r="AT70" s="153">
        <v>0</v>
      </c>
      <c r="AU70" s="153"/>
      <c r="AV70" s="153"/>
      <c r="AW70" s="153"/>
      <c r="AX70" s="153"/>
      <c r="AY70" s="153"/>
      <c r="AZ70" s="153"/>
      <c r="BA70" s="153"/>
      <c r="BB70" s="153"/>
      <c r="BC70" s="153"/>
      <c r="BD70" s="153"/>
      <c r="BE70" s="153"/>
      <c r="BF70" s="153"/>
      <c r="BG70" s="153"/>
      <c r="BH70" s="153"/>
      <c r="BI70" s="153"/>
      <c r="BJ70" s="153"/>
      <c r="BK70" s="153"/>
      <c r="BL70" s="153"/>
      <c r="BM70" s="153"/>
      <c r="BN70" s="153"/>
      <c r="BO70" s="153"/>
      <c r="BP70" s="153"/>
      <c r="BQ70" s="153"/>
      <c r="BR70" s="153"/>
      <c r="BS70" s="153"/>
      <c r="BT70" s="153"/>
      <c r="BU70" s="153"/>
      <c r="BV70" s="153"/>
    </row>
    <row r="71" spans="6:74">
      <c r="F71" s="3582">
        <v>44419</v>
      </c>
      <c r="G71" s="153" t="str">
        <f>"21009070"</f>
        <v>21009070</v>
      </c>
      <c r="H71" s="153"/>
      <c r="I71" s="153" t="str">
        <f>"הת"</f>
        <v>הת</v>
      </c>
      <c r="J71" s="153" t="str">
        <f>"ALGOSEC SY"</f>
        <v>ALGOSEC SY</v>
      </c>
      <c r="K71" s="153">
        <v>700000</v>
      </c>
      <c r="L71" s="153">
        <v>0</v>
      </c>
      <c r="M71" s="153">
        <v>-3217359.87</v>
      </c>
      <c r="N71" s="153" t="str">
        <f t="shared" si="3"/>
        <v>GBP</v>
      </c>
      <c r="O71" s="153"/>
      <c r="P71" s="3515">
        <v>44419</v>
      </c>
      <c r="Q71" s="3515">
        <v>44419</v>
      </c>
      <c r="R71" s="153" t="str">
        <f>"1000016"</f>
        <v>1000016</v>
      </c>
      <c r="S71" s="153" t="str">
        <f>"ברקליס ל""ש חדש"</f>
        <v>ברקליס ל"ש חדש</v>
      </c>
      <c r="T71" s="153"/>
      <c r="U71" s="153"/>
      <c r="V71" s="153"/>
      <c r="W71" s="153" t="str">
        <f>"330"</f>
        <v>330</v>
      </c>
      <c r="X71" s="153">
        <v>0</v>
      </c>
      <c r="Y71" s="153">
        <v>0</v>
      </c>
      <c r="Z71" s="153">
        <v>700000</v>
      </c>
      <c r="AA71" s="153">
        <v>0</v>
      </c>
      <c r="AB71" s="153">
        <v>942642.72</v>
      </c>
      <c r="AC71" s="153">
        <v>0</v>
      </c>
      <c r="AD71" s="153">
        <v>0</v>
      </c>
      <c r="AE71" s="153">
        <v>0</v>
      </c>
      <c r="AF71" s="153"/>
      <c r="AG71" s="153"/>
      <c r="AH71" s="153"/>
      <c r="AI71" s="153"/>
      <c r="AJ71" s="153"/>
      <c r="AK71" s="153"/>
      <c r="AL71" s="153"/>
      <c r="AM71" s="153"/>
      <c r="AN71" s="153"/>
      <c r="AO71" s="153"/>
      <c r="AP71" s="153"/>
      <c r="AQ71" s="153"/>
      <c r="AR71" s="153"/>
      <c r="AS71" s="153"/>
      <c r="AT71" s="153">
        <v>0</v>
      </c>
      <c r="AU71" s="153"/>
      <c r="AV71" s="153"/>
      <c r="AW71" s="153"/>
      <c r="AX71" s="153"/>
      <c r="AY71" s="153"/>
      <c r="AZ71" s="153"/>
      <c r="BA71" s="153"/>
      <c r="BB71" s="153"/>
      <c r="BC71" s="153"/>
      <c r="BD71" s="153"/>
      <c r="BE71" s="153"/>
      <c r="BF71" s="153"/>
      <c r="BG71" s="153"/>
      <c r="BH71" s="153"/>
      <c r="BI71" s="153"/>
      <c r="BJ71" s="153"/>
      <c r="BK71" s="153"/>
      <c r="BL71" s="153"/>
      <c r="BM71" s="153"/>
      <c r="BN71" s="153"/>
      <c r="BO71" s="153"/>
      <c r="BP71" s="153"/>
      <c r="BQ71" s="153"/>
      <c r="BR71" s="153"/>
      <c r="BS71" s="153"/>
      <c r="BT71" s="153"/>
      <c r="BU71" s="153"/>
      <c r="BV71" s="153"/>
    </row>
    <row r="72" spans="6:74">
      <c r="F72" s="3582">
        <v>44419</v>
      </c>
      <c r="G72" s="153" t="str">
        <f>"21009076"</f>
        <v>21009076</v>
      </c>
      <c r="H72" s="153"/>
      <c r="I72" s="153" t="str">
        <f>"הת"</f>
        <v>הת</v>
      </c>
      <c r="J72" s="153" t="str">
        <f>"algosec 408771 ALGOSEC"</f>
        <v>algosec 408771 ALGOSEC</v>
      </c>
      <c r="K72" s="153">
        <v>600604.9</v>
      </c>
      <c r="L72" s="153">
        <v>0</v>
      </c>
      <c r="M72" s="153">
        <v>-2616754.9700000002</v>
      </c>
      <c r="N72" s="153" t="str">
        <f t="shared" si="3"/>
        <v>GBP</v>
      </c>
      <c r="O72" s="153"/>
      <c r="P72" s="3515">
        <v>44419</v>
      </c>
      <c r="Q72" s="3515">
        <v>44419</v>
      </c>
      <c r="R72" s="153" t="str">
        <f>"1000017"</f>
        <v>1000017</v>
      </c>
      <c r="S72" s="153" t="str">
        <f>"ברקליס יורו חדש"</f>
        <v>ברקליס יורו חדש</v>
      </c>
      <c r="T72" s="153"/>
      <c r="U72" s="153"/>
      <c r="V72" s="153"/>
      <c r="W72" s="153" t="str">
        <f>"330"</f>
        <v>330</v>
      </c>
      <c r="X72" s="153">
        <v>0</v>
      </c>
      <c r="Y72" s="153">
        <v>0</v>
      </c>
      <c r="Z72" s="153">
        <v>600604.9</v>
      </c>
      <c r="AA72" s="153">
        <v>0</v>
      </c>
      <c r="AB72" s="153">
        <v>808794.05</v>
      </c>
      <c r="AC72" s="153">
        <v>0</v>
      </c>
      <c r="AD72" s="153">
        <v>700000</v>
      </c>
      <c r="AE72" s="153">
        <v>0</v>
      </c>
      <c r="AF72" s="153" t="str">
        <f>"EUR"</f>
        <v>EUR</v>
      </c>
      <c r="AG72" s="153"/>
      <c r="AH72" s="153"/>
      <c r="AI72" s="153"/>
      <c r="AJ72" s="153"/>
      <c r="AK72" s="153"/>
      <c r="AL72" s="153"/>
      <c r="AM72" s="153"/>
      <c r="AN72" s="153"/>
      <c r="AO72" s="153"/>
      <c r="AP72" s="153"/>
      <c r="AQ72" s="153"/>
      <c r="AR72" s="153"/>
      <c r="AS72" s="153"/>
      <c r="AT72" s="153">
        <v>0</v>
      </c>
      <c r="AU72" s="153"/>
      <c r="AV72" s="153"/>
      <c r="AW72" s="153"/>
      <c r="AX72" s="153"/>
      <c r="AY72" s="153"/>
      <c r="AZ72" s="153"/>
      <c r="BA72" s="153"/>
      <c r="BB72" s="153"/>
      <c r="BC72" s="153"/>
      <c r="BD72" s="153"/>
      <c r="BE72" s="153"/>
      <c r="BF72" s="153"/>
      <c r="BG72" s="153"/>
      <c r="BH72" s="153"/>
      <c r="BI72" s="153"/>
      <c r="BJ72" s="153"/>
      <c r="BK72" s="153"/>
      <c r="BL72" s="153"/>
      <c r="BM72" s="153"/>
      <c r="BN72" s="153"/>
      <c r="BO72" s="153"/>
      <c r="BP72" s="153"/>
      <c r="BQ72" s="153"/>
      <c r="BR72" s="153"/>
      <c r="BS72" s="153"/>
      <c r="BT72" s="153"/>
      <c r="BU72" s="153"/>
      <c r="BV72" s="153"/>
    </row>
    <row r="73" spans="6:74">
      <c r="F73" s="3582">
        <v>44419</v>
      </c>
      <c r="G73" s="153" t="str">
        <f>"21009083"</f>
        <v>21009083</v>
      </c>
      <c r="H73" s="153"/>
      <c r="I73" s="153" t="str">
        <f>"הת"</f>
        <v>הת</v>
      </c>
      <c r="J73" s="153" t="str">
        <f>"ALGOSEC"</f>
        <v>ALGOSEC</v>
      </c>
      <c r="K73" s="153">
        <v>742593</v>
      </c>
      <c r="L73" s="153">
        <v>0</v>
      </c>
      <c r="M73" s="153">
        <v>-1874161.97</v>
      </c>
      <c r="N73" s="153" t="str">
        <f t="shared" si="3"/>
        <v>GBP</v>
      </c>
      <c r="O73" s="153"/>
      <c r="P73" s="3515">
        <v>44419</v>
      </c>
      <c r="Q73" s="3515">
        <v>44419</v>
      </c>
      <c r="R73" s="153" t="str">
        <f>"1000018"</f>
        <v>1000018</v>
      </c>
      <c r="S73" s="153" t="str">
        <f>"ברקליס דולר חדש"</f>
        <v>ברקליס דולר חדש</v>
      </c>
      <c r="T73" s="153"/>
      <c r="U73" s="153"/>
      <c r="V73" s="153"/>
      <c r="W73" s="153" t="str">
        <f>"330"</f>
        <v>330</v>
      </c>
      <c r="X73" s="153">
        <v>0</v>
      </c>
      <c r="Y73" s="153">
        <v>0</v>
      </c>
      <c r="Z73" s="153">
        <v>742593</v>
      </c>
      <c r="AA73" s="153">
        <v>0</v>
      </c>
      <c r="AB73" s="153">
        <v>1000000</v>
      </c>
      <c r="AC73" s="153">
        <v>0</v>
      </c>
      <c r="AD73" s="153">
        <v>1000000</v>
      </c>
      <c r="AE73" s="153">
        <v>0</v>
      </c>
      <c r="AF73" s="153" t="str">
        <f>"USD"</f>
        <v>USD</v>
      </c>
      <c r="AG73" s="153"/>
      <c r="AH73" s="153"/>
      <c r="AI73" s="153"/>
      <c r="AJ73" s="153"/>
      <c r="AK73" s="153"/>
      <c r="AL73" s="153"/>
      <c r="AM73" s="153"/>
      <c r="AN73" s="153"/>
      <c r="AO73" s="153"/>
      <c r="AP73" s="153"/>
      <c r="AQ73" s="153"/>
      <c r="AR73" s="153"/>
      <c r="AS73" s="153"/>
      <c r="AT73" s="153">
        <v>0</v>
      </c>
      <c r="AU73" s="153"/>
      <c r="AV73" s="153"/>
      <c r="AW73" s="153"/>
      <c r="AX73" s="153"/>
      <c r="AY73" s="153"/>
      <c r="AZ73" s="153"/>
      <c r="BA73" s="153"/>
      <c r="BB73" s="153"/>
      <c r="BC73" s="153"/>
      <c r="BD73" s="153"/>
      <c r="BE73" s="153"/>
      <c r="BF73" s="153"/>
      <c r="BG73" s="153"/>
      <c r="BH73" s="153"/>
      <c r="BI73" s="153"/>
      <c r="BJ73" s="153"/>
      <c r="BK73" s="153"/>
      <c r="BL73" s="153"/>
      <c r="BM73" s="153"/>
      <c r="BN73" s="153"/>
      <c r="BO73" s="153"/>
      <c r="BP73" s="153"/>
      <c r="BQ73" s="153"/>
      <c r="BR73" s="153"/>
      <c r="BS73" s="153"/>
      <c r="BT73" s="153"/>
      <c r="BU73" s="153"/>
      <c r="BV73" s="153"/>
    </row>
    <row r="74" spans="6:74">
      <c r="F74" s="3581" t="s">
        <v>4418</v>
      </c>
      <c r="G74" s="153" t="str">
        <f>"21009362"</f>
        <v>21009362</v>
      </c>
      <c r="H74" s="153" t="str">
        <f>"IL218000252"</f>
        <v>IL218000252</v>
      </c>
      <c r="I74" s="153" t="str">
        <f>"פ"</f>
        <v>פ</v>
      </c>
      <c r="J74" s="153" t="str">
        <f>"TP Invoice – Q3/2021"</f>
        <v>TP Invoice – Q3/2021</v>
      </c>
      <c r="K74" s="153">
        <v>0</v>
      </c>
      <c r="L74" s="153">
        <v>2265402.46</v>
      </c>
      <c r="M74" s="153">
        <v>-4139564.43</v>
      </c>
      <c r="N74" s="153" t="str">
        <f t="shared" si="3"/>
        <v>GBP</v>
      </c>
      <c r="O74" s="153" t="str">
        <f>"IL218000252"</f>
        <v>IL218000252</v>
      </c>
      <c r="P74" s="153" t="s">
        <v>4418</v>
      </c>
      <c r="Q74" s="153" t="s">
        <v>4418</v>
      </c>
      <c r="R74" s="153" t="str">
        <f>"5900001"</f>
        <v>5900001</v>
      </c>
      <c r="S74" s="153" t="str">
        <f>"עלות המכר"</f>
        <v>עלות המכר</v>
      </c>
      <c r="T74" s="153"/>
      <c r="U74" s="153"/>
      <c r="V74" s="153"/>
      <c r="W74" s="153"/>
      <c r="X74" s="153">
        <v>0</v>
      </c>
      <c r="Y74" s="153">
        <v>0</v>
      </c>
      <c r="Z74" s="153">
        <v>0</v>
      </c>
      <c r="AA74" s="153">
        <v>2265402.46</v>
      </c>
      <c r="AB74" s="153">
        <v>0</v>
      </c>
      <c r="AC74" s="153">
        <v>3023239.5</v>
      </c>
      <c r="AD74" s="153">
        <v>0</v>
      </c>
      <c r="AE74" s="153">
        <v>0</v>
      </c>
      <c r="AF74" s="153"/>
      <c r="AG74" s="153"/>
      <c r="AH74" s="153"/>
      <c r="AI74" s="153"/>
      <c r="AJ74" s="153"/>
      <c r="AK74" s="153"/>
      <c r="AL74" s="153"/>
      <c r="AM74" s="153"/>
      <c r="AN74" s="153"/>
      <c r="AO74" s="153"/>
      <c r="AP74" s="153"/>
      <c r="AQ74" s="153"/>
      <c r="AR74" s="153"/>
      <c r="AS74" s="153"/>
      <c r="AT74" s="153">
        <v>0</v>
      </c>
      <c r="AU74" s="153"/>
      <c r="AV74" s="153"/>
      <c r="AW74" s="153"/>
      <c r="AX74" s="153"/>
      <c r="AY74" s="153"/>
      <c r="AZ74" s="153"/>
      <c r="BA74" s="153"/>
      <c r="BB74" s="153"/>
      <c r="BC74" s="153"/>
      <c r="BD74" s="153"/>
      <c r="BE74" s="153"/>
      <c r="BF74" s="153"/>
      <c r="BG74" s="153"/>
      <c r="BH74" s="153"/>
      <c r="BI74" s="153"/>
      <c r="BJ74" s="153"/>
      <c r="BK74" s="153"/>
      <c r="BL74" s="153"/>
      <c r="BM74" s="153"/>
      <c r="BN74" s="153"/>
      <c r="BO74" s="153"/>
      <c r="BP74" s="153"/>
      <c r="BQ74" s="153"/>
      <c r="BR74" s="153"/>
      <c r="BS74" s="153"/>
      <c r="BT74" s="153"/>
      <c r="BU74" s="153"/>
      <c r="BV74" s="153"/>
    </row>
    <row r="75" spans="6:74">
      <c r="F75" s="3581" t="s">
        <v>4418</v>
      </c>
      <c r="G75" s="153" t="str">
        <f>"21009363"</f>
        <v>21009363</v>
      </c>
      <c r="H75" s="153"/>
      <c r="I75" s="153" t="str">
        <f>"הש"</f>
        <v>הש</v>
      </c>
      <c r="J75" s="153" t="str">
        <f>"ביטול ל 21008575"</f>
        <v>ביטול ל 21008575</v>
      </c>
      <c r="K75" s="153">
        <v>0</v>
      </c>
      <c r="L75" s="153">
        <v>-2265402.46</v>
      </c>
      <c r="M75" s="153">
        <v>-1874161.97</v>
      </c>
      <c r="N75" s="153" t="str">
        <f t="shared" si="3"/>
        <v>GBP</v>
      </c>
      <c r="O75" s="153"/>
      <c r="P75" s="153" t="s">
        <v>4416</v>
      </c>
      <c r="Q75" s="153" t="s">
        <v>4418</v>
      </c>
      <c r="R75" s="153" t="str">
        <f>"5900001"</f>
        <v>5900001</v>
      </c>
      <c r="S75" s="153" t="str">
        <f>"עלות המכר"</f>
        <v>עלות המכר</v>
      </c>
      <c r="T75" s="153"/>
      <c r="U75" s="153"/>
      <c r="V75" s="153"/>
      <c r="W75" s="153"/>
      <c r="X75" s="153">
        <v>57</v>
      </c>
      <c r="Y75" s="153">
        <v>59</v>
      </c>
      <c r="Z75" s="153">
        <v>0</v>
      </c>
      <c r="AA75" s="153">
        <v>-2265402.46</v>
      </c>
      <c r="AB75" s="153">
        <v>0</v>
      </c>
      <c r="AC75" s="153">
        <v>-3044507.27</v>
      </c>
      <c r="AD75" s="153">
        <v>0</v>
      </c>
      <c r="AE75" s="153">
        <v>0</v>
      </c>
      <c r="AF75" s="153"/>
      <c r="AG75" s="153"/>
      <c r="AH75" s="153"/>
      <c r="AI75" s="153"/>
      <c r="AJ75" s="153"/>
      <c r="AK75" s="153"/>
      <c r="AL75" s="153"/>
      <c r="AM75" s="153"/>
      <c r="AN75" s="153"/>
      <c r="AO75" s="153"/>
      <c r="AP75" s="153"/>
      <c r="AQ75" s="153"/>
      <c r="AR75" s="153"/>
      <c r="AS75" s="153"/>
      <c r="AT75" s="153">
        <v>0</v>
      </c>
      <c r="AU75" s="153"/>
      <c r="AV75" s="153"/>
      <c r="AW75" s="153"/>
      <c r="AX75" s="153"/>
      <c r="AY75" s="153"/>
      <c r="AZ75" s="153"/>
      <c r="BA75" s="153"/>
      <c r="BB75" s="153"/>
      <c r="BC75" s="153"/>
      <c r="BD75" s="153"/>
      <c r="BE75" s="153"/>
      <c r="BF75" s="153"/>
      <c r="BG75" s="153"/>
      <c r="BH75" s="153"/>
      <c r="BI75" s="153"/>
      <c r="BJ75" s="153"/>
      <c r="BK75" s="153"/>
      <c r="BL75" s="153"/>
      <c r="BM75" s="153"/>
      <c r="BN75" s="153"/>
      <c r="BO75" s="153"/>
      <c r="BP75" s="153"/>
      <c r="BQ75" s="153"/>
      <c r="BR75" s="153"/>
      <c r="BS75" s="153"/>
      <c r="BT75" s="153"/>
      <c r="BU75" s="153"/>
      <c r="BV75" s="15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1C8C2-3278-45CE-8420-20690B561F3F}">
  <sheetPr codeName="Sheet16">
    <tabColor rgb="FFFF66CC"/>
  </sheetPr>
  <dimension ref="B1:S36"/>
  <sheetViews>
    <sheetView topLeftCell="A7" zoomScale="115" zoomScaleNormal="115" workbookViewId="0">
      <selection activeCell="G41" sqref="G41"/>
    </sheetView>
  </sheetViews>
  <sheetFormatPr defaultColWidth="8.83203125" defaultRowHeight="12.75"/>
  <cols>
    <col min="1" max="1" width="8.83203125" style="32"/>
    <col min="2" max="2" width="31.5" style="32" customWidth="1"/>
    <col min="3" max="3" width="16" style="32" customWidth="1"/>
    <col min="4" max="4" width="13.83203125" style="32" customWidth="1"/>
    <col min="5" max="5" width="18.5" style="32" customWidth="1"/>
    <col min="6" max="6" width="9.1640625" style="32" bestFit="1" customWidth="1"/>
    <col min="7" max="7" width="13.33203125" style="32" bestFit="1" customWidth="1"/>
    <col min="8" max="8" width="8" style="32" bestFit="1" customWidth="1"/>
    <col min="9" max="16384" width="8.83203125" style="32"/>
  </cols>
  <sheetData>
    <row r="1" spans="2:19">
      <c r="B1" s="2297"/>
    </row>
    <row r="2" spans="2:19" ht="13.5" thickBot="1">
      <c r="B2" s="2297"/>
    </row>
    <row r="3" spans="2:19">
      <c r="B3" s="2298" t="s">
        <v>2456</v>
      </c>
      <c r="C3" s="637" t="s">
        <v>400</v>
      </c>
      <c r="R3" s="1464" t="s">
        <v>2448</v>
      </c>
    </row>
    <row r="4" spans="2:19" ht="13.5" thickBot="1">
      <c r="B4" s="2297"/>
      <c r="R4" s="1465">
        <v>0.19</v>
      </c>
    </row>
    <row r="5" spans="2:19">
      <c r="B5" s="32" t="s">
        <v>3833</v>
      </c>
      <c r="C5" s="32">
        <f>'FS EU'!D63</f>
        <v>16652.340000000258</v>
      </c>
      <c r="R5" s="45" t="s">
        <v>2777</v>
      </c>
      <c r="S5" s="33" t="s">
        <v>2712</v>
      </c>
    </row>
    <row r="6" spans="2:19">
      <c r="R6" s="45"/>
      <c r="S6" s="33"/>
    </row>
    <row r="7" spans="2:19">
      <c r="B7" s="961" t="s">
        <v>2772</v>
      </c>
    </row>
    <row r="8" spans="2:19">
      <c r="B8" s="961"/>
    </row>
    <row r="9" spans="2:19">
      <c r="B9" s="2196">
        <v>7110066</v>
      </c>
      <c r="C9" s="32">
        <f>VLOOKUP(B9,'מאזן בוחן EUROPE'!$C:$K,8,0)</f>
        <v>67487.28</v>
      </c>
    </row>
    <row r="10" spans="2:19">
      <c r="B10" s="2196">
        <v>7110055</v>
      </c>
      <c r="C10" s="32">
        <f>VLOOKUP(B10,'מאזן בוחן EUROPE'!$C:$K,8,0)</f>
        <v>76593.649999999994</v>
      </c>
      <c r="J10" s="32" t="s">
        <v>169</v>
      </c>
    </row>
    <row r="11" spans="2:19">
      <c r="B11" s="2196">
        <v>7110044</v>
      </c>
      <c r="C11" s="32">
        <f>VLOOKUP(B11,'מאזן בוחן EUROPE'!$C:$K,8,0)</f>
        <v>37189.03</v>
      </c>
    </row>
    <row r="12" spans="2:19">
      <c r="B12" s="2196">
        <v>7110077</v>
      </c>
      <c r="C12" s="32">
        <f>VLOOKUP(B12,'מאזן בוחן EUROPE'!$C:$K,8,0)</f>
        <v>-286322.81</v>
      </c>
    </row>
    <row r="13" spans="2:19">
      <c r="B13" s="2196"/>
    </row>
    <row r="14" spans="2:19">
      <c r="B14" s="961" t="s">
        <v>2773</v>
      </c>
    </row>
    <row r="15" spans="2:19">
      <c r="B15" s="2295"/>
    </row>
    <row r="16" spans="2:19" ht="13.5" thickBot="1">
      <c r="B16" s="2196">
        <v>80070</v>
      </c>
      <c r="C16" s="32">
        <f>VLOOKUP(B16,'מאזן בוחן EUROPE'!$C:$K,8,0)</f>
        <v>-3019705.14</v>
      </c>
    </row>
    <row r="17" spans="2:8">
      <c r="B17" s="2196">
        <v>80071</v>
      </c>
      <c r="C17" s="32">
        <f>VLOOKUP(B17,'מאזן בוחן EUROPE'!$C:$K,8,0)</f>
        <v>-216622.98</v>
      </c>
      <c r="F17" s="648" t="s">
        <v>84</v>
      </c>
      <c r="G17" s="717">
        <f>'מאזן בוחן EUROPE'!J514</f>
        <v>-14349707.909999998</v>
      </c>
      <c r="H17" s="734"/>
    </row>
    <row r="18" spans="2:8">
      <c r="B18" s="2196">
        <v>80080</v>
      </c>
      <c r="C18" s="32">
        <f>VLOOKUP(B18,'מאזן בוחן EUROPE'!$C:$K,8,0)</f>
        <v>-971933.85</v>
      </c>
      <c r="F18" s="650"/>
      <c r="G18" s="320"/>
      <c r="H18" s="530"/>
    </row>
    <row r="19" spans="2:8">
      <c r="B19" s="2196">
        <v>80081</v>
      </c>
      <c r="C19" s="32">
        <f>VLOOKUP(B19,'מאזן בוחן EUROPE'!$C:$K,8,0)</f>
        <v>-159683.69</v>
      </c>
      <c r="F19" s="650" t="s">
        <v>83</v>
      </c>
      <c r="G19" s="320">
        <f>'מאזן בוחן EUROPE'!J529</f>
        <v>-358742.50000000023</v>
      </c>
      <c r="H19" s="530"/>
    </row>
    <row r="20" spans="2:8">
      <c r="B20" s="2196">
        <v>80062</v>
      </c>
      <c r="C20" s="32">
        <f>VLOOKUP(B20,'מאזן בוחן EUROPE'!$C:$K,8,0)</f>
        <v>-170835.7</v>
      </c>
      <c r="F20" s="650" t="s">
        <v>3830</v>
      </c>
      <c r="G20" s="2921">
        <f>-SUM($C$9:$C$26)</f>
        <v>1073001.5387738054</v>
      </c>
      <c r="H20" s="530"/>
    </row>
    <row r="21" spans="2:8">
      <c r="B21" s="2196">
        <v>80063</v>
      </c>
      <c r="C21" s="32">
        <f>VLOOKUP(B21,'מאזן בוחן EUROPE'!$C:$K,8,0)</f>
        <v>-68763.48</v>
      </c>
      <c r="F21" s="650" t="s">
        <v>3831</v>
      </c>
      <c r="G21" s="320">
        <f>G19+G20</f>
        <v>714259.03877380514</v>
      </c>
      <c r="H21" s="2799">
        <f>G21/G17</f>
        <v>-4.9775162202155603E-2</v>
      </c>
    </row>
    <row r="22" spans="2:8">
      <c r="F22" s="650"/>
      <c r="G22" s="320"/>
      <c r="H22" s="530"/>
    </row>
    <row r="23" spans="2:8" ht="13.5" thickBot="1">
      <c r="B23" s="32" t="s">
        <v>3398</v>
      </c>
      <c r="C23" s="3607">
        <f>SUM([81]Legacy!$M$286:$X$286)</f>
        <v>1119751.6595008504</v>
      </c>
      <c r="F23" s="651" t="s">
        <v>3832</v>
      </c>
      <c r="G23" s="718">
        <f>G17*H23</f>
        <v>-358742.69774999999</v>
      </c>
      <c r="H23" s="3212">
        <v>2.5000000000000001E-2</v>
      </c>
    </row>
    <row r="24" spans="2:8">
      <c r="B24" s="32" t="s">
        <v>2775</v>
      </c>
      <c r="C24" s="3607">
        <f>SUM('[135]ALL (LEGACY)'!$T$119:$AE$119)</f>
        <v>985614.91473750863</v>
      </c>
      <c r="D24" s="993"/>
    </row>
    <row r="25" spans="2:8">
      <c r="B25" s="32" t="s">
        <v>2774</v>
      </c>
      <c r="C25" s="3607">
        <f>SUM('[132]ALL (LEGACY)'!$AN$194:$AY$194)</f>
        <v>994187.29617421678</v>
      </c>
      <c r="D25" s="993"/>
    </row>
    <row r="26" spans="2:8">
      <c r="B26" s="32" t="s">
        <v>2776</v>
      </c>
      <c r="C26" s="3607">
        <f>+'[136]all legacy'!$H$416+'[136]all legacy'!$AX$148</f>
        <v>540042.28081362019</v>
      </c>
      <c r="D26" s="993"/>
    </row>
    <row r="28" spans="2:8">
      <c r="B28" s="32" t="s">
        <v>3829</v>
      </c>
      <c r="C28" s="32">
        <f>-G23+G21</f>
        <v>1073001.7365238052</v>
      </c>
    </row>
    <row r="30" spans="2:8">
      <c r="B30" s="32" t="s">
        <v>657</v>
      </c>
      <c r="C30" s="32">
        <f>'מאזן בוחן EUROPE'!$J$366+'מאזן בוחן EUROPE'!$J$459</f>
        <v>45210.52</v>
      </c>
    </row>
    <row r="32" spans="2:8" ht="13.5" thickBot="1">
      <c r="B32" s="32" t="s">
        <v>601</v>
      </c>
      <c r="C32" s="2296">
        <f>SUM(C5:C30)</f>
        <v>61863.057750000597</v>
      </c>
    </row>
    <row r="33" spans="2:3" ht="13.5" thickTop="1"/>
    <row r="34" spans="2:3">
      <c r="B34" s="542" t="s">
        <v>2455</v>
      </c>
      <c r="C34" s="32">
        <f>IF(C32&gt;0,C32*$R$4,0)</f>
        <v>11753.980972500114</v>
      </c>
    </row>
    <row r="35" spans="2:3">
      <c r="B35" s="542" t="s">
        <v>2291</v>
      </c>
      <c r="C35" s="32">
        <v>0</v>
      </c>
    </row>
    <row r="36" spans="2:3">
      <c r="B36" s="32" t="s">
        <v>284</v>
      </c>
      <c r="C36" s="32">
        <f>C34-C35</f>
        <v>11753.980972500114</v>
      </c>
    </row>
  </sheetData>
  <conditionalFormatting sqref="B15 B9:B13">
    <cfRule type="duplicateValues" dxfId="646" priority="5" stopIfTrue="1"/>
    <cfRule type="duplicateValues" dxfId="645" priority="6" stopIfTrue="1"/>
  </conditionalFormatting>
  <conditionalFormatting sqref="B16:B21">
    <cfRule type="duplicateValues" dxfId="644" priority="3" stopIfTrue="1"/>
    <cfRule type="duplicateValues" dxfId="643" priority="4" stopIfTrue="1"/>
  </conditionalFormatting>
  <conditionalFormatting sqref="B3">
    <cfRule type="duplicateValues" dxfId="642" priority="1" stopIfTrue="1"/>
    <cfRule type="duplicateValues" dxfId="641" priority="2" stopIfTrue="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A7D2-9051-442D-9AF0-DA0AB32999CA}">
  <sheetPr codeName="Sheet17">
    <tabColor rgb="FFFF66CC"/>
    <pageSetUpPr fitToPage="1"/>
  </sheetPr>
  <dimension ref="A2:T76"/>
  <sheetViews>
    <sheetView zoomScale="90" zoomScaleNormal="90" workbookViewId="0">
      <selection activeCell="K42" sqref="K42"/>
    </sheetView>
  </sheetViews>
  <sheetFormatPr defaultColWidth="9.33203125" defaultRowHeight="12.75"/>
  <cols>
    <col min="1" max="1" width="16.6640625" style="213" bestFit="1" customWidth="1"/>
    <col min="2" max="2" width="25.6640625" style="213" bestFit="1" customWidth="1"/>
    <col min="3" max="3" width="17" style="213" bestFit="1" customWidth="1"/>
    <col min="4" max="4" width="33.1640625" style="213" bestFit="1" customWidth="1"/>
    <col min="5" max="5" width="15.83203125" style="213" bestFit="1" customWidth="1"/>
    <col min="6" max="6" width="16.33203125" style="213" bestFit="1" customWidth="1"/>
    <col min="7" max="7" width="34.1640625" style="213" bestFit="1" customWidth="1"/>
    <col min="8" max="8" width="16.33203125" style="213" bestFit="1" customWidth="1"/>
    <col min="9" max="9" width="17.5" style="213" customWidth="1"/>
    <col min="10" max="10" width="13.33203125" style="213" customWidth="1"/>
    <col min="11" max="11" width="10.6640625" style="213" bestFit="1" customWidth="1"/>
    <col min="12" max="12" width="9.83203125" style="213" bestFit="1" customWidth="1"/>
    <col min="13" max="13" width="9.33203125" style="213" customWidth="1"/>
    <col min="14" max="14" width="24" style="213" bestFit="1" customWidth="1"/>
    <col min="15" max="15" width="10.5" style="213" bestFit="1" customWidth="1"/>
    <col min="16" max="16" width="9.33203125" style="213"/>
    <col min="17" max="17" width="24.5" style="213" bestFit="1" customWidth="1"/>
    <col min="18" max="18" width="11.5" style="213" bestFit="1" customWidth="1"/>
    <col min="19" max="16384" width="9.33203125" style="213"/>
  </cols>
  <sheetData>
    <row r="2" spans="1:11">
      <c r="A2" s="1254" t="s">
        <v>1824</v>
      </c>
      <c r="B2" s="212"/>
      <c r="C2" s="212"/>
      <c r="D2" s="212"/>
      <c r="E2" s="212"/>
      <c r="F2" s="212"/>
      <c r="G2" s="212"/>
      <c r="H2" s="212"/>
    </row>
    <row r="3" spans="1:11" ht="13.5" thickBot="1">
      <c r="A3" s="1255"/>
      <c r="B3" s="1256"/>
      <c r="C3" s="214"/>
      <c r="D3" s="214"/>
      <c r="E3" s="212"/>
      <c r="F3" s="212"/>
      <c r="G3" s="212"/>
      <c r="H3" s="212"/>
    </row>
    <row r="4" spans="1:11" ht="13.5" thickBot="1">
      <c r="A4" s="225"/>
      <c r="B4" s="1257"/>
      <c r="C4" s="214"/>
      <c r="D4" s="214"/>
      <c r="E4" s="212"/>
      <c r="F4" s="1258" t="s">
        <v>1608</v>
      </c>
      <c r="G4" s="1259"/>
      <c r="H4" s="215"/>
      <c r="I4" s="1260" t="s">
        <v>400</v>
      </c>
      <c r="J4" s="1261" t="s">
        <v>4</v>
      </c>
    </row>
    <row r="5" spans="1:11">
      <c r="A5" s="1262" t="s">
        <v>1384</v>
      </c>
      <c r="B5" s="1263" t="s">
        <v>466</v>
      </c>
      <c r="C5" s="1264" t="s">
        <v>466</v>
      </c>
      <c r="D5" s="282" t="s">
        <v>465</v>
      </c>
      <c r="F5" s="1265"/>
      <c r="G5" s="1266" t="s">
        <v>1605</v>
      </c>
      <c r="H5" s="216"/>
      <c r="I5" s="1267"/>
      <c r="J5" s="1453"/>
    </row>
    <row r="6" spans="1:11">
      <c r="A6" s="217" t="s">
        <v>193</v>
      </c>
      <c r="B6" s="218"/>
      <c r="C6" s="219"/>
      <c r="D6" s="283">
        <f>C6/C11</f>
        <v>0</v>
      </c>
      <c r="F6" s="1265"/>
      <c r="G6" s="1266" t="s">
        <v>1825</v>
      </c>
      <c r="H6" s="216"/>
      <c r="I6" s="1267">
        <f>G19</f>
        <v>-6424.2628571428559</v>
      </c>
      <c r="J6" s="1453">
        <f>H19</f>
        <v>-8467.0228571428579</v>
      </c>
    </row>
    <row r="7" spans="1:11">
      <c r="A7" s="221" t="s">
        <v>192</v>
      </c>
      <c r="B7" s="218"/>
      <c r="C7" s="219"/>
      <c r="D7" s="283">
        <f>C7/C11</f>
        <v>0</v>
      </c>
      <c r="F7" s="1265"/>
      <c r="G7" s="1266" t="s">
        <v>1826</v>
      </c>
      <c r="H7" s="216"/>
      <c r="I7" s="1267">
        <f>G20</f>
        <v>-2409.0985714285712</v>
      </c>
      <c r="J7" s="1453">
        <f>H20</f>
        <v>-3175.1335714285715</v>
      </c>
    </row>
    <row r="8" spans="1:11">
      <c r="A8" s="222" t="s">
        <v>1827</v>
      </c>
      <c r="B8" s="218">
        <v>8</v>
      </c>
      <c r="C8" s="219">
        <f>B8</f>
        <v>8</v>
      </c>
      <c r="D8" s="283">
        <f>C8/C11</f>
        <v>0.5714285714285714</v>
      </c>
      <c r="F8" s="1265"/>
      <c r="G8" s="1266" t="s">
        <v>1828</v>
      </c>
      <c r="H8" s="216"/>
      <c r="I8" s="1267">
        <f>G15</f>
        <v>-2409.0985714285712</v>
      </c>
      <c r="J8" s="1453">
        <f>H15</f>
        <v>-3175.1335714285715</v>
      </c>
    </row>
    <row r="9" spans="1:11" ht="13.5" thickBot="1">
      <c r="A9" s="222" t="s">
        <v>1829</v>
      </c>
      <c r="B9" s="218">
        <v>3</v>
      </c>
      <c r="C9" s="219">
        <f>B9</f>
        <v>3</v>
      </c>
      <c r="D9" s="283">
        <f>C9/C11</f>
        <v>0.21428571428571427</v>
      </c>
      <c r="F9" s="1268"/>
      <c r="G9" s="1269" t="s">
        <v>1607</v>
      </c>
      <c r="H9" s="223"/>
      <c r="I9" s="1270">
        <f>-SUM(I6:I8)</f>
        <v>11242.459999999997</v>
      </c>
      <c r="J9" s="1271">
        <f>-SUM(J5:J8)</f>
        <v>14817.29</v>
      </c>
    </row>
    <row r="10" spans="1:11" ht="13.5" thickBot="1">
      <c r="A10" s="224" t="s">
        <v>1385</v>
      </c>
      <c r="B10" s="280">
        <v>3</v>
      </c>
      <c r="C10" s="281">
        <f>B10</f>
        <v>3</v>
      </c>
      <c r="D10" s="285">
        <f>C10/C11</f>
        <v>0.21428571428571427</v>
      </c>
      <c r="F10" s="225"/>
      <c r="G10" s="225"/>
      <c r="H10" s="225"/>
      <c r="I10" s="2778">
        <f>G22+I9</f>
        <v>0</v>
      </c>
      <c r="J10" s="226">
        <f>H22+J9</f>
        <v>0</v>
      </c>
      <c r="K10" s="226"/>
    </row>
    <row r="11" spans="1:11" ht="13.5" thickBot="1">
      <c r="A11" s="227"/>
      <c r="B11" s="228">
        <f>SUM(B6:B10)</f>
        <v>14</v>
      </c>
      <c r="C11" s="229">
        <f>SUM(C6:C10)</f>
        <v>14</v>
      </c>
      <c r="D11" s="284">
        <f>SUM(D6:D10)</f>
        <v>1</v>
      </c>
      <c r="F11" s="225"/>
      <c r="G11" s="225"/>
      <c r="H11" s="225"/>
      <c r="I11" s="226"/>
      <c r="J11" s="226"/>
      <c r="K11" s="226"/>
    </row>
    <row r="12" spans="1:11" ht="13.5" thickBot="1">
      <c r="A12" s="225"/>
      <c r="B12" s="1272"/>
      <c r="C12" s="214"/>
      <c r="D12" s="1272"/>
      <c r="F12" s="212"/>
      <c r="G12" s="212"/>
      <c r="H12" s="212"/>
    </row>
    <row r="13" spans="1:11">
      <c r="A13" s="2765"/>
      <c r="B13" s="2766"/>
      <c r="C13" s="2767" t="s">
        <v>400</v>
      </c>
      <c r="D13" s="2768" t="s">
        <v>294</v>
      </c>
      <c r="E13" s="212"/>
      <c r="G13" s="1454" t="s">
        <v>410</v>
      </c>
      <c r="H13" s="1454" t="s">
        <v>410</v>
      </c>
    </row>
    <row r="14" spans="1:11">
      <c r="A14" s="2769"/>
      <c r="B14" s="1297"/>
      <c r="C14" s="2770"/>
      <c r="D14" s="2771"/>
      <c r="G14" s="303" t="s">
        <v>400</v>
      </c>
      <c r="H14" s="303" t="s">
        <v>294</v>
      </c>
    </row>
    <row r="15" spans="1:11">
      <c r="A15" s="2769">
        <v>8030001</v>
      </c>
      <c r="B15" s="250" t="s">
        <v>410</v>
      </c>
      <c r="C15" s="1139">
        <f>VLOOKUP(A15,'מאזן בוחן EUROPE'!C:K,8,0)</f>
        <v>-15564</v>
      </c>
      <c r="D15" s="2772">
        <f>VLOOKUP(A15,'מאזן בוחן EUROPE'!C:K,9,0)</f>
        <v>-20770.57</v>
      </c>
      <c r="G15" s="232">
        <f>D10*(C20)</f>
        <v>-2409.0985714285712</v>
      </c>
      <c r="H15" s="345">
        <f>D10*D20</f>
        <v>-3175.1335714285715</v>
      </c>
    </row>
    <row r="16" spans="1:11">
      <c r="A16" s="2769">
        <v>8030006</v>
      </c>
      <c r="B16" s="250" t="s">
        <v>767</v>
      </c>
      <c r="C16" s="1139">
        <f>VLOOKUP(A16,'מאזן בוחן EUROPE'!C:K,8,0)</f>
        <v>4321.54</v>
      </c>
      <c r="D16" s="2772">
        <f>VLOOKUP(A16,'מאזן בוחן EUROPE'!C:K,9,0)</f>
        <v>5953.28</v>
      </c>
      <c r="G16" s="232"/>
      <c r="H16" s="232"/>
    </row>
    <row r="17" spans="1:20">
      <c r="A17" s="2769"/>
      <c r="B17" s="1297"/>
      <c r="C17" s="1139"/>
      <c r="D17" s="2772"/>
      <c r="G17" s="233"/>
      <c r="H17" s="299">
        <f>E36*I71</f>
        <v>0</v>
      </c>
    </row>
    <row r="18" spans="1:20">
      <c r="A18" s="2769">
        <v>93100</v>
      </c>
      <c r="B18" s="1297" t="s">
        <v>3173</v>
      </c>
      <c r="C18" s="1139">
        <f>'מאזן בוחן EUROPE'!E397</f>
        <v>0</v>
      </c>
      <c r="D18" s="2772">
        <f>'מאזן בוחן EUROPE'!M397</f>
        <v>0</v>
      </c>
      <c r="G18" s="233"/>
      <c r="H18" s="233"/>
    </row>
    <row r="19" spans="1:20">
      <c r="A19" s="288"/>
      <c r="B19" s="1256"/>
      <c r="C19" s="2773"/>
      <c r="D19" s="2774"/>
      <c r="G19" s="234">
        <f>D8*C20</f>
        <v>-6424.2628571428559</v>
      </c>
      <c r="H19" s="346">
        <f>D8*D20</f>
        <v>-8467.0228571428579</v>
      </c>
    </row>
    <row r="20" spans="1:20" ht="13.5" thickBot="1">
      <c r="A20" s="288"/>
      <c r="B20" s="2775" t="s">
        <v>468</v>
      </c>
      <c r="C20" s="2776">
        <f>SUM(C14:C19)</f>
        <v>-11242.46</v>
      </c>
      <c r="D20" s="2777">
        <f>SUM(D14:D19)</f>
        <v>-14817.29</v>
      </c>
      <c r="G20" s="234">
        <f>C20*D9</f>
        <v>-2409.0985714285712</v>
      </c>
      <c r="H20" s="234">
        <f>D9*D20</f>
        <v>-3175.1335714285715</v>
      </c>
    </row>
    <row r="21" spans="1:20" ht="14.25" thickTop="1" thickBot="1">
      <c r="A21" s="1288"/>
      <c r="B21" s="1306"/>
      <c r="C21" s="2778">
        <f>('מאזן בוחן EUROPE'!J389+'מאזן בוחן EUROPE'!J390+'מאזן בוחן EUROPE'!E397)-C20</f>
        <v>0</v>
      </c>
      <c r="D21" s="2778">
        <f>('מאזן בוחן EUROPE'!K389+'מאזן בוחן EUROPE'!K390+'מאזן בוחן EUROPE'!M397)-'העמסת הנה"כ (UK)'!D20</f>
        <v>0</v>
      </c>
      <c r="G21" s="235"/>
      <c r="H21" s="316"/>
    </row>
    <row r="22" spans="1:20" ht="13.5" thickBot="1">
      <c r="G22" s="238">
        <f>SUM(G15:G21)</f>
        <v>-11242.459999999997</v>
      </c>
      <c r="H22" s="238">
        <f>SUM(H15:H21)</f>
        <v>-14817.29</v>
      </c>
    </row>
    <row r="23" spans="1:20" ht="14.25" thickTop="1" thickBot="1">
      <c r="G23" s="2778">
        <f>C20-G22</f>
        <v>0</v>
      </c>
      <c r="H23" s="2778">
        <f>H22-D20</f>
        <v>0</v>
      </c>
    </row>
    <row r="24" spans="1:20">
      <c r="L24" s="295"/>
      <c r="M24" s="347"/>
      <c r="N24" s="347"/>
      <c r="O24" s="347"/>
      <c r="P24" s="347"/>
      <c r="Q24" s="347"/>
      <c r="R24" s="347"/>
      <c r="S24" s="347"/>
      <c r="T24" s="295"/>
    </row>
    <row r="25" spans="1:20">
      <c r="L25" s="295"/>
      <c r="M25" s="347"/>
      <c r="N25" s="347"/>
      <c r="O25" s="347"/>
      <c r="P25" s="347"/>
      <c r="Q25" s="347"/>
      <c r="R25" s="347"/>
      <c r="S25" s="347"/>
      <c r="T25" s="295"/>
    </row>
    <row r="26" spans="1:20">
      <c r="L26" s="295"/>
      <c r="M26" s="347"/>
      <c r="N26" s="350"/>
      <c r="O26" s="1451"/>
      <c r="P26" s="347"/>
      <c r="Q26" s="350"/>
      <c r="R26" s="1451"/>
      <c r="S26" s="347"/>
      <c r="T26" s="295"/>
    </row>
    <row r="27" spans="1:20">
      <c r="L27" s="295"/>
      <c r="M27" s="347"/>
      <c r="N27" s="350"/>
      <c r="O27" s="1451"/>
      <c r="P27" s="347"/>
      <c r="Q27" s="350"/>
      <c r="R27" s="1451"/>
      <c r="S27" s="347"/>
      <c r="T27" s="295"/>
    </row>
    <row r="28" spans="1:20">
      <c r="L28" s="295"/>
      <c r="M28" s="347"/>
      <c r="N28" s="350"/>
      <c r="O28" s="1451"/>
      <c r="P28" s="347"/>
      <c r="Q28" s="350"/>
      <c r="R28" s="1451"/>
      <c r="S28" s="347"/>
      <c r="T28" s="295"/>
    </row>
    <row r="29" spans="1:20">
      <c r="L29" s="295"/>
      <c r="M29" s="347"/>
      <c r="N29" s="350"/>
      <c r="O29" s="1451"/>
      <c r="P29" s="347"/>
      <c r="Q29" s="350"/>
      <c r="R29" s="1451"/>
      <c r="S29" s="347"/>
      <c r="T29" s="295"/>
    </row>
    <row r="30" spans="1:20">
      <c r="F30" s="212"/>
      <c r="L30" s="295"/>
      <c r="M30" s="347"/>
      <c r="N30" s="350"/>
      <c r="O30" s="1451"/>
      <c r="P30" s="347"/>
      <c r="Q30" s="350"/>
      <c r="R30" s="1451"/>
      <c r="S30" s="347"/>
      <c r="T30" s="295"/>
    </row>
    <row r="31" spans="1:20">
      <c r="F31" s="212"/>
      <c r="L31" s="295"/>
      <c r="M31" s="347"/>
      <c r="N31" s="350"/>
      <c r="O31" s="1451"/>
      <c r="P31" s="347"/>
      <c r="Q31" s="350"/>
      <c r="R31" s="1451"/>
      <c r="S31" s="347"/>
      <c r="T31" s="295"/>
    </row>
    <row r="32" spans="1:20">
      <c r="F32" s="212"/>
      <c r="J32" s="295"/>
      <c r="L32" s="295"/>
      <c r="M32" s="347"/>
      <c r="N32" s="350"/>
      <c r="O32" s="1451"/>
      <c r="P32" s="347"/>
      <c r="Q32" s="350"/>
      <c r="R32" s="1451"/>
      <c r="S32" s="347"/>
      <c r="T32" s="295"/>
    </row>
    <row r="33" spans="1:20">
      <c r="F33" s="212"/>
      <c r="G33" s="240"/>
      <c r="H33" s="240"/>
      <c r="I33" s="241"/>
      <c r="J33" s="295"/>
      <c r="L33" s="295"/>
      <c r="M33" s="347"/>
      <c r="N33" s="350"/>
      <c r="O33" s="1451"/>
      <c r="P33" s="347"/>
      <c r="Q33" s="350"/>
      <c r="R33" s="1451"/>
      <c r="S33" s="347"/>
      <c r="T33" s="295"/>
    </row>
    <row r="34" spans="1:20">
      <c r="F34" s="212"/>
      <c r="G34" s="240"/>
      <c r="H34" s="240"/>
      <c r="I34" s="241"/>
      <c r="J34" s="295"/>
      <c r="L34" s="295"/>
      <c r="M34" s="347"/>
      <c r="N34" s="350"/>
      <c r="O34" s="1451"/>
      <c r="P34" s="347"/>
      <c r="Q34" s="350"/>
      <c r="R34" s="1451"/>
      <c r="S34" s="347"/>
      <c r="T34" s="295"/>
    </row>
    <row r="35" spans="1:20">
      <c r="J35" s="295"/>
      <c r="L35" s="295"/>
      <c r="M35" s="347"/>
      <c r="N35" s="350"/>
      <c r="O35" s="1451"/>
      <c r="P35" s="347"/>
      <c r="Q35" s="350"/>
      <c r="R35" s="1451"/>
      <c r="S35" s="347"/>
      <c r="T35" s="295"/>
    </row>
    <row r="36" spans="1:20">
      <c r="J36" s="1289"/>
      <c r="L36" s="295"/>
      <c r="M36" s="347"/>
      <c r="N36" s="347"/>
      <c r="O36" s="347"/>
      <c r="P36" s="347"/>
      <c r="Q36" s="350"/>
      <c r="R36" s="1451"/>
      <c r="S36" s="347"/>
      <c r="T36" s="295"/>
    </row>
    <row r="37" spans="1:20">
      <c r="J37" s="1289"/>
      <c r="L37" s="295"/>
      <c r="M37" s="347"/>
      <c r="N37" s="347"/>
      <c r="O37" s="347"/>
      <c r="P37" s="347"/>
      <c r="Q37" s="347"/>
      <c r="R37" s="347"/>
      <c r="S37" s="347"/>
      <c r="T37" s="295"/>
    </row>
    <row r="38" spans="1:20">
      <c r="J38" s="1289"/>
      <c r="L38" s="295"/>
      <c r="M38" s="347"/>
      <c r="N38" s="347"/>
      <c r="O38" s="347"/>
      <c r="P38" s="347"/>
      <c r="Q38" s="347"/>
      <c r="R38" s="347"/>
      <c r="S38" s="347"/>
      <c r="T38" s="295"/>
    </row>
    <row r="39" spans="1:20">
      <c r="J39" s="1289"/>
      <c r="L39" s="295"/>
      <c r="M39" s="347"/>
      <c r="N39" s="347"/>
      <c r="O39" s="347"/>
      <c r="P39" s="347"/>
      <c r="Q39" s="347"/>
      <c r="R39" s="347"/>
      <c r="S39" s="347"/>
      <c r="T39" s="295"/>
    </row>
    <row r="40" spans="1:20">
      <c r="J40" s="1289"/>
      <c r="L40" s="295"/>
      <c r="M40" s="347"/>
      <c r="N40" s="348"/>
      <c r="O40" s="347"/>
      <c r="P40" s="347"/>
      <c r="Q40" s="348"/>
      <c r="R40" s="347"/>
      <c r="S40" s="347"/>
      <c r="T40" s="295"/>
    </row>
    <row r="41" spans="1:20">
      <c r="J41" s="295"/>
      <c r="L41" s="295"/>
      <c r="M41" s="347"/>
      <c r="N41" s="350"/>
      <c r="O41" s="1451"/>
      <c r="P41" s="347"/>
      <c r="Q41" s="350"/>
      <c r="R41" s="350"/>
      <c r="S41" s="347"/>
      <c r="T41" s="295"/>
    </row>
    <row r="42" spans="1:20">
      <c r="J42" s="295"/>
      <c r="L42" s="295"/>
      <c r="M42" s="347"/>
      <c r="N42" s="350"/>
      <c r="O42" s="1451"/>
      <c r="P42" s="347"/>
      <c r="Q42" s="347"/>
      <c r="R42" s="347"/>
      <c r="S42" s="347"/>
      <c r="T42" s="295"/>
    </row>
    <row r="43" spans="1:20">
      <c r="J43" s="295"/>
      <c r="L43" s="295"/>
      <c r="M43" s="347"/>
      <c r="N43" s="350"/>
      <c r="O43" s="1451"/>
      <c r="P43" s="347"/>
      <c r="Q43" s="348"/>
      <c r="R43" s="347"/>
      <c r="S43" s="347"/>
      <c r="T43" s="295"/>
    </row>
    <row r="44" spans="1:20">
      <c r="J44" s="295"/>
      <c r="L44" s="295"/>
      <c r="M44" s="347"/>
      <c r="N44" s="350"/>
      <c r="O44" s="1451"/>
      <c r="P44" s="347"/>
      <c r="Q44" s="350"/>
      <c r="R44" s="350"/>
      <c r="S44" s="347"/>
      <c r="T44" s="295"/>
    </row>
    <row r="45" spans="1:20">
      <c r="E45" s="347"/>
      <c r="F45" s="347"/>
      <c r="G45" s="347"/>
      <c r="H45" s="347"/>
      <c r="I45" s="347"/>
      <c r="J45" s="347"/>
      <c r="L45" s="295"/>
      <c r="M45" s="347"/>
      <c r="N45" s="350"/>
      <c r="O45" s="1451"/>
      <c r="P45" s="347"/>
      <c r="Q45" s="347"/>
      <c r="R45" s="347"/>
      <c r="S45" s="347"/>
      <c r="T45" s="295"/>
    </row>
    <row r="46" spans="1:20">
      <c r="C46" s="212"/>
      <c r="D46" s="212"/>
      <c r="E46" s="347"/>
      <c r="F46" s="347"/>
      <c r="G46" s="347"/>
      <c r="H46" s="347"/>
      <c r="I46" s="347"/>
      <c r="J46" s="347"/>
      <c r="L46" s="295"/>
      <c r="M46" s="347"/>
      <c r="N46" s="350"/>
      <c r="O46" s="350"/>
      <c r="P46" s="347"/>
      <c r="Q46" s="347"/>
      <c r="R46" s="347"/>
      <c r="S46" s="347"/>
      <c r="T46" s="295"/>
    </row>
    <row r="47" spans="1:20">
      <c r="A47" s="212"/>
      <c r="B47" s="230"/>
      <c r="C47" s="212"/>
      <c r="D47" s="212"/>
      <c r="E47" s="212"/>
      <c r="F47" s="305"/>
      <c r="G47" s="214"/>
      <c r="H47" s="214"/>
      <c r="I47" s="289"/>
      <c r="J47" s="295"/>
      <c r="L47" s="295"/>
      <c r="M47" s="347"/>
      <c r="N47" s="350"/>
      <c r="O47" s="350"/>
      <c r="P47" s="347"/>
      <c r="Q47" s="347"/>
      <c r="R47" s="347"/>
      <c r="S47" s="347"/>
      <c r="T47" s="295"/>
    </row>
    <row r="48" spans="1:20">
      <c r="F48" s="349"/>
      <c r="G48" s="291"/>
      <c r="H48" s="350"/>
      <c r="I48" s="347"/>
      <c r="J48" s="347"/>
      <c r="L48" s="295"/>
      <c r="M48" s="347"/>
      <c r="N48" s="347"/>
      <c r="O48" s="347"/>
      <c r="P48" s="347"/>
      <c r="Q48" s="347"/>
      <c r="R48" s="347"/>
      <c r="S48" s="347"/>
      <c r="T48" s="295"/>
    </row>
    <row r="49" spans="6:20">
      <c r="F49" s="349"/>
      <c r="G49" s="347"/>
      <c r="H49" s="347"/>
      <c r="I49" s="347"/>
      <c r="J49" s="347"/>
      <c r="L49" s="295"/>
      <c r="M49" s="347"/>
      <c r="N49" s="347"/>
      <c r="O49" s="347"/>
      <c r="P49" s="347"/>
      <c r="Q49" s="347"/>
      <c r="R49" s="347"/>
      <c r="S49" s="347"/>
      <c r="T49" s="295"/>
    </row>
    <row r="50" spans="6:20">
      <c r="F50" s="351"/>
      <c r="G50" s="352"/>
      <c r="H50" s="353"/>
      <c r="I50" s="354"/>
      <c r="J50" s="355"/>
      <c r="L50" s="295"/>
      <c r="M50" s="347"/>
      <c r="N50" s="347"/>
      <c r="O50" s="347"/>
      <c r="P50" s="347"/>
      <c r="Q50" s="347"/>
      <c r="R50" s="347"/>
      <c r="S50" s="347"/>
      <c r="T50" s="295"/>
    </row>
    <row r="51" spans="6:20">
      <c r="F51" s="1452"/>
      <c r="G51" s="1297"/>
      <c r="H51" s="244"/>
      <c r="I51" s="244"/>
      <c r="J51" s="356"/>
      <c r="L51" s="295"/>
      <c r="M51" s="347"/>
      <c r="N51" s="347"/>
      <c r="O51" s="347"/>
      <c r="P51" s="347"/>
      <c r="Q51" s="347"/>
      <c r="R51" s="347"/>
      <c r="S51" s="347"/>
      <c r="T51" s="295"/>
    </row>
    <row r="52" spans="6:20">
      <c r="F52" s="1452"/>
      <c r="G52" s="1297"/>
      <c r="H52" s="244"/>
      <c r="I52" s="244"/>
      <c r="J52" s="356"/>
      <c r="L52" s="295"/>
      <c r="M52" s="347"/>
      <c r="N52" s="4476"/>
      <c r="O52" s="4476"/>
      <c r="P52" s="4476"/>
      <c r="Q52" s="4476"/>
      <c r="R52" s="4476"/>
      <c r="S52" s="347"/>
      <c r="T52" s="295"/>
    </row>
    <row r="53" spans="6:20">
      <c r="F53" s="1452"/>
      <c r="G53" s="1297"/>
      <c r="H53" s="244"/>
      <c r="I53" s="244"/>
      <c r="J53" s="356"/>
      <c r="L53" s="295"/>
      <c r="M53" s="347"/>
      <c r="N53" s="347"/>
      <c r="O53" s="347"/>
      <c r="P53" s="347"/>
      <c r="Q53" s="347"/>
      <c r="R53" s="347"/>
      <c r="S53" s="347"/>
      <c r="T53" s="295"/>
    </row>
    <row r="54" spans="6:20">
      <c r="F54" s="1452"/>
      <c r="G54" s="1297"/>
      <c r="H54" s="244"/>
      <c r="I54" s="244"/>
      <c r="J54" s="356"/>
      <c r="L54" s="295"/>
      <c r="M54" s="347"/>
      <c r="N54" s="350"/>
      <c r="O54" s="1451"/>
      <c r="P54" s="347"/>
      <c r="Q54" s="350"/>
      <c r="R54" s="1451"/>
      <c r="S54" s="347"/>
      <c r="T54" s="295"/>
    </row>
    <row r="55" spans="6:20">
      <c r="F55" s="1452"/>
      <c r="G55" s="1297"/>
      <c r="H55" s="244"/>
      <c r="I55" s="244"/>
      <c r="J55" s="356"/>
      <c r="L55" s="295"/>
      <c r="M55" s="347"/>
      <c r="N55" s="350"/>
      <c r="O55" s="1451"/>
      <c r="P55" s="347"/>
      <c r="Q55" s="350"/>
      <c r="R55" s="1451"/>
      <c r="S55" s="347"/>
      <c r="T55" s="295"/>
    </row>
    <row r="56" spans="6:20">
      <c r="F56" s="1452"/>
      <c r="G56" s="1297"/>
      <c r="H56" s="244"/>
      <c r="I56" s="244"/>
      <c r="J56" s="356"/>
      <c r="L56" s="295"/>
      <c r="M56" s="347"/>
      <c r="N56" s="350"/>
      <c r="O56" s="1451"/>
      <c r="P56" s="347"/>
      <c r="Q56" s="350"/>
      <c r="R56" s="1451"/>
      <c r="S56" s="347"/>
      <c r="T56" s="295"/>
    </row>
    <row r="57" spans="6:20">
      <c r="F57" s="1452"/>
      <c r="G57" s="1297"/>
      <c r="H57" s="244"/>
      <c r="I57" s="244"/>
      <c r="J57" s="356"/>
      <c r="L57" s="295"/>
      <c r="M57" s="347"/>
      <c r="N57" s="350"/>
      <c r="O57" s="1451"/>
      <c r="P57" s="347"/>
      <c r="Q57" s="350"/>
      <c r="R57" s="1451"/>
      <c r="S57" s="347"/>
      <c r="T57" s="295"/>
    </row>
    <row r="58" spans="6:20">
      <c r="F58" s="1452"/>
      <c r="G58" s="1297"/>
      <c r="H58" s="244"/>
      <c r="I58" s="244"/>
      <c r="J58" s="356"/>
      <c r="L58" s="295"/>
      <c r="M58" s="347"/>
      <c r="N58" s="350"/>
      <c r="O58" s="1451"/>
      <c r="P58" s="347"/>
      <c r="Q58" s="350"/>
      <c r="R58" s="1451"/>
      <c r="S58" s="347"/>
      <c r="T58" s="295"/>
    </row>
    <row r="59" spans="6:20">
      <c r="F59" s="1452"/>
      <c r="G59" s="1297"/>
      <c r="H59" s="244"/>
      <c r="I59" s="244"/>
      <c r="J59" s="356"/>
      <c r="L59" s="295"/>
      <c r="M59" s="347"/>
      <c r="N59" s="350"/>
      <c r="O59" s="1451"/>
      <c r="P59" s="347"/>
      <c r="Q59" s="350"/>
      <c r="R59" s="1451"/>
      <c r="S59" s="347"/>
      <c r="T59" s="295"/>
    </row>
    <row r="60" spans="6:20">
      <c r="F60" s="1452"/>
      <c r="G60" s="1297"/>
      <c r="H60" s="244"/>
      <c r="I60" s="244"/>
      <c r="J60" s="356"/>
      <c r="L60" s="295"/>
      <c r="M60" s="347"/>
      <c r="N60" s="350"/>
      <c r="O60" s="1451"/>
      <c r="P60" s="347"/>
      <c r="Q60" s="350"/>
      <c r="R60" s="1451"/>
      <c r="S60" s="347"/>
      <c r="T60" s="295"/>
    </row>
    <row r="61" spans="6:20">
      <c r="F61" s="1452"/>
      <c r="G61" s="1297"/>
      <c r="H61" s="244"/>
      <c r="I61" s="244"/>
      <c r="J61" s="356"/>
      <c r="L61" s="295"/>
      <c r="M61" s="347"/>
      <c r="N61" s="350"/>
      <c r="O61" s="1451"/>
      <c r="P61" s="347"/>
      <c r="Q61" s="350"/>
      <c r="R61" s="1451"/>
      <c r="S61" s="347"/>
      <c r="T61" s="295"/>
    </row>
    <row r="62" spans="6:20">
      <c r="F62" s="1452"/>
      <c r="G62" s="1297"/>
      <c r="H62" s="244"/>
      <c r="I62" s="244"/>
      <c r="J62" s="356"/>
      <c r="L62" s="295"/>
      <c r="M62" s="347"/>
      <c r="N62" s="350"/>
      <c r="O62" s="1451"/>
      <c r="P62" s="347"/>
      <c r="Q62" s="350"/>
      <c r="R62" s="1451"/>
      <c r="S62" s="347"/>
      <c r="T62" s="295"/>
    </row>
    <row r="63" spans="6:20">
      <c r="F63" s="1452"/>
      <c r="G63" s="1297"/>
      <c r="H63" s="244"/>
      <c r="I63" s="244"/>
      <c r="J63" s="356"/>
      <c r="L63" s="295"/>
      <c r="M63" s="347"/>
      <c r="N63" s="350"/>
      <c r="O63" s="1451"/>
      <c r="P63" s="347"/>
      <c r="Q63" s="350"/>
      <c r="R63" s="1451"/>
      <c r="S63" s="347"/>
      <c r="T63" s="295"/>
    </row>
    <row r="64" spans="6:20">
      <c r="F64" s="1452"/>
      <c r="G64" s="1297"/>
      <c r="H64" s="244"/>
      <c r="I64" s="244"/>
      <c r="J64" s="356"/>
      <c r="L64" s="295"/>
      <c r="M64" s="347"/>
      <c r="N64" s="350"/>
      <c r="O64" s="1451"/>
      <c r="P64" s="347"/>
      <c r="Q64" s="350"/>
      <c r="R64" s="1451"/>
      <c r="S64" s="347"/>
      <c r="T64" s="295"/>
    </row>
    <row r="65" spans="1:20">
      <c r="A65" s="212"/>
      <c r="B65" s="1275"/>
      <c r="E65" s="212"/>
      <c r="F65" s="1452"/>
      <c r="G65" s="1297"/>
      <c r="H65" s="244"/>
      <c r="I65" s="244"/>
      <c r="J65" s="356"/>
      <c r="L65" s="295"/>
      <c r="M65" s="347"/>
      <c r="N65" s="350"/>
      <c r="O65" s="1451"/>
      <c r="P65" s="347"/>
      <c r="Q65" s="350"/>
      <c r="R65" s="1451"/>
      <c r="S65" s="347"/>
      <c r="T65" s="295"/>
    </row>
    <row r="66" spans="1:20">
      <c r="A66" s="212"/>
      <c r="B66" s="1275"/>
      <c r="E66" s="212"/>
      <c r="F66" s="1452"/>
      <c r="G66" s="1297"/>
      <c r="H66" s="244"/>
      <c r="I66" s="244"/>
      <c r="J66" s="356"/>
      <c r="L66" s="295"/>
      <c r="M66" s="347"/>
      <c r="N66" s="347"/>
      <c r="O66" s="347"/>
      <c r="P66" s="347"/>
      <c r="Q66" s="350"/>
      <c r="R66" s="1451"/>
      <c r="S66" s="347"/>
      <c r="T66" s="295"/>
    </row>
    <row r="67" spans="1:20">
      <c r="A67" s="212"/>
      <c r="B67" s="1275"/>
      <c r="E67" s="212"/>
      <c r="F67" s="1452"/>
      <c r="G67" s="1297"/>
      <c r="H67" s="244"/>
      <c r="I67" s="244"/>
      <c r="J67" s="356"/>
      <c r="L67" s="295"/>
      <c r="M67" s="347"/>
      <c r="N67" s="347"/>
      <c r="O67" s="347"/>
      <c r="P67" s="347"/>
      <c r="Q67" s="350"/>
      <c r="R67" s="1451"/>
      <c r="S67" s="347"/>
      <c r="T67" s="295"/>
    </row>
    <row r="68" spans="1:20">
      <c r="A68" s="212"/>
      <c r="B68" s="230"/>
      <c r="C68" s="212"/>
      <c r="D68" s="212"/>
      <c r="E68" s="212"/>
      <c r="F68" s="1452"/>
      <c r="G68" s="1297"/>
      <c r="H68" s="244"/>
      <c r="I68" s="244"/>
      <c r="J68" s="356"/>
      <c r="L68" s="295"/>
      <c r="M68" s="347"/>
      <c r="N68" s="347"/>
      <c r="O68" s="347"/>
      <c r="P68" s="347"/>
      <c r="Q68" s="347"/>
      <c r="R68" s="347"/>
      <c r="S68" s="347"/>
      <c r="T68" s="295"/>
    </row>
    <row r="69" spans="1:20">
      <c r="A69" s="212"/>
      <c r="B69" s="230"/>
      <c r="C69" s="212"/>
      <c r="D69" s="212"/>
      <c r="E69" s="212"/>
      <c r="F69" s="1452"/>
      <c r="G69" s="1297"/>
      <c r="H69" s="244"/>
      <c r="I69" s="244"/>
      <c r="J69" s="356"/>
      <c r="L69" s="295"/>
      <c r="M69" s="347"/>
      <c r="N69" s="347"/>
      <c r="O69" s="347"/>
      <c r="P69" s="347"/>
      <c r="Q69" s="347"/>
      <c r="R69" s="347"/>
      <c r="S69" s="347"/>
      <c r="T69" s="295"/>
    </row>
    <row r="70" spans="1:20">
      <c r="A70" s="212"/>
      <c r="B70" s="230"/>
      <c r="C70" s="212"/>
      <c r="D70" s="212"/>
      <c r="E70" s="212"/>
      <c r="F70" s="1452"/>
      <c r="G70" s="1297"/>
      <c r="H70" s="350"/>
      <c r="I70" s="244"/>
      <c r="J70" s="347"/>
      <c r="L70" s="295"/>
      <c r="M70" s="347"/>
      <c r="N70" s="347"/>
      <c r="O70" s="347"/>
      <c r="P70" s="347"/>
      <c r="Q70" s="347"/>
      <c r="R70" s="347"/>
      <c r="S70" s="347"/>
      <c r="T70" s="295"/>
    </row>
    <row r="71" spans="1:20">
      <c r="A71" s="212"/>
      <c r="B71" s="230"/>
      <c r="C71" s="212"/>
      <c r="D71" s="212"/>
      <c r="E71" s="212"/>
      <c r="F71" s="349"/>
      <c r="G71" s="350"/>
      <c r="H71" s="357"/>
      <c r="I71" s="357"/>
      <c r="J71" s="347"/>
      <c r="L71" s="295"/>
      <c r="M71" s="347"/>
      <c r="N71" s="347"/>
      <c r="O71" s="347"/>
      <c r="P71" s="347"/>
      <c r="Q71" s="347"/>
      <c r="R71" s="347"/>
      <c r="S71" s="347"/>
      <c r="T71" s="295"/>
    </row>
    <row r="72" spans="1:20">
      <c r="F72" s="358"/>
      <c r="G72" s="350"/>
      <c r="H72" s="350"/>
      <c r="I72" s="347"/>
      <c r="J72" s="347"/>
      <c r="L72" s="295"/>
      <c r="M72" s="347"/>
      <c r="N72" s="347"/>
      <c r="O72" s="347"/>
      <c r="P72" s="347"/>
      <c r="Q72" s="347"/>
      <c r="R72" s="347"/>
      <c r="S72" s="347"/>
      <c r="T72" s="295"/>
    </row>
    <row r="73" spans="1:20">
      <c r="F73" s="358"/>
      <c r="G73" s="350"/>
      <c r="H73" s="350"/>
      <c r="I73" s="347"/>
      <c r="J73" s="347"/>
      <c r="L73" s="295"/>
      <c r="M73" s="347"/>
      <c r="N73" s="347"/>
      <c r="O73" s="347"/>
      <c r="P73" s="347"/>
      <c r="Q73" s="347"/>
      <c r="R73" s="347"/>
      <c r="S73" s="347"/>
      <c r="T73" s="295"/>
    </row>
    <row r="74" spans="1:20">
      <c r="L74" s="295"/>
      <c r="M74" s="347"/>
      <c r="N74" s="347"/>
      <c r="O74" s="347"/>
      <c r="P74" s="347"/>
      <c r="Q74" s="347"/>
      <c r="R74" s="347"/>
      <c r="S74" s="347"/>
      <c r="T74" s="295"/>
    </row>
    <row r="75" spans="1:20">
      <c r="L75" s="295"/>
      <c r="M75" s="347"/>
      <c r="N75" s="347"/>
      <c r="O75" s="347"/>
      <c r="P75" s="347"/>
      <c r="Q75" s="347"/>
      <c r="R75" s="347"/>
      <c r="S75" s="347"/>
      <c r="T75" s="295"/>
    </row>
    <row r="76" spans="1:20">
      <c r="M76" s="359"/>
      <c r="N76" s="359"/>
      <c r="O76" s="359"/>
      <c r="P76" s="359"/>
      <c r="Q76" s="359"/>
      <c r="R76" s="359"/>
      <c r="S76" s="359"/>
    </row>
  </sheetData>
  <mergeCells count="1">
    <mergeCell ref="N52:R52"/>
  </mergeCells>
  <conditionalFormatting sqref="G33:H34">
    <cfRule type="cellIs" dxfId="640" priority="35" operator="lessThan">
      <formula>-3</formula>
    </cfRule>
    <cfRule type="cellIs" dxfId="639" priority="36" operator="greaterThan">
      <formula>3</formula>
    </cfRule>
  </conditionalFormatting>
  <conditionalFormatting sqref="B13">
    <cfRule type="cellIs" dxfId="638" priority="31" operator="lessThan">
      <formula>-3</formula>
    </cfRule>
    <cfRule type="cellIs" dxfId="637" priority="32" operator="greaterThan">
      <formula>3</formula>
    </cfRule>
  </conditionalFormatting>
  <conditionalFormatting sqref="F52:F56 F69:F70 F58:F67">
    <cfRule type="duplicateValues" dxfId="636" priority="25" stopIfTrue="1"/>
    <cfRule type="duplicateValues" dxfId="635" priority="26" stopIfTrue="1"/>
  </conditionalFormatting>
  <conditionalFormatting sqref="F52:F56 F69:F70 F58:F67">
    <cfRule type="duplicateValues" dxfId="634" priority="27" stopIfTrue="1"/>
  </conditionalFormatting>
  <conditionalFormatting sqref="G52:G56 G69:G70 G58:G67">
    <cfRule type="duplicateValues" dxfId="633" priority="28" stopIfTrue="1"/>
    <cfRule type="duplicateValues" dxfId="632" priority="29" stopIfTrue="1"/>
  </conditionalFormatting>
  <conditionalFormatting sqref="G52:G56 G69:G70 G58:G67">
    <cfRule type="duplicateValues" dxfId="631" priority="30" stopIfTrue="1"/>
  </conditionalFormatting>
  <conditionalFormatting sqref="F68">
    <cfRule type="duplicateValues" dxfId="630" priority="19" stopIfTrue="1"/>
    <cfRule type="duplicateValues" dxfId="629" priority="20" stopIfTrue="1"/>
  </conditionalFormatting>
  <conditionalFormatting sqref="F68">
    <cfRule type="duplicateValues" dxfId="628" priority="21" stopIfTrue="1"/>
  </conditionalFormatting>
  <conditionalFormatting sqref="G68">
    <cfRule type="duplicateValues" dxfId="627" priority="22" stopIfTrue="1"/>
    <cfRule type="duplicateValues" dxfId="626" priority="23" stopIfTrue="1"/>
  </conditionalFormatting>
  <conditionalFormatting sqref="G68">
    <cfRule type="duplicateValues" dxfId="625" priority="24" stopIfTrue="1"/>
  </conditionalFormatting>
  <conditionalFormatting sqref="F57">
    <cfRule type="duplicateValues" dxfId="624" priority="13" stopIfTrue="1"/>
    <cfRule type="duplicateValues" dxfId="623" priority="14" stopIfTrue="1"/>
  </conditionalFormatting>
  <conditionalFormatting sqref="F57">
    <cfRule type="duplicateValues" dxfId="622" priority="15" stopIfTrue="1"/>
  </conditionalFormatting>
  <conditionalFormatting sqref="G57">
    <cfRule type="duplicateValues" dxfId="621" priority="16" stopIfTrue="1"/>
    <cfRule type="duplicateValues" dxfId="620" priority="17" stopIfTrue="1"/>
  </conditionalFormatting>
  <conditionalFormatting sqref="G57">
    <cfRule type="duplicateValues" dxfId="619" priority="18" stopIfTrue="1"/>
  </conditionalFormatting>
  <conditionalFormatting sqref="F51">
    <cfRule type="duplicateValues" dxfId="618" priority="7" stopIfTrue="1"/>
    <cfRule type="duplicateValues" dxfId="617" priority="8" stopIfTrue="1"/>
  </conditionalFormatting>
  <conditionalFormatting sqref="F51">
    <cfRule type="duplicateValues" dxfId="616" priority="9" stopIfTrue="1"/>
  </conditionalFormatting>
  <conditionalFormatting sqref="G51">
    <cfRule type="duplicateValues" dxfId="615" priority="10" stopIfTrue="1"/>
    <cfRule type="duplicateValues" dxfId="614" priority="11" stopIfTrue="1"/>
  </conditionalFormatting>
  <conditionalFormatting sqref="G51">
    <cfRule type="duplicateValues" dxfId="613" priority="12" stopIfTrue="1"/>
  </conditionalFormatting>
  <conditionalFormatting sqref="A14:A18">
    <cfRule type="duplicateValues" dxfId="612" priority="37" stopIfTrue="1"/>
    <cfRule type="duplicateValues" dxfId="611" priority="38" stopIfTrue="1"/>
  </conditionalFormatting>
  <conditionalFormatting sqref="A14:A18">
    <cfRule type="duplicateValues" dxfId="610" priority="39" stopIfTrue="1"/>
  </conditionalFormatting>
  <conditionalFormatting sqref="B14 B17:B18">
    <cfRule type="duplicateValues" dxfId="609" priority="40" stopIfTrue="1"/>
    <cfRule type="duplicateValues" dxfId="608" priority="41" stopIfTrue="1"/>
  </conditionalFormatting>
  <conditionalFormatting sqref="B14 B17:B18">
    <cfRule type="duplicateValues" dxfId="607" priority="42" stopIfTrue="1"/>
  </conditionalFormatting>
  <pageMargins left="0.75" right="0.75" top="1" bottom="1" header="0.5" footer="0.5"/>
  <pageSetup paperSize="9" scale="46"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19">
    <tabColor rgb="FFFF66CC"/>
    <pageSetUpPr fitToPage="1"/>
  </sheetPr>
  <dimension ref="A1:AT207"/>
  <sheetViews>
    <sheetView topLeftCell="A28" zoomScale="80" zoomScaleNormal="80" workbookViewId="0">
      <selection activeCell="C3" sqref="C3:D3"/>
    </sheetView>
  </sheetViews>
  <sheetFormatPr defaultColWidth="9.83203125" defaultRowHeight="12.75"/>
  <cols>
    <col min="1" max="1" width="25.83203125" style="137" customWidth="1"/>
    <col min="2" max="2" width="49.5" style="491" bestFit="1" customWidth="1"/>
    <col min="3" max="4" width="16.1640625" style="141" bestFit="1" customWidth="1"/>
    <col min="5" max="5" width="30.33203125" style="141" customWidth="1"/>
    <col min="6" max="7" width="16.1640625" style="137" bestFit="1" customWidth="1"/>
    <col min="8" max="9" width="5.5" style="141" customWidth="1"/>
    <col min="10" max="11" width="16.1640625" style="137" bestFit="1" customWidth="1"/>
    <col min="12" max="12" width="5.5" style="141" customWidth="1"/>
    <col min="13" max="13" width="21.1640625" style="141" customWidth="1"/>
    <col min="14" max="14" width="19.83203125" style="141" customWidth="1"/>
    <col min="15" max="15" width="4.6640625" style="141" customWidth="1"/>
    <col min="16" max="16" width="23.6640625" style="141" customWidth="1"/>
    <col min="17" max="17" width="26.33203125" style="141" customWidth="1"/>
    <col min="18" max="18" width="3.83203125" style="141" customWidth="1"/>
    <col min="19" max="19" width="3.1640625" style="141" customWidth="1"/>
    <col min="20" max="20" width="19.6640625" style="141" customWidth="1"/>
    <col min="21" max="21" width="21.6640625" style="141" customWidth="1"/>
    <col min="22" max="23" width="5.6640625" style="141" customWidth="1"/>
    <col min="24" max="25" width="16.1640625" style="141" customWidth="1"/>
    <col min="26" max="26" width="4.83203125" style="1378" customWidth="1"/>
    <col min="27" max="27" width="5.1640625" style="141" customWidth="1"/>
    <col min="28" max="29" width="16.1640625" style="141" bestFit="1" customWidth="1"/>
    <col min="30" max="30" width="6.33203125" style="493" customWidth="1"/>
    <col min="31" max="31" width="5.5" style="141" customWidth="1"/>
    <col min="32" max="33" width="16.1640625" style="141" bestFit="1" customWidth="1"/>
    <col min="34" max="34" width="16.6640625" style="141" customWidth="1"/>
    <col min="35" max="35" width="42.5" style="141" customWidth="1"/>
    <col min="36" max="36" width="10.1640625" style="493" customWidth="1"/>
    <col min="37" max="38" width="19.33203125" style="141" customWidth="1"/>
    <col min="39" max="39" width="9.83203125" style="141" hidden="1" customWidth="1"/>
    <col min="40" max="40" width="16.1640625" style="141" hidden="1" customWidth="1"/>
    <col min="41" max="41" width="28.1640625" style="141" hidden="1" customWidth="1"/>
    <col min="42" max="42" width="13.5" style="141" bestFit="1" customWidth="1"/>
    <col min="43" max="43" width="11.83203125" style="141" bestFit="1" customWidth="1"/>
    <col min="44" max="44" width="11.83203125" style="137" bestFit="1" customWidth="1"/>
    <col min="45" max="45" width="10.6640625" style="137" bestFit="1" customWidth="1"/>
    <col min="46" max="16384" width="9.83203125" style="137"/>
  </cols>
  <sheetData>
    <row r="1" spans="1:43" ht="27.75" customHeight="1">
      <c r="A1" s="32"/>
      <c r="B1" s="2474" t="str">
        <f>'מאזן בוחן EUROPE'!B2:D2</f>
        <v xml:space="preserve">Algosec Europe Ltd </v>
      </c>
      <c r="Z1" s="141"/>
      <c r="AA1" s="137"/>
      <c r="AB1" s="137"/>
      <c r="AC1" s="137"/>
      <c r="AD1" s="137"/>
      <c r="AE1" s="137"/>
      <c r="AF1" s="137"/>
      <c r="AG1" s="137"/>
      <c r="AH1" s="137"/>
      <c r="AI1" s="137"/>
      <c r="AJ1" s="137"/>
      <c r="AK1" s="137"/>
      <c r="AL1" s="137"/>
      <c r="AM1" s="137"/>
      <c r="AN1" s="137"/>
      <c r="AO1" s="137"/>
      <c r="AP1" s="137"/>
      <c r="AQ1" s="137"/>
    </row>
    <row r="2" spans="1:43" ht="17.100000000000001" customHeight="1">
      <c r="A2" s="32"/>
      <c r="B2" s="619" t="s">
        <v>1499</v>
      </c>
      <c r="Z2" s="141"/>
      <c r="AA2" s="137"/>
      <c r="AB2" s="137"/>
      <c r="AC2" s="137"/>
      <c r="AD2" s="137"/>
      <c r="AE2" s="137"/>
      <c r="AF2" s="137"/>
      <c r="AG2" s="137"/>
      <c r="AH2" s="137"/>
      <c r="AI2" s="137"/>
      <c r="AJ2" s="137"/>
      <c r="AK2" s="137"/>
      <c r="AL2" s="137"/>
      <c r="AM2" s="137"/>
      <c r="AN2" s="137"/>
      <c r="AO2" s="137"/>
      <c r="AP2" s="137"/>
      <c r="AQ2" s="137"/>
    </row>
    <row r="3" spans="1:43" ht="17.100000000000001" customHeight="1">
      <c r="A3" s="32"/>
      <c r="B3" s="620"/>
      <c r="C3" s="4477" t="str">
        <f>'נתונים לשינוי'!C4</f>
        <v>As at December 31, 2021</v>
      </c>
      <c r="D3" s="4477"/>
      <c r="E3" s="561"/>
      <c r="F3" s="4480" t="s">
        <v>2948</v>
      </c>
      <c r="G3" s="4480"/>
      <c r="H3" s="561"/>
      <c r="I3" s="561"/>
      <c r="J3" s="4480" t="s">
        <v>2638</v>
      </c>
      <c r="K3" s="4480"/>
      <c r="L3" s="561"/>
      <c r="M3" s="4478" t="s">
        <v>3893</v>
      </c>
      <c r="N3" s="4478"/>
      <c r="O3" s="561"/>
      <c r="P3" s="4479" t="s">
        <v>3819</v>
      </c>
      <c r="Q3" s="4479"/>
      <c r="R3" s="561"/>
      <c r="S3" s="561"/>
      <c r="T3" s="4478" t="s">
        <v>3892</v>
      </c>
      <c r="U3" s="4478"/>
      <c r="V3" s="561"/>
      <c r="W3" s="561"/>
      <c r="X3" s="4478" t="s">
        <v>3702</v>
      </c>
      <c r="Y3" s="4478"/>
      <c r="Z3" s="141"/>
      <c r="AA3" s="137"/>
      <c r="AB3" s="4477" t="s">
        <v>3894</v>
      </c>
      <c r="AC3" s="4477"/>
      <c r="AD3" s="137"/>
      <c r="AE3" s="137"/>
      <c r="AF3" s="4477" t="s">
        <v>3820</v>
      </c>
      <c r="AG3" s="4477"/>
      <c r="AH3" s="137"/>
      <c r="AI3" s="137"/>
      <c r="AJ3" s="137"/>
      <c r="AK3" s="137"/>
      <c r="AL3" s="137"/>
      <c r="AM3" s="137"/>
      <c r="AN3" s="137"/>
      <c r="AO3" s="137"/>
      <c r="AP3" s="137"/>
      <c r="AQ3" s="137"/>
    </row>
    <row r="4" spans="1:43" ht="17.100000000000001" customHeight="1">
      <c r="A4" s="32"/>
      <c r="B4" s="21" t="s">
        <v>236</v>
      </c>
      <c r="C4" s="137"/>
      <c r="D4" s="137"/>
      <c r="E4" s="137"/>
      <c r="H4" s="137"/>
      <c r="I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row>
    <row r="5" spans="1:43" ht="17.100000000000001" customHeight="1">
      <c r="A5" s="32"/>
      <c r="B5" s="21"/>
      <c r="C5" s="621" t="s">
        <v>294</v>
      </c>
      <c r="D5" s="621" t="s">
        <v>400</v>
      </c>
      <c r="E5" s="622"/>
      <c r="F5" s="2031" t="s">
        <v>294</v>
      </c>
      <c r="G5" s="2031" t="s">
        <v>400</v>
      </c>
      <c r="H5" s="622"/>
      <c r="I5" s="622"/>
      <c r="J5" s="2031" t="s">
        <v>294</v>
      </c>
      <c r="K5" s="2031" t="s">
        <v>400</v>
      </c>
      <c r="L5" s="622"/>
      <c r="M5" s="621" t="s">
        <v>294</v>
      </c>
      <c r="N5" s="621" t="s">
        <v>400</v>
      </c>
      <c r="O5" s="622"/>
      <c r="P5" s="621" t="s">
        <v>294</v>
      </c>
      <c r="Q5" s="621" t="s">
        <v>400</v>
      </c>
      <c r="R5" s="622"/>
      <c r="S5" s="622"/>
      <c r="T5" s="621" t="s">
        <v>294</v>
      </c>
      <c r="U5" s="621" t="s">
        <v>400</v>
      </c>
      <c r="V5" s="622"/>
      <c r="W5" s="622"/>
      <c r="X5" s="621" t="s">
        <v>294</v>
      </c>
      <c r="Y5" s="621" t="s">
        <v>400</v>
      </c>
      <c r="Z5" s="137"/>
      <c r="AA5" s="137"/>
      <c r="AB5" s="621" t="s">
        <v>294</v>
      </c>
      <c r="AC5" s="621" t="s">
        <v>400</v>
      </c>
      <c r="AD5" s="137"/>
      <c r="AE5" s="137"/>
      <c r="AF5" s="621" t="s">
        <v>294</v>
      </c>
      <c r="AG5" s="621" t="s">
        <v>400</v>
      </c>
      <c r="AH5" s="137"/>
      <c r="AI5" s="137"/>
      <c r="AJ5" s="137"/>
      <c r="AK5" s="137"/>
      <c r="AL5" s="137"/>
      <c r="AM5" s="137"/>
      <c r="AN5" s="137"/>
      <c r="AO5" s="137"/>
      <c r="AP5" s="137"/>
      <c r="AQ5" s="137"/>
    </row>
    <row r="6" spans="1:43" ht="18" customHeight="1">
      <c r="A6" s="623"/>
      <c r="B6" s="624" t="s">
        <v>237</v>
      </c>
      <c r="C6" s="137"/>
      <c r="D6" s="137"/>
      <c r="E6" s="137"/>
      <c r="H6" s="137"/>
      <c r="I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row>
    <row r="7" spans="1:43" ht="17.100000000000001" customHeight="1">
      <c r="A7" s="623" t="s">
        <v>264</v>
      </c>
      <c r="B7" s="5" t="s">
        <v>238</v>
      </c>
      <c r="C7" s="137">
        <f>'מאזן בוחן EUROPE'!K32</f>
        <v>4751031.34</v>
      </c>
      <c r="D7" s="137">
        <f>'מאזן בוחן EUROPE'!J32</f>
        <v>3515430.86</v>
      </c>
      <c r="E7" s="625"/>
      <c r="F7" s="137">
        <v>11808455.859999999</v>
      </c>
      <c r="G7" s="137">
        <v>9139101.1999999993</v>
      </c>
      <c r="H7" s="625"/>
      <c r="I7" s="625"/>
      <c r="J7" s="137">
        <v>11689041.060000001</v>
      </c>
      <c r="K7" s="137">
        <v>9118978.4900000002</v>
      </c>
      <c r="L7" s="625"/>
      <c r="M7" s="137">
        <v>6027582.6099999994</v>
      </c>
      <c r="N7" s="137">
        <v>4625825.1399999997</v>
      </c>
      <c r="O7" s="137"/>
      <c r="P7" s="137">
        <v>4909173.6199999992</v>
      </c>
      <c r="Q7" s="137">
        <v>3838524.37</v>
      </c>
      <c r="R7" s="137"/>
      <c r="S7" s="137"/>
      <c r="T7" s="137">
        <v>3399749.87</v>
      </c>
      <c r="U7" s="137">
        <v>2602277.6800000006</v>
      </c>
      <c r="V7" s="137"/>
      <c r="W7" s="137"/>
      <c r="X7" s="137">
        <v>5174147.28</v>
      </c>
      <c r="Y7" s="137">
        <v>3928369.7399999998</v>
      </c>
      <c r="Z7" s="137"/>
      <c r="AA7" s="137"/>
      <c r="AB7" s="137">
        <v>4648131.3</v>
      </c>
      <c r="AC7" s="137">
        <v>3303574.567199951</v>
      </c>
      <c r="AD7" s="137"/>
      <c r="AE7" s="137"/>
      <c r="AF7" s="137">
        <v>6960736.0299999993</v>
      </c>
      <c r="AG7" s="137">
        <v>5154503.9010730684</v>
      </c>
      <c r="AH7" s="137"/>
      <c r="AI7" s="137"/>
      <c r="AJ7" s="137"/>
      <c r="AK7" s="137"/>
      <c r="AL7" s="137"/>
      <c r="AM7" s="137"/>
      <c r="AN7" s="137"/>
      <c r="AO7" s="137"/>
      <c r="AP7" s="137"/>
      <c r="AQ7" s="137"/>
    </row>
    <row r="8" spans="1:43" ht="17.100000000000001" customHeight="1">
      <c r="A8" s="623" t="s">
        <v>257</v>
      </c>
      <c r="B8" s="5" t="s">
        <v>257</v>
      </c>
      <c r="C8" s="137">
        <f>'מאזן בוחן EUROPE'!K163</f>
        <v>6047284.5200000005</v>
      </c>
      <c r="D8" s="137">
        <f>'מאזן בוחן EUROPE'!J163</f>
        <v>4474567.5500000017</v>
      </c>
      <c r="E8" s="625"/>
      <c r="F8" s="137">
        <v>5830367.0300000003</v>
      </c>
      <c r="G8" s="137">
        <v>4512386.3200000012</v>
      </c>
      <c r="H8" s="625"/>
      <c r="I8" s="625"/>
      <c r="J8" s="137">
        <v>6357526.2300000014</v>
      </c>
      <c r="K8" s="137">
        <v>4959700.68</v>
      </c>
      <c r="L8" s="625"/>
      <c r="M8" s="137">
        <v>1593268.8400000003</v>
      </c>
      <c r="N8" s="137">
        <v>1222741.9999999991</v>
      </c>
      <c r="O8" s="137"/>
      <c r="P8" s="137">
        <v>4372540.7200000007</v>
      </c>
      <c r="Q8" s="137">
        <v>3419027.0499999989</v>
      </c>
      <c r="R8" s="137"/>
      <c r="S8" s="137"/>
      <c r="T8" s="137">
        <v>1844062.1100000003</v>
      </c>
      <c r="U8" s="137">
        <v>1411552.7200000007</v>
      </c>
      <c r="V8" s="137"/>
      <c r="W8" s="137"/>
      <c r="X8" s="137">
        <v>2829748.5989545179</v>
      </c>
      <c r="Y8" s="137">
        <v>2148431.079045034</v>
      </c>
      <c r="Z8" s="137"/>
      <c r="AA8" s="137"/>
      <c r="AB8" s="137">
        <v>9100119.0370983575</v>
      </c>
      <c r="AC8" s="137">
        <v>6467743.5908721322</v>
      </c>
      <c r="AD8" s="137"/>
      <c r="AE8" s="137"/>
      <c r="AF8" s="137">
        <v>4012883.3015361987</v>
      </c>
      <c r="AG8" s="137">
        <v>2971399.8719744128</v>
      </c>
      <c r="AH8" s="137"/>
      <c r="AI8" s="137"/>
      <c r="AJ8" s="137"/>
      <c r="AK8" s="137"/>
      <c r="AL8" s="137"/>
      <c r="AM8" s="137"/>
      <c r="AN8" s="137"/>
      <c r="AO8" s="137"/>
      <c r="AP8" s="137"/>
      <c r="AQ8" s="137"/>
    </row>
    <row r="9" spans="1:43" ht="17.100000000000001" customHeight="1">
      <c r="A9" s="623"/>
      <c r="B9" s="5" t="s">
        <v>258</v>
      </c>
      <c r="C9" s="137"/>
      <c r="D9" s="137"/>
      <c r="E9" s="625"/>
      <c r="H9" s="625"/>
      <c r="I9" s="625"/>
      <c r="L9" s="625"/>
      <c r="M9" s="137">
        <v>0</v>
      </c>
      <c r="N9" s="137">
        <v>0</v>
      </c>
      <c r="O9" s="137"/>
      <c r="P9" s="137">
        <v>0</v>
      </c>
      <c r="Q9" s="137">
        <v>0</v>
      </c>
      <c r="R9" s="137"/>
      <c r="S9" s="137"/>
      <c r="T9" s="137">
        <v>0</v>
      </c>
      <c r="U9" s="137">
        <v>0</v>
      </c>
      <c r="V9" s="137"/>
      <c r="W9" s="137"/>
      <c r="X9" s="137">
        <v>0</v>
      </c>
      <c r="Y9" s="137">
        <v>0</v>
      </c>
      <c r="Z9" s="137"/>
      <c r="AA9" s="137"/>
      <c r="AB9" s="137"/>
      <c r="AC9" s="137"/>
      <c r="AD9" s="137"/>
      <c r="AE9" s="137"/>
      <c r="AF9" s="137"/>
      <c r="AG9" s="137"/>
      <c r="AH9" s="137"/>
      <c r="AI9" s="137"/>
      <c r="AJ9" s="137"/>
      <c r="AK9" s="137"/>
      <c r="AL9" s="137"/>
      <c r="AM9" s="137"/>
      <c r="AN9" s="137"/>
      <c r="AO9" s="137"/>
      <c r="AP9" s="137"/>
      <c r="AQ9" s="137"/>
    </row>
    <row r="10" spans="1:43" ht="17.100000000000001" customHeight="1">
      <c r="A10" s="623" t="s">
        <v>259</v>
      </c>
      <c r="B10" s="5" t="s">
        <v>259</v>
      </c>
      <c r="C10" s="137">
        <f>'מאזן בוחן EUROPE'!K193+'מאזן בוחן EUROPE'!K187</f>
        <v>6988129.0499999998</v>
      </c>
      <c r="D10" s="137">
        <f>'מאזן בוחן EUROPE'!J193+'מאזן בוחן EUROPE'!J187</f>
        <v>5333006.96</v>
      </c>
      <c r="E10" s="625"/>
      <c r="F10" s="137">
        <v>1816569.7173988954</v>
      </c>
      <c r="G10" s="137">
        <v>1947462.0862278652</v>
      </c>
      <c r="H10" s="625"/>
      <c r="I10" s="625"/>
      <c r="J10" s="137">
        <v>1637818.8429203224</v>
      </c>
      <c r="K10" s="137">
        <v>2195752.269943851</v>
      </c>
      <c r="L10" s="625"/>
      <c r="M10" s="137">
        <v>287239.79000000004</v>
      </c>
      <c r="N10" s="137">
        <v>221594.71999999997</v>
      </c>
      <c r="O10" s="137"/>
      <c r="P10" s="137">
        <v>118599.35</v>
      </c>
      <c r="Q10" s="137">
        <v>91870.56</v>
      </c>
      <c r="R10" s="137"/>
      <c r="S10" s="137"/>
      <c r="T10" s="137">
        <v>120634.32</v>
      </c>
      <c r="U10" s="137">
        <v>91024.95</v>
      </c>
      <c r="V10" s="137"/>
      <c r="W10" s="137"/>
      <c r="X10" s="137">
        <v>81433.23000000001</v>
      </c>
      <c r="Y10" s="137">
        <v>60885.64</v>
      </c>
      <c r="Z10" s="137"/>
      <c r="AA10" s="137"/>
      <c r="AB10" s="137">
        <v>120982.41</v>
      </c>
      <c r="AC10" s="137">
        <v>89987.081828405004</v>
      </c>
      <c r="AD10" s="137"/>
      <c r="AE10" s="137"/>
      <c r="AF10" s="137">
        <v>99042.959999999992</v>
      </c>
      <c r="AG10" s="137">
        <v>74300.001563467828</v>
      </c>
      <c r="AH10" s="137"/>
      <c r="AI10" s="137"/>
      <c r="AJ10" s="137"/>
      <c r="AK10" s="137"/>
      <c r="AL10" s="137"/>
      <c r="AM10" s="137"/>
      <c r="AN10" s="137"/>
      <c r="AO10" s="137"/>
      <c r="AP10" s="137"/>
      <c r="AQ10" s="137"/>
    </row>
    <row r="11" spans="1:43" ht="17.100000000000001" customHeight="1">
      <c r="A11" s="623" t="s">
        <v>298</v>
      </c>
      <c r="B11" s="5" t="s">
        <v>331</v>
      </c>
      <c r="C11" s="137">
        <f>'מאזן בוחן EUROPE'!K178</f>
        <v>-5176607.1900000004</v>
      </c>
      <c r="D11" s="137">
        <f>'מאזן בוחן EUROPE'!J178</f>
        <v>-3830237.7600000002</v>
      </c>
      <c r="E11" s="625"/>
      <c r="F11" s="137">
        <v>-6497461.1344358716</v>
      </c>
      <c r="G11" s="137">
        <v>-5028628.7130000116</v>
      </c>
      <c r="H11" s="625"/>
      <c r="I11" s="625"/>
      <c r="J11" s="137">
        <v>-6740454.1790859858</v>
      </c>
      <c r="K11" s="137">
        <v>-5258389.2396605778</v>
      </c>
      <c r="L11" s="625"/>
      <c r="M11" s="137">
        <v>9153286.120000001</v>
      </c>
      <c r="N11" s="137">
        <v>7024624.0700000003</v>
      </c>
      <c r="O11" s="137"/>
      <c r="P11" s="137">
        <v>6002250.4800000004</v>
      </c>
      <c r="Q11" s="137">
        <v>4693210.5599999996</v>
      </c>
      <c r="R11" s="137"/>
      <c r="S11" s="137"/>
      <c r="T11" s="137">
        <v>10745126.9</v>
      </c>
      <c r="U11" s="137">
        <v>8224666.9600000009</v>
      </c>
      <c r="V11" s="137"/>
      <c r="W11" s="137"/>
      <c r="X11" s="137">
        <v>9255824.1399999987</v>
      </c>
      <c r="Y11" s="137">
        <v>7027302.9700000007</v>
      </c>
      <c r="Z11" s="137"/>
      <c r="AA11" s="137"/>
      <c r="AB11" s="137">
        <v>7546494.3099999996</v>
      </c>
      <c r="AC11" s="137">
        <v>5363533.93</v>
      </c>
      <c r="AD11" s="137"/>
      <c r="AE11" s="137"/>
      <c r="AF11" s="137">
        <v>1566450.1800000002</v>
      </c>
      <c r="AG11" s="137">
        <v>1159973.1158991009</v>
      </c>
      <c r="AH11" s="137"/>
      <c r="AI11" s="137"/>
      <c r="AJ11" s="137"/>
      <c r="AK11" s="137"/>
      <c r="AL11" s="137"/>
      <c r="AM11" s="137"/>
      <c r="AN11" s="137"/>
      <c r="AO11" s="137"/>
      <c r="AP11" s="137"/>
      <c r="AQ11" s="137"/>
    </row>
    <row r="12" spans="1:43" ht="17.100000000000001" customHeight="1">
      <c r="A12" s="623"/>
      <c r="B12" s="14" t="s">
        <v>1500</v>
      </c>
      <c r="C12" s="91">
        <f>SUM(C7:C11)</f>
        <v>12609837.719999999</v>
      </c>
      <c r="D12" s="91">
        <f>SUM(D7:D11)</f>
        <v>9492767.6100000013</v>
      </c>
      <c r="E12" s="625"/>
      <c r="F12" s="91">
        <v>12957931.472963026</v>
      </c>
      <c r="G12" s="91">
        <v>10570320.893227853</v>
      </c>
      <c r="H12" s="625"/>
      <c r="I12" s="625"/>
      <c r="J12" s="91">
        <v>12943931.95383434</v>
      </c>
      <c r="K12" s="91">
        <v>11016042.200283272</v>
      </c>
      <c r="L12" s="625"/>
      <c r="M12" s="91">
        <v>17061377.359999999</v>
      </c>
      <c r="N12" s="91">
        <v>13094785.93</v>
      </c>
      <c r="O12" s="163"/>
      <c r="P12" s="91">
        <v>15402564.17</v>
      </c>
      <c r="Q12" s="91">
        <v>12042632.539999999</v>
      </c>
      <c r="R12" s="163"/>
      <c r="S12" s="163"/>
      <c r="T12" s="91">
        <v>16109573.200000001</v>
      </c>
      <c r="U12" s="91">
        <v>12329522.310000002</v>
      </c>
      <c r="V12" s="163"/>
      <c r="W12" s="163"/>
      <c r="X12" s="91">
        <v>17341153.24895452</v>
      </c>
      <c r="Y12" s="91">
        <v>13164989.429045033</v>
      </c>
      <c r="Z12" s="137"/>
      <c r="AA12" s="137"/>
      <c r="AB12" s="91">
        <f>SUM(AB7:AB11)</f>
        <v>21415727.057098355</v>
      </c>
      <c r="AC12" s="91">
        <f>SUM(AC7:AC11)</f>
        <v>15224839.169900488</v>
      </c>
      <c r="AD12" s="137"/>
      <c r="AE12" s="137"/>
      <c r="AF12" s="91">
        <f>SUM(AF7:AF11)</f>
        <v>12639112.471536199</v>
      </c>
      <c r="AG12" s="91">
        <f>SUM(AG7:AG11)</f>
        <v>9360176.8905100487</v>
      </c>
      <c r="AH12" s="137"/>
      <c r="AI12" s="137"/>
      <c r="AJ12" s="137"/>
      <c r="AK12" s="137"/>
      <c r="AL12" s="137"/>
      <c r="AM12" s="137"/>
      <c r="AN12" s="137"/>
      <c r="AO12" s="137"/>
      <c r="AP12" s="137"/>
      <c r="AQ12" s="137"/>
    </row>
    <row r="13" spans="1:43" ht="17.100000000000001" customHeight="1">
      <c r="A13" s="623"/>
      <c r="B13" s="14"/>
      <c r="C13" s="163"/>
      <c r="D13" s="163"/>
      <c r="E13" s="625"/>
      <c r="F13" s="382"/>
      <c r="G13" s="382"/>
      <c r="H13" s="625"/>
      <c r="I13" s="625"/>
      <c r="J13" s="382"/>
      <c r="K13" s="382"/>
      <c r="L13" s="625"/>
      <c r="M13" s="163"/>
      <c r="N13" s="163"/>
      <c r="O13" s="163"/>
      <c r="P13" s="163"/>
      <c r="Q13" s="163"/>
      <c r="R13" s="163"/>
      <c r="S13" s="163"/>
      <c r="T13" s="137"/>
      <c r="U13" s="137"/>
      <c r="V13" s="163"/>
      <c r="W13" s="163"/>
      <c r="X13" s="137"/>
      <c r="Y13" s="137"/>
      <c r="Z13" s="137"/>
      <c r="AA13" s="137"/>
      <c r="AB13" s="163"/>
      <c r="AC13" s="163"/>
      <c r="AD13" s="137"/>
      <c r="AE13" s="137"/>
      <c r="AF13" s="163"/>
      <c r="AG13" s="163"/>
      <c r="AH13" s="137"/>
      <c r="AI13" s="137"/>
      <c r="AJ13" s="137"/>
      <c r="AK13" s="137"/>
      <c r="AL13" s="137"/>
      <c r="AM13" s="137"/>
      <c r="AN13" s="137"/>
      <c r="AO13" s="137"/>
      <c r="AP13" s="137"/>
      <c r="AQ13" s="137"/>
    </row>
    <row r="14" spans="1:43" ht="17.100000000000001" customHeight="1">
      <c r="A14" s="623"/>
      <c r="B14" s="8" t="s">
        <v>809</v>
      </c>
      <c r="C14" s="137"/>
      <c r="D14" s="137"/>
      <c r="E14" s="625"/>
      <c r="H14" s="625"/>
      <c r="I14" s="625"/>
      <c r="L14" s="625"/>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row>
    <row r="15" spans="1:43" ht="17.100000000000001" customHeight="1">
      <c r="A15" s="623"/>
      <c r="B15" s="5" t="s">
        <v>1920</v>
      </c>
      <c r="C15" s="137">
        <f>'מאזן בוחן EUROPE'!K212</f>
        <v>377994.78</v>
      </c>
      <c r="D15" s="137">
        <f>'מאזן בוחן EUROPE'!J212</f>
        <v>291202.39</v>
      </c>
      <c r="E15" s="625"/>
      <c r="F15" s="137">
        <v>300249</v>
      </c>
      <c r="G15" s="137">
        <v>233954</v>
      </c>
      <c r="H15" s="625"/>
      <c r="I15" s="625"/>
      <c r="J15" s="137">
        <v>300249</v>
      </c>
      <c r="K15" s="137">
        <v>233954</v>
      </c>
      <c r="L15" s="625"/>
      <c r="M15" s="137">
        <v>125764</v>
      </c>
      <c r="N15" s="137">
        <v>98336</v>
      </c>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row>
    <row r="16" spans="1:43" ht="17.100000000000001" customHeight="1">
      <c r="A16" s="623"/>
      <c r="B16" s="5" t="s">
        <v>1921</v>
      </c>
      <c r="C16" s="137">
        <f>'מאזן בוחן EUROPE'!K213</f>
        <v>3151712.93</v>
      </c>
      <c r="D16" s="137">
        <f>'מאזן בוחן EUROPE'!J213</f>
        <v>2412722</v>
      </c>
      <c r="E16" s="625"/>
      <c r="F16" s="137">
        <v>739399.05605688703</v>
      </c>
      <c r="G16" s="137">
        <v>866569.27818880975</v>
      </c>
      <c r="H16" s="625"/>
      <c r="I16" s="625"/>
      <c r="J16" s="137">
        <v>617698.50492410443</v>
      </c>
      <c r="K16" s="137">
        <v>983847.00690812955</v>
      </c>
      <c r="L16" s="625"/>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row>
    <row r="17" spans="1:43" ht="17.100000000000001" customHeight="1">
      <c r="A17" s="623"/>
      <c r="B17" s="5" t="s">
        <v>303</v>
      </c>
      <c r="C17" s="137"/>
      <c r="D17" s="137"/>
      <c r="E17" s="625"/>
      <c r="H17" s="625"/>
      <c r="I17" s="625"/>
      <c r="L17" s="625"/>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v>-1</v>
      </c>
      <c r="AJ17" s="137"/>
      <c r="AK17" s="137"/>
      <c r="AL17" s="137"/>
      <c r="AM17" s="137"/>
      <c r="AN17" s="137"/>
      <c r="AO17" s="137"/>
      <c r="AP17" s="137"/>
      <c r="AQ17" s="137"/>
    </row>
    <row r="18" spans="1:43" ht="17.100000000000001" customHeight="1">
      <c r="A18" s="623"/>
      <c r="B18" s="5" t="s">
        <v>258</v>
      </c>
      <c r="C18" s="137">
        <f>'מאזן בוחן EUROPE'!K211</f>
        <v>28884.22</v>
      </c>
      <c r="D18" s="137">
        <f>'מאזן בוחן EUROPE'!J211</f>
        <v>21372.3</v>
      </c>
      <c r="E18" s="625"/>
      <c r="F18" s="137">
        <v>34741.46</v>
      </c>
      <c r="G18" s="137">
        <v>26888</v>
      </c>
      <c r="H18" s="625"/>
      <c r="I18" s="625"/>
      <c r="J18" s="137">
        <v>34466.019999999997</v>
      </c>
      <c r="K18" s="137">
        <v>26888</v>
      </c>
      <c r="L18" s="625"/>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row>
    <row r="19" spans="1:43" ht="17.100000000000001" customHeight="1">
      <c r="A19" s="623"/>
      <c r="B19" s="5"/>
      <c r="C19" s="137"/>
      <c r="D19" s="137"/>
      <c r="E19" s="625"/>
      <c r="H19" s="625"/>
      <c r="I19" s="625"/>
      <c r="L19" s="625"/>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row>
    <row r="20" spans="1:43" ht="17.100000000000001" customHeight="1">
      <c r="A20" s="623" t="s">
        <v>68</v>
      </c>
      <c r="B20" s="8" t="s">
        <v>141</v>
      </c>
      <c r="C20" s="137">
        <f>'מאזן בוחן EUROPE'!K207</f>
        <v>33180.06</v>
      </c>
      <c r="D20" s="137">
        <f>'מאזן בוחן EUROPE'!J207</f>
        <v>24260.23</v>
      </c>
      <c r="E20" s="625"/>
      <c r="F20" s="137">
        <v>5848.6</v>
      </c>
      <c r="G20" s="137">
        <v>4360.34</v>
      </c>
      <c r="H20" s="625"/>
      <c r="I20" s="625"/>
      <c r="J20" s="137">
        <v>3513.7799999999997</v>
      </c>
      <c r="K20" s="137">
        <v>2660.91</v>
      </c>
      <c r="L20" s="625"/>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row>
    <row r="21" spans="1:43" ht="17.100000000000001" customHeight="1">
      <c r="A21" s="623"/>
      <c r="B21" s="5"/>
      <c r="C21" s="137"/>
      <c r="D21" s="137"/>
      <c r="E21" s="625"/>
      <c r="H21" s="625"/>
      <c r="I21" s="625"/>
      <c r="L21" s="625"/>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row>
    <row r="22" spans="1:43" ht="17.100000000000001" customHeight="1">
      <c r="A22" s="623"/>
      <c r="B22" s="11"/>
      <c r="C22" s="137"/>
      <c r="D22" s="137"/>
      <c r="E22" s="625"/>
      <c r="H22" s="625"/>
      <c r="I22" s="625"/>
      <c r="L22" s="625"/>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row>
    <row r="23" spans="1:43" ht="17.100000000000001" customHeight="1">
      <c r="A23" s="623"/>
      <c r="B23" s="8" t="s">
        <v>239</v>
      </c>
      <c r="C23" s="91">
        <f>SUM(C12:C22)</f>
        <v>16201609.709999999</v>
      </c>
      <c r="D23" s="91">
        <f>SUM(D12:D22)</f>
        <v>12242324.530000003</v>
      </c>
      <c r="E23" s="625"/>
      <c r="F23" s="91">
        <v>14038169.589019913</v>
      </c>
      <c r="G23" s="91">
        <v>11702092.511416662</v>
      </c>
      <c r="H23" s="625"/>
      <c r="I23" s="625"/>
      <c r="J23" s="91">
        <v>13899859.258758442</v>
      </c>
      <c r="K23" s="91">
        <v>12263392.117191402</v>
      </c>
      <c r="L23" s="625"/>
      <c r="M23" s="91">
        <v>17187141.359999999</v>
      </c>
      <c r="N23" s="91">
        <v>13193121.93</v>
      </c>
      <c r="O23" s="163"/>
      <c r="P23" s="91">
        <v>15402564.17</v>
      </c>
      <c r="Q23" s="91">
        <v>12042632.539999999</v>
      </c>
      <c r="R23" s="163"/>
      <c r="S23" s="163"/>
      <c r="T23" s="91">
        <v>16109573.200000001</v>
      </c>
      <c r="U23" s="91">
        <v>12329522.310000002</v>
      </c>
      <c r="V23" s="163"/>
      <c r="W23" s="163"/>
      <c r="X23" s="91">
        <v>17341153.24895452</v>
      </c>
      <c r="Y23" s="91">
        <v>13164989.429045033</v>
      </c>
      <c r="Z23" s="137"/>
      <c r="AA23" s="137"/>
      <c r="AB23" s="91">
        <f>SUM(AB12:AB22)</f>
        <v>21415727.057098355</v>
      </c>
      <c r="AC23" s="91">
        <f>SUM(AC12:AC22)</f>
        <v>15224839.169900488</v>
      </c>
      <c r="AD23" s="137"/>
      <c r="AE23" s="137"/>
      <c r="AF23" s="91">
        <f>SUM(AF12:AF22)</f>
        <v>12639112.471536199</v>
      </c>
      <c r="AG23" s="91">
        <f>SUM(AG12:AG22)</f>
        <v>9360176.8905100487</v>
      </c>
      <c r="AH23" s="137"/>
      <c r="AI23" s="137"/>
      <c r="AJ23" s="137"/>
      <c r="AK23" s="137"/>
      <c r="AL23" s="137"/>
      <c r="AM23" s="137"/>
      <c r="AN23" s="137"/>
      <c r="AO23" s="137"/>
      <c r="AP23" s="137"/>
      <c r="AQ23" s="137"/>
    </row>
    <row r="24" spans="1:43" ht="17.100000000000001" customHeight="1">
      <c r="A24" s="623"/>
      <c r="B24" s="11"/>
      <c r="C24" s="137"/>
      <c r="D24" s="137"/>
      <c r="E24" s="625"/>
      <c r="H24" s="625"/>
      <c r="I24" s="625"/>
      <c r="L24" s="625"/>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row>
    <row r="25" spans="1:43" ht="17.100000000000001" customHeight="1">
      <c r="A25" s="623"/>
      <c r="B25" s="11"/>
      <c r="C25" s="137"/>
      <c r="D25" s="137"/>
      <c r="E25" s="625"/>
      <c r="H25" s="625"/>
      <c r="I25" s="625"/>
      <c r="L25" s="625"/>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row>
    <row r="26" spans="1:43" ht="17.100000000000001" customHeight="1">
      <c r="A26" s="623"/>
      <c r="B26" s="626" t="s">
        <v>240</v>
      </c>
      <c r="C26" s="137"/>
      <c r="D26" s="137"/>
      <c r="E26" s="625"/>
      <c r="H26" s="625"/>
      <c r="I26" s="625"/>
      <c r="L26" s="625"/>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row>
    <row r="27" spans="1:43" ht="17.100000000000001" customHeight="1">
      <c r="A27" s="623" t="s">
        <v>241</v>
      </c>
      <c r="B27" s="5" t="s">
        <v>241</v>
      </c>
      <c r="C27" s="137">
        <f>('מאזן בוחן EUROPE'!K241-'מאזן בוחן EUROPE'!K239)*-1</f>
        <v>63650.750000000007</v>
      </c>
      <c r="D27" s="137">
        <f>('מאזן בוחן EUROPE'!J241-'מאזן בוחן EUROPE'!J239)*-1</f>
        <v>47097.110000000008</v>
      </c>
      <c r="E27" s="625"/>
      <c r="F27" s="137">
        <v>118902.33000000002</v>
      </c>
      <c r="G27" s="137">
        <v>92023.91</v>
      </c>
      <c r="H27" s="625"/>
      <c r="I27" s="625"/>
      <c r="J27" s="137">
        <v>101631.12000000001</v>
      </c>
      <c r="K27" s="137">
        <v>79285.53</v>
      </c>
      <c r="L27" s="625"/>
      <c r="M27" s="137">
        <v>110566.69</v>
      </c>
      <c r="N27" s="137">
        <v>84891.31</v>
      </c>
      <c r="O27" s="137"/>
      <c r="P27" s="137">
        <v>166081.46000000002</v>
      </c>
      <c r="Q27" s="137">
        <v>129844.38</v>
      </c>
      <c r="R27" s="137"/>
      <c r="S27" s="137"/>
      <c r="T27" s="137">
        <v>98255.27</v>
      </c>
      <c r="U27" s="137">
        <v>75207.740000000005</v>
      </c>
      <c r="V27" s="137"/>
      <c r="W27" s="137"/>
      <c r="X27" s="137">
        <v>72580.430000000008</v>
      </c>
      <c r="Y27" s="137">
        <v>55115.96</v>
      </c>
      <c r="Z27" s="137"/>
      <c r="AA27" s="137"/>
      <c r="AB27" s="137">
        <v>149340.04</v>
      </c>
      <c r="AC27" s="137">
        <v>106140.73</v>
      </c>
      <c r="AD27" s="137"/>
      <c r="AE27" s="137"/>
      <c r="AF27" s="137">
        <v>162659.07</v>
      </c>
      <c r="AG27" s="137">
        <v>120450.88</v>
      </c>
      <c r="AH27" s="137"/>
      <c r="AI27" s="137"/>
      <c r="AJ27" s="137"/>
      <c r="AK27" s="137"/>
      <c r="AL27" s="137"/>
      <c r="AM27" s="137"/>
      <c r="AN27" s="137"/>
      <c r="AO27" s="137"/>
      <c r="AP27" s="137"/>
      <c r="AQ27" s="137"/>
    </row>
    <row r="28" spans="1:43" ht="17.100000000000001" customHeight="1">
      <c r="A28" s="623" t="s">
        <v>260</v>
      </c>
      <c r="B28" s="5" t="s">
        <v>290</v>
      </c>
      <c r="C28" s="137">
        <f>('מאזן בוחן EUROPE'!K239+'מאזן בוחן EUROPE'!K265+'מאזן בוחן EUROPE'!K276)*-1</f>
        <v>1091689.8900000001</v>
      </c>
      <c r="D28" s="137">
        <f>('מאזן בוחן EUROPE'!J239+'מאזן בוחן EUROPE'!J265+'מאזן בוחן EUROPE'!J276)*-1</f>
        <v>809131.01999999979</v>
      </c>
      <c r="E28" s="625"/>
      <c r="F28" s="137">
        <v>668309.24895577645</v>
      </c>
      <c r="G28" s="137">
        <v>516738.19666666666</v>
      </c>
      <c r="H28" s="625"/>
      <c r="I28" s="625"/>
      <c r="J28" s="137">
        <v>809149.62636963476</v>
      </c>
      <c r="K28" s="137">
        <v>630751.17935928027</v>
      </c>
      <c r="L28" s="625"/>
      <c r="M28" s="137">
        <v>667491.12</v>
      </c>
      <c r="N28" s="137">
        <v>516360.49000000005</v>
      </c>
      <c r="O28" s="137"/>
      <c r="P28" s="137">
        <v>997158.66999999993</v>
      </c>
      <c r="Q28" s="137">
        <v>779788.69000000006</v>
      </c>
      <c r="R28" s="137"/>
      <c r="S28" s="137"/>
      <c r="T28" s="137">
        <v>491512.32000000007</v>
      </c>
      <c r="U28" s="137">
        <v>376218.87</v>
      </c>
      <c r="V28" s="137"/>
      <c r="W28" s="137"/>
      <c r="X28" s="137">
        <v>568841.5127912329</v>
      </c>
      <c r="Y28" s="137">
        <v>420294.53369485179</v>
      </c>
      <c r="Z28" s="137"/>
      <c r="AA28" s="137"/>
      <c r="AB28" s="137">
        <v>285536.85000000003</v>
      </c>
      <c r="AC28" s="137">
        <v>202940.46999999997</v>
      </c>
      <c r="AD28" s="137"/>
      <c r="AE28" s="137"/>
      <c r="AF28" s="137">
        <v>1049798.5308414127</v>
      </c>
      <c r="AG28" s="137">
        <v>777387.29510864767</v>
      </c>
      <c r="AH28" s="137"/>
      <c r="AI28" s="137"/>
      <c r="AJ28" s="137"/>
      <c r="AK28" s="137"/>
      <c r="AL28" s="137"/>
      <c r="AM28" s="137"/>
      <c r="AN28" s="137"/>
      <c r="AO28" s="137"/>
      <c r="AP28" s="137"/>
      <c r="AQ28" s="137"/>
    </row>
    <row r="29" spans="1:43" ht="17.100000000000001" customHeight="1">
      <c r="A29" s="627" t="s">
        <v>261</v>
      </c>
      <c r="B29" s="5" t="s">
        <v>261</v>
      </c>
      <c r="C29" s="137">
        <f>('מאזן בוחן EUROPE'!K292)*-1</f>
        <v>7842201.4699999988</v>
      </c>
      <c r="D29" s="137">
        <f>('מאזן בוחן EUROPE'!J292)*-1</f>
        <v>6455420.2300000004</v>
      </c>
      <c r="E29" s="3042"/>
      <c r="F29" s="137">
        <v>10935730.41</v>
      </c>
      <c r="G29" s="137">
        <v>9035559.3099999987</v>
      </c>
      <c r="H29" s="625"/>
      <c r="I29" s="625"/>
      <c r="J29" s="137">
        <v>7383793.2800000012</v>
      </c>
      <c r="K29" s="137">
        <v>6261656.790000001</v>
      </c>
      <c r="L29" s="625"/>
      <c r="M29" s="137">
        <v>6919584.0700000003</v>
      </c>
      <c r="N29" s="137">
        <v>5704138.0699999994</v>
      </c>
      <c r="O29" s="137"/>
      <c r="P29" s="137">
        <v>8331246.1399999997</v>
      </c>
      <c r="Q29" s="137">
        <v>6028791.6399999997</v>
      </c>
      <c r="R29" s="137"/>
      <c r="S29" s="137"/>
      <c r="T29" s="137">
        <v>8642425.6099999994</v>
      </c>
      <c r="U29" s="137">
        <v>6229566.5899999999</v>
      </c>
      <c r="V29" s="137"/>
      <c r="W29" s="137"/>
      <c r="X29" s="137">
        <v>9140253.7489545271</v>
      </c>
      <c r="Y29" s="137">
        <v>6574442.6200798806</v>
      </c>
      <c r="Z29" s="137"/>
      <c r="AA29" s="137"/>
      <c r="AB29" s="137">
        <v>18828497.719999999</v>
      </c>
      <c r="AC29" s="137">
        <v>13880909.609999999</v>
      </c>
      <c r="AD29" s="137"/>
      <c r="AE29" s="137"/>
      <c r="AF29" s="137">
        <v>5880833.9344378412</v>
      </c>
      <c r="AG29" s="137">
        <v>4505744.2624103473</v>
      </c>
      <c r="AH29" s="137"/>
      <c r="AI29" s="137"/>
      <c r="AJ29" s="137"/>
      <c r="AK29" s="137"/>
      <c r="AL29" s="137"/>
      <c r="AM29" s="137"/>
      <c r="AN29" s="137"/>
      <c r="AO29" s="137"/>
      <c r="AP29" s="137"/>
      <c r="AQ29" s="137"/>
    </row>
    <row r="30" spans="1:43" ht="17.100000000000001" customHeight="1">
      <c r="A30" s="627" t="s">
        <v>298</v>
      </c>
      <c r="B30" s="5" t="s">
        <v>331</v>
      </c>
      <c r="C30" s="137"/>
      <c r="D30" s="137"/>
      <c r="E30" s="625"/>
      <c r="H30" s="625"/>
      <c r="I30" s="625"/>
      <c r="L30" s="625"/>
      <c r="M30" s="137"/>
      <c r="N30" s="137"/>
      <c r="O30" s="137"/>
      <c r="P30" s="137"/>
      <c r="Q30" s="137"/>
      <c r="R30" s="137"/>
      <c r="S30" s="137"/>
      <c r="T30" s="137"/>
      <c r="U30" s="137"/>
      <c r="V30" s="137"/>
      <c r="W30" s="137"/>
      <c r="X30" s="137"/>
      <c r="Y30" s="137"/>
      <c r="Z30" s="137"/>
      <c r="AA30" s="137"/>
      <c r="AD30" s="137"/>
      <c r="AE30" s="137"/>
      <c r="AH30" s="137"/>
      <c r="AI30" s="137"/>
      <c r="AJ30" s="137"/>
      <c r="AK30" s="137"/>
      <c r="AL30" s="137"/>
      <c r="AM30" s="137"/>
      <c r="AN30" s="137"/>
      <c r="AO30" s="137"/>
      <c r="AP30" s="137"/>
      <c r="AQ30" s="137"/>
    </row>
    <row r="31" spans="1:43" ht="17.100000000000001" customHeight="1">
      <c r="A31" s="623"/>
      <c r="B31" s="14" t="s">
        <v>139</v>
      </c>
      <c r="C31" s="91">
        <f>SUM(C27:C30)</f>
        <v>8997542.1099999994</v>
      </c>
      <c r="D31" s="91">
        <f>SUM(D27:D30)</f>
        <v>7311648.3600000003</v>
      </c>
      <c r="E31" s="625"/>
      <c r="F31" s="91">
        <v>11722941.988955777</v>
      </c>
      <c r="G31" s="91">
        <v>9644321.416666666</v>
      </c>
      <c r="H31" s="625"/>
      <c r="I31" s="625"/>
      <c r="J31" s="91">
        <v>8294574.0263696359</v>
      </c>
      <c r="K31" s="91">
        <v>6971693.4993592817</v>
      </c>
      <c r="L31" s="625"/>
      <c r="M31" s="91">
        <v>7697641.8800000008</v>
      </c>
      <c r="N31" s="91">
        <v>6305389.8699999992</v>
      </c>
      <c r="O31" s="163"/>
      <c r="P31" s="91">
        <v>9494486.2699999996</v>
      </c>
      <c r="Q31" s="91">
        <v>6938424.71</v>
      </c>
      <c r="R31" s="163"/>
      <c r="S31" s="163"/>
      <c r="T31" s="91">
        <v>9232193.1999999993</v>
      </c>
      <c r="U31" s="91">
        <v>6680993.2000000002</v>
      </c>
      <c r="V31" s="163"/>
      <c r="W31" s="163"/>
      <c r="X31" s="91">
        <v>9781675.6917457599</v>
      </c>
      <c r="Y31" s="91">
        <v>7049853.1137747327</v>
      </c>
      <c r="Z31" s="137"/>
      <c r="AA31" s="137"/>
      <c r="AB31" s="91">
        <f>SUM(AB27:AB30)</f>
        <v>19263374.609999999</v>
      </c>
      <c r="AC31" s="91">
        <f>SUM(AC27:AC30)</f>
        <v>14189990.809999999</v>
      </c>
      <c r="AD31" s="137"/>
      <c r="AE31" s="137"/>
      <c r="AF31" s="91">
        <f>SUM(AF27:AF30)</f>
        <v>7093291.5352792535</v>
      </c>
      <c r="AG31" s="91">
        <f>SUM(AG27:AG30)</f>
        <v>5403582.4375189953</v>
      </c>
      <c r="AH31" s="137"/>
      <c r="AI31" s="137"/>
      <c r="AJ31" s="137"/>
      <c r="AK31" s="137"/>
      <c r="AL31" s="137"/>
      <c r="AM31" s="137"/>
      <c r="AN31" s="137"/>
      <c r="AO31" s="137"/>
      <c r="AP31" s="137"/>
      <c r="AQ31" s="137"/>
    </row>
    <row r="32" spans="1:43" ht="17.100000000000001" customHeight="1">
      <c r="A32" s="623"/>
      <c r="B32" s="14"/>
      <c r="C32" s="137"/>
      <c r="D32" s="137"/>
      <c r="E32" s="625"/>
      <c r="H32" s="625"/>
      <c r="I32" s="625"/>
      <c r="L32" s="625"/>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row>
    <row r="33" spans="1:43" ht="17.100000000000001" customHeight="1">
      <c r="A33" s="623"/>
      <c r="B33" s="15" t="s">
        <v>242</v>
      </c>
      <c r="C33" s="137"/>
      <c r="D33" s="137"/>
      <c r="E33" s="625"/>
      <c r="H33" s="625"/>
      <c r="I33" s="625"/>
      <c r="L33" s="625"/>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row>
    <row r="34" spans="1:43" ht="17.100000000000001" customHeight="1">
      <c r="A34" s="623" t="s">
        <v>266</v>
      </c>
      <c r="B34" s="16" t="s">
        <v>140</v>
      </c>
      <c r="C34" s="137"/>
      <c r="D34" s="137"/>
      <c r="E34" s="625"/>
      <c r="H34" s="625"/>
      <c r="I34" s="625"/>
      <c r="L34" s="625"/>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row>
    <row r="35" spans="1:43">
      <c r="A35" s="627" t="s">
        <v>265</v>
      </c>
      <c r="B35" s="5" t="s">
        <v>261</v>
      </c>
      <c r="C35" s="137">
        <f>-'מאזן בוחן EUROPE'!K297</f>
        <v>4131087.14</v>
      </c>
      <c r="D35" s="137">
        <f>-'מאזן בוחן EUROPE'!J297</f>
        <v>3056715.52</v>
      </c>
      <c r="E35" s="625"/>
      <c r="F35" s="137">
        <v>-1.77</v>
      </c>
      <c r="G35" s="137">
        <v>0</v>
      </c>
      <c r="H35" s="625"/>
      <c r="I35" s="625"/>
      <c r="J35" s="137">
        <v>4050846.07</v>
      </c>
      <c r="K35" s="137">
        <v>3160190</v>
      </c>
      <c r="L35" s="625"/>
      <c r="M35" s="137">
        <v>4393807</v>
      </c>
      <c r="N35" s="137">
        <v>3371694</v>
      </c>
      <c r="O35" s="137"/>
      <c r="P35" s="137">
        <v>4644762</v>
      </c>
      <c r="Q35" s="137">
        <v>3631778</v>
      </c>
      <c r="R35" s="137"/>
      <c r="S35" s="137"/>
      <c r="T35" s="137">
        <v>5532449</v>
      </c>
      <c r="U35" s="137">
        <v>4234714</v>
      </c>
      <c r="V35" s="137"/>
      <c r="W35" s="137"/>
      <c r="X35" s="137">
        <v>6343814.1099999929</v>
      </c>
      <c r="Y35" s="137">
        <v>4816416.3289651526</v>
      </c>
      <c r="Z35" s="137"/>
      <c r="AA35" s="137"/>
      <c r="AB35" s="137"/>
      <c r="AC35" s="137"/>
      <c r="AD35" s="137"/>
      <c r="AE35" s="137"/>
      <c r="AF35" s="137">
        <v>3756934.9800000004</v>
      </c>
      <c r="AG35" s="137">
        <v>2782052.9220316545</v>
      </c>
      <c r="AH35" s="137"/>
      <c r="AI35" s="137"/>
      <c r="AJ35" s="137"/>
      <c r="AK35" s="137"/>
      <c r="AL35" s="137"/>
      <c r="AM35" s="137"/>
      <c r="AN35" s="137"/>
      <c r="AO35" s="137"/>
      <c r="AP35" s="137"/>
      <c r="AQ35" s="137"/>
    </row>
    <row r="36" spans="1:43" ht="17.100000000000001" customHeight="1">
      <c r="B36" s="137"/>
      <c r="C36" s="91">
        <f>SUM(C34:C35)</f>
        <v>4131087.14</v>
      </c>
      <c r="D36" s="91">
        <f>SUM(D34:D35)</f>
        <v>3056715.52</v>
      </c>
      <c r="E36" s="625"/>
      <c r="F36" s="91">
        <v>-1.77</v>
      </c>
      <c r="G36" s="91">
        <v>0</v>
      </c>
      <c r="H36" s="625"/>
      <c r="I36" s="625"/>
      <c r="J36" s="91">
        <v>4050846.07</v>
      </c>
      <c r="K36" s="91">
        <v>3160190</v>
      </c>
      <c r="L36" s="625"/>
      <c r="M36" s="91">
        <v>4393807</v>
      </c>
      <c r="N36" s="91">
        <v>3371694</v>
      </c>
      <c r="O36" s="163"/>
      <c r="P36" s="91">
        <v>4644762</v>
      </c>
      <c r="Q36" s="91">
        <v>3631778</v>
      </c>
      <c r="R36" s="163"/>
      <c r="S36" s="163"/>
      <c r="T36" s="91">
        <v>5532449</v>
      </c>
      <c r="U36" s="91">
        <v>4234714</v>
      </c>
      <c r="V36" s="137"/>
      <c r="W36" s="137"/>
      <c r="X36" s="91">
        <v>6343814.1099999929</v>
      </c>
      <c r="Y36" s="91">
        <v>4816416.3289651526</v>
      </c>
      <c r="Z36" s="137"/>
      <c r="AA36" s="137"/>
      <c r="AB36" s="137"/>
      <c r="AC36" s="137"/>
      <c r="AD36" s="137"/>
      <c r="AE36" s="137"/>
      <c r="AF36" s="137">
        <v>0</v>
      </c>
      <c r="AG36" s="137">
        <v>0</v>
      </c>
      <c r="AH36" s="137"/>
      <c r="AI36" s="137"/>
      <c r="AJ36" s="137"/>
      <c r="AK36" s="137"/>
      <c r="AL36" s="137"/>
      <c r="AM36" s="137"/>
      <c r="AN36" s="137"/>
      <c r="AO36" s="137"/>
      <c r="AP36" s="137"/>
      <c r="AQ36" s="137"/>
    </row>
    <row r="37" spans="1:43" ht="17.100000000000001" customHeight="1">
      <c r="A37" s="623"/>
      <c r="B37" s="17"/>
      <c r="C37" s="137"/>
      <c r="D37" s="137"/>
      <c r="E37" s="625"/>
      <c r="H37" s="625"/>
      <c r="I37" s="625"/>
      <c r="L37" s="625"/>
      <c r="M37" s="137"/>
      <c r="N37" s="137"/>
      <c r="O37" s="137"/>
      <c r="P37" s="137"/>
      <c r="Q37" s="137"/>
      <c r="R37" s="137"/>
      <c r="S37" s="137"/>
      <c r="T37" s="137"/>
      <c r="U37" s="137"/>
      <c r="V37" s="137"/>
      <c r="W37" s="137"/>
      <c r="X37" s="137"/>
      <c r="Y37" s="137"/>
      <c r="Z37" s="137"/>
      <c r="AA37" s="137"/>
      <c r="AB37" s="137"/>
      <c r="AC37" s="137"/>
      <c r="AD37" s="137"/>
      <c r="AE37" s="137"/>
      <c r="AF37" s="137">
        <v>0</v>
      </c>
      <c r="AG37" s="137">
        <v>0</v>
      </c>
      <c r="AH37" s="137"/>
      <c r="AI37" s="137"/>
      <c r="AJ37" s="137"/>
      <c r="AK37" s="137"/>
      <c r="AL37" s="137"/>
      <c r="AM37" s="137"/>
      <c r="AN37" s="137"/>
      <c r="AO37" s="137"/>
      <c r="AP37" s="137"/>
      <c r="AQ37" s="137"/>
    </row>
    <row r="38" spans="1:43" ht="17.100000000000001" customHeight="1">
      <c r="A38" s="623"/>
      <c r="B38" s="628" t="s">
        <v>142</v>
      </c>
      <c r="C38" s="137"/>
      <c r="D38" s="137"/>
      <c r="E38" s="625"/>
      <c r="H38" s="625"/>
      <c r="I38" s="625"/>
      <c r="L38" s="625"/>
      <c r="M38" s="137"/>
      <c r="N38" s="137"/>
      <c r="O38" s="137"/>
      <c r="P38" s="137"/>
      <c r="Q38" s="137"/>
      <c r="R38" s="137"/>
      <c r="S38" s="137"/>
      <c r="T38" s="137"/>
      <c r="U38" s="137"/>
      <c r="V38" s="137"/>
      <c r="W38" s="137"/>
      <c r="X38" s="137"/>
      <c r="Y38" s="137"/>
      <c r="Z38" s="137"/>
      <c r="AA38" s="137"/>
      <c r="AB38" s="137"/>
      <c r="AC38" s="137"/>
      <c r="AD38" s="137"/>
      <c r="AE38" s="137"/>
      <c r="AF38" s="137">
        <v>0</v>
      </c>
      <c r="AG38" s="137">
        <v>0</v>
      </c>
      <c r="AH38" s="137"/>
      <c r="AI38" s="137"/>
      <c r="AJ38" s="137"/>
      <c r="AK38" s="137"/>
      <c r="AL38" s="137"/>
      <c r="AM38" s="137"/>
      <c r="AN38" s="137"/>
      <c r="AO38" s="137"/>
      <c r="AP38" s="137"/>
      <c r="AQ38" s="137"/>
    </row>
    <row r="39" spans="1:43" ht="17.100000000000001" customHeight="1">
      <c r="A39" s="623" t="s">
        <v>267</v>
      </c>
      <c r="B39" s="16" t="s">
        <v>143</v>
      </c>
      <c r="C39" s="137"/>
      <c r="D39" s="137"/>
      <c r="E39" s="625"/>
      <c r="H39" s="625"/>
      <c r="I39" s="625"/>
      <c r="L39" s="625"/>
      <c r="M39" s="137"/>
      <c r="N39" s="137"/>
      <c r="O39" s="137"/>
      <c r="P39" s="137"/>
      <c r="Q39" s="137"/>
      <c r="R39" s="137"/>
      <c r="S39" s="137"/>
      <c r="T39" s="137"/>
      <c r="U39" s="137"/>
      <c r="V39" s="137"/>
      <c r="W39" s="137"/>
      <c r="X39" s="137"/>
      <c r="Y39" s="137"/>
      <c r="Z39" s="137"/>
      <c r="AA39" s="137"/>
      <c r="AB39" s="137"/>
      <c r="AC39" s="137"/>
      <c r="AD39" s="137"/>
      <c r="AE39" s="137"/>
      <c r="AF39" s="137">
        <v>0</v>
      </c>
      <c r="AG39" s="137">
        <v>0</v>
      </c>
      <c r="AH39" s="137"/>
      <c r="AI39" s="137"/>
      <c r="AJ39" s="137"/>
      <c r="AK39" s="137"/>
      <c r="AL39" s="137"/>
      <c r="AM39" s="137"/>
      <c r="AN39" s="137"/>
      <c r="AO39" s="137"/>
      <c r="AP39" s="137"/>
      <c r="AQ39" s="137"/>
    </row>
    <row r="40" spans="1:43" ht="17.100000000000001" customHeight="1">
      <c r="A40" s="623"/>
      <c r="B40" s="16" t="s">
        <v>287</v>
      </c>
      <c r="C40" s="137">
        <f>('מאזן בוחן EUROPE'!K302)*-1</f>
        <v>128</v>
      </c>
      <c r="D40" s="137">
        <f>('מאזן בוחן EUROPE'!J302)*-1</f>
        <v>100</v>
      </c>
      <c r="E40" s="625"/>
      <c r="F40" s="137">
        <v>128</v>
      </c>
      <c r="G40" s="137">
        <v>100</v>
      </c>
      <c r="H40" s="625"/>
      <c r="I40" s="625"/>
      <c r="J40" s="137">
        <v>128</v>
      </c>
      <c r="K40" s="137">
        <v>100</v>
      </c>
      <c r="L40" s="625"/>
      <c r="M40" s="137"/>
      <c r="N40" s="137"/>
      <c r="O40" s="137"/>
      <c r="P40" s="137"/>
      <c r="Q40" s="137"/>
      <c r="R40" s="137"/>
      <c r="S40" s="137"/>
      <c r="T40" s="137"/>
      <c r="U40" s="137"/>
      <c r="V40" s="137"/>
      <c r="W40" s="137"/>
      <c r="X40" s="137"/>
      <c r="Y40" s="137"/>
      <c r="Z40" s="137"/>
      <c r="AA40" s="137"/>
      <c r="AB40" s="137"/>
      <c r="AC40" s="137"/>
      <c r="AD40" s="137"/>
      <c r="AE40" s="137"/>
      <c r="AF40" s="137">
        <v>0</v>
      </c>
      <c r="AG40" s="137">
        <v>0</v>
      </c>
      <c r="AH40" s="137"/>
      <c r="AI40" s="137"/>
      <c r="AJ40" s="137"/>
      <c r="AK40" s="137"/>
      <c r="AL40" s="137"/>
      <c r="AM40" s="137"/>
      <c r="AN40" s="137"/>
      <c r="AO40" s="137"/>
      <c r="AP40" s="137"/>
      <c r="AQ40" s="137"/>
    </row>
    <row r="41" spans="1:43" ht="17.100000000000001" customHeight="1">
      <c r="A41" s="623" t="s">
        <v>269</v>
      </c>
      <c r="B41" s="16" t="s">
        <v>269</v>
      </c>
      <c r="C41" s="137">
        <f>('מאזן בוחן EUROPE'!K303)*-1</f>
        <v>140563.95000000001</v>
      </c>
      <c r="D41" s="137">
        <f>('מאזן בוחן EUROPE'!J303)*-1</f>
        <v>107808.61</v>
      </c>
      <c r="E41" s="625"/>
      <c r="F41" s="137">
        <v>195316.85</v>
      </c>
      <c r="G41" s="137">
        <v>148856</v>
      </c>
      <c r="H41" s="625"/>
      <c r="I41" s="625"/>
      <c r="J41" s="137">
        <v>195316.85</v>
      </c>
      <c r="K41" s="137">
        <v>148856</v>
      </c>
      <c r="L41" s="625"/>
      <c r="M41" s="137">
        <v>188372.85</v>
      </c>
      <c r="N41" s="137">
        <v>140951</v>
      </c>
      <c r="O41" s="137"/>
      <c r="P41" s="137">
        <v>171541.85</v>
      </c>
      <c r="Q41" s="137">
        <v>128034</v>
      </c>
      <c r="R41" s="137"/>
      <c r="S41" s="137"/>
      <c r="T41" s="137">
        <v>152538.85</v>
      </c>
      <c r="U41" s="137">
        <v>113176</v>
      </c>
      <c r="V41" s="137"/>
      <c r="W41" s="137"/>
      <c r="X41" s="137">
        <v>135035.29536306008</v>
      </c>
      <c r="Y41" s="137">
        <v>99778.412496135061</v>
      </c>
      <c r="Z41" s="137"/>
      <c r="AA41" s="137"/>
      <c r="AB41" s="137">
        <v>119020.87821923812</v>
      </c>
      <c r="AC41" s="137">
        <v>87618.374080091904</v>
      </c>
      <c r="AD41" s="137"/>
      <c r="AE41" s="137"/>
      <c r="AF41" s="137">
        <v>103460.72302661078</v>
      </c>
      <c r="AG41" s="137">
        <v>76558.943448868959</v>
      </c>
      <c r="AH41" s="137"/>
      <c r="AI41" s="137"/>
      <c r="AJ41" s="137"/>
      <c r="AK41" s="137"/>
      <c r="AL41" s="137"/>
      <c r="AM41" s="137"/>
      <c r="AN41" s="137"/>
      <c r="AO41" s="137"/>
      <c r="AP41" s="137"/>
      <c r="AQ41" s="137"/>
    </row>
    <row r="42" spans="1:43" ht="17.100000000000001" customHeight="1">
      <c r="A42" s="623" t="s">
        <v>262</v>
      </c>
      <c r="B42" s="16" t="s">
        <v>262</v>
      </c>
      <c r="C42" s="137">
        <f>SUM('מאזן בוחן EUROPE'!K306,'מאזן בוחן EUROPE'!K305)*-1</f>
        <v>2453915.7999999998</v>
      </c>
      <c r="D42" s="137">
        <f>SUM('מאזן בוחן EUROPE'!J306,'מאזן בוחן EUROPE'!J305)*-1</f>
        <v>1739807.51</v>
      </c>
      <c r="E42" s="625"/>
      <c r="F42" s="137">
        <v>1582281.49</v>
      </c>
      <c r="G42" s="137">
        <v>1376676.07</v>
      </c>
      <c r="H42" s="625"/>
      <c r="I42" s="625"/>
      <c r="J42" s="137">
        <v>1582281.49</v>
      </c>
      <c r="K42" s="137">
        <v>1376676.07</v>
      </c>
      <c r="L42" s="625"/>
      <c r="M42" s="137">
        <v>1091774.05</v>
      </c>
      <c r="N42" s="137">
        <v>1344395.83</v>
      </c>
      <c r="O42" s="137"/>
      <c r="P42" s="137">
        <v>1685426.5</v>
      </c>
      <c r="Q42" s="137">
        <v>1097980.75</v>
      </c>
      <c r="R42" s="137"/>
      <c r="S42" s="137"/>
      <c r="T42" s="137">
        <v>1685426.5</v>
      </c>
      <c r="U42" s="137">
        <v>1097980.75</v>
      </c>
      <c r="V42" s="137"/>
      <c r="W42" s="137"/>
      <c r="X42" s="137">
        <v>1685426.5</v>
      </c>
      <c r="Y42" s="137">
        <v>1097980.75</v>
      </c>
      <c r="Z42" s="137"/>
      <c r="AA42" s="137"/>
      <c r="AB42" s="137">
        <v>1685425.5540717451</v>
      </c>
      <c r="AC42" s="137">
        <v>1097982.086551131</v>
      </c>
      <c r="AD42" s="137"/>
      <c r="AE42" s="137"/>
      <c r="AF42" s="137">
        <v>157228.12</v>
      </c>
      <c r="AG42" s="137">
        <v>893440.71</v>
      </c>
      <c r="AH42" s="137"/>
      <c r="AI42" s="137"/>
      <c r="AJ42" s="137"/>
      <c r="AK42" s="137"/>
      <c r="AL42" s="137"/>
      <c r="AM42" s="137"/>
      <c r="AN42" s="137"/>
      <c r="AO42" s="137"/>
      <c r="AP42" s="137"/>
      <c r="AQ42" s="137"/>
    </row>
    <row r="43" spans="1:43" ht="17.100000000000001" customHeight="1">
      <c r="A43" s="623" t="s">
        <v>262</v>
      </c>
      <c r="B43" s="16" t="s">
        <v>1849</v>
      </c>
      <c r="C43" s="137">
        <f>('מאזן בוחן EUROPE'!K304)*-1</f>
        <v>91142</v>
      </c>
      <c r="D43" s="137">
        <f>('מאזן בוחן EUROPE'!J304)*-1</f>
        <v>54561</v>
      </c>
      <c r="E43" s="625"/>
      <c r="F43" s="137">
        <v>91142</v>
      </c>
      <c r="G43" s="137">
        <v>54561</v>
      </c>
      <c r="H43" s="625"/>
      <c r="I43" s="625"/>
      <c r="J43" s="137">
        <v>91142</v>
      </c>
      <c r="K43" s="137">
        <v>54561</v>
      </c>
      <c r="L43" s="625"/>
      <c r="M43" s="137">
        <v>3645688</v>
      </c>
      <c r="N43" s="137">
        <v>2182442</v>
      </c>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row>
    <row r="44" spans="1:43" ht="17.100000000000001" customHeight="1">
      <c r="A44" s="623"/>
      <c r="B44" s="16" t="s">
        <v>268</v>
      </c>
      <c r="C44" s="137">
        <f>(C67)</f>
        <v>387230.7099999988</v>
      </c>
      <c r="D44" s="137">
        <f>(D67)</f>
        <v>-28316.469999999739</v>
      </c>
      <c r="E44" s="625"/>
      <c r="F44" s="137">
        <v>446361.03006413125</v>
      </c>
      <c r="G44" s="137">
        <v>477578.02475000022</v>
      </c>
      <c r="H44" s="625"/>
      <c r="I44" s="625"/>
      <c r="J44" s="137">
        <v>-314429.17761119443</v>
      </c>
      <c r="K44" s="137">
        <v>551315.54783212114</v>
      </c>
      <c r="L44" s="625"/>
      <c r="M44" s="137">
        <v>169857.57999999932</v>
      </c>
      <c r="N44" s="137">
        <v>-151750.77000000014</v>
      </c>
      <c r="O44" s="137"/>
      <c r="P44" s="137">
        <v>-593652.44999999646</v>
      </c>
      <c r="Q44" s="137">
        <v>246415.07999999914</v>
      </c>
      <c r="R44" s="137"/>
      <c r="S44" s="137"/>
      <c r="T44" s="137">
        <v>-493034.35000000295</v>
      </c>
      <c r="U44" s="137">
        <v>202658.35999999981</v>
      </c>
      <c r="V44" s="137"/>
      <c r="W44" s="137"/>
      <c r="X44" s="137">
        <v>-604798.34815429174</v>
      </c>
      <c r="Y44" s="137">
        <v>100960.82380901311</v>
      </c>
      <c r="Z44" s="137"/>
      <c r="AA44" s="137"/>
      <c r="AB44" s="137">
        <f>(AB67)</f>
        <v>347906.01480737305</v>
      </c>
      <c r="AC44" s="137">
        <f>(AC67)</f>
        <v>-150752.11063122211</v>
      </c>
      <c r="AD44" s="137"/>
      <c r="AE44" s="137"/>
      <c r="AF44" s="137">
        <f>(AF67)</f>
        <v>1528197.3514841553</v>
      </c>
      <c r="AG44" s="137">
        <f>(AG67)</f>
        <v>204540.00144248581</v>
      </c>
      <c r="AH44" s="137"/>
      <c r="AI44" s="137"/>
      <c r="AJ44" s="137"/>
      <c r="AK44" s="137"/>
      <c r="AL44" s="137"/>
      <c r="AM44" s="137"/>
      <c r="AN44" s="137"/>
      <c r="AO44" s="137"/>
      <c r="AP44" s="137"/>
      <c r="AQ44" s="137"/>
    </row>
    <row r="45" spans="1:43" ht="17.100000000000001" customHeight="1">
      <c r="A45" s="623"/>
      <c r="B45" s="14" t="s">
        <v>144</v>
      </c>
      <c r="C45" s="91">
        <f>SUM(C39:C44,)</f>
        <v>3072980.459999999</v>
      </c>
      <c r="D45" s="91">
        <f>SUM(D39:D44,)</f>
        <v>1873960.6500000004</v>
      </c>
      <c r="E45" s="625"/>
      <c r="F45" s="91">
        <v>2315229.3700641314</v>
      </c>
      <c r="G45" s="91">
        <v>2057771.0947500002</v>
      </c>
      <c r="H45" s="625"/>
      <c r="I45" s="625"/>
      <c r="J45" s="91">
        <v>1554439.1623888058</v>
      </c>
      <c r="K45" s="91">
        <v>2131508.6178321214</v>
      </c>
      <c r="L45" s="625"/>
      <c r="M45" s="91">
        <v>5095692.4799999995</v>
      </c>
      <c r="N45" s="91">
        <v>3516038.06</v>
      </c>
      <c r="O45" s="163"/>
      <c r="P45" s="91">
        <v>1263315.9000000036</v>
      </c>
      <c r="Q45" s="91">
        <v>1472429.8299999991</v>
      </c>
      <c r="R45" s="163"/>
      <c r="S45" s="163"/>
      <c r="T45" s="91">
        <v>1344930.9999999972</v>
      </c>
      <c r="U45" s="91">
        <v>1413815.1099999999</v>
      </c>
      <c r="V45" s="163"/>
      <c r="W45" s="163"/>
      <c r="X45" s="91">
        <v>1215663.4472087685</v>
      </c>
      <c r="Y45" s="91">
        <v>1298719.9863051481</v>
      </c>
      <c r="Z45" s="137"/>
      <c r="AA45" s="137"/>
      <c r="AB45" s="91">
        <f>SUM(AB39:AB44,)</f>
        <v>2152352.4470983562</v>
      </c>
      <c r="AC45" s="91">
        <f>SUM(AC39:AC44,)</f>
        <v>1034848.3500000008</v>
      </c>
      <c r="AD45" s="137"/>
      <c r="AE45" s="137"/>
      <c r="AF45" s="91">
        <f>SUM(AF39:AF44,)</f>
        <v>1788886.1945107661</v>
      </c>
      <c r="AG45" s="91">
        <f>SUM(AG39:AG44,)</f>
        <v>1174539.6548913547</v>
      </c>
      <c r="AH45" s="137"/>
      <c r="AI45" s="137"/>
      <c r="AJ45" s="137"/>
      <c r="AK45" s="137"/>
      <c r="AL45" s="137"/>
      <c r="AM45" s="137"/>
      <c r="AN45" s="137"/>
      <c r="AO45" s="137"/>
      <c r="AP45" s="137"/>
      <c r="AQ45" s="137"/>
    </row>
    <row r="46" spans="1:43" ht="17.100000000000001" customHeight="1">
      <c r="A46" s="623"/>
      <c r="B46" s="11"/>
      <c r="C46" s="137"/>
      <c r="D46" s="137"/>
      <c r="E46" s="625"/>
      <c r="H46" s="625"/>
      <c r="I46" s="625"/>
      <c r="L46" s="625"/>
      <c r="M46" s="137"/>
      <c r="N46" s="137"/>
      <c r="O46" s="137"/>
      <c r="P46" s="137">
        <v>0</v>
      </c>
      <c r="Q46" s="137">
        <v>0</v>
      </c>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row>
    <row r="47" spans="1:43" ht="17.100000000000001" customHeight="1" thickBot="1">
      <c r="A47" s="623"/>
      <c r="B47" s="14" t="s">
        <v>243</v>
      </c>
      <c r="C47" s="1459">
        <f>SUM(C31,C45,C35)</f>
        <v>16201609.709999999</v>
      </c>
      <c r="D47" s="1459">
        <f>SUM(D31,D45,D35)</f>
        <v>12242324.530000001</v>
      </c>
      <c r="E47" s="625"/>
      <c r="F47" s="1242">
        <v>14038169.58901991</v>
      </c>
      <c r="G47" s="1242">
        <v>11702092.511416666</v>
      </c>
      <c r="H47" s="625"/>
      <c r="I47" s="625"/>
      <c r="J47" s="1242">
        <v>13899859.258758442</v>
      </c>
      <c r="K47" s="1242">
        <v>12263392.117191404</v>
      </c>
      <c r="L47" s="625"/>
      <c r="M47" s="91">
        <v>17187141.359999999</v>
      </c>
      <c r="N47" s="91">
        <v>13193121.93</v>
      </c>
      <c r="O47" s="163"/>
      <c r="P47" s="91">
        <v>15402564.170000004</v>
      </c>
      <c r="Q47" s="91">
        <v>12042632.539999999</v>
      </c>
      <c r="R47" s="163"/>
      <c r="S47" s="163"/>
      <c r="T47" s="91">
        <v>16109573.199999996</v>
      </c>
      <c r="U47" s="91">
        <v>12329522.310000001</v>
      </c>
      <c r="V47" s="163"/>
      <c r="W47" s="163"/>
      <c r="X47" s="91">
        <v>17341153.24895452</v>
      </c>
      <c r="Y47" s="91">
        <v>13164989.429045033</v>
      </c>
      <c r="Z47" s="137"/>
      <c r="AA47" s="137"/>
      <c r="AB47" s="91">
        <f>SUM(AB31,AB45,AB35)</f>
        <v>21415727.057098355</v>
      </c>
      <c r="AC47" s="91">
        <f>SUM(AC31,AC45,AC35)</f>
        <v>15224839.16</v>
      </c>
      <c r="AD47" s="137"/>
      <c r="AE47" s="137"/>
      <c r="AF47" s="91">
        <f>SUM(AF31,AF45,AF35)</f>
        <v>12639112.709790019</v>
      </c>
      <c r="AG47" s="91">
        <f>SUM(AG31,AG45,AG35)</f>
        <v>9360175.0144420043</v>
      </c>
      <c r="AH47" s="137"/>
      <c r="AI47" s="137"/>
      <c r="AJ47" s="137"/>
      <c r="AK47" s="137"/>
      <c r="AL47" s="137"/>
      <c r="AM47" s="137"/>
      <c r="AN47" s="137"/>
      <c r="AO47" s="137"/>
      <c r="AP47" s="137"/>
      <c r="AQ47" s="137"/>
    </row>
    <row r="48" spans="1:43" ht="17.100000000000001" customHeight="1" thickBot="1">
      <c r="A48" s="623"/>
      <c r="B48" s="11"/>
      <c r="C48" s="956">
        <f>C47-C23</f>
        <v>0</v>
      </c>
      <c r="D48" s="1243">
        <f>D47-D23</f>
        <v>0</v>
      </c>
      <c r="E48" s="625"/>
      <c r="F48" s="1243">
        <v>0</v>
      </c>
      <c r="G48" s="1243">
        <v>0</v>
      </c>
      <c r="H48" s="625"/>
      <c r="I48" s="625"/>
      <c r="J48" s="1243">
        <v>0</v>
      </c>
      <c r="K48" s="1243">
        <v>0</v>
      </c>
      <c r="L48" s="625"/>
      <c r="M48" s="137">
        <f>M47-M23</f>
        <v>0</v>
      </c>
      <c r="N48" s="137">
        <f>N47-N23</f>
        <v>0</v>
      </c>
      <c r="O48" s="137"/>
      <c r="P48" s="137">
        <f>P47-P23</f>
        <v>0</v>
      </c>
      <c r="Q48" s="137">
        <f>Q47-Q23</f>
        <v>0</v>
      </c>
      <c r="R48" s="137"/>
      <c r="S48" s="137"/>
      <c r="T48" s="137"/>
      <c r="U48" s="137"/>
      <c r="V48" s="137"/>
      <c r="W48" s="137"/>
      <c r="X48" s="137"/>
      <c r="Y48" s="137"/>
      <c r="Z48" s="137">
        <f>X47-X23</f>
        <v>0</v>
      </c>
      <c r="AA48" s="137">
        <f>Y47-Y23</f>
        <v>0</v>
      </c>
      <c r="AB48" s="137"/>
      <c r="AC48" s="137"/>
      <c r="AD48" s="137">
        <f>AB47-AB23</f>
        <v>0</v>
      </c>
      <c r="AE48" s="137">
        <f>AC47-AC23</f>
        <v>-9.9004879593849182E-3</v>
      </c>
      <c r="AF48" s="137"/>
      <c r="AG48" s="137"/>
      <c r="AH48" s="137">
        <f>AF47-AF23</f>
        <v>0.23825382068753242</v>
      </c>
      <c r="AI48" s="137">
        <f>AG47-AG23</f>
        <v>-1.8760680444538593</v>
      </c>
      <c r="AJ48" s="137">
        <f>AH47-AH23</f>
        <v>0</v>
      </c>
      <c r="AK48" s="137"/>
      <c r="AL48" s="137"/>
      <c r="AM48" s="137"/>
      <c r="AN48" s="137"/>
      <c r="AO48" s="137"/>
      <c r="AP48" s="137"/>
      <c r="AQ48" s="137"/>
    </row>
    <row r="49" spans="1:46" ht="17.100000000000001" customHeight="1">
      <c r="A49" s="623"/>
      <c r="B49" s="629" t="s">
        <v>244</v>
      </c>
      <c r="E49" s="625"/>
      <c r="H49" s="625"/>
      <c r="I49" s="625"/>
      <c r="L49" s="625"/>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row>
    <row r="50" spans="1:46" ht="17.100000000000001" customHeight="1">
      <c r="A50" s="623"/>
      <c r="B50" s="22"/>
      <c r="C50" s="137"/>
      <c r="D50" s="137"/>
      <c r="E50" s="625"/>
      <c r="H50" s="625"/>
      <c r="I50" s="625"/>
      <c r="L50" s="625"/>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row>
    <row r="51" spans="1:46" ht="17.100000000000001" customHeight="1">
      <c r="A51" s="623"/>
      <c r="B51" s="22"/>
      <c r="C51" s="137"/>
      <c r="D51" s="137"/>
      <c r="E51" s="625"/>
      <c r="H51" s="625"/>
      <c r="I51" s="625"/>
      <c r="L51" s="625"/>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row>
    <row r="52" spans="1:46" ht="17.100000000000001" customHeight="1">
      <c r="A52" s="623" t="s">
        <v>84</v>
      </c>
      <c r="B52" s="22" t="s">
        <v>145</v>
      </c>
      <c r="C52" s="137">
        <f>('מאזן בוחן EUROPE'!K345)*-1</f>
        <v>19220396.5</v>
      </c>
      <c r="D52" s="137">
        <f>('מאזן בוחן EUROPE'!J345)*-1</f>
        <v>14349707.909999998</v>
      </c>
      <c r="E52" s="3211"/>
      <c r="F52" s="137">
        <v>15125486.019999998</v>
      </c>
      <c r="G52" s="137">
        <v>11734081.390000004</v>
      </c>
      <c r="H52" s="625"/>
      <c r="I52" s="625"/>
      <c r="J52" s="137">
        <v>13950287.52</v>
      </c>
      <c r="K52" s="137">
        <v>10827171.449999999</v>
      </c>
      <c r="L52" s="625"/>
      <c r="M52" s="137">
        <v>4745361.8899999997</v>
      </c>
      <c r="N52" s="137">
        <v>3613607.4</v>
      </c>
      <c r="O52" s="137"/>
      <c r="P52" s="137">
        <v>22386685.010000002</v>
      </c>
      <c r="Q52" s="137">
        <v>16814758.460000001</v>
      </c>
      <c r="R52" s="137"/>
      <c r="S52" s="137"/>
      <c r="T52" s="137">
        <v>14796204.259999998</v>
      </c>
      <c r="U52" s="137">
        <v>10985196.49</v>
      </c>
      <c r="V52" s="137"/>
      <c r="W52" s="137"/>
      <c r="X52" s="137">
        <v>10268465.520000001</v>
      </c>
      <c r="Y52" s="137">
        <v>7607106.8099999996</v>
      </c>
      <c r="Z52" s="137"/>
      <c r="AA52" s="137"/>
      <c r="AB52" s="137">
        <v>4493964.41</v>
      </c>
      <c r="AC52" s="137">
        <v>3307743.1400000006</v>
      </c>
      <c r="AD52" s="137"/>
      <c r="AE52" s="137"/>
      <c r="AF52" s="137">
        <v>20955947.830000002</v>
      </c>
      <c r="AG52" s="137">
        <v>16008837.880000003</v>
      </c>
      <c r="AH52" s="137"/>
      <c r="AI52" s="137"/>
      <c r="AJ52" s="137"/>
      <c r="AK52" s="137"/>
      <c r="AL52" s="137"/>
      <c r="AM52" s="137"/>
      <c r="AN52" s="137"/>
      <c r="AO52" s="137"/>
      <c r="AP52" s="137"/>
      <c r="AQ52" s="137"/>
    </row>
    <row r="53" spans="1:46" ht="17.100000000000001" customHeight="1">
      <c r="A53" s="623" t="s">
        <v>251</v>
      </c>
      <c r="B53" s="22" t="s">
        <v>251</v>
      </c>
      <c r="C53" s="630">
        <f>'מאזן בוחן EUROPE'!K370</f>
        <v>14407494.210000001</v>
      </c>
      <c r="D53" s="630">
        <f>'מאזן בוחן EUROPE'!J370</f>
        <v>10815144.559999999</v>
      </c>
      <c r="E53" s="3211"/>
      <c r="F53" s="2032">
        <v>11798387.443152918</v>
      </c>
      <c r="G53" s="2032">
        <v>9119890.610322468</v>
      </c>
      <c r="H53" s="625"/>
      <c r="I53" s="625"/>
      <c r="J53" s="2032">
        <v>10936982.293865055</v>
      </c>
      <c r="K53" s="2032">
        <v>8453221.2028085981</v>
      </c>
      <c r="L53" s="625"/>
      <c r="M53" s="630">
        <v>3705854.91</v>
      </c>
      <c r="N53" s="630">
        <v>2816049.75</v>
      </c>
      <c r="O53" s="51"/>
      <c r="P53" s="1098">
        <v>17897790.219999999</v>
      </c>
      <c r="Q53" s="1098">
        <v>13453926.24</v>
      </c>
      <c r="R53" s="51"/>
      <c r="S53" s="51"/>
      <c r="T53" s="1098">
        <v>11823590.91</v>
      </c>
      <c r="U53" s="1098">
        <v>8790046.1400000006</v>
      </c>
      <c r="V53" s="51"/>
      <c r="W53" s="51"/>
      <c r="X53" s="1098">
        <v>8309252.4188010218</v>
      </c>
      <c r="Y53" s="1098">
        <v>6194424.0296149198</v>
      </c>
      <c r="Z53" s="137"/>
      <c r="AA53" s="137"/>
      <c r="AB53" s="630">
        <v>3781094.9110925975</v>
      </c>
      <c r="AC53" s="630">
        <v>2807259.7007756671</v>
      </c>
      <c r="AD53" s="137"/>
      <c r="AE53" s="137"/>
      <c r="AF53" s="630">
        <v>16332370.190536844</v>
      </c>
      <c r="AG53" s="630">
        <v>12453573.773017852</v>
      </c>
      <c r="AH53" s="137"/>
      <c r="AI53" s="137"/>
      <c r="AJ53" s="137"/>
      <c r="AK53" s="137"/>
      <c r="AL53" s="137"/>
      <c r="AM53" s="137"/>
      <c r="AN53" s="137"/>
      <c r="AO53" s="137"/>
      <c r="AP53" s="137"/>
      <c r="AQ53" s="137"/>
    </row>
    <row r="54" spans="1:46" s="141" customFormat="1" ht="17.100000000000001" customHeight="1">
      <c r="A54" s="623"/>
      <c r="B54" s="22" t="s">
        <v>263</v>
      </c>
      <c r="C54" s="382">
        <f>C52-C53</f>
        <v>4812902.2899999991</v>
      </c>
      <c r="D54" s="382">
        <f>D52-D53</f>
        <v>3534563.3499999996</v>
      </c>
      <c r="E54" s="625"/>
      <c r="F54" s="382">
        <v>3327098.5768470801</v>
      </c>
      <c r="G54" s="382">
        <v>2614190.7796775363</v>
      </c>
      <c r="H54" s="625"/>
      <c r="I54" s="625"/>
      <c r="J54" s="382">
        <v>3013305.2261349447</v>
      </c>
      <c r="K54" s="382">
        <v>2373950.2471914012</v>
      </c>
      <c r="L54" s="625"/>
      <c r="M54" s="382">
        <v>1039506.9799999995</v>
      </c>
      <c r="N54" s="382">
        <v>797557.64999999991</v>
      </c>
      <c r="O54" s="382"/>
      <c r="P54" s="163">
        <v>4488894.7900000028</v>
      </c>
      <c r="Q54" s="163">
        <v>3360832.2200000007</v>
      </c>
      <c r="R54" s="382"/>
      <c r="S54" s="382"/>
      <c r="T54" s="382">
        <v>2972613.3499999978</v>
      </c>
      <c r="U54" s="382">
        <v>2195150.3499999996</v>
      </c>
      <c r="V54" s="382"/>
      <c r="W54" s="382"/>
      <c r="X54" s="382">
        <v>1959213.1011989797</v>
      </c>
      <c r="Y54" s="382">
        <v>1412682.7803850798</v>
      </c>
      <c r="Z54" s="137"/>
      <c r="AA54" s="137"/>
      <c r="AB54" s="382">
        <f>AB52-AB53</f>
        <v>712869.49890740262</v>
      </c>
      <c r="AC54" s="382">
        <f>AC52-AC53</f>
        <v>500483.4392243335</v>
      </c>
      <c r="AD54" s="137"/>
      <c r="AE54" s="137"/>
      <c r="AF54" s="382">
        <f>AF52-AF53</f>
        <v>4623577.6394631583</v>
      </c>
      <c r="AG54" s="382">
        <f>AG52-AG53</f>
        <v>3555264.106982151</v>
      </c>
      <c r="AH54" s="137"/>
      <c r="AI54" s="137"/>
      <c r="AJ54" s="137"/>
      <c r="AK54" s="137"/>
      <c r="AL54" s="137"/>
      <c r="AM54" s="137"/>
      <c r="AN54" s="137"/>
      <c r="AO54" s="137"/>
      <c r="AP54" s="137"/>
      <c r="AQ54" s="137"/>
      <c r="AR54" s="137"/>
      <c r="AS54" s="137"/>
      <c r="AT54" s="137"/>
    </row>
    <row r="55" spans="1:46" s="141" customFormat="1" ht="17.100000000000001" customHeight="1">
      <c r="A55" s="623"/>
      <c r="B55" s="22"/>
      <c r="C55" s="137"/>
      <c r="D55" s="137"/>
      <c r="E55" s="625"/>
      <c r="F55" s="137"/>
      <c r="G55" s="137"/>
      <c r="H55" s="625"/>
      <c r="I55" s="625"/>
      <c r="J55" s="137"/>
      <c r="K55" s="137"/>
      <c r="L55" s="625"/>
      <c r="M55" s="137"/>
      <c r="N55" s="137"/>
      <c r="O55" s="137"/>
      <c r="P55" s="163"/>
      <c r="Q55" s="163"/>
      <c r="R55" s="137"/>
      <c r="S55" s="137"/>
      <c r="T55" s="137"/>
      <c r="U55" s="137"/>
      <c r="V55" s="137"/>
      <c r="W55" s="137"/>
      <c r="X55" s="137">
        <v>0</v>
      </c>
      <c r="Y55" s="137">
        <v>0</v>
      </c>
      <c r="Z55" s="137"/>
      <c r="AA55" s="137"/>
      <c r="AB55" s="137"/>
      <c r="AC55" s="137"/>
      <c r="AD55" s="137"/>
      <c r="AE55" s="137"/>
      <c r="AF55" s="137"/>
      <c r="AG55" s="137"/>
      <c r="AH55" s="137"/>
      <c r="AI55" s="137"/>
      <c r="AJ55" s="137"/>
      <c r="AK55" s="137"/>
      <c r="AL55" s="137"/>
      <c r="AM55" s="137"/>
      <c r="AN55" s="137"/>
      <c r="AO55" s="137"/>
      <c r="AP55" s="137"/>
      <c r="AQ55" s="137"/>
      <c r="AR55" s="137"/>
      <c r="AS55" s="137"/>
      <c r="AT55" s="137"/>
    </row>
    <row r="56" spans="1:46" s="141" customFormat="1" ht="17.100000000000001" customHeight="1">
      <c r="A56" s="623" t="s">
        <v>192</v>
      </c>
      <c r="B56" s="22" t="s">
        <v>245</v>
      </c>
      <c r="C56" s="137"/>
      <c r="D56" s="137"/>
      <c r="E56" s="625"/>
      <c r="F56" s="137"/>
      <c r="G56" s="137"/>
      <c r="H56" s="625"/>
      <c r="I56" s="625"/>
      <c r="J56" s="137"/>
      <c r="K56" s="137"/>
      <c r="L56" s="625"/>
      <c r="M56" s="137"/>
      <c r="N56" s="137"/>
      <c r="O56" s="137"/>
      <c r="P56" s="137"/>
      <c r="Q56" s="137"/>
      <c r="R56" s="137"/>
      <c r="S56" s="137"/>
      <c r="T56" s="137"/>
      <c r="U56" s="137"/>
      <c r="V56" s="137"/>
      <c r="W56" s="137"/>
      <c r="X56" s="137">
        <v>0</v>
      </c>
      <c r="Y56" s="137">
        <v>0</v>
      </c>
      <c r="Z56" s="137"/>
      <c r="AA56" s="137"/>
      <c r="AB56" s="137"/>
      <c r="AC56" s="137"/>
      <c r="AD56" s="137"/>
      <c r="AE56" s="137"/>
      <c r="AF56" s="137"/>
      <c r="AG56" s="137"/>
      <c r="AH56" s="137"/>
      <c r="AI56" s="137"/>
      <c r="AJ56" s="137"/>
      <c r="AK56" s="137"/>
      <c r="AL56" s="137"/>
      <c r="AM56" s="137"/>
      <c r="AN56" s="137"/>
      <c r="AO56" s="137"/>
      <c r="AP56" s="137"/>
      <c r="AQ56" s="137"/>
      <c r="AR56" s="137"/>
      <c r="AS56" s="137"/>
      <c r="AT56" s="137"/>
    </row>
    <row r="57" spans="1:46" s="141" customFormat="1" ht="17.100000000000001" customHeight="1">
      <c r="A57" s="623" t="s">
        <v>254</v>
      </c>
      <c r="B57" s="22" t="s">
        <v>247</v>
      </c>
      <c r="C57" s="137">
        <f>'מאזן בוחן EUROPE'!K419+'מאזן בוחן EUROPE'!K484</f>
        <v>4397191.4700000007</v>
      </c>
      <c r="D57" s="137">
        <f>'מאזן בוחן EUROPE'!J419+'מאזן בוחן EUROPE'!J484</f>
        <v>3223254.3999999994</v>
      </c>
      <c r="E57" s="625"/>
      <c r="F57" s="137">
        <v>2860800.7173913042</v>
      </c>
      <c r="G57" s="137">
        <v>2255134.5482608695</v>
      </c>
      <c r="H57" s="625"/>
      <c r="I57" s="625"/>
      <c r="J57" s="137">
        <v>2579679.5400000005</v>
      </c>
      <c r="K57" s="137">
        <v>2040112.3399999999</v>
      </c>
      <c r="L57" s="625"/>
      <c r="M57" s="137">
        <v>899603.88000000024</v>
      </c>
      <c r="N57" s="137">
        <v>690832.08000000007</v>
      </c>
      <c r="O57" s="137"/>
      <c r="P57" s="137">
        <v>3634862.7499999995</v>
      </c>
      <c r="Q57" s="137">
        <v>2720416.9300000016</v>
      </c>
      <c r="R57" s="137"/>
      <c r="S57" s="137"/>
      <c r="T57" s="137">
        <v>2433721.4600000004</v>
      </c>
      <c r="U57" s="137">
        <v>1794097.7699999998</v>
      </c>
      <c r="V57" s="137"/>
      <c r="W57" s="137"/>
      <c r="X57" s="137">
        <v>1638480.5465620386</v>
      </c>
      <c r="Y57" s="137">
        <v>1176360.2099118961</v>
      </c>
      <c r="Z57" s="137"/>
      <c r="AA57" s="137"/>
      <c r="AB57" s="137">
        <v>573611.66410002951</v>
      </c>
      <c r="AC57" s="137">
        <v>398356.64205130906</v>
      </c>
      <c r="AD57" s="137"/>
      <c r="AE57" s="137"/>
      <c r="AF57" s="137">
        <v>3842862.1324897679</v>
      </c>
      <c r="AG57" s="137">
        <v>2960985.1432738248</v>
      </c>
      <c r="AH57" s="137"/>
      <c r="AI57" s="137"/>
      <c r="AJ57" s="137"/>
      <c r="AK57" s="137"/>
      <c r="AL57" s="137"/>
      <c r="AM57" s="137"/>
      <c r="AN57" s="137"/>
      <c r="AO57" s="137"/>
      <c r="AP57" s="137"/>
      <c r="AQ57" s="137"/>
      <c r="AR57" s="137"/>
      <c r="AS57" s="137"/>
      <c r="AT57" s="137"/>
    </row>
    <row r="58" spans="1:46" s="141" customFormat="1" ht="17.100000000000001" customHeight="1">
      <c r="A58" s="623" t="s">
        <v>193</v>
      </c>
      <c r="B58" s="22" t="s">
        <v>246</v>
      </c>
      <c r="C58" s="137">
        <f>'מאזן בוחן EUROPE'!K387+'מאזן בוחן EUROPE'!K399</f>
        <v>-78501.439999999988</v>
      </c>
      <c r="D58" s="137">
        <f>'מאזן בוחן EUROPE'!J387+'מאזן בוחן EUROPE'!J399</f>
        <v>-57423.79</v>
      </c>
      <c r="E58" s="625"/>
      <c r="F58" s="137">
        <v>36627.848955776353</v>
      </c>
      <c r="G58" s="137">
        <v>28815.636666666669</v>
      </c>
      <c r="H58" s="625"/>
      <c r="I58" s="625"/>
      <c r="J58" s="137">
        <v>33612.619999999995</v>
      </c>
      <c r="K58" s="137">
        <v>26482.559999999998</v>
      </c>
      <c r="L58" s="625"/>
      <c r="M58" s="137">
        <v>19294.22</v>
      </c>
      <c r="N58" s="137">
        <v>14878.079999999998</v>
      </c>
      <c r="O58" s="137"/>
      <c r="P58" s="137">
        <v>285110.06999999995</v>
      </c>
      <c r="Q58" s="137">
        <v>212914.96000000002</v>
      </c>
      <c r="R58" s="137"/>
      <c r="S58" s="137"/>
      <c r="T58" s="137">
        <v>164638.51</v>
      </c>
      <c r="U58" s="137">
        <v>123120.28</v>
      </c>
      <c r="V58" s="137"/>
      <c r="W58" s="137"/>
      <c r="X58" s="137">
        <v>60884.209999999992</v>
      </c>
      <c r="Y58" s="137">
        <v>43873.740000000005</v>
      </c>
      <c r="Z58" s="137"/>
      <c r="AA58" s="137"/>
      <c r="AB58" s="137">
        <v>26908.81</v>
      </c>
      <c r="AC58" s="137">
        <v>19432.760000000002</v>
      </c>
      <c r="AD58" s="137"/>
      <c r="AE58" s="137"/>
      <c r="AF58" s="137">
        <v>256816.68290164409</v>
      </c>
      <c r="AG58" s="137">
        <v>194058.37000000002</v>
      </c>
      <c r="AH58" s="137"/>
      <c r="AI58" s="137"/>
      <c r="AJ58" s="137"/>
      <c r="AK58" s="137"/>
      <c r="AL58" s="137"/>
      <c r="AM58" s="137"/>
      <c r="AN58" s="137"/>
      <c r="AO58" s="137"/>
      <c r="AP58" s="137"/>
      <c r="AQ58" s="137"/>
      <c r="AR58" s="137"/>
      <c r="AS58" s="137"/>
      <c r="AT58" s="137"/>
    </row>
    <row r="59" spans="1:46" s="141" customFormat="1" ht="17.100000000000001" customHeight="1">
      <c r="A59" s="623"/>
      <c r="B59" s="16"/>
      <c r="C59" s="630"/>
      <c r="D59" s="630"/>
      <c r="E59" s="625"/>
      <c r="F59" s="2032"/>
      <c r="G59" s="2032"/>
      <c r="H59" s="625"/>
      <c r="I59" s="625"/>
      <c r="J59" s="2032"/>
      <c r="K59" s="2032"/>
      <c r="L59" s="625"/>
      <c r="M59" s="630"/>
      <c r="N59" s="630"/>
      <c r="O59" s="51"/>
      <c r="P59" s="1098"/>
      <c r="Q59" s="1098"/>
      <c r="R59" s="51"/>
      <c r="S59" s="51"/>
      <c r="T59" s="1098"/>
      <c r="U59" s="1098"/>
      <c r="V59" s="51"/>
      <c r="W59" s="51"/>
      <c r="X59" s="1098"/>
      <c r="Y59" s="1098"/>
      <c r="Z59" s="137"/>
      <c r="AA59" s="137"/>
      <c r="AB59" s="630"/>
      <c r="AC59" s="630"/>
      <c r="AD59" s="137"/>
      <c r="AE59" s="137"/>
      <c r="AF59" s="630"/>
      <c r="AG59" s="630"/>
      <c r="AH59" s="137"/>
      <c r="AI59" s="137"/>
      <c r="AJ59" s="137"/>
      <c r="AK59" s="137"/>
      <c r="AL59" s="137"/>
      <c r="AM59" s="137"/>
      <c r="AN59" s="137"/>
      <c r="AO59" s="137"/>
      <c r="AP59" s="137"/>
      <c r="AQ59" s="137"/>
      <c r="AR59" s="137"/>
      <c r="AS59" s="137"/>
      <c r="AT59" s="137"/>
    </row>
    <row r="60" spans="1:46" s="141" customFormat="1" ht="17.100000000000001" customHeight="1">
      <c r="A60" s="623"/>
      <c r="B60" s="25" t="s">
        <v>426</v>
      </c>
      <c r="C60" s="382">
        <f>C54-SUM(C57:C59)</f>
        <v>494212.25999999885</v>
      </c>
      <c r="D60" s="382">
        <f>D54-SUM(D57:D59)</f>
        <v>368732.74000000022</v>
      </c>
      <c r="E60" s="625"/>
      <c r="F60" s="382">
        <v>429670.01049999939</v>
      </c>
      <c r="G60" s="382">
        <v>330240.59475000016</v>
      </c>
      <c r="H60" s="625"/>
      <c r="I60" s="625"/>
      <c r="J60" s="382">
        <v>400013.06613494409</v>
      </c>
      <c r="K60" s="382">
        <v>307355.34719140129</v>
      </c>
      <c r="L60" s="625"/>
      <c r="M60" s="382">
        <v>120608.87999999931</v>
      </c>
      <c r="N60" s="382">
        <v>91847.489999999874</v>
      </c>
      <c r="O60" s="382"/>
      <c r="P60" s="163">
        <v>568921.97000000346</v>
      </c>
      <c r="Q60" s="163">
        <v>427500.32999999914</v>
      </c>
      <c r="R60" s="382"/>
      <c r="S60" s="382"/>
      <c r="T60" s="382">
        <v>374253.37999999709</v>
      </c>
      <c r="U60" s="382">
        <v>277932.29999999981</v>
      </c>
      <c r="V60" s="382"/>
      <c r="W60" s="382"/>
      <c r="X60" s="382">
        <v>259848.3446369411</v>
      </c>
      <c r="Y60" s="382">
        <v>192448.83047318365</v>
      </c>
      <c r="Z60" s="137"/>
      <c r="AA60" s="137"/>
      <c r="AB60" s="382">
        <f>AB54-SUM(AB57:AB59)</f>
        <v>112349.02480737306</v>
      </c>
      <c r="AC60" s="382">
        <f>AC54-SUM(AC57:AC59)</f>
        <v>82694.037173024437</v>
      </c>
      <c r="AD60" s="137"/>
      <c r="AE60" s="137"/>
      <c r="AF60" s="382">
        <f>AF54-SUM(AF57:AF59)</f>
        <v>523898.82407174632</v>
      </c>
      <c r="AG60" s="382">
        <f>AG54-SUM(AG57:AG59)</f>
        <v>400220.59370832611</v>
      </c>
      <c r="AH60" s="137"/>
      <c r="AI60" s="137"/>
      <c r="AJ60" s="137"/>
      <c r="AK60" s="137"/>
      <c r="AL60" s="137"/>
      <c r="AM60" s="137"/>
      <c r="AN60" s="137"/>
      <c r="AO60" s="137"/>
      <c r="AP60" s="137"/>
      <c r="AQ60" s="137"/>
      <c r="AR60" s="137"/>
      <c r="AS60" s="137"/>
      <c r="AT60" s="137"/>
    </row>
    <row r="61" spans="1:46" s="141" customFormat="1" ht="17.100000000000001" customHeight="1">
      <c r="A61" s="623"/>
      <c r="B61" s="25"/>
      <c r="C61" s="382"/>
      <c r="D61" s="382"/>
      <c r="E61" s="625"/>
      <c r="F61" s="382"/>
      <c r="G61" s="382"/>
      <c r="H61" s="625"/>
      <c r="I61" s="625"/>
      <c r="J61" s="382"/>
      <c r="K61" s="382"/>
      <c r="L61" s="625"/>
      <c r="M61" s="382"/>
      <c r="N61" s="382"/>
      <c r="O61" s="382"/>
      <c r="P61" s="163"/>
      <c r="Q61" s="163"/>
      <c r="R61" s="382"/>
      <c r="S61" s="382"/>
      <c r="T61" s="137"/>
      <c r="U61" s="137"/>
      <c r="V61" s="382"/>
      <c r="W61" s="382"/>
      <c r="X61" s="137">
        <v>0</v>
      </c>
      <c r="Y61" s="137">
        <v>0</v>
      </c>
      <c r="Z61" s="137"/>
      <c r="AA61" s="137"/>
      <c r="AB61" s="382"/>
      <c r="AC61" s="382"/>
      <c r="AD61" s="137"/>
      <c r="AE61" s="137"/>
      <c r="AF61" s="382"/>
      <c r="AG61" s="382"/>
      <c r="AH61" s="137"/>
      <c r="AI61" s="137"/>
      <c r="AJ61" s="137"/>
      <c r="AK61" s="137"/>
      <c r="AL61" s="137"/>
      <c r="AM61" s="137"/>
      <c r="AN61" s="137"/>
      <c r="AO61" s="137"/>
      <c r="AP61" s="137"/>
      <c r="AQ61" s="137"/>
      <c r="AR61" s="137"/>
      <c r="AS61" s="137"/>
      <c r="AT61" s="137"/>
    </row>
    <row r="62" spans="1:46" s="141" customFormat="1" ht="17.100000000000001" customHeight="1">
      <c r="A62" s="623" t="s">
        <v>255</v>
      </c>
      <c r="B62" s="22" t="s">
        <v>3399</v>
      </c>
      <c r="C62" s="630">
        <f>-'מאזן בוחן EUROPE'!K504</f>
        <v>-46118.41</v>
      </c>
      <c r="D62" s="630">
        <f>-'מאזן בוחן EUROPE'!J504</f>
        <v>-352080.39999999997</v>
      </c>
      <c r="E62" s="625"/>
      <c r="F62" s="2032">
        <v>38296.749564131824</v>
      </c>
      <c r="G62" s="2032">
        <v>164192.29</v>
      </c>
      <c r="H62" s="625"/>
      <c r="I62" s="625"/>
      <c r="J62" s="2032">
        <v>-681986.51737650379</v>
      </c>
      <c r="K62" s="2032">
        <v>274114.06</v>
      </c>
      <c r="L62" s="625"/>
      <c r="M62" s="630">
        <v>50511.7</v>
      </c>
      <c r="N62" s="630">
        <v>-242630.26</v>
      </c>
      <c r="O62" s="51"/>
      <c r="P62" s="1458">
        <v>-992505.38</v>
      </c>
      <c r="Q62" s="1458">
        <v>-48995.32</v>
      </c>
      <c r="R62" s="51"/>
      <c r="S62" s="51"/>
      <c r="T62" s="1098">
        <v>-805953.69000000006</v>
      </c>
      <c r="U62" s="1098">
        <v>-28205.010000000002</v>
      </c>
      <c r="V62" s="51"/>
      <c r="W62" s="51"/>
      <c r="X62" s="1098">
        <v>-838576.64000000001</v>
      </c>
      <c r="Y62" s="1098">
        <v>-71411.049999999988</v>
      </c>
      <c r="Z62" s="137"/>
      <c r="AA62" s="137"/>
      <c r="AB62" s="630">
        <v>235819.27000000002</v>
      </c>
      <c r="AC62" s="630">
        <v>-233259.10780424654</v>
      </c>
      <c r="AD62" s="137"/>
      <c r="AE62" s="137"/>
      <c r="AF62" s="630">
        <v>1076305.67</v>
      </c>
      <c r="AG62" s="630">
        <v>-138751.61715719258</v>
      </c>
      <c r="AH62" s="137"/>
      <c r="AI62" s="137"/>
      <c r="AJ62" s="137"/>
      <c r="AK62" s="137"/>
      <c r="AL62" s="137"/>
      <c r="AM62" s="137"/>
      <c r="AN62" s="137"/>
      <c r="AO62" s="137"/>
      <c r="AP62" s="137"/>
      <c r="AQ62" s="137"/>
      <c r="AR62" s="137"/>
      <c r="AS62" s="137"/>
      <c r="AT62" s="137"/>
    </row>
    <row r="63" spans="1:46" s="141" customFormat="1" ht="17.100000000000001" customHeight="1">
      <c r="A63" s="623"/>
      <c r="B63" s="26" t="s">
        <v>248</v>
      </c>
      <c r="C63" s="382">
        <f>SUM(C60:C62)</f>
        <v>448093.84999999881</v>
      </c>
      <c r="D63" s="382">
        <f>SUM(D60:D62)</f>
        <v>16652.340000000258</v>
      </c>
      <c r="E63" s="625"/>
      <c r="F63" s="382">
        <v>467966.76006413123</v>
      </c>
      <c r="G63" s="382">
        <v>494432.8847500002</v>
      </c>
      <c r="H63" s="625"/>
      <c r="I63" s="625"/>
      <c r="J63" s="382">
        <v>-281973.4512415597</v>
      </c>
      <c r="K63" s="382">
        <v>581469.40719140135</v>
      </c>
      <c r="L63" s="625"/>
      <c r="M63" s="382">
        <v>171120.57999999932</v>
      </c>
      <c r="N63" s="382">
        <v>-150782.77000000014</v>
      </c>
      <c r="O63" s="382"/>
      <c r="P63" s="163">
        <v>-423583.40999999654</v>
      </c>
      <c r="Q63" s="163">
        <v>378505.00999999914</v>
      </c>
      <c r="R63" s="382"/>
      <c r="S63" s="382"/>
      <c r="T63" s="382">
        <v>-431700.31000000297</v>
      </c>
      <c r="U63" s="382">
        <v>249727.2899999998</v>
      </c>
      <c r="V63" s="382"/>
      <c r="W63" s="382"/>
      <c r="X63" s="382">
        <v>-578728.29536305892</v>
      </c>
      <c r="Y63" s="382">
        <v>121037.78047318367</v>
      </c>
      <c r="Z63" s="137"/>
      <c r="AA63" s="137"/>
      <c r="AB63" s="382">
        <f>SUM(AB60:AB62)</f>
        <v>348168.29480737308</v>
      </c>
      <c r="AC63" s="382">
        <f>SUM(AC60:AC62)</f>
        <v>-150565.0706312221</v>
      </c>
      <c r="AD63" s="137"/>
      <c r="AE63" s="137"/>
      <c r="AF63" s="382">
        <f>SUM(AF60:AF62)</f>
        <v>1600204.4940717462</v>
      </c>
      <c r="AG63" s="382">
        <f>SUM(AG60:AG62)</f>
        <v>261468.97655113353</v>
      </c>
      <c r="AH63" s="137"/>
      <c r="AI63" s="137"/>
      <c r="AJ63" s="137"/>
      <c r="AK63" s="137"/>
      <c r="AL63" s="137"/>
      <c r="AM63" s="137"/>
      <c r="AN63" s="137"/>
      <c r="AO63" s="137"/>
      <c r="AP63" s="137"/>
      <c r="AQ63" s="137"/>
      <c r="AR63" s="137"/>
      <c r="AS63" s="137"/>
      <c r="AT63" s="137"/>
    </row>
    <row r="64" spans="1:46" s="141" customFormat="1" ht="17.100000000000001" customHeight="1">
      <c r="A64" s="623"/>
      <c r="B64" s="26"/>
      <c r="C64" s="382"/>
      <c r="D64" s="382"/>
      <c r="E64" s="625"/>
      <c r="F64" s="382"/>
      <c r="G64" s="382"/>
      <c r="H64" s="625"/>
      <c r="I64" s="625"/>
      <c r="J64" s="382"/>
      <c r="K64" s="382"/>
      <c r="L64" s="625"/>
      <c r="M64" s="382"/>
      <c r="N64" s="382"/>
      <c r="O64" s="382"/>
      <c r="P64" s="163"/>
      <c r="Q64" s="163"/>
      <c r="R64" s="382"/>
      <c r="S64" s="382"/>
      <c r="T64" s="137"/>
      <c r="U64" s="137"/>
      <c r="V64" s="382"/>
      <c r="W64" s="382"/>
      <c r="X64" s="137"/>
      <c r="Y64" s="137"/>
      <c r="Z64" s="137"/>
      <c r="AA64" s="137"/>
      <c r="AB64" s="382"/>
      <c r="AC64" s="382"/>
      <c r="AD64" s="137"/>
      <c r="AE64" s="137"/>
      <c r="AF64" s="382"/>
      <c r="AG64" s="382"/>
      <c r="AH64" s="137"/>
      <c r="AI64" s="137"/>
      <c r="AJ64" s="137"/>
      <c r="AK64" s="137"/>
      <c r="AL64" s="137"/>
      <c r="AM64" s="137"/>
      <c r="AN64" s="137"/>
      <c r="AO64" s="137"/>
      <c r="AP64" s="137"/>
      <c r="AQ64" s="137"/>
      <c r="AR64" s="137"/>
      <c r="AS64" s="137"/>
      <c r="AT64" s="137"/>
    </row>
    <row r="65" spans="1:46" s="141" customFormat="1" ht="17.100000000000001" customHeight="1">
      <c r="A65" s="623" t="s">
        <v>256</v>
      </c>
      <c r="B65" s="22" t="s">
        <v>302</v>
      </c>
      <c r="C65" s="630">
        <f>'מאזן בוחן EUROPE'!K496</f>
        <v>60863.14</v>
      </c>
      <c r="D65" s="630">
        <f>'מאזן בוחן EUROPE'!J496</f>
        <v>44968.81</v>
      </c>
      <c r="E65" s="625"/>
      <c r="F65" s="2032">
        <v>21605.73</v>
      </c>
      <c r="G65" s="2032">
        <v>16854.86</v>
      </c>
      <c r="H65" s="625"/>
      <c r="I65" s="625"/>
      <c r="J65" s="2032">
        <v>32455.726369634722</v>
      </c>
      <c r="K65" s="2032">
        <v>30153.859359280192</v>
      </c>
      <c r="L65" s="625"/>
      <c r="M65" s="630">
        <v>1263</v>
      </c>
      <c r="N65" s="630">
        <v>968</v>
      </c>
      <c r="O65" s="51"/>
      <c r="P65" s="1458">
        <v>170069.03999999998</v>
      </c>
      <c r="Q65" s="1458">
        <v>132089.93</v>
      </c>
      <c r="R65" s="51"/>
      <c r="S65" s="51"/>
      <c r="T65" s="1098">
        <v>61334.039999999994</v>
      </c>
      <c r="U65" s="1098">
        <v>47068.93</v>
      </c>
      <c r="V65" s="51"/>
      <c r="W65" s="51"/>
      <c r="X65" s="1098">
        <v>26070.052791232865</v>
      </c>
      <c r="Y65" s="1098">
        <v>20076.956664170561</v>
      </c>
      <c r="Z65" s="137"/>
      <c r="AA65" s="137"/>
      <c r="AB65" s="630">
        <v>262.27999999999997</v>
      </c>
      <c r="AC65" s="630">
        <v>187.04</v>
      </c>
      <c r="AD65" s="137"/>
      <c r="AE65" s="137"/>
      <c r="AF65" s="630">
        <v>72007.142587590919</v>
      </c>
      <c r="AG65" s="630">
        <v>56928.975108647719</v>
      </c>
      <c r="AH65" s="137"/>
      <c r="AI65" s="137"/>
      <c r="AJ65" s="137"/>
      <c r="AK65" s="137"/>
      <c r="AL65" s="137"/>
      <c r="AM65" s="137"/>
      <c r="AN65" s="137"/>
      <c r="AO65" s="137"/>
      <c r="AP65" s="137"/>
      <c r="AQ65" s="137"/>
      <c r="AR65" s="137"/>
      <c r="AS65" s="137"/>
      <c r="AT65" s="137"/>
    </row>
    <row r="66" spans="1:46" s="141" customFormat="1" ht="17.100000000000001" customHeight="1">
      <c r="A66" s="623"/>
      <c r="B66" s="22"/>
      <c r="C66" s="51"/>
      <c r="D66" s="51"/>
      <c r="E66" s="625"/>
      <c r="F66" s="137"/>
      <c r="G66" s="137"/>
      <c r="H66" s="625"/>
      <c r="I66" s="625"/>
      <c r="J66" s="137"/>
      <c r="K66" s="137"/>
      <c r="L66" s="625"/>
      <c r="M66" s="51"/>
      <c r="N66" s="51"/>
      <c r="O66" s="51"/>
      <c r="P66" s="51"/>
      <c r="Q66" s="51"/>
      <c r="R66" s="51"/>
      <c r="S66" s="51"/>
      <c r="T66" s="137">
        <v>0</v>
      </c>
      <c r="U66" s="137">
        <v>0</v>
      </c>
      <c r="V66" s="51"/>
      <c r="W66" s="51"/>
      <c r="X66" s="137"/>
      <c r="Y66" s="137"/>
      <c r="Z66" s="137"/>
      <c r="AA66" s="137"/>
      <c r="AB66" s="51"/>
      <c r="AC66" s="51"/>
      <c r="AD66" s="137"/>
      <c r="AE66" s="137"/>
      <c r="AF66" s="51"/>
      <c r="AG66" s="51"/>
      <c r="AH66" s="137"/>
      <c r="AI66" s="137"/>
      <c r="AJ66" s="137"/>
      <c r="AK66" s="137"/>
      <c r="AL66" s="137"/>
      <c r="AM66" s="137"/>
      <c r="AN66" s="137"/>
      <c r="AO66" s="137"/>
      <c r="AP66" s="137"/>
      <c r="AQ66" s="137"/>
      <c r="AR66" s="137"/>
      <c r="AS66" s="137"/>
      <c r="AT66" s="137"/>
    </row>
    <row r="67" spans="1:46" s="141" customFormat="1" ht="17.100000000000001" customHeight="1">
      <c r="A67" s="623"/>
      <c r="B67" s="25" t="s">
        <v>249</v>
      </c>
      <c r="C67" s="382">
        <f>C63-C65</f>
        <v>387230.7099999988</v>
      </c>
      <c r="D67" s="382">
        <f>D63-D65</f>
        <v>-28316.469999999739</v>
      </c>
      <c r="E67" s="625"/>
      <c r="F67" s="382">
        <v>446361.03006413125</v>
      </c>
      <c r="G67" s="382">
        <v>477578.02475000022</v>
      </c>
      <c r="H67" s="625"/>
      <c r="I67" s="625"/>
      <c r="J67" s="382">
        <v>-314429.17761119443</v>
      </c>
      <c r="K67" s="382">
        <v>551315.54783212114</v>
      </c>
      <c r="L67" s="625"/>
      <c r="M67" s="382">
        <v>169857.57999999932</v>
      </c>
      <c r="N67" s="382">
        <v>-151750.77000000014</v>
      </c>
      <c r="O67" s="382"/>
      <c r="P67" s="163">
        <v>-593652.44999999646</v>
      </c>
      <c r="Q67" s="163">
        <v>246415.07999999914</v>
      </c>
      <c r="R67" s="382"/>
      <c r="S67" s="382"/>
      <c r="T67" s="137">
        <v>-493034.35000000295</v>
      </c>
      <c r="U67" s="137">
        <v>202658.35999999981</v>
      </c>
      <c r="V67" s="382"/>
      <c r="W67" s="382"/>
      <c r="X67" s="137">
        <v>-604798.34815429174</v>
      </c>
      <c r="Y67" s="137">
        <v>100960.82380901311</v>
      </c>
      <c r="Z67" s="137"/>
      <c r="AA67" s="137"/>
      <c r="AB67" s="382">
        <f>AB63-AB65</f>
        <v>347906.01480737305</v>
      </c>
      <c r="AC67" s="382">
        <f>AC63-AC65</f>
        <v>-150752.11063122211</v>
      </c>
      <c r="AD67" s="137"/>
      <c r="AE67" s="137"/>
      <c r="AF67" s="382">
        <f>AF63-AF65</f>
        <v>1528197.3514841553</v>
      </c>
      <c r="AG67" s="382">
        <f>AG63-AG65</f>
        <v>204540.00144248581</v>
      </c>
      <c r="AH67" s="137"/>
      <c r="AI67" s="137"/>
      <c r="AJ67" s="137"/>
      <c r="AK67" s="137"/>
      <c r="AL67" s="137"/>
      <c r="AM67" s="137"/>
      <c r="AN67" s="137"/>
      <c r="AO67" s="137"/>
      <c r="AP67" s="137"/>
      <c r="AQ67" s="137"/>
      <c r="AR67" s="137"/>
      <c r="AS67" s="137"/>
      <c r="AT67" s="137"/>
    </row>
    <row r="68" spans="1:46" s="141" customFormat="1" ht="17.100000000000001" customHeight="1">
      <c r="A68" s="137"/>
      <c r="B68" s="137"/>
      <c r="C68" s="137"/>
      <c r="D68" s="137"/>
      <c r="E68" s="137"/>
      <c r="F68" s="137"/>
      <c r="G68" s="137"/>
      <c r="H68" s="137"/>
      <c r="I68" s="137"/>
      <c r="J68" s="137"/>
      <c r="K68" s="137"/>
      <c r="L68" s="137"/>
      <c r="M68" s="137"/>
      <c r="N68" s="137"/>
      <c r="O68" s="137"/>
      <c r="P68" s="163"/>
      <c r="Q68" s="163"/>
      <c r="R68" s="137"/>
      <c r="S68" s="137"/>
      <c r="T68" s="137"/>
      <c r="U68" s="137"/>
      <c r="V68" s="137"/>
      <c r="W68" s="137"/>
      <c r="X68" s="137"/>
      <c r="Y68" s="137"/>
      <c r="Z68" s="137"/>
      <c r="AA68" s="137"/>
      <c r="AB68" s="137"/>
      <c r="AC68" s="137"/>
      <c r="AD68" s="137"/>
      <c r="AE68" s="137"/>
      <c r="AF68" s="137"/>
      <c r="AG68" s="137"/>
      <c r="AH68" s="137"/>
      <c r="AI68" s="137"/>
      <c r="AJ68" s="137"/>
      <c r="AK68" s="137"/>
      <c r="AL68" s="137"/>
      <c r="AM68" s="137"/>
      <c r="AN68" s="137"/>
      <c r="AO68" s="137"/>
      <c r="AP68" s="137"/>
      <c r="AQ68" s="137"/>
      <c r="AR68" s="137"/>
      <c r="AS68" s="137"/>
      <c r="AT68" s="137"/>
    </row>
    <row r="69" spans="1:46" s="141" customFormat="1" ht="17.100000000000001" customHeight="1">
      <c r="A69" s="137"/>
      <c r="B69" s="137"/>
      <c r="C69" s="137"/>
      <c r="D69" s="137"/>
      <c r="E69" s="137"/>
      <c r="F69" s="137"/>
      <c r="G69" s="137"/>
      <c r="H69" s="137"/>
      <c r="I69" s="137"/>
      <c r="J69" s="137"/>
      <c r="K69" s="137"/>
      <c r="L69" s="137"/>
      <c r="M69" s="137"/>
      <c r="N69" s="137"/>
      <c r="O69" s="137"/>
      <c r="P69" s="51"/>
      <c r="Q69" s="51"/>
      <c r="R69" s="137"/>
      <c r="S69" s="137"/>
      <c r="T69" s="137"/>
      <c r="U69" s="137"/>
      <c r="V69" s="137"/>
      <c r="W69" s="137"/>
      <c r="X69" s="137"/>
      <c r="Y69" s="137"/>
      <c r="Z69" s="137"/>
      <c r="AA69" s="137"/>
      <c r="AB69" s="137"/>
      <c r="AC69" s="137"/>
      <c r="AD69" s="137"/>
      <c r="AE69" s="137"/>
      <c r="AF69" s="137"/>
      <c r="AG69" s="137"/>
      <c r="AH69" s="137"/>
      <c r="AI69" s="137"/>
      <c r="AJ69" s="137"/>
      <c r="AK69" s="137"/>
      <c r="AL69" s="137"/>
      <c r="AM69" s="137"/>
      <c r="AN69" s="137"/>
      <c r="AO69" s="137"/>
      <c r="AP69" s="137"/>
      <c r="AQ69" s="137"/>
      <c r="AR69" s="137"/>
      <c r="AS69" s="137"/>
      <c r="AT69" s="137"/>
    </row>
    <row r="70" spans="1:46" s="141" customFormat="1" ht="17.100000000000001" customHeight="1">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137"/>
      <c r="AJ70" s="137"/>
      <c r="AK70" s="137"/>
      <c r="AL70" s="137"/>
      <c r="AM70" s="137"/>
      <c r="AN70" s="137"/>
      <c r="AO70" s="137"/>
      <c r="AP70" s="137"/>
      <c r="AQ70" s="137"/>
      <c r="AR70" s="137"/>
      <c r="AS70" s="137"/>
      <c r="AT70" s="137"/>
    </row>
    <row r="71" spans="1:46" s="141" customFormat="1" ht="17.100000000000001" customHeight="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137"/>
      <c r="AJ71" s="137"/>
      <c r="AK71" s="137"/>
      <c r="AL71" s="137"/>
      <c r="AM71" s="137"/>
      <c r="AN71" s="137"/>
      <c r="AO71" s="137"/>
      <c r="AP71" s="137"/>
      <c r="AQ71" s="137"/>
      <c r="AR71" s="137"/>
      <c r="AS71" s="137"/>
      <c r="AT71" s="137"/>
    </row>
    <row r="72" spans="1:46" s="141" customFormat="1" ht="17.100000000000001" customHeight="1">
      <c r="A72" s="137"/>
      <c r="B72" s="137"/>
      <c r="C72" s="137"/>
      <c r="D72" s="137"/>
      <c r="E72" s="137"/>
      <c r="F72" s="137"/>
      <c r="G72" s="137"/>
      <c r="H72" s="137"/>
      <c r="I72" s="137"/>
      <c r="J72" s="137"/>
      <c r="K72" s="137"/>
      <c r="L72" s="137"/>
      <c r="M72" s="137"/>
      <c r="N72" s="137"/>
      <c r="O72" s="137"/>
      <c r="P72" s="137"/>
      <c r="Q72" s="137"/>
      <c r="R72" s="137"/>
      <c r="S72" s="137"/>
      <c r="T72" s="51"/>
      <c r="U72" s="51"/>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row>
    <row r="73" spans="1:46" s="141" customFormat="1" ht="17.100000000000001" customHeight="1">
      <c r="A73" s="137"/>
      <c r="B73" s="137"/>
      <c r="C73" s="137"/>
      <c r="D73" s="137"/>
      <c r="E73" s="137"/>
      <c r="F73" s="137"/>
      <c r="G73" s="137"/>
      <c r="H73" s="137"/>
      <c r="I73" s="137"/>
      <c r="J73" s="137"/>
      <c r="K73" s="137"/>
      <c r="L73" s="137"/>
      <c r="M73" s="137"/>
      <c r="N73" s="137"/>
      <c r="O73" s="137"/>
      <c r="P73" s="137"/>
      <c r="Q73" s="137"/>
      <c r="R73" s="137"/>
      <c r="S73" s="137"/>
      <c r="T73" s="163"/>
      <c r="U73" s="163"/>
      <c r="V73" s="137"/>
      <c r="W73" s="137"/>
      <c r="X73" s="137"/>
      <c r="Y73" s="137"/>
      <c r="Z73" s="137"/>
      <c r="AA73" s="137"/>
      <c r="AB73" s="137"/>
      <c r="AC73" s="137"/>
      <c r="AD73" s="137"/>
      <c r="AE73" s="137"/>
      <c r="AF73" s="137"/>
      <c r="AG73" s="137"/>
      <c r="AH73" s="137"/>
      <c r="AI73" s="137"/>
      <c r="AJ73" s="137"/>
      <c r="AK73" s="137"/>
      <c r="AL73" s="137"/>
      <c r="AM73" s="137"/>
      <c r="AN73" s="137"/>
      <c r="AO73" s="137"/>
      <c r="AP73" s="137"/>
      <c r="AQ73" s="137"/>
      <c r="AR73" s="137"/>
      <c r="AS73" s="137"/>
      <c r="AT73" s="137"/>
    </row>
    <row r="74" spans="1:46" s="141" customFormat="1" ht="17.100000000000001" customHeight="1">
      <c r="A74" s="137"/>
      <c r="B74" s="137"/>
      <c r="C74" s="137"/>
      <c r="D74" s="137"/>
      <c r="E74" s="137"/>
      <c r="F74" s="137"/>
      <c r="G74" s="137"/>
      <c r="H74" s="137"/>
      <c r="I74" s="137"/>
      <c r="J74" s="137"/>
      <c r="K74" s="137"/>
      <c r="L74" s="137"/>
      <c r="M74" s="137"/>
      <c r="N74" s="137"/>
      <c r="O74" s="137"/>
      <c r="P74" s="137"/>
      <c r="Q74" s="137"/>
      <c r="R74" s="137"/>
      <c r="S74" s="137"/>
      <c r="T74" s="51"/>
      <c r="U74" s="51"/>
      <c r="V74" s="137"/>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37"/>
      <c r="AS74" s="137"/>
      <c r="AT74" s="137"/>
    </row>
    <row r="75" spans="1:46" s="141" customFormat="1" ht="17.100000000000001" customHeight="1">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c r="AK75" s="137"/>
      <c r="AL75" s="137"/>
      <c r="AM75" s="137"/>
      <c r="AN75" s="137"/>
      <c r="AO75" s="137"/>
      <c r="AP75" s="137"/>
      <c r="AQ75" s="137"/>
      <c r="AR75" s="137"/>
      <c r="AS75" s="137"/>
      <c r="AT75" s="137"/>
    </row>
    <row r="76" spans="1:46" s="141" customFormat="1" ht="17.100000000000001" customHeight="1">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37"/>
      <c r="AS76" s="137"/>
      <c r="AT76" s="137"/>
    </row>
    <row r="77" spans="1:46" s="141" customFormat="1" ht="17.100000000000001" customHeight="1">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37"/>
      <c r="AS77" s="137"/>
      <c r="AT77" s="137"/>
    </row>
    <row r="78" spans="1:46" s="141" customFormat="1" ht="17.100000000000001" customHeight="1">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37"/>
      <c r="AS78" s="137"/>
      <c r="AT78" s="137"/>
    </row>
    <row r="79" spans="1:46" s="141" customFormat="1" ht="17.100000000000001" customHeight="1">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c r="AK79" s="137"/>
      <c r="AL79" s="137"/>
      <c r="AM79" s="137"/>
      <c r="AN79" s="137"/>
      <c r="AO79" s="137"/>
      <c r="AP79" s="137"/>
      <c r="AQ79" s="137"/>
      <c r="AR79" s="137"/>
      <c r="AS79" s="137"/>
      <c r="AT79" s="137"/>
    </row>
    <row r="80" spans="1:46" s="141" customFormat="1" ht="17.100000000000001" customHeight="1">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37"/>
      <c r="AS80" s="137"/>
      <c r="AT80" s="137"/>
    </row>
    <row r="81" spans="1:46" s="141" customFormat="1" ht="17.100000000000001" customHeight="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row>
    <row r="82" spans="1:46" s="141" customFormat="1" ht="17.100000000000001" customHeight="1">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37"/>
    </row>
    <row r="83" spans="1:46" s="141" customFormat="1" ht="17.100000000000001" customHeight="1">
      <c r="A83" s="137"/>
      <c r="B83" s="137"/>
      <c r="C83" s="137"/>
      <c r="D83" s="137"/>
      <c r="E83" s="137"/>
      <c r="F83" s="137"/>
      <c r="G83" s="137"/>
      <c r="H83" s="137"/>
      <c r="I83" s="137"/>
      <c r="J83" s="137"/>
      <c r="K83" s="137"/>
      <c r="L83" s="137"/>
      <c r="M83" s="137"/>
      <c r="N83" s="137"/>
      <c r="O83" s="137"/>
      <c r="P83" s="137"/>
      <c r="Q83" s="137"/>
      <c r="R83" s="137"/>
      <c r="S83" s="137"/>
      <c r="T83" s="91"/>
      <c r="U83" s="91"/>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37"/>
    </row>
    <row r="84" spans="1:46" s="141" customFormat="1" ht="17.100000000000001" customHeight="1">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row>
    <row r="85" spans="1:46" s="141" customFormat="1" ht="17.100000000000001" customHeight="1">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37"/>
      <c r="AS85" s="137"/>
      <c r="AT85" s="137"/>
    </row>
    <row r="86" spans="1:46" s="141" customFormat="1" ht="17.100000000000001" customHeight="1">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37"/>
      <c r="AS86" s="137"/>
      <c r="AT86" s="137"/>
    </row>
    <row r="87" spans="1:46" s="141" customFormat="1" ht="17.100000000000001" customHeight="1">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row>
    <row r="88" spans="1:46" ht="17.100000000000001" customHeight="1">
      <c r="B88" s="137"/>
      <c r="C88" s="137"/>
      <c r="D88" s="137"/>
      <c r="E88" s="137"/>
      <c r="H88" s="137"/>
      <c r="I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row>
    <row r="89" spans="1:46" ht="17.100000000000001" customHeight="1">
      <c r="B89" s="137"/>
      <c r="C89" s="137"/>
      <c r="D89" s="137"/>
      <c r="E89" s="137"/>
      <c r="H89" s="137"/>
      <c r="I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137"/>
      <c r="AJ89" s="137"/>
      <c r="AK89" s="137"/>
      <c r="AL89" s="137"/>
      <c r="AM89" s="137"/>
      <c r="AN89" s="137"/>
      <c r="AO89" s="137"/>
      <c r="AP89" s="137"/>
      <c r="AQ89" s="137"/>
    </row>
    <row r="90" spans="1:46" ht="17.100000000000001" customHeight="1">
      <c r="B90" s="137"/>
      <c r="C90" s="137"/>
      <c r="D90" s="137"/>
      <c r="E90" s="137"/>
      <c r="H90" s="137"/>
      <c r="I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7"/>
      <c r="AN90" s="137"/>
      <c r="AO90" s="137"/>
      <c r="AP90" s="137"/>
      <c r="AQ90" s="137"/>
    </row>
    <row r="91" spans="1:46" ht="17.100000000000001" customHeight="1">
      <c r="B91" s="137"/>
      <c r="C91" s="137"/>
      <c r="D91" s="137"/>
      <c r="E91" s="137"/>
      <c r="H91" s="137"/>
      <c r="I91" s="137"/>
      <c r="L91" s="137"/>
      <c r="M91" s="137"/>
      <c r="N91" s="137"/>
      <c r="O91" s="137"/>
      <c r="P91" s="137"/>
      <c r="Q91" s="137"/>
      <c r="R91" s="137"/>
      <c r="S91" s="137"/>
      <c r="T91" s="91"/>
      <c r="U91" s="91"/>
      <c r="V91" s="137"/>
      <c r="W91" s="137"/>
      <c r="X91" s="137"/>
      <c r="Y91" s="137"/>
      <c r="Z91" s="137"/>
      <c r="AA91" s="137"/>
      <c r="AB91" s="137"/>
      <c r="AC91" s="137"/>
      <c r="AD91" s="137"/>
      <c r="AE91" s="137"/>
      <c r="AF91" s="137"/>
      <c r="AG91" s="137"/>
      <c r="AH91" s="137"/>
      <c r="AI91" s="137"/>
      <c r="AJ91" s="137"/>
      <c r="AK91" s="137"/>
      <c r="AL91" s="137"/>
      <c r="AM91" s="137"/>
      <c r="AN91" s="137"/>
      <c r="AO91" s="137"/>
      <c r="AP91" s="137"/>
      <c r="AQ91" s="137"/>
    </row>
    <row r="92" spans="1:46" ht="17.100000000000001" customHeight="1">
      <c r="B92" s="137"/>
      <c r="C92" s="137"/>
      <c r="D92" s="137"/>
      <c r="E92" s="137"/>
      <c r="H92" s="137"/>
      <c r="I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137"/>
      <c r="AJ92" s="137"/>
      <c r="AK92" s="137"/>
      <c r="AL92" s="137"/>
      <c r="AM92" s="137"/>
      <c r="AN92" s="137"/>
      <c r="AO92" s="137"/>
      <c r="AP92" s="137"/>
      <c r="AQ92" s="137"/>
    </row>
    <row r="93" spans="1:46" ht="17.100000000000001" customHeight="1">
      <c r="B93" s="137"/>
      <c r="C93" s="137"/>
      <c r="D93" s="137"/>
      <c r="E93" s="137"/>
      <c r="H93" s="137"/>
      <c r="I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137"/>
      <c r="AJ93" s="137"/>
      <c r="AK93" s="137"/>
      <c r="AL93" s="137"/>
      <c r="AM93" s="137"/>
      <c r="AN93" s="137"/>
      <c r="AO93" s="137"/>
      <c r="AP93" s="137"/>
      <c r="AQ93" s="137"/>
    </row>
    <row r="94" spans="1:46" ht="17.100000000000001" customHeight="1">
      <c r="B94" s="137"/>
      <c r="C94" s="137"/>
      <c r="D94" s="137"/>
      <c r="E94" s="137"/>
      <c r="H94" s="137"/>
      <c r="I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137"/>
      <c r="AJ94" s="137"/>
      <c r="AK94" s="137"/>
      <c r="AL94" s="137"/>
      <c r="AM94" s="137"/>
      <c r="AN94" s="137"/>
      <c r="AO94" s="137"/>
      <c r="AP94" s="137"/>
      <c r="AQ94" s="137"/>
    </row>
    <row r="95" spans="1:46" ht="17.100000000000001" customHeight="1">
      <c r="B95" s="137"/>
      <c r="C95" s="137"/>
      <c r="D95" s="137"/>
      <c r="E95" s="137"/>
      <c r="H95" s="137"/>
      <c r="I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c r="AM95" s="137"/>
      <c r="AN95" s="137"/>
      <c r="AO95" s="137"/>
      <c r="AP95" s="137"/>
      <c r="AQ95" s="137"/>
    </row>
    <row r="96" spans="1:46" ht="17.100000000000001" customHeight="1">
      <c r="B96" s="137"/>
      <c r="C96" s="137"/>
      <c r="D96" s="137"/>
      <c r="E96" s="137"/>
      <c r="H96" s="137"/>
      <c r="I96" s="137"/>
      <c r="L96" s="137"/>
      <c r="M96" s="137"/>
      <c r="N96" s="137"/>
      <c r="O96" s="137"/>
      <c r="P96" s="137"/>
      <c r="Q96" s="137"/>
      <c r="R96" s="137"/>
      <c r="S96" s="137"/>
      <c r="T96" s="91"/>
      <c r="U96" s="91"/>
      <c r="V96" s="137"/>
      <c r="W96" s="137"/>
      <c r="X96" s="137"/>
      <c r="Y96" s="137"/>
      <c r="Z96" s="137"/>
      <c r="AA96" s="137"/>
      <c r="AB96" s="137"/>
      <c r="AC96" s="137"/>
      <c r="AD96" s="137"/>
      <c r="AE96" s="137"/>
      <c r="AF96" s="137"/>
      <c r="AG96" s="137"/>
      <c r="AH96" s="137"/>
      <c r="AI96" s="137"/>
      <c r="AJ96" s="137"/>
      <c r="AK96" s="137"/>
      <c r="AL96" s="137"/>
      <c r="AM96" s="137"/>
      <c r="AN96" s="137"/>
      <c r="AO96" s="137"/>
      <c r="AP96" s="137"/>
      <c r="AQ96" s="137"/>
    </row>
    <row r="97" spans="20:21" s="137" customFormat="1" ht="17.100000000000001" customHeight="1"/>
    <row r="98" spans="20:21" s="137" customFormat="1" ht="17.100000000000001" customHeight="1"/>
    <row r="99" spans="20:21" s="137" customFormat="1" ht="17.100000000000001" customHeight="1"/>
    <row r="100" spans="20:21" s="137" customFormat="1" ht="17.100000000000001" customHeight="1"/>
    <row r="101" spans="20:21" s="137" customFormat="1" ht="17.100000000000001" customHeight="1"/>
    <row r="102" spans="20:21" s="137" customFormat="1" ht="17.100000000000001" customHeight="1"/>
    <row r="103" spans="20:21" s="137" customFormat="1" ht="17.100000000000001" customHeight="1"/>
    <row r="104" spans="20:21" s="137" customFormat="1" ht="17.100000000000001" customHeight="1">
      <c r="T104" s="91"/>
      <c r="U104" s="91"/>
    </row>
    <row r="105" spans="20:21" s="137" customFormat="1" ht="17.100000000000001" customHeight="1"/>
    <row r="106" spans="20:21" s="137" customFormat="1" ht="17.100000000000001" customHeight="1">
      <c r="T106" s="91"/>
      <c r="U106" s="91"/>
    </row>
    <row r="107" spans="20:21" s="137" customFormat="1" ht="17.100000000000001" customHeight="1"/>
    <row r="108" spans="20:21" s="137" customFormat="1" ht="17.100000000000001" customHeight="1"/>
    <row r="109" spans="20:21" s="137" customFormat="1" ht="17.100000000000001" customHeight="1"/>
    <row r="110" spans="20:21" s="137" customFormat="1" ht="17.100000000000001" customHeight="1"/>
    <row r="111" spans="20:21" s="137" customFormat="1" ht="17.100000000000001" customHeight="1"/>
    <row r="112" spans="20:21" s="137" customFormat="1" ht="17.100000000000001" customHeight="1">
      <c r="T112" s="1098"/>
      <c r="U112" s="1098"/>
    </row>
    <row r="113" spans="20:21" s="137" customFormat="1" ht="17.100000000000001" customHeight="1">
      <c r="T113" s="382"/>
      <c r="U113" s="382"/>
    </row>
    <row r="114" spans="20:21" s="137" customFormat="1" ht="17.100000000000001" customHeight="1"/>
    <row r="115" spans="20:21" s="137" customFormat="1" ht="17.100000000000001" customHeight="1"/>
    <row r="116" spans="20:21" s="137" customFormat="1" ht="17.100000000000001" customHeight="1"/>
    <row r="117" spans="20:21" s="137" customFormat="1" ht="17.100000000000001" customHeight="1"/>
    <row r="118" spans="20:21" s="137" customFormat="1" ht="17.100000000000001" customHeight="1">
      <c r="T118" s="1098"/>
      <c r="U118" s="1098"/>
    </row>
    <row r="119" spans="20:21" s="137" customFormat="1" ht="17.100000000000001" customHeight="1">
      <c r="T119" s="382"/>
      <c r="U119" s="382"/>
    </row>
    <row r="120" spans="20:21" s="137" customFormat="1" ht="17.100000000000001" customHeight="1"/>
    <row r="121" spans="20:21" s="137" customFormat="1" ht="17.100000000000001" customHeight="1"/>
    <row r="122" spans="20:21" s="137" customFormat="1" ht="17.100000000000001" customHeight="1"/>
    <row r="123" spans="20:21" s="137" customFormat="1" ht="17.100000000000001" customHeight="1"/>
    <row r="124" spans="20:21" s="137" customFormat="1" ht="17.100000000000001" customHeight="1"/>
    <row r="125" spans="20:21" s="137" customFormat="1" ht="17.100000000000001" customHeight="1"/>
    <row r="126" spans="20:21" s="137" customFormat="1" ht="17.100000000000001" customHeight="1"/>
    <row r="127" spans="20:21" s="137" customFormat="1" ht="17.100000000000001" customHeight="1"/>
    <row r="128" spans="20:21" s="137" customFormat="1" ht="17.100000000000001" customHeight="1"/>
    <row r="129" s="137" customFormat="1" ht="17.100000000000001" customHeight="1"/>
    <row r="130" s="137" customFormat="1" ht="17.100000000000001" customHeight="1"/>
    <row r="131" s="137" customFormat="1" ht="17.100000000000001" customHeight="1"/>
    <row r="132" s="137" customFormat="1" ht="17.100000000000001" customHeight="1"/>
    <row r="133" s="137" customFormat="1" ht="17.100000000000001" customHeight="1"/>
    <row r="134" s="137" customFormat="1" ht="17.100000000000001" customHeight="1"/>
    <row r="135" s="137" customFormat="1" ht="17.100000000000001" customHeight="1"/>
    <row r="136" s="137" customFormat="1" ht="17.100000000000001" customHeight="1"/>
    <row r="137" s="137" customFormat="1" ht="17.100000000000001" customHeight="1"/>
    <row r="138" s="137" customFormat="1" ht="17.100000000000001" customHeight="1"/>
    <row r="139" s="137" customFormat="1" ht="17.100000000000001" customHeight="1"/>
    <row r="140" s="137" customFormat="1" ht="17.100000000000001" customHeight="1"/>
    <row r="141" s="137" customFormat="1" ht="17.100000000000001" customHeight="1"/>
    <row r="142" s="137" customFormat="1" ht="17.100000000000001" customHeight="1"/>
    <row r="143" s="137" customFormat="1" ht="17.100000000000001" customHeight="1"/>
    <row r="144" s="137" customFormat="1" ht="17.100000000000001" customHeight="1"/>
    <row r="145" spans="1:43" ht="17.100000000000001" customHeight="1">
      <c r="B145" s="137"/>
      <c r="C145" s="137"/>
      <c r="D145" s="137"/>
      <c r="E145" s="137"/>
      <c r="H145" s="137"/>
      <c r="I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c r="AH145" s="137"/>
      <c r="AI145" s="137"/>
      <c r="AJ145" s="137"/>
      <c r="AK145" s="137"/>
      <c r="AL145" s="137"/>
      <c r="AM145" s="137"/>
      <c r="AN145" s="137"/>
      <c r="AO145" s="137"/>
      <c r="AP145" s="137"/>
      <c r="AQ145" s="137"/>
    </row>
    <row r="146" spans="1:43" ht="17.100000000000001" customHeight="1">
      <c r="B146" s="137"/>
      <c r="C146" s="137"/>
      <c r="D146" s="137"/>
      <c r="E146" s="137"/>
      <c r="H146" s="137"/>
      <c r="I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c r="AH146" s="137"/>
      <c r="AI146" s="137"/>
      <c r="AJ146" s="137"/>
      <c r="AK146" s="137"/>
      <c r="AL146" s="137"/>
      <c r="AM146" s="137"/>
      <c r="AN146" s="137"/>
      <c r="AO146" s="137"/>
      <c r="AP146" s="137"/>
      <c r="AQ146" s="137"/>
    </row>
    <row r="147" spans="1:43" ht="17.100000000000001" customHeight="1">
      <c r="B147" s="137"/>
      <c r="C147" s="137"/>
      <c r="D147" s="137"/>
      <c r="E147" s="137"/>
      <c r="H147" s="137"/>
      <c r="I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c r="AH147" s="137"/>
      <c r="AI147" s="137"/>
      <c r="AJ147" s="137"/>
      <c r="AK147" s="137"/>
      <c r="AL147" s="137"/>
      <c r="AM147" s="137"/>
      <c r="AN147" s="137"/>
      <c r="AO147" s="137"/>
      <c r="AP147" s="137"/>
      <c r="AQ147" s="137"/>
    </row>
    <row r="148" spans="1:43" ht="17.100000000000001" customHeight="1">
      <c r="B148" s="137"/>
      <c r="C148" s="137"/>
      <c r="D148" s="137"/>
      <c r="E148" s="137"/>
      <c r="H148" s="137"/>
      <c r="I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c r="AH148" s="137"/>
      <c r="AI148" s="137"/>
      <c r="AJ148" s="137"/>
      <c r="AK148" s="137"/>
      <c r="AL148" s="137"/>
      <c r="AM148" s="137"/>
      <c r="AN148" s="137"/>
      <c r="AO148" s="137"/>
      <c r="AP148" s="137"/>
      <c r="AQ148" s="137"/>
    </row>
    <row r="149" spans="1:43" ht="17.100000000000001" customHeight="1">
      <c r="B149" s="137"/>
      <c r="C149" s="137"/>
      <c r="D149" s="137"/>
      <c r="E149" s="137"/>
      <c r="H149" s="137"/>
      <c r="I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c r="AH149" s="137"/>
      <c r="AI149" s="137"/>
      <c r="AJ149" s="137"/>
      <c r="AK149" s="137"/>
      <c r="AL149" s="137"/>
      <c r="AM149" s="137"/>
      <c r="AN149" s="137"/>
      <c r="AO149" s="137"/>
      <c r="AP149" s="137"/>
      <c r="AQ149" s="137"/>
    </row>
    <row r="150" spans="1:43" ht="17.100000000000001" customHeight="1">
      <c r="B150" s="137"/>
      <c r="C150" s="137"/>
      <c r="D150" s="137"/>
      <c r="E150" s="137"/>
      <c r="H150" s="137"/>
      <c r="I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c r="AH150" s="137"/>
      <c r="AI150" s="137"/>
      <c r="AJ150" s="137"/>
      <c r="AK150" s="137"/>
      <c r="AL150" s="137"/>
      <c r="AM150" s="137"/>
      <c r="AN150" s="137"/>
      <c r="AO150" s="137"/>
      <c r="AP150" s="137"/>
      <c r="AQ150" s="137"/>
    </row>
    <row r="151" spans="1:43" ht="17.100000000000001" customHeight="1">
      <c r="B151" s="137"/>
      <c r="C151" s="137"/>
      <c r="D151" s="137"/>
      <c r="E151" s="137"/>
      <c r="H151" s="137"/>
      <c r="I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c r="AH151" s="137"/>
      <c r="AI151" s="137"/>
      <c r="AJ151" s="137"/>
      <c r="AK151" s="137"/>
      <c r="AL151" s="137"/>
      <c r="AM151" s="137"/>
      <c r="AN151" s="137"/>
      <c r="AO151" s="137"/>
      <c r="AP151" s="137"/>
      <c r="AQ151" s="137"/>
    </row>
    <row r="152" spans="1:43" ht="17.100000000000001" customHeight="1">
      <c r="B152" s="137"/>
      <c r="C152" s="137"/>
      <c r="D152" s="137"/>
      <c r="E152" s="137"/>
      <c r="H152" s="137"/>
      <c r="I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c r="AH152" s="137"/>
      <c r="AI152" s="137"/>
      <c r="AJ152" s="137"/>
      <c r="AK152" s="137"/>
      <c r="AL152" s="137"/>
      <c r="AM152" s="137"/>
      <c r="AN152" s="137"/>
      <c r="AO152" s="137"/>
      <c r="AP152" s="137"/>
      <c r="AQ152" s="137"/>
    </row>
    <row r="153" spans="1:43" ht="17.100000000000001" customHeight="1">
      <c r="B153" s="137"/>
      <c r="C153" s="137"/>
      <c r="D153" s="137"/>
      <c r="E153" s="137"/>
      <c r="H153" s="137"/>
      <c r="I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c r="AH153" s="137"/>
      <c r="AI153" s="137"/>
      <c r="AJ153" s="137"/>
      <c r="AK153" s="137"/>
      <c r="AL153" s="137"/>
      <c r="AM153" s="137"/>
      <c r="AN153" s="137"/>
      <c r="AO153" s="137"/>
      <c r="AP153" s="137"/>
      <c r="AQ153" s="137"/>
    </row>
    <row r="154" spans="1:43" ht="17.100000000000001" customHeight="1">
      <c r="B154" s="137"/>
      <c r="C154" s="137"/>
      <c r="D154" s="137"/>
      <c r="E154" s="137"/>
      <c r="H154" s="137"/>
      <c r="I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c r="AH154" s="137"/>
      <c r="AI154" s="137"/>
      <c r="AJ154" s="137"/>
      <c r="AK154" s="137"/>
      <c r="AL154" s="137"/>
      <c r="AM154" s="137"/>
      <c r="AN154" s="137"/>
      <c r="AO154" s="137"/>
      <c r="AP154" s="137"/>
      <c r="AQ154" s="137"/>
    </row>
    <row r="155" spans="1:43" ht="17.100000000000001" customHeight="1">
      <c r="B155" s="137"/>
      <c r="C155" s="137"/>
      <c r="D155" s="137"/>
      <c r="E155" s="137"/>
      <c r="H155" s="137"/>
      <c r="I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c r="AH155" s="137"/>
      <c r="AI155" s="137"/>
      <c r="AJ155" s="137"/>
      <c r="AK155" s="137"/>
      <c r="AL155" s="137"/>
      <c r="AM155" s="137"/>
      <c r="AN155" s="137"/>
      <c r="AO155" s="137"/>
      <c r="AP155" s="137"/>
      <c r="AQ155" s="137"/>
    </row>
    <row r="156" spans="1:43" ht="17.100000000000001" customHeight="1">
      <c r="A156" s="493"/>
      <c r="B156" s="141"/>
      <c r="P156" s="137"/>
      <c r="Q156" s="137"/>
      <c r="Z156" s="141"/>
      <c r="AB156" s="493"/>
      <c r="AD156" s="141"/>
      <c r="AJ156" s="137"/>
      <c r="AK156" s="137"/>
      <c r="AL156" s="137"/>
      <c r="AM156" s="137"/>
      <c r="AN156" s="137"/>
      <c r="AO156" s="137"/>
      <c r="AP156" s="137"/>
      <c r="AQ156" s="137"/>
    </row>
    <row r="157" spans="1:43" ht="17.100000000000001" customHeight="1">
      <c r="A157" s="493"/>
      <c r="B157" s="141"/>
      <c r="Z157" s="141"/>
      <c r="AB157" s="493"/>
      <c r="AD157" s="141"/>
      <c r="AJ157" s="137"/>
      <c r="AK157" s="137"/>
      <c r="AL157" s="137"/>
      <c r="AM157" s="137"/>
      <c r="AN157" s="137"/>
      <c r="AO157" s="137"/>
      <c r="AP157" s="137"/>
      <c r="AQ157" s="137"/>
    </row>
    <row r="158" spans="1:43" ht="17.100000000000001" customHeight="1">
      <c r="A158" s="493"/>
      <c r="B158" s="141"/>
      <c r="Z158" s="141"/>
      <c r="AB158" s="493"/>
      <c r="AD158" s="141"/>
      <c r="AJ158" s="137"/>
      <c r="AK158" s="137"/>
      <c r="AL158" s="137"/>
      <c r="AM158" s="137"/>
      <c r="AN158" s="137"/>
      <c r="AO158" s="137"/>
      <c r="AP158" s="137"/>
      <c r="AQ158" s="137"/>
    </row>
    <row r="159" spans="1:43" ht="17.100000000000001" customHeight="1">
      <c r="A159" s="493"/>
      <c r="B159" s="141"/>
      <c r="Z159" s="141"/>
      <c r="AB159" s="493"/>
      <c r="AD159" s="141"/>
      <c r="AJ159" s="137"/>
      <c r="AK159" s="137"/>
      <c r="AL159" s="137"/>
      <c r="AM159" s="137"/>
      <c r="AN159" s="137"/>
      <c r="AO159" s="137"/>
      <c r="AP159" s="137"/>
      <c r="AQ159" s="137"/>
    </row>
    <row r="160" spans="1:43" ht="17.100000000000001" customHeight="1">
      <c r="A160" s="493"/>
      <c r="B160" s="141"/>
      <c r="Z160" s="141"/>
      <c r="AB160" s="493"/>
      <c r="AD160" s="141"/>
      <c r="AJ160" s="137"/>
      <c r="AK160" s="137"/>
      <c r="AL160" s="137"/>
      <c r="AM160" s="137"/>
      <c r="AN160" s="137"/>
      <c r="AO160" s="137"/>
      <c r="AP160" s="137"/>
      <c r="AQ160" s="137"/>
    </row>
    <row r="161" spans="1:43" ht="17.100000000000001" customHeight="1">
      <c r="A161" s="493"/>
      <c r="B161" s="141"/>
      <c r="Z161" s="141"/>
      <c r="AB161" s="493"/>
      <c r="AD161" s="141"/>
      <c r="AJ161" s="137"/>
      <c r="AK161" s="137"/>
      <c r="AL161" s="137"/>
      <c r="AM161" s="137"/>
      <c r="AN161" s="137"/>
      <c r="AO161" s="137"/>
      <c r="AP161" s="137"/>
      <c r="AQ161" s="137"/>
    </row>
    <row r="162" spans="1:43" ht="17.100000000000001" customHeight="1">
      <c r="A162" s="493"/>
      <c r="B162" s="141"/>
      <c r="Z162" s="141"/>
      <c r="AB162" s="493"/>
      <c r="AD162" s="141"/>
      <c r="AJ162" s="137"/>
      <c r="AK162" s="137"/>
      <c r="AL162" s="137"/>
      <c r="AM162" s="137"/>
      <c r="AN162" s="137"/>
      <c r="AO162" s="137"/>
      <c r="AP162" s="137"/>
      <c r="AQ162" s="137"/>
    </row>
    <row r="163" spans="1:43" ht="17.100000000000001" customHeight="1">
      <c r="A163" s="493"/>
      <c r="B163" s="141"/>
      <c r="Z163" s="141"/>
      <c r="AB163" s="493"/>
      <c r="AD163" s="141"/>
      <c r="AJ163" s="137"/>
      <c r="AK163" s="137"/>
      <c r="AL163" s="137"/>
      <c r="AM163" s="137"/>
      <c r="AN163" s="137"/>
      <c r="AO163" s="137"/>
      <c r="AP163" s="137"/>
      <c r="AQ163" s="137"/>
    </row>
    <row r="164" spans="1:43" ht="17.100000000000001" customHeight="1">
      <c r="A164" s="493"/>
      <c r="B164" s="141"/>
      <c r="Z164" s="141"/>
      <c r="AB164" s="493"/>
      <c r="AD164" s="141"/>
      <c r="AJ164" s="137"/>
      <c r="AK164" s="137"/>
      <c r="AL164" s="137"/>
      <c r="AM164" s="137"/>
      <c r="AN164" s="137"/>
      <c r="AO164" s="137"/>
      <c r="AP164" s="137"/>
      <c r="AQ164" s="137"/>
    </row>
    <row r="165" spans="1:43" ht="17.100000000000001" customHeight="1">
      <c r="A165" s="493"/>
      <c r="B165" s="141"/>
      <c r="Z165" s="141"/>
      <c r="AB165" s="493"/>
      <c r="AD165" s="141"/>
      <c r="AJ165" s="137"/>
      <c r="AK165" s="137"/>
      <c r="AL165" s="137"/>
      <c r="AM165" s="137"/>
      <c r="AN165" s="137"/>
      <c r="AO165" s="137"/>
      <c r="AP165" s="137"/>
      <c r="AQ165" s="137"/>
    </row>
    <row r="166" spans="1:43" ht="17.100000000000001" customHeight="1">
      <c r="A166" s="493"/>
      <c r="B166" s="141"/>
      <c r="Z166" s="141"/>
      <c r="AB166" s="493"/>
      <c r="AD166" s="141"/>
      <c r="AJ166" s="137"/>
      <c r="AK166" s="137"/>
      <c r="AL166" s="137"/>
      <c r="AM166" s="137"/>
      <c r="AN166" s="137"/>
      <c r="AO166" s="137"/>
      <c r="AP166" s="137"/>
      <c r="AQ166" s="137"/>
    </row>
    <row r="167" spans="1:43" ht="17.100000000000001" customHeight="1">
      <c r="A167" s="493"/>
      <c r="B167" s="141"/>
      <c r="Z167" s="141"/>
      <c r="AB167" s="493"/>
      <c r="AD167" s="141"/>
      <c r="AJ167" s="137"/>
      <c r="AK167" s="137"/>
      <c r="AL167" s="137"/>
      <c r="AM167" s="137"/>
      <c r="AN167" s="137"/>
      <c r="AO167" s="137"/>
      <c r="AP167" s="137"/>
      <c r="AQ167" s="137"/>
    </row>
    <row r="168" spans="1:43" ht="17.100000000000001" customHeight="1">
      <c r="A168" s="493"/>
      <c r="B168" s="141"/>
      <c r="Z168" s="141"/>
      <c r="AB168" s="493"/>
      <c r="AD168" s="141"/>
      <c r="AJ168" s="137"/>
      <c r="AK168" s="137"/>
      <c r="AL168" s="137"/>
      <c r="AM168" s="137"/>
      <c r="AN168" s="137"/>
      <c r="AO168" s="137"/>
      <c r="AP168" s="137"/>
      <c r="AQ168" s="137"/>
    </row>
    <row r="169" spans="1:43" ht="17.100000000000001" customHeight="1">
      <c r="A169" s="493"/>
      <c r="B169" s="141"/>
      <c r="Z169" s="141"/>
      <c r="AB169" s="493"/>
      <c r="AD169" s="141"/>
      <c r="AJ169" s="137"/>
      <c r="AK169" s="137"/>
      <c r="AL169" s="137"/>
      <c r="AM169" s="137"/>
      <c r="AN169" s="137"/>
      <c r="AO169" s="137"/>
      <c r="AP169" s="137"/>
      <c r="AQ169" s="137"/>
    </row>
    <row r="170" spans="1:43" ht="17.100000000000001" customHeight="1">
      <c r="A170" s="493"/>
      <c r="B170" s="141"/>
      <c r="Z170" s="141"/>
      <c r="AB170" s="493"/>
      <c r="AD170" s="141"/>
      <c r="AJ170" s="137"/>
      <c r="AK170" s="137"/>
      <c r="AL170" s="137"/>
      <c r="AM170" s="137"/>
      <c r="AN170" s="137"/>
      <c r="AO170" s="137"/>
      <c r="AP170" s="137"/>
      <c r="AQ170" s="137"/>
    </row>
    <row r="171" spans="1:43" ht="17.100000000000001" customHeight="1">
      <c r="A171" s="493"/>
      <c r="B171" s="141"/>
      <c r="Z171" s="141"/>
      <c r="AB171" s="493"/>
      <c r="AD171" s="141"/>
      <c r="AJ171" s="137"/>
      <c r="AK171" s="137"/>
      <c r="AL171" s="137"/>
      <c r="AM171" s="137"/>
      <c r="AN171" s="137"/>
      <c r="AO171" s="137"/>
      <c r="AP171" s="137"/>
      <c r="AQ171" s="137"/>
    </row>
    <row r="172" spans="1:43" ht="17.100000000000001" customHeight="1">
      <c r="A172" s="493"/>
      <c r="B172" s="141"/>
      <c r="Z172" s="141"/>
      <c r="AB172" s="493"/>
      <c r="AD172" s="141"/>
      <c r="AJ172" s="137"/>
      <c r="AK172" s="137"/>
      <c r="AL172" s="137"/>
      <c r="AM172" s="137"/>
      <c r="AN172" s="137"/>
      <c r="AO172" s="137"/>
      <c r="AP172" s="137"/>
      <c r="AQ172" s="137"/>
    </row>
    <row r="173" spans="1:43" ht="17.100000000000001" customHeight="1">
      <c r="A173" s="493"/>
      <c r="B173" s="141"/>
      <c r="Z173" s="141"/>
      <c r="AB173" s="493"/>
      <c r="AD173" s="141"/>
      <c r="AJ173" s="137"/>
      <c r="AK173" s="137"/>
      <c r="AL173" s="137"/>
      <c r="AM173" s="137"/>
      <c r="AN173" s="137"/>
      <c r="AO173" s="137"/>
      <c r="AP173" s="137"/>
      <c r="AQ173" s="137"/>
    </row>
    <row r="174" spans="1:43" ht="17.100000000000001" customHeight="1">
      <c r="A174" s="493"/>
      <c r="B174" s="141"/>
      <c r="Z174" s="141"/>
      <c r="AB174" s="493"/>
      <c r="AD174" s="141"/>
      <c r="AJ174" s="137"/>
      <c r="AK174" s="137"/>
      <c r="AL174" s="137"/>
      <c r="AM174" s="137"/>
      <c r="AN174" s="137"/>
      <c r="AO174" s="137"/>
      <c r="AP174" s="137"/>
      <c r="AQ174" s="137"/>
    </row>
    <row r="175" spans="1:43" ht="17.100000000000001" customHeight="1">
      <c r="A175" s="493"/>
      <c r="B175" s="141"/>
      <c r="Z175" s="141"/>
      <c r="AB175" s="493"/>
      <c r="AD175" s="141"/>
      <c r="AJ175" s="137"/>
      <c r="AK175" s="137"/>
      <c r="AL175" s="137"/>
      <c r="AM175" s="137"/>
      <c r="AN175" s="137"/>
      <c r="AO175" s="137"/>
      <c r="AP175" s="137"/>
      <c r="AQ175" s="137"/>
    </row>
    <row r="176" spans="1:43" ht="17.100000000000001" customHeight="1">
      <c r="A176" s="493"/>
      <c r="B176" s="141"/>
      <c r="Z176" s="141"/>
      <c r="AB176" s="493"/>
      <c r="AD176" s="141"/>
      <c r="AJ176" s="137"/>
      <c r="AK176" s="137"/>
      <c r="AL176" s="137"/>
      <c r="AM176" s="137"/>
      <c r="AN176" s="137"/>
      <c r="AO176" s="137"/>
      <c r="AP176" s="137"/>
      <c r="AQ176" s="137"/>
    </row>
    <row r="177" spans="1:43" ht="17.100000000000001" customHeight="1">
      <c r="A177" s="493"/>
      <c r="B177" s="141"/>
      <c r="Z177" s="141"/>
      <c r="AB177" s="493"/>
      <c r="AD177" s="141"/>
      <c r="AJ177" s="137"/>
      <c r="AK177" s="137"/>
      <c r="AL177" s="137"/>
      <c r="AM177" s="137"/>
      <c r="AN177" s="137"/>
      <c r="AO177" s="137"/>
      <c r="AP177" s="137"/>
      <c r="AQ177" s="137"/>
    </row>
    <row r="178" spans="1:43" ht="17.100000000000001" customHeight="1">
      <c r="A178" s="493"/>
      <c r="B178" s="141"/>
      <c r="Z178" s="141"/>
      <c r="AB178" s="493"/>
      <c r="AD178" s="141"/>
      <c r="AJ178" s="137"/>
      <c r="AK178" s="137"/>
      <c r="AL178" s="137"/>
      <c r="AM178" s="137"/>
      <c r="AN178" s="137"/>
      <c r="AO178" s="137"/>
      <c r="AP178" s="137"/>
      <c r="AQ178" s="137"/>
    </row>
    <row r="179" spans="1:43" ht="17.100000000000001" customHeight="1">
      <c r="A179" s="493"/>
      <c r="B179" s="141"/>
      <c r="Z179" s="141"/>
      <c r="AB179" s="493"/>
      <c r="AD179" s="141"/>
      <c r="AJ179" s="137"/>
      <c r="AK179" s="137"/>
      <c r="AL179" s="137"/>
      <c r="AM179" s="137"/>
      <c r="AN179" s="137"/>
      <c r="AO179" s="137"/>
      <c r="AP179" s="137"/>
      <c r="AQ179" s="137"/>
    </row>
    <row r="180" spans="1:43" ht="17.100000000000001" customHeight="1">
      <c r="A180" s="493"/>
      <c r="B180" s="141"/>
      <c r="Z180" s="141"/>
      <c r="AB180" s="493"/>
      <c r="AD180" s="141"/>
      <c r="AJ180" s="137"/>
      <c r="AK180" s="137"/>
      <c r="AL180" s="137"/>
      <c r="AM180" s="137"/>
      <c r="AN180" s="137"/>
      <c r="AO180" s="137"/>
      <c r="AP180" s="137"/>
      <c r="AQ180" s="137"/>
    </row>
    <row r="181" spans="1:43" ht="17.100000000000001" customHeight="1">
      <c r="A181" s="493"/>
      <c r="B181" s="141"/>
      <c r="Z181" s="141"/>
      <c r="AB181" s="493"/>
      <c r="AD181" s="141"/>
      <c r="AJ181" s="137"/>
      <c r="AK181" s="137"/>
      <c r="AL181" s="137"/>
      <c r="AM181" s="137"/>
      <c r="AN181" s="137"/>
      <c r="AO181" s="137"/>
      <c r="AP181" s="137"/>
      <c r="AQ181" s="137"/>
    </row>
    <row r="182" spans="1:43" ht="17.100000000000001" customHeight="1">
      <c r="A182" s="493"/>
      <c r="B182" s="141"/>
      <c r="Z182" s="141"/>
      <c r="AB182" s="493"/>
      <c r="AD182" s="141"/>
      <c r="AJ182" s="137"/>
      <c r="AK182" s="137"/>
      <c r="AL182" s="137"/>
      <c r="AM182" s="137"/>
      <c r="AN182" s="137"/>
      <c r="AO182" s="137"/>
      <c r="AP182" s="137"/>
      <c r="AQ182" s="137"/>
    </row>
    <row r="183" spans="1:43" ht="17.100000000000001" customHeight="1">
      <c r="A183" s="493"/>
      <c r="B183" s="141"/>
      <c r="Z183" s="141"/>
      <c r="AB183" s="493"/>
      <c r="AD183" s="141"/>
      <c r="AJ183" s="137"/>
      <c r="AK183" s="137"/>
      <c r="AL183" s="137"/>
      <c r="AM183" s="137"/>
      <c r="AN183" s="137"/>
      <c r="AO183" s="137"/>
      <c r="AP183" s="137"/>
      <c r="AQ183" s="137"/>
    </row>
    <row r="184" spans="1:43" ht="17.100000000000001" customHeight="1">
      <c r="A184" s="493"/>
      <c r="B184" s="141"/>
      <c r="Z184" s="141"/>
      <c r="AB184" s="493"/>
      <c r="AD184" s="141"/>
      <c r="AJ184" s="137"/>
      <c r="AK184" s="137"/>
      <c r="AL184" s="137"/>
      <c r="AM184" s="137"/>
      <c r="AN184" s="137"/>
      <c r="AO184" s="137"/>
      <c r="AP184" s="137"/>
      <c r="AQ184" s="137"/>
    </row>
    <row r="185" spans="1:43" ht="17.100000000000001" customHeight="1">
      <c r="A185" s="493"/>
      <c r="B185" s="141"/>
      <c r="Z185" s="141"/>
      <c r="AB185" s="493"/>
      <c r="AD185" s="141"/>
      <c r="AJ185" s="137"/>
      <c r="AK185" s="137"/>
      <c r="AL185" s="137"/>
      <c r="AM185" s="137"/>
      <c r="AN185" s="137"/>
      <c r="AO185" s="137"/>
      <c r="AP185" s="137"/>
      <c r="AQ185" s="137"/>
    </row>
    <row r="186" spans="1:43" ht="17.100000000000001" customHeight="1">
      <c r="A186" s="493"/>
      <c r="B186" s="141"/>
      <c r="Z186" s="141"/>
      <c r="AB186" s="493"/>
      <c r="AD186" s="141"/>
      <c r="AJ186" s="137"/>
      <c r="AK186" s="137"/>
      <c r="AL186" s="137"/>
      <c r="AM186" s="137"/>
      <c r="AN186" s="137"/>
      <c r="AO186" s="137"/>
      <c r="AP186" s="137"/>
      <c r="AQ186" s="137"/>
    </row>
    <row r="187" spans="1:43" ht="17.100000000000001" customHeight="1">
      <c r="A187" s="493"/>
      <c r="B187" s="141"/>
      <c r="Z187" s="141"/>
      <c r="AB187" s="493"/>
      <c r="AD187" s="141"/>
      <c r="AJ187" s="137"/>
      <c r="AK187" s="137"/>
      <c r="AL187" s="137"/>
      <c r="AM187" s="137"/>
      <c r="AN187" s="137"/>
      <c r="AO187" s="137"/>
      <c r="AP187" s="137"/>
      <c r="AQ187" s="137"/>
    </row>
    <row r="188" spans="1:43" ht="17.100000000000001" customHeight="1">
      <c r="A188" s="493"/>
      <c r="B188" s="141"/>
      <c r="Z188" s="141"/>
      <c r="AB188" s="493"/>
      <c r="AD188" s="141"/>
      <c r="AJ188" s="137"/>
      <c r="AK188" s="137"/>
      <c r="AL188" s="137"/>
      <c r="AM188" s="137"/>
      <c r="AN188" s="137"/>
      <c r="AO188" s="137"/>
      <c r="AP188" s="137"/>
      <c r="AQ188" s="137"/>
    </row>
    <row r="189" spans="1:43" ht="17.100000000000001" customHeight="1">
      <c r="A189" s="493"/>
      <c r="B189" s="141"/>
      <c r="Z189" s="141"/>
      <c r="AB189" s="493"/>
      <c r="AD189" s="141"/>
      <c r="AJ189" s="137"/>
      <c r="AK189" s="137"/>
      <c r="AL189" s="137"/>
      <c r="AM189" s="137"/>
      <c r="AN189" s="137"/>
      <c r="AO189" s="137"/>
      <c r="AP189" s="137"/>
      <c r="AQ189" s="137"/>
    </row>
    <row r="190" spans="1:43" ht="17.100000000000001" customHeight="1">
      <c r="A190" s="493"/>
      <c r="B190" s="141"/>
      <c r="Z190" s="141"/>
      <c r="AB190" s="493"/>
      <c r="AD190" s="141"/>
      <c r="AJ190" s="137"/>
      <c r="AK190" s="137"/>
      <c r="AL190" s="137"/>
      <c r="AM190" s="137"/>
      <c r="AN190" s="137"/>
      <c r="AO190" s="137"/>
      <c r="AP190" s="137"/>
      <c r="AQ190" s="137"/>
    </row>
    <row r="191" spans="1:43" ht="17.100000000000001" customHeight="1">
      <c r="A191" s="493"/>
      <c r="B191" s="141"/>
      <c r="Z191" s="141"/>
      <c r="AB191" s="493"/>
      <c r="AD191" s="141"/>
      <c r="AJ191" s="137"/>
      <c r="AK191" s="137"/>
      <c r="AL191" s="137"/>
      <c r="AM191" s="137"/>
      <c r="AN191" s="137"/>
      <c r="AO191" s="137"/>
      <c r="AP191" s="137"/>
      <c r="AQ191" s="137"/>
    </row>
    <row r="192" spans="1:43" ht="17.100000000000001" customHeight="1">
      <c r="A192" s="493"/>
      <c r="B192" s="141"/>
      <c r="Z192" s="141"/>
      <c r="AB192" s="493"/>
      <c r="AD192" s="141"/>
      <c r="AJ192" s="137"/>
      <c r="AK192" s="137"/>
      <c r="AL192" s="137"/>
      <c r="AM192" s="137"/>
      <c r="AN192" s="137"/>
      <c r="AO192" s="137"/>
      <c r="AP192" s="137"/>
      <c r="AQ192" s="137"/>
    </row>
    <row r="193" spans="1:43" ht="17.100000000000001" customHeight="1">
      <c r="A193" s="493"/>
      <c r="B193" s="141"/>
      <c r="Z193" s="141"/>
      <c r="AB193" s="493"/>
      <c r="AD193" s="141"/>
      <c r="AJ193" s="137"/>
      <c r="AK193" s="137"/>
      <c r="AL193" s="137"/>
      <c r="AM193" s="137"/>
      <c r="AN193" s="137"/>
      <c r="AO193" s="137"/>
      <c r="AP193" s="137"/>
      <c r="AQ193" s="137"/>
    </row>
    <row r="194" spans="1:43" ht="17.100000000000001" customHeight="1">
      <c r="A194" s="493"/>
      <c r="B194" s="141"/>
      <c r="Z194" s="141"/>
      <c r="AB194" s="493"/>
      <c r="AD194" s="141"/>
      <c r="AJ194" s="137"/>
      <c r="AK194" s="137"/>
      <c r="AL194" s="137"/>
      <c r="AM194" s="137"/>
      <c r="AN194" s="137"/>
      <c r="AO194" s="137"/>
      <c r="AP194" s="137"/>
      <c r="AQ194" s="137"/>
    </row>
    <row r="195" spans="1:43" ht="17.100000000000001" customHeight="1">
      <c r="A195" s="493"/>
      <c r="B195" s="141"/>
      <c r="Z195" s="141"/>
      <c r="AB195" s="493"/>
      <c r="AD195" s="141"/>
      <c r="AJ195" s="137"/>
      <c r="AK195" s="137"/>
      <c r="AL195" s="137"/>
      <c r="AM195" s="137"/>
      <c r="AN195" s="137"/>
      <c r="AO195" s="137"/>
      <c r="AP195" s="137"/>
      <c r="AQ195" s="137"/>
    </row>
    <row r="196" spans="1:43" ht="17.100000000000001" customHeight="1">
      <c r="A196" s="493"/>
      <c r="B196" s="141"/>
      <c r="Z196" s="141"/>
      <c r="AB196" s="493"/>
      <c r="AD196" s="141"/>
      <c r="AJ196" s="137"/>
      <c r="AK196" s="137"/>
      <c r="AL196" s="137"/>
      <c r="AM196" s="137"/>
      <c r="AN196" s="137"/>
      <c r="AO196" s="137"/>
      <c r="AP196" s="137"/>
      <c r="AQ196" s="137"/>
    </row>
    <row r="197" spans="1:43" ht="17.100000000000001" customHeight="1">
      <c r="A197" s="493"/>
      <c r="B197" s="141"/>
      <c r="Z197" s="141"/>
      <c r="AB197" s="493"/>
      <c r="AD197" s="141"/>
      <c r="AJ197" s="137"/>
      <c r="AK197" s="137"/>
      <c r="AL197" s="137"/>
      <c r="AM197" s="137"/>
      <c r="AN197" s="137"/>
      <c r="AO197" s="137"/>
      <c r="AP197" s="137"/>
      <c r="AQ197" s="137"/>
    </row>
    <row r="198" spans="1:43" ht="17.100000000000001" customHeight="1"/>
    <row r="199" spans="1:43" ht="17.100000000000001" customHeight="1"/>
    <row r="200" spans="1:43" ht="17.100000000000001" customHeight="1"/>
    <row r="201" spans="1:43" ht="17.100000000000001" customHeight="1"/>
    <row r="202" spans="1:43" ht="17.100000000000001" customHeight="1"/>
    <row r="203" spans="1:43" ht="17.100000000000001" customHeight="1"/>
    <row r="204" spans="1:43" ht="17.100000000000001" customHeight="1"/>
    <row r="205" spans="1:43" ht="17.100000000000001" customHeight="1"/>
    <row r="206" spans="1:43" ht="17.100000000000001" customHeight="1"/>
    <row r="207" spans="1:43" ht="17.100000000000001" customHeight="1"/>
  </sheetData>
  <mergeCells count="9">
    <mergeCell ref="C3:D3"/>
    <mergeCell ref="AB3:AC3"/>
    <mergeCell ref="AF3:AG3"/>
    <mergeCell ref="X3:Y3"/>
    <mergeCell ref="T3:U3"/>
    <mergeCell ref="M3:N3"/>
    <mergeCell ref="P3:Q3"/>
    <mergeCell ref="J3:K3"/>
    <mergeCell ref="F3:G3"/>
  </mergeCells>
  <conditionalFormatting sqref="D48">
    <cfRule type="cellIs" dxfId="606" priority="6" operator="notBetween">
      <formula>10</formula>
      <formula>-10</formula>
    </cfRule>
  </conditionalFormatting>
  <conditionalFormatting sqref="C48">
    <cfRule type="cellIs" dxfId="605" priority="5" operator="notBetween">
      <formula>10</formula>
      <formula>-10</formula>
    </cfRule>
  </conditionalFormatting>
  <conditionalFormatting sqref="J48">
    <cfRule type="cellIs" dxfId="604" priority="3" operator="notBetween">
      <formula>10</formula>
      <formula>-10</formula>
    </cfRule>
  </conditionalFormatting>
  <conditionalFormatting sqref="K48">
    <cfRule type="cellIs" dxfId="603" priority="4" operator="notBetween">
      <formula>10</formula>
      <formula>-10</formula>
    </cfRule>
  </conditionalFormatting>
  <conditionalFormatting sqref="F48">
    <cfRule type="cellIs" dxfId="602" priority="1" operator="notBetween">
      <formula>10</formula>
      <formula>-10</formula>
    </cfRule>
  </conditionalFormatting>
  <conditionalFormatting sqref="G48">
    <cfRule type="cellIs" dxfId="601" priority="2" operator="notBetween">
      <formula>10</formula>
      <formula>-10</formula>
    </cfRule>
  </conditionalFormatting>
  <printOptions horizontalCentered="1" verticalCentered="1" gridLines="1" gridLinesSet="0"/>
  <pageMargins left="1.2204724409448819" right="0.51181102362204722" top="0.51181102362204722" bottom="0.55118110236220474" header="0.51181102362204722" footer="0.51181102362204722"/>
  <pageSetup paperSize="9" scale="16" orientation="portrait" verticalDpi="300" r:id="rId1"/>
  <headerFooter alignWithMargins="0"/>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ransitionEvaluation="1" transitionEntry="1" codeName="Sheet20">
    <tabColor rgb="FF92D050"/>
    <pageSetUpPr fitToPage="1"/>
  </sheetPr>
  <dimension ref="A1:AX599"/>
  <sheetViews>
    <sheetView rightToLeft="1" view="pageBreakPreview" zoomScale="77" zoomScaleNormal="100" zoomScaleSheetLayoutView="77" workbookViewId="0">
      <pane xSplit="5" ySplit="7" topLeftCell="F248" activePane="bottomRight" state="frozen"/>
      <selection activeCell="I36" sqref="I36"/>
      <selection pane="topRight" activeCell="I36" sqref="I36"/>
      <selection pane="bottomLeft" activeCell="I36" sqref="I36"/>
      <selection pane="bottomRight" activeCell="K283" sqref="K283"/>
    </sheetView>
  </sheetViews>
  <sheetFormatPr defaultColWidth="9.83203125" defaultRowHeight="12.75" outlineLevelCol="2"/>
  <cols>
    <col min="1" max="1" width="6.83203125" style="406" customWidth="1"/>
    <col min="2" max="2" width="33" style="63" customWidth="1"/>
    <col min="3" max="3" width="13.83203125" style="1924" customWidth="1"/>
    <col min="4" max="4" width="56.6640625" style="61" customWidth="1"/>
    <col min="5" max="5" width="15.83203125" style="144" customWidth="1" outlineLevel="1"/>
    <col min="6" max="6" width="16.83203125" style="51" customWidth="1" outlineLevel="2"/>
    <col min="7" max="7" width="6.83203125" style="51" customWidth="1" outlineLevel="2"/>
    <col min="8" max="8" width="6.6640625" style="51" customWidth="1" outlineLevel="2"/>
    <col min="9" max="9" width="10" style="51" customWidth="1" outlineLevel="2"/>
    <col min="10" max="10" width="20" style="51" customWidth="1"/>
    <col min="11" max="11" width="18.83203125" style="452" customWidth="1"/>
    <col min="12" max="12" width="19.1640625" style="51" bestFit="1" customWidth="1"/>
    <col min="13" max="13" width="15.1640625" style="52" bestFit="1" customWidth="1"/>
    <col min="14" max="14" width="16.6640625" style="555" customWidth="1"/>
    <col min="15" max="15" width="11.1640625" style="555" customWidth="1"/>
    <col min="16" max="16" width="53.83203125" style="1925" customWidth="1"/>
    <col min="17" max="32" width="22.5" style="51" customWidth="1"/>
    <col min="33" max="33" width="46.83203125" style="51" bestFit="1" customWidth="1"/>
    <col min="34" max="37" width="22.5" style="51" customWidth="1"/>
    <col min="38" max="38" width="26" style="51" customWidth="1"/>
    <col min="39" max="39" width="66.1640625" style="51" bestFit="1" customWidth="1"/>
    <col min="40" max="40" width="22.5" style="51" customWidth="1"/>
    <col min="41" max="41" width="59" style="51" customWidth="1"/>
    <col min="42" max="42" width="103.83203125" style="51" bestFit="1" customWidth="1"/>
    <col min="43" max="43" width="82.5" style="51" customWidth="1"/>
    <col min="44" max="44" width="142.5" style="51" customWidth="1"/>
    <col min="45" max="45" width="99" style="51" bestFit="1" customWidth="1"/>
    <col min="46" max="46" width="14.1640625" style="51" customWidth="1"/>
    <col min="47" max="47" width="13.6640625" style="51" customWidth="1"/>
    <col min="48" max="48" width="9.83203125" style="51"/>
    <col min="49" max="49" width="13.1640625" style="51" customWidth="1"/>
    <col min="50" max="50" width="26.5" style="51" customWidth="1"/>
    <col min="51" max="16384" width="9.83203125" style="51"/>
  </cols>
  <sheetData>
    <row r="1" spans="1:45" s="52" customFormat="1" ht="13.5" thickBot="1">
      <c r="A1" s="395"/>
      <c r="B1" s="583"/>
      <c r="C1" s="396"/>
      <c r="D1" s="397"/>
      <c r="E1" s="170">
        <f>E281</f>
        <v>0</v>
      </c>
      <c r="F1" s="170">
        <f>F281</f>
        <v>0</v>
      </c>
      <c r="G1" s="170">
        <f>G281/2</f>
        <v>0</v>
      </c>
      <c r="H1" s="170">
        <f>H281/2</f>
        <v>0</v>
      </c>
      <c r="I1" s="170">
        <f>I281/2</f>
        <v>0</v>
      </c>
      <c r="J1" s="171">
        <f>J281/2</f>
        <v>0</v>
      </c>
      <c r="K1" s="171">
        <f>K281</f>
        <v>0</v>
      </c>
      <c r="L1" s="462"/>
      <c r="M1" s="2875"/>
      <c r="O1" s="1381"/>
      <c r="P1" s="50"/>
    </row>
    <row r="2" spans="1:45" s="137" customFormat="1">
      <c r="A2" s="2882"/>
      <c r="B2" s="4486" t="s">
        <v>2547</v>
      </c>
      <c r="C2" s="3521"/>
      <c r="D2" s="2876"/>
      <c r="E2" s="2878"/>
      <c r="F2" s="1141"/>
      <c r="G2" s="1142"/>
      <c r="H2" s="1141"/>
      <c r="I2" s="1142"/>
      <c r="J2" s="1141"/>
      <c r="K2" s="1143"/>
      <c r="L2" s="1143"/>
      <c r="M2" s="2879"/>
      <c r="N2" s="2877" t="s">
        <v>2425</v>
      </c>
      <c r="O2" s="4174">
        <f>'נתונים לשינוי'!B13</f>
        <v>1.3762279847774139</v>
      </c>
      <c r="P2" s="4484" t="s">
        <v>215</v>
      </c>
    </row>
    <row r="3" spans="1:45" s="137" customFormat="1" ht="13.5" thickBot="1">
      <c r="A3" s="2883"/>
      <c r="B3" s="4487"/>
      <c r="C3" s="2880"/>
      <c r="D3" s="2881"/>
      <c r="E3" s="4481">
        <f>'נתונים לשינוי'!$C$1</f>
        <v>44561</v>
      </c>
      <c r="F3" s="4482"/>
      <c r="G3" s="4482"/>
      <c r="H3" s="4482"/>
      <c r="I3" s="4482"/>
      <c r="J3" s="4482"/>
      <c r="K3" s="4482"/>
      <c r="L3" s="4482"/>
      <c r="M3" s="4483"/>
      <c r="N3" s="1155" t="s">
        <v>604</v>
      </c>
      <c r="O3" s="4175">
        <f>'נתונים לשינוי'!I10</f>
        <v>0</v>
      </c>
      <c r="P3" s="448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row>
    <row r="4" spans="1:45" s="137" customFormat="1" ht="13.5" thickBot="1">
      <c r="A4" s="2883"/>
      <c r="B4" s="3622"/>
      <c r="C4" s="407"/>
      <c r="D4" s="386"/>
      <c r="E4" s="573" t="s">
        <v>794</v>
      </c>
      <c r="F4" s="408"/>
      <c r="G4" s="409"/>
      <c r="H4" s="408"/>
      <c r="I4" s="409"/>
      <c r="J4" s="573" t="s">
        <v>794</v>
      </c>
      <c r="K4" s="574" t="s">
        <v>294</v>
      </c>
      <c r="L4" s="410"/>
      <c r="M4" s="95" t="s">
        <v>294</v>
      </c>
      <c r="O4" s="404"/>
      <c r="P4" s="210"/>
    </row>
    <row r="5" spans="1:45" s="137" customFormat="1">
      <c r="A5" s="2883"/>
      <c r="B5" s="3623"/>
      <c r="C5" s="412"/>
      <c r="D5" s="413"/>
      <c r="E5" s="414" t="s">
        <v>46</v>
      </c>
      <c r="F5" s="415" t="s">
        <v>47</v>
      </c>
      <c r="G5" s="416" t="s">
        <v>47</v>
      </c>
      <c r="H5" s="415" t="s">
        <v>47</v>
      </c>
      <c r="I5" s="416" t="s">
        <v>47</v>
      </c>
      <c r="J5" s="415" t="s">
        <v>48</v>
      </c>
      <c r="K5" s="417" t="s">
        <v>48</v>
      </c>
      <c r="L5" s="410"/>
      <c r="M5" s="414" t="s">
        <v>46</v>
      </c>
      <c r="O5" s="404"/>
      <c r="P5" s="210"/>
      <c r="AR5" s="420"/>
    </row>
    <row r="6" spans="1:45" s="137" customFormat="1">
      <c r="A6" s="2883"/>
      <c r="B6" s="3624"/>
      <c r="C6" s="421"/>
      <c r="D6" s="72" t="s">
        <v>50</v>
      </c>
      <c r="E6" s="422" t="s">
        <v>51</v>
      </c>
      <c r="F6" s="72" t="s">
        <v>52</v>
      </c>
      <c r="G6" s="423" t="s">
        <v>52</v>
      </c>
      <c r="H6" s="72" t="s">
        <v>52</v>
      </c>
      <c r="I6" s="423" t="s">
        <v>52</v>
      </c>
      <c r="J6" s="72" t="s">
        <v>3</v>
      </c>
      <c r="K6" s="424" t="s">
        <v>53</v>
      </c>
      <c r="L6" s="410"/>
      <c r="M6" s="422" t="s">
        <v>51</v>
      </c>
      <c r="O6" s="404"/>
      <c r="P6" s="210"/>
      <c r="AR6" s="420"/>
    </row>
    <row r="7" spans="1:45" s="137" customFormat="1" ht="13.5" thickBot="1">
      <c r="A7" s="2883"/>
      <c r="B7" s="3625"/>
      <c r="C7" s="425"/>
      <c r="D7" s="426"/>
      <c r="E7" s="1099" t="s">
        <v>54</v>
      </c>
      <c r="F7" s="1100" t="s">
        <v>177</v>
      </c>
      <c r="G7" s="1101" t="s">
        <v>177</v>
      </c>
      <c r="H7" s="1100" t="s">
        <v>55</v>
      </c>
      <c r="I7" s="1101" t="s">
        <v>56</v>
      </c>
      <c r="J7" s="1100" t="s">
        <v>177</v>
      </c>
      <c r="K7" s="1101" t="s">
        <v>177</v>
      </c>
      <c r="L7" s="72"/>
      <c r="M7" s="762" t="s">
        <v>54</v>
      </c>
      <c r="O7" s="427"/>
      <c r="P7" s="1102"/>
      <c r="Q7" s="2027" t="s">
        <v>3210</v>
      </c>
      <c r="R7" s="2027" t="s">
        <v>3307</v>
      </c>
      <c r="S7" s="2027" t="s">
        <v>3384</v>
      </c>
      <c r="T7" s="2027" t="s">
        <v>3564</v>
      </c>
      <c r="U7" s="2027" t="s">
        <v>3633</v>
      </c>
      <c r="V7" s="2027" t="s">
        <v>3721</v>
      </c>
      <c r="W7" s="2027" t="s">
        <v>3888</v>
      </c>
      <c r="X7" s="2027" t="s">
        <v>3994</v>
      </c>
      <c r="Y7" s="2027" t="s">
        <v>3556</v>
      </c>
      <c r="Z7" s="2027" t="s">
        <v>3557</v>
      </c>
      <c r="AA7" s="2027" t="s">
        <v>3558</v>
      </c>
      <c r="AB7" s="2027"/>
      <c r="AC7" s="2027"/>
      <c r="AD7" s="2027"/>
      <c r="AR7" s="420"/>
    </row>
    <row r="8" spans="1:45" s="137" customFormat="1" ht="13.5" thickBot="1">
      <c r="A8" s="2883"/>
      <c r="B8" s="3626"/>
      <c r="C8" s="154"/>
      <c r="D8" s="58" t="s">
        <v>58</v>
      </c>
      <c r="E8" s="429"/>
      <c r="F8" s="51"/>
      <c r="G8" s="399"/>
      <c r="H8" s="51"/>
      <c r="I8" s="399"/>
      <c r="J8" s="51"/>
      <c r="K8" s="430"/>
      <c r="L8" s="72"/>
      <c r="M8" s="430"/>
      <c r="N8" s="1103"/>
      <c r="O8" s="431"/>
      <c r="P8" s="432"/>
      <c r="AR8" s="420"/>
    </row>
    <row r="9" spans="1:45" s="137" customFormat="1">
      <c r="A9" s="2883"/>
      <c r="B9" s="3626"/>
      <c r="C9" s="585"/>
      <c r="D9" s="458"/>
      <c r="E9" s="141"/>
      <c r="F9" s="518"/>
      <c r="G9" s="399"/>
      <c r="H9" s="51"/>
      <c r="I9" s="399"/>
      <c r="J9" s="170"/>
      <c r="K9" s="171"/>
      <c r="L9" s="52"/>
      <c r="M9" s="171"/>
      <c r="N9" s="1104"/>
      <c r="O9" s="1105"/>
      <c r="P9" s="393"/>
      <c r="AR9" s="420"/>
    </row>
    <row r="10" spans="1:45" s="137" customFormat="1">
      <c r="A10" s="2883"/>
      <c r="B10" s="3627" t="s">
        <v>340</v>
      </c>
      <c r="C10" s="585">
        <v>1000013</v>
      </c>
      <c r="D10" s="458" t="s">
        <v>1340</v>
      </c>
      <c r="E10" s="141">
        <f>VLOOKUP(C10,'פ.נ. Australia'!$D$113:$F$305,3,0)</f>
        <v>2040632.92</v>
      </c>
      <c r="F10" s="518">
        <f>SUMIF('פ.נ. Australia'!C:C,C:C,'פ.נ. Australia'!E:E)</f>
        <v>0</v>
      </c>
      <c r="G10" s="399"/>
      <c r="H10" s="51"/>
      <c r="I10" s="399"/>
      <c r="J10" s="965">
        <f>SUM(E10:I10)</f>
        <v>2040632.92</v>
      </c>
      <c r="K10" s="590">
        <f>M10+SUMIF('פ.נ. Australia'!C:C,'מאזן בוחן Australia'!C10,'פ.נ. Australia'!F:F)</f>
        <v>1482772.43</v>
      </c>
      <c r="L10" s="52"/>
      <c r="M10" s="171">
        <f>IFERROR(VLOOKUP(C10,'פ.נ. Australia'!$D$113:$G$305,4,0),"")</f>
        <v>1482772.43</v>
      </c>
      <c r="N10" s="1104">
        <f>IF(K10=0,"-",J10/K10)</f>
        <v>1.3762279893483047</v>
      </c>
      <c r="O10" s="1105"/>
      <c r="P10" s="393"/>
      <c r="AR10" s="420"/>
    </row>
    <row r="11" spans="1:45" s="137" customFormat="1">
      <c r="A11" s="2883"/>
      <c r="B11" s="3627" t="s">
        <v>340</v>
      </c>
      <c r="C11" s="585">
        <v>1000023</v>
      </c>
      <c r="D11" s="458" t="s">
        <v>1341</v>
      </c>
      <c r="E11" s="141">
        <f>VLOOKUP(C11,'פ.נ. Australia'!$D$113:$F$305,3,0)</f>
        <v>65483.57</v>
      </c>
      <c r="F11" s="518">
        <f>SUMIF('פ.נ. Australia'!C:C,C:C,'פ.נ. Australia'!E:E)</f>
        <v>0</v>
      </c>
      <c r="G11" s="399"/>
      <c r="H11" s="51"/>
      <c r="I11" s="399"/>
      <c r="J11" s="965">
        <f>SUM(E11:I11)</f>
        <v>65483.57</v>
      </c>
      <c r="K11" s="590">
        <f>M11+SUMIF('פ.נ. Australia'!C:C,'מאזן בוחן Australia'!C11,'פ.נ. Australia'!F:F)</f>
        <v>47581.919999999998</v>
      </c>
      <c r="L11" s="52"/>
      <c r="M11" s="171">
        <f>IFERROR(VLOOKUP(C11,'פ.נ. Australia'!$D$113:$G$305,4,0),"")</f>
        <v>47581.919999999998</v>
      </c>
      <c r="N11" s="1104">
        <f>IF(K11=0,"-",J11/K11)</f>
        <v>1.3762279874372452</v>
      </c>
      <c r="O11" s="1105"/>
      <c r="P11" s="393"/>
      <c r="AR11" s="420"/>
    </row>
    <row r="12" spans="1:45" s="137" customFormat="1">
      <c r="A12" s="2883"/>
      <c r="B12" s="3628"/>
      <c r="C12" s="1119"/>
      <c r="D12" s="48"/>
      <c r="E12" s="79"/>
      <c r="F12" s="433"/>
      <c r="G12" s="399"/>
      <c r="H12" s="51"/>
      <c r="I12" s="399"/>
      <c r="J12" s="965"/>
      <c r="K12" s="590"/>
      <c r="L12" s="51"/>
      <c r="M12" s="171"/>
      <c r="N12" s="1103"/>
      <c r="O12" s="434"/>
      <c r="P12" s="393"/>
      <c r="AR12" s="420"/>
    </row>
    <row r="13" spans="1:45" s="137" customFormat="1" ht="13.5" thickBot="1">
      <c r="A13" s="2883"/>
      <c r="B13" s="3624"/>
      <c r="C13" s="1159"/>
      <c r="D13" s="53"/>
      <c r="E13" s="436">
        <f t="shared" ref="E13:K13" si="0">SUM(E10:E12)</f>
        <v>2106116.4899999998</v>
      </c>
      <c r="F13" s="436">
        <f t="shared" si="0"/>
        <v>0</v>
      </c>
      <c r="G13" s="436">
        <f t="shared" si="0"/>
        <v>0</v>
      </c>
      <c r="H13" s="436">
        <f t="shared" si="0"/>
        <v>0</v>
      </c>
      <c r="I13" s="436">
        <f t="shared" si="0"/>
        <v>0</v>
      </c>
      <c r="J13" s="1172">
        <f t="shared" si="0"/>
        <v>2106116.4899999998</v>
      </c>
      <c r="K13" s="1172">
        <f t="shared" si="0"/>
        <v>1530354.3499999999</v>
      </c>
      <c r="L13" s="51"/>
      <c r="M13" s="436">
        <f>SUM(M10:M12)</f>
        <v>1530354.3499999999</v>
      </c>
      <c r="N13" s="1103"/>
      <c r="O13" s="434"/>
      <c r="P13" s="393"/>
      <c r="AR13" s="420"/>
    </row>
    <row r="14" spans="1:45" s="137" customFormat="1">
      <c r="A14" s="2883"/>
      <c r="B14" s="3624"/>
      <c r="C14" s="1160"/>
      <c r="D14" s="48"/>
      <c r="E14" s="398"/>
      <c r="F14" s="51"/>
      <c r="G14" s="439"/>
      <c r="H14" s="52"/>
      <c r="I14" s="439"/>
      <c r="J14" s="1173"/>
      <c r="K14" s="1174"/>
      <c r="L14" s="51"/>
      <c r="M14" s="446"/>
      <c r="N14" s="1103"/>
      <c r="O14" s="434"/>
      <c r="P14" s="393"/>
      <c r="AR14" s="420"/>
    </row>
    <row r="15" spans="1:45" s="137" customFormat="1">
      <c r="A15" s="2883"/>
      <c r="B15" s="3624"/>
      <c r="C15" s="1171"/>
      <c r="D15" s="54"/>
      <c r="E15" s="443"/>
      <c r="F15" s="54"/>
      <c r="G15" s="444"/>
      <c r="H15" s="54"/>
      <c r="I15" s="444"/>
      <c r="J15" s="1173"/>
      <c r="K15" s="1174"/>
      <c r="L15" s="51"/>
      <c r="M15" s="446"/>
      <c r="N15" s="1103"/>
      <c r="O15" s="434"/>
      <c r="P15" s="393"/>
      <c r="AR15" s="420"/>
    </row>
    <row r="16" spans="1:45" s="137" customFormat="1">
      <c r="A16" s="2883"/>
      <c r="B16" s="3629"/>
      <c r="C16" s="2133"/>
      <c r="D16" s="746" t="s">
        <v>692</v>
      </c>
      <c r="E16" s="447">
        <f t="shared" ref="E16:K16" si="1">E13</f>
        <v>2106116.4899999998</v>
      </c>
      <c r="F16" s="447">
        <f t="shared" si="1"/>
        <v>0</v>
      </c>
      <c r="G16" s="447">
        <f t="shared" si="1"/>
        <v>0</v>
      </c>
      <c r="H16" s="447">
        <f t="shared" si="1"/>
        <v>0</v>
      </c>
      <c r="I16" s="447">
        <f t="shared" si="1"/>
        <v>0</v>
      </c>
      <c r="J16" s="1175">
        <f t="shared" si="1"/>
        <v>2106116.4899999998</v>
      </c>
      <c r="K16" s="1175">
        <f t="shared" si="1"/>
        <v>1530354.3499999999</v>
      </c>
      <c r="L16" s="336"/>
      <c r="M16" s="447">
        <f>M13</f>
        <v>1530354.3499999999</v>
      </c>
      <c r="N16" s="1103"/>
      <c r="O16" s="434"/>
      <c r="P16" s="393"/>
      <c r="AR16" s="420"/>
    </row>
    <row r="17" spans="1:44" s="137" customFormat="1" ht="13.5" thickBot="1">
      <c r="A17" s="2883"/>
      <c r="B17" s="3629"/>
      <c r="C17" s="760"/>
      <c r="D17" s="55"/>
      <c r="E17" s="448"/>
      <c r="F17" s="63"/>
      <c r="G17" s="169"/>
      <c r="H17" s="63"/>
      <c r="I17" s="169"/>
      <c r="J17" s="1176"/>
      <c r="K17" s="1177"/>
      <c r="L17" s="51"/>
      <c r="M17" s="169"/>
      <c r="N17" s="1103"/>
      <c r="O17" s="434"/>
      <c r="P17" s="393"/>
      <c r="AR17" s="420"/>
    </row>
    <row r="18" spans="1:44" s="137" customFormat="1" ht="13.5" thickBot="1">
      <c r="A18" s="2883"/>
      <c r="B18" s="3630"/>
      <c r="C18" s="154"/>
      <c r="D18" s="58" t="s">
        <v>149</v>
      </c>
      <c r="E18" s="448"/>
      <c r="F18" s="63"/>
      <c r="G18" s="169"/>
      <c r="H18" s="63"/>
      <c r="I18" s="169"/>
      <c r="J18" s="1176"/>
      <c r="K18" s="1177"/>
      <c r="L18" s="51"/>
      <c r="M18" s="169"/>
      <c r="N18" s="1103"/>
      <c r="O18" s="434"/>
      <c r="P18" s="393"/>
      <c r="AR18" s="420"/>
    </row>
    <row r="19" spans="1:44" s="137" customFormat="1">
      <c r="A19" s="2883"/>
      <c r="B19" s="3630"/>
      <c r="C19" s="154"/>
      <c r="D19" s="50"/>
      <c r="E19" s="448"/>
      <c r="F19" s="1205"/>
      <c r="G19" s="169"/>
      <c r="H19" s="63"/>
      <c r="I19" s="169"/>
      <c r="J19" s="1176"/>
      <c r="K19" s="1177"/>
      <c r="L19" s="51"/>
      <c r="M19" s="169"/>
      <c r="N19" s="1103"/>
      <c r="O19" s="434"/>
      <c r="P19" s="335"/>
      <c r="AR19" s="420"/>
    </row>
    <row r="20" spans="1:44" s="137" customFormat="1">
      <c r="A20" s="2883"/>
      <c r="B20" s="3627" t="s">
        <v>1346</v>
      </c>
      <c r="C20" s="585">
        <v>206673</v>
      </c>
      <c r="D20" s="1107" t="s">
        <v>671</v>
      </c>
      <c r="E20" s="1152">
        <f>IFERROR(VLOOKUP(C20,'פ.נ. Australia'!$D$113:$F$305,3,0),0)</f>
        <v>3652079.44</v>
      </c>
      <c r="F20" s="518">
        <f>SUMIF('פ.נ. Australia'!C:C,C:C,'פ.נ. Australia'!E:E)</f>
        <v>0</v>
      </c>
      <c r="G20" s="399"/>
      <c r="H20" s="51"/>
      <c r="I20" s="399"/>
      <c r="J20" s="170">
        <f t="shared" ref="J20:J29" si="2">SUM(E20:I20)</f>
        <v>3652079.44</v>
      </c>
      <c r="K20" s="171">
        <f>M20+SUMIF('פ.נ. Australia'!C:C,'מאזן בוחן Australia'!C20,'פ.נ. Australia'!F:F)</f>
        <v>2653687.8199999998</v>
      </c>
      <c r="L20" s="51"/>
      <c r="M20" s="78">
        <f>IFERROR(VLOOKUP(C20,'פ.נ. Australia'!$D$113:$G$305,4,0),0)</f>
        <v>2653687.8199999998</v>
      </c>
      <c r="N20" s="1106">
        <f t="shared" ref="N20:N29" si="3">IF(K20=0,"-",J20/K20)</f>
        <v>1.3762279844959306</v>
      </c>
      <c r="O20" s="434"/>
      <c r="P20" s="399" t="s">
        <v>3383</v>
      </c>
      <c r="AR20" s="420"/>
    </row>
    <row r="21" spans="1:44" s="137" customFormat="1">
      <c r="A21" s="2883"/>
      <c r="B21" s="3627" t="s">
        <v>572</v>
      </c>
      <c r="C21" s="585">
        <v>202860</v>
      </c>
      <c r="D21" s="1107" t="s">
        <v>4440</v>
      </c>
      <c r="E21" s="1152">
        <f>IFERROR(VLOOKUP(C21,'פ.נ. Australia'!$D$113:$F$305,3,0),0)</f>
        <v>50070.61</v>
      </c>
      <c r="F21" s="518">
        <f>SUMIF('פ.נ. Australia'!C:C,C:C,'פ.נ. Australia'!E:E)</f>
        <v>0</v>
      </c>
      <c r="G21" s="399"/>
      <c r="H21" s="51"/>
      <c r="I21" s="399"/>
      <c r="J21" s="170">
        <f t="shared" ref="J21:J22" si="4">SUM(E21:I21)</f>
        <v>50070.61</v>
      </c>
      <c r="K21" s="171">
        <f>M21+SUMIF('פ.נ. Australia'!C:C,'מאזן בוחן Australia'!C21,'פ.נ. Australia'!F:F)</f>
        <v>36382.5</v>
      </c>
      <c r="L21" s="51"/>
      <c r="M21" s="78">
        <f>IFERROR(VLOOKUP(C21,'פ.נ. Australia'!$D$113:$G$305,4,0),0)</f>
        <v>36382.5</v>
      </c>
      <c r="N21" s="1106">
        <f t="shared" ref="N21:N22" si="5">IF(K21=0,"-",J21/K21)</f>
        <v>1.3762278567992854</v>
      </c>
      <c r="O21" s="434"/>
      <c r="P21" s="399"/>
      <c r="AR21" s="420"/>
    </row>
    <row r="22" spans="1:44" s="137" customFormat="1">
      <c r="A22" s="2883"/>
      <c r="B22" s="3627" t="s">
        <v>2026</v>
      </c>
      <c r="C22" s="585">
        <v>208944</v>
      </c>
      <c r="D22" s="1107" t="s">
        <v>4441</v>
      </c>
      <c r="E22" s="1152">
        <f>IFERROR(VLOOKUP(C22,'פ.נ. Australia'!$D$113:$F$305,3,0),0)</f>
        <v>0</v>
      </c>
      <c r="F22" s="518">
        <f>SUMIF('פ.נ. Australia'!C:C,C:C,'פ.נ. Australia'!E:E)</f>
        <v>0</v>
      </c>
      <c r="G22" s="399"/>
      <c r="H22" s="51"/>
      <c r="I22" s="399"/>
      <c r="J22" s="170">
        <f t="shared" si="4"/>
        <v>0</v>
      </c>
      <c r="K22" s="171">
        <f>M22+SUMIF('פ.נ. Australia'!C:C,'מאזן בוחן Australia'!C22,'פ.נ. Australia'!F:F)</f>
        <v>0</v>
      </c>
      <c r="L22" s="51"/>
      <c r="M22" s="78">
        <f>IFERROR(VLOOKUP(C22,'פ.נ. Australia'!$D$113:$G$305,4,0),0)</f>
        <v>0</v>
      </c>
      <c r="N22" s="1106" t="str">
        <f t="shared" si="5"/>
        <v>-</v>
      </c>
      <c r="O22" s="434"/>
      <c r="P22" s="399"/>
      <c r="AR22" s="420"/>
    </row>
    <row r="23" spans="1:44" s="137" customFormat="1">
      <c r="A23" s="2883"/>
      <c r="B23" s="3627" t="s">
        <v>2026</v>
      </c>
      <c r="C23" s="585">
        <v>218818</v>
      </c>
      <c r="D23" s="1107" t="s">
        <v>4264</v>
      </c>
      <c r="E23" s="1152">
        <f>IFERROR(VLOOKUP(C23,'פ.נ. Australia'!$D$113:$F$305,3,0),0)</f>
        <v>0</v>
      </c>
      <c r="F23" s="518">
        <f>SUMIF('פ.נ. Australia'!C:C,C:C,'פ.נ. Australia'!E:E)</f>
        <v>0</v>
      </c>
      <c r="G23" s="399"/>
      <c r="H23" s="51"/>
      <c r="I23" s="399"/>
      <c r="J23" s="170">
        <f>SUM(E23:I23)</f>
        <v>0</v>
      </c>
      <c r="K23" s="171">
        <f>M23+SUMIF('פ.נ. Australia'!C:C,'מאזן בוחן Australia'!C23,'פ.נ. Australia'!F:F)</f>
        <v>0</v>
      </c>
      <c r="L23" s="51"/>
      <c r="M23" s="78">
        <f>IFERROR(VLOOKUP(C23,'פ.נ. Australia'!$D$113:$G$305,4,0),0)</f>
        <v>0</v>
      </c>
      <c r="N23" s="1106" t="str">
        <f>IF(K23=0,"-",J23/K23)</f>
        <v>-</v>
      </c>
      <c r="O23" s="434"/>
      <c r="P23" s="399"/>
      <c r="AR23" s="420"/>
    </row>
    <row r="24" spans="1:44" s="137" customFormat="1">
      <c r="A24" s="2883"/>
      <c r="B24" s="3627" t="s">
        <v>572</v>
      </c>
      <c r="C24" s="585" t="s">
        <v>4119</v>
      </c>
      <c r="D24" s="1107" t="s">
        <v>2015</v>
      </c>
      <c r="E24" s="1152">
        <f>IFERROR(VLOOKUP(C24,'פ.נ. Australia'!$D$113:$F$305,3,0),0)</f>
        <v>396559.27</v>
      </c>
      <c r="F24" s="518">
        <f>SUMIF('פ.נ. Australia'!C:C,C:C,'פ.נ. Australia'!E:E)</f>
        <v>0</v>
      </c>
      <c r="G24" s="399"/>
      <c r="H24" s="51"/>
      <c r="I24" s="399"/>
      <c r="J24" s="170">
        <f>SUM(E24:I24)</f>
        <v>396559.27</v>
      </c>
      <c r="K24" s="171">
        <f>M24+SUMIF('פ.נ. Australia'!C:C,'מאזן בוחן Australia'!C24,'פ.נ. Australia'!F:F)</f>
        <v>288149.40000000002</v>
      </c>
      <c r="L24" s="51"/>
      <c r="M24" s="78">
        <f>IFERROR(VLOOKUP(C24,'פ.נ. Australia'!$D$113:$G$305,4,0),0)</f>
        <v>288149.40000000002</v>
      </c>
      <c r="N24" s="1106">
        <f>IF(K24=0,"-",J24/K24)</f>
        <v>1.3762279914516566</v>
      </c>
      <c r="O24" s="434"/>
      <c r="P24" s="399" t="s">
        <v>4724</v>
      </c>
      <c r="AR24" s="420"/>
    </row>
    <row r="25" spans="1:44" s="137" customFormat="1">
      <c r="A25" s="2883"/>
      <c r="B25" s="3627" t="s">
        <v>2026</v>
      </c>
      <c r="C25" s="585">
        <v>208844</v>
      </c>
      <c r="D25" s="1107" t="s">
        <v>3436</v>
      </c>
      <c r="E25" s="1152">
        <f>IFERROR(VLOOKUP(C25,'פ.נ. Australia'!$D$113:$F$305,3,0),0)</f>
        <v>1960453</v>
      </c>
      <c r="F25" s="518">
        <f>SUMIF('פ.נ. Australia'!C:C,C:C,'פ.נ. Australia'!E:E)</f>
        <v>0</v>
      </c>
      <c r="G25" s="399"/>
      <c r="H25" s="51"/>
      <c r="I25" s="399"/>
      <c r="J25" s="170">
        <f>SUM(E25:I25)</f>
        <v>1960453</v>
      </c>
      <c r="K25" s="171">
        <f>M25+SUMIF('פ.נ. Australia'!C:C,'מאזן בוחן Australia'!C25,'פ.נ. Australia'!F:F)</f>
        <v>1424511.8</v>
      </c>
      <c r="L25" s="51"/>
      <c r="M25" s="78">
        <f>IFERROR(VLOOKUP(C25,'פ.נ. Australia'!$D$113:$G$305,4,0),0)</f>
        <v>1424511.8</v>
      </c>
      <c r="N25" s="1106">
        <f>IF(K25=0,"-",J25/K25)</f>
        <v>1.3762279821058694</v>
      </c>
      <c r="O25" s="434"/>
      <c r="P25" s="399" t="s">
        <v>4722</v>
      </c>
      <c r="AR25" s="420"/>
    </row>
    <row r="26" spans="1:44" s="137" customFormat="1">
      <c r="A26" s="2883"/>
      <c r="B26" s="3627" t="s">
        <v>2026</v>
      </c>
      <c r="C26" s="585">
        <v>229674</v>
      </c>
      <c r="D26" s="1107" t="s">
        <v>4120</v>
      </c>
      <c r="E26" s="1152">
        <f>IFERROR(VLOOKUP(C26,'פ.נ. Australia'!$D$113:$F$305,3,0),0)</f>
        <v>0</v>
      </c>
      <c r="F26" s="518">
        <f>SUMIF('פ.נ. Australia'!C:C,C:C,'פ.נ. Australia'!E:E)</f>
        <v>0</v>
      </c>
      <c r="G26" s="399"/>
      <c r="H26" s="51"/>
      <c r="I26" s="399"/>
      <c r="J26" s="170">
        <f>SUM(E26:I26)</f>
        <v>0</v>
      </c>
      <c r="K26" s="171">
        <f>M26+SUMIF('פ.נ. Australia'!C:C,'מאזן בוחן Australia'!C26,'פ.נ. Australia'!F:F)</f>
        <v>0</v>
      </c>
      <c r="L26" s="51"/>
      <c r="M26" s="78">
        <f>IFERROR(VLOOKUP(C26,'פ.נ. Australia'!$D$113:$G$305,4,0),0)</f>
        <v>0</v>
      </c>
      <c r="N26" s="1106" t="str">
        <f>IF(K26=0,"-",J26/K26)</f>
        <v>-</v>
      </c>
      <c r="O26" s="434"/>
      <c r="P26" s="399"/>
      <c r="AR26" s="420"/>
    </row>
    <row r="27" spans="1:44" s="137" customFormat="1">
      <c r="A27" s="2883"/>
      <c r="B27" s="3627" t="s">
        <v>572</v>
      </c>
      <c r="C27" s="585">
        <v>209001</v>
      </c>
      <c r="D27" s="203" t="s">
        <v>3723</v>
      </c>
      <c r="E27" s="1152">
        <f>IFERROR(VLOOKUP(C27,'פ.נ. Australia'!$D$113:$F$305,3,0),0)</f>
        <v>0</v>
      </c>
      <c r="F27" s="1643">
        <f>SUMIF('פ.נ. Australia'!C:C,C:C,'פ.נ. Australia'!E:E)</f>
        <v>0</v>
      </c>
      <c r="G27" s="1641"/>
      <c r="H27" s="1641"/>
      <c r="I27" s="1641"/>
      <c r="J27" s="1641">
        <f t="shared" si="2"/>
        <v>0</v>
      </c>
      <c r="K27" s="1641">
        <f>M27+SUMIF('פ.נ. Australia'!C:C,'מאזן בוחן Australia'!C27,'פ.נ. Australia'!F:F)</f>
        <v>0</v>
      </c>
      <c r="L27" s="1325"/>
      <c r="M27" s="1643">
        <f>IFERROR(VLOOKUP(C27,'פ.נ. Australia'!$D$113:$G$305,4,0),0)</f>
        <v>0</v>
      </c>
      <c r="N27" s="1106" t="str">
        <f t="shared" si="3"/>
        <v>-</v>
      </c>
      <c r="O27" s="434"/>
      <c r="P27" s="399"/>
    </row>
    <row r="28" spans="1:44" s="137" customFormat="1">
      <c r="A28" s="2883"/>
      <c r="B28" s="3627" t="s">
        <v>572</v>
      </c>
      <c r="C28" s="585">
        <v>206674</v>
      </c>
      <c r="D28" s="1107" t="s">
        <v>3722</v>
      </c>
      <c r="E28" s="1152">
        <f>IFERROR(VLOOKUP(C28,'פ.נ. Australia'!$D$113:$F$305,3,0),0)</f>
        <v>0</v>
      </c>
      <c r="F28" s="518">
        <f>SUMIF('פ.נ. Australia'!C:C,C:C,'פ.נ. Australia'!E:E)</f>
        <v>0</v>
      </c>
      <c r="G28" s="399"/>
      <c r="H28" s="51"/>
      <c r="I28" s="399"/>
      <c r="J28" s="170">
        <f t="shared" si="2"/>
        <v>0</v>
      </c>
      <c r="K28" s="171">
        <f>M28+SUMIF('פ.נ. Australia'!C:C,'מאזן בוחן Australia'!C28,'פ.נ. Australia'!F:F)</f>
        <v>0</v>
      </c>
      <c r="L28" s="51"/>
      <c r="M28" s="78">
        <f>IFERROR(VLOOKUP(C28,'פ.נ. Australia'!$D$113:$G$305,4,0),0)</f>
        <v>0</v>
      </c>
      <c r="N28" s="1106" t="str">
        <f t="shared" si="3"/>
        <v>-</v>
      </c>
      <c r="O28" s="434"/>
      <c r="P28" s="399"/>
      <c r="AR28" s="420"/>
    </row>
    <row r="29" spans="1:44" s="137" customFormat="1">
      <c r="A29" s="2883"/>
      <c r="B29" s="3630"/>
      <c r="C29" s="585">
        <v>209000</v>
      </c>
      <c r="D29" s="45" t="s">
        <v>221</v>
      </c>
      <c r="E29" s="1152">
        <f>IFERROR(VLOOKUP(C29,'פ.נ. Australia'!$D$113:$F$305,3,0),0)</f>
        <v>0</v>
      </c>
      <c r="F29" s="518">
        <f>SUMIF('פ.נ. Australia'!C:C,C:C,'פ.נ. Australia'!E:E)</f>
        <v>0</v>
      </c>
      <c r="G29" s="399"/>
      <c r="H29" s="51"/>
      <c r="I29" s="399"/>
      <c r="J29" s="170">
        <f t="shared" si="2"/>
        <v>0</v>
      </c>
      <c r="K29" s="171">
        <f>M29+SUMIF('פ.נ. Australia'!C:C,'מאזן בוחן Australia'!C29,'פ.נ. Australia'!F:F)</f>
        <v>0</v>
      </c>
      <c r="L29" s="52"/>
      <c r="M29" s="171" t="str">
        <f>IFERROR(VLOOKUP(C29,'פ.נ. Australia'!$D$113:$G$305,4,0),"")</f>
        <v/>
      </c>
      <c r="N29" s="1106" t="str">
        <f t="shared" si="3"/>
        <v>-</v>
      </c>
      <c r="O29" s="434"/>
      <c r="P29" s="1109"/>
      <c r="AR29" s="420"/>
    </row>
    <row r="30" spans="1:44" s="137" customFormat="1">
      <c r="A30" s="2883"/>
      <c r="B30" s="3629"/>
      <c r="C30" s="1436"/>
      <c r="D30" s="45"/>
      <c r="E30" s="398"/>
      <c r="F30" s="1205"/>
      <c r="G30" s="169"/>
      <c r="H30" s="63"/>
      <c r="I30" s="169"/>
      <c r="J30" s="1173"/>
      <c r="K30" s="1174"/>
      <c r="L30" s="51"/>
      <c r="M30" s="446"/>
      <c r="N30" s="1106"/>
      <c r="O30" s="434"/>
      <c r="P30" s="1109"/>
      <c r="AR30" s="420"/>
    </row>
    <row r="31" spans="1:44" s="137" customFormat="1">
      <c r="A31" s="2883"/>
      <c r="B31" s="3629"/>
      <c r="C31" s="746"/>
      <c r="D31" s="1932" t="s">
        <v>150</v>
      </c>
      <c r="E31" s="447">
        <f t="shared" ref="E31:K31" si="6">SUM(E20:E30)</f>
        <v>6059162.3200000003</v>
      </c>
      <c r="F31" s="1206">
        <f t="shared" si="6"/>
        <v>0</v>
      </c>
      <c r="G31" s="447">
        <f t="shared" si="6"/>
        <v>0</v>
      </c>
      <c r="H31" s="447">
        <f t="shared" si="6"/>
        <v>0</v>
      </c>
      <c r="I31" s="447">
        <f t="shared" si="6"/>
        <v>0</v>
      </c>
      <c r="J31" s="1175">
        <f t="shared" si="6"/>
        <v>6059162.3200000003</v>
      </c>
      <c r="K31" s="1175">
        <f t="shared" si="6"/>
        <v>4402731.5199999996</v>
      </c>
      <c r="L31" s="336"/>
      <c r="M31" s="1175">
        <f>SUM(M20:M30)</f>
        <v>4402731.5199999996</v>
      </c>
      <c r="N31" s="1103"/>
      <c r="O31" s="434"/>
      <c r="P31" s="1109"/>
      <c r="AR31" s="420"/>
    </row>
    <row r="32" spans="1:44" s="137" customFormat="1" ht="13.5" thickBot="1">
      <c r="A32" s="2883"/>
      <c r="B32" s="3629"/>
      <c r="C32" s="1437"/>
      <c r="D32" s="55"/>
      <c r="E32" s="448"/>
      <c r="F32" s="1205"/>
      <c r="G32" s="169"/>
      <c r="H32" s="63"/>
      <c r="I32" s="169"/>
      <c r="J32" s="1176"/>
      <c r="K32" s="1177"/>
      <c r="L32" s="51"/>
      <c r="M32" s="169"/>
      <c r="N32" s="1106"/>
      <c r="O32" s="434"/>
      <c r="P32" s="1109"/>
      <c r="AR32" s="420"/>
    </row>
    <row r="33" spans="1:44" s="137" customFormat="1" ht="13.5" thickBot="1">
      <c r="A33" s="2883"/>
      <c r="B33" s="3631"/>
      <c r="C33" s="1437"/>
      <c r="D33" s="58" t="s">
        <v>65</v>
      </c>
      <c r="E33" s="448"/>
      <c r="F33" s="1205"/>
      <c r="G33" s="169"/>
      <c r="H33" s="63"/>
      <c r="I33" s="169"/>
      <c r="J33" s="1176"/>
      <c r="K33" s="1177"/>
      <c r="L33" s="51"/>
      <c r="M33" s="169"/>
      <c r="N33" s="1106"/>
      <c r="O33" s="434"/>
      <c r="P33" s="1109"/>
      <c r="AR33" s="420"/>
    </row>
    <row r="34" spans="1:44" s="137" customFormat="1" ht="13.5" thickBot="1">
      <c r="A34" s="2883"/>
      <c r="B34" s="3632"/>
      <c r="C34" s="760"/>
      <c r="D34" s="59"/>
      <c r="E34" s="429"/>
      <c r="F34" s="1207"/>
      <c r="G34" s="399"/>
      <c r="H34" s="451"/>
      <c r="I34" s="446"/>
      <c r="J34" s="555"/>
      <c r="K34" s="1178"/>
      <c r="L34" s="51"/>
      <c r="M34" s="399"/>
      <c r="N34" s="1106"/>
      <c r="O34" s="434"/>
      <c r="P34" s="1183"/>
      <c r="AR34" s="420"/>
    </row>
    <row r="35" spans="1:44" s="137" customFormat="1" ht="13.5" thickBot="1">
      <c r="A35" s="2883"/>
      <c r="B35" s="3633" t="s">
        <v>568</v>
      </c>
      <c r="C35" s="1352">
        <v>1100099</v>
      </c>
      <c r="D35" s="1110" t="s">
        <v>1807</v>
      </c>
      <c r="E35" s="1152">
        <f>IFERROR(VLOOKUP(C35,'פ.נ. Australia'!$D$113:$F$305,3,0),0)</f>
        <v>120440.9</v>
      </c>
      <c r="F35" s="141">
        <f>SUMIF('פ.נ. Australia'!C:C,C:C,'פ.נ. Australia'!E:E)</f>
        <v>-5.9072627051501118E-3</v>
      </c>
      <c r="G35" s="439"/>
      <c r="H35" s="52"/>
      <c r="I35" s="439"/>
      <c r="J35" s="170">
        <f>SUM(E35:I35)</f>
        <v>120440.89409273729</v>
      </c>
      <c r="K35" s="171">
        <f>M35+SUMIF('פ.נ. Australia'!C:C,'מאזן בוחן Australia'!C35,'פ.נ. Australia'!F:F)</f>
        <v>87525.565707642367</v>
      </c>
      <c r="L35" s="956">
        <f>-SUM('606-Prepaid Comm&amp;DR SUB'!D57)+'מאזן בוחן Australia'!$K$35</f>
        <v>0.60456323596008588</v>
      </c>
      <c r="M35" s="171">
        <f>IFERROR(VLOOKUP(C35,'פ.נ. Australia'!$D$113:$G$305,4,0),"")</f>
        <v>87525.57</v>
      </c>
      <c r="N35" s="1104">
        <f>IF(K35=0,"-",J35/K35)</f>
        <v>1.3760653029657699</v>
      </c>
      <c r="O35" s="449"/>
      <c r="P35" s="432"/>
      <c r="AR35" s="420"/>
    </row>
    <row r="36" spans="1:44" s="137" customFormat="1" ht="26.25" customHeight="1" thickBot="1">
      <c r="A36" s="2883"/>
      <c r="B36" s="3633" t="s">
        <v>568</v>
      </c>
      <c r="C36" s="1352">
        <v>1100008</v>
      </c>
      <c r="D36" s="1110" t="s">
        <v>2194</v>
      </c>
      <c r="E36" s="1152">
        <f>IFERROR(VLOOKUP(C36,'פ.נ. Australia'!$D$113:$F$305,3,0),0)</f>
        <v>212001.42</v>
      </c>
      <c r="F36" s="141">
        <f>SUMIF('פ.נ. Australia'!C:C,C:C,'פ.נ. Australia'!E:E)</f>
        <v>0</v>
      </c>
      <c r="G36" s="439"/>
      <c r="H36" s="52"/>
      <c r="I36" s="439"/>
      <c r="J36" s="170">
        <f>SUM(E36:I36)</f>
        <v>212001.42</v>
      </c>
      <c r="K36" s="171">
        <f>M36+SUMIF('פ.נ. Australia'!C:C,'מאזן בוחן Australia'!C36,'פ.נ. Australia'!F:F)</f>
        <v>152989.12</v>
      </c>
      <c r="L36" s="956">
        <f>SUM('[125]PIVOT Q4'!$D$19,'[34]Income receibales'!$AA$3141)-K36</f>
        <v>0.78924821919645183</v>
      </c>
      <c r="M36" s="171">
        <f>IFERROR(VLOOKUP(C36,'פ.נ. Australia'!$D$113:$G$305,4,0),"")</f>
        <v>152989.12</v>
      </c>
      <c r="N36" s="1104">
        <f>IF(K36=0,"-",J36/K36)</f>
        <v>1.3857287367886031</v>
      </c>
      <c r="O36" s="449"/>
      <c r="P36" s="1109" t="s">
        <v>2724</v>
      </c>
      <c r="AR36" s="420"/>
    </row>
    <row r="37" spans="1:44" s="137" customFormat="1" ht="13.5" thickBot="1">
      <c r="A37" s="2883"/>
      <c r="B37" s="3633" t="s">
        <v>568</v>
      </c>
      <c r="C37" s="1438">
        <v>1100001</v>
      </c>
      <c r="D37" s="601" t="s">
        <v>25</v>
      </c>
      <c r="E37" s="1152">
        <f>IFERROR(VLOOKUP(C37,'פ.נ. Australia'!$D$113:$F$305,3,0),0)</f>
        <v>0</v>
      </c>
      <c r="F37" s="518">
        <f>SUMIF('פ.נ. Australia'!C:C,C:C,'פ.נ. Australia'!E:E)</f>
        <v>0</v>
      </c>
      <c r="G37" s="399"/>
      <c r="H37" s="51"/>
      <c r="I37" s="399"/>
      <c r="J37" s="170">
        <f>SUM(E37:I37)</f>
        <v>0</v>
      </c>
      <c r="K37" s="171">
        <f>M37+SUMIF('פ.נ. Australia'!C:C,'מאזן בוחן Australia'!C37,'פ.נ. Australia'!F:F)</f>
        <v>0</v>
      </c>
      <c r="L37" s="956">
        <f>-'Prepaid expenses'!C162+J37</f>
        <v>0</v>
      </c>
      <c r="M37" s="171" t="str">
        <f>IFERROR(VLOOKUP(C37,'פ.נ. Australia'!$D$113:$G$305,4,0),"")</f>
        <v/>
      </c>
      <c r="N37" s="1106" t="str">
        <f>IF(K37=0,"-",J37/K37)</f>
        <v>-</v>
      </c>
      <c r="O37" s="434"/>
      <c r="P37" s="2132" t="s">
        <v>2636</v>
      </c>
      <c r="AR37" s="420"/>
    </row>
    <row r="38" spans="1:44" s="137" customFormat="1">
      <c r="A38" s="2883"/>
      <c r="B38" s="3633" t="s">
        <v>568</v>
      </c>
      <c r="C38" s="1352">
        <v>1100097</v>
      </c>
      <c r="D38" s="1110" t="s">
        <v>2012</v>
      </c>
      <c r="E38" s="1152">
        <f>IFERROR(VLOOKUP(C38,'פ.נ. Australia'!$D$113:$F$305,3,0),0)</f>
        <v>4213804.33</v>
      </c>
      <c r="F38" s="1152">
        <f>SUMIF('פ.נ. Australia'!C:C,C:C,'פ.נ. Australia'!E:E)</f>
        <v>0</v>
      </c>
      <c r="G38" s="439"/>
      <c r="H38" s="52"/>
      <c r="I38" s="439"/>
      <c r="J38" s="170">
        <f>SUM(E38:I38)</f>
        <v>4213804.33</v>
      </c>
      <c r="K38" s="171">
        <f>M38+SUMIF('פ.נ. Australia'!C:C,'מאזן בוחן Australia'!C38,'פ.נ. Australia'!F:F)</f>
        <v>3146611.85</v>
      </c>
      <c r="L38" s="52"/>
      <c r="M38" s="171">
        <f>IFERROR(VLOOKUP(C38,'פ.נ. Australia'!$D$113:$G$305,4,0),"")</f>
        <v>3146611.85</v>
      </c>
      <c r="N38" s="1104">
        <f>IF(K38=0,"-",J38/K38)</f>
        <v>1.3391560608277757</v>
      </c>
      <c r="O38" s="449"/>
      <c r="P38" s="1182"/>
      <c r="AR38" s="420"/>
    </row>
    <row r="39" spans="1:44" s="137" customFormat="1">
      <c r="A39" s="2883"/>
      <c r="B39" s="3634"/>
      <c r="C39" s="1436"/>
      <c r="D39" s="45"/>
      <c r="E39" s="462"/>
      <c r="F39" s="1205"/>
      <c r="G39" s="399"/>
      <c r="H39" s="51"/>
      <c r="I39" s="453"/>
      <c r="J39" s="965"/>
      <c r="K39" s="590"/>
      <c r="L39" s="52"/>
      <c r="M39" s="171"/>
      <c r="N39" s="198"/>
      <c r="O39" s="434"/>
      <c r="P39" s="445"/>
      <c r="AR39" s="420"/>
    </row>
    <row r="40" spans="1:44" s="137" customFormat="1">
      <c r="A40" s="2883"/>
      <c r="B40" s="3634"/>
      <c r="C40" s="746"/>
      <c r="D40" s="1932" t="s">
        <v>2423</v>
      </c>
      <c r="E40" s="447">
        <f t="shared" ref="E40:M40" si="7">SUM(E35:E39)</f>
        <v>4546246.6500000004</v>
      </c>
      <c r="F40" s="447">
        <f t="shared" si="7"/>
        <v>-5.9072627051501118E-3</v>
      </c>
      <c r="G40" s="447">
        <f t="shared" si="7"/>
        <v>0</v>
      </c>
      <c r="H40" s="447">
        <f t="shared" si="7"/>
        <v>0</v>
      </c>
      <c r="I40" s="447">
        <f t="shared" si="7"/>
        <v>0</v>
      </c>
      <c r="J40" s="447">
        <f t="shared" si="7"/>
        <v>4546246.6440927377</v>
      </c>
      <c r="K40" s="447">
        <f t="shared" si="7"/>
        <v>3387126.5357076423</v>
      </c>
      <c r="L40" s="716"/>
      <c r="M40" s="447">
        <f t="shared" si="7"/>
        <v>3387126.54</v>
      </c>
      <c r="N40" s="1103"/>
      <c r="O40" s="434"/>
      <c r="P40" s="393"/>
      <c r="AR40" s="420"/>
    </row>
    <row r="41" spans="1:44" s="141" customFormat="1" ht="13.5" thickBot="1">
      <c r="A41" s="2883"/>
      <c r="B41" s="3629"/>
      <c r="C41" s="1439"/>
      <c r="D41" s="54"/>
      <c r="E41" s="463"/>
      <c r="F41" s="1208"/>
      <c r="G41" s="456"/>
      <c r="H41" s="455"/>
      <c r="I41" s="456"/>
      <c r="J41" s="712"/>
      <c r="K41" s="710"/>
      <c r="L41" s="52"/>
      <c r="M41" s="456"/>
      <c r="N41" s="1104"/>
      <c r="O41" s="449"/>
      <c r="P41" s="393"/>
      <c r="AR41" s="1180"/>
    </row>
    <row r="42" spans="1:44" s="137" customFormat="1" ht="13.5" thickBot="1">
      <c r="A42" s="2883"/>
      <c r="B42" s="3635"/>
      <c r="C42" s="1440"/>
      <c r="D42" s="58" t="s">
        <v>686</v>
      </c>
      <c r="E42" s="398"/>
      <c r="F42" s="1208"/>
      <c r="G42" s="456"/>
      <c r="H42" s="455"/>
      <c r="I42" s="456"/>
      <c r="J42" s="965"/>
      <c r="K42" s="590"/>
      <c r="L42" s="51"/>
      <c r="M42" s="171"/>
      <c r="N42" s="1106"/>
      <c r="O42" s="434"/>
      <c r="P42" s="393"/>
      <c r="AR42" s="420"/>
    </row>
    <row r="43" spans="1:44" s="137" customFormat="1" ht="13.5" thickBot="1">
      <c r="A43" s="2883"/>
      <c r="B43" s="3635"/>
      <c r="C43" s="1941"/>
      <c r="D43" s="1941"/>
      <c r="E43" s="144"/>
      <c r="F43" s="1208"/>
      <c r="G43" s="456"/>
      <c r="H43" s="455"/>
      <c r="I43" s="456"/>
      <c r="J43" s="965"/>
      <c r="K43" s="590"/>
      <c r="L43" s="51"/>
      <c r="M43" s="171"/>
      <c r="N43" s="1106"/>
      <c r="O43" s="434"/>
      <c r="P43" s="393"/>
      <c r="AR43" s="420"/>
    </row>
    <row r="44" spans="1:44" s="137" customFormat="1" ht="13.5" thickBot="1">
      <c r="A44" s="2883"/>
      <c r="B44" s="3635" t="s">
        <v>687</v>
      </c>
      <c r="C44" s="1239">
        <v>1130005</v>
      </c>
      <c r="D44" s="458" t="s">
        <v>779</v>
      </c>
      <c r="E44" s="141">
        <f>VLOOKUP(C44,'פ.נ. Australia'!$D$113:$F$305,3,0)</f>
        <v>-9324921.8200000003</v>
      </c>
      <c r="F44" s="141">
        <f>SUMIF('פ.נ. Australia'!C:C,C:C,'פ.נ. Australia'!E:E)</f>
        <v>0</v>
      </c>
      <c r="G44" s="399"/>
      <c r="H44" s="51"/>
      <c r="I44" s="399"/>
      <c r="J44" s="170">
        <f>SUM(E44:I44)</f>
        <v>-9324921.8200000003</v>
      </c>
      <c r="K44" s="171">
        <f>M44+SUMIF('פ.נ. Australia'!C:C,'מאזן בוחן Australia'!C44,'פ.נ. Australia'!F:F)</f>
        <v>-6775705.6299999999</v>
      </c>
      <c r="L44" s="1243">
        <f>+'מאזן בוחן'!K504+K44</f>
        <v>0</v>
      </c>
      <c r="M44" s="171">
        <f>IFERROR(VLOOKUP(C44,'פ.נ. Australia'!$D$113:$G$305,4,0),"")</f>
        <v>-6775705.6299999999</v>
      </c>
      <c r="N44" s="1106">
        <f>IF(K44=0,"-",J44/K44)</f>
        <v>1.3762288873225446</v>
      </c>
      <c r="O44" s="434"/>
      <c r="P44" s="393"/>
    </row>
    <row r="45" spans="1:44" s="137" customFormat="1">
      <c r="A45" s="2883"/>
      <c r="B45" s="3635"/>
      <c r="C45" s="1441"/>
      <c r="D45" s="61"/>
      <c r="E45" s="398"/>
      <c r="F45" s="518"/>
      <c r="G45" s="399"/>
      <c r="H45" s="51"/>
      <c r="I45" s="399"/>
      <c r="J45" s="555"/>
      <c r="K45" s="1178"/>
      <c r="M45" s="430"/>
      <c r="N45" s="140"/>
      <c r="O45" s="434"/>
      <c r="P45" s="393"/>
    </row>
    <row r="46" spans="1:44" s="137" customFormat="1">
      <c r="A46" s="2883"/>
      <c r="B46" s="3628"/>
      <c r="C46" s="1181"/>
      <c r="D46" s="706"/>
      <c r="E46" s="1175">
        <f t="shared" ref="E46:M46" si="8">SUM(E44:E45)</f>
        <v>-9324921.8200000003</v>
      </c>
      <c r="F46" s="1351">
        <f t="shared" si="8"/>
        <v>0</v>
      </c>
      <c r="G46" s="1351">
        <f t="shared" si="8"/>
        <v>0</v>
      </c>
      <c r="H46" s="1351">
        <f t="shared" si="8"/>
        <v>0</v>
      </c>
      <c r="I46" s="1351">
        <f t="shared" si="8"/>
        <v>0</v>
      </c>
      <c r="J46" s="1351">
        <f t="shared" si="8"/>
        <v>-9324921.8200000003</v>
      </c>
      <c r="K46" s="1351">
        <f t="shared" si="8"/>
        <v>-6775705.6299999999</v>
      </c>
      <c r="L46" s="2134"/>
      <c r="M46" s="1351">
        <f t="shared" si="8"/>
        <v>-6775705.6299999999</v>
      </c>
      <c r="N46" s="1106"/>
      <c r="O46" s="434"/>
      <c r="P46" s="393"/>
      <c r="AR46" s="420"/>
    </row>
    <row r="47" spans="1:44" s="137" customFormat="1">
      <c r="A47" s="2883"/>
      <c r="B47" s="3628"/>
      <c r="C47" s="421"/>
      <c r="D47" s="61"/>
      <c r="E47" s="429"/>
      <c r="F47" s="2945"/>
      <c r="G47" s="399"/>
      <c r="H47" s="51"/>
      <c r="I47" s="446"/>
      <c r="J47" s="170"/>
      <c r="K47" s="439"/>
      <c r="L47" s="51"/>
      <c r="M47" s="439"/>
      <c r="N47" s="1106"/>
      <c r="O47" s="434"/>
      <c r="P47" s="393"/>
    </row>
    <row r="48" spans="1:44" s="137" customFormat="1">
      <c r="A48" s="2883"/>
      <c r="B48" s="3628"/>
      <c r="C48" s="1164"/>
      <c r="D48" s="62" t="s">
        <v>67</v>
      </c>
      <c r="E48" s="1934">
        <f t="shared" ref="E48:M48" si="9">+E40+E46+E31</f>
        <v>1280487.1500000004</v>
      </c>
      <c r="F48" s="1668">
        <f t="shared" si="9"/>
        <v>-5.9072627051501118E-3</v>
      </c>
      <c r="G48" s="1668">
        <f t="shared" si="9"/>
        <v>0</v>
      </c>
      <c r="H48" s="1668">
        <f t="shared" si="9"/>
        <v>0</v>
      </c>
      <c r="I48" s="1668">
        <f t="shared" si="9"/>
        <v>0</v>
      </c>
      <c r="J48" s="1668">
        <f t="shared" si="9"/>
        <v>1280487.1440927377</v>
      </c>
      <c r="K48" s="1668">
        <f t="shared" si="9"/>
        <v>1014152.425707642</v>
      </c>
      <c r="L48" s="52"/>
      <c r="M48" s="1668">
        <f t="shared" si="9"/>
        <v>1014152.4299999997</v>
      </c>
      <c r="N48" s="1106"/>
      <c r="O48" s="434"/>
      <c r="P48" s="393"/>
    </row>
    <row r="49" spans="1:16" s="137" customFormat="1">
      <c r="A49" s="2883"/>
      <c r="B49" s="3628"/>
      <c r="C49" s="421"/>
      <c r="D49" s="61"/>
      <c r="E49" s="429"/>
      <c r="F49" s="1209"/>
      <c r="G49" s="446"/>
      <c r="H49" s="440"/>
      <c r="I49" s="446"/>
      <c r="J49" s="170"/>
      <c r="K49" s="1710"/>
      <c r="L49" s="51"/>
      <c r="M49" s="171"/>
      <c r="N49" s="1106"/>
      <c r="O49" s="434"/>
      <c r="P49" s="393"/>
    </row>
    <row r="50" spans="1:16" s="137" customFormat="1" ht="13.5" thickBot="1">
      <c r="A50" s="2883"/>
      <c r="B50" s="3628"/>
      <c r="C50" s="1164"/>
      <c r="D50" s="62"/>
      <c r="E50" s="1124"/>
      <c r="F50" s="1210"/>
      <c r="G50" s="1126"/>
      <c r="H50" s="1125"/>
      <c r="I50" s="1126"/>
      <c r="J50" s="1125"/>
      <c r="K50" s="1581"/>
      <c r="L50" s="439"/>
      <c r="M50" s="1198"/>
      <c r="N50" s="1106"/>
      <c r="O50" s="434"/>
      <c r="P50" s="393"/>
    </row>
    <row r="51" spans="1:16" s="137" customFormat="1" ht="13.5" thickBot="1">
      <c r="A51" s="2883"/>
      <c r="B51" s="3628"/>
      <c r="C51" s="154"/>
      <c r="D51" s="58" t="s">
        <v>68</v>
      </c>
      <c r="E51" s="429"/>
      <c r="F51" s="518"/>
      <c r="G51" s="399"/>
      <c r="H51" s="51"/>
      <c r="I51" s="399"/>
      <c r="J51" s="170"/>
      <c r="K51" s="441"/>
      <c r="L51" s="51"/>
      <c r="M51" s="441"/>
      <c r="N51" s="1106"/>
      <c r="O51" s="434"/>
      <c r="P51" s="393"/>
    </row>
    <row r="52" spans="1:16" s="137" customFormat="1">
      <c r="A52" s="2883"/>
      <c r="B52" s="3628"/>
      <c r="C52" s="407"/>
      <c r="D52" s="59" t="s">
        <v>69</v>
      </c>
      <c r="E52" s="429"/>
      <c r="F52" s="518"/>
      <c r="G52" s="399"/>
      <c r="H52" s="51"/>
      <c r="I52" s="399"/>
      <c r="J52" s="170"/>
      <c r="K52" s="441"/>
      <c r="L52" s="51"/>
      <c r="M52" s="441"/>
      <c r="N52" s="1106"/>
      <c r="O52" s="434"/>
      <c r="P52" s="393"/>
    </row>
    <row r="53" spans="1:16" s="137" customFormat="1">
      <c r="A53" s="2883"/>
      <c r="B53" s="3628"/>
      <c r="C53" s="156"/>
      <c r="D53" s="48"/>
      <c r="E53" s="398"/>
      <c r="F53" s="518"/>
      <c r="G53" s="399"/>
      <c r="H53" s="51"/>
      <c r="I53" s="399"/>
      <c r="J53" s="170"/>
      <c r="K53" s="171"/>
      <c r="L53" s="51"/>
      <c r="M53" s="171"/>
      <c r="N53" s="1106"/>
      <c r="O53" s="434"/>
      <c r="P53" s="393"/>
    </row>
    <row r="54" spans="1:16" s="137" customFormat="1">
      <c r="A54" s="2883"/>
      <c r="B54" s="3635" t="s">
        <v>1001</v>
      </c>
      <c r="C54" s="705">
        <v>1400001</v>
      </c>
      <c r="D54" s="48" t="s">
        <v>347</v>
      </c>
      <c r="E54" s="462">
        <f>VLOOKUP(C54,'פ.נ. Australia'!$D$113:$F$305,3,0)</f>
        <v>15525.25</v>
      </c>
      <c r="F54" s="518">
        <f>SUMIF('פ.נ. Australia'!C:C,C:C,'פ.נ. Australia'!E:E)</f>
        <v>0</v>
      </c>
      <c r="G54" s="399"/>
      <c r="H54" s="51"/>
      <c r="I54" s="399"/>
      <c r="J54" s="170">
        <f>SUM(E54:I54)</f>
        <v>15525.25</v>
      </c>
      <c r="K54" s="171">
        <f>M54+SUMIF('פ.נ. Australia'!C:C,'מאזן בוחן Australia'!C54,'פ.נ. Australia'!F:F)</f>
        <v>11553.08</v>
      </c>
      <c r="L54" s="52"/>
      <c r="M54" s="171">
        <f>IFERROR(VLOOKUP(C54,'פ.נ. Australia'!$D$113:$G$305,4,0),"")</f>
        <v>11553.08</v>
      </c>
      <c r="N54" s="1106">
        <f>IF(K54=0,"-",J54/K54)</f>
        <v>1.3438191374075139</v>
      </c>
      <c r="O54" s="434"/>
      <c r="P54" s="4489" t="s">
        <v>1494</v>
      </c>
    </row>
    <row r="55" spans="1:16" s="137" customFormat="1">
      <c r="A55" s="2883"/>
      <c r="B55" s="3635"/>
      <c r="C55" s="2399"/>
      <c r="D55" s="746" t="s">
        <v>70</v>
      </c>
      <c r="E55" s="88">
        <f t="shared" ref="E55:M55" si="10">SUM(E53:E54)</f>
        <v>15525.25</v>
      </c>
      <c r="F55" s="632">
        <f t="shared" si="10"/>
        <v>0</v>
      </c>
      <c r="G55" s="1211">
        <f t="shared" si="10"/>
        <v>0</v>
      </c>
      <c r="H55" s="632">
        <f t="shared" si="10"/>
        <v>0</v>
      </c>
      <c r="I55" s="1211">
        <f t="shared" si="10"/>
        <v>0</v>
      </c>
      <c r="J55" s="94">
        <f t="shared" si="10"/>
        <v>15525.25</v>
      </c>
      <c r="K55" s="96">
        <f t="shared" si="10"/>
        <v>11553.08</v>
      </c>
      <c r="L55" s="52"/>
      <c r="M55" s="96">
        <f t="shared" si="10"/>
        <v>11553.08</v>
      </c>
      <c r="N55" s="1106">
        <f>IF(K55=0,"-",J55/K55)</f>
        <v>1.3438191374075139</v>
      </c>
      <c r="O55" s="434"/>
      <c r="P55" s="4489"/>
    </row>
    <row r="56" spans="1:16" s="137" customFormat="1">
      <c r="A56" s="2883"/>
      <c r="B56" s="3631"/>
      <c r="C56" s="407"/>
      <c r="D56" s="59" t="s">
        <v>71</v>
      </c>
      <c r="E56" s="398"/>
      <c r="F56" s="518"/>
      <c r="G56" s="517"/>
      <c r="H56" s="518"/>
      <c r="I56" s="1212"/>
      <c r="J56" s="52"/>
      <c r="K56" s="441"/>
      <c r="L56" s="52"/>
      <c r="M56" s="441"/>
      <c r="N56" s="1106"/>
      <c r="O56" s="434"/>
      <c r="P56" s="4489"/>
    </row>
    <row r="57" spans="1:16" s="137" customFormat="1" ht="12.95" customHeight="1">
      <c r="A57" s="2883"/>
      <c r="B57" s="3635"/>
      <c r="C57" s="1160"/>
      <c r="D57" s="48"/>
      <c r="E57" s="398"/>
      <c r="F57" s="518"/>
      <c r="G57" s="517"/>
      <c r="H57" s="518"/>
      <c r="I57" s="1212"/>
      <c r="J57" s="170"/>
      <c r="K57" s="171"/>
      <c r="L57" s="52"/>
      <c r="M57" s="171"/>
      <c r="N57" s="1106"/>
      <c r="O57" s="434"/>
      <c r="P57" s="4489"/>
    </row>
    <row r="58" spans="1:16" s="137" customFormat="1" ht="12.95" customHeight="1">
      <c r="A58" s="2883"/>
      <c r="B58" s="3635" t="s">
        <v>1007</v>
      </c>
      <c r="C58" s="585">
        <v>1490001</v>
      </c>
      <c r="D58" s="45" t="s">
        <v>3215</v>
      </c>
      <c r="E58" s="462">
        <f>VLOOKUP(C58,'פ.נ. Australia'!$D$113:$F$305,3,0)</f>
        <v>-3832</v>
      </c>
      <c r="F58" s="141">
        <f>SUMIF('פ.נ. Australia'!C:C,C:C,'פ.נ. Australia'!E:E)</f>
        <v>0</v>
      </c>
      <c r="G58" s="1213"/>
      <c r="H58" s="976"/>
      <c r="I58" s="1213"/>
      <c r="J58" s="170">
        <f>SUM(E58:I58)</f>
        <v>-3832</v>
      </c>
      <c r="K58" s="171">
        <f>M58+SUMIF('פ.נ. Australia'!C:C,'מאזן בוחן Australia'!C58,'פ.נ. Australia'!F:F)</f>
        <v>-2813</v>
      </c>
      <c r="L58" s="52"/>
      <c r="M58" s="171">
        <f>IFERROR(VLOOKUP(C58,'פ.נ. Australia'!$D$113:$G$305,4,0),"")</f>
        <v>-2813</v>
      </c>
      <c r="N58" s="1104">
        <f>IF(K58=0,"-",J58/K58)</f>
        <v>1.3622467116956984</v>
      </c>
      <c r="O58" s="449"/>
      <c r="P58" s="4489"/>
    </row>
    <row r="59" spans="1:16" s="137" customFormat="1">
      <c r="A59" s="2883"/>
      <c r="B59" s="3635"/>
      <c r="C59" s="2399"/>
      <c r="D59" s="746" t="s">
        <v>72</v>
      </c>
      <c r="E59" s="94">
        <f t="shared" ref="E59:M59" si="11">SUM(E57:E58)</f>
        <v>-3832</v>
      </c>
      <c r="F59" s="632">
        <f t="shared" si="11"/>
        <v>0</v>
      </c>
      <c r="G59" s="1211">
        <f t="shared" si="11"/>
        <v>0</v>
      </c>
      <c r="H59" s="632">
        <f t="shared" si="11"/>
        <v>0</v>
      </c>
      <c r="I59" s="1211">
        <f t="shared" si="11"/>
        <v>0</v>
      </c>
      <c r="J59" s="94">
        <f t="shared" si="11"/>
        <v>-3832</v>
      </c>
      <c r="K59" s="96">
        <f t="shared" si="11"/>
        <v>-2813</v>
      </c>
      <c r="L59" s="52"/>
      <c r="M59" s="96">
        <f t="shared" si="11"/>
        <v>-2813</v>
      </c>
      <c r="N59" s="1106"/>
      <c r="O59" s="434"/>
      <c r="P59" s="4489"/>
    </row>
    <row r="60" spans="1:16" s="137" customFormat="1" ht="13.5" customHeight="1" thickBot="1">
      <c r="A60" s="2883"/>
      <c r="B60" s="3635"/>
      <c r="C60" s="407"/>
      <c r="D60" s="63"/>
      <c r="E60" s="429"/>
      <c r="F60" s="518"/>
      <c r="G60" s="517"/>
      <c r="H60" s="518"/>
      <c r="I60" s="517"/>
      <c r="J60" s="170"/>
      <c r="K60" s="441"/>
      <c r="L60" s="51"/>
      <c r="M60" s="79"/>
      <c r="N60" s="1106"/>
      <c r="O60" s="434"/>
      <c r="P60" s="4489"/>
    </row>
    <row r="61" spans="1:16" s="137" customFormat="1" ht="13.5" thickBot="1">
      <c r="A61" s="2883"/>
      <c r="B61" s="3629"/>
      <c r="C61" s="1932"/>
      <c r="D61" s="746" t="s">
        <v>73</v>
      </c>
      <c r="E61" s="447">
        <f t="shared" ref="E61:M61" si="12">E55+E59</f>
        <v>11693.25</v>
      </c>
      <c r="F61" s="1206">
        <f t="shared" si="12"/>
        <v>0</v>
      </c>
      <c r="G61" s="447">
        <f t="shared" si="12"/>
        <v>0</v>
      </c>
      <c r="H61" s="447">
        <f t="shared" si="12"/>
        <v>0</v>
      </c>
      <c r="I61" s="447">
        <f t="shared" si="12"/>
        <v>0</v>
      </c>
      <c r="J61" s="1175">
        <f t="shared" si="12"/>
        <v>11693.25</v>
      </c>
      <c r="K61" s="1175">
        <f t="shared" si="12"/>
        <v>8740.08</v>
      </c>
      <c r="L61" s="956">
        <f>J61+K61-FA!H52-FA!H61</f>
        <v>-4.9199999999982538</v>
      </c>
      <c r="M61" s="1175">
        <f t="shared" si="12"/>
        <v>8740.08</v>
      </c>
      <c r="N61" s="1106"/>
      <c r="O61" s="434"/>
      <c r="P61" s="4489"/>
    </row>
    <row r="62" spans="1:16" s="137" customFormat="1" ht="13.5" thickBot="1">
      <c r="A62" s="2883"/>
      <c r="B62" s="3629"/>
      <c r="C62" s="407"/>
      <c r="D62" s="64"/>
      <c r="E62" s="1112"/>
      <c r="F62" s="596"/>
      <c r="G62" s="595"/>
      <c r="H62" s="518"/>
      <c r="I62" s="517"/>
      <c r="J62" s="1113"/>
      <c r="K62" s="171"/>
      <c r="L62" s="51"/>
      <c r="M62" s="78"/>
      <c r="N62" s="1106"/>
      <c r="O62" s="434"/>
      <c r="P62" s="393"/>
    </row>
    <row r="63" spans="1:16" s="137" customFormat="1" ht="13.5" thickBot="1">
      <c r="A63" s="2883"/>
      <c r="B63" s="3635"/>
      <c r="C63" s="407"/>
      <c r="D63" s="56" t="s">
        <v>38</v>
      </c>
      <c r="E63" s="429"/>
      <c r="F63" s="518"/>
      <c r="G63" s="517"/>
      <c r="H63" s="518"/>
      <c r="I63" s="517"/>
      <c r="J63" s="170"/>
      <c r="K63" s="171"/>
      <c r="L63" s="51"/>
      <c r="M63" s="171"/>
      <c r="N63" s="1106"/>
      <c r="O63" s="434"/>
      <c r="P63" s="432"/>
    </row>
    <row r="64" spans="1:16" s="137" customFormat="1" ht="13.5" thickBot="1">
      <c r="A64" s="2883"/>
      <c r="B64" s="3635" t="s">
        <v>1016</v>
      </c>
      <c r="C64" s="547">
        <v>1610005</v>
      </c>
      <c r="D64" s="461" t="s">
        <v>1887</v>
      </c>
      <c r="E64" s="1152">
        <f>IFERROR(VLOOKUP(C64,'פ.נ. Australia'!$D$113:$F$305,3,0),0)</f>
        <v>165439.37</v>
      </c>
      <c r="F64" s="141">
        <f>SUMIF('פ.נ. Australia'!C:C,C:C,'פ.נ. Australia'!E:E)</f>
        <v>5.9072627051501118E-3</v>
      </c>
      <c r="G64" s="1213"/>
      <c r="H64" s="976"/>
      <c r="I64" s="1213"/>
      <c r="J64" s="170">
        <f>SUM(E64:I64)</f>
        <v>165439.3759072627</v>
      </c>
      <c r="K64" s="171">
        <f>M64+SUMIF('פ.נ. Australia'!C:C,'מאזן בוחן Australia'!C64,'פ.נ. Australia'!F:F)</f>
        <v>121809.95429235764</v>
      </c>
      <c r="L64" s="956">
        <f>-SUM('606-Prepaid Comm&amp;DR SUB'!$D$58)+'מאזן בוחן Australia'!K64</f>
        <v>0</v>
      </c>
      <c r="M64" s="171">
        <f>IFERROR(VLOOKUP(C64,'פ.נ. Australia'!$D$113:$G$305,4,0),"")</f>
        <v>121809.95</v>
      </c>
      <c r="N64" s="1104">
        <f>IF(K64=0,"-",J64/K64)</f>
        <v>1.3581761594802797</v>
      </c>
      <c r="O64" s="449"/>
      <c r="P64" s="432"/>
    </row>
    <row r="65" spans="1:16" s="137" customFormat="1">
      <c r="A65" s="2883"/>
      <c r="B65" s="3635" t="s">
        <v>1016</v>
      </c>
      <c r="C65" s="547">
        <v>1610097</v>
      </c>
      <c r="D65" s="2396" t="s">
        <v>1919</v>
      </c>
      <c r="E65" s="1152">
        <f>IFERROR(VLOOKUP(C65,'פ.נ. Australia'!$D$113:$F$305,3,0),0)</f>
        <v>3189436.01</v>
      </c>
      <c r="F65" s="204">
        <f>SUMIF('פ.נ. Australia'!C:C,C:C,'פ.נ. Australia'!E:E)</f>
        <v>0</v>
      </c>
      <c r="G65" s="1213"/>
      <c r="H65" s="976"/>
      <c r="I65" s="1213"/>
      <c r="J65" s="170">
        <f>SUM(E65:I65)</f>
        <v>3189436.01</v>
      </c>
      <c r="K65" s="171">
        <f>M65+SUMIF('פ.נ. Australia'!C:C,'מאזן בוחן Australia'!C65,'פ.נ. Australia'!F:F)</f>
        <v>2381676.12</v>
      </c>
      <c r="L65" s="52"/>
      <c r="M65" s="171">
        <f>IFERROR(VLOOKUP(C65,'פ.נ. Australia'!$D$113:$G$305,4,0),"")</f>
        <v>2381676.12</v>
      </c>
      <c r="N65" s="1104">
        <f>IF(K65=0,"-",J65/K65)</f>
        <v>1.3391560603966586</v>
      </c>
      <c r="O65" s="449"/>
      <c r="P65" s="432"/>
    </row>
    <row r="66" spans="1:16" s="137" customFormat="1">
      <c r="A66" s="2883"/>
      <c r="B66" s="3635"/>
      <c r="C66" s="705"/>
      <c r="D66" s="405"/>
      <c r="E66" s="398"/>
      <c r="F66" s="1205"/>
      <c r="G66" s="1214"/>
      <c r="H66" s="1208"/>
      <c r="I66" s="1214"/>
      <c r="J66" s="170"/>
      <c r="K66" s="171"/>
      <c r="L66" s="439"/>
      <c r="M66" s="474"/>
      <c r="N66" s="1104"/>
      <c r="O66" s="449"/>
      <c r="P66" s="432"/>
    </row>
    <row r="67" spans="1:16" s="137" customFormat="1">
      <c r="A67" s="2883"/>
      <c r="B67" s="3635"/>
      <c r="C67" s="1932"/>
      <c r="D67" s="746" t="s">
        <v>74</v>
      </c>
      <c r="E67" s="447">
        <f t="shared" ref="E67:K67" si="13">SUM(E64:E66)</f>
        <v>3354875.38</v>
      </c>
      <c r="F67" s="1206">
        <f t="shared" si="13"/>
        <v>5.9072627051501118E-3</v>
      </c>
      <c r="G67" s="447">
        <f t="shared" si="13"/>
        <v>0</v>
      </c>
      <c r="H67" s="447">
        <f t="shared" si="13"/>
        <v>0</v>
      </c>
      <c r="I67" s="447">
        <f t="shared" si="13"/>
        <v>0</v>
      </c>
      <c r="J67" s="1175">
        <f t="shared" si="13"/>
        <v>3354875.3859072626</v>
      </c>
      <c r="K67" s="1175">
        <f t="shared" si="13"/>
        <v>2503486.0742923575</v>
      </c>
      <c r="L67" s="336"/>
      <c r="M67" s="1175">
        <f>SUM(M64:M66)</f>
        <v>2503486.0700000003</v>
      </c>
      <c r="N67" s="1106"/>
      <c r="O67" s="434"/>
      <c r="P67" s="393"/>
    </row>
    <row r="68" spans="1:16" s="137" customFormat="1">
      <c r="A68" s="2883"/>
      <c r="B68" s="3635"/>
      <c r="C68" s="407"/>
      <c r="D68" s="61"/>
      <c r="E68" s="398"/>
      <c r="F68" s="518"/>
      <c r="G68" s="517"/>
      <c r="H68" s="518"/>
      <c r="I68" s="517"/>
      <c r="J68" s="52"/>
      <c r="K68" s="441"/>
      <c r="L68" s="399"/>
      <c r="M68" s="441"/>
      <c r="N68" s="1106"/>
      <c r="O68" s="434"/>
      <c r="P68" s="393"/>
    </row>
    <row r="69" spans="1:16" s="137" customFormat="1">
      <c r="A69" s="2883"/>
      <c r="B69" s="3635"/>
      <c r="C69" s="2399"/>
      <c r="D69" s="2397" t="s">
        <v>75</v>
      </c>
      <c r="E69" s="1933">
        <f t="shared" ref="E69:K69" si="14">+E61+E48+E16+E67</f>
        <v>6753172.2699999996</v>
      </c>
      <c r="F69" s="1210">
        <f t="shared" si="14"/>
        <v>0</v>
      </c>
      <c r="G69" s="1590">
        <f t="shared" si="14"/>
        <v>0</v>
      </c>
      <c r="H69" s="1210">
        <f t="shared" si="14"/>
        <v>0</v>
      </c>
      <c r="I69" s="1590">
        <f t="shared" si="14"/>
        <v>0</v>
      </c>
      <c r="J69" s="1125">
        <f t="shared" si="14"/>
        <v>6753172.2699999996</v>
      </c>
      <c r="K69" s="1198">
        <f t="shared" si="14"/>
        <v>5056732.93</v>
      </c>
      <c r="L69" s="439"/>
      <c r="M69" s="1198">
        <f>+M61+M48+M16+M67</f>
        <v>5056732.93</v>
      </c>
      <c r="N69" s="1106"/>
      <c r="O69" s="434"/>
      <c r="P69" s="393"/>
    </row>
    <row r="70" spans="1:16" s="137" customFormat="1" ht="13.5" thickBot="1">
      <c r="A70" s="2883"/>
      <c r="B70" s="3635"/>
      <c r="C70" s="154"/>
      <c r="D70" s="2398"/>
      <c r="E70" s="1201"/>
      <c r="F70" s="518"/>
      <c r="G70" s="517"/>
      <c r="H70" s="518"/>
      <c r="I70" s="517"/>
      <c r="J70" s="170"/>
      <c r="K70" s="171"/>
      <c r="L70" s="399"/>
      <c r="M70" s="474"/>
      <c r="N70" s="1106"/>
      <c r="O70" s="434"/>
      <c r="P70" s="393"/>
    </row>
    <row r="71" spans="1:16" s="137" customFormat="1" ht="13.5" thickBot="1">
      <c r="A71" s="2883"/>
      <c r="B71" s="3635"/>
      <c r="C71" s="1165"/>
      <c r="D71" s="58" t="s">
        <v>8</v>
      </c>
      <c r="E71" s="429"/>
      <c r="F71" s="518"/>
      <c r="G71" s="517"/>
      <c r="H71" s="518"/>
      <c r="I71" s="517"/>
      <c r="J71" s="170"/>
      <c r="K71" s="468"/>
      <c r="L71" s="399"/>
      <c r="M71" s="1200"/>
      <c r="N71" s="1106"/>
      <c r="O71" s="434"/>
      <c r="P71" s="393"/>
    </row>
    <row r="72" spans="1:16" s="137" customFormat="1">
      <c r="A72" s="2883"/>
      <c r="B72" s="3628"/>
      <c r="C72" s="407"/>
      <c r="D72" s="59" t="s">
        <v>11</v>
      </c>
      <c r="E72" s="429"/>
      <c r="F72" s="518"/>
      <c r="G72" s="517"/>
      <c r="H72" s="518"/>
      <c r="I72" s="517"/>
      <c r="J72" s="170"/>
      <c r="K72" s="468"/>
      <c r="L72" s="399"/>
      <c r="M72" s="1200"/>
      <c r="N72" s="1106"/>
      <c r="O72" s="434"/>
      <c r="P72" s="393"/>
    </row>
    <row r="73" spans="1:16" s="137" customFormat="1">
      <c r="A73" s="2883"/>
      <c r="B73" s="3628"/>
      <c r="C73" s="421"/>
      <c r="D73" s="61"/>
      <c r="E73" s="429"/>
      <c r="F73" s="518"/>
      <c r="G73" s="517"/>
      <c r="H73" s="518"/>
      <c r="I73" s="517"/>
      <c r="J73" s="170"/>
      <c r="K73" s="171"/>
      <c r="L73" s="399"/>
      <c r="M73" s="474"/>
      <c r="N73" s="1106"/>
      <c r="O73" s="434"/>
      <c r="P73" s="393"/>
    </row>
    <row r="74" spans="1:16" s="137" customFormat="1">
      <c r="A74" s="2883"/>
      <c r="B74" s="3628"/>
      <c r="C74" s="1161"/>
      <c r="D74" s="57" t="s">
        <v>76</v>
      </c>
      <c r="E74" s="1111">
        <f t="shared" ref="E74:M74" si="15">SUM(E73:E73)</f>
        <v>0</v>
      </c>
      <c r="F74" s="3542">
        <f t="shared" si="15"/>
        <v>0</v>
      </c>
      <c r="G74" s="3543">
        <f t="shared" si="15"/>
        <v>0</v>
      </c>
      <c r="H74" s="3542">
        <f t="shared" si="15"/>
        <v>0</v>
      </c>
      <c r="I74" s="3543">
        <f t="shared" si="15"/>
        <v>0</v>
      </c>
      <c r="J74" s="3544">
        <f t="shared" si="15"/>
        <v>0</v>
      </c>
      <c r="K74" s="3545">
        <f t="shared" si="15"/>
        <v>0</v>
      </c>
      <c r="L74" s="399"/>
      <c r="M74" s="3546">
        <f t="shared" si="15"/>
        <v>0</v>
      </c>
      <c r="N74" s="1106"/>
      <c r="O74" s="434"/>
      <c r="P74" s="393"/>
    </row>
    <row r="75" spans="1:16" s="137" customFormat="1" ht="13.5" thickBot="1">
      <c r="A75" s="2883"/>
      <c r="B75" s="3628"/>
      <c r="C75" s="407"/>
      <c r="D75" s="61"/>
      <c r="E75" s="3533"/>
      <c r="F75" s="3547"/>
      <c r="G75" s="3548"/>
      <c r="H75" s="1320"/>
      <c r="I75" s="3548"/>
      <c r="J75" s="1317"/>
      <c r="K75" s="1580"/>
      <c r="L75" s="1311"/>
      <c r="M75" s="2732"/>
      <c r="N75" s="3549"/>
      <c r="O75" s="3550"/>
      <c r="P75" s="3551"/>
    </row>
    <row r="76" spans="1:16" s="137" customFormat="1" ht="13.5" thickBot="1">
      <c r="A76" s="2883"/>
      <c r="B76" s="3628"/>
      <c r="C76" s="154"/>
      <c r="D76" s="58" t="s">
        <v>184</v>
      </c>
      <c r="E76" s="3534"/>
      <c r="F76" s="3552"/>
      <c r="G76" s="517"/>
      <c r="H76" s="518"/>
      <c r="I76" s="517"/>
      <c r="J76" s="170"/>
      <c r="K76" s="171"/>
      <c r="L76" s="51"/>
      <c r="M76" s="171"/>
      <c r="N76" s="1134"/>
      <c r="O76" s="472"/>
      <c r="P76" s="393"/>
    </row>
    <row r="77" spans="1:16" s="137" customFormat="1">
      <c r="A77" s="2883"/>
      <c r="B77" s="3628"/>
      <c r="C77" s="156"/>
      <c r="D77" s="45"/>
      <c r="E77" s="3533"/>
      <c r="F77" s="3552"/>
      <c r="G77" s="1213"/>
      <c r="H77" s="976"/>
      <c r="I77" s="1213"/>
      <c r="J77" s="170"/>
      <c r="K77" s="171"/>
      <c r="L77" s="51"/>
      <c r="M77" s="171"/>
      <c r="N77" s="1134"/>
      <c r="O77" s="472"/>
      <c r="P77" s="393"/>
    </row>
    <row r="78" spans="1:16" s="137" customFormat="1">
      <c r="A78" s="2883"/>
      <c r="B78" s="3628" t="s">
        <v>1036</v>
      </c>
      <c r="C78" s="585">
        <v>2140030</v>
      </c>
      <c r="D78" s="203" t="s">
        <v>2016</v>
      </c>
      <c r="E78" s="1340">
        <f>IFERROR(VLOOKUP(C78,'פ.נ. Australia'!$D$113:$F$234,3,0),0)</f>
        <v>0</v>
      </c>
      <c r="F78" s="3553">
        <f>SUMIF('פ.נ. Australia'!C:C,C:C,'פ.נ. Australia'!E:E)</f>
        <v>0</v>
      </c>
      <c r="G78" s="1641"/>
      <c r="H78" s="1641"/>
      <c r="I78" s="1641"/>
      <c r="J78" s="1641">
        <f t="shared" ref="J78:J84" si="16">SUM(E78:I78)</f>
        <v>0</v>
      </c>
      <c r="K78" s="1641">
        <f>M78+SUMIF('פ.נ. Australia'!C:C,'מאזן בוחן Australia'!C78,'פ.נ. Australia'!F:F)</f>
        <v>0</v>
      </c>
      <c r="L78" s="1325"/>
      <c r="M78" s="1641">
        <f>IFERROR(VLOOKUP(C78,'פ.נ. Australia'!$D$113:$G$305,4,0),0)</f>
        <v>0</v>
      </c>
      <c r="N78" s="1134" t="str">
        <f t="shared" ref="N78:N84" si="17">IF(K78=0,"-",J78/K78)</f>
        <v>-</v>
      </c>
      <c r="O78" s="472"/>
      <c r="P78" s="393"/>
    </row>
    <row r="79" spans="1:16" s="137" customFormat="1">
      <c r="A79" s="2883"/>
      <c r="B79" s="3628" t="s">
        <v>1036</v>
      </c>
      <c r="C79" s="585">
        <v>2140027</v>
      </c>
      <c r="D79" s="203" t="s">
        <v>4575</v>
      </c>
      <c r="E79" s="1340">
        <f>IFERROR(VLOOKUP(C79,'פ.נ. Australia'!$D$113:$F$234,3,0),0)</f>
        <v>-5500</v>
      </c>
      <c r="F79" s="3553">
        <f>SUMIF('פ.נ. Australia'!C:C,C:C,'פ.נ. Australia'!E:E)</f>
        <v>0</v>
      </c>
      <c r="G79" s="1641"/>
      <c r="H79" s="1641"/>
      <c r="I79" s="1641"/>
      <c r="J79" s="1641">
        <f t="shared" ref="J79" si="18">SUM(E79:I79)</f>
        <v>-5500</v>
      </c>
      <c r="K79" s="1641">
        <f>M79+SUMIF('פ.נ. Australia'!C:C,'מאזן בוחן Australia'!C79,'פ.נ. Australia'!F:F)</f>
        <v>-3996.43</v>
      </c>
      <c r="L79" s="1325"/>
      <c r="M79" s="1641">
        <f>IFERROR(VLOOKUP(C79,'פ.נ. Australia'!$D$113:$G$305,4,0),0)</f>
        <v>-3996.43</v>
      </c>
      <c r="N79" s="1134">
        <f t="shared" ref="N79" si="19">IF(K79=0,"-",J79/K79)</f>
        <v>1.3762282837432409</v>
      </c>
      <c r="O79" s="472"/>
      <c r="P79" s="393"/>
    </row>
    <row r="80" spans="1:16" s="137" customFormat="1">
      <c r="A80" s="2883"/>
      <c r="B80" s="3628" t="s">
        <v>1036</v>
      </c>
      <c r="C80" s="585">
        <v>2140017</v>
      </c>
      <c r="D80" s="203" t="s">
        <v>3995</v>
      </c>
      <c r="E80" s="1340">
        <f>IFERROR(VLOOKUP(C80,'פ.נ. Australia'!$D$113:$F$234,3,0),0)</f>
        <v>0</v>
      </c>
      <c r="F80" s="3553">
        <f>SUMIF('פ.נ. Australia'!C:C,C:C,'פ.נ. Australia'!E:E)</f>
        <v>0</v>
      </c>
      <c r="G80" s="1641"/>
      <c r="H80" s="1641"/>
      <c r="I80" s="1641"/>
      <c r="J80" s="1641">
        <f t="shared" si="16"/>
        <v>0</v>
      </c>
      <c r="K80" s="1641">
        <f>M80+SUMIF('פ.נ. Australia'!C:C,'מאזן בוחן Australia'!C80,'פ.נ. Australia'!F:F)</f>
        <v>0</v>
      </c>
      <c r="L80" s="1325"/>
      <c r="M80" s="1641">
        <f>IFERROR(VLOOKUP(C80,'פ.נ. Australia'!$D$113:$G$305,4,0),0)</f>
        <v>0</v>
      </c>
      <c r="N80" s="1134" t="str">
        <f t="shared" si="17"/>
        <v>-</v>
      </c>
      <c r="O80" s="472"/>
      <c r="P80" s="393"/>
    </row>
    <row r="81" spans="1:44" s="137" customFormat="1">
      <c r="A81" s="2883"/>
      <c r="B81" s="3628" t="s">
        <v>1036</v>
      </c>
      <c r="C81" s="585">
        <v>2140037</v>
      </c>
      <c r="D81" s="203" t="s">
        <v>3724</v>
      </c>
      <c r="E81" s="1340">
        <f>IFERROR(VLOOKUP(C81,'פ.נ. Australia'!$D$113:$F$234,3,0),0)</f>
        <v>-12407.17</v>
      </c>
      <c r="F81" s="3553">
        <f>SUMIF('פ.נ. Australia'!C:C,C:C,'פ.נ. Australia'!E:E)</f>
        <v>0</v>
      </c>
      <c r="G81" s="1641"/>
      <c r="H81" s="1641"/>
      <c r="I81" s="1641"/>
      <c r="J81" s="1641">
        <f t="shared" si="16"/>
        <v>-12407.17</v>
      </c>
      <c r="K81" s="1641">
        <f>M81+SUMIF('פ.נ. Australia'!C:C,'מאזן בוחן Australia'!C81,'פ.נ. Australia'!F:F)</f>
        <v>-9015.34</v>
      </c>
      <c r="L81" s="1325"/>
      <c r="M81" s="1641">
        <f>IFERROR(VLOOKUP(C81,'פ.נ. Australia'!$D$113:$G$305,4,0),0)</f>
        <v>-9015.34</v>
      </c>
      <c r="N81" s="1134">
        <f t="shared" si="17"/>
        <v>1.376228739015944</v>
      </c>
      <c r="O81" s="472"/>
      <c r="P81" s="393"/>
    </row>
    <row r="82" spans="1:44" s="137" customFormat="1">
      <c r="A82" s="2883"/>
      <c r="B82" s="3628" t="s">
        <v>1036</v>
      </c>
      <c r="C82" s="585">
        <v>2140038</v>
      </c>
      <c r="D82" s="203" t="s">
        <v>3725</v>
      </c>
      <c r="E82" s="1340">
        <f>IFERROR(VLOOKUP(C82,'פ.נ. Australia'!$D$113:$F$234,3,0),0)</f>
        <v>0</v>
      </c>
      <c r="F82" s="3553">
        <f>SUMIF('פ.נ. Australia'!C:C,C:C,'פ.נ. Australia'!E:E)</f>
        <v>0</v>
      </c>
      <c r="G82" s="1641"/>
      <c r="H82" s="1641"/>
      <c r="I82" s="1641"/>
      <c r="J82" s="1641">
        <f t="shared" si="16"/>
        <v>0</v>
      </c>
      <c r="K82" s="1641">
        <f>M82+SUMIF('פ.נ. Australia'!C:C,'מאזן בוחן Australia'!C82,'פ.נ. Australia'!F:F)</f>
        <v>0</v>
      </c>
      <c r="L82" s="1325"/>
      <c r="M82" s="1641">
        <f>IFERROR(VLOOKUP(C82,'פ.נ. Australia'!$D$113:$G$305,4,0),0)</f>
        <v>0</v>
      </c>
      <c r="N82" s="1134" t="str">
        <f t="shared" si="17"/>
        <v>-</v>
      </c>
      <c r="O82" s="472"/>
      <c r="P82" s="393"/>
    </row>
    <row r="83" spans="1:44" s="137" customFormat="1">
      <c r="A83" s="2883"/>
      <c r="B83" s="3628" t="s">
        <v>1036</v>
      </c>
      <c r="C83" s="585">
        <v>2110002</v>
      </c>
      <c r="D83" s="203" t="s">
        <v>2546</v>
      </c>
      <c r="E83" s="1340">
        <f>IFERROR(VLOOKUP(C83,'פ.נ. Australia'!$D$113:$F$234,3,0),0)</f>
        <v>0</v>
      </c>
      <c r="F83" s="3553">
        <f>SUMIF('פ.נ. Australia'!C:C,C:C,'פ.נ. Australia'!E:E)</f>
        <v>0</v>
      </c>
      <c r="G83" s="1641"/>
      <c r="H83" s="1641"/>
      <c r="I83" s="1641"/>
      <c r="J83" s="1641">
        <f t="shared" si="16"/>
        <v>0</v>
      </c>
      <c r="K83" s="1641">
        <f>M83+SUMIF('פ.נ. Australia'!C:C,'מאזן בוחן Australia'!C83,'פ.נ. Australia'!F:F)</f>
        <v>0</v>
      </c>
      <c r="L83" s="1325"/>
      <c r="M83" s="1641">
        <f>IFERROR(VLOOKUP(C83,'פ.נ. Australia'!$D$113:$G$305,4,0),0)</f>
        <v>0</v>
      </c>
      <c r="N83" s="1134" t="str">
        <f t="shared" si="17"/>
        <v>-</v>
      </c>
      <c r="O83" s="472"/>
      <c r="P83" s="393"/>
    </row>
    <row r="84" spans="1:44" s="137" customFormat="1">
      <c r="A84" s="2883"/>
      <c r="B84" s="3628" t="s">
        <v>1036</v>
      </c>
      <c r="C84" s="585">
        <v>2140033</v>
      </c>
      <c r="D84" s="203" t="s">
        <v>2017</v>
      </c>
      <c r="E84" s="170">
        <f>IFERROR(VLOOKUP(C84,'פ.נ. Australia'!$D$113:$F$234,3,0),0)</f>
        <v>0</v>
      </c>
      <c r="F84" s="517">
        <f>SUMIF('פ.נ. Australia'!C:C,C:C,'פ.נ. Australia'!E:E)</f>
        <v>0</v>
      </c>
      <c r="G84" s="1918"/>
      <c r="H84" s="1918"/>
      <c r="I84" s="1918"/>
      <c r="J84" s="474">
        <f t="shared" si="16"/>
        <v>0</v>
      </c>
      <c r="K84" s="1641">
        <f>M84+SUMIF('פ.נ. Australia'!C:C,'מאזן בוחן Australia'!C84,'פ.נ. Australia'!F:F)</f>
        <v>0</v>
      </c>
      <c r="L84" s="49"/>
      <c r="M84" s="474">
        <f>IFERROR(VLOOKUP(C84,'פ.נ. Australia'!$D$113:$G$305,4,0),0)</f>
        <v>0</v>
      </c>
      <c r="N84" s="1134" t="str">
        <f t="shared" si="17"/>
        <v>-</v>
      </c>
      <c r="O84" s="472"/>
      <c r="P84" s="393"/>
    </row>
    <row r="85" spans="1:44" s="137" customFormat="1">
      <c r="A85" s="2883"/>
      <c r="B85" s="3635"/>
      <c r="C85" s="1160"/>
      <c r="D85" s="66"/>
      <c r="E85" s="3533"/>
      <c r="F85" s="3552"/>
      <c r="G85" s="517"/>
      <c r="H85" s="518"/>
      <c r="I85" s="517"/>
      <c r="J85" s="474"/>
      <c r="K85" s="474"/>
      <c r="L85" s="51"/>
      <c r="M85" s="171"/>
      <c r="N85" s="1134"/>
      <c r="O85" s="472"/>
      <c r="P85" s="393"/>
    </row>
    <row r="86" spans="1:44" s="137" customFormat="1">
      <c r="A86" s="2883"/>
      <c r="B86" s="3635"/>
      <c r="C86" s="1932"/>
      <c r="D86" s="746" t="s">
        <v>159</v>
      </c>
      <c r="E86" s="3535">
        <f t="shared" ref="E86:K86" si="20">SUM(E78:E85)</f>
        <v>-17907.169999999998</v>
      </c>
      <c r="F86" s="3554">
        <f t="shared" si="20"/>
        <v>0</v>
      </c>
      <c r="G86" s="3554">
        <f t="shared" si="20"/>
        <v>0</v>
      </c>
      <c r="H86" s="3554">
        <f t="shared" si="20"/>
        <v>0</v>
      </c>
      <c r="I86" s="3554">
        <f t="shared" si="20"/>
        <v>0</v>
      </c>
      <c r="J86" s="3554">
        <f t="shared" si="20"/>
        <v>-17907.169999999998</v>
      </c>
      <c r="K86" s="3554">
        <f t="shared" si="20"/>
        <v>-13011.77</v>
      </c>
      <c r="L86" s="3555"/>
      <c r="M86" s="3554">
        <f>SUM(M78:M85)</f>
        <v>-13011.77</v>
      </c>
      <c r="N86" s="1134"/>
      <c r="O86" s="472"/>
      <c r="P86" s="393"/>
    </row>
    <row r="87" spans="1:44" s="137" customFormat="1">
      <c r="A87" s="2883"/>
      <c r="B87" s="3631"/>
      <c r="C87" s="154"/>
      <c r="D87" s="59" t="s">
        <v>66</v>
      </c>
      <c r="E87" s="3534"/>
      <c r="F87" s="460"/>
      <c r="G87" s="399"/>
      <c r="H87" s="51"/>
      <c r="I87" s="399"/>
      <c r="J87" s="440"/>
      <c r="K87" s="446"/>
      <c r="L87" s="51"/>
      <c r="M87" s="446"/>
      <c r="N87" s="1134"/>
      <c r="O87" s="472"/>
      <c r="P87" s="393"/>
    </row>
    <row r="88" spans="1:44" s="137" customFormat="1">
      <c r="A88" s="2883"/>
      <c r="B88" s="3635"/>
      <c r="C88" s="1239"/>
      <c r="D88" s="203"/>
      <c r="E88" s="204"/>
      <c r="F88" s="1396"/>
      <c r="G88" s="399"/>
      <c r="H88" s="51"/>
      <c r="I88" s="453"/>
      <c r="J88" s="170"/>
      <c r="K88" s="171"/>
      <c r="L88" s="51"/>
      <c r="M88" s="171"/>
      <c r="N88" s="1134"/>
      <c r="O88" s="472"/>
      <c r="P88" s="1114"/>
      <c r="AR88" s="420"/>
    </row>
    <row r="89" spans="1:44" s="137" customFormat="1">
      <c r="A89" s="2883"/>
      <c r="B89" s="3628" t="s">
        <v>705</v>
      </c>
      <c r="C89" s="585">
        <v>2500001</v>
      </c>
      <c r="D89" s="203" t="s">
        <v>342</v>
      </c>
      <c r="E89" s="462">
        <f>IFERROR(VLOOKUP(C89,'פ.נ. Australia'!$D$113:$F$305,3,0),0)</f>
        <v>5618.91</v>
      </c>
      <c r="F89" s="3552">
        <f>SUMIF('פ.נ. Australia'!C:C,C:C,'פ.נ. Australia'!E:E)</f>
        <v>0</v>
      </c>
      <c r="G89" s="399"/>
      <c r="H89" s="51"/>
      <c r="I89" s="399"/>
      <c r="J89" s="170">
        <f>SUM(E89:I89)</f>
        <v>5618.91</v>
      </c>
      <c r="K89" s="171">
        <f>M89+SUMIF('פ.נ. Australia'!C:C,'מאזן בוחן Australia'!C89,'פ.נ. Australia'!F:F)</f>
        <v>4082.83</v>
      </c>
      <c r="L89" s="52"/>
      <c r="M89" s="171">
        <f>IFERROR(VLOOKUP(C89,'פ.נ. Australia'!$D$113:$G$305,4,0),"")</f>
        <v>4082.83</v>
      </c>
      <c r="N89" s="1134">
        <f>IF(K89=0,"-",J89/K89)</f>
        <v>1.3762292331544541</v>
      </c>
      <c r="O89" s="472"/>
      <c r="P89" s="1341"/>
      <c r="AR89" s="420"/>
    </row>
    <row r="90" spans="1:44" s="137" customFormat="1">
      <c r="A90" s="2883"/>
      <c r="B90" s="3628" t="s">
        <v>705</v>
      </c>
      <c r="C90" s="1336">
        <v>2500002</v>
      </c>
      <c r="D90" s="1430" t="s">
        <v>632</v>
      </c>
      <c r="E90" s="462">
        <f>IFERROR(VLOOKUP(C90,'פ.נ. Australia'!$D$113:$F$305,3,0),0)</f>
        <v>-175240.03</v>
      </c>
      <c r="F90" s="3556">
        <f>SUMIF('פ.נ. Australia'!C:C,C:C,'פ.נ. Australia'!E:E)</f>
        <v>0</v>
      </c>
      <c r="G90" s="1339"/>
      <c r="H90" s="1338"/>
      <c r="I90" s="1339"/>
      <c r="J90" s="1340">
        <f>SUM(E90:I90)</f>
        <v>-175240.03</v>
      </c>
      <c r="K90" s="1341">
        <f>M90+SUMIF('פ.נ. Australia'!C:C,'מאזן בוחן Australia'!C90,'פ.נ. Australia'!F:F)</f>
        <v>-127333.58</v>
      </c>
      <c r="L90" s="1417"/>
      <c r="M90" s="1341">
        <f>IFERROR(VLOOKUP(C90,'פ.נ. Australia'!$D$113:$G$305,4,0),"")</f>
        <v>-127333.58</v>
      </c>
      <c r="N90" s="3557">
        <f t="shared" ref="N90:N99" si="21">IF(K90=0,"-",J90/K90)</f>
        <v>1.376227936102951</v>
      </c>
      <c r="O90" s="472"/>
      <c r="P90" s="1341" t="s">
        <v>4442</v>
      </c>
      <c r="AR90" s="420"/>
    </row>
    <row r="91" spans="1:44" s="137" customFormat="1">
      <c r="A91" s="2883"/>
      <c r="B91" s="3640" t="s">
        <v>705</v>
      </c>
      <c r="C91" s="585">
        <v>2500005</v>
      </c>
      <c r="D91" s="203" t="s">
        <v>343</v>
      </c>
      <c r="E91" s="462">
        <f>IFERROR(VLOOKUP(C91,'פ.נ. Australia'!$D$113:$F$305,3,0),0)</f>
        <v>0</v>
      </c>
      <c r="F91" s="3552">
        <f>SUMIF('פ.נ. Australia'!C:C,C:C,'פ.נ. Australia'!E:E)</f>
        <v>0</v>
      </c>
      <c r="G91" s="399"/>
      <c r="H91" s="51"/>
      <c r="I91" s="399"/>
      <c r="J91" s="170">
        <f>SUM(E91:I91)</f>
        <v>0</v>
      </c>
      <c r="K91" s="171">
        <f>M91+SUMIF('פ.נ. Australia'!C:C,'מאזן בוחן Australia'!C91,'פ.נ. Australia'!F:F)</f>
        <v>0</v>
      </c>
      <c r="L91" s="52"/>
      <c r="M91" s="171" t="str">
        <f>IFERROR(VLOOKUP(C91,'פ.נ. Australia'!$D$113:$G$305,4,0),"")</f>
        <v/>
      </c>
      <c r="N91" s="1134" t="str">
        <f>IF(K91=0,"-",J91/K91)</f>
        <v>-</v>
      </c>
      <c r="O91" s="472"/>
      <c r="P91" s="1341" t="s">
        <v>3644</v>
      </c>
      <c r="AR91" s="420"/>
    </row>
    <row r="92" spans="1:44" s="137" customFormat="1">
      <c r="A92" s="2883"/>
      <c r="B92" s="3637" t="s">
        <v>1044</v>
      </c>
      <c r="C92" s="1308">
        <v>2500044</v>
      </c>
      <c r="D92" s="1309" t="s">
        <v>1047</v>
      </c>
      <c r="E92" s="1310">
        <f>VLOOKUP(C92,'פ.נ. Australia'!$D$113:$F$234,3,0)</f>
        <v>52928.98</v>
      </c>
      <c r="F92" s="3547">
        <f>SUMIF('פ.נ. Australia'!C:C,C:C,'פ.נ. Australia'!E:E)</f>
        <v>0</v>
      </c>
      <c r="G92" s="1311"/>
      <c r="H92" s="1312"/>
      <c r="I92" s="1311"/>
      <c r="J92" s="1315">
        <f t="shared" ref="J92:J99" si="22">SUM(E92:I92)</f>
        <v>52928.98</v>
      </c>
      <c r="K92" s="1316">
        <f>M92+SUMIF('פ.נ. Australia'!C:C,'מאזן בוחן Australia'!C92,'פ.נ. Australia'!F:F)</f>
        <v>37659.410000000003</v>
      </c>
      <c r="L92" s="1317"/>
      <c r="M92" s="1318">
        <f>IFERROR(VLOOKUP(C92,'פ.נ. Australia'!$D$113:$G$305,4,0),"")</f>
        <v>37659.410000000003</v>
      </c>
      <c r="N92" s="1134">
        <f t="shared" si="21"/>
        <v>1.4054649289513563</v>
      </c>
      <c r="O92" s="472"/>
      <c r="P92" s="257"/>
      <c r="AR92" s="420"/>
    </row>
    <row r="93" spans="1:44" s="137" customFormat="1">
      <c r="A93" s="2883"/>
      <c r="B93" s="3638" t="s">
        <v>1044</v>
      </c>
      <c r="C93" s="1313">
        <v>2500053</v>
      </c>
      <c r="D93" s="486" t="s">
        <v>2020</v>
      </c>
      <c r="E93" s="3056">
        <f>VLOOKUP(C93,'פ.נ. Australia'!$D$113:$F$234,3,0)</f>
        <v>-52929</v>
      </c>
      <c r="F93" s="3558">
        <f>SUMIF('פ.נ. Australia'!C:C,C:C,'פ.נ. Australia'!E:E)</f>
        <v>0</v>
      </c>
      <c r="G93" s="1400"/>
      <c r="H93" s="3559"/>
      <c r="I93" s="1400"/>
      <c r="J93" s="3560">
        <f t="shared" si="22"/>
        <v>-52929</v>
      </c>
      <c r="K93" s="3274">
        <f>M93+SUMIF('פ.נ. Australia'!C:C,'מאזן בוחן Australia'!C93,'פ.נ. Australia'!F:F)</f>
        <v>-37659.42</v>
      </c>
      <c r="L93" s="3561"/>
      <c r="M93" s="1402">
        <f>IFERROR(VLOOKUP(C93,'פ.נ. Australia'!$D$113:$G$305,4,0),"")</f>
        <v>-37659.42</v>
      </c>
      <c r="N93" s="1134">
        <f t="shared" si="21"/>
        <v>1.4054650868228986</v>
      </c>
      <c r="O93" s="472"/>
      <c r="P93" s="257"/>
      <c r="AR93" s="420"/>
    </row>
    <row r="94" spans="1:44" s="137" customFormat="1">
      <c r="A94" s="2883"/>
      <c r="B94" s="3628" t="s">
        <v>1044</v>
      </c>
      <c r="C94" s="585">
        <v>2500043</v>
      </c>
      <c r="D94" s="203" t="s">
        <v>1273</v>
      </c>
      <c r="E94" s="170">
        <f>VLOOKUP(C94,'פ.נ. Australia'!$D$113:$F$234,3,0)</f>
        <v>27522</v>
      </c>
      <c r="F94" s="3552">
        <f>SUMIF('פ.נ. Australia'!C:C,C:C,'פ.נ. Australia'!E:E)</f>
        <v>0</v>
      </c>
      <c r="G94" s="399"/>
      <c r="H94" s="51"/>
      <c r="I94" s="399"/>
      <c r="J94" s="965">
        <f t="shared" si="22"/>
        <v>27522</v>
      </c>
      <c r="K94" s="590">
        <f>M94+SUMIF('פ.נ. Australia'!C:C,'מאזן בוחן Australia'!C94,'פ.נ. Australia'!F:F)</f>
        <v>19582.13</v>
      </c>
      <c r="L94" s="52"/>
      <c r="M94" s="171">
        <f>IFERROR(VLOOKUP(C94,'פ.נ. Australia'!$D$113:$G$305,4,0),"")</f>
        <v>19582.13</v>
      </c>
      <c r="N94" s="1134">
        <f t="shared" si="21"/>
        <v>1.4054650847481862</v>
      </c>
      <c r="O94" s="472"/>
      <c r="P94" s="257"/>
      <c r="AR94" s="420"/>
    </row>
    <row r="95" spans="1:44" s="137" customFormat="1">
      <c r="A95" s="2883"/>
      <c r="B95" s="3638" t="s">
        <v>1044</v>
      </c>
      <c r="C95" s="1313" t="s">
        <v>2018</v>
      </c>
      <c r="D95" s="486" t="s">
        <v>2019</v>
      </c>
      <c r="E95" s="3056">
        <f>VLOOKUP(C95,'פ.נ. Australia'!$D$113:$F$234,3,0)</f>
        <v>-27570.35</v>
      </c>
      <c r="F95" s="3039">
        <f>SUMIF('פ.נ. Australia'!C:C,C:C,'פ.נ. Australia'!E:E)</f>
        <v>0</v>
      </c>
      <c r="G95" s="1400"/>
      <c r="H95" s="51"/>
      <c r="I95" s="1400"/>
      <c r="J95" s="3560">
        <f t="shared" si="22"/>
        <v>-27570.35</v>
      </c>
      <c r="K95" s="3274">
        <f>M95+SUMIF('פ.נ. Australia'!C:C,'מאזן בוחן Australia'!C95,'פ.נ. Australia'!F:F)</f>
        <v>-19616.53</v>
      </c>
      <c r="L95" s="439"/>
      <c r="M95" s="1402">
        <f>IFERROR(VLOOKUP(C95,'פ.נ. Australia'!$D$113:$G$305,4,0),"")</f>
        <v>-19616.53</v>
      </c>
      <c r="N95" s="1134">
        <f t="shared" si="21"/>
        <v>1.4054651867583106</v>
      </c>
      <c r="O95" s="472"/>
      <c r="P95" s="257"/>
      <c r="AR95" s="420"/>
    </row>
    <row r="96" spans="1:44" s="137" customFormat="1">
      <c r="A96" s="2883"/>
      <c r="B96" s="3628" t="s">
        <v>1044</v>
      </c>
      <c r="C96" s="585">
        <v>2500051</v>
      </c>
      <c r="D96" s="203" t="s">
        <v>2013</v>
      </c>
      <c r="E96" s="1340">
        <f>IFERROR(VLOOKUP(C96,'פ.נ. Australia'!$D$113:$F$234,3,0),0)</f>
        <v>0</v>
      </c>
      <c r="F96" s="3552">
        <f>SUMIF('פ.נ. Australia'!C:C,C:C,'פ.נ. Australia'!E:E)</f>
        <v>0</v>
      </c>
      <c r="G96" s="399"/>
      <c r="H96" s="1311"/>
      <c r="I96" s="399"/>
      <c r="J96" s="965">
        <f t="shared" si="22"/>
        <v>0</v>
      </c>
      <c r="K96" s="590">
        <f>M96+SUMIF('פ.נ. Australia'!C:C,'מאזן בוחן Australia'!C96,'פ.נ. Australia'!F:F)</f>
        <v>0</v>
      </c>
      <c r="L96" s="52"/>
      <c r="M96" s="171" t="str">
        <f>IFERROR(VLOOKUP(C96,'פ.נ. Australia'!$D$113:$G$305,4,0),"")</f>
        <v/>
      </c>
      <c r="N96" s="1134" t="str">
        <f t="shared" si="21"/>
        <v>-</v>
      </c>
      <c r="O96" s="472"/>
      <c r="P96" s="3526"/>
      <c r="AR96" s="420"/>
    </row>
    <row r="97" spans="1:44" s="137" customFormat="1">
      <c r="A97" s="2883"/>
      <c r="B97" s="3628" t="s">
        <v>1044</v>
      </c>
      <c r="C97" s="585">
        <v>2500042</v>
      </c>
      <c r="D97" s="203" t="s">
        <v>1754</v>
      </c>
      <c r="E97" s="1340">
        <f>IFERROR(VLOOKUP(C97,'פ.נ. Australia'!$D$113:$F$234,3,0),0)</f>
        <v>42081</v>
      </c>
      <c r="F97" s="3552">
        <f>SUMIF('פ.נ. Australia'!C:C,C:C,'פ.נ. Australia'!E:E)</f>
        <v>0</v>
      </c>
      <c r="G97" s="399"/>
      <c r="H97" s="51"/>
      <c r="I97" s="399"/>
      <c r="J97" s="965">
        <f t="shared" si="22"/>
        <v>42081</v>
      </c>
      <c r="K97" s="590">
        <f>M97+SUMIF('פ.נ. Australia'!C:C,'מאזן בוחן Australia'!C97,'פ.נ. Australia'!F:F)</f>
        <v>29504.19</v>
      </c>
      <c r="L97" s="52"/>
      <c r="M97" s="171">
        <f>IFERROR(VLOOKUP(C97,'פ.נ. Australia'!$D$113:$G$305,4,0),"")</f>
        <v>29504.19</v>
      </c>
      <c r="N97" s="1134">
        <f t="shared" si="21"/>
        <v>1.4262719972993667</v>
      </c>
      <c r="O97" s="472"/>
      <c r="P97" s="3526" t="s">
        <v>2836</v>
      </c>
      <c r="AR97" s="420"/>
    </row>
    <row r="98" spans="1:44" s="137" customFormat="1">
      <c r="A98" s="2883"/>
      <c r="B98" s="3638" t="s">
        <v>1044</v>
      </c>
      <c r="C98" s="1313" t="s">
        <v>2949</v>
      </c>
      <c r="D98" s="486" t="s">
        <v>2950</v>
      </c>
      <c r="E98" s="1340">
        <f>IFERROR(VLOOKUP(C98,'פ.נ. Australia'!$D$113:$F$234,3,0),0)</f>
        <v>-42088</v>
      </c>
      <c r="F98" s="3558">
        <f>SUMIF('פ.נ. Australia'!C:C,C:C,'פ.נ. Australia'!E:E)</f>
        <v>0</v>
      </c>
      <c r="G98" s="1400"/>
      <c r="H98" s="3562"/>
      <c r="I98" s="1400"/>
      <c r="J98" s="3563">
        <f t="shared" si="22"/>
        <v>-42088</v>
      </c>
      <c r="K98" s="3274">
        <f>M98+SUMIF('פ.נ. Australia'!C:C,'מאזן בוחן Australia'!C98,'פ.נ. Australia'!F:F)</f>
        <v>-29998.79</v>
      </c>
      <c r="L98" s="3561"/>
      <c r="M98" s="1402">
        <f>IFERROR(VLOOKUP(C98,'פ.נ. Australia'!$D$113:$G$305,4,0),"")</f>
        <v>-29998.79</v>
      </c>
      <c r="N98" s="3557">
        <f t="shared" si="21"/>
        <v>1.4029899205934639</v>
      </c>
      <c r="O98" s="472"/>
      <c r="P98" s="3526"/>
      <c r="AR98" s="420"/>
    </row>
    <row r="99" spans="1:44" s="137" customFormat="1">
      <c r="A99" s="2883"/>
      <c r="B99" s="3628" t="s">
        <v>1044</v>
      </c>
      <c r="C99" s="1336">
        <v>2500054</v>
      </c>
      <c r="D99" s="1430" t="s">
        <v>2232</v>
      </c>
      <c r="E99" s="2823">
        <f>IFERROR(VLOOKUP(C99,'פ.נ. Australia'!$D$113:$F$234,3,0),0)</f>
        <v>-122745.27</v>
      </c>
      <c r="F99" s="2944">
        <f>SUMIF('פ.נ. Australia'!C:C,C:C,'פ.נ. Australia'!E:E)</f>
        <v>0</v>
      </c>
      <c r="G99" s="1339"/>
      <c r="H99" s="1338"/>
      <c r="I99" s="1339"/>
      <c r="J99" s="1418">
        <f t="shared" si="22"/>
        <v>-122745.27</v>
      </c>
      <c r="K99" s="1419">
        <f>M99+SUMIF('פ.נ. Australia'!C:C,'מאזן בוחן Australia'!C99,'פ.נ. Australia'!F:F)</f>
        <v>-89189.63</v>
      </c>
      <c r="L99" s="1417"/>
      <c r="M99" s="1341">
        <f>IFERROR(VLOOKUP(C99,'פ.נ. Australia'!$D$113:$G$305,4,0),"")</f>
        <v>-89189.63</v>
      </c>
      <c r="N99" s="1744">
        <f t="shared" si="21"/>
        <v>1.3762280435516998</v>
      </c>
      <c r="O99" s="472"/>
      <c r="P99" s="3527"/>
      <c r="AR99" s="420"/>
    </row>
    <row r="100" spans="1:44" s="137" customFormat="1">
      <c r="A100" s="2883"/>
      <c r="B100" s="3628" t="s">
        <v>1044</v>
      </c>
      <c r="C100" s="1336">
        <v>2500041</v>
      </c>
      <c r="D100" s="1430" t="s">
        <v>3382</v>
      </c>
      <c r="E100" s="2944">
        <f>IFERROR(VLOOKUP(C100,'פ.נ. Australia'!$D$113:$F$234,3,0),0)</f>
        <v>5897</v>
      </c>
      <c r="F100" s="2944">
        <f>SUMIF('פ.נ. Australia'!C:C,C:C,'פ.נ. Australia'!E:E)</f>
        <v>0</v>
      </c>
      <c r="G100" s="1339"/>
      <c r="H100" s="1338"/>
      <c r="I100" s="1339"/>
      <c r="J100" s="1418">
        <f>SUM(E100:I100)</f>
        <v>5897</v>
      </c>
      <c r="K100" s="1419">
        <f>M100+SUMIF('פ.נ. Australia'!C:C,'מאזן בוחן Australia'!C100,'פ.נ. Australia'!F:F)</f>
        <v>4284.8999999999996</v>
      </c>
      <c r="L100" s="1417"/>
      <c r="M100" s="1341">
        <f>IFERROR(VLOOKUP(C100,'פ.נ. Australia'!$D$113:$G$305,4,0),"")</f>
        <v>4284.8999999999996</v>
      </c>
      <c r="N100" s="1744">
        <f>IF(K100=0,"-",J100/K100)</f>
        <v>1.3762281500151696</v>
      </c>
      <c r="O100" s="472"/>
      <c r="P100" s="3528" t="s">
        <v>3397</v>
      </c>
      <c r="AR100" s="420"/>
    </row>
    <row r="101" spans="1:44" s="137" customFormat="1">
      <c r="A101" s="2883"/>
      <c r="B101" s="3638" t="s">
        <v>1044</v>
      </c>
      <c r="C101" s="2821" t="s">
        <v>4265</v>
      </c>
      <c r="D101" s="2822" t="s">
        <v>4266</v>
      </c>
      <c r="E101" s="3536">
        <f>IFERROR(VLOOKUP(C101,'פ.נ. Australia'!$D$113:$F$234,3,0),0)</f>
        <v>116848.48</v>
      </c>
      <c r="F101" s="3558">
        <f>SUMIF('פ.נ. Australia'!C:C,C:C,'פ.נ. Australia'!E:E)</f>
        <v>0</v>
      </c>
      <c r="G101" s="1400"/>
      <c r="H101" s="3562"/>
      <c r="I101" s="1400"/>
      <c r="J101" s="3563">
        <f>SUM(E101:I101)</f>
        <v>116848.48</v>
      </c>
      <c r="K101" s="3274">
        <f>M101+SUMIF('פ.נ. Australia'!C:C,'מאזן בוחן Australia'!C101,'פ.נ. Australia'!F:F)</f>
        <v>84904.89</v>
      </c>
      <c r="L101" s="3561"/>
      <c r="M101" s="1402">
        <f>IFERROR(VLOOKUP(C101,'פ.נ. Australia'!$D$113:$G$305,4,0),"")</f>
        <v>84904.89</v>
      </c>
      <c r="N101" s="3557">
        <f>IF(K101=0,"-",J101/K101)</f>
        <v>1.3762279180857544</v>
      </c>
      <c r="O101" s="472"/>
      <c r="P101" s="3527"/>
      <c r="AR101" s="420"/>
    </row>
    <row r="102" spans="1:44" s="137" customFormat="1">
      <c r="A102" s="2883"/>
      <c r="B102" s="3628" t="s">
        <v>1044</v>
      </c>
      <c r="C102" s="585">
        <v>2500055</v>
      </c>
      <c r="D102" s="1430" t="s">
        <v>3221</v>
      </c>
      <c r="E102" s="1340">
        <f>IFERROR(VLOOKUP(C102,'פ.נ. Australia'!$D$113:$F$234,3,0),0)</f>
        <v>0</v>
      </c>
      <c r="F102" s="2944">
        <f>SUMIF('פ.נ. Australia'!C:C,C:C,'פ.נ. Australia'!E:E)</f>
        <v>0</v>
      </c>
      <c r="G102" s="1339"/>
      <c r="H102" s="1338"/>
      <c r="I102" s="1339"/>
      <c r="J102" s="1418">
        <f>SUM(E102:I102)</f>
        <v>0</v>
      </c>
      <c r="K102" s="1419">
        <f>M102+SUMIF('פ.נ. Australia'!C:C,'מאזן בוחן Australia'!C102,'פ.נ. Australia'!F:F)</f>
        <v>0</v>
      </c>
      <c r="L102" s="1417"/>
      <c r="M102" s="1341" t="str">
        <f>IFERROR(VLOOKUP(C102,'פ.נ. Australia'!$D$113:$G$305,4,0),"")</f>
        <v/>
      </c>
      <c r="N102" s="3557" t="str">
        <f>IF(K102=0,"-",J102/K102)</f>
        <v>-</v>
      </c>
      <c r="O102" s="472"/>
      <c r="P102" s="3529"/>
      <c r="AR102" s="420"/>
    </row>
    <row r="103" spans="1:44" s="137" customFormat="1">
      <c r="A103" s="2883"/>
      <c r="B103" s="3628" t="s">
        <v>1044</v>
      </c>
      <c r="C103" s="1313">
        <v>2500040</v>
      </c>
      <c r="D103" s="48" t="s">
        <v>3643</v>
      </c>
      <c r="E103" s="3537">
        <f>IFERROR(VLOOKUP(C103,'פ.נ. Australia'!$D$113:$F$234,3,0),0)</f>
        <v>4422</v>
      </c>
      <c r="F103" s="3558">
        <f>SUMIF('פ.נ. Australia'!C:C,C:C,'פ.נ. Australia'!E:E)</f>
        <v>0</v>
      </c>
      <c r="G103" s="1400"/>
      <c r="H103" s="3562"/>
      <c r="I103" s="1400"/>
      <c r="J103" s="3563">
        <f>SUM(E103:I103)</f>
        <v>4422</v>
      </c>
      <c r="K103" s="3274">
        <f>M103+SUMIF('פ.נ. Australia'!C:C,'מאזן בוחן Australia'!C103,'פ.נ. Australia'!F:F)</f>
        <v>3213.13</v>
      </c>
      <c r="L103" s="3561"/>
      <c r="M103" s="1402">
        <f>IFERROR(VLOOKUP(C103,'פ.נ. Australia'!$D$113:$G$305,4,0),"")</f>
        <v>3213.13</v>
      </c>
      <c r="N103" s="3557">
        <f>IF(K103=0,"-",J103/K103)</f>
        <v>1.3762281638153451</v>
      </c>
      <c r="O103" s="472"/>
      <c r="P103" s="3529"/>
    </row>
    <row r="104" spans="1:44" s="137" customFormat="1">
      <c r="A104" s="2883"/>
      <c r="B104" s="3624"/>
      <c r="C104" s="1164"/>
      <c r="D104" s="69" t="s">
        <v>77</v>
      </c>
      <c r="E104" s="3535">
        <f t="shared" ref="E104:K104" si="23">SUM(E88:E103)</f>
        <v>-165254.28000000003</v>
      </c>
      <c r="F104" s="3564">
        <f t="shared" si="23"/>
        <v>0</v>
      </c>
      <c r="G104" s="3564">
        <f t="shared" si="23"/>
        <v>0</v>
      </c>
      <c r="H104" s="3564">
        <f t="shared" si="23"/>
        <v>0</v>
      </c>
      <c r="I104" s="3564">
        <f t="shared" si="23"/>
        <v>0</v>
      </c>
      <c r="J104" s="3554">
        <f t="shared" si="23"/>
        <v>-165254.28000000003</v>
      </c>
      <c r="K104" s="3554">
        <f t="shared" si="23"/>
        <v>-120566.46999999999</v>
      </c>
      <c r="L104" s="3555"/>
      <c r="M104" s="3554">
        <f>SUM(M88:M103)</f>
        <v>-120566.46999999999</v>
      </c>
      <c r="N104" s="1134"/>
      <c r="O104" s="472"/>
      <c r="P104" s="445"/>
    </row>
    <row r="105" spans="1:44" s="137" customFormat="1">
      <c r="A105" s="2883"/>
      <c r="B105" s="3624"/>
      <c r="C105" s="154"/>
      <c r="D105" s="63"/>
      <c r="E105" s="3533"/>
      <c r="F105" s="460"/>
      <c r="G105" s="399"/>
      <c r="H105" s="51"/>
      <c r="I105" s="399"/>
      <c r="J105" s="51"/>
      <c r="K105" s="399"/>
      <c r="L105" s="51"/>
      <c r="M105" s="399"/>
      <c r="N105" s="1134"/>
      <c r="O105" s="472"/>
      <c r="P105" s="445"/>
    </row>
    <row r="106" spans="1:44" s="137" customFormat="1" ht="13.5" thickBot="1">
      <c r="A106" s="2883"/>
      <c r="B106" s="3624"/>
      <c r="C106" s="154"/>
      <c r="D106" s="50" t="s">
        <v>78</v>
      </c>
      <c r="E106" s="3533"/>
      <c r="F106" s="460"/>
      <c r="G106" s="399"/>
      <c r="H106" s="51"/>
      <c r="I106" s="399"/>
      <c r="J106" s="51"/>
      <c r="K106" s="399"/>
      <c r="L106" s="51"/>
      <c r="M106" s="399"/>
      <c r="N106" s="1134"/>
      <c r="O106" s="472"/>
      <c r="P106" s="401"/>
    </row>
    <row r="107" spans="1:44" s="137" customFormat="1" ht="13.5" thickBot="1">
      <c r="A107" s="2883"/>
      <c r="B107" s="3640" t="s">
        <v>703</v>
      </c>
      <c r="C107" s="585">
        <v>2400001</v>
      </c>
      <c r="D107" s="203" t="s">
        <v>704</v>
      </c>
      <c r="E107" s="1340">
        <f>IFERROR(VLOOKUP(C107,'פ.נ. Australia'!$D$113:$F$234,3,0),0)</f>
        <v>-265013.13</v>
      </c>
      <c r="F107" s="460">
        <f>SUMIF('פ.נ. Australia'!C:C,C:C,'פ.נ. Australia'!E:E)</f>
        <v>0</v>
      </c>
      <c r="G107" s="399"/>
      <c r="H107" s="51"/>
      <c r="I107" s="399"/>
      <c r="J107" s="170">
        <f>SUM(E107:I107)</f>
        <v>-265013.13</v>
      </c>
      <c r="K107" s="171">
        <f>M107+SUMIF('פ.נ. Australia'!C:C,'מאזן בוחן Australia'!C107,'פ.נ. Australia'!F:F)</f>
        <v>-189698.36</v>
      </c>
      <c r="L107" s="956">
        <f>'Accrued expenses'!$O$194+'מאזן בוחן Australia'!$J$107</f>
        <v>3.8866644026711583E-3</v>
      </c>
      <c r="M107" s="171">
        <f>IFERROR(VLOOKUP(C107,'פ.נ. Australia'!$D$113:$G$305,4,0),"")</f>
        <v>-189698.36</v>
      </c>
      <c r="N107" s="1570">
        <f>IF(K107=0,"-",J107/K107)</f>
        <v>1.3970238329946554</v>
      </c>
      <c r="O107" s="1712"/>
      <c r="P107" s="1330" t="s">
        <v>2637</v>
      </c>
    </row>
    <row r="108" spans="1:44" s="137" customFormat="1">
      <c r="A108" s="2883"/>
      <c r="B108" s="3640" t="s">
        <v>1040</v>
      </c>
      <c r="C108" s="585">
        <v>2400028</v>
      </c>
      <c r="D108" s="203" t="s">
        <v>3642</v>
      </c>
      <c r="E108" s="1340">
        <f>IFERROR(VLOOKUP(C108,'פ.נ. Australia'!$D$113:$F$234,3,0),0)</f>
        <v>0</v>
      </c>
      <c r="F108" s="3565">
        <f>SUMIF('פ.נ. Australia'!C:C,C:C,'פ.נ. Australia'!E:E)</f>
        <v>0</v>
      </c>
      <c r="G108" s="1339"/>
      <c r="H108" s="1338"/>
      <c r="I108" s="1339"/>
      <c r="J108" s="1340">
        <f>SUM(E108:I108)</f>
        <v>0</v>
      </c>
      <c r="K108" s="1341">
        <f>M108+SUMIF('פ.נ. Australia'!C:C,'מאזן בוחן Australia'!C108,'פ.נ. Australia'!F:F)</f>
        <v>0</v>
      </c>
      <c r="L108" s="1417"/>
      <c r="M108" s="1341" t="str">
        <f>IFERROR(VLOOKUP(C108,'פ.נ. Australia'!$D$113:$G$305,4,0),"")</f>
        <v/>
      </c>
      <c r="N108" s="1744" t="str">
        <f>IF(K108=0,"-",J108/K108)</f>
        <v>-</v>
      </c>
      <c r="O108" s="1712"/>
      <c r="P108" s="1117"/>
    </row>
    <row r="109" spans="1:44" s="137" customFormat="1">
      <c r="A109" s="2883"/>
      <c r="B109" s="3640" t="s">
        <v>703</v>
      </c>
      <c r="C109" s="1336">
        <v>2400010</v>
      </c>
      <c r="D109" s="1430" t="s">
        <v>781</v>
      </c>
      <c r="E109" s="1340">
        <f>IFERROR(VLOOKUP(C109,'פ.נ. Australia'!$D$113:$F$234,3,0),0)</f>
        <v>147920.64000000001</v>
      </c>
      <c r="F109" s="3565">
        <f>SUMIF('פ.נ. Australia'!C:C,C:C,'פ.נ. Australia'!E:E)</f>
        <v>0</v>
      </c>
      <c r="G109" s="1339"/>
      <c r="H109" s="1338"/>
      <c r="I109" s="1339"/>
      <c r="J109" s="1340">
        <f>SUM(E109:I109)</f>
        <v>147920.64000000001</v>
      </c>
      <c r="K109" s="1341">
        <f>M109+SUMIF('פ.נ. Australia'!C:C,'מאזן בוחן Australia'!C109,'פ.נ. Australia'!F:F)</f>
        <v>107482.66</v>
      </c>
      <c r="L109" s="1417"/>
      <c r="M109" s="1341">
        <f>IFERROR(VLOOKUP(C109,'פ.נ. Australia'!$D$113:$G$305,4,0),"")</f>
        <v>107482.66</v>
      </c>
      <c r="N109" s="1744">
        <f>IF(K109=0,"-",J109/K109)</f>
        <v>1.3762279422559882</v>
      </c>
      <c r="O109" s="1712"/>
      <c r="P109" s="1117" t="s">
        <v>2548</v>
      </c>
    </row>
    <row r="110" spans="1:44" s="137" customFormat="1">
      <c r="A110" s="2883"/>
      <c r="B110" s="3628" t="s">
        <v>782</v>
      </c>
      <c r="C110" s="585">
        <v>2410301</v>
      </c>
      <c r="D110" s="203" t="s">
        <v>783</v>
      </c>
      <c r="E110" s="1340">
        <f>IFERROR(VLOOKUP(C110,'פ.נ. Australia'!$D$113:$F$234,3,0),0)</f>
        <v>-42606</v>
      </c>
      <c r="F110" s="460">
        <f>SUMIF('פ.נ. Australia'!C:C,C:C,'פ.נ. Australia'!E:E)</f>
        <v>0</v>
      </c>
      <c r="G110" s="399"/>
      <c r="H110" s="51"/>
      <c r="I110" s="399"/>
      <c r="J110" s="170">
        <f>SUM(E110:I110)</f>
        <v>-42606</v>
      </c>
      <c r="K110" s="171">
        <f>M110+SUMIF('פ.נ. Australia'!C:C,'מאזן בוחן Australia'!C110,'פ.נ. Australia'!F:F)</f>
        <v>-30958.53</v>
      </c>
      <c r="L110" s="51"/>
      <c r="M110" s="171">
        <f>IFERROR(VLOOKUP(C110,'פ.נ. Australia'!$D$113:$G$305,4,0),"")</f>
        <v>-30958.53</v>
      </c>
      <c r="N110" s="1134">
        <f>IF(K110=0,"-",J110/K110)</f>
        <v>1.3762281348629926</v>
      </c>
      <c r="O110" s="472"/>
      <c r="P110" s="1115" t="s">
        <v>4315</v>
      </c>
    </row>
    <row r="111" spans="1:44" s="137" customFormat="1">
      <c r="A111" s="2883"/>
      <c r="B111" s="3640" t="s">
        <v>782</v>
      </c>
      <c r="C111" s="1336">
        <v>2410304</v>
      </c>
      <c r="D111" s="1430" t="s">
        <v>784</v>
      </c>
      <c r="E111" s="1340">
        <f>IFERROR(VLOOKUP(C111,'פ.נ. Australia'!$D$113:$F$234,3,0),0)</f>
        <v>-52844.01</v>
      </c>
      <c r="F111" s="3565">
        <f>SUMIF('פ.נ. Australia'!C:C,C:C,'פ.נ. Australia'!E:E)</f>
        <v>0</v>
      </c>
      <c r="G111" s="1339"/>
      <c r="H111" s="1338"/>
      <c r="I111" s="1339"/>
      <c r="J111" s="1340">
        <f>SUM(E111:I111)</f>
        <v>-52844.01</v>
      </c>
      <c r="K111" s="1341">
        <f>M111+SUMIF('פ.נ. Australia'!C:C,'מאזן בוחן Australia'!C111,'פ.נ. Australia'!F:F)</f>
        <v>-38397.72</v>
      </c>
      <c r="L111" s="1417"/>
      <c r="M111" s="1341">
        <f>IFERROR(VLOOKUP(C111,'פ.נ. Australia'!$D$113:$G$305,4,0),"")</f>
        <v>-38397.72</v>
      </c>
      <c r="N111" s="3557">
        <f>IF(K111=0,"-",J111/K111)</f>
        <v>1.376227807276057</v>
      </c>
      <c r="O111" s="472"/>
      <c r="P111" s="1115" t="s">
        <v>3035</v>
      </c>
    </row>
    <row r="112" spans="1:44" s="137" customFormat="1">
      <c r="A112" s="2883"/>
      <c r="B112" s="3628"/>
      <c r="C112" s="156"/>
      <c r="D112" s="45"/>
      <c r="E112" s="3538"/>
      <c r="F112" s="460"/>
      <c r="G112" s="399"/>
      <c r="H112" s="51"/>
      <c r="I112" s="399"/>
      <c r="J112" s="440"/>
      <c r="K112" s="446"/>
      <c r="L112" s="52"/>
      <c r="M112" s="446"/>
      <c r="N112" s="1134"/>
      <c r="O112" s="472"/>
      <c r="P112" s="445"/>
    </row>
    <row r="113" spans="1:18" s="137" customFormat="1">
      <c r="A113" s="2883"/>
      <c r="B113" s="3628"/>
      <c r="C113" s="1164"/>
      <c r="D113" s="1203"/>
      <c r="E113" s="3535">
        <f t="shared" ref="E113:K113" si="24">SUM(E107:E112)</f>
        <v>-212542.5</v>
      </c>
      <c r="F113" s="3564">
        <f t="shared" si="24"/>
        <v>0</v>
      </c>
      <c r="G113" s="3564">
        <f t="shared" si="24"/>
        <v>0</v>
      </c>
      <c r="H113" s="3564">
        <f t="shared" si="24"/>
        <v>0</v>
      </c>
      <c r="I113" s="3564">
        <f t="shared" si="24"/>
        <v>0</v>
      </c>
      <c r="J113" s="3554">
        <f t="shared" si="24"/>
        <v>-212542.5</v>
      </c>
      <c r="K113" s="3554">
        <f t="shared" si="24"/>
        <v>-151571.94999999998</v>
      </c>
      <c r="L113" s="3566"/>
      <c r="M113" s="3554">
        <f>SUM(M107:M112)</f>
        <v>-151571.94999999998</v>
      </c>
      <c r="N113" s="1134"/>
      <c r="O113" s="472"/>
      <c r="P113" s="1116"/>
    </row>
    <row r="114" spans="1:18" s="137" customFormat="1">
      <c r="A114" s="2883"/>
      <c r="B114" s="3628"/>
      <c r="C114" s="154"/>
      <c r="D114" s="50" t="s">
        <v>194</v>
      </c>
      <c r="E114" s="3534"/>
      <c r="F114" s="3567"/>
      <c r="G114" s="399"/>
      <c r="H114" s="51"/>
      <c r="I114" s="1931"/>
      <c r="J114" s="51"/>
      <c r="K114" s="707"/>
      <c r="L114" s="52"/>
      <c r="M114" s="707"/>
      <c r="N114" s="1134"/>
      <c r="O114" s="472"/>
      <c r="P114" s="1116"/>
    </row>
    <row r="115" spans="1:18" s="137" customFormat="1" ht="13.5" thickBot="1">
      <c r="A115" s="2883"/>
      <c r="B115" s="3628"/>
      <c r="C115" s="1160"/>
      <c r="D115" s="48"/>
      <c r="E115" s="1151"/>
      <c r="F115" s="3552"/>
      <c r="G115" s="517"/>
      <c r="H115" s="976"/>
      <c r="I115" s="1213"/>
      <c r="J115" s="521"/>
      <c r="K115" s="522"/>
      <c r="L115" s="976"/>
      <c r="M115" s="522"/>
      <c r="N115" s="2290"/>
      <c r="O115" s="472"/>
      <c r="P115" s="1116"/>
    </row>
    <row r="116" spans="1:18" s="137" customFormat="1" ht="13.5" thickBot="1">
      <c r="A116" s="2883"/>
      <c r="B116" s="3628" t="s">
        <v>687</v>
      </c>
      <c r="C116" s="585">
        <v>1130006</v>
      </c>
      <c r="D116" s="1107" t="s">
        <v>689</v>
      </c>
      <c r="E116" s="1151">
        <f>IFERROR(VLOOKUP(C116,'פ.נ. Australia'!$D$113:$F$305,3,0),0)</f>
        <v>-19796.189999999999</v>
      </c>
      <c r="F116" s="460">
        <f>SUMIF('פ.נ. Australia'!C:C,C:C,'פ.נ. Australia'!E:E)</f>
        <v>0</v>
      </c>
      <c r="G116" s="399"/>
      <c r="H116" s="51"/>
      <c r="I116" s="399"/>
      <c r="J116" s="170">
        <f>SUM(E116:I116)</f>
        <v>-19796.189999999999</v>
      </c>
      <c r="K116" s="171">
        <f>M116+SUMIF('פ.נ. Australia'!C:C,'מאזן בוחן Australia'!C116,'פ.נ. Australia'!F:F)</f>
        <v>-14384.38</v>
      </c>
      <c r="L116" s="956">
        <f>+'New TB INC'!J275+K116</f>
        <v>-0.62999999999919964</v>
      </c>
      <c r="M116" s="171">
        <f>IFERROR(VLOOKUP(C116,'פ.נ. Australia'!$D$113:$G$305,4,0),"")</f>
        <v>-14384.38</v>
      </c>
      <c r="N116" s="1134">
        <f>IF(K116=0,"-",J116/K116)</f>
        <v>1.3762282420236396</v>
      </c>
      <c r="O116" s="472"/>
      <c r="P116" s="842"/>
    </row>
    <row r="117" spans="1:18" s="137" customFormat="1" ht="13.5" thickBot="1">
      <c r="A117" s="2883"/>
      <c r="B117" s="3628" t="s">
        <v>701</v>
      </c>
      <c r="C117" s="585">
        <v>2200001</v>
      </c>
      <c r="D117" s="1107" t="s">
        <v>702</v>
      </c>
      <c r="E117" s="462">
        <f>IFERROR(VLOOKUP(C117,'פ.נ. Australia'!$D$113:$F$305,3,0),0)</f>
        <v>-2307</v>
      </c>
      <c r="F117" s="460">
        <f>SUMIF('פ.נ. Australia'!C:C,C:C,'פ.נ. Australia'!E:E)</f>
        <v>0</v>
      </c>
      <c r="G117" s="399"/>
      <c r="H117" s="51"/>
      <c r="I117" s="399"/>
      <c r="J117" s="170">
        <f>SUM(E117:I117)</f>
        <v>-2307</v>
      </c>
      <c r="K117" s="1127">
        <f>M117+SUMIF('פ.נ. Australia'!C:C,'מאזן בוחן Australia'!C117,'פ.נ. Australia'!F:F)</f>
        <v>-1676.32</v>
      </c>
      <c r="L117" s="956">
        <f>'Accrued expenses'!$O$179+'מאזן בוחן Australia'!$J$117</f>
        <v>-7</v>
      </c>
      <c r="M117" s="474">
        <f>IFERROR(VLOOKUP(C117,'פ.נ. Australia'!$D$113:$G$305,4,0),"")</f>
        <v>-1676.32</v>
      </c>
      <c r="N117" s="1134">
        <f>IF(K117=0,"-",J117/K117)</f>
        <v>1.3762288823136395</v>
      </c>
      <c r="O117" s="472"/>
      <c r="P117" s="1919" t="s">
        <v>2637</v>
      </c>
    </row>
    <row r="118" spans="1:18" s="137" customFormat="1" ht="13.5" thickBot="1">
      <c r="A118" s="2883"/>
      <c r="B118" s="3642"/>
      <c r="C118" s="585"/>
      <c r="D118" s="1108"/>
      <c r="E118" s="462"/>
      <c r="F118" s="460"/>
      <c r="G118" s="399"/>
      <c r="H118" s="51"/>
      <c r="I118" s="399"/>
      <c r="J118" s="170"/>
      <c r="K118" s="171"/>
      <c r="L118" s="52"/>
      <c r="M118" s="171"/>
      <c r="N118" s="1134"/>
      <c r="O118" s="472"/>
      <c r="P118" s="842"/>
    </row>
    <row r="119" spans="1:18" s="137" customFormat="1">
      <c r="A119" s="2883"/>
      <c r="B119" s="3627" t="s">
        <v>693</v>
      </c>
      <c r="C119" s="585">
        <v>53501</v>
      </c>
      <c r="D119" s="1107" t="s">
        <v>694</v>
      </c>
      <c r="E119" s="462">
        <f>IFERROR(VLOOKUP(C119,'פ.נ. Australia'!$D$113:$F$305,3,0),0)</f>
        <v>-4075105.12</v>
      </c>
      <c r="F119" s="460">
        <f>SUMIF('פ.נ. Australia'!C:C,C:C,'פ.נ. Australia'!E:E)</f>
        <v>0</v>
      </c>
      <c r="G119" s="399"/>
      <c r="H119" s="51"/>
      <c r="I119" s="399"/>
      <c r="J119" s="170">
        <f>SUM(E119:I119)</f>
        <v>-4075105.12</v>
      </c>
      <c r="K119" s="171">
        <f>M119+SUMIF('פ.נ. Australia'!C:C,'מאזן בוחן Australia'!C119,'פ.נ. Australia'!F:F)</f>
        <v>-3010238.61</v>
      </c>
      <c r="L119" s="52"/>
      <c r="M119" s="171">
        <f>IFERROR(VLOOKUP(C119,'פ.נ. Australia'!$D$113:$G$305,4,0),"")</f>
        <v>-3010238.61</v>
      </c>
      <c r="N119" s="1134">
        <f>IF(K119=0,"-",J119/K119)</f>
        <v>1.3537482066911635</v>
      </c>
      <c r="O119" s="472"/>
      <c r="P119" s="842"/>
      <c r="Q119" s="3644">
        <f>SUM('[15]12.21'!$K$7)</f>
        <v>-34051.500000000007</v>
      </c>
      <c r="R119" s="1092" t="s">
        <v>294</v>
      </c>
    </row>
    <row r="120" spans="1:18" s="137" customFormat="1" ht="13.5" thickBot="1">
      <c r="A120" s="2883"/>
      <c r="B120" s="3627" t="s">
        <v>693</v>
      </c>
      <c r="C120" s="585">
        <v>53502</v>
      </c>
      <c r="D120" s="1107" t="s">
        <v>695</v>
      </c>
      <c r="E120" s="462">
        <f>IFERROR(VLOOKUP(C120,'פ.נ. Australia'!$D$113:$F$305,3,0),0)</f>
        <v>-4773.05</v>
      </c>
      <c r="F120" s="460">
        <f>SUMIF('פ.נ. Australia'!C:C,C:C,'פ.נ. Australia'!E:E)</f>
        <v>0</v>
      </c>
      <c r="G120" s="399"/>
      <c r="H120" s="51"/>
      <c r="I120" s="399"/>
      <c r="J120" s="170">
        <f>SUM(E120:I120)</f>
        <v>-4773.05</v>
      </c>
      <c r="K120" s="171">
        <f>M120+SUMIF('פ.נ. Australia'!C:C,'מאזן בוחן Australia'!C120,'פ.נ. Australia'!F:F)</f>
        <v>-3700.1</v>
      </c>
      <c r="L120" s="51"/>
      <c r="M120" s="171">
        <f>IFERROR(VLOOKUP(C120,'פ.נ. Australia'!$D$113:$G$305,4,0),"")</f>
        <v>-3700.1</v>
      </c>
      <c r="N120" s="1134">
        <f>IF(K120=0,"-",J120/K120)</f>
        <v>1.2899786492256966</v>
      </c>
      <c r="O120" s="472"/>
      <c r="P120" s="842"/>
      <c r="Q120" s="3643">
        <f>SUM('[15]12.21'!$K$8:$K$31)</f>
        <v>-1007354.721</v>
      </c>
      <c r="R120" s="1097" t="s">
        <v>794</v>
      </c>
    </row>
    <row r="121" spans="1:18" s="137" customFormat="1" ht="13.5" thickBot="1">
      <c r="A121" s="2883"/>
      <c r="B121" s="3627" t="s">
        <v>693</v>
      </c>
      <c r="C121" s="585">
        <v>53515</v>
      </c>
      <c r="D121" s="1107" t="s">
        <v>1590</v>
      </c>
      <c r="E121" s="1151">
        <f>IFERROR(VLOOKUP(C121,'פ.נ. Australia'!$D$113:$F$305,3,0),0)</f>
        <v>0</v>
      </c>
      <c r="F121" s="460">
        <f>SUMIF('פ.נ. Australia'!C:C,C:C,'פ.נ. Australia'!E:E)</f>
        <v>0</v>
      </c>
      <c r="G121" s="399"/>
      <c r="H121" s="51"/>
      <c r="I121" s="399"/>
      <c r="J121" s="170">
        <f t="shared" ref="J121:J129" si="25">SUM(E121:I121)</f>
        <v>0</v>
      </c>
      <c r="K121" s="171">
        <f>M121+SUMIF('פ.נ. Australia'!C:C,'מאזן בוחן Australia'!C121,'פ.נ. Australia'!F:F)</f>
        <v>0</v>
      </c>
      <c r="L121" s="52"/>
      <c r="M121" s="171" t="str">
        <f>IFERROR(VLOOKUP(C121,'פ.נ. Australia'!$D$113:$G$305,4,0),"")</f>
        <v/>
      </c>
      <c r="N121" s="1134" t="str">
        <f t="shared" ref="N121:N129" si="26">IF(K121=0,"-",J121/K121)</f>
        <v>-</v>
      </c>
      <c r="O121" s="472"/>
      <c r="P121" s="842"/>
      <c r="Q121" s="3650">
        <f>[137]priority!$E$43+[137]priority!$E$47+[137]priority!$E$50</f>
        <v>84750</v>
      </c>
      <c r="R121" s="3380" t="s">
        <v>3468</v>
      </c>
    </row>
    <row r="122" spans="1:18" s="137" customFormat="1" ht="13.5" thickBot="1">
      <c r="A122" s="2883"/>
      <c r="B122" s="3627" t="s">
        <v>693</v>
      </c>
      <c r="C122" s="585">
        <v>53516</v>
      </c>
      <c r="D122" s="1107" t="s">
        <v>1638</v>
      </c>
      <c r="E122" s="462">
        <f>VLOOKUP(C122,'פ.נ. Australia'!$D$113:$F$305,3,0)</f>
        <v>-92516.94</v>
      </c>
      <c r="F122" s="460">
        <f>SUMIF('פ.נ. Australia'!C:C,C:C,'פ.נ. Australia'!E:E)</f>
        <v>0</v>
      </c>
      <c r="G122" s="399"/>
      <c r="H122" s="51"/>
      <c r="I122" s="399"/>
      <c r="J122" s="170">
        <f t="shared" si="25"/>
        <v>-92516.94</v>
      </c>
      <c r="K122" s="171">
        <f>M122+SUMIF('פ.נ. Australia'!C:C,'מאזן בוחן Australia'!C122,'פ.נ. Australia'!F:F)</f>
        <v>-70344.44</v>
      </c>
      <c r="L122" s="52"/>
      <c r="M122" s="171">
        <f>IFERROR(VLOOKUP(C122,'פ.נ. Australia'!$D$113:$G$305,4,0),"")</f>
        <v>-70344.44</v>
      </c>
      <c r="N122" s="1134">
        <f t="shared" si="26"/>
        <v>1.3151990406064786</v>
      </c>
      <c r="O122" s="472"/>
      <c r="P122" s="842"/>
    </row>
    <row r="123" spans="1:18" s="137" customFormat="1" ht="13.5" thickBot="1">
      <c r="A123" s="2883"/>
      <c r="B123" s="3628" t="s">
        <v>693</v>
      </c>
      <c r="C123" s="585">
        <v>53513</v>
      </c>
      <c r="D123" s="1107" t="s">
        <v>1344</v>
      </c>
      <c r="E123" s="462">
        <f>VLOOKUP(C123,'פ.נ. Australia'!$D$113:$F$305,3,0)</f>
        <v>-922604.81</v>
      </c>
      <c r="F123" s="460">
        <f>SUMIF('פ.נ. Australia'!C:C,C:C,'פ.נ. Australia'!E:E)</f>
        <v>0</v>
      </c>
      <c r="G123" s="399"/>
      <c r="H123" s="51"/>
      <c r="I123" s="399"/>
      <c r="J123" s="170">
        <f t="shared" si="25"/>
        <v>-922604.81</v>
      </c>
      <c r="K123" s="1127">
        <f>M123+SUMIF('פ.נ. Australia'!C:C,'מאזן בוחן Australia'!C123,'פ.נ. Australia'!F:F)</f>
        <v>-669340.17000000004</v>
      </c>
      <c r="L123" s="2222">
        <f>J123-Q120-Q121</f>
        <v>-8.900000003632158E-2</v>
      </c>
      <c r="M123" s="474">
        <f>IFERROR(VLOOKUP(C123,'פ.נ. Australia'!$D$113:$G$305,4,0),"")</f>
        <v>-669340.17000000004</v>
      </c>
      <c r="N123" s="1134">
        <f t="shared" si="26"/>
        <v>1.3783795614717103</v>
      </c>
      <c r="O123" s="472"/>
      <c r="P123" s="1117"/>
    </row>
    <row r="124" spans="1:18" s="137" customFormat="1" ht="13.5" thickBot="1">
      <c r="A124" s="2883"/>
      <c r="B124" s="3627" t="s">
        <v>1019</v>
      </c>
      <c r="C124" s="585">
        <v>53514</v>
      </c>
      <c r="D124" s="1107" t="s">
        <v>1311</v>
      </c>
      <c r="E124" s="462">
        <f>VLOOKUP(C124,'פ.נ. Australia'!$D$113:$F$305,3,0)</f>
        <v>-46878.79</v>
      </c>
      <c r="F124" s="460">
        <f>SUMIF('פ.נ. Australia'!C:C,C:C,'פ.נ. Australia'!E:E)</f>
        <v>0</v>
      </c>
      <c r="G124" s="399"/>
      <c r="H124" s="51"/>
      <c r="I124" s="399"/>
      <c r="J124" s="170">
        <f t="shared" si="25"/>
        <v>-46878.79</v>
      </c>
      <c r="K124" s="171">
        <f>M124+SUMIF('פ.נ. Australia'!C:C,'מאזן בוחן Australia'!C124,'פ.נ. Australia'!F:F)</f>
        <v>-34051.5</v>
      </c>
      <c r="L124" s="956">
        <f>Q119-K124</f>
        <v>0</v>
      </c>
      <c r="M124" s="171">
        <f>IFERROR(VLOOKUP(C124,'פ.נ. Australia'!$D$113:$G$305,4,0),"")</f>
        <v>-34051.5</v>
      </c>
      <c r="N124" s="1134">
        <f t="shared" si="26"/>
        <v>1.3767026415870078</v>
      </c>
      <c r="O124" s="472"/>
      <c r="P124" s="1117"/>
    </row>
    <row r="125" spans="1:18" s="137" customFormat="1" ht="13.5" thickBot="1">
      <c r="A125" s="2883"/>
      <c r="B125" s="3627" t="s">
        <v>693</v>
      </c>
      <c r="C125" s="585">
        <v>53599</v>
      </c>
      <c r="D125" s="1107" t="s">
        <v>1952</v>
      </c>
      <c r="E125" s="462">
        <f>VLOOKUP(C125,'פ.נ. Australia'!$D$113:$F$305,3,0)</f>
        <v>-374185.9</v>
      </c>
      <c r="F125" s="460">
        <f>SUMIF('פ.נ. Australia'!C:C,C:C,'פ.נ. Australia'!E:E)</f>
        <v>0</v>
      </c>
      <c r="G125" s="399"/>
      <c r="H125" s="51"/>
      <c r="I125" s="399"/>
      <c r="J125" s="170">
        <f t="shared" si="25"/>
        <v>-374185.9</v>
      </c>
      <c r="K125" s="171">
        <f>M125+SUMIF('פ.נ. Australia'!C:C,'מאזן בוחן Australia'!C125,'פ.נ. Australia'!F:F)</f>
        <v>-267229.67</v>
      </c>
      <c r="L125" s="956" cm="1">
        <f t="array" ref="L125">+SUM(-'[138]פקודת תיקון 2021 2022'!$N$3:$N$14,-'[138]AU420600088 תיקון'!$R$30)+J125</f>
        <v>-2.7605379116721451E-2</v>
      </c>
      <c r="M125" s="171">
        <f>IFERROR(VLOOKUP(C125,'פ.נ. Australia'!$D$113:$G$305,4,0),"")</f>
        <v>-267229.67</v>
      </c>
      <c r="N125" s="1570">
        <f t="shared" si="26"/>
        <v>1.4002408490045288</v>
      </c>
      <c r="O125" s="1712"/>
      <c r="P125" s="1927"/>
    </row>
    <row r="126" spans="1:18" s="137" customFormat="1">
      <c r="A126" s="2883"/>
      <c r="B126" s="3627" t="s">
        <v>693</v>
      </c>
      <c r="C126" s="585">
        <v>53510</v>
      </c>
      <c r="D126" s="1107" t="s">
        <v>696</v>
      </c>
      <c r="E126" s="462">
        <f>VLOOKUP(C126,'פ.נ. Australia'!$D$113:$F$305,3,0)</f>
        <v>24616.46</v>
      </c>
      <c r="F126" s="460">
        <f>SUMIF('פ.נ. Australia'!C:C,C:C,'פ.נ. Australia'!E:E)</f>
        <v>0</v>
      </c>
      <c r="G126" s="399"/>
      <c r="H126" s="51"/>
      <c r="I126" s="399"/>
      <c r="J126" s="171">
        <f t="shared" si="25"/>
        <v>24616.46</v>
      </c>
      <c r="K126" s="1127">
        <f>M126+SUMIF('פ.נ. Australia'!C:C,'מאזן בוחן Australia'!C126,'פ.נ. Australia'!F:F)</f>
        <v>17801.07</v>
      </c>
      <c r="L126" s="4309">
        <f>+'606-Prepaid Comm&amp;DR SUB'!D200+'606-Prepaid Comm&amp;DR SUB'!D201+K126+K127+K128+K129</f>
        <v>-5.9723954398068599</v>
      </c>
      <c r="M126" s="474">
        <f>IFERROR(VLOOKUP(C126,'פ.נ. Australia'!$D$113:$G$305,4,0),"")</f>
        <v>17801.07</v>
      </c>
      <c r="N126" s="1134">
        <f t="shared" si="26"/>
        <v>1.3828640637894238</v>
      </c>
      <c r="O126" s="472"/>
      <c r="P126" s="4490" t="s">
        <v>4578</v>
      </c>
    </row>
    <row r="127" spans="1:18" s="137" customFormat="1">
      <c r="A127" s="2883"/>
      <c r="B127" s="3628" t="s">
        <v>693</v>
      </c>
      <c r="C127" s="585">
        <v>53550</v>
      </c>
      <c r="D127" s="1108" t="s">
        <v>1312</v>
      </c>
      <c r="E127" s="462">
        <f>VLOOKUP(C127,'פ.נ. Australia'!$D$113:$F$305,3,0)</f>
        <v>-24616.53</v>
      </c>
      <c r="F127" s="460">
        <f>SUMIF('פ.נ. Australia'!C:C,C:C,'פ.נ. Australia'!E:E)</f>
        <v>0</v>
      </c>
      <c r="G127" s="399"/>
      <c r="H127" s="51"/>
      <c r="I127" s="399"/>
      <c r="J127" s="170">
        <f t="shared" si="25"/>
        <v>-24616.53</v>
      </c>
      <c r="K127" s="1127">
        <f>M127+SUMIF('פ.נ. Australia'!C:C,'מאזן בוחן Australia'!C127,'פ.נ. Australia'!F:F)</f>
        <v>-17801.23</v>
      </c>
      <c r="L127" s="4488"/>
      <c r="M127" s="474">
        <f>IFERROR(VLOOKUP(C127,'פ.נ. Australia'!$D$113:$G$305,4,0),"")</f>
        <v>-17801.23</v>
      </c>
      <c r="N127" s="1134">
        <f t="shared" si="26"/>
        <v>1.3828555667220748</v>
      </c>
      <c r="O127" s="472"/>
      <c r="P127" s="4490"/>
    </row>
    <row r="128" spans="1:18" s="137" customFormat="1">
      <c r="A128" s="2883"/>
      <c r="B128" s="3628" t="s">
        <v>693</v>
      </c>
      <c r="C128" s="585">
        <v>53580</v>
      </c>
      <c r="D128" s="1108" t="s">
        <v>1661</v>
      </c>
      <c r="E128" s="462">
        <f>VLOOKUP(C128,'פ.נ. Australia'!$D$113:$F$305,3,0)</f>
        <v>-551249.99</v>
      </c>
      <c r="F128" s="460">
        <f>SUMIF('פ.נ. Australia'!C:C,C:C,'פ.נ. Australia'!E:E)</f>
        <v>0</v>
      </c>
      <c r="G128" s="399"/>
      <c r="H128" s="51"/>
      <c r="I128" s="399"/>
      <c r="J128" s="170">
        <f t="shared" si="25"/>
        <v>-551249.99</v>
      </c>
      <c r="K128" s="1127">
        <f>M128+SUMIF('פ.נ. Australia'!C:C,'מאזן בוחן Australia'!C128,'פ.נ. Australia'!F:F)</f>
        <v>-390103.81</v>
      </c>
      <c r="L128" s="4488"/>
      <c r="M128" s="474">
        <f>IFERROR(VLOOKUP(C128,'פ.נ. Australia'!$D$113:$G$305,4,0),"")</f>
        <v>-390103.81</v>
      </c>
      <c r="N128" s="1134">
        <f t="shared" si="26"/>
        <v>1.4130853784791284</v>
      </c>
      <c r="O128" s="472"/>
      <c r="P128" s="4490"/>
    </row>
    <row r="129" spans="1:43" s="137" customFormat="1" ht="13.5" thickBot="1">
      <c r="A129" s="2883"/>
      <c r="B129" s="3628" t="s">
        <v>1019</v>
      </c>
      <c r="C129" s="585">
        <v>53581</v>
      </c>
      <c r="D129" s="1108" t="s">
        <v>1662</v>
      </c>
      <c r="E129" s="462">
        <f>IFERROR(VLOOKUP(C129,'פ.נ. Australia'!$D$113:$F$305,3,0),0)</f>
        <v>-322258.74</v>
      </c>
      <c r="F129" s="460">
        <f>SUMIF('פ.נ. Australia'!C:C,C:C,'פ.נ. Australia'!E:E)</f>
        <v>0</v>
      </c>
      <c r="G129" s="399"/>
      <c r="H129" s="51"/>
      <c r="I129" s="399"/>
      <c r="J129" s="170">
        <f t="shared" si="25"/>
        <v>-322258.74</v>
      </c>
      <c r="K129" s="1127">
        <f>M129+SUMIF('פ.נ. Australia'!C:C,'מאזן בוחן Australia'!C129,'פ.נ. Australia'!F:F)</f>
        <v>-234069.13</v>
      </c>
      <c r="L129" s="4310"/>
      <c r="M129" s="474">
        <f>IFERROR(VLOOKUP(C129,'פ.נ. Australia'!$D$113:$G$305,4,0),"")</f>
        <v>-234069.13</v>
      </c>
      <c r="N129" s="1134">
        <f t="shared" si="26"/>
        <v>1.3767673678284702</v>
      </c>
      <c r="O129" s="472"/>
      <c r="P129" s="4490"/>
    </row>
    <row r="130" spans="1:43" s="137" customFormat="1" ht="13.5" thickBot="1">
      <c r="A130" s="2883"/>
      <c r="B130" s="3628"/>
      <c r="C130" s="585"/>
      <c r="D130" s="1108"/>
      <c r="E130" s="462"/>
      <c r="F130" s="460"/>
      <c r="G130" s="399"/>
      <c r="H130" s="51"/>
      <c r="I130" s="399"/>
      <c r="J130" s="170"/>
      <c r="K130" s="171"/>
      <c r="L130" s="51"/>
      <c r="M130" s="171"/>
      <c r="N130" s="1134"/>
      <c r="O130" s="472"/>
      <c r="P130" s="432"/>
    </row>
    <row r="131" spans="1:43" s="137" customFormat="1" ht="13.5" thickBot="1">
      <c r="A131" s="2883"/>
      <c r="B131" s="3628" t="s">
        <v>693</v>
      </c>
      <c r="C131" s="585" t="s">
        <v>1868</v>
      </c>
      <c r="D131" s="1107" t="s">
        <v>1869</v>
      </c>
      <c r="E131" s="1151">
        <f>IFERROR(VLOOKUP(C131,'פ.נ. Australia'!$D$113:$F$305,3,0),0)</f>
        <v>2774231.55</v>
      </c>
      <c r="F131" s="460">
        <f>SUMIF('פ.נ. Australia'!C:C,C:C,'פ.נ. Australia'!E:E)</f>
        <v>0</v>
      </c>
      <c r="G131" s="399"/>
      <c r="H131" s="51"/>
      <c r="I131" s="399"/>
      <c r="J131" s="170">
        <f>SUM(E131:I131)</f>
        <v>2774231.55</v>
      </c>
      <c r="K131" s="171">
        <f>M131+SUMIF('פ.נ. Australia'!C:C,'מאזן בוחן Australia'!C131,'פ.נ. Australia'!F:F)</f>
        <v>2015822.66</v>
      </c>
      <c r="L131" s="956">
        <f>SUM('[17]12.2021'!$B$14061)+SUM(K119:K131)</f>
        <v>0.34035903308540583</v>
      </c>
      <c r="M131" s="171">
        <f>IFERROR(VLOOKUP(C131,'פ.נ. Australia'!$D$113:$G$305,4,0),"")</f>
        <v>2015822.66</v>
      </c>
      <c r="N131" s="1134">
        <f>IF(K131=0,"-",J131/K131)</f>
        <v>1.3762279812848219</v>
      </c>
      <c r="O131" s="472"/>
      <c r="P131" s="842" t="s">
        <v>2701</v>
      </c>
    </row>
    <row r="132" spans="1:43" s="137" customFormat="1">
      <c r="A132" s="2883"/>
      <c r="B132" s="3630"/>
      <c r="C132" s="421"/>
      <c r="D132" s="61"/>
      <c r="E132" s="3533"/>
      <c r="F132" s="460"/>
      <c r="G132" s="399"/>
      <c r="H132" s="51"/>
      <c r="I132" s="399"/>
      <c r="J132" s="51"/>
      <c r="K132" s="430"/>
      <c r="L132" s="439"/>
      <c r="M132" s="439"/>
      <c r="N132" s="555"/>
      <c r="O132" s="555"/>
      <c r="P132" s="432"/>
    </row>
    <row r="133" spans="1:43" s="137" customFormat="1">
      <c r="A133" s="2883"/>
      <c r="B133" s="3628"/>
      <c r="C133" s="1164"/>
      <c r="D133" s="69"/>
      <c r="E133" s="3539">
        <f t="shared" ref="E133:K133" si="27">SUM(E115:E132)</f>
        <v>-3637445.0500000007</v>
      </c>
      <c r="F133" s="3364">
        <f t="shared" si="27"/>
        <v>0</v>
      </c>
      <c r="G133" s="3364">
        <f t="shared" si="27"/>
        <v>0</v>
      </c>
      <c r="H133" s="3364">
        <f t="shared" si="27"/>
        <v>0</v>
      </c>
      <c r="I133" s="3364">
        <f t="shared" si="27"/>
        <v>0</v>
      </c>
      <c r="J133" s="3364">
        <f t="shared" si="27"/>
        <v>-3637445.0500000007</v>
      </c>
      <c r="K133" s="3364">
        <f t="shared" si="27"/>
        <v>-2679315.63</v>
      </c>
      <c r="L133" s="2945"/>
      <c r="M133" s="3364">
        <f>SUM(M115:M132)</f>
        <v>-2679315.63</v>
      </c>
      <c r="N133" s="1134"/>
      <c r="O133" s="472"/>
      <c r="P133" s="842"/>
    </row>
    <row r="134" spans="1:43" s="137" customFormat="1">
      <c r="A134" s="2883"/>
      <c r="B134" s="3628"/>
      <c r="C134" s="407"/>
      <c r="D134" s="50"/>
      <c r="E134" s="3534"/>
      <c r="F134" s="460"/>
      <c r="G134" s="399"/>
      <c r="H134" s="51"/>
      <c r="I134" s="399"/>
      <c r="J134" s="440"/>
      <c r="K134" s="1335"/>
      <c r="L134" s="967"/>
      <c r="M134" s="1334"/>
      <c r="N134" s="1134"/>
      <c r="O134" s="472"/>
      <c r="P134" s="842"/>
    </row>
    <row r="135" spans="1:43" s="137" customFormat="1">
      <c r="A135" s="2883"/>
      <c r="B135" s="3628"/>
      <c r="C135" s="1164"/>
      <c r="D135" s="69" t="s">
        <v>79</v>
      </c>
      <c r="E135" s="3539">
        <f t="shared" ref="E135:K135" si="28">E133+E113+E104+E86</f>
        <v>-4033149.0000000009</v>
      </c>
      <c r="F135" s="3364">
        <f t="shared" si="28"/>
        <v>0</v>
      </c>
      <c r="G135" s="3364">
        <f t="shared" si="28"/>
        <v>0</v>
      </c>
      <c r="H135" s="3364">
        <f t="shared" si="28"/>
        <v>0</v>
      </c>
      <c r="I135" s="3364">
        <f t="shared" si="28"/>
        <v>0</v>
      </c>
      <c r="J135" s="3364">
        <f t="shared" si="28"/>
        <v>-4033149.0000000009</v>
      </c>
      <c r="K135" s="3364">
        <f t="shared" si="28"/>
        <v>-2964465.8200000003</v>
      </c>
      <c r="L135" s="2945"/>
      <c r="M135" s="3364">
        <f>M133+M113+M104+M86</f>
        <v>-2964465.8200000003</v>
      </c>
      <c r="N135" s="1134"/>
      <c r="O135" s="472"/>
      <c r="P135" s="842"/>
    </row>
    <row r="136" spans="1:43" s="137" customFormat="1" ht="13.5" thickBot="1">
      <c r="A136" s="2883"/>
      <c r="B136" s="3628"/>
      <c r="C136" s="407"/>
      <c r="D136" s="48"/>
      <c r="E136" s="3534"/>
      <c r="F136" s="3568"/>
      <c r="G136" s="476"/>
      <c r="H136" s="475"/>
      <c r="I136" s="476"/>
      <c r="J136" s="440"/>
      <c r="K136" s="446"/>
      <c r="L136" s="967"/>
      <c r="M136" s="589"/>
      <c r="N136" s="1134"/>
      <c r="O136" s="472"/>
      <c r="P136" s="842"/>
    </row>
    <row r="137" spans="1:43" s="137" customFormat="1" ht="13.5" thickBot="1">
      <c r="A137" s="2883"/>
      <c r="B137" s="3628" t="s">
        <v>1510</v>
      </c>
      <c r="C137" s="585">
        <v>53600</v>
      </c>
      <c r="D137" s="448" t="s">
        <v>1511</v>
      </c>
      <c r="E137" s="462">
        <f>IFERROR(VLOOKUP(C137,'פ.נ. Australia'!$D$113:$F$305,3,0),0)</f>
        <v>-2774231.55</v>
      </c>
      <c r="F137" s="462">
        <f>SUMIF('פ.נ. Australia'!C:C,C:C,'פ.נ. Australia'!E:E)</f>
        <v>0</v>
      </c>
      <c r="G137" s="439"/>
      <c r="H137" s="52"/>
      <c r="I137" s="439"/>
      <c r="J137" s="170">
        <f>SUM(E137:I137)</f>
        <v>-2774231.55</v>
      </c>
      <c r="K137" s="171">
        <f>M137+SUMIF('פ.נ. Australia'!C:C,'מאזן בוחן Australia'!C137,'פ.נ. Australia'!F:F)</f>
        <v>-2015822.66</v>
      </c>
      <c r="L137" s="956">
        <f>K137+'[17]12.2021'!$A$14063</f>
        <v>-2.7544789481908083E-3</v>
      </c>
      <c r="M137" s="171">
        <f>IFERROR(VLOOKUP(C137,'פ.נ. Australia'!$D$113:$G$305,4,0),"")</f>
        <v>-2015822.66</v>
      </c>
      <c r="N137" s="1570">
        <f>IF(K137=0,"-",J137/K137)</f>
        <v>1.3762279812848219</v>
      </c>
      <c r="O137" s="1712"/>
      <c r="P137" s="842"/>
    </row>
    <row r="138" spans="1:43" s="137" customFormat="1">
      <c r="A138" s="2883"/>
      <c r="B138" s="3628"/>
      <c r="C138" s="421"/>
      <c r="D138" s="48"/>
      <c r="E138" s="1107"/>
      <c r="F138" s="3568"/>
      <c r="G138" s="476"/>
      <c r="H138" s="475"/>
      <c r="I138" s="476"/>
      <c r="J138" s="440"/>
      <c r="K138" s="446"/>
      <c r="L138" s="51"/>
      <c r="M138" s="446"/>
      <c r="N138" s="1134"/>
      <c r="O138" s="472"/>
      <c r="P138" s="842"/>
    </row>
    <row r="139" spans="1:43" s="137" customFormat="1">
      <c r="A139" s="2883"/>
      <c r="B139" s="3628"/>
      <c r="C139" s="1164"/>
      <c r="D139" s="708"/>
      <c r="E139" s="3535">
        <f t="shared" ref="E139:K139" si="29">SUM(E137:E138)</f>
        <v>-2774231.55</v>
      </c>
      <c r="F139" s="3564">
        <f t="shared" si="29"/>
        <v>0</v>
      </c>
      <c r="G139" s="3564">
        <f t="shared" si="29"/>
        <v>0</v>
      </c>
      <c r="H139" s="3564">
        <f t="shared" si="29"/>
        <v>0</v>
      </c>
      <c r="I139" s="3564">
        <f t="shared" si="29"/>
        <v>0</v>
      </c>
      <c r="J139" s="3554">
        <f t="shared" si="29"/>
        <v>-2774231.55</v>
      </c>
      <c r="K139" s="3554">
        <f t="shared" si="29"/>
        <v>-2015822.66</v>
      </c>
      <c r="L139" s="3555"/>
      <c r="M139" s="3554">
        <f>SUM(M137:M138)</f>
        <v>-2015822.66</v>
      </c>
      <c r="N139" s="1134"/>
      <c r="O139" s="472"/>
      <c r="P139" s="842"/>
    </row>
    <row r="140" spans="1:43" s="137" customFormat="1">
      <c r="A140" s="2883"/>
      <c r="B140" s="3628"/>
      <c r="C140" s="407"/>
      <c r="D140" s="1204"/>
      <c r="E140" s="3534"/>
      <c r="F140" s="3568"/>
      <c r="G140" s="476"/>
      <c r="H140" s="475"/>
      <c r="I140" s="476"/>
      <c r="J140" s="440"/>
      <c r="K140" s="446"/>
      <c r="L140" s="51"/>
      <c r="M140" s="446"/>
      <c r="N140" s="1134"/>
      <c r="O140" s="472"/>
      <c r="P140" s="842"/>
    </row>
    <row r="141" spans="1:43" s="137" customFormat="1">
      <c r="A141" s="2883"/>
      <c r="B141" s="3628"/>
      <c r="C141" s="156"/>
      <c r="D141" s="63"/>
      <c r="E141" s="3533"/>
      <c r="F141" s="460"/>
      <c r="G141" s="399"/>
      <c r="H141" s="63"/>
      <c r="I141" s="399"/>
      <c r="J141" s="440">
        <f>SUM(E141:I141)</f>
        <v>0</v>
      </c>
      <c r="K141" s="446"/>
      <c r="L141" s="51"/>
      <c r="M141" s="446"/>
      <c r="N141" s="1134"/>
      <c r="O141" s="472"/>
      <c r="P141" s="842"/>
    </row>
    <row r="142" spans="1:43" s="137" customFormat="1">
      <c r="A142" s="2883"/>
      <c r="B142" s="3628"/>
      <c r="C142" s="1164"/>
      <c r="D142" s="708"/>
      <c r="E142" s="3535">
        <f>SUM(E141:E141)</f>
        <v>0</v>
      </c>
      <c r="F142" s="3564">
        <f t="shared" ref="F142:K142" si="30">SUM(F141:F141)</f>
        <v>0</v>
      </c>
      <c r="G142" s="3564">
        <f t="shared" si="30"/>
        <v>0</v>
      </c>
      <c r="H142" s="3564">
        <f t="shared" si="30"/>
        <v>0</v>
      </c>
      <c r="I142" s="3564">
        <f t="shared" si="30"/>
        <v>0</v>
      </c>
      <c r="J142" s="3554">
        <f t="shared" si="30"/>
        <v>0</v>
      </c>
      <c r="K142" s="3554">
        <f t="shared" si="30"/>
        <v>0</v>
      </c>
      <c r="L142" s="3555"/>
      <c r="M142" s="3554">
        <f>SUM(M141:M141)</f>
        <v>0</v>
      </c>
      <c r="N142" s="1134"/>
      <c r="O142" s="472"/>
      <c r="P142" s="842"/>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row>
    <row r="143" spans="1:43" s="137" customFormat="1">
      <c r="A143" s="2883"/>
      <c r="B143" s="3628"/>
      <c r="C143" s="155"/>
      <c r="D143" s="59" t="s">
        <v>81</v>
      </c>
      <c r="E143" s="1107"/>
      <c r="F143" s="460"/>
      <c r="G143" s="399"/>
      <c r="H143" s="51"/>
      <c r="I143" s="399"/>
      <c r="J143" s="440"/>
      <c r="K143" s="446"/>
      <c r="L143" s="51"/>
      <c r="M143" s="446"/>
      <c r="N143" s="1134"/>
      <c r="O143" s="472"/>
      <c r="P143" s="842"/>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row>
    <row r="144" spans="1:43" s="137" customFormat="1">
      <c r="A144" s="2883"/>
      <c r="B144" s="3628"/>
      <c r="C144" s="155"/>
      <c r="D144" s="59"/>
      <c r="E144" s="1107"/>
      <c r="F144" s="460"/>
      <c r="G144" s="399"/>
      <c r="H144" s="51"/>
      <c r="I144" s="399"/>
      <c r="J144" s="440"/>
      <c r="K144" s="446"/>
      <c r="L144" s="51"/>
      <c r="M144" s="446"/>
      <c r="N144" s="1134"/>
      <c r="O144" s="472"/>
      <c r="P144" s="445"/>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row>
    <row r="145" spans="1:50" s="137" customFormat="1" ht="13.5" thickBot="1">
      <c r="A145" s="2883"/>
      <c r="B145" s="3645" t="s">
        <v>1963</v>
      </c>
      <c r="C145" s="1119">
        <v>3000001</v>
      </c>
      <c r="D145" s="1119" t="s">
        <v>1964</v>
      </c>
      <c r="E145" s="462">
        <f>VLOOKUP(C145,'פ.נ. Australia'!$D$113:$F$305,3,0)</f>
        <v>-1</v>
      </c>
      <c r="F145" s="460"/>
      <c r="G145" s="399"/>
      <c r="H145" s="51"/>
      <c r="I145" s="399"/>
      <c r="J145" s="170">
        <f>SUM(E145:I145)</f>
        <v>-1</v>
      </c>
      <c r="K145" s="171">
        <f>M145+SUMIF('פ.נ. Australia'!C:C,'מאזן בוחן Australia'!C145,'פ.נ. Australia'!F:F)</f>
        <v>-0.8</v>
      </c>
      <c r="L145" s="51"/>
      <c r="M145" s="171">
        <f>IFERROR(VLOOKUP(C145,'פ.נ. Australia'!$D$113:$G$305,4,0),"")</f>
        <v>-0.8</v>
      </c>
      <c r="N145" s="1134">
        <f>IF(K145=0,"-",J145/K145)</f>
        <v>1.25</v>
      </c>
      <c r="O145" s="472"/>
      <c r="P145" s="3530" t="s">
        <v>1965</v>
      </c>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row>
    <row r="146" spans="1:50" s="479" customFormat="1" ht="13.5" thickBot="1">
      <c r="A146" s="2883"/>
      <c r="B146" s="3628" t="s">
        <v>1050</v>
      </c>
      <c r="C146" s="1119">
        <v>3030099</v>
      </c>
      <c r="D146" s="48" t="s">
        <v>1836</v>
      </c>
      <c r="E146" s="462">
        <f>VLOOKUP(C146,'פ.נ. Australia'!$D$113:$F$305,3,0)</f>
        <v>-5538</v>
      </c>
      <c r="F146" s="460">
        <f>SUMIF('פ.נ. Australia'!C:C,C:C,'פ.נ. Australia'!E:E)</f>
        <v>0</v>
      </c>
      <c r="G146" s="399"/>
      <c r="H146" s="51"/>
      <c r="I146" s="399"/>
      <c r="J146" s="170">
        <f>SUM(E146:I146)</f>
        <v>-5538</v>
      </c>
      <c r="K146" s="171">
        <f>M146+SUMIF('פ.נ. Australia'!C:C,'מאזן בוחן Australia'!C146,'פ.נ. Australia'!F:F)</f>
        <v>-3987</v>
      </c>
      <c r="L146" s="956">
        <f>K146+J146-'[19]מאזן בוחן Australia'!$K$138-'[19]מאזן בוחן Australia'!$J$138</f>
        <v>0</v>
      </c>
      <c r="M146" s="171">
        <f>IFERROR(VLOOKUP(C146,'פ.נ. Australia'!$D$113:$G$305,4,0),"")</f>
        <v>-3987</v>
      </c>
      <c r="N146" s="1134">
        <f>IF(K146=0,"-",J146/K146)</f>
        <v>1.3890142964635064</v>
      </c>
      <c r="O146" s="472"/>
      <c r="P146" s="445"/>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137"/>
      <c r="AS146" s="137"/>
      <c r="AT146" s="137"/>
      <c r="AU146" s="137"/>
      <c r="AV146" s="137"/>
      <c r="AW146" s="137"/>
      <c r="AX146" s="141"/>
    </row>
    <row r="147" spans="1:50" s="479" customFormat="1" ht="13.5" thickBot="1">
      <c r="A147" s="2883"/>
      <c r="B147" s="3628" t="s">
        <v>1050</v>
      </c>
      <c r="C147" s="319">
        <v>3030001</v>
      </c>
      <c r="D147" s="318" t="s">
        <v>1051</v>
      </c>
      <c r="E147" s="3540">
        <f>VLOOKUP(C147,'פ.נ. Australia'!$D$113:$F$305,3,0)</f>
        <v>139039.5</v>
      </c>
      <c r="F147" s="460">
        <f>SUMIF('פ.נ. Australia'!C:C,C:C,'פ.נ. Australia'!E:E)</f>
        <v>0</v>
      </c>
      <c r="G147" s="399"/>
      <c r="H147" s="51"/>
      <c r="I147" s="399"/>
      <c r="J147" s="170">
        <f>SUM(E147:I147)</f>
        <v>139039.5</v>
      </c>
      <c r="K147" s="171">
        <f>M147+SUMIF('פ.נ. Australia'!C:C,'מאזן בוחן Australia'!C147,'פ.נ. Australia'!F:F)</f>
        <v>181545.21</v>
      </c>
      <c r="L147" s="956">
        <f>SUM('[44]FS AU'!$D$43,'[44]FS AU'!$D$44)+J147</f>
        <v>4.0745362639427185E-10</v>
      </c>
      <c r="M147" s="171">
        <f>IFERROR(VLOOKUP(C147,'פ.נ. Australia'!$D$113:$G$305,4,0),"")</f>
        <v>181545.21</v>
      </c>
      <c r="N147" s="1134">
        <f>IF(K147=0,"-",J147/K147)</f>
        <v>0.76586708071229204</v>
      </c>
      <c r="O147" s="472"/>
      <c r="P147" s="445"/>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137"/>
      <c r="AS147" s="137"/>
      <c r="AT147" s="137"/>
      <c r="AU147" s="137"/>
      <c r="AV147" s="137"/>
      <c r="AW147" s="137"/>
      <c r="AX147" s="141"/>
    </row>
    <row r="148" spans="1:50" s="137" customFormat="1">
      <c r="A148" s="2883"/>
      <c r="B148" s="3628"/>
      <c r="C148" s="1164"/>
      <c r="D148" s="69"/>
      <c r="E148" s="3535">
        <f>SUM(E145:E147)</f>
        <v>133500.5</v>
      </c>
      <c r="F148" s="3564">
        <f>SUM(F146:F147)</f>
        <v>0</v>
      </c>
      <c r="G148" s="3564">
        <f>SUM(G146:G147)</f>
        <v>0</v>
      </c>
      <c r="H148" s="3564">
        <f>SUM(H146:H147)</f>
        <v>0</v>
      </c>
      <c r="I148" s="3564">
        <f>SUM(I146:I147)</f>
        <v>0</v>
      </c>
      <c r="J148" s="3554">
        <f>SUM(J145:J147)</f>
        <v>133500.5</v>
      </c>
      <c r="K148" s="3554">
        <f>SUM(K145:K147)</f>
        <v>177557.41</v>
      </c>
      <c r="L148" s="3555"/>
      <c r="M148" s="3554">
        <f>SUM(M145:M147)</f>
        <v>177557.41</v>
      </c>
      <c r="N148" s="1134"/>
      <c r="O148" s="472"/>
      <c r="P148" s="445"/>
    </row>
    <row r="149" spans="1:50" s="137" customFormat="1">
      <c r="A149" s="2883"/>
      <c r="B149" s="3628"/>
      <c r="C149" s="407"/>
      <c r="D149" s="54"/>
      <c r="E149" s="3533"/>
      <c r="F149" s="460"/>
      <c r="G149" s="399"/>
      <c r="H149" s="51"/>
      <c r="I149" s="1931"/>
      <c r="J149" s="1930"/>
      <c r="K149" s="967"/>
      <c r="L149" s="51"/>
      <c r="M149" s="399"/>
      <c r="N149" s="1134"/>
      <c r="O149" s="472"/>
      <c r="P149" s="445"/>
    </row>
    <row r="150" spans="1:50" s="137" customFormat="1">
      <c r="A150" s="2883"/>
      <c r="B150" s="3628"/>
      <c r="C150" s="1164"/>
      <c r="D150" s="62" t="s">
        <v>709</v>
      </c>
      <c r="E150" s="1933">
        <f t="shared" ref="E150:K150" si="31">E148+E135+E74+E142+E139</f>
        <v>-6673880.0500000007</v>
      </c>
      <c r="F150" s="3569">
        <f t="shared" si="31"/>
        <v>0</v>
      </c>
      <c r="G150" s="1929">
        <f t="shared" si="31"/>
        <v>0</v>
      </c>
      <c r="H150" s="1929">
        <f t="shared" si="31"/>
        <v>0</v>
      </c>
      <c r="I150" s="1929">
        <f t="shared" si="31"/>
        <v>0</v>
      </c>
      <c r="J150" s="1929">
        <f t="shared" si="31"/>
        <v>-6673880.0500000007</v>
      </c>
      <c r="K150" s="1929">
        <f t="shared" si="31"/>
        <v>-4802731.07</v>
      </c>
      <c r="L150" s="49"/>
      <c r="M150" s="1929">
        <f>M148+M135+M74+M142+M139</f>
        <v>-4802731.07</v>
      </c>
      <c r="N150" s="1134"/>
      <c r="O150" s="472"/>
      <c r="P150" s="169"/>
    </row>
    <row r="151" spans="1:50" s="137" customFormat="1">
      <c r="A151" s="2883"/>
      <c r="B151" s="3628"/>
      <c r="C151" s="421"/>
      <c r="D151" s="54"/>
      <c r="E151" s="3533"/>
      <c r="F151" s="399"/>
      <c r="G151" s="967"/>
      <c r="H151" s="967"/>
      <c r="I151" s="967"/>
      <c r="J151" s="967"/>
      <c r="K151" s="967"/>
      <c r="L151" s="967"/>
      <c r="M151" s="967"/>
      <c r="N151" s="1134"/>
      <c r="O151" s="472"/>
      <c r="P151" s="401"/>
    </row>
    <row r="152" spans="1:50" s="137" customFormat="1">
      <c r="A152" s="2883"/>
      <c r="B152" s="3628"/>
      <c r="C152" s="154"/>
      <c r="D152" s="70" t="s">
        <v>83</v>
      </c>
      <c r="E152" s="3534"/>
      <c r="F152" s="460"/>
      <c r="G152" s="399"/>
      <c r="H152" s="51"/>
      <c r="I152" s="399"/>
      <c r="J152" s="51"/>
      <c r="K152" s="399"/>
      <c r="L152" s="51"/>
      <c r="M152" s="399"/>
      <c r="N152" s="1134"/>
      <c r="O152" s="472"/>
      <c r="P152" s="169"/>
    </row>
    <row r="153" spans="1:50" s="137" customFormat="1">
      <c r="A153" s="2883"/>
      <c r="B153" s="3630"/>
      <c r="C153" s="1165"/>
      <c r="D153" s="70" t="s">
        <v>84</v>
      </c>
      <c r="E153" s="3534"/>
      <c r="F153" s="460"/>
      <c r="G153" s="399"/>
      <c r="H153" s="51"/>
      <c r="I153" s="399"/>
      <c r="J153" s="51"/>
      <c r="K153" s="399"/>
      <c r="L153" s="51"/>
      <c r="M153" s="399"/>
      <c r="N153" s="1134"/>
      <c r="O153" s="472"/>
      <c r="P153" s="401"/>
      <c r="Q153" s="2027" t="s">
        <v>3210</v>
      </c>
      <c r="R153" s="2027" t="s">
        <v>3307</v>
      </c>
      <c r="S153" s="2027" t="s">
        <v>3384</v>
      </c>
      <c r="T153" s="2027" t="s">
        <v>3564</v>
      </c>
      <c r="U153" s="2027" t="s">
        <v>3633</v>
      </c>
      <c r="V153" s="2027" t="s">
        <v>3721</v>
      </c>
      <c r="W153" s="2027" t="s">
        <v>3888</v>
      </c>
      <c r="X153" s="2027" t="s">
        <v>3994</v>
      </c>
      <c r="Y153" s="2027" t="s">
        <v>3556</v>
      </c>
      <c r="Z153" s="2027" t="s">
        <v>3557</v>
      </c>
      <c r="AA153" s="2027" t="s">
        <v>3558</v>
      </c>
      <c r="AB153" s="2027" t="s">
        <v>3559</v>
      </c>
      <c r="AC153" s="2027"/>
      <c r="AD153" s="2027"/>
      <c r="AE153" s="2027"/>
      <c r="AF153" s="2027"/>
      <c r="AG153" s="2027"/>
      <c r="AH153" s="2027"/>
      <c r="AI153" s="2027"/>
      <c r="AJ153" s="2027"/>
      <c r="AK153" s="2027"/>
      <c r="AL153" s="2027"/>
      <c r="AM153" s="2027"/>
      <c r="AN153" s="1952"/>
      <c r="AO153" s="1952"/>
      <c r="AP153" s="389"/>
      <c r="AQ153" s="389"/>
      <c r="AR153" s="52"/>
      <c r="AS153" s="52"/>
      <c r="AT153" s="52"/>
    </row>
    <row r="154" spans="1:50" s="32" customFormat="1">
      <c r="A154" s="530"/>
      <c r="B154" s="3646"/>
      <c r="C154" s="156"/>
      <c r="E154" s="480"/>
      <c r="F154" s="480"/>
      <c r="G154" s="469"/>
      <c r="H154" s="320"/>
      <c r="I154" s="469"/>
      <c r="J154" s="320"/>
      <c r="K154" s="469"/>
      <c r="L154" s="51"/>
      <c r="M154" s="469"/>
      <c r="N154" s="1134"/>
      <c r="O154" s="320"/>
      <c r="P154" s="401"/>
    </row>
    <row r="155" spans="1:50" s="32" customFormat="1">
      <c r="A155" s="530"/>
      <c r="B155" s="3646"/>
      <c r="C155" s="156"/>
      <c r="D155" s="1675" t="s">
        <v>2476</v>
      </c>
      <c r="E155" s="480"/>
      <c r="F155" s="480"/>
      <c r="G155" s="469"/>
      <c r="H155" s="320"/>
      <c r="I155" s="469"/>
      <c r="J155" s="320"/>
      <c r="K155" s="469"/>
      <c r="L155" s="51"/>
      <c r="M155" s="469"/>
      <c r="N155" s="1134"/>
      <c r="O155" s="320"/>
      <c r="P155" s="401"/>
    </row>
    <row r="156" spans="1:50" s="32" customFormat="1">
      <c r="A156" s="530"/>
      <c r="B156" s="3640" t="s">
        <v>713</v>
      </c>
      <c r="C156" s="1336">
        <v>80001</v>
      </c>
      <c r="D156" s="1337" t="s">
        <v>714</v>
      </c>
      <c r="E156" s="462">
        <f>IFERROR(VLOOKUP(C156,'פ.נ. Australia'!$D$113:$F$305,3,0),0)</f>
        <v>-1398737.33</v>
      </c>
      <c r="F156" s="3565">
        <f>SUMIF('פ.נ. Australia'!C:C,C:C,'פ.נ. Australia'!E:E)</f>
        <v>0</v>
      </c>
      <c r="G156" s="1339"/>
      <c r="H156" s="1338"/>
      <c r="I156" s="1339"/>
      <c r="J156" s="1340">
        <f>SUM(E156:I156)</f>
        <v>-1398737.33</v>
      </c>
      <c r="K156" s="4264">
        <f>M156+SUMIF('פ.נ. Australia'!C:C,'מאזן בוחן Australia'!C156,'פ.נ. Australia'!F:F)</f>
        <v>-1035958.08</v>
      </c>
      <c r="L156" s="1338"/>
      <c r="M156" s="1341">
        <f>IFERROR(VLOOKUP(C156,'פ.נ. Australia'!$D$113:$G$305,4,0),"")</f>
        <v>-1035958.08</v>
      </c>
      <c r="N156" s="3557">
        <f>IF(K156=0,"-",J156/K156)</f>
        <v>1.3501871909720518</v>
      </c>
      <c r="O156" s="320"/>
      <c r="P156" s="3570" t="s">
        <v>2837</v>
      </c>
      <c r="Q156" s="137">
        <v>0</v>
      </c>
      <c r="R156" s="137">
        <v>0</v>
      </c>
      <c r="S156" s="137">
        <v>-124069.75999999999</v>
      </c>
      <c r="T156" s="137">
        <v>0</v>
      </c>
      <c r="U156" s="137">
        <v>0</v>
      </c>
      <c r="V156" s="137">
        <v>-188480.83999999997</v>
      </c>
      <c r="W156" s="137">
        <v>0</v>
      </c>
      <c r="X156" s="137">
        <v>-7625.2800000000279</v>
      </c>
      <c r="Y156" s="137">
        <v>-280867.21999999997</v>
      </c>
      <c r="Z156" s="137">
        <v>-64552.739999999991</v>
      </c>
      <c r="AA156" s="137">
        <v>0</v>
      </c>
      <c r="AB156" s="137">
        <f>$K156-SUM($Q156:AA156)</f>
        <v>-370362.24</v>
      </c>
      <c r="AC156" s="137"/>
      <c r="AD156" s="137"/>
      <c r="AE156" s="137"/>
      <c r="AF156" s="137"/>
      <c r="AG156" s="137"/>
      <c r="AH156" s="137"/>
      <c r="AI156" s="137"/>
      <c r="AJ156" s="137"/>
      <c r="AK156" s="137"/>
      <c r="AM156" s="137"/>
      <c r="AN156" s="137"/>
      <c r="AO156" s="137"/>
      <c r="AP156" s="137"/>
      <c r="AQ156" s="137"/>
      <c r="AR156" s="995"/>
    </row>
    <row r="157" spans="1:50" s="32" customFormat="1">
      <c r="A157" s="530"/>
      <c r="B157" s="3628" t="s">
        <v>713</v>
      </c>
      <c r="C157" s="585">
        <v>80101</v>
      </c>
      <c r="D157" s="159" t="s">
        <v>1320</v>
      </c>
      <c r="E157" s="462"/>
      <c r="F157" s="460">
        <f>SUMIF('פ.נ. Australia'!C:C,C:C,'פ.נ. Australia'!E:E)</f>
        <v>0</v>
      </c>
      <c r="G157" s="399"/>
      <c r="H157" s="51"/>
      <c r="I157" s="399"/>
      <c r="J157" s="170">
        <f>SUM(E157:I157)</f>
        <v>0</v>
      </c>
      <c r="K157" s="4265">
        <f>M157+SUMIF('פ.נ. Australia'!C:C,'מאזן בוחן Australia'!C157,'פ.נ. Australia'!F:F)</f>
        <v>0</v>
      </c>
      <c r="L157" s="51"/>
      <c r="M157" s="171" t="str">
        <f>IFERROR(VLOOKUP(C157,'פ.נ. Australia'!$D$113:$G$305,4,0),"")</f>
        <v/>
      </c>
      <c r="N157" s="1134" t="str">
        <f>IF(K157=0,"-",J157/K157)</f>
        <v>-</v>
      </c>
      <c r="O157" s="320"/>
      <c r="P157" s="3570"/>
      <c r="Q157" s="137">
        <v>0</v>
      </c>
      <c r="R157" s="137">
        <v>0</v>
      </c>
      <c r="S157" s="137">
        <v>0</v>
      </c>
      <c r="T157" s="137">
        <v>0</v>
      </c>
      <c r="U157" s="137">
        <v>0</v>
      </c>
      <c r="V157" s="137">
        <v>0</v>
      </c>
      <c r="W157" s="137">
        <v>0</v>
      </c>
      <c r="X157" s="137">
        <v>0</v>
      </c>
      <c r="Y157" s="137">
        <v>0</v>
      </c>
      <c r="Z157" s="137">
        <v>0</v>
      </c>
      <c r="AA157" s="137">
        <v>0</v>
      </c>
      <c r="AB157" s="137">
        <f>$K157-SUM($Q157:AA157)</f>
        <v>0</v>
      </c>
      <c r="AC157" s="137"/>
      <c r="AD157" s="137"/>
      <c r="AE157" s="137"/>
      <c r="AF157" s="137"/>
      <c r="AG157" s="137"/>
      <c r="AH157" s="137"/>
      <c r="AI157" s="137"/>
      <c r="AJ157" s="137"/>
      <c r="AK157" s="137"/>
      <c r="AL157" s="137"/>
      <c r="AM157" s="137"/>
      <c r="AN157" s="137"/>
      <c r="AO157" s="137"/>
      <c r="AP157" s="137"/>
      <c r="AQ157" s="137"/>
      <c r="AR157" s="1371"/>
    </row>
    <row r="158" spans="1:50" s="32" customFormat="1">
      <c r="A158" s="530"/>
      <c r="B158" s="3646"/>
      <c r="C158" s="156"/>
      <c r="D158" s="1675" t="s">
        <v>2477</v>
      </c>
      <c r="E158" s="462"/>
      <c r="F158" s="480"/>
      <c r="G158" s="469"/>
      <c r="H158" s="320"/>
      <c r="I158" s="469"/>
      <c r="J158" s="320"/>
      <c r="K158" s="469"/>
      <c r="L158" s="51"/>
      <c r="M158" s="469"/>
      <c r="N158" s="1134"/>
      <c r="O158" s="320"/>
      <c r="P158" s="401"/>
      <c r="Q158" s="137">
        <v>0</v>
      </c>
      <c r="R158" s="137">
        <v>0</v>
      </c>
      <c r="S158" s="137">
        <v>0</v>
      </c>
      <c r="T158" s="137">
        <v>0</v>
      </c>
      <c r="U158" s="137">
        <v>0</v>
      </c>
      <c r="V158" s="137">
        <v>0</v>
      </c>
      <c r="W158" s="137">
        <v>0</v>
      </c>
      <c r="X158" s="137">
        <v>0</v>
      </c>
      <c r="Y158" s="137">
        <v>0</v>
      </c>
      <c r="Z158" s="137">
        <v>0</v>
      </c>
      <c r="AA158" s="137">
        <v>0</v>
      </c>
      <c r="AB158" s="137">
        <f>$K158-SUM($Q158:AA158)</f>
        <v>0</v>
      </c>
      <c r="AC158" s="137"/>
      <c r="AD158" s="137"/>
      <c r="AE158" s="137"/>
      <c r="AF158" s="137"/>
      <c r="AG158" s="137"/>
      <c r="AH158" s="137"/>
      <c r="AI158" s="137"/>
      <c r="AJ158" s="137"/>
      <c r="AK158" s="137"/>
      <c r="AL158" s="137"/>
      <c r="AM158" s="137"/>
      <c r="AN158" s="137"/>
      <c r="AO158" s="137"/>
      <c r="AP158" s="137"/>
      <c r="AQ158" s="137"/>
    </row>
    <row r="159" spans="1:50" s="32" customFormat="1">
      <c r="A159" s="530"/>
      <c r="B159" s="3640" t="s">
        <v>713</v>
      </c>
      <c r="C159" s="1336">
        <v>80002</v>
      </c>
      <c r="D159" s="1337" t="s">
        <v>715</v>
      </c>
      <c r="E159" s="462">
        <f>IFERROR(VLOOKUP(C159,'פ.נ. Australia'!$D$113:$F$305,3,0),0)</f>
        <v>-204104</v>
      </c>
      <c r="F159" s="3565">
        <f>SUMIF('פ.נ. Australia'!C:C,C:C,'פ.נ. Australia'!E:E)</f>
        <v>0</v>
      </c>
      <c r="G159" s="1339"/>
      <c r="H159" s="1338"/>
      <c r="I159" s="1339"/>
      <c r="J159" s="1340">
        <f>SUM(E159:I159)</f>
        <v>-204104</v>
      </c>
      <c r="K159" s="4264">
        <f>M159+SUMIF('פ.נ. Australia'!C:C,'מאזן בוחן Australia'!C159,'פ.נ. Australia'!F:F)</f>
        <v>-150900.51</v>
      </c>
      <c r="L159" s="1338"/>
      <c r="M159" s="1341">
        <f>IFERROR(VLOOKUP(C159,'פ.נ. Australia'!$D$113:$G$305,4,0),"")</f>
        <v>-150900.51</v>
      </c>
      <c r="N159" s="3557">
        <f>IF(K159=0,"-",J159/K159)</f>
        <v>1.3525732948152394</v>
      </c>
      <c r="O159" s="1609"/>
      <c r="P159" s="3570"/>
      <c r="Q159" s="137">
        <v>0</v>
      </c>
      <c r="R159" s="137">
        <v>0</v>
      </c>
      <c r="S159" s="137">
        <v>0</v>
      </c>
      <c r="T159" s="137">
        <v>0</v>
      </c>
      <c r="U159" s="137">
        <v>0</v>
      </c>
      <c r="V159" s="137">
        <v>0</v>
      </c>
      <c r="W159" s="137">
        <v>0</v>
      </c>
      <c r="X159" s="137">
        <v>0</v>
      </c>
      <c r="Y159" s="137">
        <v>-150900.51</v>
      </c>
      <c r="Z159" s="137">
        <v>0</v>
      </c>
      <c r="AA159" s="137">
        <v>0</v>
      </c>
      <c r="AB159" s="137">
        <f>$K159-SUM($Q159:AA159)</f>
        <v>0</v>
      </c>
      <c r="AC159" s="137"/>
      <c r="AD159" s="137"/>
      <c r="AE159" s="137"/>
      <c r="AF159" s="137"/>
      <c r="AG159" s="137"/>
      <c r="AH159" s="137"/>
      <c r="AI159" s="137"/>
      <c r="AJ159" s="137"/>
      <c r="AK159" s="137"/>
      <c r="AL159" s="137"/>
      <c r="AM159" s="137"/>
      <c r="AN159" s="137"/>
      <c r="AO159" s="137"/>
      <c r="AP159" s="137"/>
      <c r="AQ159" s="137"/>
      <c r="AR159" s="254"/>
    </row>
    <row r="160" spans="1:50" s="32" customFormat="1">
      <c r="A160" s="530"/>
      <c r="B160" s="3628"/>
      <c r="C160" s="585"/>
      <c r="D160" s="1675" t="s">
        <v>2472</v>
      </c>
      <c r="E160" s="462"/>
      <c r="F160" s="460"/>
      <c r="G160" s="399"/>
      <c r="H160" s="51"/>
      <c r="I160" s="399"/>
      <c r="J160" s="170"/>
      <c r="K160" s="171"/>
      <c r="L160" s="51"/>
      <c r="M160" s="171"/>
      <c r="N160" s="1134"/>
      <c r="O160" s="320"/>
      <c r="P160" s="3570"/>
      <c r="Q160" s="137">
        <v>0</v>
      </c>
      <c r="R160" s="137">
        <v>0</v>
      </c>
      <c r="S160" s="137">
        <v>0</v>
      </c>
      <c r="T160" s="137">
        <v>0</v>
      </c>
      <c r="U160" s="137">
        <v>0</v>
      </c>
      <c r="V160" s="137">
        <v>0</v>
      </c>
      <c r="W160" s="137">
        <v>0</v>
      </c>
      <c r="X160" s="137">
        <v>0</v>
      </c>
      <c r="Y160" s="137">
        <v>0</v>
      </c>
      <c r="Z160" s="137">
        <v>0</v>
      </c>
      <c r="AA160" s="137">
        <v>0</v>
      </c>
      <c r="AB160" s="137">
        <f>$K160-SUM($Q160:AA160)</f>
        <v>0</v>
      </c>
      <c r="AC160" s="137"/>
      <c r="AD160" s="137"/>
      <c r="AE160" s="137"/>
      <c r="AF160" s="137"/>
      <c r="AG160" s="137"/>
      <c r="AH160" s="137"/>
      <c r="AI160" s="137"/>
      <c r="AJ160" s="137"/>
      <c r="AK160" s="137"/>
      <c r="AL160" s="137"/>
      <c r="AM160" s="137"/>
      <c r="AN160" s="137"/>
      <c r="AO160" s="137"/>
      <c r="AP160" s="137"/>
      <c r="AQ160" s="137"/>
      <c r="AR160" s="1928"/>
    </row>
    <row r="161" spans="1:46" s="32" customFormat="1">
      <c r="A161" s="530"/>
      <c r="B161" s="3628" t="s">
        <v>720</v>
      </c>
      <c r="C161" s="585">
        <v>80065</v>
      </c>
      <c r="D161" s="159" t="s">
        <v>1325</v>
      </c>
      <c r="E161" s="462">
        <f>VLOOKUP(C161,'פ.נ. Australia'!$D$113:$F$305,3,0)</f>
        <v>-38602.910000000003</v>
      </c>
      <c r="F161" s="460">
        <f>SUMIF('פ.נ. Australia'!C:C,C:C,'פ.נ. Australia'!E:E)</f>
        <v>0</v>
      </c>
      <c r="G161" s="399"/>
      <c r="H161" s="51"/>
      <c r="I161" s="399"/>
      <c r="J161" s="170">
        <f>SUM(E161:I161)</f>
        <v>-38602.910000000003</v>
      </c>
      <c r="K161" s="4262">
        <f>M161+SUMIF('פ.נ. Australia'!C:C,'מאזן בוחן Australia'!C161,'פ.נ. Australia'!F:F)</f>
        <v>-28200.81</v>
      </c>
      <c r="L161" s="51"/>
      <c r="M161" s="171">
        <f>IFERROR(VLOOKUP(C161,'פ.נ. Australia'!$D$113:$G$305,4,0),"")</f>
        <v>-28200.81</v>
      </c>
      <c r="N161" s="1134">
        <f>IF(K161=0,"-",J161/K161)</f>
        <v>1.3688581994630651</v>
      </c>
      <c r="O161" s="320"/>
      <c r="P161" s="3570"/>
      <c r="Q161" s="137">
        <v>-1266.21</v>
      </c>
      <c r="R161" s="137">
        <v>-1266.21</v>
      </c>
      <c r="S161" s="137">
        <v>-1563.3899999999999</v>
      </c>
      <c r="T161" s="137">
        <v>-2396.06</v>
      </c>
      <c r="U161" s="137">
        <v>-2396.0600000000004</v>
      </c>
      <c r="V161" s="137">
        <v>-2373.619999999999</v>
      </c>
      <c r="W161" s="137">
        <v>-1713.5</v>
      </c>
      <c r="X161" s="137">
        <v>-1713.5</v>
      </c>
      <c r="Y161" s="137">
        <v>-2810.510000000002</v>
      </c>
      <c r="Z161" s="137">
        <v>-3567.25</v>
      </c>
      <c r="AA161" s="137">
        <v>-3567.25</v>
      </c>
      <c r="AB161" s="137">
        <f>$K161-SUM($Q161:AA161)</f>
        <v>-3567.25</v>
      </c>
      <c r="AC161" s="137"/>
      <c r="AD161" s="137"/>
      <c r="AE161" s="137"/>
      <c r="AF161" s="137"/>
      <c r="AG161" s="137"/>
      <c r="AH161" s="137"/>
      <c r="AI161" s="137"/>
      <c r="AJ161" s="137"/>
      <c r="AK161" s="137"/>
      <c r="AL161" s="137"/>
      <c r="AM161" s="137"/>
      <c r="AN161" s="137"/>
      <c r="AO161" s="137"/>
      <c r="AP161" s="137"/>
      <c r="AQ161" s="137"/>
      <c r="AR161" s="380"/>
    </row>
    <row r="162" spans="1:46" s="32" customFormat="1">
      <c r="A162" s="530"/>
      <c r="B162" s="3628"/>
      <c r="C162" s="585"/>
      <c r="D162" s="1675" t="s">
        <v>2473</v>
      </c>
      <c r="E162" s="462"/>
      <c r="F162" s="460"/>
      <c r="G162" s="399"/>
      <c r="H162" s="51"/>
      <c r="I162" s="399"/>
      <c r="J162" s="170"/>
      <c r="K162" s="171"/>
      <c r="L162" s="51"/>
      <c r="M162" s="171"/>
      <c r="N162" s="1134"/>
      <c r="O162" s="320"/>
      <c r="P162" s="3570"/>
      <c r="Q162" s="137">
        <v>0</v>
      </c>
      <c r="R162" s="137">
        <v>0</v>
      </c>
      <c r="S162" s="137">
        <v>0</v>
      </c>
      <c r="T162" s="137">
        <v>0</v>
      </c>
      <c r="U162" s="137">
        <v>0</v>
      </c>
      <c r="V162" s="137">
        <v>0</v>
      </c>
      <c r="W162" s="137">
        <v>0</v>
      </c>
      <c r="X162" s="137">
        <v>0</v>
      </c>
      <c r="Y162" s="137">
        <v>0</v>
      </c>
      <c r="Z162" s="137">
        <v>0</v>
      </c>
      <c r="AA162" s="137">
        <v>0</v>
      </c>
      <c r="AB162" s="137">
        <f>$K162-SUM($Q162:AA162)</f>
        <v>0</v>
      </c>
      <c r="AC162" s="137"/>
      <c r="AD162" s="137"/>
      <c r="AE162" s="137"/>
      <c r="AF162" s="137"/>
      <c r="AG162" s="137"/>
      <c r="AH162" s="137"/>
      <c r="AI162" s="137"/>
      <c r="AJ162" s="137"/>
      <c r="AK162" s="137"/>
      <c r="AL162" s="137"/>
      <c r="AM162" s="137"/>
      <c r="AN162" s="137"/>
      <c r="AO162" s="137"/>
      <c r="AP162" s="137"/>
      <c r="AQ162" s="137"/>
      <c r="AR162" s="380"/>
    </row>
    <row r="163" spans="1:46" s="32" customFormat="1">
      <c r="A163" s="530"/>
      <c r="B163" s="3628" t="s">
        <v>720</v>
      </c>
      <c r="C163" s="1336">
        <v>80060</v>
      </c>
      <c r="D163" s="1337" t="s">
        <v>721</v>
      </c>
      <c r="E163" s="462">
        <f>IFERROR(VLOOKUP(C163,'פ.נ. Australia'!$D$113:$F$305,3,0),0)</f>
        <v>-3313281.18</v>
      </c>
      <c r="F163" s="3565">
        <f>SUMIF('פ.נ. Australia'!C:C,C:C,'פ.נ. Australia'!E:E)</f>
        <v>0</v>
      </c>
      <c r="G163" s="1339"/>
      <c r="H163" s="1338"/>
      <c r="I163" s="1339"/>
      <c r="J163" s="1340">
        <f>SUM(E163:I163)</f>
        <v>-3313281.18</v>
      </c>
      <c r="K163" s="4261">
        <f>M163+SUMIF('פ.נ. Australia'!C:C,'מאזן בוחן Australia'!C163,'פ.נ. Australia'!F:F)</f>
        <v>-2440918.52</v>
      </c>
      <c r="L163" s="1338"/>
      <c r="M163" s="171">
        <f>IFERROR(VLOOKUP(C163,'פ.נ. Australia'!$D$113:$G$305,4,0),"")</f>
        <v>-2440918.52</v>
      </c>
      <c r="N163" s="3557">
        <f>IF(K163=0,"-",J163/K163)</f>
        <v>1.3573911430685528</v>
      </c>
      <c r="O163" s="1609"/>
      <c r="P163" s="3527"/>
      <c r="Q163" s="137">
        <v>-189630.3</v>
      </c>
      <c r="R163" s="137">
        <v>-190708.8</v>
      </c>
      <c r="S163" s="137">
        <v>-201224.06000000006</v>
      </c>
      <c r="T163" s="137">
        <v>-208411.88</v>
      </c>
      <c r="U163" s="137">
        <v>-201585.34999999998</v>
      </c>
      <c r="V163" s="137">
        <v>-207844.64</v>
      </c>
      <c r="W163" s="137">
        <v>-212415</v>
      </c>
      <c r="X163" s="137">
        <v>-209194.74</v>
      </c>
      <c r="Y163" s="137">
        <v>-211650.36999999988</v>
      </c>
      <c r="Z163" s="137">
        <v>-213491.13000000012</v>
      </c>
      <c r="AA163" s="137">
        <v>-215373.06000000006</v>
      </c>
      <c r="AB163" s="137">
        <f>$K163-SUM($Q163:AA163)</f>
        <v>-179389.18999999994</v>
      </c>
      <c r="AC163" s="3305" t="s">
        <v>4579</v>
      </c>
      <c r="AD163" s="137"/>
      <c r="AE163" s="137"/>
      <c r="AF163" s="137"/>
      <c r="AG163" s="137"/>
      <c r="AH163" s="137"/>
      <c r="AI163" s="137"/>
      <c r="AJ163" s="137"/>
      <c r="AK163" s="137"/>
      <c r="AL163" s="137"/>
      <c r="AM163" s="137"/>
      <c r="AN163" s="137"/>
      <c r="AO163" s="137"/>
      <c r="AP163" s="137"/>
      <c r="AQ163" s="137"/>
      <c r="AR163" s="1147"/>
      <c r="AS163" s="375"/>
    </row>
    <row r="164" spans="1:46" s="32" customFormat="1" ht="13.5" thickBot="1">
      <c r="A164" s="530"/>
      <c r="B164" s="3628" t="s">
        <v>720</v>
      </c>
      <c r="C164" s="585">
        <v>80061</v>
      </c>
      <c r="D164" s="159" t="s">
        <v>722</v>
      </c>
      <c r="E164" s="462">
        <f>IFERROR(VLOOKUP(C164,'פ.נ. Australia'!$D$113:$F$305,3,0),0)</f>
        <v>-9177.65</v>
      </c>
      <c r="F164" s="460">
        <f>SUMIF('פ.נ. Australia'!C:C,C:C,'פ.נ. Australia'!E:E)</f>
        <v>0</v>
      </c>
      <c r="G164" s="399"/>
      <c r="H164" s="51"/>
      <c r="I164" s="399"/>
      <c r="J164" s="170">
        <f>SUM(E164:I164)</f>
        <v>-9177.65</v>
      </c>
      <c r="K164" s="4262">
        <f>M164+SUMIF('פ.נ. Australia'!C:C,'מאזן בוחן Australia'!C164,'פ.נ. Australia'!F:F)</f>
        <v>-6614.04</v>
      </c>
      <c r="L164" s="51"/>
      <c r="M164" s="171">
        <f>IFERROR(VLOOKUP(C164,'פ.נ. Australia'!$D$113:$G$305,4,0),"")</f>
        <v>-6614.04</v>
      </c>
      <c r="N164" s="1134">
        <f>IF(K164=0,"-",J164/K164)</f>
        <v>1.3876012240627513</v>
      </c>
      <c r="O164" s="320"/>
      <c r="P164" s="3570"/>
      <c r="Q164" s="137">
        <v>-543.83000000000004</v>
      </c>
      <c r="R164" s="137">
        <v>-543.83000000000004</v>
      </c>
      <c r="S164" s="137">
        <v>-543.82999999999993</v>
      </c>
      <c r="T164" s="137">
        <v>-543.83000000000015</v>
      </c>
      <c r="U164" s="137">
        <v>-543.82999999999993</v>
      </c>
      <c r="V164" s="137">
        <v>-543.82999999999993</v>
      </c>
      <c r="W164" s="137">
        <v>-550.30999999999995</v>
      </c>
      <c r="X164" s="137">
        <v>-560.14999999999964</v>
      </c>
      <c r="Y164" s="137">
        <v>-560.15000000000055</v>
      </c>
      <c r="Z164" s="137">
        <v>-560.14999999999964</v>
      </c>
      <c r="AA164" s="137">
        <v>-560.15000000000055</v>
      </c>
      <c r="AB164" s="137">
        <f>$K164-SUM($Q164:AA164)</f>
        <v>-560.14999999999964</v>
      </c>
      <c r="AC164" s="137"/>
      <c r="AD164" s="137"/>
      <c r="AE164" s="137"/>
      <c r="AF164" s="137"/>
      <c r="AG164" s="137"/>
      <c r="AH164" s="137"/>
      <c r="AI164" s="137"/>
      <c r="AJ164" s="137"/>
      <c r="AK164" s="137"/>
      <c r="AL164" s="137"/>
      <c r="AM164" s="137"/>
      <c r="AN164" s="137"/>
      <c r="AO164" s="137"/>
      <c r="AP164" s="137"/>
      <c r="AQ164" s="137"/>
      <c r="AR164" s="254"/>
      <c r="AS164" s="253"/>
    </row>
    <row r="165" spans="1:46" s="32" customFormat="1" ht="13.5" thickBot="1">
      <c r="A165" s="530"/>
      <c r="B165" s="3628" t="s">
        <v>720</v>
      </c>
      <c r="C165" s="585" t="str">
        <f>"80101-2"</f>
        <v>80101-2</v>
      </c>
      <c r="D165" s="159" t="s">
        <v>4844</v>
      </c>
      <c r="E165" s="462">
        <f>IFERROR(VLOOKUP(C165,'פ.נ. Australia'!$D$113:$F$305,3,0),0)</f>
        <v>-292.19</v>
      </c>
      <c r="F165" s="460">
        <f>SUMIF('פ.נ. Australia'!C:C,C:C,'פ.נ. Australia'!E:E)</f>
        <v>0</v>
      </c>
      <c r="G165" s="399"/>
      <c r="H165" s="51"/>
      <c r="I165" s="399"/>
      <c r="J165" s="170">
        <f>SUM(E165:I165)</f>
        <v>-292.19</v>
      </c>
      <c r="K165" s="4262">
        <f>M165+SUMIF('פ.נ. Australia'!C:C,'מאזן בוחן Australia'!C165,'פ.נ. Australia'!F:F)</f>
        <v>-212.31</v>
      </c>
      <c r="L165" s="2131">
        <f>'[34]Income receibales'!$AA$3141+K165</f>
        <v>-1.9178082189341694E-4</v>
      </c>
      <c r="M165" s="171">
        <f>IFERROR(VLOOKUP(C165,'פ.נ. Australia'!$D$113:$G$305,4,0),"")</f>
        <v>-212.31</v>
      </c>
      <c r="N165" s="1134">
        <f>IF(K165=0,"-",J165/K165)</f>
        <v>1.3762422872215156</v>
      </c>
      <c r="O165" s="320"/>
      <c r="P165" s="3570"/>
      <c r="Q165" s="137"/>
      <c r="R165" s="137"/>
      <c r="S165" s="137"/>
      <c r="T165" s="137"/>
      <c r="U165" s="137"/>
      <c r="V165" s="137"/>
      <c r="W165" s="137"/>
      <c r="X165" s="137"/>
      <c r="Y165" s="137"/>
      <c r="Z165" s="137"/>
      <c r="AA165" s="137"/>
      <c r="AB165" s="137">
        <f>$K165-SUM($Q165:AA165)</f>
        <v>-212.31</v>
      </c>
      <c r="AC165" s="137"/>
      <c r="AD165" s="137"/>
      <c r="AE165" s="137"/>
      <c r="AF165" s="137"/>
      <c r="AG165" s="137"/>
      <c r="AH165" s="137"/>
      <c r="AI165" s="137"/>
      <c r="AJ165" s="137"/>
      <c r="AK165" s="137"/>
      <c r="AL165" s="137"/>
      <c r="AM165" s="137"/>
      <c r="AN165" s="137"/>
      <c r="AO165" s="137"/>
      <c r="AP165" s="137"/>
      <c r="AQ165" s="137"/>
      <c r="AR165" s="254"/>
      <c r="AS165" s="253"/>
    </row>
    <row r="166" spans="1:46" s="32" customFormat="1" ht="13.5" thickBot="1">
      <c r="A166" s="530"/>
      <c r="B166" s="3628"/>
      <c r="C166" s="585"/>
      <c r="D166" s="1675" t="s">
        <v>2471</v>
      </c>
      <c r="E166" s="462"/>
      <c r="F166" s="460"/>
      <c r="G166" s="399"/>
      <c r="H166" s="51"/>
      <c r="I166" s="399"/>
      <c r="J166" s="170"/>
      <c r="K166" s="171"/>
      <c r="L166" s="51"/>
      <c r="M166" s="171"/>
      <c r="N166" s="1134"/>
      <c r="O166" s="320"/>
      <c r="P166" s="3570"/>
      <c r="Q166" s="137">
        <v>0</v>
      </c>
      <c r="R166" s="137">
        <v>0</v>
      </c>
      <c r="S166" s="137">
        <v>0</v>
      </c>
      <c r="T166" s="137">
        <v>0</v>
      </c>
      <c r="U166" s="137">
        <v>0</v>
      </c>
      <c r="V166" s="137">
        <v>0</v>
      </c>
      <c r="W166" s="137">
        <v>0</v>
      </c>
      <c r="X166" s="137">
        <v>0</v>
      </c>
      <c r="Y166" s="137">
        <v>0</v>
      </c>
      <c r="Z166" s="137">
        <v>0</v>
      </c>
      <c r="AA166" s="137">
        <v>0</v>
      </c>
      <c r="AB166" s="137">
        <f>$K166-SUM($Q166:AA166)</f>
        <v>0</v>
      </c>
      <c r="AC166" s="137"/>
      <c r="AD166" s="137"/>
      <c r="AE166" s="137"/>
      <c r="AF166" s="137"/>
      <c r="AG166" s="137"/>
      <c r="AH166" s="137"/>
      <c r="AI166" s="137"/>
      <c r="AJ166" s="137"/>
      <c r="AK166" s="137"/>
      <c r="AL166" s="137"/>
      <c r="AM166" s="137"/>
      <c r="AN166" s="137"/>
      <c r="AO166" s="137"/>
      <c r="AP166" s="137"/>
      <c r="AQ166" s="137"/>
      <c r="AR166" s="380"/>
    </row>
    <row r="167" spans="1:46" s="32" customFormat="1" ht="13.5" thickBot="1">
      <c r="A167" s="530"/>
      <c r="B167" s="3628" t="s">
        <v>727</v>
      </c>
      <c r="C167" s="585">
        <v>80153</v>
      </c>
      <c r="D167" s="159" t="s">
        <v>730</v>
      </c>
      <c r="E167" s="462">
        <f>IFERROR(VLOOKUP(C167,'פ.נ. Australia'!$D$113:$F$305,3,0),0)</f>
        <v>-430135.67</v>
      </c>
      <c r="F167" s="460">
        <f>SUMIF('פ.נ. Australia'!C:C,C:C,'פ.נ. Australia'!E:E)</f>
        <v>0</v>
      </c>
      <c r="G167" s="399"/>
      <c r="H167" s="51"/>
      <c r="I167" s="399"/>
      <c r="J167" s="170">
        <f>SUM(E167:I167)</f>
        <v>-430135.67</v>
      </c>
      <c r="K167" s="4262">
        <f>M167+SUMIF('פ.נ. Australia'!C:C,'מאזן בוחן Australia'!C167,'פ.נ. Australia'!F:F)</f>
        <v>-319338.63</v>
      </c>
      <c r="L167" s="2131">
        <f>SUM('[15]12.21'!$H$36,[137]priority!$E$43,[137]priority!$E$47,[137]priority!$E$50)/O2+$AB$167</f>
        <v>-3251.7945266237875</v>
      </c>
      <c r="M167" s="171">
        <f>IFERROR(VLOOKUP(C167,'פ.נ. Australia'!$D$113:$G$305,4,0),"")</f>
        <v>-319338.63</v>
      </c>
      <c r="N167" s="1134">
        <f>IF(K167=0,"-",J167/K167)</f>
        <v>1.3469578359498817</v>
      </c>
      <c r="O167" s="320"/>
      <c r="P167" s="1121"/>
      <c r="Q167" s="137">
        <v>-11067.57</v>
      </c>
      <c r="R167" s="137">
        <v>-1289</v>
      </c>
      <c r="S167" s="137">
        <v>-2027.0300000000007</v>
      </c>
      <c r="T167" s="137">
        <v>-7135.65</v>
      </c>
      <c r="U167" s="137">
        <v>-13910.29</v>
      </c>
      <c r="V167" s="137">
        <v>-48164.639999999992</v>
      </c>
      <c r="W167" s="137">
        <v>-16281.800000000003</v>
      </c>
      <c r="X167" s="137">
        <v>-10626.64</v>
      </c>
      <c r="Y167" s="137">
        <v>-94892.640000000014</v>
      </c>
      <c r="Z167" s="137">
        <v>-25885.369999999995</v>
      </c>
      <c r="AA167" s="137">
        <v>-22844.75</v>
      </c>
      <c r="AB167" s="137">
        <f>$K167-SUM($Q167:AA167)</f>
        <v>-65213.25</v>
      </c>
      <c r="AC167" s="137"/>
      <c r="AD167" s="137"/>
      <c r="AE167" s="137"/>
      <c r="AF167" s="137"/>
      <c r="AG167" s="137"/>
      <c r="AH167" s="137"/>
      <c r="AI167" s="137"/>
      <c r="AJ167" s="137"/>
      <c r="AK167" s="137"/>
      <c r="AL167" s="137"/>
      <c r="AM167" s="137"/>
      <c r="AN167" s="137"/>
      <c r="AO167" s="137"/>
      <c r="AP167" s="137"/>
    </row>
    <row r="168" spans="1:46" s="32" customFormat="1" ht="13.5" thickBot="1">
      <c r="A168" s="530"/>
      <c r="B168" s="3628" t="s">
        <v>1062</v>
      </c>
      <c r="C168" s="585" t="s">
        <v>2233</v>
      </c>
      <c r="D168" s="159" t="s">
        <v>2234</v>
      </c>
      <c r="E168" s="462">
        <f>IFERROR(VLOOKUP(C168,'פ.נ. Australia'!$D$113:$F$305,3,0),0)</f>
        <v>-71426.23</v>
      </c>
      <c r="F168" s="460">
        <f>SUMIF('פ.נ. Australia'!C:C,C:C,'פ.נ. Australia'!E:E)</f>
        <v>0</v>
      </c>
      <c r="G168" s="399"/>
      <c r="H168" s="51"/>
      <c r="I168" s="399"/>
      <c r="J168" s="170">
        <f>SUM(E168:I168)</f>
        <v>-71426.23</v>
      </c>
      <c r="K168" s="4262">
        <f>M168+SUMIF('פ.נ. Australia'!C:C,'מאזן בוחן Australia'!C168,'פ.נ. Australia'!F:F)</f>
        <v>-54526.58</v>
      </c>
      <c r="L168" s="2131">
        <f>-'[139]pivot Q1 21'!$K$10-'[140]pivot Q2 21 '!$K$10+K168+'[131]PIVOT Q3'!$K$10+'[125]PIVOT Q4'!$K$10</f>
        <v>-8.6559999977907864E-2</v>
      </c>
      <c r="M168" s="171">
        <f>IFERROR(VLOOKUP(C168,'פ.נ. Australia'!$D$113:$G$305,4,0),"")</f>
        <v>-54526.58</v>
      </c>
      <c r="N168" s="1134">
        <f>IF(K168=0,"-",J168/K168)</f>
        <v>1.3099341642186251</v>
      </c>
      <c r="O168" s="320"/>
      <c r="P168" s="3571" t="s">
        <v>2285</v>
      </c>
      <c r="Q168" s="137">
        <v>0</v>
      </c>
      <c r="R168" s="137">
        <v>0</v>
      </c>
      <c r="S168" s="137">
        <v>-58337.58</v>
      </c>
      <c r="T168" s="137">
        <v>0</v>
      </c>
      <c r="U168" s="137">
        <v>0</v>
      </c>
      <c r="V168" s="137">
        <v>-4421</v>
      </c>
      <c r="W168" s="137">
        <v>0</v>
      </c>
      <c r="X168" s="137">
        <v>0</v>
      </c>
      <c r="Y168" s="137">
        <v>-16585</v>
      </c>
      <c r="Z168" s="137">
        <v>0</v>
      </c>
      <c r="AA168" s="137">
        <v>0</v>
      </c>
      <c r="AB168" s="137">
        <f>$K168-SUM($Q168:AA168)</f>
        <v>24817</v>
      </c>
      <c r="AC168" s="137"/>
      <c r="AD168" s="137"/>
      <c r="AE168" s="137"/>
      <c r="AF168" s="137"/>
      <c r="AG168" s="137"/>
      <c r="AH168" s="137"/>
      <c r="AI168" s="137"/>
      <c r="AJ168" s="137"/>
      <c r="AK168" s="137"/>
      <c r="AL168" s="137"/>
      <c r="AM168" s="137"/>
      <c r="AN168" s="137"/>
      <c r="AO168" s="137"/>
      <c r="AP168" s="137"/>
      <c r="AS168" s="254"/>
      <c r="AT168" s="380"/>
    </row>
    <row r="169" spans="1:46" s="32" customFormat="1" ht="13.5" thickBot="1">
      <c r="A169" s="530"/>
      <c r="B169" s="3647"/>
      <c r="C169" s="585"/>
      <c r="D169" s="1675" t="s">
        <v>2474</v>
      </c>
      <c r="E169" s="462"/>
      <c r="F169" s="460"/>
      <c r="G169" s="399"/>
      <c r="H169" s="51"/>
      <c r="I169" s="399"/>
      <c r="J169" s="170"/>
      <c r="K169" s="171"/>
      <c r="L169" s="3572"/>
      <c r="M169" s="171"/>
      <c r="N169" s="1134"/>
      <c r="O169" s="320"/>
      <c r="P169" s="1121"/>
      <c r="Q169" s="137">
        <v>0</v>
      </c>
      <c r="R169" s="137">
        <v>0</v>
      </c>
      <c r="S169" s="137">
        <v>0</v>
      </c>
      <c r="T169" s="137">
        <v>0</v>
      </c>
      <c r="U169" s="137">
        <v>0</v>
      </c>
      <c r="V169" s="137">
        <v>0</v>
      </c>
      <c r="W169" s="137">
        <v>0</v>
      </c>
      <c r="X169" s="137">
        <v>0</v>
      </c>
      <c r="Y169" s="137">
        <v>0</v>
      </c>
      <c r="Z169" s="137">
        <v>0</v>
      </c>
      <c r="AA169" s="137">
        <v>0</v>
      </c>
      <c r="AB169" s="137">
        <f>$K169-SUM($Q169:AA169)</f>
        <v>0</v>
      </c>
      <c r="AC169" s="137"/>
      <c r="AD169" s="137"/>
      <c r="AE169" s="137"/>
      <c r="AF169" s="137"/>
      <c r="AG169" s="137"/>
      <c r="AH169" s="137"/>
      <c r="AI169" s="137"/>
      <c r="AJ169" s="137"/>
      <c r="AK169" s="137"/>
      <c r="AL169" s="137"/>
      <c r="AM169" s="137"/>
      <c r="AN169" s="137"/>
      <c r="AO169" s="137"/>
      <c r="AP169" s="137"/>
      <c r="AS169" s="254"/>
      <c r="AT169" s="380"/>
    </row>
    <row r="170" spans="1:46" s="137" customFormat="1">
      <c r="A170" s="2883"/>
      <c r="B170" s="3628" t="s">
        <v>1766</v>
      </c>
      <c r="C170" s="585">
        <v>80071</v>
      </c>
      <c r="D170" s="45" t="s">
        <v>1666</v>
      </c>
      <c r="E170" s="462">
        <f>IFERROR(VLOOKUP(C170,'פ.נ. Australia'!$D$113:$F$305,3,0),0)</f>
        <v>-509427.79</v>
      </c>
      <c r="F170" s="460">
        <f>SUMIF('פ.נ. Australia'!C:C,C:C,'פ.נ. Australia'!E:E)</f>
        <v>0</v>
      </c>
      <c r="G170" s="399"/>
      <c r="H170" s="51"/>
      <c r="I170" s="399"/>
      <c r="J170" s="170">
        <f>SUM(E170:I170)</f>
        <v>-509427.79</v>
      </c>
      <c r="K170" s="4262">
        <f>M170+SUMIF('פ.נ. Australia'!C:C,'מאזן בוחן Australia'!C170,'פ.נ. Australia'!F:F)</f>
        <v>-371989.11</v>
      </c>
      <c r="L170" s="4309">
        <f>SUM('[80]ALL Automated'!$I$23)+K170+K171</f>
        <v>13.233481241797563</v>
      </c>
      <c r="M170" s="171">
        <f>IFERROR(VLOOKUP(C170,'פ.נ. Australia'!$D$113:$G$305,4,0),"")</f>
        <v>-371989.11</v>
      </c>
      <c r="N170" s="1134">
        <f>IF(K170=0,"-",J170/K170)</f>
        <v>1.3694696331298515</v>
      </c>
      <c r="O170" s="472"/>
      <c r="P170" s="1133"/>
      <c r="Q170" s="137">
        <v>-6983.17</v>
      </c>
      <c r="R170" s="137">
        <v>-22221.269999999997</v>
      </c>
      <c r="S170" s="137">
        <v>0</v>
      </c>
      <c r="T170" s="137">
        <v>-3215.3000000000065</v>
      </c>
      <c r="U170" s="137">
        <v>0</v>
      </c>
      <c r="V170" s="137">
        <v>0</v>
      </c>
      <c r="W170" s="137">
        <v>0</v>
      </c>
      <c r="X170" s="137">
        <v>0</v>
      </c>
      <c r="Y170" s="137">
        <v>-195930.74000000002</v>
      </c>
      <c r="Z170" s="137">
        <v>-15531.859999999986</v>
      </c>
      <c r="AA170" s="137">
        <v>-58055.47</v>
      </c>
      <c r="AB170" s="137">
        <f>$K170-SUM($Q170:AA170)</f>
        <v>-70051.299999999988</v>
      </c>
      <c r="AS170" s="32"/>
      <c r="AT170" s="32"/>
    </row>
    <row r="171" spans="1:46" s="137" customFormat="1" ht="13.5" thickBot="1">
      <c r="A171" s="2883"/>
      <c r="B171" s="3628" t="s">
        <v>1766</v>
      </c>
      <c r="C171" s="585">
        <v>80070</v>
      </c>
      <c r="D171" s="45" t="s">
        <v>1665</v>
      </c>
      <c r="E171" s="462">
        <f>IFERROR(VLOOKUP(C171,'פ.נ. Australia'!$D$113:$F$305,3,0),0)</f>
        <v>-432536.35</v>
      </c>
      <c r="F171" s="460">
        <f>SUMIF('פ.נ. Australia'!C:C,C:C,'פ.נ. Australia'!E:E)</f>
        <v>0</v>
      </c>
      <c r="G171" s="399"/>
      <c r="H171" s="51"/>
      <c r="I171" s="399"/>
      <c r="J171" s="170">
        <f>SUM(E171:I171)</f>
        <v>-432536.35</v>
      </c>
      <c r="K171" s="4262">
        <f>M171+SUMIF('פ.נ. Australia'!C:C,'מאזן בוחן Australia'!C171,'פ.נ. Australia'!F:F)</f>
        <v>-314168.81</v>
      </c>
      <c r="L171" s="4310"/>
      <c r="M171" s="171">
        <f>IFERROR(VLOOKUP(C171,'פ.נ. Australia'!$D$113:$G$305,4,0),"")</f>
        <v>-314168.81</v>
      </c>
      <c r="N171" s="1134">
        <f>IF(K171=0,"-",J171/K171)</f>
        <v>1.3767641351794278</v>
      </c>
      <c r="O171" s="472"/>
      <c r="P171" s="1133"/>
      <c r="Y171" s="137">
        <v>-294067.98</v>
      </c>
      <c r="Z171" s="137">
        <v>0</v>
      </c>
      <c r="AA171" s="137">
        <v>-20100.830000000016</v>
      </c>
      <c r="AB171" s="137">
        <f>$K171-SUM($Q171:AA171)</f>
        <v>0</v>
      </c>
      <c r="AS171" s="32"/>
      <c r="AT171" s="32"/>
    </row>
    <row r="172" spans="1:46" s="32" customFormat="1">
      <c r="A172" s="530"/>
      <c r="B172" s="3628" t="s">
        <v>1765</v>
      </c>
      <c r="C172" s="585">
        <v>80081</v>
      </c>
      <c r="D172" s="159" t="s">
        <v>1668</v>
      </c>
      <c r="E172" s="462">
        <f>IFERROR(VLOOKUP(C172,'פ.נ. Australia'!$D$113:$F$305,3,0),0)</f>
        <v>-459903.39</v>
      </c>
      <c r="F172" s="460">
        <f>SUMIF('פ.נ. Australia'!C:C,C:C,'פ.נ. Australia'!E:E)</f>
        <v>0</v>
      </c>
      <c r="G172" s="399"/>
      <c r="H172" s="51"/>
      <c r="I172" s="399"/>
      <c r="J172" s="170">
        <f>SUM(E172:I172)</f>
        <v>-459903.39</v>
      </c>
      <c r="K172" s="4263">
        <f>M172+SUMIF('פ.נ. Australia'!C:C,'מאזן בוחן Australia'!C172,'פ.נ. Australia'!F:F)</f>
        <v>-315439.62</v>
      </c>
      <c r="L172" s="4309">
        <f>+SUM([141]ALL!$AN$17:$AY$17,'[80]ALL Automated'!$X$25,'[84]ALL Automated'!$X$24:$AI$24)+K172+K173</f>
        <v>-427.97492555259669</v>
      </c>
      <c r="M172" s="474">
        <f>IFERROR(VLOOKUP(C172,'פ.נ. Australia'!$D$113:$G$305,4,0),"")</f>
        <v>-315439.62</v>
      </c>
      <c r="N172" s="1134">
        <f>IF(K172=0,"-",J172/K172)</f>
        <v>1.4579759828521224</v>
      </c>
      <c r="O172" s="320"/>
      <c r="P172" s="432"/>
      <c r="Q172" s="137">
        <v>-26656.34</v>
      </c>
      <c r="R172" s="137">
        <v>-26758.76</v>
      </c>
      <c r="S172" s="137">
        <v>-25315.739999999998</v>
      </c>
      <c r="T172" s="137">
        <v>-25042.78</v>
      </c>
      <c r="U172" s="137">
        <v>-25057.790000000008</v>
      </c>
      <c r="V172" s="137">
        <v>-24971.26999999999</v>
      </c>
      <c r="W172" s="137">
        <v>-24733.350000000006</v>
      </c>
      <c r="X172" s="137">
        <v>-24733.350000000006</v>
      </c>
      <c r="Y172" s="137">
        <v>-25165.880000000005</v>
      </c>
      <c r="Z172" s="137">
        <v>-28555.419999999984</v>
      </c>
      <c r="AA172" s="137">
        <v>-28510.820000000007</v>
      </c>
      <c r="AB172" s="137">
        <f>$K172-SUM($Q172:AA172)</f>
        <v>-29938.119999999995</v>
      </c>
      <c r="AC172" s="137"/>
      <c r="AD172" s="137"/>
      <c r="AE172" s="137"/>
      <c r="AF172" s="137"/>
      <c r="AG172" s="137"/>
      <c r="AH172" s="137"/>
      <c r="AI172" s="137"/>
      <c r="AJ172" s="137"/>
      <c r="AK172" s="137"/>
      <c r="AL172" s="137"/>
      <c r="AM172" s="137"/>
      <c r="AN172" s="137"/>
      <c r="AO172" s="137"/>
      <c r="AP172" s="137"/>
    </row>
    <row r="173" spans="1:46" s="32" customFormat="1" ht="13.5" thickBot="1">
      <c r="A173" s="530"/>
      <c r="B173" s="3628" t="s">
        <v>1057</v>
      </c>
      <c r="C173" s="585">
        <v>80080</v>
      </c>
      <c r="D173" s="159" t="s">
        <v>1667</v>
      </c>
      <c r="E173" s="462">
        <f>IFERROR(VLOOKUP(C173,'פ.נ. Australia'!$D$113:$F$305,3,0),0)</f>
        <v>-28095.42</v>
      </c>
      <c r="F173" s="460">
        <f>SUMIF('פ.נ. Australia'!C:C,C:C,'פ.נ. Australia'!E:E)</f>
        <v>0</v>
      </c>
      <c r="G173" s="399"/>
      <c r="H173" s="51"/>
      <c r="I173" s="399"/>
      <c r="J173" s="170">
        <f>SUM(E173:I173)</f>
        <v>-28095.42</v>
      </c>
      <c r="K173" s="4263">
        <f>M173+SUMIF('פ.נ. Australia'!C:C,'מאזן בוחן Australia'!C173,'פ.נ. Australia'!F:F)</f>
        <v>-20407.39</v>
      </c>
      <c r="L173" s="4310"/>
      <c r="M173" s="474">
        <f>IFERROR(VLOOKUP(C173,'פ.נ. Australia'!$D$113:$G$305,4,0),"")</f>
        <v>-20407.39</v>
      </c>
      <c r="N173" s="1134">
        <f>IF(K173=0,"-",J173/K173)</f>
        <v>1.3767277442142283</v>
      </c>
      <c r="O173" s="320"/>
      <c r="P173" s="3570"/>
      <c r="Q173" s="137">
        <v>0</v>
      </c>
      <c r="R173" s="137">
        <v>0</v>
      </c>
      <c r="S173" s="137">
        <v>0</v>
      </c>
      <c r="T173" s="137">
        <v>0</v>
      </c>
      <c r="U173" s="137">
        <v>0</v>
      </c>
      <c r="V173" s="137">
        <v>0</v>
      </c>
      <c r="W173" s="137">
        <v>0</v>
      </c>
      <c r="X173" s="137">
        <v>0</v>
      </c>
      <c r="Y173" s="137">
        <v>0</v>
      </c>
      <c r="Z173" s="137">
        <v>-6616.53</v>
      </c>
      <c r="AA173" s="137">
        <v>-6722.06</v>
      </c>
      <c r="AB173" s="137">
        <f>$K173-SUM($Q173:AA173)</f>
        <v>-7068.7999999999993</v>
      </c>
      <c r="AC173" s="137"/>
      <c r="AD173" s="137"/>
      <c r="AE173" s="137"/>
      <c r="AF173" s="137"/>
      <c r="AG173" s="137"/>
      <c r="AH173" s="137"/>
      <c r="AI173" s="137"/>
      <c r="AJ173" s="137"/>
      <c r="AK173" s="137"/>
      <c r="AL173" s="137"/>
      <c r="AM173" s="137"/>
      <c r="AN173" s="137"/>
      <c r="AO173" s="137"/>
      <c r="AP173" s="137"/>
      <c r="AQ173" s="137"/>
      <c r="AR173" s="254"/>
    </row>
    <row r="174" spans="1:46" s="32" customFormat="1" ht="13.5" thickBot="1">
      <c r="A174" s="530"/>
      <c r="B174" s="3628" t="s">
        <v>720</v>
      </c>
      <c r="C174" s="585">
        <v>80063</v>
      </c>
      <c r="D174" s="159" t="s">
        <v>724</v>
      </c>
      <c r="E174" s="462">
        <f>IFERROR(VLOOKUP(C174,'פ.נ. Australia'!$D$113:$F$305,3,0),0)</f>
        <v>-15985.95</v>
      </c>
      <c r="F174" s="460">
        <f>SUMIF('פ.נ. Australia'!C:C,C:C,'פ.נ. Australia'!E:E)</f>
        <v>0</v>
      </c>
      <c r="G174" s="399"/>
      <c r="H174" s="51"/>
      <c r="I174" s="399"/>
      <c r="J174" s="170">
        <f>SUM(E174:I174)</f>
        <v>-15985.95</v>
      </c>
      <c r="K174" s="4262">
        <f>M174+SUMIF('פ.נ. Australia'!C:C,'מאזן בוחן Australia'!C174,'פ.נ. Australia'!F:F)</f>
        <v>-11662.41</v>
      </c>
      <c r="L174" s="2131">
        <f>SUM('[142]ספרים 2019'!$J$32:$J$42)+K174</f>
        <v>9.2142857174621895E-3</v>
      </c>
      <c r="M174" s="171">
        <f>IFERROR(VLOOKUP(C174,'פ.נ. Australia'!$D$113:$G$305,4,0),"")</f>
        <v>-11662.41</v>
      </c>
      <c r="N174" s="1134">
        <f>IF(K174=0,"-",J174/K174)</f>
        <v>1.3707244043040847</v>
      </c>
      <c r="O174" s="320"/>
      <c r="P174" s="3570"/>
      <c r="Q174" s="137">
        <v>-2156.3000000000002</v>
      </c>
      <c r="R174" s="137">
        <v>-2156.3000000000002</v>
      </c>
      <c r="S174" s="137">
        <v>-2156.2999999999993</v>
      </c>
      <c r="T174" s="137">
        <v>-2156.3000000000011</v>
      </c>
      <c r="U174" s="137">
        <v>-619.84000000000015</v>
      </c>
      <c r="V174" s="137">
        <v>-619.83999999999833</v>
      </c>
      <c r="W174" s="137">
        <v>-619.84000000000015</v>
      </c>
      <c r="X174" s="137">
        <v>-619.84000000000015</v>
      </c>
      <c r="Y174" s="137">
        <v>-557.85000000000036</v>
      </c>
      <c r="Z174" s="137">
        <v>0</v>
      </c>
      <c r="AA174" s="137">
        <v>0</v>
      </c>
      <c r="AB174" s="137">
        <f>$K174-SUM($Q174:AA174)</f>
        <v>0</v>
      </c>
      <c r="AC174" s="137"/>
      <c r="AD174" s="137"/>
      <c r="AE174" s="137"/>
      <c r="AF174" s="137"/>
      <c r="AG174" s="137"/>
      <c r="AH174" s="137"/>
      <c r="AI174" s="137"/>
      <c r="AJ174" s="137"/>
      <c r="AK174" s="137"/>
      <c r="AL174" s="137"/>
      <c r="AM174" s="137"/>
      <c r="AN174" s="137"/>
      <c r="AO174" s="137"/>
      <c r="AP174" s="137"/>
    </row>
    <row r="175" spans="1:46" s="32" customFormat="1">
      <c r="A175" s="530"/>
      <c r="B175" s="3628"/>
      <c r="C175" s="585"/>
      <c r="D175" s="1675" t="s">
        <v>2550</v>
      </c>
      <c r="E175" s="462"/>
      <c r="F175" s="460"/>
      <c r="G175" s="399"/>
      <c r="H175" s="51"/>
      <c r="I175" s="399"/>
      <c r="J175" s="170"/>
      <c r="K175" s="171"/>
      <c r="L175" s="51"/>
      <c r="M175" s="171"/>
      <c r="N175" s="1134"/>
      <c r="O175" s="320"/>
      <c r="P175" s="1121"/>
      <c r="Q175" s="137">
        <v>0</v>
      </c>
      <c r="R175" s="137">
        <v>0</v>
      </c>
      <c r="S175" s="137">
        <v>0</v>
      </c>
      <c r="T175" s="137">
        <v>0</v>
      </c>
      <c r="U175" s="137">
        <v>0</v>
      </c>
      <c r="V175" s="137">
        <v>0</v>
      </c>
      <c r="W175" s="137">
        <v>0</v>
      </c>
      <c r="X175" s="137">
        <v>0</v>
      </c>
      <c r="Y175" s="137">
        <v>0</v>
      </c>
      <c r="Z175" s="137">
        <v>0</v>
      </c>
      <c r="AA175" s="137">
        <v>0</v>
      </c>
      <c r="AB175" s="137">
        <f>$K175-SUM($Q175:AA175)</f>
        <v>0</v>
      </c>
      <c r="AC175" s="137"/>
      <c r="AD175" s="137"/>
      <c r="AE175" s="137"/>
      <c r="AF175" s="137"/>
      <c r="AG175" s="137"/>
      <c r="AH175" s="137"/>
      <c r="AI175" s="137"/>
      <c r="AJ175" s="137"/>
      <c r="AK175" s="137"/>
      <c r="AL175" s="137"/>
      <c r="AM175" s="137"/>
      <c r="AN175" s="137"/>
      <c r="AO175" s="137"/>
      <c r="AP175" s="137"/>
      <c r="AQ175" s="137"/>
      <c r="AR175" s="1331"/>
      <c r="AS175" s="254"/>
      <c r="AT175" s="380"/>
    </row>
    <row r="176" spans="1:46" s="32" customFormat="1">
      <c r="A176" s="530"/>
      <c r="B176" s="3628" t="s">
        <v>727</v>
      </c>
      <c r="C176" s="585">
        <v>80151</v>
      </c>
      <c r="D176" s="61" t="s">
        <v>1764</v>
      </c>
      <c r="E176" s="462">
        <f>IFERROR(VLOOKUP(C176,'פ.נ. Australia'!$D$113:$F$305,3,0),0)</f>
        <v>-25121.32</v>
      </c>
      <c r="F176" s="460">
        <f>SUMIF('פ.נ. Australia'!C:C,C:C,'פ.נ. Australia'!E:E)</f>
        <v>0</v>
      </c>
      <c r="G176" s="399"/>
      <c r="H176" s="51"/>
      <c r="I176" s="399"/>
      <c r="J176" s="170">
        <f>SUM(E176:I176)</f>
        <v>-25121.32</v>
      </c>
      <c r="K176" s="4262">
        <f>M176+SUMIF('פ.נ. Australia'!C:C,'מאזן בוחן Australia'!C176,'פ.נ. Australia'!F:F)</f>
        <v>-18704.38</v>
      </c>
      <c r="L176" s="51"/>
      <c r="M176" s="171">
        <f>IFERROR(VLOOKUP(C176,'פ.נ. Australia'!$D$113:$G$305,4,0),"")</f>
        <v>-18704.38</v>
      </c>
      <c r="N176" s="1134">
        <f>IF(K176=0,"-",J176/K176)</f>
        <v>1.343071515869545</v>
      </c>
      <c r="O176" s="320"/>
      <c r="P176" s="1120"/>
      <c r="Q176" s="137">
        <v>0</v>
      </c>
      <c r="R176" s="137">
        <v>0</v>
      </c>
      <c r="S176" s="137">
        <v>0</v>
      </c>
      <c r="T176" s="137">
        <v>0</v>
      </c>
      <c r="U176" s="137">
        <v>-1867.45</v>
      </c>
      <c r="V176" s="137">
        <v>-6606.22</v>
      </c>
      <c r="W176" s="137">
        <v>-4343.1000000000004</v>
      </c>
      <c r="X176" s="137">
        <v>-5887.6100000000006</v>
      </c>
      <c r="Y176" s="137">
        <v>0</v>
      </c>
      <c r="Z176" s="137">
        <v>0</v>
      </c>
      <c r="AA176" s="137">
        <v>0</v>
      </c>
      <c r="AB176" s="137">
        <f>$K176-SUM($Q176:AA176)</f>
        <v>0</v>
      </c>
      <c r="AC176" s="137"/>
      <c r="AD176" s="137"/>
      <c r="AE176" s="137"/>
      <c r="AF176" s="137"/>
      <c r="AG176" s="137"/>
      <c r="AH176" s="137"/>
      <c r="AI176" s="137"/>
      <c r="AJ176" s="137"/>
      <c r="AK176" s="137"/>
      <c r="AL176" s="137"/>
      <c r="AM176" s="137"/>
      <c r="AN176" s="137"/>
      <c r="AO176" s="137"/>
      <c r="AP176" s="137"/>
      <c r="AQ176" s="137"/>
      <c r="AR176" s="562"/>
      <c r="AS176" s="1926"/>
      <c r="AT176" s="1332"/>
    </row>
    <row r="177" spans="1:46" s="32" customFormat="1" ht="13.5" thickBot="1">
      <c r="A177" s="530"/>
      <c r="B177" s="3628" t="s">
        <v>1062</v>
      </c>
      <c r="C177" s="585">
        <v>80150</v>
      </c>
      <c r="D177" s="61" t="s">
        <v>1739</v>
      </c>
      <c r="E177" s="462">
        <f>IFERROR(VLOOKUP(C177,'פ.נ. Australia'!$D$113:$F$305,3,0),0)</f>
        <v>-8152.83</v>
      </c>
      <c r="F177" s="460">
        <f>SUMIF('פ.נ. Australia'!C:C,C:C,'פ.נ. Australia'!E:E)</f>
        <v>0</v>
      </c>
      <c r="G177" s="399"/>
      <c r="H177" s="51"/>
      <c r="I177" s="399"/>
      <c r="J177" s="170">
        <f>SUM(E177:I177)</f>
        <v>-8152.83</v>
      </c>
      <c r="K177" s="4262">
        <f>M177+SUMIF('פ.נ. Australia'!C:C,'מאזן בוחן Australia'!C177,'פ.נ. Australia'!F:F)</f>
        <v>-5922</v>
      </c>
      <c r="L177" s="51"/>
      <c r="M177" s="171">
        <f>IFERROR(VLOOKUP(C177,'פ.נ. Australia'!$D$113:$G$305,4,0),"")</f>
        <v>-5922</v>
      </c>
      <c r="N177" s="1134">
        <f>IF(K177=0,"-",J177/K177)</f>
        <v>1.3767021276595746</v>
      </c>
      <c r="O177" s="320"/>
      <c r="P177" s="1120"/>
      <c r="Q177" s="137"/>
      <c r="R177" s="137"/>
      <c r="S177" s="137"/>
      <c r="T177" s="137"/>
      <c r="U177" s="137"/>
      <c r="V177" s="137"/>
      <c r="W177" s="137"/>
      <c r="X177" s="137">
        <v>0</v>
      </c>
      <c r="Y177" s="137">
        <v>-5922</v>
      </c>
      <c r="Z177" s="137">
        <v>0</v>
      </c>
      <c r="AA177" s="137">
        <v>0</v>
      </c>
      <c r="AB177" s="137">
        <f>$K177-SUM($Q177:AA177)</f>
        <v>0</v>
      </c>
      <c r="AC177" s="137"/>
      <c r="AD177" s="137"/>
      <c r="AE177" s="137"/>
      <c r="AF177" s="137"/>
      <c r="AG177" s="137"/>
      <c r="AH177" s="137"/>
      <c r="AI177" s="137"/>
      <c r="AJ177" s="137"/>
      <c r="AK177" s="137"/>
      <c r="AL177" s="137"/>
      <c r="AM177" s="137"/>
      <c r="AN177" s="137"/>
      <c r="AO177" s="137"/>
      <c r="AP177" s="137"/>
      <c r="AQ177" s="137"/>
      <c r="AR177" s="562"/>
      <c r="AS177" s="375"/>
      <c r="AT177" s="375"/>
    </row>
    <row r="178" spans="1:46" s="32" customFormat="1" ht="39" thickBot="1">
      <c r="A178" s="530"/>
      <c r="B178" s="3640" t="s">
        <v>713</v>
      </c>
      <c r="C178" s="1336" t="s">
        <v>718</v>
      </c>
      <c r="D178" s="1342" t="s">
        <v>1056</v>
      </c>
      <c r="E178" s="3381">
        <f>IFERROR(VLOOKUP(C178,'פ.נ. Australia'!$D$113:$F$305,3,0),0)</f>
        <v>104688.43</v>
      </c>
      <c r="F178" s="3565">
        <f>SUMIF('פ.נ. Australia'!C:C,C:C,'פ.נ. Australia'!E:E)</f>
        <v>0</v>
      </c>
      <c r="G178" s="1339"/>
      <c r="H178" s="1338"/>
      <c r="I178" s="1339"/>
      <c r="J178" s="1340">
        <f>SUM(E178:I178)</f>
        <v>104688.43</v>
      </c>
      <c r="K178" s="4264">
        <f>M178+SUMIF('פ.נ. Australia'!C:C,'מאזן בוחן Australia'!C178,'פ.נ. Australia'!F:F)</f>
        <v>82634.429999999993</v>
      </c>
      <c r="L178" s="2131" cm="1">
        <f t="array" ref="L178">-SUM(-'[138]פקודת תיקון 2021 2022'!$N$3:$N$14)+J178+228222.57</f>
        <v>3.1219836906529963E-2</v>
      </c>
      <c r="M178" s="1341">
        <f>IFERROR(VLOOKUP(C178,'פ.נ. Australia'!$D$113:$G$305,4,0),"")</f>
        <v>82634.429999999993</v>
      </c>
      <c r="N178" s="3557">
        <f>IF(K178=0,"-",J178/K178)</f>
        <v>1.2668863329728299</v>
      </c>
      <c r="O178" s="320"/>
      <c r="P178" s="3527" t="s">
        <v>2449</v>
      </c>
      <c r="Q178" s="137">
        <v>0</v>
      </c>
      <c r="R178" s="137">
        <v>0</v>
      </c>
      <c r="S178" s="137">
        <v>69150.48</v>
      </c>
      <c r="T178" s="137">
        <v>23050.160000000003</v>
      </c>
      <c r="U178" s="137">
        <v>23050.160000000003</v>
      </c>
      <c r="V178" s="137">
        <v>23050.159999999989</v>
      </c>
      <c r="W178" s="137">
        <v>23050.160000000003</v>
      </c>
      <c r="X178" s="137">
        <v>23050.160000000003</v>
      </c>
      <c r="Y178" s="137">
        <v>5704.070000000007</v>
      </c>
      <c r="Z178" s="137">
        <v>-123741.64</v>
      </c>
      <c r="AA178" s="137">
        <v>23050.159999999989</v>
      </c>
      <c r="AB178" s="137">
        <f>$K178-SUM($Q178:AA178)</f>
        <v>-6779.4400000000023</v>
      </c>
      <c r="AC178" s="137"/>
      <c r="AD178" s="137"/>
      <c r="AE178" s="137"/>
      <c r="AF178" s="137"/>
      <c r="AG178" s="137"/>
      <c r="AH178" s="137"/>
      <c r="AI178" s="137"/>
      <c r="AJ178" s="137"/>
      <c r="AK178" s="137"/>
      <c r="AL178" s="137"/>
      <c r="AM178" s="137"/>
      <c r="AN178" s="137"/>
      <c r="AO178" s="137"/>
      <c r="AP178" s="137"/>
      <c r="AQ178" s="137"/>
      <c r="AR178" s="563"/>
      <c r="AT178" s="376"/>
    </row>
    <row r="179" spans="1:46" s="137" customFormat="1">
      <c r="A179" s="2883"/>
      <c r="B179" s="3630"/>
      <c r="C179" s="1164"/>
      <c r="D179" s="69" t="s">
        <v>454</v>
      </c>
      <c r="E179" s="3539">
        <f t="shared" ref="E179:K179" si="32">SUM(E156:E178)</f>
        <v>-6840291.7800000012</v>
      </c>
      <c r="F179" s="3364">
        <f t="shared" si="32"/>
        <v>0</v>
      </c>
      <c r="G179" s="3364">
        <f t="shared" si="32"/>
        <v>0</v>
      </c>
      <c r="H179" s="3364">
        <f t="shared" si="32"/>
        <v>0</v>
      </c>
      <c r="I179" s="3364">
        <f t="shared" si="32"/>
        <v>0</v>
      </c>
      <c r="J179" s="3364">
        <f t="shared" si="32"/>
        <v>-6840291.7800000012</v>
      </c>
      <c r="K179" s="3364">
        <f t="shared" si="32"/>
        <v>-5012328.7699999996</v>
      </c>
      <c r="L179" s="2945"/>
      <c r="M179" s="3364">
        <f>SUM(M156:M178)</f>
        <v>-5012328.7699999996</v>
      </c>
      <c r="N179" s="1134"/>
      <c r="O179" s="472"/>
      <c r="P179" s="401"/>
      <c r="AR179" s="141"/>
      <c r="AS179" s="32"/>
      <c r="AT179" s="32"/>
    </row>
    <row r="180" spans="1:46" s="137" customFormat="1">
      <c r="A180" s="2883"/>
      <c r="B180" s="3630"/>
      <c r="C180" s="1165"/>
      <c r="D180" s="50"/>
      <c r="E180" s="3534"/>
      <c r="F180" s="460"/>
      <c r="G180" s="399"/>
      <c r="H180" s="51"/>
      <c r="I180" s="399"/>
      <c r="J180" s="51"/>
      <c r="K180" s="399"/>
      <c r="L180" s="51"/>
      <c r="M180" s="399"/>
      <c r="N180" s="1134"/>
      <c r="O180" s="472"/>
      <c r="P180" s="401"/>
      <c r="AR180" s="52"/>
    </row>
    <row r="181" spans="1:46" s="137" customFormat="1">
      <c r="A181" s="2883"/>
      <c r="B181" s="3630"/>
      <c r="C181" s="407"/>
      <c r="D181" s="70" t="s">
        <v>251</v>
      </c>
      <c r="E181" s="3533"/>
      <c r="F181" s="460"/>
      <c r="G181" s="399"/>
      <c r="H181" s="51"/>
      <c r="I181" s="399"/>
      <c r="J181" s="52"/>
      <c r="K181" s="399"/>
      <c r="L181" s="51"/>
      <c r="M181" s="399"/>
      <c r="N181" s="1134"/>
      <c r="O181" s="472"/>
      <c r="P181" s="401"/>
      <c r="AR181" s="141"/>
    </row>
    <row r="182" spans="1:46" s="137" customFormat="1">
      <c r="A182" s="2883"/>
      <c r="B182" s="3630"/>
      <c r="C182" s="407"/>
      <c r="D182" s="407"/>
      <c r="E182" s="3533"/>
      <c r="F182" s="460"/>
      <c r="G182" s="399"/>
      <c r="H182" s="51"/>
      <c r="I182" s="399"/>
      <c r="J182" s="52"/>
      <c r="K182" s="399"/>
      <c r="L182" s="51"/>
      <c r="M182" s="399"/>
      <c r="N182" s="1134"/>
      <c r="O182" s="472"/>
      <c r="P182" s="401"/>
      <c r="Q182" s="2027" t="s">
        <v>3210</v>
      </c>
      <c r="R182" s="2027" t="s">
        <v>3307</v>
      </c>
      <c r="S182" s="2027" t="s">
        <v>3384</v>
      </c>
      <c r="T182" s="2027" t="s">
        <v>3564</v>
      </c>
      <c r="U182" s="2027" t="s">
        <v>3633</v>
      </c>
      <c r="V182" s="2027" t="s">
        <v>3721</v>
      </c>
      <c r="W182" s="2027" t="s">
        <v>3888</v>
      </c>
      <c r="X182" s="2027" t="s">
        <v>3994</v>
      </c>
      <c r="Y182" s="2027" t="s">
        <v>3556</v>
      </c>
      <c r="Z182" s="2027" t="s">
        <v>3557</v>
      </c>
      <c r="AA182" s="2027" t="s">
        <v>3558</v>
      </c>
      <c r="AB182" s="2027" t="s">
        <v>3559</v>
      </c>
      <c r="AC182" s="2027"/>
      <c r="AD182" s="2027"/>
      <c r="AE182" s="2027"/>
      <c r="AF182" s="2027"/>
      <c r="AG182" s="2027"/>
      <c r="AH182" s="2027"/>
      <c r="AI182" s="2027"/>
      <c r="AJ182" s="2027"/>
      <c r="AK182" s="2027"/>
      <c r="AL182" s="2027"/>
      <c r="AM182" s="2027"/>
      <c r="AN182" s="1952"/>
      <c r="AO182" s="1952"/>
      <c r="AP182" s="1936"/>
      <c r="AQ182" s="1936"/>
      <c r="AR182" s="1936"/>
      <c r="AS182" s="1936"/>
      <c r="AT182" s="170"/>
    </row>
    <row r="183" spans="1:46" s="137" customFormat="1">
      <c r="A183" s="2883"/>
      <c r="B183" s="3628" t="s">
        <v>785</v>
      </c>
      <c r="C183" s="585">
        <v>5200001</v>
      </c>
      <c r="D183" s="45" t="s">
        <v>786</v>
      </c>
      <c r="E183" s="462">
        <f>IFERROR(VLOOKUP(C183,'פ.נ. Australia'!$D$113:$F$305,3,0),0)</f>
        <v>483413.8</v>
      </c>
      <c r="F183" s="460">
        <f>SUMIF('פ.נ. Australia'!C:C,C:C,'פ.נ. Australia'!E:E)</f>
        <v>0</v>
      </c>
      <c r="G183" s="399"/>
      <c r="H183" s="51"/>
      <c r="I183" s="399"/>
      <c r="J183" s="170">
        <f>SUM(E183:I183)</f>
        <v>483413.8</v>
      </c>
      <c r="K183" s="97">
        <f>M183+SUMIF('פ.נ. Australia'!C:C,'מאזן בוחן Australia'!C183,'פ.נ. Australia'!F:F)</f>
        <v>362739.43</v>
      </c>
      <c r="L183" s="51"/>
      <c r="M183" s="97">
        <f>IFERROR(VLOOKUP(C183,'פ.נ. Australia'!$D$113:$G$305,4,0),"")</f>
        <v>362739.43</v>
      </c>
      <c r="N183" s="1134">
        <f t="shared" ref="N183:N192" si="33">IF(K183=0,"-",J183/K183)</f>
        <v>1.3326750830479057</v>
      </c>
      <c r="O183" s="472"/>
      <c r="P183" s="1148"/>
      <c r="Q183" s="137">
        <v>21696.67</v>
      </c>
      <c r="R183" s="137">
        <v>23894.33</v>
      </c>
      <c r="S183" s="137">
        <v>26467.289999999994</v>
      </c>
      <c r="T183" s="137">
        <v>32686.11</v>
      </c>
      <c r="U183" s="137">
        <v>36270.49000000002</v>
      </c>
      <c r="V183" s="137">
        <v>35765.859999999986</v>
      </c>
      <c r="W183" s="137">
        <v>34659.049999999988</v>
      </c>
      <c r="X183" s="137">
        <v>32076.860000000015</v>
      </c>
      <c r="Y183" s="137">
        <v>29600.959999999992</v>
      </c>
      <c r="Z183" s="137">
        <v>30848.929999999993</v>
      </c>
      <c r="AA183" s="137">
        <v>29165.260000000009</v>
      </c>
      <c r="AB183" s="137">
        <f>$K183-SUM($Q183:AA183)</f>
        <v>29607.619999999995</v>
      </c>
      <c r="AJ183" s="137" t="s">
        <v>3612</v>
      </c>
      <c r="AS183" s="141"/>
    </row>
    <row r="184" spans="1:46" s="137" customFormat="1">
      <c r="A184" s="2883"/>
      <c r="B184" s="3628" t="s">
        <v>785</v>
      </c>
      <c r="C184" s="585">
        <v>5200002</v>
      </c>
      <c r="D184" s="45" t="s">
        <v>846</v>
      </c>
      <c r="E184" s="462">
        <f>IFERROR(VLOOKUP(C184,'פ.נ. Australia'!$D$113:$F$305,3,0),0)</f>
        <v>5460.1</v>
      </c>
      <c r="F184" s="460">
        <f>SUMIF('פ.נ. Australia'!C:C,C:C,'פ.נ. Australia'!E:E)</f>
        <v>0</v>
      </c>
      <c r="G184" s="399"/>
      <c r="H184" s="51"/>
      <c r="I184" s="399"/>
      <c r="J184" s="170">
        <f>SUM(E184:I184)</f>
        <v>5460.1</v>
      </c>
      <c r="K184" s="97">
        <f>M184+SUMIF('פ.נ. Australia'!C:C,'מאזן בוחן Australia'!C184,'פ.נ. Australia'!F:F)</f>
        <v>4034.82</v>
      </c>
      <c r="L184" s="51"/>
      <c r="M184" s="97">
        <f>IFERROR(VLOOKUP(C184,'פ.נ. Australia'!$D$113:$G$305,4,0),"")</f>
        <v>4034.82</v>
      </c>
      <c r="N184" s="1134">
        <f t="shared" si="33"/>
        <v>1.353245002255367</v>
      </c>
      <c r="O184" s="472"/>
      <c r="P184" s="1133"/>
      <c r="Q184" s="137">
        <v>0</v>
      </c>
      <c r="R184" s="137">
        <v>0</v>
      </c>
      <c r="S184" s="137">
        <v>0</v>
      </c>
      <c r="T184" s="137">
        <v>0</v>
      </c>
      <c r="U184" s="137">
        <v>0</v>
      </c>
      <c r="V184" s="137">
        <v>1475.84</v>
      </c>
      <c r="W184" s="137">
        <v>0</v>
      </c>
      <c r="X184" s="137">
        <v>397.93000000000006</v>
      </c>
      <c r="Y184" s="137">
        <v>0</v>
      </c>
      <c r="Z184" s="137">
        <v>0</v>
      </c>
      <c r="AA184" s="137">
        <v>0</v>
      </c>
      <c r="AB184" s="137">
        <f>$K184-SUM($Q184:AA184)</f>
        <v>2161.0500000000002</v>
      </c>
      <c r="AT184" s="170"/>
    </row>
    <row r="185" spans="1:46" s="137" customFormat="1">
      <c r="A185" s="2883"/>
      <c r="B185" s="3628"/>
      <c r="C185" s="585"/>
      <c r="D185" s="45"/>
      <c r="E185" s="462"/>
      <c r="F185" s="460"/>
      <c r="G185" s="399"/>
      <c r="H185" s="51"/>
      <c r="I185" s="399"/>
      <c r="J185" s="170"/>
      <c r="K185" s="97"/>
      <c r="L185" s="51"/>
      <c r="M185" s="97"/>
      <c r="N185" s="1134"/>
      <c r="O185" s="472"/>
      <c r="P185" s="1133"/>
      <c r="Y185" s="137">
        <v>0</v>
      </c>
      <c r="Z185" s="137">
        <v>0</v>
      </c>
      <c r="AA185" s="137">
        <v>0</v>
      </c>
      <c r="AB185" s="137">
        <f>$K185-SUM($Q185:AA185)</f>
        <v>0</v>
      </c>
      <c r="AT185" s="170"/>
    </row>
    <row r="186" spans="1:46" s="137" customFormat="1">
      <c r="A186" s="2883"/>
      <c r="B186" s="3628" t="s">
        <v>828</v>
      </c>
      <c r="C186" s="585" t="s">
        <v>1238</v>
      </c>
      <c r="D186" s="45" t="s">
        <v>1432</v>
      </c>
      <c r="E186" s="462">
        <f>IFERROR(VLOOKUP(C186,'פ.נ. Australia'!$D$113:$F$305,3,0),0)</f>
        <v>4613.57</v>
      </c>
      <c r="F186" s="460">
        <f>SUMIF('פ.נ. Australia'!C:C,C:C,'פ.נ. Australia'!E:E)</f>
        <v>0</v>
      </c>
      <c r="G186" s="399"/>
      <c r="H186" s="51"/>
      <c r="I186" s="399"/>
      <c r="J186" s="170">
        <f>SUM(E186:I186)</f>
        <v>4613.57</v>
      </c>
      <c r="K186" s="98">
        <f>M186+SUMIF('פ.נ. Australia'!C:C,'מאזן בוחן Australia'!C186,'פ.נ. Australia'!F:F)</f>
        <v>3402.65</v>
      </c>
      <c r="L186" s="51"/>
      <c r="M186" s="98">
        <f>IFERROR(VLOOKUP(C186,'פ.נ. Australia'!$D$113:$G$305,4,0),"")</f>
        <v>3402.65</v>
      </c>
      <c r="N186" s="1134">
        <f t="shared" si="33"/>
        <v>1.3558755675723333</v>
      </c>
      <c r="O186" s="472"/>
      <c r="P186" s="1133"/>
      <c r="Q186" s="137">
        <v>0</v>
      </c>
      <c r="R186" s="137">
        <v>0</v>
      </c>
      <c r="S186" s="137">
        <v>597.59</v>
      </c>
      <c r="T186" s="137">
        <v>0</v>
      </c>
      <c r="U186" s="137">
        <v>0</v>
      </c>
      <c r="V186" s="137">
        <v>1033.7199999999998</v>
      </c>
      <c r="W186" s="137">
        <v>0</v>
      </c>
      <c r="X186" s="137">
        <v>0</v>
      </c>
      <c r="Y186" s="137">
        <v>886.32999999999993</v>
      </c>
      <c r="Z186" s="137">
        <v>0</v>
      </c>
      <c r="AA186" s="137">
        <v>0</v>
      </c>
      <c r="AB186" s="137">
        <f>$K186-SUM($Q186:AA186)</f>
        <v>885.01000000000022</v>
      </c>
      <c r="AT186" s="170"/>
    </row>
    <row r="187" spans="1:46" s="137" customFormat="1">
      <c r="A187" s="2883"/>
      <c r="B187" s="3628"/>
      <c r="C187" s="585"/>
      <c r="D187" s="45"/>
      <c r="E187" s="462"/>
      <c r="F187" s="460"/>
      <c r="G187" s="399"/>
      <c r="H187" s="51"/>
      <c r="I187" s="399"/>
      <c r="J187" s="170"/>
      <c r="K187" s="97"/>
      <c r="L187" s="51"/>
      <c r="M187" s="97"/>
      <c r="N187" s="1134" t="str">
        <f t="shared" si="33"/>
        <v>-</v>
      </c>
      <c r="O187" s="472"/>
      <c r="P187" s="1133"/>
      <c r="Q187" s="137">
        <v>0</v>
      </c>
      <c r="R187" s="137">
        <v>0</v>
      </c>
      <c r="S187" s="137">
        <v>0</v>
      </c>
      <c r="T187" s="137">
        <v>0</v>
      </c>
      <c r="U187" s="137">
        <v>0</v>
      </c>
      <c r="V187" s="137">
        <v>0</v>
      </c>
      <c r="W187" s="137">
        <v>0</v>
      </c>
      <c r="X187" s="137">
        <v>0</v>
      </c>
      <c r="Y187" s="137">
        <v>0</v>
      </c>
      <c r="Z187" s="137">
        <v>0</v>
      </c>
      <c r="AA187" s="137">
        <v>0</v>
      </c>
      <c r="AB187" s="137">
        <f>$K187-SUM($Q187:AA187)</f>
        <v>0</v>
      </c>
      <c r="AT187" s="170"/>
    </row>
    <row r="188" spans="1:46" s="137" customFormat="1">
      <c r="A188" s="2883"/>
      <c r="B188" s="3628" t="s">
        <v>787</v>
      </c>
      <c r="C188" s="585">
        <v>5200029</v>
      </c>
      <c r="D188" s="45" t="s">
        <v>788</v>
      </c>
      <c r="E188" s="462">
        <f>IFERROR(VLOOKUP(C188,'פ.נ. Australia'!$D$113:$F$305,3,0),0)</f>
        <v>4582.28</v>
      </c>
      <c r="F188" s="460">
        <f>SUMIF('פ.נ. Australia'!C:C,C:C,'פ.נ. Australia'!E:E)</f>
        <v>0</v>
      </c>
      <c r="G188" s="399"/>
      <c r="H188" s="51"/>
      <c r="I188" s="399"/>
      <c r="J188" s="170">
        <f>SUM(E188:I188)</f>
        <v>4582.28</v>
      </c>
      <c r="K188" s="97">
        <f>M188+SUMIF('פ.נ. Australia'!C:C,'מאזן בוחן Australia'!C188,'פ.נ. Australia'!F:F)</f>
        <v>3440.21</v>
      </c>
      <c r="L188" s="51"/>
      <c r="M188" s="97">
        <f>IFERROR(VLOOKUP(C188,'פ.נ. Australia'!$D$113:$G$305,4,0),"")</f>
        <v>3440.21</v>
      </c>
      <c r="N188" s="1134">
        <f t="shared" si="33"/>
        <v>1.3319768269960264</v>
      </c>
      <c r="O188" s="1712"/>
      <c r="P188" s="1133"/>
      <c r="Q188" s="137">
        <v>708.75</v>
      </c>
      <c r="R188" s="137">
        <v>76.210000000000036</v>
      </c>
      <c r="S188" s="137">
        <v>839.55</v>
      </c>
      <c r="T188" s="137">
        <v>-95.690000000000055</v>
      </c>
      <c r="U188" s="137">
        <v>461.72</v>
      </c>
      <c r="V188" s="137">
        <v>359.67999999999984</v>
      </c>
      <c r="W188" s="137">
        <v>0</v>
      </c>
      <c r="X188" s="137">
        <v>179.90000000000009</v>
      </c>
      <c r="Y188" s="137">
        <v>244.84999999999991</v>
      </c>
      <c r="Z188" s="137">
        <v>104.97000000000025</v>
      </c>
      <c r="AA188" s="137">
        <v>560.27</v>
      </c>
      <c r="AB188" s="137">
        <f>$K188-SUM($Q188:AA188)</f>
        <v>0</v>
      </c>
      <c r="AT188" s="170"/>
    </row>
    <row r="189" spans="1:46" s="137" customFormat="1">
      <c r="A189" s="2883"/>
      <c r="B189" s="3628" t="s">
        <v>1088</v>
      </c>
      <c r="C189" s="585">
        <v>5420004</v>
      </c>
      <c r="D189" s="45" t="s">
        <v>1095</v>
      </c>
      <c r="E189" s="462">
        <f>IFERROR(VLOOKUP(C189,'פ.נ. Australia'!$D$113:$F$305,3,0),0)</f>
        <v>38037.870000000003</v>
      </c>
      <c r="F189" s="460">
        <f>SUMIF('פ.נ. Australia'!C:C,C:C,'פ.נ. Australia'!E:E)</f>
        <v>0</v>
      </c>
      <c r="G189" s="399"/>
      <c r="H189" s="51"/>
      <c r="I189" s="399"/>
      <c r="J189" s="170">
        <f>SUM(E189:I189)</f>
        <v>38037.870000000003</v>
      </c>
      <c r="K189" s="97">
        <f>M189+SUMIF('פ.נ. Australia'!C:C,'מאזן בוחן Australia'!C189,'פ.נ. Australia'!F:F)</f>
        <v>28201.03</v>
      </c>
      <c r="L189" s="51"/>
      <c r="M189" s="97">
        <f>IFERROR(VLOOKUP(C189,'פ.נ. Australia'!$D$113:$G$305,4,0),"")</f>
        <v>28201.03</v>
      </c>
      <c r="N189" s="1134">
        <f>IF(K189=0,"-",J189/K189)</f>
        <v>1.3488113732016171</v>
      </c>
      <c r="O189" s="1712"/>
      <c r="P189" s="1133"/>
      <c r="R189" s="137">
        <v>4358.46</v>
      </c>
      <c r="S189" s="137">
        <v>0</v>
      </c>
      <c r="T189" s="137">
        <v>0</v>
      </c>
      <c r="U189" s="137">
        <v>0</v>
      </c>
      <c r="V189" s="137">
        <v>6554.8200000000006</v>
      </c>
      <c r="W189" s="137">
        <v>0</v>
      </c>
      <c r="X189" s="137">
        <v>0</v>
      </c>
      <c r="Y189" s="137">
        <v>3421.2099999999991</v>
      </c>
      <c r="Z189" s="137">
        <v>3403.1799999999985</v>
      </c>
      <c r="AA189" s="137">
        <v>10463.36</v>
      </c>
      <c r="AB189" s="137">
        <f>$K189-SUM($Q189:AA189)</f>
        <v>0</v>
      </c>
      <c r="AT189" s="170"/>
    </row>
    <row r="190" spans="1:46" s="137" customFormat="1" ht="38.25">
      <c r="A190" s="2883"/>
      <c r="B190" s="3628" t="s">
        <v>1082</v>
      </c>
      <c r="C190" s="585">
        <v>5210099</v>
      </c>
      <c r="D190" s="45" t="s">
        <v>1953</v>
      </c>
      <c r="E190" s="462">
        <f>IFERROR(VLOOKUP(C190,'פ.נ. Australia'!$D$113:$F$305,3,0),0)</f>
        <v>0</v>
      </c>
      <c r="F190" s="460">
        <f>SUMIF('פ.נ. Australia'!C:C,C:C,'פ.נ. Australia'!E:E)</f>
        <v>0</v>
      </c>
      <c r="G190" s="399"/>
      <c r="H190" s="51"/>
      <c r="I190" s="399"/>
      <c r="J190" s="170">
        <f>SUM(E190:I190)</f>
        <v>0</v>
      </c>
      <c r="K190" s="97">
        <f>M190+SUMIF('פ.נ. Australia'!C:C,'מאזן בוחן Australia'!C190,'פ.נ. Australia'!F:F)</f>
        <v>0</v>
      </c>
      <c r="L190" s="51"/>
      <c r="M190" s="97" t="str">
        <f>IFERROR(VLOOKUP(C190,'פ.נ. Australia'!$D$113:$G$305,4,0),"")</f>
        <v/>
      </c>
      <c r="N190" s="1134" t="str">
        <f t="shared" si="33"/>
        <v>-</v>
      </c>
      <c r="O190" s="1712"/>
      <c r="P190" s="3573" t="s">
        <v>1954</v>
      </c>
      <c r="Q190" s="137">
        <v>0</v>
      </c>
      <c r="R190" s="137">
        <v>0</v>
      </c>
      <c r="S190" s="137">
        <v>0</v>
      </c>
      <c r="T190" s="137">
        <v>0</v>
      </c>
      <c r="U190" s="137">
        <v>0</v>
      </c>
      <c r="V190" s="137">
        <v>0</v>
      </c>
      <c r="W190" s="137">
        <v>0</v>
      </c>
      <c r="X190" s="137">
        <v>0</v>
      </c>
      <c r="Y190" s="137">
        <v>0</v>
      </c>
      <c r="Z190" s="137">
        <v>0</v>
      </c>
      <c r="AA190" s="137">
        <v>0</v>
      </c>
      <c r="AB190" s="137">
        <f>$K190-SUM($Q190:AA190)</f>
        <v>0</v>
      </c>
      <c r="AS190" s="405"/>
      <c r="AT190" s="170"/>
    </row>
    <row r="191" spans="1:46" s="137" customFormat="1">
      <c r="A191" s="2883"/>
      <c r="B191" s="3628" t="s">
        <v>1231</v>
      </c>
      <c r="C191" s="585">
        <v>5200003</v>
      </c>
      <c r="D191" s="45" t="s">
        <v>1071</v>
      </c>
      <c r="E191" s="462">
        <f>IFERROR(VLOOKUP(C191,'פ.נ. Australia'!$D$113:$F$305,3,0),0)</f>
        <v>9536.11</v>
      </c>
      <c r="F191" s="460">
        <f>SUMIF('פ.נ. Australia'!C:C,C:C,'פ.נ. Australia'!E:E)</f>
        <v>0</v>
      </c>
      <c r="G191" s="399"/>
      <c r="H191" s="51"/>
      <c r="I191" s="399"/>
      <c r="J191" s="170">
        <f>SUM(E191:I191)</f>
        <v>9536.11</v>
      </c>
      <c r="K191" s="97">
        <f>M191+SUMIF('פ.נ. Australia'!C:C,'מאזן בוחן Australia'!C191,'פ.נ. Australia'!F:F)</f>
        <v>7142.52</v>
      </c>
      <c r="L191" s="51"/>
      <c r="M191" s="97">
        <f>IFERROR(VLOOKUP(C191,'פ.נ. Australia'!$D$113:$G$305,4,0),"")</f>
        <v>7142.52</v>
      </c>
      <c r="N191" s="1134">
        <f t="shared" si="33"/>
        <v>1.3351184175893103</v>
      </c>
      <c r="O191" s="1712"/>
      <c r="P191" s="1148"/>
      <c r="Q191" s="137">
        <v>610.1</v>
      </c>
      <c r="R191" s="137">
        <v>264.07999999999993</v>
      </c>
      <c r="S191" s="137">
        <v>1628.46</v>
      </c>
      <c r="T191" s="137">
        <v>950</v>
      </c>
      <c r="U191" s="137">
        <v>950.00000000000045</v>
      </c>
      <c r="V191" s="137">
        <v>950</v>
      </c>
      <c r="W191" s="137">
        <v>950</v>
      </c>
      <c r="X191" s="137">
        <v>950</v>
      </c>
      <c r="Y191" s="137">
        <v>949.99999999999909</v>
      </c>
      <c r="Z191" s="137">
        <v>950</v>
      </c>
      <c r="AA191" s="137">
        <v>950</v>
      </c>
      <c r="AB191" s="137">
        <f>$K191-SUM($Q191:AA191)</f>
        <v>-2960.119999999999</v>
      </c>
      <c r="AS191" s="63"/>
      <c r="AT191" s="170"/>
    </row>
    <row r="192" spans="1:46" s="137" customFormat="1">
      <c r="A192" s="2883"/>
      <c r="B192" s="3628" t="s">
        <v>734</v>
      </c>
      <c r="C192" s="1166">
        <v>5900001</v>
      </c>
      <c r="D192" s="61" t="s">
        <v>735</v>
      </c>
      <c r="E192" s="462">
        <f>IFERROR(VLOOKUP(C192,'פ.נ. Australia'!$D$113:$F$305,3,0),0)</f>
        <v>3669771.76</v>
      </c>
      <c r="F192" s="460">
        <f>SUMIF('פ.נ. Australia'!C:C,C:C,'פ.נ. Australia'!E:E)</f>
        <v>0</v>
      </c>
      <c r="G192" s="399"/>
      <c r="H192" s="51"/>
      <c r="I192" s="399"/>
      <c r="J192" s="170">
        <f>SUM(E192:I192)</f>
        <v>3669771.76</v>
      </c>
      <c r="K192" s="98">
        <f>M192+SUMIF('פ.נ. Australia'!C:C,'מאזן בוחן Australia'!C192,'פ.נ. Australia'!F:F)</f>
        <v>2657155.0099999998</v>
      </c>
      <c r="L192" s="51"/>
      <c r="M192" s="98">
        <f>IFERROR(VLOOKUP(C192,'פ.נ. Australia'!$D$113:$G$305,4,0),"")</f>
        <v>2657155.0099999998</v>
      </c>
      <c r="N192" s="1134">
        <f t="shared" si="33"/>
        <v>1.3810905822916217</v>
      </c>
      <c r="O192" s="472"/>
      <c r="P192" s="1133"/>
      <c r="Q192" s="137">
        <v>128035.01699999999</v>
      </c>
      <c r="R192" s="137">
        <v>139542.00130121922</v>
      </c>
      <c r="S192" s="137">
        <v>175282.78169878077</v>
      </c>
      <c r="T192" s="137">
        <v>85678.811500001524</v>
      </c>
      <c r="U192" s="137">
        <v>90976.25874999864</v>
      </c>
      <c r="V192" s="137">
        <v>36808.08974999981</v>
      </c>
      <c r="W192" s="137">
        <v>120066.05824999977</v>
      </c>
      <c r="X192" s="137">
        <v>92438.486500000581</v>
      </c>
      <c r="Y192" s="137">
        <v>879041.17524999962</v>
      </c>
      <c r="Z192" s="137">
        <v>1617990.3404999978</v>
      </c>
      <c r="AA192" s="137">
        <v>-1122544.453499997</v>
      </c>
      <c r="AB192" s="137">
        <f>$K192-SUM($Q192:AA192)</f>
        <v>413840.44299999904</v>
      </c>
      <c r="AS192" s="170"/>
      <c r="AT192" s="170"/>
    </row>
    <row r="193" spans="1:50" s="137" customFormat="1">
      <c r="A193" s="2883"/>
      <c r="B193" s="3630"/>
      <c r="C193" s="421"/>
      <c r="D193" s="61"/>
      <c r="E193" s="3533"/>
      <c r="F193" s="460"/>
      <c r="G193" s="399"/>
      <c r="H193" s="51"/>
      <c r="I193" s="399"/>
      <c r="J193" s="51"/>
      <c r="K193" s="430"/>
      <c r="L193" s="51"/>
      <c r="M193" s="430"/>
      <c r="N193" s="555"/>
      <c r="O193" s="555"/>
      <c r="P193" s="432"/>
      <c r="Q193" s="137">
        <v>0</v>
      </c>
      <c r="R193" s="137">
        <v>0</v>
      </c>
      <c r="S193" s="137">
        <v>0</v>
      </c>
      <c r="T193" s="137">
        <v>0</v>
      </c>
      <c r="U193" s="137">
        <v>0</v>
      </c>
      <c r="V193" s="137">
        <v>0</v>
      </c>
      <c r="W193" s="137">
        <v>0</v>
      </c>
      <c r="X193" s="137">
        <v>0</v>
      </c>
      <c r="Y193" s="137">
        <v>0</v>
      </c>
      <c r="Z193" s="137">
        <v>0</v>
      </c>
      <c r="AA193" s="137">
        <v>0</v>
      </c>
      <c r="AB193" s="137">
        <f>$K193-SUM($Q193:AA193)</f>
        <v>0</v>
      </c>
    </row>
    <row r="194" spans="1:50" s="137" customFormat="1">
      <c r="A194" s="2883"/>
      <c r="B194" s="3630"/>
      <c r="C194" s="1164"/>
      <c r="D194" s="69" t="s">
        <v>548</v>
      </c>
      <c r="E194" s="3539">
        <f t="shared" ref="E194:K194" si="34">SUM(E183:E193)</f>
        <v>4215415.49</v>
      </c>
      <c r="F194" s="3364">
        <f t="shared" si="34"/>
        <v>0</v>
      </c>
      <c r="G194" s="3364">
        <f t="shared" si="34"/>
        <v>0</v>
      </c>
      <c r="H194" s="3364">
        <f t="shared" si="34"/>
        <v>0</v>
      </c>
      <c r="I194" s="3364">
        <f t="shared" si="34"/>
        <v>0</v>
      </c>
      <c r="J194" s="3364">
        <f t="shared" si="34"/>
        <v>4215415.49</v>
      </c>
      <c r="K194" s="3364">
        <f t="shared" si="34"/>
        <v>3066115.67</v>
      </c>
      <c r="L194" s="2945"/>
      <c r="M194" s="3364">
        <f>SUM(M183:M193)</f>
        <v>3066115.67</v>
      </c>
      <c r="N194" s="1134"/>
      <c r="O194" s="472"/>
      <c r="P194" s="401"/>
      <c r="Q194" s="137">
        <v>151050.53699999998</v>
      </c>
      <c r="R194" s="137">
        <v>168135.08130121921</v>
      </c>
      <c r="S194" s="137">
        <v>204815.67169878079</v>
      </c>
      <c r="T194" s="137">
        <v>119219.23150000157</v>
      </c>
      <c r="U194" s="137">
        <v>128658.4687499986</v>
      </c>
      <c r="V194" s="137">
        <v>82948.009749999852</v>
      </c>
      <c r="W194" s="137">
        <v>155675.1082499997</v>
      </c>
      <c r="X194" s="137">
        <v>126043.17650000064</v>
      </c>
      <c r="Y194" s="137">
        <v>914144.52524999972</v>
      </c>
      <c r="Z194" s="137">
        <v>1653297.4204999977</v>
      </c>
      <c r="AA194" s="137">
        <v>-1081405.5634999969</v>
      </c>
      <c r="AB194" s="137">
        <f>$K194-SUM($Q194:AA194)</f>
        <v>443534.00299999909</v>
      </c>
      <c r="AS194" s="481"/>
      <c r="AT194" s="52"/>
    </row>
    <row r="195" spans="1:50" s="137" customFormat="1">
      <c r="A195" s="2883"/>
      <c r="B195" s="3630"/>
      <c r="C195" s="154"/>
      <c r="D195" s="278"/>
      <c r="E195" s="3541"/>
      <c r="F195" s="3574"/>
      <c r="G195" s="3575"/>
      <c r="H195" s="3576"/>
      <c r="I195" s="3575"/>
      <c r="J195" s="3576"/>
      <c r="K195" s="3575"/>
      <c r="L195" s="3562"/>
      <c r="M195" s="3575"/>
      <c r="N195" s="3577"/>
      <c r="O195" s="3578"/>
      <c r="P195" s="401"/>
      <c r="Q195" s="137">
        <v>0</v>
      </c>
      <c r="R195" s="137">
        <v>0</v>
      </c>
      <c r="S195" s="137">
        <v>0</v>
      </c>
      <c r="T195" s="137">
        <v>0</v>
      </c>
      <c r="U195" s="137">
        <v>0</v>
      </c>
      <c r="V195" s="137">
        <v>0</v>
      </c>
      <c r="W195" s="137">
        <v>0</v>
      </c>
      <c r="X195" s="137">
        <v>0</v>
      </c>
      <c r="Y195" s="137">
        <v>0</v>
      </c>
      <c r="Z195" s="137">
        <v>0</v>
      </c>
      <c r="AA195" s="137">
        <v>0</v>
      </c>
      <c r="AB195" s="137">
        <f>$K195-SUM($Q195:AA195)</f>
        <v>0</v>
      </c>
      <c r="AS195" s="481"/>
      <c r="AT195" s="52"/>
    </row>
    <row r="196" spans="1:50" s="137" customFormat="1">
      <c r="A196" s="2883"/>
      <c r="B196" s="3630"/>
      <c r="C196" s="154"/>
      <c r="D196" s="70" t="s">
        <v>1589</v>
      </c>
      <c r="E196" s="463"/>
      <c r="F196" s="455"/>
      <c r="G196" s="456"/>
      <c r="H196" s="455"/>
      <c r="I196" s="456"/>
      <c r="J196" s="455"/>
      <c r="K196" s="456"/>
      <c r="L196" s="51"/>
      <c r="M196" s="456"/>
      <c r="N196" s="1106"/>
      <c r="O196" s="434"/>
      <c r="P196" s="401"/>
      <c r="Q196" s="137">
        <v>0</v>
      </c>
      <c r="R196" s="137">
        <v>0</v>
      </c>
      <c r="S196" s="137">
        <v>0</v>
      </c>
      <c r="T196" s="137">
        <v>0</v>
      </c>
      <c r="U196" s="137">
        <v>0</v>
      </c>
      <c r="V196" s="137">
        <v>0</v>
      </c>
      <c r="W196" s="137">
        <v>0</v>
      </c>
      <c r="X196" s="137">
        <v>0</v>
      </c>
      <c r="Y196" s="137">
        <v>0</v>
      </c>
      <c r="Z196" s="137">
        <v>0</v>
      </c>
      <c r="AA196" s="137">
        <v>0</v>
      </c>
      <c r="AB196" s="137">
        <f>$K196-SUM($Q196:AA196)</f>
        <v>0</v>
      </c>
      <c r="AS196" s="481"/>
      <c r="AT196" s="52"/>
    </row>
    <row r="197" spans="1:50" s="137" customFormat="1">
      <c r="A197" s="2883"/>
      <c r="B197" s="3630"/>
      <c r="C197" s="154"/>
      <c r="D197" s="50" t="s">
        <v>86</v>
      </c>
      <c r="E197" s="463"/>
      <c r="F197" s="455"/>
      <c r="G197" s="456"/>
      <c r="H197" s="455"/>
      <c r="I197" s="456"/>
      <c r="J197" s="455"/>
      <c r="K197" s="456"/>
      <c r="L197" s="51"/>
      <c r="M197" s="456"/>
      <c r="N197" s="1106"/>
      <c r="O197" s="434"/>
      <c r="P197" s="401"/>
      <c r="Q197" s="137">
        <v>0</v>
      </c>
      <c r="R197" s="137">
        <v>0</v>
      </c>
      <c r="S197" s="137">
        <v>0</v>
      </c>
      <c r="T197" s="137">
        <v>0</v>
      </c>
      <c r="U197" s="137">
        <v>0</v>
      </c>
      <c r="V197" s="137">
        <v>0</v>
      </c>
      <c r="W197" s="137">
        <v>0</v>
      </c>
      <c r="X197" s="137">
        <v>0</v>
      </c>
      <c r="Y197" s="137">
        <v>0</v>
      </c>
      <c r="Z197" s="137">
        <v>0</v>
      </c>
      <c r="AA197" s="137">
        <v>0</v>
      </c>
      <c r="AB197" s="137">
        <f>$K197-SUM($Q197:AA197)</f>
        <v>0</v>
      </c>
      <c r="AS197" s="481"/>
      <c r="AT197" s="52"/>
    </row>
    <row r="198" spans="1:50" s="137" customFormat="1">
      <c r="A198" s="2883"/>
      <c r="B198" s="3630"/>
      <c r="C198" s="154"/>
      <c r="D198" s="278"/>
      <c r="E198" s="463"/>
      <c r="F198" s="455"/>
      <c r="G198" s="456"/>
      <c r="H198" s="455"/>
      <c r="I198" s="456"/>
      <c r="J198" s="455"/>
      <c r="K198" s="456"/>
      <c r="L198" s="51"/>
      <c r="M198" s="456"/>
      <c r="N198" s="1106"/>
      <c r="O198" s="434">
        <v>38325.760000000002</v>
      </c>
      <c r="P198" s="401"/>
      <c r="Q198" s="137">
        <v>0</v>
      </c>
      <c r="R198" s="137">
        <v>0</v>
      </c>
      <c r="S198" s="137">
        <v>0</v>
      </c>
      <c r="T198" s="137">
        <v>0</v>
      </c>
      <c r="U198" s="137">
        <v>0</v>
      </c>
      <c r="V198" s="137">
        <v>0</v>
      </c>
      <c r="W198" s="137">
        <v>0</v>
      </c>
      <c r="X198" s="137">
        <v>0</v>
      </c>
      <c r="Y198" s="137">
        <v>0</v>
      </c>
      <c r="Z198" s="137">
        <v>0</v>
      </c>
      <c r="AA198" s="137">
        <v>0</v>
      </c>
      <c r="AB198" s="137">
        <f>$K198-SUM($Q198:AA198)</f>
        <v>0</v>
      </c>
      <c r="AS198" s="481"/>
      <c r="AT198" s="52"/>
    </row>
    <row r="199" spans="1:50" s="141" customFormat="1">
      <c r="A199" s="2883"/>
      <c r="B199" s="3628"/>
      <c r="C199" s="156"/>
      <c r="D199" s="45"/>
      <c r="E199" s="398"/>
      <c r="F199" s="51"/>
      <c r="G199" s="399"/>
      <c r="H199" s="51"/>
      <c r="I199" s="399"/>
      <c r="J199" s="170"/>
      <c r="K199" s="98"/>
      <c r="L199" s="51"/>
      <c r="M199" s="98"/>
      <c r="N199" s="1106"/>
      <c r="O199" s="449"/>
      <c r="P199" s="1133"/>
      <c r="Q199" s="137">
        <v>0</v>
      </c>
      <c r="R199" s="137">
        <v>0</v>
      </c>
      <c r="S199" s="137">
        <v>0</v>
      </c>
      <c r="T199" s="137">
        <v>0</v>
      </c>
      <c r="U199" s="137">
        <v>0</v>
      </c>
      <c r="V199" s="137">
        <v>0</v>
      </c>
      <c r="W199" s="137">
        <v>0</v>
      </c>
      <c r="X199" s="137">
        <v>0</v>
      </c>
      <c r="Y199" s="137">
        <v>0</v>
      </c>
      <c r="Z199" s="137">
        <v>0</v>
      </c>
      <c r="AA199" s="137">
        <v>0</v>
      </c>
      <c r="AB199" s="137">
        <f>$K199-SUM($Q199:AA199)</f>
        <v>0</v>
      </c>
      <c r="AC199" s="137"/>
      <c r="AD199" s="137"/>
      <c r="AE199" s="137"/>
      <c r="AF199" s="137"/>
      <c r="AG199" s="137"/>
      <c r="AH199" s="137"/>
      <c r="AI199" s="137"/>
      <c r="AJ199" s="137"/>
      <c r="AK199" s="137"/>
      <c r="AL199" s="137"/>
      <c r="AM199" s="137"/>
      <c r="AN199" s="137"/>
      <c r="AO199" s="137"/>
      <c r="AP199" s="137"/>
      <c r="AQ199" s="137"/>
      <c r="AS199" s="51"/>
      <c r="AT199" s="170"/>
      <c r="AU199" s="137"/>
      <c r="AV199" s="137"/>
      <c r="AW199" s="137"/>
      <c r="AX199" s="137"/>
    </row>
    <row r="200" spans="1:50" s="137" customFormat="1">
      <c r="A200" s="2883"/>
      <c r="B200" s="3624"/>
      <c r="C200" s="1164"/>
      <c r="D200" s="69"/>
      <c r="E200" s="1351">
        <f t="shared" ref="E200:K200" si="35">SUM(E198:E199)</f>
        <v>0</v>
      </c>
      <c r="F200" s="1351">
        <f t="shared" si="35"/>
        <v>0</v>
      </c>
      <c r="G200" s="1351">
        <f t="shared" si="35"/>
        <v>0</v>
      </c>
      <c r="H200" s="1351">
        <f t="shared" si="35"/>
        <v>0</v>
      </c>
      <c r="I200" s="1351">
        <f t="shared" si="35"/>
        <v>0</v>
      </c>
      <c r="J200" s="1351">
        <f t="shared" si="35"/>
        <v>0</v>
      </c>
      <c r="K200" s="1351">
        <f t="shared" si="35"/>
        <v>0</v>
      </c>
      <c r="L200" s="2134"/>
      <c r="M200" s="1351">
        <f>SUM(M198:M199)</f>
        <v>0</v>
      </c>
      <c r="N200" s="1106"/>
      <c r="O200" s="449">
        <v>31717.39</v>
      </c>
      <c r="P200" s="1120"/>
      <c r="Q200" s="137">
        <v>0</v>
      </c>
      <c r="R200" s="137">
        <v>0</v>
      </c>
      <c r="S200" s="137">
        <v>0</v>
      </c>
      <c r="T200" s="137">
        <v>0</v>
      </c>
      <c r="U200" s="137">
        <v>0</v>
      </c>
      <c r="V200" s="137">
        <v>0</v>
      </c>
      <c r="W200" s="137">
        <v>0</v>
      </c>
      <c r="X200" s="137">
        <v>0</v>
      </c>
      <c r="Y200" s="137">
        <v>0</v>
      </c>
      <c r="Z200" s="137">
        <v>0</v>
      </c>
      <c r="AA200" s="137">
        <v>0</v>
      </c>
      <c r="AB200" s="137">
        <f>$K200-SUM($Q200:AA200)</f>
        <v>0</v>
      </c>
      <c r="AS200" s="52"/>
      <c r="AT200" s="170"/>
    </row>
    <row r="201" spans="1:50" s="137" customFormat="1">
      <c r="A201" s="2883"/>
      <c r="B201" s="3624"/>
      <c r="C201" s="421"/>
      <c r="D201" s="50" t="s">
        <v>87</v>
      </c>
      <c r="E201" s="78"/>
      <c r="F201" s="483"/>
      <c r="G201" s="484"/>
      <c r="H201" s="483"/>
      <c r="I201" s="484"/>
      <c r="J201" s="170"/>
      <c r="K201" s="171"/>
      <c r="L201" s="51"/>
      <c r="M201" s="171"/>
      <c r="N201" s="1106"/>
      <c r="O201" s="449"/>
      <c r="P201" s="1120"/>
      <c r="Q201" s="137">
        <v>0</v>
      </c>
      <c r="R201" s="137">
        <v>0</v>
      </c>
      <c r="S201" s="137">
        <v>0</v>
      </c>
      <c r="T201" s="137">
        <v>0</v>
      </c>
      <c r="U201" s="137">
        <v>0</v>
      </c>
      <c r="V201" s="137">
        <v>0</v>
      </c>
      <c r="W201" s="137">
        <v>0</v>
      </c>
      <c r="X201" s="137">
        <v>0</v>
      </c>
      <c r="Y201" s="137">
        <v>0</v>
      </c>
      <c r="Z201" s="137">
        <v>0</v>
      </c>
      <c r="AA201" s="137">
        <v>0</v>
      </c>
      <c r="AB201" s="137">
        <f>$K201-SUM($Q201:AA201)</f>
        <v>0</v>
      </c>
      <c r="AS201" s="170"/>
      <c r="AT201" s="170"/>
    </row>
    <row r="202" spans="1:50" s="137" customFormat="1">
      <c r="A202" s="2883"/>
      <c r="B202" s="3628"/>
      <c r="C202" s="156"/>
      <c r="D202" s="45"/>
      <c r="E202" s="398"/>
      <c r="F202" s="51"/>
      <c r="G202" s="484"/>
      <c r="H202" s="483"/>
      <c r="I202" s="484"/>
      <c r="J202" s="170">
        <f>SUM(E202:I202)</f>
        <v>0</v>
      </c>
      <c r="K202" s="98"/>
      <c r="L202" s="51"/>
      <c r="M202" s="98"/>
      <c r="N202" s="1106"/>
      <c r="O202" s="726">
        <f>O198-O200</f>
        <v>6608.3700000000026</v>
      </c>
      <c r="P202" s="1120"/>
      <c r="Q202" s="137">
        <v>0</v>
      </c>
      <c r="R202" s="137">
        <v>0</v>
      </c>
      <c r="S202" s="137">
        <v>0</v>
      </c>
      <c r="T202" s="137">
        <v>0</v>
      </c>
      <c r="U202" s="137">
        <v>0</v>
      </c>
      <c r="V202" s="137">
        <v>0</v>
      </c>
      <c r="W202" s="137">
        <v>0</v>
      </c>
      <c r="X202" s="137">
        <v>0</v>
      </c>
      <c r="Y202" s="137">
        <v>0</v>
      </c>
      <c r="Z202" s="137">
        <v>0</v>
      </c>
      <c r="AA202" s="137">
        <v>0</v>
      </c>
      <c r="AB202" s="137">
        <f>$K202-SUM($Q202:AA202)</f>
        <v>0</v>
      </c>
      <c r="AS202" s="52"/>
      <c r="AT202" s="170"/>
    </row>
    <row r="203" spans="1:50" s="137" customFormat="1">
      <c r="A203" s="2883"/>
      <c r="B203" s="3630"/>
      <c r="C203" s="1164"/>
      <c r="D203" s="69"/>
      <c r="E203" s="1351">
        <f t="shared" ref="E203:K203" si="36">SUM(E202:E202)</f>
        <v>0</v>
      </c>
      <c r="F203" s="1351">
        <f t="shared" si="36"/>
        <v>0</v>
      </c>
      <c r="G203" s="1351">
        <f t="shared" si="36"/>
        <v>0</v>
      </c>
      <c r="H203" s="1351">
        <f t="shared" si="36"/>
        <v>0</v>
      </c>
      <c r="I203" s="1351">
        <f t="shared" si="36"/>
        <v>0</v>
      </c>
      <c r="J203" s="1351">
        <f t="shared" si="36"/>
        <v>0</v>
      </c>
      <c r="K203" s="1351">
        <f t="shared" si="36"/>
        <v>0</v>
      </c>
      <c r="L203" s="2134"/>
      <c r="M203" s="1351">
        <f>SUM(M202:M202)</f>
        <v>0</v>
      </c>
      <c r="N203" s="1106"/>
      <c r="O203" s="449"/>
      <c r="P203" s="1120"/>
      <c r="Q203" s="137">
        <v>0</v>
      </c>
      <c r="R203" s="137">
        <v>0</v>
      </c>
      <c r="S203" s="137">
        <v>0</v>
      </c>
      <c r="T203" s="137">
        <v>0</v>
      </c>
      <c r="U203" s="137">
        <v>0</v>
      </c>
      <c r="V203" s="137">
        <v>0</v>
      </c>
      <c r="W203" s="137">
        <v>0</v>
      </c>
      <c r="X203" s="137">
        <v>0</v>
      </c>
      <c r="Y203" s="137">
        <v>0</v>
      </c>
      <c r="Z203" s="137">
        <v>0</v>
      </c>
      <c r="AA203" s="137">
        <v>0</v>
      </c>
      <c r="AB203" s="137">
        <f>$K203-SUM($Q203:AA203)</f>
        <v>0</v>
      </c>
      <c r="AS203" s="52"/>
      <c r="AT203" s="170"/>
    </row>
    <row r="204" spans="1:50" s="137" customFormat="1">
      <c r="A204" s="2883"/>
      <c r="B204" s="3630"/>
      <c r="C204" s="421"/>
      <c r="D204" s="50" t="s">
        <v>1566</v>
      </c>
      <c r="E204" s="398"/>
      <c r="F204" s="51"/>
      <c r="G204" s="399"/>
      <c r="H204" s="51"/>
      <c r="I204" s="399"/>
      <c r="J204" s="170"/>
      <c r="K204" s="439"/>
      <c r="L204" s="51"/>
      <c r="M204" s="439"/>
      <c r="N204" s="1106"/>
      <c r="O204" s="449"/>
      <c r="P204" s="401"/>
      <c r="Q204" s="137">
        <v>0</v>
      </c>
      <c r="R204" s="137">
        <v>0</v>
      </c>
      <c r="S204" s="137">
        <v>0</v>
      </c>
      <c r="T204" s="137">
        <v>0</v>
      </c>
      <c r="U204" s="137">
        <v>0</v>
      </c>
      <c r="V204" s="137">
        <v>0</v>
      </c>
      <c r="W204" s="137">
        <v>0</v>
      </c>
      <c r="X204" s="137">
        <v>0</v>
      </c>
      <c r="Y204" s="137">
        <v>0</v>
      </c>
      <c r="Z204" s="137">
        <v>0</v>
      </c>
      <c r="AA204" s="137">
        <v>0</v>
      </c>
      <c r="AB204" s="137">
        <f>$K204-SUM($Q204:AA204)</f>
        <v>0</v>
      </c>
      <c r="AS204" s="52"/>
      <c r="AT204" s="170"/>
    </row>
    <row r="205" spans="1:50" s="141" customFormat="1" ht="12.75" customHeight="1">
      <c r="A205" s="2883"/>
      <c r="B205" s="3628" t="s">
        <v>764</v>
      </c>
      <c r="C205" s="585">
        <v>8410069</v>
      </c>
      <c r="D205" s="45" t="s">
        <v>765</v>
      </c>
      <c r="E205" s="462">
        <f>IFERROR(VLOOKUP(C205,'פ.נ. Australia'!$D$113:$F$305,3,0),0)</f>
        <v>21280</v>
      </c>
      <c r="F205" s="52">
        <f>SUMIF('פ.נ. Australia'!C:C,C:C,'פ.נ. Australia'!E:E)</f>
        <v>0</v>
      </c>
      <c r="G205" s="439"/>
      <c r="H205" s="52"/>
      <c r="I205" s="439"/>
      <c r="J205" s="170">
        <f>SUM(E205:I205)</f>
        <v>21280</v>
      </c>
      <c r="K205" s="98">
        <f>M205+SUMIF('פ.נ. Australia'!C:C,'מאזן בוחן Australia'!C205,'פ.נ. Australia'!F:F)</f>
        <v>16080.6</v>
      </c>
      <c r="L205" s="52"/>
      <c r="M205" s="98">
        <f>IFERROR(VLOOKUP(C205,'פ.נ. Australia'!$D$113:$G$305,4,0),"")</f>
        <v>16080.6</v>
      </c>
      <c r="N205" s="1104">
        <f>IF(K205=0,"-",J205/K205)</f>
        <v>1.3233337064537392</v>
      </c>
      <c r="O205" s="449"/>
      <c r="P205" s="2500"/>
      <c r="Q205" s="137">
        <v>1325.63</v>
      </c>
      <c r="R205" s="137">
        <v>1345.04</v>
      </c>
      <c r="S205" s="137">
        <v>1310.2399999999998</v>
      </c>
      <c r="T205" s="137">
        <v>1325.9400000000005</v>
      </c>
      <c r="U205" s="137">
        <v>1332.8399999999992</v>
      </c>
      <c r="V205" s="137">
        <v>1317.1900000000005</v>
      </c>
      <c r="W205" s="137">
        <v>1242.8599999999997</v>
      </c>
      <c r="X205" s="137">
        <v>1267.6599999999999</v>
      </c>
      <c r="Y205" s="137">
        <v>1268.7900000000009</v>
      </c>
      <c r="Z205" s="137">
        <v>1434.6499999999996</v>
      </c>
      <c r="AA205" s="137">
        <v>1667.869999999999</v>
      </c>
      <c r="AB205" s="137">
        <f>$K205-SUM($Q205:AA205)</f>
        <v>1241.8900000000012</v>
      </c>
      <c r="AC205" s="137"/>
      <c r="AD205" s="137"/>
      <c r="AE205" s="137"/>
      <c r="AF205" s="137"/>
      <c r="AG205" s="137"/>
      <c r="AH205" s="137"/>
      <c r="AI205" s="137"/>
      <c r="AJ205" s="137"/>
      <c r="AK205" s="137"/>
      <c r="AL205" s="137"/>
      <c r="AM205" s="137"/>
      <c r="AN205" s="137"/>
      <c r="AO205" s="137"/>
      <c r="AP205" s="137"/>
      <c r="AQ205" s="137"/>
      <c r="AS205" s="3531"/>
      <c r="AT205" s="1128"/>
    </row>
    <row r="206" spans="1:50" s="137" customFormat="1">
      <c r="A206" s="2883"/>
      <c r="B206" s="3628" t="s">
        <v>1337</v>
      </c>
      <c r="C206" s="585">
        <v>8410070</v>
      </c>
      <c r="D206" s="45" t="s">
        <v>98</v>
      </c>
      <c r="E206" s="462">
        <f>IFERROR(VLOOKUP(C206,'פ.נ. Australia'!$D$113:$F$305,3,0),0)</f>
        <v>0</v>
      </c>
      <c r="F206" s="51">
        <f>SUMIF('פ.נ. Australia'!C:C,C:C,'פ.נ. Australia'!E:E)</f>
        <v>0</v>
      </c>
      <c r="G206" s="399"/>
      <c r="H206" s="51"/>
      <c r="I206" s="399"/>
      <c r="J206" s="170">
        <f>SUM(E206:I206)</f>
        <v>0</v>
      </c>
      <c r="K206" s="98">
        <f>M206+SUMIF('פ.נ. Australia'!C:C,'מאזן בוחן Australia'!C206,'פ.נ. Australia'!F:F)</f>
        <v>0</v>
      </c>
      <c r="L206" s="51"/>
      <c r="M206" s="98" t="str">
        <f>IFERROR(VLOOKUP(C206,'פ.נ. Australia'!$D$113:$G$305,4,0),"")</f>
        <v/>
      </c>
      <c r="N206" s="1106" t="str">
        <f>IF(K206=0,"-",J206/K206)</f>
        <v>-</v>
      </c>
      <c r="O206" s="434"/>
      <c r="P206" s="2500"/>
      <c r="Q206" s="137">
        <v>0</v>
      </c>
      <c r="R206" s="137">
        <v>0</v>
      </c>
      <c r="S206" s="137">
        <v>0</v>
      </c>
      <c r="T206" s="137">
        <v>0</v>
      </c>
      <c r="U206" s="137">
        <v>0</v>
      </c>
      <c r="V206" s="137">
        <v>0</v>
      </c>
      <c r="W206" s="137">
        <v>0</v>
      </c>
      <c r="X206" s="137">
        <v>0</v>
      </c>
      <c r="Y206" s="137">
        <v>0</v>
      </c>
      <c r="Z206" s="137">
        <v>0</v>
      </c>
      <c r="AA206" s="137">
        <v>0</v>
      </c>
      <c r="AB206" s="137">
        <f>$K206-SUM($Q206:AA206)</f>
        <v>0</v>
      </c>
      <c r="AT206" s="464"/>
    </row>
    <row r="207" spans="1:50" s="137" customFormat="1">
      <c r="A207" s="2883"/>
      <c r="B207" s="3628"/>
      <c r="C207" s="156"/>
      <c r="D207" s="61"/>
      <c r="E207" s="398"/>
      <c r="F207" s="51"/>
      <c r="G207" s="399"/>
      <c r="H207" s="51"/>
      <c r="I207" s="399"/>
      <c r="J207" s="170"/>
      <c r="K207" s="98"/>
      <c r="L207" s="51"/>
      <c r="M207" s="98"/>
      <c r="N207" s="1106"/>
      <c r="O207" s="449"/>
      <c r="P207" s="1120"/>
      <c r="Q207" s="137">
        <v>0</v>
      </c>
      <c r="R207" s="137">
        <v>0</v>
      </c>
      <c r="S207" s="137">
        <v>0</v>
      </c>
      <c r="T207" s="137">
        <v>0</v>
      </c>
      <c r="U207" s="137">
        <v>0</v>
      </c>
      <c r="V207" s="137">
        <v>0</v>
      </c>
      <c r="W207" s="137">
        <v>0</v>
      </c>
      <c r="X207" s="137">
        <v>0</v>
      </c>
      <c r="Y207" s="137">
        <v>0</v>
      </c>
      <c r="Z207" s="137">
        <v>0</v>
      </c>
      <c r="AA207" s="137">
        <v>0</v>
      </c>
      <c r="AB207" s="137">
        <f>$K207-SUM($Q207:AA207)</f>
        <v>0</v>
      </c>
      <c r="AT207" s="170"/>
    </row>
    <row r="208" spans="1:50" s="137" customFormat="1">
      <c r="A208" s="2883"/>
      <c r="B208" s="3630"/>
      <c r="C208" s="1164"/>
      <c r="D208" s="69"/>
      <c r="E208" s="1351">
        <f>SUM(E205:E207)</f>
        <v>21280</v>
      </c>
      <c r="F208" s="1351">
        <f t="shared" ref="F208:M208" si="37">SUM(F205:F207)</f>
        <v>0</v>
      </c>
      <c r="G208" s="1351">
        <f t="shared" si="37"/>
        <v>0</v>
      </c>
      <c r="H208" s="1351">
        <f t="shared" si="37"/>
        <v>0</v>
      </c>
      <c r="I208" s="1351">
        <f t="shared" si="37"/>
        <v>0</v>
      </c>
      <c r="J208" s="1351">
        <f t="shared" si="37"/>
        <v>21280</v>
      </c>
      <c r="K208" s="1351">
        <f t="shared" si="37"/>
        <v>16080.6</v>
      </c>
      <c r="L208" s="2134"/>
      <c r="M208" s="1351">
        <f t="shared" si="37"/>
        <v>16080.6</v>
      </c>
      <c r="N208" s="1106"/>
      <c r="O208" s="449"/>
      <c r="P208" s="1120"/>
      <c r="Q208" s="137">
        <v>1325.63</v>
      </c>
      <c r="R208" s="137">
        <v>1345.04</v>
      </c>
      <c r="S208" s="137">
        <v>1310.2399999999998</v>
      </c>
      <c r="T208" s="137">
        <v>1325.9400000000005</v>
      </c>
      <c r="U208" s="137">
        <v>1332.8399999999992</v>
      </c>
      <c r="V208" s="137">
        <v>1317.1900000000005</v>
      </c>
      <c r="W208" s="137">
        <v>1242.8599999999997</v>
      </c>
      <c r="X208" s="137">
        <v>1267.6599999999999</v>
      </c>
      <c r="Y208" s="137">
        <v>1268.7900000000009</v>
      </c>
      <c r="Z208" s="137">
        <v>1434.6499999999996</v>
      </c>
      <c r="AA208" s="137">
        <v>1667.869999999999</v>
      </c>
      <c r="AB208" s="137">
        <f>$K208-SUM($Q208:AA208)</f>
        <v>1241.8900000000012</v>
      </c>
      <c r="AS208" s="461"/>
      <c r="AT208" s="170"/>
      <c r="AX208" s="490"/>
    </row>
    <row r="209" spans="1:50" s="137" customFormat="1">
      <c r="A209" s="2883"/>
      <c r="B209" s="3630"/>
      <c r="C209" s="178"/>
      <c r="D209" s="50" t="s">
        <v>93</v>
      </c>
      <c r="E209" s="429"/>
      <c r="F209" s="429"/>
      <c r="G209" s="399"/>
      <c r="H209" s="51"/>
      <c r="I209" s="399"/>
      <c r="J209" s="440"/>
      <c r="K209" s="439"/>
      <c r="L209" s="51"/>
      <c r="M209" s="439"/>
      <c r="N209" s="1106"/>
      <c r="O209" s="434"/>
      <c r="P209" s="1120"/>
      <c r="Q209" s="137">
        <v>0</v>
      </c>
      <c r="R209" s="137">
        <v>0</v>
      </c>
      <c r="S209" s="137">
        <v>0</v>
      </c>
      <c r="T209" s="137">
        <v>0</v>
      </c>
      <c r="U209" s="137">
        <v>0</v>
      </c>
      <c r="V209" s="137">
        <v>0</v>
      </c>
      <c r="W209" s="137">
        <v>0</v>
      </c>
      <c r="X209" s="137">
        <v>0</v>
      </c>
      <c r="Y209" s="137">
        <v>0</v>
      </c>
      <c r="Z209" s="137">
        <v>0</v>
      </c>
      <c r="AA209" s="137">
        <v>0</v>
      </c>
      <c r="AB209" s="137">
        <f>$K209-SUM($Q209:AA209)</f>
        <v>0</v>
      </c>
      <c r="AS209" s="52"/>
      <c r="AT209" s="170"/>
      <c r="AX209" s="490"/>
    </row>
    <row r="210" spans="1:50" s="137" customFormat="1">
      <c r="A210" s="2883"/>
      <c r="B210" s="3628"/>
      <c r="C210" s="1119"/>
      <c r="D210" s="45"/>
      <c r="E210" s="398"/>
      <c r="F210" s="51"/>
      <c r="G210" s="399"/>
      <c r="H210" s="51"/>
      <c r="I210" s="399"/>
      <c r="J210" s="170"/>
      <c r="K210" s="98"/>
      <c r="L210" s="51"/>
      <c r="M210" s="98"/>
      <c r="N210" s="1106"/>
      <c r="O210" s="434"/>
      <c r="P210" s="1120"/>
      <c r="Q210" s="137">
        <v>0</v>
      </c>
      <c r="R210" s="137">
        <v>0</v>
      </c>
      <c r="S210" s="137">
        <v>0</v>
      </c>
      <c r="T210" s="137">
        <v>0</v>
      </c>
      <c r="U210" s="137">
        <v>0</v>
      </c>
      <c r="V210" s="137">
        <v>0</v>
      </c>
      <c r="W210" s="137">
        <v>0</v>
      </c>
      <c r="X210" s="137">
        <v>0</v>
      </c>
      <c r="Y210" s="137">
        <v>0</v>
      </c>
      <c r="Z210" s="137">
        <v>0</v>
      </c>
      <c r="AA210" s="137">
        <v>0</v>
      </c>
      <c r="AB210" s="137">
        <f>$K210-SUM($Q210:AA210)</f>
        <v>0</v>
      </c>
      <c r="AX210" s="490"/>
    </row>
    <row r="211" spans="1:50" s="137" customFormat="1">
      <c r="A211" s="2883"/>
      <c r="B211" s="3628"/>
      <c r="C211" s="1160"/>
      <c r="D211" s="51"/>
      <c r="E211" s="398"/>
      <c r="F211" s="51"/>
      <c r="G211" s="399"/>
      <c r="H211" s="51"/>
      <c r="I211" s="399"/>
      <c r="J211" s="170"/>
      <c r="K211" s="187"/>
      <c r="L211" s="51"/>
      <c r="M211" s="187"/>
      <c r="N211" s="1106"/>
      <c r="O211" s="434"/>
      <c r="P211" s="1120"/>
      <c r="Q211" s="137">
        <v>0</v>
      </c>
      <c r="R211" s="137">
        <v>0</v>
      </c>
      <c r="S211" s="137">
        <v>0</v>
      </c>
      <c r="T211" s="137">
        <v>0</v>
      </c>
      <c r="U211" s="137">
        <v>0</v>
      </c>
      <c r="V211" s="137">
        <v>0</v>
      </c>
      <c r="W211" s="137">
        <v>0</v>
      </c>
      <c r="X211" s="137">
        <v>0</v>
      </c>
      <c r="Y211" s="137">
        <v>0</v>
      </c>
      <c r="Z211" s="137">
        <v>0</v>
      </c>
      <c r="AA211" s="137">
        <v>0</v>
      </c>
      <c r="AB211" s="137">
        <f>$K211-SUM($Q211:AA211)</f>
        <v>0</v>
      </c>
      <c r="AX211" s="490"/>
    </row>
    <row r="212" spans="1:50" s="137" customFormat="1">
      <c r="A212" s="2883"/>
      <c r="B212" s="3630"/>
      <c r="C212" s="1164"/>
      <c r="D212" s="69" t="s">
        <v>319</v>
      </c>
      <c r="E212" s="1351">
        <f t="shared" ref="E212:K212" si="38">SUM(E210:E210)</f>
        <v>0</v>
      </c>
      <c r="F212" s="1351">
        <f t="shared" si="38"/>
        <v>0</v>
      </c>
      <c r="G212" s="1351">
        <f t="shared" si="38"/>
        <v>0</v>
      </c>
      <c r="H212" s="1351">
        <f t="shared" si="38"/>
        <v>0</v>
      </c>
      <c r="I212" s="1351">
        <f t="shared" si="38"/>
        <v>0</v>
      </c>
      <c r="J212" s="1351">
        <f t="shared" si="38"/>
        <v>0</v>
      </c>
      <c r="K212" s="1351">
        <f t="shared" si="38"/>
        <v>0</v>
      </c>
      <c r="L212" s="2134"/>
      <c r="M212" s="1351">
        <f>SUM(M210:M210)</f>
        <v>0</v>
      </c>
      <c r="N212" s="1106"/>
      <c r="O212" s="449"/>
      <c r="P212" s="1120"/>
      <c r="Q212" s="137">
        <v>0</v>
      </c>
      <c r="R212" s="137">
        <v>0</v>
      </c>
      <c r="S212" s="137">
        <v>0</v>
      </c>
      <c r="T212" s="137">
        <v>0</v>
      </c>
      <c r="U212" s="137">
        <v>0</v>
      </c>
      <c r="V212" s="137">
        <v>0</v>
      </c>
      <c r="W212" s="137">
        <v>0</v>
      </c>
      <c r="X212" s="137">
        <v>0</v>
      </c>
      <c r="Y212" s="137">
        <v>0</v>
      </c>
      <c r="Z212" s="137">
        <v>0</v>
      </c>
      <c r="AA212" s="137">
        <v>0</v>
      </c>
      <c r="AB212" s="137">
        <f>$K212-SUM($Q212:AA212)</f>
        <v>0</v>
      </c>
      <c r="AS212" s="52"/>
      <c r="AT212" s="170"/>
      <c r="AX212" s="490"/>
    </row>
    <row r="213" spans="1:50" s="137" customFormat="1">
      <c r="A213" s="2883"/>
      <c r="B213" s="3628"/>
      <c r="C213" s="156"/>
      <c r="D213" s="45"/>
      <c r="E213" s="448"/>
      <c r="F213" s="51"/>
      <c r="G213" s="399"/>
      <c r="H213" s="51"/>
      <c r="I213" s="399"/>
      <c r="J213" s="170"/>
      <c r="K213" s="97"/>
      <c r="L213" s="51"/>
      <c r="M213" s="97"/>
      <c r="N213" s="1106"/>
      <c r="O213" s="434"/>
      <c r="P213" s="1120"/>
      <c r="Q213" s="137">
        <v>0</v>
      </c>
      <c r="R213" s="137">
        <v>0</v>
      </c>
      <c r="S213" s="137">
        <v>0</v>
      </c>
      <c r="T213" s="137">
        <v>0</v>
      </c>
      <c r="U213" s="137">
        <v>0</v>
      </c>
      <c r="V213" s="137">
        <v>0</v>
      </c>
      <c r="W213" s="137">
        <v>0</v>
      </c>
      <c r="X213" s="137">
        <v>0</v>
      </c>
      <c r="Y213" s="137">
        <v>0</v>
      </c>
      <c r="Z213" s="137">
        <v>0</v>
      </c>
      <c r="AA213" s="137">
        <v>0</v>
      </c>
      <c r="AB213" s="137">
        <f>$K213-SUM($Q213:AA213)</f>
        <v>0</v>
      </c>
      <c r="AS213" s="52"/>
      <c r="AT213" s="170"/>
    </row>
    <row r="214" spans="1:50" s="137" customFormat="1">
      <c r="A214" s="2883"/>
      <c r="B214" s="3624"/>
      <c r="C214" s="155"/>
      <c r="D214" s="72"/>
      <c r="E214" s="485"/>
      <c r="F214" s="163"/>
      <c r="G214" s="164"/>
      <c r="H214" s="163"/>
      <c r="I214" s="164"/>
      <c r="J214" s="163"/>
      <c r="K214" s="164"/>
      <c r="L214" s="51"/>
      <c r="M214" s="164"/>
      <c r="N214" s="1106"/>
      <c r="O214" s="434"/>
      <c r="P214" s="1120"/>
      <c r="Q214" s="137">
        <v>0</v>
      </c>
      <c r="R214" s="137">
        <v>0</v>
      </c>
      <c r="S214" s="137">
        <v>0</v>
      </c>
      <c r="T214" s="137">
        <v>0</v>
      </c>
      <c r="U214" s="137">
        <v>0</v>
      </c>
      <c r="V214" s="137">
        <v>0</v>
      </c>
      <c r="W214" s="137">
        <v>0</v>
      </c>
      <c r="X214" s="137">
        <v>0</v>
      </c>
      <c r="Y214" s="137">
        <v>0</v>
      </c>
      <c r="Z214" s="137">
        <v>0</v>
      </c>
      <c r="AA214" s="137">
        <v>0</v>
      </c>
      <c r="AB214" s="137">
        <f>$K214-SUM($Q214:AA214)</f>
        <v>0</v>
      </c>
      <c r="AX214" s="490"/>
    </row>
    <row r="215" spans="1:50" s="137" customFormat="1">
      <c r="A215" s="2883"/>
      <c r="B215" s="3628"/>
      <c r="C215" s="1164"/>
      <c r="D215" s="69" t="s">
        <v>179</v>
      </c>
      <c r="E215" s="1351">
        <f t="shared" ref="E215:K215" si="39">E200+E203+E208+E212</f>
        <v>21280</v>
      </c>
      <c r="F215" s="1351">
        <f t="shared" si="39"/>
        <v>0</v>
      </c>
      <c r="G215" s="1351">
        <f t="shared" si="39"/>
        <v>0</v>
      </c>
      <c r="H215" s="1351">
        <f t="shared" si="39"/>
        <v>0</v>
      </c>
      <c r="I215" s="1351">
        <f t="shared" si="39"/>
        <v>0</v>
      </c>
      <c r="J215" s="1351">
        <f t="shared" si="39"/>
        <v>21280</v>
      </c>
      <c r="K215" s="1351">
        <f t="shared" si="39"/>
        <v>16080.6</v>
      </c>
      <c r="L215" s="2134"/>
      <c r="M215" s="1351">
        <f>M200+M203+M208+M212</f>
        <v>16080.6</v>
      </c>
      <c r="N215" s="1106"/>
      <c r="O215" s="434"/>
      <c r="P215" s="1120"/>
      <c r="Q215" s="137">
        <v>1325.63</v>
      </c>
      <c r="R215" s="137">
        <v>1345.04</v>
      </c>
      <c r="S215" s="137">
        <v>1310.2399999999998</v>
      </c>
      <c r="T215" s="137">
        <v>1325.9400000000005</v>
      </c>
      <c r="U215" s="137">
        <v>1332.8399999999992</v>
      </c>
      <c r="V215" s="137">
        <v>1317.1900000000005</v>
      </c>
      <c r="W215" s="137">
        <v>1242.8599999999997</v>
      </c>
      <c r="X215" s="137">
        <v>1267.6599999999999</v>
      </c>
      <c r="Y215" s="137">
        <v>1268.7900000000009</v>
      </c>
      <c r="Z215" s="137">
        <v>1434.6499999999996</v>
      </c>
      <c r="AA215" s="137">
        <v>1667.869999999999</v>
      </c>
      <c r="AB215" s="137">
        <f>$K215-SUM($Q215:AA215)</f>
        <v>1241.8900000000012</v>
      </c>
      <c r="AX215" s="490"/>
    </row>
    <row r="216" spans="1:50" s="137" customFormat="1">
      <c r="A216" s="2883"/>
      <c r="B216" s="3624"/>
      <c r="C216" s="155"/>
      <c r="D216" s="72"/>
      <c r="E216" s="485"/>
      <c r="F216" s="163"/>
      <c r="G216" s="164"/>
      <c r="H216" s="163"/>
      <c r="I216" s="164"/>
      <c r="J216" s="163"/>
      <c r="K216" s="164"/>
      <c r="L216" s="51"/>
      <c r="M216" s="164"/>
      <c r="N216" s="1106"/>
      <c r="O216" s="434"/>
      <c r="P216" s="1120"/>
      <c r="Q216" s="137">
        <v>0</v>
      </c>
      <c r="R216" s="137">
        <v>0</v>
      </c>
      <c r="S216" s="137">
        <v>0</v>
      </c>
      <c r="T216" s="137">
        <v>0</v>
      </c>
      <c r="U216" s="137">
        <v>0</v>
      </c>
      <c r="V216" s="137">
        <v>0</v>
      </c>
      <c r="W216" s="137">
        <v>0</v>
      </c>
      <c r="X216" s="137">
        <v>0</v>
      </c>
      <c r="Y216" s="137">
        <v>0</v>
      </c>
      <c r="Z216" s="137">
        <v>0</v>
      </c>
      <c r="AA216" s="137">
        <v>0</v>
      </c>
      <c r="AB216" s="137">
        <f>$K216-SUM($Q216:AA216)</f>
        <v>0</v>
      </c>
      <c r="AX216" s="490"/>
    </row>
    <row r="217" spans="1:50" s="137" customFormat="1">
      <c r="A217" s="2883"/>
      <c r="B217" s="3648"/>
      <c r="C217" s="421"/>
      <c r="D217" s="70" t="s">
        <v>97</v>
      </c>
      <c r="E217" s="398"/>
      <c r="F217" s="51"/>
      <c r="G217" s="399"/>
      <c r="H217" s="51"/>
      <c r="I217" s="399"/>
      <c r="J217" s="440"/>
      <c r="K217" s="446"/>
      <c r="L217" s="51"/>
      <c r="M217" s="446"/>
      <c r="N217" s="1106"/>
      <c r="O217" s="434"/>
      <c r="P217" s="1120"/>
      <c r="Q217" s="137">
        <v>0</v>
      </c>
      <c r="R217" s="137">
        <v>0</v>
      </c>
      <c r="S217" s="137">
        <v>0</v>
      </c>
      <c r="T217" s="137">
        <v>0</v>
      </c>
      <c r="U217" s="137">
        <v>0</v>
      </c>
      <c r="V217" s="137">
        <v>0</v>
      </c>
      <c r="W217" s="137">
        <v>0</v>
      </c>
      <c r="X217" s="137">
        <v>0</v>
      </c>
      <c r="Y217" s="137">
        <v>0</v>
      </c>
      <c r="Z217" s="137">
        <v>0</v>
      </c>
      <c r="AA217" s="137">
        <v>0</v>
      </c>
      <c r="AB217" s="137">
        <f>$K217-SUM($Q217:AA217)</f>
        <v>0</v>
      </c>
      <c r="AX217" s="490"/>
    </row>
    <row r="218" spans="1:50" s="137" customFormat="1">
      <c r="A218" s="2883"/>
      <c r="B218" s="3648"/>
      <c r="C218" s="407"/>
      <c r="D218" s="74" t="s">
        <v>577</v>
      </c>
      <c r="E218" s="398"/>
      <c r="F218" s="51"/>
      <c r="G218" s="399"/>
      <c r="H218" s="51"/>
      <c r="I218" s="399"/>
      <c r="J218" s="170"/>
      <c r="K218" s="171"/>
      <c r="L218" s="51"/>
      <c r="M218" s="171"/>
      <c r="N218" s="1106"/>
      <c r="O218" s="434"/>
      <c r="P218" s="1120"/>
      <c r="Q218" s="137">
        <v>0</v>
      </c>
      <c r="R218" s="137">
        <v>0</v>
      </c>
      <c r="S218" s="137">
        <v>0</v>
      </c>
      <c r="T218" s="137">
        <v>0</v>
      </c>
      <c r="U218" s="137">
        <v>0</v>
      </c>
      <c r="V218" s="137">
        <v>0</v>
      </c>
      <c r="W218" s="137">
        <v>0</v>
      </c>
      <c r="X218" s="137">
        <v>0</v>
      </c>
      <c r="Y218" s="137">
        <v>0</v>
      </c>
      <c r="Z218" s="137">
        <v>0</v>
      </c>
      <c r="AA218" s="137">
        <v>0</v>
      </c>
      <c r="AB218" s="137">
        <f>$K218-SUM($Q218:AA218)</f>
        <v>0</v>
      </c>
      <c r="AX218" s="490"/>
    </row>
    <row r="219" spans="1:50" s="137" customFormat="1">
      <c r="A219" s="2883"/>
      <c r="B219" s="3628" t="s">
        <v>736</v>
      </c>
      <c r="C219" s="585">
        <v>7020039</v>
      </c>
      <c r="D219" s="486" t="s">
        <v>1949</v>
      </c>
      <c r="E219" s="462">
        <f>IFERROR(VLOOKUP(C219,'פ.נ. Australia'!$D$113:$F$305,3,0),0)</f>
        <v>2894.06</v>
      </c>
      <c r="F219" s="51">
        <f>SUMIF('פ.נ. Australia'!C:C,C:C,'פ.נ. Australia'!E:E)</f>
        <v>0</v>
      </c>
      <c r="G219" s="399"/>
      <c r="H219" s="51"/>
      <c r="I219" s="399"/>
      <c r="J219" s="170">
        <f>SUM(E219:I219)</f>
        <v>2894.06</v>
      </c>
      <c r="K219" s="98">
        <f>M219+SUMIF('פ.נ. Australia'!C:C,'מאזן בוחן Australia'!C219,'פ.נ. Australia'!F:F)</f>
        <v>2153.73</v>
      </c>
      <c r="L219" s="51"/>
      <c r="M219" s="98">
        <f>IFERROR(VLOOKUP(C219,'פ.נ. Australia'!$D$113:$G$305,4,0),"")</f>
        <v>2153.73</v>
      </c>
      <c r="N219" s="1106">
        <f>IF(K219=0,"-",J219/K219)</f>
        <v>1.343743180435802</v>
      </c>
      <c r="O219" s="434"/>
      <c r="P219" s="1120"/>
      <c r="Q219" s="137">
        <v>810.48</v>
      </c>
      <c r="R219" s="137">
        <v>0</v>
      </c>
      <c r="S219" s="137">
        <v>71.579999999999927</v>
      </c>
      <c r="T219" s="137">
        <v>36.680000000000064</v>
      </c>
      <c r="U219" s="137">
        <v>72.590000000000032</v>
      </c>
      <c r="V219" s="137">
        <v>128.64999999999998</v>
      </c>
      <c r="W219" s="137">
        <v>37.379999999999882</v>
      </c>
      <c r="X219" s="137">
        <v>0</v>
      </c>
      <c r="Y219" s="137">
        <v>74.509999999999991</v>
      </c>
      <c r="Z219" s="137">
        <v>73.950000000000045</v>
      </c>
      <c r="AA219" s="137">
        <v>641.09000000000015</v>
      </c>
      <c r="AB219" s="137">
        <f>$K219-SUM($Q219:AA219)</f>
        <v>206.81999999999994</v>
      </c>
      <c r="AX219" s="490"/>
    </row>
    <row r="220" spans="1:50" s="137" customFormat="1">
      <c r="A220" s="2883"/>
      <c r="B220" s="3628"/>
      <c r="C220" s="1164"/>
      <c r="D220" s="69"/>
      <c r="E220" s="1351">
        <f t="shared" ref="E220:K220" si="40">SUM(E219:E219)</f>
        <v>2894.06</v>
      </c>
      <c r="F220" s="1351">
        <f t="shared" si="40"/>
        <v>0</v>
      </c>
      <c r="G220" s="1351">
        <f t="shared" si="40"/>
        <v>0</v>
      </c>
      <c r="H220" s="1351">
        <f t="shared" si="40"/>
        <v>0</v>
      </c>
      <c r="I220" s="1351">
        <f t="shared" si="40"/>
        <v>0</v>
      </c>
      <c r="J220" s="1351">
        <f t="shared" si="40"/>
        <v>2894.06</v>
      </c>
      <c r="K220" s="1351">
        <f t="shared" si="40"/>
        <v>2153.73</v>
      </c>
      <c r="L220" s="2134"/>
      <c r="M220" s="1351">
        <f>SUM(M219:M219)</f>
        <v>2153.73</v>
      </c>
      <c r="N220" s="1106"/>
      <c r="O220" s="434"/>
      <c r="P220" s="1120"/>
      <c r="Q220" s="137">
        <v>810.48</v>
      </c>
      <c r="R220" s="137">
        <v>0</v>
      </c>
      <c r="S220" s="137">
        <v>71.579999999999927</v>
      </c>
      <c r="T220" s="137">
        <v>36.680000000000064</v>
      </c>
      <c r="U220" s="137">
        <v>72.590000000000032</v>
      </c>
      <c r="V220" s="137">
        <v>128.64999999999998</v>
      </c>
      <c r="W220" s="137">
        <v>37.379999999999882</v>
      </c>
      <c r="X220" s="137">
        <v>0</v>
      </c>
      <c r="Y220" s="137">
        <v>74.509999999999991</v>
      </c>
      <c r="Z220" s="137">
        <v>73.950000000000045</v>
      </c>
      <c r="AA220" s="137">
        <v>641.09000000000015</v>
      </c>
      <c r="AB220" s="137">
        <f>$K220-SUM($Q220:AA220)</f>
        <v>206.81999999999994</v>
      </c>
      <c r="AX220" s="490"/>
    </row>
    <row r="221" spans="1:50" s="137" customFormat="1">
      <c r="A221" s="2883"/>
      <c r="B221" s="3628"/>
      <c r="C221" s="1160"/>
      <c r="D221" s="48"/>
      <c r="E221" s="398"/>
      <c r="F221" s="487"/>
      <c r="G221" s="97"/>
      <c r="H221" s="487"/>
      <c r="I221" s="97"/>
      <c r="J221" s="168"/>
      <c r="K221" s="97"/>
      <c r="L221" s="51"/>
      <c r="M221" s="97"/>
      <c r="N221" s="1106"/>
      <c r="O221" s="434"/>
      <c r="P221" s="1120"/>
      <c r="Q221" s="137">
        <v>0</v>
      </c>
      <c r="R221" s="137">
        <v>0</v>
      </c>
      <c r="S221" s="137">
        <v>0</v>
      </c>
      <c r="T221" s="137">
        <v>0</v>
      </c>
      <c r="U221" s="137">
        <v>0</v>
      </c>
      <c r="V221" s="137">
        <v>0</v>
      </c>
      <c r="W221" s="137">
        <v>0</v>
      </c>
      <c r="X221" s="137">
        <v>0</v>
      </c>
      <c r="Y221" s="137">
        <v>0</v>
      </c>
      <c r="Z221" s="137">
        <v>0</v>
      </c>
      <c r="AA221" s="137">
        <v>0</v>
      </c>
      <c r="AB221" s="137">
        <f>$K221-SUM($Q221:AA221)</f>
        <v>0</v>
      </c>
      <c r="AX221" s="490"/>
    </row>
    <row r="222" spans="1:50" s="137" customFormat="1">
      <c r="A222" s="2883"/>
      <c r="B222" s="3628"/>
      <c r="C222" s="1160"/>
      <c r="D222" s="50" t="s">
        <v>87</v>
      </c>
      <c r="E222" s="398"/>
      <c r="F222" s="487"/>
      <c r="G222" s="97"/>
      <c r="H222" s="487"/>
      <c r="I222" s="97"/>
      <c r="J222" s="168"/>
      <c r="K222" s="97"/>
      <c r="L222" s="51"/>
      <c r="M222" s="97"/>
      <c r="N222" s="1106"/>
      <c r="O222" s="434"/>
      <c r="P222" s="1120"/>
      <c r="Q222" s="137">
        <v>0</v>
      </c>
      <c r="R222" s="137">
        <v>0</v>
      </c>
      <c r="S222" s="137">
        <v>0</v>
      </c>
      <c r="T222" s="137">
        <v>0</v>
      </c>
      <c r="U222" s="137">
        <v>0</v>
      </c>
      <c r="V222" s="137">
        <v>0</v>
      </c>
      <c r="W222" s="137">
        <v>0</v>
      </c>
      <c r="X222" s="137">
        <v>0</v>
      </c>
      <c r="Y222" s="137">
        <v>0</v>
      </c>
      <c r="Z222" s="137">
        <v>0</v>
      </c>
      <c r="AA222" s="137">
        <v>0</v>
      </c>
      <c r="AB222" s="137">
        <f>$K222-SUM($Q222:AA222)</f>
        <v>0</v>
      </c>
      <c r="AX222" s="490"/>
    </row>
    <row r="223" spans="1:50" s="137" customFormat="1">
      <c r="A223" s="2883"/>
      <c r="B223" s="3645"/>
      <c r="C223" s="585">
        <v>8030020</v>
      </c>
      <c r="D223" s="1557" t="str">
        <f>VLOOKUP(C223,'מאזן בוחן'!C:D,2,0)</f>
        <v>פחת</v>
      </c>
      <c r="E223" s="462">
        <f>IFERROR(VLOOKUP(C223,'פ.נ. Australia'!$D$113:$F$305,3,0),0)</f>
        <v>3097</v>
      </c>
      <c r="F223" s="51">
        <f>SUMIF('פ.נ. Australia'!C:C,C:C,'פ.נ. Australia'!E:E)</f>
        <v>0</v>
      </c>
      <c r="G223" s="399"/>
      <c r="H223" s="51"/>
      <c r="I223" s="399"/>
      <c r="J223" s="170">
        <f>SUM(E223:I223)</f>
        <v>3097</v>
      </c>
      <c r="K223" s="98">
        <f>M223+SUMIF('פ.נ. Australia'!C:C,'מאזן בוחן Australia'!C223,'פ.נ. Australia'!F:F)</f>
        <v>2302.06</v>
      </c>
      <c r="L223" s="51"/>
      <c r="M223" s="98">
        <f>IFERROR(VLOOKUP(C223,'פ.נ. Australia'!$D$113:$G$305,4,0),"")</f>
        <v>2302.06</v>
      </c>
      <c r="N223" s="1106">
        <f>IF(K223=0,"-",J223/K223)</f>
        <v>1.3453168032110372</v>
      </c>
      <c r="O223" s="434"/>
      <c r="P223" s="1120"/>
      <c r="Q223" s="137">
        <v>0</v>
      </c>
      <c r="R223" s="137">
        <v>0</v>
      </c>
      <c r="S223" s="137">
        <v>140.09</v>
      </c>
      <c r="T223" s="137">
        <v>0</v>
      </c>
      <c r="U223" s="137">
        <v>0</v>
      </c>
      <c r="V223" s="137">
        <v>381</v>
      </c>
      <c r="W223" s="137">
        <v>0</v>
      </c>
      <c r="X223" s="137">
        <v>0</v>
      </c>
      <c r="Y223" s="137">
        <v>32</v>
      </c>
      <c r="Z223" s="137">
        <v>0</v>
      </c>
      <c r="AA223" s="137">
        <v>0</v>
      </c>
      <c r="AB223" s="137">
        <f>$K223-SUM($Q223:AA223)</f>
        <v>1748.9699999999998</v>
      </c>
      <c r="AE223" s="647"/>
      <c r="AF223" s="647"/>
      <c r="AX223" s="490"/>
    </row>
    <row r="224" spans="1:50" s="137" customFormat="1">
      <c r="A224" s="2883"/>
      <c r="B224" s="3628"/>
      <c r="C224" s="1164"/>
      <c r="D224" s="69"/>
      <c r="E224" s="1351">
        <f t="shared" ref="E224:M224" si="41">SUM(E223:E223)</f>
        <v>3097</v>
      </c>
      <c r="F224" s="1351">
        <f t="shared" si="41"/>
        <v>0</v>
      </c>
      <c r="G224" s="1351">
        <f t="shared" si="41"/>
        <v>0</v>
      </c>
      <c r="H224" s="1351">
        <f t="shared" si="41"/>
        <v>0</v>
      </c>
      <c r="I224" s="1351">
        <f t="shared" si="41"/>
        <v>0</v>
      </c>
      <c r="J224" s="1351">
        <f t="shared" si="41"/>
        <v>3097</v>
      </c>
      <c r="K224" s="1351">
        <f t="shared" si="41"/>
        <v>2302.06</v>
      </c>
      <c r="L224" s="2134"/>
      <c r="M224" s="1351">
        <f t="shared" si="41"/>
        <v>2302.06</v>
      </c>
      <c r="N224" s="1106"/>
      <c r="O224" s="434"/>
      <c r="P224" s="1120"/>
      <c r="Q224" s="137">
        <v>0</v>
      </c>
      <c r="R224" s="137">
        <v>0</v>
      </c>
      <c r="S224" s="137">
        <v>140.09</v>
      </c>
      <c r="T224" s="137">
        <v>0</v>
      </c>
      <c r="U224" s="137">
        <v>0</v>
      </c>
      <c r="V224" s="137">
        <v>381</v>
      </c>
      <c r="W224" s="137">
        <v>0</v>
      </c>
      <c r="X224" s="137">
        <v>0</v>
      </c>
      <c r="Y224" s="137">
        <v>32</v>
      </c>
      <c r="Z224" s="137">
        <v>0</v>
      </c>
      <c r="AA224" s="137">
        <v>0</v>
      </c>
      <c r="AB224" s="137">
        <f>$K224-SUM($Q224:AA224)</f>
        <v>1748.9699999999998</v>
      </c>
      <c r="AX224" s="490"/>
    </row>
    <row r="225" spans="1:50" s="137" customFormat="1">
      <c r="A225" s="2883"/>
      <c r="B225" s="3628"/>
      <c r="C225" s="1160"/>
      <c r="D225" s="48"/>
      <c r="E225" s="398"/>
      <c r="F225" s="51"/>
      <c r="G225" s="399"/>
      <c r="H225" s="51"/>
      <c r="I225" s="399"/>
      <c r="J225" s="440"/>
      <c r="K225" s="446"/>
      <c r="L225" s="51"/>
      <c r="M225" s="446"/>
      <c r="N225" s="1106"/>
      <c r="O225" s="434"/>
      <c r="P225" s="1120"/>
      <c r="Q225" s="137">
        <v>0</v>
      </c>
      <c r="R225" s="137">
        <v>0</v>
      </c>
      <c r="S225" s="137">
        <v>0</v>
      </c>
      <c r="T225" s="137">
        <v>0</v>
      </c>
      <c r="U225" s="137">
        <v>0</v>
      </c>
      <c r="V225" s="137">
        <v>0</v>
      </c>
      <c r="W225" s="137">
        <v>0</v>
      </c>
      <c r="X225" s="137">
        <v>0</v>
      </c>
      <c r="Y225" s="137">
        <v>0</v>
      </c>
      <c r="Z225" s="137">
        <v>0</v>
      </c>
      <c r="AA225" s="137">
        <v>0</v>
      </c>
      <c r="AB225" s="137">
        <f>$K225-SUM($Q225:AA225)</f>
        <v>0</v>
      </c>
      <c r="AX225" s="490"/>
    </row>
    <row r="226" spans="1:50" s="137" customFormat="1">
      <c r="A226" s="2883"/>
      <c r="B226" s="3630"/>
      <c r="C226" s="156"/>
      <c r="D226" s="70" t="s">
        <v>579</v>
      </c>
      <c r="E226" s="79"/>
      <c r="F226" s="168"/>
      <c r="G226" s="98"/>
      <c r="H226" s="168"/>
      <c r="I226" s="98"/>
      <c r="J226" s="168"/>
      <c r="K226" s="98"/>
      <c r="L226" s="51"/>
      <c r="M226" s="98"/>
      <c r="N226" s="1106"/>
      <c r="O226" s="434"/>
      <c r="P226" s="1133"/>
      <c r="Q226" s="137">
        <v>0</v>
      </c>
      <c r="R226" s="137">
        <v>0</v>
      </c>
      <c r="S226" s="137">
        <v>0</v>
      </c>
      <c r="T226" s="137">
        <v>0</v>
      </c>
      <c r="U226" s="137">
        <v>0</v>
      </c>
      <c r="V226" s="137">
        <v>0</v>
      </c>
      <c r="W226" s="137">
        <v>0</v>
      </c>
      <c r="X226" s="137">
        <v>0</v>
      </c>
      <c r="Y226" s="137">
        <v>0</v>
      </c>
      <c r="Z226" s="137">
        <v>0</v>
      </c>
      <c r="AA226" s="137">
        <v>0</v>
      </c>
      <c r="AB226" s="137">
        <f>$K226-SUM($Q226:AA226)</f>
        <v>0</v>
      </c>
      <c r="AX226" s="490"/>
    </row>
    <row r="227" spans="1:50" s="137" customFormat="1">
      <c r="A227" s="2883"/>
      <c r="B227" s="3628"/>
      <c r="C227" s="156"/>
      <c r="D227" s="50" t="s">
        <v>219</v>
      </c>
      <c r="E227" s="398"/>
      <c r="F227" s="51"/>
      <c r="G227" s="399"/>
      <c r="H227" s="51"/>
      <c r="I227" s="399"/>
      <c r="J227" s="170"/>
      <c r="K227" s="98"/>
      <c r="L227" s="51"/>
      <c r="M227" s="98"/>
      <c r="N227" s="1106"/>
      <c r="O227" s="434"/>
      <c r="P227" s="1133"/>
      <c r="Q227" s="137">
        <v>0</v>
      </c>
      <c r="R227" s="137">
        <v>0</v>
      </c>
      <c r="S227" s="137">
        <v>0</v>
      </c>
      <c r="T227" s="137">
        <v>0</v>
      </c>
      <c r="U227" s="137">
        <v>0</v>
      </c>
      <c r="V227" s="137">
        <v>0</v>
      </c>
      <c r="W227" s="137">
        <v>0</v>
      </c>
      <c r="X227" s="137">
        <v>0</v>
      </c>
      <c r="Y227" s="137">
        <v>0</v>
      </c>
      <c r="Z227" s="137">
        <v>0</v>
      </c>
      <c r="AA227" s="137">
        <v>0</v>
      </c>
      <c r="AB227" s="137">
        <f>$K227-SUM($Q227:AA227)</f>
        <v>0</v>
      </c>
      <c r="AX227" s="490"/>
    </row>
    <row r="228" spans="1:50" s="137" customFormat="1">
      <c r="A228" s="2883"/>
      <c r="B228" s="3628"/>
      <c r="C228" s="585"/>
      <c r="D228" s="169"/>
      <c r="E228" s="170"/>
      <c r="F228" s="52"/>
      <c r="G228" s="439"/>
      <c r="H228" s="52"/>
      <c r="I228" s="439"/>
      <c r="J228" s="170"/>
      <c r="K228" s="98"/>
      <c r="L228" s="51"/>
      <c r="M228" s="98"/>
      <c r="N228" s="1106"/>
      <c r="O228" s="434"/>
      <c r="P228" s="1133"/>
      <c r="Q228" s="137">
        <v>0</v>
      </c>
      <c r="R228" s="137">
        <v>0</v>
      </c>
      <c r="S228" s="137">
        <v>0</v>
      </c>
      <c r="T228" s="137">
        <v>0</v>
      </c>
      <c r="U228" s="137">
        <v>0</v>
      </c>
      <c r="V228" s="137">
        <v>0</v>
      </c>
      <c r="W228" s="137">
        <v>0</v>
      </c>
      <c r="X228" s="137">
        <v>0</v>
      </c>
      <c r="Y228" s="137">
        <v>0</v>
      </c>
      <c r="Z228" s="137">
        <v>0</v>
      </c>
      <c r="AA228" s="137">
        <v>0</v>
      </c>
      <c r="AB228" s="137">
        <f>$K228-SUM($Q228:AA228)</f>
        <v>0</v>
      </c>
    </row>
    <row r="229" spans="1:50" s="137" customFormat="1">
      <c r="A229" s="2883"/>
      <c r="B229" s="3628" t="s">
        <v>741</v>
      </c>
      <c r="C229" s="585">
        <v>7110007</v>
      </c>
      <c r="D229" s="169" t="s">
        <v>746</v>
      </c>
      <c r="E229" s="462">
        <f>IFERROR(VLOOKUP(C229,'פ.נ. Australia'!$D$113:$F$305,3,0),0)</f>
        <v>764024.01</v>
      </c>
      <c r="F229" s="52">
        <f>SUMIF('פ.נ. Australia'!C:C,C:C,'פ.נ. Australia'!E:E)</f>
        <v>0</v>
      </c>
      <c r="G229" s="439"/>
      <c r="H229" s="52"/>
      <c r="I229" s="439"/>
      <c r="J229" s="170">
        <f t="shared" ref="J229:J236" si="42">SUM(E229:I229)</f>
        <v>764024.01</v>
      </c>
      <c r="K229" s="98">
        <f>M229+SUMIF('פ.נ. Australia'!C:C,'מאזן בוחן Australia'!C229,'פ.נ. Australia'!F:F)</f>
        <v>571745.80000000005</v>
      </c>
      <c r="L229" s="51"/>
      <c r="M229" s="98">
        <f>IFERROR(VLOOKUP(C229,'פ.נ. Australia'!$D$113:$G$305,4,0),"")</f>
        <v>571745.80000000005</v>
      </c>
      <c r="N229" s="1106">
        <f t="shared" ref="N229:N236" si="43">IF(K229=0,"-",J229/K229)</f>
        <v>1.3363001704603688</v>
      </c>
      <c r="O229" s="434"/>
      <c r="P229" s="1148"/>
      <c r="Q229" s="137">
        <v>42344.13</v>
      </c>
      <c r="R229" s="137">
        <v>32244.400000000001</v>
      </c>
      <c r="S229" s="137">
        <v>34679.699999999997</v>
      </c>
      <c r="T229" s="137">
        <v>50156.940000000017</v>
      </c>
      <c r="U229" s="137">
        <v>43522.489999999991</v>
      </c>
      <c r="V229" s="137">
        <v>42472.760000000009</v>
      </c>
      <c r="W229" s="137">
        <v>45969.53</v>
      </c>
      <c r="X229" s="137">
        <v>55376.209999999963</v>
      </c>
      <c r="Y229" s="137">
        <v>54000.930000000051</v>
      </c>
      <c r="Z229" s="137">
        <v>66463.12</v>
      </c>
      <c r="AA229" s="137">
        <v>53358.079999999958</v>
      </c>
      <c r="AB229" s="137">
        <f>$K229-SUM($Q229:AA229)</f>
        <v>51157.510000000068</v>
      </c>
      <c r="AE229" s="3305" t="s">
        <v>4316</v>
      </c>
      <c r="AF229" s="3305"/>
      <c r="AG229" s="3305" t="s">
        <v>3996</v>
      </c>
      <c r="AI229" s="137" t="s">
        <v>3645</v>
      </c>
      <c r="AJ229" s="137" t="s">
        <v>3297</v>
      </c>
    </row>
    <row r="230" spans="1:50" s="137" customFormat="1">
      <c r="A230" s="2883"/>
      <c r="B230" s="3642" t="s">
        <v>741</v>
      </c>
      <c r="C230" s="585">
        <v>7110008</v>
      </c>
      <c r="D230" s="1114" t="s">
        <v>1514</v>
      </c>
      <c r="E230" s="462">
        <f>IFERROR(VLOOKUP(C230,'פ.נ. Australia'!$D$113:$F$305,3,0),0)</f>
        <v>0</v>
      </c>
      <c r="F230" s="52">
        <f>SUMIF('פ.נ. Australia'!C:C,C:C,'פ.נ. Australia'!E:E)</f>
        <v>0</v>
      </c>
      <c r="G230" s="439"/>
      <c r="H230" s="52"/>
      <c r="I230" s="439"/>
      <c r="J230" s="170">
        <f>SUM(E230:I230)</f>
        <v>0</v>
      </c>
      <c r="K230" s="98">
        <f>M230+SUMIF('פ.נ. Australia'!C:C,'מאזן בוחן Australia'!C230,'פ.נ. Australia'!F:F)</f>
        <v>0</v>
      </c>
      <c r="L230" s="52"/>
      <c r="M230" s="98" t="str">
        <f>IFERROR(VLOOKUP(C230,'פ.נ. Australia'!$D$113:$G$305,4,0),"")</f>
        <v/>
      </c>
      <c r="N230" s="1106" t="str">
        <f>IF(K230=0,"-",J230/K230)</f>
        <v>-</v>
      </c>
      <c r="O230" s="434"/>
      <c r="P230" s="1148"/>
      <c r="Q230" s="137">
        <v>0</v>
      </c>
      <c r="R230" s="137">
        <v>0</v>
      </c>
      <c r="S230" s="137">
        <v>0</v>
      </c>
      <c r="T230" s="137">
        <v>0</v>
      </c>
      <c r="U230" s="137">
        <v>0</v>
      </c>
      <c r="V230" s="137">
        <v>0</v>
      </c>
      <c r="W230" s="137">
        <v>0</v>
      </c>
      <c r="X230" s="137">
        <v>0</v>
      </c>
      <c r="Y230" s="137">
        <v>0</v>
      </c>
      <c r="Z230" s="137">
        <v>0</v>
      </c>
      <c r="AA230" s="137">
        <v>0</v>
      </c>
      <c r="AB230" s="137">
        <f>$K230-SUM($Q230:AA230)</f>
        <v>0</v>
      </c>
      <c r="AE230" s="3305"/>
      <c r="AF230" s="3305"/>
      <c r="AT230" s="141"/>
    </row>
    <row r="231" spans="1:50" s="137" customFormat="1" ht="13.5" thickBot="1">
      <c r="A231" s="2883"/>
      <c r="B231" s="3628" t="s">
        <v>741</v>
      </c>
      <c r="C231" s="585">
        <v>7110010</v>
      </c>
      <c r="D231" s="1937" t="s">
        <v>747</v>
      </c>
      <c r="E231" s="3071">
        <f>IFERROR(VLOOKUP(C231,'פ.נ. Australia'!$D$113:$F$305,3,0),0)</f>
        <v>840057</v>
      </c>
      <c r="F231" s="2542">
        <f>SUMIF('פ.נ. Australia'!C:C,C:C,'פ.נ. Australia'!E:E)</f>
        <v>0</v>
      </c>
      <c r="G231" s="3078"/>
      <c r="H231" s="2542"/>
      <c r="I231" s="3078"/>
      <c r="J231" s="3079">
        <f t="shared" si="42"/>
        <v>840057</v>
      </c>
      <c r="K231" s="3080">
        <f>M231+SUMIF('פ.נ. Australia'!C:C,'מאזן בוחן Australia'!C231,'פ.נ. Australia'!F:F)</f>
        <v>631414.34</v>
      </c>
      <c r="L231" s="2542"/>
      <c r="M231" s="3080">
        <f>IFERROR(VLOOKUP(C231,'פ.נ. Australia'!$D$113:$G$305,4,0),"")</f>
        <v>631414.34</v>
      </c>
      <c r="N231" s="3081">
        <f t="shared" si="43"/>
        <v>1.3304369995778049</v>
      </c>
      <c r="O231" s="3082"/>
      <c r="P231" s="1148"/>
      <c r="Q231" s="2549">
        <v>115732.92</v>
      </c>
      <c r="R231" s="2549">
        <v>16247.740000000005</v>
      </c>
      <c r="S231" s="2549">
        <v>153478.94999999998</v>
      </c>
      <c r="T231" s="2549">
        <v>53781.710000000021</v>
      </c>
      <c r="U231" s="2549">
        <v>4621.3399999999674</v>
      </c>
      <c r="V231" s="2549">
        <v>0</v>
      </c>
      <c r="W231" s="2549">
        <v>31514.590000000026</v>
      </c>
      <c r="X231" s="2549">
        <v>10543.289999999979</v>
      </c>
      <c r="Y231" s="2549">
        <v>92252.900000000023</v>
      </c>
      <c r="Z231" s="2549">
        <v>98650.389999999956</v>
      </c>
      <c r="AA231" s="2549">
        <v>54590.510000000009</v>
      </c>
      <c r="AB231" s="137">
        <f>$K231-SUM($Q231:AA231)</f>
        <v>0</v>
      </c>
      <c r="AC231" s="2549"/>
      <c r="AD231" s="141"/>
      <c r="AE231" s="3256"/>
      <c r="AF231" s="3256" t="s">
        <v>4121</v>
      </c>
      <c r="AG231" s="3256" t="s">
        <v>3997</v>
      </c>
      <c r="AH231" s="141"/>
      <c r="AI231" s="141" t="s">
        <v>3646</v>
      </c>
      <c r="AJ231" s="141"/>
      <c r="AK231" s="141"/>
      <c r="AL231" s="141"/>
      <c r="AM231" s="141"/>
      <c r="AN231" s="141"/>
      <c r="AO231" s="141"/>
      <c r="AP231" s="141"/>
      <c r="AQ231" s="141"/>
      <c r="AR231" s="141"/>
      <c r="AS231" s="141"/>
      <c r="AT231" s="141"/>
    </row>
    <row r="232" spans="1:50" s="137" customFormat="1" ht="13.5" thickBot="1">
      <c r="A232" s="2883"/>
      <c r="B232" s="3642" t="s">
        <v>741</v>
      </c>
      <c r="C232" s="585">
        <v>7110003</v>
      </c>
      <c r="D232" s="1937" t="s">
        <v>1140</v>
      </c>
      <c r="E232" s="3071">
        <f>IFERROR(VLOOKUP(C232,'פ.נ. Australia'!$D$113:$F$305,3,0),0)</f>
        <v>-266923.57</v>
      </c>
      <c r="F232" s="2542">
        <f>SUMIF('פ.נ. Australia'!C:C,C:C,'פ.נ. Australia'!E:E)</f>
        <v>0</v>
      </c>
      <c r="G232" s="3078"/>
      <c r="H232" s="2542"/>
      <c r="I232" s="3078"/>
      <c r="J232" s="3079">
        <f>SUM(E232:I232)</f>
        <v>-266923.57</v>
      </c>
      <c r="K232" s="3471">
        <f>M232+SUMIF('פ.נ. Australia'!C:C,'מאזן בוחן Australia'!C232,'פ.נ. Australia'!F:F)</f>
        <v>-213387.03</v>
      </c>
      <c r="L232" s="3257">
        <f>'Accrued expenses'!$L$186/1.39-Z231-Z242</f>
        <v>861.27589928061934</v>
      </c>
      <c r="M232" s="2483">
        <f>IFERROR(VLOOKUP(C232,'פ.נ. Australia'!$D$113:$G$305,4,0),"")</f>
        <v>-213387.03</v>
      </c>
      <c r="N232" s="3081">
        <f>IF(K232=0,"-",J232/K232)</f>
        <v>1.2508893816086197</v>
      </c>
      <c r="O232" s="3082"/>
      <c r="P232" s="1148"/>
      <c r="Q232" s="2549">
        <v>-144684.68</v>
      </c>
      <c r="R232" s="2549">
        <v>-16247.860000000015</v>
      </c>
      <c r="S232" s="2549">
        <v>-108122.70999999999</v>
      </c>
      <c r="T232" s="2549">
        <v>-87620.469999999972</v>
      </c>
      <c r="U232" s="2549">
        <v>-6324.4400000000023</v>
      </c>
      <c r="V232" s="2549">
        <v>260773.58999999997</v>
      </c>
      <c r="W232" s="2549">
        <v>-46265.949999999983</v>
      </c>
      <c r="X232" s="2549">
        <v>0</v>
      </c>
      <c r="Y232" s="2549">
        <v>49206.219999999987</v>
      </c>
      <c r="Z232" s="2549">
        <v>-159979.90999999997</v>
      </c>
      <c r="AA232" s="2549">
        <v>-103733.95000000001</v>
      </c>
      <c r="AB232" s="137">
        <f>$K232-SUM($Q232:AA232)</f>
        <v>149613.12999999998</v>
      </c>
      <c r="AC232" s="2549"/>
      <c r="AD232" s="141"/>
      <c r="AE232" s="141"/>
      <c r="AF232" s="141"/>
      <c r="AG232" s="141"/>
      <c r="AH232" s="141"/>
      <c r="AI232" s="141"/>
      <c r="AJ232" s="141"/>
      <c r="AK232" s="141"/>
      <c r="AL232" s="141"/>
      <c r="AM232" s="141"/>
      <c r="AN232" s="141"/>
      <c r="AO232" s="141"/>
      <c r="AP232" s="141"/>
      <c r="AQ232" s="141"/>
      <c r="AR232" s="141"/>
      <c r="AS232" s="141"/>
      <c r="AT232" s="141"/>
    </row>
    <row r="233" spans="1:50" s="137" customFormat="1">
      <c r="A233" s="2883"/>
      <c r="B233" s="3642" t="s">
        <v>741</v>
      </c>
      <c r="C233" s="585">
        <v>7110014</v>
      </c>
      <c r="D233" s="169" t="s">
        <v>3260</v>
      </c>
      <c r="E233" s="462">
        <f>IFERROR(VLOOKUP(C233,'פ.נ. Australia'!$D$113:$F$305,3,0),0)</f>
        <v>12857.93</v>
      </c>
      <c r="F233" s="52">
        <f>SUMIF('פ.נ. Australia'!C:C,C:C,'פ.נ. Australia'!E:E)</f>
        <v>0</v>
      </c>
      <c r="G233" s="439"/>
      <c r="H233" s="52"/>
      <c r="I233" s="439"/>
      <c r="J233" s="170">
        <f>SUM(E233:I233)</f>
        <v>12857.93</v>
      </c>
      <c r="K233" s="98">
        <f>M233+SUMIF('פ.נ. Australia'!C:C,'מאזן בוחן Australia'!C233,'פ.נ. Australia'!F:F)</f>
        <v>9342.8799999999992</v>
      </c>
      <c r="L233" s="51"/>
      <c r="M233" s="98">
        <f>IFERROR(VLOOKUP(C233,'פ.נ. Australia'!$D$113:$G$305,4,0),"")</f>
        <v>9342.8799999999992</v>
      </c>
      <c r="N233" s="1106">
        <f>IF(K233=0,"-",J233/K233)</f>
        <v>1.3762276728374978</v>
      </c>
      <c r="O233" s="434"/>
      <c r="P233" s="1133"/>
      <c r="Q233" s="141"/>
      <c r="R233" s="141"/>
      <c r="S233" s="141"/>
      <c r="T233" s="141"/>
      <c r="V233" s="137">
        <v>7634</v>
      </c>
      <c r="W233" s="137">
        <v>-7634</v>
      </c>
      <c r="X233" s="137">
        <v>0</v>
      </c>
      <c r="Y233" s="137">
        <v>26371.39</v>
      </c>
      <c r="Z233" s="137">
        <v>-15997.99</v>
      </c>
      <c r="AA233" s="137">
        <v>-10373.4</v>
      </c>
      <c r="AB233" s="137">
        <f>$K233-SUM($Q233:AA233)</f>
        <v>9342.8799999999992</v>
      </c>
      <c r="AD233" s="141"/>
      <c r="AE233" s="141"/>
      <c r="AF233" s="141"/>
      <c r="AG233" s="141"/>
      <c r="AH233" s="141"/>
      <c r="AI233" s="141"/>
      <c r="AJ233" s="141"/>
      <c r="AK233" s="141"/>
      <c r="AL233" s="141"/>
      <c r="AM233" s="141"/>
      <c r="AN233" s="141"/>
      <c r="AO233" s="141"/>
      <c r="AP233" s="141"/>
      <c r="AQ233" s="141"/>
      <c r="AR233" s="141"/>
      <c r="AS233" s="141"/>
      <c r="AT233" s="141"/>
    </row>
    <row r="234" spans="1:50" s="137" customFormat="1">
      <c r="A234" s="2883"/>
      <c r="B234" s="3628" t="s">
        <v>741</v>
      </c>
      <c r="C234" s="585">
        <v>7110012</v>
      </c>
      <c r="D234" s="169" t="s">
        <v>789</v>
      </c>
      <c r="E234" s="462">
        <f>IFERROR(VLOOKUP(C234,'פ.נ. Australia'!$D$113:$F$305,3,0),0)</f>
        <v>6321.57</v>
      </c>
      <c r="F234" s="52">
        <f>SUMIF('פ.נ. Australia'!C:C,C:C,'פ.נ. Australia'!E:E)</f>
        <v>0</v>
      </c>
      <c r="G234" s="439"/>
      <c r="H234" s="52"/>
      <c r="I234" s="439"/>
      <c r="J234" s="170">
        <f t="shared" si="42"/>
        <v>6321.57</v>
      </c>
      <c r="K234" s="98">
        <f>M234+SUMIF('פ.נ. Australia'!C:C,'מאזן בוחן Australia'!C234,'פ.נ. Australia'!F:F)</f>
        <v>4738.3100000000004</v>
      </c>
      <c r="L234" s="51"/>
      <c r="M234" s="98">
        <f>IFERROR(VLOOKUP(C234,'פ.נ. Australia'!$D$113:$G$305,4,0),"")</f>
        <v>4738.3100000000004</v>
      </c>
      <c r="N234" s="1106">
        <f t="shared" si="43"/>
        <v>1.3341402314327258</v>
      </c>
      <c r="O234" s="434"/>
      <c r="P234" s="1149"/>
      <c r="Q234" s="137">
        <v>0</v>
      </c>
      <c r="R234" s="137">
        <v>0</v>
      </c>
      <c r="S234" s="137">
        <v>0</v>
      </c>
      <c r="T234" s="137">
        <v>0</v>
      </c>
      <c r="U234" s="137">
        <v>0</v>
      </c>
      <c r="V234" s="137">
        <v>0</v>
      </c>
      <c r="W234" s="137">
        <v>1470.93</v>
      </c>
      <c r="X234" s="137">
        <v>0</v>
      </c>
      <c r="Y234" s="137">
        <v>0</v>
      </c>
      <c r="Z234" s="137">
        <v>3267.38</v>
      </c>
      <c r="AA234" s="137">
        <v>0</v>
      </c>
      <c r="AB234" s="137">
        <f>$K234-SUM($Q234:AA234)</f>
        <v>0</v>
      </c>
      <c r="AD234" s="141"/>
      <c r="AE234" s="141"/>
      <c r="AF234" s="141"/>
      <c r="AG234" s="141"/>
      <c r="AH234" s="141"/>
      <c r="AI234" s="141"/>
      <c r="AJ234" s="141"/>
      <c r="AK234" s="141"/>
      <c r="AL234" s="141"/>
      <c r="AM234" s="141"/>
      <c r="AN234" s="141"/>
      <c r="AO234" s="141"/>
      <c r="AP234" s="141"/>
      <c r="AQ234" s="141"/>
      <c r="AR234" s="141"/>
      <c r="AS234" s="52"/>
      <c r="AT234" s="52"/>
    </row>
    <row r="235" spans="1:50" s="137" customFormat="1">
      <c r="A235" s="2883"/>
      <c r="B235" s="3628" t="s">
        <v>741</v>
      </c>
      <c r="C235" s="585">
        <v>7110013</v>
      </c>
      <c r="D235" s="169" t="s">
        <v>790</v>
      </c>
      <c r="E235" s="462">
        <f>IFERROR(VLOOKUP(C235,'פ.נ. Australia'!$D$113:$F$305,3,0),0)</f>
        <v>97095.08</v>
      </c>
      <c r="F235" s="52">
        <f>SUMIF('פ.נ. Australia'!C:C,C:C,'פ.נ. Australia'!E:E)</f>
        <v>0</v>
      </c>
      <c r="G235" s="439"/>
      <c r="H235" s="52"/>
      <c r="I235" s="439"/>
      <c r="J235" s="170">
        <f t="shared" si="42"/>
        <v>97095.08</v>
      </c>
      <c r="K235" s="98">
        <f>M235+SUMIF('פ.נ. Australia'!C:C,'מאזן בוחן Australia'!C235,'פ.נ. Australia'!F:F)</f>
        <v>72397.14</v>
      </c>
      <c r="L235" s="51"/>
      <c r="M235" s="98">
        <f>IFERROR(VLOOKUP(C235,'פ.נ. Australia'!$D$113:$G$305,4,0),"")</f>
        <v>72397.14</v>
      </c>
      <c r="N235" s="1106">
        <f t="shared" si="43"/>
        <v>1.3411452441353346</v>
      </c>
      <c r="O235" s="434"/>
      <c r="P235" s="1149"/>
      <c r="Q235" s="137">
        <v>789.58</v>
      </c>
      <c r="R235" s="137">
        <v>8410.75</v>
      </c>
      <c r="S235" s="137">
        <v>3367.1499999999996</v>
      </c>
      <c r="T235" s="137">
        <v>9220.2200000000012</v>
      </c>
      <c r="U235" s="137">
        <v>6786.25</v>
      </c>
      <c r="V235" s="137">
        <v>2532.130000000001</v>
      </c>
      <c r="W235" s="137">
        <v>834.59999999999854</v>
      </c>
      <c r="X235" s="137">
        <v>4265.7099999999991</v>
      </c>
      <c r="Y235" s="137">
        <v>3143.1999999999971</v>
      </c>
      <c r="Z235" s="137">
        <v>13657.120000000003</v>
      </c>
      <c r="AA235" s="137">
        <v>10869.059999999998</v>
      </c>
      <c r="AB235" s="137">
        <f>$K235-SUM($Q235:AA235)</f>
        <v>8521.3700000000026</v>
      </c>
      <c r="AD235" s="141"/>
      <c r="AE235" s="141"/>
      <c r="AF235" s="141"/>
      <c r="AG235" s="141"/>
      <c r="AH235" s="141"/>
      <c r="AI235" s="141"/>
      <c r="AJ235" s="141"/>
      <c r="AK235" s="141"/>
      <c r="AL235" s="141"/>
      <c r="AM235" s="141"/>
      <c r="AN235" s="141"/>
      <c r="AO235" s="141"/>
      <c r="AP235" s="141"/>
      <c r="AQ235" s="141"/>
      <c r="AR235" s="141"/>
      <c r="AS235" s="52"/>
      <c r="AT235" s="170"/>
    </row>
    <row r="236" spans="1:50" s="137" customFormat="1">
      <c r="A236" s="2883"/>
      <c r="B236" s="3628" t="s">
        <v>741</v>
      </c>
      <c r="C236" s="585">
        <v>7110030</v>
      </c>
      <c r="D236" s="169" t="s">
        <v>748</v>
      </c>
      <c r="E236" s="462">
        <f>IFERROR(VLOOKUP(C236,'פ.נ. Australia'!$D$113:$F$305,3,0),0)</f>
        <v>0</v>
      </c>
      <c r="F236" s="52">
        <f>SUMIF('פ.נ. Australia'!C:C,C:C,'פ.נ. Australia'!E:E)</f>
        <v>0</v>
      </c>
      <c r="G236" s="439"/>
      <c r="H236" s="52"/>
      <c r="I236" s="439"/>
      <c r="J236" s="170">
        <f t="shared" si="42"/>
        <v>0</v>
      </c>
      <c r="K236" s="98">
        <f>M236+SUMIF('פ.נ. Australia'!C:C,'מאזן בוחן Australia'!C236,'פ.נ. Australia'!F:F)</f>
        <v>0</v>
      </c>
      <c r="L236" s="51"/>
      <c r="M236" s="98" t="str">
        <f>IFERROR(VLOOKUP(C236,'פ.נ. Australia'!$D$113:$G$305,4,0),"")</f>
        <v/>
      </c>
      <c r="N236" s="1106" t="str">
        <f t="shared" si="43"/>
        <v>-</v>
      </c>
      <c r="O236" s="434"/>
      <c r="P236" s="1149"/>
      <c r="Q236" s="137">
        <v>0</v>
      </c>
      <c r="R236" s="137">
        <v>0</v>
      </c>
      <c r="S236" s="137">
        <v>0</v>
      </c>
      <c r="T236" s="137">
        <v>0</v>
      </c>
      <c r="U236" s="137">
        <v>0</v>
      </c>
      <c r="V236" s="137">
        <v>0</v>
      </c>
      <c r="W236" s="137">
        <v>0</v>
      </c>
      <c r="X236" s="137">
        <v>0</v>
      </c>
      <c r="Y236" s="137">
        <v>0</v>
      </c>
      <c r="Z236" s="137">
        <v>0</v>
      </c>
      <c r="AA236" s="137">
        <v>0</v>
      </c>
      <c r="AB236" s="137">
        <f>$K236-SUM($Q236:AA236)</f>
        <v>0</v>
      </c>
      <c r="AD236" s="141"/>
      <c r="AE236" s="141"/>
      <c r="AF236" s="141"/>
      <c r="AG236" s="141"/>
      <c r="AH236" s="141"/>
      <c r="AI236" s="141"/>
      <c r="AJ236" s="141"/>
      <c r="AK236" s="141"/>
      <c r="AL236" s="141"/>
      <c r="AM236" s="141"/>
      <c r="AN236" s="141"/>
      <c r="AO236" s="141"/>
      <c r="AP236" s="141"/>
      <c r="AQ236" s="141"/>
      <c r="AR236" s="141"/>
      <c r="AS236" s="141"/>
      <c r="AT236" s="141"/>
    </row>
    <row r="237" spans="1:50" s="137" customFormat="1">
      <c r="A237" s="2883"/>
      <c r="B237" s="3628" t="s">
        <v>741</v>
      </c>
      <c r="C237" s="585">
        <v>7110002</v>
      </c>
      <c r="D237" s="583" t="s">
        <v>743</v>
      </c>
      <c r="E237" s="462">
        <f>IFERROR(VLOOKUP(C237,'פ.נ. Australia'!$D$113:$F$305,3,0),0)</f>
        <v>26337.08</v>
      </c>
      <c r="F237" s="52">
        <f>SUMIF('פ.נ. Australia'!C:C,C:C,'פ.נ. Australia'!E:E)</f>
        <v>0</v>
      </c>
      <c r="G237" s="439"/>
      <c r="H237" s="52"/>
      <c r="I237" s="439"/>
      <c r="J237" s="170">
        <f>SUM(E237:I237)</f>
        <v>26337.08</v>
      </c>
      <c r="K237" s="98">
        <f>M237+SUMIF('פ.נ. Australia'!C:C,'מאזן בוחן Australia'!C237,'פ.נ. Australia'!F:F)</f>
        <v>19520.400000000001</v>
      </c>
      <c r="L237" s="51"/>
      <c r="M237" s="98">
        <f>IFERROR(VLOOKUP(C237,'פ.נ. Australia'!$D$113:$G$305,4,0),"")</f>
        <v>19520.400000000001</v>
      </c>
      <c r="N237" s="1106">
        <f>IF(K237=0,"-",J237/K237)</f>
        <v>1.3492080080326223</v>
      </c>
      <c r="O237" s="602"/>
      <c r="P237" s="3532"/>
      <c r="Q237" s="137">
        <v>1474.03</v>
      </c>
      <c r="R237" s="137">
        <v>360.54999999999995</v>
      </c>
      <c r="S237" s="137">
        <v>5218.72</v>
      </c>
      <c r="T237" s="137">
        <v>2722.9999999999991</v>
      </c>
      <c r="U237" s="137">
        <v>2723</v>
      </c>
      <c r="V237" s="137">
        <v>2723</v>
      </c>
      <c r="W237" s="137">
        <v>2723</v>
      </c>
      <c r="X237" s="137">
        <v>2723</v>
      </c>
      <c r="Y237" s="137">
        <v>2723</v>
      </c>
      <c r="Z237" s="137">
        <v>2723</v>
      </c>
      <c r="AA237" s="137">
        <v>2723</v>
      </c>
      <c r="AB237" s="137">
        <f>$K237-SUM($Q237:AA237)</f>
        <v>-9316.8999999999978</v>
      </c>
      <c r="AD237" s="141"/>
      <c r="AE237" s="141"/>
      <c r="AF237" s="141"/>
      <c r="AG237" s="141"/>
      <c r="AH237" s="141"/>
      <c r="AI237" s="141"/>
      <c r="AJ237" s="141"/>
      <c r="AK237" s="141"/>
      <c r="AL237" s="141"/>
      <c r="AM237" s="141"/>
      <c r="AN237" s="141"/>
      <c r="AO237" s="141"/>
      <c r="AP237" s="141"/>
      <c r="AQ237" s="141"/>
      <c r="AR237" s="141"/>
      <c r="AS237" s="141"/>
      <c r="AT237" s="170"/>
    </row>
    <row r="238" spans="1:50" s="137" customFormat="1">
      <c r="A238" s="2883"/>
      <c r="B238" s="3649"/>
      <c r="C238" s="585"/>
      <c r="D238" s="63"/>
      <c r="E238" s="1127"/>
      <c r="F238" s="52"/>
      <c r="G238" s="439"/>
      <c r="H238" s="52"/>
      <c r="I238" s="439"/>
      <c r="J238" s="170"/>
      <c r="K238" s="98"/>
      <c r="L238" s="51"/>
      <c r="M238" s="98"/>
      <c r="N238" s="1106"/>
      <c r="O238" s="602"/>
      <c r="P238" s="1133"/>
      <c r="U238" s="137">
        <v>0</v>
      </c>
      <c r="V238" s="137">
        <v>0</v>
      </c>
      <c r="W238" s="137">
        <v>0</v>
      </c>
      <c r="X238" s="137">
        <v>0</v>
      </c>
      <c r="Y238" s="137">
        <v>0</v>
      </c>
      <c r="Z238" s="137">
        <v>0</v>
      </c>
      <c r="AA238" s="137">
        <v>0</v>
      </c>
      <c r="AB238" s="137">
        <f>$K238-SUM($Q238:AA238)</f>
        <v>0</v>
      </c>
      <c r="AD238" s="141"/>
      <c r="AE238" s="141"/>
      <c r="AF238" s="141"/>
      <c r="AG238" s="141"/>
      <c r="AH238" s="141"/>
      <c r="AI238" s="141"/>
      <c r="AJ238" s="141"/>
      <c r="AK238" s="141"/>
      <c r="AL238" s="141"/>
      <c r="AM238" s="141"/>
      <c r="AN238" s="141"/>
      <c r="AO238" s="141"/>
      <c r="AP238" s="141"/>
      <c r="AQ238" s="141"/>
      <c r="AR238" s="141"/>
      <c r="AS238" s="141"/>
      <c r="AT238" s="141"/>
    </row>
    <row r="239" spans="1:50" s="137" customFormat="1">
      <c r="A239" s="2883"/>
      <c r="B239" s="3628" t="s">
        <v>752</v>
      </c>
      <c r="C239" s="585">
        <v>7140001</v>
      </c>
      <c r="D239" s="63" t="s">
        <v>753</v>
      </c>
      <c r="E239" s="462">
        <f>IFERROR(VLOOKUP(C239,'פ.נ. Australia'!$D$113:$F$305,3,0),0)</f>
        <v>408077.41</v>
      </c>
      <c r="F239" s="52">
        <f>SUMIF('פ.נ. Australia'!C:C,C:C,'פ.נ. Australia'!E:E)</f>
        <v>0</v>
      </c>
      <c r="G239" s="439"/>
      <c r="H239" s="52"/>
      <c r="I239" s="439"/>
      <c r="J239" s="170">
        <f>SUM(E239:I239)</f>
        <v>408077.41</v>
      </c>
      <c r="K239" s="98">
        <f>M239+SUMIF('פ.נ. Australia'!C:C,'מאזן בוחן Australia'!C239,'פ.נ. Australia'!F:F)</f>
        <v>306997.06</v>
      </c>
      <c r="L239" s="51"/>
      <c r="M239" s="98">
        <f>IFERROR(VLOOKUP(C239,'פ.נ. Australia'!$D$113:$G$305,4,0),"")</f>
        <v>306997.06</v>
      </c>
      <c r="N239" s="1134">
        <f t="shared" ref="N239:N251" si="44">IF(K239=0,"-",J239/K239)</f>
        <v>1.3292551075244825</v>
      </c>
      <c r="O239" s="602"/>
      <c r="P239" s="1148"/>
      <c r="Q239" s="137">
        <v>27726.06</v>
      </c>
      <c r="R239" s="137">
        <v>26419.859999999997</v>
      </c>
      <c r="S239" s="137">
        <v>24210.809999999998</v>
      </c>
      <c r="T239" s="137">
        <v>29084.090000000011</v>
      </c>
      <c r="U239" s="137">
        <v>25293.320000000007</v>
      </c>
      <c r="V239" s="137">
        <v>24244.219999999972</v>
      </c>
      <c r="W239" s="137">
        <v>26128.890000000014</v>
      </c>
      <c r="X239" s="137">
        <v>24505.98000000001</v>
      </c>
      <c r="Y239" s="137">
        <v>23922.03</v>
      </c>
      <c r="Z239" s="137">
        <v>30499.329999999987</v>
      </c>
      <c r="AA239" s="137">
        <v>22826.889999999985</v>
      </c>
      <c r="AB239" s="137">
        <f>$K239-SUM($Q239:AA239)</f>
        <v>22135.580000000016</v>
      </c>
      <c r="AD239" s="141"/>
      <c r="AE239" s="141"/>
      <c r="AF239" s="141"/>
      <c r="AG239" s="141"/>
      <c r="AH239" s="141"/>
      <c r="AI239" s="141"/>
      <c r="AJ239" s="141"/>
      <c r="AK239" s="141"/>
      <c r="AL239" s="141"/>
      <c r="AM239" s="141"/>
      <c r="AN239" s="141"/>
      <c r="AO239" s="141"/>
      <c r="AP239" s="141"/>
      <c r="AQ239" s="141"/>
      <c r="AR239" s="141"/>
      <c r="AS239" s="141"/>
      <c r="AT239" s="141"/>
    </row>
    <row r="240" spans="1:50" s="137" customFormat="1">
      <c r="A240" s="2883"/>
      <c r="B240" s="3642" t="s">
        <v>752</v>
      </c>
      <c r="C240" s="585">
        <v>7140002</v>
      </c>
      <c r="D240" s="63" t="s">
        <v>754</v>
      </c>
      <c r="E240" s="462">
        <f>IFERROR(VLOOKUP(C240,'פ.נ. Australia'!$D$113:$F$305,3,0),0)</f>
        <v>4570.1899999999996</v>
      </c>
      <c r="F240" s="52">
        <f>SUMIF('פ.נ. Australia'!C:C,C:C,'פ.נ. Australia'!E:E)</f>
        <v>0</v>
      </c>
      <c r="G240" s="439"/>
      <c r="H240" s="52"/>
      <c r="I240" s="439"/>
      <c r="J240" s="170">
        <f>SUM(E240:I240)</f>
        <v>4570.1899999999996</v>
      </c>
      <c r="K240" s="98">
        <f>M240+SUMIF('פ.נ. Australia'!C:C,'מאזן בוחן Australia'!C240,'פ.נ. Australia'!F:F)</f>
        <v>3508.64</v>
      </c>
      <c r="L240" s="51"/>
      <c r="M240" s="98">
        <f>IFERROR(VLOOKUP(C240,'פ.נ. Australia'!$D$113:$G$305,4,0),"")</f>
        <v>3508.64</v>
      </c>
      <c r="N240" s="1134">
        <f t="shared" si="44"/>
        <v>1.3025531259975374</v>
      </c>
      <c r="O240" s="602"/>
      <c r="P240" s="3532"/>
      <c r="Q240" s="137">
        <v>159.03</v>
      </c>
      <c r="R240" s="137">
        <v>347.20000000000005</v>
      </c>
      <c r="S240" s="137">
        <v>1581.6</v>
      </c>
      <c r="T240" s="137">
        <v>633</v>
      </c>
      <c r="U240" s="137">
        <v>633</v>
      </c>
      <c r="V240" s="137">
        <v>633</v>
      </c>
      <c r="W240" s="137">
        <v>633</v>
      </c>
      <c r="X240" s="137">
        <v>633</v>
      </c>
      <c r="Y240" s="137">
        <v>633</v>
      </c>
      <c r="Z240" s="137">
        <v>633</v>
      </c>
      <c r="AA240" s="137">
        <v>633</v>
      </c>
      <c r="AB240" s="137">
        <f>$K240-SUM($Q240:AA240)</f>
        <v>-3643.19</v>
      </c>
      <c r="AD240" s="141"/>
      <c r="AE240" s="141"/>
      <c r="AF240" s="141"/>
      <c r="AG240" s="141"/>
      <c r="AH240" s="141"/>
      <c r="AI240" s="141"/>
      <c r="AJ240" s="141"/>
      <c r="AK240" s="141"/>
      <c r="AL240" s="141"/>
      <c r="AM240" s="141"/>
      <c r="AN240" s="141"/>
      <c r="AO240" s="141"/>
      <c r="AP240" s="141"/>
      <c r="AQ240" s="141"/>
      <c r="AR240" s="141"/>
      <c r="AS240" s="461"/>
      <c r="AT240" s="170"/>
    </row>
    <row r="241" spans="1:46" s="137" customFormat="1">
      <c r="A241" s="2883"/>
      <c r="B241" s="3628" t="s">
        <v>752</v>
      </c>
      <c r="C241" s="585">
        <v>7140003</v>
      </c>
      <c r="D241" s="464" t="s">
        <v>1159</v>
      </c>
      <c r="E241" s="462">
        <f>IFERROR(VLOOKUP(C241,'פ.נ. Australia'!$D$113:$F$305,3,0),0)</f>
        <v>5873</v>
      </c>
      <c r="F241" s="52">
        <f>SUMIF('פ.נ. Australia'!C:C,C:C,'פ.נ. Australia'!E:E)</f>
        <v>0</v>
      </c>
      <c r="G241" s="439"/>
      <c r="H241" s="52"/>
      <c r="I241" s="439"/>
      <c r="J241" s="170">
        <f>SUM(E241:I241)</f>
        <v>5873</v>
      </c>
      <c r="K241" s="98">
        <f>M241+SUMIF('פ.נ. Australia'!C:C,'מאזן בוחן Australia'!C241,'פ.נ. Australia'!F:F)</f>
        <v>4275.54</v>
      </c>
      <c r="L241" s="52"/>
      <c r="M241" s="98">
        <f>IFERROR(VLOOKUP(C241,'פ.נ. Australia'!$D$113:$G$305,4,0),"")</f>
        <v>4275.54</v>
      </c>
      <c r="N241" s="1134">
        <f>IF(K241=0,"-",J241/K241)</f>
        <v>1.3736276587284881</v>
      </c>
      <c r="O241" s="602"/>
      <c r="P241" s="3532"/>
      <c r="Q241" s="137">
        <v>0</v>
      </c>
      <c r="R241" s="137">
        <v>0</v>
      </c>
      <c r="S241" s="137">
        <v>0</v>
      </c>
      <c r="T241" s="137">
        <v>0</v>
      </c>
      <c r="U241" s="137">
        <v>0</v>
      </c>
      <c r="V241" s="137">
        <v>0</v>
      </c>
      <c r="W241" s="137">
        <v>1440.31</v>
      </c>
      <c r="X241" s="137">
        <v>0</v>
      </c>
      <c r="Y241" s="137">
        <v>0</v>
      </c>
      <c r="Z241" s="137">
        <v>0</v>
      </c>
      <c r="AA241" s="137">
        <v>0</v>
      </c>
      <c r="AB241" s="137">
        <f>$K241-SUM($Q241:AA241)</f>
        <v>2835.23</v>
      </c>
      <c r="AD241" s="141"/>
      <c r="AE241" s="141"/>
      <c r="AF241" s="141"/>
      <c r="AG241" s="141"/>
      <c r="AH241" s="141"/>
      <c r="AI241" s="141"/>
      <c r="AJ241" s="141"/>
      <c r="AK241" s="141"/>
      <c r="AL241" s="141"/>
      <c r="AM241" s="141"/>
      <c r="AN241" s="141"/>
      <c r="AO241" s="141"/>
      <c r="AP241" s="141"/>
      <c r="AQ241" s="141"/>
      <c r="AR241" s="141"/>
      <c r="AS241" s="461"/>
      <c r="AT241" s="141"/>
    </row>
    <row r="242" spans="1:46" s="137" customFormat="1">
      <c r="A242" s="2883"/>
      <c r="B242" s="3628" t="s">
        <v>752</v>
      </c>
      <c r="C242" s="585">
        <v>7140004</v>
      </c>
      <c r="D242" s="1939" t="s">
        <v>755</v>
      </c>
      <c r="E242" s="3071">
        <f>IFERROR(VLOOKUP(C242,'פ.נ. Australia'!$D$113:$F$305,3,0),0)</f>
        <v>463061</v>
      </c>
      <c r="F242" s="2542">
        <f>SUMIF('פ.נ. Australia'!C:C,C:C,'פ.נ. Australia'!E:E)</f>
        <v>0</v>
      </c>
      <c r="G242" s="3078"/>
      <c r="H242" s="2542"/>
      <c r="I242" s="3078"/>
      <c r="J242" s="3079">
        <f>SUM(E242:I242)</f>
        <v>463061</v>
      </c>
      <c r="K242" s="3080">
        <f>M242+SUMIF('פ.נ. Australia'!C:C,'מאזן בוחן Australia'!C242,'פ.נ. Australia'!F:F)</f>
        <v>341268.7</v>
      </c>
      <c r="L242" s="2542"/>
      <c r="M242" s="3080">
        <f>IFERROR(VLOOKUP(C242,'פ.נ. Australia'!$D$113:$G$305,4,0),"")</f>
        <v>341268.7</v>
      </c>
      <c r="N242" s="3083">
        <f t="shared" si="44"/>
        <v>1.3568809562670119</v>
      </c>
      <c r="O242" s="3084"/>
      <c r="P242" s="1133"/>
      <c r="Q242" s="2549">
        <v>28952.34</v>
      </c>
      <c r="R242" s="2549">
        <v>0</v>
      </c>
      <c r="S242" s="2549">
        <v>0</v>
      </c>
      <c r="T242" s="2549">
        <v>34156.820000000007</v>
      </c>
      <c r="U242" s="2549">
        <v>6423.9400000000023</v>
      </c>
      <c r="V242" s="2549">
        <v>0</v>
      </c>
      <c r="W242" s="2549">
        <v>13863.86</v>
      </c>
      <c r="X242" s="2549">
        <v>0</v>
      </c>
      <c r="Y242" s="2549">
        <v>129257.59999999999</v>
      </c>
      <c r="Z242" s="2549">
        <v>60517.960000000021</v>
      </c>
      <c r="AA242" s="2549">
        <v>68096.179999999993</v>
      </c>
      <c r="AB242" s="137">
        <f>$K242-SUM($Q242:AA242)</f>
        <v>0</v>
      </c>
      <c r="AC242" s="2549"/>
      <c r="AD242" s="141"/>
      <c r="AE242" s="141"/>
      <c r="AF242" s="141"/>
      <c r="AG242" s="141"/>
      <c r="AH242" s="141"/>
      <c r="AI242" s="141"/>
      <c r="AJ242" s="141"/>
      <c r="AK242" s="141"/>
      <c r="AL242" s="141"/>
      <c r="AM242" s="141"/>
      <c r="AN242" s="141"/>
      <c r="AO242" s="141"/>
      <c r="AP242" s="141"/>
      <c r="AQ242" s="141"/>
      <c r="AR242" s="461"/>
      <c r="AS242" s="141"/>
      <c r="AT242" s="141"/>
    </row>
    <row r="243" spans="1:46" s="137" customFormat="1">
      <c r="A243" s="2883"/>
      <c r="B243" s="3630"/>
      <c r="C243" s="421"/>
      <c r="D243" s="61"/>
      <c r="E243" s="462">
        <f>IFERROR(VLOOKUP(C243,'פ.נ. Australia'!$D$113:$F$305,3,0),0)</f>
        <v>0</v>
      </c>
      <c r="F243" s="51"/>
      <c r="G243" s="399"/>
      <c r="H243" s="51"/>
      <c r="I243" s="399"/>
      <c r="J243" s="52"/>
      <c r="K243" s="441"/>
      <c r="L243" s="141"/>
      <c r="M243" s="441">
        <f>IFERROR(VLOOKUP(C243,'פ.נ. Australia'!$D$113:$G$305,4,0),"")</f>
        <v>0</v>
      </c>
      <c r="N243" s="1134" t="str">
        <f t="shared" si="44"/>
        <v>-</v>
      </c>
      <c r="O243" s="1350"/>
      <c r="P243" s="3579"/>
      <c r="Q243" s="137">
        <v>0</v>
      </c>
      <c r="R243" s="137">
        <v>0</v>
      </c>
      <c r="S243" s="137">
        <v>0</v>
      </c>
      <c r="T243" s="137">
        <v>0</v>
      </c>
      <c r="U243" s="137">
        <v>0</v>
      </c>
      <c r="V243" s="137">
        <v>0</v>
      </c>
      <c r="W243" s="137">
        <v>0</v>
      </c>
      <c r="X243" s="137">
        <v>0</v>
      </c>
      <c r="Y243" s="137">
        <v>0</v>
      </c>
      <c r="Z243" s="137">
        <v>0</v>
      </c>
      <c r="AA243" s="137">
        <v>0</v>
      </c>
      <c r="AB243" s="137">
        <f>$K243-SUM($Q243:AA243)</f>
        <v>0</v>
      </c>
      <c r="AD243" s="141"/>
      <c r="AE243" s="141"/>
      <c r="AF243" s="141"/>
      <c r="AG243" s="141"/>
      <c r="AH243" s="141"/>
      <c r="AI243" s="141"/>
      <c r="AJ243" s="141"/>
      <c r="AK243" s="141"/>
      <c r="AL243" s="141"/>
      <c r="AM243" s="141"/>
      <c r="AN243" s="141"/>
      <c r="AO243" s="141"/>
      <c r="AP243" s="141"/>
      <c r="AQ243" s="141"/>
      <c r="AR243" s="141"/>
      <c r="AS243" s="141"/>
      <c r="AT243" s="141"/>
    </row>
    <row r="244" spans="1:46" s="137" customFormat="1">
      <c r="A244" s="2883"/>
      <c r="B244" s="3628" t="s">
        <v>1137</v>
      </c>
      <c r="C244" s="585">
        <v>7110055</v>
      </c>
      <c r="D244" s="63" t="s">
        <v>1837</v>
      </c>
      <c r="E244" s="462">
        <f>IFERROR(VLOOKUP(C244,'פ.נ. Australia'!$D$113:$F$305,3,0),0)</f>
        <v>53757.84</v>
      </c>
      <c r="F244" s="52">
        <f>SUMIF('פ.נ. Australia'!C:C,C:C,'פ.נ. Australia'!E:E)</f>
        <v>0</v>
      </c>
      <c r="G244" s="439"/>
      <c r="H244" s="52"/>
      <c r="I244" s="439"/>
      <c r="J244" s="170">
        <f>SUM(E244:I244)</f>
        <v>53757.84</v>
      </c>
      <c r="K244" s="98">
        <f>M244+SUMIF('פ.נ. Australia'!C:C,'מאזן בוחן Australia'!C244,'פ.נ. Australia'!F:F)</f>
        <v>37429.32</v>
      </c>
      <c r="L244" s="52"/>
      <c r="M244" s="98">
        <f>IFERROR(VLOOKUP(C244,'פ.נ. Australia'!$D$113:$G$305,4,0),"")</f>
        <v>37429.32</v>
      </c>
      <c r="N244" s="1134">
        <f t="shared" si="44"/>
        <v>1.4362494429500723</v>
      </c>
      <c r="O244" s="1350"/>
      <c r="P244" s="3532"/>
      <c r="Q244" s="137">
        <v>0</v>
      </c>
      <c r="R244" s="137">
        <v>0</v>
      </c>
      <c r="S244" s="137">
        <v>9357.33</v>
      </c>
      <c r="T244" s="137">
        <v>0</v>
      </c>
      <c r="U244" s="137">
        <v>0</v>
      </c>
      <c r="V244" s="137">
        <v>9357.33</v>
      </c>
      <c r="W244" s="137">
        <v>0</v>
      </c>
      <c r="X244" s="137">
        <v>0</v>
      </c>
      <c r="Y244" s="137">
        <v>9357.3300000000017</v>
      </c>
      <c r="Z244" s="137">
        <v>0</v>
      </c>
      <c r="AA244" s="137">
        <v>0</v>
      </c>
      <c r="AB244" s="137">
        <f>$K244-SUM($Q244:AA244)</f>
        <v>9357.3299999999981</v>
      </c>
      <c r="AD244" s="141"/>
      <c r="AE244" s="141"/>
      <c r="AF244" s="141"/>
      <c r="AG244" s="141"/>
      <c r="AH244" s="141"/>
      <c r="AI244" s="141"/>
      <c r="AJ244" s="141"/>
      <c r="AK244" s="141"/>
      <c r="AL244" s="141"/>
      <c r="AM244" s="141"/>
      <c r="AN244" s="141"/>
      <c r="AO244" s="141"/>
      <c r="AP244" s="141"/>
      <c r="AQ244" s="141"/>
      <c r="AR244" s="141"/>
      <c r="AS244" s="141"/>
      <c r="AT244" s="141"/>
    </row>
    <row r="245" spans="1:46" s="137" customFormat="1">
      <c r="A245" s="2883"/>
      <c r="B245" s="3628" t="s">
        <v>1137</v>
      </c>
      <c r="C245" s="585">
        <v>7110044</v>
      </c>
      <c r="D245" s="63" t="s">
        <v>1838</v>
      </c>
      <c r="E245" s="462">
        <f>IFERROR(VLOOKUP(C245,'פ.נ. Australia'!$D$113:$F$305,3,0),0)</f>
        <v>26961.67</v>
      </c>
      <c r="F245" s="52">
        <f>SUMIF('פ.נ. Australia'!C:C,C:C,'פ.נ. Australia'!E:E)</f>
        <v>0</v>
      </c>
      <c r="G245" s="439"/>
      <c r="H245" s="52"/>
      <c r="I245" s="439"/>
      <c r="J245" s="170">
        <f>SUM(E245:I245)</f>
        <v>26961.67</v>
      </c>
      <c r="K245" s="98">
        <f>M245+SUMIF('פ.נ. Australia'!C:C,'מאזן בוחן Australia'!C245,'פ.נ. Australia'!F:F)</f>
        <v>19028.560000000001</v>
      </c>
      <c r="L245" s="52"/>
      <c r="M245" s="98">
        <f>IFERROR(VLOOKUP(C245,'פ.נ. Australia'!$D$113:$G$305,4,0),"")</f>
        <v>19028.560000000001</v>
      </c>
      <c r="N245" s="1134">
        <f t="shared" si="44"/>
        <v>1.416905430573832</v>
      </c>
      <c r="O245" s="1350"/>
      <c r="P245" s="3532"/>
      <c r="Q245" s="137">
        <v>0</v>
      </c>
      <c r="R245" s="137">
        <v>0</v>
      </c>
      <c r="S245" s="137">
        <v>6738.31</v>
      </c>
      <c r="T245" s="137">
        <v>0</v>
      </c>
      <c r="U245" s="137">
        <v>0</v>
      </c>
      <c r="V245" s="137">
        <v>5417.53</v>
      </c>
      <c r="W245" s="137">
        <v>0</v>
      </c>
      <c r="X245" s="137">
        <v>0</v>
      </c>
      <c r="Y245" s="137">
        <v>4096.75</v>
      </c>
      <c r="Z245" s="137">
        <v>0</v>
      </c>
      <c r="AA245" s="137">
        <v>0</v>
      </c>
      <c r="AB245" s="137">
        <f>$K245-SUM($Q245:AA245)</f>
        <v>2775.9700000000012</v>
      </c>
      <c r="AD245" s="141"/>
      <c r="AE245" s="141"/>
      <c r="AF245" s="141"/>
      <c r="AG245" s="141"/>
      <c r="AH245" s="141"/>
      <c r="AI245" s="141"/>
      <c r="AJ245" s="141"/>
      <c r="AK245" s="141"/>
      <c r="AL245" s="141"/>
      <c r="AM245" s="141"/>
      <c r="AN245" s="141"/>
      <c r="AO245" s="141"/>
      <c r="AP245" s="141"/>
      <c r="AQ245" s="141"/>
      <c r="AR245" s="141"/>
      <c r="AS245" s="141"/>
      <c r="AT245" s="141"/>
    </row>
    <row r="246" spans="1:46" s="137" customFormat="1">
      <c r="A246" s="2883"/>
      <c r="B246" s="3628" t="s">
        <v>1137</v>
      </c>
      <c r="C246" s="585">
        <v>7110066</v>
      </c>
      <c r="D246" s="464" t="s">
        <v>2173</v>
      </c>
      <c r="E246" s="462">
        <f>IFERROR(VLOOKUP(C246,'פ.נ. Australia'!$D$113:$F$305,3,0),0)</f>
        <v>43071.33</v>
      </c>
      <c r="F246" s="52">
        <f>SUMIF('פ.נ. Australia'!C:C,C:C,'פ.נ. Australia'!E:E)</f>
        <v>0</v>
      </c>
      <c r="G246" s="439"/>
      <c r="H246" s="52"/>
      <c r="I246" s="439"/>
      <c r="J246" s="170">
        <f>SUM(E246:I246)</f>
        <v>43071.33</v>
      </c>
      <c r="K246" s="98">
        <f>M246+SUMIF('פ.נ. Australia'!C:C,'מאזן בוחן Australia'!C246,'פ.נ. Australia'!F:F)</f>
        <v>32163.37</v>
      </c>
      <c r="L246" s="52"/>
      <c r="M246" s="98">
        <f>IFERROR(VLOOKUP(C246,'פ.נ. Australia'!$D$113:$G$305,4,0),"")</f>
        <v>32163.37</v>
      </c>
      <c r="N246" s="1134">
        <f t="shared" si="44"/>
        <v>1.3391423224618566</v>
      </c>
      <c r="O246" s="140"/>
      <c r="P246" s="2143"/>
      <c r="Q246" s="137">
        <v>0</v>
      </c>
      <c r="R246" s="137">
        <v>0</v>
      </c>
      <c r="S246" s="137">
        <v>8601.7099999999991</v>
      </c>
      <c r="T246" s="137">
        <v>0</v>
      </c>
      <c r="U246" s="137">
        <v>0</v>
      </c>
      <c r="V246" s="137">
        <v>8054.66</v>
      </c>
      <c r="W246" s="137">
        <v>0</v>
      </c>
      <c r="X246" s="137">
        <v>0</v>
      </c>
      <c r="Y246" s="137">
        <v>7753.5</v>
      </c>
      <c r="Z246" s="137">
        <v>0</v>
      </c>
      <c r="AA246" s="137">
        <v>0</v>
      </c>
      <c r="AB246" s="137">
        <f>$K246-SUM($Q246:AA246)</f>
        <v>7753.5</v>
      </c>
      <c r="AS246" s="141"/>
      <c r="AT246" s="141"/>
    </row>
    <row r="247" spans="1:46" s="137" customFormat="1">
      <c r="A247" s="2883"/>
      <c r="B247" s="3628" t="s">
        <v>1137</v>
      </c>
      <c r="C247" s="585">
        <v>7110077</v>
      </c>
      <c r="D247" s="464" t="s">
        <v>3546</v>
      </c>
      <c r="E247" s="462">
        <f>IFERROR(VLOOKUP(C247,'פ.נ. Australia'!$D$113:$F$305,3,0),0)</f>
        <v>-139179.04999999999</v>
      </c>
      <c r="F247" s="52">
        <f>SUMIF('פ.נ. Australia'!C:C,C:C,'פ.נ. Australia'!E:E)</f>
        <v>0</v>
      </c>
      <c r="G247" s="439"/>
      <c r="H247" s="52"/>
      <c r="I247" s="439"/>
      <c r="J247" s="170">
        <f>SUM(E247:I247)</f>
        <v>-139179.04999999999</v>
      </c>
      <c r="K247" s="98">
        <f>M247+SUMIF('פ.נ. Australia'!C:C,'מאזן בוחן Australia'!C247,'פ.נ. Australia'!F:F)</f>
        <v>-100832.97</v>
      </c>
      <c r="L247" s="52"/>
      <c r="M247" s="98">
        <f>IFERROR(VLOOKUP(C247,'פ.נ. Australia'!$D$113:$G$305,4,0),"")</f>
        <v>-100832.97</v>
      </c>
      <c r="N247" s="1134">
        <f>IF(K247=0,"-",J247/K247)</f>
        <v>1.3802930727915679</v>
      </c>
      <c r="O247" s="140"/>
      <c r="P247" s="2143"/>
      <c r="S247" s="137">
        <v>-9888.44</v>
      </c>
      <c r="T247" s="137">
        <v>0</v>
      </c>
      <c r="U247" s="137">
        <v>0</v>
      </c>
      <c r="V247" s="137">
        <v>-1005.2199999999993</v>
      </c>
      <c r="W247" s="137">
        <v>0</v>
      </c>
      <c r="X247" s="137">
        <v>0</v>
      </c>
      <c r="Y247" s="137">
        <v>-73394.86</v>
      </c>
      <c r="Z247" s="137">
        <v>0</v>
      </c>
      <c r="AA247" s="137">
        <v>0</v>
      </c>
      <c r="AB247" s="137">
        <f>$K247-SUM($Q247:AA247)</f>
        <v>-16544.449999999997</v>
      </c>
      <c r="AS247" s="141"/>
      <c r="AT247" s="141"/>
    </row>
    <row r="248" spans="1:46" s="137" customFormat="1">
      <c r="A248" s="2883"/>
      <c r="B248" s="3628"/>
      <c r="C248" s="585"/>
      <c r="D248" s="464"/>
      <c r="E248" s="462"/>
      <c r="F248" s="52"/>
      <c r="G248" s="439"/>
      <c r="H248" s="52"/>
      <c r="I248" s="439"/>
      <c r="J248" s="170"/>
      <c r="K248" s="98"/>
      <c r="L248" s="52"/>
      <c r="M248" s="98"/>
      <c r="N248" s="1134"/>
      <c r="O248" s="140"/>
      <c r="P248" s="2143"/>
      <c r="Y248" s="137">
        <v>0</v>
      </c>
      <c r="Z248" s="137">
        <v>0</v>
      </c>
      <c r="AA248" s="137">
        <v>0</v>
      </c>
      <c r="AB248" s="137">
        <f>$K248-SUM($Q248:AA248)</f>
        <v>0</v>
      </c>
      <c r="AS248" s="141"/>
      <c r="AT248" s="141"/>
    </row>
    <row r="249" spans="1:46" s="137" customFormat="1">
      <c r="A249" s="2883"/>
      <c r="B249" s="3628" t="s">
        <v>741</v>
      </c>
      <c r="C249" s="585">
        <v>7110006</v>
      </c>
      <c r="D249" s="464" t="s">
        <v>1433</v>
      </c>
      <c r="E249" s="462">
        <f>IFERROR(VLOOKUP(C249,'פ.נ. Australia'!$D$113:$F$305,3,0),0)</f>
        <v>70132.06</v>
      </c>
      <c r="F249" s="52">
        <f>SUMIF('פ.נ. Australia'!C:C,C:C,'פ.נ. Australia'!E:E)</f>
        <v>0</v>
      </c>
      <c r="G249" s="439"/>
      <c r="H249" s="52"/>
      <c r="I249" s="439"/>
      <c r="J249" s="170">
        <f>SUM(E249:I249)</f>
        <v>70132.06</v>
      </c>
      <c r="K249" s="98">
        <f>M249+SUMIF('פ.נ. Australia'!C:C,'מאזן בוחן Australia'!C249,'פ.נ. Australia'!F:F)</f>
        <v>51807.19</v>
      </c>
      <c r="L249" s="52"/>
      <c r="M249" s="98">
        <f>IFERROR(VLOOKUP(C249,'פ.נ. Australia'!$D$113:$G$305,4,0),"")</f>
        <v>51807.19</v>
      </c>
      <c r="N249" s="1134">
        <f t="shared" si="44"/>
        <v>1.3537128726726926</v>
      </c>
      <c r="O249" s="140"/>
      <c r="P249" s="432"/>
      <c r="Q249" s="137">
        <v>0</v>
      </c>
      <c r="R249" s="137">
        <v>0</v>
      </c>
      <c r="S249" s="137">
        <v>12571.17</v>
      </c>
      <c r="T249" s="137">
        <v>0</v>
      </c>
      <c r="U249" s="137">
        <v>0</v>
      </c>
      <c r="V249" s="137">
        <v>13015.49</v>
      </c>
      <c r="W249" s="137">
        <v>0</v>
      </c>
      <c r="X249" s="137">
        <v>0</v>
      </c>
      <c r="Y249" s="137">
        <v>12721.16</v>
      </c>
      <c r="Z249" s="137">
        <v>0</v>
      </c>
      <c r="AA249" s="137">
        <v>0</v>
      </c>
      <c r="AB249" s="137">
        <f>$K249-SUM($Q249:AA249)</f>
        <v>13499.370000000003</v>
      </c>
      <c r="AS249" s="141"/>
      <c r="AT249" s="141"/>
    </row>
    <row r="250" spans="1:46" s="137" customFormat="1">
      <c r="A250" s="2883"/>
      <c r="B250" s="3630"/>
      <c r="C250" s="421"/>
      <c r="D250" s="61"/>
      <c r="E250" s="1127"/>
      <c r="F250" s="51"/>
      <c r="G250" s="399"/>
      <c r="H250" s="51"/>
      <c r="I250" s="399"/>
      <c r="J250" s="52"/>
      <c r="K250" s="441"/>
      <c r="L250" s="141"/>
      <c r="M250" s="441"/>
      <c r="N250" s="1134" t="str">
        <f t="shared" si="44"/>
        <v>-</v>
      </c>
      <c r="O250" s="140"/>
      <c r="P250" s="432"/>
      <c r="Q250" s="137">
        <v>0</v>
      </c>
      <c r="R250" s="137">
        <v>0</v>
      </c>
      <c r="S250" s="137">
        <v>0</v>
      </c>
      <c r="T250" s="137">
        <v>0</v>
      </c>
      <c r="U250" s="137">
        <v>0</v>
      </c>
      <c r="V250" s="137">
        <v>0</v>
      </c>
      <c r="W250" s="137">
        <v>0</v>
      </c>
      <c r="X250" s="137">
        <v>0</v>
      </c>
      <c r="Y250" s="137">
        <v>0</v>
      </c>
      <c r="Z250" s="137">
        <v>0</v>
      </c>
      <c r="AA250" s="137">
        <v>0</v>
      </c>
      <c r="AB250" s="137">
        <f>$K250-SUM($Q250:AA250)</f>
        <v>0</v>
      </c>
      <c r="AS250" s="141"/>
      <c r="AT250" s="141"/>
    </row>
    <row r="251" spans="1:46" s="137" customFormat="1">
      <c r="A251" s="2883"/>
      <c r="B251" s="3628"/>
      <c r="C251" s="1160"/>
      <c r="D251" s="50" t="s">
        <v>740</v>
      </c>
      <c r="E251" s="398"/>
      <c r="F251" s="45"/>
      <c r="G251" s="97"/>
      <c r="H251" s="487"/>
      <c r="I251" s="97"/>
      <c r="J251" s="168"/>
      <c r="K251" s="97"/>
      <c r="L251" s="51"/>
      <c r="M251" s="97"/>
      <c r="N251" s="1134" t="str">
        <f t="shared" si="44"/>
        <v>-</v>
      </c>
      <c r="O251" s="434"/>
      <c r="P251" s="1133"/>
      <c r="Q251" s="137">
        <v>0</v>
      </c>
      <c r="R251" s="137">
        <v>0</v>
      </c>
      <c r="S251" s="137">
        <v>0</v>
      </c>
      <c r="T251" s="137">
        <v>0</v>
      </c>
      <c r="U251" s="137">
        <v>0</v>
      </c>
      <c r="V251" s="137">
        <v>0</v>
      </c>
      <c r="W251" s="137">
        <v>0</v>
      </c>
      <c r="X251" s="137">
        <v>0</v>
      </c>
      <c r="Y251" s="137">
        <v>0</v>
      </c>
      <c r="Z251" s="137">
        <v>0</v>
      </c>
      <c r="AA251" s="137">
        <v>0</v>
      </c>
      <c r="AB251" s="137">
        <f>$K251-SUM($Q251:AA251)</f>
        <v>0</v>
      </c>
      <c r="AS251" s="141"/>
    </row>
    <row r="252" spans="1:46" s="137" customFormat="1">
      <c r="A252" s="2883"/>
      <c r="B252" s="3628" t="s">
        <v>758</v>
      </c>
      <c r="C252" s="585">
        <v>7120025</v>
      </c>
      <c r="D252" s="45" t="s">
        <v>791</v>
      </c>
      <c r="E252" s="462">
        <f>IFERROR(VLOOKUP(C252,'פ.נ. Australia'!$D$113:$F$305,3,0),0)</f>
        <v>16101.07</v>
      </c>
      <c r="F252" s="51">
        <f>SUMIF('פ.נ. Australia'!C:C,C:C,'פ.נ. Australia'!E:E)</f>
        <v>0</v>
      </c>
      <c r="G252" s="399"/>
      <c r="H252" s="51"/>
      <c r="I252" s="399"/>
      <c r="J252" s="170">
        <f>SUM(E252:I252)</f>
        <v>16101.07</v>
      </c>
      <c r="K252" s="98">
        <f>M252+SUMIF('פ.נ. Australia'!C:C,'מאזן בוחן Australia'!C252,'פ.נ. Australia'!F:F)</f>
        <v>11861.68</v>
      </c>
      <c r="L252" s="51"/>
      <c r="M252" s="98">
        <f>IFERROR(VLOOKUP(C252,'פ.נ. Australia'!$D$113:$G$305,4,0),"")</f>
        <v>11861.68</v>
      </c>
      <c r="N252" s="1106">
        <f>IF(K252=0,"-",J252/K252)</f>
        <v>1.3574021555125411</v>
      </c>
      <c r="O252" s="434"/>
      <c r="P252" s="1133"/>
      <c r="Q252" s="137">
        <v>695.82</v>
      </c>
      <c r="R252" s="137">
        <v>0</v>
      </c>
      <c r="S252" s="137">
        <v>681.58</v>
      </c>
      <c r="T252" s="137">
        <v>1056.4099999999999</v>
      </c>
      <c r="U252" s="137">
        <v>994.13000000000011</v>
      </c>
      <c r="V252" s="137">
        <v>-64.590000000000146</v>
      </c>
      <c r="W252" s="137">
        <v>1255.7400000000002</v>
      </c>
      <c r="X252" s="137">
        <v>69.989999999999782</v>
      </c>
      <c r="Y252" s="137">
        <v>855.25</v>
      </c>
      <c r="Z252" s="137">
        <v>445.77000000000044</v>
      </c>
      <c r="AA252" s="137">
        <v>2169.58</v>
      </c>
      <c r="AB252" s="137">
        <f>$K252-SUM($Q252:AA252)</f>
        <v>3702</v>
      </c>
    </row>
    <row r="253" spans="1:46" s="137" customFormat="1">
      <c r="A253" s="2883"/>
      <c r="B253" s="3628" t="s">
        <v>758</v>
      </c>
      <c r="C253" s="585">
        <v>7120036</v>
      </c>
      <c r="D253" s="45" t="s">
        <v>1527</v>
      </c>
      <c r="E253" s="462">
        <f>IFERROR(VLOOKUP(C253,'פ.נ. Australia'!$D$113:$F$305,3,0),0)</f>
        <v>7970.27</v>
      </c>
      <c r="F253" s="51">
        <f>SUMIF('פ.נ. Australia'!C:C,C:C,'פ.נ. Australia'!E:E)</f>
        <v>0</v>
      </c>
      <c r="G253" s="399"/>
      <c r="H253" s="51"/>
      <c r="I253" s="399"/>
      <c r="J253" s="170">
        <f>SUM(E253:I253)</f>
        <v>7970.27</v>
      </c>
      <c r="K253" s="98">
        <f>M253+SUMIF('פ.נ. Australia'!C:C,'מאזן בוחן Australia'!C253,'פ.נ. Australia'!F:F)</f>
        <v>6056.47</v>
      </c>
      <c r="L253" s="51"/>
      <c r="M253" s="98">
        <f>IFERROR(VLOOKUP(C253,'פ.נ. Australia'!$D$113:$G$305,4,0),"")</f>
        <v>6056.47</v>
      </c>
      <c r="N253" s="1106">
        <f>IF(K253=0,"-",J253/K253)</f>
        <v>1.3159926491834353</v>
      </c>
      <c r="O253" s="434"/>
      <c r="P253" s="1133"/>
      <c r="Q253" s="137">
        <v>1692.17</v>
      </c>
      <c r="R253" s="137">
        <v>0</v>
      </c>
      <c r="S253" s="137">
        <v>817.04999999999973</v>
      </c>
      <c r="T253" s="137">
        <v>1285.4500000000003</v>
      </c>
      <c r="U253" s="137">
        <v>656.92000000000007</v>
      </c>
      <c r="V253" s="137">
        <v>503.23999999999978</v>
      </c>
      <c r="W253" s="137">
        <v>276.93000000000029</v>
      </c>
      <c r="X253" s="137">
        <v>0</v>
      </c>
      <c r="Y253" s="137">
        <v>386.05999999999949</v>
      </c>
      <c r="Z253" s="137">
        <v>193.96000000000004</v>
      </c>
      <c r="AA253" s="137">
        <v>244.69000000000051</v>
      </c>
      <c r="AB253" s="137">
        <f>$K253-SUM($Q253:AA253)</f>
        <v>0</v>
      </c>
    </row>
    <row r="254" spans="1:46" s="137" customFormat="1">
      <c r="A254" s="2883"/>
      <c r="B254" s="3628" t="s">
        <v>758</v>
      </c>
      <c r="C254" s="585">
        <v>7120076</v>
      </c>
      <c r="D254" s="45" t="s">
        <v>792</v>
      </c>
      <c r="E254" s="462">
        <f>IFERROR(VLOOKUP(C254,'פ.נ. Australia'!$D$113:$F$305,3,0),0)</f>
        <v>13858.81</v>
      </c>
      <c r="F254" s="51">
        <f>SUMIF('פ.נ. Australia'!C:C,C:C,'פ.נ. Australia'!E:E)</f>
        <v>0</v>
      </c>
      <c r="G254" s="399"/>
      <c r="H254" s="51"/>
      <c r="I254" s="399"/>
      <c r="J254" s="170">
        <f>SUM(E254:I254)</f>
        <v>13858.81</v>
      </c>
      <c r="K254" s="98">
        <f>M254+SUMIF('פ.נ. Australia'!C:C,'מאזן בוחן Australia'!C254,'פ.נ. Australia'!F:F)</f>
        <v>10486.55</v>
      </c>
      <c r="L254" s="51"/>
      <c r="M254" s="98">
        <f>IFERROR(VLOOKUP(C254,'פ.נ. Australia'!$D$113:$G$305,4,0),"")</f>
        <v>10486.55</v>
      </c>
      <c r="N254" s="1106">
        <f>IF(K254=0,"-",J254/K254)</f>
        <v>1.3215795471341862</v>
      </c>
      <c r="O254" s="434"/>
      <c r="P254" s="1133"/>
      <c r="Q254" s="137">
        <v>569.19000000000005</v>
      </c>
      <c r="R254" s="137">
        <v>1307.94</v>
      </c>
      <c r="S254" s="137">
        <v>448.69999999999982</v>
      </c>
      <c r="T254" s="137">
        <v>2272.0200000000004</v>
      </c>
      <c r="U254" s="137">
        <v>1439.6399999999994</v>
      </c>
      <c r="V254" s="137">
        <v>202.78999999999996</v>
      </c>
      <c r="W254" s="137">
        <v>41.780000000000655</v>
      </c>
      <c r="X254" s="137">
        <v>526.54999999999927</v>
      </c>
      <c r="Y254" s="137">
        <v>0</v>
      </c>
      <c r="Z254" s="137">
        <v>428.57999999999993</v>
      </c>
      <c r="AA254" s="137">
        <v>263.84000000000015</v>
      </c>
      <c r="AB254" s="137">
        <f>$K254-SUM($Q254:AA254)</f>
        <v>2985.5199999999995</v>
      </c>
    </row>
    <row r="255" spans="1:46" s="137" customFormat="1">
      <c r="A255" s="2883"/>
      <c r="B255" s="3628" t="s">
        <v>758</v>
      </c>
      <c r="C255" s="585">
        <v>7120077</v>
      </c>
      <c r="D255" s="45" t="s">
        <v>793</v>
      </c>
      <c r="E255" s="462">
        <f>IFERROR(VLOOKUP(C255,'פ.נ. Australia'!$D$113:$F$305,3,0),0)</f>
        <v>2898.12</v>
      </c>
      <c r="F255" s="51">
        <f>SUMIF('פ.נ. Australia'!C:C,C:C,'פ.נ. Australia'!E:E)</f>
        <v>0</v>
      </c>
      <c r="G255" s="399"/>
      <c r="H255" s="51"/>
      <c r="I255" s="399"/>
      <c r="J255" s="170">
        <f>SUM(E255:I255)</f>
        <v>2898.12</v>
      </c>
      <c r="K255" s="98">
        <f>M255+SUMIF('פ.נ. Australia'!C:C,'מאזן בוחן Australia'!C255,'פ.נ. Australia'!F:F)</f>
        <v>2201.1</v>
      </c>
      <c r="L255" s="51"/>
      <c r="M255" s="98">
        <f>IFERROR(VLOOKUP(C255,'פ.נ. Australia'!$D$113:$G$305,4,0),"")</f>
        <v>2201.1</v>
      </c>
      <c r="N255" s="1106">
        <f>IF(K255=0,"-",J255/K255)</f>
        <v>1.3166689382581436</v>
      </c>
      <c r="O255" s="434"/>
      <c r="P255" s="1133"/>
      <c r="Q255" s="137">
        <v>415.94</v>
      </c>
      <c r="R255" s="137">
        <v>0</v>
      </c>
      <c r="S255" s="137">
        <v>159.52000000000004</v>
      </c>
      <c r="T255" s="137">
        <v>597.36999999999989</v>
      </c>
      <c r="U255" s="137">
        <v>260</v>
      </c>
      <c r="V255" s="137">
        <v>169.59000000000015</v>
      </c>
      <c r="W255" s="137">
        <v>6.8899999999998727</v>
      </c>
      <c r="X255" s="137">
        <v>0</v>
      </c>
      <c r="Y255" s="137">
        <v>32.480000000000018</v>
      </c>
      <c r="Z255" s="137">
        <v>320.32999999999993</v>
      </c>
      <c r="AA255" s="137">
        <v>0</v>
      </c>
      <c r="AB255" s="137">
        <f>$K255-SUM($Q255:AA255)</f>
        <v>238.98000000000002</v>
      </c>
    </row>
    <row r="256" spans="1:46" s="137" customFormat="1">
      <c r="A256" s="2883"/>
      <c r="B256" s="3628"/>
      <c r="C256" s="585"/>
      <c r="D256" s="45"/>
      <c r="E256" s="398"/>
      <c r="F256" s="51"/>
      <c r="G256" s="399"/>
      <c r="H256" s="51"/>
      <c r="I256" s="399"/>
      <c r="J256" s="170"/>
      <c r="K256" s="98"/>
      <c r="L256" s="51"/>
      <c r="M256" s="98"/>
      <c r="N256" s="1106"/>
      <c r="O256" s="434"/>
      <c r="P256" s="1133"/>
      <c r="Q256" s="137">
        <v>0</v>
      </c>
      <c r="R256" s="137">
        <v>0</v>
      </c>
      <c r="S256" s="137">
        <v>0</v>
      </c>
      <c r="T256" s="137">
        <v>0</v>
      </c>
      <c r="U256" s="137">
        <v>0</v>
      </c>
      <c r="V256" s="137">
        <v>0</v>
      </c>
      <c r="W256" s="137">
        <v>0</v>
      </c>
      <c r="X256" s="137">
        <v>0</v>
      </c>
      <c r="Y256" s="137">
        <v>0</v>
      </c>
      <c r="Z256" s="137">
        <v>0</v>
      </c>
      <c r="AA256" s="137">
        <v>0</v>
      </c>
      <c r="AB256" s="137">
        <f>$K256-SUM($Q256:AA256)</f>
        <v>0</v>
      </c>
    </row>
    <row r="257" spans="1:45" s="137" customFormat="1">
      <c r="A257" s="2883"/>
      <c r="B257" s="3628" t="s">
        <v>736</v>
      </c>
      <c r="C257" s="585">
        <v>7020037</v>
      </c>
      <c r="D257" s="45" t="s">
        <v>739</v>
      </c>
      <c r="E257" s="398">
        <f>VLOOKUP(C257,'פ.נ. Australia'!$D$113:$F$305,3,0)</f>
        <v>40217.269999999997</v>
      </c>
      <c r="F257" s="51">
        <f>SUMIF('פ.נ. Australia'!C:C,C:C,'פ.נ. Australia'!E:E)</f>
        <v>0</v>
      </c>
      <c r="G257" s="399"/>
      <c r="H257" s="51"/>
      <c r="I257" s="399"/>
      <c r="J257" s="170">
        <f>SUM(E257:I257)</f>
        <v>40217.269999999997</v>
      </c>
      <c r="K257" s="98">
        <f>M257+SUMIF('פ.נ. Australia'!C:C,'מאזן בוחן Australia'!C257,'פ.נ. Australia'!F:F)</f>
        <v>30410.29</v>
      </c>
      <c r="L257" s="51"/>
      <c r="M257" s="98">
        <f>IFERROR(VLOOKUP(C257,'פ.נ. Australia'!$D$113:$G$305,4,0),"")</f>
        <v>30410.29</v>
      </c>
      <c r="N257" s="1106">
        <f>IF(K257=0,"-",J257/K257)</f>
        <v>1.3224888680772198</v>
      </c>
      <c r="O257" s="434"/>
      <c r="P257" s="1133"/>
      <c r="Q257" s="137">
        <v>3044.57</v>
      </c>
      <c r="R257" s="137">
        <v>0</v>
      </c>
      <c r="S257" s="137">
        <v>0</v>
      </c>
      <c r="T257" s="137">
        <v>2119.7899999999995</v>
      </c>
      <c r="U257" s="137">
        <v>0</v>
      </c>
      <c r="V257" s="137">
        <v>1792.2300000000005</v>
      </c>
      <c r="W257" s="137">
        <v>2200.1499999999996</v>
      </c>
      <c r="X257" s="137">
        <v>0</v>
      </c>
      <c r="Y257" s="137">
        <v>0</v>
      </c>
      <c r="Z257" s="137">
        <v>3821.75</v>
      </c>
      <c r="AA257" s="137">
        <v>13869.28</v>
      </c>
      <c r="AB257" s="137">
        <f>$K257-SUM($Q257:AA257)</f>
        <v>3562.5200000000004</v>
      </c>
      <c r="AS257" s="461"/>
    </row>
    <row r="258" spans="1:45" s="137" customFormat="1">
      <c r="A258" s="2883"/>
      <c r="B258" s="3628"/>
      <c r="C258" s="154"/>
      <c r="D258" s="48"/>
      <c r="E258" s="398"/>
      <c r="F258" s="487"/>
      <c r="G258" s="97"/>
      <c r="H258" s="488"/>
      <c r="I258" s="97"/>
      <c r="J258" s="168"/>
      <c r="K258" s="97"/>
      <c r="L258" s="51"/>
      <c r="M258" s="97"/>
      <c r="N258" s="1106"/>
      <c r="O258" s="434"/>
      <c r="P258" s="1133"/>
      <c r="Q258" s="137">
        <v>0</v>
      </c>
      <c r="R258" s="137">
        <v>0</v>
      </c>
      <c r="S258" s="137">
        <v>0</v>
      </c>
      <c r="T258" s="137">
        <v>0</v>
      </c>
      <c r="U258" s="137">
        <v>0</v>
      </c>
      <c r="V258" s="137">
        <v>0</v>
      </c>
      <c r="W258" s="137">
        <v>0</v>
      </c>
      <c r="X258" s="137">
        <v>0</v>
      </c>
      <c r="Y258" s="137">
        <v>0</v>
      </c>
      <c r="Z258" s="137">
        <v>0</v>
      </c>
      <c r="AA258" s="137">
        <v>0</v>
      </c>
      <c r="AB258" s="137">
        <f>$K258-SUM($Q258:AA258)</f>
        <v>0</v>
      </c>
    </row>
    <row r="259" spans="1:45" s="137" customFormat="1">
      <c r="A259" s="2883"/>
      <c r="B259" s="3624"/>
      <c r="C259" s="154"/>
      <c r="D259" s="69"/>
      <c r="E259" s="1351">
        <f t="shared" ref="E259:K259" si="45">SUM(E227:E258)</f>
        <v>2497140.0900000003</v>
      </c>
      <c r="F259" s="1351">
        <f t="shared" si="45"/>
        <v>0</v>
      </c>
      <c r="G259" s="1351">
        <f t="shared" si="45"/>
        <v>0</v>
      </c>
      <c r="H259" s="1351">
        <f t="shared" si="45"/>
        <v>0</v>
      </c>
      <c r="I259" s="1351">
        <f t="shared" si="45"/>
        <v>0</v>
      </c>
      <c r="J259" s="1351">
        <f t="shared" si="45"/>
        <v>2497140.0900000003</v>
      </c>
      <c r="K259" s="1351">
        <f t="shared" si="45"/>
        <v>1852433.3400000003</v>
      </c>
      <c r="L259" s="2134"/>
      <c r="M259" s="1351">
        <f>SUM(M227:M258)</f>
        <v>1852433.3400000003</v>
      </c>
      <c r="N259" s="1106"/>
      <c r="O259" s="434"/>
      <c r="P259" s="1133"/>
      <c r="Q259" s="137">
        <v>78911.100000000006</v>
      </c>
      <c r="R259" s="137">
        <v>69090.580000000016</v>
      </c>
      <c r="S259" s="137">
        <v>143901.15</v>
      </c>
      <c r="T259" s="137">
        <v>99466.350000000035</v>
      </c>
      <c r="U259" s="137">
        <v>87029.589999999967</v>
      </c>
      <c r="V259" s="137">
        <v>378455.24999999988</v>
      </c>
      <c r="W259" s="137">
        <v>74460.750000000116</v>
      </c>
      <c r="X259" s="137">
        <v>98643.729999999981</v>
      </c>
      <c r="Y259" s="137">
        <v>343317.94000000088</v>
      </c>
      <c r="Z259" s="137">
        <v>105643.7899999998</v>
      </c>
      <c r="AA259" s="137">
        <v>115536.75999999978</v>
      </c>
      <c r="AB259" s="137">
        <f>$K259-SUM($Q259:AA259)</f>
        <v>257976.34999999986</v>
      </c>
    </row>
    <row r="260" spans="1:45" s="137" customFormat="1">
      <c r="A260" s="2883"/>
      <c r="B260" s="3624"/>
      <c r="C260" s="154"/>
      <c r="D260" s="52"/>
      <c r="E260" s="1135"/>
      <c r="F260" s="51"/>
      <c r="G260" s="399"/>
      <c r="H260" s="51"/>
      <c r="I260" s="399"/>
      <c r="J260" s="440"/>
      <c r="K260" s="446"/>
      <c r="L260" s="51"/>
      <c r="M260" s="446"/>
      <c r="N260" s="1106"/>
      <c r="O260" s="434"/>
      <c r="P260" s="1133"/>
      <c r="Q260" s="137">
        <v>0</v>
      </c>
      <c r="R260" s="137">
        <v>0</v>
      </c>
      <c r="S260" s="137">
        <v>0</v>
      </c>
      <c r="T260" s="137">
        <v>0</v>
      </c>
      <c r="U260" s="137">
        <v>0</v>
      </c>
      <c r="V260" s="137">
        <v>0</v>
      </c>
      <c r="W260" s="137">
        <v>0</v>
      </c>
      <c r="X260" s="137">
        <v>0</v>
      </c>
      <c r="Y260" s="137">
        <v>0</v>
      </c>
      <c r="Z260" s="137">
        <v>0</v>
      </c>
      <c r="AA260" s="137">
        <v>0</v>
      </c>
      <c r="AB260" s="137">
        <f>$K260-SUM($Q260:AA260)</f>
        <v>0</v>
      </c>
      <c r="AS260" s="454"/>
    </row>
    <row r="261" spans="1:45" s="137" customFormat="1" ht="13.5" thickBot="1">
      <c r="A261" s="2883"/>
      <c r="B261" s="3624"/>
      <c r="C261" s="154"/>
      <c r="D261" s="71"/>
      <c r="E261" s="1129"/>
      <c r="F261" s="1130"/>
      <c r="G261" s="1131"/>
      <c r="H261" s="1130"/>
      <c r="I261" s="1131"/>
      <c r="J261" s="1130"/>
      <c r="K261" s="1131"/>
      <c r="L261" s="51"/>
      <c r="M261" s="1131"/>
      <c r="N261" s="1106"/>
      <c r="O261" s="434"/>
      <c r="P261" s="1133"/>
      <c r="Q261" s="137">
        <v>0</v>
      </c>
      <c r="R261" s="137">
        <v>0</v>
      </c>
      <c r="S261" s="137">
        <v>0</v>
      </c>
      <c r="T261" s="137">
        <v>0</v>
      </c>
      <c r="U261" s="137">
        <v>0</v>
      </c>
      <c r="V261" s="137">
        <v>0</v>
      </c>
      <c r="W261" s="137">
        <v>0</v>
      </c>
      <c r="X261" s="137">
        <v>0</v>
      </c>
      <c r="Y261" s="137">
        <v>0</v>
      </c>
      <c r="Z261" s="137">
        <v>0</v>
      </c>
      <c r="AA261" s="137">
        <v>0</v>
      </c>
      <c r="AB261" s="137">
        <f>$K261-SUM($Q261:AA261)</f>
        <v>0</v>
      </c>
      <c r="AS261" s="454"/>
    </row>
    <row r="262" spans="1:45" s="137" customFormat="1">
      <c r="A262" s="2883"/>
      <c r="B262" s="3624"/>
      <c r="C262" s="154"/>
      <c r="D262" s="50" t="s">
        <v>187</v>
      </c>
      <c r="E262" s="1521"/>
      <c r="F262" s="52"/>
      <c r="G262" s="1938"/>
      <c r="H262" s="272"/>
      <c r="I262" s="1938"/>
      <c r="J262" s="170"/>
      <c r="K262" s="171"/>
      <c r="L262" s="52"/>
      <c r="M262" s="171"/>
      <c r="N262" s="1106"/>
      <c r="O262" s="434"/>
      <c r="P262" s="1133"/>
      <c r="Q262" s="137">
        <v>0</v>
      </c>
      <c r="R262" s="137">
        <v>0</v>
      </c>
      <c r="S262" s="137">
        <v>0</v>
      </c>
      <c r="T262" s="137">
        <v>0</v>
      </c>
      <c r="U262" s="137">
        <v>0</v>
      </c>
      <c r="V262" s="137">
        <v>0</v>
      </c>
      <c r="W262" s="137">
        <v>0</v>
      </c>
      <c r="X262" s="137">
        <v>0</v>
      </c>
      <c r="Y262" s="137">
        <v>0</v>
      </c>
      <c r="Z262" s="137">
        <v>0</v>
      </c>
      <c r="AA262" s="137">
        <v>0</v>
      </c>
      <c r="AB262" s="137">
        <f>$K262-SUM($Q262:AA262)</f>
        <v>0</v>
      </c>
      <c r="AS262" s="454"/>
    </row>
    <row r="263" spans="1:45" s="137" customFormat="1" ht="13.5" thickBot="1">
      <c r="A263" s="2883"/>
      <c r="B263" s="3624"/>
      <c r="C263" s="154"/>
      <c r="D263" s="71"/>
      <c r="E263" s="1129"/>
      <c r="F263" s="1130"/>
      <c r="G263" s="1131"/>
      <c r="H263" s="1130"/>
      <c r="I263" s="1131"/>
      <c r="J263" s="1130"/>
      <c r="K263" s="1131"/>
      <c r="L263" s="51"/>
      <c r="M263" s="1131"/>
      <c r="N263" s="1106"/>
      <c r="O263" s="434"/>
      <c r="P263" s="1133"/>
      <c r="Q263" s="137">
        <v>0</v>
      </c>
      <c r="R263" s="137">
        <v>0</v>
      </c>
      <c r="S263" s="137">
        <v>0</v>
      </c>
      <c r="T263" s="137">
        <v>0</v>
      </c>
      <c r="U263" s="137">
        <v>0</v>
      </c>
      <c r="V263" s="137">
        <v>0</v>
      </c>
      <c r="W263" s="137">
        <v>0</v>
      </c>
      <c r="X263" s="137">
        <v>0</v>
      </c>
      <c r="Y263" s="137">
        <v>0</v>
      </c>
      <c r="Z263" s="137">
        <v>0</v>
      </c>
      <c r="AA263" s="137">
        <v>0</v>
      </c>
      <c r="AB263" s="137">
        <f>$K263-SUM($Q263:AA263)</f>
        <v>0</v>
      </c>
      <c r="AS263" s="454"/>
    </row>
    <row r="264" spans="1:45" s="137" customFormat="1">
      <c r="A264" s="2883"/>
      <c r="B264" s="3624"/>
      <c r="C264" s="154"/>
      <c r="D264" s="72"/>
      <c r="E264" s="485"/>
      <c r="F264" s="163"/>
      <c r="G264" s="84"/>
      <c r="H264" s="163"/>
      <c r="I264" s="164"/>
      <c r="J264" s="163"/>
      <c r="K264" s="164"/>
      <c r="L264" s="51"/>
      <c r="M264" s="164"/>
      <c r="N264" s="1106"/>
      <c r="O264" s="434"/>
      <c r="P264" s="1133"/>
      <c r="Q264" s="137">
        <v>0</v>
      </c>
      <c r="R264" s="137">
        <v>0</v>
      </c>
      <c r="S264" s="137">
        <v>0</v>
      </c>
      <c r="T264" s="137">
        <v>0</v>
      </c>
      <c r="U264" s="137">
        <v>0</v>
      </c>
      <c r="V264" s="137">
        <v>0</v>
      </c>
      <c r="W264" s="137">
        <v>0</v>
      </c>
      <c r="X264" s="137">
        <v>0</v>
      </c>
      <c r="Y264" s="137">
        <v>0</v>
      </c>
      <c r="Z264" s="137">
        <v>0</v>
      </c>
      <c r="AA264" s="137">
        <v>0</v>
      </c>
      <c r="AB264" s="137">
        <f>$K264-SUM($Q264:AA264)</f>
        <v>0</v>
      </c>
      <c r="AS264" s="454"/>
    </row>
    <row r="265" spans="1:45" s="137" customFormat="1">
      <c r="A265" s="2883"/>
      <c r="B265" s="3624"/>
      <c r="C265" s="154"/>
      <c r="D265" s="69" t="s">
        <v>612</v>
      </c>
      <c r="E265" s="1351">
        <f t="shared" ref="E265:K265" si="46">E220+E224+E259+E263</f>
        <v>2503131.1500000004</v>
      </c>
      <c r="F265" s="1351">
        <f t="shared" si="46"/>
        <v>0</v>
      </c>
      <c r="G265" s="1351">
        <f t="shared" si="46"/>
        <v>0</v>
      </c>
      <c r="H265" s="1351">
        <f t="shared" si="46"/>
        <v>0</v>
      </c>
      <c r="I265" s="1351">
        <f t="shared" si="46"/>
        <v>0</v>
      </c>
      <c r="J265" s="1351">
        <f t="shared" si="46"/>
        <v>2503131.1500000004</v>
      </c>
      <c r="K265" s="1351">
        <f t="shared" si="46"/>
        <v>1856889.1300000004</v>
      </c>
      <c r="L265" s="2134"/>
      <c r="M265" s="1351">
        <f>M220+M224+M259+M263</f>
        <v>1856889.1300000004</v>
      </c>
      <c r="N265" s="1106"/>
      <c r="O265" s="434"/>
      <c r="P265" s="1133"/>
      <c r="Q265" s="137">
        <v>79721.58</v>
      </c>
      <c r="R265" s="137">
        <v>69090.580000000031</v>
      </c>
      <c r="S265" s="137">
        <v>144112.82</v>
      </c>
      <c r="T265" s="137">
        <v>99503.030000000028</v>
      </c>
      <c r="U265" s="137">
        <v>87102.179999999935</v>
      </c>
      <c r="V265" s="137">
        <v>378964.89999999985</v>
      </c>
      <c r="W265" s="137">
        <v>74498.130000000121</v>
      </c>
      <c r="X265" s="137">
        <v>98643.729999999981</v>
      </c>
      <c r="Y265" s="137">
        <v>343424.45000000088</v>
      </c>
      <c r="Z265" s="137">
        <v>105717.73999999976</v>
      </c>
      <c r="AA265" s="137">
        <v>116177.84999999986</v>
      </c>
      <c r="AB265" s="137">
        <f>$K265-SUM($Q265:AA265)</f>
        <v>259932.1399999999</v>
      </c>
      <c r="AS265" s="454"/>
    </row>
    <row r="266" spans="1:45" s="137" customFormat="1">
      <c r="A266" s="2883"/>
      <c r="B266" s="3624"/>
      <c r="C266" s="154"/>
      <c r="D266" s="61"/>
      <c r="E266" s="489"/>
      <c r="F266" s="51"/>
      <c r="G266" s="399"/>
      <c r="H266" s="51"/>
      <c r="I266" s="399"/>
      <c r="J266" s="51"/>
      <c r="K266" s="399"/>
      <c r="L266" s="51"/>
      <c r="M266" s="399"/>
      <c r="N266" s="1106"/>
      <c r="O266" s="434"/>
      <c r="P266" s="432"/>
      <c r="Q266" s="137">
        <v>0</v>
      </c>
      <c r="R266" s="137">
        <v>0</v>
      </c>
      <c r="S266" s="137">
        <v>0</v>
      </c>
      <c r="T266" s="137">
        <v>0</v>
      </c>
      <c r="U266" s="137">
        <v>0</v>
      </c>
      <c r="V266" s="137">
        <v>0</v>
      </c>
      <c r="W266" s="137">
        <v>0</v>
      </c>
      <c r="X266" s="137">
        <v>0</v>
      </c>
      <c r="Y266" s="137">
        <v>0</v>
      </c>
      <c r="Z266" s="137">
        <v>0</v>
      </c>
      <c r="AA266" s="137">
        <v>0</v>
      </c>
      <c r="AB266" s="137">
        <f>$K266-SUM($Q266:AA266)</f>
        <v>0</v>
      </c>
      <c r="AS266" s="454"/>
    </row>
    <row r="267" spans="1:45" s="137" customFormat="1">
      <c r="A267" s="2883"/>
      <c r="B267" s="3624"/>
      <c r="C267" s="154"/>
      <c r="D267" s="70" t="s">
        <v>2593</v>
      </c>
      <c r="E267" s="398"/>
      <c r="F267" s="51"/>
      <c r="G267" s="399"/>
      <c r="H267" s="51"/>
      <c r="I267" s="399"/>
      <c r="J267" s="51"/>
      <c r="K267" s="399"/>
      <c r="L267" s="51"/>
      <c r="M267" s="399"/>
      <c r="N267" s="1106"/>
      <c r="O267" s="434"/>
      <c r="P267" s="432"/>
      <c r="Q267" s="137">
        <v>0</v>
      </c>
      <c r="R267" s="137">
        <v>0</v>
      </c>
      <c r="S267" s="137">
        <v>0</v>
      </c>
      <c r="T267" s="137">
        <v>0</v>
      </c>
      <c r="U267" s="137">
        <v>0</v>
      </c>
      <c r="V267" s="137">
        <v>0</v>
      </c>
      <c r="W267" s="137">
        <v>0</v>
      </c>
      <c r="X267" s="137">
        <v>0</v>
      </c>
      <c r="Y267" s="137">
        <v>0</v>
      </c>
      <c r="Z267" s="137">
        <v>0</v>
      </c>
      <c r="AA267" s="137">
        <v>0</v>
      </c>
      <c r="AB267" s="137">
        <f>$K267-SUM($Q267:AA267)</f>
        <v>0</v>
      </c>
      <c r="AS267" s="454"/>
    </row>
    <row r="268" spans="1:45" s="137" customFormat="1">
      <c r="A268" s="2883"/>
      <c r="B268" s="3628" t="s">
        <v>770</v>
      </c>
      <c r="C268" s="1166">
        <v>9100001</v>
      </c>
      <c r="D268" s="61" t="s">
        <v>771</v>
      </c>
      <c r="E268" s="462">
        <f>IFERROR(VLOOKUP(C268,'פ.נ. Australia'!$D$113:$F$305,3,0),0)</f>
        <v>0</v>
      </c>
      <c r="F268" s="399">
        <f>SUMIF('פ.נ. Australia'!C:C,C:C,'פ.נ. Australia'!E:E)</f>
        <v>0</v>
      </c>
      <c r="G268" s="399"/>
      <c r="H268" s="399"/>
      <c r="I268" s="399"/>
      <c r="J268" s="399">
        <f>SUM(E268:I268)</f>
        <v>0</v>
      </c>
      <c r="K268" s="97">
        <f>M268+SUMIF('פ.נ. Australia'!C:C,'מאזן בוחן Australia'!C268,'פ.נ. Australia'!F:F)</f>
        <v>0</v>
      </c>
      <c r="L268" s="51"/>
      <c r="M268" s="97" t="str">
        <f>IFERROR(VLOOKUP(C268,'פ.נ. Australia'!$D$113:$G$305,4,0),"")</f>
        <v/>
      </c>
      <c r="N268" s="1106" t="str">
        <f>IF(K268=0,"-",J268/K268)</f>
        <v>-</v>
      </c>
      <c r="O268" s="434"/>
      <c r="P268" s="432"/>
      <c r="Q268" s="137">
        <v>53782.137665664013</v>
      </c>
      <c r="R268" s="137">
        <v>-11327.836461057275</v>
      </c>
      <c r="S268" s="137">
        <v>-37468.342156278923</v>
      </c>
      <c r="T268" s="137">
        <v>-5082.2424145119858</v>
      </c>
      <c r="U268" s="137">
        <v>17.829403688013372</v>
      </c>
      <c r="V268" s="137">
        <v>30458.2120874961</v>
      </c>
      <c r="W268" s="137">
        <v>-23002.029919558376</v>
      </c>
      <c r="X268" s="137">
        <v>-2663.5043002227794</v>
      </c>
      <c r="Y268" s="137">
        <v>23308.22204927597</v>
      </c>
      <c r="Z268" s="137">
        <v>-26487.485433621892</v>
      </c>
      <c r="AA268" s="137">
        <v>0</v>
      </c>
      <c r="AB268" s="137">
        <f>$K268-SUM($Q268:AA268)</f>
        <v>-1534.9605208728644</v>
      </c>
      <c r="AS268" s="454"/>
    </row>
    <row r="269" spans="1:45" s="137" customFormat="1">
      <c r="A269" s="2883"/>
      <c r="B269" s="3628" t="s">
        <v>770</v>
      </c>
      <c r="C269" s="1166">
        <v>9100004</v>
      </c>
      <c r="D269" s="61" t="s">
        <v>1502</v>
      </c>
      <c r="E269" s="462">
        <f>IFERROR(VLOOKUP(C269,'פ.נ. Australia'!$D$113:$F$305,3,0),0)</f>
        <v>0</v>
      </c>
      <c r="F269" s="51">
        <f>SUMIF('פ.נ. Australia'!C:C,C:C,'פ.נ. Australia'!E:E)</f>
        <v>0</v>
      </c>
      <c r="G269" s="399"/>
      <c r="H269" s="51"/>
      <c r="I269" s="399"/>
      <c r="J269" s="51">
        <f>SUM(E269:I269)</f>
        <v>0</v>
      </c>
      <c r="K269" s="97">
        <f>M269+SUMIF('פ.נ. Australia'!C:C,'מאזן בוחן Australia'!C269,'פ.נ. Australia'!F:F)</f>
        <v>0</v>
      </c>
      <c r="L269" s="51"/>
      <c r="M269" s="97" t="str">
        <f>IFERROR(VLOOKUP(C269,'פ.נ. Australia'!$D$113:$G$305,4,0),"")</f>
        <v/>
      </c>
      <c r="N269" s="1106" t="str">
        <f>IF(K269=0,"-",J269/K269)</f>
        <v>-</v>
      </c>
      <c r="O269" s="434"/>
      <c r="P269" s="432"/>
      <c r="Q269" s="137">
        <v>0</v>
      </c>
      <c r="R269" s="137">
        <v>0</v>
      </c>
      <c r="S269" s="137">
        <v>0</v>
      </c>
      <c r="T269" s="137">
        <v>0</v>
      </c>
      <c r="U269" s="137">
        <v>0</v>
      </c>
      <c r="V269" s="137">
        <v>0</v>
      </c>
      <c r="W269" s="137">
        <v>0</v>
      </c>
      <c r="X269" s="137">
        <v>0</v>
      </c>
      <c r="Y269" s="137">
        <v>0</v>
      </c>
      <c r="Z269" s="137">
        <v>0</v>
      </c>
      <c r="AA269" s="137">
        <v>0</v>
      </c>
      <c r="AB269" s="137">
        <f>$K269-SUM($Q269:AA269)</f>
        <v>0</v>
      </c>
      <c r="AS269" s="454"/>
    </row>
    <row r="270" spans="1:45" s="137" customFormat="1">
      <c r="A270" s="2883"/>
      <c r="B270" s="3628"/>
      <c r="C270" s="154"/>
      <c r="D270" s="63"/>
      <c r="E270" s="398"/>
      <c r="F270" s="51"/>
      <c r="G270" s="399"/>
      <c r="H270" s="51"/>
      <c r="I270" s="399"/>
      <c r="J270" s="51"/>
      <c r="K270" s="97"/>
      <c r="L270" s="51"/>
      <c r="M270" s="97"/>
      <c r="N270" s="1106"/>
      <c r="O270" s="434"/>
      <c r="P270" s="432"/>
      <c r="Q270" s="137">
        <v>0</v>
      </c>
      <c r="R270" s="137">
        <v>0</v>
      </c>
      <c r="S270" s="137">
        <v>0</v>
      </c>
      <c r="T270" s="137">
        <v>0</v>
      </c>
      <c r="U270" s="137">
        <v>0</v>
      </c>
      <c r="V270" s="137">
        <v>0</v>
      </c>
      <c r="W270" s="137">
        <v>0</v>
      </c>
      <c r="X270" s="137">
        <v>0</v>
      </c>
      <c r="Y270" s="137">
        <v>0</v>
      </c>
      <c r="Z270" s="137">
        <v>0</v>
      </c>
      <c r="AA270" s="137">
        <v>0</v>
      </c>
      <c r="AB270" s="137">
        <f>$K270-SUM($Q270:AA270)</f>
        <v>0</v>
      </c>
      <c r="AS270" s="454"/>
    </row>
    <row r="271" spans="1:45" s="137" customFormat="1">
      <c r="A271" s="2883"/>
      <c r="B271" s="3624"/>
      <c r="C271" s="154"/>
      <c r="D271" s="69" t="s">
        <v>462</v>
      </c>
      <c r="E271" s="1351">
        <f>SUM(E267:E270)</f>
        <v>0</v>
      </c>
      <c r="F271" s="1351">
        <f>SUM(F267:F270)</f>
        <v>0</v>
      </c>
      <c r="G271" s="1351">
        <f>SUM(G267:G270)</f>
        <v>0</v>
      </c>
      <c r="H271" s="1351">
        <f>SUM(H267:H270)</f>
        <v>0</v>
      </c>
      <c r="I271" s="1351">
        <f>SUM(I267:I270)</f>
        <v>0</v>
      </c>
      <c r="J271" s="1351">
        <f>SUM(J268:J270)</f>
        <v>0</v>
      </c>
      <c r="K271" s="1351">
        <f>SUM(K268:K270)</f>
        <v>0</v>
      </c>
      <c r="L271" s="2134"/>
      <c r="M271" s="1351">
        <f>SUM(M268:M270)</f>
        <v>0</v>
      </c>
      <c r="N271" s="1106"/>
      <c r="O271" s="434"/>
      <c r="P271" s="401"/>
      <c r="Q271" s="137">
        <v>53782.137665664013</v>
      </c>
      <c r="R271" s="137">
        <v>-11327.836461057275</v>
      </c>
      <c r="S271" s="137">
        <v>-37468.342156278923</v>
      </c>
      <c r="T271" s="137">
        <v>-5082.2424145119858</v>
      </c>
      <c r="U271" s="137">
        <v>17.829403688013372</v>
      </c>
      <c r="V271" s="137">
        <v>30458.2120874961</v>
      </c>
      <c r="W271" s="137">
        <v>-23002.029919558376</v>
      </c>
      <c r="X271" s="137">
        <v>-2663.5043002227794</v>
      </c>
      <c r="Y271" s="137">
        <v>23308.22204927597</v>
      </c>
      <c r="Z271" s="137">
        <v>-26487.485433621892</v>
      </c>
      <c r="AA271" s="137">
        <v>0</v>
      </c>
      <c r="AB271" s="137">
        <f>$K271-SUM($Q271:AA271)</f>
        <v>-1534.9605208728644</v>
      </c>
      <c r="AS271" s="454"/>
    </row>
    <row r="272" spans="1:45" s="137" customFormat="1">
      <c r="A272" s="2883"/>
      <c r="B272" s="3630"/>
      <c r="C272" s="154"/>
      <c r="D272" s="61"/>
      <c r="E272" s="398"/>
      <c r="F272" s="51"/>
      <c r="G272" s="399"/>
      <c r="H272" s="51"/>
      <c r="I272" s="399"/>
      <c r="J272" s="51"/>
      <c r="K272" s="399"/>
      <c r="L272" s="51"/>
      <c r="M272" s="399"/>
      <c r="N272" s="1106"/>
      <c r="O272" s="434"/>
      <c r="P272" s="401"/>
      <c r="Q272" s="137">
        <v>0</v>
      </c>
      <c r="R272" s="137">
        <v>0</v>
      </c>
      <c r="S272" s="137">
        <v>0</v>
      </c>
      <c r="T272" s="137">
        <v>0</v>
      </c>
      <c r="U272" s="137">
        <v>0</v>
      </c>
      <c r="V272" s="137">
        <v>0</v>
      </c>
      <c r="W272" s="137">
        <v>0</v>
      </c>
      <c r="X272" s="137">
        <v>0</v>
      </c>
      <c r="Y272" s="137">
        <v>0</v>
      </c>
      <c r="Z272" s="137">
        <v>0</v>
      </c>
      <c r="AA272" s="137">
        <v>0</v>
      </c>
      <c r="AB272" s="137">
        <f>$K272-SUM($Q272:AA272)</f>
        <v>0</v>
      </c>
      <c r="AS272" s="454"/>
    </row>
    <row r="273" spans="1:50" s="137" customFormat="1">
      <c r="A273" s="2883"/>
      <c r="B273" s="3630"/>
      <c r="C273" s="154"/>
      <c r="D273" s="70" t="s">
        <v>99</v>
      </c>
      <c r="E273" s="429"/>
      <c r="F273" s="51"/>
      <c r="G273" s="399"/>
      <c r="H273" s="51"/>
      <c r="I273" s="399"/>
      <c r="J273" s="440"/>
      <c r="K273" s="441"/>
      <c r="L273" s="51"/>
      <c r="M273" s="441"/>
      <c r="N273" s="1106"/>
      <c r="O273" s="434"/>
      <c r="P273" s="432"/>
      <c r="Q273" s="137">
        <v>0</v>
      </c>
      <c r="R273" s="137">
        <v>0</v>
      </c>
      <c r="S273" s="137">
        <v>0</v>
      </c>
      <c r="T273" s="137">
        <v>0</v>
      </c>
      <c r="U273" s="137">
        <v>0</v>
      </c>
      <c r="V273" s="137">
        <v>0</v>
      </c>
      <c r="W273" s="137">
        <v>0</v>
      </c>
      <c r="X273" s="137">
        <v>0</v>
      </c>
      <c r="Y273" s="137">
        <v>0</v>
      </c>
      <c r="Z273" s="137">
        <v>0</v>
      </c>
      <c r="AA273" s="137">
        <v>0</v>
      </c>
      <c r="AB273" s="137">
        <f>$K273-SUM($Q273:AA273)</f>
        <v>0</v>
      </c>
      <c r="AS273" s="454"/>
    </row>
    <row r="274" spans="1:50" s="137" customFormat="1">
      <c r="A274" s="2883"/>
      <c r="B274" s="3630"/>
      <c r="C274" s="421"/>
      <c r="D274" s="61"/>
      <c r="E274" s="398"/>
      <c r="F274" s="51"/>
      <c r="G274" s="399"/>
      <c r="H274" s="51"/>
      <c r="I274" s="399"/>
      <c r="J274" s="51"/>
      <c r="K274" s="430"/>
      <c r="M274" s="430"/>
      <c r="N274" s="140"/>
      <c r="O274" s="140"/>
      <c r="P274" s="432"/>
      <c r="Q274" s="137">
        <v>0</v>
      </c>
      <c r="R274" s="137">
        <v>0</v>
      </c>
      <c r="S274" s="137">
        <v>0</v>
      </c>
      <c r="T274" s="137">
        <v>0</v>
      </c>
      <c r="U274" s="137">
        <v>0</v>
      </c>
      <c r="V274" s="137">
        <v>0</v>
      </c>
      <c r="W274" s="137">
        <v>0</v>
      </c>
      <c r="X274" s="137">
        <v>0</v>
      </c>
      <c r="Y274" s="137">
        <v>0</v>
      </c>
      <c r="Z274" s="137">
        <v>0</v>
      </c>
      <c r="AA274" s="137">
        <v>0</v>
      </c>
      <c r="AB274" s="137">
        <f>$K274-SUM($Q274:AA274)</f>
        <v>0</v>
      </c>
    </row>
    <row r="275" spans="1:50" s="137" customFormat="1">
      <c r="A275" s="2883"/>
      <c r="B275" s="3628" t="s">
        <v>769</v>
      </c>
      <c r="C275" s="585">
        <v>9010001</v>
      </c>
      <c r="D275" s="45" t="s">
        <v>494</v>
      </c>
      <c r="E275" s="462">
        <f>IFERROR(VLOOKUP(C275,'פ.נ. Australia'!$D$113:$F$305,3,0),0)</f>
        <v>4203.47</v>
      </c>
      <c r="F275" s="51">
        <f>SUMIF('פ.נ. Australia'!C:C,C:C,'פ.נ. Australia'!E:E)</f>
        <v>0</v>
      </c>
      <c r="G275" s="399"/>
      <c r="H275" s="51"/>
      <c r="I275" s="399"/>
      <c r="J275" s="170">
        <f>SUM(E275:I275)</f>
        <v>4203.47</v>
      </c>
      <c r="K275" s="98">
        <f>M275+SUMIF('פ.נ. Australia'!C:C,'מאזן בוחן Australia'!C275,'פ.נ. Australia'!F:F)</f>
        <v>3145.02</v>
      </c>
      <c r="L275" s="52"/>
      <c r="M275" s="98">
        <f>IFERROR(VLOOKUP(C275,'פ.נ. Australia'!$D$113:$G$305,4,0),"")</f>
        <v>3145.02</v>
      </c>
      <c r="N275" s="1104">
        <f>IF(K275=0,"-",J275/K275)</f>
        <v>1.3365479392817852</v>
      </c>
      <c r="O275" s="434"/>
      <c r="P275" s="261"/>
      <c r="Q275" s="137">
        <v>248.38</v>
      </c>
      <c r="R275" s="137">
        <v>249.87</v>
      </c>
      <c r="S275" s="137">
        <v>263.49</v>
      </c>
      <c r="T275" s="137">
        <v>258.71000000000004</v>
      </c>
      <c r="U275" s="137">
        <v>263.70000000000005</v>
      </c>
      <c r="V275" s="137">
        <v>270.4699999999998</v>
      </c>
      <c r="W275" s="137">
        <v>250.46000000000004</v>
      </c>
      <c r="X275" s="137">
        <v>268.19000000000005</v>
      </c>
      <c r="Y275" s="137">
        <v>253.42000000000007</v>
      </c>
      <c r="Z275" s="137">
        <v>272.07000000000016</v>
      </c>
      <c r="AA275" s="137">
        <v>252.95999999999958</v>
      </c>
      <c r="AB275" s="137">
        <f>$K275-SUM($Q275:AA275)</f>
        <v>293.30000000000018</v>
      </c>
      <c r="AS275" s="454"/>
    </row>
    <row r="276" spans="1:50" s="137" customFormat="1">
      <c r="A276" s="2883"/>
      <c r="B276" s="3628" t="s">
        <v>769</v>
      </c>
      <c r="C276" s="585">
        <v>9010002</v>
      </c>
      <c r="D276" s="45" t="s">
        <v>634</v>
      </c>
      <c r="E276" s="462">
        <f>IFERROR(VLOOKUP(C276,'פ.נ. Australia'!$D$113:$F$305,3,0),0)</f>
        <v>16969.45</v>
      </c>
      <c r="F276" s="51">
        <f>SUMIF('פ.נ. Australia'!C:C,C:C,'פ.נ. Australia'!E:E)</f>
        <v>0</v>
      </c>
      <c r="G276" s="399"/>
      <c r="H276" s="51"/>
      <c r="I276" s="399"/>
      <c r="J276" s="170">
        <f>SUM(E276:I276)</f>
        <v>16969.45</v>
      </c>
      <c r="K276" s="98">
        <f>M276+SUMIF('פ.נ. Australia'!C:C,'מאזן בוחן Australia'!C276,'פ.נ. Australia'!F:F)</f>
        <v>-183903.51</v>
      </c>
      <c r="L276" s="52"/>
      <c r="M276" s="98">
        <f>IFERROR(VLOOKUP(C276,'פ.נ. Australia'!$D$113:$G$305,4,0),"")</f>
        <v>-183903.51</v>
      </c>
      <c r="N276" s="1104">
        <f>IF(K276=0,"-",J276/K276)</f>
        <v>-9.2273660247158953E-2</v>
      </c>
      <c r="O276" s="434"/>
      <c r="P276" s="401"/>
      <c r="Q276" s="137">
        <v>153217.71514881498</v>
      </c>
      <c r="R276" s="137">
        <v>-163810.05848442478</v>
      </c>
      <c r="S276" s="137">
        <v>-125218.5266643902</v>
      </c>
      <c r="T276" s="137">
        <v>33982.136452310195</v>
      </c>
      <c r="U276" s="137">
        <v>-13299.149140598165</v>
      </c>
      <c r="V276" s="137">
        <v>-94362.887311712024</v>
      </c>
      <c r="W276" s="137">
        <v>-45828.571181471343</v>
      </c>
      <c r="X276" s="137">
        <v>-37999.774024936982</v>
      </c>
      <c r="Y276" s="137">
        <v>-41473.194793591683</v>
      </c>
      <c r="Z276" s="137">
        <v>-64150.717806403816</v>
      </c>
      <c r="AA276" s="137">
        <v>181086.50575711552</v>
      </c>
      <c r="AB276" s="137">
        <f>$K276-SUM($Q276:AA276)</f>
        <v>33953.012049288285</v>
      </c>
      <c r="AS276" s="454"/>
    </row>
    <row r="277" spans="1:50" s="137" customFormat="1">
      <c r="A277" s="2883"/>
      <c r="B277" s="3628" t="s">
        <v>1216</v>
      </c>
      <c r="C277" s="585">
        <v>9010004</v>
      </c>
      <c r="D277" s="45" t="s">
        <v>2938</v>
      </c>
      <c r="E277" s="462">
        <f>IFERROR(VLOOKUP(C277,'פ.נ. Australia'!$D$113:$F$305,3,0),0)</f>
        <v>0</v>
      </c>
      <c r="F277" s="51">
        <f>SUMIF('פ.נ. Australia'!C:C,C:C,'פ.נ. Australia'!E:E)</f>
        <v>0</v>
      </c>
      <c r="G277" s="399"/>
      <c r="H277" s="51"/>
      <c r="I277" s="399"/>
      <c r="J277" s="170">
        <f>SUM(E277:I277)</f>
        <v>0</v>
      </c>
      <c r="K277" s="98">
        <f>M277+SUMIF('פ.נ. Australia'!C:C,'מאזן בוחן Australia'!C277,'פ.נ. Australia'!F:F)</f>
        <v>0</v>
      </c>
      <c r="L277" s="52"/>
      <c r="M277" s="98" t="str">
        <f>IFERROR(VLOOKUP(C277,'פ.נ. Australia'!$D$113:$G$305,4,0),"")</f>
        <v/>
      </c>
      <c r="N277" s="1104" t="str">
        <f>IF(K277=0,"-",J277/K277)</f>
        <v>-</v>
      </c>
      <c r="O277" s="434"/>
      <c r="P277" s="1133"/>
      <c r="Q277" s="137">
        <v>0</v>
      </c>
      <c r="R277" s="137">
        <v>0</v>
      </c>
      <c r="S277" s="137">
        <v>0</v>
      </c>
      <c r="T277" s="137">
        <v>0</v>
      </c>
      <c r="U277" s="137">
        <v>0</v>
      </c>
      <c r="V277" s="137">
        <v>0</v>
      </c>
      <c r="W277" s="137">
        <v>0</v>
      </c>
      <c r="X277" s="137">
        <v>0</v>
      </c>
      <c r="Y277" s="137">
        <v>0</v>
      </c>
      <c r="Z277" s="137">
        <v>0</v>
      </c>
      <c r="AA277" s="137">
        <v>0</v>
      </c>
      <c r="AB277" s="137">
        <f>$K277-SUM($Q277:AA277)</f>
        <v>0</v>
      </c>
      <c r="AS277" s="454"/>
    </row>
    <row r="278" spans="1:50" s="137" customFormat="1">
      <c r="A278" s="2883"/>
      <c r="B278" s="3624"/>
      <c r="C278" s="585"/>
      <c r="D278" s="69" t="s">
        <v>100</v>
      </c>
      <c r="E278" s="1351">
        <f t="shared" ref="E278:M278" si="47">SUM(E273:E277)</f>
        <v>21172.920000000002</v>
      </c>
      <c r="F278" s="1351">
        <f t="shared" si="47"/>
        <v>0</v>
      </c>
      <c r="G278" s="1351">
        <f t="shared" si="47"/>
        <v>0</v>
      </c>
      <c r="H278" s="1351">
        <f t="shared" si="47"/>
        <v>0</v>
      </c>
      <c r="I278" s="1351">
        <f t="shared" si="47"/>
        <v>0</v>
      </c>
      <c r="J278" s="1351">
        <f t="shared" si="47"/>
        <v>21172.920000000002</v>
      </c>
      <c r="K278" s="1351">
        <f t="shared" si="47"/>
        <v>-180758.49000000002</v>
      </c>
      <c r="L278" s="2134"/>
      <c r="M278" s="1351">
        <f t="shared" si="47"/>
        <v>-180758.49000000002</v>
      </c>
      <c r="N278" s="1106"/>
      <c r="O278" s="434"/>
      <c r="P278" s="401"/>
      <c r="Q278" s="137">
        <v>153466.09514881499</v>
      </c>
      <c r="R278" s="137">
        <v>-163560.18848442478</v>
      </c>
      <c r="S278" s="137">
        <v>-124955.03666439021</v>
      </c>
      <c r="T278" s="137">
        <v>34240.846452310201</v>
      </c>
      <c r="U278" s="137">
        <v>-13035.449140598168</v>
      </c>
      <c r="V278" s="137">
        <v>-94092.417311712023</v>
      </c>
      <c r="W278" s="137">
        <v>-45578.111181471351</v>
      </c>
      <c r="X278" s="137">
        <v>-37731.58402493695</v>
      </c>
      <c r="Y278" s="137">
        <v>-41219.7747935917</v>
      </c>
      <c r="Z278" s="137">
        <v>-63878.647806403809</v>
      </c>
      <c r="AA278" s="137">
        <v>181339.46575711551</v>
      </c>
      <c r="AB278" s="137">
        <f>$K278-SUM($Q278:AA278)</f>
        <v>34246.312049288274</v>
      </c>
      <c r="AX278" s="490"/>
    </row>
    <row r="279" spans="1:50" s="137" customFormat="1">
      <c r="A279" s="402"/>
      <c r="B279" s="583"/>
      <c r="C279" s="407"/>
      <c r="D279" s="61"/>
      <c r="E279" s="489"/>
      <c r="F279" s="470"/>
      <c r="G279" s="471"/>
      <c r="H279" s="470"/>
      <c r="I279" s="471"/>
      <c r="J279" s="470"/>
      <c r="K279" s="471"/>
      <c r="L279" s="51"/>
      <c r="M279" s="471"/>
      <c r="N279" s="1106"/>
      <c r="O279" s="434"/>
      <c r="P279" s="401"/>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c r="AL279" s="141"/>
      <c r="AM279" s="141"/>
      <c r="AN279" s="141"/>
      <c r="AO279" s="141"/>
      <c r="AP279" s="141"/>
      <c r="AQ279" s="141"/>
      <c r="AW279" s="490"/>
    </row>
    <row r="280" spans="1:50" s="137" customFormat="1" ht="13.5" thickBot="1">
      <c r="A280" s="402"/>
      <c r="B280" s="583"/>
      <c r="C280" s="407"/>
      <c r="D280" s="61"/>
      <c r="E280" s="398"/>
      <c r="F280" s="475"/>
      <c r="G280" s="476"/>
      <c r="H280" s="475"/>
      <c r="I280" s="476"/>
      <c r="J280" s="51"/>
      <c r="K280" s="476"/>
      <c r="L280" s="51"/>
      <c r="M280" s="476"/>
      <c r="N280" s="1106"/>
      <c r="O280" s="434"/>
      <c r="P280" s="432"/>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c r="AL280" s="141"/>
      <c r="AM280" s="141"/>
      <c r="AN280" s="141"/>
      <c r="AO280" s="141"/>
      <c r="AP280" s="141"/>
      <c r="AQ280" s="141"/>
      <c r="AS280" s="490"/>
      <c r="AW280" s="490"/>
    </row>
    <row r="281" spans="1:50" s="137" customFormat="1">
      <c r="A281" s="402"/>
      <c r="B281" s="583"/>
      <c r="C281" s="407"/>
      <c r="D281" s="72" t="s">
        <v>101</v>
      </c>
      <c r="E281" s="89">
        <f t="shared" ref="E281:K281" si="48">E285+E150+E69</f>
        <v>0</v>
      </c>
      <c r="F281" s="89">
        <f t="shared" si="48"/>
        <v>0</v>
      </c>
      <c r="G281" s="84">
        <f t="shared" si="48"/>
        <v>0</v>
      </c>
      <c r="H281" s="92">
        <f t="shared" si="48"/>
        <v>0</v>
      </c>
      <c r="I281" s="84">
        <f t="shared" si="48"/>
        <v>0</v>
      </c>
      <c r="J281" s="84">
        <f t="shared" si="48"/>
        <v>0</v>
      </c>
      <c r="K281" s="43">
        <f t="shared" si="48"/>
        <v>0</v>
      </c>
      <c r="L281" s="399"/>
      <c r="M281" s="43"/>
      <c r="N281" s="1106"/>
      <c r="O281" s="434"/>
      <c r="P281" s="432"/>
      <c r="AX281" s="490"/>
    </row>
    <row r="282" spans="1:50" s="137" customFormat="1" ht="13.5" thickBot="1">
      <c r="A282" s="402"/>
      <c r="B282" s="583"/>
      <c r="C282" s="407"/>
      <c r="D282" s="61"/>
      <c r="E282" s="90">
        <f>E281/2</f>
        <v>0</v>
      </c>
      <c r="F282" s="93">
        <f>F281/2</f>
        <v>0</v>
      </c>
      <c r="G282" s="85"/>
      <c r="H282" s="93">
        <f>H281/2</f>
        <v>0</v>
      </c>
      <c r="I282" s="85"/>
      <c r="J282" s="85"/>
      <c r="K282" s="44" t="s">
        <v>102</v>
      </c>
      <c r="L282" s="399"/>
      <c r="M282" s="44"/>
      <c r="N282" s="1106"/>
      <c r="O282" s="434"/>
      <c r="P282" s="432"/>
    </row>
    <row r="283" spans="1:50" s="137" customFormat="1">
      <c r="A283" s="402" t="s">
        <v>169</v>
      </c>
      <c r="B283" s="583"/>
      <c r="C283" s="421"/>
      <c r="D283" s="61"/>
      <c r="E283" s="398"/>
      <c r="F283" s="51"/>
      <c r="G283" s="399"/>
      <c r="H283" s="51"/>
      <c r="I283" s="399"/>
      <c r="J283" s="51"/>
      <c r="K283" s="399"/>
      <c r="L283" s="51"/>
      <c r="M283" s="399"/>
      <c r="N283" s="1106"/>
      <c r="O283" s="434"/>
      <c r="P283" s="401"/>
      <c r="AX283" s="490"/>
    </row>
    <row r="284" spans="1:50" s="137" customFormat="1">
      <c r="A284" s="402"/>
      <c r="B284" s="583"/>
      <c r="C284" s="407"/>
      <c r="D284" s="61"/>
      <c r="E284" s="398"/>
      <c r="F284" s="51"/>
      <c r="G284" s="399"/>
      <c r="H284" s="51"/>
      <c r="I284" s="399"/>
      <c r="J284" s="440"/>
      <c r="K284" s="430"/>
      <c r="L284" s="51"/>
      <c r="M284" s="430"/>
      <c r="N284" s="1078"/>
      <c r="O284" s="491"/>
      <c r="P284" s="432"/>
    </row>
    <row r="285" spans="1:50" s="137" customFormat="1">
      <c r="A285" s="402"/>
      <c r="B285" s="583"/>
      <c r="C285" s="407"/>
      <c r="D285" s="72" t="s">
        <v>610</v>
      </c>
      <c r="E285" s="165">
        <f>E179+E194+E215+E265+E271+E278</f>
        <v>-79292.220000000598</v>
      </c>
      <c r="F285" s="163">
        <f>F179+F194+F215+F265+F271+F278</f>
        <v>0</v>
      </c>
      <c r="G285" s="164"/>
      <c r="H285" s="163"/>
      <c r="I285" s="164"/>
      <c r="J285" s="165">
        <f>J179+J194+J215+J265+J271+J278</f>
        <v>-79292.220000000598</v>
      </c>
      <c r="K285" s="166">
        <f>K179+K194+K215+K265+K271+K278</f>
        <v>-254001.8599999992</v>
      </c>
      <c r="L285" s="51"/>
      <c r="M285" s="166">
        <f>M179+M194+M215+M265+M271+M278</f>
        <v>-254001.8599999992</v>
      </c>
      <c r="N285" s="1078"/>
      <c r="O285" s="491"/>
      <c r="P285" s="432"/>
    </row>
    <row r="286" spans="1:50" s="137" customFormat="1">
      <c r="A286" s="402"/>
      <c r="B286" s="583"/>
      <c r="C286" s="407"/>
      <c r="D286" s="61"/>
      <c r="E286" s="398"/>
      <c r="F286" s="51"/>
      <c r="G286" s="399"/>
      <c r="H286" s="51"/>
      <c r="I286" s="399"/>
      <c r="J286" s="51"/>
      <c r="K286" s="430"/>
      <c r="L286" s="399"/>
      <c r="M286" s="1334"/>
      <c r="N286" s="498"/>
      <c r="O286" s="491"/>
      <c r="P286" s="432"/>
    </row>
    <row r="287" spans="1:50" s="137" customFormat="1">
      <c r="A287" s="402"/>
      <c r="B287" s="583"/>
      <c r="C287" s="407"/>
      <c r="D287" s="61"/>
      <c r="E287" s="398"/>
      <c r="F287" s="51"/>
      <c r="G287" s="399"/>
      <c r="H287" s="51"/>
      <c r="I287" s="399"/>
      <c r="J287" s="51"/>
      <c r="K287" s="430"/>
      <c r="L287" s="399"/>
      <c r="M287" s="1334"/>
      <c r="N287" s="498"/>
      <c r="O287" s="491"/>
      <c r="P287" s="432"/>
    </row>
    <row r="288" spans="1:50" s="137" customFormat="1">
      <c r="A288" s="402"/>
      <c r="B288" s="583"/>
      <c r="C288" s="407"/>
      <c r="D288" s="1139" t="s">
        <v>1456</v>
      </c>
      <c r="E288" s="398"/>
      <c r="F288" s="51"/>
      <c r="G288" s="399"/>
      <c r="H288" s="51"/>
      <c r="I288" s="399"/>
      <c r="J288" s="399">
        <f>J179</f>
        <v>-6840291.7800000012</v>
      </c>
      <c r="K288" s="967">
        <f>K179</f>
        <v>-5012328.7699999996</v>
      </c>
      <c r="L288" s="399"/>
      <c r="M288" s="967">
        <f>K288</f>
        <v>-5012328.7699999996</v>
      </c>
      <c r="N288" s="498"/>
      <c r="O288" s="491"/>
      <c r="P288" s="432"/>
    </row>
    <row r="289" spans="1:16" s="137" customFormat="1">
      <c r="A289" s="402"/>
      <c r="B289" s="583"/>
      <c r="C289" s="407"/>
      <c r="D289" s="1139" t="s">
        <v>576</v>
      </c>
      <c r="E289" s="398"/>
      <c r="F289" s="51"/>
      <c r="G289" s="399"/>
      <c r="H289" s="51"/>
      <c r="I289" s="399"/>
      <c r="J289" s="430">
        <f>J194-J290-J186</f>
        <v>541030.1600000005</v>
      </c>
      <c r="K289" s="430">
        <f>K194-K290-K186</f>
        <v>405558.01000000013</v>
      </c>
      <c r="L289" s="399"/>
      <c r="M289" s="430">
        <f>K289</f>
        <v>405558.01000000013</v>
      </c>
      <c r="N289" s="498"/>
      <c r="O289" s="491"/>
      <c r="P289" s="432"/>
    </row>
    <row r="290" spans="1:16" s="137" customFormat="1">
      <c r="A290" s="402"/>
      <c r="B290" s="583"/>
      <c r="C290" s="407"/>
      <c r="D290" s="1139" t="s">
        <v>1457</v>
      </c>
      <c r="E290" s="398"/>
      <c r="F290" s="51"/>
      <c r="G290" s="399"/>
      <c r="H290" s="51"/>
      <c r="I290" s="399"/>
      <c r="J290" s="430">
        <f>J192</f>
        <v>3669771.76</v>
      </c>
      <c r="K290" s="430">
        <f>K192</f>
        <v>2657155.0099999998</v>
      </c>
      <c r="L290" s="51"/>
      <c r="M290" s="430">
        <f>K290</f>
        <v>2657155.0099999998</v>
      </c>
      <c r="N290" s="498"/>
      <c r="O290" s="491"/>
      <c r="P290" s="432"/>
    </row>
    <row r="291" spans="1:16" s="137" customFormat="1">
      <c r="A291" s="494"/>
      <c r="B291" s="583"/>
      <c r="C291" s="407"/>
      <c r="D291" s="1139" t="s">
        <v>193</v>
      </c>
      <c r="E291" s="398"/>
      <c r="F291" s="51"/>
      <c r="G291" s="399"/>
      <c r="H291" s="51"/>
      <c r="I291" s="399"/>
      <c r="J291" s="51">
        <f>J215</f>
        <v>21280</v>
      </c>
      <c r="K291" s="430">
        <f>K215</f>
        <v>16080.6</v>
      </c>
      <c r="L291" s="51"/>
      <c r="M291" s="430">
        <f>SUM(M288:M290)</f>
        <v>-1949615.75</v>
      </c>
      <c r="N291" s="498"/>
      <c r="O291" s="491"/>
      <c r="P291" s="432"/>
    </row>
    <row r="292" spans="1:16" s="137" customFormat="1">
      <c r="A292" s="494"/>
      <c r="B292" s="583"/>
      <c r="C292" s="407"/>
      <c r="D292" s="1139" t="s">
        <v>611</v>
      </c>
      <c r="E292" s="398"/>
      <c r="F292" s="51"/>
      <c r="G292" s="399"/>
      <c r="H292" s="51"/>
      <c r="I292" s="399"/>
      <c r="J292" s="399">
        <f>J265-J249</f>
        <v>2432999.0900000003</v>
      </c>
      <c r="K292" s="967">
        <f>K265-K249</f>
        <v>1805081.9400000004</v>
      </c>
      <c r="L292" s="51"/>
      <c r="M292" s="430">
        <f>M291/M288</f>
        <v>0.38896406031242842</v>
      </c>
      <c r="N292" s="498"/>
      <c r="O292" s="491"/>
      <c r="P292" s="432"/>
    </row>
    <row r="293" spans="1:16" s="137" customFormat="1">
      <c r="A293" s="494"/>
      <c r="B293" s="583"/>
      <c r="C293" s="407"/>
      <c r="D293" s="1139" t="s">
        <v>617</v>
      </c>
      <c r="E293" s="398"/>
      <c r="F293" s="51"/>
      <c r="G293" s="399"/>
      <c r="H293" s="51"/>
      <c r="I293" s="399"/>
      <c r="J293" s="439">
        <f>SUM($J$186,$J$249)</f>
        <v>74745.63</v>
      </c>
      <c r="K293" s="49">
        <f>SUM($K$186,$K$249)</f>
        <v>55209.840000000004</v>
      </c>
      <c r="L293" s="52"/>
      <c r="M293" s="439"/>
      <c r="N293" s="498"/>
      <c r="O293" s="491"/>
      <c r="P293" s="432"/>
    </row>
    <row r="294" spans="1:16" s="137" customFormat="1">
      <c r="A294" s="402"/>
      <c r="B294" s="583"/>
      <c r="C294" s="407"/>
      <c r="D294" s="1139" t="s">
        <v>256</v>
      </c>
      <c r="E294" s="398"/>
      <c r="F294" s="51"/>
      <c r="G294" s="399"/>
      <c r="H294" s="51"/>
      <c r="I294" s="399"/>
      <c r="J294" s="399">
        <f>J271</f>
        <v>0</v>
      </c>
      <c r="K294" s="1334">
        <f>K271</f>
        <v>0</v>
      </c>
      <c r="L294" s="51"/>
      <c r="M294" s="430"/>
      <c r="N294" s="498"/>
      <c r="O294" s="491"/>
      <c r="P294" s="432"/>
    </row>
    <row r="295" spans="1:16" s="137" customFormat="1">
      <c r="A295" s="402"/>
      <c r="B295" s="583"/>
      <c r="C295" s="407"/>
      <c r="D295" s="1139" t="s">
        <v>615</v>
      </c>
      <c r="E295" s="398"/>
      <c r="F295" s="51"/>
      <c r="G295" s="399"/>
      <c r="H295" s="51"/>
      <c r="I295" s="399"/>
      <c r="J295" s="399">
        <f>J276</f>
        <v>16969.45</v>
      </c>
      <c r="K295" s="1334">
        <f>K276</f>
        <v>-183903.51</v>
      </c>
      <c r="L295" s="51"/>
      <c r="M295" s="430"/>
      <c r="N295" s="498"/>
      <c r="O295" s="491"/>
      <c r="P295" s="432"/>
    </row>
    <row r="296" spans="1:16" s="137" customFormat="1">
      <c r="A296" s="402"/>
      <c r="B296" s="583"/>
      <c r="C296" s="407"/>
      <c r="D296" s="1139" t="s">
        <v>1382</v>
      </c>
      <c r="E296" s="398"/>
      <c r="F296" s="51"/>
      <c r="G296" s="399"/>
      <c r="H296" s="51"/>
      <c r="I296" s="399"/>
      <c r="J296" s="1136">
        <f>J275</f>
        <v>4203.47</v>
      </c>
      <c r="K296" s="2818">
        <f>K275</f>
        <v>3145.02</v>
      </c>
      <c r="L296" s="967"/>
      <c r="M296" s="2818"/>
      <c r="N296" s="498"/>
      <c r="O296" s="491"/>
      <c r="P296" s="432"/>
    </row>
    <row r="297" spans="1:16" s="137" customFormat="1">
      <c r="A297" s="402"/>
      <c r="B297" s="583"/>
      <c r="C297" s="407"/>
      <c r="D297" s="72" t="s">
        <v>610</v>
      </c>
      <c r="E297" s="398"/>
      <c r="F297" s="51"/>
      <c r="G297" s="399"/>
      <c r="H297" s="51"/>
      <c r="I297" s="399"/>
      <c r="J297" s="164">
        <f>SUM(J288:J296)</f>
        <v>-79292.220000000947</v>
      </c>
      <c r="K297" s="2819">
        <f>SUM(K288:K296)</f>
        <v>-254001.85999999952</v>
      </c>
      <c r="L297" s="967"/>
      <c r="M297" s="2817"/>
      <c r="N297" s="498"/>
      <c r="O297" s="491"/>
      <c r="P297" s="432"/>
    </row>
    <row r="298" spans="1:16" s="137" customFormat="1" ht="13.5" thickBot="1">
      <c r="A298" s="402"/>
      <c r="B298" s="583"/>
      <c r="C298" s="407"/>
      <c r="D298" s="61"/>
      <c r="E298" s="398"/>
      <c r="F298" s="51"/>
      <c r="G298" s="399"/>
      <c r="H298" s="51"/>
      <c r="I298" s="399"/>
      <c r="J298" s="446"/>
      <c r="K298" s="1334"/>
      <c r="L298" s="967"/>
      <c r="M298" s="1334"/>
      <c r="N298" s="498"/>
      <c r="O298" s="491"/>
      <c r="P298" s="432"/>
    </row>
    <row r="299" spans="1:16" s="137" customFormat="1" ht="13.5" thickBot="1">
      <c r="A299" s="497"/>
      <c r="B299" s="584"/>
      <c r="C299" s="1170"/>
      <c r="D299" s="1139" t="s">
        <v>610</v>
      </c>
      <c r="E299" s="398"/>
      <c r="F299" s="51"/>
      <c r="G299" s="399"/>
      <c r="H299" s="51"/>
      <c r="I299" s="2820">
        <f>J299-J297</f>
        <v>3.4924596548080444E-10</v>
      </c>
      <c r="J299" s="1334">
        <f>J285</f>
        <v>-79292.220000000598</v>
      </c>
      <c r="K299" s="1334">
        <f>K285</f>
        <v>-254001.8599999992</v>
      </c>
      <c r="L299" s="2820">
        <f>K299-K297</f>
        <v>3.2014213502407074E-10</v>
      </c>
      <c r="M299" s="430"/>
      <c r="N299" s="140"/>
      <c r="O299" s="140"/>
      <c r="P299" s="432"/>
    </row>
    <row r="300" spans="1:16" s="137" customFormat="1">
      <c r="A300" s="497"/>
      <c r="B300" s="584"/>
      <c r="C300" s="1170"/>
      <c r="D300" s="1139" t="s">
        <v>256</v>
      </c>
      <c r="E300" s="398"/>
      <c r="F300" s="51"/>
      <c r="G300" s="399"/>
      <c r="H300" s="51"/>
      <c r="I300" s="399"/>
      <c r="J300" s="430">
        <f>-J294</f>
        <v>0</v>
      </c>
      <c r="K300" s="430">
        <f>-K294</f>
        <v>0</v>
      </c>
      <c r="L300" s="51"/>
      <c r="M300" s="430"/>
      <c r="N300" s="498"/>
      <c r="O300" s="498"/>
      <c r="P300" s="432"/>
    </row>
    <row r="301" spans="1:16" s="137" customFormat="1">
      <c r="A301" s="497"/>
      <c r="B301" s="1158"/>
      <c r="C301" s="1170"/>
      <c r="D301" s="1139" t="s">
        <v>1874</v>
      </c>
      <c r="E301" s="79"/>
      <c r="F301" s="52"/>
      <c r="G301" s="439"/>
      <c r="H301" s="52"/>
      <c r="I301" s="439"/>
      <c r="J301" s="441">
        <f>-$J$249-$J$186</f>
        <v>-74745.63</v>
      </c>
      <c r="K301" s="441">
        <f>-K249-K186</f>
        <v>-55209.840000000004</v>
      </c>
      <c r="L301" s="51"/>
      <c r="M301" s="441"/>
      <c r="N301" s="498"/>
      <c r="O301" s="498"/>
      <c r="P301" s="432"/>
    </row>
    <row r="302" spans="1:16" s="137" customFormat="1">
      <c r="A302" s="497"/>
      <c r="B302" s="1158"/>
      <c r="C302" s="1170"/>
      <c r="D302" s="1139" t="s">
        <v>615</v>
      </c>
      <c r="E302" s="398"/>
      <c r="F302" s="51"/>
      <c r="G302" s="399"/>
      <c r="H302" s="51"/>
      <c r="I302" s="399"/>
      <c r="J302" s="496">
        <f>-J295</f>
        <v>-16969.45</v>
      </c>
      <c r="K302" s="496">
        <f>-K295</f>
        <v>183903.51</v>
      </c>
      <c r="L302" s="51"/>
      <c r="M302" s="496"/>
      <c r="N302" s="498"/>
      <c r="O302" s="498"/>
      <c r="P302" s="432"/>
    </row>
    <row r="303" spans="1:16" s="137" customFormat="1" ht="13.5" thickBot="1">
      <c r="A303" s="497"/>
      <c r="B303" s="1158"/>
      <c r="C303" s="1170"/>
      <c r="D303" s="1139"/>
      <c r="E303" s="398"/>
      <c r="F303" s="51"/>
      <c r="G303" s="399"/>
      <c r="H303" s="51"/>
      <c r="I303" s="399"/>
      <c r="J303" s="430"/>
      <c r="K303" s="430"/>
      <c r="L303" s="51"/>
      <c r="M303" s="430"/>
      <c r="N303" s="498"/>
      <c r="O303" s="498"/>
      <c r="P303" s="432"/>
    </row>
    <row r="304" spans="1:16" s="137" customFormat="1" ht="13.5" thickBot="1">
      <c r="A304" s="497"/>
      <c r="B304" s="584"/>
      <c r="C304" s="1170"/>
      <c r="D304" s="1139" t="s">
        <v>618</v>
      </c>
      <c r="E304" s="398"/>
      <c r="F304" s="51"/>
      <c r="G304" s="399"/>
      <c r="H304" s="51"/>
      <c r="I304" s="2475">
        <f>J304/J288</f>
        <v>2.5000000804059355E-2</v>
      </c>
      <c r="J304" s="1334">
        <f>SUM(J299:J303)</f>
        <v>-171007.30000000063</v>
      </c>
      <c r="K304" s="430">
        <f>SUM(K299:K303)</f>
        <v>-125308.18999999919</v>
      </c>
      <c r="L304" s="460"/>
      <c r="M304" s="2475">
        <f>K304/K288</f>
        <v>2.4999994164389021E-2</v>
      </c>
      <c r="N304" s="498"/>
      <c r="O304" s="498"/>
      <c r="P304" s="432"/>
    </row>
    <row r="305" spans="1:50" s="137" customFormat="1">
      <c r="A305" s="497"/>
      <c r="B305" s="584"/>
      <c r="C305" s="1170"/>
      <c r="D305" s="61"/>
      <c r="E305" s="398"/>
      <c r="F305" s="51"/>
      <c r="G305" s="399"/>
      <c r="H305" s="51"/>
      <c r="I305" s="399"/>
      <c r="J305" s="51"/>
      <c r="K305" s="430"/>
      <c r="L305" s="399"/>
      <c r="M305" s="1334"/>
      <c r="N305" s="498"/>
      <c r="O305" s="498"/>
      <c r="P305" s="432"/>
    </row>
    <row r="306" spans="1:50" s="137" customFormat="1">
      <c r="A306" s="497"/>
      <c r="B306" s="584"/>
      <c r="C306" s="1170"/>
      <c r="D306" s="61"/>
      <c r="E306" s="398"/>
      <c r="F306" s="51"/>
      <c r="G306" s="399"/>
      <c r="H306" s="51"/>
      <c r="I306" s="460"/>
      <c r="J306" s="51"/>
      <c r="K306" s="430"/>
      <c r="L306" s="51"/>
      <c r="M306" s="430"/>
      <c r="N306" s="498"/>
      <c r="O306" s="498"/>
      <c r="P306" s="432"/>
    </row>
    <row r="307" spans="1:50" s="137" customFormat="1">
      <c r="A307" s="497"/>
      <c r="B307" s="584"/>
      <c r="C307" s="1170"/>
      <c r="D307" s="61"/>
      <c r="E307" s="398"/>
      <c r="F307" s="51"/>
      <c r="G307" s="399"/>
      <c r="H307" s="51"/>
      <c r="I307" s="399"/>
      <c r="J307" s="51"/>
      <c r="K307" s="430"/>
      <c r="L307" s="51"/>
      <c r="M307" s="430"/>
      <c r="N307" s="498"/>
      <c r="O307" s="498"/>
      <c r="P307" s="432"/>
    </row>
    <row r="308" spans="1:50" s="137" customFormat="1">
      <c r="A308" s="497"/>
      <c r="B308" s="584"/>
      <c r="C308" s="1170"/>
      <c r="D308" s="61"/>
      <c r="E308" s="398"/>
      <c r="F308" s="51"/>
      <c r="G308" s="399"/>
      <c r="H308" s="51"/>
      <c r="I308" s="399"/>
      <c r="J308" s="51"/>
      <c r="K308" s="430"/>
      <c r="L308" s="51"/>
      <c r="M308" s="430"/>
      <c r="N308" s="498"/>
      <c r="O308" s="498"/>
      <c r="P308" s="432"/>
    </row>
    <row r="309" spans="1:50" s="137" customFormat="1">
      <c r="A309" s="497"/>
      <c r="B309" s="584"/>
      <c r="C309" s="1170"/>
      <c r="D309" s="61"/>
      <c r="E309" s="398"/>
      <c r="F309" s="51"/>
      <c r="G309" s="399"/>
      <c r="H309" s="51"/>
      <c r="I309" s="399"/>
      <c r="J309" s="51"/>
      <c r="K309" s="430"/>
      <c r="L309" s="51"/>
      <c r="M309" s="430"/>
      <c r="N309" s="498"/>
      <c r="O309" s="498"/>
      <c r="P309" s="432"/>
    </row>
    <row r="310" spans="1:50" s="137" customFormat="1">
      <c r="A310" s="497"/>
      <c r="B310" s="584"/>
      <c r="C310" s="1170"/>
      <c r="D310" s="61"/>
      <c r="E310" s="398"/>
      <c r="F310" s="51"/>
      <c r="G310" s="399"/>
      <c r="H310" s="51"/>
      <c r="I310" s="399"/>
      <c r="J310" s="51"/>
      <c r="K310" s="430"/>
      <c r="L310" s="51"/>
      <c r="M310" s="430"/>
      <c r="N310" s="498"/>
      <c r="O310" s="498"/>
      <c r="P310" s="432"/>
    </row>
    <row r="311" spans="1:50" s="141" customFormat="1">
      <c r="A311" s="497"/>
      <c r="B311" s="584"/>
      <c r="C311" s="499"/>
      <c r="D311" s="51"/>
      <c r="E311" s="398"/>
      <c r="F311" s="51"/>
      <c r="G311" s="399"/>
      <c r="H311" s="51"/>
      <c r="I311" s="399"/>
      <c r="J311" s="51"/>
      <c r="K311" s="399"/>
      <c r="L311" s="51"/>
      <c r="M311" s="399"/>
      <c r="N311" s="137"/>
      <c r="O311" s="137"/>
      <c r="P311" s="401"/>
      <c r="Q311" s="137"/>
      <c r="R311" s="137"/>
      <c r="S311" s="137"/>
      <c r="T311" s="137"/>
      <c r="U311" s="137"/>
      <c r="V311" s="137"/>
      <c r="W311" s="137"/>
      <c r="X311" s="137"/>
      <c r="Y311" s="137"/>
      <c r="Z311" s="137"/>
      <c r="AA311" s="137"/>
      <c r="AB311" s="137"/>
      <c r="AC311" s="137"/>
      <c r="AD311" s="137"/>
      <c r="AE311" s="137"/>
      <c r="AF311" s="137"/>
      <c r="AG311" s="137"/>
      <c r="AH311" s="137"/>
      <c r="AI311" s="137"/>
      <c r="AJ311" s="137"/>
      <c r="AK311" s="137"/>
      <c r="AL311" s="137"/>
      <c r="AM311" s="137"/>
      <c r="AN311" s="137"/>
      <c r="AO311" s="137"/>
      <c r="AP311" s="137"/>
      <c r="AQ311" s="137"/>
      <c r="AR311" s="137"/>
      <c r="AS311" s="137"/>
      <c r="AT311" s="137"/>
      <c r="AU311" s="137"/>
      <c r="AV311" s="137"/>
      <c r="AW311" s="137"/>
      <c r="AX311" s="137"/>
    </row>
    <row r="312" spans="1:50" s="52" customFormat="1">
      <c r="A312" s="1922"/>
      <c r="B312" s="61"/>
      <c r="C312" s="1923"/>
      <c r="D312" s="51"/>
      <c r="E312" s="144"/>
      <c r="F312" s="51"/>
      <c r="G312" s="51"/>
      <c r="H312" s="51"/>
      <c r="I312" s="51"/>
      <c r="J312" s="51"/>
      <c r="K312" s="51"/>
      <c r="L312" s="51"/>
      <c r="M312" s="51"/>
      <c r="N312" s="51"/>
      <c r="O312" s="51"/>
      <c r="P312" s="192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row>
    <row r="313" spans="1:50" s="52" customFormat="1">
      <c r="A313" s="1922"/>
      <c r="B313" s="61"/>
      <c r="C313" s="1923"/>
      <c r="D313" s="51"/>
      <c r="E313" s="144"/>
      <c r="F313" s="51"/>
      <c r="G313" s="51"/>
      <c r="H313" s="51"/>
      <c r="I313" s="51"/>
      <c r="J313" s="51"/>
      <c r="K313" s="51"/>
      <c r="L313" s="51"/>
      <c r="M313" s="51"/>
      <c r="N313" s="51"/>
      <c r="O313" s="51"/>
      <c r="P313" s="192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row>
    <row r="314" spans="1:50" s="52" customFormat="1">
      <c r="A314" s="1922"/>
      <c r="B314" s="61"/>
      <c r="C314" s="1923"/>
      <c r="D314" s="51"/>
      <c r="E314" s="144"/>
      <c r="F314" s="51"/>
      <c r="G314" s="51"/>
      <c r="H314" s="51"/>
      <c r="I314" s="51"/>
      <c r="J314" s="51"/>
      <c r="K314" s="51"/>
      <c r="L314" s="51"/>
      <c r="M314" s="51"/>
      <c r="N314" s="51"/>
      <c r="O314" s="51"/>
      <c r="P314" s="192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row>
    <row r="315" spans="1:50" s="52" customFormat="1">
      <c r="A315" s="1922"/>
      <c r="B315" s="61"/>
      <c r="C315" s="1923"/>
      <c r="D315" s="51"/>
      <c r="E315" s="144"/>
      <c r="F315" s="51"/>
      <c r="G315" s="51"/>
      <c r="H315" s="51"/>
      <c r="I315" s="51"/>
      <c r="J315" s="51"/>
      <c r="K315" s="51"/>
      <c r="L315" s="51"/>
      <c r="M315" s="51"/>
      <c r="N315" s="51"/>
      <c r="O315" s="51"/>
      <c r="P315" s="192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row>
    <row r="316" spans="1:50" s="52" customFormat="1">
      <c r="A316" s="1922"/>
      <c r="B316" s="61"/>
      <c r="C316" s="1923"/>
      <c r="D316" s="51"/>
      <c r="E316" s="144"/>
      <c r="F316" s="51"/>
      <c r="G316" s="51"/>
      <c r="H316" s="51"/>
      <c r="I316" s="51"/>
      <c r="J316" s="51"/>
      <c r="K316" s="51"/>
      <c r="L316" s="51"/>
      <c r="M316" s="51"/>
      <c r="N316" s="51"/>
      <c r="O316" s="51"/>
      <c r="P316" s="192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row>
    <row r="317" spans="1:50" s="52" customFormat="1">
      <c r="A317" s="1922"/>
      <c r="B317" s="61"/>
      <c r="C317" s="1923"/>
      <c r="D317" s="51"/>
      <c r="E317" s="144"/>
      <c r="F317" s="51"/>
      <c r="G317" s="51"/>
      <c r="H317" s="51"/>
      <c r="I317" s="51"/>
      <c r="J317" s="51"/>
      <c r="K317" s="51"/>
      <c r="L317" s="51"/>
      <c r="M317" s="51"/>
      <c r="N317" s="51"/>
      <c r="O317" s="51"/>
      <c r="P317" s="192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row>
    <row r="318" spans="1:50" s="52" customFormat="1">
      <c r="A318" s="1922"/>
      <c r="B318" s="61"/>
      <c r="C318" s="1923"/>
      <c r="D318" s="51"/>
      <c r="E318" s="144"/>
      <c r="F318" s="51"/>
      <c r="G318" s="51"/>
      <c r="H318" s="51"/>
      <c r="I318" s="51"/>
      <c r="J318" s="51"/>
      <c r="K318" s="51"/>
      <c r="L318" s="51"/>
      <c r="M318" s="51"/>
      <c r="N318" s="51"/>
      <c r="O318" s="51"/>
      <c r="P318" s="192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row>
    <row r="319" spans="1:50" s="52" customFormat="1">
      <c r="A319" s="1922"/>
      <c r="B319" s="61"/>
      <c r="C319" s="1923"/>
      <c r="D319" s="51"/>
      <c r="E319" s="144"/>
      <c r="F319" s="51"/>
      <c r="G319" s="51"/>
      <c r="H319" s="51"/>
      <c r="I319" s="51"/>
      <c r="J319" s="51"/>
      <c r="K319" s="51"/>
      <c r="L319" s="51"/>
      <c r="M319" s="51"/>
      <c r="N319" s="51"/>
      <c r="O319" s="51"/>
      <c r="P319" s="192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row>
    <row r="320" spans="1:50" s="52" customFormat="1">
      <c r="A320" s="1922"/>
      <c r="B320" s="61"/>
      <c r="C320" s="1923"/>
      <c r="D320" s="51"/>
      <c r="E320" s="144"/>
      <c r="F320" s="51"/>
      <c r="G320" s="51"/>
      <c r="H320" s="51"/>
      <c r="I320" s="51"/>
      <c r="J320" s="51"/>
      <c r="K320" s="51"/>
      <c r="L320" s="51"/>
      <c r="M320" s="51"/>
      <c r="N320" s="51"/>
      <c r="O320" s="51"/>
      <c r="P320" s="192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row>
    <row r="321" spans="1:50" s="52" customFormat="1">
      <c r="A321" s="1922"/>
      <c r="B321" s="61"/>
      <c r="C321" s="1923"/>
      <c r="D321" s="51"/>
      <c r="E321" s="144"/>
      <c r="F321" s="51"/>
      <c r="G321" s="51"/>
      <c r="H321" s="51"/>
      <c r="I321" s="51"/>
      <c r="J321" s="51"/>
      <c r="K321" s="51"/>
      <c r="L321" s="51"/>
      <c r="M321" s="51"/>
      <c r="N321" s="51"/>
      <c r="O321" s="51"/>
      <c r="P321" s="192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row>
    <row r="322" spans="1:50" s="52" customFormat="1">
      <c r="A322" s="1922"/>
      <c r="B322" s="61"/>
      <c r="C322" s="1923"/>
      <c r="D322" s="51"/>
      <c r="E322" s="144"/>
      <c r="F322" s="51"/>
      <c r="G322" s="51"/>
      <c r="H322" s="51"/>
      <c r="I322" s="51"/>
      <c r="J322" s="51"/>
      <c r="K322" s="51"/>
      <c r="L322" s="51"/>
      <c r="M322" s="51"/>
      <c r="N322" s="51"/>
      <c r="O322" s="51"/>
      <c r="P322" s="192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row>
    <row r="323" spans="1:50" s="52" customFormat="1">
      <c r="A323" s="1922"/>
      <c r="B323" s="61"/>
      <c r="C323" s="1923"/>
      <c r="D323" s="51"/>
      <c r="E323" s="144"/>
      <c r="F323" s="51"/>
      <c r="G323" s="51"/>
      <c r="H323" s="51"/>
      <c r="I323" s="51"/>
      <c r="J323" s="51"/>
      <c r="K323" s="51"/>
      <c r="L323" s="51"/>
      <c r="M323" s="51"/>
      <c r="N323" s="51"/>
      <c r="O323" s="51"/>
      <c r="P323" s="192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row>
    <row r="324" spans="1:50" s="52" customFormat="1">
      <c r="A324" s="1922"/>
      <c r="B324" s="61"/>
      <c r="C324" s="1923"/>
      <c r="D324" s="51"/>
      <c r="E324" s="144"/>
      <c r="F324" s="51"/>
      <c r="G324" s="51"/>
      <c r="H324" s="51"/>
      <c r="I324" s="51"/>
      <c r="J324" s="51"/>
      <c r="K324" s="51"/>
      <c r="L324" s="51"/>
      <c r="N324" s="51"/>
      <c r="O324" s="51"/>
      <c r="P324" s="192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row>
    <row r="325" spans="1:50" s="52" customFormat="1">
      <c r="A325" s="1922"/>
      <c r="B325" s="61"/>
      <c r="C325" s="1923"/>
      <c r="D325" s="51"/>
      <c r="E325" s="144"/>
      <c r="F325" s="51"/>
      <c r="G325" s="51"/>
      <c r="H325" s="51"/>
      <c r="I325" s="51"/>
      <c r="J325" s="51"/>
      <c r="K325" s="51"/>
      <c r="L325" s="51"/>
      <c r="N325" s="51"/>
      <c r="O325" s="51"/>
      <c r="P325" s="192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row>
    <row r="326" spans="1:50" s="52" customFormat="1">
      <c r="A326" s="1922"/>
      <c r="B326" s="61"/>
      <c r="C326" s="1923"/>
      <c r="D326" s="51"/>
      <c r="E326" s="144"/>
      <c r="F326" s="51"/>
      <c r="G326" s="51"/>
      <c r="H326" s="51"/>
      <c r="I326" s="51"/>
      <c r="J326" s="51"/>
      <c r="K326" s="51"/>
      <c r="L326" s="51"/>
      <c r="N326" s="51"/>
      <c r="O326" s="51"/>
      <c r="P326" s="192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row>
    <row r="327" spans="1:50" s="52" customFormat="1">
      <c r="A327" s="1922"/>
      <c r="B327" s="61"/>
      <c r="C327" s="1923"/>
      <c r="D327" s="51"/>
      <c r="E327" s="144"/>
      <c r="F327" s="51"/>
      <c r="G327" s="51"/>
      <c r="H327" s="51"/>
      <c r="I327" s="51"/>
      <c r="J327" s="51"/>
      <c r="K327" s="51"/>
      <c r="L327" s="51"/>
      <c r="N327" s="51"/>
      <c r="O327" s="51"/>
      <c r="P327" s="192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row>
    <row r="328" spans="1:50" s="52" customFormat="1">
      <c r="A328" s="1922"/>
      <c r="B328" s="61"/>
      <c r="C328" s="1923"/>
      <c r="D328" s="51"/>
      <c r="E328" s="144"/>
      <c r="F328" s="51"/>
      <c r="G328" s="51"/>
      <c r="H328" s="51"/>
      <c r="I328" s="51"/>
      <c r="J328" s="51"/>
      <c r="K328" s="51"/>
      <c r="L328" s="51"/>
      <c r="N328" s="51"/>
      <c r="O328" s="51"/>
      <c r="P328" s="192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row>
    <row r="329" spans="1:50" s="52" customFormat="1">
      <c r="A329" s="1922"/>
      <c r="B329" s="61"/>
      <c r="C329" s="1923"/>
      <c r="D329" s="51"/>
      <c r="E329" s="144"/>
      <c r="F329" s="51"/>
      <c r="G329" s="51"/>
      <c r="H329" s="51"/>
      <c r="I329" s="51"/>
      <c r="J329" s="51"/>
      <c r="K329" s="51"/>
      <c r="L329" s="51"/>
      <c r="N329" s="51"/>
      <c r="O329" s="51"/>
      <c r="P329" s="192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row>
    <row r="330" spans="1:50" s="52" customFormat="1">
      <c r="A330" s="1922"/>
      <c r="B330" s="61"/>
      <c r="C330" s="1923"/>
      <c r="D330" s="51"/>
      <c r="E330" s="144"/>
      <c r="F330" s="51"/>
      <c r="G330" s="51"/>
      <c r="H330" s="51"/>
      <c r="I330" s="51"/>
      <c r="J330" s="51"/>
      <c r="K330" s="51"/>
      <c r="L330" s="51"/>
      <c r="N330" s="51"/>
      <c r="O330" s="51"/>
      <c r="P330" s="192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row>
    <row r="331" spans="1:50" s="52" customFormat="1">
      <c r="A331" s="1922"/>
      <c r="B331" s="61"/>
      <c r="C331" s="1923"/>
      <c r="D331" s="51"/>
      <c r="E331" s="144"/>
      <c r="F331" s="51"/>
      <c r="G331" s="51"/>
      <c r="H331" s="51"/>
      <c r="I331" s="51"/>
      <c r="J331" s="51"/>
      <c r="K331" s="51"/>
      <c r="L331" s="51"/>
      <c r="N331" s="51"/>
      <c r="O331" s="51"/>
      <c r="P331" s="192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row>
    <row r="332" spans="1:50" s="52" customFormat="1">
      <c r="A332" s="1922"/>
      <c r="B332" s="61"/>
      <c r="C332" s="1923"/>
      <c r="D332" s="51"/>
      <c r="E332" s="144"/>
      <c r="F332" s="51"/>
      <c r="G332" s="51"/>
      <c r="H332" s="51"/>
      <c r="I332" s="51"/>
      <c r="J332" s="51"/>
      <c r="K332" s="51"/>
      <c r="L332" s="51"/>
      <c r="N332" s="51"/>
      <c r="O332" s="51"/>
      <c r="P332" s="192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row>
    <row r="333" spans="1:50" s="52" customFormat="1">
      <c r="A333" s="1922"/>
      <c r="B333" s="61"/>
      <c r="C333" s="1923"/>
      <c r="D333" s="51"/>
      <c r="E333" s="144"/>
      <c r="F333" s="51"/>
      <c r="G333" s="51"/>
      <c r="H333" s="51"/>
      <c r="I333" s="51"/>
      <c r="J333" s="51"/>
      <c r="K333" s="51"/>
      <c r="L333" s="51"/>
      <c r="N333" s="51"/>
      <c r="O333" s="51"/>
      <c r="P333" s="192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row>
    <row r="334" spans="1:50" s="52" customFormat="1">
      <c r="A334" s="1922"/>
      <c r="B334" s="61"/>
      <c r="C334" s="1923"/>
      <c r="D334" s="51"/>
      <c r="E334" s="144"/>
      <c r="F334" s="51"/>
      <c r="G334" s="51"/>
      <c r="H334" s="51"/>
      <c r="I334" s="51"/>
      <c r="J334" s="51"/>
      <c r="K334" s="51"/>
      <c r="L334" s="51"/>
      <c r="N334" s="51"/>
      <c r="O334" s="51"/>
      <c r="P334" s="192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row>
    <row r="335" spans="1:50" s="52" customFormat="1">
      <c r="A335" s="1922"/>
      <c r="B335" s="61"/>
      <c r="C335" s="1923"/>
      <c r="D335" s="51"/>
      <c r="E335" s="144"/>
      <c r="F335" s="51"/>
      <c r="G335" s="51"/>
      <c r="H335" s="51"/>
      <c r="I335" s="51"/>
      <c r="J335" s="51"/>
      <c r="K335" s="51"/>
      <c r="L335" s="51"/>
      <c r="N335" s="51"/>
      <c r="O335" s="51"/>
      <c r="P335" s="192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row>
    <row r="336" spans="1:50" s="52" customFormat="1">
      <c r="A336" s="1922"/>
      <c r="B336" s="61"/>
      <c r="C336" s="1923"/>
      <c r="D336" s="51"/>
      <c r="E336" s="144"/>
      <c r="F336" s="51"/>
      <c r="G336" s="51"/>
      <c r="H336" s="51"/>
      <c r="I336" s="51"/>
      <c r="J336" s="51"/>
      <c r="K336" s="51"/>
      <c r="L336" s="51"/>
      <c r="N336" s="51"/>
      <c r="O336" s="51"/>
      <c r="P336" s="192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row>
    <row r="337" spans="1:50" s="52" customFormat="1">
      <c r="A337" s="1922"/>
      <c r="B337" s="61"/>
      <c r="C337" s="1923"/>
      <c r="D337" s="51"/>
      <c r="E337" s="144"/>
      <c r="F337" s="51"/>
      <c r="G337" s="51"/>
      <c r="H337" s="51"/>
      <c r="I337" s="51"/>
      <c r="J337" s="51"/>
      <c r="K337" s="51"/>
      <c r="L337" s="51"/>
      <c r="N337" s="51"/>
      <c r="O337" s="51"/>
      <c r="P337" s="192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row>
    <row r="338" spans="1:50" s="52" customFormat="1">
      <c r="A338" s="1922"/>
      <c r="B338" s="61"/>
      <c r="C338" s="1923"/>
      <c r="D338" s="51"/>
      <c r="E338" s="144"/>
      <c r="F338" s="51"/>
      <c r="G338" s="51"/>
      <c r="H338" s="51"/>
      <c r="I338" s="51"/>
      <c r="J338" s="51"/>
      <c r="K338" s="51"/>
      <c r="L338" s="51"/>
      <c r="N338" s="51"/>
      <c r="O338" s="51"/>
      <c r="P338" s="192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row>
    <row r="339" spans="1:50" s="52" customFormat="1">
      <c r="A339" s="1922"/>
      <c r="B339" s="61"/>
      <c r="C339" s="1923"/>
      <c r="D339" s="51"/>
      <c r="E339" s="144"/>
      <c r="F339" s="51"/>
      <c r="G339" s="51"/>
      <c r="H339" s="51"/>
      <c r="I339" s="51"/>
      <c r="J339" s="51"/>
      <c r="K339" s="51"/>
      <c r="L339" s="51"/>
      <c r="N339" s="51"/>
      <c r="O339" s="51"/>
      <c r="P339" s="192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row>
    <row r="340" spans="1:50" s="52" customFormat="1">
      <c r="A340" s="1922"/>
      <c r="B340" s="61"/>
      <c r="C340" s="1923"/>
      <c r="D340" s="51"/>
      <c r="E340" s="144"/>
      <c r="F340" s="51"/>
      <c r="G340" s="51"/>
      <c r="H340" s="51"/>
      <c r="I340" s="51"/>
      <c r="J340" s="51"/>
      <c r="K340" s="51"/>
      <c r="L340" s="51"/>
      <c r="N340" s="51"/>
      <c r="O340" s="51"/>
      <c r="P340" s="192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row>
    <row r="341" spans="1:50" s="52" customFormat="1">
      <c r="A341" s="1922"/>
      <c r="B341" s="61"/>
      <c r="C341" s="1923"/>
      <c r="D341" s="51"/>
      <c r="E341" s="144"/>
      <c r="F341" s="51"/>
      <c r="G341" s="51"/>
      <c r="H341" s="51"/>
      <c r="I341" s="51"/>
      <c r="J341" s="51"/>
      <c r="K341" s="51"/>
      <c r="L341" s="51"/>
      <c r="N341" s="51"/>
      <c r="O341" s="51"/>
      <c r="P341" s="192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row>
    <row r="342" spans="1:50" s="52" customFormat="1">
      <c r="A342" s="1922"/>
      <c r="B342" s="61"/>
      <c r="C342" s="1923"/>
      <c r="D342" s="51"/>
      <c r="E342" s="144"/>
      <c r="F342" s="51"/>
      <c r="G342" s="51"/>
      <c r="H342" s="51"/>
      <c r="I342" s="51"/>
      <c r="J342" s="51"/>
      <c r="K342" s="51"/>
      <c r="L342" s="51"/>
      <c r="N342" s="51"/>
      <c r="O342" s="51"/>
      <c r="P342" s="192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row>
    <row r="343" spans="1:50" s="52" customFormat="1">
      <c r="A343" s="1922"/>
      <c r="B343" s="61"/>
      <c r="C343" s="1923"/>
      <c r="D343" s="51"/>
      <c r="E343" s="144"/>
      <c r="F343" s="51"/>
      <c r="G343" s="51"/>
      <c r="H343" s="51"/>
      <c r="I343" s="51"/>
      <c r="J343" s="51"/>
      <c r="K343" s="51"/>
      <c r="L343" s="51"/>
      <c r="N343" s="51"/>
      <c r="O343" s="51"/>
      <c r="P343" s="192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row>
    <row r="344" spans="1:50" s="52" customFormat="1">
      <c r="A344" s="1922"/>
      <c r="B344" s="61"/>
      <c r="C344" s="1923"/>
      <c r="D344" s="51"/>
      <c r="E344" s="144"/>
      <c r="F344" s="51"/>
      <c r="G344" s="51"/>
      <c r="H344" s="51"/>
      <c r="I344" s="51"/>
      <c r="J344" s="51"/>
      <c r="K344" s="51"/>
      <c r="L344" s="51"/>
      <c r="N344" s="51"/>
      <c r="O344" s="51"/>
      <c r="P344" s="192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row>
    <row r="345" spans="1:50" s="52" customFormat="1">
      <c r="A345" s="1922"/>
      <c r="B345" s="61"/>
      <c r="C345" s="1923"/>
      <c r="D345" s="51"/>
      <c r="E345" s="144"/>
      <c r="F345" s="51"/>
      <c r="G345" s="51"/>
      <c r="H345" s="51"/>
      <c r="I345" s="51"/>
      <c r="J345" s="51"/>
      <c r="K345" s="51"/>
      <c r="L345" s="51"/>
      <c r="N345" s="51"/>
      <c r="O345" s="51"/>
      <c r="P345" s="192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row>
    <row r="346" spans="1:50" s="52" customFormat="1">
      <c r="A346" s="1922"/>
      <c r="B346" s="61"/>
      <c r="C346" s="1923"/>
      <c r="D346" s="51"/>
      <c r="E346" s="144"/>
      <c r="F346" s="51"/>
      <c r="G346" s="51"/>
      <c r="H346" s="51"/>
      <c r="I346" s="51"/>
      <c r="J346" s="51"/>
      <c r="K346" s="51"/>
      <c r="L346" s="51"/>
      <c r="N346" s="51"/>
      <c r="O346" s="51"/>
      <c r="P346" s="192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row>
    <row r="347" spans="1:50" s="52" customFormat="1">
      <c r="A347" s="1922"/>
      <c r="B347" s="61"/>
      <c r="C347" s="1923"/>
      <c r="D347" s="51"/>
      <c r="E347" s="144"/>
      <c r="F347" s="51"/>
      <c r="G347" s="51"/>
      <c r="H347" s="51"/>
      <c r="I347" s="51"/>
      <c r="J347" s="51"/>
      <c r="K347" s="51"/>
      <c r="L347" s="51"/>
      <c r="N347" s="51"/>
      <c r="O347" s="51"/>
      <c r="P347" s="192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row>
    <row r="348" spans="1:50" s="52" customFormat="1">
      <c r="A348" s="1922"/>
      <c r="B348" s="61"/>
      <c r="C348" s="1923"/>
      <c r="D348" s="51"/>
      <c r="E348" s="144"/>
      <c r="F348" s="51"/>
      <c r="G348" s="51"/>
      <c r="H348" s="51"/>
      <c r="I348" s="51"/>
      <c r="J348" s="51"/>
      <c r="K348" s="51"/>
      <c r="L348" s="51"/>
      <c r="N348" s="51"/>
      <c r="O348" s="51"/>
      <c r="P348" s="192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row>
    <row r="349" spans="1:50" s="52" customFormat="1">
      <c r="A349" s="1922"/>
      <c r="B349" s="61"/>
      <c r="C349" s="1923"/>
      <c r="D349" s="51"/>
      <c r="E349" s="144"/>
      <c r="F349" s="51"/>
      <c r="G349" s="51"/>
      <c r="H349" s="51"/>
      <c r="I349" s="51"/>
      <c r="J349" s="51"/>
      <c r="K349" s="51"/>
      <c r="L349" s="51"/>
      <c r="N349" s="51"/>
      <c r="O349" s="51"/>
      <c r="P349" s="192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row>
    <row r="350" spans="1:50" s="52" customFormat="1">
      <c r="A350" s="1922"/>
      <c r="B350" s="61"/>
      <c r="C350" s="1923"/>
      <c r="D350" s="51"/>
      <c r="E350" s="144"/>
      <c r="F350" s="51"/>
      <c r="G350" s="51"/>
      <c r="H350" s="51"/>
      <c r="I350" s="51"/>
      <c r="J350" s="51"/>
      <c r="K350" s="51"/>
      <c r="L350" s="51"/>
      <c r="N350" s="51"/>
      <c r="O350" s="51"/>
      <c r="P350" s="192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row>
    <row r="351" spans="1:50" s="52" customFormat="1">
      <c r="A351" s="1922"/>
      <c r="B351" s="61"/>
      <c r="C351" s="1923"/>
      <c r="D351" s="51"/>
      <c r="E351" s="144"/>
      <c r="F351" s="51"/>
      <c r="G351" s="51"/>
      <c r="H351" s="51"/>
      <c r="I351" s="51"/>
      <c r="J351" s="51"/>
      <c r="K351" s="51"/>
      <c r="L351" s="51"/>
      <c r="N351" s="51"/>
      <c r="O351" s="51"/>
      <c r="P351" s="192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row>
    <row r="352" spans="1:50" s="52" customFormat="1">
      <c r="A352" s="1922"/>
      <c r="B352" s="61"/>
      <c r="C352" s="1923"/>
      <c r="D352" s="51"/>
      <c r="E352" s="144"/>
      <c r="F352" s="51"/>
      <c r="G352" s="51"/>
      <c r="H352" s="51"/>
      <c r="I352" s="51"/>
      <c r="J352" s="51"/>
      <c r="K352" s="51"/>
      <c r="L352" s="51"/>
      <c r="N352" s="51"/>
      <c r="O352" s="51"/>
      <c r="P352" s="192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row>
    <row r="353" spans="1:50" s="52" customFormat="1">
      <c r="A353" s="1922"/>
      <c r="B353" s="61"/>
      <c r="C353" s="1923"/>
      <c r="D353" s="51"/>
      <c r="E353" s="144"/>
      <c r="F353" s="51"/>
      <c r="G353" s="51"/>
      <c r="H353" s="51"/>
      <c r="I353" s="51"/>
      <c r="J353" s="51"/>
      <c r="K353" s="51"/>
      <c r="L353" s="51"/>
      <c r="N353" s="51"/>
      <c r="O353" s="51"/>
      <c r="P353" s="192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row>
    <row r="354" spans="1:50" s="52" customFormat="1">
      <c r="A354" s="1922"/>
      <c r="B354" s="61"/>
      <c r="C354" s="1923"/>
      <c r="D354" s="51"/>
      <c r="E354" s="144"/>
      <c r="F354" s="51"/>
      <c r="G354" s="51"/>
      <c r="H354" s="51"/>
      <c r="I354" s="51"/>
      <c r="J354" s="51"/>
      <c r="K354" s="51"/>
      <c r="L354" s="51"/>
      <c r="N354" s="51"/>
      <c r="O354" s="51"/>
      <c r="P354" s="192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row>
    <row r="355" spans="1:50" s="52" customFormat="1">
      <c r="A355" s="1922"/>
      <c r="B355" s="61"/>
      <c r="C355" s="1923"/>
      <c r="D355" s="51"/>
      <c r="E355" s="144"/>
      <c r="F355" s="51"/>
      <c r="G355" s="51"/>
      <c r="H355" s="51"/>
      <c r="I355" s="51"/>
      <c r="J355" s="51"/>
      <c r="K355" s="51"/>
      <c r="L355" s="51"/>
      <c r="N355" s="51"/>
      <c r="O355" s="51"/>
      <c r="P355" s="192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row>
    <row r="356" spans="1:50" s="52" customFormat="1">
      <c r="A356" s="1922"/>
      <c r="B356" s="61"/>
      <c r="C356" s="1923"/>
      <c r="D356" s="51"/>
      <c r="E356" s="144"/>
      <c r="F356" s="51"/>
      <c r="G356" s="51"/>
      <c r="H356" s="51"/>
      <c r="I356" s="51"/>
      <c r="J356" s="51"/>
      <c r="K356" s="51"/>
      <c r="L356" s="51"/>
      <c r="N356" s="51"/>
      <c r="O356" s="51"/>
      <c r="P356" s="192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row>
    <row r="357" spans="1:50" s="52" customFormat="1">
      <c r="A357" s="1922"/>
      <c r="B357" s="61"/>
      <c r="C357" s="1923"/>
      <c r="D357" s="51"/>
      <c r="E357" s="144"/>
      <c r="F357" s="51"/>
      <c r="G357" s="51"/>
      <c r="H357" s="51"/>
      <c r="I357" s="51"/>
      <c r="J357" s="51"/>
      <c r="K357" s="51"/>
      <c r="L357" s="51"/>
      <c r="N357" s="51"/>
      <c r="O357" s="51"/>
      <c r="P357" s="192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row>
    <row r="358" spans="1:50" s="52" customFormat="1">
      <c r="A358" s="1922"/>
      <c r="B358" s="61"/>
      <c r="C358" s="1923"/>
      <c r="D358" s="51"/>
      <c r="E358" s="144"/>
      <c r="F358" s="51"/>
      <c r="G358" s="51"/>
      <c r="H358" s="51"/>
      <c r="I358" s="51"/>
      <c r="J358" s="51"/>
      <c r="K358" s="51"/>
      <c r="L358" s="51"/>
      <c r="N358" s="51"/>
      <c r="O358" s="51"/>
      <c r="P358" s="192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row>
    <row r="359" spans="1:50" s="52" customFormat="1">
      <c r="A359" s="1922"/>
      <c r="B359" s="61"/>
      <c r="C359" s="1923"/>
      <c r="D359" s="51"/>
      <c r="E359" s="144"/>
      <c r="F359" s="51"/>
      <c r="G359" s="51"/>
      <c r="H359" s="51"/>
      <c r="I359" s="51"/>
      <c r="J359" s="51"/>
      <c r="K359" s="51"/>
      <c r="L359" s="51"/>
      <c r="N359" s="51"/>
      <c r="O359" s="51"/>
      <c r="P359" s="192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row>
    <row r="360" spans="1:50" s="52" customFormat="1">
      <c r="A360" s="1922"/>
      <c r="B360" s="61"/>
      <c r="C360" s="1923"/>
      <c r="D360" s="51"/>
      <c r="E360" s="144"/>
      <c r="F360" s="51"/>
      <c r="G360" s="51"/>
      <c r="H360" s="51"/>
      <c r="I360" s="51"/>
      <c r="J360" s="51"/>
      <c r="K360" s="51"/>
      <c r="L360" s="51"/>
      <c r="N360" s="51"/>
      <c r="O360" s="51"/>
      <c r="P360" s="192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row>
    <row r="361" spans="1:50" s="52" customFormat="1">
      <c r="A361" s="1922"/>
      <c r="B361" s="61"/>
      <c r="C361" s="1923"/>
      <c r="D361" s="51"/>
      <c r="E361" s="144"/>
      <c r="F361" s="51"/>
      <c r="G361" s="51"/>
      <c r="H361" s="51"/>
      <c r="I361" s="51"/>
      <c r="J361" s="51"/>
      <c r="K361" s="51"/>
      <c r="L361" s="51"/>
      <c r="N361" s="51"/>
      <c r="O361" s="51"/>
      <c r="P361" s="192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row>
    <row r="362" spans="1:50" s="52" customFormat="1">
      <c r="A362" s="1922"/>
      <c r="B362" s="61"/>
      <c r="C362" s="1923"/>
      <c r="D362" s="51"/>
      <c r="E362" s="144"/>
      <c r="F362" s="51"/>
      <c r="G362" s="51"/>
      <c r="H362" s="51"/>
      <c r="I362" s="51"/>
      <c r="J362" s="51"/>
      <c r="K362" s="51"/>
      <c r="L362" s="51"/>
      <c r="N362" s="51"/>
      <c r="O362" s="51"/>
      <c r="P362" s="192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row>
    <row r="363" spans="1:50" s="52" customFormat="1">
      <c r="A363" s="1922"/>
      <c r="B363" s="61"/>
      <c r="C363" s="1923"/>
      <c r="D363" s="51"/>
      <c r="E363" s="144"/>
      <c r="F363" s="51"/>
      <c r="G363" s="51"/>
      <c r="H363" s="51"/>
      <c r="I363" s="51"/>
      <c r="J363" s="51"/>
      <c r="K363" s="51"/>
      <c r="L363" s="51"/>
      <c r="N363" s="51"/>
      <c r="O363" s="51"/>
      <c r="P363" s="192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row>
    <row r="364" spans="1:50" s="52" customFormat="1">
      <c r="A364" s="1922"/>
      <c r="B364" s="61"/>
      <c r="C364" s="1923"/>
      <c r="D364" s="51"/>
      <c r="E364" s="144"/>
      <c r="F364" s="51"/>
      <c r="G364" s="51"/>
      <c r="H364" s="51"/>
      <c r="I364" s="51"/>
      <c r="J364" s="51"/>
      <c r="K364" s="51"/>
      <c r="L364" s="51"/>
      <c r="N364" s="51"/>
      <c r="O364" s="51"/>
      <c r="P364" s="192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row>
    <row r="365" spans="1:50" s="52" customFormat="1">
      <c r="A365" s="1922"/>
      <c r="B365" s="61"/>
      <c r="C365" s="1923"/>
      <c r="D365" s="51"/>
      <c r="E365" s="144"/>
      <c r="F365" s="51"/>
      <c r="G365" s="51"/>
      <c r="H365" s="51"/>
      <c r="I365" s="51"/>
      <c r="J365" s="51"/>
      <c r="K365" s="51"/>
      <c r="L365" s="51"/>
      <c r="N365" s="51"/>
      <c r="O365" s="51"/>
      <c r="P365" s="192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row>
    <row r="366" spans="1:50" s="52" customFormat="1">
      <c r="A366" s="1922"/>
      <c r="B366" s="61"/>
      <c r="C366" s="1923"/>
      <c r="D366" s="51"/>
      <c r="E366" s="144"/>
      <c r="F366" s="51"/>
      <c r="G366" s="51"/>
      <c r="H366" s="51"/>
      <c r="I366" s="51"/>
      <c r="J366" s="51"/>
      <c r="K366" s="51"/>
      <c r="L366" s="51"/>
      <c r="N366" s="51"/>
      <c r="O366" s="51"/>
      <c r="P366" s="192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row>
    <row r="367" spans="1:50" s="52" customFormat="1">
      <c r="A367" s="1922"/>
      <c r="B367" s="61"/>
      <c r="C367" s="1923"/>
      <c r="D367" s="51"/>
      <c r="E367" s="144"/>
      <c r="F367" s="51"/>
      <c r="G367" s="51"/>
      <c r="H367" s="51"/>
      <c r="I367" s="51"/>
      <c r="J367" s="51"/>
      <c r="K367" s="51"/>
      <c r="L367" s="51"/>
      <c r="N367" s="51"/>
      <c r="O367" s="51"/>
      <c r="P367" s="192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row>
    <row r="368" spans="1:50" s="52" customFormat="1">
      <c r="A368" s="1922"/>
      <c r="B368" s="61"/>
      <c r="C368" s="1923"/>
      <c r="D368" s="51"/>
      <c r="E368" s="144"/>
      <c r="F368" s="51"/>
      <c r="G368" s="51"/>
      <c r="H368" s="51"/>
      <c r="I368" s="51"/>
      <c r="J368" s="51"/>
      <c r="K368" s="51"/>
      <c r="L368" s="51"/>
      <c r="N368" s="51"/>
      <c r="O368" s="51"/>
      <c r="P368" s="192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row>
    <row r="369" spans="1:50" s="52" customFormat="1">
      <c r="A369" s="1922"/>
      <c r="B369" s="61"/>
      <c r="C369" s="1923"/>
      <c r="D369" s="51"/>
      <c r="E369" s="144"/>
      <c r="F369" s="51"/>
      <c r="G369" s="51"/>
      <c r="H369" s="51"/>
      <c r="I369" s="51"/>
      <c r="J369" s="51"/>
      <c r="K369" s="51"/>
      <c r="L369" s="51"/>
      <c r="N369" s="51"/>
      <c r="O369" s="51"/>
      <c r="P369" s="192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row>
    <row r="370" spans="1:50" s="52" customFormat="1">
      <c r="A370" s="1922"/>
      <c r="B370" s="61"/>
      <c r="C370" s="1923"/>
      <c r="D370" s="51"/>
      <c r="E370" s="144"/>
      <c r="F370" s="51"/>
      <c r="G370" s="51"/>
      <c r="H370" s="51"/>
      <c r="I370" s="51"/>
      <c r="J370" s="51"/>
      <c r="K370" s="51"/>
      <c r="L370" s="51"/>
      <c r="N370" s="51"/>
      <c r="O370" s="51"/>
      <c r="P370" s="192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row>
    <row r="371" spans="1:50" s="52" customFormat="1">
      <c r="A371" s="1922"/>
      <c r="B371" s="61"/>
      <c r="C371" s="1923"/>
      <c r="D371" s="51"/>
      <c r="E371" s="144"/>
      <c r="F371" s="51"/>
      <c r="G371" s="51"/>
      <c r="H371" s="51"/>
      <c r="I371" s="51"/>
      <c r="J371" s="51"/>
      <c r="K371" s="51"/>
      <c r="L371" s="51"/>
      <c r="N371" s="51"/>
      <c r="O371" s="51"/>
      <c r="P371" s="192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row>
    <row r="372" spans="1:50" s="52" customFormat="1">
      <c r="A372" s="1922"/>
      <c r="B372" s="61"/>
      <c r="C372" s="1923"/>
      <c r="D372" s="51"/>
      <c r="E372" s="144"/>
      <c r="F372" s="51"/>
      <c r="G372" s="51"/>
      <c r="H372" s="51"/>
      <c r="I372" s="51"/>
      <c r="J372" s="51"/>
      <c r="K372" s="51"/>
      <c r="L372" s="51"/>
      <c r="N372" s="51"/>
      <c r="O372" s="51"/>
      <c r="P372" s="192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row>
    <row r="373" spans="1:50" s="52" customFormat="1">
      <c r="A373" s="1922"/>
      <c r="B373" s="61"/>
      <c r="C373" s="1923"/>
      <c r="D373" s="51"/>
      <c r="E373" s="144"/>
      <c r="F373" s="51"/>
      <c r="G373" s="51"/>
      <c r="H373" s="51"/>
      <c r="I373" s="51"/>
      <c r="J373" s="51"/>
      <c r="K373" s="51"/>
      <c r="L373" s="51"/>
      <c r="N373" s="51"/>
      <c r="O373" s="51"/>
      <c r="P373" s="192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row>
    <row r="374" spans="1:50" s="52" customFormat="1">
      <c r="A374" s="1922"/>
      <c r="B374" s="61"/>
      <c r="C374" s="1923"/>
      <c r="D374" s="51"/>
      <c r="E374" s="144"/>
      <c r="F374" s="51"/>
      <c r="G374" s="51"/>
      <c r="H374" s="51"/>
      <c r="I374" s="51"/>
      <c r="J374" s="51"/>
      <c r="K374" s="51"/>
      <c r="L374" s="51"/>
      <c r="N374" s="51"/>
      <c r="O374" s="51"/>
      <c r="P374" s="192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row>
    <row r="375" spans="1:50" s="52" customFormat="1">
      <c r="A375" s="1922"/>
      <c r="B375" s="61"/>
      <c r="C375" s="1923"/>
      <c r="D375" s="51"/>
      <c r="E375" s="144"/>
      <c r="F375" s="51"/>
      <c r="G375" s="51"/>
      <c r="H375" s="51"/>
      <c r="I375" s="51"/>
      <c r="J375" s="51"/>
      <c r="K375" s="51"/>
      <c r="L375" s="51"/>
      <c r="N375" s="51"/>
      <c r="O375" s="51"/>
      <c r="P375" s="192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row>
    <row r="376" spans="1:50" s="52" customFormat="1">
      <c r="A376" s="1922"/>
      <c r="B376" s="61"/>
      <c r="C376" s="1923"/>
      <c r="D376" s="51"/>
      <c r="E376" s="144"/>
      <c r="F376" s="51"/>
      <c r="G376" s="51"/>
      <c r="H376" s="51"/>
      <c r="I376" s="51"/>
      <c r="J376" s="51"/>
      <c r="K376" s="51"/>
      <c r="L376" s="51"/>
      <c r="N376" s="51"/>
      <c r="O376" s="51"/>
      <c r="P376" s="192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row>
    <row r="377" spans="1:50" s="52" customFormat="1">
      <c r="A377" s="1922"/>
      <c r="B377" s="61"/>
      <c r="C377" s="1923"/>
      <c r="D377" s="51"/>
      <c r="E377" s="144"/>
      <c r="F377" s="51"/>
      <c r="G377" s="51"/>
      <c r="H377" s="51"/>
      <c r="I377" s="51"/>
      <c r="J377" s="51"/>
      <c r="K377" s="51"/>
      <c r="L377" s="51"/>
      <c r="N377" s="51"/>
      <c r="O377" s="51"/>
      <c r="P377" s="192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row>
    <row r="378" spans="1:50" s="52" customFormat="1">
      <c r="A378" s="1922"/>
      <c r="B378" s="61"/>
      <c r="C378" s="1923"/>
      <c r="D378" s="51"/>
      <c r="E378" s="144"/>
      <c r="F378" s="51"/>
      <c r="G378" s="51"/>
      <c r="H378" s="51"/>
      <c r="I378" s="51"/>
      <c r="J378" s="51"/>
      <c r="K378" s="51"/>
      <c r="L378" s="51"/>
      <c r="N378" s="51"/>
      <c r="O378" s="51"/>
      <c r="P378" s="192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row>
    <row r="379" spans="1:50" s="52" customFormat="1">
      <c r="A379" s="1922"/>
      <c r="B379" s="61"/>
      <c r="C379" s="1923"/>
      <c r="D379" s="51"/>
      <c r="E379" s="144"/>
      <c r="F379" s="51"/>
      <c r="G379" s="51"/>
      <c r="H379" s="51"/>
      <c r="I379" s="51"/>
      <c r="J379" s="51"/>
      <c r="K379" s="51"/>
      <c r="L379" s="51"/>
      <c r="N379" s="51"/>
      <c r="O379" s="51"/>
      <c r="P379" s="192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row>
    <row r="380" spans="1:50" s="52" customFormat="1">
      <c r="A380" s="1922"/>
      <c r="B380" s="61"/>
      <c r="C380" s="1923"/>
      <c r="D380" s="51"/>
      <c r="E380" s="144"/>
      <c r="F380" s="51"/>
      <c r="G380" s="51"/>
      <c r="H380" s="51"/>
      <c r="I380" s="51"/>
      <c r="J380" s="51"/>
      <c r="K380" s="51"/>
      <c r="L380" s="51"/>
      <c r="N380" s="51"/>
      <c r="O380" s="51"/>
      <c r="P380" s="192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row>
    <row r="381" spans="1:50" s="52" customFormat="1">
      <c r="A381" s="1922"/>
      <c r="B381" s="61"/>
      <c r="C381" s="1923"/>
      <c r="D381" s="51"/>
      <c r="E381" s="144"/>
      <c r="F381" s="51"/>
      <c r="G381" s="51"/>
      <c r="H381" s="51"/>
      <c r="I381" s="51"/>
      <c r="J381" s="51"/>
      <c r="K381" s="51"/>
      <c r="L381" s="51"/>
      <c r="N381" s="51"/>
      <c r="O381" s="51"/>
      <c r="P381" s="192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row>
    <row r="382" spans="1:50" s="52" customFormat="1">
      <c r="A382" s="1922"/>
      <c r="B382" s="61"/>
      <c r="C382" s="1923"/>
      <c r="D382" s="51"/>
      <c r="E382" s="144"/>
      <c r="F382" s="51"/>
      <c r="G382" s="51"/>
      <c r="H382" s="51"/>
      <c r="I382" s="51"/>
      <c r="J382" s="51"/>
      <c r="K382" s="51"/>
      <c r="L382" s="51"/>
      <c r="N382" s="51"/>
      <c r="O382" s="51"/>
      <c r="P382" s="192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row>
    <row r="383" spans="1:50" s="52" customFormat="1">
      <c r="A383" s="1922"/>
      <c r="B383" s="61"/>
      <c r="C383" s="1923"/>
      <c r="D383" s="51"/>
      <c r="E383" s="144"/>
      <c r="F383" s="51"/>
      <c r="G383" s="51"/>
      <c r="H383" s="51"/>
      <c r="I383" s="51"/>
      <c r="J383" s="51"/>
      <c r="K383" s="51"/>
      <c r="L383" s="51"/>
      <c r="N383" s="51"/>
      <c r="O383" s="51"/>
      <c r="P383" s="192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row>
    <row r="384" spans="1:50" s="52" customFormat="1">
      <c r="A384" s="1922"/>
      <c r="B384" s="61"/>
      <c r="C384" s="1923"/>
      <c r="D384" s="51"/>
      <c r="E384" s="144"/>
      <c r="F384" s="51"/>
      <c r="G384" s="51"/>
      <c r="H384" s="51"/>
      <c r="I384" s="51"/>
      <c r="J384" s="51"/>
      <c r="K384" s="51"/>
      <c r="L384" s="51"/>
      <c r="N384" s="51"/>
      <c r="O384" s="51"/>
      <c r="P384" s="192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row>
    <row r="385" spans="1:50" s="52" customFormat="1">
      <c r="A385" s="1922"/>
      <c r="B385" s="61"/>
      <c r="C385" s="1923"/>
      <c r="D385" s="51"/>
      <c r="E385" s="144"/>
      <c r="F385" s="51"/>
      <c r="G385" s="51"/>
      <c r="H385" s="51"/>
      <c r="I385" s="51"/>
      <c r="J385" s="51"/>
      <c r="K385" s="51"/>
      <c r="L385" s="51"/>
      <c r="N385" s="51"/>
      <c r="O385" s="51"/>
      <c r="P385" s="192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row>
    <row r="386" spans="1:50" s="52" customFormat="1">
      <c r="A386" s="1922"/>
      <c r="B386" s="61"/>
      <c r="C386" s="1923"/>
      <c r="D386" s="51"/>
      <c r="E386" s="144"/>
      <c r="F386" s="51"/>
      <c r="G386" s="51"/>
      <c r="H386" s="51"/>
      <c r="I386" s="51"/>
      <c r="J386" s="51"/>
      <c r="K386" s="51"/>
      <c r="L386" s="51"/>
      <c r="N386" s="51"/>
      <c r="O386" s="51"/>
      <c r="P386" s="192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row>
    <row r="387" spans="1:50" s="52" customFormat="1">
      <c r="A387" s="1922"/>
      <c r="B387" s="61"/>
      <c r="C387" s="1923"/>
      <c r="D387" s="51"/>
      <c r="E387" s="144"/>
      <c r="F387" s="51"/>
      <c r="G387" s="51"/>
      <c r="H387" s="51"/>
      <c r="I387" s="51"/>
      <c r="J387" s="51"/>
      <c r="K387" s="51"/>
      <c r="L387" s="51"/>
      <c r="N387" s="51"/>
      <c r="O387" s="51"/>
      <c r="P387" s="192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row>
    <row r="388" spans="1:50" s="52" customFormat="1">
      <c r="A388" s="1922"/>
      <c r="B388" s="61"/>
      <c r="C388" s="1923"/>
      <c r="D388" s="51"/>
      <c r="E388" s="144"/>
      <c r="F388" s="51"/>
      <c r="G388" s="51"/>
      <c r="H388" s="51"/>
      <c r="I388" s="51"/>
      <c r="J388" s="51"/>
      <c r="K388" s="51"/>
      <c r="L388" s="51"/>
      <c r="N388" s="51"/>
      <c r="O388" s="51"/>
      <c r="P388" s="192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row>
    <row r="389" spans="1:50" s="52" customFormat="1">
      <c r="A389" s="1922"/>
      <c r="B389" s="61"/>
      <c r="C389" s="1923"/>
      <c r="D389" s="51"/>
      <c r="E389" s="144"/>
      <c r="F389" s="51"/>
      <c r="G389" s="51"/>
      <c r="H389" s="51"/>
      <c r="I389" s="51"/>
      <c r="J389" s="51"/>
      <c r="K389" s="51"/>
      <c r="L389" s="51"/>
      <c r="N389" s="51"/>
      <c r="O389" s="51"/>
      <c r="P389" s="192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row>
    <row r="390" spans="1:50" s="52" customFormat="1">
      <c r="A390" s="1922"/>
      <c r="B390" s="61"/>
      <c r="C390" s="1923"/>
      <c r="D390" s="51"/>
      <c r="E390" s="144"/>
      <c r="F390" s="51"/>
      <c r="G390" s="51"/>
      <c r="H390" s="51"/>
      <c r="I390" s="51"/>
      <c r="J390" s="51"/>
      <c r="K390" s="51"/>
      <c r="L390" s="51"/>
      <c r="N390" s="51"/>
      <c r="O390" s="51"/>
      <c r="P390" s="192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row>
    <row r="391" spans="1:50" s="52" customFormat="1">
      <c r="A391" s="1922"/>
      <c r="B391" s="61"/>
      <c r="C391" s="1923"/>
      <c r="D391" s="51"/>
      <c r="E391" s="144"/>
      <c r="F391" s="51"/>
      <c r="G391" s="51"/>
      <c r="H391" s="51"/>
      <c r="I391" s="51"/>
      <c r="J391" s="51"/>
      <c r="K391" s="51"/>
      <c r="L391" s="51"/>
      <c r="N391" s="51"/>
      <c r="O391" s="51"/>
      <c r="P391" s="192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row>
    <row r="392" spans="1:50" s="52" customFormat="1">
      <c r="A392" s="1922"/>
      <c r="B392" s="61"/>
      <c r="C392" s="1923"/>
      <c r="D392" s="51"/>
      <c r="E392" s="144"/>
      <c r="F392" s="51"/>
      <c r="G392" s="51"/>
      <c r="H392" s="51"/>
      <c r="I392" s="51"/>
      <c r="J392" s="51"/>
      <c r="K392" s="51"/>
      <c r="L392" s="51"/>
      <c r="N392" s="51"/>
      <c r="O392" s="51"/>
      <c r="P392" s="192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row>
    <row r="393" spans="1:50" s="52" customFormat="1">
      <c r="A393" s="1922"/>
      <c r="B393" s="61"/>
      <c r="C393" s="1923"/>
      <c r="D393" s="51"/>
      <c r="E393" s="144"/>
      <c r="F393" s="51"/>
      <c r="G393" s="51"/>
      <c r="H393" s="51"/>
      <c r="I393" s="51"/>
      <c r="J393" s="51"/>
      <c r="K393" s="51"/>
      <c r="L393" s="51"/>
      <c r="N393" s="51"/>
      <c r="O393" s="51"/>
      <c r="P393" s="192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row>
    <row r="394" spans="1:50" s="52" customFormat="1">
      <c r="A394" s="1922"/>
      <c r="B394" s="61"/>
      <c r="C394" s="1923"/>
      <c r="D394" s="51"/>
      <c r="E394" s="144"/>
      <c r="F394" s="51"/>
      <c r="G394" s="51"/>
      <c r="H394" s="51"/>
      <c r="I394" s="51"/>
      <c r="J394" s="51"/>
      <c r="K394" s="51"/>
      <c r="L394" s="51"/>
      <c r="N394" s="51"/>
      <c r="O394" s="51"/>
      <c r="P394" s="192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row>
    <row r="395" spans="1:50" s="52" customFormat="1">
      <c r="A395" s="1922"/>
      <c r="B395" s="61"/>
      <c r="C395" s="1923"/>
      <c r="D395" s="51"/>
      <c r="E395" s="144"/>
      <c r="F395" s="51"/>
      <c r="G395" s="51"/>
      <c r="H395" s="51"/>
      <c r="I395" s="51"/>
      <c r="J395" s="51"/>
      <c r="K395" s="51"/>
      <c r="L395" s="51"/>
      <c r="N395" s="51"/>
      <c r="O395" s="51"/>
      <c r="P395" s="192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row>
    <row r="396" spans="1:50" s="52" customFormat="1">
      <c r="A396" s="1922"/>
      <c r="B396" s="61"/>
      <c r="C396" s="1923"/>
      <c r="D396" s="51"/>
      <c r="E396" s="144"/>
      <c r="F396" s="51"/>
      <c r="G396" s="51"/>
      <c r="H396" s="51"/>
      <c r="I396" s="51"/>
      <c r="J396" s="51"/>
      <c r="K396" s="51"/>
      <c r="L396" s="51"/>
      <c r="N396" s="51"/>
      <c r="O396" s="51"/>
      <c r="P396" s="192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row>
    <row r="397" spans="1:50" s="52" customFormat="1">
      <c r="A397" s="1922"/>
      <c r="B397" s="61"/>
      <c r="C397" s="1923"/>
      <c r="D397" s="51"/>
      <c r="E397" s="144"/>
      <c r="F397" s="51"/>
      <c r="G397" s="51"/>
      <c r="H397" s="51"/>
      <c r="I397" s="51"/>
      <c r="J397" s="51"/>
      <c r="K397" s="51"/>
      <c r="L397" s="51"/>
      <c r="N397" s="51"/>
      <c r="O397" s="51"/>
      <c r="P397" s="192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row>
    <row r="398" spans="1:50" s="52" customFormat="1">
      <c r="A398" s="1922"/>
      <c r="B398" s="61"/>
      <c r="C398" s="1923"/>
      <c r="D398" s="51"/>
      <c r="E398" s="144"/>
      <c r="F398" s="51"/>
      <c r="G398" s="51"/>
      <c r="H398" s="51"/>
      <c r="I398" s="51"/>
      <c r="J398" s="51"/>
      <c r="K398" s="51"/>
      <c r="L398" s="51"/>
      <c r="N398" s="51"/>
      <c r="O398" s="51"/>
      <c r="P398" s="192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row>
    <row r="399" spans="1:50" s="52" customFormat="1">
      <c r="A399" s="1922"/>
      <c r="B399" s="61"/>
      <c r="C399" s="1923"/>
      <c r="D399" s="51"/>
      <c r="E399" s="144"/>
      <c r="F399" s="51"/>
      <c r="G399" s="51"/>
      <c r="H399" s="51"/>
      <c r="I399" s="51"/>
      <c r="J399" s="51"/>
      <c r="K399" s="51"/>
      <c r="L399" s="51"/>
      <c r="N399" s="51"/>
      <c r="O399" s="51"/>
      <c r="P399" s="192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row>
    <row r="400" spans="1:50" s="52" customFormat="1">
      <c r="A400" s="1922"/>
      <c r="B400" s="61"/>
      <c r="C400" s="1923"/>
      <c r="D400" s="51"/>
      <c r="E400" s="144"/>
      <c r="F400" s="51"/>
      <c r="G400" s="51"/>
      <c r="H400" s="51"/>
      <c r="I400" s="51"/>
      <c r="J400" s="51"/>
      <c r="K400" s="51"/>
      <c r="L400" s="51"/>
      <c r="N400" s="51"/>
      <c r="O400" s="51"/>
      <c r="P400" s="192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row>
    <row r="401" spans="1:50" s="52" customFormat="1">
      <c r="A401" s="1922"/>
      <c r="B401" s="61"/>
      <c r="C401" s="1923"/>
      <c r="D401" s="51"/>
      <c r="E401" s="144"/>
      <c r="F401" s="51"/>
      <c r="G401" s="51"/>
      <c r="H401" s="51"/>
      <c r="I401" s="51"/>
      <c r="J401" s="51"/>
      <c r="K401" s="51"/>
      <c r="L401" s="51"/>
      <c r="N401" s="51"/>
      <c r="O401" s="51"/>
      <c r="P401" s="192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row>
    <row r="402" spans="1:50" s="52" customFormat="1">
      <c r="A402" s="1922"/>
      <c r="B402" s="61"/>
      <c r="C402" s="1923"/>
      <c r="D402" s="51"/>
      <c r="E402" s="144"/>
      <c r="F402" s="51"/>
      <c r="G402" s="51"/>
      <c r="H402" s="51"/>
      <c r="I402" s="51"/>
      <c r="J402" s="51"/>
      <c r="K402" s="51"/>
      <c r="L402" s="51"/>
      <c r="N402" s="51"/>
      <c r="O402" s="51"/>
      <c r="P402" s="192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row>
    <row r="403" spans="1:50" s="52" customFormat="1">
      <c r="A403" s="1922"/>
      <c r="B403" s="61"/>
      <c r="C403" s="1923"/>
      <c r="D403" s="51"/>
      <c r="E403" s="144"/>
      <c r="F403" s="51"/>
      <c r="G403" s="51"/>
      <c r="H403" s="51"/>
      <c r="I403" s="51"/>
      <c r="J403" s="51"/>
      <c r="K403" s="51"/>
      <c r="L403" s="51"/>
      <c r="N403" s="51"/>
      <c r="O403" s="51"/>
      <c r="P403" s="192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row>
    <row r="404" spans="1:50" s="52" customFormat="1">
      <c r="A404" s="1922"/>
      <c r="B404" s="61"/>
      <c r="C404" s="1923"/>
      <c r="D404" s="51"/>
      <c r="E404" s="144"/>
      <c r="F404" s="51"/>
      <c r="G404" s="51"/>
      <c r="H404" s="51"/>
      <c r="I404" s="51"/>
      <c r="J404" s="51"/>
      <c r="K404" s="51"/>
      <c r="L404" s="51"/>
      <c r="N404" s="51"/>
      <c r="O404" s="51"/>
      <c r="P404" s="192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row>
    <row r="405" spans="1:50" s="52" customFormat="1">
      <c r="A405" s="1922"/>
      <c r="B405" s="61"/>
      <c r="C405" s="1923"/>
      <c r="D405" s="51"/>
      <c r="E405" s="144"/>
      <c r="F405" s="51"/>
      <c r="G405" s="51"/>
      <c r="H405" s="51"/>
      <c r="I405" s="51"/>
      <c r="J405" s="51"/>
      <c r="K405" s="51"/>
      <c r="L405" s="51"/>
      <c r="N405" s="51"/>
      <c r="O405" s="51"/>
      <c r="P405" s="192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row>
    <row r="406" spans="1:50" s="52" customFormat="1">
      <c r="A406" s="1922"/>
      <c r="B406" s="61"/>
      <c r="C406" s="1923"/>
      <c r="D406" s="51"/>
      <c r="E406" s="144"/>
      <c r="F406" s="51"/>
      <c r="G406" s="51"/>
      <c r="H406" s="51"/>
      <c r="I406" s="51"/>
      <c r="J406" s="51"/>
      <c r="K406" s="51"/>
      <c r="L406" s="51"/>
      <c r="N406" s="51"/>
      <c r="O406" s="51"/>
      <c r="P406" s="192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row>
    <row r="407" spans="1:50" s="52" customFormat="1">
      <c r="A407" s="1922"/>
      <c r="B407" s="61"/>
      <c r="C407" s="1923"/>
      <c r="D407" s="51"/>
      <c r="E407" s="144"/>
      <c r="F407" s="51"/>
      <c r="G407" s="51"/>
      <c r="H407" s="51"/>
      <c r="I407" s="51"/>
      <c r="J407" s="51"/>
      <c r="K407" s="51"/>
      <c r="L407" s="51"/>
      <c r="N407" s="51"/>
      <c r="O407" s="51"/>
      <c r="P407" s="192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row>
    <row r="408" spans="1:50" s="52" customFormat="1">
      <c r="A408" s="1922"/>
      <c r="B408" s="61"/>
      <c r="C408" s="1923"/>
      <c r="D408" s="51"/>
      <c r="E408" s="144"/>
      <c r="F408" s="51"/>
      <c r="G408" s="51"/>
      <c r="H408" s="51"/>
      <c r="I408" s="51"/>
      <c r="J408" s="51"/>
      <c r="K408" s="51"/>
      <c r="L408" s="51"/>
      <c r="N408" s="51"/>
      <c r="O408" s="51"/>
      <c r="P408" s="192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row>
    <row r="409" spans="1:50" s="52" customFormat="1">
      <c r="A409" s="1922"/>
      <c r="B409" s="61"/>
      <c r="C409" s="1923"/>
      <c r="D409" s="51"/>
      <c r="E409" s="144"/>
      <c r="F409" s="51"/>
      <c r="G409" s="51"/>
      <c r="H409" s="51"/>
      <c r="I409" s="51"/>
      <c r="J409" s="51"/>
      <c r="K409" s="51"/>
      <c r="L409" s="51"/>
      <c r="N409" s="51"/>
      <c r="O409" s="51"/>
      <c r="P409" s="192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row>
    <row r="410" spans="1:50" s="52" customFormat="1">
      <c r="A410" s="1922"/>
      <c r="B410" s="61"/>
      <c r="C410" s="1923"/>
      <c r="D410" s="51"/>
      <c r="E410" s="144"/>
      <c r="F410" s="51"/>
      <c r="G410" s="51"/>
      <c r="H410" s="51"/>
      <c r="I410" s="51"/>
      <c r="J410" s="51"/>
      <c r="K410" s="51"/>
      <c r="L410" s="51"/>
      <c r="N410" s="51"/>
      <c r="O410" s="51"/>
      <c r="P410" s="192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row>
    <row r="411" spans="1:50" s="52" customFormat="1">
      <c r="A411" s="1922"/>
      <c r="B411" s="61"/>
      <c r="C411" s="1923"/>
      <c r="D411" s="51"/>
      <c r="E411" s="144"/>
      <c r="F411" s="51"/>
      <c r="G411" s="51"/>
      <c r="H411" s="51"/>
      <c r="I411" s="51"/>
      <c r="J411" s="51"/>
      <c r="K411" s="51"/>
      <c r="L411" s="51"/>
      <c r="N411" s="51"/>
      <c r="O411" s="51"/>
      <c r="P411" s="192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row>
    <row r="412" spans="1:50" s="52" customFormat="1">
      <c r="A412" s="1922"/>
      <c r="B412" s="61"/>
      <c r="C412" s="1923"/>
      <c r="D412" s="51"/>
      <c r="E412" s="144"/>
      <c r="F412" s="51"/>
      <c r="G412" s="51"/>
      <c r="H412" s="51"/>
      <c r="I412" s="51"/>
      <c r="J412" s="51"/>
      <c r="K412" s="51"/>
      <c r="L412" s="51"/>
      <c r="N412" s="51"/>
      <c r="O412" s="51"/>
      <c r="P412" s="192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row>
    <row r="413" spans="1:50" s="52" customFormat="1">
      <c r="A413" s="1922"/>
      <c r="B413" s="61"/>
      <c r="C413" s="1923"/>
      <c r="D413" s="51"/>
      <c r="E413" s="144"/>
      <c r="F413" s="51"/>
      <c r="G413" s="51"/>
      <c r="H413" s="51"/>
      <c r="I413" s="51"/>
      <c r="J413" s="51"/>
      <c r="K413" s="51"/>
      <c r="L413" s="51"/>
      <c r="N413" s="51"/>
      <c r="O413" s="51"/>
      <c r="P413" s="192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row>
    <row r="414" spans="1:50" s="52" customFormat="1">
      <c r="A414" s="1922"/>
      <c r="B414" s="61"/>
      <c r="C414" s="1923"/>
      <c r="D414" s="51"/>
      <c r="E414" s="144"/>
      <c r="F414" s="51"/>
      <c r="G414" s="51"/>
      <c r="H414" s="51"/>
      <c r="I414" s="51"/>
      <c r="J414" s="51"/>
      <c r="K414" s="51"/>
      <c r="L414" s="51"/>
      <c r="N414" s="51"/>
      <c r="O414" s="51"/>
      <c r="P414" s="192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row>
    <row r="415" spans="1:50" s="52" customFormat="1">
      <c r="A415" s="1922"/>
      <c r="B415" s="61"/>
      <c r="C415" s="1923"/>
      <c r="D415" s="51"/>
      <c r="E415" s="144"/>
      <c r="F415" s="51"/>
      <c r="G415" s="51"/>
      <c r="H415" s="51"/>
      <c r="I415" s="51"/>
      <c r="J415" s="51"/>
      <c r="K415" s="51"/>
      <c r="L415" s="51"/>
      <c r="N415" s="51"/>
      <c r="O415" s="51"/>
      <c r="P415" s="192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row>
    <row r="416" spans="1:50" s="52" customFormat="1">
      <c r="A416" s="1922"/>
      <c r="B416" s="61"/>
      <c r="C416" s="1923"/>
      <c r="D416" s="51"/>
      <c r="E416" s="144"/>
      <c r="F416" s="51"/>
      <c r="G416" s="51"/>
      <c r="H416" s="51"/>
      <c r="I416" s="51"/>
      <c r="J416" s="51"/>
      <c r="K416" s="51"/>
      <c r="L416" s="51"/>
      <c r="N416" s="51"/>
      <c r="O416" s="51"/>
      <c r="P416" s="192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row>
    <row r="417" spans="1:50" s="52" customFormat="1">
      <c r="A417" s="1922"/>
      <c r="B417" s="61"/>
      <c r="C417" s="1923"/>
      <c r="D417" s="51"/>
      <c r="E417" s="144"/>
      <c r="F417" s="51"/>
      <c r="G417" s="51"/>
      <c r="H417" s="51"/>
      <c r="I417" s="51"/>
      <c r="J417" s="51"/>
      <c r="K417" s="51"/>
      <c r="L417" s="51"/>
      <c r="N417" s="51"/>
      <c r="O417" s="51"/>
      <c r="P417" s="192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row>
    <row r="418" spans="1:50" s="52" customFormat="1">
      <c r="A418" s="1922"/>
      <c r="B418" s="61"/>
      <c r="C418" s="1923"/>
      <c r="D418" s="51"/>
      <c r="E418" s="144"/>
      <c r="F418" s="51"/>
      <c r="G418" s="51"/>
      <c r="H418" s="51"/>
      <c r="I418" s="51"/>
      <c r="J418" s="51"/>
      <c r="K418" s="51"/>
      <c r="L418" s="51"/>
      <c r="N418" s="51"/>
      <c r="O418" s="51"/>
      <c r="P418" s="192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row>
    <row r="419" spans="1:50" s="52" customFormat="1">
      <c r="A419" s="1922"/>
      <c r="B419" s="61"/>
      <c r="C419" s="1923"/>
      <c r="D419" s="51"/>
      <c r="E419" s="144"/>
      <c r="F419" s="51"/>
      <c r="G419" s="51"/>
      <c r="H419" s="51"/>
      <c r="I419" s="51"/>
      <c r="J419" s="51"/>
      <c r="K419" s="51"/>
      <c r="L419" s="51"/>
      <c r="N419" s="51"/>
      <c r="O419" s="51"/>
      <c r="P419" s="192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row>
    <row r="420" spans="1:50" s="52" customFormat="1">
      <c r="A420" s="1922"/>
      <c r="B420" s="61"/>
      <c r="C420" s="1923"/>
      <c r="D420" s="51"/>
      <c r="E420" s="144"/>
      <c r="F420" s="51"/>
      <c r="G420" s="51"/>
      <c r="H420" s="51"/>
      <c r="I420" s="51"/>
      <c r="J420" s="51"/>
      <c r="K420" s="51"/>
      <c r="L420" s="51"/>
      <c r="N420" s="51"/>
      <c r="O420" s="51"/>
      <c r="P420" s="192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row>
    <row r="421" spans="1:50" s="52" customFormat="1">
      <c r="A421" s="1922"/>
      <c r="B421" s="61"/>
      <c r="C421" s="1923"/>
      <c r="D421" s="51"/>
      <c r="E421" s="144"/>
      <c r="F421" s="51"/>
      <c r="G421" s="51"/>
      <c r="H421" s="51"/>
      <c r="I421" s="51"/>
      <c r="J421" s="51"/>
      <c r="K421" s="51"/>
      <c r="L421" s="51"/>
      <c r="N421" s="51"/>
      <c r="O421" s="51"/>
      <c r="P421" s="192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row>
    <row r="422" spans="1:50" s="52" customFormat="1">
      <c r="A422" s="1922"/>
      <c r="B422" s="61"/>
      <c r="C422" s="1923"/>
      <c r="D422" s="51"/>
      <c r="E422" s="144"/>
      <c r="F422" s="51"/>
      <c r="G422" s="51"/>
      <c r="H422" s="51"/>
      <c r="I422" s="51"/>
      <c r="J422" s="51"/>
      <c r="K422" s="51"/>
      <c r="L422" s="51"/>
      <c r="N422" s="51"/>
      <c r="O422" s="51"/>
      <c r="P422" s="192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row>
    <row r="423" spans="1:50" s="52" customFormat="1">
      <c r="A423" s="1922"/>
      <c r="B423" s="61"/>
      <c r="C423" s="1923"/>
      <c r="D423" s="51"/>
      <c r="E423" s="144"/>
      <c r="F423" s="51"/>
      <c r="G423" s="51"/>
      <c r="H423" s="51"/>
      <c r="I423" s="51"/>
      <c r="J423" s="51"/>
      <c r="K423" s="51"/>
      <c r="L423" s="51"/>
      <c r="N423" s="51"/>
      <c r="O423" s="51"/>
      <c r="P423" s="192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row>
    <row r="424" spans="1:50" s="52" customFormat="1">
      <c r="A424" s="1922"/>
      <c r="B424" s="61"/>
      <c r="C424" s="1923"/>
      <c r="D424" s="51"/>
      <c r="E424" s="144"/>
      <c r="F424" s="51"/>
      <c r="G424" s="51"/>
      <c r="H424" s="51"/>
      <c r="I424" s="51"/>
      <c r="J424" s="51"/>
      <c r="K424" s="51"/>
      <c r="L424" s="51"/>
      <c r="N424" s="51"/>
      <c r="O424" s="51"/>
      <c r="P424" s="192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row>
    <row r="425" spans="1:50" s="52" customFormat="1">
      <c r="A425" s="1922"/>
      <c r="B425" s="61"/>
      <c r="C425" s="1923"/>
      <c r="D425" s="51"/>
      <c r="E425" s="144"/>
      <c r="F425" s="51"/>
      <c r="G425" s="51"/>
      <c r="H425" s="51"/>
      <c r="I425" s="51"/>
      <c r="J425" s="51"/>
      <c r="K425" s="51"/>
      <c r="L425" s="51"/>
      <c r="N425" s="51"/>
      <c r="O425" s="51"/>
      <c r="P425" s="192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row>
    <row r="426" spans="1:50" s="52" customFormat="1">
      <c r="A426" s="1922"/>
      <c r="B426" s="61"/>
      <c r="C426" s="1923"/>
      <c r="D426" s="51"/>
      <c r="E426" s="144"/>
      <c r="F426" s="51"/>
      <c r="G426" s="51"/>
      <c r="H426" s="51"/>
      <c r="I426" s="51"/>
      <c r="J426" s="51"/>
      <c r="K426" s="51"/>
      <c r="L426" s="51"/>
      <c r="N426" s="51"/>
      <c r="O426" s="51"/>
      <c r="P426" s="192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row>
    <row r="427" spans="1:50" s="52" customFormat="1">
      <c r="A427" s="1922"/>
      <c r="B427" s="61"/>
      <c r="C427" s="1923"/>
      <c r="D427" s="51"/>
      <c r="E427" s="144"/>
      <c r="F427" s="51"/>
      <c r="G427" s="51"/>
      <c r="H427" s="51"/>
      <c r="I427" s="51"/>
      <c r="J427" s="51"/>
      <c r="K427" s="51"/>
      <c r="L427" s="51"/>
      <c r="N427" s="51"/>
      <c r="O427" s="51"/>
      <c r="P427" s="192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row>
    <row r="428" spans="1:50" s="52" customFormat="1">
      <c r="A428" s="1922"/>
      <c r="B428" s="61"/>
      <c r="C428" s="1923"/>
      <c r="D428" s="51"/>
      <c r="E428" s="144"/>
      <c r="F428" s="51"/>
      <c r="G428" s="51"/>
      <c r="H428" s="51"/>
      <c r="I428" s="51"/>
      <c r="J428" s="51"/>
      <c r="K428" s="51"/>
      <c r="L428" s="51"/>
      <c r="N428" s="51"/>
      <c r="O428" s="51"/>
      <c r="P428" s="192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row>
    <row r="429" spans="1:50" s="52" customFormat="1">
      <c r="A429" s="1922"/>
      <c r="B429" s="61"/>
      <c r="C429" s="1923"/>
      <c r="D429" s="51"/>
      <c r="E429" s="144"/>
      <c r="F429" s="51"/>
      <c r="G429" s="51"/>
      <c r="H429" s="51"/>
      <c r="I429" s="51"/>
      <c r="J429" s="51"/>
      <c r="K429" s="51"/>
      <c r="L429" s="51"/>
      <c r="N429" s="51"/>
      <c r="O429" s="51"/>
      <c r="P429" s="192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row>
    <row r="430" spans="1:50" s="52" customFormat="1">
      <c r="A430" s="1922"/>
      <c r="B430" s="61"/>
      <c r="C430" s="1923"/>
      <c r="D430" s="51"/>
      <c r="E430" s="144"/>
      <c r="F430" s="51"/>
      <c r="G430" s="51"/>
      <c r="H430" s="51"/>
      <c r="I430" s="51"/>
      <c r="J430" s="51"/>
      <c r="K430" s="51"/>
      <c r="L430" s="51"/>
      <c r="N430" s="51"/>
      <c r="O430" s="51"/>
      <c r="P430" s="192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row>
    <row r="431" spans="1:50" s="52" customFormat="1">
      <c r="A431" s="1922"/>
      <c r="B431" s="61"/>
      <c r="C431" s="1923"/>
      <c r="D431" s="51"/>
      <c r="E431" s="144"/>
      <c r="F431" s="51"/>
      <c r="G431" s="51"/>
      <c r="H431" s="51"/>
      <c r="I431" s="51"/>
      <c r="J431" s="51"/>
      <c r="K431" s="51"/>
      <c r="L431" s="51"/>
      <c r="N431" s="51"/>
      <c r="O431" s="51"/>
      <c r="P431" s="192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row>
    <row r="432" spans="1:50" s="52" customFormat="1">
      <c r="A432" s="1922"/>
      <c r="B432" s="61"/>
      <c r="C432" s="1923"/>
      <c r="D432" s="51"/>
      <c r="E432" s="144"/>
      <c r="F432" s="51"/>
      <c r="G432" s="51"/>
      <c r="H432" s="51"/>
      <c r="I432" s="51"/>
      <c r="J432" s="51"/>
      <c r="K432" s="51"/>
      <c r="L432" s="51"/>
      <c r="N432" s="51"/>
      <c r="O432" s="51"/>
      <c r="P432" s="192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row>
    <row r="433" spans="1:50" s="52" customFormat="1">
      <c r="A433" s="1922"/>
      <c r="B433" s="61"/>
      <c r="C433" s="1923"/>
      <c r="D433" s="51"/>
      <c r="E433" s="144"/>
      <c r="F433" s="51"/>
      <c r="G433" s="51"/>
      <c r="H433" s="51"/>
      <c r="I433" s="51"/>
      <c r="J433" s="51"/>
      <c r="K433" s="51"/>
      <c r="L433" s="51"/>
      <c r="N433" s="51"/>
      <c r="O433" s="51"/>
      <c r="P433" s="192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row>
    <row r="434" spans="1:50" s="52" customFormat="1">
      <c r="A434" s="1922"/>
      <c r="B434" s="61"/>
      <c r="C434" s="1923"/>
      <c r="D434" s="51"/>
      <c r="E434" s="144"/>
      <c r="F434" s="51"/>
      <c r="G434" s="51"/>
      <c r="H434" s="51"/>
      <c r="I434" s="51"/>
      <c r="J434" s="51"/>
      <c r="K434" s="51"/>
      <c r="L434" s="51"/>
      <c r="N434" s="51"/>
      <c r="O434" s="51"/>
      <c r="P434" s="192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row>
    <row r="435" spans="1:50" s="52" customFormat="1">
      <c r="A435" s="1922"/>
      <c r="B435" s="61"/>
      <c r="C435" s="1923"/>
      <c r="D435" s="51"/>
      <c r="E435" s="144"/>
      <c r="F435" s="51"/>
      <c r="G435" s="51"/>
      <c r="H435" s="51"/>
      <c r="I435" s="51"/>
      <c r="J435" s="51"/>
      <c r="K435" s="51"/>
      <c r="L435" s="51"/>
      <c r="N435" s="51"/>
      <c r="O435" s="51"/>
      <c r="P435" s="192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row>
    <row r="436" spans="1:50" s="52" customFormat="1">
      <c r="A436" s="1922"/>
      <c r="B436" s="61"/>
      <c r="C436" s="1923"/>
      <c r="D436" s="51"/>
      <c r="E436" s="144"/>
      <c r="F436" s="51"/>
      <c r="G436" s="51"/>
      <c r="H436" s="51"/>
      <c r="I436" s="51"/>
      <c r="J436" s="51"/>
      <c r="K436" s="51"/>
      <c r="L436" s="51"/>
      <c r="N436" s="51"/>
      <c r="O436" s="51"/>
      <c r="P436" s="192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row>
    <row r="437" spans="1:50" s="52" customFormat="1">
      <c r="A437" s="406"/>
      <c r="B437" s="63"/>
      <c r="C437" s="1924"/>
      <c r="D437" s="61"/>
      <c r="E437" s="144"/>
      <c r="F437" s="51"/>
      <c r="G437" s="51"/>
      <c r="H437" s="51"/>
      <c r="I437" s="51"/>
      <c r="J437" s="51"/>
      <c r="K437" s="452"/>
      <c r="L437" s="51"/>
      <c r="N437" s="555"/>
      <c r="O437" s="555"/>
      <c r="P437" s="1925"/>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row>
    <row r="438" spans="1:50" s="52" customFormat="1">
      <c r="A438" s="406"/>
      <c r="B438" s="63"/>
      <c r="C438" s="1924"/>
      <c r="D438" s="61"/>
      <c r="E438" s="144"/>
      <c r="F438" s="51"/>
      <c r="G438" s="51"/>
      <c r="H438" s="51"/>
      <c r="I438" s="51"/>
      <c r="J438" s="51"/>
      <c r="K438" s="452"/>
      <c r="L438" s="51"/>
      <c r="N438" s="555"/>
      <c r="O438" s="555"/>
      <c r="P438" s="1925"/>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row>
    <row r="439" spans="1:50" s="52" customFormat="1">
      <c r="A439" s="406"/>
      <c r="B439" s="63"/>
      <c r="C439" s="1924"/>
      <c r="D439" s="61"/>
      <c r="E439" s="144"/>
      <c r="F439" s="51"/>
      <c r="G439" s="51"/>
      <c r="H439" s="51"/>
      <c r="I439" s="51"/>
      <c r="J439" s="51"/>
      <c r="K439" s="452"/>
      <c r="L439" s="51"/>
      <c r="N439" s="555"/>
      <c r="O439" s="555"/>
      <c r="P439" s="1925"/>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row>
    <row r="440" spans="1:50" s="52" customFormat="1">
      <c r="A440" s="406"/>
      <c r="B440" s="63"/>
      <c r="C440" s="1924"/>
      <c r="D440" s="61"/>
      <c r="E440" s="144"/>
      <c r="F440" s="51"/>
      <c r="G440" s="51"/>
      <c r="H440" s="51"/>
      <c r="I440" s="51"/>
      <c r="J440" s="51"/>
      <c r="K440" s="452"/>
      <c r="L440" s="51"/>
      <c r="N440" s="555"/>
      <c r="O440" s="555"/>
      <c r="P440" s="1925"/>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row>
    <row r="441" spans="1:50" s="52" customFormat="1">
      <c r="A441" s="406"/>
      <c r="B441" s="63"/>
      <c r="C441" s="1924"/>
      <c r="D441" s="61"/>
      <c r="E441" s="144"/>
      <c r="F441" s="51"/>
      <c r="G441" s="51"/>
      <c r="H441" s="51"/>
      <c r="I441" s="51"/>
      <c r="J441" s="51"/>
      <c r="K441" s="452"/>
      <c r="L441" s="51"/>
      <c r="N441" s="555"/>
      <c r="O441" s="555"/>
      <c r="P441" s="1925"/>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row>
    <row r="442" spans="1:50" s="52" customFormat="1">
      <c r="A442" s="406"/>
      <c r="B442" s="63"/>
      <c r="C442" s="1924"/>
      <c r="D442" s="61"/>
      <c r="E442" s="144"/>
      <c r="F442" s="51"/>
      <c r="G442" s="51"/>
      <c r="H442" s="51"/>
      <c r="I442" s="51"/>
      <c r="J442" s="51"/>
      <c r="K442" s="452"/>
      <c r="L442" s="51"/>
      <c r="N442" s="555"/>
      <c r="O442" s="555"/>
      <c r="P442" s="1925"/>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row>
    <row r="443" spans="1:50" s="52" customFormat="1">
      <c r="A443" s="406"/>
      <c r="B443" s="63"/>
      <c r="C443" s="1924"/>
      <c r="D443" s="61"/>
      <c r="E443" s="144"/>
      <c r="F443" s="51"/>
      <c r="G443" s="51"/>
      <c r="H443" s="51"/>
      <c r="I443" s="51"/>
      <c r="J443" s="51"/>
      <c r="K443" s="452"/>
      <c r="L443" s="51"/>
      <c r="N443" s="555"/>
      <c r="O443" s="555"/>
      <c r="P443" s="1925"/>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row>
    <row r="444" spans="1:50" s="52" customFormat="1">
      <c r="A444" s="406"/>
      <c r="B444" s="63"/>
      <c r="C444" s="1924"/>
      <c r="D444" s="61"/>
      <c r="E444" s="144"/>
      <c r="F444" s="51"/>
      <c r="G444" s="51"/>
      <c r="H444" s="51"/>
      <c r="I444" s="51"/>
      <c r="J444" s="51"/>
      <c r="K444" s="452"/>
      <c r="L444" s="51"/>
      <c r="N444" s="555"/>
      <c r="O444" s="555"/>
      <c r="P444" s="1925"/>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row>
    <row r="445" spans="1:50" s="52" customFormat="1">
      <c r="A445" s="406"/>
      <c r="B445" s="63"/>
      <c r="C445" s="1924"/>
      <c r="D445" s="61"/>
      <c r="E445" s="144"/>
      <c r="F445" s="51"/>
      <c r="G445" s="51"/>
      <c r="H445" s="51"/>
      <c r="I445" s="51"/>
      <c r="J445" s="51"/>
      <c r="K445" s="452"/>
      <c r="L445" s="51"/>
      <c r="N445" s="555"/>
      <c r="O445" s="555"/>
      <c r="P445" s="1925"/>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row>
    <row r="446" spans="1:50" s="52" customFormat="1">
      <c r="A446" s="406"/>
      <c r="B446" s="63"/>
      <c r="C446" s="1924"/>
      <c r="D446" s="61"/>
      <c r="E446" s="144"/>
      <c r="F446" s="51"/>
      <c r="G446" s="51"/>
      <c r="H446" s="51"/>
      <c r="I446" s="51"/>
      <c r="J446" s="51"/>
      <c r="K446" s="452"/>
      <c r="L446" s="51"/>
      <c r="N446" s="555"/>
      <c r="O446" s="555"/>
      <c r="P446" s="1925"/>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row>
    <row r="447" spans="1:50" s="52" customFormat="1">
      <c r="A447" s="406"/>
      <c r="B447" s="63"/>
      <c r="C447" s="1924"/>
      <c r="D447" s="61"/>
      <c r="E447" s="144"/>
      <c r="F447" s="51"/>
      <c r="G447" s="51"/>
      <c r="H447" s="51"/>
      <c r="I447" s="51"/>
      <c r="J447" s="51"/>
      <c r="K447" s="452"/>
      <c r="L447" s="51"/>
      <c r="N447" s="555"/>
      <c r="O447" s="555"/>
      <c r="P447" s="1925"/>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row>
    <row r="448" spans="1:50" s="52" customFormat="1">
      <c r="A448" s="406"/>
      <c r="B448" s="63"/>
      <c r="C448" s="1924"/>
      <c r="D448" s="61"/>
      <c r="E448" s="144"/>
      <c r="F448" s="51"/>
      <c r="G448" s="51"/>
      <c r="H448" s="51"/>
      <c r="I448" s="51"/>
      <c r="J448" s="51"/>
      <c r="K448" s="452"/>
      <c r="L448" s="51"/>
      <c r="N448" s="555"/>
      <c r="O448" s="555"/>
      <c r="P448" s="1925"/>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row>
    <row r="449" spans="1:50" s="52" customFormat="1">
      <c r="A449" s="406"/>
      <c r="B449" s="63"/>
      <c r="C449" s="1924"/>
      <c r="D449" s="61"/>
      <c r="E449" s="144"/>
      <c r="F449" s="51"/>
      <c r="G449" s="51"/>
      <c r="H449" s="51"/>
      <c r="I449" s="51"/>
      <c r="J449" s="51"/>
      <c r="K449" s="452"/>
      <c r="L449" s="51"/>
      <c r="N449" s="555"/>
      <c r="O449" s="555"/>
      <c r="P449" s="1925"/>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row>
    <row r="450" spans="1:50" s="52" customFormat="1">
      <c r="A450" s="406"/>
      <c r="B450" s="63"/>
      <c r="C450" s="1924"/>
      <c r="D450" s="61"/>
      <c r="E450" s="144"/>
      <c r="F450" s="51"/>
      <c r="G450" s="51"/>
      <c r="H450" s="51"/>
      <c r="I450" s="51"/>
      <c r="J450" s="51"/>
      <c r="K450" s="452"/>
      <c r="L450" s="51"/>
      <c r="N450" s="555"/>
      <c r="O450" s="555"/>
      <c r="P450" s="1925"/>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row>
    <row r="451" spans="1:50" s="52" customFormat="1">
      <c r="A451" s="406"/>
      <c r="B451" s="63"/>
      <c r="C451" s="1924"/>
      <c r="D451" s="61"/>
      <c r="E451" s="144"/>
      <c r="F451" s="51"/>
      <c r="G451" s="51"/>
      <c r="H451" s="51"/>
      <c r="I451" s="51"/>
      <c r="J451" s="51"/>
      <c r="K451" s="452"/>
      <c r="L451" s="51"/>
      <c r="N451" s="555"/>
      <c r="O451" s="555"/>
      <c r="P451" s="1925"/>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row>
    <row r="452" spans="1:50" s="52" customFormat="1">
      <c r="A452" s="406"/>
      <c r="B452" s="63"/>
      <c r="C452" s="1924"/>
      <c r="D452" s="61"/>
      <c r="E452" s="144"/>
      <c r="F452" s="51"/>
      <c r="G452" s="51"/>
      <c r="H452" s="51"/>
      <c r="I452" s="51"/>
      <c r="J452" s="51"/>
      <c r="K452" s="452"/>
      <c r="L452" s="51"/>
      <c r="N452" s="555"/>
      <c r="O452" s="555"/>
      <c r="P452" s="1925"/>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row>
    <row r="453" spans="1:50" s="52" customFormat="1">
      <c r="A453" s="406"/>
      <c r="B453" s="63"/>
      <c r="C453" s="1924"/>
      <c r="D453" s="61"/>
      <c r="E453" s="144"/>
      <c r="F453" s="51"/>
      <c r="G453" s="51"/>
      <c r="H453" s="51"/>
      <c r="I453" s="51"/>
      <c r="J453" s="51"/>
      <c r="K453" s="452"/>
      <c r="L453" s="51"/>
      <c r="N453" s="555"/>
      <c r="O453" s="555"/>
      <c r="P453" s="1925"/>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row>
    <row r="454" spans="1:50" s="52" customFormat="1">
      <c r="A454" s="406"/>
      <c r="B454" s="63"/>
      <c r="C454" s="1924"/>
      <c r="D454" s="61"/>
      <c r="E454" s="144"/>
      <c r="F454" s="51"/>
      <c r="G454" s="51"/>
      <c r="H454" s="51"/>
      <c r="I454" s="51"/>
      <c r="J454" s="51"/>
      <c r="K454" s="452"/>
      <c r="L454" s="51"/>
      <c r="N454" s="555"/>
      <c r="O454" s="555"/>
      <c r="P454" s="1925"/>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row>
    <row r="455" spans="1:50" s="52" customFormat="1">
      <c r="A455" s="406"/>
      <c r="B455" s="63"/>
      <c r="C455" s="1924"/>
      <c r="D455" s="61"/>
      <c r="E455" s="144"/>
      <c r="F455" s="51"/>
      <c r="G455" s="51"/>
      <c r="H455" s="51"/>
      <c r="I455" s="51"/>
      <c r="J455" s="51"/>
      <c r="K455" s="452"/>
      <c r="L455" s="51"/>
      <c r="N455" s="555"/>
      <c r="O455" s="555"/>
      <c r="P455" s="1925"/>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row>
    <row r="456" spans="1:50" s="52" customFormat="1">
      <c r="A456" s="406"/>
      <c r="B456" s="63"/>
      <c r="C456" s="1924"/>
      <c r="D456" s="61"/>
      <c r="E456" s="144"/>
      <c r="F456" s="51"/>
      <c r="G456" s="51"/>
      <c r="H456" s="51"/>
      <c r="I456" s="51"/>
      <c r="J456" s="51"/>
      <c r="K456" s="452"/>
      <c r="L456" s="51"/>
      <c r="N456" s="555"/>
      <c r="O456" s="555"/>
      <c r="P456" s="1925"/>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row>
    <row r="457" spans="1:50" s="52" customFormat="1">
      <c r="A457" s="406"/>
      <c r="B457" s="63"/>
      <c r="C457" s="1924"/>
      <c r="D457" s="61"/>
      <c r="E457" s="144"/>
      <c r="F457" s="51"/>
      <c r="G457" s="51"/>
      <c r="H457" s="51"/>
      <c r="I457" s="51"/>
      <c r="J457" s="51"/>
      <c r="K457" s="452"/>
      <c r="L457" s="51"/>
      <c r="N457" s="555"/>
      <c r="O457" s="555"/>
      <c r="P457" s="1925"/>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row>
    <row r="458" spans="1:50" s="52" customFormat="1">
      <c r="A458" s="406"/>
      <c r="B458" s="63"/>
      <c r="C458" s="1924"/>
      <c r="D458" s="61"/>
      <c r="E458" s="144"/>
      <c r="F458" s="51"/>
      <c r="G458" s="51"/>
      <c r="H458" s="51"/>
      <c r="I458" s="51"/>
      <c r="J458" s="51"/>
      <c r="K458" s="452"/>
      <c r="L458" s="51"/>
      <c r="N458" s="555"/>
      <c r="O458" s="555"/>
      <c r="P458" s="1925"/>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row>
    <row r="459" spans="1:50" s="52" customFormat="1">
      <c r="A459" s="406"/>
      <c r="B459" s="63"/>
      <c r="C459" s="1924"/>
      <c r="D459" s="61"/>
      <c r="E459" s="144"/>
      <c r="F459" s="51"/>
      <c r="G459" s="51"/>
      <c r="H459" s="51"/>
      <c r="I459" s="51"/>
      <c r="J459" s="51"/>
      <c r="K459" s="452"/>
      <c r="L459" s="51"/>
      <c r="N459" s="555"/>
      <c r="O459" s="555"/>
      <c r="P459" s="1925"/>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row>
    <row r="460" spans="1:50" s="52" customFormat="1">
      <c r="A460" s="406"/>
      <c r="B460" s="63"/>
      <c r="C460" s="1924"/>
      <c r="D460" s="61"/>
      <c r="E460" s="144"/>
      <c r="F460" s="51"/>
      <c r="G460" s="51"/>
      <c r="H460" s="51"/>
      <c r="I460" s="51"/>
      <c r="J460" s="51"/>
      <c r="K460" s="452"/>
      <c r="L460" s="51"/>
      <c r="N460" s="555"/>
      <c r="O460" s="555"/>
      <c r="P460" s="1925"/>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row>
    <row r="461" spans="1:50" s="52" customFormat="1">
      <c r="A461" s="406"/>
      <c r="B461" s="63"/>
      <c r="C461" s="1924"/>
      <c r="D461" s="61"/>
      <c r="E461" s="144"/>
      <c r="F461" s="51"/>
      <c r="G461" s="51"/>
      <c r="H461" s="51"/>
      <c r="I461" s="51"/>
      <c r="J461" s="51"/>
      <c r="K461" s="452"/>
      <c r="L461" s="51"/>
      <c r="N461" s="555"/>
      <c r="O461" s="555"/>
      <c r="P461" s="1925"/>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row>
    <row r="462" spans="1:50" s="52" customFormat="1">
      <c r="A462" s="406"/>
      <c r="B462" s="63"/>
      <c r="C462" s="1924"/>
      <c r="D462" s="61"/>
      <c r="E462" s="144"/>
      <c r="F462" s="51"/>
      <c r="G462" s="51"/>
      <c r="H462" s="51"/>
      <c r="I462" s="51"/>
      <c r="J462" s="51"/>
      <c r="K462" s="452"/>
      <c r="L462" s="51"/>
      <c r="N462" s="555"/>
      <c r="O462" s="555"/>
      <c r="P462" s="1925"/>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row>
    <row r="463" spans="1:50" s="52" customFormat="1">
      <c r="A463" s="406"/>
      <c r="B463" s="63"/>
      <c r="C463" s="1924"/>
      <c r="D463" s="61"/>
      <c r="E463" s="144"/>
      <c r="F463" s="51"/>
      <c r="G463" s="51"/>
      <c r="H463" s="51"/>
      <c r="I463" s="51"/>
      <c r="J463" s="51"/>
      <c r="K463" s="452"/>
      <c r="L463" s="51"/>
      <c r="N463" s="555"/>
      <c r="O463" s="555"/>
      <c r="P463" s="1925"/>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row>
    <row r="464" spans="1:50" s="52" customFormat="1">
      <c r="A464" s="406"/>
      <c r="B464" s="63"/>
      <c r="C464" s="1924"/>
      <c r="D464" s="61"/>
      <c r="E464" s="144"/>
      <c r="F464" s="51"/>
      <c r="G464" s="51"/>
      <c r="H464" s="51"/>
      <c r="I464" s="51"/>
      <c r="J464" s="51"/>
      <c r="K464" s="452"/>
      <c r="L464" s="51"/>
      <c r="N464" s="555"/>
      <c r="O464" s="555"/>
      <c r="P464" s="1925"/>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row>
    <row r="465" spans="1:50" s="52" customFormat="1">
      <c r="A465" s="406"/>
      <c r="B465" s="63"/>
      <c r="C465" s="1924"/>
      <c r="D465" s="61"/>
      <c r="E465" s="144"/>
      <c r="F465" s="51"/>
      <c r="G465" s="51"/>
      <c r="H465" s="51"/>
      <c r="I465" s="51"/>
      <c r="J465" s="51"/>
      <c r="K465" s="452"/>
      <c r="L465" s="51"/>
      <c r="N465" s="555"/>
      <c r="O465" s="555"/>
      <c r="P465" s="1925"/>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row>
    <row r="466" spans="1:50" s="52" customFormat="1">
      <c r="A466" s="406"/>
      <c r="B466" s="63"/>
      <c r="C466" s="1924"/>
      <c r="D466" s="61"/>
      <c r="E466" s="144"/>
      <c r="F466" s="51"/>
      <c r="G466" s="51"/>
      <c r="H466" s="51"/>
      <c r="I466" s="51"/>
      <c r="J466" s="51"/>
      <c r="K466" s="452"/>
      <c r="L466" s="51"/>
      <c r="N466" s="555"/>
      <c r="O466" s="555"/>
      <c r="P466" s="1925"/>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row>
    <row r="467" spans="1:50" s="52" customFormat="1">
      <c r="A467" s="406"/>
      <c r="B467" s="63"/>
      <c r="C467" s="1924"/>
      <c r="D467" s="61"/>
      <c r="E467" s="144"/>
      <c r="F467" s="51"/>
      <c r="G467" s="51"/>
      <c r="H467" s="51"/>
      <c r="I467" s="51"/>
      <c r="J467" s="51"/>
      <c r="K467" s="452"/>
      <c r="L467" s="51"/>
      <c r="N467" s="555"/>
      <c r="O467" s="555"/>
      <c r="P467" s="1925"/>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row>
    <row r="468" spans="1:50" s="52" customFormat="1">
      <c r="A468" s="406"/>
      <c r="B468" s="63"/>
      <c r="C468" s="1924"/>
      <c r="D468" s="61"/>
      <c r="E468" s="144"/>
      <c r="F468" s="51"/>
      <c r="G468" s="51"/>
      <c r="H468" s="51"/>
      <c r="I468" s="51"/>
      <c r="J468" s="51"/>
      <c r="K468" s="452"/>
      <c r="L468" s="51"/>
      <c r="N468" s="555"/>
      <c r="O468" s="555"/>
      <c r="P468" s="1925"/>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row>
    <row r="469" spans="1:50" s="52" customFormat="1">
      <c r="A469" s="406"/>
      <c r="B469" s="63"/>
      <c r="C469" s="1924"/>
      <c r="D469" s="61"/>
      <c r="E469" s="144"/>
      <c r="F469" s="51"/>
      <c r="G469" s="51"/>
      <c r="H469" s="51"/>
      <c r="I469" s="51"/>
      <c r="J469" s="51"/>
      <c r="K469" s="452"/>
      <c r="L469" s="51"/>
      <c r="N469" s="555"/>
      <c r="O469" s="555"/>
      <c r="P469" s="1925"/>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row>
    <row r="470" spans="1:50" s="52" customFormat="1">
      <c r="A470" s="406"/>
      <c r="B470" s="63"/>
      <c r="C470" s="1924"/>
      <c r="D470" s="61"/>
      <c r="E470" s="144"/>
      <c r="F470" s="51"/>
      <c r="G470" s="51"/>
      <c r="H470" s="51"/>
      <c r="I470" s="51"/>
      <c r="J470" s="51"/>
      <c r="K470" s="452"/>
      <c r="L470" s="51"/>
      <c r="N470" s="555"/>
      <c r="O470" s="555"/>
      <c r="P470" s="1925"/>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row>
    <row r="471" spans="1:50" s="52" customFormat="1">
      <c r="A471" s="406"/>
      <c r="B471" s="63"/>
      <c r="C471" s="1924"/>
      <c r="D471" s="61"/>
      <c r="E471" s="144"/>
      <c r="F471" s="51"/>
      <c r="G471" s="51"/>
      <c r="H471" s="51"/>
      <c r="I471" s="51"/>
      <c r="J471" s="51"/>
      <c r="K471" s="452"/>
      <c r="L471" s="51"/>
      <c r="N471" s="555"/>
      <c r="O471" s="555"/>
      <c r="P471" s="1925"/>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row>
    <row r="472" spans="1:50" s="52" customFormat="1">
      <c r="A472" s="406"/>
      <c r="B472" s="63"/>
      <c r="C472" s="1924"/>
      <c r="D472" s="61"/>
      <c r="E472" s="144"/>
      <c r="F472" s="51"/>
      <c r="G472" s="51"/>
      <c r="H472" s="51"/>
      <c r="I472" s="51"/>
      <c r="J472" s="51"/>
      <c r="K472" s="452"/>
      <c r="L472" s="51"/>
      <c r="N472" s="555"/>
      <c r="O472" s="555"/>
      <c r="P472" s="1925"/>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row>
    <row r="473" spans="1:50" s="52" customFormat="1">
      <c r="A473" s="406"/>
      <c r="B473" s="63"/>
      <c r="C473" s="1924"/>
      <c r="D473" s="61"/>
      <c r="E473" s="144"/>
      <c r="F473" s="51"/>
      <c r="G473" s="51"/>
      <c r="H473" s="51"/>
      <c r="I473" s="51"/>
      <c r="J473" s="51"/>
      <c r="K473" s="452"/>
      <c r="L473" s="51"/>
      <c r="N473" s="555"/>
      <c r="O473" s="555"/>
      <c r="P473" s="1925"/>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row>
    <row r="474" spans="1:50" s="52" customFormat="1">
      <c r="A474" s="406"/>
      <c r="B474" s="63"/>
      <c r="C474" s="1924"/>
      <c r="D474" s="61"/>
      <c r="E474" s="144"/>
      <c r="F474" s="51"/>
      <c r="G474" s="51"/>
      <c r="H474" s="51"/>
      <c r="I474" s="51"/>
      <c r="J474" s="51"/>
      <c r="K474" s="452"/>
      <c r="L474" s="51"/>
      <c r="N474" s="555"/>
      <c r="O474" s="555"/>
      <c r="P474" s="1925"/>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row>
    <row r="475" spans="1:50" s="52" customFormat="1">
      <c r="A475" s="406"/>
      <c r="B475" s="63"/>
      <c r="C475" s="1924"/>
      <c r="D475" s="61"/>
      <c r="E475" s="144"/>
      <c r="F475" s="51"/>
      <c r="G475" s="51"/>
      <c r="H475" s="51"/>
      <c r="I475" s="51"/>
      <c r="J475" s="51"/>
      <c r="K475" s="452"/>
      <c r="L475" s="51"/>
      <c r="N475" s="555"/>
      <c r="O475" s="555"/>
      <c r="P475" s="1925"/>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row>
    <row r="476" spans="1:50" s="52" customFormat="1">
      <c r="A476" s="406"/>
      <c r="B476" s="63"/>
      <c r="C476" s="1924"/>
      <c r="D476" s="61"/>
      <c r="E476" s="144"/>
      <c r="F476" s="51"/>
      <c r="G476" s="51"/>
      <c r="H476" s="51"/>
      <c r="I476" s="51"/>
      <c r="J476" s="51"/>
      <c r="K476" s="452"/>
      <c r="L476" s="51"/>
      <c r="N476" s="555"/>
      <c r="O476" s="555"/>
      <c r="P476" s="1925"/>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row>
    <row r="477" spans="1:50" s="52" customFormat="1">
      <c r="A477" s="406"/>
      <c r="B477" s="63"/>
      <c r="C477" s="1924"/>
      <c r="D477" s="61"/>
      <c r="E477" s="144"/>
      <c r="F477" s="51"/>
      <c r="G477" s="51"/>
      <c r="H477" s="51"/>
      <c r="I477" s="51"/>
      <c r="J477" s="51"/>
      <c r="K477" s="452"/>
      <c r="L477" s="51"/>
      <c r="N477" s="555"/>
      <c r="O477" s="555"/>
      <c r="P477" s="1925"/>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row>
    <row r="478" spans="1:50" s="52" customFormat="1">
      <c r="A478" s="406"/>
      <c r="B478" s="63"/>
      <c r="C478" s="1924"/>
      <c r="D478" s="61"/>
      <c r="E478" s="144"/>
      <c r="F478" s="51"/>
      <c r="G478" s="51"/>
      <c r="H478" s="51"/>
      <c r="I478" s="51"/>
      <c r="J478" s="51"/>
      <c r="K478" s="452"/>
      <c r="L478" s="51"/>
      <c r="N478" s="555"/>
      <c r="O478" s="555"/>
      <c r="P478" s="1925"/>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row>
    <row r="479" spans="1:50" s="52" customFormat="1">
      <c r="A479" s="406"/>
      <c r="B479" s="63"/>
      <c r="C479" s="1924"/>
      <c r="D479" s="61"/>
      <c r="E479" s="144"/>
      <c r="F479" s="51"/>
      <c r="G479" s="51"/>
      <c r="H479" s="51"/>
      <c r="I479" s="51"/>
      <c r="J479" s="51"/>
      <c r="K479" s="452"/>
      <c r="L479" s="51"/>
      <c r="N479" s="555"/>
      <c r="O479" s="555"/>
      <c r="P479" s="1925"/>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row>
    <row r="480" spans="1:50" s="52" customFormat="1">
      <c r="A480" s="406"/>
      <c r="B480" s="63"/>
      <c r="C480" s="1924"/>
      <c r="D480" s="61"/>
      <c r="E480" s="144"/>
      <c r="F480" s="51"/>
      <c r="G480" s="51"/>
      <c r="H480" s="51"/>
      <c r="I480" s="51"/>
      <c r="J480" s="51"/>
      <c r="K480" s="452"/>
      <c r="L480" s="51"/>
      <c r="N480" s="555"/>
      <c r="O480" s="555"/>
      <c r="P480" s="1925"/>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row>
    <row r="481" spans="1:50" s="52" customFormat="1">
      <c r="A481" s="406"/>
      <c r="B481" s="63"/>
      <c r="C481" s="1924"/>
      <c r="D481" s="61"/>
      <c r="E481" s="144"/>
      <c r="F481" s="51"/>
      <c r="G481" s="51"/>
      <c r="H481" s="51"/>
      <c r="I481" s="51"/>
      <c r="J481" s="51"/>
      <c r="K481" s="452"/>
      <c r="L481" s="51"/>
      <c r="N481" s="555"/>
      <c r="O481" s="555"/>
      <c r="P481" s="1925"/>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row>
    <row r="482" spans="1:50" s="52" customFormat="1">
      <c r="A482" s="406"/>
      <c r="B482" s="63"/>
      <c r="C482" s="1924"/>
      <c r="D482" s="61"/>
      <c r="E482" s="144"/>
      <c r="F482" s="51"/>
      <c r="G482" s="51"/>
      <c r="H482" s="51"/>
      <c r="I482" s="51"/>
      <c r="J482" s="51"/>
      <c r="K482" s="452"/>
      <c r="L482" s="51"/>
      <c r="N482" s="555"/>
      <c r="O482" s="555"/>
      <c r="P482" s="1925"/>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row>
    <row r="483" spans="1:50" s="52" customFormat="1">
      <c r="A483" s="406"/>
      <c r="B483" s="63"/>
      <c r="C483" s="1924"/>
      <c r="D483" s="61"/>
      <c r="E483" s="144"/>
      <c r="F483" s="51"/>
      <c r="G483" s="51"/>
      <c r="H483" s="51"/>
      <c r="I483" s="51"/>
      <c r="J483" s="51"/>
      <c r="K483" s="452"/>
      <c r="L483" s="51"/>
      <c r="N483" s="555"/>
      <c r="O483" s="555"/>
      <c r="P483" s="1925"/>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row>
    <row r="484" spans="1:50" s="52" customFormat="1">
      <c r="A484" s="406"/>
      <c r="B484" s="63"/>
      <c r="C484" s="1924"/>
      <c r="D484" s="61"/>
      <c r="E484" s="144"/>
      <c r="F484" s="51"/>
      <c r="G484" s="51"/>
      <c r="H484" s="51"/>
      <c r="I484" s="51"/>
      <c r="J484" s="51"/>
      <c r="K484" s="452"/>
      <c r="L484" s="51"/>
      <c r="N484" s="555"/>
      <c r="O484" s="555"/>
      <c r="P484" s="1925"/>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row>
    <row r="485" spans="1:50" s="52" customFormat="1">
      <c r="A485" s="406"/>
      <c r="B485" s="63"/>
      <c r="C485" s="1924"/>
      <c r="D485" s="61"/>
      <c r="E485" s="144"/>
      <c r="F485" s="51"/>
      <c r="G485" s="51"/>
      <c r="H485" s="51"/>
      <c r="I485" s="51"/>
      <c r="J485" s="51"/>
      <c r="K485" s="452"/>
      <c r="L485" s="51"/>
      <c r="N485" s="555"/>
      <c r="O485" s="555"/>
      <c r="P485" s="1925"/>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row>
    <row r="486" spans="1:50" s="52" customFormat="1">
      <c r="A486" s="406"/>
      <c r="B486" s="63"/>
      <c r="C486" s="1924"/>
      <c r="D486" s="61"/>
      <c r="E486" s="144"/>
      <c r="F486" s="51"/>
      <c r="G486" s="51"/>
      <c r="H486" s="51"/>
      <c r="I486" s="51"/>
      <c r="J486" s="51"/>
      <c r="K486" s="452"/>
      <c r="L486" s="51"/>
      <c r="N486" s="555"/>
      <c r="O486" s="555"/>
      <c r="P486" s="1925"/>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row>
    <row r="487" spans="1:50" s="52" customFormat="1">
      <c r="A487" s="406"/>
      <c r="B487" s="63"/>
      <c r="C487" s="1924"/>
      <c r="D487" s="61"/>
      <c r="E487" s="144"/>
      <c r="F487" s="51"/>
      <c r="G487" s="51"/>
      <c r="H487" s="51"/>
      <c r="I487" s="51"/>
      <c r="J487" s="51"/>
      <c r="K487" s="452"/>
      <c r="L487" s="51"/>
      <c r="N487" s="555"/>
      <c r="O487" s="555"/>
      <c r="P487" s="1925"/>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row>
    <row r="488" spans="1:50" s="52" customFormat="1">
      <c r="A488" s="406"/>
      <c r="B488" s="63"/>
      <c r="C488" s="1924"/>
      <c r="D488" s="61"/>
      <c r="E488" s="144"/>
      <c r="F488" s="51"/>
      <c r="G488" s="51"/>
      <c r="H488" s="51"/>
      <c r="I488" s="51"/>
      <c r="J488" s="51"/>
      <c r="K488" s="452"/>
      <c r="L488" s="51"/>
      <c r="N488" s="555"/>
      <c r="O488" s="555"/>
      <c r="P488" s="1925"/>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row>
    <row r="489" spans="1:50" s="52" customFormat="1">
      <c r="A489" s="406"/>
      <c r="B489" s="63"/>
      <c r="C489" s="1924"/>
      <c r="D489" s="61"/>
      <c r="E489" s="144"/>
      <c r="F489" s="51"/>
      <c r="G489" s="51"/>
      <c r="H489" s="51"/>
      <c r="I489" s="51"/>
      <c r="J489" s="51"/>
      <c r="K489" s="452"/>
      <c r="L489" s="51"/>
      <c r="N489" s="555"/>
      <c r="O489" s="555"/>
      <c r="P489" s="1925"/>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row>
    <row r="490" spans="1:50" s="52" customFormat="1">
      <c r="A490" s="406"/>
      <c r="B490" s="63"/>
      <c r="C490" s="1924"/>
      <c r="D490" s="61"/>
      <c r="E490" s="144"/>
      <c r="F490" s="51"/>
      <c r="G490" s="51"/>
      <c r="H490" s="51"/>
      <c r="I490" s="51"/>
      <c r="J490" s="51"/>
      <c r="K490" s="452"/>
      <c r="L490" s="51"/>
      <c r="N490" s="555"/>
      <c r="O490" s="555"/>
      <c r="P490" s="1925"/>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row>
    <row r="491" spans="1:50" s="52" customFormat="1">
      <c r="A491" s="406"/>
      <c r="B491" s="63"/>
      <c r="C491" s="1924"/>
      <c r="D491" s="61"/>
      <c r="E491" s="144"/>
      <c r="F491" s="51"/>
      <c r="G491" s="51"/>
      <c r="H491" s="51"/>
      <c r="I491" s="51"/>
      <c r="J491" s="51"/>
      <c r="K491" s="452"/>
      <c r="L491" s="51"/>
      <c r="N491" s="555"/>
      <c r="O491" s="555"/>
      <c r="P491" s="1925"/>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row>
    <row r="492" spans="1:50" s="52" customFormat="1">
      <c r="A492" s="406"/>
      <c r="B492" s="63"/>
      <c r="C492" s="1924"/>
      <c r="D492" s="61"/>
      <c r="E492" s="144"/>
      <c r="F492" s="51"/>
      <c r="G492" s="51"/>
      <c r="H492" s="51"/>
      <c r="I492" s="51"/>
      <c r="J492" s="51"/>
      <c r="K492" s="452"/>
      <c r="L492" s="51"/>
      <c r="N492" s="555"/>
      <c r="O492" s="555"/>
      <c r="P492" s="1925"/>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row>
    <row r="493" spans="1:50" s="52" customFormat="1">
      <c r="A493" s="406"/>
      <c r="B493" s="63"/>
      <c r="C493" s="1924"/>
      <c r="D493" s="61"/>
      <c r="E493" s="144"/>
      <c r="F493" s="51"/>
      <c r="G493" s="51"/>
      <c r="H493" s="51"/>
      <c r="I493" s="51"/>
      <c r="J493" s="51"/>
      <c r="K493" s="452"/>
      <c r="L493" s="51"/>
      <c r="N493" s="555"/>
      <c r="O493" s="555"/>
      <c r="P493" s="1925"/>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row>
    <row r="494" spans="1:50" s="52" customFormat="1">
      <c r="A494" s="406"/>
      <c r="B494" s="63"/>
      <c r="C494" s="1924"/>
      <c r="D494" s="61"/>
      <c r="E494" s="144"/>
      <c r="F494" s="51"/>
      <c r="G494" s="51"/>
      <c r="H494" s="51"/>
      <c r="I494" s="51"/>
      <c r="J494" s="51"/>
      <c r="K494" s="452"/>
      <c r="L494" s="51"/>
      <c r="N494" s="555"/>
      <c r="O494" s="555"/>
      <c r="P494" s="1925"/>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row>
    <row r="495" spans="1:50" s="52" customFormat="1">
      <c r="A495" s="406"/>
      <c r="B495" s="63"/>
      <c r="C495" s="1924"/>
      <c r="D495" s="61"/>
      <c r="E495" s="144"/>
      <c r="F495" s="51"/>
      <c r="G495" s="51"/>
      <c r="H495" s="51"/>
      <c r="I495" s="51"/>
      <c r="J495" s="51"/>
      <c r="K495" s="452"/>
      <c r="L495" s="51"/>
      <c r="N495" s="555"/>
      <c r="O495" s="555"/>
      <c r="P495" s="1925"/>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row>
    <row r="496" spans="1:50" s="52" customFormat="1">
      <c r="A496" s="406"/>
      <c r="B496" s="63"/>
      <c r="C496" s="1924"/>
      <c r="D496" s="61"/>
      <c r="E496" s="144"/>
      <c r="F496" s="51"/>
      <c r="G496" s="51"/>
      <c r="H496" s="51"/>
      <c r="I496" s="51"/>
      <c r="J496" s="51"/>
      <c r="K496" s="452"/>
      <c r="L496" s="51"/>
      <c r="N496" s="555"/>
      <c r="O496" s="555"/>
      <c r="P496" s="1925"/>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row>
    <row r="497" spans="1:50" s="52" customFormat="1">
      <c r="A497" s="406"/>
      <c r="B497" s="63"/>
      <c r="C497" s="1924"/>
      <c r="D497" s="61"/>
      <c r="E497" s="144"/>
      <c r="F497" s="51"/>
      <c r="G497" s="51"/>
      <c r="H497" s="51"/>
      <c r="I497" s="51"/>
      <c r="J497" s="51"/>
      <c r="K497" s="452"/>
      <c r="L497" s="51"/>
      <c r="N497" s="555"/>
      <c r="O497" s="555"/>
      <c r="P497" s="1925"/>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row>
    <row r="498" spans="1:50" s="52" customFormat="1">
      <c r="A498" s="406"/>
      <c r="B498" s="63"/>
      <c r="C498" s="1924"/>
      <c r="D498" s="61"/>
      <c r="E498" s="144"/>
      <c r="F498" s="51"/>
      <c r="G498" s="51"/>
      <c r="H498" s="51"/>
      <c r="I498" s="51"/>
      <c r="J498" s="51"/>
      <c r="K498" s="452"/>
      <c r="L498" s="51"/>
      <c r="N498" s="555"/>
      <c r="O498" s="555"/>
      <c r="P498" s="1925"/>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row>
    <row r="499" spans="1:50" s="52" customFormat="1">
      <c r="A499" s="406"/>
      <c r="B499" s="63"/>
      <c r="C499" s="1924"/>
      <c r="D499" s="61"/>
      <c r="E499" s="144"/>
      <c r="F499" s="51"/>
      <c r="G499" s="51"/>
      <c r="H499" s="51"/>
      <c r="I499" s="51"/>
      <c r="J499" s="51"/>
      <c r="K499" s="452"/>
      <c r="L499" s="51"/>
      <c r="N499" s="555"/>
      <c r="O499" s="555"/>
      <c r="P499" s="1925"/>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row>
    <row r="500" spans="1:50" s="52" customFormat="1">
      <c r="A500" s="406"/>
      <c r="B500" s="63"/>
      <c r="C500" s="1924"/>
      <c r="D500" s="61"/>
      <c r="E500" s="144"/>
      <c r="F500" s="51"/>
      <c r="G500" s="51"/>
      <c r="H500" s="51"/>
      <c r="I500" s="51"/>
      <c r="J500" s="51"/>
      <c r="K500" s="452"/>
      <c r="L500" s="51"/>
      <c r="N500" s="555"/>
      <c r="O500" s="555"/>
      <c r="P500" s="1925"/>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row>
    <row r="501" spans="1:50" s="52" customFormat="1">
      <c r="A501" s="406"/>
      <c r="B501" s="63"/>
      <c r="C501" s="1924"/>
      <c r="D501" s="61"/>
      <c r="E501" s="144"/>
      <c r="F501" s="51"/>
      <c r="G501" s="51"/>
      <c r="H501" s="51"/>
      <c r="I501" s="51"/>
      <c r="J501" s="51"/>
      <c r="K501" s="452"/>
      <c r="L501" s="51"/>
      <c r="N501" s="555"/>
      <c r="O501" s="555"/>
      <c r="P501" s="1925"/>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row>
    <row r="502" spans="1:50" s="52" customFormat="1">
      <c r="A502" s="406"/>
      <c r="B502" s="63"/>
      <c r="C502" s="1924"/>
      <c r="D502" s="61"/>
      <c r="E502" s="144"/>
      <c r="F502" s="51"/>
      <c r="G502" s="51"/>
      <c r="H502" s="51"/>
      <c r="I502" s="51"/>
      <c r="J502" s="51"/>
      <c r="K502" s="452"/>
      <c r="L502" s="51"/>
      <c r="N502" s="555"/>
      <c r="O502" s="555"/>
      <c r="P502" s="1925"/>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row>
    <row r="503" spans="1:50" s="52" customFormat="1">
      <c r="A503" s="406"/>
      <c r="B503" s="63"/>
      <c r="C503" s="1924"/>
      <c r="D503" s="61"/>
      <c r="E503" s="144"/>
      <c r="F503" s="51"/>
      <c r="G503" s="51"/>
      <c r="H503" s="51"/>
      <c r="I503" s="51"/>
      <c r="J503" s="51"/>
      <c r="K503" s="452"/>
      <c r="L503" s="51"/>
      <c r="N503" s="555"/>
      <c r="O503" s="555"/>
      <c r="P503" s="1925"/>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row>
    <row r="504" spans="1:50" s="52" customFormat="1">
      <c r="A504" s="406"/>
      <c r="B504" s="63"/>
      <c r="C504" s="1924"/>
      <c r="D504" s="61"/>
      <c r="E504" s="144"/>
      <c r="F504" s="51"/>
      <c r="G504" s="51"/>
      <c r="H504" s="51"/>
      <c r="I504" s="51"/>
      <c r="J504" s="51"/>
      <c r="K504" s="452"/>
      <c r="L504" s="51"/>
      <c r="N504" s="555"/>
      <c r="O504" s="555"/>
      <c r="P504" s="1925"/>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row>
    <row r="505" spans="1:50" s="52" customFormat="1">
      <c r="A505" s="406"/>
      <c r="B505" s="63"/>
      <c r="C505" s="1924"/>
      <c r="D505" s="61"/>
      <c r="E505" s="144"/>
      <c r="F505" s="51"/>
      <c r="G505" s="51"/>
      <c r="H505" s="51"/>
      <c r="I505" s="51"/>
      <c r="J505" s="51"/>
      <c r="K505" s="452"/>
      <c r="L505" s="51"/>
      <c r="N505" s="555"/>
      <c r="O505" s="555"/>
      <c r="P505" s="1925"/>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row>
    <row r="506" spans="1:50" s="52" customFormat="1">
      <c r="A506" s="406"/>
      <c r="B506" s="63"/>
      <c r="C506" s="1924"/>
      <c r="D506" s="61"/>
      <c r="E506" s="144"/>
      <c r="F506" s="51"/>
      <c r="G506" s="51"/>
      <c r="H506" s="51"/>
      <c r="I506" s="51"/>
      <c r="J506" s="51"/>
      <c r="K506" s="452"/>
      <c r="L506" s="51"/>
      <c r="N506" s="555"/>
      <c r="O506" s="555"/>
      <c r="P506" s="1925"/>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row>
    <row r="507" spans="1:50" s="52" customFormat="1">
      <c r="A507" s="406"/>
      <c r="B507" s="63"/>
      <c r="C507" s="1924"/>
      <c r="D507" s="61"/>
      <c r="E507" s="144"/>
      <c r="F507" s="51"/>
      <c r="G507" s="51"/>
      <c r="H507" s="51"/>
      <c r="I507" s="51"/>
      <c r="J507" s="51"/>
      <c r="K507" s="452"/>
      <c r="L507" s="51"/>
      <c r="N507" s="555"/>
      <c r="O507" s="555"/>
      <c r="P507" s="1925"/>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row>
    <row r="508" spans="1:50" s="52" customFormat="1">
      <c r="A508" s="406"/>
      <c r="B508" s="63"/>
      <c r="C508" s="1924"/>
      <c r="D508" s="61"/>
      <c r="E508" s="144"/>
      <c r="F508" s="51"/>
      <c r="G508" s="51"/>
      <c r="H508" s="51"/>
      <c r="I508" s="51"/>
      <c r="J508" s="51"/>
      <c r="K508" s="452"/>
      <c r="L508" s="51"/>
      <c r="N508" s="555"/>
      <c r="O508" s="555"/>
      <c r="P508" s="1925"/>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row>
    <row r="509" spans="1:50" s="52" customFormat="1">
      <c r="A509" s="406"/>
      <c r="B509" s="63"/>
      <c r="C509" s="1924"/>
      <c r="D509" s="61"/>
      <c r="E509" s="144"/>
      <c r="F509" s="51"/>
      <c r="G509" s="51"/>
      <c r="H509" s="51"/>
      <c r="I509" s="51"/>
      <c r="J509" s="51"/>
      <c r="K509" s="452"/>
      <c r="L509" s="51"/>
      <c r="N509" s="555"/>
      <c r="O509" s="555"/>
      <c r="P509" s="1925"/>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row>
    <row r="510" spans="1:50" s="52" customFormat="1">
      <c r="A510" s="406"/>
      <c r="B510" s="63"/>
      <c r="C510" s="1924"/>
      <c r="D510" s="61"/>
      <c r="E510" s="144"/>
      <c r="F510" s="51"/>
      <c r="G510" s="51"/>
      <c r="H510" s="51"/>
      <c r="I510" s="51"/>
      <c r="J510" s="51"/>
      <c r="K510" s="452"/>
      <c r="L510" s="51"/>
      <c r="N510" s="555"/>
      <c r="O510" s="555"/>
      <c r="P510" s="1925"/>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row>
    <row r="511" spans="1:50" s="52" customFormat="1">
      <c r="A511" s="406"/>
      <c r="B511" s="63"/>
      <c r="C511" s="1924"/>
      <c r="D511" s="61"/>
      <c r="E511" s="144"/>
      <c r="F511" s="51"/>
      <c r="G511" s="51"/>
      <c r="H511" s="51"/>
      <c r="I511" s="51"/>
      <c r="J511" s="51"/>
      <c r="K511" s="452"/>
      <c r="L511" s="51"/>
      <c r="N511" s="555"/>
      <c r="O511" s="555"/>
      <c r="P511" s="1925"/>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row>
    <row r="512" spans="1:50" s="52" customFormat="1">
      <c r="A512" s="406"/>
      <c r="B512" s="63"/>
      <c r="C512" s="1924"/>
      <c r="D512" s="61"/>
      <c r="E512" s="144"/>
      <c r="F512" s="51"/>
      <c r="G512" s="51"/>
      <c r="H512" s="51"/>
      <c r="I512" s="51"/>
      <c r="J512" s="51"/>
      <c r="K512" s="452"/>
      <c r="L512" s="51"/>
      <c r="N512" s="555"/>
      <c r="O512" s="555"/>
      <c r="P512" s="1925"/>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row>
    <row r="513" spans="1:50" s="52" customFormat="1">
      <c r="A513" s="406"/>
      <c r="B513" s="63"/>
      <c r="C513" s="1924"/>
      <c r="D513" s="61"/>
      <c r="E513" s="144"/>
      <c r="F513" s="51"/>
      <c r="G513" s="51"/>
      <c r="H513" s="51"/>
      <c r="I513" s="51"/>
      <c r="J513" s="51"/>
      <c r="K513" s="452"/>
      <c r="L513" s="51"/>
      <c r="N513" s="555"/>
      <c r="O513" s="555"/>
      <c r="P513" s="1925"/>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row>
    <row r="514" spans="1:50" s="52" customFormat="1">
      <c r="A514" s="406"/>
      <c r="B514" s="63"/>
      <c r="C514" s="1924"/>
      <c r="D514" s="61"/>
      <c r="E514" s="144"/>
      <c r="F514" s="51"/>
      <c r="G514" s="51"/>
      <c r="H514" s="51"/>
      <c r="I514" s="51"/>
      <c r="J514" s="51"/>
      <c r="K514" s="452"/>
      <c r="L514" s="51"/>
      <c r="N514" s="555"/>
      <c r="O514" s="555"/>
      <c r="P514" s="1925"/>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row>
    <row r="515" spans="1:50" s="52" customFormat="1">
      <c r="A515" s="406"/>
      <c r="B515" s="63"/>
      <c r="C515" s="1924"/>
      <c r="D515" s="61"/>
      <c r="E515" s="144"/>
      <c r="F515" s="51"/>
      <c r="G515" s="51"/>
      <c r="H515" s="51"/>
      <c r="I515" s="51"/>
      <c r="J515" s="51"/>
      <c r="K515" s="452"/>
      <c r="L515" s="51"/>
      <c r="N515" s="555"/>
      <c r="O515" s="555"/>
      <c r="P515" s="1925"/>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row>
    <row r="516" spans="1:50" s="52" customFormat="1">
      <c r="A516" s="406"/>
      <c r="B516" s="63"/>
      <c r="C516" s="1924"/>
      <c r="D516" s="61"/>
      <c r="E516" s="144"/>
      <c r="F516" s="51"/>
      <c r="G516" s="51"/>
      <c r="H516" s="51"/>
      <c r="I516" s="51"/>
      <c r="J516" s="51"/>
      <c r="K516" s="452"/>
      <c r="L516" s="51"/>
      <c r="N516" s="555"/>
      <c r="O516" s="555"/>
      <c r="P516" s="1925"/>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row>
    <row r="517" spans="1:50" s="52" customFormat="1">
      <c r="A517" s="406"/>
      <c r="B517" s="63"/>
      <c r="C517" s="1924"/>
      <c r="D517" s="61"/>
      <c r="E517" s="144"/>
      <c r="F517" s="51"/>
      <c r="G517" s="51"/>
      <c r="H517" s="51"/>
      <c r="I517" s="51"/>
      <c r="J517" s="51"/>
      <c r="K517" s="452"/>
      <c r="L517" s="51"/>
      <c r="N517" s="555"/>
      <c r="O517" s="555"/>
      <c r="P517" s="1925"/>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row>
    <row r="518" spans="1:50" s="52" customFormat="1">
      <c r="A518" s="406"/>
      <c r="B518" s="63"/>
      <c r="C518" s="1924"/>
      <c r="D518" s="61"/>
      <c r="E518" s="144"/>
      <c r="F518" s="51"/>
      <c r="G518" s="51"/>
      <c r="H518" s="51"/>
      <c r="I518" s="51"/>
      <c r="J518" s="51"/>
      <c r="K518" s="452"/>
      <c r="L518" s="51"/>
      <c r="N518" s="555"/>
      <c r="O518" s="555"/>
      <c r="P518" s="1925"/>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row>
    <row r="519" spans="1:50" s="52" customFormat="1">
      <c r="A519" s="406"/>
      <c r="B519" s="63"/>
      <c r="C519" s="1924"/>
      <c r="D519" s="61"/>
      <c r="E519" s="144"/>
      <c r="F519" s="51"/>
      <c r="G519" s="51"/>
      <c r="H519" s="51"/>
      <c r="I519" s="51"/>
      <c r="J519" s="51"/>
      <c r="K519" s="452"/>
      <c r="L519" s="51"/>
      <c r="N519" s="555"/>
      <c r="O519" s="555"/>
      <c r="P519" s="1925"/>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row>
    <row r="520" spans="1:50" s="52" customFormat="1">
      <c r="A520" s="406"/>
      <c r="B520" s="63"/>
      <c r="C520" s="1924"/>
      <c r="D520" s="61"/>
      <c r="E520" s="144"/>
      <c r="F520" s="51"/>
      <c r="G520" s="51"/>
      <c r="H520" s="51"/>
      <c r="I520" s="51"/>
      <c r="J520" s="51"/>
      <c r="K520" s="452"/>
      <c r="L520" s="51"/>
      <c r="N520" s="555"/>
      <c r="O520" s="555"/>
      <c r="P520" s="1925"/>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row>
    <row r="521" spans="1:50" s="52" customFormat="1">
      <c r="A521" s="406"/>
      <c r="B521" s="63"/>
      <c r="C521" s="1924"/>
      <c r="D521" s="61"/>
      <c r="E521" s="144"/>
      <c r="F521" s="51"/>
      <c r="G521" s="51"/>
      <c r="H521" s="51"/>
      <c r="I521" s="51"/>
      <c r="J521" s="51"/>
      <c r="K521" s="452"/>
      <c r="L521" s="51"/>
      <c r="N521" s="555"/>
      <c r="O521" s="555"/>
      <c r="P521" s="1925"/>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row>
    <row r="522" spans="1:50" s="52" customFormat="1">
      <c r="A522" s="406"/>
      <c r="B522" s="63"/>
      <c r="C522" s="1924"/>
      <c r="D522" s="61"/>
      <c r="E522" s="144"/>
      <c r="F522" s="51"/>
      <c r="G522" s="51"/>
      <c r="H522" s="51"/>
      <c r="I522" s="51"/>
      <c r="J522" s="51"/>
      <c r="K522" s="452"/>
      <c r="L522" s="51"/>
      <c r="N522" s="555"/>
      <c r="O522" s="555"/>
      <c r="P522" s="1925"/>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row>
    <row r="523" spans="1:50" s="52" customFormat="1">
      <c r="A523" s="406"/>
      <c r="B523" s="63"/>
      <c r="C523" s="1924"/>
      <c r="D523" s="61"/>
      <c r="E523" s="144"/>
      <c r="F523" s="51"/>
      <c r="G523" s="51"/>
      <c r="H523" s="51"/>
      <c r="I523" s="51"/>
      <c r="J523" s="51"/>
      <c r="K523" s="452"/>
      <c r="L523" s="51"/>
      <c r="N523" s="555"/>
      <c r="O523" s="555"/>
      <c r="P523" s="1925"/>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row>
    <row r="524" spans="1:50" s="52" customFormat="1">
      <c r="A524" s="406"/>
      <c r="B524" s="63"/>
      <c r="C524" s="1924"/>
      <c r="D524" s="61"/>
      <c r="E524" s="144"/>
      <c r="F524" s="51"/>
      <c r="G524" s="51"/>
      <c r="H524" s="51"/>
      <c r="I524" s="51"/>
      <c r="J524" s="51"/>
      <c r="K524" s="452"/>
      <c r="L524" s="51"/>
      <c r="N524" s="555"/>
      <c r="O524" s="555"/>
      <c r="P524" s="1925"/>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row>
    <row r="525" spans="1:50" s="52" customFormat="1">
      <c r="A525" s="406"/>
      <c r="B525" s="63"/>
      <c r="C525" s="1924"/>
      <c r="D525" s="61"/>
      <c r="E525" s="144"/>
      <c r="F525" s="51"/>
      <c r="G525" s="51"/>
      <c r="H525" s="51"/>
      <c r="I525" s="51"/>
      <c r="J525" s="51"/>
      <c r="K525" s="452"/>
      <c r="L525" s="51"/>
      <c r="N525" s="555"/>
      <c r="O525" s="555"/>
      <c r="P525" s="1925"/>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row>
    <row r="526" spans="1:50" s="52" customFormat="1">
      <c r="A526" s="406"/>
      <c r="B526" s="63"/>
      <c r="C526" s="1924"/>
      <c r="D526" s="61"/>
      <c r="E526" s="144"/>
      <c r="F526" s="51"/>
      <c r="G526" s="51"/>
      <c r="H526" s="51"/>
      <c r="I526" s="51"/>
      <c r="J526" s="51"/>
      <c r="K526" s="452"/>
      <c r="L526" s="51"/>
      <c r="N526" s="555"/>
      <c r="O526" s="555"/>
      <c r="P526" s="1925"/>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row>
    <row r="527" spans="1:50" s="52" customFormat="1">
      <c r="A527" s="406"/>
      <c r="B527" s="63"/>
      <c r="C527" s="1924"/>
      <c r="D527" s="61"/>
      <c r="E527" s="144"/>
      <c r="F527" s="51"/>
      <c r="G527" s="51"/>
      <c r="H527" s="51"/>
      <c r="I527" s="51"/>
      <c r="J527" s="51"/>
      <c r="K527" s="452"/>
      <c r="L527" s="51"/>
      <c r="N527" s="555"/>
      <c r="O527" s="555"/>
      <c r="P527" s="1925"/>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row>
    <row r="528" spans="1:50" s="52" customFormat="1">
      <c r="A528" s="406"/>
      <c r="B528" s="63"/>
      <c r="C528" s="1924"/>
      <c r="D528" s="61"/>
      <c r="E528" s="144"/>
      <c r="F528" s="51"/>
      <c r="G528" s="51"/>
      <c r="H528" s="51"/>
      <c r="I528" s="51"/>
      <c r="J528" s="51"/>
      <c r="K528" s="452"/>
      <c r="L528" s="51"/>
      <c r="N528" s="555"/>
      <c r="O528" s="555"/>
      <c r="P528" s="1925"/>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row>
    <row r="529" spans="1:50" s="52" customFormat="1">
      <c r="A529" s="406"/>
      <c r="B529" s="63"/>
      <c r="C529" s="1924"/>
      <c r="D529" s="61"/>
      <c r="E529" s="144"/>
      <c r="F529" s="51"/>
      <c r="G529" s="51"/>
      <c r="H529" s="51"/>
      <c r="I529" s="51"/>
      <c r="J529" s="51"/>
      <c r="K529" s="452"/>
      <c r="L529" s="51"/>
      <c r="N529" s="555"/>
      <c r="O529" s="555"/>
      <c r="P529" s="1925"/>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row>
    <row r="530" spans="1:50" s="52" customFormat="1">
      <c r="A530" s="406"/>
      <c r="B530" s="63"/>
      <c r="C530" s="1924"/>
      <c r="D530" s="61"/>
      <c r="E530" s="144"/>
      <c r="F530" s="51"/>
      <c r="G530" s="51"/>
      <c r="H530" s="51"/>
      <c r="I530" s="51"/>
      <c r="J530" s="51"/>
      <c r="K530" s="452"/>
      <c r="L530" s="51"/>
      <c r="N530" s="555"/>
      <c r="O530" s="555"/>
      <c r="P530" s="1925"/>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row>
    <row r="531" spans="1:50" s="52" customFormat="1">
      <c r="A531" s="406"/>
      <c r="B531" s="63"/>
      <c r="C531" s="1924"/>
      <c r="D531" s="61"/>
      <c r="E531" s="144"/>
      <c r="F531" s="51"/>
      <c r="G531" s="51"/>
      <c r="H531" s="51"/>
      <c r="I531" s="51"/>
      <c r="J531" s="51"/>
      <c r="K531" s="452"/>
      <c r="L531" s="51"/>
      <c r="N531" s="555"/>
      <c r="O531" s="555"/>
      <c r="P531" s="1925"/>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row>
    <row r="532" spans="1:50" s="52" customFormat="1">
      <c r="A532" s="406"/>
      <c r="B532" s="63"/>
      <c r="C532" s="1924"/>
      <c r="D532" s="61"/>
      <c r="E532" s="144"/>
      <c r="F532" s="51"/>
      <c r="G532" s="51"/>
      <c r="H532" s="51"/>
      <c r="I532" s="51"/>
      <c r="J532" s="51"/>
      <c r="K532" s="452"/>
      <c r="L532" s="51"/>
      <c r="N532" s="555"/>
      <c r="O532" s="555"/>
      <c r="P532" s="1925"/>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row>
    <row r="533" spans="1:50" s="52" customFormat="1">
      <c r="A533" s="406"/>
      <c r="B533" s="63"/>
      <c r="C533" s="1924"/>
      <c r="D533" s="61"/>
      <c r="E533" s="144"/>
      <c r="F533" s="51"/>
      <c r="G533" s="51"/>
      <c r="H533" s="51"/>
      <c r="I533" s="51"/>
      <c r="J533" s="51"/>
      <c r="K533" s="452"/>
      <c r="L533" s="51"/>
      <c r="N533" s="555"/>
      <c r="O533" s="555"/>
      <c r="P533" s="1925"/>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row>
    <row r="534" spans="1:50" s="52" customFormat="1">
      <c r="A534" s="406"/>
      <c r="B534" s="63"/>
      <c r="C534" s="1924"/>
      <c r="D534" s="61"/>
      <c r="E534" s="144"/>
      <c r="F534" s="51"/>
      <c r="G534" s="51"/>
      <c r="H534" s="51"/>
      <c r="I534" s="51"/>
      <c r="J534" s="51"/>
      <c r="K534" s="452"/>
      <c r="L534" s="51"/>
      <c r="N534" s="555"/>
      <c r="O534" s="555"/>
      <c r="P534" s="1925"/>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row>
    <row r="535" spans="1:50" s="52" customFormat="1">
      <c r="A535" s="406"/>
      <c r="B535" s="63"/>
      <c r="C535" s="1924"/>
      <c r="D535" s="61"/>
      <c r="E535" s="144"/>
      <c r="F535" s="51"/>
      <c r="G535" s="51"/>
      <c r="H535" s="51"/>
      <c r="I535" s="51"/>
      <c r="J535" s="51"/>
      <c r="K535" s="452"/>
      <c r="L535" s="51"/>
      <c r="N535" s="555"/>
      <c r="O535" s="555"/>
      <c r="P535" s="1925"/>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row>
    <row r="536" spans="1:50" s="52" customFormat="1">
      <c r="A536" s="406"/>
      <c r="B536" s="63"/>
      <c r="C536" s="1924"/>
      <c r="D536" s="61"/>
      <c r="E536" s="144"/>
      <c r="F536" s="51"/>
      <c r="G536" s="51"/>
      <c r="H536" s="51"/>
      <c r="I536" s="51"/>
      <c r="J536" s="51"/>
      <c r="K536" s="452"/>
      <c r="L536" s="51"/>
      <c r="N536" s="555"/>
      <c r="O536" s="555"/>
      <c r="P536" s="1925"/>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row>
    <row r="537" spans="1:50" s="52" customFormat="1">
      <c r="A537" s="406"/>
      <c r="B537" s="63"/>
      <c r="C537" s="1924"/>
      <c r="D537" s="61"/>
      <c r="E537" s="144"/>
      <c r="F537" s="51"/>
      <c r="G537" s="51"/>
      <c r="H537" s="51"/>
      <c r="I537" s="51"/>
      <c r="J537" s="51"/>
      <c r="K537" s="452"/>
      <c r="L537" s="51"/>
      <c r="N537" s="555"/>
      <c r="O537" s="555"/>
      <c r="P537" s="1925"/>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row>
    <row r="538" spans="1:50" s="52" customFormat="1">
      <c r="A538" s="406"/>
      <c r="B538" s="63"/>
      <c r="C538" s="1924"/>
      <c r="D538" s="61"/>
      <c r="E538" s="144"/>
      <c r="F538" s="51"/>
      <c r="G538" s="51"/>
      <c r="H538" s="51"/>
      <c r="I538" s="51"/>
      <c r="J538" s="51"/>
      <c r="K538" s="452"/>
      <c r="L538" s="51"/>
      <c r="N538" s="555"/>
      <c r="O538" s="555"/>
      <c r="P538" s="1925"/>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row>
    <row r="539" spans="1:50" s="52" customFormat="1">
      <c r="A539" s="406"/>
      <c r="B539" s="63"/>
      <c r="C539" s="1924"/>
      <c r="D539" s="61"/>
      <c r="E539" s="144"/>
      <c r="F539" s="51"/>
      <c r="G539" s="51"/>
      <c r="H539" s="51"/>
      <c r="I539" s="51"/>
      <c r="J539" s="51"/>
      <c r="K539" s="452"/>
      <c r="L539" s="51"/>
      <c r="N539" s="555"/>
      <c r="O539" s="555"/>
      <c r="P539" s="1925"/>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row>
    <row r="540" spans="1:50" s="52" customFormat="1">
      <c r="A540" s="406"/>
      <c r="B540" s="63"/>
      <c r="C540" s="1924"/>
      <c r="D540" s="61"/>
      <c r="E540" s="144"/>
      <c r="F540" s="51"/>
      <c r="G540" s="51"/>
      <c r="H540" s="51"/>
      <c r="I540" s="51"/>
      <c r="J540" s="51"/>
      <c r="K540" s="452"/>
      <c r="L540" s="51"/>
      <c r="N540" s="555"/>
      <c r="O540" s="555"/>
      <c r="P540" s="1925"/>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row>
    <row r="541" spans="1:50" s="52" customFormat="1">
      <c r="A541" s="406"/>
      <c r="B541" s="63"/>
      <c r="C541" s="1924"/>
      <c r="D541" s="61"/>
      <c r="E541" s="144"/>
      <c r="F541" s="51"/>
      <c r="G541" s="51"/>
      <c r="H541" s="51"/>
      <c r="I541" s="51"/>
      <c r="J541" s="51"/>
      <c r="K541" s="452"/>
      <c r="L541" s="51"/>
      <c r="N541" s="555"/>
      <c r="O541" s="555"/>
      <c r="P541" s="1925"/>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row>
    <row r="542" spans="1:50" s="52" customFormat="1">
      <c r="A542" s="406"/>
      <c r="B542" s="63"/>
      <c r="C542" s="1924"/>
      <c r="D542" s="61"/>
      <c r="E542" s="144"/>
      <c r="F542" s="51"/>
      <c r="G542" s="51"/>
      <c r="H542" s="51"/>
      <c r="I542" s="51"/>
      <c r="J542" s="51"/>
      <c r="K542" s="452"/>
      <c r="L542" s="51"/>
      <c r="N542" s="555"/>
      <c r="O542" s="555"/>
      <c r="P542" s="1925"/>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row>
    <row r="543" spans="1:50" s="52" customFormat="1">
      <c r="A543" s="406"/>
      <c r="B543" s="63"/>
      <c r="C543" s="1924"/>
      <c r="D543" s="61"/>
      <c r="E543" s="144"/>
      <c r="F543" s="51"/>
      <c r="G543" s="51"/>
      <c r="H543" s="51"/>
      <c r="I543" s="51"/>
      <c r="J543" s="51"/>
      <c r="K543" s="452"/>
      <c r="L543" s="51"/>
      <c r="N543" s="555"/>
      <c r="O543" s="555"/>
      <c r="P543" s="1925"/>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row>
    <row r="544" spans="1:50" s="52" customFormat="1">
      <c r="A544" s="406"/>
      <c r="B544" s="63"/>
      <c r="C544" s="1924"/>
      <c r="D544" s="61"/>
      <c r="E544" s="144"/>
      <c r="F544" s="51"/>
      <c r="G544" s="51"/>
      <c r="H544" s="51"/>
      <c r="I544" s="51"/>
      <c r="J544" s="51"/>
      <c r="K544" s="452"/>
      <c r="L544" s="51"/>
      <c r="N544" s="555"/>
      <c r="O544" s="555"/>
      <c r="P544" s="1925"/>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row>
    <row r="545" spans="1:50" s="52" customFormat="1">
      <c r="A545" s="406"/>
      <c r="B545" s="63"/>
      <c r="C545" s="1924"/>
      <c r="D545" s="61"/>
      <c r="E545" s="144"/>
      <c r="F545" s="51"/>
      <c r="G545" s="51"/>
      <c r="H545" s="51"/>
      <c r="I545" s="51"/>
      <c r="J545" s="51"/>
      <c r="K545" s="452"/>
      <c r="L545" s="51"/>
      <c r="N545" s="555"/>
      <c r="O545" s="555"/>
      <c r="P545" s="1925"/>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row>
    <row r="546" spans="1:50" s="52" customFormat="1">
      <c r="A546" s="406"/>
      <c r="B546" s="63"/>
      <c r="C546" s="1924"/>
      <c r="D546" s="61"/>
      <c r="E546" s="144"/>
      <c r="F546" s="51"/>
      <c r="G546" s="51"/>
      <c r="H546" s="51"/>
      <c r="I546" s="51"/>
      <c r="J546" s="51"/>
      <c r="K546" s="452"/>
      <c r="L546" s="51"/>
      <c r="N546" s="555"/>
      <c r="O546" s="555"/>
      <c r="P546" s="1925"/>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row>
    <row r="547" spans="1:50" s="52" customFormat="1">
      <c r="A547" s="406"/>
      <c r="B547" s="63"/>
      <c r="C547" s="1924"/>
      <c r="D547" s="61"/>
      <c r="E547" s="144"/>
      <c r="F547" s="51"/>
      <c r="G547" s="51"/>
      <c r="H547" s="51"/>
      <c r="I547" s="51"/>
      <c r="J547" s="51"/>
      <c r="K547" s="452"/>
      <c r="L547" s="51"/>
      <c r="N547" s="555"/>
      <c r="O547" s="555"/>
      <c r="P547" s="1925"/>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row>
    <row r="548" spans="1:50" s="52" customFormat="1">
      <c r="A548" s="406"/>
      <c r="B548" s="63"/>
      <c r="C548" s="1924"/>
      <c r="D548" s="61"/>
      <c r="E548" s="144"/>
      <c r="F548" s="51"/>
      <c r="G548" s="51"/>
      <c r="H548" s="51"/>
      <c r="I548" s="51"/>
      <c r="J548" s="51"/>
      <c r="K548" s="452"/>
      <c r="L548" s="51"/>
      <c r="N548" s="555"/>
      <c r="O548" s="555"/>
      <c r="P548" s="1925"/>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row>
    <row r="549" spans="1:50" s="52" customFormat="1">
      <c r="A549" s="406"/>
      <c r="B549" s="63"/>
      <c r="C549" s="1924"/>
      <c r="D549" s="61"/>
      <c r="E549" s="144"/>
      <c r="F549" s="51"/>
      <c r="G549" s="51"/>
      <c r="H549" s="51"/>
      <c r="I549" s="51"/>
      <c r="J549" s="51"/>
      <c r="K549" s="452"/>
      <c r="L549" s="51"/>
      <c r="N549" s="555"/>
      <c r="O549" s="555"/>
      <c r="P549" s="1925"/>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row>
    <row r="550" spans="1:50" s="52" customFormat="1">
      <c r="A550" s="406"/>
      <c r="B550" s="63"/>
      <c r="C550" s="1924"/>
      <c r="D550" s="61"/>
      <c r="E550" s="144"/>
      <c r="F550" s="51"/>
      <c r="G550" s="51"/>
      <c r="H550" s="51"/>
      <c r="I550" s="51"/>
      <c r="J550" s="51"/>
      <c r="K550" s="452"/>
      <c r="L550" s="51"/>
      <c r="N550" s="555"/>
      <c r="O550" s="555"/>
      <c r="P550" s="1925"/>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row>
    <row r="551" spans="1:50" s="52" customFormat="1">
      <c r="A551" s="406"/>
      <c r="B551" s="63"/>
      <c r="C551" s="1924"/>
      <c r="D551" s="61"/>
      <c r="E551" s="144"/>
      <c r="F551" s="51"/>
      <c r="G551" s="51"/>
      <c r="H551" s="51"/>
      <c r="I551" s="51"/>
      <c r="J551" s="51"/>
      <c r="K551" s="452"/>
      <c r="L551" s="51"/>
      <c r="N551" s="555"/>
      <c r="O551" s="555"/>
      <c r="P551" s="1925"/>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row>
    <row r="552" spans="1:50" s="52" customFormat="1">
      <c r="A552" s="406"/>
      <c r="B552" s="63"/>
      <c r="C552" s="1924"/>
      <c r="D552" s="61"/>
      <c r="E552" s="144"/>
      <c r="F552" s="51"/>
      <c r="G552" s="51"/>
      <c r="H552" s="51"/>
      <c r="I552" s="51"/>
      <c r="J552" s="51"/>
      <c r="K552" s="452"/>
      <c r="L552" s="51"/>
      <c r="N552" s="555"/>
      <c r="O552" s="555"/>
      <c r="P552" s="1925"/>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row>
    <row r="553" spans="1:50" s="52" customFormat="1">
      <c r="A553" s="406"/>
      <c r="B553" s="63"/>
      <c r="C553" s="1924"/>
      <c r="D553" s="61"/>
      <c r="E553" s="144"/>
      <c r="F553" s="51"/>
      <c r="G553" s="51"/>
      <c r="H553" s="51"/>
      <c r="I553" s="51"/>
      <c r="J553" s="51"/>
      <c r="K553" s="452"/>
      <c r="L553" s="51"/>
      <c r="N553" s="555"/>
      <c r="O553" s="555"/>
      <c r="P553" s="1925"/>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row>
    <row r="554" spans="1:50" s="52" customFormat="1">
      <c r="A554" s="406"/>
      <c r="B554" s="63"/>
      <c r="C554" s="1924"/>
      <c r="D554" s="61"/>
      <c r="E554" s="144"/>
      <c r="F554" s="51"/>
      <c r="G554" s="51"/>
      <c r="H554" s="51"/>
      <c r="I554" s="51"/>
      <c r="J554" s="51"/>
      <c r="K554" s="452"/>
      <c r="L554" s="51"/>
      <c r="N554" s="555"/>
      <c r="O554" s="555"/>
      <c r="P554" s="1925"/>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row>
    <row r="555" spans="1:50" s="52" customFormat="1">
      <c r="A555" s="406"/>
      <c r="B555" s="63"/>
      <c r="C555" s="1924"/>
      <c r="D555" s="61"/>
      <c r="E555" s="144"/>
      <c r="F555" s="51"/>
      <c r="G555" s="51"/>
      <c r="H555" s="51"/>
      <c r="I555" s="51"/>
      <c r="J555" s="51"/>
      <c r="K555" s="452"/>
      <c r="L555" s="51"/>
      <c r="N555" s="555"/>
      <c r="O555" s="555"/>
      <c r="P555" s="1925"/>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row>
    <row r="556" spans="1:50" s="52" customFormat="1">
      <c r="A556" s="406"/>
      <c r="B556" s="63"/>
      <c r="C556" s="1924"/>
      <c r="D556" s="61"/>
      <c r="E556" s="144"/>
      <c r="F556" s="51"/>
      <c r="G556" s="51"/>
      <c r="H556" s="51"/>
      <c r="I556" s="51"/>
      <c r="J556" s="51"/>
      <c r="K556" s="452"/>
      <c r="L556" s="51"/>
      <c r="N556" s="555"/>
      <c r="O556" s="555"/>
      <c r="P556" s="1925"/>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row>
    <row r="557" spans="1:50" s="52" customFormat="1">
      <c r="A557" s="406"/>
      <c r="B557" s="63"/>
      <c r="C557" s="1924"/>
      <c r="D557" s="61"/>
      <c r="E557" s="144"/>
      <c r="F557" s="51"/>
      <c r="G557" s="51"/>
      <c r="H557" s="51"/>
      <c r="I557" s="51"/>
      <c r="J557" s="51"/>
      <c r="K557" s="452"/>
      <c r="L557" s="51"/>
      <c r="N557" s="555"/>
      <c r="O557" s="555"/>
      <c r="P557" s="1925"/>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row>
    <row r="558" spans="1:50" s="52" customFormat="1">
      <c r="A558" s="406"/>
      <c r="B558" s="63"/>
      <c r="C558" s="1924"/>
      <c r="D558" s="61"/>
      <c r="E558" s="144"/>
      <c r="F558" s="51"/>
      <c r="G558" s="51"/>
      <c r="H558" s="51"/>
      <c r="I558" s="51"/>
      <c r="J558" s="51"/>
      <c r="K558" s="452"/>
      <c r="L558" s="51"/>
      <c r="N558" s="555"/>
      <c r="O558" s="555"/>
      <c r="P558" s="1925"/>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row>
    <row r="559" spans="1:50" s="52" customFormat="1">
      <c r="A559" s="406"/>
      <c r="B559" s="63"/>
      <c r="C559" s="1924"/>
      <c r="D559" s="61"/>
      <c r="E559" s="144"/>
      <c r="F559" s="51"/>
      <c r="G559" s="51"/>
      <c r="H559" s="51"/>
      <c r="I559" s="51"/>
      <c r="J559" s="51"/>
      <c r="K559" s="452"/>
      <c r="L559" s="51"/>
      <c r="N559" s="555"/>
      <c r="O559" s="555"/>
      <c r="P559" s="1925"/>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row>
    <row r="560" spans="1:50" s="52" customFormat="1">
      <c r="A560" s="406"/>
      <c r="B560" s="63"/>
      <c r="C560" s="1924"/>
      <c r="D560" s="61"/>
      <c r="E560" s="144"/>
      <c r="F560" s="51"/>
      <c r="G560" s="51"/>
      <c r="H560" s="51"/>
      <c r="I560" s="51"/>
      <c r="J560" s="51"/>
      <c r="K560" s="452"/>
      <c r="L560" s="51"/>
      <c r="N560" s="555"/>
      <c r="O560" s="555"/>
      <c r="P560" s="1925"/>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row>
    <row r="561" spans="1:50" s="52" customFormat="1">
      <c r="A561" s="406"/>
      <c r="B561" s="63"/>
      <c r="C561" s="1924"/>
      <c r="D561" s="61"/>
      <c r="E561" s="144"/>
      <c r="F561" s="51"/>
      <c r="G561" s="51"/>
      <c r="H561" s="51"/>
      <c r="I561" s="51"/>
      <c r="J561" s="51"/>
      <c r="K561" s="452"/>
      <c r="L561" s="51"/>
      <c r="N561" s="555"/>
      <c r="O561" s="555"/>
      <c r="P561" s="1925"/>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row>
    <row r="562" spans="1:50" s="52" customFormat="1">
      <c r="A562" s="406"/>
      <c r="B562" s="63"/>
      <c r="C562" s="1924"/>
      <c r="D562" s="61"/>
      <c r="E562" s="144"/>
      <c r="F562" s="51"/>
      <c r="G562" s="51"/>
      <c r="H562" s="51"/>
      <c r="I562" s="51"/>
      <c r="J562" s="51"/>
      <c r="K562" s="452"/>
      <c r="L562" s="51"/>
      <c r="N562" s="555"/>
      <c r="O562" s="555"/>
      <c r="P562" s="1925"/>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row>
    <row r="563" spans="1:50" s="52" customFormat="1">
      <c r="A563" s="406"/>
      <c r="B563" s="63"/>
      <c r="C563" s="1924"/>
      <c r="D563" s="61"/>
      <c r="E563" s="144"/>
      <c r="F563" s="51"/>
      <c r="G563" s="51"/>
      <c r="H563" s="51"/>
      <c r="I563" s="51"/>
      <c r="J563" s="51"/>
      <c r="K563" s="452"/>
      <c r="L563" s="51"/>
      <c r="N563" s="555"/>
      <c r="O563" s="555"/>
      <c r="P563" s="1925"/>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row>
    <row r="564" spans="1:50" s="52" customFormat="1">
      <c r="A564" s="406"/>
      <c r="B564" s="63"/>
      <c r="C564" s="1924"/>
      <c r="D564" s="61"/>
      <c r="E564" s="144"/>
      <c r="F564" s="51"/>
      <c r="G564" s="51"/>
      <c r="H564" s="51"/>
      <c r="I564" s="51"/>
      <c r="J564" s="51"/>
      <c r="K564" s="452"/>
      <c r="L564" s="51"/>
      <c r="N564" s="555"/>
      <c r="O564" s="555"/>
      <c r="P564" s="1925"/>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row>
    <row r="565" spans="1:50" s="52" customFormat="1">
      <c r="A565" s="406"/>
      <c r="B565" s="63"/>
      <c r="C565" s="1924"/>
      <c r="D565" s="61"/>
      <c r="E565" s="144"/>
      <c r="F565" s="51"/>
      <c r="G565" s="51"/>
      <c r="H565" s="51"/>
      <c r="I565" s="51"/>
      <c r="J565" s="51"/>
      <c r="K565" s="452"/>
      <c r="L565" s="51"/>
      <c r="N565" s="555"/>
      <c r="O565" s="555"/>
      <c r="P565" s="1925"/>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row>
    <row r="566" spans="1:50" s="52" customFormat="1">
      <c r="A566" s="406"/>
      <c r="B566" s="63"/>
      <c r="C566" s="1924"/>
      <c r="D566" s="61"/>
      <c r="E566" s="144"/>
      <c r="F566" s="51"/>
      <c r="G566" s="51"/>
      <c r="H566" s="51"/>
      <c r="I566" s="51"/>
      <c r="J566" s="51"/>
      <c r="K566" s="452"/>
      <c r="L566" s="51"/>
      <c r="N566" s="555"/>
      <c r="O566" s="555"/>
      <c r="P566" s="1925"/>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row>
    <row r="567" spans="1:50" s="52" customFormat="1">
      <c r="A567" s="406"/>
      <c r="B567" s="63"/>
      <c r="C567" s="1924"/>
      <c r="D567" s="61"/>
      <c r="E567" s="144"/>
      <c r="F567" s="51"/>
      <c r="G567" s="51"/>
      <c r="H567" s="51"/>
      <c r="I567" s="51"/>
      <c r="J567" s="51"/>
      <c r="K567" s="452"/>
      <c r="L567" s="51"/>
      <c r="N567" s="555"/>
      <c r="O567" s="555"/>
      <c r="P567" s="1925"/>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row>
    <row r="568" spans="1:50" s="52" customFormat="1">
      <c r="A568" s="406"/>
      <c r="B568" s="63"/>
      <c r="C568" s="1924"/>
      <c r="D568" s="61"/>
      <c r="E568" s="144"/>
      <c r="F568" s="51"/>
      <c r="G568" s="51"/>
      <c r="H568" s="51"/>
      <c r="I568" s="51"/>
      <c r="J568" s="51"/>
      <c r="K568" s="452"/>
      <c r="L568" s="51"/>
      <c r="N568" s="555"/>
      <c r="O568" s="555"/>
      <c r="P568" s="1925"/>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row>
    <row r="569" spans="1:50" s="52" customFormat="1">
      <c r="A569" s="406"/>
      <c r="B569" s="63"/>
      <c r="C569" s="1924"/>
      <c r="D569" s="61"/>
      <c r="E569" s="144"/>
      <c r="F569" s="51"/>
      <c r="G569" s="51"/>
      <c r="H569" s="51"/>
      <c r="I569" s="51"/>
      <c r="J569" s="51"/>
      <c r="K569" s="452"/>
      <c r="L569" s="51"/>
      <c r="N569" s="555"/>
      <c r="O569" s="555"/>
      <c r="P569" s="1925"/>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row>
    <row r="570" spans="1:50" s="52" customFormat="1">
      <c r="A570" s="406"/>
      <c r="B570" s="63"/>
      <c r="C570" s="1924"/>
      <c r="D570" s="61"/>
      <c r="E570" s="144"/>
      <c r="F570" s="51"/>
      <c r="G570" s="51"/>
      <c r="H570" s="51"/>
      <c r="I570" s="51"/>
      <c r="J570" s="51"/>
      <c r="K570" s="452"/>
      <c r="L570" s="51"/>
      <c r="N570" s="555"/>
      <c r="O570" s="555"/>
      <c r="P570" s="1925"/>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row>
    <row r="571" spans="1:50" s="52" customFormat="1">
      <c r="A571" s="406"/>
      <c r="B571" s="63"/>
      <c r="C571" s="1924"/>
      <c r="D571" s="61"/>
      <c r="E571" s="144"/>
      <c r="F571" s="51"/>
      <c r="G571" s="51"/>
      <c r="H571" s="51"/>
      <c r="I571" s="51"/>
      <c r="J571" s="51"/>
      <c r="K571" s="452"/>
      <c r="L571" s="51"/>
      <c r="N571" s="555"/>
      <c r="O571" s="555"/>
      <c r="P571" s="1925"/>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row>
    <row r="572" spans="1:50" s="52" customFormat="1">
      <c r="A572" s="406"/>
      <c r="B572" s="63"/>
      <c r="C572" s="1924"/>
      <c r="D572" s="61"/>
      <c r="E572" s="144"/>
      <c r="F572" s="51"/>
      <c r="G572" s="51"/>
      <c r="H572" s="51"/>
      <c r="I572" s="51"/>
      <c r="J572" s="51"/>
      <c r="K572" s="452"/>
      <c r="L572" s="51"/>
      <c r="N572" s="555"/>
      <c r="O572" s="555"/>
      <c r="P572" s="1925"/>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row>
    <row r="573" spans="1:50" s="52" customFormat="1">
      <c r="A573" s="406"/>
      <c r="B573" s="63"/>
      <c r="C573" s="1924"/>
      <c r="D573" s="61"/>
      <c r="E573" s="144"/>
      <c r="F573" s="51"/>
      <c r="G573" s="51"/>
      <c r="H573" s="51"/>
      <c r="I573" s="51"/>
      <c r="J573" s="51"/>
      <c r="K573" s="452"/>
      <c r="L573" s="51"/>
      <c r="N573" s="555"/>
      <c r="O573" s="555"/>
      <c r="P573" s="1925"/>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row>
    <row r="574" spans="1:50" s="52" customFormat="1">
      <c r="A574" s="406"/>
      <c r="B574" s="63"/>
      <c r="C574" s="1924"/>
      <c r="D574" s="61"/>
      <c r="E574" s="144"/>
      <c r="F574" s="51"/>
      <c r="G574" s="51"/>
      <c r="H574" s="51"/>
      <c r="I574" s="51"/>
      <c r="J574" s="51"/>
      <c r="K574" s="452"/>
      <c r="L574" s="51"/>
      <c r="N574" s="555"/>
      <c r="O574" s="555"/>
      <c r="P574" s="1925"/>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row>
    <row r="575" spans="1:50" s="52" customFormat="1">
      <c r="A575" s="406"/>
      <c r="B575" s="63"/>
      <c r="C575" s="1924"/>
      <c r="D575" s="61"/>
      <c r="E575" s="144"/>
      <c r="F575" s="51"/>
      <c r="G575" s="51"/>
      <c r="H575" s="51"/>
      <c r="I575" s="51"/>
      <c r="J575" s="51"/>
      <c r="K575" s="452"/>
      <c r="L575" s="51"/>
      <c r="N575" s="555"/>
      <c r="O575" s="555"/>
      <c r="P575" s="1925"/>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row>
    <row r="576" spans="1:50" s="52" customFormat="1">
      <c r="A576" s="406"/>
      <c r="B576" s="63"/>
      <c r="C576" s="1924"/>
      <c r="D576" s="61"/>
      <c r="E576" s="144"/>
      <c r="F576" s="51"/>
      <c r="G576" s="51"/>
      <c r="H576" s="51"/>
      <c r="I576" s="51"/>
      <c r="J576" s="51"/>
      <c r="K576" s="452"/>
      <c r="L576" s="51"/>
      <c r="N576" s="555"/>
      <c r="O576" s="555"/>
      <c r="P576" s="1925"/>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row>
    <row r="577" spans="1:50" s="52" customFormat="1">
      <c r="A577" s="406"/>
      <c r="B577" s="63"/>
      <c r="C577" s="1924"/>
      <c r="D577" s="61"/>
      <c r="E577" s="144"/>
      <c r="F577" s="51"/>
      <c r="G577" s="51"/>
      <c r="H577" s="51"/>
      <c r="I577" s="51"/>
      <c r="J577" s="51"/>
      <c r="K577" s="452"/>
      <c r="L577" s="51"/>
      <c r="N577" s="555"/>
      <c r="O577" s="555"/>
      <c r="P577" s="1925"/>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row>
    <row r="578" spans="1:50" s="52" customFormat="1">
      <c r="A578" s="406"/>
      <c r="B578" s="63"/>
      <c r="C578" s="1924"/>
      <c r="D578" s="61"/>
      <c r="E578" s="144"/>
      <c r="F578" s="51"/>
      <c r="G578" s="51"/>
      <c r="H578" s="51"/>
      <c r="I578" s="51"/>
      <c r="J578" s="51"/>
      <c r="K578" s="452"/>
      <c r="L578" s="51"/>
      <c r="N578" s="555"/>
      <c r="O578" s="555"/>
      <c r="P578" s="1925"/>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row>
    <row r="579" spans="1:50" s="52" customFormat="1">
      <c r="A579" s="406"/>
      <c r="B579" s="63"/>
      <c r="C579" s="1924"/>
      <c r="D579" s="61"/>
      <c r="E579" s="144"/>
      <c r="F579" s="51"/>
      <c r="G579" s="51"/>
      <c r="H579" s="51"/>
      <c r="I579" s="51"/>
      <c r="J579" s="51"/>
      <c r="K579" s="452"/>
      <c r="L579" s="51"/>
      <c r="N579" s="555"/>
      <c r="O579" s="555"/>
      <c r="P579" s="1925"/>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row>
    <row r="580" spans="1:50" s="52" customFormat="1">
      <c r="A580" s="406"/>
      <c r="B580" s="63"/>
      <c r="C580" s="1924"/>
      <c r="D580" s="61"/>
      <c r="E580" s="144"/>
      <c r="F580" s="51"/>
      <c r="G580" s="51"/>
      <c r="H580" s="51"/>
      <c r="I580" s="51"/>
      <c r="J580" s="51"/>
      <c r="K580" s="452"/>
      <c r="L580" s="51"/>
      <c r="N580" s="555"/>
      <c r="O580" s="555"/>
      <c r="P580" s="1925"/>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row>
    <row r="581" spans="1:50" s="52" customFormat="1">
      <c r="A581" s="406"/>
      <c r="B581" s="63"/>
      <c r="C581" s="1924"/>
      <c r="D581" s="61"/>
      <c r="E581" s="144"/>
      <c r="F581" s="51"/>
      <c r="G581" s="51"/>
      <c r="H581" s="51"/>
      <c r="I581" s="51"/>
      <c r="J581" s="51"/>
      <c r="K581" s="452"/>
      <c r="L581" s="51"/>
      <c r="N581" s="555"/>
      <c r="O581" s="555"/>
      <c r="P581" s="1925"/>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row>
    <row r="582" spans="1:50" s="52" customFormat="1">
      <c r="A582" s="406"/>
      <c r="B582" s="63"/>
      <c r="C582" s="1924"/>
      <c r="D582" s="61"/>
      <c r="E582" s="144"/>
      <c r="F582" s="51"/>
      <c r="G582" s="51"/>
      <c r="H582" s="51"/>
      <c r="I582" s="51"/>
      <c r="J582" s="51"/>
      <c r="K582" s="452"/>
      <c r="L582" s="51"/>
      <c r="N582" s="555"/>
      <c r="O582" s="555"/>
      <c r="P582" s="1925"/>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row>
    <row r="583" spans="1:50" s="52" customFormat="1">
      <c r="A583" s="406"/>
      <c r="B583" s="63"/>
      <c r="C583" s="1924"/>
      <c r="D583" s="61"/>
      <c r="E583" s="144"/>
      <c r="F583" s="51"/>
      <c r="G583" s="51"/>
      <c r="H583" s="51"/>
      <c r="I583" s="51"/>
      <c r="J583" s="51"/>
      <c r="K583" s="452"/>
      <c r="L583" s="51"/>
      <c r="N583" s="555"/>
      <c r="O583" s="555"/>
      <c r="P583" s="1925"/>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row>
    <row r="584" spans="1:50" s="52" customFormat="1">
      <c r="A584" s="406"/>
      <c r="B584" s="63"/>
      <c r="C584" s="1924"/>
      <c r="D584" s="61"/>
      <c r="E584" s="144"/>
      <c r="F584" s="51"/>
      <c r="G584" s="51"/>
      <c r="H584" s="51"/>
      <c r="I584" s="51"/>
      <c r="J584" s="51"/>
      <c r="K584" s="452"/>
      <c r="L584" s="51"/>
      <c r="N584" s="555"/>
      <c r="O584" s="555"/>
      <c r="P584" s="1925"/>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row>
    <row r="585" spans="1:50" s="52" customFormat="1">
      <c r="A585" s="406"/>
      <c r="B585" s="63"/>
      <c r="C585" s="1924"/>
      <c r="D585" s="61"/>
      <c r="E585" s="144"/>
      <c r="F585" s="51"/>
      <c r="G585" s="51"/>
      <c r="H585" s="51"/>
      <c r="I585" s="51"/>
      <c r="J585" s="51"/>
      <c r="K585" s="452"/>
      <c r="L585" s="51"/>
      <c r="N585" s="555"/>
      <c r="O585" s="555"/>
      <c r="P585" s="1925"/>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row>
    <row r="586" spans="1:50" s="52" customFormat="1">
      <c r="A586" s="406"/>
      <c r="B586" s="63"/>
      <c r="C586" s="1924"/>
      <c r="D586" s="61"/>
      <c r="E586" s="144"/>
      <c r="F586" s="51"/>
      <c r="G586" s="51"/>
      <c r="H586" s="51"/>
      <c r="I586" s="51"/>
      <c r="J586" s="51"/>
      <c r="K586" s="452"/>
      <c r="L586" s="51"/>
      <c r="N586" s="555"/>
      <c r="O586" s="555"/>
      <c r="P586" s="1925"/>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row>
    <row r="587" spans="1:50" s="52" customFormat="1">
      <c r="A587" s="406"/>
      <c r="B587" s="63"/>
      <c r="C587" s="1924"/>
      <c r="D587" s="61"/>
      <c r="E587" s="144"/>
      <c r="F587" s="51"/>
      <c r="G587" s="51"/>
      <c r="H587" s="51"/>
      <c r="I587" s="51"/>
      <c r="J587" s="51"/>
      <c r="K587" s="452"/>
      <c r="L587" s="51"/>
      <c r="N587" s="555"/>
      <c r="O587" s="555"/>
      <c r="P587" s="1925"/>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row>
    <row r="588" spans="1:50" s="52" customFormat="1">
      <c r="A588" s="406"/>
      <c r="B588" s="63"/>
      <c r="C588" s="1924"/>
      <c r="D588" s="61"/>
      <c r="E588" s="144"/>
      <c r="F588" s="51"/>
      <c r="G588" s="51"/>
      <c r="H588" s="51"/>
      <c r="I588" s="51"/>
      <c r="J588" s="51"/>
      <c r="K588" s="452"/>
      <c r="L588" s="51"/>
      <c r="N588" s="555"/>
      <c r="O588" s="555"/>
      <c r="P588" s="1925"/>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row>
    <row r="589" spans="1:50" s="52" customFormat="1">
      <c r="A589" s="406"/>
      <c r="B589" s="63"/>
      <c r="C589" s="1924"/>
      <c r="D589" s="61"/>
      <c r="E589" s="144"/>
      <c r="F589" s="51"/>
      <c r="G589" s="51"/>
      <c r="H589" s="51"/>
      <c r="I589" s="51"/>
      <c r="J589" s="51"/>
      <c r="K589" s="452"/>
      <c r="L589" s="51"/>
      <c r="N589" s="555"/>
      <c r="O589" s="555"/>
      <c r="P589" s="1925"/>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row>
    <row r="590" spans="1:50" s="52" customFormat="1">
      <c r="A590" s="406"/>
      <c r="B590" s="63"/>
      <c r="C590" s="1924"/>
      <c r="D590" s="61"/>
      <c r="E590" s="144"/>
      <c r="F590" s="51"/>
      <c r="G590" s="51"/>
      <c r="H590" s="51"/>
      <c r="I590" s="51"/>
      <c r="J590" s="51"/>
      <c r="K590" s="452"/>
      <c r="L590" s="51"/>
      <c r="N590" s="555"/>
      <c r="O590" s="555"/>
      <c r="P590" s="1925"/>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row>
    <row r="591" spans="1:50" s="52" customFormat="1">
      <c r="A591" s="406"/>
      <c r="B591" s="63"/>
      <c r="C591" s="1924"/>
      <c r="D591" s="61"/>
      <c r="E591" s="144"/>
      <c r="F591" s="51"/>
      <c r="G591" s="51"/>
      <c r="H591" s="51"/>
      <c r="I591" s="51"/>
      <c r="J591" s="51"/>
      <c r="K591" s="452"/>
      <c r="L591" s="51"/>
      <c r="N591" s="555"/>
      <c r="O591" s="555"/>
      <c r="P591" s="1925"/>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row>
    <row r="592" spans="1:50" s="52" customFormat="1">
      <c r="A592" s="406"/>
      <c r="B592" s="63"/>
      <c r="C592" s="1924"/>
      <c r="D592" s="61"/>
      <c r="E592" s="144"/>
      <c r="F592" s="51"/>
      <c r="G592" s="51"/>
      <c r="H592" s="51"/>
      <c r="I592" s="51"/>
      <c r="J592" s="51"/>
      <c r="K592" s="452"/>
      <c r="L592" s="51"/>
      <c r="N592" s="555"/>
      <c r="O592" s="555"/>
      <c r="P592" s="1925"/>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row>
    <row r="593" spans="1:50" s="52" customFormat="1">
      <c r="A593" s="406"/>
      <c r="B593" s="63"/>
      <c r="C593" s="1924"/>
      <c r="D593" s="61"/>
      <c r="E593" s="144"/>
      <c r="F593" s="51"/>
      <c r="G593" s="51"/>
      <c r="H593" s="51"/>
      <c r="I593" s="51"/>
      <c r="J593" s="51"/>
      <c r="K593" s="452"/>
      <c r="L593" s="51"/>
      <c r="N593" s="555"/>
      <c r="O593" s="555"/>
      <c r="P593" s="1925"/>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row>
    <row r="594" spans="1:50" s="52" customFormat="1">
      <c r="A594" s="406"/>
      <c r="B594" s="63"/>
      <c r="C594" s="1924"/>
      <c r="D594" s="61"/>
      <c r="E594" s="144"/>
      <c r="F594" s="51"/>
      <c r="G594" s="51"/>
      <c r="H594" s="51"/>
      <c r="I594" s="51"/>
      <c r="J594" s="51"/>
      <c r="K594" s="452"/>
      <c r="L594" s="51"/>
      <c r="N594" s="555"/>
      <c r="O594" s="555"/>
      <c r="P594" s="1925"/>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row>
    <row r="595" spans="1:50" s="52" customFormat="1">
      <c r="A595" s="406"/>
      <c r="B595" s="63"/>
      <c r="C595" s="1924"/>
      <c r="D595" s="61"/>
      <c r="E595" s="144"/>
      <c r="F595" s="51"/>
      <c r="G595" s="51"/>
      <c r="H595" s="51"/>
      <c r="I595" s="51"/>
      <c r="J595" s="51"/>
      <c r="K595" s="452"/>
      <c r="L595" s="51"/>
      <c r="N595" s="555"/>
      <c r="O595" s="555"/>
      <c r="P595" s="1925"/>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row>
    <row r="596" spans="1:50" s="52" customFormat="1">
      <c r="A596" s="406"/>
      <c r="B596" s="63"/>
      <c r="C596" s="1924"/>
      <c r="D596" s="61"/>
      <c r="E596" s="144"/>
      <c r="F596" s="51"/>
      <c r="G596" s="51"/>
      <c r="H596" s="51"/>
      <c r="I596" s="51"/>
      <c r="J596" s="51"/>
      <c r="K596" s="452"/>
      <c r="L596" s="51"/>
      <c r="N596" s="555"/>
      <c r="O596" s="555"/>
      <c r="P596" s="1925"/>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row>
    <row r="597" spans="1:50" s="52" customFormat="1">
      <c r="A597" s="406"/>
      <c r="B597" s="63"/>
      <c r="C597" s="1924"/>
      <c r="D597" s="61"/>
      <c r="E597" s="144"/>
      <c r="F597" s="51"/>
      <c r="G597" s="51"/>
      <c r="H597" s="51"/>
      <c r="I597" s="51"/>
      <c r="J597" s="51"/>
      <c r="K597" s="452"/>
      <c r="L597" s="51"/>
      <c r="N597" s="555"/>
      <c r="O597" s="555"/>
      <c r="P597" s="1925"/>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row>
    <row r="598" spans="1:50" s="52" customFormat="1">
      <c r="A598" s="406"/>
      <c r="B598" s="63"/>
      <c r="C598" s="1924"/>
      <c r="D598" s="61"/>
      <c r="E598" s="144"/>
      <c r="F598" s="51"/>
      <c r="G598" s="51"/>
      <c r="H598" s="51"/>
      <c r="I598" s="51"/>
      <c r="J598" s="51"/>
      <c r="K598" s="452"/>
      <c r="L598" s="51"/>
      <c r="N598" s="555"/>
      <c r="O598" s="555"/>
      <c r="P598" s="1925"/>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row>
    <row r="599" spans="1:50" s="52" customFormat="1">
      <c r="A599" s="406"/>
      <c r="B599" s="63"/>
      <c r="C599" s="1924"/>
      <c r="D599" s="61"/>
      <c r="E599" s="144"/>
      <c r="F599" s="51"/>
      <c r="G599" s="51"/>
      <c r="H599" s="51"/>
      <c r="I599" s="51"/>
      <c r="J599" s="51"/>
      <c r="K599" s="452"/>
      <c r="L599" s="51"/>
      <c r="N599" s="555"/>
      <c r="O599" s="555"/>
      <c r="P599" s="1925"/>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row>
  </sheetData>
  <autoFilter ref="K1:K603" xr:uid="{00000000-0009-0000-0000-000015000000}"/>
  <mergeCells count="8">
    <mergeCell ref="L170:L171"/>
    <mergeCell ref="L172:L173"/>
    <mergeCell ref="E3:M3"/>
    <mergeCell ref="P2:P3"/>
    <mergeCell ref="B2:B3"/>
    <mergeCell ref="L126:L129"/>
    <mergeCell ref="P54:P61"/>
    <mergeCell ref="P126:P129"/>
  </mergeCells>
  <phoneticPr fontId="75" type="noConversion"/>
  <conditionalFormatting sqref="C277">
    <cfRule type="duplicateValues" dxfId="600" priority="221" stopIfTrue="1"/>
  </conditionalFormatting>
  <conditionalFormatting sqref="C112">
    <cfRule type="duplicateValues" dxfId="599" priority="222" stopIfTrue="1"/>
  </conditionalFormatting>
  <conditionalFormatting sqref="C88">
    <cfRule type="duplicateValues" dxfId="598" priority="217" stopIfTrue="1"/>
    <cfRule type="duplicateValues" dxfId="597" priority="218" stopIfTrue="1"/>
  </conditionalFormatting>
  <conditionalFormatting sqref="C199">
    <cfRule type="duplicateValues" dxfId="596" priority="223" stopIfTrue="1"/>
    <cfRule type="duplicateValues" dxfId="595" priority="224" stopIfTrue="1"/>
  </conditionalFormatting>
  <conditionalFormatting sqref="C213">
    <cfRule type="duplicateValues" dxfId="594" priority="225" stopIfTrue="1"/>
  </conditionalFormatting>
  <conditionalFormatting sqref="D182">
    <cfRule type="duplicateValues" dxfId="593" priority="201" stopIfTrue="1"/>
    <cfRule type="duplicateValues" dxfId="592" priority="202" stopIfTrue="1"/>
  </conditionalFormatting>
  <conditionalFormatting sqref="C251">
    <cfRule type="duplicateValues" dxfId="591" priority="229" stopIfTrue="1"/>
    <cfRule type="duplicateValues" dxfId="590" priority="230" stopIfTrue="1"/>
  </conditionalFormatting>
  <conditionalFormatting sqref="C150">
    <cfRule type="duplicateValues" dxfId="589" priority="193" stopIfTrue="1"/>
    <cfRule type="duplicateValues" dxfId="588" priority="194" stopIfTrue="1"/>
  </conditionalFormatting>
  <conditionalFormatting sqref="C195:C198">
    <cfRule type="duplicateValues" dxfId="587" priority="189" stopIfTrue="1"/>
    <cfRule type="duplicateValues" dxfId="586" priority="190" stopIfTrue="1"/>
  </conditionalFormatting>
  <conditionalFormatting sqref="C154:C155">
    <cfRule type="duplicateValues" dxfId="585" priority="5903" stopIfTrue="1"/>
    <cfRule type="duplicateValues" dxfId="584" priority="5904" stopIfTrue="1"/>
  </conditionalFormatting>
  <conditionalFormatting sqref="C30">
    <cfRule type="duplicateValues" dxfId="583" priority="5906" stopIfTrue="1"/>
    <cfRule type="duplicateValues" dxfId="582" priority="5907" stopIfTrue="1"/>
  </conditionalFormatting>
  <conditionalFormatting sqref="C244:C249">
    <cfRule type="duplicateValues" dxfId="581" priority="156" stopIfTrue="1"/>
    <cfRule type="duplicateValues" dxfId="580" priority="157" stopIfTrue="1"/>
  </conditionalFormatting>
  <conditionalFormatting sqref="C257">
    <cfRule type="duplicateValues" dxfId="579" priority="154" stopIfTrue="1"/>
    <cfRule type="duplicateValues" dxfId="578" priority="155" stopIfTrue="1"/>
  </conditionalFormatting>
  <conditionalFormatting sqref="C268:C269">
    <cfRule type="duplicateValues" dxfId="577" priority="152" stopIfTrue="1"/>
    <cfRule type="duplicateValues" dxfId="576" priority="153" stopIfTrue="1"/>
  </conditionalFormatting>
  <conditionalFormatting sqref="C29">
    <cfRule type="duplicateValues" dxfId="575" priority="144" stopIfTrue="1"/>
    <cfRule type="duplicateValues" dxfId="574" priority="145" stopIfTrue="1"/>
  </conditionalFormatting>
  <conditionalFormatting sqref="C66">
    <cfRule type="duplicateValues" dxfId="573" priority="125" stopIfTrue="1"/>
    <cfRule type="duplicateValues" dxfId="572" priority="126" stopIfTrue="1"/>
  </conditionalFormatting>
  <conditionalFormatting sqref="C35:C38">
    <cfRule type="duplicateValues" dxfId="571" priority="123" stopIfTrue="1"/>
    <cfRule type="duplicateValues" dxfId="570" priority="124" stopIfTrue="1"/>
  </conditionalFormatting>
  <conditionalFormatting sqref="C64:C65">
    <cfRule type="duplicateValues" dxfId="569" priority="121" stopIfTrue="1"/>
    <cfRule type="duplicateValues" dxfId="568" priority="122" stopIfTrue="1"/>
  </conditionalFormatting>
  <conditionalFormatting sqref="B145 D145">
    <cfRule type="duplicateValues" dxfId="567" priority="119" stopIfTrue="1"/>
    <cfRule type="duplicateValues" dxfId="566" priority="120" stopIfTrue="1"/>
  </conditionalFormatting>
  <conditionalFormatting sqref="C145">
    <cfRule type="duplicateValues" dxfId="565" priority="117" stopIfTrue="1"/>
    <cfRule type="duplicateValues" dxfId="564" priority="118" stopIfTrue="1"/>
  </conditionalFormatting>
  <conditionalFormatting sqref="C54">
    <cfRule type="duplicateValues" dxfId="563" priority="112" stopIfTrue="1"/>
    <cfRule type="duplicateValues" dxfId="562" priority="113" stopIfTrue="1"/>
  </conditionalFormatting>
  <conditionalFormatting sqref="C58">
    <cfRule type="duplicateValues" dxfId="561" priority="108" stopIfTrue="1"/>
    <cfRule type="duplicateValues" dxfId="560" priority="109" stopIfTrue="1"/>
  </conditionalFormatting>
  <conditionalFormatting sqref="B223">
    <cfRule type="duplicateValues" dxfId="559" priority="106" stopIfTrue="1"/>
    <cfRule type="duplicateValues" dxfId="558" priority="107" stopIfTrue="1"/>
  </conditionalFormatting>
  <conditionalFormatting sqref="C223">
    <cfRule type="duplicateValues" dxfId="557" priority="104" stopIfTrue="1"/>
    <cfRule type="duplicateValues" dxfId="556" priority="105" stopIfTrue="1"/>
  </conditionalFormatting>
  <conditionalFormatting sqref="C99:C101">
    <cfRule type="duplicateValues" dxfId="555" priority="101" stopIfTrue="1"/>
  </conditionalFormatting>
  <conditionalFormatting sqref="C99:C101">
    <cfRule type="duplicateValues" dxfId="554" priority="102" stopIfTrue="1"/>
    <cfRule type="duplicateValues" dxfId="553" priority="103" stopIfTrue="1"/>
  </conditionalFormatting>
  <conditionalFormatting sqref="C92:C93">
    <cfRule type="duplicateValues" dxfId="552" priority="15352" stopIfTrue="1"/>
  </conditionalFormatting>
  <conditionalFormatting sqref="C92:C93">
    <cfRule type="duplicateValues" dxfId="551" priority="15353" stopIfTrue="1"/>
    <cfRule type="duplicateValues" dxfId="550" priority="15354" stopIfTrue="1"/>
  </conditionalFormatting>
  <conditionalFormatting sqref="C94:C97 C90:C91">
    <cfRule type="duplicateValues" dxfId="549" priority="15358" stopIfTrue="1"/>
  </conditionalFormatting>
  <conditionalFormatting sqref="C94:C97 C90:C91">
    <cfRule type="duplicateValues" dxfId="548" priority="15361" stopIfTrue="1"/>
    <cfRule type="duplicateValues" dxfId="547" priority="15362" stopIfTrue="1"/>
  </conditionalFormatting>
  <conditionalFormatting sqref="C111 C107:C109">
    <cfRule type="duplicateValues" dxfId="546" priority="15368" stopIfTrue="1"/>
  </conditionalFormatting>
  <conditionalFormatting sqref="C113">
    <cfRule type="duplicateValues" dxfId="545" priority="95" stopIfTrue="1"/>
    <cfRule type="duplicateValues" dxfId="544" priority="96" stopIfTrue="1"/>
  </conditionalFormatting>
  <conditionalFormatting sqref="C176:C178">
    <cfRule type="duplicateValues" dxfId="543" priority="15375" stopIfTrue="1"/>
    <cfRule type="duplicateValues" dxfId="542" priority="15376" stopIfTrue="1"/>
  </conditionalFormatting>
  <conditionalFormatting sqref="C172 C156 C163">
    <cfRule type="duplicateValues" dxfId="541" priority="17356" stopIfTrue="1"/>
    <cfRule type="duplicateValues" dxfId="540" priority="17357" stopIfTrue="1"/>
  </conditionalFormatting>
  <conditionalFormatting sqref="C173:C174 C157 C159:C162 C164:C169">
    <cfRule type="duplicateValues" dxfId="539" priority="17358" stopIfTrue="1"/>
    <cfRule type="duplicateValues" dxfId="538" priority="17359" stopIfTrue="1"/>
  </conditionalFormatting>
  <conditionalFormatting sqref="C170">
    <cfRule type="duplicateValues" dxfId="537" priority="17362" stopIfTrue="1"/>
    <cfRule type="duplicateValues" dxfId="536" priority="17363" stopIfTrue="1"/>
  </conditionalFormatting>
  <conditionalFormatting sqref="C186">
    <cfRule type="duplicateValues" dxfId="535" priority="17366" stopIfTrue="1"/>
    <cfRule type="duplicateValues" dxfId="534" priority="17367" stopIfTrue="1"/>
  </conditionalFormatting>
  <conditionalFormatting sqref="C158">
    <cfRule type="duplicateValues" dxfId="533" priority="73" stopIfTrue="1"/>
    <cfRule type="duplicateValues" dxfId="532" priority="74" stopIfTrue="1"/>
  </conditionalFormatting>
  <conditionalFormatting sqref="C175">
    <cfRule type="duplicateValues" dxfId="531" priority="71" stopIfTrue="1"/>
    <cfRule type="duplicateValues" dxfId="530" priority="72" stopIfTrue="1"/>
  </conditionalFormatting>
  <conditionalFormatting sqref="C78:C82 C27">
    <cfRule type="duplicateValues" dxfId="529" priority="56" stopIfTrue="1"/>
  </conditionalFormatting>
  <conditionalFormatting sqref="C78:C82 C27">
    <cfRule type="duplicateValues" dxfId="528" priority="57" stopIfTrue="1"/>
    <cfRule type="duplicateValues" dxfId="527" priority="58" stopIfTrue="1"/>
  </conditionalFormatting>
  <conditionalFormatting sqref="D43">
    <cfRule type="duplicateValues" dxfId="526" priority="54" stopIfTrue="1"/>
    <cfRule type="duplicateValues" dxfId="525" priority="55" stopIfTrue="1"/>
  </conditionalFormatting>
  <conditionalFormatting sqref="C179">
    <cfRule type="duplicateValues" dxfId="524" priority="52" stopIfTrue="1"/>
    <cfRule type="duplicateValues" dxfId="523" priority="53" stopIfTrue="1"/>
  </conditionalFormatting>
  <conditionalFormatting sqref="C194">
    <cfRule type="duplicateValues" dxfId="522" priority="50" stopIfTrue="1"/>
    <cfRule type="duplicateValues" dxfId="521" priority="51" stopIfTrue="1"/>
  </conditionalFormatting>
  <conditionalFormatting sqref="C200">
    <cfRule type="duplicateValues" dxfId="520" priority="48" stopIfTrue="1"/>
    <cfRule type="duplicateValues" dxfId="519" priority="49" stopIfTrue="1"/>
  </conditionalFormatting>
  <conditionalFormatting sqref="C203">
    <cfRule type="duplicateValues" dxfId="518" priority="46" stopIfTrue="1"/>
    <cfRule type="duplicateValues" dxfId="517" priority="47" stopIfTrue="1"/>
  </conditionalFormatting>
  <conditionalFormatting sqref="C208">
    <cfRule type="duplicateValues" dxfId="516" priority="44" stopIfTrue="1"/>
    <cfRule type="duplicateValues" dxfId="515" priority="45" stopIfTrue="1"/>
  </conditionalFormatting>
  <conditionalFormatting sqref="C212">
    <cfRule type="duplicateValues" dxfId="514" priority="42" stopIfTrue="1"/>
    <cfRule type="duplicateValues" dxfId="513" priority="43" stopIfTrue="1"/>
  </conditionalFormatting>
  <conditionalFormatting sqref="C215">
    <cfRule type="duplicateValues" dxfId="512" priority="40" stopIfTrue="1"/>
    <cfRule type="duplicateValues" dxfId="511" priority="41" stopIfTrue="1"/>
  </conditionalFormatting>
  <conditionalFormatting sqref="C220">
    <cfRule type="duplicateValues" dxfId="510" priority="36" stopIfTrue="1"/>
    <cfRule type="duplicateValues" dxfId="509" priority="37" stopIfTrue="1"/>
  </conditionalFormatting>
  <conditionalFormatting sqref="C224">
    <cfRule type="duplicateValues" dxfId="508" priority="34" stopIfTrue="1"/>
    <cfRule type="duplicateValues" dxfId="507" priority="35" stopIfTrue="1"/>
  </conditionalFormatting>
  <conditionalFormatting sqref="C135">
    <cfRule type="duplicateValues" dxfId="506" priority="24" stopIfTrue="1"/>
    <cfRule type="duplicateValues" dxfId="505" priority="25" stopIfTrue="1"/>
  </conditionalFormatting>
  <conditionalFormatting sqref="C278">
    <cfRule type="duplicateValues" dxfId="504" priority="21" stopIfTrue="1"/>
  </conditionalFormatting>
  <conditionalFormatting sqref="C278">
    <cfRule type="duplicateValues" dxfId="503" priority="22" stopIfTrue="1"/>
    <cfRule type="duplicateValues" dxfId="502" priority="23" stopIfTrue="1"/>
  </conditionalFormatting>
  <conditionalFormatting sqref="C270:C272">
    <cfRule type="duplicateValues" dxfId="501" priority="19" stopIfTrue="1"/>
    <cfRule type="duplicateValues" dxfId="500" priority="20" stopIfTrue="1"/>
  </conditionalFormatting>
  <conditionalFormatting sqref="C265:C267">
    <cfRule type="duplicateValues" dxfId="499" priority="17" stopIfTrue="1"/>
    <cfRule type="duplicateValues" dxfId="498" priority="18" stopIfTrue="1"/>
  </conditionalFormatting>
  <conditionalFormatting sqref="C258:C264">
    <cfRule type="duplicateValues" dxfId="497" priority="15" stopIfTrue="1"/>
    <cfRule type="duplicateValues" dxfId="496" priority="16" stopIfTrue="1"/>
  </conditionalFormatting>
  <conditionalFormatting sqref="C279:C65433 C273 C32:C34 C59:C60 C1:C8 C252:C256 C201:C202 C213:C214 C89 C46:C53 C151:C153 C180:C185 C133:C134 C221:C222 C187:C191 C12:C15 C85 C98 C148:C149 C138:C144 C68:C77 C39 C216:C219 C146 C55:C57 C225:C232 C41:C43 C17:C19 C114:C115 C62:C63 C87 C204:C207 C209:C211 C136 C275:C277 C102:C112 C234:C242">
    <cfRule type="duplicateValues" dxfId="495" priority="20514" stopIfTrue="1"/>
    <cfRule type="duplicateValues" dxfId="494" priority="20515" stopIfTrue="1"/>
  </conditionalFormatting>
  <conditionalFormatting sqref="C83">
    <cfRule type="duplicateValues" dxfId="493" priority="9" stopIfTrue="1"/>
  </conditionalFormatting>
  <conditionalFormatting sqref="C83">
    <cfRule type="duplicateValues" dxfId="492" priority="10" stopIfTrue="1"/>
    <cfRule type="duplicateValues" dxfId="491" priority="11" stopIfTrue="1"/>
  </conditionalFormatting>
  <conditionalFormatting sqref="C84">
    <cfRule type="duplicateValues" dxfId="490" priority="12" stopIfTrue="1"/>
  </conditionalFormatting>
  <conditionalFormatting sqref="C84">
    <cfRule type="duplicateValues" dxfId="489" priority="13" stopIfTrue="1"/>
    <cfRule type="duplicateValues" dxfId="488" priority="14" stopIfTrue="1"/>
  </conditionalFormatting>
  <conditionalFormatting sqref="C233">
    <cfRule type="duplicateValues" dxfId="487" priority="7" stopIfTrue="1"/>
    <cfRule type="duplicateValues" dxfId="486" priority="8" stopIfTrue="1"/>
  </conditionalFormatting>
  <conditionalFormatting sqref="C171">
    <cfRule type="duplicateValues" dxfId="485" priority="1" stopIfTrue="1"/>
    <cfRule type="duplicateValues" dxfId="484" priority="2" stopIfTrue="1"/>
  </conditionalFormatting>
  <hyperlinks>
    <hyperlink ref="P54" location="FA!A1" display="FA!A1" xr:uid="{EB9E7B2A-56F7-4BCA-B177-00AB67F2E8F4}"/>
    <hyperlink ref="P37" location="'Prepaid expenses'!A143" display="'Prepaid expenses'!A143" xr:uid="{A02C52B8-4A4C-4869-93CE-4C3A617CCF86}"/>
    <hyperlink ref="P107" location="'Accrued expenses'!A129" display="'Accrued expenses'!A129" xr:uid="{2E9273DE-3491-4F49-B506-C6537583D81A}"/>
    <hyperlink ref="P117" location="'Accrued expenses'!A129" display="'Accrued expenses'!A129" xr:uid="{CB7F283D-0DEE-4EA1-A9D1-EC3884F05956}"/>
  </hyperlinks>
  <printOptions horizontalCentered="1" gridLines="1" gridLinesSet="0"/>
  <pageMargins left="0.51181102362204722" right="0.11811023622047245" top="0.51181102362204722" bottom="0.55118110236220474" header="0.51181102362204722" footer="0.51181102362204722"/>
  <pageSetup paperSize="9" scale="10" fitToHeight="6" orientation="landscape" blackAndWhite="1" cellComments="asDisplayed" horizontalDpi="300" verticalDpi="300" r:id="rId1"/>
  <headerFooter alignWithMargins="0"/>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rgb="FF92D050"/>
  </sheetPr>
  <dimension ref="A1:R303"/>
  <sheetViews>
    <sheetView rightToLeft="1" view="pageBreakPreview" zoomScale="85" zoomScaleNormal="85" zoomScaleSheetLayoutView="85" workbookViewId="0">
      <selection activeCell="E18" sqref="E18"/>
    </sheetView>
  </sheetViews>
  <sheetFormatPr defaultColWidth="9.33203125" defaultRowHeight="12.75"/>
  <cols>
    <col min="1" max="1" width="14.33203125" style="141" customWidth="1"/>
    <col min="2" max="2" width="20.1640625" style="141" customWidth="1"/>
    <col min="3" max="3" width="36.5" style="141" customWidth="1"/>
    <col min="4" max="4" width="48.1640625" style="141" customWidth="1"/>
    <col min="5" max="5" width="26.5" style="141" customWidth="1"/>
    <col min="6" max="6" width="21.1640625" style="141" bestFit="1" customWidth="1"/>
    <col min="7" max="7" width="33.1640625" style="141" customWidth="1"/>
    <col min="8" max="8" width="16.83203125" style="141" customWidth="1"/>
    <col min="9" max="9" width="21.6640625" style="141" customWidth="1"/>
    <col min="10" max="10" width="29" style="137" customWidth="1"/>
    <col min="11" max="11" width="15.1640625" style="137" customWidth="1"/>
    <col min="12" max="12" width="17" style="137" customWidth="1"/>
    <col min="13" max="13" width="12.83203125" style="137" bestFit="1" customWidth="1"/>
    <col min="14" max="14" width="15.5" style="137" bestFit="1" customWidth="1"/>
    <col min="15" max="15" width="22.6640625" style="137" customWidth="1"/>
    <col min="16" max="16" width="9.6640625" style="137" bestFit="1" customWidth="1"/>
    <col min="17" max="17" width="11.5" style="137" bestFit="1" customWidth="1"/>
    <col min="18" max="16384" width="9.33203125" style="137"/>
  </cols>
  <sheetData>
    <row r="1" spans="1:14" ht="13.5" thickBot="1">
      <c r="B1" s="4341" t="s">
        <v>49</v>
      </c>
      <c r="C1" s="4342"/>
      <c r="D1" s="4342"/>
      <c r="E1" s="4342"/>
      <c r="F1" s="4343"/>
    </row>
    <row r="2" spans="1:14" ht="13.5" thickBot="1">
      <c r="A2" s="50"/>
      <c r="B2" s="540" t="s">
        <v>57</v>
      </c>
      <c r="C2" s="540" t="s">
        <v>178</v>
      </c>
      <c r="D2" s="541" t="s">
        <v>59</v>
      </c>
      <c r="E2" s="956">
        <f>SUM(E3:E94)</f>
        <v>0</v>
      </c>
      <c r="F2" s="956">
        <f>SUM(F3:F94)</f>
        <v>0</v>
      </c>
      <c r="G2" s="52"/>
      <c r="H2" s="52"/>
      <c r="I2" s="52"/>
    </row>
    <row r="3" spans="1:14" ht="13.5" thickBot="1">
      <c r="B3" s="1820">
        <v>1</v>
      </c>
      <c r="C3" s="1346" t="s">
        <v>3611</v>
      </c>
      <c r="D3" s="1344"/>
      <c r="E3" s="1197" t="s">
        <v>794</v>
      </c>
      <c r="F3" s="1197" t="s">
        <v>4</v>
      </c>
    </row>
    <row r="4" spans="1:14">
      <c r="B4" s="4347"/>
      <c r="C4" s="4072">
        <v>2400001</v>
      </c>
      <c r="D4" s="208" t="str">
        <f>VLOOKUP(C4,'מאזן בוחן Australia'!C:D,2,0)</f>
        <v>Accrued expenses Employees</v>
      </c>
      <c r="E4" s="1348"/>
      <c r="F4" s="1348">
        <f>E4/'מאזן בוחן Australia'!$O$2</f>
        <v>0</v>
      </c>
      <c r="G4" s="4351" t="s">
        <v>3610</v>
      </c>
      <c r="H4" s="493" t="e">
        <f>E4/F4</f>
        <v>#DIV/0!</v>
      </c>
    </row>
    <row r="5" spans="1:14">
      <c r="B5" s="4333"/>
      <c r="C5" s="4073">
        <v>9010002</v>
      </c>
      <c r="D5" s="208" t="str">
        <f>VLOOKUP(C5,'מאזן בוחן Australia'!C:D,2,0)</f>
        <v>Exchange Rate</v>
      </c>
      <c r="E5" s="1348">
        <v>0</v>
      </c>
      <c r="F5" s="1348">
        <f>-F4-F6</f>
        <v>0</v>
      </c>
      <c r="G5" s="4352"/>
      <c r="H5" s="493" t="e">
        <f>E5/F5</f>
        <v>#DIV/0!</v>
      </c>
    </row>
    <row r="6" spans="1:14" ht="13.5" thickBot="1">
      <c r="B6" s="4334"/>
      <c r="C6" s="3704">
        <v>7110003</v>
      </c>
      <c r="D6" s="1094" t="str">
        <f>VLOOKUP(C6,'מאזן בוחן Australia'!C:D,2,0)</f>
        <v>שכר מכירות- עמלות למאזן בלבד</v>
      </c>
      <c r="E6" s="1349">
        <f>-E4</f>
        <v>0</v>
      </c>
      <c r="F6" s="1349">
        <f>E6/1.313477</f>
        <v>0</v>
      </c>
      <c r="G6" s="4353"/>
      <c r="H6" s="493" t="e">
        <f>E6/F6</f>
        <v>#DIV/0!</v>
      </c>
    </row>
    <row r="7" spans="1:14" ht="13.5" thickBot="1">
      <c r="B7" s="1820">
        <f>B3+1</f>
        <v>2</v>
      </c>
      <c r="C7" s="2432" t="s">
        <v>2426</v>
      </c>
      <c r="D7" s="2431"/>
      <c r="E7" s="1197" t="s">
        <v>794</v>
      </c>
      <c r="F7" s="1345" t="s">
        <v>4</v>
      </c>
      <c r="J7" s="550"/>
      <c r="K7" s="551"/>
      <c r="L7" s="551"/>
      <c r="M7" s="552"/>
      <c r="N7" s="553"/>
    </row>
    <row r="8" spans="1:14">
      <c r="B8" s="4347"/>
      <c r="C8" s="3061">
        <v>9010002</v>
      </c>
      <c r="D8" s="208" t="str">
        <f>VLOOKUP(C8,'מאזן בוחן Australia'!C:D,2,0)</f>
        <v>Exchange Rate</v>
      </c>
      <c r="E8" s="1348"/>
      <c r="F8" s="1348"/>
      <c r="G8" s="4351" t="s">
        <v>2452</v>
      </c>
      <c r="H8" s="493" t="e">
        <f>E8/F8</f>
        <v>#DIV/0!</v>
      </c>
      <c r="I8" s="141" t="s">
        <v>4255</v>
      </c>
      <c r="J8" s="145"/>
      <c r="K8" s="52"/>
      <c r="L8" s="51"/>
      <c r="M8" s="136" t="s">
        <v>794</v>
      </c>
      <c r="N8" s="1363" t="s">
        <v>294</v>
      </c>
    </row>
    <row r="9" spans="1:14">
      <c r="B9" s="4333"/>
      <c r="C9" s="3061">
        <v>5900001</v>
      </c>
      <c r="D9" s="208" t="str">
        <f>VLOOKUP(C9,'מאזן בוחן Australia'!C:D,2,0)</f>
        <v>Transfer Pricing per IC Agreeme-Cost of sales</v>
      </c>
      <c r="E9" s="1348"/>
      <c r="F9" s="1353"/>
      <c r="G9" s="4352"/>
      <c r="H9" s="493" t="e">
        <f>E9/F9</f>
        <v>#DIV/0!</v>
      </c>
      <c r="J9" s="145"/>
      <c r="K9" s="52"/>
      <c r="L9" s="51"/>
      <c r="M9" s="207"/>
      <c r="N9" s="1364"/>
    </row>
    <row r="10" spans="1:14" ht="13.5" thickBot="1">
      <c r="B10" s="4334"/>
      <c r="C10" s="3704">
        <v>1130005</v>
      </c>
      <c r="D10" s="1094" t="str">
        <f>VLOOKUP(C10,'מאזן בוחן Australia'!C:D,2,0)</f>
        <v>Algosec Ltd Israel</v>
      </c>
      <c r="E10" s="1349"/>
      <c r="F10" s="1349"/>
      <c r="G10" s="4353"/>
      <c r="H10" s="493" t="e">
        <f>E10/F10</f>
        <v>#DIV/0!</v>
      </c>
      <c r="J10" s="147" t="s">
        <v>504</v>
      </c>
      <c r="K10" s="138"/>
      <c r="L10" s="133"/>
      <c r="M10" s="142">
        <f>-'מאזן בוחן Australia'!J179</f>
        <v>6840291.7800000012</v>
      </c>
      <c r="N10" s="1365">
        <f>-'מאזן בוחן Australia'!K179</f>
        <v>5012328.7699999996</v>
      </c>
    </row>
    <row r="11" spans="1:14" ht="13.5" thickBot="1">
      <c r="B11" s="1820">
        <f>B7+1</f>
        <v>3</v>
      </c>
      <c r="C11" s="2432" t="s">
        <v>2428</v>
      </c>
      <c r="D11" s="4070"/>
      <c r="E11" s="1197" t="s">
        <v>794</v>
      </c>
      <c r="F11" s="1345" t="s">
        <v>4</v>
      </c>
      <c r="H11" s="493"/>
      <c r="J11" s="147"/>
      <c r="K11" s="138"/>
      <c r="L11" s="133"/>
      <c r="M11" s="142"/>
      <c r="N11" s="1365"/>
    </row>
    <row r="12" spans="1:14">
      <c r="B12" s="4347"/>
      <c r="C12" s="3061">
        <v>5900001</v>
      </c>
      <c r="D12" s="3060" t="str">
        <f>VLOOKUP(C12,'מאזן בוחן Australia'!C:D,2,0)</f>
        <v>Transfer Pricing per IC Agreeme-Cost of sales</v>
      </c>
      <c r="E12" s="1348"/>
      <c r="F12" s="1353"/>
      <c r="G12" s="4357" t="s">
        <v>2429</v>
      </c>
      <c r="H12" s="493" t="e">
        <f>E12/F12</f>
        <v>#DIV/0!</v>
      </c>
      <c r="J12" s="147" t="s">
        <v>658</v>
      </c>
      <c r="K12" s="138"/>
      <c r="L12" s="1095">
        <v>2.5000000000000001E-2</v>
      </c>
      <c r="M12" s="143">
        <f>+M10*L12</f>
        <v>171007.29450000005</v>
      </c>
      <c r="N12" s="1366">
        <f>+N10*L12</f>
        <v>125308.21924999999</v>
      </c>
    </row>
    <row r="13" spans="1:14" ht="13.5" thickBot="1">
      <c r="B13" s="4334"/>
      <c r="C13" s="3704">
        <v>1100097</v>
      </c>
      <c r="D13" s="4071" t="str">
        <f>VLOOKUP(C13,'מאזן בוחן Australia'!C:D,2,0)</f>
        <v>Prepaid Expenses TP ST</v>
      </c>
      <c r="E13" s="1349">
        <f>-E12</f>
        <v>0</v>
      </c>
      <c r="F13" s="1349">
        <f>-F12</f>
        <v>0</v>
      </c>
      <c r="G13" s="4359"/>
      <c r="H13" s="493" t="e">
        <f>E13/F13</f>
        <v>#DIV/0!</v>
      </c>
      <c r="J13" s="147" t="s">
        <v>613</v>
      </c>
      <c r="K13" s="138"/>
      <c r="L13" s="135"/>
      <c r="M13" s="143">
        <f>-'מאזן בוחן Australia'!J304</f>
        <v>171007.30000000063</v>
      </c>
      <c r="N13" s="1366">
        <f>-'מאזן בוחן Australia'!K304</f>
        <v>125308.18999999919</v>
      </c>
    </row>
    <row r="14" spans="1:14" ht="13.5" thickBot="1">
      <c r="B14" s="1820">
        <f>B11+1</f>
        <v>4</v>
      </c>
      <c r="C14" s="2432" t="s">
        <v>2428</v>
      </c>
      <c r="D14" s="4070"/>
      <c r="E14" s="1197" t="s">
        <v>794</v>
      </c>
      <c r="F14" s="1345" t="s">
        <v>4</v>
      </c>
      <c r="J14" s="147" t="s">
        <v>234</v>
      </c>
      <c r="K14" s="133"/>
      <c r="L14" s="133"/>
      <c r="M14" s="1372">
        <f>+M13-M12</f>
        <v>5.5000005813781172E-3</v>
      </c>
      <c r="N14" s="1065">
        <f>+N13-N12</f>
        <v>-2.9250000807223842E-2</v>
      </c>
    </row>
    <row r="15" spans="1:14" ht="13.5" thickBot="1">
      <c r="B15" s="4347"/>
      <c r="C15" s="3061">
        <v>1610097</v>
      </c>
      <c r="D15" s="3060" t="str">
        <f>VLOOKUP(C15,'מאזן בוחן Australia'!C:D,2,0)</f>
        <v>Prepaid COGS TP IC long term</v>
      </c>
      <c r="E15" s="1348"/>
      <c r="F15" s="1348"/>
      <c r="G15" s="4357" t="s">
        <v>2429</v>
      </c>
      <c r="H15" s="493" t="e">
        <f>E15/F15</f>
        <v>#DIV/0!</v>
      </c>
      <c r="I15" s="4098">
        <f>'[17]12.2021'!$A$14065</f>
        <v>0.43081621815978555</v>
      </c>
      <c r="J15" s="148"/>
      <c r="K15" s="133"/>
      <c r="L15" s="133"/>
      <c r="M15" s="138"/>
      <c r="N15" s="1367"/>
    </row>
    <row r="16" spans="1:14" ht="13.5" thickBot="1">
      <c r="B16" s="4334"/>
      <c r="C16" s="3704">
        <v>1100097</v>
      </c>
      <c r="D16" s="4071" t="str">
        <f>VLOOKUP(C16,'מאזן בוחן Australia'!C:D,2,0)</f>
        <v>Prepaid Expenses TP ST</v>
      </c>
      <c r="E16" s="1349">
        <f>-E15</f>
        <v>0</v>
      </c>
      <c r="F16" s="1349">
        <f>-F15</f>
        <v>0</v>
      </c>
      <c r="G16" s="4359"/>
      <c r="H16" s="493" t="e">
        <f>E16/F16</f>
        <v>#DIV/0!</v>
      </c>
      <c r="I16" s="519"/>
      <c r="J16" s="201" t="s">
        <v>1479</v>
      </c>
      <c r="K16" s="202"/>
      <c r="L16" s="202"/>
      <c r="M16" s="256">
        <f>M13+'מאזן בוחן Australia'!J302</f>
        <v>154037.85000000062</v>
      </c>
      <c r="N16" s="1368"/>
    </row>
    <row r="17" spans="1:16" ht="13.5" thickBot="1">
      <c r="B17" s="1820">
        <f>B14+1</f>
        <v>5</v>
      </c>
      <c r="C17" s="2432" t="s">
        <v>2450</v>
      </c>
      <c r="D17" s="2431"/>
      <c r="E17" s="1197" t="s">
        <v>794</v>
      </c>
      <c r="F17" s="1197" t="s">
        <v>4</v>
      </c>
    </row>
    <row r="18" spans="1:16">
      <c r="B18" s="4347"/>
      <c r="C18" s="4073">
        <v>9100001</v>
      </c>
      <c r="D18" s="208" t="str">
        <f>VLOOKUP(C18,'מאזן בוחן Australia'!C:D,2,0)</f>
        <v>Tax on Income</v>
      </c>
      <c r="E18" s="1348">
        <f>-E20</f>
        <v>0</v>
      </c>
      <c r="F18" s="1348"/>
      <c r="G18" s="4351" t="s">
        <v>2451</v>
      </c>
      <c r="H18" s="493" t="e">
        <f>E18/F18</f>
        <v>#DIV/0!</v>
      </c>
    </row>
    <row r="19" spans="1:16">
      <c r="B19" s="4333"/>
      <c r="C19" s="4073">
        <v>9010002</v>
      </c>
      <c r="D19" s="208" t="str">
        <f>VLOOKUP(C19,'מאזן בוחן Australia'!C:D,2,0)</f>
        <v>Exchange Rate</v>
      </c>
      <c r="E19" s="1348">
        <v>0</v>
      </c>
      <c r="F19" s="1348"/>
      <c r="G19" s="4352"/>
      <c r="H19" s="493" t="e">
        <f>E19/F19</f>
        <v>#DIV/0!</v>
      </c>
    </row>
    <row r="20" spans="1:16" ht="13.5" thickBot="1">
      <c r="B20" s="4334"/>
      <c r="C20" s="3704">
        <v>2500055</v>
      </c>
      <c r="D20" s="1094" t="str">
        <f>VLOOKUP(C20,'מאזן בוחן Australia'!C:D,2,0)</f>
        <v>הפרשה למס אוסטרליה 2021</v>
      </c>
      <c r="E20" s="1349">
        <f>-'Tax proforma'!C27</f>
        <v>0</v>
      </c>
      <c r="F20" s="1349">
        <f>-E18/'מאזן בוחן Australia'!$O$2</f>
        <v>0</v>
      </c>
      <c r="G20" s="4353"/>
      <c r="H20" s="493" t="e">
        <f>E20/F20</f>
        <v>#DIV/0!</v>
      </c>
      <c r="L20" s="137">
        <v>-876654.4729999993</v>
      </c>
    </row>
    <row r="21" spans="1:16" ht="13.5" thickBot="1">
      <c r="B21" s="1820">
        <f>B17+1</f>
        <v>6</v>
      </c>
      <c r="C21" s="2432" t="s">
        <v>3216</v>
      </c>
      <c r="D21" s="2431"/>
      <c r="E21" s="1197" t="s">
        <v>794</v>
      </c>
      <c r="F21" s="1197" t="s">
        <v>4</v>
      </c>
    </row>
    <row r="22" spans="1:16">
      <c r="B22" s="4347"/>
      <c r="C22" s="3061">
        <v>8410069</v>
      </c>
      <c r="D22" s="208" t="str">
        <f>VLOOKUP(C22,'מאזן בוחן Australia'!C:D,2,0)</f>
        <v>G &amp; A Consultants, Accounting Services</v>
      </c>
      <c r="E22" s="1348"/>
      <c r="F22" s="1348">
        <f>E22/'מאזן בוחן Australia'!$O$2</f>
        <v>0</v>
      </c>
      <c r="G22" s="4351" t="s">
        <v>2427</v>
      </c>
      <c r="H22" s="493" t="e">
        <f>E22/F22</f>
        <v>#DIV/0!</v>
      </c>
      <c r="O22" s="51"/>
      <c r="P22" s="51"/>
    </row>
    <row r="23" spans="1:16" ht="13.5" thickBot="1">
      <c r="B23" s="4334"/>
      <c r="C23" s="3704">
        <v>2200001</v>
      </c>
      <c r="D23" s="1094" t="str">
        <f>VLOOKUP(C23,'מאזן בוחן Australia'!C:D,2,0)</f>
        <v>Accrued expenses</v>
      </c>
      <c r="E23" s="1349">
        <f>-E22</f>
        <v>0</v>
      </c>
      <c r="F23" s="1349">
        <f>-F22</f>
        <v>0</v>
      </c>
      <c r="G23" s="4353"/>
      <c r="H23" s="493" t="e">
        <f>E23/F23</f>
        <v>#DIV/0!</v>
      </c>
      <c r="O23" s="51"/>
      <c r="P23" s="51"/>
    </row>
    <row r="24" spans="1:16" ht="13.5" thickBot="1">
      <c r="A24" s="32"/>
      <c r="B24" s="1820">
        <f>B21+1</f>
        <v>7</v>
      </c>
      <c r="C24" s="2432" t="s">
        <v>1219</v>
      </c>
      <c r="D24" s="2431"/>
      <c r="E24" s="1197" t="s">
        <v>794</v>
      </c>
      <c r="F24" s="1197" t="s">
        <v>4</v>
      </c>
      <c r="H24" s="32"/>
      <c r="O24" s="51"/>
      <c r="P24" s="555"/>
    </row>
    <row r="25" spans="1:16">
      <c r="A25" s="32"/>
      <c r="B25" s="4347"/>
      <c r="C25" s="1550" t="s">
        <v>1868</v>
      </c>
      <c r="D25" s="208" t="str">
        <f>VLOOKUP(C25,'מאזן בוחן Australia'!C:D,2,0)</f>
        <v>הכנסות מראש לצורך מאזן בלבד</v>
      </c>
      <c r="E25" s="1348">
        <f>F25*'מאזן בוחן Australia'!$O$2</f>
        <v>0</v>
      </c>
      <c r="F25" s="1348">
        <f>-F26</f>
        <v>0</v>
      </c>
      <c r="G25" s="4351" t="s">
        <v>2429</v>
      </c>
      <c r="H25" s="493" t="e">
        <f>E25/F25</f>
        <v>#DIV/0!</v>
      </c>
      <c r="O25" s="51"/>
      <c r="P25" s="555"/>
    </row>
    <row r="26" spans="1:16" ht="13.5" thickBot="1">
      <c r="A26" s="32"/>
      <c r="B26" s="4334"/>
      <c r="C26" s="3704">
        <v>53600</v>
      </c>
      <c r="D26" s="1094" t="str">
        <f>VLOOKUP(C26,'מאזן בוחן Australia'!C:D,2,0)</f>
        <v>הכנסות מראש מט"ח זמן ארוך</v>
      </c>
      <c r="E26" s="1349">
        <f>-E25</f>
        <v>0</v>
      </c>
      <c r="F26" s="1349"/>
      <c r="G26" s="4353"/>
      <c r="H26" s="493" t="e">
        <f>E26/F26</f>
        <v>#DIV/0!</v>
      </c>
      <c r="O26" s="51"/>
      <c r="P26" s="555"/>
    </row>
    <row r="27" spans="1:16" ht="13.5" thickBot="1">
      <c r="A27" s="32"/>
      <c r="B27" s="1820">
        <f>B24+1</f>
        <v>8</v>
      </c>
      <c r="C27" s="2432" t="s">
        <v>3463</v>
      </c>
      <c r="D27" s="2431"/>
      <c r="E27" s="1197" t="s">
        <v>794</v>
      </c>
      <c r="F27" s="1197" t="s">
        <v>4</v>
      </c>
      <c r="H27" s="32"/>
      <c r="I27" s="133"/>
      <c r="J27" s="133"/>
      <c r="K27" s="139"/>
      <c r="L27" s="138"/>
      <c r="O27" s="51"/>
      <c r="P27" s="555"/>
    </row>
    <row r="28" spans="1:16">
      <c r="A28" s="32"/>
      <c r="B28" s="4347"/>
      <c r="C28" s="3061">
        <v>1100008</v>
      </c>
      <c r="D28" s="208" t="str">
        <f>VLOOKUP(C28,'מאזן בוחן Australia'!C:D,2,0)</f>
        <v>income receivable</v>
      </c>
      <c r="E28" s="1348">
        <f>F28*'מאזן בוחן Australia'!O2</f>
        <v>0</v>
      </c>
      <c r="F28" s="1348"/>
      <c r="G28" s="4351" t="s">
        <v>2700</v>
      </c>
      <c r="H28" s="493" t="e">
        <f>E28/F28</f>
        <v>#DIV/0!</v>
      </c>
      <c r="I28" s="133"/>
      <c r="J28" s="133"/>
      <c r="K28" s="139"/>
      <c r="L28" s="138"/>
      <c r="O28" s="51"/>
      <c r="P28" s="555"/>
    </row>
    <row r="29" spans="1:16" ht="13.5" thickBot="1">
      <c r="A29" s="32"/>
      <c r="B29" s="4334"/>
      <c r="C29" s="3704" t="s">
        <v>2233</v>
      </c>
      <c r="D29" s="1094" t="str">
        <f>VLOOKUP(C29,'מאזן בוחן Australia'!C:D,2,0)</f>
        <v>מיון הכנסות PS-מאזן בלבד</v>
      </c>
      <c r="E29" s="1349">
        <f>-E28</f>
        <v>0</v>
      </c>
      <c r="F29" s="1349"/>
      <c r="G29" s="4353"/>
      <c r="H29" s="493" t="e">
        <f>E29/F29</f>
        <v>#DIV/0!</v>
      </c>
      <c r="I29" s="133"/>
      <c r="J29" s="133"/>
      <c r="K29" s="139"/>
      <c r="L29" s="138"/>
      <c r="O29" s="51"/>
      <c r="P29" s="555"/>
    </row>
    <row r="30" spans="1:16" ht="13.5" thickBot="1">
      <c r="A30" s="32"/>
      <c r="B30" s="1820">
        <f>B27+1</f>
        <v>9</v>
      </c>
      <c r="C30" s="2432" t="s">
        <v>1888</v>
      </c>
      <c r="D30" s="2431"/>
      <c r="E30" s="1197" t="s">
        <v>794</v>
      </c>
      <c r="F30" s="1197" t="s">
        <v>4</v>
      </c>
      <c r="J30" s="141"/>
      <c r="K30" s="141"/>
      <c r="L30" s="141"/>
      <c r="M30" s="141"/>
      <c r="N30" s="141"/>
    </row>
    <row r="31" spans="1:16" ht="12.6" customHeight="1">
      <c r="A31" s="32"/>
      <c r="B31" s="4347"/>
      <c r="C31" s="3061">
        <v>1610005</v>
      </c>
      <c r="D31" s="208" t="str">
        <f>VLOOKUP(C31,'מאזן בוחן Australia'!C:D,2,0)</f>
        <v xml:space="preserve">Prepaid Comm 606 - Long term </v>
      </c>
      <c r="E31" s="1348">
        <f>F31*'מאזן בוחן Australia'!$O$2</f>
        <v>5.9072627051501118E-3</v>
      </c>
      <c r="F31" s="1348">
        <f>'606-Prepaid Comm&amp;DR SUB'!D58-'606-Prepaid Comm&amp;DR SUB'!D59</f>
        <v>4.2923576402245089E-3</v>
      </c>
      <c r="G31" s="4491" t="s">
        <v>2427</v>
      </c>
      <c r="H31" s="493">
        <f>E31/F31</f>
        <v>1.3762279847774139</v>
      </c>
      <c r="J31" s="141"/>
      <c r="K31" s="141"/>
      <c r="L31" s="141"/>
      <c r="M31" s="141"/>
      <c r="N31" s="141"/>
    </row>
    <row r="32" spans="1:16" ht="12.95" customHeight="1" thickBot="1">
      <c r="A32" s="32"/>
      <c r="B32" s="4334"/>
      <c r="C32" s="3704">
        <v>1100099</v>
      </c>
      <c r="D32" s="1094" t="str">
        <f>VLOOKUP(C32,'מאזן בוחן Australia'!C:D,2,0)</f>
        <v>Prepaid Comm</v>
      </c>
      <c r="E32" s="1349">
        <f>-E31</f>
        <v>-5.9072627051501118E-3</v>
      </c>
      <c r="F32" s="1349">
        <f>-F31</f>
        <v>-4.2923576402245089E-3</v>
      </c>
      <c r="G32" s="4492"/>
      <c r="H32" s="493">
        <f>E32/F32</f>
        <v>1.3762279847774139</v>
      </c>
      <c r="J32" s="141"/>
      <c r="K32" s="141"/>
      <c r="L32" s="141"/>
      <c r="M32" s="141"/>
      <c r="N32" s="141"/>
    </row>
    <row r="33" spans="1:16" ht="13.5" thickBot="1">
      <c r="A33" s="544"/>
      <c r="B33" s="1820">
        <f>B30+1</f>
        <v>10</v>
      </c>
      <c r="C33" s="2432" t="s">
        <v>4920</v>
      </c>
      <c r="D33" s="2431"/>
      <c r="E33" s="1197" t="s">
        <v>794</v>
      </c>
      <c r="F33" s="1197" t="s">
        <v>4</v>
      </c>
      <c r="G33" s="2028"/>
      <c r="H33" s="32"/>
      <c r="I33" s="32"/>
      <c r="J33" s="32"/>
      <c r="K33" s="32"/>
      <c r="L33" s="140"/>
      <c r="M33" s="140"/>
    </row>
    <row r="34" spans="1:16">
      <c r="A34" s="544"/>
      <c r="B34" s="4347"/>
      <c r="C34" s="3061">
        <v>7110055</v>
      </c>
      <c r="D34" s="208" t="str">
        <f>VLOOKUP(C34,'מאזן בוחן Australia'!C:D,2,0)</f>
        <v>Payroll Sales-COMM-606</v>
      </c>
      <c r="E34" s="2503">
        <f>F34*G34</f>
        <v>0</v>
      </c>
      <c r="F34" s="2503"/>
      <c r="G34" s="2737">
        <v>1.4116366745695501</v>
      </c>
      <c r="H34" s="493"/>
      <c r="I34" s="32"/>
      <c r="J34" s="32"/>
    </row>
    <row r="35" spans="1:16" ht="13.5" thickBot="1">
      <c r="A35" s="32"/>
      <c r="B35" s="4334"/>
      <c r="C35" s="3704">
        <v>1100099</v>
      </c>
      <c r="D35" s="1094" t="str">
        <f>VLOOKUP(C35,'מאזן בוחן Australia'!C:D,2,0)</f>
        <v>Prepaid Comm</v>
      </c>
      <c r="E35" s="1604">
        <f>-E34</f>
        <v>0</v>
      </c>
      <c r="F35" s="1604">
        <f>-F34</f>
        <v>0</v>
      </c>
      <c r="G35" s="2738"/>
      <c r="H35" s="493"/>
      <c r="I35" s="32"/>
      <c r="J35" s="32"/>
    </row>
    <row r="36" spans="1:16" ht="13.5" thickBot="1">
      <c r="A36" s="32"/>
      <c r="B36" s="1820">
        <f>1+B33</f>
        <v>11</v>
      </c>
      <c r="C36" s="2432" t="s">
        <v>4921</v>
      </c>
      <c r="D36" s="2431"/>
      <c r="E36" s="2869" t="s">
        <v>794</v>
      </c>
      <c r="F36" s="2869" t="s">
        <v>4</v>
      </c>
      <c r="G36" s="2028"/>
      <c r="J36" s="141"/>
      <c r="K36" s="141"/>
      <c r="L36" s="141"/>
      <c r="M36" s="141"/>
      <c r="N36" s="141"/>
    </row>
    <row r="37" spans="1:16">
      <c r="A37" s="32"/>
      <c r="B37" s="4347"/>
      <c r="C37" s="3061">
        <v>7110055</v>
      </c>
      <c r="D37" s="208" t="str">
        <f>VLOOKUP(C37,'מאזן בוחן Australia'!C:D,2,0)</f>
        <v>Payroll Sales-COMM-606</v>
      </c>
      <c r="E37" s="2503">
        <f>F37*G37</f>
        <v>0</v>
      </c>
      <c r="F37" s="2503"/>
      <c r="G37" s="2737">
        <v>1.4610000000000001</v>
      </c>
      <c r="H37" s="493"/>
      <c r="J37" s="141"/>
      <c r="K37" s="141"/>
      <c r="L37" s="141"/>
      <c r="M37" s="141"/>
      <c r="N37" s="141"/>
    </row>
    <row r="38" spans="1:16" ht="13.5" thickBot="1">
      <c r="A38" s="32"/>
      <c r="B38" s="4334"/>
      <c r="C38" s="3704">
        <v>1100099</v>
      </c>
      <c r="D38" s="1094" t="str">
        <f>VLOOKUP(C38,'מאזן בוחן Australia'!C:D,2,0)</f>
        <v>Prepaid Comm</v>
      </c>
      <c r="E38" s="1604">
        <f>-E37</f>
        <v>0</v>
      </c>
      <c r="F38" s="1604">
        <f>-F37</f>
        <v>0</v>
      </c>
      <c r="G38" s="2430"/>
      <c r="H38" s="493"/>
      <c r="J38" s="141"/>
      <c r="K38" s="141"/>
      <c r="L38" s="141"/>
      <c r="M38" s="141"/>
      <c r="N38" s="141"/>
    </row>
    <row r="39" spans="1:16" ht="13.5" thickBot="1">
      <c r="A39" s="32"/>
      <c r="B39" s="1820">
        <f>B36+1</f>
        <v>12</v>
      </c>
      <c r="C39" s="2432" t="s">
        <v>4922</v>
      </c>
      <c r="D39" s="2431"/>
      <c r="E39" s="2869" t="s">
        <v>794</v>
      </c>
      <c r="F39" s="2869" t="s">
        <v>4</v>
      </c>
      <c r="G39" s="2028"/>
      <c r="I39" s="133"/>
      <c r="J39" s="133"/>
      <c r="K39" s="139"/>
      <c r="L39" s="138"/>
      <c r="O39" s="51"/>
      <c r="P39" s="555"/>
    </row>
    <row r="40" spans="1:16">
      <c r="A40" s="32"/>
      <c r="B40" s="4347"/>
      <c r="C40" s="3061">
        <v>7110055</v>
      </c>
      <c r="D40" s="208" t="str">
        <f>VLOOKUP(C40,'מאזן בוחן Australia'!C:D,2,0)</f>
        <v>Payroll Sales-COMM-606</v>
      </c>
      <c r="E40" s="2503">
        <f>F40*G40</f>
        <v>0</v>
      </c>
      <c r="F40" s="2503"/>
      <c r="G40" s="2737">
        <v>1.4790000000000001</v>
      </c>
      <c r="H40" s="493"/>
      <c r="I40" s="133"/>
      <c r="J40" s="133"/>
      <c r="K40" s="139"/>
      <c r="L40" s="138"/>
      <c r="O40" s="51"/>
      <c r="P40" s="555"/>
    </row>
    <row r="41" spans="1:16" ht="13.5" thickBot="1">
      <c r="A41" s="32"/>
      <c r="B41" s="4334"/>
      <c r="C41" s="3704">
        <v>1100099</v>
      </c>
      <c r="D41" s="1094" t="str">
        <f>VLOOKUP(C41,'מאזן בוחן Australia'!C:D,2,0)</f>
        <v>Prepaid Comm</v>
      </c>
      <c r="E41" s="1604">
        <f>-E40</f>
        <v>0</v>
      </c>
      <c r="F41" s="1604">
        <f>-F40</f>
        <v>0</v>
      </c>
      <c r="G41" s="2430"/>
      <c r="H41" s="493"/>
      <c r="I41" s="133"/>
      <c r="J41" s="133"/>
      <c r="K41" s="139"/>
      <c r="L41" s="138"/>
      <c r="O41" s="51"/>
      <c r="P41" s="555"/>
    </row>
    <row r="42" spans="1:16" ht="13.5" thickBot="1">
      <c r="A42" s="32"/>
      <c r="B42" s="1820">
        <f>B39+1</f>
        <v>13</v>
      </c>
      <c r="C42" s="2432" t="s">
        <v>4923</v>
      </c>
      <c r="D42" s="2431"/>
      <c r="E42" s="2869" t="s">
        <v>794</v>
      </c>
      <c r="F42" s="2869" t="s">
        <v>4</v>
      </c>
      <c r="H42" s="493"/>
      <c r="I42" s="133"/>
      <c r="J42" s="133"/>
      <c r="K42" s="139"/>
      <c r="L42" s="138"/>
      <c r="O42" s="51"/>
      <c r="P42" s="555"/>
    </row>
    <row r="43" spans="1:16">
      <c r="A43" s="32"/>
      <c r="B43" s="4347"/>
      <c r="C43" s="3061">
        <v>7110055</v>
      </c>
      <c r="D43" s="208" t="str">
        <f>VLOOKUP(C43,'מאזן בוחן Australia'!C:D,2,0)</f>
        <v>Payroll Sales-COMM-606</v>
      </c>
      <c r="E43" s="2503">
        <f>F43*G43</f>
        <v>0</v>
      </c>
      <c r="F43" s="2503"/>
      <c r="G43" s="2737">
        <v>1.4262999999999999</v>
      </c>
      <c r="H43" s="493"/>
      <c r="I43" s="133"/>
      <c r="J43" s="133"/>
      <c r="K43" s="139"/>
      <c r="L43" s="138"/>
      <c r="O43" s="51"/>
      <c r="P43" s="555"/>
    </row>
    <row r="44" spans="1:16" ht="13.5" thickBot="1">
      <c r="A44" s="32"/>
      <c r="B44" s="4334"/>
      <c r="C44" s="3704">
        <v>1100099</v>
      </c>
      <c r="D44" s="1094" t="str">
        <f>VLOOKUP(C44,'מאזן בוחן Australia'!C:D,2,0)</f>
        <v>Prepaid Comm</v>
      </c>
      <c r="E44" s="1604">
        <f>-E43</f>
        <v>0</v>
      </c>
      <c r="F44" s="1604">
        <f>-F43</f>
        <v>0</v>
      </c>
      <c r="G44" s="2739"/>
      <c r="H44" s="493"/>
      <c r="I44" s="133"/>
      <c r="J44" s="133"/>
      <c r="K44" s="139"/>
      <c r="L44" s="138"/>
      <c r="O44" s="51"/>
      <c r="P44" s="555"/>
    </row>
    <row r="45" spans="1:16" ht="13.5" thickBot="1">
      <c r="A45" s="32"/>
      <c r="B45" s="1820">
        <f>B42+1</f>
        <v>14</v>
      </c>
      <c r="C45" s="2432" t="s">
        <v>4924</v>
      </c>
      <c r="D45" s="2431"/>
      <c r="E45" s="2869" t="s">
        <v>794</v>
      </c>
      <c r="F45" s="2869" t="s">
        <v>4</v>
      </c>
      <c r="H45" s="493"/>
      <c r="I45" s="133"/>
      <c r="J45" s="133"/>
      <c r="K45" s="139"/>
      <c r="L45" s="138"/>
      <c r="O45" s="51"/>
      <c r="P45" s="555"/>
    </row>
    <row r="46" spans="1:16">
      <c r="A46" s="32"/>
      <c r="B46" s="4347"/>
      <c r="C46" s="3061">
        <v>7110066</v>
      </c>
      <c r="D46" s="208" t="str">
        <f>VLOOKUP(C46,'מאזן בוחן Australia'!C:D,2,0)</f>
        <v>Payroll Sales-COMM-606-2020</v>
      </c>
      <c r="E46" s="2503">
        <f>F46*G46</f>
        <v>0</v>
      </c>
      <c r="F46" s="2503"/>
      <c r="G46" s="2737">
        <v>1.6412</v>
      </c>
      <c r="H46" s="493"/>
      <c r="I46" s="133"/>
      <c r="J46" s="133"/>
      <c r="K46" s="139"/>
      <c r="L46" s="138"/>
      <c r="O46" s="51"/>
      <c r="P46" s="555"/>
    </row>
    <row r="47" spans="1:16" ht="13.5" thickBot="1">
      <c r="A47" s="32"/>
      <c r="B47" s="4334"/>
      <c r="C47" s="3704">
        <v>1100099</v>
      </c>
      <c r="D47" s="1094" t="str">
        <f>VLOOKUP(C47,'מאזן בוחן Australia'!C:D,2,0)</f>
        <v>Prepaid Comm</v>
      </c>
      <c r="E47" s="1604">
        <f>-E46</f>
        <v>0</v>
      </c>
      <c r="F47" s="1604">
        <f>-F46</f>
        <v>0</v>
      </c>
      <c r="G47" s="2739"/>
      <c r="H47" s="493"/>
      <c r="I47" s="133"/>
      <c r="J47" s="133"/>
      <c r="K47" s="139"/>
      <c r="L47" s="138"/>
      <c r="O47" s="51"/>
      <c r="P47" s="555"/>
    </row>
    <row r="48" spans="1:16" ht="13.5" thickBot="1">
      <c r="A48" s="32"/>
      <c r="B48" s="1820">
        <f>B45+1</f>
        <v>15</v>
      </c>
      <c r="C48" s="2432" t="s">
        <v>4925</v>
      </c>
      <c r="D48" s="2431"/>
      <c r="E48" s="2869" t="s">
        <v>794</v>
      </c>
      <c r="F48" s="2869" t="s">
        <v>4</v>
      </c>
      <c r="G48" s="2028"/>
      <c r="H48" s="32"/>
      <c r="I48" s="133"/>
      <c r="J48" s="133"/>
      <c r="K48" s="139"/>
      <c r="L48" s="138"/>
      <c r="O48" s="51"/>
      <c r="P48" s="555"/>
    </row>
    <row r="49" spans="1:16">
      <c r="A49" s="32"/>
      <c r="B49" s="4347"/>
      <c r="C49" s="3061">
        <v>7110066</v>
      </c>
      <c r="D49" s="208" t="str">
        <f>VLOOKUP(C49,'מאזן בוחן Australia'!C:D,2,0)</f>
        <v>Payroll Sales-COMM-606-2020</v>
      </c>
      <c r="E49" s="2503">
        <f>F49*G49</f>
        <v>0</v>
      </c>
      <c r="F49" s="2503"/>
      <c r="G49" s="2737">
        <v>1.4610000000000001</v>
      </c>
      <c r="H49" s="493"/>
      <c r="I49" s="133"/>
      <c r="J49" s="133"/>
      <c r="K49" s="139"/>
      <c r="L49" s="138"/>
      <c r="O49" s="51"/>
      <c r="P49" s="555"/>
    </row>
    <row r="50" spans="1:16" ht="13.5" thickBot="1">
      <c r="A50" s="32"/>
      <c r="B50" s="4334"/>
      <c r="C50" s="3704">
        <v>1100099</v>
      </c>
      <c r="D50" s="1094" t="str">
        <f>VLOOKUP(C50,'מאזן בוחן Australia'!C:D,2,0)</f>
        <v>Prepaid Comm</v>
      </c>
      <c r="E50" s="1604">
        <f>-E49</f>
        <v>0</v>
      </c>
      <c r="F50" s="1604">
        <f>-F49</f>
        <v>0</v>
      </c>
      <c r="G50" s="2430"/>
      <c r="H50" s="493"/>
      <c r="I50" s="133"/>
      <c r="J50" s="133"/>
      <c r="K50" s="139"/>
      <c r="L50" s="138"/>
      <c r="O50" s="51"/>
      <c r="P50" s="555"/>
    </row>
    <row r="51" spans="1:16" ht="13.5" thickBot="1">
      <c r="A51" s="32"/>
      <c r="B51" s="1820">
        <f>B48+1</f>
        <v>16</v>
      </c>
      <c r="C51" s="2432" t="s">
        <v>4926</v>
      </c>
      <c r="D51" s="2431"/>
      <c r="E51" s="2869" t="s">
        <v>794</v>
      </c>
      <c r="F51" s="2869" t="s">
        <v>4</v>
      </c>
      <c r="G51" s="2028"/>
      <c r="H51" s="493"/>
      <c r="I51" s="133"/>
      <c r="J51" s="133"/>
      <c r="K51" s="139"/>
      <c r="L51" s="138"/>
      <c r="O51" s="51"/>
      <c r="P51" s="555"/>
    </row>
    <row r="52" spans="1:16">
      <c r="A52" s="32"/>
      <c r="B52" s="4347"/>
      <c r="C52" s="3061">
        <v>7110066</v>
      </c>
      <c r="D52" s="208" t="str">
        <f>VLOOKUP(C52,'מאזן בוחן Australia'!C:D,2,0)</f>
        <v>Payroll Sales-COMM-606-2020</v>
      </c>
      <c r="E52" s="2503">
        <f>F52*G52</f>
        <v>0</v>
      </c>
      <c r="F52" s="2503"/>
      <c r="G52" s="2737">
        <v>1.4054650165420903</v>
      </c>
      <c r="H52" s="493"/>
      <c r="I52" s="133"/>
      <c r="J52" s="133"/>
      <c r="K52" s="139"/>
      <c r="L52" s="138"/>
      <c r="O52" s="51"/>
      <c r="P52" s="555"/>
    </row>
    <row r="53" spans="1:16" ht="13.5" thickBot="1">
      <c r="A53" s="32"/>
      <c r="B53" s="4334"/>
      <c r="C53" s="3704">
        <v>1100099</v>
      </c>
      <c r="D53" s="1094" t="str">
        <f>VLOOKUP(C53,'מאזן בוחן Australia'!C:D,2,0)</f>
        <v>Prepaid Comm</v>
      </c>
      <c r="E53" s="1604">
        <f>-E52</f>
        <v>0</v>
      </c>
      <c r="F53" s="1604">
        <f>-F52</f>
        <v>0</v>
      </c>
      <c r="G53" s="2430"/>
      <c r="H53" s="493"/>
      <c r="I53" s="133"/>
      <c r="J53" s="133"/>
      <c r="K53" s="139"/>
      <c r="L53" s="138"/>
      <c r="O53" s="51"/>
      <c r="P53" s="555"/>
    </row>
    <row r="54" spans="1:16" ht="13.5" thickBot="1">
      <c r="A54" s="32"/>
      <c r="B54" s="1820">
        <f>B51+1</f>
        <v>17</v>
      </c>
      <c r="C54" s="2432" t="s">
        <v>4927</v>
      </c>
      <c r="D54" s="2431"/>
      <c r="E54" s="2869" t="s">
        <v>794</v>
      </c>
      <c r="F54" s="2869" t="s">
        <v>4</v>
      </c>
      <c r="H54" s="32"/>
      <c r="J54" s="141"/>
      <c r="K54" s="32"/>
      <c r="L54" s="32"/>
      <c r="M54" s="32"/>
      <c r="N54" s="32"/>
      <c r="O54" s="32"/>
      <c r="P54" s="32"/>
    </row>
    <row r="55" spans="1:16">
      <c r="A55" s="32"/>
      <c r="B55" s="4347"/>
      <c r="C55" s="3061">
        <v>7110066</v>
      </c>
      <c r="D55" s="208" t="str">
        <f>VLOOKUP(C55,'מאזן בוחן Australia'!C:D,2,0)</f>
        <v>Payroll Sales-COMM-606-2020</v>
      </c>
      <c r="E55" s="2503">
        <f>F55*G55</f>
        <v>0</v>
      </c>
      <c r="F55" s="2503"/>
      <c r="G55" s="2737">
        <v>1.2945961182250141</v>
      </c>
      <c r="H55" s="493"/>
      <c r="J55" s="141"/>
      <c r="K55" s="32"/>
      <c r="L55" s="32"/>
      <c r="M55" s="32"/>
      <c r="N55" s="32"/>
      <c r="O55" s="32"/>
      <c r="P55" s="32"/>
    </row>
    <row r="56" spans="1:16" ht="13.5" thickBot="1">
      <c r="A56" s="32"/>
      <c r="B56" s="4334"/>
      <c r="C56" s="3704">
        <v>1100099</v>
      </c>
      <c r="D56" s="1094" t="str">
        <f>VLOOKUP(C56,'מאזן בוחן Australia'!C:D,2,0)</f>
        <v>Prepaid Comm</v>
      </c>
      <c r="E56" s="1604">
        <f>-E55</f>
        <v>0</v>
      </c>
      <c r="F56" s="1604">
        <f>-F55</f>
        <v>0</v>
      </c>
      <c r="G56" s="2739"/>
      <c r="H56" s="493"/>
      <c r="J56" s="141"/>
      <c r="K56" s="32"/>
      <c r="L56" s="32"/>
      <c r="M56" s="32"/>
      <c r="N56" s="32"/>
      <c r="O56" s="32"/>
      <c r="P56" s="32"/>
    </row>
    <row r="57" spans="1:16" ht="13.5" thickBot="1">
      <c r="A57" s="32"/>
      <c r="B57" s="1820">
        <f>B54+1</f>
        <v>18</v>
      </c>
      <c r="C57" s="2432" t="s">
        <v>4928</v>
      </c>
      <c r="D57" s="2431"/>
      <c r="E57" s="1197" t="s">
        <v>794</v>
      </c>
      <c r="F57" s="2869" t="s">
        <v>4</v>
      </c>
      <c r="H57" s="493"/>
      <c r="J57" s="141"/>
      <c r="K57" s="32"/>
      <c r="L57" s="32"/>
      <c r="M57" s="32"/>
      <c r="N57" s="32"/>
      <c r="O57" s="32"/>
      <c r="P57" s="32"/>
    </row>
    <row r="58" spans="1:16">
      <c r="A58" s="32"/>
      <c r="B58" s="4347"/>
      <c r="C58" s="3061">
        <v>7110077</v>
      </c>
      <c r="D58" s="208" t="str">
        <f>VLOOKUP(C58,'מאזן בוחן Australia'!C:D,2,0)</f>
        <v>Payroll Sales-COMM-606-2021</v>
      </c>
      <c r="E58" s="2503">
        <f>F58*G58</f>
        <v>0</v>
      </c>
      <c r="F58" s="2503"/>
      <c r="G58" s="2737">
        <v>1.3134775243273058</v>
      </c>
      <c r="H58" s="493"/>
      <c r="J58" s="141"/>
      <c r="K58" s="32"/>
      <c r="L58" s="32"/>
      <c r="M58" s="32"/>
      <c r="N58" s="32"/>
      <c r="O58" s="32"/>
      <c r="P58" s="32"/>
    </row>
    <row r="59" spans="1:16" ht="13.5" thickBot="1">
      <c r="A59" s="32"/>
      <c r="B59" s="4334"/>
      <c r="C59" s="3704">
        <v>1100099</v>
      </c>
      <c r="D59" s="1094" t="str">
        <f>VLOOKUP(C59,'מאזן בוחן Australia'!C:D,2,0)</f>
        <v>Prepaid Comm</v>
      </c>
      <c r="E59" s="1604">
        <f>-E58</f>
        <v>0</v>
      </c>
      <c r="F59" s="1604">
        <f>-F58</f>
        <v>0</v>
      </c>
      <c r="G59" s="2739"/>
      <c r="H59" s="493"/>
      <c r="J59" s="141"/>
      <c r="K59" s="32"/>
      <c r="L59" s="32"/>
      <c r="M59" s="32"/>
      <c r="N59" s="32"/>
      <c r="O59" s="32"/>
      <c r="P59" s="32"/>
    </row>
    <row r="60" spans="1:16" ht="13.5" thickBot="1">
      <c r="A60" s="32"/>
      <c r="B60" s="1820">
        <f>B54+1</f>
        <v>18</v>
      </c>
      <c r="C60" s="2432" t="s">
        <v>4929</v>
      </c>
      <c r="D60" s="2431"/>
      <c r="E60" s="1197" t="s">
        <v>794</v>
      </c>
      <c r="F60" s="2869" t="s">
        <v>4</v>
      </c>
      <c r="G60" s="2028"/>
      <c r="H60" s="32"/>
      <c r="I60" s="32"/>
      <c r="J60" s="32"/>
    </row>
    <row r="61" spans="1:16">
      <c r="A61" s="32"/>
      <c r="B61" s="4347"/>
      <c r="C61" s="3061">
        <v>7110077</v>
      </c>
      <c r="D61" s="208" t="str">
        <f>VLOOKUP(C61,'מאזן בוחן Australia'!C:D,2,0)</f>
        <v>Payroll Sales-COMM-606-2021</v>
      </c>
      <c r="E61" s="2503">
        <f>F61*G61</f>
        <v>0</v>
      </c>
      <c r="F61" s="2503"/>
      <c r="G61" s="2740">
        <v>1.3333333333333333</v>
      </c>
      <c r="H61" s="493"/>
      <c r="I61" s="32"/>
      <c r="J61" s="32"/>
    </row>
    <row r="62" spans="1:16" ht="13.5" thickBot="1">
      <c r="A62" s="32"/>
      <c r="B62" s="4334"/>
      <c r="C62" s="3704">
        <v>1100099</v>
      </c>
      <c r="D62" s="1094" t="str">
        <f>VLOOKUP(C62,'מאזן בוחן Australia'!C:D,2,0)</f>
        <v>Prepaid Comm</v>
      </c>
      <c r="E62" s="1604">
        <f>-E61</f>
        <v>0</v>
      </c>
      <c r="F62" s="1604">
        <f>-F61</f>
        <v>0</v>
      </c>
      <c r="G62" s="2741"/>
      <c r="H62" s="493"/>
      <c r="I62" s="32"/>
      <c r="J62" s="32"/>
    </row>
    <row r="63" spans="1:16" ht="13.5" thickBot="1">
      <c r="A63" s="32"/>
      <c r="B63" s="1820">
        <f>B57+1</f>
        <v>19</v>
      </c>
      <c r="C63" s="2432" t="s">
        <v>4930</v>
      </c>
      <c r="D63" s="2431"/>
      <c r="E63" s="1197" t="s">
        <v>794</v>
      </c>
      <c r="F63" s="2869" t="s">
        <v>4</v>
      </c>
      <c r="G63" s="2028"/>
      <c r="H63" s="493"/>
      <c r="I63" s="32"/>
      <c r="J63" s="32"/>
    </row>
    <row r="64" spans="1:16">
      <c r="A64" s="32"/>
      <c r="B64" s="4347"/>
      <c r="C64" s="3061">
        <v>7110044</v>
      </c>
      <c r="D64" s="208" t="str">
        <f>VLOOKUP(C64,'מאזן בוחן Australia'!C:D,2,0)</f>
        <v>Payroll Sales-COMM-606-2019</v>
      </c>
      <c r="E64" s="2503">
        <f>F64*G64</f>
        <v>0</v>
      </c>
      <c r="F64" s="2503"/>
      <c r="G64" s="2740">
        <v>1.4169060940571603</v>
      </c>
      <c r="H64" s="493"/>
      <c r="I64" s="32"/>
      <c r="J64" s="32"/>
    </row>
    <row r="65" spans="1:18" ht="13.5" thickBot="1">
      <c r="A65" s="32"/>
      <c r="B65" s="4334"/>
      <c r="C65" s="3704">
        <v>1100099</v>
      </c>
      <c r="D65" s="1094" t="str">
        <f>VLOOKUP(C65,'מאזן בוחן Australia'!C:D,2,0)</f>
        <v>Prepaid Comm</v>
      </c>
      <c r="E65" s="1604">
        <f>-E64</f>
        <v>0</v>
      </c>
      <c r="F65" s="1604">
        <f>-F64</f>
        <v>0</v>
      </c>
      <c r="G65" s="2741"/>
      <c r="H65" s="493"/>
      <c r="I65" s="32"/>
      <c r="J65" s="32"/>
    </row>
    <row r="66" spans="1:18" ht="13.5" thickBot="1">
      <c r="A66" s="32"/>
      <c r="B66" s="1820">
        <f>B63+1</f>
        <v>20</v>
      </c>
      <c r="C66" s="2432" t="s">
        <v>4931</v>
      </c>
      <c r="D66" s="2431"/>
      <c r="E66" s="1197" t="s">
        <v>794</v>
      </c>
      <c r="F66" s="2869" t="s">
        <v>4</v>
      </c>
      <c r="G66" s="2028"/>
      <c r="H66" s="493"/>
      <c r="I66" s="32"/>
      <c r="J66" s="32"/>
    </row>
    <row r="67" spans="1:18">
      <c r="A67" s="32"/>
      <c r="B67" s="4347"/>
      <c r="C67" s="3061">
        <v>7110077</v>
      </c>
      <c r="D67" s="208" t="str">
        <f>VLOOKUP(C67,'מאזן בוחן Australia'!C:D,2,0)</f>
        <v>Payroll Sales-COMM-606-2021</v>
      </c>
      <c r="E67" s="1348">
        <f>F67*G67</f>
        <v>0</v>
      </c>
      <c r="F67" s="2503"/>
      <c r="G67" s="2740">
        <v>1.3904318994100677</v>
      </c>
      <c r="H67" s="493"/>
      <c r="I67" s="32"/>
      <c r="J67" s="32"/>
    </row>
    <row r="68" spans="1:18" ht="13.5" thickBot="1">
      <c r="A68" s="32"/>
      <c r="B68" s="4334"/>
      <c r="C68" s="3704">
        <v>1100099</v>
      </c>
      <c r="D68" s="1094" t="str">
        <f>VLOOKUP(C68,'מאזן בוחן Australia'!C:D,2,0)</f>
        <v>Prepaid Comm</v>
      </c>
      <c r="E68" s="1349">
        <f>-E67</f>
        <v>0</v>
      </c>
      <c r="F68" s="1604">
        <f>-F67</f>
        <v>0</v>
      </c>
      <c r="G68" s="2741"/>
      <c r="H68" s="493"/>
      <c r="I68" s="32"/>
      <c r="J68" s="32"/>
    </row>
    <row r="69" spans="1:18" ht="13.5" thickBot="1">
      <c r="A69" s="32"/>
      <c r="B69" s="1820">
        <f>B66+1</f>
        <v>21</v>
      </c>
      <c r="C69" s="2432" t="s">
        <v>4894</v>
      </c>
      <c r="D69" s="2431"/>
      <c r="E69" s="1197" t="s">
        <v>794</v>
      </c>
      <c r="F69" s="1197" t="s">
        <v>4</v>
      </c>
      <c r="G69" s="2028"/>
      <c r="H69" s="493"/>
      <c r="I69" s="32"/>
      <c r="J69" s="32"/>
    </row>
    <row r="70" spans="1:18">
      <c r="A70" s="32"/>
      <c r="B70" s="4347"/>
      <c r="C70" s="3061">
        <v>7110077</v>
      </c>
      <c r="D70" s="208" t="str">
        <f>VLOOKUP(C70,'מאזן בוחן Australia'!C:D,2,0)</f>
        <v>Payroll Sales-COMM-606-2021</v>
      </c>
      <c r="E70" s="1348">
        <f>F70*G70</f>
        <v>0</v>
      </c>
      <c r="F70" s="2503"/>
      <c r="G70" s="3436">
        <f>'מאזן בוחן Australia'!O2</f>
        <v>1.3762279847774139</v>
      </c>
      <c r="H70" s="493"/>
      <c r="I70" s="32"/>
      <c r="J70" s="32"/>
    </row>
    <row r="71" spans="1:18" ht="13.5" thickBot="1">
      <c r="A71" s="32"/>
      <c r="B71" s="4334"/>
      <c r="C71" s="3704">
        <v>1100099</v>
      </c>
      <c r="D71" s="1094" t="str">
        <f>VLOOKUP(C71,'מאזן בוחן Australia'!C:D,2,0)</f>
        <v>Prepaid Comm</v>
      </c>
      <c r="E71" s="1349">
        <f>-E70</f>
        <v>0</v>
      </c>
      <c r="F71" s="1604">
        <f>-F70</f>
        <v>0</v>
      </c>
      <c r="G71" s="2741"/>
      <c r="H71" s="493"/>
      <c r="I71" s="32"/>
      <c r="J71" s="32"/>
    </row>
    <row r="72" spans="1:18" ht="13.5" thickBot="1">
      <c r="A72" s="32"/>
      <c r="B72" s="1820">
        <f>B69+1</f>
        <v>22</v>
      </c>
      <c r="C72" s="2432" t="s">
        <v>4603</v>
      </c>
      <c r="D72" s="2431"/>
      <c r="E72" s="1197" t="s">
        <v>794</v>
      </c>
      <c r="F72" s="1197" t="s">
        <v>4</v>
      </c>
      <c r="H72" s="4493"/>
      <c r="I72" s="4493"/>
      <c r="J72" s="4493"/>
      <c r="K72" s="51"/>
      <c r="Q72" s="140"/>
    </row>
    <row r="73" spans="1:18">
      <c r="A73" s="32"/>
      <c r="B73" s="4347"/>
      <c r="C73" s="4073" t="s">
        <v>1238</v>
      </c>
      <c r="D73" s="208" t="str">
        <f>VLOOKUP(C73,'מאזן בוחן Australia'!C:D,2,0)</f>
        <v>Share-Based Payment FAS123 - TS</v>
      </c>
      <c r="E73" s="1348">
        <f>F73*'מאזן בוחן Australia'!$O$2</f>
        <v>0</v>
      </c>
      <c r="F73" s="1348"/>
      <c r="G73" s="4351" t="s">
        <v>2451</v>
      </c>
      <c r="H73" s="493" t="e">
        <f>E73/F73</f>
        <v>#DIV/0!</v>
      </c>
      <c r="I73" s="32"/>
      <c r="J73" s="32"/>
      <c r="Q73" s="140"/>
    </row>
    <row r="74" spans="1:18">
      <c r="A74" s="32"/>
      <c r="B74" s="4333"/>
      <c r="C74" s="4073">
        <v>7110006</v>
      </c>
      <c r="D74" s="208" t="str">
        <f>VLOOKUP(C74,'מאזן בוחן Australia'!C:D,2,0)</f>
        <v>Share-Based Payment FAS123 - Sales</v>
      </c>
      <c r="E74" s="1348">
        <f>F74*'מאזן בוחן Australia'!$O$2</f>
        <v>0</v>
      </c>
      <c r="F74" s="1348"/>
      <c r="G74" s="4352"/>
      <c r="H74" s="493" t="e">
        <f>E74/F74</f>
        <v>#DIV/0!</v>
      </c>
      <c r="I74" s="32"/>
      <c r="J74" s="32"/>
    </row>
    <row r="75" spans="1:18" s="382" customFormat="1" ht="13.5" thickBot="1">
      <c r="A75" s="141"/>
      <c r="B75" s="4334"/>
      <c r="C75" s="3704">
        <v>1130006</v>
      </c>
      <c r="D75" s="1094" t="str">
        <f>VLOOKUP(C75,'מאזן בוחן Australia'!C:D,2,0)</f>
        <v>Algosec INC</v>
      </c>
      <c r="E75" s="1349">
        <f>-SUM(E73:E74)</f>
        <v>0</v>
      </c>
      <c r="F75" s="1349">
        <f>-F74-F73</f>
        <v>0</v>
      </c>
      <c r="G75" s="4353"/>
      <c r="H75" s="493" t="e">
        <f>E75/F75</f>
        <v>#DIV/0!</v>
      </c>
      <c r="I75" s="41"/>
      <c r="Q75" s="32"/>
      <c r="R75" s="141"/>
    </row>
    <row r="76" spans="1:18" s="382" customFormat="1" ht="13.5" thickBot="1">
      <c r="A76" s="141"/>
      <c r="B76" s="1820">
        <f>B72+1</f>
        <v>23</v>
      </c>
      <c r="C76" s="2432" t="s">
        <v>4830</v>
      </c>
      <c r="D76" s="2431"/>
      <c r="E76" s="1197" t="s">
        <v>794</v>
      </c>
      <c r="F76" s="1197" t="s">
        <v>4</v>
      </c>
      <c r="G76" s="141"/>
      <c r="H76" s="2816"/>
      <c r="I76" s="2816"/>
      <c r="J76" s="2816"/>
      <c r="Q76" s="32"/>
      <c r="R76" s="141"/>
    </row>
    <row r="77" spans="1:18" s="382" customFormat="1">
      <c r="A77" s="141"/>
      <c r="B77" s="4347"/>
      <c r="C77" s="4073">
        <v>7110003</v>
      </c>
      <c r="D77" s="208" t="str">
        <f>VLOOKUP(C77,'מאזן בוחן Australia'!C:D,2,0)</f>
        <v>שכר מכירות- עמלות למאזן בלבד</v>
      </c>
      <c r="E77" s="1461"/>
      <c r="F77" s="1348">
        <f>E77/'מאזן בוחן Australia'!$O$2</f>
        <v>0</v>
      </c>
      <c r="G77" s="4351" t="s">
        <v>3490</v>
      </c>
      <c r="H77" s="493" t="e">
        <f>E77/F77</f>
        <v>#DIV/0!</v>
      </c>
      <c r="I77" s="32"/>
      <c r="J77" s="32"/>
      <c r="Q77" s="32"/>
      <c r="R77" s="141"/>
    </row>
    <row r="78" spans="1:18" s="382" customFormat="1" ht="13.5" thickBot="1">
      <c r="A78" s="141"/>
      <c r="B78" s="4334"/>
      <c r="C78" s="3704">
        <v>2400001</v>
      </c>
      <c r="D78" s="1094" t="str">
        <f>VLOOKUP(C78,'מאזן בוחן Australia'!C:D,2,0)</f>
        <v>Accrued expenses Employees</v>
      </c>
      <c r="E78" s="1349">
        <f>-E77</f>
        <v>0</v>
      </c>
      <c r="F78" s="1349">
        <f>-F77</f>
        <v>0</v>
      </c>
      <c r="G78" s="4353"/>
      <c r="H78" s="493" t="e">
        <f>E78/F78</f>
        <v>#DIV/0!</v>
      </c>
      <c r="I78" s="41"/>
      <c r="Q78" s="32"/>
      <c r="R78" s="141"/>
    </row>
    <row r="79" spans="1:18" s="382" customFormat="1" ht="13.5" thickBot="1">
      <c r="A79" s="141"/>
      <c r="B79" s="1820">
        <f>B76+1</f>
        <v>24</v>
      </c>
      <c r="C79" s="2432" t="s">
        <v>3201</v>
      </c>
      <c r="D79" s="2431"/>
      <c r="E79" s="1197" t="s">
        <v>794</v>
      </c>
      <c r="F79" s="1197" t="s">
        <v>4</v>
      </c>
      <c r="G79" s="1092"/>
      <c r="H79" s="2816"/>
      <c r="I79" s="2816"/>
      <c r="J79" s="2816"/>
      <c r="Q79" s="32"/>
      <c r="R79" s="141"/>
    </row>
    <row r="80" spans="1:18" s="382" customFormat="1">
      <c r="A80" s="141"/>
      <c r="B80" s="4347"/>
      <c r="C80" s="3061">
        <v>5200002</v>
      </c>
      <c r="D80" s="208" t="str">
        <f>VLOOKUP(C80,'מאזן בוחן Australia'!C:D,2,0)</f>
        <v>Other Bonus - Professional  Services</v>
      </c>
      <c r="E80" s="1461">
        <f>F80*'מאזן בוחן Australia'!O2</f>
        <v>0</v>
      </c>
      <c r="F80" s="1348"/>
      <c r="G80" s="4351" t="s">
        <v>2427</v>
      </c>
      <c r="H80" s="493" t="e">
        <f>E80/F80</f>
        <v>#DIV/0!</v>
      </c>
      <c r="I80" s="32"/>
      <c r="J80" s="32"/>
      <c r="Q80" s="32"/>
      <c r="R80" s="141"/>
    </row>
    <row r="81" spans="1:18" s="382" customFormat="1" ht="13.5" thickBot="1">
      <c r="A81" s="141"/>
      <c r="B81" s="4334"/>
      <c r="C81" s="3704">
        <v>2400001</v>
      </c>
      <c r="D81" s="1094" t="str">
        <f>VLOOKUP(C81,'מאזן בוחן Australia'!C:D,2,0)</f>
        <v>Accrued expenses Employees</v>
      </c>
      <c r="E81" s="1349">
        <f>-E80</f>
        <v>0</v>
      </c>
      <c r="F81" s="1349">
        <f>-F80</f>
        <v>0</v>
      </c>
      <c r="G81" s="4353"/>
      <c r="H81" s="493" t="e">
        <f>E81/F81</f>
        <v>#DIV/0!</v>
      </c>
      <c r="I81" s="41"/>
      <c r="Q81" s="32"/>
      <c r="R81" s="141"/>
    </row>
    <row r="82" spans="1:18" s="382" customFormat="1" ht="13.5" thickBot="1">
      <c r="A82" s="141"/>
      <c r="B82" s="1820">
        <f>B79+1</f>
        <v>25</v>
      </c>
      <c r="C82" s="2432" t="s">
        <v>4831</v>
      </c>
      <c r="D82" s="2431"/>
      <c r="E82" s="1197" t="s">
        <v>794</v>
      </c>
      <c r="F82" s="1197" t="s">
        <v>4</v>
      </c>
      <c r="G82" s="141"/>
      <c r="H82" s="4493"/>
      <c r="I82" s="4493"/>
      <c r="J82" s="4493"/>
      <c r="Q82" s="32"/>
      <c r="R82" s="141"/>
    </row>
    <row r="83" spans="1:18" s="382" customFormat="1">
      <c r="A83" s="141"/>
      <c r="B83" s="4347"/>
      <c r="C83" s="4073">
        <v>7110003</v>
      </c>
      <c r="D83" s="208" t="str">
        <f>VLOOKUP(C83,'מאזן בוחן Australia'!C:D,2,0)</f>
        <v>שכר מכירות- עמלות למאזן בלבד</v>
      </c>
      <c r="E83" s="1461"/>
      <c r="F83" s="1348">
        <f>E83/'מאזן בוחן Australia'!$O$2</f>
        <v>0</v>
      </c>
      <c r="G83" s="4351" t="s">
        <v>3490</v>
      </c>
      <c r="H83" s="493" t="e">
        <f>E83/F83</f>
        <v>#DIV/0!</v>
      </c>
      <c r="I83" s="32"/>
      <c r="J83" s="32"/>
      <c r="Q83" s="32"/>
      <c r="R83" s="141"/>
    </row>
    <row r="84" spans="1:18" s="382" customFormat="1" ht="13.5" thickBot="1">
      <c r="A84" s="141"/>
      <c r="B84" s="4334"/>
      <c r="C84" s="3704">
        <v>2400001</v>
      </c>
      <c r="D84" s="1094" t="str">
        <f>VLOOKUP(C84,'מאזן בוחן Australia'!C:D,2,0)</f>
        <v>Accrued expenses Employees</v>
      </c>
      <c r="E84" s="1349">
        <f>-E83</f>
        <v>0</v>
      </c>
      <c r="F84" s="1349">
        <f>-F83</f>
        <v>0</v>
      </c>
      <c r="G84" s="4353"/>
      <c r="H84" s="493" t="e">
        <f>E84/F84</f>
        <v>#DIV/0!</v>
      </c>
      <c r="I84" s="41"/>
      <c r="Q84" s="32"/>
      <c r="R84" s="141"/>
    </row>
    <row r="85" spans="1:18" s="382" customFormat="1" ht="13.5" thickBot="1">
      <c r="A85" s="141"/>
      <c r="B85" s="1820">
        <f>B82+1</f>
        <v>26</v>
      </c>
      <c r="C85" s="2432" t="s">
        <v>4577</v>
      </c>
      <c r="D85" s="2431"/>
      <c r="E85" s="1197" t="s">
        <v>794</v>
      </c>
      <c r="F85" s="1197" t="s">
        <v>4</v>
      </c>
      <c r="G85" s="1092"/>
      <c r="H85" s="2816"/>
      <c r="I85" s="41"/>
      <c r="Q85" s="32"/>
      <c r="R85" s="141"/>
    </row>
    <row r="86" spans="1:18" s="382" customFormat="1">
      <c r="A86" s="141"/>
      <c r="B86" s="4347"/>
      <c r="C86" s="3061">
        <v>8030020</v>
      </c>
      <c r="D86" s="208" t="str">
        <f>VLOOKUP(C86,'מאזן בוחן Australia'!C:D,2,0)</f>
        <v>פחת</v>
      </c>
      <c r="E86" s="1461"/>
      <c r="F86" s="1348"/>
      <c r="G86" s="4351" t="s">
        <v>2427</v>
      </c>
      <c r="H86" s="493" t="e">
        <f>E86/F86</f>
        <v>#DIV/0!</v>
      </c>
      <c r="I86" s="41"/>
      <c r="Q86" s="32"/>
      <c r="R86" s="141"/>
    </row>
    <row r="87" spans="1:18" s="382" customFormat="1" ht="13.5" thickBot="1">
      <c r="A87" s="141"/>
      <c r="B87" s="4334"/>
      <c r="C87" s="3704">
        <v>1490001</v>
      </c>
      <c r="D87" s="1094" t="str">
        <f>VLOOKUP(C87,'מאזן בוחן Australia'!C:D,2,0)</f>
        <v>פחת נצבר (מחשבים +)</v>
      </c>
      <c r="E87" s="1349">
        <f>-E86</f>
        <v>0</v>
      </c>
      <c r="F87" s="1349">
        <f>-F86</f>
        <v>0</v>
      </c>
      <c r="G87" s="4353"/>
      <c r="H87" s="493" t="e">
        <f>E87/F87</f>
        <v>#DIV/0!</v>
      </c>
      <c r="I87" s="41"/>
      <c r="Q87" s="32"/>
      <c r="R87" s="141"/>
    </row>
    <row r="88" spans="1:18" s="382" customFormat="1" ht="13.5" thickBot="1">
      <c r="A88" s="141"/>
      <c r="B88" s="1820">
        <f>B85+1</f>
        <v>27</v>
      </c>
      <c r="C88" s="2432" t="s">
        <v>4220</v>
      </c>
      <c r="D88" s="2431"/>
      <c r="E88" s="1197" t="s">
        <v>794</v>
      </c>
      <c r="F88" s="1197" t="s">
        <v>4</v>
      </c>
      <c r="G88" s="1092"/>
      <c r="H88" s="2816"/>
      <c r="I88" s="41"/>
      <c r="Q88" s="32"/>
      <c r="R88" s="141"/>
    </row>
    <row r="89" spans="1:18" s="382" customFormat="1">
      <c r="A89" s="141"/>
      <c r="B89" s="4347"/>
      <c r="C89" s="1550">
        <v>7110014</v>
      </c>
      <c r="D89" s="208" t="str">
        <f>VLOOKUP(C89,'מאזן בוחן Australia'!C:D,2,0)</f>
        <v>Social security from provision only</v>
      </c>
      <c r="E89" s="1461"/>
      <c r="F89" s="1348">
        <f>E89/'מאזן בוחן Australia'!$O$2</f>
        <v>0</v>
      </c>
      <c r="G89" s="4351" t="s">
        <v>3137</v>
      </c>
      <c r="H89" s="493" t="e">
        <f>E89/F89</f>
        <v>#DIV/0!</v>
      </c>
      <c r="I89" s="4494">
        <v>0.1</v>
      </c>
      <c r="J89" s="382" t="s">
        <v>4568</v>
      </c>
      <c r="Q89" s="32"/>
      <c r="R89" s="141"/>
    </row>
    <row r="90" spans="1:18" s="382" customFormat="1" ht="13.5" thickBot="1">
      <c r="A90" s="141"/>
      <c r="B90" s="4334"/>
      <c r="C90" s="3704">
        <v>2400001</v>
      </c>
      <c r="D90" s="1094" t="str">
        <f>VLOOKUP(C90,'מאזן בוחן Australia'!C:D,2,0)</f>
        <v>Accrued expenses Employees</v>
      </c>
      <c r="E90" s="1349">
        <f>-E89</f>
        <v>0</v>
      </c>
      <c r="F90" s="1349">
        <f>-F89</f>
        <v>0</v>
      </c>
      <c r="G90" s="4353"/>
      <c r="H90" s="493" t="e">
        <f>E90/F90</f>
        <v>#DIV/0!</v>
      </c>
      <c r="I90" s="4495"/>
      <c r="Q90" s="32"/>
      <c r="R90" s="141"/>
    </row>
    <row r="91" spans="1:18" s="382" customFormat="1" ht="13.5" thickBot="1">
      <c r="A91" s="141"/>
      <c r="B91" s="1820">
        <f>B88+1</f>
        <v>28</v>
      </c>
      <c r="C91" s="2432" t="s">
        <v>4843</v>
      </c>
      <c r="D91" s="2431"/>
      <c r="E91" s="1197" t="s">
        <v>794</v>
      </c>
      <c r="F91" s="1197" t="s">
        <v>4</v>
      </c>
      <c r="G91" s="1092"/>
      <c r="H91" s="2816"/>
      <c r="I91" s="41"/>
      <c r="Q91" s="32"/>
      <c r="R91" s="141"/>
    </row>
    <row r="92" spans="1:18" s="382" customFormat="1">
      <c r="A92" s="141"/>
      <c r="B92" s="4347"/>
      <c r="C92" s="1550">
        <v>1100008</v>
      </c>
      <c r="D92" s="208" t="str">
        <f>VLOOKUP(C92,'מאזן בוחן Australia'!C:D,2,0)</f>
        <v>income receivable</v>
      </c>
      <c r="E92" s="1461">
        <f>F92*'מאזן בוחן Australia'!O2</f>
        <v>0</v>
      </c>
      <c r="F92" s="1348"/>
      <c r="G92" s="4351" t="s">
        <v>3137</v>
      </c>
      <c r="H92" s="493" t="e">
        <f>E92/F92</f>
        <v>#DIV/0!</v>
      </c>
      <c r="I92" s="4074"/>
      <c r="Q92" s="32"/>
      <c r="R92" s="141"/>
    </row>
    <row r="93" spans="1:18" s="382" customFormat="1" ht="13.5" thickBot="1">
      <c r="A93" s="141"/>
      <c r="B93" s="4334"/>
      <c r="C93" s="585" t="str">
        <f>"80101-2"</f>
        <v>80101-2</v>
      </c>
      <c r="D93" s="1094" t="str">
        <f>VLOOKUP(C93,'מאזן בוחן Australia'!C:D,2,0)</f>
        <v>Maintenance Reveneus Foreign Currency(old)</v>
      </c>
      <c r="E93" s="1349">
        <f>-E92</f>
        <v>0</v>
      </c>
      <c r="F93" s="1349">
        <f>-F92</f>
        <v>0</v>
      </c>
      <c r="G93" s="4353"/>
      <c r="H93" s="493" t="e">
        <f>E93/F93</f>
        <v>#DIV/0!</v>
      </c>
      <c r="I93" s="4074"/>
      <c r="Q93" s="32"/>
      <c r="R93" s="141"/>
    </row>
    <row r="94" spans="1:18" s="382" customFormat="1" ht="13.5" thickBot="1">
      <c r="A94" s="141"/>
      <c r="B94" s="1820">
        <f>B91+1</f>
        <v>29</v>
      </c>
      <c r="C94" s="2432" t="s">
        <v>4209</v>
      </c>
      <c r="D94" s="2431"/>
      <c r="E94" s="1197" t="s">
        <v>794</v>
      </c>
      <c r="F94" s="1197" t="s">
        <v>4</v>
      </c>
      <c r="G94" s="1092"/>
      <c r="H94" s="2816"/>
      <c r="I94" s="41"/>
      <c r="Q94" s="32"/>
      <c r="R94" s="141"/>
    </row>
    <row r="95" spans="1:18" s="382" customFormat="1">
      <c r="A95" s="141"/>
      <c r="B95" s="4347"/>
      <c r="C95" s="3061" t="s">
        <v>718</v>
      </c>
      <c r="D95" s="208" t="str">
        <f>VLOOKUP(C95,'מאזן בוחן Australia'!C:D,2,0)</f>
        <v>מיון הכנסות</v>
      </c>
      <c r="E95" s="1461"/>
      <c r="F95" s="1348">
        <f>E95/'מאזן בוחן Australia'!$O$2</f>
        <v>0</v>
      </c>
      <c r="G95" s="4357" t="s">
        <v>4210</v>
      </c>
      <c r="H95" s="493" t="e">
        <f>E95/F95</f>
        <v>#DIV/0!</v>
      </c>
      <c r="I95" s="41"/>
      <c r="Q95" s="32"/>
      <c r="R95" s="141"/>
    </row>
    <row r="96" spans="1:18" s="382" customFormat="1" ht="13.5" thickBot="1">
      <c r="A96" s="141"/>
      <c r="B96" s="4334"/>
      <c r="C96" s="3704">
        <v>53599</v>
      </c>
      <c r="D96" s="1094" t="str">
        <f>VLOOKUP(C96,'מאזן בוחן Australia'!C:D,2,0)</f>
        <v>מיון מהכנסות מראש</v>
      </c>
      <c r="E96" s="1349">
        <f>-E95</f>
        <v>0</v>
      </c>
      <c r="F96" s="1349">
        <f>-F95</f>
        <v>0</v>
      </c>
      <c r="G96" s="4359"/>
      <c r="H96" s="493" t="e">
        <f>E96/F96</f>
        <v>#DIV/0!</v>
      </c>
      <c r="I96" s="41"/>
      <c r="Q96" s="32"/>
      <c r="R96" s="141"/>
    </row>
    <row r="97" spans="1:18" s="382" customFormat="1" ht="13.5" thickBot="1">
      <c r="A97" s="141"/>
      <c r="B97" s="1820">
        <f>B94+1</f>
        <v>30</v>
      </c>
      <c r="C97" s="2432" t="s">
        <v>4443</v>
      </c>
      <c r="D97" s="2431"/>
      <c r="E97" s="1197" t="s">
        <v>794</v>
      </c>
      <c r="F97" s="1197" t="s">
        <v>4</v>
      </c>
      <c r="G97" s="141"/>
      <c r="H97" s="4493"/>
      <c r="I97" s="4493"/>
      <c r="J97" s="4493"/>
      <c r="Q97" s="32"/>
      <c r="R97" s="141"/>
    </row>
    <row r="98" spans="1:18" s="382" customFormat="1">
      <c r="A98" s="141"/>
      <c r="B98" s="4347"/>
      <c r="C98" s="4073">
        <v>8410069</v>
      </c>
      <c r="D98" s="208" t="str">
        <f>VLOOKUP(C98,'מאזן בוחן Australia'!C:D,2,0)</f>
        <v>G &amp; A Consultants, Accounting Services</v>
      </c>
      <c r="E98" s="1461"/>
      <c r="F98" s="1348">
        <f>E98/'מאזן בוחן Australia'!$O$2</f>
        <v>0</v>
      </c>
      <c r="G98" s="4351" t="s">
        <v>2427</v>
      </c>
      <c r="H98" s="493" t="e">
        <f>E98/F98</f>
        <v>#DIV/0!</v>
      </c>
      <c r="I98" s="32"/>
      <c r="J98" s="32"/>
      <c r="Q98" s="32"/>
      <c r="R98" s="141"/>
    </row>
    <row r="99" spans="1:18" s="382" customFormat="1" ht="13.5" thickBot="1">
      <c r="A99" s="141"/>
      <c r="B99" s="4334"/>
      <c r="C99" s="3704">
        <v>2200001</v>
      </c>
      <c r="D99" s="1094" t="str">
        <f>VLOOKUP(C99,'מאזן בוחן Australia'!C:D,2,0)</f>
        <v>Accrued expenses</v>
      </c>
      <c r="E99" s="1349">
        <f>-E98</f>
        <v>0</v>
      </c>
      <c r="F99" s="1349">
        <f>-F98</f>
        <v>0</v>
      </c>
      <c r="G99" s="4353"/>
      <c r="H99" s="493" t="e">
        <f>E99/F99</f>
        <v>#DIV/0!</v>
      </c>
      <c r="I99" s="41"/>
      <c r="Q99" s="32"/>
      <c r="R99" s="141"/>
    </row>
    <row r="100" spans="1:18" s="382" customFormat="1" ht="13.5" thickBot="1">
      <c r="A100" s="141"/>
      <c r="B100" s="1820">
        <f>B97+1</f>
        <v>31</v>
      </c>
      <c r="C100" s="2432" t="s">
        <v>4889</v>
      </c>
      <c r="D100" s="2431"/>
      <c r="E100" s="1197" t="s">
        <v>794</v>
      </c>
      <c r="F100" s="1197" t="s">
        <v>4</v>
      </c>
      <c r="G100" s="1092"/>
      <c r="H100" s="2816"/>
      <c r="I100" s="41"/>
      <c r="Q100" s="32"/>
      <c r="R100" s="141"/>
    </row>
    <row r="101" spans="1:18" s="382" customFormat="1">
      <c r="A101" s="141"/>
      <c r="B101" s="4347"/>
      <c r="C101" s="1550">
        <v>5200003</v>
      </c>
      <c r="D101" s="208" t="str">
        <f>VLOOKUP(C101,'מאזן בוחן Australia'!C:D,2,0)</f>
        <v>בונוס MBO שירותים מקצועיים</v>
      </c>
      <c r="E101" s="1461"/>
      <c r="F101" s="1348"/>
      <c r="G101" s="2428" t="s">
        <v>4890</v>
      </c>
      <c r="H101" s="493" t="e">
        <f>E101/F101</f>
        <v>#DIV/0!</v>
      </c>
      <c r="I101" s="41"/>
      <c r="Q101" s="32"/>
      <c r="R101" s="141"/>
    </row>
    <row r="102" spans="1:18" s="382" customFormat="1">
      <c r="A102" s="141"/>
      <c r="B102" s="4333"/>
      <c r="C102" s="1550">
        <v>7110002</v>
      </c>
      <c r="D102" s="208" t="str">
        <f>VLOOKUP(C102,'מאזן בוחן Australia'!C:D,2,0)</f>
        <v>MBO - Sales</v>
      </c>
      <c r="E102" s="1348"/>
      <c r="F102" s="1348"/>
      <c r="G102" s="4180" t="s">
        <v>1387</v>
      </c>
      <c r="H102" s="493" t="e">
        <f t="shared" ref="H102:H103" si="0">E102/F102</f>
        <v>#DIV/0!</v>
      </c>
      <c r="I102" s="41"/>
      <c r="Q102" s="32"/>
      <c r="R102" s="141"/>
    </row>
    <row r="103" spans="1:18" s="382" customFormat="1">
      <c r="A103" s="141"/>
      <c r="B103" s="4333"/>
      <c r="C103" s="1550">
        <v>7140002</v>
      </c>
      <c r="D103" s="208" t="str">
        <f>VLOOKUP(C103,'מאזן בוחן Australia'!C:D,2,0)</f>
        <v>MBO - SE</v>
      </c>
      <c r="E103" s="1348"/>
      <c r="F103" s="1348"/>
      <c r="G103" s="4180" t="s">
        <v>1387</v>
      </c>
      <c r="H103" s="493" t="e">
        <f t="shared" si="0"/>
        <v>#DIV/0!</v>
      </c>
      <c r="I103" s="41"/>
      <c r="Q103" s="32"/>
      <c r="R103" s="141"/>
    </row>
    <row r="104" spans="1:18" s="382" customFormat="1" ht="13.5" thickBot="1">
      <c r="A104" s="141"/>
      <c r="B104" s="4334"/>
      <c r="C104" s="3704">
        <v>2400001</v>
      </c>
      <c r="D104" s="1094" t="str">
        <f>VLOOKUP(C104,'מאזן בוחן Australia'!C:D,2,0)</f>
        <v>Accrued expenses Employees</v>
      </c>
      <c r="E104" s="1349">
        <f>-SUM(E101:E103)</f>
        <v>0</v>
      </c>
      <c r="F104" s="1349">
        <f>-SUM(F101:F103)</f>
        <v>0</v>
      </c>
      <c r="G104" s="4143" t="s">
        <v>2427</v>
      </c>
      <c r="H104" s="493" t="e">
        <f>E104/F104</f>
        <v>#DIV/0!</v>
      </c>
      <c r="I104" s="41"/>
      <c r="Q104" s="32"/>
      <c r="R104" s="141"/>
    </row>
    <row r="105" spans="1:18" s="382" customFormat="1">
      <c r="A105" s="141"/>
      <c r="B105" s="208"/>
      <c r="C105" s="1369"/>
      <c r="D105" s="208"/>
      <c r="E105" s="2213"/>
      <c r="F105" s="2213"/>
      <c r="G105" s="2214"/>
      <c r="H105" s="41"/>
      <c r="I105" s="41"/>
      <c r="Q105" s="32"/>
      <c r="R105" s="141"/>
    </row>
    <row r="106" spans="1:18" s="382" customFormat="1">
      <c r="A106" s="141"/>
      <c r="B106" s="208"/>
      <c r="C106" s="1369"/>
      <c r="D106" s="208"/>
      <c r="E106" s="2213"/>
      <c r="F106" s="2213"/>
      <c r="G106" s="2214"/>
      <c r="H106" s="41"/>
      <c r="I106" s="41"/>
      <c r="Q106" s="32"/>
      <c r="R106" s="141"/>
    </row>
    <row r="107" spans="1:18" s="382" customFormat="1">
      <c r="A107" s="141"/>
      <c r="B107" s="208"/>
      <c r="C107" s="1369"/>
      <c r="D107" s="208"/>
      <c r="E107" s="2213"/>
      <c r="F107" s="2213"/>
      <c r="G107" s="2214"/>
      <c r="H107" s="41"/>
      <c r="I107" s="41"/>
      <c r="Q107" s="32"/>
      <c r="R107" s="141"/>
    </row>
    <row r="108" spans="1:18" s="382" customFormat="1">
      <c r="A108" s="141"/>
      <c r="B108" s="208"/>
      <c r="C108" s="1369"/>
      <c r="D108" s="208"/>
      <c r="E108" s="2213"/>
      <c r="F108" s="2213"/>
      <c r="G108" s="2214"/>
      <c r="H108" s="41"/>
      <c r="I108" s="41"/>
      <c r="Q108" s="32"/>
      <c r="R108" s="141"/>
    </row>
    <row r="109" spans="1:18" s="382" customFormat="1">
      <c r="A109" s="141"/>
      <c r="B109" s="208"/>
      <c r="C109" s="1369"/>
      <c r="D109" s="208"/>
      <c r="E109" s="2213"/>
      <c r="F109" s="2213"/>
      <c r="G109" s="2214"/>
      <c r="H109" s="41"/>
      <c r="I109" s="41"/>
      <c r="Q109" s="32"/>
      <c r="R109" s="141"/>
    </row>
    <row r="110" spans="1:18" s="382" customFormat="1">
      <c r="A110" s="141"/>
      <c r="B110" s="208"/>
      <c r="C110" s="1369"/>
      <c r="D110" s="208"/>
      <c r="E110" s="2213"/>
      <c r="F110" s="2213"/>
      <c r="G110" s="2214"/>
      <c r="H110" s="41"/>
      <c r="I110" s="41"/>
      <c r="Q110" s="32"/>
      <c r="R110" s="141"/>
    </row>
    <row r="111" spans="1:18" s="380" customFormat="1">
      <c r="A111" s="4471" t="s">
        <v>4572</v>
      </c>
      <c r="B111" s="4472"/>
      <c r="C111" s="4472"/>
      <c r="D111" s="4472"/>
      <c r="E111" s="4472"/>
      <c r="F111" s="4472"/>
      <c r="G111" s="4472"/>
      <c r="H111" s="141"/>
      <c r="I111" s="141"/>
      <c r="Q111" s="32"/>
    </row>
    <row r="112" spans="1:18" s="380" customFormat="1">
      <c r="A112" s="141"/>
      <c r="B112" s="141"/>
      <c r="C112" s="141"/>
      <c r="D112" s="141"/>
      <c r="E112" s="141"/>
      <c r="F112" s="141"/>
      <c r="G112" s="141"/>
      <c r="H112" s="41"/>
      <c r="I112" s="32"/>
      <c r="Q112" s="32"/>
      <c r="R112" s="32"/>
    </row>
    <row r="113" spans="1:18" s="380" customFormat="1">
      <c r="A113" s="1085" t="s">
        <v>659</v>
      </c>
      <c r="B113" s="1085" t="s">
        <v>660</v>
      </c>
      <c r="C113" s="1085" t="s">
        <v>661</v>
      </c>
      <c r="D113" s="1085" t="s">
        <v>662</v>
      </c>
      <c r="E113" s="1085" t="s">
        <v>663</v>
      </c>
      <c r="F113" s="1086" t="s">
        <v>1482</v>
      </c>
      <c r="G113" s="1086" t="s">
        <v>664</v>
      </c>
      <c r="H113" s="637" t="s">
        <v>2282</v>
      </c>
      <c r="I113" s="637" t="s">
        <v>2283</v>
      </c>
      <c r="Q113" s="32"/>
      <c r="R113" s="32"/>
    </row>
    <row r="114" spans="1:18" s="380" customFormat="1">
      <c r="A114" s="153" t="s">
        <v>1258</v>
      </c>
      <c r="B114" s="153" t="s">
        <v>1259</v>
      </c>
      <c r="C114" s="153" t="s">
        <v>340</v>
      </c>
      <c r="D114" s="587">
        <v>1000013</v>
      </c>
      <c r="E114" s="153" t="s">
        <v>1340</v>
      </c>
      <c r="F114" s="535">
        <v>2040632.92</v>
      </c>
      <c r="G114" s="535">
        <v>1482772.43</v>
      </c>
      <c r="H114" s="32">
        <f>VLOOKUP(D114,'מאזן בוחן Australia'!C:E,3,0)-F114</f>
        <v>0</v>
      </c>
      <c r="I114" s="32">
        <f>VLOOKUP(D114,'מאזן בוחן Australia'!C:M,11,0)-G114</f>
        <v>0</v>
      </c>
      <c r="Q114" s="32"/>
      <c r="R114" s="32"/>
    </row>
    <row r="115" spans="1:18" s="380" customFormat="1">
      <c r="A115" s="153" t="s">
        <v>1258</v>
      </c>
      <c r="B115" s="153" t="s">
        <v>1259</v>
      </c>
      <c r="C115" s="153" t="s">
        <v>340</v>
      </c>
      <c r="D115" s="587">
        <v>1000023</v>
      </c>
      <c r="E115" s="153" t="s">
        <v>1341</v>
      </c>
      <c r="F115" s="535">
        <v>65483.57</v>
      </c>
      <c r="G115" s="535">
        <v>47581.919999999998</v>
      </c>
      <c r="H115" s="32">
        <f>VLOOKUP(D115,'מאזן בוחן Australia'!C:E,3,0)-F115</f>
        <v>0</v>
      </c>
      <c r="I115" s="32">
        <f>VLOOKUP(D115,'מאזן בוחן Australia'!C:M,11,0)-G115</f>
        <v>0</v>
      </c>
      <c r="Q115" s="32"/>
      <c r="R115" s="32"/>
    </row>
    <row r="116" spans="1:18" s="380" customFormat="1">
      <c r="A116" s="153" t="s">
        <v>1258</v>
      </c>
      <c r="B116" s="153" t="s">
        <v>1260</v>
      </c>
      <c r="C116" s="153" t="s">
        <v>568</v>
      </c>
      <c r="D116" s="587">
        <v>1100008</v>
      </c>
      <c r="E116" s="153" t="s">
        <v>2194</v>
      </c>
      <c r="F116" s="535">
        <v>212001.42</v>
      </c>
      <c r="G116" s="535">
        <v>152989.12</v>
      </c>
      <c r="H116" s="32">
        <f>VLOOKUP(D116,'מאזן בוחן Australia'!C:E,3,0)-F116</f>
        <v>0</v>
      </c>
      <c r="I116" s="32">
        <f>VLOOKUP(D116,'מאזן בוחן Australia'!C:M,11,0)-G116</f>
        <v>0</v>
      </c>
      <c r="Q116" s="32"/>
      <c r="R116" s="32"/>
    </row>
    <row r="117" spans="1:18" s="380" customFormat="1">
      <c r="A117" s="153" t="s">
        <v>1258</v>
      </c>
      <c r="B117" s="153" t="s">
        <v>1260</v>
      </c>
      <c r="C117" s="153" t="s">
        <v>568</v>
      </c>
      <c r="D117" s="587">
        <v>1100097</v>
      </c>
      <c r="E117" s="153" t="s">
        <v>2012</v>
      </c>
      <c r="F117" s="535">
        <v>4213804.33</v>
      </c>
      <c r="G117" s="535">
        <v>3146611.85</v>
      </c>
      <c r="H117" s="32">
        <f>VLOOKUP(D117,'מאזן בוחן Australia'!C:E,3,0)-F117</f>
        <v>0</v>
      </c>
      <c r="I117" s="32">
        <f>VLOOKUP(D117,'מאזן בוחן Australia'!C:M,11,0)-G117</f>
        <v>0</v>
      </c>
      <c r="Q117" s="32"/>
      <c r="R117" s="32"/>
    </row>
    <row r="118" spans="1:18" s="380" customFormat="1">
      <c r="A118" s="153" t="s">
        <v>1258</v>
      </c>
      <c r="B118" s="153" t="s">
        <v>1260</v>
      </c>
      <c r="C118" s="153" t="s">
        <v>568</v>
      </c>
      <c r="D118" s="587">
        <v>1100099</v>
      </c>
      <c r="E118" s="153" t="s">
        <v>1835</v>
      </c>
      <c r="F118" s="535">
        <v>120440.9</v>
      </c>
      <c r="G118" s="535">
        <v>87525.57</v>
      </c>
      <c r="H118" s="32">
        <f>VLOOKUP(D118,'מאזן בוחן Australia'!C:E,3,0)-F118</f>
        <v>0</v>
      </c>
      <c r="I118" s="32">
        <f>VLOOKUP(D118,'מאזן בוחן Australia'!C:M,11,0)-G118</f>
        <v>0</v>
      </c>
      <c r="Q118" s="32"/>
      <c r="R118" s="32"/>
    </row>
    <row r="119" spans="1:18" s="380" customFormat="1">
      <c r="A119" s="153" t="s">
        <v>1258</v>
      </c>
      <c r="B119" s="153" t="s">
        <v>1260</v>
      </c>
      <c r="C119" s="153" t="s">
        <v>570</v>
      </c>
      <c r="D119" s="587">
        <v>1130005</v>
      </c>
      <c r="E119" s="153" t="s">
        <v>774</v>
      </c>
      <c r="F119" s="535">
        <v>-9324921.8200000003</v>
      </c>
      <c r="G119" s="535">
        <v>-6775705.6299999999</v>
      </c>
      <c r="H119" s="32">
        <f>VLOOKUP(D119,'מאזן בוחן Australia'!C:E,3,0)-F119</f>
        <v>0</v>
      </c>
      <c r="I119" s="32">
        <f>VLOOKUP(D119,'מאזן בוחן Australia'!C:M,11,0)-G119</f>
        <v>0</v>
      </c>
      <c r="Q119" s="32"/>
      <c r="R119" s="32"/>
    </row>
    <row r="120" spans="1:18" s="380" customFormat="1">
      <c r="A120" s="153" t="s">
        <v>1258</v>
      </c>
      <c r="B120" s="153" t="s">
        <v>1260</v>
      </c>
      <c r="C120" s="153" t="s">
        <v>570</v>
      </c>
      <c r="D120" s="587">
        <v>1130006</v>
      </c>
      <c r="E120" s="153" t="s">
        <v>1304</v>
      </c>
      <c r="F120" s="535">
        <v>-19796.189999999999</v>
      </c>
      <c r="G120" s="535">
        <v>-14384.38</v>
      </c>
      <c r="H120" s="32">
        <f>VLOOKUP(D120,'מאזן בוחן Australia'!C:E,3,0)-F120</f>
        <v>0</v>
      </c>
      <c r="I120" s="32">
        <f>VLOOKUP(D120,'מאזן בוחן Australia'!C:M,11,0)-G120</f>
        <v>0</v>
      </c>
      <c r="Q120" s="32"/>
      <c r="R120" s="32"/>
    </row>
    <row r="121" spans="1:18" s="380" customFormat="1">
      <c r="A121" s="153" t="s">
        <v>1258</v>
      </c>
      <c r="B121" s="153" t="s">
        <v>1261</v>
      </c>
      <c r="C121" s="153" t="s">
        <v>572</v>
      </c>
      <c r="D121" s="587" t="s">
        <v>4119</v>
      </c>
      <c r="E121" s="153" t="s">
        <v>2015</v>
      </c>
      <c r="F121" s="535">
        <v>396559.27</v>
      </c>
      <c r="G121" s="535">
        <v>288149.40000000002</v>
      </c>
      <c r="H121" s="32">
        <f>VLOOKUP(D121,'מאזן בוחן Australia'!C:E,3,0)-F121</f>
        <v>0</v>
      </c>
      <c r="I121" s="32">
        <f>VLOOKUP(D121,'מאזן בוחן Australia'!C:M,11,0)-G121</f>
        <v>0</v>
      </c>
      <c r="Q121" s="32"/>
      <c r="R121" s="32"/>
    </row>
    <row r="122" spans="1:18" s="380" customFormat="1">
      <c r="A122" s="153" t="s">
        <v>1258</v>
      </c>
      <c r="B122" s="153" t="s">
        <v>1261</v>
      </c>
      <c r="C122" s="153" t="s">
        <v>572</v>
      </c>
      <c r="D122" s="587">
        <v>202860</v>
      </c>
      <c r="E122" s="153" t="s">
        <v>4440</v>
      </c>
      <c r="F122" s="535">
        <v>50070.61</v>
      </c>
      <c r="G122" s="535">
        <v>36382.5</v>
      </c>
      <c r="H122" s="32">
        <f>VLOOKUP(D122,'מאזן בוחן Australia'!C:E,3,0)-F122</f>
        <v>0</v>
      </c>
      <c r="I122" s="32">
        <f>VLOOKUP(D122,'מאזן בוחן Australia'!C:M,11,0)-G122</f>
        <v>0</v>
      </c>
      <c r="J122" s="535"/>
      <c r="K122" s="32"/>
      <c r="L122" s="32"/>
      <c r="M122" s="32"/>
      <c r="N122" s="32"/>
      <c r="O122" s="32"/>
      <c r="P122" s="32"/>
      <c r="Q122" s="32"/>
      <c r="R122" s="32"/>
    </row>
    <row r="123" spans="1:18" s="380" customFormat="1">
      <c r="A123" s="153" t="s">
        <v>1258</v>
      </c>
      <c r="B123" s="153" t="s">
        <v>1261</v>
      </c>
      <c r="C123" s="153" t="s">
        <v>2026</v>
      </c>
      <c r="D123" s="587">
        <v>206673</v>
      </c>
      <c r="E123" s="153" t="s">
        <v>4573</v>
      </c>
      <c r="F123" s="535">
        <v>3652079.44</v>
      </c>
      <c r="G123" s="535">
        <v>2653687.8199999998</v>
      </c>
      <c r="H123" s="32">
        <f>VLOOKUP(D123,'מאזן בוחן Australia'!C:E,3,0)-F123</f>
        <v>0</v>
      </c>
      <c r="I123" s="32">
        <f>VLOOKUP(D123,'מאזן בוחן Australia'!C:M,11,0)-G123</f>
        <v>0</v>
      </c>
      <c r="J123" s="535"/>
      <c r="K123" s="32"/>
      <c r="L123" s="32"/>
      <c r="M123" s="32"/>
      <c r="N123" s="32"/>
      <c r="O123" s="32"/>
      <c r="P123" s="32"/>
      <c r="Q123" s="32"/>
      <c r="R123" s="32"/>
    </row>
    <row r="124" spans="1:18" s="380" customFormat="1">
      <c r="A124" s="153" t="s">
        <v>1258</v>
      </c>
      <c r="B124" s="153" t="s">
        <v>1261</v>
      </c>
      <c r="C124" s="153" t="s">
        <v>2026</v>
      </c>
      <c r="D124" s="587">
        <v>208844</v>
      </c>
      <c r="E124" s="153" t="s">
        <v>4574</v>
      </c>
      <c r="F124" s="535">
        <v>1960453</v>
      </c>
      <c r="G124" s="535">
        <v>1424511.8</v>
      </c>
      <c r="H124" s="32">
        <f>VLOOKUP(D124,'מאזן בוחן Australia'!C:E,3,0)-F124</f>
        <v>0</v>
      </c>
      <c r="I124" s="32">
        <f>VLOOKUP(D124,'מאזן בוחן Australia'!C:M,11,0)-G124</f>
        <v>0</v>
      </c>
      <c r="J124" s="535"/>
      <c r="K124" s="32"/>
      <c r="L124" s="32"/>
      <c r="M124" s="32"/>
      <c r="N124" s="32"/>
      <c r="O124" s="32"/>
      <c r="P124" s="32"/>
      <c r="Q124" s="32"/>
      <c r="R124" s="32"/>
    </row>
    <row r="125" spans="1:18" s="380" customFormat="1">
      <c r="A125" s="153" t="s">
        <v>1258</v>
      </c>
      <c r="B125" s="153" t="s">
        <v>1263</v>
      </c>
      <c r="C125" s="153" t="s">
        <v>1001</v>
      </c>
      <c r="D125" s="587">
        <v>1400001</v>
      </c>
      <c r="E125" s="153" t="s">
        <v>347</v>
      </c>
      <c r="F125" s="535">
        <v>15525.25</v>
      </c>
      <c r="G125" s="535">
        <v>11553.08</v>
      </c>
      <c r="H125" s="32">
        <f>VLOOKUP(D125,'מאזן בוחן Australia'!C:E,3,0)-F125</f>
        <v>0</v>
      </c>
      <c r="I125" s="32">
        <f>VLOOKUP(D125,'מאזן בוחן Australia'!C:M,11,0)-G125</f>
        <v>0</v>
      </c>
      <c r="J125" s="535"/>
      <c r="K125" s="32"/>
      <c r="L125" s="32"/>
      <c r="M125" s="32"/>
      <c r="N125" s="32"/>
      <c r="O125" s="32"/>
      <c r="P125" s="32"/>
      <c r="Q125" s="32"/>
      <c r="R125" s="32"/>
    </row>
    <row r="126" spans="1:18" s="380" customFormat="1">
      <c r="A126" s="153" t="s">
        <v>1258</v>
      </c>
      <c r="B126" s="153" t="s">
        <v>1263</v>
      </c>
      <c r="C126" s="153" t="s">
        <v>1007</v>
      </c>
      <c r="D126" s="587">
        <v>1490001</v>
      </c>
      <c r="E126" s="153" t="s">
        <v>3215</v>
      </c>
      <c r="F126" s="535">
        <v>-3832</v>
      </c>
      <c r="G126" s="535">
        <v>-2813</v>
      </c>
      <c r="H126" s="32">
        <f>VLOOKUP(D126,'מאזן בוחן Australia'!C:E,3,0)-F126</f>
        <v>0</v>
      </c>
      <c r="I126" s="32">
        <f>VLOOKUP(D126,'מאזן בוחן Australia'!C:M,11,0)-G126</f>
        <v>0</v>
      </c>
      <c r="J126" s="535"/>
      <c r="K126" s="32"/>
      <c r="L126" s="32"/>
      <c r="M126" s="32"/>
      <c r="N126" s="32"/>
      <c r="O126" s="32"/>
      <c r="P126" s="32"/>
      <c r="Q126" s="32"/>
      <c r="R126" s="32"/>
    </row>
    <row r="127" spans="1:18" s="380" customFormat="1">
      <c r="A127" s="153" t="s">
        <v>1258</v>
      </c>
      <c r="B127" s="153" t="s">
        <v>1265</v>
      </c>
      <c r="C127" s="153" t="s">
        <v>1016</v>
      </c>
      <c r="D127" s="587">
        <v>1610005</v>
      </c>
      <c r="E127" s="153" t="s">
        <v>1940</v>
      </c>
      <c r="F127" s="535">
        <v>165439.37</v>
      </c>
      <c r="G127" s="535">
        <v>121809.95</v>
      </c>
      <c r="H127" s="32">
        <f>VLOOKUP(D127,'מאזן בוחן Australia'!C:E,3,0)-F127</f>
        <v>0</v>
      </c>
      <c r="I127" s="32">
        <f>VLOOKUP(D127,'מאזן בוחן Australia'!C:M,11,0)-G127</f>
        <v>0</v>
      </c>
      <c r="J127" s="535"/>
      <c r="K127" s="32"/>
      <c r="L127" s="32"/>
      <c r="M127" s="32"/>
      <c r="N127" s="32"/>
      <c r="O127" s="32"/>
      <c r="P127" s="32"/>
      <c r="Q127" s="32"/>
      <c r="R127" s="32"/>
    </row>
    <row r="128" spans="1:18" s="380" customFormat="1">
      <c r="A128" s="153" t="s">
        <v>1258</v>
      </c>
      <c r="B128" s="153" t="s">
        <v>1265</v>
      </c>
      <c r="C128" s="153" t="s">
        <v>1016</v>
      </c>
      <c r="D128" s="587">
        <v>1610097</v>
      </c>
      <c r="E128" s="153" t="s">
        <v>2526</v>
      </c>
      <c r="F128" s="535">
        <v>3189436.01</v>
      </c>
      <c r="G128" s="535">
        <v>2381676.12</v>
      </c>
      <c r="H128" s="32">
        <f>VLOOKUP(D128,'מאזן בוחן Australia'!C:E,3,0)-F128</f>
        <v>0</v>
      </c>
      <c r="I128" s="32">
        <f>VLOOKUP(D128,'מאזן בוחן Australia'!C:M,11,0)-G128</f>
        <v>0</v>
      </c>
      <c r="J128" s="535"/>
      <c r="K128" s="32"/>
      <c r="L128" s="32"/>
      <c r="M128" s="32"/>
      <c r="N128" s="32"/>
      <c r="O128" s="32"/>
      <c r="P128" s="32"/>
      <c r="Q128" s="32"/>
      <c r="R128" s="32"/>
    </row>
    <row r="129" spans="1:18" s="380" customFormat="1">
      <c r="A129" s="153" t="s">
        <v>1266</v>
      </c>
      <c r="B129" s="153" t="s">
        <v>1267</v>
      </c>
      <c r="C129" s="153" t="s">
        <v>1019</v>
      </c>
      <c r="D129" s="587" t="s">
        <v>1868</v>
      </c>
      <c r="E129" s="153" t="s">
        <v>1869</v>
      </c>
      <c r="F129" s="535">
        <v>2774231.55</v>
      </c>
      <c r="G129" s="535">
        <v>2015822.66</v>
      </c>
      <c r="H129" s="32">
        <f>VLOOKUP(D129,'מאזן בוחן Australia'!C:E,3,0)-F129</f>
        <v>0</v>
      </c>
      <c r="I129" s="32">
        <f>VLOOKUP(D129,'מאזן בוחן Australia'!C:M,11,0)-G129</f>
        <v>0</v>
      </c>
      <c r="J129" s="535"/>
      <c r="K129" s="32"/>
      <c r="L129" s="32"/>
      <c r="M129" s="32"/>
      <c r="N129" s="32"/>
      <c r="O129" s="32"/>
      <c r="P129" s="32"/>
      <c r="Q129" s="32"/>
      <c r="R129" s="32"/>
    </row>
    <row r="130" spans="1:18" s="380" customFormat="1">
      <c r="A130" s="153" t="s">
        <v>1266</v>
      </c>
      <c r="B130" s="153" t="s">
        <v>1267</v>
      </c>
      <c r="C130" s="153" t="s">
        <v>1019</v>
      </c>
      <c r="D130" s="587">
        <v>53501</v>
      </c>
      <c r="E130" s="153" t="s">
        <v>1342</v>
      </c>
      <c r="F130" s="535">
        <v>-4075105.12</v>
      </c>
      <c r="G130" s="535">
        <v>-3010238.61</v>
      </c>
      <c r="H130" s="32">
        <f>VLOOKUP(D130,'מאזן בוחן Australia'!C:E,3,0)-F130</f>
        <v>0</v>
      </c>
      <c r="I130" s="32">
        <f>VLOOKUP(D130,'מאזן בוחן Australia'!C:M,11,0)-G130</f>
        <v>0</v>
      </c>
      <c r="J130" s="535"/>
      <c r="K130" s="32"/>
      <c r="L130" s="32"/>
      <c r="M130" s="32"/>
      <c r="N130" s="32"/>
      <c r="O130" s="32"/>
      <c r="P130" s="32"/>
      <c r="Q130" s="32"/>
      <c r="R130" s="32"/>
    </row>
    <row r="131" spans="1:18" s="380" customFormat="1">
      <c r="A131" s="153" t="s">
        <v>1266</v>
      </c>
      <c r="B131" s="153" t="s">
        <v>1267</v>
      </c>
      <c r="C131" s="153" t="s">
        <v>1019</v>
      </c>
      <c r="D131" s="587">
        <v>53502</v>
      </c>
      <c r="E131" s="153" t="s">
        <v>1343</v>
      </c>
      <c r="F131" s="535">
        <v>-4773.05</v>
      </c>
      <c r="G131" s="535">
        <v>-3700.1</v>
      </c>
      <c r="H131" s="32">
        <f>VLOOKUP(D131,'מאזן בוחן Australia'!C:E,3,0)-F131</f>
        <v>0</v>
      </c>
      <c r="I131" s="32">
        <f>VLOOKUP(D131,'מאזן בוחן Australia'!C:M,11,0)-G131</f>
        <v>0</v>
      </c>
      <c r="J131" s="535"/>
      <c r="K131" s="32"/>
      <c r="L131" s="32"/>
      <c r="M131" s="32"/>
      <c r="N131" s="32"/>
      <c r="O131" s="32"/>
      <c r="P131" s="32"/>
      <c r="Q131" s="32"/>
      <c r="R131" s="32"/>
    </row>
    <row r="132" spans="1:18" s="380" customFormat="1">
      <c r="A132" s="153" t="s">
        <v>1266</v>
      </c>
      <c r="B132" s="153" t="s">
        <v>1267</v>
      </c>
      <c r="C132" s="153" t="s">
        <v>1019</v>
      </c>
      <c r="D132" s="587">
        <v>53510</v>
      </c>
      <c r="E132" s="153" t="s">
        <v>1520</v>
      </c>
      <c r="F132" s="535">
        <v>24616.46</v>
      </c>
      <c r="G132" s="535">
        <v>17801.07</v>
      </c>
      <c r="H132" s="32">
        <f>VLOOKUP(D132,'מאזן בוחן Australia'!C:E,3,0)-F132</f>
        <v>0</v>
      </c>
      <c r="I132" s="32">
        <f>VLOOKUP(D132,'מאזן בוחן Australia'!C:M,11,0)-G132</f>
        <v>0</v>
      </c>
      <c r="J132" s="535"/>
      <c r="K132" s="32"/>
      <c r="L132" s="32"/>
      <c r="M132" s="32"/>
      <c r="N132" s="32"/>
      <c r="O132" s="32"/>
      <c r="P132" s="32"/>
      <c r="Q132" s="32"/>
      <c r="R132" s="32"/>
    </row>
    <row r="133" spans="1:18" s="380" customFormat="1">
      <c r="A133" s="153" t="s">
        <v>1266</v>
      </c>
      <c r="B133" s="153" t="s">
        <v>1267</v>
      </c>
      <c r="C133" s="153" t="s">
        <v>1019</v>
      </c>
      <c r="D133" s="587">
        <v>53513</v>
      </c>
      <c r="E133" s="153" t="s">
        <v>1344</v>
      </c>
      <c r="F133" s="535">
        <v>-922604.81</v>
      </c>
      <c r="G133" s="535">
        <v>-669340.17000000004</v>
      </c>
      <c r="H133" s="32">
        <f>VLOOKUP(D133,'מאזן בוחן Australia'!C:E,3,0)-F133</f>
        <v>0</v>
      </c>
      <c r="I133" s="32">
        <f>VLOOKUP(D133,'מאזן בוחן Australia'!C:M,11,0)-G133</f>
        <v>0</v>
      </c>
      <c r="J133" s="535"/>
      <c r="K133" s="32"/>
      <c r="L133" s="32"/>
      <c r="M133" s="32"/>
      <c r="N133" s="32"/>
      <c r="O133" s="32"/>
      <c r="P133" s="32"/>
      <c r="Q133" s="32"/>
      <c r="R133" s="32"/>
    </row>
    <row r="134" spans="1:18" s="380" customFormat="1">
      <c r="A134" s="153" t="s">
        <v>1266</v>
      </c>
      <c r="B134" s="153" t="s">
        <v>1267</v>
      </c>
      <c r="C134" s="153" t="s">
        <v>1019</v>
      </c>
      <c r="D134" s="587">
        <v>53514</v>
      </c>
      <c r="E134" s="153" t="s">
        <v>1311</v>
      </c>
      <c r="F134" s="535">
        <v>-46878.79</v>
      </c>
      <c r="G134" s="535">
        <v>-34051.5</v>
      </c>
      <c r="H134" s="32">
        <f>VLOOKUP(D134,'מאזן בוחן Australia'!C:E,3,0)-F134</f>
        <v>0</v>
      </c>
      <c r="I134" s="32">
        <f>VLOOKUP(D134,'מאזן בוחן Australia'!C:M,11,0)-G134</f>
        <v>0</v>
      </c>
      <c r="J134" s="535"/>
      <c r="K134" s="32"/>
      <c r="L134" s="32"/>
      <c r="M134" s="32"/>
      <c r="N134" s="32"/>
      <c r="O134" s="32"/>
      <c r="P134" s="32"/>
      <c r="Q134" s="32"/>
      <c r="R134" s="32"/>
    </row>
    <row r="135" spans="1:18" s="380" customFormat="1">
      <c r="A135" s="153" t="s">
        <v>1266</v>
      </c>
      <c r="B135" s="153" t="s">
        <v>1267</v>
      </c>
      <c r="C135" s="153" t="s">
        <v>1019</v>
      </c>
      <c r="D135" s="587">
        <v>53516</v>
      </c>
      <c r="E135" s="153" t="s">
        <v>1638</v>
      </c>
      <c r="F135" s="535">
        <v>-92516.94</v>
      </c>
      <c r="G135" s="535">
        <v>-70344.44</v>
      </c>
      <c r="H135" s="32">
        <f>VLOOKUP(D135,'מאזן בוחן Australia'!C:E,3,0)-F135</f>
        <v>0</v>
      </c>
      <c r="I135" s="32">
        <f>VLOOKUP(D135,'מאזן בוחן Australia'!C:M,11,0)-G135</f>
        <v>0</v>
      </c>
      <c r="J135" s="535"/>
      <c r="K135" s="32"/>
      <c r="L135" s="32"/>
      <c r="M135" s="32"/>
      <c r="N135" s="32"/>
      <c r="O135" s="32"/>
      <c r="P135" s="32"/>
      <c r="Q135" s="32"/>
      <c r="R135" s="32"/>
    </row>
    <row r="136" spans="1:18" s="380" customFormat="1">
      <c r="A136" s="153" t="s">
        <v>1266</v>
      </c>
      <c r="B136" s="153" t="s">
        <v>1267</v>
      </c>
      <c r="C136" s="153" t="s">
        <v>1019</v>
      </c>
      <c r="D136" s="587">
        <v>53550</v>
      </c>
      <c r="E136" s="153" t="s">
        <v>1312</v>
      </c>
      <c r="F136" s="535">
        <v>-24616.53</v>
      </c>
      <c r="G136" s="535">
        <v>-17801.23</v>
      </c>
      <c r="H136" s="32">
        <f>VLOOKUP(D136,'מאזן בוחן Australia'!C:E,3,0)-F136</f>
        <v>0</v>
      </c>
      <c r="I136" s="32">
        <f>VLOOKUP(D136,'מאזן בוחן Australia'!C:M,11,0)-G136</f>
        <v>0</v>
      </c>
      <c r="J136" s="535"/>
      <c r="K136" s="32"/>
      <c r="L136" s="32"/>
      <c r="M136" s="32"/>
      <c r="N136" s="32"/>
      <c r="O136" s="32"/>
      <c r="P136" s="32"/>
      <c r="Q136" s="32"/>
      <c r="R136" s="32"/>
    </row>
    <row r="137" spans="1:18" s="380" customFormat="1">
      <c r="A137" s="153" t="s">
        <v>1266</v>
      </c>
      <c r="B137" s="153" t="s">
        <v>1267</v>
      </c>
      <c r="C137" s="153" t="s">
        <v>1019</v>
      </c>
      <c r="D137" s="587">
        <v>53580</v>
      </c>
      <c r="E137" s="153" t="s">
        <v>1661</v>
      </c>
      <c r="F137" s="535">
        <v>-551249.99</v>
      </c>
      <c r="G137" s="535">
        <v>-390103.81</v>
      </c>
      <c r="H137" s="32">
        <f>VLOOKUP(D137,'מאזן בוחן Australia'!C:E,3,0)-F137</f>
        <v>0</v>
      </c>
      <c r="I137" s="32">
        <f>VLOOKUP(D137,'מאזן בוחן Australia'!C:M,11,0)-G137</f>
        <v>0</v>
      </c>
      <c r="J137" s="535"/>
      <c r="K137" s="32"/>
      <c r="L137" s="32"/>
      <c r="M137" s="32"/>
      <c r="N137" s="32"/>
      <c r="O137" s="32"/>
      <c r="P137" s="32"/>
      <c r="Q137" s="32"/>
      <c r="R137" s="32"/>
    </row>
    <row r="138" spans="1:18" s="380" customFormat="1">
      <c r="A138" s="153" t="s">
        <v>1266</v>
      </c>
      <c r="B138" s="153" t="s">
        <v>1267</v>
      </c>
      <c r="C138" s="153" t="s">
        <v>1019</v>
      </c>
      <c r="D138" s="587">
        <v>53581</v>
      </c>
      <c r="E138" s="153" t="s">
        <v>1662</v>
      </c>
      <c r="F138" s="535">
        <v>-322258.74</v>
      </c>
      <c r="G138" s="535">
        <v>-234069.13</v>
      </c>
      <c r="H138" s="32">
        <f>VLOOKUP(D138,'מאזן בוחן Australia'!C:E,3,0)-F138</f>
        <v>0</v>
      </c>
      <c r="I138" s="32">
        <f>VLOOKUP(D138,'מאזן בוחן Australia'!C:M,11,0)-G138</f>
        <v>0</v>
      </c>
      <c r="J138" s="535"/>
      <c r="K138" s="32"/>
      <c r="L138" s="32"/>
      <c r="M138" s="32"/>
      <c r="N138" s="32"/>
      <c r="O138" s="32"/>
      <c r="P138" s="32"/>
      <c r="Q138" s="32"/>
      <c r="R138" s="32"/>
    </row>
    <row r="139" spans="1:18" s="380" customFormat="1">
      <c r="A139" s="153" t="s">
        <v>1266</v>
      </c>
      <c r="B139" s="153" t="s">
        <v>1267</v>
      </c>
      <c r="C139" s="153" t="s">
        <v>1019</v>
      </c>
      <c r="D139" s="587">
        <v>53599</v>
      </c>
      <c r="E139" s="153" t="s">
        <v>1952</v>
      </c>
      <c r="F139" s="535">
        <v>-374185.9</v>
      </c>
      <c r="G139" s="535">
        <v>-267229.67</v>
      </c>
      <c r="H139" s="32">
        <f>VLOOKUP(D139,'מאזן בוחן Australia'!C:E,3,0)-F139</f>
        <v>0</v>
      </c>
      <c r="I139" s="32">
        <f>VLOOKUP(D139,'מאזן בוחן Australia'!C:M,11,0)-G139</f>
        <v>0</v>
      </c>
      <c r="J139" s="535"/>
      <c r="K139" s="32"/>
      <c r="L139" s="32"/>
      <c r="M139" s="32"/>
      <c r="N139" s="32"/>
      <c r="O139" s="32"/>
      <c r="P139" s="32"/>
      <c r="Q139" s="32"/>
      <c r="R139" s="32"/>
    </row>
    <row r="140" spans="1:18" s="380" customFormat="1">
      <c r="A140" s="153" t="s">
        <v>1266</v>
      </c>
      <c r="B140" s="153" t="s">
        <v>1267</v>
      </c>
      <c r="C140" s="153" t="s">
        <v>1019</v>
      </c>
      <c r="D140" s="587">
        <v>53600</v>
      </c>
      <c r="E140" s="153" t="s">
        <v>498</v>
      </c>
      <c r="F140" s="535">
        <v>-2774231.55</v>
      </c>
      <c r="G140" s="535">
        <v>-2015822.66</v>
      </c>
      <c r="H140" s="32">
        <f>VLOOKUP(D140,'מאזן בוחן Australia'!C:E,3,0)-F140</f>
        <v>0</v>
      </c>
      <c r="I140" s="32">
        <f>VLOOKUP(D140,'מאזן בוחן Australia'!C:M,11,0)-G140</f>
        <v>0</v>
      </c>
      <c r="J140" s="535"/>
      <c r="K140" s="32"/>
      <c r="L140" s="32"/>
      <c r="M140" s="32"/>
      <c r="N140" s="32"/>
      <c r="O140" s="32"/>
      <c r="P140" s="32"/>
      <c r="Q140" s="32"/>
      <c r="R140" s="32"/>
    </row>
    <row r="141" spans="1:18" s="380" customFormat="1">
      <c r="A141" s="153" t="s">
        <v>1266</v>
      </c>
      <c r="B141" s="153" t="s">
        <v>1268</v>
      </c>
      <c r="C141" s="153" t="s">
        <v>1036</v>
      </c>
      <c r="D141" s="587">
        <v>2140027</v>
      </c>
      <c r="E141" s="153" t="s">
        <v>4575</v>
      </c>
      <c r="F141" s="535">
        <v>-5500</v>
      </c>
      <c r="G141" s="535">
        <v>-3996.43</v>
      </c>
      <c r="H141" s="32">
        <f>VLOOKUP(D141,'מאזן בוחן Australia'!C:E,3,0)-F141</f>
        <v>0</v>
      </c>
      <c r="I141" s="32">
        <f>VLOOKUP(D141,'מאזן בוחן Australia'!C:M,11,0)-G141</f>
        <v>0</v>
      </c>
      <c r="J141" s="535"/>
      <c r="K141" s="32"/>
      <c r="L141" s="32"/>
      <c r="M141" s="32"/>
      <c r="N141" s="32"/>
      <c r="O141" s="32"/>
      <c r="P141" s="32"/>
      <c r="Q141" s="32"/>
      <c r="R141" s="32"/>
    </row>
    <row r="142" spans="1:18" s="380" customFormat="1">
      <c r="A142" s="153" t="s">
        <v>1266</v>
      </c>
      <c r="B142" s="153" t="s">
        <v>1268</v>
      </c>
      <c r="C142" s="153" t="s">
        <v>1036</v>
      </c>
      <c r="D142" s="587">
        <v>2140037</v>
      </c>
      <c r="E142" s="153" t="s">
        <v>3724</v>
      </c>
      <c r="F142" s="535">
        <v>-12407.17</v>
      </c>
      <c r="G142" s="535">
        <v>-9015.34</v>
      </c>
      <c r="H142" s="32">
        <f>VLOOKUP(D142,'מאזן בוחן Australia'!C:E,3,0)-F142</f>
        <v>0</v>
      </c>
      <c r="I142" s="32">
        <f>VLOOKUP(D142,'מאזן בוחן Australia'!C:M,11,0)-G142</f>
        <v>0</v>
      </c>
      <c r="J142" s="535"/>
      <c r="K142" s="32"/>
      <c r="L142" s="32"/>
      <c r="M142" s="32"/>
      <c r="N142" s="32"/>
      <c r="O142" s="32"/>
      <c r="P142" s="32"/>
      <c r="Q142" s="32"/>
      <c r="R142" s="32"/>
    </row>
    <row r="143" spans="1:18" s="380" customFormat="1">
      <c r="A143" s="153" t="s">
        <v>1266</v>
      </c>
      <c r="B143" s="153" t="s">
        <v>1270</v>
      </c>
      <c r="C143" s="153" t="s">
        <v>1037</v>
      </c>
      <c r="D143" s="587">
        <v>2200001</v>
      </c>
      <c r="E143" s="153" t="s">
        <v>1313</v>
      </c>
      <c r="F143" s="535">
        <v>-2307</v>
      </c>
      <c r="G143" s="535">
        <v>-1676.32</v>
      </c>
      <c r="H143" s="32">
        <f>VLOOKUP(D143,'מאזן בוחן Australia'!C:E,3,0)-F143</f>
        <v>0</v>
      </c>
      <c r="I143" s="32">
        <f>VLOOKUP(D143,'מאזן בוחן Australia'!C:M,11,0)-G143</f>
        <v>0</v>
      </c>
      <c r="J143" s="535"/>
      <c r="K143" s="32"/>
      <c r="L143" s="32"/>
      <c r="M143" s="32"/>
      <c r="N143" s="32"/>
      <c r="O143" s="32"/>
      <c r="P143" s="32"/>
      <c r="Q143" s="32"/>
      <c r="R143" s="32"/>
    </row>
    <row r="144" spans="1:18" s="380" customFormat="1">
      <c r="A144" s="153" t="s">
        <v>1266</v>
      </c>
      <c r="B144" s="153" t="s">
        <v>1271</v>
      </c>
      <c r="C144" s="153" t="s">
        <v>1040</v>
      </c>
      <c r="D144" s="587">
        <v>2400001</v>
      </c>
      <c r="E144" s="153" t="s">
        <v>519</v>
      </c>
      <c r="F144" s="535">
        <v>-265013.13</v>
      </c>
      <c r="G144" s="535">
        <v>-189698.36</v>
      </c>
      <c r="H144" s="32">
        <f>VLOOKUP(D144,'מאזן בוחן Australia'!C:E,3,0)-F144</f>
        <v>0</v>
      </c>
      <c r="I144" s="32">
        <f>VLOOKUP(D144,'מאזן בוחן Australia'!C:M,11,0)-G144</f>
        <v>0</v>
      </c>
      <c r="J144" s="535"/>
      <c r="K144" s="32"/>
      <c r="L144" s="32"/>
      <c r="M144" s="32"/>
      <c r="N144" s="32"/>
      <c r="O144" s="32"/>
      <c r="P144" s="32"/>
      <c r="Q144" s="32"/>
      <c r="R144" s="32"/>
    </row>
    <row r="145" spans="1:18" s="380" customFormat="1">
      <c r="A145" s="153" t="s">
        <v>1266</v>
      </c>
      <c r="B145" s="153" t="s">
        <v>1271</v>
      </c>
      <c r="C145" s="153" t="s">
        <v>1040</v>
      </c>
      <c r="D145" s="587">
        <v>2400010</v>
      </c>
      <c r="E145" s="153" t="s">
        <v>1521</v>
      </c>
      <c r="F145" s="535">
        <v>147920.64000000001</v>
      </c>
      <c r="G145" s="535">
        <v>107482.66</v>
      </c>
      <c r="H145" s="32">
        <f>VLOOKUP(D145,'מאזן בוחן Australia'!C:E,3,0)-F145</f>
        <v>0</v>
      </c>
      <c r="I145" s="32">
        <f>VLOOKUP(D145,'מאזן בוחן Australia'!C:M,11,0)-G145</f>
        <v>0</v>
      </c>
      <c r="J145" s="535"/>
      <c r="K145" s="32"/>
      <c r="L145" s="32"/>
      <c r="M145" s="32"/>
      <c r="N145" s="32"/>
      <c r="O145" s="32"/>
      <c r="P145" s="32"/>
      <c r="Q145" s="32"/>
      <c r="R145" s="32"/>
    </row>
    <row r="146" spans="1:18" s="380" customFormat="1">
      <c r="A146" s="153" t="s">
        <v>1266</v>
      </c>
      <c r="B146" s="153" t="s">
        <v>1271</v>
      </c>
      <c r="C146" s="153" t="s">
        <v>1042</v>
      </c>
      <c r="D146" s="587">
        <v>2410301</v>
      </c>
      <c r="E146" s="153" t="s">
        <v>1534</v>
      </c>
      <c r="F146" s="535">
        <v>-42606</v>
      </c>
      <c r="G146" s="535">
        <v>-30958.53</v>
      </c>
      <c r="H146" s="32">
        <f>VLOOKUP(D146,'מאזן בוחן Australia'!C:E,3,0)-F146</f>
        <v>0</v>
      </c>
      <c r="I146" s="32">
        <f>VLOOKUP(D146,'מאזן בוחן Australia'!C:M,11,0)-G146</f>
        <v>0</v>
      </c>
      <c r="J146" s="535"/>
      <c r="K146" s="32"/>
      <c r="L146" s="32"/>
      <c r="M146" s="32"/>
      <c r="N146" s="32"/>
      <c r="O146" s="32"/>
      <c r="P146" s="32"/>
      <c r="Q146" s="32"/>
      <c r="R146" s="32"/>
    </row>
    <row r="147" spans="1:18" s="380" customFormat="1">
      <c r="A147" s="153" t="s">
        <v>1266</v>
      </c>
      <c r="B147" s="153" t="s">
        <v>1271</v>
      </c>
      <c r="C147" s="153" t="s">
        <v>1042</v>
      </c>
      <c r="D147" s="587">
        <v>2410304</v>
      </c>
      <c r="E147" s="153" t="s">
        <v>1522</v>
      </c>
      <c r="F147" s="535">
        <v>-52844.01</v>
      </c>
      <c r="G147" s="535">
        <v>-38397.72</v>
      </c>
      <c r="H147" s="32">
        <f>VLOOKUP(D147,'מאזן בוחן Australia'!C:E,3,0)-F147</f>
        <v>0</v>
      </c>
      <c r="I147" s="32">
        <f>VLOOKUP(D147,'מאזן בוחן Australia'!C:M,11,0)-G147</f>
        <v>0</v>
      </c>
      <c r="J147" s="535"/>
      <c r="K147" s="32"/>
      <c r="L147" s="32"/>
      <c r="M147" s="32"/>
      <c r="N147" s="32"/>
      <c r="O147" s="32"/>
      <c r="P147" s="32"/>
      <c r="Q147" s="32"/>
      <c r="R147" s="32"/>
    </row>
    <row r="148" spans="1:18" s="380" customFormat="1">
      <c r="A148" s="153" t="s">
        <v>1266</v>
      </c>
      <c r="B148" s="153" t="s">
        <v>1272</v>
      </c>
      <c r="C148" s="153" t="s">
        <v>1044</v>
      </c>
      <c r="D148" s="587">
        <v>2500001</v>
      </c>
      <c r="E148" s="153" t="s">
        <v>342</v>
      </c>
      <c r="F148" s="535">
        <v>5618.91</v>
      </c>
      <c r="G148" s="535">
        <v>4082.83</v>
      </c>
      <c r="H148" s="32">
        <f>VLOOKUP(D148,'מאזן בוחן Australia'!C:E,3,0)-F148</f>
        <v>0</v>
      </c>
      <c r="I148" s="32">
        <f>VLOOKUP(D148,'מאזן בוחן Australia'!C:M,11,0)-G148</f>
        <v>0</v>
      </c>
      <c r="J148" s="535"/>
      <c r="K148" s="32"/>
      <c r="L148" s="32"/>
      <c r="M148" s="32"/>
      <c r="N148" s="32"/>
      <c r="O148" s="32"/>
      <c r="P148" s="32"/>
      <c r="Q148" s="32"/>
      <c r="R148" s="32"/>
    </row>
    <row r="149" spans="1:18" s="380" customFormat="1">
      <c r="A149" s="153" t="s">
        <v>1266</v>
      </c>
      <c r="B149" s="153" t="s">
        <v>1272</v>
      </c>
      <c r="C149" s="153" t="s">
        <v>1044</v>
      </c>
      <c r="D149" s="587">
        <v>2500002</v>
      </c>
      <c r="E149" s="153" t="s">
        <v>632</v>
      </c>
      <c r="F149" s="535">
        <v>-175240.03</v>
      </c>
      <c r="G149" s="535">
        <v>-127333.58</v>
      </c>
      <c r="H149" s="32">
        <f>VLOOKUP(D149,'מאזן בוחן Australia'!C:E,3,0)-F149</f>
        <v>0</v>
      </c>
      <c r="I149" s="32">
        <f>VLOOKUP(D149,'מאזן בוחן Australia'!C:M,11,0)-G149</f>
        <v>0</v>
      </c>
      <c r="J149" s="535"/>
      <c r="K149" s="32"/>
      <c r="L149" s="32"/>
      <c r="M149" s="32"/>
      <c r="N149" s="32"/>
      <c r="O149" s="32"/>
      <c r="P149" s="32"/>
      <c r="Q149" s="32"/>
      <c r="R149" s="32"/>
    </row>
    <row r="150" spans="1:18" s="380" customFormat="1">
      <c r="A150" s="153" t="s">
        <v>1266</v>
      </c>
      <c r="B150" s="153" t="s">
        <v>1272</v>
      </c>
      <c r="C150" s="153" t="s">
        <v>1044</v>
      </c>
      <c r="D150" s="587">
        <v>2500040</v>
      </c>
      <c r="E150" s="153" t="s">
        <v>3643</v>
      </c>
      <c r="F150" s="535">
        <v>4422</v>
      </c>
      <c r="G150" s="535">
        <v>3213.13</v>
      </c>
      <c r="H150" s="32">
        <f>VLOOKUP(D150,'מאזן בוחן Australia'!C:E,3,0)-F150</f>
        <v>0</v>
      </c>
      <c r="I150" s="32">
        <f>VLOOKUP(D150,'מאזן בוחן Australia'!C:M,11,0)-G150</f>
        <v>0</v>
      </c>
      <c r="J150" s="535"/>
      <c r="K150" s="32"/>
      <c r="L150" s="32"/>
      <c r="M150" s="32"/>
      <c r="N150" s="32"/>
      <c r="O150" s="32"/>
      <c r="P150" s="32"/>
      <c r="Q150" s="32"/>
      <c r="R150" s="32"/>
    </row>
    <row r="151" spans="1:18" s="380" customFormat="1">
      <c r="A151" s="153" t="s">
        <v>1266</v>
      </c>
      <c r="B151" s="153" t="s">
        <v>1272</v>
      </c>
      <c r="C151" s="153" t="s">
        <v>1044</v>
      </c>
      <c r="D151" s="587">
        <v>2500041</v>
      </c>
      <c r="E151" s="153" t="s">
        <v>3382</v>
      </c>
      <c r="F151" s="535">
        <v>5897</v>
      </c>
      <c r="G151" s="535">
        <v>4284.8999999999996</v>
      </c>
      <c r="H151" s="32">
        <f>VLOOKUP(D151,'מאזן בוחן Australia'!C:E,3,0)-F151</f>
        <v>0</v>
      </c>
      <c r="I151" s="32">
        <f>VLOOKUP(D151,'מאזן בוחן Australia'!C:M,11,0)-G151</f>
        <v>0</v>
      </c>
      <c r="J151" s="535"/>
      <c r="K151" s="32"/>
      <c r="L151" s="32"/>
      <c r="M151" s="32"/>
      <c r="N151" s="32"/>
      <c r="O151" s="32"/>
      <c r="P151" s="32"/>
      <c r="Q151" s="32"/>
      <c r="R151" s="32"/>
    </row>
    <row r="152" spans="1:18" s="380" customFormat="1">
      <c r="A152" s="153" t="s">
        <v>1266</v>
      </c>
      <c r="B152" s="153" t="s">
        <v>1272</v>
      </c>
      <c r="C152" s="153" t="s">
        <v>1044</v>
      </c>
      <c r="D152" s="587" t="s">
        <v>4265</v>
      </c>
      <c r="E152" s="153" t="s">
        <v>4266</v>
      </c>
      <c r="F152" s="535">
        <v>116848.48</v>
      </c>
      <c r="G152" s="535">
        <v>84904.89</v>
      </c>
      <c r="H152" s="32">
        <f>VLOOKUP(D152,'מאזן בוחן Australia'!C:E,3,0)-F152</f>
        <v>0</v>
      </c>
      <c r="I152" s="32">
        <f>VLOOKUP(D152,'מאזן בוחן Australia'!C:M,11,0)-G152</f>
        <v>0</v>
      </c>
      <c r="J152" s="535"/>
      <c r="K152" s="32"/>
      <c r="L152" s="32"/>
      <c r="M152" s="32"/>
      <c r="N152" s="32"/>
      <c r="O152" s="32"/>
      <c r="P152" s="32"/>
      <c r="Q152" s="32"/>
      <c r="R152" s="32"/>
    </row>
    <row r="153" spans="1:18" s="380" customFormat="1">
      <c r="A153" s="153" t="s">
        <v>1266</v>
      </c>
      <c r="B153" s="153" t="s">
        <v>1272</v>
      </c>
      <c r="C153" s="153" t="s">
        <v>1044</v>
      </c>
      <c r="D153" s="587">
        <v>2500042</v>
      </c>
      <c r="E153" s="153" t="s">
        <v>1754</v>
      </c>
      <c r="F153" s="535">
        <v>42081</v>
      </c>
      <c r="G153" s="535">
        <v>29504.19</v>
      </c>
      <c r="H153" s="32">
        <f>VLOOKUP(D153,'מאזן בוחן Australia'!C:E,3,0)-F153</f>
        <v>0</v>
      </c>
      <c r="I153" s="32">
        <f>VLOOKUP(D153,'מאזן בוחן Australia'!C:M,11,0)-G153</f>
        <v>0</v>
      </c>
      <c r="J153" s="153"/>
      <c r="K153" s="32"/>
      <c r="L153" s="32"/>
      <c r="M153" s="32"/>
      <c r="N153" s="32"/>
      <c r="O153" s="32"/>
      <c r="P153" s="32"/>
      <c r="Q153" s="32"/>
      <c r="R153" s="32"/>
    </row>
    <row r="154" spans="1:18" s="380" customFormat="1">
      <c r="A154" s="153" t="s">
        <v>1266</v>
      </c>
      <c r="B154" s="153" t="s">
        <v>1272</v>
      </c>
      <c r="C154" s="153" t="s">
        <v>1044</v>
      </c>
      <c r="D154" s="587" t="s">
        <v>2949</v>
      </c>
      <c r="E154" s="153" t="s">
        <v>2950</v>
      </c>
      <c r="F154" s="535">
        <v>-42088</v>
      </c>
      <c r="G154" s="535">
        <v>-29998.79</v>
      </c>
      <c r="H154" s="32">
        <f>VLOOKUP(D154,'מאזן בוחן Australia'!C:E,3,0)-F154</f>
        <v>0</v>
      </c>
      <c r="I154" s="32">
        <f>VLOOKUP(D154,'מאזן בוחן Australia'!C:M,11,0)-G154</f>
        <v>0</v>
      </c>
      <c r="J154" s="535"/>
      <c r="K154" s="32"/>
      <c r="L154" s="32"/>
      <c r="M154" s="32"/>
      <c r="N154" s="32"/>
      <c r="O154" s="32"/>
      <c r="P154" s="32"/>
      <c r="Q154" s="32"/>
      <c r="R154" s="32"/>
    </row>
    <row r="155" spans="1:18" s="380" customFormat="1">
      <c r="A155" s="153" t="s">
        <v>1266</v>
      </c>
      <c r="B155" s="153" t="s">
        <v>1272</v>
      </c>
      <c r="C155" s="153" t="s">
        <v>1044</v>
      </c>
      <c r="D155" s="587">
        <v>2500043</v>
      </c>
      <c r="E155" s="153" t="s">
        <v>1273</v>
      </c>
      <c r="F155" s="535">
        <v>27522</v>
      </c>
      <c r="G155" s="535">
        <v>19582.13</v>
      </c>
      <c r="H155" s="32">
        <f>VLOOKUP(D155,'מאזן בוחן Australia'!C:E,3,0)-F155</f>
        <v>0</v>
      </c>
      <c r="I155" s="32">
        <f>VLOOKUP(D155,'מאזן בוחן Australia'!C:M,11,0)-G155</f>
        <v>0</v>
      </c>
      <c r="J155" s="153"/>
      <c r="K155" s="32"/>
      <c r="L155" s="32"/>
      <c r="M155" s="32"/>
      <c r="N155" s="32"/>
      <c r="O155" s="32"/>
      <c r="P155" s="32"/>
      <c r="Q155" s="32"/>
      <c r="R155" s="32"/>
    </row>
    <row r="156" spans="1:18" s="380" customFormat="1">
      <c r="A156" s="153" t="s">
        <v>1266</v>
      </c>
      <c r="B156" s="153" t="s">
        <v>1272</v>
      </c>
      <c r="C156" s="153" t="s">
        <v>1044</v>
      </c>
      <c r="D156" s="587" t="s">
        <v>2018</v>
      </c>
      <c r="E156" s="153" t="s">
        <v>2019</v>
      </c>
      <c r="F156" s="535">
        <v>-27570.35</v>
      </c>
      <c r="G156" s="535">
        <v>-19616.53</v>
      </c>
      <c r="H156" s="32">
        <f>VLOOKUP(D156,'מאזן בוחן Australia'!C:E,3,0)-F156</f>
        <v>0</v>
      </c>
      <c r="I156" s="32">
        <f>VLOOKUP(D156,'מאזן בוחן Australia'!C:M,11,0)-G156</f>
        <v>0</v>
      </c>
      <c r="J156" s="32"/>
    </row>
    <row r="157" spans="1:18" s="380" customFormat="1">
      <c r="A157" s="153" t="s">
        <v>1266</v>
      </c>
      <c r="B157" s="153" t="s">
        <v>1272</v>
      </c>
      <c r="C157" s="153" t="s">
        <v>1044</v>
      </c>
      <c r="D157" s="587">
        <v>2500044</v>
      </c>
      <c r="E157" s="153" t="s">
        <v>1047</v>
      </c>
      <c r="F157" s="535">
        <v>52928.98</v>
      </c>
      <c r="G157" s="535">
        <v>37659.410000000003</v>
      </c>
      <c r="H157" s="32">
        <f>VLOOKUP(D157,'מאזן בוחן Australia'!C:E,3,0)-F157</f>
        <v>0</v>
      </c>
      <c r="I157" s="32">
        <f>VLOOKUP(D157,'מאזן בוחן Australia'!C:M,11,0)-G157</f>
        <v>0</v>
      </c>
      <c r="J157" s="32"/>
    </row>
    <row r="158" spans="1:18" s="380" customFormat="1">
      <c r="A158" s="153" t="s">
        <v>1266</v>
      </c>
      <c r="B158" s="153" t="s">
        <v>1272</v>
      </c>
      <c r="C158" s="153" t="s">
        <v>1044</v>
      </c>
      <c r="D158" s="587">
        <v>2500053</v>
      </c>
      <c r="E158" s="153" t="s">
        <v>2020</v>
      </c>
      <c r="F158" s="535">
        <v>-52929</v>
      </c>
      <c r="G158" s="535">
        <v>-37659.42</v>
      </c>
      <c r="H158" s="32">
        <f>VLOOKUP(D158,'מאזן בוחן Australia'!C:E,3,0)-F158</f>
        <v>0</v>
      </c>
      <c r="I158" s="32">
        <f>VLOOKUP(D158,'מאזן בוחן Australia'!C:M,11,0)-G158</f>
        <v>0</v>
      </c>
      <c r="J158" s="32"/>
    </row>
    <row r="159" spans="1:18" s="380" customFormat="1">
      <c r="A159" s="153" t="s">
        <v>1266</v>
      </c>
      <c r="B159" s="153" t="s">
        <v>1272</v>
      </c>
      <c r="C159" s="153" t="s">
        <v>1044</v>
      </c>
      <c r="D159" s="587">
        <v>2500054</v>
      </c>
      <c r="E159" s="153" t="s">
        <v>2232</v>
      </c>
      <c r="F159" s="535">
        <v>-122745.27</v>
      </c>
      <c r="G159" s="535">
        <v>-89189.63</v>
      </c>
      <c r="H159" s="32">
        <f>VLOOKUP(D159,'מאזן בוחן Australia'!C:E,3,0)-F159</f>
        <v>0</v>
      </c>
      <c r="I159" s="32">
        <f>VLOOKUP(D159,'מאזן בוחן Australia'!C:M,11,0)-G159</f>
        <v>0</v>
      </c>
      <c r="J159" s="32"/>
    </row>
    <row r="160" spans="1:18" s="380" customFormat="1">
      <c r="A160" s="153" t="s">
        <v>1275</v>
      </c>
      <c r="B160" s="153" t="s">
        <v>1276</v>
      </c>
      <c r="C160" s="153" t="s">
        <v>1963</v>
      </c>
      <c r="D160" s="587">
        <v>3000001</v>
      </c>
      <c r="E160" s="153" t="s">
        <v>1964</v>
      </c>
      <c r="F160" s="535">
        <v>-1</v>
      </c>
      <c r="G160" s="535">
        <v>-0.8</v>
      </c>
      <c r="H160" s="32">
        <f>VLOOKUP(D160,'מאזן בוחן Australia'!C:E,3,0)-F160</f>
        <v>0</v>
      </c>
      <c r="I160" s="32">
        <f>VLOOKUP(D160,'מאזן בוחן Australia'!C:M,11,0)-G160</f>
        <v>0</v>
      </c>
      <c r="J160" s="32"/>
    </row>
    <row r="161" spans="1:10" s="380" customFormat="1">
      <c r="A161" s="153" t="s">
        <v>1275</v>
      </c>
      <c r="B161" s="153" t="s">
        <v>1276</v>
      </c>
      <c r="C161" s="153" t="s">
        <v>1050</v>
      </c>
      <c r="D161" s="587">
        <v>3030001</v>
      </c>
      <c r="E161" s="153" t="s">
        <v>1051</v>
      </c>
      <c r="F161" s="535">
        <v>139039.5</v>
      </c>
      <c r="G161" s="535">
        <v>181545.21</v>
      </c>
      <c r="H161" s="32">
        <f>VLOOKUP(D161,'מאזן בוחן Australia'!C:E,3,0)-F161</f>
        <v>0</v>
      </c>
      <c r="I161" s="32">
        <f>VLOOKUP(D161,'מאזן בוחן Australia'!C:M,11,0)-G161</f>
        <v>0</v>
      </c>
      <c r="J161" s="32"/>
    </row>
    <row r="162" spans="1:10" s="380" customFormat="1">
      <c r="A162" s="153" t="s">
        <v>1275</v>
      </c>
      <c r="B162" s="153" t="s">
        <v>1276</v>
      </c>
      <c r="C162" s="153" t="s">
        <v>1050</v>
      </c>
      <c r="D162" s="587">
        <v>3030099</v>
      </c>
      <c r="E162" s="153" t="s">
        <v>1836</v>
      </c>
      <c r="F162" s="535">
        <v>-5538</v>
      </c>
      <c r="G162" s="535">
        <v>-3987</v>
      </c>
      <c r="H162" s="32">
        <f>VLOOKUP(D162,'מאזן בוחן Australia'!C:E,3,0)-F162</f>
        <v>0</v>
      </c>
      <c r="I162" s="32">
        <f>VLOOKUP(D162,'מאזן בוחן Australia'!C:M,11,0)-G162</f>
        <v>0</v>
      </c>
      <c r="J162" s="32"/>
    </row>
    <row r="163" spans="1:10" s="380" customFormat="1">
      <c r="A163" s="153" t="s">
        <v>1277</v>
      </c>
      <c r="B163" s="153" t="s">
        <v>1278</v>
      </c>
      <c r="C163" s="153" t="s">
        <v>1052</v>
      </c>
      <c r="D163" s="587">
        <v>80001</v>
      </c>
      <c r="E163" s="153" t="s">
        <v>3322</v>
      </c>
      <c r="F163" s="535">
        <v>-1398737.33</v>
      </c>
      <c r="G163" s="535">
        <v>-1035958.08</v>
      </c>
      <c r="H163" s="32">
        <f>VLOOKUP(D163,'מאזן בוחן Australia'!C:E,3,0)-F163</f>
        <v>0</v>
      </c>
      <c r="I163" s="32">
        <f>VLOOKUP(D163,'מאזן בוחן Australia'!C:M,11,0)-G163</f>
        <v>0</v>
      </c>
      <c r="J163" s="32"/>
    </row>
    <row r="164" spans="1:10" s="380" customFormat="1">
      <c r="A164" s="153" t="s">
        <v>1277</v>
      </c>
      <c r="B164" s="153" t="s">
        <v>1278</v>
      </c>
      <c r="C164" s="153" t="s">
        <v>1052</v>
      </c>
      <c r="D164" s="587">
        <v>80002</v>
      </c>
      <c r="E164" s="153" t="s">
        <v>2144</v>
      </c>
      <c r="F164" s="535">
        <v>-204104</v>
      </c>
      <c r="G164" s="535">
        <v>-150900.51</v>
      </c>
      <c r="H164" s="32">
        <f>VLOOKUP(D164,'מאזן בוחן Australia'!C:E,3,0)-F164</f>
        <v>0</v>
      </c>
      <c r="I164" s="32">
        <f>VLOOKUP(D164,'מאזן בוחן Australia'!C:M,11,0)-G164</f>
        <v>0</v>
      </c>
      <c r="J164" s="32"/>
    </row>
    <row r="165" spans="1:10" s="380" customFormat="1">
      <c r="A165" s="153" t="s">
        <v>1277</v>
      </c>
      <c r="B165" s="153" t="s">
        <v>1278</v>
      </c>
      <c r="C165" s="153" t="s">
        <v>1052</v>
      </c>
      <c r="D165" s="587" t="s">
        <v>718</v>
      </c>
      <c r="E165" s="153" t="s">
        <v>1056</v>
      </c>
      <c r="F165" s="535">
        <v>104688.43</v>
      </c>
      <c r="G165" s="535">
        <v>82634.429999999993</v>
      </c>
      <c r="H165" s="32">
        <f>VLOOKUP(D165,'מאזן בוחן Australia'!C:E,3,0)-F165</f>
        <v>0</v>
      </c>
      <c r="I165" s="32">
        <f>VLOOKUP(D165,'מאזן בוחן Australia'!C:M,11,0)-G165</f>
        <v>0</v>
      </c>
      <c r="J165" s="32"/>
    </row>
    <row r="166" spans="1:10" s="380" customFormat="1">
      <c r="A166" s="153" t="s">
        <v>1277</v>
      </c>
      <c r="B166" s="153" t="s">
        <v>1278</v>
      </c>
      <c r="C166" s="153" t="s">
        <v>1057</v>
      </c>
      <c r="D166" s="587">
        <v>80060</v>
      </c>
      <c r="E166" s="153" t="s">
        <v>1345</v>
      </c>
      <c r="F166" s="535">
        <v>-3313281.18</v>
      </c>
      <c r="G166" s="535">
        <v>-2440918.52</v>
      </c>
      <c r="H166" s="32">
        <f>VLOOKUP(D166,'מאזן בוחן Australia'!C:E,3,0)-F166</f>
        <v>0</v>
      </c>
      <c r="I166" s="32">
        <f>VLOOKUP(D166,'מאזן בוחן Australia'!C:M,11,0)-G166</f>
        <v>0</v>
      </c>
      <c r="J166" s="32"/>
    </row>
    <row r="167" spans="1:10" s="380" customFormat="1">
      <c r="A167" s="153" t="s">
        <v>1277</v>
      </c>
      <c r="B167" s="153" t="s">
        <v>1278</v>
      </c>
      <c r="C167" s="153" t="s">
        <v>1057</v>
      </c>
      <c r="D167" s="587">
        <v>80061</v>
      </c>
      <c r="E167" s="153" t="s">
        <v>1523</v>
      </c>
      <c r="F167" s="535">
        <v>-9177.65</v>
      </c>
      <c r="G167" s="535">
        <v>-6614.04</v>
      </c>
      <c r="H167" s="32">
        <f>VLOOKUP(D167,'מאזן בוחן Australia'!C:E,3,0)-F167</f>
        <v>0</v>
      </c>
      <c r="I167" s="32">
        <f>VLOOKUP(D167,'מאזן בוחן Australia'!C:M,11,0)-G167</f>
        <v>0</v>
      </c>
      <c r="J167" s="32"/>
    </row>
    <row r="168" spans="1:10" s="380" customFormat="1">
      <c r="A168" s="153" t="s">
        <v>1277</v>
      </c>
      <c r="B168" s="153" t="s">
        <v>1278</v>
      </c>
      <c r="C168" s="153" t="s">
        <v>1057</v>
      </c>
      <c r="D168" s="587">
        <v>80063</v>
      </c>
      <c r="E168" s="153" t="s">
        <v>1324</v>
      </c>
      <c r="F168" s="535">
        <v>-15985.95</v>
      </c>
      <c r="G168" s="535">
        <v>-11662.41</v>
      </c>
      <c r="H168" s="32">
        <f>VLOOKUP(D168,'מאזן בוחן Australia'!C:E,3,0)-F168</f>
        <v>0</v>
      </c>
      <c r="I168" s="32">
        <f>VLOOKUP(D168,'מאזן בוחן Australia'!C:M,11,0)-G168</f>
        <v>0</v>
      </c>
      <c r="J168" s="32"/>
    </row>
    <row r="169" spans="1:10" s="380" customFormat="1">
      <c r="A169" s="153" t="s">
        <v>1277</v>
      </c>
      <c r="B169" s="153" t="s">
        <v>1278</v>
      </c>
      <c r="C169" s="153" t="s">
        <v>1057</v>
      </c>
      <c r="D169" s="587">
        <v>80065</v>
      </c>
      <c r="E169" s="153" t="s">
        <v>1591</v>
      </c>
      <c r="F169" s="535">
        <v>-38602.910000000003</v>
      </c>
      <c r="G169" s="535">
        <v>-28200.81</v>
      </c>
      <c r="H169" s="32">
        <f>VLOOKUP(D169,'מאזן בוחן Australia'!C:E,3,0)-F169</f>
        <v>0</v>
      </c>
      <c r="I169" s="32">
        <f>VLOOKUP(D169,'מאזן בוחן Australia'!C:M,11,0)-G169</f>
        <v>0</v>
      </c>
      <c r="J169" s="32"/>
    </row>
    <row r="170" spans="1:10" s="380" customFormat="1">
      <c r="A170" s="153" t="s">
        <v>1277</v>
      </c>
      <c r="B170" s="153" t="s">
        <v>1278</v>
      </c>
      <c r="C170" s="153" t="s">
        <v>1057</v>
      </c>
      <c r="D170" s="587" t="s">
        <v>4949</v>
      </c>
      <c r="E170" s="153" t="s">
        <v>4950</v>
      </c>
      <c r="F170" s="535">
        <v>-292.19</v>
      </c>
      <c r="G170" s="535">
        <v>-212.31</v>
      </c>
      <c r="H170" s="32">
        <f>VLOOKUP(D170,'מאזן בוחן Australia'!C:E,3,0)-F170</f>
        <v>0</v>
      </c>
      <c r="I170" s="32">
        <f>VLOOKUP(D170,'מאזן בוחן Australia'!C:M,11,0)-G170</f>
        <v>0</v>
      </c>
      <c r="J170" s="32"/>
    </row>
    <row r="171" spans="1:10" s="380" customFormat="1">
      <c r="A171" s="153" t="s">
        <v>1277</v>
      </c>
      <c r="B171" s="153" t="s">
        <v>1278</v>
      </c>
      <c r="C171" s="153" t="s">
        <v>1062</v>
      </c>
      <c r="D171" s="587">
        <v>80150</v>
      </c>
      <c r="E171" s="153" t="s">
        <v>1739</v>
      </c>
      <c r="F171" s="535">
        <v>-8152.83</v>
      </c>
      <c r="G171" s="535">
        <v>-5922</v>
      </c>
      <c r="H171" s="32">
        <f>VLOOKUP(D171,'מאזן בוחן Australia'!C:E,3,0)-F171</f>
        <v>0</v>
      </c>
      <c r="I171" s="32">
        <f>VLOOKUP(D171,'מאזן בוחן Australia'!C:M,11,0)-G171</f>
        <v>0</v>
      </c>
      <c r="J171" s="32"/>
    </row>
    <row r="172" spans="1:10" s="380" customFormat="1">
      <c r="A172" s="153" t="s">
        <v>1277</v>
      </c>
      <c r="B172" s="153" t="s">
        <v>1278</v>
      </c>
      <c r="C172" s="153" t="s">
        <v>1062</v>
      </c>
      <c r="D172" s="587">
        <v>80151</v>
      </c>
      <c r="E172" s="153" t="s">
        <v>1764</v>
      </c>
      <c r="F172" s="535">
        <v>-25121.32</v>
      </c>
      <c r="G172" s="535">
        <v>-18704.38</v>
      </c>
      <c r="H172" s="32">
        <f>VLOOKUP(D172,'מאזן בוחן Australia'!C:E,3,0)-F172</f>
        <v>0</v>
      </c>
      <c r="I172" s="32">
        <f>VLOOKUP(D172,'מאזן בוחן Australia'!C:M,11,0)-G172</f>
        <v>0</v>
      </c>
      <c r="J172" s="32"/>
    </row>
    <row r="173" spans="1:10" s="380" customFormat="1">
      <c r="A173" s="153" t="s">
        <v>1277</v>
      </c>
      <c r="B173" s="153" t="s">
        <v>1278</v>
      </c>
      <c r="C173" s="153" t="s">
        <v>1062</v>
      </c>
      <c r="D173" s="587">
        <v>80153</v>
      </c>
      <c r="E173" s="153" t="s">
        <v>1627</v>
      </c>
      <c r="F173" s="535">
        <v>-430135.67</v>
      </c>
      <c r="G173" s="535">
        <v>-319338.63</v>
      </c>
      <c r="H173" s="32">
        <f>VLOOKUP(D173,'מאזן בוחן Australia'!C:E,3,0)-F173</f>
        <v>0</v>
      </c>
      <c r="I173" s="32">
        <f>VLOOKUP(D173,'מאזן בוחן Australia'!C:M,11,0)-G173</f>
        <v>0</v>
      </c>
      <c r="J173" s="32"/>
    </row>
    <row r="174" spans="1:10" s="380" customFormat="1">
      <c r="A174" s="153" t="s">
        <v>1277</v>
      </c>
      <c r="B174" s="153" t="s">
        <v>1278</v>
      </c>
      <c r="C174" s="153" t="s">
        <v>1062</v>
      </c>
      <c r="D174" s="587" t="s">
        <v>2233</v>
      </c>
      <c r="E174" s="153" t="s">
        <v>2234</v>
      </c>
      <c r="F174" s="535">
        <v>-71426.23</v>
      </c>
      <c r="G174" s="535">
        <v>-54526.58</v>
      </c>
      <c r="H174" s="32">
        <f>VLOOKUP(D174,'מאזן בוחן Australia'!C:E,3,0)-F174</f>
        <v>0</v>
      </c>
      <c r="I174" s="32">
        <f>VLOOKUP(D174,'מאזן בוחן Australia'!C:M,11,0)-G174</f>
        <v>0</v>
      </c>
      <c r="J174" s="32"/>
    </row>
    <row r="175" spans="1:10" s="380" customFormat="1">
      <c r="A175" s="153" t="s">
        <v>1277</v>
      </c>
      <c r="B175" s="153" t="s">
        <v>1278</v>
      </c>
      <c r="C175" s="153" t="s">
        <v>1765</v>
      </c>
      <c r="D175" s="587">
        <v>80080</v>
      </c>
      <c r="E175" s="153" t="s">
        <v>1667</v>
      </c>
      <c r="F175" s="535">
        <v>-28095.42</v>
      </c>
      <c r="G175" s="535">
        <v>-20407.39</v>
      </c>
      <c r="H175" s="32">
        <f>VLOOKUP(D175,'מאזן בוחן Australia'!C:E,3,0)-F175</f>
        <v>0</v>
      </c>
      <c r="I175" s="32">
        <f>VLOOKUP(D175,'מאזן בוחן Australia'!C:M,11,0)-G175</f>
        <v>0</v>
      </c>
      <c r="J175" s="32"/>
    </row>
    <row r="176" spans="1:10" s="380" customFormat="1">
      <c r="A176" s="153" t="s">
        <v>1277</v>
      </c>
      <c r="B176" s="153" t="s">
        <v>1278</v>
      </c>
      <c r="C176" s="153" t="s">
        <v>1765</v>
      </c>
      <c r="D176" s="587">
        <v>80081</v>
      </c>
      <c r="E176" s="153" t="s">
        <v>2044</v>
      </c>
      <c r="F176" s="535">
        <v>-459903.39</v>
      </c>
      <c r="G176" s="535">
        <v>-315439.62</v>
      </c>
      <c r="H176" s="32">
        <f>VLOOKUP(D176,'מאזן בוחן Australia'!C:E,3,0)-F176</f>
        <v>0</v>
      </c>
      <c r="I176" s="32">
        <f>VLOOKUP(D176,'מאזן בוחן Australia'!C:M,11,0)-G176</f>
        <v>0</v>
      </c>
      <c r="J176" s="32"/>
    </row>
    <row r="177" spans="1:10" s="380" customFormat="1">
      <c r="A177" s="153" t="s">
        <v>1277</v>
      </c>
      <c r="B177" s="153" t="s">
        <v>1278</v>
      </c>
      <c r="C177" s="153" t="s">
        <v>1766</v>
      </c>
      <c r="D177" s="587">
        <v>80070</v>
      </c>
      <c r="E177" s="153" t="s">
        <v>1665</v>
      </c>
      <c r="F177" s="535">
        <v>-432536.35</v>
      </c>
      <c r="G177" s="535">
        <v>-314168.81</v>
      </c>
      <c r="H177" s="32">
        <f>VLOOKUP(D177,'מאזן בוחן Australia'!C:E,3,0)-F177</f>
        <v>0</v>
      </c>
      <c r="I177" s="32">
        <f>VLOOKUP(D177,'מאזן בוחן Australia'!C:M,11,0)-G177</f>
        <v>0</v>
      </c>
      <c r="J177" s="32"/>
    </row>
    <row r="178" spans="1:10" s="380" customFormat="1">
      <c r="A178" s="153" t="s">
        <v>1277</v>
      </c>
      <c r="B178" s="153" t="s">
        <v>1278</v>
      </c>
      <c r="C178" s="153" t="s">
        <v>1766</v>
      </c>
      <c r="D178" s="587">
        <v>80071</v>
      </c>
      <c r="E178" s="153" t="s">
        <v>2123</v>
      </c>
      <c r="F178" s="535">
        <v>-509427.79</v>
      </c>
      <c r="G178" s="535">
        <v>-371989.11</v>
      </c>
      <c r="H178" s="32">
        <f>VLOOKUP(D178,'מאזן בוחן Australia'!C:E,3,0)-F178</f>
        <v>0</v>
      </c>
      <c r="I178" s="32">
        <f>VLOOKUP(D178,'מאזן בוחן Australia'!C:M,11,0)-G178</f>
        <v>0</v>
      </c>
      <c r="J178" s="32"/>
    </row>
    <row r="179" spans="1:10" s="380" customFormat="1">
      <c r="A179" s="153" t="s">
        <v>1281</v>
      </c>
      <c r="B179" s="153" t="s">
        <v>1282</v>
      </c>
      <c r="C179" s="153" t="s">
        <v>1066</v>
      </c>
      <c r="D179" s="587" t="s">
        <v>1238</v>
      </c>
      <c r="E179" s="153" t="s">
        <v>1239</v>
      </c>
      <c r="F179" s="535">
        <v>4613.57</v>
      </c>
      <c r="G179" s="535">
        <v>3402.65</v>
      </c>
      <c r="H179" s="32">
        <f>VLOOKUP(D179,'מאזן בוחן Australia'!C:E,3,0)-F179</f>
        <v>0</v>
      </c>
      <c r="I179" s="32">
        <f>VLOOKUP(D179,'מאזן בוחן Australia'!C:M,11,0)-G179</f>
        <v>0</v>
      </c>
      <c r="J179" s="32"/>
    </row>
    <row r="180" spans="1:10" s="380" customFormat="1">
      <c r="A180" s="153" t="s">
        <v>1281</v>
      </c>
      <c r="B180" s="153" t="s">
        <v>1283</v>
      </c>
      <c r="C180" s="153" t="s">
        <v>1070</v>
      </c>
      <c r="D180" s="587">
        <v>5200001</v>
      </c>
      <c r="E180" s="153" t="s">
        <v>1637</v>
      </c>
      <c r="F180" s="535">
        <v>483413.8</v>
      </c>
      <c r="G180" s="535">
        <v>362739.43</v>
      </c>
      <c r="H180" s="32">
        <f>VLOOKUP(D180,'מאזן בוחן Australia'!C:E,3,0)-F180</f>
        <v>0</v>
      </c>
      <c r="I180" s="32">
        <f>VLOOKUP(D180,'מאזן בוחן Australia'!C:M,11,0)-G180</f>
        <v>0</v>
      </c>
      <c r="J180" s="32"/>
    </row>
    <row r="181" spans="1:10" s="380" customFormat="1">
      <c r="A181" s="153" t="s">
        <v>1281</v>
      </c>
      <c r="B181" s="153" t="s">
        <v>1283</v>
      </c>
      <c r="C181" s="153" t="s">
        <v>1070</v>
      </c>
      <c r="D181" s="587">
        <v>5200002</v>
      </c>
      <c r="E181" s="153" t="s">
        <v>1736</v>
      </c>
      <c r="F181" s="535">
        <v>5460.1</v>
      </c>
      <c r="G181" s="535">
        <v>4034.82</v>
      </c>
      <c r="H181" s="32">
        <f>VLOOKUP(D181,'מאזן בוחן Australia'!C:E,3,0)-F181</f>
        <v>0</v>
      </c>
      <c r="I181" s="32">
        <f>VLOOKUP(D181,'מאזן בוחן Australia'!C:M,11,0)-G181</f>
        <v>0</v>
      </c>
      <c r="J181" s="32"/>
    </row>
    <row r="182" spans="1:10" s="380" customFormat="1">
      <c r="A182" s="153" t="s">
        <v>1281</v>
      </c>
      <c r="B182" s="153" t="s">
        <v>1283</v>
      </c>
      <c r="C182" s="153" t="s">
        <v>1070</v>
      </c>
      <c r="D182" s="587">
        <v>5200003</v>
      </c>
      <c r="E182" s="153" t="s">
        <v>1734</v>
      </c>
      <c r="F182" s="535">
        <v>9536.11</v>
      </c>
      <c r="G182" s="535">
        <v>7142.52</v>
      </c>
      <c r="H182" s="32">
        <f>VLOOKUP(D182,'מאזן בוחן Australia'!C:E,3,0)-F182</f>
        <v>0</v>
      </c>
      <c r="I182" s="32">
        <f>VLOOKUP(D182,'מאזן בוחן Australia'!C:M,11,0)-G182</f>
        <v>0</v>
      </c>
      <c r="J182" s="32"/>
    </row>
    <row r="183" spans="1:10" s="380" customFormat="1">
      <c r="A183" s="153" t="s">
        <v>1281</v>
      </c>
      <c r="B183" s="153" t="s">
        <v>1283</v>
      </c>
      <c r="C183" s="153" t="s">
        <v>1082</v>
      </c>
      <c r="D183" s="587">
        <v>5200029</v>
      </c>
      <c r="E183" s="153" t="s">
        <v>1760</v>
      </c>
      <c r="F183" s="535">
        <v>4582.28</v>
      </c>
      <c r="G183" s="535">
        <v>3440.21</v>
      </c>
      <c r="H183" s="32">
        <f>VLOOKUP(D183,'מאזן בוחן Australia'!C:E,3,0)-F183</f>
        <v>0</v>
      </c>
      <c r="I183" s="32">
        <f>VLOOKUP(D183,'מאזן בוחן Australia'!C:M,11,0)-G183</f>
        <v>0</v>
      </c>
      <c r="J183" s="32"/>
    </row>
    <row r="184" spans="1:10" s="380" customFormat="1">
      <c r="A184" s="153" t="s">
        <v>1281</v>
      </c>
      <c r="B184" s="153" t="s">
        <v>1284</v>
      </c>
      <c r="C184" s="153" t="s">
        <v>1088</v>
      </c>
      <c r="D184" s="587">
        <v>5420004</v>
      </c>
      <c r="E184" s="153" t="s">
        <v>1095</v>
      </c>
      <c r="F184" s="535">
        <v>38037.870000000003</v>
      </c>
      <c r="G184" s="535">
        <v>28201.03</v>
      </c>
      <c r="H184" s="32">
        <f>VLOOKUP(D184,'מאזן בוחן Australia'!C:E,3,0)-F184</f>
        <v>0</v>
      </c>
      <c r="I184" s="32">
        <f>VLOOKUP(D184,'מאזן בוחן Australia'!C:M,11,0)-G184</f>
        <v>0</v>
      </c>
      <c r="J184" s="32"/>
    </row>
    <row r="185" spans="1:10" s="380" customFormat="1">
      <c r="A185" s="32" t="s">
        <v>1281</v>
      </c>
      <c r="B185" s="32" t="s">
        <v>1834</v>
      </c>
      <c r="C185" s="32" t="s">
        <v>1098</v>
      </c>
      <c r="D185" s="587">
        <v>5900001</v>
      </c>
      <c r="E185" s="32" t="s">
        <v>1099</v>
      </c>
      <c r="F185" s="535">
        <v>3669771.76</v>
      </c>
      <c r="G185" s="535">
        <v>2657155.0099999998</v>
      </c>
      <c r="H185" s="32">
        <f>VLOOKUP(D185,'מאזן בוחן Australia'!C:E,3,0)-F185</f>
        <v>0</v>
      </c>
      <c r="I185" s="32">
        <f>VLOOKUP(D185,'מאזן בוחן Australia'!C:M,11,0)-G185</f>
        <v>0</v>
      </c>
      <c r="J185" s="32"/>
    </row>
    <row r="186" spans="1:10" s="380" customFormat="1">
      <c r="A186" s="32" t="s">
        <v>1288</v>
      </c>
      <c r="B186" s="32" t="s">
        <v>1289</v>
      </c>
      <c r="C186" s="32" t="s">
        <v>558</v>
      </c>
      <c r="D186" s="587">
        <v>7020037</v>
      </c>
      <c r="E186" s="32" t="s">
        <v>739</v>
      </c>
      <c r="F186" s="535">
        <v>40217.269999999997</v>
      </c>
      <c r="G186" s="535">
        <v>30410.29</v>
      </c>
      <c r="H186" s="32">
        <f>VLOOKUP(D186,'מאזן בוחן Australia'!C:E,3,0)-F186</f>
        <v>0</v>
      </c>
      <c r="I186" s="32">
        <f>VLOOKUP(D186,'מאזן בוחן Australia'!C:M,11,0)-G186</f>
        <v>0</v>
      </c>
      <c r="J186" s="32"/>
    </row>
    <row r="187" spans="1:10" s="380" customFormat="1">
      <c r="A187" s="32" t="s">
        <v>1288</v>
      </c>
      <c r="B187" s="32" t="s">
        <v>1289</v>
      </c>
      <c r="C187" s="32" t="s">
        <v>558</v>
      </c>
      <c r="D187" s="587">
        <v>7020039</v>
      </c>
      <c r="E187" s="32" t="s">
        <v>2165</v>
      </c>
      <c r="F187" s="535">
        <v>2894.06</v>
      </c>
      <c r="G187" s="535">
        <v>2153.73</v>
      </c>
      <c r="H187" s="32">
        <f>VLOOKUP(D187,'מאזן בוחן Australia'!C:E,3,0)-F187</f>
        <v>0</v>
      </c>
      <c r="I187" s="32">
        <f>VLOOKUP(D187,'מאזן בוחן Australia'!C:M,11,0)-G187</f>
        <v>0</v>
      </c>
      <c r="J187" s="32"/>
    </row>
    <row r="188" spans="1:10" s="380" customFormat="1">
      <c r="A188" s="32" t="s">
        <v>1288</v>
      </c>
      <c r="B188" s="32" t="s">
        <v>1291</v>
      </c>
      <c r="C188" s="32" t="s">
        <v>1137</v>
      </c>
      <c r="D188" s="587">
        <v>7110002</v>
      </c>
      <c r="E188" s="32" t="s">
        <v>3220</v>
      </c>
      <c r="F188" s="535">
        <v>26337.08</v>
      </c>
      <c r="G188" s="535">
        <v>19520.400000000001</v>
      </c>
      <c r="H188" s="32">
        <f>VLOOKUP(D188,'מאזן בוחן Australia'!C:E,3,0)-F188</f>
        <v>0</v>
      </c>
      <c r="I188" s="32">
        <f>VLOOKUP(D188,'מאזן בוחן Australia'!C:M,11,0)-G188</f>
        <v>0</v>
      </c>
      <c r="J188" s="32"/>
    </row>
    <row r="189" spans="1:10" s="380" customFormat="1">
      <c r="A189" s="32" t="s">
        <v>1288</v>
      </c>
      <c r="B189" s="32" t="s">
        <v>1291</v>
      </c>
      <c r="C189" s="32" t="s">
        <v>1137</v>
      </c>
      <c r="D189" s="587">
        <v>7110003</v>
      </c>
      <c r="E189" s="32" t="s">
        <v>1140</v>
      </c>
      <c r="F189" s="535">
        <v>-266923.57</v>
      </c>
      <c r="G189" s="535">
        <v>-213387.03</v>
      </c>
      <c r="H189" s="32">
        <f>VLOOKUP(D189,'מאזן בוחן Australia'!C:E,3,0)-F189</f>
        <v>0</v>
      </c>
      <c r="I189" s="32">
        <f>VLOOKUP(D189,'מאזן בוחן Australia'!C:M,11,0)-G189</f>
        <v>0</v>
      </c>
      <c r="J189" s="32"/>
    </row>
    <row r="190" spans="1:10" s="380" customFormat="1">
      <c r="A190" s="32" t="s">
        <v>1288</v>
      </c>
      <c r="B190" s="32" t="s">
        <v>1291</v>
      </c>
      <c r="C190" s="32" t="s">
        <v>1137</v>
      </c>
      <c r="D190" s="587">
        <v>7110006</v>
      </c>
      <c r="E190" s="32" t="s">
        <v>1242</v>
      </c>
      <c r="F190" s="535">
        <v>70132.06</v>
      </c>
      <c r="G190" s="535">
        <v>51807.19</v>
      </c>
      <c r="H190" s="32">
        <f>VLOOKUP(D190,'מאזן בוחן Australia'!C:E,3,0)-F190</f>
        <v>0</v>
      </c>
      <c r="I190" s="32">
        <f>VLOOKUP(D190,'מאזן בוחן Australia'!C:M,11,0)-G190</f>
        <v>0</v>
      </c>
      <c r="J190" s="32"/>
    </row>
    <row r="191" spans="1:10" s="380" customFormat="1">
      <c r="A191" s="32" t="s">
        <v>1288</v>
      </c>
      <c r="B191" s="32" t="s">
        <v>1291</v>
      </c>
      <c r="C191" s="32" t="s">
        <v>1137</v>
      </c>
      <c r="D191" s="587">
        <v>7110007</v>
      </c>
      <c r="E191" s="32" t="s">
        <v>1524</v>
      </c>
      <c r="F191" s="535">
        <v>764024.01</v>
      </c>
      <c r="G191" s="535">
        <v>571745.80000000005</v>
      </c>
      <c r="H191" s="32">
        <f>VLOOKUP(D191,'מאזן בוחן Australia'!C:E,3,0)-F191</f>
        <v>0</v>
      </c>
      <c r="I191" s="32">
        <f>VLOOKUP(D191,'מאזן בוחן Australia'!C:M,11,0)-G191</f>
        <v>0</v>
      </c>
      <c r="J191" s="32"/>
    </row>
    <row r="192" spans="1:10" s="380" customFormat="1">
      <c r="A192" s="32" t="s">
        <v>1288</v>
      </c>
      <c r="B192" s="32" t="s">
        <v>1291</v>
      </c>
      <c r="C192" s="32" t="s">
        <v>1137</v>
      </c>
      <c r="D192" s="587">
        <v>7110010</v>
      </c>
      <c r="E192" s="32" t="s">
        <v>1525</v>
      </c>
      <c r="F192" s="535">
        <v>840057</v>
      </c>
      <c r="G192" s="535">
        <v>631414.34</v>
      </c>
      <c r="H192" s="32">
        <f>VLOOKUP(D192,'מאזן בוחן Australia'!C:E,3,0)-F192</f>
        <v>0</v>
      </c>
      <c r="I192" s="32">
        <f>VLOOKUP(D192,'מאזן בוחן Australia'!C:M,11,0)-G192</f>
        <v>0</v>
      </c>
      <c r="J192" s="32"/>
    </row>
    <row r="193" spans="1:10" s="380" customFormat="1">
      <c r="A193" s="32" t="s">
        <v>1288</v>
      </c>
      <c r="B193" s="32" t="s">
        <v>1291</v>
      </c>
      <c r="C193" s="32" t="s">
        <v>1137</v>
      </c>
      <c r="D193" s="587">
        <v>7110012</v>
      </c>
      <c r="E193" s="32" t="s">
        <v>3898</v>
      </c>
      <c r="F193" s="535">
        <v>6321.57</v>
      </c>
      <c r="G193" s="535">
        <v>4738.3100000000004</v>
      </c>
      <c r="H193" s="32">
        <f>VLOOKUP(D193,'מאזן בוחן Australia'!C:E,3,0)-F193</f>
        <v>0</v>
      </c>
      <c r="I193" s="32">
        <f>VLOOKUP(D193,'מאזן בוחן Australia'!C:M,11,0)-G193</f>
        <v>0</v>
      </c>
      <c r="J193" s="32"/>
    </row>
    <row r="194" spans="1:10" s="380" customFormat="1">
      <c r="A194" s="32" t="s">
        <v>1288</v>
      </c>
      <c r="B194" s="32" t="s">
        <v>1291</v>
      </c>
      <c r="C194" s="32" t="s">
        <v>1137</v>
      </c>
      <c r="D194" s="587">
        <v>7110013</v>
      </c>
      <c r="E194" s="32" t="s">
        <v>1526</v>
      </c>
      <c r="F194" s="535">
        <v>97095.08</v>
      </c>
      <c r="G194" s="535">
        <v>72397.14</v>
      </c>
      <c r="H194" s="32">
        <f>VLOOKUP(D194,'מאזן בוחן Australia'!C:E,3,0)-F194</f>
        <v>0</v>
      </c>
      <c r="I194" s="32">
        <f>VLOOKUP(D194,'מאזן בוחן Australia'!C:M,11,0)-G194</f>
        <v>0</v>
      </c>
      <c r="J194" s="32"/>
    </row>
    <row r="195" spans="1:10" s="380" customFormat="1">
      <c r="A195" s="32" t="s">
        <v>1288</v>
      </c>
      <c r="B195" s="32" t="s">
        <v>1291</v>
      </c>
      <c r="C195" s="32" t="s">
        <v>1137</v>
      </c>
      <c r="D195" s="587">
        <v>7110014</v>
      </c>
      <c r="E195" s="32" t="s">
        <v>3260</v>
      </c>
      <c r="F195" s="535">
        <v>12857.93</v>
      </c>
      <c r="G195" s="535">
        <v>9342.8799999999992</v>
      </c>
      <c r="H195" s="32">
        <f>VLOOKUP(D195,'מאזן בוחן Australia'!C:E,3,0)-F195</f>
        <v>0</v>
      </c>
      <c r="I195" s="32">
        <f>VLOOKUP(D195,'מאזן בוחן Australia'!C:M,11,0)-G195</f>
        <v>0</v>
      </c>
      <c r="J195" s="32"/>
    </row>
    <row r="196" spans="1:10" s="380" customFormat="1">
      <c r="A196" s="32" t="s">
        <v>1288</v>
      </c>
      <c r="B196" s="32" t="s">
        <v>1291</v>
      </c>
      <c r="C196" s="32" t="s">
        <v>1137</v>
      </c>
      <c r="D196" s="587">
        <v>7110044</v>
      </c>
      <c r="E196" s="32" t="s">
        <v>1837</v>
      </c>
      <c r="F196" s="32">
        <v>26961.67</v>
      </c>
      <c r="G196" s="32">
        <v>19028.560000000001</v>
      </c>
      <c r="H196" s="32">
        <f>VLOOKUP(D196,'מאזן בוחן Australia'!C:E,3,0)-F196</f>
        <v>0</v>
      </c>
      <c r="I196" s="32">
        <f>VLOOKUP(D196,'מאזן בוחן Australia'!C:M,11,0)-G196</f>
        <v>0</v>
      </c>
      <c r="J196" s="32"/>
    </row>
    <row r="197" spans="1:10" s="380" customFormat="1">
      <c r="A197" s="32" t="s">
        <v>1288</v>
      </c>
      <c r="B197" s="32" t="s">
        <v>1291</v>
      </c>
      <c r="C197" s="32" t="s">
        <v>1137</v>
      </c>
      <c r="D197" s="737">
        <v>7110055</v>
      </c>
      <c r="E197" s="32" t="s">
        <v>1838</v>
      </c>
      <c r="F197" s="32">
        <v>53757.84</v>
      </c>
      <c r="G197" s="32">
        <v>37429.32</v>
      </c>
      <c r="H197" s="32">
        <f>VLOOKUP(D197,'מאזן בוחן Australia'!C:E,3,0)-F197</f>
        <v>0</v>
      </c>
      <c r="I197" s="32">
        <f>VLOOKUP(D197,'מאזן בוחן Australia'!C:M,11,0)-G197</f>
        <v>0</v>
      </c>
      <c r="J197" s="32"/>
    </row>
    <row r="198" spans="1:10" s="380" customFormat="1">
      <c r="A198" s="32" t="s">
        <v>1288</v>
      </c>
      <c r="B198" s="32" t="s">
        <v>1291</v>
      </c>
      <c r="C198" s="32" t="s">
        <v>1137</v>
      </c>
      <c r="D198" s="737">
        <v>7110066</v>
      </c>
      <c r="E198" s="32" t="s">
        <v>2173</v>
      </c>
      <c r="F198" s="32">
        <v>43071.33</v>
      </c>
      <c r="G198" s="32">
        <v>32163.37</v>
      </c>
      <c r="H198" s="32">
        <f>VLOOKUP(D198,'מאזן בוחן Australia'!C:E,3,0)-F198</f>
        <v>0</v>
      </c>
      <c r="I198" s="32">
        <f>VLOOKUP(D198,'מאזן בוחן Australia'!C:M,11,0)-G198</f>
        <v>0</v>
      </c>
      <c r="J198" s="32"/>
    </row>
    <row r="199" spans="1:10" s="380" customFormat="1">
      <c r="A199" s="32" t="s">
        <v>1288</v>
      </c>
      <c r="B199" s="32" t="s">
        <v>1291</v>
      </c>
      <c r="C199" s="32" t="s">
        <v>1137</v>
      </c>
      <c r="D199" s="737">
        <v>7110077</v>
      </c>
      <c r="E199" s="32" t="s">
        <v>3546</v>
      </c>
      <c r="F199" s="32">
        <v>-139179.04999999999</v>
      </c>
      <c r="G199" s="32">
        <v>-100832.97</v>
      </c>
      <c r="H199" s="32">
        <f>VLOOKUP(D199,'מאזן בוחן Australia'!C:E,3,0)-F199</f>
        <v>0</v>
      </c>
      <c r="I199" s="32">
        <f>VLOOKUP(D199,'מאזן בוחן Australia'!C:M,11,0)-G199</f>
        <v>0</v>
      </c>
      <c r="J199" s="32"/>
    </row>
    <row r="200" spans="1:10" s="380" customFormat="1">
      <c r="A200" s="32" t="s">
        <v>1288</v>
      </c>
      <c r="B200" s="32" t="s">
        <v>1291</v>
      </c>
      <c r="C200" s="32" t="s">
        <v>563</v>
      </c>
      <c r="D200" s="737">
        <v>7120025</v>
      </c>
      <c r="E200" s="32" t="s">
        <v>1850</v>
      </c>
      <c r="F200" s="32">
        <v>16101.07</v>
      </c>
      <c r="G200" s="32">
        <v>11861.68</v>
      </c>
      <c r="H200" s="32">
        <f>VLOOKUP(D200,'מאזן בוחן Australia'!C:E,3,0)-F200</f>
        <v>0</v>
      </c>
      <c r="I200" s="32">
        <f>VLOOKUP(D200,'מאזן בוחן Australia'!C:M,11,0)-G200</f>
        <v>0</v>
      </c>
      <c r="J200" s="32"/>
    </row>
    <row r="201" spans="1:10" s="380" customFormat="1">
      <c r="A201" s="32" t="s">
        <v>1288</v>
      </c>
      <c r="B201" s="32" t="s">
        <v>1291</v>
      </c>
      <c r="C201" s="32" t="s">
        <v>563</v>
      </c>
      <c r="D201" s="737">
        <v>7120036</v>
      </c>
      <c r="E201" s="32" t="s">
        <v>1527</v>
      </c>
      <c r="F201" s="32">
        <v>7970.27</v>
      </c>
      <c r="G201" s="32">
        <v>6056.47</v>
      </c>
      <c r="H201" s="32">
        <f>VLOOKUP(D201,'מאזן בוחן Australia'!C:E,3,0)-F201</f>
        <v>0</v>
      </c>
      <c r="I201" s="32">
        <f>VLOOKUP(D201,'מאזן בוחן Australia'!C:M,11,0)-G201</f>
        <v>0</v>
      </c>
      <c r="J201" s="32"/>
    </row>
    <row r="202" spans="1:10" s="380" customFormat="1">
      <c r="A202" s="32" t="s">
        <v>1288</v>
      </c>
      <c r="B202" s="32" t="s">
        <v>1291</v>
      </c>
      <c r="C202" s="32" t="s">
        <v>563</v>
      </c>
      <c r="D202" s="737">
        <v>7120076</v>
      </c>
      <c r="E202" s="32" t="s">
        <v>1670</v>
      </c>
      <c r="F202" s="32">
        <v>13858.81</v>
      </c>
      <c r="G202" s="32">
        <v>10486.55</v>
      </c>
      <c r="H202" s="32">
        <f>VLOOKUP(D202,'מאזן בוחן Australia'!C:E,3,0)-F202</f>
        <v>0</v>
      </c>
      <c r="I202" s="32">
        <f>VLOOKUP(D202,'מאזן בוחן Australia'!C:M,11,0)-G202</f>
        <v>0</v>
      </c>
      <c r="J202" s="32"/>
    </row>
    <row r="203" spans="1:10" s="380" customFormat="1">
      <c r="A203" s="32" t="s">
        <v>1288</v>
      </c>
      <c r="B203" s="32" t="s">
        <v>1291</v>
      </c>
      <c r="C203" s="32" t="s">
        <v>563</v>
      </c>
      <c r="D203" s="737">
        <v>7120077</v>
      </c>
      <c r="E203" s="32" t="s">
        <v>1737</v>
      </c>
      <c r="F203" s="32">
        <v>2898.12</v>
      </c>
      <c r="G203" s="32">
        <v>2201.1</v>
      </c>
      <c r="H203" s="32">
        <f>VLOOKUP(D203,'מאזן בוחן Australia'!C:E,3,0)-F203</f>
        <v>0</v>
      </c>
      <c r="I203" s="32">
        <f>VLOOKUP(D203,'מאזן בוחן Australia'!C:M,11,0)-G203</f>
        <v>0</v>
      </c>
      <c r="J203" s="32"/>
    </row>
    <row r="204" spans="1:10" s="380" customFormat="1">
      <c r="A204" s="32" t="s">
        <v>1288</v>
      </c>
      <c r="B204" s="32" t="s">
        <v>1291</v>
      </c>
      <c r="C204" s="32" t="s">
        <v>1156</v>
      </c>
      <c r="D204" s="737">
        <v>7140001</v>
      </c>
      <c r="E204" s="32" t="s">
        <v>1157</v>
      </c>
      <c r="F204" s="32">
        <v>408077.41</v>
      </c>
      <c r="G204" s="32">
        <v>306997.06</v>
      </c>
      <c r="H204" s="32">
        <f>VLOOKUP(D204,'מאזן בוחן Australia'!C:E,3,0)-F204</f>
        <v>0</v>
      </c>
      <c r="I204" s="32">
        <f>VLOOKUP(D204,'מאזן בוחן Australia'!C:M,11,0)-G204</f>
        <v>0</v>
      </c>
      <c r="J204" s="32"/>
    </row>
    <row r="205" spans="1:10" s="380" customFormat="1">
      <c r="A205" s="32" t="s">
        <v>1288</v>
      </c>
      <c r="B205" s="32" t="s">
        <v>1291</v>
      </c>
      <c r="C205" s="32" t="s">
        <v>1156</v>
      </c>
      <c r="D205" s="737">
        <v>7140002</v>
      </c>
      <c r="E205" s="32" t="s">
        <v>1158</v>
      </c>
      <c r="F205" s="32">
        <v>4570.1899999999996</v>
      </c>
      <c r="G205" s="32">
        <v>3508.64</v>
      </c>
      <c r="H205" s="32">
        <f>VLOOKUP(D205,'מאזן בוחן Australia'!C:E,3,0)-F205</f>
        <v>0</v>
      </c>
      <c r="I205" s="32">
        <f>VLOOKUP(D205,'מאזן בוחן Australia'!C:M,11,0)-G205</f>
        <v>0</v>
      </c>
      <c r="J205" s="32"/>
    </row>
    <row r="206" spans="1:10" s="380" customFormat="1">
      <c r="A206" s="32" t="s">
        <v>1288</v>
      </c>
      <c r="B206" s="32" t="s">
        <v>1291</v>
      </c>
      <c r="C206" s="32" t="s">
        <v>1156</v>
      </c>
      <c r="D206" s="737">
        <v>7140003</v>
      </c>
      <c r="E206" s="32" t="s">
        <v>1159</v>
      </c>
      <c r="F206" s="32">
        <v>5873</v>
      </c>
      <c r="G206" s="32">
        <v>4275.54</v>
      </c>
      <c r="H206" s="32">
        <f>VLOOKUP(D206,'מאזן בוחן Australia'!C:E,3,0)-F206</f>
        <v>0</v>
      </c>
      <c r="I206" s="32">
        <f>VLOOKUP(D206,'מאזן בוחן Australia'!C:M,11,0)-G206</f>
        <v>0</v>
      </c>
      <c r="J206" s="32"/>
    </row>
    <row r="207" spans="1:10" s="380" customFormat="1">
      <c r="A207" s="32" t="s">
        <v>1288</v>
      </c>
      <c r="B207" s="32" t="s">
        <v>1291</v>
      </c>
      <c r="C207" s="32" t="s">
        <v>1156</v>
      </c>
      <c r="D207" s="737">
        <v>7140004</v>
      </c>
      <c r="E207" s="32" t="s">
        <v>1160</v>
      </c>
      <c r="F207" s="32">
        <v>463061</v>
      </c>
      <c r="G207" s="32">
        <v>341268.7</v>
      </c>
      <c r="H207" s="32">
        <f>VLOOKUP(D207,'מאזן בוחן Australia'!C:E,3,0)-F207</f>
        <v>0</v>
      </c>
      <c r="I207" s="32">
        <f>VLOOKUP(D207,'מאזן בוחן Australia'!C:M,11,0)-G207</f>
        <v>0</v>
      </c>
      <c r="J207" s="32"/>
    </row>
    <row r="208" spans="1:10" s="380" customFormat="1">
      <c r="A208" s="32" t="s">
        <v>1293</v>
      </c>
      <c r="B208" s="32" t="s">
        <v>1294</v>
      </c>
      <c r="C208" s="32" t="s">
        <v>1183</v>
      </c>
      <c r="D208" s="737">
        <v>8030020</v>
      </c>
      <c r="E208" s="32" t="s">
        <v>19</v>
      </c>
      <c r="F208" s="32">
        <v>3097</v>
      </c>
      <c r="G208" s="32">
        <v>2302.06</v>
      </c>
      <c r="H208" s="32">
        <f>VLOOKUP(D208,'מאזן בוחן Australia'!C:E,3,0)-F208</f>
        <v>0</v>
      </c>
      <c r="I208" s="32">
        <f>VLOOKUP(D208,'מאזן בוחן Australia'!C:M,11,0)-G208</f>
        <v>0</v>
      </c>
      <c r="J208" s="32"/>
    </row>
    <row r="209" spans="1:10" s="380" customFormat="1">
      <c r="A209" s="32" t="s">
        <v>1293</v>
      </c>
      <c r="B209" s="32" t="s">
        <v>1299</v>
      </c>
      <c r="C209" s="32" t="s">
        <v>1337</v>
      </c>
      <c r="D209" s="737">
        <v>8410069</v>
      </c>
      <c r="E209" s="32" t="s">
        <v>1338</v>
      </c>
      <c r="F209" s="32">
        <v>21280</v>
      </c>
      <c r="G209" s="32">
        <v>16080.6</v>
      </c>
      <c r="H209" s="32">
        <f>VLOOKUP(D209,'מאזן בוחן Australia'!C:E,3,0)-F209</f>
        <v>0</v>
      </c>
      <c r="I209" s="32">
        <f>VLOOKUP(D209,'מאזן בוחן Australia'!C:M,11,0)-G209</f>
        <v>0</v>
      </c>
      <c r="J209" s="32"/>
    </row>
    <row r="210" spans="1:10" s="380" customFormat="1">
      <c r="A210" s="32" t="s">
        <v>1301</v>
      </c>
      <c r="B210" s="32" t="s">
        <v>1302</v>
      </c>
      <c r="C210" s="32" t="s">
        <v>1216</v>
      </c>
      <c r="D210" s="737">
        <v>9010001</v>
      </c>
      <c r="E210" s="32" t="s">
        <v>1339</v>
      </c>
      <c r="F210" s="32">
        <v>4203.47</v>
      </c>
      <c r="G210" s="32">
        <v>3145.02</v>
      </c>
      <c r="H210" s="32">
        <f>VLOOKUP(D210,'מאזן בוחן Australia'!C:E,3,0)-F210</f>
        <v>0</v>
      </c>
      <c r="I210" s="32">
        <f>VLOOKUP(D210,'מאזן בוחן Australia'!C:M,11,0)-G210</f>
        <v>0</v>
      </c>
      <c r="J210" s="32"/>
    </row>
    <row r="211" spans="1:10" s="380" customFormat="1">
      <c r="A211" s="32" t="s">
        <v>1301</v>
      </c>
      <c r="B211" s="32" t="s">
        <v>1302</v>
      </c>
      <c r="C211" s="32" t="s">
        <v>1216</v>
      </c>
      <c r="D211" s="737">
        <v>9010002</v>
      </c>
      <c r="E211" s="32" t="s">
        <v>158</v>
      </c>
      <c r="F211" s="32">
        <v>16969.45</v>
      </c>
      <c r="G211" s="32">
        <v>-183903.51</v>
      </c>
      <c r="H211" s="32">
        <f>VLOOKUP(D211,'מאזן בוחן Australia'!C:E,3,0)-F211</f>
        <v>0</v>
      </c>
      <c r="I211" s="32">
        <f>VLOOKUP(D211,'מאזן בוחן Australia'!C:M,11,0)-G211</f>
        <v>0</v>
      </c>
      <c r="J211" s="32"/>
    </row>
    <row r="212" spans="1:10" s="380" customFormat="1">
      <c r="A212" s="32"/>
      <c r="B212" s="32"/>
      <c r="C212" s="32"/>
      <c r="D212" s="737"/>
      <c r="E212" s="32"/>
      <c r="F212" s="32"/>
      <c r="G212" s="32"/>
      <c r="H212" s="32"/>
      <c r="I212" s="32"/>
      <c r="J212" s="32"/>
    </row>
    <row r="213" spans="1:10" s="380" customFormat="1">
      <c r="A213" s="32"/>
      <c r="B213" s="32"/>
      <c r="C213" s="32"/>
      <c r="D213" s="737"/>
      <c r="E213" s="32"/>
      <c r="F213" s="32"/>
      <c r="G213" s="32"/>
      <c r="H213" s="32"/>
      <c r="I213" s="32"/>
      <c r="J213" s="32"/>
    </row>
    <row r="214" spans="1:10" s="380" customFormat="1">
      <c r="A214" s="32"/>
      <c r="B214" s="32"/>
      <c r="C214" s="32"/>
      <c r="D214" s="737"/>
      <c r="E214" s="32"/>
      <c r="F214" s="32"/>
      <c r="G214" s="32"/>
      <c r="H214" s="32"/>
      <c r="I214" s="32"/>
      <c r="J214" s="32"/>
    </row>
    <row r="215" spans="1:10" s="380" customFormat="1">
      <c r="A215" s="32"/>
      <c r="B215" s="32"/>
      <c r="C215" s="32"/>
      <c r="D215" s="737"/>
      <c r="E215" s="32"/>
      <c r="F215" s="32"/>
      <c r="G215" s="32"/>
      <c r="H215" s="32"/>
      <c r="I215" s="32"/>
      <c r="J215" s="32"/>
    </row>
    <row r="216" spans="1:10" s="380" customFormat="1">
      <c r="A216" s="32"/>
      <c r="B216" s="32"/>
      <c r="C216" s="32"/>
      <c r="D216" s="737"/>
      <c r="E216" s="32"/>
      <c r="F216" s="32"/>
      <c r="G216" s="32"/>
      <c r="H216" s="32"/>
      <c r="I216" s="32"/>
      <c r="J216" s="32"/>
    </row>
    <row r="217" spans="1:10" s="380" customFormat="1">
      <c r="A217" s="32"/>
      <c r="B217" s="32"/>
      <c r="C217" s="32"/>
      <c r="D217" s="737"/>
      <c r="E217" s="32"/>
      <c r="F217" s="32"/>
      <c r="G217" s="32"/>
      <c r="H217" s="32"/>
      <c r="I217" s="32"/>
      <c r="J217" s="32"/>
    </row>
    <row r="218" spans="1:10" s="380" customFormat="1">
      <c r="A218" s="32"/>
      <c r="B218" s="32"/>
      <c r="C218" s="32"/>
      <c r="D218" s="737"/>
      <c r="E218" s="32"/>
      <c r="F218" s="32"/>
      <c r="G218" s="32"/>
      <c r="H218" s="32"/>
      <c r="I218" s="32"/>
      <c r="J218" s="32"/>
    </row>
    <row r="219" spans="1:10" s="380" customFormat="1">
      <c r="A219" s="32"/>
      <c r="B219" s="32"/>
      <c r="C219" s="32"/>
      <c r="D219" s="737"/>
      <c r="E219" s="32"/>
      <c r="F219" s="32"/>
      <c r="G219" s="32"/>
      <c r="H219" s="32"/>
      <c r="I219" s="32"/>
      <c r="J219" s="32"/>
    </row>
    <row r="220" spans="1:10" s="380" customFormat="1">
      <c r="A220" s="32"/>
      <c r="B220" s="32"/>
      <c r="C220" s="32"/>
      <c r="D220" s="737"/>
      <c r="E220" s="32"/>
      <c r="F220" s="32"/>
      <c r="G220" s="32"/>
      <c r="H220" s="32"/>
      <c r="I220" s="32"/>
      <c r="J220" s="32"/>
    </row>
    <row r="221" spans="1:10" s="380" customFormat="1">
      <c r="A221" s="32"/>
      <c r="B221" s="32"/>
      <c r="C221" s="32"/>
      <c r="D221" s="737"/>
      <c r="E221" s="32"/>
      <c r="F221" s="32"/>
      <c r="G221" s="32"/>
      <c r="H221" s="32"/>
      <c r="I221" s="32"/>
      <c r="J221" s="32"/>
    </row>
    <row r="222" spans="1:10" s="380" customFormat="1">
      <c r="A222" s="32"/>
      <c r="B222" s="32"/>
      <c r="C222" s="32"/>
      <c r="D222" s="737"/>
      <c r="E222" s="32"/>
      <c r="F222" s="32"/>
      <c r="G222" s="32"/>
      <c r="H222" s="32"/>
      <c r="I222" s="32"/>
      <c r="J222" s="32"/>
    </row>
    <row r="223" spans="1:10" s="380" customFormat="1">
      <c r="A223" s="32"/>
      <c r="B223" s="32"/>
      <c r="C223" s="32"/>
      <c r="D223" s="32"/>
      <c r="E223" s="32"/>
      <c r="F223" s="32"/>
      <c r="G223" s="32"/>
      <c r="H223" s="32"/>
      <c r="I223" s="32"/>
      <c r="J223" s="32"/>
    </row>
    <row r="224" spans="1:10" s="380" customFormat="1">
      <c r="A224" s="32"/>
      <c r="B224" s="32"/>
      <c r="C224" s="32"/>
      <c r="D224" s="32"/>
      <c r="E224" s="32"/>
      <c r="F224" s="32"/>
      <c r="G224" s="32"/>
      <c r="H224" s="32"/>
      <c r="I224" s="32"/>
      <c r="J224" s="32"/>
    </row>
    <row r="225" spans="1:16" s="380" customFormat="1">
      <c r="A225" s="32"/>
      <c r="B225" s="32"/>
      <c r="C225" s="32"/>
      <c r="D225" s="32"/>
      <c r="E225" s="32"/>
      <c r="F225" s="32"/>
      <c r="G225" s="32"/>
      <c r="H225" s="32"/>
      <c r="I225" s="32"/>
      <c r="J225" s="32"/>
    </row>
    <row r="226" spans="1:16" s="380" customFormat="1">
      <c r="A226" s="32"/>
      <c r="B226" s="32"/>
      <c r="C226" s="32"/>
      <c r="D226" s="32"/>
      <c r="E226" s="32"/>
      <c r="F226" s="32"/>
      <c r="G226" s="32"/>
      <c r="H226" s="32"/>
      <c r="I226" s="32"/>
      <c r="J226" s="32"/>
    </row>
    <row r="227" spans="1:16" s="380" customFormat="1">
      <c r="A227" s="32"/>
      <c r="B227" s="32"/>
      <c r="C227" s="32"/>
      <c r="D227" s="32"/>
      <c r="E227" s="32"/>
      <c r="F227" s="32"/>
      <c r="G227" s="32"/>
      <c r="H227" s="32"/>
      <c r="I227" s="32"/>
      <c r="J227" s="32"/>
    </row>
    <row r="228" spans="1:16" s="380" customFormat="1">
      <c r="A228" s="32"/>
      <c r="B228" s="32"/>
      <c r="C228" s="32"/>
      <c r="D228" s="32"/>
      <c r="E228" s="32"/>
      <c r="F228" s="32"/>
      <c r="G228" s="32"/>
      <c r="H228" s="32"/>
      <c r="I228" s="32"/>
      <c r="J228" s="32"/>
    </row>
    <row r="229" spans="1:16" s="380" customFormat="1">
      <c r="A229" s="32"/>
      <c r="B229" s="32"/>
      <c r="C229" s="32"/>
      <c r="D229" s="32"/>
      <c r="E229" s="32"/>
      <c r="F229" s="32"/>
      <c r="G229" s="32"/>
      <c r="H229" s="32"/>
      <c r="I229" s="32"/>
      <c r="J229" s="32"/>
    </row>
    <row r="230" spans="1:16" s="141" customFormat="1">
      <c r="A230" s="32"/>
      <c r="B230" s="32"/>
      <c r="C230" s="32"/>
      <c r="D230" s="32"/>
      <c r="E230" s="32"/>
      <c r="F230" s="32"/>
      <c r="G230" s="32"/>
      <c r="H230" s="32"/>
      <c r="I230" s="32"/>
      <c r="J230" s="32"/>
      <c r="K230" s="380"/>
      <c r="L230" s="380"/>
      <c r="M230" s="380"/>
      <c r="N230" s="380"/>
      <c r="O230" s="380"/>
      <c r="P230" s="380"/>
    </row>
    <row r="231" spans="1:16" s="141" customFormat="1">
      <c r="A231" s="32"/>
      <c r="B231" s="32"/>
      <c r="C231" s="32"/>
      <c r="D231" s="32"/>
      <c r="E231" s="32"/>
      <c r="F231" s="32"/>
      <c r="G231" s="32"/>
      <c r="H231" s="32"/>
      <c r="I231" s="32"/>
      <c r="J231" s="32"/>
      <c r="K231" s="380"/>
      <c r="L231" s="380"/>
      <c r="M231" s="380"/>
      <c r="N231" s="380"/>
      <c r="O231" s="380"/>
      <c r="P231" s="380"/>
    </row>
    <row r="232" spans="1:16" s="141" customFormat="1">
      <c r="A232" s="32"/>
      <c r="B232" s="32"/>
      <c r="C232" s="32"/>
      <c r="D232" s="32"/>
      <c r="E232" s="32"/>
      <c r="F232" s="32"/>
      <c r="G232" s="32"/>
      <c r="H232" s="32"/>
      <c r="I232" s="32"/>
      <c r="J232" s="32"/>
      <c r="K232" s="380"/>
      <c r="L232" s="380"/>
      <c r="M232" s="380"/>
      <c r="N232" s="380"/>
      <c r="O232" s="380"/>
      <c r="P232" s="380"/>
    </row>
    <row r="233" spans="1:16" s="141" customFormat="1">
      <c r="A233" s="32"/>
      <c r="B233" s="32"/>
      <c r="C233" s="32"/>
      <c r="D233" s="32"/>
      <c r="E233" s="32"/>
      <c r="F233" s="32"/>
      <c r="G233" s="32"/>
      <c r="H233" s="32"/>
      <c r="I233" s="32"/>
      <c r="J233" s="32"/>
      <c r="K233" s="380"/>
      <c r="L233" s="380"/>
      <c r="M233" s="380"/>
      <c r="N233" s="380"/>
      <c r="O233" s="380"/>
      <c r="P233" s="380"/>
    </row>
    <row r="234" spans="1:16" s="141" customFormat="1">
      <c r="A234" s="32"/>
      <c r="B234" s="32"/>
      <c r="C234" s="32"/>
      <c r="D234" s="32"/>
      <c r="E234" s="32"/>
      <c r="F234" s="32"/>
      <c r="G234" s="32"/>
      <c r="H234" s="32"/>
      <c r="I234" s="32"/>
      <c r="J234" s="32"/>
    </row>
    <row r="235" spans="1:16" s="141" customFormat="1">
      <c r="A235" s="32"/>
      <c r="B235" s="32"/>
      <c r="C235" s="32"/>
      <c r="D235" s="32"/>
      <c r="E235" s="32"/>
      <c r="F235" s="32"/>
      <c r="G235" s="32"/>
      <c r="H235" s="32"/>
      <c r="I235" s="32"/>
      <c r="J235" s="32"/>
    </row>
    <row r="236" spans="1:16" s="141" customFormat="1">
      <c r="A236" s="32"/>
      <c r="B236" s="32"/>
      <c r="C236" s="32"/>
      <c r="D236" s="32"/>
      <c r="E236" s="32"/>
      <c r="F236" s="32"/>
      <c r="G236" s="32"/>
      <c r="H236" s="32"/>
      <c r="I236" s="32"/>
      <c r="J236" s="32"/>
    </row>
    <row r="237" spans="1:16" s="141" customFormat="1">
      <c r="A237" s="32"/>
      <c r="B237" s="32"/>
      <c r="C237" s="32"/>
      <c r="D237" s="32"/>
      <c r="E237" s="32"/>
      <c r="F237" s="32"/>
      <c r="G237" s="32"/>
      <c r="H237" s="32"/>
      <c r="I237" s="32"/>
      <c r="J237" s="32"/>
    </row>
    <row r="238" spans="1:16" s="141" customFormat="1">
      <c r="A238" s="32"/>
      <c r="B238" s="32"/>
      <c r="C238" s="32"/>
      <c r="D238" s="32"/>
      <c r="E238" s="32"/>
      <c r="F238" s="32"/>
      <c r="G238" s="32"/>
      <c r="H238" s="32"/>
      <c r="I238" s="32"/>
      <c r="J238" s="32"/>
    </row>
    <row r="239" spans="1:16" s="141" customFormat="1">
      <c r="A239" s="32"/>
      <c r="B239" s="32"/>
      <c r="C239" s="32"/>
      <c r="D239" s="32"/>
      <c r="E239" s="32"/>
      <c r="F239" s="32"/>
      <c r="G239" s="32"/>
      <c r="H239" s="32"/>
      <c r="I239" s="32"/>
      <c r="J239" s="32"/>
    </row>
    <row r="240" spans="1:16" s="141" customFormat="1">
      <c r="A240" s="32"/>
      <c r="B240" s="32"/>
      <c r="C240" s="32"/>
      <c r="D240" s="32"/>
      <c r="E240" s="32"/>
      <c r="F240" s="32"/>
      <c r="G240" s="32"/>
      <c r="H240" s="32"/>
      <c r="I240" s="32"/>
      <c r="J240" s="32"/>
    </row>
    <row r="241" spans="1:10" s="141" customFormat="1">
      <c r="A241" s="32"/>
      <c r="B241" s="32"/>
      <c r="C241" s="32"/>
      <c r="D241" s="32"/>
      <c r="E241" s="32"/>
      <c r="F241" s="32"/>
      <c r="G241" s="32"/>
      <c r="H241" s="32"/>
      <c r="I241" s="32"/>
      <c r="J241" s="32"/>
    </row>
    <row r="242" spans="1:10" s="141" customFormat="1">
      <c r="A242" s="32"/>
      <c r="B242" s="32"/>
      <c r="C242" s="32"/>
      <c r="D242" s="32"/>
      <c r="E242" s="32"/>
      <c r="F242" s="32"/>
      <c r="G242" s="32"/>
      <c r="H242" s="32"/>
      <c r="I242" s="32"/>
      <c r="J242" s="32"/>
    </row>
    <row r="243" spans="1:10" s="141" customFormat="1">
      <c r="A243" s="32"/>
      <c r="B243" s="32"/>
      <c r="C243" s="32"/>
      <c r="D243" s="32"/>
      <c r="E243" s="32"/>
      <c r="F243" s="32"/>
      <c r="G243" s="32"/>
      <c r="H243" s="32"/>
      <c r="I243" s="32"/>
      <c r="J243" s="32"/>
    </row>
    <row r="244" spans="1:10" s="141" customFormat="1">
      <c r="A244" s="32"/>
      <c r="B244" s="32"/>
      <c r="C244" s="32"/>
      <c r="D244" s="32"/>
      <c r="E244" s="32"/>
      <c r="F244" s="32"/>
      <c r="G244" s="32"/>
      <c r="H244" s="32"/>
      <c r="I244" s="32"/>
      <c r="J244" s="32"/>
    </row>
    <row r="245" spans="1:10" s="141" customFormat="1">
      <c r="A245" s="32"/>
      <c r="B245" s="32"/>
      <c r="C245" s="32"/>
      <c r="D245" s="32"/>
      <c r="E245" s="32"/>
      <c r="F245" s="32"/>
      <c r="G245" s="32"/>
      <c r="H245" s="32"/>
      <c r="I245" s="32"/>
      <c r="J245" s="32"/>
    </row>
    <row r="246" spans="1:10" s="141" customFormat="1">
      <c r="A246" s="32"/>
      <c r="B246" s="32"/>
      <c r="C246" s="32"/>
      <c r="D246" s="32"/>
      <c r="E246" s="32"/>
      <c r="F246" s="32"/>
      <c r="G246" s="32"/>
      <c r="H246" s="32"/>
      <c r="I246" s="32"/>
      <c r="J246" s="32"/>
    </row>
    <row r="247" spans="1:10" s="141" customFormat="1">
      <c r="A247" s="32"/>
      <c r="B247" s="32"/>
      <c r="C247" s="32"/>
      <c r="D247" s="32"/>
      <c r="E247" s="32"/>
      <c r="F247" s="32"/>
      <c r="G247" s="32"/>
      <c r="H247" s="32"/>
      <c r="I247" s="32"/>
      <c r="J247" s="32"/>
    </row>
    <row r="248" spans="1:10" s="141" customFormat="1">
      <c r="A248" s="32"/>
      <c r="B248" s="32"/>
      <c r="C248" s="32"/>
      <c r="D248" s="32"/>
      <c r="E248" s="32"/>
      <c r="F248" s="32"/>
      <c r="G248" s="32"/>
      <c r="H248" s="32"/>
      <c r="I248" s="32"/>
      <c r="J248" s="32"/>
    </row>
    <row r="249" spans="1:10" s="141" customFormat="1">
      <c r="A249" s="32"/>
      <c r="B249" s="32"/>
      <c r="C249" s="32"/>
      <c r="D249" s="32"/>
      <c r="E249" s="32"/>
      <c r="F249" s="32"/>
      <c r="G249" s="32"/>
      <c r="H249" s="32"/>
      <c r="I249" s="32"/>
      <c r="J249" s="32"/>
    </row>
    <row r="250" spans="1:10" s="141" customFormat="1">
      <c r="A250" s="32"/>
      <c r="B250" s="32"/>
      <c r="C250" s="32"/>
      <c r="D250" s="32"/>
      <c r="E250" s="32"/>
      <c r="F250" s="32"/>
      <c r="G250" s="32"/>
      <c r="H250" s="32"/>
      <c r="I250" s="32"/>
      <c r="J250" s="32"/>
    </row>
    <row r="251" spans="1:10" s="141" customFormat="1">
      <c r="A251" s="32"/>
      <c r="B251" s="32"/>
      <c r="C251" s="32"/>
      <c r="D251" s="32"/>
      <c r="E251" s="32"/>
      <c r="F251" s="32"/>
      <c r="G251" s="32"/>
      <c r="H251" s="32"/>
      <c r="I251" s="32"/>
      <c r="J251" s="32"/>
    </row>
    <row r="252" spans="1:10" s="141" customFormat="1">
      <c r="A252" s="32"/>
      <c r="B252" s="32"/>
      <c r="C252" s="32"/>
      <c r="D252" s="32"/>
      <c r="E252" s="32"/>
      <c r="F252" s="32"/>
      <c r="G252" s="32"/>
      <c r="H252" s="32"/>
      <c r="I252" s="32"/>
      <c r="J252" s="32"/>
    </row>
    <row r="253" spans="1:10" s="141" customFormat="1">
      <c r="A253" s="32"/>
      <c r="B253" s="32"/>
      <c r="C253" s="32"/>
      <c r="D253" s="32"/>
      <c r="E253" s="32"/>
      <c r="F253" s="32"/>
      <c r="G253" s="32"/>
      <c r="H253" s="32"/>
      <c r="I253" s="32"/>
      <c r="J253" s="32"/>
    </row>
    <row r="254" spans="1:10" s="141" customFormat="1">
      <c r="A254" s="32"/>
      <c r="B254" s="32"/>
      <c r="C254" s="32"/>
      <c r="D254" s="32"/>
      <c r="E254" s="32"/>
      <c r="F254" s="32"/>
      <c r="G254" s="32"/>
      <c r="H254" s="32"/>
      <c r="I254" s="32"/>
      <c r="J254" s="32"/>
    </row>
    <row r="255" spans="1:10" s="141" customFormat="1">
      <c r="A255" s="32"/>
      <c r="B255" s="32"/>
      <c r="C255" s="32"/>
      <c r="D255" s="32"/>
      <c r="E255" s="32"/>
      <c r="F255" s="32"/>
      <c r="G255" s="32"/>
      <c r="H255" s="32"/>
      <c r="I255" s="32"/>
      <c r="J255" s="32"/>
    </row>
    <row r="256" spans="1:10" s="141" customFormat="1">
      <c r="A256" s="32"/>
      <c r="B256" s="32"/>
      <c r="C256" s="32"/>
      <c r="D256" s="32"/>
      <c r="E256" s="32"/>
      <c r="F256" s="32"/>
      <c r="G256" s="32"/>
      <c r="H256" s="32"/>
      <c r="I256" s="32"/>
      <c r="J256" s="32"/>
    </row>
    <row r="257" spans="1:16" s="141" customFormat="1">
      <c r="A257" s="32"/>
      <c r="B257" s="32"/>
      <c r="C257" s="32"/>
      <c r="D257" s="32"/>
      <c r="E257" s="32"/>
      <c r="F257" s="32"/>
      <c r="G257" s="32"/>
      <c r="H257" s="32"/>
      <c r="I257" s="32"/>
      <c r="J257" s="32"/>
    </row>
    <row r="258" spans="1:16" s="141" customFormat="1">
      <c r="A258" s="32"/>
      <c r="B258" s="32"/>
      <c r="C258" s="32"/>
      <c r="D258" s="32"/>
      <c r="E258" s="32"/>
      <c r="F258" s="32"/>
      <c r="G258" s="32"/>
      <c r="H258" s="32"/>
      <c r="I258" s="32"/>
      <c r="J258" s="32"/>
    </row>
    <row r="259" spans="1:16" s="141" customFormat="1">
      <c r="A259" s="32"/>
      <c r="B259" s="32"/>
      <c r="C259" s="32"/>
      <c r="D259" s="32"/>
      <c r="E259" s="32"/>
      <c r="F259" s="32"/>
      <c r="G259" s="32"/>
      <c r="H259" s="32"/>
      <c r="I259" s="32"/>
      <c r="J259" s="32"/>
    </row>
    <row r="260" spans="1:16" s="141" customFormat="1">
      <c r="A260" s="32"/>
      <c r="B260" s="32"/>
      <c r="C260" s="32"/>
      <c r="D260" s="32"/>
      <c r="E260" s="32"/>
      <c r="F260" s="32"/>
      <c r="G260" s="32"/>
      <c r="H260" s="32"/>
      <c r="I260" s="32"/>
      <c r="J260" s="32"/>
    </row>
    <row r="261" spans="1:16" s="141" customFormat="1">
      <c r="A261" s="32"/>
      <c r="B261" s="32"/>
      <c r="C261" s="32"/>
      <c r="D261" s="32"/>
      <c r="E261" s="32"/>
      <c r="F261" s="32"/>
      <c r="G261" s="32"/>
      <c r="H261" s="32"/>
      <c r="I261" s="32"/>
      <c r="J261" s="32"/>
    </row>
    <row r="262" spans="1:16" s="141" customFormat="1">
      <c r="A262" s="32"/>
      <c r="B262" s="32"/>
      <c r="C262" s="32"/>
      <c r="D262" s="32"/>
      <c r="E262" s="32"/>
      <c r="F262" s="32"/>
      <c r="G262" s="32"/>
      <c r="H262" s="32"/>
      <c r="I262" s="32"/>
      <c r="J262" s="32"/>
    </row>
    <row r="263" spans="1:16" s="141" customFormat="1">
      <c r="A263" s="32"/>
      <c r="B263" s="32"/>
      <c r="C263" s="32"/>
      <c r="D263" s="32"/>
      <c r="E263" s="32"/>
      <c r="F263" s="32"/>
      <c r="G263" s="32"/>
      <c r="H263" s="32"/>
      <c r="I263" s="32"/>
      <c r="J263" s="32"/>
    </row>
    <row r="264" spans="1:16" s="141" customFormat="1">
      <c r="A264" s="32"/>
      <c r="B264" s="32"/>
      <c r="C264" s="32"/>
      <c r="D264" s="32"/>
      <c r="E264" s="32"/>
      <c r="F264" s="32"/>
      <c r="G264" s="32"/>
      <c r="H264" s="32"/>
      <c r="I264" s="32"/>
      <c r="J264" s="32"/>
    </row>
    <row r="265" spans="1:16" s="141" customFormat="1">
      <c r="A265" s="32"/>
      <c r="B265" s="32"/>
      <c r="C265" s="32"/>
      <c r="D265" s="32"/>
      <c r="E265" s="32"/>
      <c r="F265" s="32"/>
      <c r="G265" s="32"/>
      <c r="H265" s="32"/>
      <c r="I265" s="32"/>
      <c r="J265" s="32"/>
    </row>
    <row r="266" spans="1:16" s="141" customFormat="1">
      <c r="A266" s="32"/>
      <c r="B266" s="32"/>
      <c r="C266" s="32"/>
      <c r="D266" s="32"/>
      <c r="E266" s="32"/>
      <c r="F266" s="32"/>
      <c r="G266" s="32"/>
      <c r="H266" s="32"/>
      <c r="I266" s="32"/>
      <c r="J266" s="32"/>
      <c r="K266" s="137"/>
      <c r="L266" s="137"/>
      <c r="M266" s="137"/>
      <c r="N266" s="137"/>
      <c r="O266" s="137"/>
      <c r="P266" s="137"/>
    </row>
    <row r="267" spans="1:16" s="141" customFormat="1">
      <c r="A267" s="32"/>
      <c r="B267" s="32"/>
      <c r="C267" s="32"/>
      <c r="D267" s="32"/>
      <c r="E267" s="32"/>
      <c r="F267" s="32"/>
      <c r="G267" s="32"/>
      <c r="H267" s="32"/>
      <c r="I267" s="32"/>
      <c r="J267" s="32"/>
      <c r="K267" s="137"/>
      <c r="L267" s="137"/>
      <c r="M267" s="137"/>
      <c r="N267" s="137"/>
      <c r="O267" s="137"/>
      <c r="P267" s="137"/>
    </row>
    <row r="268" spans="1:16">
      <c r="A268" s="32"/>
      <c r="B268" s="32"/>
      <c r="C268" s="32"/>
      <c r="D268" s="32"/>
      <c r="E268" s="32"/>
      <c r="F268" s="32"/>
      <c r="G268" s="32"/>
      <c r="H268" s="32"/>
      <c r="I268" s="32"/>
      <c r="J268" s="32"/>
    </row>
    <row r="269" spans="1:16">
      <c r="A269" s="32"/>
      <c r="B269" s="32"/>
      <c r="C269" s="32"/>
      <c r="D269" s="32"/>
      <c r="E269" s="32"/>
      <c r="F269" s="32"/>
      <c r="G269" s="32"/>
      <c r="H269" s="32"/>
      <c r="I269" s="32"/>
      <c r="J269" s="32"/>
    </row>
    <row r="270" spans="1:16">
      <c r="A270" s="32"/>
      <c r="B270" s="32"/>
      <c r="C270" s="32"/>
      <c r="D270" s="32"/>
      <c r="E270" s="32"/>
      <c r="F270" s="32"/>
      <c r="G270" s="32"/>
      <c r="H270" s="32"/>
      <c r="I270" s="32"/>
      <c r="J270" s="32"/>
    </row>
    <row r="271" spans="1:16">
      <c r="A271" s="32"/>
      <c r="B271" s="32"/>
      <c r="C271" s="32"/>
      <c r="D271" s="32"/>
      <c r="E271" s="32"/>
      <c r="F271" s="32"/>
      <c r="G271" s="32"/>
      <c r="H271" s="32"/>
      <c r="I271" s="32"/>
      <c r="J271" s="32"/>
    </row>
    <row r="272" spans="1:16">
      <c r="A272" s="32"/>
      <c r="B272" s="32"/>
      <c r="C272" s="32"/>
      <c r="D272" s="32"/>
      <c r="E272" s="32"/>
      <c r="F272" s="32"/>
      <c r="G272" s="32"/>
      <c r="H272" s="32"/>
      <c r="I272" s="32"/>
      <c r="J272" s="32"/>
    </row>
    <row r="273" spans="1:10">
      <c r="A273" s="32"/>
      <c r="B273" s="32"/>
      <c r="C273" s="32"/>
      <c r="D273" s="32"/>
      <c r="E273" s="32"/>
      <c r="F273" s="32"/>
      <c r="G273" s="32"/>
      <c r="H273" s="32"/>
      <c r="I273" s="32"/>
      <c r="J273" s="32"/>
    </row>
    <row r="274" spans="1:10">
      <c r="A274" s="32"/>
      <c r="B274" s="32"/>
      <c r="C274" s="32"/>
      <c r="D274" s="32"/>
      <c r="E274" s="32"/>
      <c r="F274" s="32"/>
      <c r="G274" s="32"/>
      <c r="H274" s="32"/>
      <c r="I274" s="32"/>
      <c r="J274" s="32"/>
    </row>
    <row r="275" spans="1:10">
      <c r="A275" s="32"/>
      <c r="B275" s="32"/>
      <c r="C275" s="32"/>
      <c r="D275" s="32"/>
      <c r="E275" s="32"/>
      <c r="F275" s="32"/>
      <c r="G275" s="32"/>
      <c r="H275" s="32"/>
      <c r="I275" s="32"/>
      <c r="J275" s="32"/>
    </row>
    <row r="276" spans="1:10">
      <c r="A276" s="32"/>
      <c r="B276" s="32"/>
      <c r="C276" s="32"/>
      <c r="D276" s="32"/>
      <c r="E276" s="32"/>
      <c r="F276" s="32"/>
      <c r="G276" s="32"/>
      <c r="H276" s="32"/>
      <c r="I276" s="32"/>
      <c r="J276" s="32"/>
    </row>
    <row r="277" spans="1:10">
      <c r="A277" s="32"/>
      <c r="B277" s="32"/>
      <c r="C277" s="32"/>
      <c r="D277" s="32"/>
      <c r="E277" s="32"/>
      <c r="F277" s="32"/>
      <c r="G277" s="32"/>
      <c r="H277" s="32"/>
      <c r="I277" s="32"/>
      <c r="J277" s="32"/>
    </row>
    <row r="278" spans="1:10">
      <c r="A278" s="32"/>
      <c r="B278" s="32"/>
      <c r="C278" s="32"/>
      <c r="D278" s="32"/>
      <c r="E278" s="32"/>
      <c r="F278" s="32"/>
      <c r="G278" s="32"/>
      <c r="H278" s="32"/>
      <c r="I278" s="32"/>
      <c r="J278" s="32"/>
    </row>
    <row r="279" spans="1:10">
      <c r="A279" s="32"/>
      <c r="B279" s="32"/>
      <c r="C279" s="32"/>
      <c r="D279" s="32"/>
      <c r="E279" s="32"/>
      <c r="F279" s="32"/>
      <c r="G279" s="32"/>
      <c r="H279" s="32"/>
      <c r="I279" s="32"/>
      <c r="J279" s="32"/>
    </row>
    <row r="280" spans="1:10">
      <c r="A280" s="32"/>
      <c r="B280" s="32"/>
      <c r="C280" s="32"/>
      <c r="D280" s="32"/>
      <c r="E280" s="32"/>
      <c r="F280" s="32"/>
      <c r="G280" s="32"/>
      <c r="H280" s="32"/>
      <c r="I280" s="32"/>
      <c r="J280" s="32"/>
    </row>
    <row r="281" spans="1:10">
      <c r="A281" s="32"/>
      <c r="B281" s="32"/>
      <c r="C281" s="32"/>
      <c r="D281" s="32"/>
      <c r="E281" s="32"/>
      <c r="F281" s="32"/>
      <c r="G281" s="32"/>
      <c r="H281" s="32"/>
      <c r="I281" s="32"/>
      <c r="J281" s="32"/>
    </row>
    <row r="282" spans="1:10">
      <c r="A282" s="32"/>
      <c r="B282" s="32"/>
      <c r="C282" s="32"/>
      <c r="D282" s="32"/>
      <c r="E282" s="32"/>
      <c r="F282" s="32"/>
      <c r="G282" s="32"/>
      <c r="H282" s="32"/>
      <c r="I282" s="32"/>
      <c r="J282" s="32"/>
    </row>
    <row r="283" spans="1:10">
      <c r="A283" s="32"/>
      <c r="B283" s="32"/>
      <c r="C283" s="32"/>
      <c r="D283" s="32"/>
      <c r="E283" s="32"/>
      <c r="F283" s="32"/>
      <c r="G283" s="32"/>
      <c r="H283" s="32"/>
      <c r="I283" s="32"/>
      <c r="J283" s="32"/>
    </row>
    <row r="284" spans="1:10">
      <c r="A284" s="32"/>
      <c r="B284" s="32"/>
      <c r="C284" s="32"/>
      <c r="D284" s="32"/>
      <c r="E284" s="32"/>
      <c r="F284" s="32"/>
      <c r="G284" s="32"/>
      <c r="H284" s="32"/>
      <c r="I284" s="32"/>
      <c r="J284" s="32"/>
    </row>
    <row r="285" spans="1:10">
      <c r="A285" s="32"/>
      <c r="B285" s="32"/>
      <c r="C285" s="32"/>
      <c r="D285" s="32"/>
      <c r="E285" s="32"/>
      <c r="F285" s="32"/>
      <c r="G285" s="32"/>
      <c r="H285" s="32"/>
      <c r="I285" s="32"/>
      <c r="J285" s="32"/>
    </row>
    <row r="286" spans="1:10">
      <c r="A286" s="32"/>
      <c r="B286" s="32"/>
      <c r="C286" s="32"/>
      <c r="D286" s="32"/>
      <c r="E286" s="32"/>
      <c r="F286" s="32"/>
      <c r="G286" s="32"/>
      <c r="H286" s="32"/>
      <c r="I286" s="32"/>
      <c r="J286" s="32"/>
    </row>
    <row r="287" spans="1:10">
      <c r="A287" s="32"/>
      <c r="B287" s="32"/>
      <c r="C287" s="32"/>
      <c r="D287" s="32"/>
      <c r="E287" s="32"/>
      <c r="F287" s="32"/>
      <c r="G287" s="32"/>
      <c r="H287" s="32"/>
      <c r="I287" s="32"/>
      <c r="J287" s="32"/>
    </row>
    <row r="288" spans="1:10">
      <c r="A288" s="32"/>
      <c r="B288" s="32"/>
      <c r="C288" s="32"/>
      <c r="D288" s="32"/>
      <c r="E288" s="32"/>
      <c r="F288" s="32"/>
      <c r="G288" s="32"/>
      <c r="H288" s="32"/>
      <c r="I288" s="32"/>
      <c r="J288" s="32"/>
    </row>
    <row r="289" spans="1:10">
      <c r="A289" s="32"/>
      <c r="B289" s="32"/>
      <c r="C289" s="32"/>
      <c r="D289" s="32"/>
      <c r="E289" s="32"/>
      <c r="F289" s="32"/>
      <c r="G289" s="32"/>
      <c r="H289" s="32"/>
      <c r="I289" s="32"/>
      <c r="J289" s="32"/>
    </row>
    <row r="290" spans="1:10">
      <c r="A290" s="32"/>
      <c r="B290" s="32"/>
      <c r="C290" s="32"/>
      <c r="D290" s="32"/>
      <c r="E290" s="32"/>
      <c r="F290" s="32"/>
      <c r="G290" s="32"/>
      <c r="H290" s="32"/>
      <c r="I290" s="32"/>
      <c r="J290" s="32"/>
    </row>
    <row r="291" spans="1:10">
      <c r="A291" s="32"/>
      <c r="B291" s="32"/>
      <c r="C291" s="32"/>
      <c r="D291" s="32"/>
      <c r="E291" s="32"/>
      <c r="F291" s="32"/>
      <c r="G291" s="32"/>
      <c r="H291" s="32"/>
      <c r="I291" s="32"/>
      <c r="J291" s="32"/>
    </row>
    <row r="292" spans="1:10">
      <c r="A292" s="32"/>
      <c r="B292" s="32"/>
      <c r="C292" s="32"/>
      <c r="D292" s="32"/>
      <c r="E292" s="32"/>
      <c r="F292" s="32"/>
      <c r="G292" s="32"/>
      <c r="H292" s="32"/>
      <c r="I292" s="32"/>
      <c r="J292" s="32"/>
    </row>
    <row r="293" spans="1:10">
      <c r="A293" s="32"/>
      <c r="B293" s="32"/>
      <c r="C293" s="32"/>
      <c r="D293" s="32"/>
      <c r="E293" s="32"/>
      <c r="F293" s="32"/>
      <c r="G293" s="32"/>
      <c r="H293" s="32"/>
      <c r="I293" s="32"/>
      <c r="J293" s="32"/>
    </row>
    <row r="294" spans="1:10">
      <c r="A294" s="32"/>
      <c r="B294" s="32"/>
      <c r="C294" s="32"/>
      <c r="D294" s="32"/>
      <c r="E294" s="32"/>
      <c r="F294" s="32"/>
      <c r="G294" s="32"/>
      <c r="H294" s="32"/>
      <c r="I294" s="32"/>
      <c r="J294" s="32"/>
    </row>
    <row r="295" spans="1:10">
      <c r="A295" s="32"/>
      <c r="B295" s="32"/>
      <c r="C295" s="32"/>
      <c r="D295" s="32"/>
      <c r="E295" s="32"/>
      <c r="F295" s="32"/>
      <c r="G295" s="32"/>
      <c r="H295" s="32"/>
      <c r="I295" s="32"/>
      <c r="J295" s="32"/>
    </row>
    <row r="296" spans="1:10">
      <c r="A296" s="32"/>
      <c r="B296" s="32"/>
      <c r="C296" s="32"/>
      <c r="D296" s="32"/>
      <c r="E296" s="32"/>
      <c r="F296" s="32"/>
      <c r="G296" s="32"/>
      <c r="H296" s="32"/>
      <c r="I296" s="32"/>
      <c r="J296" s="32"/>
    </row>
    <row r="297" spans="1:10">
      <c r="A297" s="32"/>
      <c r="B297" s="32"/>
      <c r="C297" s="32"/>
      <c r="D297" s="32"/>
      <c r="E297" s="32"/>
      <c r="F297" s="32"/>
      <c r="G297" s="32"/>
      <c r="H297" s="32"/>
      <c r="I297" s="32"/>
      <c r="J297" s="32"/>
    </row>
    <row r="298" spans="1:10">
      <c r="A298" s="32"/>
      <c r="B298" s="32"/>
      <c r="C298" s="32"/>
      <c r="D298" s="32"/>
      <c r="E298" s="32"/>
      <c r="F298" s="32"/>
      <c r="G298" s="32"/>
      <c r="H298" s="32"/>
      <c r="I298" s="32"/>
      <c r="J298" s="32"/>
    </row>
    <row r="299" spans="1:10">
      <c r="A299" s="32"/>
      <c r="B299" s="32"/>
      <c r="C299" s="32"/>
      <c r="D299" s="32"/>
      <c r="E299" s="32"/>
      <c r="F299" s="32"/>
      <c r="G299" s="32"/>
      <c r="H299" s="32"/>
      <c r="I299" s="32"/>
      <c r="J299" s="32"/>
    </row>
    <row r="300" spans="1:10">
      <c r="A300" s="32"/>
      <c r="B300" s="32"/>
      <c r="C300" s="32"/>
      <c r="D300" s="32"/>
      <c r="E300" s="32"/>
      <c r="F300" s="32"/>
      <c r="G300" s="32"/>
    </row>
    <row r="301" spans="1:10">
      <c r="A301" s="32"/>
      <c r="B301" s="32"/>
      <c r="C301" s="32"/>
      <c r="D301" s="32"/>
      <c r="E301" s="32"/>
      <c r="F301" s="32"/>
      <c r="G301" s="32"/>
    </row>
    <row r="302" spans="1:10">
      <c r="A302" s="32"/>
      <c r="B302" s="32"/>
      <c r="C302" s="32"/>
      <c r="D302" s="32"/>
      <c r="E302" s="32"/>
      <c r="F302" s="32"/>
      <c r="G302" s="32"/>
    </row>
    <row r="303" spans="1:10">
      <c r="A303" s="32"/>
      <c r="B303" s="32"/>
      <c r="C303" s="32"/>
      <c r="D303" s="32"/>
      <c r="E303" s="32"/>
      <c r="F303" s="32"/>
      <c r="G303" s="32"/>
    </row>
  </sheetData>
  <autoFilter ref="A113:G113" xr:uid="{00000000-0009-0000-0000-000016000000}"/>
  <mergeCells count="56">
    <mergeCell ref="G28:G29"/>
    <mergeCell ref="G25:G26"/>
    <mergeCell ref="G18:G20"/>
    <mergeCell ref="G22:G23"/>
    <mergeCell ref="B61:B62"/>
    <mergeCell ref="B58:B59"/>
    <mergeCell ref="B55:B56"/>
    <mergeCell ref="B52:B53"/>
    <mergeCell ref="B98:B99"/>
    <mergeCell ref="B101:B104"/>
    <mergeCell ref="A111:G111"/>
    <mergeCell ref="G73:G75"/>
    <mergeCell ref="H72:J72"/>
    <mergeCell ref="G80:G81"/>
    <mergeCell ref="G83:G84"/>
    <mergeCell ref="G77:G78"/>
    <mergeCell ref="G86:G87"/>
    <mergeCell ref="G89:G90"/>
    <mergeCell ref="H82:J82"/>
    <mergeCell ref="G95:G96"/>
    <mergeCell ref="G92:G93"/>
    <mergeCell ref="I89:I90"/>
    <mergeCell ref="H97:J97"/>
    <mergeCell ref="G98:G99"/>
    <mergeCell ref="B83:B84"/>
    <mergeCell ref="B86:B87"/>
    <mergeCell ref="B1:F1"/>
    <mergeCell ref="G4:G6"/>
    <mergeCell ref="G8:G10"/>
    <mergeCell ref="G15:G16"/>
    <mergeCell ref="G12:G13"/>
    <mergeCell ref="B12:B13"/>
    <mergeCell ref="B4:B6"/>
    <mergeCell ref="B8:B10"/>
    <mergeCell ref="B67:B68"/>
    <mergeCell ref="B22:B23"/>
    <mergeCell ref="B64:B65"/>
    <mergeCell ref="B18:B20"/>
    <mergeCell ref="B15:B16"/>
    <mergeCell ref="G31:G32"/>
    <mergeCell ref="B89:B90"/>
    <mergeCell ref="B92:B93"/>
    <mergeCell ref="B95:B96"/>
    <mergeCell ref="B25:B26"/>
    <mergeCell ref="B28:B29"/>
    <mergeCell ref="B73:B75"/>
    <mergeCell ref="B77:B78"/>
    <mergeCell ref="B80:B81"/>
    <mergeCell ref="B31:B32"/>
    <mergeCell ref="B70:B71"/>
    <mergeCell ref="B46:B47"/>
    <mergeCell ref="B43:B44"/>
    <mergeCell ref="B40:B41"/>
    <mergeCell ref="B37:B38"/>
    <mergeCell ref="B34:B35"/>
    <mergeCell ref="B49:B50"/>
  </mergeCells>
  <conditionalFormatting sqref="E2">
    <cfRule type="cellIs" dxfId="483" priority="13" operator="notBetween">
      <formula>10</formula>
      <formula>-10</formula>
    </cfRule>
  </conditionalFormatting>
  <conditionalFormatting sqref="F2">
    <cfRule type="cellIs" dxfId="482" priority="11" operator="notBetween">
      <formula>10</formula>
      <formula>-10</formula>
    </cfRule>
  </conditionalFormatting>
  <conditionalFormatting sqref="C89">
    <cfRule type="duplicateValues" dxfId="481" priority="9" stopIfTrue="1"/>
    <cfRule type="duplicateValues" dxfId="480" priority="10" stopIfTrue="1"/>
  </conditionalFormatting>
  <conditionalFormatting sqref="C92">
    <cfRule type="duplicateValues" dxfId="479" priority="7" stopIfTrue="1"/>
    <cfRule type="duplicateValues" dxfId="478" priority="8" stopIfTrue="1"/>
  </conditionalFormatting>
  <conditionalFormatting sqref="C93">
    <cfRule type="duplicateValues" dxfId="477" priority="1" stopIfTrue="1"/>
    <cfRule type="duplicateValues" dxfId="476" priority="2" stopIfTrue="1"/>
  </conditionalFormatting>
  <conditionalFormatting sqref="C101:C103">
    <cfRule type="duplicateValues" dxfId="475" priority="22292" stopIfTrue="1"/>
    <cfRule type="duplicateValues" dxfId="474" priority="22293" stopIfTrue="1"/>
  </conditionalFormatting>
  <pageMargins left="0.74803149606299202" right="0.74803149606299202" top="0.98425196850393704" bottom="0.98425196850393704" header="0.511811023622047" footer="0.511811023622047"/>
  <pageSetup paperSize="9" scale="24" fitToHeight="100" orientation="portrait" r:id="rId1"/>
  <headerFooter alignWithMargins="0"/>
  <rowBreaks count="1" manualBreakCount="1">
    <brk id="238" max="14" man="1"/>
  </rowBreaks>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9C2F-79EE-4BC4-A679-F1260E2F6260}">
  <sheetPr codeName="Sheet22">
    <tabColor rgb="FF92D050"/>
  </sheetPr>
  <dimension ref="A1:BY47"/>
  <sheetViews>
    <sheetView workbookViewId="0">
      <selection activeCell="C19" sqref="C19"/>
    </sheetView>
  </sheetViews>
  <sheetFormatPr defaultColWidth="9.33203125" defaultRowHeight="12.75"/>
  <cols>
    <col min="1" max="1" width="24.83203125" style="32" customWidth="1"/>
    <col min="2" max="2" width="36.5" style="253" bestFit="1" customWidth="1"/>
    <col min="3" max="3" width="17" style="32" customWidth="1"/>
    <col min="4" max="4" width="19.83203125" style="32" customWidth="1"/>
    <col min="5" max="5" width="16.1640625" style="32" customWidth="1"/>
    <col min="6" max="6" width="6.6640625" style="32" customWidth="1"/>
    <col min="7" max="7" width="6.5" style="32" customWidth="1"/>
    <col min="8" max="8" width="9.33203125" style="32"/>
    <col min="9" max="9" width="13.6640625" style="480" bestFit="1" customWidth="1"/>
    <col min="10" max="10" width="20.5" style="32" bestFit="1" customWidth="1"/>
    <col min="11" max="11" width="15.1640625" style="32" bestFit="1" customWidth="1"/>
    <col min="12" max="12" width="9.33203125" style="32"/>
    <col min="13" max="13" width="30.5" style="32" bestFit="1" customWidth="1"/>
    <col min="14" max="14" width="14.33203125" style="32" bestFit="1" customWidth="1"/>
    <col min="15" max="15" width="15" style="32" bestFit="1" customWidth="1"/>
    <col min="16" max="16" width="16.1640625" style="32" bestFit="1" customWidth="1"/>
    <col min="17" max="18" width="9.33203125" style="32"/>
    <col min="19" max="20" width="10.6640625" style="32" bestFit="1" customWidth="1"/>
    <col min="21" max="22" width="9.33203125" style="32"/>
    <col min="23" max="23" width="16.1640625" style="32" bestFit="1" customWidth="1"/>
    <col min="24" max="24" width="9.33203125" style="32"/>
    <col min="25" max="25" width="16.1640625" style="32" bestFit="1" customWidth="1"/>
    <col min="26" max="26" width="15" style="32" bestFit="1" customWidth="1"/>
    <col min="27" max="28" width="9.5" style="32" bestFit="1" customWidth="1"/>
    <col min="29" max="29" width="14.33203125" style="32" bestFit="1" customWidth="1"/>
    <col min="30" max="30" width="15" style="32" bestFit="1" customWidth="1"/>
    <col min="31" max="31" width="14.33203125" style="32" bestFit="1" customWidth="1"/>
    <col min="32" max="32" width="15" style="32" bestFit="1" customWidth="1"/>
    <col min="33" max="33" width="12.33203125" style="32" bestFit="1" customWidth="1"/>
    <col min="34" max="34" width="9.5" style="32" bestFit="1" customWidth="1"/>
    <col min="35" max="48" width="9.33203125" style="32"/>
    <col min="49" max="49" width="9.5" style="32" bestFit="1" customWidth="1"/>
    <col min="50" max="66" width="9.33203125" style="32"/>
    <col min="67" max="68" width="9.5" style="32" bestFit="1" customWidth="1"/>
    <col min="69" max="71" width="9.33203125" style="32"/>
    <col min="72" max="72" width="11.83203125" style="32" bestFit="1" customWidth="1"/>
    <col min="73" max="16384" width="9.33203125" style="32"/>
  </cols>
  <sheetData>
    <row r="1" spans="2:77">
      <c r="B1" s="1354" t="s">
        <v>1410</v>
      </c>
      <c r="C1" s="1355">
        <v>2.5000000000000001E-2</v>
      </c>
      <c r="I1" s="3522" t="str">
        <f>"חשבון"</f>
        <v>חשבון</v>
      </c>
      <c r="J1" s="515" t="str">
        <f>"מספרו במערכת קודמת"</f>
        <v>מספרו במערכת קודמת</v>
      </c>
      <c r="K1" s="515" t="str">
        <f>"תקציב ראשי"</f>
        <v>תקציב ראשי</v>
      </c>
      <c r="L1" s="515" t="str">
        <f>"שם חברה מלא"</f>
        <v>שם חברה מלא</v>
      </c>
      <c r="M1" s="515" t="str">
        <f>"מבוטל ?"</f>
        <v>מבוטל ?</v>
      </c>
      <c r="N1" s="515" t="str">
        <f>"סגירה עד תאריך"</f>
        <v>סגירה עד תאריך</v>
      </c>
      <c r="O1" s="515" t="str">
        <f>"תאור חשבון"</f>
        <v>תאור חשבון</v>
      </c>
      <c r="P1" s="515" t="str">
        <f>"תאור חשבון (אנגלית)"</f>
        <v>תאור חשבון (אנגלית)</v>
      </c>
      <c r="Q1" s="515" t="str">
        <f>"סעיף למאזן בוחן"</f>
        <v>סעיף למאזן בוחן</v>
      </c>
      <c r="R1" s="515" t="str">
        <f>"כותרת למאזן בוחן"</f>
        <v>כותרת למאזן בוחן</v>
      </c>
      <c r="S1" s="515" t="str">
        <f>"תוצאתי?"</f>
        <v>תוצאתי?</v>
      </c>
      <c r="T1" s="515" t="str">
        <f>"סעיף מאזן/רווח והפסד"</f>
        <v>סעיף מאזן/רווח והפסד</v>
      </c>
      <c r="U1" s="515" t="str">
        <f>"כותרת מאזן/רווח והפ."</f>
        <v>כותרת מאזן/רווח והפ.</v>
      </c>
      <c r="V1" s="515" t="str">
        <f>"שיוך למאזן/רווח והפ."</f>
        <v>שיוך למאזן/רווח והפ.</v>
      </c>
      <c r="W1" s="515" t="str">
        <f>"יתרה במטבע חשבון"</f>
        <v>יתרה במטבע חשבון</v>
      </c>
      <c r="X1" s="515" t="str">
        <f>"מטבע החשבון"</f>
        <v>מטבע החשבון</v>
      </c>
      <c r="Y1" s="515" t="str">
        <f>"יתרה בדולר אוסטרלי"</f>
        <v>יתרה בדולר אוסטרלי</v>
      </c>
      <c r="Z1" s="515" t="str">
        <f>"יתרה בדולרים"</f>
        <v>יתרה בדולרים</v>
      </c>
      <c r="AA1" s="515" t="str">
        <f>"חתך"</f>
        <v>חתך</v>
      </c>
      <c r="AB1" s="515" t="str">
        <f>"תאור חתך"</f>
        <v>תאור חתך</v>
      </c>
      <c r="AC1" s="515" t="str">
        <f>"סעיף בדו""ח מס"</f>
        <v>סעיף בדו"ח מס</v>
      </c>
      <c r="AD1" s="515" t="str">
        <f>"סניף"</f>
        <v>סניף</v>
      </c>
      <c r="AE1" s="515" t="str">
        <f>"תאור הסניף"</f>
        <v>תאור הסניף</v>
      </c>
      <c r="AF1" s="515" t="str">
        <f>"קוד תזרים"</f>
        <v>קוד תזרים</v>
      </c>
      <c r="AG1" s="515" t="str">
        <f>"רב מטבעי"</f>
        <v>רב מטבעי</v>
      </c>
      <c r="AH1" s="515" t="str">
        <f>"לחייב מילוי תקציב?"</f>
        <v>לחייב מילוי תקציב?</v>
      </c>
      <c r="AI1" s="515" t="str">
        <f>"תוכנת מקור"</f>
        <v>תוכנת מקור</v>
      </c>
      <c r="AJ1" s="515" t="str">
        <f>"הכנסות/הוצאות מראש?"</f>
        <v>הכנסות/הוצאות מראש?</v>
      </c>
      <c r="AK1" s="515" t="str">
        <f>"חש' יעד ברירת מחדל"</f>
        <v>חש' יעד ברירת מחדל</v>
      </c>
      <c r="AL1" s="515" t="str">
        <f>"קוד חש' בנק לתזרים"</f>
        <v>קוד חש' בנק לתזרים</v>
      </c>
      <c r="AM1" s="515" t="str">
        <f>"תת חברה"</f>
        <v>תת חברה</v>
      </c>
      <c r="AN1" s="515" t="str">
        <f>"שם תת חברה"</f>
        <v>שם תת חברה</v>
      </c>
      <c r="AO1" s="515" t="str">
        <f>"חשבון בחברה ראשית"</f>
        <v>חשבון בחברה ראשית</v>
      </c>
      <c r="AP1" s="515" t="str">
        <f>"תאור חשבון"</f>
        <v>תאור חשבון</v>
      </c>
      <c r="AQ1" s="515" t="str">
        <f>"מספר חברה/זהות"</f>
        <v>מספר חברה/זהות</v>
      </c>
      <c r="AR1" s="515" t="str">
        <f>"מרכז רווח/עלות"</f>
        <v>מרכז רווח/עלות</v>
      </c>
      <c r="AS1" s="515" t="str">
        <f>"תאור מרכז רווח/עלות"</f>
        <v>תאור מרכז רווח/עלות</v>
      </c>
      <c r="AT1" s="515" t="str">
        <f>"מרכז רווח/עלות 2"</f>
        <v>מרכז רווח/עלות 2</v>
      </c>
      <c r="AU1" s="515" t="str">
        <f>"תאור מרכז רווח/עלות2"</f>
        <v>תאור מרכז רווח/עלות2</v>
      </c>
      <c r="AV1" s="515" t="str">
        <f>"מרכז רווח/עלות 3"</f>
        <v>מרכז רווח/עלות 3</v>
      </c>
      <c r="AW1" s="515" t="str">
        <f>"תאור מרכז רווח/עלות3"</f>
        <v>תאור מרכז רווח/עלות3</v>
      </c>
      <c r="AX1" s="515" t="str">
        <f>"מרכז רווח/עלות 4"</f>
        <v>מרכז רווח/עלות 4</v>
      </c>
      <c r="AY1" s="515" t="str">
        <f>"תאור מרכז רווח/עלות4"</f>
        <v>תאור מרכז רווח/עלות4</v>
      </c>
      <c r="AZ1" s="515" t="str">
        <f>"מרכז רווח/עלות 5"</f>
        <v>מרכז רווח/עלות 5</v>
      </c>
      <c r="BA1" s="515" t="str">
        <f>"תאור מרכז רווח/עלות5"</f>
        <v>תאור מרכז רווח/עלות5</v>
      </c>
      <c r="BB1" s="515" t="str">
        <f>"עץ מרכזי רווח/עלות"</f>
        <v>עץ מרכזי רווח/עלות</v>
      </c>
      <c r="BC1" s="515" t="str">
        <f>"תאור עץ מרכזי רווח"</f>
        <v>תאור עץ מרכזי רווח</v>
      </c>
      <c r="BD1" s="515" t="str">
        <f>"חשבון חסוי?"</f>
        <v>חשבון חסוי?</v>
      </c>
      <c r="BE1" s="515" t="str">
        <f>"סעיף בטופס 6111"</f>
        <v>סעיף בטופס 6111</v>
      </c>
      <c r="BF1" s="515" t="str">
        <f>"הכנת תשלומים לחשבון?"</f>
        <v>הכנת תשלומים לחשבון?</v>
      </c>
      <c r="BG1" s="515" t="str">
        <f>"מניעת תנועות ידניות?"</f>
        <v>מניעת תנועות ידניות?</v>
      </c>
      <c r="BH1" s="515" t="str">
        <f>"מנע רישום המ. דחויות"</f>
        <v>מנע רישום המ. דחויות</v>
      </c>
      <c r="BI1" s="515" t="str">
        <f>"קוד מע""מ"</f>
        <v>קוד מע"מ</v>
      </c>
      <c r="BJ1" s="515" t="str">
        <f>"תאור מע""מ"</f>
        <v>תאור מע"מ</v>
      </c>
      <c r="BK1" s="515" t="str">
        <f>"קוד קבוצת מס"</f>
        <v>קוד קבוצת מס</v>
      </c>
      <c r="BL1" s="515" t="str">
        <f>"קבוצת מס"</f>
        <v>קבוצת מס</v>
      </c>
      <c r="BM1" s="515" t="str">
        <f>"קוד סוג הוצאה"</f>
        <v>קוד סוג הוצאה</v>
      </c>
      <c r="BN1" s="515" t="str">
        <f>"תאור סוג הוצאה"</f>
        <v>תאור סוג הוצאה</v>
      </c>
      <c r="BO1" s="515" t="str">
        <f>"% מוכר כהוצאה-איטליה"</f>
        <v>% מוכר כהוצאה-איטליה</v>
      </c>
      <c r="BP1" s="515" t="str">
        <f>"% מוכר כהוצאה-EU"</f>
        <v>% מוכר כהוצאה-EU</v>
      </c>
      <c r="BQ1" s="515" t="str">
        <f>"קוד קיבוץ SAT"</f>
        <v>קוד קיבוץ SAT</v>
      </c>
      <c r="BR1" s="515" t="str">
        <f>"תאור קיבוץ SAT"</f>
        <v>תאור קיבוץ SAT</v>
      </c>
      <c r="BS1" s="515" t="str">
        <f>"אופי החשבון (מקסיקו)"</f>
        <v>אופי החשבון (מקסיקו)</v>
      </c>
      <c r="BT1" s="515" t="str">
        <f>"תאריך פתיחה"</f>
        <v>תאריך פתיחה</v>
      </c>
      <c r="BU1" s="515" t="str">
        <f>"להחריג מד.מע""מ-אנגל."</f>
        <v>להחריג מד.מע"מ-אנגל.</v>
      </c>
      <c r="BV1" s="515" t="str">
        <f>"תבנית לחשבון ראשי"</f>
        <v>תבנית לחשבון ראשי</v>
      </c>
      <c r="BW1" s="515" t="str">
        <f>"קוד טקסונומיה"</f>
        <v>קוד טקסונומיה</v>
      </c>
      <c r="BX1" s="515" t="str">
        <f>"תאור טקסונומיה"</f>
        <v>תאור טקסונומיה</v>
      </c>
      <c r="BY1" s="515" t="str">
        <f>"חשבון COGS בלבד?"</f>
        <v>חשבון COGS בלבד?</v>
      </c>
    </row>
    <row r="2" spans="2:77" ht="13.5" thickBot="1">
      <c r="I2" s="3522" t="str">
        <f>"1130005"</f>
        <v>1130005</v>
      </c>
      <c r="J2" s="515"/>
      <c r="K2" s="515"/>
      <c r="L2" s="515" t="str">
        <f>"Algosec Australia pty"</f>
        <v>Algosec Australia pty</v>
      </c>
      <c r="M2" s="515"/>
      <c r="N2" s="515"/>
      <c r="O2" s="515" t="str">
        <f>"אלגוסק ישראל"</f>
        <v>אלגוסק ישראל</v>
      </c>
      <c r="P2" s="515" t="str">
        <f>"Algosec Ltd Israel"</f>
        <v>Algosec Ltd Israel</v>
      </c>
      <c r="Q2" s="515" t="str">
        <f>"113"</f>
        <v>113</v>
      </c>
      <c r="R2" s="515" t="str">
        <f>"צדדים קשורים"</f>
        <v>צדדים קשורים</v>
      </c>
      <c r="S2" s="515" t="str">
        <f>"N"</f>
        <v>N</v>
      </c>
      <c r="T2" s="515" t="str">
        <f>"צדדים קשורים חייבים"</f>
        <v>צדדים קשורים חייבים</v>
      </c>
      <c r="U2" s="515" t="str">
        <f>"רכוש שוטף"</f>
        <v>רכוש שוטף</v>
      </c>
      <c r="V2" s="515" t="str">
        <f>"נכסים"</f>
        <v>נכסים</v>
      </c>
      <c r="W2" s="515">
        <v>-11039960.99</v>
      </c>
      <c r="X2" s="515" t="str">
        <f>"AUD"</f>
        <v>AUD</v>
      </c>
      <c r="Y2" s="515">
        <v>-11039960.99</v>
      </c>
      <c r="Z2" s="515">
        <v>-8363939.6200000001</v>
      </c>
      <c r="AA2" s="515"/>
      <c r="AB2" s="515"/>
      <c r="AC2" s="515"/>
      <c r="AD2" s="515"/>
      <c r="AE2" s="515"/>
      <c r="AF2" s="515" t="str">
        <f>"330"</f>
        <v>330</v>
      </c>
      <c r="AG2" s="515"/>
      <c r="AH2" s="515"/>
      <c r="AI2" s="515"/>
      <c r="AJ2" s="515"/>
      <c r="AK2" s="515"/>
      <c r="AL2" s="515"/>
      <c r="AM2" s="515" t="str">
        <f>"000"</f>
        <v>000</v>
      </c>
      <c r="AN2" s="515" t="str">
        <f>"חברה ראשית"</f>
        <v>חברה ראשית</v>
      </c>
      <c r="AO2" s="515"/>
      <c r="AP2" s="515"/>
      <c r="AQ2" s="515"/>
      <c r="AR2" s="515"/>
      <c r="AS2" s="515"/>
      <c r="AT2" s="515"/>
      <c r="AU2" s="515"/>
      <c r="AV2" s="515"/>
      <c r="AW2" s="515"/>
      <c r="AX2" s="515"/>
      <c r="AY2" s="515"/>
      <c r="AZ2" s="515"/>
      <c r="BA2" s="515"/>
      <c r="BB2" s="515"/>
      <c r="BC2" s="515"/>
      <c r="BD2" s="515"/>
      <c r="BE2" s="515"/>
      <c r="BF2" s="515"/>
      <c r="BG2" s="515"/>
      <c r="BH2" s="515"/>
      <c r="BI2" s="515"/>
      <c r="BJ2" s="515"/>
      <c r="BK2" s="515"/>
      <c r="BL2" s="515"/>
      <c r="BM2" s="515"/>
      <c r="BN2" s="515"/>
      <c r="BO2" s="515">
        <v>0</v>
      </c>
      <c r="BP2" s="515">
        <v>0</v>
      </c>
      <c r="BQ2" s="515"/>
      <c r="BR2" s="515"/>
      <c r="BS2" s="515"/>
      <c r="BT2" s="3516">
        <v>43018</v>
      </c>
      <c r="BU2" s="515"/>
      <c r="BV2" s="515"/>
      <c r="BW2" s="515"/>
      <c r="BX2" s="515"/>
      <c r="BY2" s="515"/>
    </row>
    <row r="3" spans="2:77">
      <c r="B3" s="1356"/>
      <c r="C3" s="2135" t="s">
        <v>294</v>
      </c>
      <c r="D3" s="2135" t="s">
        <v>794</v>
      </c>
      <c r="E3" s="734"/>
      <c r="I3" s="3522" t="str">
        <f>"ת. למאזן"</f>
        <v>ת. למאזן</v>
      </c>
      <c r="J3" s="515" t="str">
        <f>"מס. תנועת היומן"</f>
        <v>מס. תנועת היומן</v>
      </c>
      <c r="K3" s="515" t="str">
        <f>"אסמכתא"</f>
        <v>אסמכתא</v>
      </c>
      <c r="L3" s="515" t="str">
        <f>"סוג תנועה"</f>
        <v>סוג תנועה</v>
      </c>
      <c r="M3" s="515" t="str">
        <f>"פרטים"</f>
        <v>פרטים</v>
      </c>
      <c r="N3" s="515" t="str">
        <f>"חובה"</f>
        <v>חובה</v>
      </c>
      <c r="O3" s="515" t="str">
        <f>"זכות"</f>
        <v>זכות</v>
      </c>
      <c r="P3" s="515" t="str">
        <f>"יתרה"</f>
        <v>יתרה</v>
      </c>
      <c r="Q3" s="515" t="str">
        <f>"מטבע החשבון"</f>
        <v>מטבע החשבון</v>
      </c>
      <c r="R3" s="515" t="str">
        <f>"אסמכתא 2"</f>
        <v>אסמכתא 2</v>
      </c>
      <c r="S3" s="515" t="str">
        <f>"ת. ערך"</f>
        <v>ת. ערך</v>
      </c>
      <c r="T3" s="515" t="str">
        <f>"ת. אסמכתא"</f>
        <v>ת. אסמכתא</v>
      </c>
      <c r="U3" s="515" t="str">
        <f>"חשבון נגדי"</f>
        <v>חשבון נגדי</v>
      </c>
      <c r="V3" s="515" t="str">
        <f>"תאור חשבון נגדי"</f>
        <v>תאור חשבון נגדי</v>
      </c>
      <c r="W3" s="515" t="str">
        <f>"מנה"</f>
        <v>מנה</v>
      </c>
      <c r="X3" s="515" t="str">
        <f>"אסמכתא 1 שורת ת""י"</f>
        <v>אסמכתא 1 שורת ת"י</v>
      </c>
      <c r="Y3" s="515" t="str">
        <f>"אסמכתא 2 שורת ת""י"</f>
        <v>אסמכתא 2 שורת ת"י</v>
      </c>
      <c r="Z3" s="515" t="str">
        <f>"קוד תזרים"</f>
        <v>קוד תזרים</v>
      </c>
      <c r="AA3" s="515" t="str">
        <f>"התאמה בנק/אשראי"</f>
        <v>התאמה בנק/אשראי</v>
      </c>
      <c r="AB3" s="515" t="str">
        <f>"מס. התאמה פנימית"</f>
        <v>מס. התאמה פנימית</v>
      </c>
      <c r="AC3" s="515" t="str">
        <f>"חובה בדולר אוסטרלי"</f>
        <v>חובה בדולר אוסטרלי</v>
      </c>
      <c r="AD3" s="515" t="str">
        <f>"זכות בדולר אוסטרלי"</f>
        <v>זכות בדולר אוסטרלי</v>
      </c>
      <c r="AE3" s="515" t="str">
        <f>"חובה בדולרים"</f>
        <v>חובה בדולרים</v>
      </c>
      <c r="AF3" s="515" t="str">
        <f>"זכות בדולרים"</f>
        <v>זכות בדולרים</v>
      </c>
      <c r="AG3" s="515" t="str">
        <f>"חובה במט""ח עסקה"</f>
        <v>חובה במט"ח עסקה</v>
      </c>
      <c r="AH3" s="515" t="str">
        <f>"זכות במט""ח עסקה"</f>
        <v>זכות במט"ח עסקה</v>
      </c>
      <c r="AI3" s="515" t="str">
        <f>"מט""ח עסקה"</f>
        <v>מט"ח עסקה</v>
      </c>
      <c r="AJ3" s="515" t="str">
        <f>"קוד מיון שורת פ""י"</f>
        <v>קוד מיון שורת פ"י</v>
      </c>
      <c r="AK3" s="515" t="str">
        <f>"מרכז רווח/עלות"</f>
        <v>מרכז רווח/עלות</v>
      </c>
      <c r="AL3" s="515" t="str">
        <f>"תאור מרכז רווח/עלות"</f>
        <v>תאור מרכז רווח/עלות</v>
      </c>
      <c r="AM3" s="515" t="str">
        <f>"מרכז רווח/עלות 2"</f>
        <v>מרכז רווח/עלות 2</v>
      </c>
      <c r="AN3" s="515" t="str">
        <f>"תאור מרכז רווח/עלות2"</f>
        <v>תאור מרכז רווח/עלות2</v>
      </c>
      <c r="AO3" s="515" t="str">
        <f>"מרכז רווח/עלות 3"</f>
        <v>מרכז רווח/עלות 3</v>
      </c>
      <c r="AP3" s="515" t="str">
        <f>"תאור מרכז רווח/עלות3"</f>
        <v>תאור מרכז רווח/עלות3</v>
      </c>
      <c r="AQ3" s="515" t="str">
        <f>"מרכז רווח/עלות 4"</f>
        <v>מרכז רווח/עלות 4</v>
      </c>
      <c r="AR3" s="515" t="str">
        <f>"תאור מרכז רווח/עלות4"</f>
        <v>תאור מרכז רווח/עלות4</v>
      </c>
      <c r="AS3" s="515" t="str">
        <f>"מרכז רווח/עלות 5"</f>
        <v>מרכז רווח/עלות 5</v>
      </c>
      <c r="AT3" s="515" t="str">
        <f>"תאור מרכז רווח/עלות5"</f>
        <v>תאור מרכז רווח/עלות5</v>
      </c>
      <c r="AU3" s="515" t="str">
        <f>"סעיף תקציבי"</f>
        <v>סעיף תקציבי</v>
      </c>
      <c r="AV3" s="515" t="str">
        <f>"תאור סעיף תקציבי"</f>
        <v>תאור סעיף תקציבי</v>
      </c>
      <c r="AW3" s="515" t="str">
        <f>"כמות"</f>
        <v>כמות</v>
      </c>
      <c r="AX3" s="515"/>
      <c r="AY3" s="515"/>
      <c r="AZ3" s="515"/>
      <c r="BA3" s="515"/>
      <c r="BB3" s="515"/>
      <c r="BC3" s="515"/>
      <c r="BD3" s="515"/>
      <c r="BE3" s="515"/>
      <c r="BF3" s="515"/>
      <c r="BG3" s="515"/>
      <c r="BH3" s="515"/>
      <c r="BI3" s="515"/>
      <c r="BJ3" s="515"/>
      <c r="BK3" s="515"/>
      <c r="BL3" s="515"/>
      <c r="BM3" s="515"/>
      <c r="BN3" s="515"/>
      <c r="BO3" s="515"/>
      <c r="BP3" s="515"/>
      <c r="BQ3" s="515"/>
      <c r="BR3" s="515"/>
      <c r="BS3" s="515"/>
      <c r="BT3" s="515"/>
      <c r="BU3" s="515"/>
      <c r="BV3" s="515"/>
      <c r="BW3" s="515"/>
      <c r="BX3" s="515"/>
      <c r="BY3" s="515"/>
    </row>
    <row r="4" spans="2:77">
      <c r="B4" s="1357"/>
      <c r="C4" s="33"/>
      <c r="D4" s="33"/>
      <c r="E4" s="720"/>
      <c r="I4" s="3522" t="s">
        <v>4403</v>
      </c>
      <c r="J4" s="515" t="str">
        <f>"21000218"</f>
        <v>21000218</v>
      </c>
      <c r="K4" s="515"/>
      <c r="L4" s="515" t="str">
        <f>"הש"</f>
        <v>הש</v>
      </c>
      <c r="M4" s="515" t="str">
        <f>"Exchange Rate Adjustment"</f>
        <v>Exchange Rate Adjustment</v>
      </c>
      <c r="N4" s="515">
        <v>0</v>
      </c>
      <c r="O4" s="515">
        <v>0</v>
      </c>
      <c r="P4" s="515">
        <v>-4081036.4</v>
      </c>
      <c r="Q4" s="515" t="str">
        <f t="shared" ref="Q4:Q47" si="0">"AUD"</f>
        <v>AUD</v>
      </c>
      <c r="R4" s="515"/>
      <c r="S4" s="515" t="s">
        <v>4403</v>
      </c>
      <c r="T4" s="515" t="s">
        <v>4403</v>
      </c>
      <c r="U4" s="515" t="str">
        <f>"9010002"</f>
        <v>9010002</v>
      </c>
      <c r="V4" s="515" t="str">
        <f>"הפרשי שער"</f>
        <v>הפרשי שער</v>
      </c>
      <c r="W4" s="515"/>
      <c r="X4" s="515"/>
      <c r="Y4" s="515"/>
      <c r="Z4" s="515"/>
      <c r="AA4" s="515">
        <v>-1</v>
      </c>
      <c r="AB4" s="515">
        <v>-1</v>
      </c>
      <c r="AC4" s="515">
        <v>0</v>
      </c>
      <c r="AD4" s="515">
        <v>0</v>
      </c>
      <c r="AE4" s="515">
        <v>25420.959999999999</v>
      </c>
      <c r="AF4" s="515">
        <v>0</v>
      </c>
      <c r="AG4" s="515">
        <v>0</v>
      </c>
      <c r="AH4" s="515">
        <v>0</v>
      </c>
      <c r="AI4" s="515"/>
      <c r="AJ4" s="515"/>
      <c r="AK4" s="515"/>
      <c r="AL4" s="515"/>
      <c r="AM4" s="515"/>
      <c r="AN4" s="515"/>
      <c r="AO4" s="515"/>
      <c r="AP4" s="515"/>
      <c r="AQ4" s="515"/>
      <c r="AR4" s="515"/>
      <c r="AS4" s="515"/>
      <c r="AT4" s="515"/>
      <c r="AU4" s="515"/>
      <c r="AV4" s="515"/>
      <c r="AW4" s="515">
        <v>0</v>
      </c>
      <c r="AX4" s="515"/>
      <c r="AY4" s="515"/>
      <c r="AZ4" s="515"/>
      <c r="BA4" s="515"/>
      <c r="BB4" s="515"/>
      <c r="BC4" s="515"/>
      <c r="BD4" s="515"/>
      <c r="BE4" s="515"/>
      <c r="BF4" s="515"/>
      <c r="BG4" s="515"/>
      <c r="BH4" s="515"/>
      <c r="BI4" s="515"/>
      <c r="BJ4" s="515"/>
      <c r="BK4" s="515"/>
      <c r="BL4" s="515"/>
      <c r="BM4" s="515"/>
      <c r="BN4" s="515"/>
      <c r="BO4" s="515"/>
      <c r="BP4" s="515"/>
      <c r="BQ4" s="515"/>
      <c r="BR4" s="515"/>
      <c r="BS4" s="515"/>
      <c r="BT4" s="515"/>
      <c r="BU4" s="515"/>
      <c r="BV4" s="515"/>
      <c r="BW4" s="515"/>
      <c r="BX4" s="515"/>
      <c r="BY4" s="515"/>
    </row>
    <row r="5" spans="2:77">
      <c r="B5" s="1373" t="s">
        <v>3212</v>
      </c>
      <c r="C5" s="3610">
        <f>SUM([143]ALL!$B$3)</f>
        <v>6844547.0799999991</v>
      </c>
      <c r="D5" s="3610">
        <f>SUM([143]ALL!$C$3)</f>
        <v>9099311.4199999999</v>
      </c>
      <c r="E5" s="720">
        <f>D5/C5</f>
        <v>1.3294249149937911</v>
      </c>
      <c r="I5" s="3522" t="s">
        <v>4403</v>
      </c>
      <c r="J5" s="515" t="str">
        <f>"21000315"</f>
        <v>21000315</v>
      </c>
      <c r="K5" s="515"/>
      <c r="L5" s="515" t="str">
        <f>"פ"</f>
        <v>פ</v>
      </c>
      <c r="M5" s="515" t="str">
        <f>"1/21 amazon gift"</f>
        <v>1/21 amazon gift</v>
      </c>
      <c r="N5" s="515">
        <v>0</v>
      </c>
      <c r="O5" s="515">
        <v>1060.0899999999999</v>
      </c>
      <c r="P5" s="515">
        <v>-4082096.49</v>
      </c>
      <c r="Q5" s="515" t="str">
        <f t="shared" si="0"/>
        <v>AUD</v>
      </c>
      <c r="R5" s="515"/>
      <c r="S5" s="515" t="s">
        <v>4403</v>
      </c>
      <c r="T5" s="515" t="s">
        <v>4403</v>
      </c>
      <c r="U5" s="515" t="str">
        <f>"7020039"</f>
        <v>7020039</v>
      </c>
      <c r="V5" s="515" t="str">
        <f>"הוצאות שיווק ופרסום AUS"</f>
        <v>הוצאות שיווק ופרסום AUS</v>
      </c>
      <c r="W5" s="515"/>
      <c r="X5" s="515"/>
      <c r="Y5" s="515"/>
      <c r="Z5" s="515"/>
      <c r="AA5" s="515">
        <v>0</v>
      </c>
      <c r="AB5" s="515">
        <v>0</v>
      </c>
      <c r="AC5" s="515">
        <v>0</v>
      </c>
      <c r="AD5" s="515">
        <v>1060.0899999999999</v>
      </c>
      <c r="AE5" s="515">
        <v>0</v>
      </c>
      <c r="AF5" s="515">
        <v>810.48</v>
      </c>
      <c r="AG5" s="515">
        <v>0</v>
      </c>
      <c r="AH5" s="515">
        <v>0</v>
      </c>
      <c r="AI5" s="515"/>
      <c r="AJ5" s="515"/>
      <c r="AK5" s="515"/>
      <c r="AL5" s="515"/>
      <c r="AM5" s="515"/>
      <c r="AN5" s="515"/>
      <c r="AO5" s="515"/>
      <c r="AP5" s="515"/>
      <c r="AQ5" s="515"/>
      <c r="AR5" s="515"/>
      <c r="AS5" s="515"/>
      <c r="AT5" s="515"/>
      <c r="AU5" s="515"/>
      <c r="AV5" s="515"/>
      <c r="AW5" s="515">
        <v>0</v>
      </c>
      <c r="AX5" s="515"/>
      <c r="AY5" s="515"/>
      <c r="AZ5" s="515"/>
      <c r="BA5" s="515"/>
      <c r="BB5" s="515"/>
      <c r="BC5" s="515"/>
      <c r="BD5" s="515"/>
      <c r="BE5" s="515"/>
      <c r="BF5" s="515"/>
      <c r="BG5" s="515"/>
      <c r="BH5" s="515"/>
      <c r="BI5" s="515"/>
      <c r="BJ5" s="515"/>
      <c r="BK5" s="515"/>
      <c r="BL5" s="515"/>
      <c r="BM5" s="515"/>
      <c r="BN5" s="515"/>
      <c r="BO5" s="515"/>
      <c r="BP5" s="515"/>
      <c r="BQ5" s="515"/>
      <c r="BR5" s="515"/>
      <c r="BS5" s="515"/>
      <c r="BT5" s="515"/>
      <c r="BU5" s="515"/>
      <c r="BV5" s="515"/>
      <c r="BW5" s="515"/>
      <c r="BX5" s="515"/>
      <c r="BY5" s="515"/>
    </row>
    <row r="6" spans="2:77">
      <c r="B6" s="650"/>
      <c r="C6" s="33">
        <f>SUM(C4:C5)</f>
        <v>6844547.0799999991</v>
      </c>
      <c r="D6" s="33">
        <f>SUM(D4:D5)</f>
        <v>9099311.4199999999</v>
      </c>
      <c r="E6" s="720"/>
      <c r="I6" s="3522" t="s">
        <v>4403</v>
      </c>
      <c r="J6" s="515" t="str">
        <f>"21000384"</f>
        <v>21000384</v>
      </c>
      <c r="K6" s="515"/>
      <c r="L6" s="515" t="str">
        <f>"הש"</f>
        <v>הש</v>
      </c>
      <c r="M6" s="515" t="str">
        <f>"Exchange Rate Adjustment"</f>
        <v>Exchange Rate Adjustment</v>
      </c>
      <c r="N6" s="515">
        <v>0</v>
      </c>
      <c r="O6" s="515">
        <v>0</v>
      </c>
      <c r="P6" s="515">
        <v>-4082096.49</v>
      </c>
      <c r="Q6" s="515" t="str">
        <f t="shared" si="0"/>
        <v>AUD</v>
      </c>
      <c r="R6" s="515"/>
      <c r="S6" s="515" t="s">
        <v>4403</v>
      </c>
      <c r="T6" s="515" t="s">
        <v>4403</v>
      </c>
      <c r="U6" s="515" t="str">
        <f>"9010002"</f>
        <v>9010002</v>
      </c>
      <c r="V6" s="515" t="str">
        <f>"הפרשי שער"</f>
        <v>הפרשי שער</v>
      </c>
      <c r="W6" s="515"/>
      <c r="X6" s="515"/>
      <c r="Y6" s="515"/>
      <c r="Z6" s="515"/>
      <c r="AA6" s="515">
        <v>-1</v>
      </c>
      <c r="AB6" s="515">
        <v>-1</v>
      </c>
      <c r="AC6" s="515">
        <v>0</v>
      </c>
      <c r="AD6" s="515">
        <v>0</v>
      </c>
      <c r="AE6" s="515">
        <v>6827.9</v>
      </c>
      <c r="AF6" s="515">
        <v>0</v>
      </c>
      <c r="AG6" s="515">
        <v>0</v>
      </c>
      <c r="AH6" s="515">
        <v>0</v>
      </c>
      <c r="AI6" s="515"/>
      <c r="AJ6" s="515"/>
      <c r="AK6" s="515"/>
      <c r="AL6" s="515"/>
      <c r="AM6" s="515"/>
      <c r="AN6" s="515"/>
      <c r="AO6" s="515"/>
      <c r="AP6" s="515"/>
      <c r="AQ6" s="515"/>
      <c r="AR6" s="515"/>
      <c r="AS6" s="515"/>
      <c r="AT6" s="515"/>
      <c r="AU6" s="515"/>
      <c r="AV6" s="515"/>
      <c r="AW6" s="515">
        <v>0</v>
      </c>
      <c r="AX6" s="515"/>
      <c r="AY6" s="515"/>
      <c r="AZ6" s="515"/>
      <c r="BA6" s="515"/>
      <c r="BB6" s="515"/>
      <c r="BC6" s="515"/>
      <c r="BD6" s="515"/>
      <c r="BE6" s="515"/>
      <c r="BF6" s="515"/>
      <c r="BG6" s="515"/>
      <c r="BH6" s="515"/>
      <c r="BI6" s="515"/>
      <c r="BJ6" s="515"/>
      <c r="BK6" s="515"/>
      <c r="BL6" s="515"/>
      <c r="BM6" s="515"/>
      <c r="BN6" s="515"/>
      <c r="BO6" s="515"/>
      <c r="BP6" s="515"/>
      <c r="BQ6" s="515"/>
      <c r="BR6" s="515"/>
      <c r="BS6" s="515"/>
      <c r="BT6" s="515"/>
      <c r="BU6" s="515"/>
      <c r="BV6" s="515"/>
      <c r="BW6" s="515"/>
      <c r="BX6" s="515"/>
      <c r="BY6" s="515"/>
    </row>
    <row r="7" spans="2:77">
      <c r="B7" s="650"/>
      <c r="E7" s="530"/>
      <c r="I7" s="3522" t="s">
        <v>4404</v>
      </c>
      <c r="J7" s="515" t="str">
        <f>"21000496"</f>
        <v>21000496</v>
      </c>
      <c r="K7" s="515"/>
      <c r="L7" s="515" t="str">
        <f>"הש"</f>
        <v>הש</v>
      </c>
      <c r="M7" s="515" t="str">
        <f>"Exchange Rate Adjustment"</f>
        <v>Exchange Rate Adjustment</v>
      </c>
      <c r="N7" s="515">
        <v>0</v>
      </c>
      <c r="O7" s="515">
        <v>0</v>
      </c>
      <c r="P7" s="515">
        <v>-4082096.49</v>
      </c>
      <c r="Q7" s="515" t="str">
        <f t="shared" si="0"/>
        <v>AUD</v>
      </c>
      <c r="R7" s="515"/>
      <c r="S7" s="515" t="s">
        <v>4404</v>
      </c>
      <c r="T7" s="515" t="s">
        <v>4404</v>
      </c>
      <c r="U7" s="515" t="str">
        <f>"9010002"</f>
        <v>9010002</v>
      </c>
      <c r="V7" s="515" t="str">
        <f>"הפרשי שער"</f>
        <v>הפרשי שער</v>
      </c>
      <c r="W7" s="515"/>
      <c r="X7" s="515"/>
      <c r="Y7" s="515"/>
      <c r="Z7" s="515"/>
      <c r="AA7" s="515">
        <v>-1</v>
      </c>
      <c r="AB7" s="515">
        <v>-1</v>
      </c>
      <c r="AC7" s="515">
        <v>0</v>
      </c>
      <c r="AD7" s="515">
        <v>0</v>
      </c>
      <c r="AE7" s="515">
        <v>0</v>
      </c>
      <c r="AF7" s="515">
        <v>138280.94</v>
      </c>
      <c r="AG7" s="515">
        <v>0</v>
      </c>
      <c r="AH7" s="515">
        <v>0</v>
      </c>
      <c r="AI7" s="515"/>
      <c r="AJ7" s="515"/>
      <c r="AK7" s="515"/>
      <c r="AL7" s="515"/>
      <c r="AM7" s="515"/>
      <c r="AN7" s="515"/>
      <c r="AO7" s="515"/>
      <c r="AP7" s="515"/>
      <c r="AQ7" s="515"/>
      <c r="AR7" s="515"/>
      <c r="AS7" s="515"/>
      <c r="AT7" s="515"/>
      <c r="AU7" s="515"/>
      <c r="AV7" s="515"/>
      <c r="AW7" s="515">
        <v>0</v>
      </c>
      <c r="AX7" s="515"/>
      <c r="AY7" s="515"/>
      <c r="AZ7" s="515"/>
      <c r="BA7" s="515"/>
      <c r="BB7" s="515"/>
      <c r="BC7" s="515"/>
      <c r="BD7" s="515"/>
      <c r="BE7" s="515"/>
      <c r="BF7" s="515"/>
      <c r="BG7" s="515"/>
      <c r="BH7" s="515"/>
      <c r="BI7" s="515"/>
      <c r="BJ7" s="515"/>
      <c r="BK7" s="515"/>
      <c r="BL7" s="515"/>
      <c r="BM7" s="515"/>
      <c r="BN7" s="515"/>
      <c r="BO7" s="515"/>
      <c r="BP7" s="515"/>
      <c r="BQ7" s="515"/>
      <c r="BR7" s="515"/>
      <c r="BS7" s="515"/>
      <c r="BT7" s="515"/>
      <c r="BU7" s="515"/>
      <c r="BV7" s="515"/>
      <c r="BW7" s="515"/>
      <c r="BX7" s="515"/>
      <c r="BY7" s="515"/>
    </row>
    <row r="8" spans="2:77" ht="13.5" thickBot="1">
      <c r="B8" s="650"/>
      <c r="E8" s="530"/>
      <c r="I8" s="3522" t="s">
        <v>4405</v>
      </c>
      <c r="J8" s="515" t="str">
        <f>"21000522"</f>
        <v>21000522</v>
      </c>
      <c r="K8" s="515" t="str">
        <f>"IL218000042"</f>
        <v>IL218000042</v>
      </c>
      <c r="L8" s="515" t="str">
        <f>"פ"</f>
        <v>פ</v>
      </c>
      <c r="M8" s="515"/>
      <c r="N8" s="515">
        <v>0</v>
      </c>
      <c r="O8" s="515">
        <v>864070.04</v>
      </c>
      <c r="P8" s="515">
        <v>-4946166.53</v>
      </c>
      <c r="Q8" s="515" t="str">
        <f t="shared" si="0"/>
        <v>AUD</v>
      </c>
      <c r="R8" s="515"/>
      <c r="S8" s="515" t="s">
        <v>4405</v>
      </c>
      <c r="T8" s="515" t="s">
        <v>4405</v>
      </c>
      <c r="U8" s="515" t="str">
        <f>"5900001"</f>
        <v>5900001</v>
      </c>
      <c r="V8" s="515" t="str">
        <f>"עלות המכר"</f>
        <v>עלות המכר</v>
      </c>
      <c r="W8" s="515"/>
      <c r="X8" s="515"/>
      <c r="Y8" s="515"/>
      <c r="Z8" s="515"/>
      <c r="AA8" s="515">
        <v>0</v>
      </c>
      <c r="AB8" s="515">
        <v>0</v>
      </c>
      <c r="AC8" s="515">
        <v>0</v>
      </c>
      <c r="AD8" s="515">
        <v>864070.04</v>
      </c>
      <c r="AE8" s="515">
        <v>0</v>
      </c>
      <c r="AF8" s="515">
        <v>669190.78</v>
      </c>
      <c r="AG8" s="515">
        <v>0</v>
      </c>
      <c r="AH8" s="515">
        <v>0</v>
      </c>
      <c r="AI8" s="515"/>
      <c r="AJ8" s="515"/>
      <c r="AK8" s="515"/>
      <c r="AL8" s="515"/>
      <c r="AM8" s="515"/>
      <c r="AN8" s="515"/>
      <c r="AO8" s="515"/>
      <c r="AP8" s="515"/>
      <c r="AQ8" s="515"/>
      <c r="AR8" s="515"/>
      <c r="AS8" s="515"/>
      <c r="AT8" s="515"/>
      <c r="AU8" s="515"/>
      <c r="AV8" s="515"/>
      <c r="AW8" s="515">
        <v>0</v>
      </c>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row>
    <row r="9" spans="2:77" ht="13.5" thickBot="1">
      <c r="B9" s="650" t="s">
        <v>2071</v>
      </c>
      <c r="C9" s="1361">
        <f>-C6*(1-$B$13)</f>
        <v>-6673433.402999999</v>
      </c>
      <c r="D9" s="1361">
        <f>-D6*(1-$B$13)</f>
        <v>-8871828.6345000006</v>
      </c>
      <c r="E9" s="720">
        <f>D9/C9</f>
        <v>1.3294249149937913</v>
      </c>
      <c r="I9" s="3522" t="s">
        <v>4405</v>
      </c>
      <c r="J9" s="515" t="str">
        <f>"21000523"</f>
        <v>21000523</v>
      </c>
      <c r="K9" s="515"/>
      <c r="L9" s="515" t="str">
        <f>"הש"</f>
        <v>הש</v>
      </c>
      <c r="M9" s="515" t="str">
        <f>"ביטול ל 20002350"</f>
        <v>ביטול ל 20002350</v>
      </c>
      <c r="N9" s="515">
        <v>0</v>
      </c>
      <c r="O9" s="515">
        <v>-864070.04</v>
      </c>
      <c r="P9" s="515">
        <v>-4082096.49</v>
      </c>
      <c r="Q9" s="515" t="str">
        <f t="shared" si="0"/>
        <v>AUD</v>
      </c>
      <c r="R9" s="515"/>
      <c r="S9" s="515" t="s">
        <v>4406</v>
      </c>
      <c r="T9" s="515" t="s">
        <v>4405</v>
      </c>
      <c r="U9" s="515" t="str">
        <f>"5900001"</f>
        <v>5900001</v>
      </c>
      <c r="V9" s="515" t="str">
        <f>"עלות המכר"</f>
        <v>עלות המכר</v>
      </c>
      <c r="W9" s="515"/>
      <c r="X9" s="515"/>
      <c r="Y9" s="515"/>
      <c r="Z9" s="515"/>
      <c r="AA9" s="515">
        <v>18</v>
      </c>
      <c r="AB9" s="515">
        <v>18</v>
      </c>
      <c r="AC9" s="515">
        <v>0</v>
      </c>
      <c r="AD9" s="515">
        <v>-864070.04</v>
      </c>
      <c r="AE9" s="515">
        <v>0</v>
      </c>
      <c r="AF9" s="515">
        <v>-667443.71</v>
      </c>
      <c r="AG9" s="515">
        <v>0</v>
      </c>
      <c r="AH9" s="515">
        <v>0</v>
      </c>
      <c r="AI9" s="515"/>
      <c r="AJ9" s="515"/>
      <c r="AK9" s="515"/>
      <c r="AL9" s="515"/>
      <c r="AM9" s="515"/>
      <c r="AN9" s="515"/>
      <c r="AO9" s="515"/>
      <c r="AP9" s="515"/>
      <c r="AQ9" s="515"/>
      <c r="AR9" s="515"/>
      <c r="AS9" s="515"/>
      <c r="AT9" s="515"/>
      <c r="AU9" s="515"/>
      <c r="AV9" s="515"/>
      <c r="AW9" s="515">
        <v>0</v>
      </c>
      <c r="AX9" s="515"/>
      <c r="AY9" s="515"/>
      <c r="AZ9" s="515"/>
      <c r="BA9" s="515"/>
      <c r="BB9" s="515"/>
      <c r="BC9" s="515"/>
      <c r="BD9" s="515"/>
      <c r="BE9" s="515"/>
      <c r="BF9" s="515"/>
      <c r="BG9" s="515"/>
      <c r="BH9" s="515"/>
      <c r="BI9" s="515"/>
      <c r="BJ9" s="515"/>
      <c r="BK9" s="515"/>
      <c r="BL9" s="515"/>
      <c r="BM9" s="515"/>
      <c r="BN9" s="515"/>
      <c r="BO9" s="515"/>
      <c r="BP9" s="515"/>
      <c r="BQ9" s="515"/>
      <c r="BR9" s="515"/>
      <c r="BS9" s="515"/>
      <c r="BT9" s="515"/>
      <c r="BU9" s="515"/>
      <c r="BV9" s="515"/>
      <c r="BW9" s="515"/>
      <c r="BX9" s="515"/>
      <c r="BY9" s="515"/>
    </row>
    <row r="10" spans="2:77">
      <c r="B10" s="650"/>
      <c r="E10" s="530"/>
      <c r="I10" s="3522" t="s">
        <v>4407</v>
      </c>
      <c r="J10" s="515" t="str">
        <f>"21000628"</f>
        <v>21000628</v>
      </c>
      <c r="K10" s="515"/>
      <c r="L10" s="515" t="str">
        <f>"פ"</f>
        <v>פ</v>
      </c>
      <c r="M10" s="515" t="str">
        <f>"3/21 amazon gift"</f>
        <v>3/21 amazon gift</v>
      </c>
      <c r="N10" s="515">
        <v>0</v>
      </c>
      <c r="O10" s="515">
        <v>94.02</v>
      </c>
      <c r="P10" s="515">
        <v>-4082190.51</v>
      </c>
      <c r="Q10" s="515" t="str">
        <f t="shared" si="0"/>
        <v>AUD</v>
      </c>
      <c r="R10" s="515"/>
      <c r="S10" s="515" t="s">
        <v>4407</v>
      </c>
      <c r="T10" s="515" t="s">
        <v>4407</v>
      </c>
      <c r="U10" s="515" t="str">
        <f>"7020039"</f>
        <v>7020039</v>
      </c>
      <c r="V10" s="515" t="str">
        <f>"הוצאות שיווק ופרסום AUS"</f>
        <v>הוצאות שיווק ופרסום AUS</v>
      </c>
      <c r="W10" s="515"/>
      <c r="X10" s="515"/>
      <c r="Y10" s="515"/>
      <c r="Z10" s="515"/>
      <c r="AA10" s="515">
        <v>0</v>
      </c>
      <c r="AB10" s="515">
        <v>0</v>
      </c>
      <c r="AC10" s="515">
        <v>0</v>
      </c>
      <c r="AD10" s="515">
        <v>94.02</v>
      </c>
      <c r="AE10" s="515">
        <v>0</v>
      </c>
      <c r="AF10" s="515">
        <v>71.58</v>
      </c>
      <c r="AG10" s="515">
        <v>0</v>
      </c>
      <c r="AH10" s="515">
        <v>0</v>
      </c>
      <c r="AI10" s="515"/>
      <c r="AJ10" s="515"/>
      <c r="AK10" s="515"/>
      <c r="AL10" s="515"/>
      <c r="AM10" s="515"/>
      <c r="AN10" s="515"/>
      <c r="AO10" s="515"/>
      <c r="AP10" s="515"/>
      <c r="AQ10" s="515"/>
      <c r="AR10" s="515"/>
      <c r="AS10" s="515"/>
      <c r="AT10" s="515"/>
      <c r="AU10" s="515"/>
      <c r="AV10" s="515"/>
      <c r="AW10" s="515">
        <v>0</v>
      </c>
      <c r="AX10" s="515"/>
      <c r="AY10" s="515"/>
      <c r="AZ10" s="515"/>
      <c r="BA10" s="515"/>
      <c r="BB10" s="515"/>
      <c r="BC10" s="515"/>
      <c r="BD10" s="515"/>
      <c r="BE10" s="515"/>
      <c r="BF10" s="515"/>
      <c r="BG10" s="515"/>
      <c r="BH10" s="515"/>
      <c r="BI10" s="515"/>
      <c r="BJ10" s="515"/>
      <c r="BK10" s="515"/>
      <c r="BL10" s="515"/>
      <c r="BM10" s="515"/>
      <c r="BN10" s="515"/>
      <c r="BO10" s="515"/>
      <c r="BP10" s="515"/>
      <c r="BQ10" s="515"/>
      <c r="BR10" s="515"/>
      <c r="BS10" s="515"/>
      <c r="BT10" s="515"/>
      <c r="BU10" s="515"/>
      <c r="BV10" s="515"/>
      <c r="BW10" s="515"/>
      <c r="BX10" s="515"/>
      <c r="BY10" s="515"/>
    </row>
    <row r="11" spans="2:77">
      <c r="B11" s="650"/>
      <c r="E11" s="530"/>
      <c r="I11" s="3522" t="s">
        <v>4407</v>
      </c>
      <c r="J11" s="515" t="str">
        <f>"21000629"</f>
        <v>21000629</v>
      </c>
      <c r="K11" s="515" t="str">
        <f>"Harry Lewins"</f>
        <v>Harry Lewins</v>
      </c>
      <c r="L11" s="515" t="str">
        <f>"פ"</f>
        <v>פ</v>
      </c>
      <c r="M11" s="515" t="str">
        <f>"AMAZON AU תחנת עגינה"</f>
        <v>AMAZON AU תחנת עגינה</v>
      </c>
      <c r="N11" s="515">
        <v>0</v>
      </c>
      <c r="O11" s="515">
        <v>294.12</v>
      </c>
      <c r="P11" s="515">
        <v>-4082484.63</v>
      </c>
      <c r="Q11" s="515" t="str">
        <f t="shared" si="0"/>
        <v>AUD</v>
      </c>
      <c r="R11" s="515"/>
      <c r="S11" s="515" t="s">
        <v>4407</v>
      </c>
      <c r="T11" s="515" t="s">
        <v>4407</v>
      </c>
      <c r="U11" s="515" t="str">
        <f>"1400001"</f>
        <v>1400001</v>
      </c>
      <c r="V11" s="515" t="str">
        <f>"מחשבים ותוכנות"</f>
        <v>מחשבים ותוכנות</v>
      </c>
      <c r="W11" s="515"/>
      <c r="X11" s="515"/>
      <c r="Y11" s="515"/>
      <c r="Z11" s="515"/>
      <c r="AA11" s="515">
        <v>0</v>
      </c>
      <c r="AB11" s="515">
        <v>0</v>
      </c>
      <c r="AC11" s="515">
        <v>0</v>
      </c>
      <c r="AD11" s="515">
        <v>294.12</v>
      </c>
      <c r="AE11" s="515">
        <v>0</v>
      </c>
      <c r="AF11" s="515">
        <v>223.92</v>
      </c>
      <c r="AG11" s="515">
        <v>0</v>
      </c>
      <c r="AH11" s="515">
        <v>0</v>
      </c>
      <c r="AI11" s="515"/>
      <c r="AJ11" s="515"/>
      <c r="AK11" s="515"/>
      <c r="AL11" s="515"/>
      <c r="AM11" s="515"/>
      <c r="AN11" s="515"/>
      <c r="AO11" s="515"/>
      <c r="AP11" s="515"/>
      <c r="AQ11" s="515"/>
      <c r="AR11" s="515"/>
      <c r="AS11" s="515"/>
      <c r="AT11" s="515"/>
      <c r="AU11" s="515"/>
      <c r="AV11" s="515"/>
      <c r="AW11" s="515">
        <v>0</v>
      </c>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515"/>
      <c r="BW11" s="515"/>
      <c r="BX11" s="515"/>
      <c r="BY11" s="515"/>
    </row>
    <row r="12" spans="2:77">
      <c r="B12" s="1358"/>
      <c r="C12" s="994"/>
      <c r="D12" s="994"/>
      <c r="E12" s="530"/>
      <c r="I12" s="3522" t="s">
        <v>4407</v>
      </c>
      <c r="J12" s="515" t="str">
        <f>"21000662"</f>
        <v>21000662</v>
      </c>
      <c r="K12" s="515"/>
      <c r="L12" s="515" t="str">
        <f>"הש"</f>
        <v>הש</v>
      </c>
      <c r="M12" s="515" t="str">
        <f>"Exchange Rate Adjustment"</f>
        <v>Exchange Rate Adjustment</v>
      </c>
      <c r="N12" s="515">
        <v>0</v>
      </c>
      <c r="O12" s="515">
        <v>0</v>
      </c>
      <c r="P12" s="515">
        <v>-4082484.63</v>
      </c>
      <c r="Q12" s="515" t="str">
        <f t="shared" si="0"/>
        <v>AUD</v>
      </c>
      <c r="R12" s="515"/>
      <c r="S12" s="515" t="s">
        <v>4407</v>
      </c>
      <c r="T12" s="515" t="s">
        <v>4407</v>
      </c>
      <c r="U12" s="515" t="str">
        <f>"9010002"</f>
        <v>9010002</v>
      </c>
      <c r="V12" s="515" t="str">
        <f>"הפרשי שער"</f>
        <v>הפרשי שער</v>
      </c>
      <c r="W12" s="515"/>
      <c r="X12" s="515"/>
      <c r="Y12" s="515"/>
      <c r="Z12" s="515"/>
      <c r="AA12" s="515">
        <v>-1</v>
      </c>
      <c r="AB12" s="515">
        <v>-1</v>
      </c>
      <c r="AC12" s="515">
        <v>0</v>
      </c>
      <c r="AD12" s="515">
        <v>0</v>
      </c>
      <c r="AE12" s="515">
        <v>153098.56</v>
      </c>
      <c r="AF12" s="515">
        <v>0</v>
      </c>
      <c r="AG12" s="515">
        <v>0</v>
      </c>
      <c r="AH12" s="515">
        <v>0</v>
      </c>
      <c r="AI12" s="515"/>
      <c r="AJ12" s="515"/>
      <c r="AK12" s="515"/>
      <c r="AL12" s="515"/>
      <c r="AM12" s="515"/>
      <c r="AN12" s="515"/>
      <c r="AO12" s="515"/>
      <c r="AP12" s="515"/>
      <c r="AQ12" s="515"/>
      <c r="AR12" s="515"/>
      <c r="AS12" s="515"/>
      <c r="AT12" s="515"/>
      <c r="AU12" s="515"/>
      <c r="AV12" s="515"/>
      <c r="AW12" s="515">
        <v>0</v>
      </c>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515"/>
      <c r="BW12" s="515"/>
      <c r="BX12" s="515"/>
      <c r="BY12" s="515"/>
    </row>
    <row r="13" spans="2:77">
      <c r="B13" s="1359">
        <f>C1</f>
        <v>2.5000000000000001E-2</v>
      </c>
      <c r="C13" s="33">
        <f>SUM(C6)*$C$1</f>
        <v>171113.677</v>
      </c>
      <c r="D13" s="33">
        <f>SUM(D6)*$C$1</f>
        <v>227482.7855</v>
      </c>
      <c r="E13" s="1362">
        <f>D13/C13</f>
        <v>1.3294249149937909</v>
      </c>
      <c r="I13" s="3522" t="s">
        <v>4407</v>
      </c>
      <c r="J13" s="515" t="str">
        <f>"21000757"</f>
        <v>21000757</v>
      </c>
      <c r="K13" s="515"/>
      <c r="L13" s="515" t="str">
        <f>"הש"</f>
        <v>הש</v>
      </c>
      <c r="M13" s="515" t="str">
        <f>"TP CHARGE based on colle"</f>
        <v>TP CHARGE based on colle</v>
      </c>
      <c r="N13" s="515">
        <v>0</v>
      </c>
      <c r="O13" s="515">
        <v>4049314.72</v>
      </c>
      <c r="P13" s="515">
        <v>-8131799.3499999996</v>
      </c>
      <c r="Q13" s="515" t="str">
        <f t="shared" si="0"/>
        <v>AUD</v>
      </c>
      <c r="R13" s="515"/>
      <c r="S13" s="515" t="s">
        <v>4407</v>
      </c>
      <c r="T13" s="515" t="s">
        <v>4407</v>
      </c>
      <c r="U13" s="515" t="str">
        <f>"5900001"</f>
        <v>5900001</v>
      </c>
      <c r="V13" s="515" t="str">
        <f>"עלות המכר"</f>
        <v>עלות המכר</v>
      </c>
      <c r="W13" s="515"/>
      <c r="X13" s="515"/>
      <c r="Y13" s="515"/>
      <c r="Z13" s="515"/>
      <c r="AA13" s="515">
        <v>19</v>
      </c>
      <c r="AB13" s="515">
        <v>19</v>
      </c>
      <c r="AC13" s="515">
        <v>0</v>
      </c>
      <c r="AD13" s="515">
        <v>4049314.72</v>
      </c>
      <c r="AE13" s="515">
        <v>0</v>
      </c>
      <c r="AF13" s="515">
        <v>3082896.09</v>
      </c>
      <c r="AG13" s="515">
        <v>0</v>
      </c>
      <c r="AH13" s="515">
        <v>0</v>
      </c>
      <c r="AI13" s="515"/>
      <c r="AJ13" s="515"/>
      <c r="AK13" s="515"/>
      <c r="AL13" s="515"/>
      <c r="AM13" s="515"/>
      <c r="AN13" s="515"/>
      <c r="AO13" s="515"/>
      <c r="AP13" s="515"/>
      <c r="AQ13" s="515"/>
      <c r="AR13" s="515"/>
      <c r="AS13" s="515"/>
      <c r="AT13" s="515"/>
      <c r="AU13" s="515"/>
      <c r="AV13" s="515"/>
      <c r="AW13" s="515">
        <v>0</v>
      </c>
      <c r="AX13" s="515"/>
      <c r="AY13" s="515"/>
      <c r="AZ13" s="515"/>
      <c r="BA13" s="515"/>
      <c r="BB13" s="515"/>
      <c r="BC13" s="515"/>
      <c r="BD13" s="515"/>
      <c r="BE13" s="515"/>
      <c r="BF13" s="515"/>
      <c r="BG13" s="515"/>
      <c r="BH13" s="515"/>
      <c r="BI13" s="515"/>
      <c r="BJ13" s="515"/>
      <c r="BK13" s="515"/>
      <c r="BL13" s="515"/>
      <c r="BM13" s="515"/>
      <c r="BN13" s="515"/>
      <c r="BO13" s="515"/>
      <c r="BP13" s="515"/>
      <c r="BQ13" s="515"/>
      <c r="BR13" s="515"/>
      <c r="BS13" s="515"/>
      <c r="BT13" s="515"/>
      <c r="BU13" s="515"/>
      <c r="BV13" s="515"/>
      <c r="BW13" s="515"/>
      <c r="BX13" s="515"/>
      <c r="BY13" s="515"/>
    </row>
    <row r="14" spans="2:77" ht="13.5" thickBot="1">
      <c r="B14" s="1360"/>
      <c r="C14" s="1018">
        <f>C6+C9-C13</f>
        <v>0</v>
      </c>
      <c r="D14" s="1018">
        <f>D6+D9-D13</f>
        <v>-6.9849193096160889E-10</v>
      </c>
      <c r="E14" s="531"/>
      <c r="I14" s="3523">
        <v>44200</v>
      </c>
      <c r="J14" s="515" t="str">
        <f>"21000838"</f>
        <v>21000838</v>
      </c>
      <c r="K14" s="515"/>
      <c r="L14" s="515" t="str">
        <f>"פ"</f>
        <v>פ</v>
      </c>
      <c r="M14" s="515" t="str">
        <f>"4/21 amazon gift"</f>
        <v>4/21 amazon gift</v>
      </c>
      <c r="N14" s="515">
        <v>0</v>
      </c>
      <c r="O14" s="515">
        <v>48.52</v>
      </c>
      <c r="P14" s="515">
        <v>-8131847.8700000001</v>
      </c>
      <c r="Q14" s="515" t="str">
        <f t="shared" si="0"/>
        <v>AUD</v>
      </c>
      <c r="R14" s="515"/>
      <c r="S14" s="3516">
        <v>44200</v>
      </c>
      <c r="T14" s="3516">
        <v>44200</v>
      </c>
      <c r="U14" s="515" t="str">
        <f>"7020039"</f>
        <v>7020039</v>
      </c>
      <c r="V14" s="515" t="str">
        <f>"הוצאות שיווק ופרסום AUS"</f>
        <v>הוצאות שיווק ופרסום AUS</v>
      </c>
      <c r="W14" s="515"/>
      <c r="X14" s="515"/>
      <c r="Y14" s="515"/>
      <c r="Z14" s="515"/>
      <c r="AA14" s="515">
        <v>0</v>
      </c>
      <c r="AB14" s="515">
        <v>0</v>
      </c>
      <c r="AC14" s="515">
        <v>0</v>
      </c>
      <c r="AD14" s="515">
        <v>48.52</v>
      </c>
      <c r="AE14" s="515">
        <v>0</v>
      </c>
      <c r="AF14" s="515">
        <v>36.68</v>
      </c>
      <c r="AG14" s="515">
        <v>0</v>
      </c>
      <c r="AH14" s="515">
        <v>0</v>
      </c>
      <c r="AI14" s="515"/>
      <c r="AJ14" s="515"/>
      <c r="AK14" s="515"/>
      <c r="AL14" s="515"/>
      <c r="AM14" s="515"/>
      <c r="AN14" s="515"/>
      <c r="AO14" s="515"/>
      <c r="AP14" s="515"/>
      <c r="AQ14" s="515"/>
      <c r="AR14" s="515"/>
      <c r="AS14" s="515"/>
      <c r="AT14" s="515"/>
      <c r="AU14" s="515"/>
      <c r="AV14" s="515"/>
      <c r="AW14" s="515">
        <v>0</v>
      </c>
      <c r="AX14" s="515"/>
      <c r="AY14" s="515"/>
      <c r="AZ14" s="515"/>
      <c r="BA14" s="515"/>
      <c r="BB14" s="515"/>
      <c r="BC14" s="515"/>
      <c r="BD14" s="515"/>
      <c r="BE14" s="515"/>
      <c r="BF14" s="515"/>
      <c r="BG14" s="515"/>
      <c r="BH14" s="515"/>
      <c r="BI14" s="515"/>
      <c r="BJ14" s="515"/>
      <c r="BK14" s="515"/>
      <c r="BL14" s="515"/>
      <c r="BM14" s="515"/>
      <c r="BN14" s="515"/>
      <c r="BO14" s="515"/>
      <c r="BP14" s="515"/>
      <c r="BQ14" s="515"/>
      <c r="BR14" s="515"/>
      <c r="BS14" s="515"/>
      <c r="BT14" s="515"/>
      <c r="BU14" s="515"/>
      <c r="BV14" s="515"/>
      <c r="BW14" s="515"/>
      <c r="BX14" s="515"/>
      <c r="BY14" s="515"/>
    </row>
    <row r="15" spans="2:77">
      <c r="B15" s="32"/>
      <c r="I15" s="3523">
        <v>44443</v>
      </c>
      <c r="J15" s="515" t="str">
        <f>"21000839"</f>
        <v>21000839</v>
      </c>
      <c r="K15" s="515" t="str">
        <f>"Joel Spencer"</f>
        <v>Joel Spencer</v>
      </c>
      <c r="L15" s="515" t="str">
        <f>"פ"</f>
        <v>פ</v>
      </c>
      <c r="M15" s="515" t="str">
        <f>"תחנת עגינה"</f>
        <v>תחנת עגינה</v>
      </c>
      <c r="N15" s="515">
        <v>0</v>
      </c>
      <c r="O15" s="515">
        <v>283.88</v>
      </c>
      <c r="P15" s="515">
        <v>-8132131.75</v>
      </c>
      <c r="Q15" s="515" t="str">
        <f t="shared" si="0"/>
        <v>AUD</v>
      </c>
      <c r="R15" s="515" t="str">
        <f>"12484342"</f>
        <v>12484342</v>
      </c>
      <c r="S15" s="3516">
        <v>44443</v>
      </c>
      <c r="T15" s="3516">
        <v>44443</v>
      </c>
      <c r="U15" s="515" t="str">
        <f>"1400001"</f>
        <v>1400001</v>
      </c>
      <c r="V15" s="515" t="str">
        <f>"מחשבים ותוכנות"</f>
        <v>מחשבים ותוכנות</v>
      </c>
      <c r="W15" s="515"/>
      <c r="X15" s="515"/>
      <c r="Y15" s="515"/>
      <c r="Z15" s="515"/>
      <c r="AA15" s="515">
        <v>0</v>
      </c>
      <c r="AB15" s="515">
        <v>0</v>
      </c>
      <c r="AC15" s="515">
        <v>0</v>
      </c>
      <c r="AD15" s="515">
        <v>283.88</v>
      </c>
      <c r="AE15" s="515">
        <v>0</v>
      </c>
      <c r="AF15" s="515">
        <v>215.69</v>
      </c>
      <c r="AG15" s="515">
        <v>0</v>
      </c>
      <c r="AH15" s="515">
        <v>0</v>
      </c>
      <c r="AI15" s="515"/>
      <c r="AJ15" s="515"/>
      <c r="AK15" s="515"/>
      <c r="AL15" s="515"/>
      <c r="AM15" s="515"/>
      <c r="AN15" s="515"/>
      <c r="AO15" s="515"/>
      <c r="AP15" s="515"/>
      <c r="AQ15" s="515"/>
      <c r="AR15" s="515"/>
      <c r="AS15" s="515"/>
      <c r="AT15" s="515"/>
      <c r="AU15" s="515"/>
      <c r="AV15" s="515"/>
      <c r="AW15" s="515">
        <v>0</v>
      </c>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c r="BW15" s="515"/>
      <c r="BX15" s="515"/>
      <c r="BY15" s="515"/>
    </row>
    <row r="16" spans="2:77">
      <c r="B16" s="32"/>
      <c r="D16" s="1084"/>
      <c r="I16" s="3522" t="s">
        <v>4408</v>
      </c>
      <c r="J16" s="515" t="str">
        <f>"21000840"</f>
        <v>21000840</v>
      </c>
      <c r="K16" s="515"/>
      <c r="L16" s="515" t="str">
        <f>"פ"</f>
        <v>פ</v>
      </c>
      <c r="M16" s="515" t="str">
        <f>"מחשב נייד"</f>
        <v>מחשב נייד</v>
      </c>
      <c r="N16" s="515">
        <v>0</v>
      </c>
      <c r="O16" s="515">
        <v>2176.0700000000002</v>
      </c>
      <c r="P16" s="515">
        <v>-8134307.8200000003</v>
      </c>
      <c r="Q16" s="515" t="str">
        <f t="shared" si="0"/>
        <v>AUD</v>
      </c>
      <c r="R16" s="515" t="str">
        <f>"Harry Lewins"</f>
        <v>Harry Lewins</v>
      </c>
      <c r="S16" s="515" t="s">
        <v>4408</v>
      </c>
      <c r="T16" s="515" t="s">
        <v>4408</v>
      </c>
      <c r="U16" s="515" t="str">
        <f>"1400001"</f>
        <v>1400001</v>
      </c>
      <c r="V16" s="515" t="str">
        <f>"מחשבים ותוכנות"</f>
        <v>מחשבים ותוכנות</v>
      </c>
      <c r="W16" s="515"/>
      <c r="X16" s="515"/>
      <c r="Y16" s="515"/>
      <c r="Z16" s="515"/>
      <c r="AA16" s="515">
        <v>0</v>
      </c>
      <c r="AB16" s="515">
        <v>0</v>
      </c>
      <c r="AC16" s="515">
        <v>0</v>
      </c>
      <c r="AD16" s="515">
        <v>2176.0700000000002</v>
      </c>
      <c r="AE16" s="515">
        <v>0</v>
      </c>
      <c r="AF16" s="515">
        <v>1673.93</v>
      </c>
      <c r="AG16" s="515">
        <v>0</v>
      </c>
      <c r="AH16" s="515">
        <v>0</v>
      </c>
      <c r="AI16" s="515"/>
      <c r="AJ16" s="515"/>
      <c r="AK16" s="515"/>
      <c r="AL16" s="515"/>
      <c r="AM16" s="515"/>
      <c r="AN16" s="515"/>
      <c r="AO16" s="515"/>
      <c r="AP16" s="515"/>
      <c r="AQ16" s="515"/>
      <c r="AR16" s="515"/>
      <c r="AS16" s="515"/>
      <c r="AT16" s="515"/>
      <c r="AU16" s="515"/>
      <c r="AV16" s="515"/>
      <c r="AW16" s="515">
        <v>0</v>
      </c>
      <c r="AX16" s="515"/>
      <c r="AY16" s="515"/>
      <c r="AZ16" s="515"/>
      <c r="BA16" s="515"/>
      <c r="BB16" s="515"/>
      <c r="BC16" s="515"/>
      <c r="BD16" s="515"/>
      <c r="BE16" s="515"/>
      <c r="BF16" s="515"/>
      <c r="BG16" s="515"/>
      <c r="BH16" s="515"/>
      <c r="BI16" s="515"/>
      <c r="BJ16" s="515"/>
      <c r="BK16" s="515"/>
      <c r="BL16" s="515"/>
      <c r="BM16" s="515"/>
      <c r="BN16" s="515"/>
      <c r="BO16" s="515"/>
      <c r="BP16" s="515"/>
      <c r="BQ16" s="515"/>
      <c r="BR16" s="515"/>
      <c r="BS16" s="515"/>
      <c r="BT16" s="515"/>
      <c r="BU16" s="515"/>
      <c r="BV16" s="515"/>
      <c r="BW16" s="515"/>
      <c r="BX16" s="515"/>
      <c r="BY16" s="515"/>
    </row>
    <row r="17" spans="1:77">
      <c r="B17" s="32"/>
      <c r="I17" s="3522" t="s">
        <v>4409</v>
      </c>
      <c r="J17" s="515" t="str">
        <f>"21000841"</f>
        <v>21000841</v>
      </c>
      <c r="K17" s="515"/>
      <c r="L17" s="515" t="str">
        <f>"פ"</f>
        <v>פ</v>
      </c>
      <c r="M17" s="515" t="str">
        <f>"מחשב נייד"</f>
        <v>מחשב נייד</v>
      </c>
      <c r="N17" s="515">
        <v>0</v>
      </c>
      <c r="O17" s="515">
        <v>2217.2600000000002</v>
      </c>
      <c r="P17" s="515">
        <v>-8136525.0800000001</v>
      </c>
      <c r="Q17" s="515" t="str">
        <f t="shared" si="0"/>
        <v>AUD</v>
      </c>
      <c r="R17" s="515" t="str">
        <f>"Joel Spencer"</f>
        <v>Joel Spencer</v>
      </c>
      <c r="S17" s="515" t="s">
        <v>4409</v>
      </c>
      <c r="T17" s="515" t="s">
        <v>4409</v>
      </c>
      <c r="U17" s="515" t="str">
        <f>"1400001"</f>
        <v>1400001</v>
      </c>
      <c r="V17" s="515" t="str">
        <f>"מחשבים ותוכנות"</f>
        <v>מחשבים ותוכנות</v>
      </c>
      <c r="W17" s="515"/>
      <c r="X17" s="515"/>
      <c r="Y17" s="515"/>
      <c r="Z17" s="515"/>
      <c r="AA17" s="515">
        <v>0</v>
      </c>
      <c r="AB17" s="515">
        <v>0</v>
      </c>
      <c r="AC17" s="515">
        <v>0</v>
      </c>
      <c r="AD17" s="515">
        <v>2217.2600000000002</v>
      </c>
      <c r="AE17" s="515">
        <v>0</v>
      </c>
      <c r="AF17" s="515">
        <v>1717.47</v>
      </c>
      <c r="AG17" s="515">
        <v>0</v>
      </c>
      <c r="AH17" s="515">
        <v>0</v>
      </c>
      <c r="AI17" s="515"/>
      <c r="AJ17" s="515"/>
      <c r="AK17" s="515"/>
      <c r="AL17" s="515"/>
      <c r="AM17" s="515"/>
      <c r="AN17" s="515"/>
      <c r="AO17" s="515"/>
      <c r="AP17" s="515"/>
      <c r="AQ17" s="515"/>
      <c r="AR17" s="515"/>
      <c r="AS17" s="515"/>
      <c r="AT17" s="515"/>
      <c r="AU17" s="515"/>
      <c r="AV17" s="515"/>
      <c r="AW17" s="515">
        <v>0</v>
      </c>
      <c r="AX17" s="515"/>
      <c r="AY17" s="515"/>
      <c r="AZ17" s="515"/>
      <c r="BA17" s="515"/>
      <c r="BB17" s="515"/>
      <c r="BC17" s="515"/>
      <c r="BD17" s="515"/>
      <c r="BE17" s="515"/>
      <c r="BF17" s="515"/>
      <c r="BG17" s="515"/>
      <c r="BH17" s="515"/>
      <c r="BI17" s="515"/>
      <c r="BJ17" s="515"/>
      <c r="BK17" s="515"/>
      <c r="BL17" s="515"/>
      <c r="BM17" s="515"/>
      <c r="BN17" s="515"/>
      <c r="BO17" s="515"/>
      <c r="BP17" s="515"/>
      <c r="BQ17" s="515"/>
      <c r="BR17" s="515"/>
      <c r="BS17" s="515"/>
      <c r="BT17" s="515"/>
      <c r="BU17" s="515"/>
      <c r="BV17" s="515"/>
      <c r="BW17" s="515"/>
      <c r="BX17" s="515"/>
      <c r="BY17" s="515"/>
    </row>
    <row r="18" spans="1:77">
      <c r="B18" s="32"/>
      <c r="C18" s="33"/>
      <c r="D18" s="33"/>
      <c r="I18" s="3522" t="s">
        <v>4410</v>
      </c>
      <c r="J18" s="515" t="str">
        <f>"21000866"</f>
        <v>21000866</v>
      </c>
      <c r="K18" s="515"/>
      <c r="L18" s="515" t="str">
        <f>"הש"</f>
        <v>הש</v>
      </c>
      <c r="M18" s="515" t="str">
        <f>"Exchange Rate Adjustment"</f>
        <v>Exchange Rate Adjustment</v>
      </c>
      <c r="N18" s="515">
        <v>0</v>
      </c>
      <c r="O18" s="515">
        <v>0</v>
      </c>
      <c r="P18" s="515">
        <v>-8136525.0800000001</v>
      </c>
      <c r="Q18" s="515" t="str">
        <f t="shared" si="0"/>
        <v>AUD</v>
      </c>
      <c r="R18" s="515"/>
      <c r="S18" s="515" t="s">
        <v>4410</v>
      </c>
      <c r="T18" s="515" t="s">
        <v>4410</v>
      </c>
      <c r="U18" s="515" t="str">
        <f>"9010002"</f>
        <v>9010002</v>
      </c>
      <c r="V18" s="515" t="str">
        <f>"הפרשי שער"</f>
        <v>הפרשי שער</v>
      </c>
      <c r="W18" s="515"/>
      <c r="X18" s="515"/>
      <c r="Y18" s="515"/>
      <c r="Z18" s="515"/>
      <c r="AA18" s="515">
        <v>-1</v>
      </c>
      <c r="AB18" s="515">
        <v>-1</v>
      </c>
      <c r="AC18" s="515">
        <v>0</v>
      </c>
      <c r="AD18" s="515">
        <v>0</v>
      </c>
      <c r="AE18" s="515">
        <v>0</v>
      </c>
      <c r="AF18" s="515">
        <v>119574.76</v>
      </c>
      <c r="AG18" s="515">
        <v>0</v>
      </c>
      <c r="AH18" s="515">
        <v>0</v>
      </c>
      <c r="AI18" s="515"/>
      <c r="AJ18" s="515"/>
      <c r="AK18" s="515"/>
      <c r="AL18" s="515"/>
      <c r="AM18" s="515"/>
      <c r="AN18" s="515"/>
      <c r="AO18" s="515"/>
      <c r="AP18" s="515"/>
      <c r="AQ18" s="515"/>
      <c r="AR18" s="515"/>
      <c r="AS18" s="515"/>
      <c r="AT18" s="515"/>
      <c r="AU18" s="515"/>
      <c r="AV18" s="515"/>
      <c r="AW18" s="515">
        <v>0</v>
      </c>
      <c r="AX18" s="515"/>
      <c r="AY18" s="515"/>
      <c r="AZ18" s="515"/>
      <c r="BA18" s="515"/>
      <c r="BB18" s="515"/>
      <c r="BC18" s="515"/>
      <c r="BD18" s="515"/>
      <c r="BE18" s="515"/>
      <c r="BF18" s="515"/>
      <c r="BG18" s="515"/>
      <c r="BH18" s="515"/>
      <c r="BI18" s="515"/>
      <c r="BJ18" s="515"/>
      <c r="BK18" s="515"/>
      <c r="BL18" s="515"/>
      <c r="BM18" s="515"/>
      <c r="BN18" s="515"/>
      <c r="BO18" s="515"/>
      <c r="BP18" s="515"/>
      <c r="BQ18" s="515"/>
      <c r="BR18" s="515"/>
      <c r="BS18" s="515"/>
      <c r="BT18" s="515"/>
      <c r="BU18" s="515"/>
      <c r="BV18" s="515"/>
      <c r="BW18" s="515"/>
      <c r="BX18" s="515"/>
      <c r="BY18" s="515"/>
    </row>
    <row r="19" spans="1:77">
      <c r="A19" s="380"/>
      <c r="B19" s="515" t="str">
        <f>"TP Invoice – Q1/2021"</f>
        <v>TP Invoice – Q1/2021</v>
      </c>
      <c r="C19" s="3131">
        <f>-VLOOKUP(B19,$M:$AF,20,0)</f>
        <v>-3105303.46</v>
      </c>
      <c r="D19" s="3131">
        <f>-VLOOKUP(B19,$M:$AF,3,0)</f>
        <v>-4049314.72</v>
      </c>
      <c r="E19" s="1103">
        <f>D19/C19</f>
        <v>1.3039996805980438</v>
      </c>
      <c r="I19" s="3523">
        <v>44201</v>
      </c>
      <c r="J19" s="515" t="str">
        <f>"21001066"</f>
        <v>21001066</v>
      </c>
      <c r="K19" s="515"/>
      <c r="L19" s="515" t="str">
        <f>"פ"</f>
        <v>פ</v>
      </c>
      <c r="M19" s="515" t="str">
        <f>"5/21 amazon gift"</f>
        <v>5/21 amazon gift</v>
      </c>
      <c r="N19" s="515">
        <v>0</v>
      </c>
      <c r="O19" s="515">
        <v>93.54</v>
      </c>
      <c r="P19" s="515">
        <v>-8136618.6200000001</v>
      </c>
      <c r="Q19" s="515" t="str">
        <f t="shared" si="0"/>
        <v>AUD</v>
      </c>
      <c r="R19" s="515"/>
      <c r="S19" s="3516">
        <v>44201</v>
      </c>
      <c r="T19" s="3516">
        <v>44201</v>
      </c>
      <c r="U19" s="515" t="str">
        <f>"7020039"</f>
        <v>7020039</v>
      </c>
      <c r="V19" s="515" t="str">
        <f>"הוצאות שיווק ופרסום AUS"</f>
        <v>הוצאות שיווק ופרסום AUS</v>
      </c>
      <c r="W19" s="515"/>
      <c r="X19" s="515"/>
      <c r="Y19" s="515"/>
      <c r="Z19" s="515"/>
      <c r="AA19" s="515">
        <v>0</v>
      </c>
      <c r="AB19" s="515">
        <v>0</v>
      </c>
      <c r="AC19" s="515">
        <v>0</v>
      </c>
      <c r="AD19" s="515">
        <v>93.54</v>
      </c>
      <c r="AE19" s="515">
        <v>0</v>
      </c>
      <c r="AF19" s="515">
        <v>72.59</v>
      </c>
      <c r="AG19" s="515">
        <v>0</v>
      </c>
      <c r="AH19" s="515">
        <v>0</v>
      </c>
      <c r="AI19" s="515"/>
      <c r="AJ19" s="515"/>
      <c r="AK19" s="515"/>
      <c r="AL19" s="515"/>
      <c r="AM19" s="515"/>
      <c r="AN19" s="515"/>
      <c r="AO19" s="515"/>
      <c r="AP19" s="515"/>
      <c r="AQ19" s="515"/>
      <c r="AR19" s="515"/>
      <c r="AS19" s="515"/>
      <c r="AT19" s="515"/>
      <c r="AU19" s="515"/>
      <c r="AV19" s="515"/>
      <c r="AW19" s="515">
        <v>0</v>
      </c>
      <c r="AX19" s="515"/>
      <c r="AY19" s="515"/>
      <c r="AZ19" s="515"/>
      <c r="BA19" s="515"/>
      <c r="BB19" s="515"/>
      <c r="BC19" s="515"/>
      <c r="BD19" s="515"/>
      <c r="BE19" s="515"/>
      <c r="BF19" s="515"/>
      <c r="BG19" s="515"/>
      <c r="BH19" s="515"/>
      <c r="BI19" s="515"/>
      <c r="BJ19" s="515"/>
      <c r="BK19" s="515"/>
      <c r="BL19" s="515"/>
      <c r="BM19" s="515"/>
      <c r="BN19" s="515"/>
      <c r="BO19" s="515"/>
      <c r="BP19" s="515"/>
      <c r="BQ19" s="515"/>
      <c r="BR19" s="515"/>
      <c r="BS19" s="515"/>
      <c r="BT19" s="515"/>
      <c r="BU19" s="515"/>
      <c r="BV19" s="515"/>
      <c r="BW19" s="515"/>
      <c r="BX19" s="515"/>
      <c r="BY19" s="515"/>
    </row>
    <row r="20" spans="1:77">
      <c r="B20" s="515" t="str">
        <f>"TP Invoice – Q2/2021"</f>
        <v>TP Invoice – Q2/2021</v>
      </c>
      <c r="C20" s="3131">
        <f>-VLOOKUP(B20,$M:$AF,20,0)</f>
        <v>-3222329.98</v>
      </c>
      <c r="D20" s="3131">
        <f>-VLOOKUP(B20,$M:$AF,3,0)</f>
        <v>-4397077.8</v>
      </c>
      <c r="E20" s="1103">
        <f>D20/C20</f>
        <v>1.3645647178567355</v>
      </c>
      <c r="I20" s="3522" t="s">
        <v>4411</v>
      </c>
      <c r="J20" s="515" t="str">
        <f>"21001037"</f>
        <v>21001037</v>
      </c>
      <c r="K20" s="515"/>
      <c r="L20" s="515" t="str">
        <f>"הש"</f>
        <v>הש</v>
      </c>
      <c r="M20" s="515" t="str">
        <f>"Exchange Rate Adjustment"</f>
        <v>Exchange Rate Adjustment</v>
      </c>
      <c r="N20" s="515">
        <v>0</v>
      </c>
      <c r="O20" s="515">
        <v>0</v>
      </c>
      <c r="P20" s="515">
        <v>-8136618.6200000001</v>
      </c>
      <c r="Q20" s="515" t="str">
        <f t="shared" si="0"/>
        <v>AUD</v>
      </c>
      <c r="R20" s="515"/>
      <c r="S20" s="515" t="s">
        <v>4411</v>
      </c>
      <c r="T20" s="515" t="s">
        <v>4411</v>
      </c>
      <c r="U20" s="515" t="str">
        <f>"9010002"</f>
        <v>9010002</v>
      </c>
      <c r="V20" s="515" t="str">
        <f>"הפרשי שער"</f>
        <v>הפרשי שער</v>
      </c>
      <c r="W20" s="515"/>
      <c r="X20" s="515"/>
      <c r="Y20" s="515"/>
      <c r="Z20" s="515"/>
      <c r="AA20" s="515">
        <v>-1</v>
      </c>
      <c r="AB20" s="515">
        <v>-1</v>
      </c>
      <c r="AC20" s="515">
        <v>0</v>
      </c>
      <c r="AD20" s="515">
        <v>0</v>
      </c>
      <c r="AE20" s="515">
        <v>22151.55</v>
      </c>
      <c r="AF20" s="515">
        <v>0</v>
      </c>
      <c r="AG20" s="515">
        <v>0</v>
      </c>
      <c r="AH20" s="515">
        <v>0</v>
      </c>
      <c r="AI20" s="515"/>
      <c r="AJ20" s="515"/>
      <c r="AK20" s="515"/>
      <c r="AL20" s="515"/>
      <c r="AM20" s="515"/>
      <c r="AN20" s="515"/>
      <c r="AO20" s="515"/>
      <c r="AP20" s="515"/>
      <c r="AQ20" s="515"/>
      <c r="AR20" s="515"/>
      <c r="AS20" s="515"/>
      <c r="AT20" s="515"/>
      <c r="AU20" s="515"/>
      <c r="AV20" s="515"/>
      <c r="AW20" s="515">
        <v>0</v>
      </c>
      <c r="AX20" s="515"/>
      <c r="AY20" s="515"/>
      <c r="AZ20" s="515"/>
      <c r="BA20" s="515"/>
      <c r="BB20" s="515"/>
      <c r="BC20" s="515"/>
      <c r="BD20" s="515"/>
      <c r="BE20" s="515"/>
      <c r="BF20" s="515"/>
      <c r="BG20" s="515"/>
      <c r="BH20" s="515"/>
      <c r="BI20" s="515"/>
      <c r="BJ20" s="515"/>
      <c r="BK20" s="515"/>
      <c r="BL20" s="515"/>
      <c r="BM20" s="515"/>
      <c r="BN20" s="515"/>
      <c r="BO20" s="515"/>
      <c r="BP20" s="515"/>
      <c r="BQ20" s="515"/>
      <c r="BR20" s="515"/>
      <c r="BS20" s="515"/>
      <c r="BT20" s="515"/>
      <c r="BU20" s="515"/>
      <c r="BV20" s="515"/>
      <c r="BW20" s="515"/>
      <c r="BX20" s="515"/>
      <c r="BY20" s="515"/>
    </row>
    <row r="21" spans="1:77">
      <c r="B21" s="515" t="str">
        <f>"TP Invoice – Q3/2021"</f>
        <v>TP Invoice – Q3/2021</v>
      </c>
      <c r="C21" s="3131">
        <f>-VLOOKUP(B21,$M:$AF,20,0)</f>
        <v>-529447.09</v>
      </c>
      <c r="D21" s="3131">
        <f>-VLOOKUP(B21,$M:$AF,3,0)</f>
        <v>-740766.02</v>
      </c>
      <c r="E21" s="1103">
        <f>D21/C21</f>
        <v>1.3991313466280457</v>
      </c>
      <c r="I21" s="3523">
        <v>44353</v>
      </c>
      <c r="J21" s="515" t="str">
        <f>"21001035"</f>
        <v>21001035</v>
      </c>
      <c r="K21" s="515" t="str">
        <f>"IL218000119"</f>
        <v>IL218000119</v>
      </c>
      <c r="L21" s="515" t="str">
        <f>"פ"</f>
        <v>פ</v>
      </c>
      <c r="M21" s="515" t="str">
        <f>"TP Invoice – Q1/2021"</f>
        <v>TP Invoice – Q1/2021</v>
      </c>
      <c r="N21" s="515">
        <v>0</v>
      </c>
      <c r="O21" s="515">
        <v>4049314.72</v>
      </c>
      <c r="P21" s="515">
        <v>-12185933.34</v>
      </c>
      <c r="Q21" s="515" t="str">
        <f t="shared" si="0"/>
        <v>AUD</v>
      </c>
      <c r="R21" s="515"/>
      <c r="S21" s="3516">
        <v>44353</v>
      </c>
      <c r="T21" s="3516">
        <v>44353</v>
      </c>
      <c r="U21" s="515" t="str">
        <f>"5900001"</f>
        <v>5900001</v>
      </c>
      <c r="V21" s="515" t="str">
        <f>"עלות המכר"</f>
        <v>עלות המכר</v>
      </c>
      <c r="W21" s="515"/>
      <c r="X21" s="515"/>
      <c r="Y21" s="515"/>
      <c r="Z21" s="515"/>
      <c r="AA21" s="515">
        <v>0</v>
      </c>
      <c r="AB21" s="515">
        <v>0</v>
      </c>
      <c r="AC21" s="515">
        <v>0</v>
      </c>
      <c r="AD21" s="515">
        <v>4049314.72</v>
      </c>
      <c r="AE21" s="515">
        <v>0</v>
      </c>
      <c r="AF21" s="515">
        <v>3105303.46</v>
      </c>
      <c r="AG21" s="515">
        <v>0</v>
      </c>
      <c r="AH21" s="515">
        <v>0</v>
      </c>
      <c r="AI21" s="515"/>
      <c r="AJ21" s="515"/>
      <c r="AK21" s="515"/>
      <c r="AL21" s="515"/>
      <c r="AM21" s="515"/>
      <c r="AN21" s="515"/>
      <c r="AO21" s="515"/>
      <c r="AP21" s="515"/>
      <c r="AQ21" s="515"/>
      <c r="AR21" s="515"/>
      <c r="AS21" s="515"/>
      <c r="AT21" s="515"/>
      <c r="AU21" s="515"/>
      <c r="AV21" s="515"/>
      <c r="AW21" s="515">
        <v>0</v>
      </c>
      <c r="AX21" s="515"/>
      <c r="AY21" s="515"/>
      <c r="AZ21" s="515"/>
      <c r="BA21" s="515"/>
      <c r="BB21" s="515"/>
      <c r="BC21" s="515"/>
      <c r="BD21" s="515"/>
      <c r="BE21" s="515"/>
      <c r="BF21" s="515"/>
      <c r="BG21" s="515"/>
      <c r="BH21" s="515"/>
      <c r="BI21" s="515"/>
      <c r="BJ21" s="515"/>
      <c r="BK21" s="515"/>
      <c r="BL21" s="515"/>
      <c r="BM21" s="515"/>
      <c r="BN21" s="515"/>
      <c r="BO21" s="515"/>
      <c r="BP21" s="515"/>
      <c r="BQ21" s="515"/>
      <c r="BR21" s="515"/>
      <c r="BS21" s="515"/>
      <c r="BT21" s="515"/>
      <c r="BU21" s="515"/>
      <c r="BV21" s="515"/>
      <c r="BW21" s="515"/>
      <c r="BX21" s="515"/>
      <c r="BY21" s="515"/>
    </row>
    <row r="22" spans="1:77">
      <c r="B22" s="32"/>
      <c r="C22" s="994"/>
      <c r="D22" s="994"/>
      <c r="E22" s="1083"/>
      <c r="I22" s="3523">
        <v>44353</v>
      </c>
      <c r="J22" s="515" t="str">
        <f>"21001036"</f>
        <v>21001036</v>
      </c>
      <c r="K22" s="515"/>
      <c r="L22" s="515" t="str">
        <f>"הש"</f>
        <v>הש</v>
      </c>
      <c r="M22" s="515" t="str">
        <f>"ביטול ל 21000757"</f>
        <v>ביטול ל 21000757</v>
      </c>
      <c r="N22" s="515">
        <v>0</v>
      </c>
      <c r="O22" s="515">
        <v>-4049314.72</v>
      </c>
      <c r="P22" s="515">
        <v>-8136618.6200000001</v>
      </c>
      <c r="Q22" s="515" t="str">
        <f t="shared" si="0"/>
        <v>AUD</v>
      </c>
      <c r="R22" s="515"/>
      <c r="S22" s="515" t="s">
        <v>4407</v>
      </c>
      <c r="T22" s="3516">
        <v>44353</v>
      </c>
      <c r="U22" s="515" t="str">
        <f>"5900001"</f>
        <v>5900001</v>
      </c>
      <c r="V22" s="515" t="str">
        <f>"עלות המכר"</f>
        <v>עלות המכר</v>
      </c>
      <c r="W22" s="515"/>
      <c r="X22" s="515"/>
      <c r="Y22" s="515"/>
      <c r="Z22" s="515"/>
      <c r="AA22" s="515">
        <v>19</v>
      </c>
      <c r="AB22" s="515">
        <v>19</v>
      </c>
      <c r="AC22" s="515">
        <v>0</v>
      </c>
      <c r="AD22" s="515">
        <v>-4049314.72</v>
      </c>
      <c r="AE22" s="515">
        <v>0</v>
      </c>
      <c r="AF22" s="515">
        <v>-3082896.09</v>
      </c>
      <c r="AG22" s="515">
        <v>0</v>
      </c>
      <c r="AH22" s="515">
        <v>0</v>
      </c>
      <c r="AI22" s="515"/>
      <c r="AJ22" s="515"/>
      <c r="AK22" s="515"/>
      <c r="AL22" s="515"/>
      <c r="AM22" s="515"/>
      <c r="AN22" s="515"/>
      <c r="AO22" s="515"/>
      <c r="AP22" s="515"/>
      <c r="AQ22" s="515"/>
      <c r="AR22" s="515"/>
      <c r="AS22" s="515"/>
      <c r="AT22" s="515"/>
      <c r="AU22" s="515"/>
      <c r="AV22" s="515"/>
      <c r="AW22" s="515">
        <v>0</v>
      </c>
      <c r="AX22" s="515"/>
      <c r="AY22" s="515"/>
      <c r="AZ22" s="515"/>
      <c r="BA22" s="515"/>
      <c r="BB22" s="515"/>
      <c r="BC22" s="515"/>
      <c r="BD22" s="515"/>
      <c r="BE22" s="515"/>
      <c r="BF22" s="515"/>
      <c r="BG22" s="515"/>
      <c r="BH22" s="515"/>
      <c r="BI22" s="515"/>
      <c r="BJ22" s="515"/>
      <c r="BK22" s="515"/>
      <c r="BL22" s="515"/>
      <c r="BM22" s="515"/>
      <c r="BN22" s="515"/>
      <c r="BO22" s="515"/>
      <c r="BP22" s="515"/>
      <c r="BQ22" s="515"/>
      <c r="BR22" s="515"/>
      <c r="BS22" s="515"/>
      <c r="BT22" s="515"/>
      <c r="BU22" s="515"/>
      <c r="BV22" s="515"/>
      <c r="BW22" s="515"/>
      <c r="BX22" s="515"/>
      <c r="BY22" s="515"/>
    </row>
    <row r="23" spans="1:77">
      <c r="B23" s="32"/>
      <c r="C23" s="33">
        <f>SUM(C18:C22)</f>
        <v>-6857080.5299999993</v>
      </c>
      <c r="D23" s="33">
        <f>SUM(D18:D22)</f>
        <v>-9187158.5399999991</v>
      </c>
      <c r="E23" s="1083">
        <f>D23/C23</f>
        <v>1.3398061317503587</v>
      </c>
      <c r="I23" s="3522" t="s">
        <v>4412</v>
      </c>
      <c r="J23" s="515" t="str">
        <f>"21001202"</f>
        <v>21001202</v>
      </c>
      <c r="K23" s="515"/>
      <c r="L23" s="515" t="str">
        <f>"הש"</f>
        <v>הש</v>
      </c>
      <c r="M23" s="515" t="str">
        <f>"Exchange Rate Adjustment"</f>
        <v>Exchange Rate Adjustment</v>
      </c>
      <c r="N23" s="515">
        <v>0</v>
      </c>
      <c r="O23" s="515">
        <v>0</v>
      </c>
      <c r="P23" s="515">
        <v>-8136618.6200000001</v>
      </c>
      <c r="Q23" s="515" t="str">
        <f t="shared" si="0"/>
        <v>AUD</v>
      </c>
      <c r="R23" s="515"/>
      <c r="S23" s="515" t="s">
        <v>4412</v>
      </c>
      <c r="T23" s="515" t="s">
        <v>4412</v>
      </c>
      <c r="U23" s="515" t="str">
        <f>"9010002"</f>
        <v>9010002</v>
      </c>
      <c r="V23" s="515" t="str">
        <f>"הפרשי שער"</f>
        <v>הפרשי שער</v>
      </c>
      <c r="W23" s="515"/>
      <c r="X23" s="515"/>
      <c r="Y23" s="515"/>
      <c r="Z23" s="515"/>
      <c r="AA23" s="515">
        <v>-1</v>
      </c>
      <c r="AB23" s="515">
        <v>-1</v>
      </c>
      <c r="AC23" s="515">
        <v>0</v>
      </c>
      <c r="AD23" s="515">
        <v>0</v>
      </c>
      <c r="AE23" s="515">
        <v>212128.65</v>
      </c>
      <c r="AF23" s="515">
        <v>0</v>
      </c>
      <c r="AG23" s="515">
        <v>0</v>
      </c>
      <c r="AH23" s="515">
        <v>0</v>
      </c>
      <c r="AI23" s="515"/>
      <c r="AJ23" s="515"/>
      <c r="AK23" s="515"/>
      <c r="AL23" s="515"/>
      <c r="AM23" s="515"/>
      <c r="AN23" s="515"/>
      <c r="AO23" s="515"/>
      <c r="AP23" s="515"/>
      <c r="AQ23" s="515"/>
      <c r="AR23" s="515"/>
      <c r="AS23" s="515"/>
      <c r="AT23" s="515"/>
      <c r="AU23" s="515"/>
      <c r="AV23" s="515"/>
      <c r="AW23" s="515">
        <v>0</v>
      </c>
      <c r="AX23" s="515"/>
      <c r="AY23" s="515"/>
      <c r="AZ23" s="515"/>
      <c r="BA23" s="515"/>
      <c r="BB23" s="515"/>
      <c r="BC23" s="515"/>
      <c r="BD23" s="515"/>
      <c r="BE23" s="515"/>
      <c r="BF23" s="515"/>
      <c r="BG23" s="515"/>
      <c r="BH23" s="515"/>
      <c r="BI23" s="515"/>
      <c r="BJ23" s="515"/>
      <c r="BK23" s="515"/>
      <c r="BL23" s="515"/>
      <c r="BM23" s="515"/>
      <c r="BN23" s="515"/>
      <c r="BO23" s="515"/>
      <c r="BP23" s="515"/>
      <c r="BQ23" s="515"/>
      <c r="BR23" s="515"/>
      <c r="BS23" s="515"/>
      <c r="BT23" s="515"/>
      <c r="BU23" s="515"/>
      <c r="BV23" s="515"/>
      <c r="BW23" s="515"/>
      <c r="BX23" s="515"/>
      <c r="BY23" s="515"/>
    </row>
    <row r="24" spans="1:77">
      <c r="B24" s="32"/>
      <c r="E24" s="1083"/>
      <c r="I24" s="3522" t="s">
        <v>4412</v>
      </c>
      <c r="J24" s="515" t="str">
        <f>"21001237"</f>
        <v>21001237</v>
      </c>
      <c r="K24" s="515"/>
      <c r="L24" s="515" t="str">
        <f>"פ"</f>
        <v>פ</v>
      </c>
      <c r="M24" s="515" t="str">
        <f>"6/21 amazon gift"</f>
        <v>6/21 amazon gift</v>
      </c>
      <c r="N24" s="515">
        <v>0</v>
      </c>
      <c r="O24" s="515">
        <v>166.18</v>
      </c>
      <c r="P24" s="515">
        <v>-8136784.7999999998</v>
      </c>
      <c r="Q24" s="515" t="str">
        <f t="shared" si="0"/>
        <v>AUD</v>
      </c>
      <c r="R24" s="515"/>
      <c r="S24" s="515" t="s">
        <v>4412</v>
      </c>
      <c r="T24" s="515" t="s">
        <v>4412</v>
      </c>
      <c r="U24" s="515" t="str">
        <f>"7020039"</f>
        <v>7020039</v>
      </c>
      <c r="V24" s="515" t="str">
        <f>"הוצאות שיווק ופרסום AUS"</f>
        <v>הוצאות שיווק ופרסום AUS</v>
      </c>
      <c r="W24" s="515"/>
      <c r="X24" s="515"/>
      <c r="Y24" s="515"/>
      <c r="Z24" s="515"/>
      <c r="AA24" s="515">
        <v>20</v>
      </c>
      <c r="AB24" s="515">
        <v>20</v>
      </c>
      <c r="AC24" s="515">
        <v>0</v>
      </c>
      <c r="AD24" s="515">
        <v>166.18</v>
      </c>
      <c r="AE24" s="515">
        <v>0</v>
      </c>
      <c r="AF24" s="515">
        <v>124.64</v>
      </c>
      <c r="AG24" s="515">
        <v>0</v>
      </c>
      <c r="AH24" s="515">
        <v>0</v>
      </c>
      <c r="AI24" s="515"/>
      <c r="AJ24" s="515"/>
      <c r="AK24" s="515"/>
      <c r="AL24" s="515"/>
      <c r="AM24" s="515"/>
      <c r="AN24" s="515"/>
      <c r="AO24" s="515"/>
      <c r="AP24" s="515"/>
      <c r="AQ24" s="515"/>
      <c r="AR24" s="515"/>
      <c r="AS24" s="515"/>
      <c r="AT24" s="515"/>
      <c r="AU24" s="515"/>
      <c r="AV24" s="515"/>
      <c r="AW24" s="515">
        <v>0</v>
      </c>
      <c r="AX24" s="515"/>
      <c r="AY24" s="515"/>
      <c r="AZ24" s="515"/>
      <c r="BA24" s="515"/>
      <c r="BB24" s="515"/>
      <c r="BC24" s="515"/>
      <c r="BD24" s="515"/>
      <c r="BE24" s="515"/>
      <c r="BF24" s="515"/>
      <c r="BG24" s="515"/>
      <c r="BH24" s="515"/>
      <c r="BI24" s="515"/>
      <c r="BJ24" s="515"/>
      <c r="BK24" s="515"/>
      <c r="BL24" s="515"/>
      <c r="BM24" s="515"/>
      <c r="BN24" s="515"/>
      <c r="BO24" s="515"/>
      <c r="BP24" s="515"/>
      <c r="BQ24" s="515"/>
      <c r="BR24" s="515"/>
      <c r="BS24" s="515"/>
      <c r="BT24" s="515"/>
      <c r="BU24" s="515"/>
      <c r="BV24" s="515"/>
      <c r="BW24" s="515"/>
      <c r="BX24" s="515"/>
      <c r="BY24" s="515"/>
    </row>
    <row r="25" spans="1:77">
      <c r="B25" s="32" t="s">
        <v>3219</v>
      </c>
      <c r="C25" s="33">
        <f>C9-C23</f>
        <v>183647.12700000033</v>
      </c>
      <c r="D25" s="33">
        <f>D9-D23</f>
        <v>315329.90549999848</v>
      </c>
      <c r="E25" s="1016">
        <f>D25/C25</f>
        <v>1.7170424098167238</v>
      </c>
      <c r="I25" s="3522" t="s">
        <v>4412</v>
      </c>
      <c r="J25" s="515" t="str">
        <f>"21001238"</f>
        <v>21001238</v>
      </c>
      <c r="K25" s="515"/>
      <c r="L25" s="515" t="str">
        <f>"פ"</f>
        <v>פ</v>
      </c>
      <c r="M25" s="515" t="str">
        <f>"ביטול ל 21001237"</f>
        <v>ביטול ל 21001237</v>
      </c>
      <c r="N25" s="515">
        <v>0</v>
      </c>
      <c r="O25" s="515">
        <v>-166.18</v>
      </c>
      <c r="P25" s="515">
        <v>-8136618.6200000001</v>
      </c>
      <c r="Q25" s="515" t="str">
        <f t="shared" si="0"/>
        <v>AUD</v>
      </c>
      <c r="R25" s="515"/>
      <c r="S25" s="515" t="s">
        <v>4412</v>
      </c>
      <c r="T25" s="515" t="s">
        <v>4412</v>
      </c>
      <c r="U25" s="515" t="str">
        <f>"7020039"</f>
        <v>7020039</v>
      </c>
      <c r="V25" s="515" t="str">
        <f>"הוצאות שיווק ופרסום AUS"</f>
        <v>הוצאות שיווק ופרסום AUS</v>
      </c>
      <c r="W25" s="515"/>
      <c r="X25" s="515"/>
      <c r="Y25" s="515"/>
      <c r="Z25" s="515"/>
      <c r="AA25" s="515">
        <v>20</v>
      </c>
      <c r="AB25" s="515">
        <v>20</v>
      </c>
      <c r="AC25" s="515">
        <v>0</v>
      </c>
      <c r="AD25" s="515">
        <v>-166.18</v>
      </c>
      <c r="AE25" s="515">
        <v>0</v>
      </c>
      <c r="AF25" s="515">
        <v>-124.64</v>
      </c>
      <c r="AG25" s="515">
        <v>0</v>
      </c>
      <c r="AH25" s="515">
        <v>0</v>
      </c>
      <c r="AI25" s="515"/>
      <c r="AJ25" s="515"/>
      <c r="AK25" s="515"/>
      <c r="AL25" s="515"/>
      <c r="AM25" s="515"/>
      <c r="AN25" s="515"/>
      <c r="AO25" s="515"/>
      <c r="AP25" s="515"/>
      <c r="AQ25" s="515"/>
      <c r="AR25" s="515"/>
      <c r="AS25" s="515"/>
      <c r="AT25" s="515"/>
      <c r="AU25" s="515"/>
      <c r="AV25" s="515"/>
      <c r="AW25" s="515">
        <v>0</v>
      </c>
      <c r="AX25" s="515"/>
      <c r="AY25" s="515"/>
      <c r="AZ25" s="515"/>
      <c r="BA25" s="515"/>
      <c r="BB25" s="515"/>
      <c r="BC25" s="515"/>
      <c r="BD25" s="515"/>
      <c r="BE25" s="515"/>
      <c r="BF25" s="515"/>
      <c r="BG25" s="515"/>
      <c r="BH25" s="515"/>
      <c r="BI25" s="515"/>
      <c r="BJ25" s="515"/>
      <c r="BK25" s="515"/>
      <c r="BL25" s="515"/>
      <c r="BM25" s="515"/>
      <c r="BN25" s="515"/>
      <c r="BO25" s="515"/>
      <c r="BP25" s="515"/>
      <c r="BQ25" s="515"/>
      <c r="BR25" s="515"/>
      <c r="BS25" s="515"/>
      <c r="BT25" s="515"/>
      <c r="BU25" s="515"/>
      <c r="BV25" s="515"/>
      <c r="BW25" s="515"/>
      <c r="BX25" s="515"/>
      <c r="BY25" s="515"/>
    </row>
    <row r="26" spans="1:77" ht="13.5" thickBot="1">
      <c r="B26" s="32"/>
      <c r="I26" s="3522" t="s">
        <v>4412</v>
      </c>
      <c r="J26" s="515" t="str">
        <f>"21001239"</f>
        <v>21001239</v>
      </c>
      <c r="K26" s="515"/>
      <c r="L26" s="515" t="str">
        <f>"פ"</f>
        <v>פ</v>
      </c>
      <c r="M26" s="515" t="str">
        <f>"6/21 amazon gift"</f>
        <v>6/21 amazon gift</v>
      </c>
      <c r="N26" s="515">
        <v>0</v>
      </c>
      <c r="O26" s="515">
        <v>166.18</v>
      </c>
      <c r="P26" s="515">
        <v>-8136784.7999999998</v>
      </c>
      <c r="Q26" s="515" t="str">
        <f t="shared" si="0"/>
        <v>AUD</v>
      </c>
      <c r="R26" s="515"/>
      <c r="S26" s="515" t="s">
        <v>4412</v>
      </c>
      <c r="T26" s="515" t="s">
        <v>4412</v>
      </c>
      <c r="U26" s="515" t="str">
        <f>"7020039"</f>
        <v>7020039</v>
      </c>
      <c r="V26" s="515" t="str">
        <f>"הוצאות שיווק ופרסום AUS"</f>
        <v>הוצאות שיווק ופרסום AUS</v>
      </c>
      <c r="W26" s="515"/>
      <c r="X26" s="515"/>
      <c r="Y26" s="515"/>
      <c r="Z26" s="515"/>
      <c r="AA26" s="515">
        <v>0</v>
      </c>
      <c r="AB26" s="515">
        <v>0</v>
      </c>
      <c r="AC26" s="515">
        <v>0</v>
      </c>
      <c r="AD26" s="515">
        <v>166.18</v>
      </c>
      <c r="AE26" s="515">
        <v>0</v>
      </c>
      <c r="AF26" s="515">
        <v>128.65</v>
      </c>
      <c r="AG26" s="515">
        <v>0</v>
      </c>
      <c r="AH26" s="515">
        <v>0</v>
      </c>
      <c r="AI26" s="515"/>
      <c r="AJ26" s="515"/>
      <c r="AK26" s="515"/>
      <c r="AL26" s="515"/>
      <c r="AM26" s="515"/>
      <c r="AN26" s="515"/>
      <c r="AO26" s="515"/>
      <c r="AP26" s="515"/>
      <c r="AQ26" s="515"/>
      <c r="AR26" s="515"/>
      <c r="AS26" s="515"/>
      <c r="AT26" s="515"/>
      <c r="AU26" s="515"/>
      <c r="AV26" s="515"/>
      <c r="AW26" s="515">
        <v>0</v>
      </c>
      <c r="AX26" s="515"/>
      <c r="AY26" s="515"/>
      <c r="AZ26" s="515"/>
      <c r="BA26" s="515"/>
      <c r="BB26" s="515"/>
      <c r="BC26" s="515"/>
      <c r="BD26" s="515"/>
      <c r="BE26" s="515"/>
      <c r="BF26" s="515"/>
      <c r="BG26" s="515"/>
      <c r="BH26" s="515"/>
      <c r="BI26" s="515"/>
      <c r="BJ26" s="515"/>
      <c r="BK26" s="515"/>
      <c r="BL26" s="515"/>
      <c r="BM26" s="515"/>
      <c r="BN26" s="515"/>
      <c r="BO26" s="515"/>
      <c r="BP26" s="515"/>
      <c r="BQ26" s="515"/>
      <c r="BR26" s="515"/>
      <c r="BS26" s="515"/>
      <c r="BT26" s="515"/>
      <c r="BU26" s="515"/>
      <c r="BV26" s="515"/>
      <c r="BW26" s="515"/>
      <c r="BX26" s="515"/>
      <c r="BY26" s="515"/>
    </row>
    <row r="27" spans="1:77" ht="13.5" thickBot="1">
      <c r="B27" s="32"/>
      <c r="C27" s="956">
        <f>C25+'פ.נ. Australia'!F9</f>
        <v>183647.12700000033</v>
      </c>
      <c r="D27" s="956">
        <f>D25+'פ.נ. Australia'!E9</f>
        <v>315329.90549999848</v>
      </c>
      <c r="I27" s="3522" t="s">
        <v>4412</v>
      </c>
      <c r="J27" s="515" t="str">
        <f>"21001364"</f>
        <v>21001364</v>
      </c>
      <c r="K27" s="515"/>
      <c r="L27" s="515" t="str">
        <f>"הש"</f>
        <v>הש</v>
      </c>
      <c r="M27" s="515" t="str">
        <f>"TP CHARGE based on colle"</f>
        <v>TP CHARGE based on colle</v>
      </c>
      <c r="N27" s="515">
        <v>0</v>
      </c>
      <c r="O27" s="515">
        <v>4397077.8</v>
      </c>
      <c r="P27" s="515">
        <v>-12533862.6</v>
      </c>
      <c r="Q27" s="515" t="str">
        <f t="shared" si="0"/>
        <v>AUD</v>
      </c>
      <c r="R27" s="515"/>
      <c r="S27" s="515" t="s">
        <v>4412</v>
      </c>
      <c r="T27" s="515" t="s">
        <v>4412</v>
      </c>
      <c r="U27" s="515" t="str">
        <f>"5900001"</f>
        <v>5900001</v>
      </c>
      <c r="V27" s="515" t="str">
        <f>"עלות המכר"</f>
        <v>עלות המכר</v>
      </c>
      <c r="W27" s="515"/>
      <c r="X27" s="515"/>
      <c r="Y27" s="515"/>
      <c r="Z27" s="515"/>
      <c r="AA27" s="515">
        <v>21</v>
      </c>
      <c r="AB27" s="515">
        <v>21</v>
      </c>
      <c r="AC27" s="515">
        <v>0</v>
      </c>
      <c r="AD27" s="515">
        <v>4397077.8</v>
      </c>
      <c r="AE27" s="515">
        <v>0</v>
      </c>
      <c r="AF27" s="515">
        <v>3297808.36</v>
      </c>
      <c r="AG27" s="515">
        <v>0</v>
      </c>
      <c r="AH27" s="515">
        <v>0</v>
      </c>
      <c r="AI27" s="515"/>
      <c r="AJ27" s="515"/>
      <c r="AK27" s="515"/>
      <c r="AL27" s="515"/>
      <c r="AM27" s="515"/>
      <c r="AN27" s="515"/>
      <c r="AO27" s="515"/>
      <c r="AP27" s="515"/>
      <c r="AQ27" s="515"/>
      <c r="AR27" s="515"/>
      <c r="AS27" s="515"/>
      <c r="AT27" s="515"/>
      <c r="AU27" s="515"/>
      <c r="AV27" s="515"/>
      <c r="AW27" s="515">
        <v>0</v>
      </c>
      <c r="AX27" s="515"/>
      <c r="AY27" s="515"/>
      <c r="AZ27" s="515"/>
      <c r="BA27" s="515"/>
      <c r="BB27" s="515"/>
      <c r="BC27" s="515"/>
      <c r="BD27" s="515"/>
      <c r="BE27" s="515"/>
      <c r="BF27" s="515"/>
      <c r="BG27" s="515"/>
      <c r="BH27" s="515"/>
      <c r="BI27" s="515"/>
      <c r="BJ27" s="515"/>
      <c r="BK27" s="515"/>
      <c r="BL27" s="515"/>
      <c r="BM27" s="515"/>
      <c r="BN27" s="515"/>
      <c r="BO27" s="515"/>
      <c r="BP27" s="515"/>
      <c r="BQ27" s="515"/>
      <c r="BR27" s="515"/>
      <c r="BS27" s="515"/>
      <c r="BT27" s="515"/>
      <c r="BU27" s="515"/>
      <c r="BV27" s="515"/>
      <c r="BW27" s="515"/>
      <c r="BX27" s="515"/>
      <c r="BY27" s="515"/>
    </row>
    <row r="28" spans="1:77">
      <c r="B28" s="32"/>
      <c r="I28" s="3522" t="s">
        <v>4413</v>
      </c>
      <c r="J28" s="515" t="str">
        <f>"21001398"</f>
        <v>21001398</v>
      </c>
      <c r="K28" s="515"/>
      <c r="L28" s="515" t="str">
        <f>"פ"</f>
        <v>פ</v>
      </c>
      <c r="M28" s="515" t="str">
        <f>"מחשב נייד"</f>
        <v>מחשב נייד</v>
      </c>
      <c r="N28" s="515">
        <v>0</v>
      </c>
      <c r="O28" s="515">
        <v>3266.47</v>
      </c>
      <c r="P28" s="515">
        <v>-12537129.07</v>
      </c>
      <c r="Q28" s="515" t="str">
        <f t="shared" si="0"/>
        <v>AUD</v>
      </c>
      <c r="R28" s="515" t="str">
        <f>"12484342"</f>
        <v>12484342</v>
      </c>
      <c r="S28" s="515" t="s">
        <v>4413</v>
      </c>
      <c r="T28" s="515" t="s">
        <v>4413</v>
      </c>
      <c r="U28" s="515" t="str">
        <f>"1400001"</f>
        <v>1400001</v>
      </c>
      <c r="V28" s="515" t="str">
        <f>"מחשבים ותוכנות"</f>
        <v>מחשבים ותוכנות</v>
      </c>
      <c r="W28" s="515"/>
      <c r="X28" s="515"/>
      <c r="Y28" s="515"/>
      <c r="Z28" s="515"/>
      <c r="AA28" s="515">
        <v>0</v>
      </c>
      <c r="AB28" s="515">
        <v>0</v>
      </c>
      <c r="AC28" s="515">
        <v>0</v>
      </c>
      <c r="AD28" s="515">
        <v>3266.47</v>
      </c>
      <c r="AE28" s="515">
        <v>0</v>
      </c>
      <c r="AF28" s="515">
        <v>2395.58</v>
      </c>
      <c r="AG28" s="515">
        <v>0</v>
      </c>
      <c r="AH28" s="515">
        <v>0</v>
      </c>
      <c r="AI28" s="515"/>
      <c r="AJ28" s="515"/>
      <c r="AK28" s="515"/>
      <c r="AL28" s="515"/>
      <c r="AM28" s="515"/>
      <c r="AN28" s="515"/>
      <c r="AO28" s="515"/>
      <c r="AP28" s="515"/>
      <c r="AQ28" s="515"/>
      <c r="AR28" s="515"/>
      <c r="AS28" s="515"/>
      <c r="AT28" s="515"/>
      <c r="AU28" s="515"/>
      <c r="AV28" s="515"/>
      <c r="AW28" s="515">
        <v>0</v>
      </c>
      <c r="AX28" s="515"/>
      <c r="AY28" s="515"/>
      <c r="AZ28" s="515"/>
      <c r="BA28" s="515"/>
      <c r="BB28" s="515"/>
      <c r="BC28" s="515"/>
      <c r="BD28" s="515"/>
      <c r="BE28" s="515"/>
      <c r="BF28" s="515"/>
      <c r="BG28" s="515"/>
      <c r="BH28" s="515"/>
      <c r="BI28" s="515"/>
      <c r="BJ28" s="515"/>
      <c r="BK28" s="515"/>
      <c r="BL28" s="515"/>
      <c r="BM28" s="515"/>
      <c r="BN28" s="515"/>
      <c r="BO28" s="515"/>
      <c r="BP28" s="515"/>
      <c r="BQ28" s="515"/>
      <c r="BR28" s="515"/>
      <c r="BS28" s="515"/>
      <c r="BT28" s="515"/>
      <c r="BU28" s="515"/>
      <c r="BV28" s="515"/>
      <c r="BW28" s="515"/>
      <c r="BX28" s="515"/>
      <c r="BY28" s="515"/>
    </row>
    <row r="29" spans="1:77">
      <c r="B29" s="32"/>
      <c r="I29" s="3522" t="s">
        <v>4413</v>
      </c>
      <c r="J29" s="515" t="str">
        <f>"21001399"</f>
        <v>21001399</v>
      </c>
      <c r="K29" s="515"/>
      <c r="L29" s="515" t="str">
        <f>"פ"</f>
        <v>פ</v>
      </c>
      <c r="M29" s="515" t="str">
        <f>"מחשב נייד"</f>
        <v>מחשב נייד</v>
      </c>
      <c r="N29" s="515">
        <v>0</v>
      </c>
      <c r="O29" s="515">
        <v>2207.87</v>
      </c>
      <c r="P29" s="515">
        <v>-12539336.939999999</v>
      </c>
      <c r="Q29" s="515" t="str">
        <f t="shared" si="0"/>
        <v>AUD</v>
      </c>
      <c r="R29" s="515"/>
      <c r="S29" s="515" t="s">
        <v>4413</v>
      </c>
      <c r="T29" s="515" t="s">
        <v>4413</v>
      </c>
      <c r="U29" s="515" t="str">
        <f>"1400001"</f>
        <v>1400001</v>
      </c>
      <c r="V29" s="515" t="str">
        <f>"מחשבים ותוכנות"</f>
        <v>מחשבים ותוכנות</v>
      </c>
      <c r="W29" s="515"/>
      <c r="X29" s="515"/>
      <c r="Y29" s="515"/>
      <c r="Z29" s="515"/>
      <c r="AA29" s="515">
        <v>0</v>
      </c>
      <c r="AB29" s="515">
        <v>0</v>
      </c>
      <c r="AC29" s="515">
        <v>0</v>
      </c>
      <c r="AD29" s="515">
        <v>2207.87</v>
      </c>
      <c r="AE29" s="515">
        <v>0</v>
      </c>
      <c r="AF29" s="515">
        <v>1669.77</v>
      </c>
      <c r="AG29" s="515">
        <v>0</v>
      </c>
      <c r="AH29" s="515">
        <v>0</v>
      </c>
      <c r="AI29" s="515"/>
      <c r="AJ29" s="515"/>
      <c r="AK29" s="515"/>
      <c r="AL29" s="515"/>
      <c r="AM29" s="515"/>
      <c r="AN29" s="515"/>
      <c r="AO29" s="515"/>
      <c r="AP29" s="515"/>
      <c r="AQ29" s="515"/>
      <c r="AR29" s="515"/>
      <c r="AS29" s="515"/>
      <c r="AT29" s="515"/>
      <c r="AU29" s="515"/>
      <c r="AV29" s="515"/>
      <c r="AW29" s="515">
        <v>0</v>
      </c>
      <c r="AX29" s="515"/>
      <c r="AY29" s="515"/>
      <c r="AZ29" s="515"/>
      <c r="BA29" s="515"/>
      <c r="BB29" s="515"/>
      <c r="BC29" s="515"/>
      <c r="BD29" s="515"/>
      <c r="BE29" s="515"/>
      <c r="BF29" s="515"/>
      <c r="BG29" s="515"/>
      <c r="BH29" s="515"/>
      <c r="BI29" s="515"/>
      <c r="BJ29" s="515"/>
      <c r="BK29" s="515"/>
      <c r="BL29" s="515"/>
      <c r="BM29" s="515"/>
      <c r="BN29" s="515"/>
      <c r="BO29" s="515"/>
      <c r="BP29" s="515"/>
      <c r="BQ29" s="515"/>
      <c r="BR29" s="515"/>
      <c r="BS29" s="515"/>
      <c r="BT29" s="515"/>
      <c r="BU29" s="515"/>
      <c r="BV29" s="515"/>
      <c r="BW29" s="515"/>
      <c r="BX29" s="515"/>
      <c r="BY29" s="515"/>
    </row>
    <row r="30" spans="1:77">
      <c r="B30" s="32"/>
      <c r="I30" s="3522" t="s">
        <v>4413</v>
      </c>
      <c r="J30" s="515" t="str">
        <f>"21001400"</f>
        <v>21001400</v>
      </c>
      <c r="K30" s="515"/>
      <c r="L30" s="515" t="str">
        <f>"פ"</f>
        <v>פ</v>
      </c>
      <c r="M30" s="515" t="str">
        <f>"2 תחנות עגינה"</f>
        <v>2 תחנות עגינה</v>
      </c>
      <c r="N30" s="515">
        <v>0</v>
      </c>
      <c r="O30" s="515">
        <v>671.46</v>
      </c>
      <c r="P30" s="515">
        <v>-12540008.4</v>
      </c>
      <c r="Q30" s="515" t="str">
        <f t="shared" si="0"/>
        <v>AUD</v>
      </c>
      <c r="R30" s="515"/>
      <c r="S30" s="515" t="s">
        <v>4413</v>
      </c>
      <c r="T30" s="515" t="s">
        <v>4413</v>
      </c>
      <c r="U30" s="515" t="str">
        <f>"1400001"</f>
        <v>1400001</v>
      </c>
      <c r="V30" s="515" t="str">
        <f>"מחשבים ותוכנות"</f>
        <v>מחשבים ותוכנות</v>
      </c>
      <c r="W30" s="515"/>
      <c r="X30" s="515"/>
      <c r="Y30" s="515"/>
      <c r="Z30" s="515"/>
      <c r="AA30" s="515">
        <v>0</v>
      </c>
      <c r="AB30" s="515">
        <v>0</v>
      </c>
      <c r="AC30" s="515">
        <v>0</v>
      </c>
      <c r="AD30" s="515">
        <v>671.46</v>
      </c>
      <c r="AE30" s="515">
        <v>0</v>
      </c>
      <c r="AF30" s="515">
        <v>492.44</v>
      </c>
      <c r="AG30" s="515">
        <v>0</v>
      </c>
      <c r="AH30" s="515">
        <v>0</v>
      </c>
      <c r="AI30" s="515"/>
      <c r="AJ30" s="515"/>
      <c r="AK30" s="515"/>
      <c r="AL30" s="515"/>
      <c r="AM30" s="515"/>
      <c r="AN30" s="515"/>
      <c r="AO30" s="515"/>
      <c r="AP30" s="515"/>
      <c r="AQ30" s="515"/>
      <c r="AR30" s="515"/>
      <c r="AS30" s="515"/>
      <c r="AT30" s="515"/>
      <c r="AU30" s="515"/>
      <c r="AV30" s="515"/>
      <c r="AW30" s="515">
        <v>0</v>
      </c>
      <c r="AX30" s="515"/>
      <c r="AY30" s="515"/>
      <c r="AZ30" s="515"/>
      <c r="BA30" s="515"/>
      <c r="BB30" s="515"/>
      <c r="BC30" s="515"/>
      <c r="BD30" s="515"/>
      <c r="BE30" s="515"/>
      <c r="BF30" s="515"/>
      <c r="BG30" s="515"/>
      <c r="BH30" s="515"/>
      <c r="BI30" s="515"/>
      <c r="BJ30" s="515"/>
      <c r="BK30" s="515"/>
      <c r="BL30" s="515"/>
      <c r="BM30" s="515"/>
      <c r="BN30" s="515"/>
      <c r="BO30" s="515"/>
      <c r="BP30" s="515"/>
      <c r="BQ30" s="515"/>
      <c r="BR30" s="515"/>
      <c r="BS30" s="515"/>
      <c r="BT30" s="515"/>
      <c r="BU30" s="515"/>
      <c r="BV30" s="515"/>
      <c r="BW30" s="515"/>
      <c r="BX30" s="515"/>
      <c r="BY30" s="515"/>
    </row>
    <row r="31" spans="1:77">
      <c r="B31" s="32"/>
      <c r="I31" s="3522" t="s">
        <v>4414</v>
      </c>
      <c r="J31" s="515" t="str">
        <f>"21001397"</f>
        <v>21001397</v>
      </c>
      <c r="K31" s="515"/>
      <c r="L31" s="515" t="str">
        <f>"פ"</f>
        <v>פ</v>
      </c>
      <c r="M31" s="515" t="str">
        <f>"7/21 amazon gift"</f>
        <v>7/21 amazon gift</v>
      </c>
      <c r="N31" s="515">
        <v>0</v>
      </c>
      <c r="O31" s="515">
        <v>49.87</v>
      </c>
      <c r="P31" s="515">
        <v>-12540058.27</v>
      </c>
      <c r="Q31" s="515" t="str">
        <f t="shared" si="0"/>
        <v>AUD</v>
      </c>
      <c r="R31" s="515"/>
      <c r="S31" s="515" t="s">
        <v>4414</v>
      </c>
      <c r="T31" s="515" t="s">
        <v>4414</v>
      </c>
      <c r="U31" s="515" t="str">
        <f>"7020039"</f>
        <v>7020039</v>
      </c>
      <c r="V31" s="515" t="str">
        <f>"הוצאות שיווק ופרסום AUS"</f>
        <v>הוצאות שיווק ופרסום AUS</v>
      </c>
      <c r="W31" s="515"/>
      <c r="X31" s="515"/>
      <c r="Y31" s="515"/>
      <c r="Z31" s="515"/>
      <c r="AA31" s="515">
        <v>0</v>
      </c>
      <c r="AB31" s="515">
        <v>0</v>
      </c>
      <c r="AC31" s="515">
        <v>0</v>
      </c>
      <c r="AD31" s="515">
        <v>49.87</v>
      </c>
      <c r="AE31" s="515">
        <v>0</v>
      </c>
      <c r="AF31" s="515">
        <v>37.380000000000003</v>
      </c>
      <c r="AG31" s="515">
        <v>0</v>
      </c>
      <c r="AH31" s="515">
        <v>0</v>
      </c>
      <c r="AI31" s="515"/>
      <c r="AJ31" s="515"/>
      <c r="AK31" s="515"/>
      <c r="AL31" s="515"/>
      <c r="AM31" s="515"/>
      <c r="AN31" s="515"/>
      <c r="AO31" s="515"/>
      <c r="AP31" s="515"/>
      <c r="AQ31" s="515"/>
      <c r="AR31" s="515"/>
      <c r="AS31" s="515"/>
      <c r="AT31" s="515"/>
      <c r="AU31" s="515"/>
      <c r="AV31" s="515"/>
      <c r="AW31" s="515">
        <v>0</v>
      </c>
      <c r="AX31" s="515"/>
      <c r="AY31" s="515"/>
      <c r="AZ31" s="515"/>
      <c r="BA31" s="515"/>
      <c r="BB31" s="515"/>
      <c r="BC31" s="515"/>
      <c r="BD31" s="515"/>
      <c r="BE31" s="515"/>
      <c r="BF31" s="515"/>
      <c r="BG31" s="515"/>
      <c r="BH31" s="515"/>
      <c r="BI31" s="515"/>
      <c r="BJ31" s="515"/>
      <c r="BK31" s="515"/>
      <c r="BL31" s="515"/>
      <c r="BM31" s="515"/>
      <c r="BN31" s="515"/>
      <c r="BO31" s="515"/>
      <c r="BP31" s="515"/>
      <c r="BQ31" s="515"/>
      <c r="BR31" s="515"/>
      <c r="BS31" s="515"/>
      <c r="BT31" s="515"/>
      <c r="BU31" s="515"/>
      <c r="BV31" s="515"/>
      <c r="BW31" s="515"/>
      <c r="BX31" s="515"/>
      <c r="BY31" s="515"/>
    </row>
    <row r="32" spans="1:77">
      <c r="I32" s="3522" t="s">
        <v>4414</v>
      </c>
      <c r="J32" s="515" t="str">
        <f>"21001401"</f>
        <v>21001401</v>
      </c>
      <c r="K32" s="515"/>
      <c r="L32" s="515" t="str">
        <f>"הש"</f>
        <v>הש</v>
      </c>
      <c r="M32" s="515" t="str">
        <f>"Exchange Rate Adjustment"</f>
        <v>Exchange Rate Adjustment</v>
      </c>
      <c r="N32" s="515">
        <v>0</v>
      </c>
      <c r="O32" s="515">
        <v>0</v>
      </c>
      <c r="P32" s="515">
        <v>-12540058.27</v>
      </c>
      <c r="Q32" s="515" t="str">
        <f t="shared" si="0"/>
        <v>AUD</v>
      </c>
      <c r="R32" s="515"/>
      <c r="S32" s="515" t="s">
        <v>4414</v>
      </c>
      <c r="T32" s="515" t="s">
        <v>4414</v>
      </c>
      <c r="U32" s="515" t="str">
        <f>"9010002"</f>
        <v>9010002</v>
      </c>
      <c r="V32" s="515" t="str">
        <f>"הפרשי שער"</f>
        <v>הפרשי שער</v>
      </c>
      <c r="W32" s="515"/>
      <c r="X32" s="515"/>
      <c r="Y32" s="515"/>
      <c r="Z32" s="515"/>
      <c r="AA32" s="515">
        <v>-1</v>
      </c>
      <c r="AB32" s="515">
        <v>-1</v>
      </c>
      <c r="AC32" s="515">
        <v>0</v>
      </c>
      <c r="AD32" s="515">
        <v>0</v>
      </c>
      <c r="AE32" s="515">
        <v>125430.6</v>
      </c>
      <c r="AF32" s="515">
        <v>0</v>
      </c>
      <c r="AG32" s="515">
        <v>0</v>
      </c>
      <c r="AH32" s="515">
        <v>0</v>
      </c>
      <c r="AI32" s="515"/>
      <c r="AJ32" s="515"/>
      <c r="AK32" s="515"/>
      <c r="AL32" s="515"/>
      <c r="AM32" s="515"/>
      <c r="AN32" s="515"/>
      <c r="AO32" s="515"/>
      <c r="AP32" s="515"/>
      <c r="AQ32" s="515"/>
      <c r="AR32" s="515"/>
      <c r="AS32" s="515"/>
      <c r="AT32" s="515"/>
      <c r="AU32" s="515"/>
      <c r="AV32" s="515"/>
      <c r="AW32" s="515">
        <v>0</v>
      </c>
      <c r="AX32" s="515"/>
      <c r="AY32" s="515"/>
      <c r="AZ32" s="515"/>
      <c r="BA32" s="515"/>
      <c r="BB32" s="515"/>
      <c r="BC32" s="515"/>
      <c r="BD32" s="515"/>
      <c r="BE32" s="515"/>
      <c r="BF32" s="515"/>
      <c r="BG32" s="515"/>
      <c r="BH32" s="515"/>
      <c r="BI32" s="515"/>
      <c r="BJ32" s="515"/>
      <c r="BK32" s="515"/>
      <c r="BL32" s="515"/>
      <c r="BM32" s="515"/>
      <c r="BN32" s="515"/>
      <c r="BO32" s="515"/>
      <c r="BP32" s="515"/>
      <c r="BQ32" s="515"/>
      <c r="BR32" s="515"/>
      <c r="BS32" s="515"/>
      <c r="BT32" s="515"/>
      <c r="BU32" s="515"/>
      <c r="BV32" s="515"/>
      <c r="BW32" s="515"/>
      <c r="BX32" s="515"/>
      <c r="BY32" s="515"/>
    </row>
    <row r="33" spans="9:77">
      <c r="I33" s="3522" t="s">
        <v>4415</v>
      </c>
      <c r="J33" s="515" t="str">
        <f>"21001445"</f>
        <v>21001445</v>
      </c>
      <c r="K33" s="515"/>
      <c r="L33" s="515" t="str">
        <f>"הש"</f>
        <v>הש</v>
      </c>
      <c r="M33" s="515" t="str">
        <f>"ביטול ל 21001364"</f>
        <v>ביטול ל 21001364</v>
      </c>
      <c r="N33" s="515">
        <v>0</v>
      </c>
      <c r="O33" s="515">
        <v>-4397077.8</v>
      </c>
      <c r="P33" s="515">
        <v>-8142980.4699999997</v>
      </c>
      <c r="Q33" s="515" t="str">
        <f t="shared" si="0"/>
        <v>AUD</v>
      </c>
      <c r="R33" s="515"/>
      <c r="S33" s="515" t="s">
        <v>4412</v>
      </c>
      <c r="T33" s="515" t="s">
        <v>4415</v>
      </c>
      <c r="U33" s="515" t="str">
        <f>"5900001"</f>
        <v>5900001</v>
      </c>
      <c r="V33" s="515" t="str">
        <f>"עלות המכר"</f>
        <v>עלות המכר</v>
      </c>
      <c r="W33" s="515"/>
      <c r="X33" s="515"/>
      <c r="Y33" s="515"/>
      <c r="Z33" s="515"/>
      <c r="AA33" s="515">
        <v>21</v>
      </c>
      <c r="AB33" s="515">
        <v>21</v>
      </c>
      <c r="AC33" s="515">
        <v>0</v>
      </c>
      <c r="AD33" s="515">
        <v>-4397077.8</v>
      </c>
      <c r="AE33" s="515">
        <v>0</v>
      </c>
      <c r="AF33" s="515">
        <v>-3297808.36</v>
      </c>
      <c r="AG33" s="515">
        <v>0</v>
      </c>
      <c r="AH33" s="515">
        <v>0</v>
      </c>
      <c r="AI33" s="515"/>
      <c r="AJ33" s="515"/>
      <c r="AK33" s="515"/>
      <c r="AL33" s="515"/>
      <c r="AM33" s="515"/>
      <c r="AN33" s="515"/>
      <c r="AO33" s="515"/>
      <c r="AP33" s="515"/>
      <c r="AQ33" s="515"/>
      <c r="AR33" s="515"/>
      <c r="AS33" s="515"/>
      <c r="AT33" s="515"/>
      <c r="AU33" s="515"/>
      <c r="AV33" s="515"/>
      <c r="AW33" s="515">
        <v>0</v>
      </c>
      <c r="AX33" s="515"/>
      <c r="AY33" s="515"/>
      <c r="AZ33" s="515"/>
      <c r="BA33" s="515"/>
      <c r="BB33" s="515"/>
      <c r="BC33" s="515"/>
      <c r="BD33" s="515"/>
      <c r="BE33" s="515"/>
      <c r="BF33" s="515"/>
      <c r="BG33" s="515"/>
      <c r="BH33" s="515"/>
      <c r="BI33" s="515"/>
      <c r="BJ33" s="515"/>
      <c r="BK33" s="515"/>
      <c r="BL33" s="515"/>
      <c r="BM33" s="515"/>
      <c r="BN33" s="515"/>
      <c r="BO33" s="515"/>
      <c r="BP33" s="515"/>
      <c r="BQ33" s="515"/>
      <c r="BR33" s="515"/>
      <c r="BS33" s="515"/>
      <c r="BT33" s="515"/>
      <c r="BU33" s="515"/>
      <c r="BV33" s="515"/>
      <c r="BW33" s="515"/>
      <c r="BX33" s="515"/>
      <c r="BY33" s="515"/>
    </row>
    <row r="34" spans="9:77">
      <c r="I34" s="3522" t="s">
        <v>4415</v>
      </c>
      <c r="J34" s="515" t="str">
        <f>"21001446"</f>
        <v>21001446</v>
      </c>
      <c r="K34" s="515" t="str">
        <f>"IL218000179"</f>
        <v>IL218000179</v>
      </c>
      <c r="L34" s="515" t="str">
        <f>"פ"</f>
        <v>פ</v>
      </c>
      <c r="M34" s="515" t="str">
        <f>"TP Invoice – Q2/2021"</f>
        <v>TP Invoice – Q2/2021</v>
      </c>
      <c r="N34" s="515">
        <v>0</v>
      </c>
      <c r="O34" s="515">
        <v>4397077.8</v>
      </c>
      <c r="P34" s="515">
        <v>-12540058.27</v>
      </c>
      <c r="Q34" s="515" t="str">
        <f t="shared" si="0"/>
        <v>AUD</v>
      </c>
      <c r="R34" s="515"/>
      <c r="S34" s="515" t="s">
        <v>4415</v>
      </c>
      <c r="T34" s="515" t="s">
        <v>4415</v>
      </c>
      <c r="U34" s="515" t="str">
        <f>"5900001"</f>
        <v>5900001</v>
      </c>
      <c r="V34" s="515" t="str">
        <f>"עלות המכר"</f>
        <v>עלות המכר</v>
      </c>
      <c r="W34" s="515"/>
      <c r="X34" s="515"/>
      <c r="Y34" s="515"/>
      <c r="Z34" s="515"/>
      <c r="AA34" s="515">
        <v>0</v>
      </c>
      <c r="AB34" s="515">
        <v>0</v>
      </c>
      <c r="AC34" s="515">
        <v>0</v>
      </c>
      <c r="AD34" s="515">
        <v>4397077.8</v>
      </c>
      <c r="AE34" s="515">
        <v>0</v>
      </c>
      <c r="AF34" s="515">
        <v>3222329.98</v>
      </c>
      <c r="AG34" s="515">
        <v>0</v>
      </c>
      <c r="AH34" s="515">
        <v>0</v>
      </c>
      <c r="AI34" s="515"/>
      <c r="AJ34" s="515"/>
      <c r="AK34" s="515"/>
      <c r="AL34" s="515"/>
      <c r="AM34" s="515"/>
      <c r="AN34" s="515"/>
      <c r="AO34" s="515"/>
      <c r="AP34" s="515"/>
      <c r="AQ34" s="515"/>
      <c r="AR34" s="515"/>
      <c r="AS34" s="515"/>
      <c r="AT34" s="515"/>
      <c r="AU34" s="515"/>
      <c r="AV34" s="515"/>
      <c r="AW34" s="515">
        <v>0</v>
      </c>
      <c r="AX34" s="515"/>
      <c r="AY34" s="515"/>
      <c r="AZ34" s="515"/>
      <c r="BA34" s="515"/>
      <c r="BB34" s="515"/>
      <c r="BC34" s="515"/>
      <c r="BD34" s="515"/>
      <c r="BE34" s="515"/>
      <c r="BF34" s="515"/>
      <c r="BG34" s="515"/>
      <c r="BH34" s="515"/>
      <c r="BI34" s="515"/>
      <c r="BJ34" s="515"/>
      <c r="BK34" s="515"/>
      <c r="BL34" s="515"/>
      <c r="BM34" s="515"/>
      <c r="BN34" s="515"/>
      <c r="BO34" s="515"/>
      <c r="BP34" s="515"/>
      <c r="BQ34" s="515"/>
      <c r="BR34" s="515"/>
      <c r="BS34" s="515"/>
      <c r="BT34" s="515"/>
      <c r="BU34" s="515"/>
      <c r="BV34" s="515"/>
      <c r="BW34" s="515"/>
      <c r="BX34" s="515"/>
      <c r="BY34" s="515"/>
    </row>
    <row r="35" spans="9:77">
      <c r="I35" s="3522" t="s">
        <v>4415</v>
      </c>
      <c r="J35" s="515" t="str">
        <f>"21001553"</f>
        <v>21001553</v>
      </c>
      <c r="K35" s="515"/>
      <c r="L35" s="515" t="str">
        <f>"הש"</f>
        <v>הש</v>
      </c>
      <c r="M35" s="515" t="str">
        <f>"Exchange Rate Adjustment"</f>
        <v>Exchange Rate Adjustment</v>
      </c>
      <c r="N35" s="515">
        <v>0</v>
      </c>
      <c r="O35" s="515">
        <v>0</v>
      </c>
      <c r="P35" s="515">
        <v>-12540058.27</v>
      </c>
      <c r="Q35" s="515" t="str">
        <f t="shared" si="0"/>
        <v>AUD</v>
      </c>
      <c r="R35" s="515"/>
      <c r="S35" s="515" t="s">
        <v>4415</v>
      </c>
      <c r="T35" s="515" t="s">
        <v>4415</v>
      </c>
      <c r="U35" s="515" t="str">
        <f>"9010002"</f>
        <v>9010002</v>
      </c>
      <c r="V35" s="515" t="str">
        <f>"הפרשי שער"</f>
        <v>הפרשי שער</v>
      </c>
      <c r="W35" s="515"/>
      <c r="X35" s="515"/>
      <c r="Y35" s="515"/>
      <c r="Z35" s="515"/>
      <c r="AA35" s="515">
        <v>-1</v>
      </c>
      <c r="AB35" s="515">
        <v>-1</v>
      </c>
      <c r="AC35" s="515">
        <v>0</v>
      </c>
      <c r="AD35" s="515">
        <v>0</v>
      </c>
      <c r="AE35" s="515">
        <v>14300.78</v>
      </c>
      <c r="AF35" s="515">
        <v>0</v>
      </c>
      <c r="AG35" s="515">
        <v>0</v>
      </c>
      <c r="AH35" s="515">
        <v>0</v>
      </c>
      <c r="AI35" s="515"/>
      <c r="AJ35" s="515"/>
      <c r="AK35" s="515"/>
      <c r="AL35" s="515"/>
      <c r="AM35" s="515"/>
      <c r="AN35" s="515"/>
      <c r="AO35" s="515"/>
      <c r="AP35" s="515"/>
      <c r="AQ35" s="515"/>
      <c r="AR35" s="515"/>
      <c r="AS35" s="515"/>
      <c r="AT35" s="515"/>
      <c r="AU35" s="515"/>
      <c r="AV35" s="515"/>
      <c r="AW35" s="515">
        <v>0</v>
      </c>
      <c r="AX35" s="515"/>
      <c r="AY35" s="515"/>
      <c r="AZ35" s="515"/>
      <c r="BA35" s="515"/>
      <c r="BB35" s="515"/>
      <c r="BC35" s="515"/>
      <c r="BD35" s="515"/>
      <c r="BE35" s="515"/>
      <c r="BF35" s="515"/>
      <c r="BG35" s="515"/>
      <c r="BH35" s="515"/>
      <c r="BI35" s="515"/>
      <c r="BJ35" s="515"/>
      <c r="BK35" s="515"/>
      <c r="BL35" s="515"/>
      <c r="BM35" s="515"/>
      <c r="BN35" s="515"/>
      <c r="BO35" s="515"/>
      <c r="BP35" s="515"/>
      <c r="BQ35" s="515"/>
      <c r="BR35" s="515"/>
      <c r="BS35" s="515"/>
      <c r="BT35" s="515"/>
      <c r="BU35" s="515"/>
      <c r="BV35" s="515"/>
      <c r="BW35" s="515"/>
      <c r="BX35" s="515"/>
      <c r="BY35" s="515"/>
    </row>
    <row r="36" spans="9:77">
      <c r="I36" s="3522" t="s">
        <v>4416</v>
      </c>
      <c r="J36" s="515" t="str">
        <f>"21001712"</f>
        <v>21001712</v>
      </c>
      <c r="K36" s="515"/>
      <c r="L36" s="515" t="str">
        <f>"הש"</f>
        <v>הש</v>
      </c>
      <c r="M36" s="515" t="str">
        <f>"Exchange Rate Adjustment"</f>
        <v>Exchange Rate Adjustment</v>
      </c>
      <c r="N36" s="515">
        <v>0</v>
      </c>
      <c r="O36" s="515">
        <v>0</v>
      </c>
      <c r="P36" s="515">
        <v>-12540058.27</v>
      </c>
      <c r="Q36" s="515" t="str">
        <f t="shared" si="0"/>
        <v>AUD</v>
      </c>
      <c r="R36" s="515"/>
      <c r="S36" s="515" t="s">
        <v>4416</v>
      </c>
      <c r="T36" s="515" t="s">
        <v>4416</v>
      </c>
      <c r="U36" s="515" t="str">
        <f>"9010002"</f>
        <v>9010002</v>
      </c>
      <c r="V36" s="515" t="str">
        <f>"הפרשי שער"</f>
        <v>הפרשי שער</v>
      </c>
      <c r="W36" s="515"/>
      <c r="X36" s="515"/>
      <c r="Y36" s="515"/>
      <c r="Z36" s="515"/>
      <c r="AA36" s="515">
        <v>-1</v>
      </c>
      <c r="AB36" s="515">
        <v>-1</v>
      </c>
      <c r="AC36" s="515">
        <v>0</v>
      </c>
      <c r="AD36" s="515">
        <v>0</v>
      </c>
      <c r="AE36" s="515">
        <v>170964.05</v>
      </c>
      <c r="AF36" s="515">
        <v>0</v>
      </c>
      <c r="AG36" s="515">
        <v>0</v>
      </c>
      <c r="AH36" s="515">
        <v>0</v>
      </c>
      <c r="AI36" s="515"/>
      <c r="AJ36" s="515"/>
      <c r="AK36" s="515"/>
      <c r="AL36" s="515"/>
      <c r="AM36" s="515"/>
      <c r="AN36" s="515"/>
      <c r="AO36" s="515"/>
      <c r="AP36" s="515"/>
      <c r="AQ36" s="515"/>
      <c r="AR36" s="515"/>
      <c r="AS36" s="515"/>
      <c r="AT36" s="515"/>
      <c r="AU36" s="515"/>
      <c r="AV36" s="515"/>
      <c r="AW36" s="515">
        <v>0</v>
      </c>
      <c r="AX36" s="515"/>
      <c r="AY36" s="515"/>
      <c r="AZ36" s="515"/>
      <c r="BA36" s="515"/>
      <c r="BB36" s="515"/>
      <c r="BC36" s="515"/>
      <c r="BD36" s="515"/>
      <c r="BE36" s="515"/>
      <c r="BF36" s="515"/>
      <c r="BG36" s="515"/>
      <c r="BH36" s="515"/>
      <c r="BI36" s="515"/>
      <c r="BJ36" s="515"/>
      <c r="BK36" s="515"/>
      <c r="BL36" s="515"/>
      <c r="BM36" s="515"/>
      <c r="BN36" s="515"/>
      <c r="BO36" s="515"/>
      <c r="BP36" s="515"/>
      <c r="BQ36" s="515"/>
      <c r="BR36" s="515"/>
      <c r="BS36" s="515"/>
      <c r="BT36" s="515"/>
      <c r="BU36" s="515"/>
      <c r="BV36" s="515"/>
      <c r="BW36" s="515"/>
      <c r="BX36" s="515"/>
      <c r="BY36" s="515"/>
    </row>
    <row r="37" spans="9:77">
      <c r="I37" s="3522" t="s">
        <v>4416</v>
      </c>
      <c r="J37" s="515" t="str">
        <f>"21001771"</f>
        <v>21001771</v>
      </c>
      <c r="K37" s="515"/>
      <c r="L37" s="515" t="str">
        <f>"פ"</f>
        <v>פ</v>
      </c>
      <c r="M37" s="515" t="str">
        <f>"9/21 amazon gift"</f>
        <v>9/21 amazon gift</v>
      </c>
      <c r="N37" s="515">
        <v>0</v>
      </c>
      <c r="O37" s="515">
        <v>103.6</v>
      </c>
      <c r="P37" s="515">
        <v>-12540161.869999999</v>
      </c>
      <c r="Q37" s="515" t="str">
        <f t="shared" si="0"/>
        <v>AUD</v>
      </c>
      <c r="R37" s="515"/>
      <c r="S37" s="515" t="s">
        <v>4416</v>
      </c>
      <c r="T37" s="515" t="s">
        <v>4416</v>
      </c>
      <c r="U37" s="515" t="str">
        <f>"7020039"</f>
        <v>7020039</v>
      </c>
      <c r="V37" s="515" t="str">
        <f>"הוצאות שיווק ופרסום AUS"</f>
        <v>הוצאות שיווק ופרסום AUS</v>
      </c>
      <c r="W37" s="515"/>
      <c r="X37" s="515"/>
      <c r="Y37" s="515"/>
      <c r="Z37" s="515"/>
      <c r="AA37" s="515">
        <v>0</v>
      </c>
      <c r="AB37" s="515">
        <v>0</v>
      </c>
      <c r="AC37" s="515">
        <v>0</v>
      </c>
      <c r="AD37" s="515">
        <v>103.6</v>
      </c>
      <c r="AE37" s="515">
        <v>0</v>
      </c>
      <c r="AF37" s="515">
        <v>74.510000000000005</v>
      </c>
      <c r="AG37" s="515">
        <v>0</v>
      </c>
      <c r="AH37" s="515">
        <v>0</v>
      </c>
      <c r="AI37" s="515"/>
      <c r="AJ37" s="515"/>
      <c r="AK37" s="515"/>
      <c r="AL37" s="515"/>
      <c r="AM37" s="515"/>
      <c r="AN37" s="515"/>
      <c r="AO37" s="515"/>
      <c r="AP37" s="515"/>
      <c r="AQ37" s="515"/>
      <c r="AR37" s="515"/>
      <c r="AS37" s="515"/>
      <c r="AT37" s="515"/>
      <c r="AU37" s="515"/>
      <c r="AV37" s="515"/>
      <c r="AW37" s="515">
        <v>0</v>
      </c>
      <c r="AX37" s="515"/>
      <c r="AY37" s="515"/>
      <c r="AZ37" s="515"/>
      <c r="BA37" s="515"/>
      <c r="BB37" s="515"/>
      <c r="BC37" s="515"/>
      <c r="BD37" s="515"/>
      <c r="BE37" s="515"/>
      <c r="BF37" s="515"/>
      <c r="BG37" s="515"/>
      <c r="BH37" s="515"/>
      <c r="BI37" s="515"/>
      <c r="BJ37" s="515"/>
      <c r="BK37" s="515"/>
      <c r="BL37" s="515"/>
      <c r="BM37" s="515"/>
      <c r="BN37" s="515"/>
      <c r="BO37" s="515"/>
      <c r="BP37" s="515"/>
      <c r="BQ37" s="515"/>
      <c r="BR37" s="515"/>
      <c r="BS37" s="515"/>
      <c r="BT37" s="515"/>
      <c r="BU37" s="515"/>
      <c r="BV37" s="515"/>
      <c r="BW37" s="515"/>
      <c r="BX37" s="515"/>
      <c r="BY37" s="515"/>
    </row>
    <row r="38" spans="9:77">
      <c r="I38" s="3522" t="s">
        <v>4416</v>
      </c>
      <c r="J38" s="515" t="str">
        <f>"21001783"</f>
        <v>21001783</v>
      </c>
      <c r="K38" s="515"/>
      <c r="L38" s="515" t="str">
        <f>"הש"</f>
        <v>הש</v>
      </c>
      <c r="M38" s="515" t="str">
        <f>"Exchange Rate Adjustment"</f>
        <v>Exchange Rate Adjustment</v>
      </c>
      <c r="N38" s="515">
        <v>0</v>
      </c>
      <c r="O38" s="515">
        <v>740766.02</v>
      </c>
      <c r="P38" s="515">
        <v>-13280927.890000001</v>
      </c>
      <c r="Q38" s="515" t="str">
        <f t="shared" si="0"/>
        <v>AUD</v>
      </c>
      <c r="R38" s="515"/>
      <c r="S38" s="515" t="s">
        <v>4416</v>
      </c>
      <c r="T38" s="515" t="s">
        <v>4416</v>
      </c>
      <c r="U38" s="515" t="str">
        <f>"5900001"</f>
        <v>5900001</v>
      </c>
      <c r="V38" s="515" t="str">
        <f>"עלות המכר"</f>
        <v>עלות המכר</v>
      </c>
      <c r="W38" s="515"/>
      <c r="X38" s="515"/>
      <c r="Y38" s="515"/>
      <c r="Z38" s="515"/>
      <c r="AA38" s="515">
        <v>22</v>
      </c>
      <c r="AB38" s="515">
        <v>22</v>
      </c>
      <c r="AC38" s="515">
        <v>0</v>
      </c>
      <c r="AD38" s="515">
        <v>740766.02</v>
      </c>
      <c r="AE38" s="515">
        <v>0</v>
      </c>
      <c r="AF38" s="515">
        <v>532759.67000000004</v>
      </c>
      <c r="AG38" s="515">
        <v>0</v>
      </c>
      <c r="AH38" s="515">
        <v>0</v>
      </c>
      <c r="AI38" s="515"/>
      <c r="AJ38" s="515"/>
      <c r="AK38" s="515"/>
      <c r="AL38" s="515"/>
      <c r="AM38" s="515"/>
      <c r="AN38" s="515"/>
      <c r="AO38" s="515"/>
      <c r="AP38" s="515"/>
      <c r="AQ38" s="515"/>
      <c r="AR38" s="515"/>
      <c r="AS38" s="515"/>
      <c r="AT38" s="515"/>
      <c r="AU38" s="515"/>
      <c r="AV38" s="515"/>
      <c r="AW38" s="515">
        <v>0</v>
      </c>
      <c r="AX38" s="515"/>
      <c r="AY38" s="515"/>
      <c r="AZ38" s="515"/>
      <c r="BA38" s="515"/>
      <c r="BB38" s="515"/>
      <c r="BC38" s="515"/>
      <c r="BD38" s="515"/>
      <c r="BE38" s="515"/>
      <c r="BF38" s="515"/>
      <c r="BG38" s="515"/>
      <c r="BH38" s="515"/>
      <c r="BI38" s="515"/>
      <c r="BJ38" s="515"/>
      <c r="BK38" s="515"/>
      <c r="BL38" s="515"/>
      <c r="BM38" s="515"/>
      <c r="BN38" s="515"/>
      <c r="BO38" s="515"/>
      <c r="BP38" s="515"/>
      <c r="BQ38" s="515"/>
      <c r="BR38" s="515"/>
      <c r="BS38" s="515"/>
      <c r="BT38" s="515"/>
      <c r="BU38" s="515"/>
      <c r="BV38" s="515"/>
      <c r="BW38" s="515"/>
      <c r="BX38" s="515"/>
      <c r="BY38" s="515"/>
    </row>
    <row r="39" spans="9:77">
      <c r="I39" s="3522" t="s">
        <v>4417</v>
      </c>
      <c r="J39" s="515" t="str">
        <f>"21001951"</f>
        <v>21001951</v>
      </c>
      <c r="K39" s="515"/>
      <c r="L39" s="515" t="str">
        <f>"פ"</f>
        <v>פ</v>
      </c>
      <c r="M39" s="515" t="str">
        <f>"10/21 amazon gift"</f>
        <v>10/21 amazon gift</v>
      </c>
      <c r="N39" s="515">
        <v>0</v>
      </c>
      <c r="O39" s="515">
        <v>98</v>
      </c>
      <c r="P39" s="515">
        <v>-13281025.890000001</v>
      </c>
      <c r="Q39" s="515" t="str">
        <f t="shared" si="0"/>
        <v>AUD</v>
      </c>
      <c r="R39" s="515"/>
      <c r="S39" s="515" t="s">
        <v>4417</v>
      </c>
      <c r="T39" s="515" t="s">
        <v>4417</v>
      </c>
      <c r="U39" s="515" t="str">
        <f>"7020039"</f>
        <v>7020039</v>
      </c>
      <c r="V39" s="515" t="str">
        <f>"הוצאות שיווק ופרסום AUS"</f>
        <v>הוצאות שיווק ופרסום AUS</v>
      </c>
      <c r="W39" s="515"/>
      <c r="X39" s="515"/>
      <c r="Y39" s="515"/>
      <c r="Z39" s="515"/>
      <c r="AA39" s="515">
        <v>0</v>
      </c>
      <c r="AB39" s="515">
        <v>0</v>
      </c>
      <c r="AC39" s="515">
        <v>0</v>
      </c>
      <c r="AD39" s="515">
        <v>98</v>
      </c>
      <c r="AE39" s="515">
        <v>0</v>
      </c>
      <c r="AF39" s="515">
        <v>73.95</v>
      </c>
      <c r="AG39" s="515">
        <v>0</v>
      </c>
      <c r="AH39" s="515">
        <v>0</v>
      </c>
      <c r="AI39" s="515"/>
      <c r="AJ39" s="515"/>
      <c r="AK39" s="515"/>
      <c r="AL39" s="515"/>
      <c r="AM39" s="515"/>
      <c r="AN39" s="515"/>
      <c r="AO39" s="515"/>
      <c r="AP39" s="515"/>
      <c r="AQ39" s="515"/>
      <c r="AR39" s="515"/>
      <c r="AS39" s="515"/>
      <c r="AT39" s="515"/>
      <c r="AU39" s="515"/>
      <c r="AV39" s="515"/>
      <c r="AW39" s="515">
        <v>0</v>
      </c>
      <c r="AX39" s="515"/>
      <c r="AY39" s="515"/>
      <c r="AZ39" s="515"/>
      <c r="BA39" s="515"/>
      <c r="BB39" s="515"/>
      <c r="BC39" s="515"/>
      <c r="BD39" s="515"/>
      <c r="BE39" s="515"/>
      <c r="BF39" s="515"/>
      <c r="BG39" s="515"/>
      <c r="BH39" s="515"/>
      <c r="BI39" s="515"/>
      <c r="BJ39" s="515"/>
      <c r="BK39" s="515"/>
      <c r="BL39" s="515"/>
      <c r="BM39" s="515"/>
      <c r="BN39" s="515"/>
      <c r="BO39" s="515"/>
      <c r="BP39" s="515"/>
      <c r="BQ39" s="515"/>
      <c r="BR39" s="515"/>
      <c r="BS39" s="515"/>
      <c r="BT39" s="515"/>
      <c r="BU39" s="515"/>
      <c r="BV39" s="515"/>
      <c r="BW39" s="515"/>
      <c r="BX39" s="515"/>
      <c r="BY39" s="515"/>
    </row>
    <row r="40" spans="9:77">
      <c r="I40" s="3522" t="s">
        <v>4417</v>
      </c>
      <c r="J40" s="515" t="str">
        <f>"21001958"</f>
        <v>21001958</v>
      </c>
      <c r="K40" s="515"/>
      <c r="L40" s="515" t="str">
        <f>"הש"</f>
        <v>הש</v>
      </c>
      <c r="M40" s="515" t="str">
        <f>"Exchange Rate Adjustment"</f>
        <v>Exchange Rate Adjustment</v>
      </c>
      <c r="N40" s="515">
        <v>0</v>
      </c>
      <c r="O40" s="515">
        <v>0</v>
      </c>
      <c r="P40" s="515">
        <v>-13281025.890000001</v>
      </c>
      <c r="Q40" s="515" t="str">
        <f t="shared" si="0"/>
        <v>AUD</v>
      </c>
      <c r="R40" s="515"/>
      <c r="S40" s="515" t="s">
        <v>4417</v>
      </c>
      <c r="T40" s="515" t="s">
        <v>4417</v>
      </c>
      <c r="U40" s="515" t="str">
        <f>"9010002"</f>
        <v>9010002</v>
      </c>
      <c r="V40" s="515" t="str">
        <f>"הפרשי שער"</f>
        <v>הפרשי שער</v>
      </c>
      <c r="W40" s="515"/>
      <c r="X40" s="515"/>
      <c r="Y40" s="515"/>
      <c r="Z40" s="515"/>
      <c r="AA40" s="515">
        <v>-1</v>
      </c>
      <c r="AB40" s="515">
        <v>-1</v>
      </c>
      <c r="AC40" s="515">
        <v>0</v>
      </c>
      <c r="AD40" s="515">
        <v>0</v>
      </c>
      <c r="AE40" s="515">
        <v>0</v>
      </c>
      <c r="AF40" s="515">
        <v>469598.41</v>
      </c>
      <c r="AG40" s="515">
        <v>0</v>
      </c>
      <c r="AH40" s="515">
        <v>0</v>
      </c>
      <c r="AI40" s="515"/>
      <c r="AJ40" s="515"/>
      <c r="AK40" s="515"/>
      <c r="AL40" s="515"/>
      <c r="AM40" s="515"/>
      <c r="AN40" s="515"/>
      <c r="AO40" s="515"/>
      <c r="AP40" s="515"/>
      <c r="AQ40" s="515"/>
      <c r="AR40" s="515"/>
      <c r="AS40" s="515"/>
      <c r="AT40" s="515"/>
      <c r="AU40" s="515"/>
      <c r="AV40" s="515"/>
      <c r="AW40" s="515">
        <v>0</v>
      </c>
      <c r="AX40" s="515"/>
      <c r="AY40" s="515"/>
      <c r="AZ40" s="515"/>
      <c r="BA40" s="515"/>
      <c r="BB40" s="515"/>
      <c r="BC40" s="515"/>
      <c r="BD40" s="515"/>
      <c r="BE40" s="515"/>
      <c r="BF40" s="515"/>
      <c r="BG40" s="515"/>
      <c r="BH40" s="515"/>
      <c r="BI40" s="515"/>
      <c r="BJ40" s="515"/>
      <c r="BK40" s="515"/>
      <c r="BL40" s="515"/>
      <c r="BM40" s="515"/>
      <c r="BN40" s="515"/>
      <c r="BO40" s="515"/>
      <c r="BP40" s="515"/>
      <c r="BQ40" s="515"/>
      <c r="BR40" s="515"/>
      <c r="BS40" s="515"/>
      <c r="BT40" s="515"/>
      <c r="BU40" s="515"/>
      <c r="BV40" s="515"/>
      <c r="BW40" s="515"/>
      <c r="BX40" s="515"/>
      <c r="BY40" s="515"/>
    </row>
    <row r="41" spans="9:77">
      <c r="I41" s="3523">
        <v>44207</v>
      </c>
      <c r="J41" s="515" t="str">
        <f>"21002111"</f>
        <v>21002111</v>
      </c>
      <c r="K41" s="515"/>
      <c r="L41" s="515" t="str">
        <f>"פ"</f>
        <v>פ</v>
      </c>
      <c r="M41" s="515" t="str">
        <f>"Lockdown kit"</f>
        <v>Lockdown kit</v>
      </c>
      <c r="N41" s="515">
        <v>0</v>
      </c>
      <c r="O41" s="515">
        <v>889.5</v>
      </c>
      <c r="P41" s="515">
        <v>-13281915.390000001</v>
      </c>
      <c r="Q41" s="515" t="str">
        <f t="shared" si="0"/>
        <v>AUD</v>
      </c>
      <c r="R41" s="515"/>
      <c r="S41" s="3516">
        <v>44206</v>
      </c>
      <c r="T41" s="3516">
        <v>44206</v>
      </c>
      <c r="U41" s="515" t="str">
        <f>"7020039"</f>
        <v>7020039</v>
      </c>
      <c r="V41" s="515" t="str">
        <f>"הוצאות שיווק ופרסום AUS"</f>
        <v>הוצאות שיווק ופרסום AUS</v>
      </c>
      <c r="W41" s="515"/>
      <c r="X41" s="515"/>
      <c r="Y41" s="515"/>
      <c r="Z41" s="515"/>
      <c r="AA41" s="515">
        <v>0</v>
      </c>
      <c r="AB41" s="515">
        <v>0</v>
      </c>
      <c r="AC41" s="515">
        <v>0</v>
      </c>
      <c r="AD41" s="515">
        <v>889.5</v>
      </c>
      <c r="AE41" s="515">
        <v>0</v>
      </c>
      <c r="AF41" s="515">
        <v>641.09</v>
      </c>
      <c r="AG41" s="515">
        <v>0</v>
      </c>
      <c r="AH41" s="515">
        <v>0</v>
      </c>
      <c r="AI41" s="515"/>
      <c r="AJ41" s="515"/>
      <c r="AK41" s="515"/>
      <c r="AL41" s="515"/>
      <c r="AM41" s="515"/>
      <c r="AN41" s="515"/>
      <c r="AO41" s="515"/>
      <c r="AP41" s="515"/>
      <c r="AQ41" s="515"/>
      <c r="AR41" s="515"/>
      <c r="AS41" s="515"/>
      <c r="AT41" s="515"/>
      <c r="AU41" s="515"/>
      <c r="AV41" s="515"/>
      <c r="AW41" s="515">
        <v>0</v>
      </c>
      <c r="AX41" s="515"/>
      <c r="AY41" s="515"/>
      <c r="AZ41" s="515"/>
      <c r="BA41" s="515"/>
      <c r="BB41" s="515"/>
      <c r="BC41" s="515"/>
      <c r="BD41" s="515"/>
      <c r="BE41" s="515"/>
      <c r="BF41" s="515"/>
      <c r="BG41" s="515"/>
      <c r="BH41" s="515"/>
      <c r="BI41" s="515"/>
      <c r="BJ41" s="515"/>
      <c r="BK41" s="515"/>
      <c r="BL41" s="515"/>
      <c r="BM41" s="515"/>
      <c r="BN41" s="515"/>
      <c r="BO41" s="515"/>
      <c r="BP41" s="515"/>
      <c r="BQ41" s="515"/>
      <c r="BR41" s="515"/>
      <c r="BS41" s="515"/>
      <c r="BT41" s="515"/>
      <c r="BU41" s="515"/>
      <c r="BV41" s="515"/>
      <c r="BW41" s="515"/>
      <c r="BX41" s="515"/>
      <c r="BY41" s="515"/>
    </row>
    <row r="42" spans="9:77">
      <c r="I42" s="3523">
        <v>44419</v>
      </c>
      <c r="J42" s="515" t="str">
        <f>"21001932"</f>
        <v>21001932</v>
      </c>
      <c r="K42" s="515"/>
      <c r="L42" s="515" t="str">
        <f>"הת"</f>
        <v>הת</v>
      </c>
      <c r="M42" s="515" t="str">
        <f>"ALGOSEC SYSTEM LTD"</f>
        <v>ALGOSEC SYSTEM LTD</v>
      </c>
      <c r="N42" s="515">
        <v>1700000</v>
      </c>
      <c r="O42" s="515">
        <v>0</v>
      </c>
      <c r="P42" s="515">
        <v>-11581915.390000001</v>
      </c>
      <c r="Q42" s="515" t="str">
        <f t="shared" si="0"/>
        <v>AUD</v>
      </c>
      <c r="R42" s="515"/>
      <c r="S42" s="3516">
        <v>44419</v>
      </c>
      <c r="T42" s="3516">
        <v>44419</v>
      </c>
      <c r="U42" s="515" t="str">
        <f>"1000013"</f>
        <v>1000013</v>
      </c>
      <c r="V42" s="515" t="str">
        <f>"בנק AUD"</f>
        <v>בנק AUD</v>
      </c>
      <c r="W42" s="515"/>
      <c r="X42" s="515"/>
      <c r="Y42" s="515"/>
      <c r="Z42" s="515" t="str">
        <f>"330"</f>
        <v>330</v>
      </c>
      <c r="AA42" s="515">
        <v>0</v>
      </c>
      <c r="AB42" s="515">
        <v>0</v>
      </c>
      <c r="AC42" s="515">
        <v>1700000</v>
      </c>
      <c r="AD42" s="515">
        <v>0</v>
      </c>
      <c r="AE42" s="515">
        <v>1254717.77</v>
      </c>
      <c r="AF42" s="515">
        <v>0</v>
      </c>
      <c r="AG42" s="515">
        <v>0</v>
      </c>
      <c r="AH42" s="515">
        <v>0</v>
      </c>
      <c r="AI42" s="515"/>
      <c r="AJ42" s="515"/>
      <c r="AK42" s="515"/>
      <c r="AL42" s="515"/>
      <c r="AM42" s="515"/>
      <c r="AN42" s="515"/>
      <c r="AO42" s="515"/>
      <c r="AP42" s="515"/>
      <c r="AQ42" s="515"/>
      <c r="AR42" s="515"/>
      <c r="AS42" s="515"/>
      <c r="AT42" s="515"/>
      <c r="AU42" s="515"/>
      <c r="AV42" s="515"/>
      <c r="AW42" s="515">
        <v>0</v>
      </c>
      <c r="AX42" s="515"/>
      <c r="AY42" s="515"/>
      <c r="AZ42" s="515"/>
      <c r="BA42" s="515"/>
      <c r="BB42" s="515"/>
      <c r="BC42" s="515"/>
      <c r="BD42" s="515"/>
      <c r="BE42" s="515"/>
      <c r="BF42" s="515"/>
      <c r="BG42" s="515"/>
      <c r="BH42" s="515"/>
      <c r="BI42" s="515"/>
      <c r="BJ42" s="515"/>
      <c r="BK42" s="515"/>
      <c r="BL42" s="515"/>
      <c r="BM42" s="515"/>
      <c r="BN42" s="515"/>
      <c r="BO42" s="515"/>
      <c r="BP42" s="515"/>
      <c r="BQ42" s="515"/>
      <c r="BR42" s="515"/>
      <c r="BS42" s="515"/>
      <c r="BT42" s="515"/>
      <c r="BU42" s="515"/>
      <c r="BV42" s="515"/>
      <c r="BW42" s="515"/>
      <c r="BX42" s="515"/>
      <c r="BY42" s="515"/>
    </row>
    <row r="43" spans="9:77">
      <c r="I43" s="3523">
        <v>44419</v>
      </c>
      <c r="J43" s="515" t="str">
        <f>"21001934"</f>
        <v>21001934</v>
      </c>
      <c r="K43" s="515"/>
      <c r="L43" s="515" t="str">
        <f>"הת"</f>
        <v>הת</v>
      </c>
      <c r="M43" s="515" t="str">
        <f>"ALGOSEC SYSTEMS LTD"</f>
        <v>ALGOSEC SYSTEMS LTD</v>
      </c>
      <c r="N43" s="515">
        <v>541954.4</v>
      </c>
      <c r="O43" s="515">
        <v>0</v>
      </c>
      <c r="P43" s="515">
        <v>-11039960.99</v>
      </c>
      <c r="Q43" s="515" t="str">
        <f t="shared" si="0"/>
        <v>AUD</v>
      </c>
      <c r="R43" s="515"/>
      <c r="S43" s="3516">
        <v>44419</v>
      </c>
      <c r="T43" s="3516">
        <v>44419</v>
      </c>
      <c r="U43" s="515" t="str">
        <f>"1000023"</f>
        <v>1000023</v>
      </c>
      <c r="V43" s="515" t="str">
        <f>"בנק אוסטרליה דולר"</f>
        <v>בנק אוסטרליה דולר</v>
      </c>
      <c r="W43" s="515"/>
      <c r="X43" s="515"/>
      <c r="Y43" s="515"/>
      <c r="Z43" s="515" t="str">
        <f>"330"</f>
        <v>330</v>
      </c>
      <c r="AA43" s="515">
        <v>0</v>
      </c>
      <c r="AB43" s="515">
        <v>0</v>
      </c>
      <c r="AC43" s="515">
        <v>541954.4</v>
      </c>
      <c r="AD43" s="515">
        <v>0</v>
      </c>
      <c r="AE43" s="515">
        <v>400000</v>
      </c>
      <c r="AF43" s="515">
        <v>0</v>
      </c>
      <c r="AG43" s="515">
        <v>400000</v>
      </c>
      <c r="AH43" s="515">
        <v>0</v>
      </c>
      <c r="AI43" s="515" t="str">
        <f>"USD"</f>
        <v>USD</v>
      </c>
      <c r="AJ43" s="515"/>
      <c r="AK43" s="515"/>
      <c r="AL43" s="515"/>
      <c r="AM43" s="515"/>
      <c r="AN43" s="515"/>
      <c r="AO43" s="515"/>
      <c r="AP43" s="515"/>
      <c r="AQ43" s="515"/>
      <c r="AR43" s="515"/>
      <c r="AS43" s="515"/>
      <c r="AT43" s="515"/>
      <c r="AU43" s="515"/>
      <c r="AV43" s="515"/>
      <c r="AW43" s="515">
        <v>0</v>
      </c>
      <c r="AX43" s="515"/>
      <c r="AY43" s="515"/>
      <c r="AZ43" s="515"/>
      <c r="BA43" s="515"/>
      <c r="BB43" s="515"/>
      <c r="BC43" s="515"/>
      <c r="BD43" s="515"/>
      <c r="BE43" s="515"/>
      <c r="BF43" s="515"/>
      <c r="BG43" s="515"/>
      <c r="BH43" s="515"/>
      <c r="BI43" s="515"/>
      <c r="BJ43" s="515"/>
      <c r="BK43" s="515"/>
      <c r="BL43" s="515"/>
      <c r="BM43" s="515"/>
      <c r="BN43" s="515"/>
      <c r="BO43" s="515"/>
      <c r="BP43" s="515"/>
      <c r="BQ43" s="515"/>
      <c r="BR43" s="515"/>
      <c r="BS43" s="515"/>
      <c r="BT43" s="515"/>
      <c r="BU43" s="515"/>
      <c r="BV43" s="515"/>
      <c r="BW43" s="515"/>
      <c r="BX43" s="515"/>
      <c r="BY43" s="515"/>
    </row>
    <row r="44" spans="9:77">
      <c r="I44" s="3522" t="s">
        <v>4418</v>
      </c>
      <c r="J44" s="515" t="str">
        <f>"21002025"</f>
        <v>21002025</v>
      </c>
      <c r="K44" s="515" t="str">
        <f>"IL218000251"</f>
        <v>IL218000251</v>
      </c>
      <c r="L44" s="515" t="str">
        <f>"פ"</f>
        <v>פ</v>
      </c>
      <c r="M44" s="515" t="str">
        <f>"TP Invoice – Q3/2021"</f>
        <v>TP Invoice – Q3/2021</v>
      </c>
      <c r="N44" s="515">
        <v>0</v>
      </c>
      <c r="O44" s="515">
        <v>740766.02</v>
      </c>
      <c r="P44" s="515">
        <v>-11780727.01</v>
      </c>
      <c r="Q44" s="515" t="str">
        <f t="shared" si="0"/>
        <v>AUD</v>
      </c>
      <c r="R44" s="515"/>
      <c r="S44" s="515" t="s">
        <v>4418</v>
      </c>
      <c r="T44" s="515" t="s">
        <v>4418</v>
      </c>
      <c r="U44" s="515" t="str">
        <f>"5900001"</f>
        <v>5900001</v>
      </c>
      <c r="V44" s="515" t="str">
        <f>"עלות המכר"</f>
        <v>עלות המכר</v>
      </c>
      <c r="W44" s="515"/>
      <c r="X44" s="515"/>
      <c r="Y44" s="515"/>
      <c r="Z44" s="515"/>
      <c r="AA44" s="515">
        <v>0</v>
      </c>
      <c r="AB44" s="515">
        <v>0</v>
      </c>
      <c r="AC44" s="515">
        <v>0</v>
      </c>
      <c r="AD44" s="515">
        <v>740766.02</v>
      </c>
      <c r="AE44" s="515">
        <v>0</v>
      </c>
      <c r="AF44" s="515">
        <v>529447.09</v>
      </c>
      <c r="AG44" s="515">
        <v>0</v>
      </c>
      <c r="AH44" s="515">
        <v>0</v>
      </c>
      <c r="AI44" s="515"/>
      <c r="AJ44" s="515"/>
      <c r="AK44" s="515"/>
      <c r="AL44" s="515"/>
      <c r="AM44" s="515"/>
      <c r="AN44" s="515"/>
      <c r="AO44" s="515"/>
      <c r="AP44" s="515"/>
      <c r="AQ44" s="515"/>
      <c r="AR44" s="515"/>
      <c r="AS44" s="515"/>
      <c r="AT44" s="515"/>
      <c r="AU44" s="515"/>
      <c r="AV44" s="515"/>
      <c r="AW44" s="515">
        <v>0</v>
      </c>
      <c r="AX44" s="515"/>
      <c r="AY44" s="515"/>
      <c r="AZ44" s="515"/>
      <c r="BA44" s="515"/>
      <c r="BB44" s="515"/>
      <c r="BC44" s="515"/>
      <c r="BD44" s="515"/>
      <c r="BE44" s="515"/>
      <c r="BF44" s="515"/>
      <c r="BG44" s="515"/>
      <c r="BH44" s="515"/>
      <c r="BI44" s="515"/>
      <c r="BJ44" s="515"/>
      <c r="BK44" s="515"/>
      <c r="BL44" s="515"/>
      <c r="BM44" s="515"/>
      <c r="BN44" s="515"/>
      <c r="BO44" s="515"/>
      <c r="BP44" s="515"/>
      <c r="BQ44" s="515"/>
      <c r="BR44" s="515"/>
      <c r="BS44" s="515"/>
      <c r="BT44" s="515"/>
      <c r="BU44" s="515"/>
      <c r="BV44" s="515"/>
      <c r="BW44" s="515"/>
      <c r="BX44" s="515"/>
      <c r="BY44" s="515"/>
    </row>
    <row r="45" spans="9:77">
      <c r="I45" s="3522" t="s">
        <v>4418</v>
      </c>
      <c r="J45" s="515" t="str">
        <f>"21002026"</f>
        <v>21002026</v>
      </c>
      <c r="K45" s="515"/>
      <c r="L45" s="515" t="str">
        <f>"הש"</f>
        <v>הש</v>
      </c>
      <c r="M45" s="515" t="str">
        <f>"ביטול ל 21001783"</f>
        <v>ביטול ל 21001783</v>
      </c>
      <c r="N45" s="515">
        <v>0</v>
      </c>
      <c r="O45" s="515">
        <v>-740766.02</v>
      </c>
      <c r="P45" s="515">
        <v>-11039960.99</v>
      </c>
      <c r="Q45" s="515" t="str">
        <f t="shared" si="0"/>
        <v>AUD</v>
      </c>
      <c r="R45" s="515"/>
      <c r="S45" s="515" t="s">
        <v>4416</v>
      </c>
      <c r="T45" s="515" t="s">
        <v>4418</v>
      </c>
      <c r="U45" s="515" t="str">
        <f>"5900001"</f>
        <v>5900001</v>
      </c>
      <c r="V45" s="515" t="str">
        <f>"עלות המכר"</f>
        <v>עלות המכר</v>
      </c>
      <c r="W45" s="515"/>
      <c r="X45" s="515"/>
      <c r="Y45" s="515"/>
      <c r="Z45" s="515"/>
      <c r="AA45" s="515">
        <v>22</v>
      </c>
      <c r="AB45" s="515">
        <v>22</v>
      </c>
      <c r="AC45" s="515">
        <v>0</v>
      </c>
      <c r="AD45" s="515">
        <v>-740766.02</v>
      </c>
      <c r="AE45" s="515">
        <v>0</v>
      </c>
      <c r="AF45" s="515">
        <v>-532759.67000000004</v>
      </c>
      <c r="AG45" s="515">
        <v>0</v>
      </c>
      <c r="AH45" s="515">
        <v>0</v>
      </c>
      <c r="AI45" s="515"/>
      <c r="AJ45" s="515"/>
      <c r="AK45" s="515"/>
      <c r="AL45" s="515"/>
      <c r="AM45" s="515"/>
      <c r="AN45" s="515"/>
      <c r="AO45" s="515"/>
      <c r="AP45" s="515"/>
      <c r="AQ45" s="515"/>
      <c r="AR45" s="515"/>
      <c r="AS45" s="515"/>
      <c r="AT45" s="515"/>
      <c r="AU45" s="515"/>
      <c r="AV45" s="515"/>
      <c r="AW45" s="515">
        <v>0</v>
      </c>
      <c r="AX45" s="515"/>
      <c r="AY45" s="515"/>
      <c r="AZ45" s="515"/>
      <c r="BA45" s="515"/>
      <c r="BB45" s="515"/>
      <c r="BC45" s="515"/>
      <c r="BD45" s="515"/>
      <c r="BE45" s="515"/>
      <c r="BF45" s="515"/>
      <c r="BG45" s="515"/>
      <c r="BH45" s="515"/>
      <c r="BI45" s="515"/>
      <c r="BJ45" s="515"/>
      <c r="BK45" s="515"/>
      <c r="BL45" s="515"/>
      <c r="BM45" s="515"/>
      <c r="BN45" s="515"/>
      <c r="BO45" s="515"/>
      <c r="BP45" s="515"/>
      <c r="BQ45" s="515"/>
      <c r="BR45" s="515"/>
      <c r="BS45" s="515"/>
      <c r="BT45" s="515"/>
      <c r="BU45" s="515"/>
      <c r="BV45" s="515"/>
      <c r="BW45" s="515"/>
      <c r="BX45" s="515"/>
      <c r="BY45" s="515"/>
    </row>
    <row r="46" spans="9:77">
      <c r="I46" s="3522" t="s">
        <v>4419</v>
      </c>
      <c r="J46" s="515" t="str">
        <f>"21000163"</f>
        <v>21000163</v>
      </c>
      <c r="K46" s="515"/>
      <c r="L46" s="515" t="str">
        <f>"פ"</f>
        <v>פ</v>
      </c>
      <c r="M46" s="515" t="str">
        <f>"12/20 amazon gift"</f>
        <v>12/20 amazon gift</v>
      </c>
      <c r="N46" s="515">
        <v>0</v>
      </c>
      <c r="O46" s="515">
        <v>46.54</v>
      </c>
      <c r="P46" s="515">
        <v>-11040007.529999999</v>
      </c>
      <c r="Q46" s="515" t="str">
        <f t="shared" si="0"/>
        <v>AUD</v>
      </c>
      <c r="R46" s="515"/>
      <c r="S46" s="515" t="s">
        <v>4419</v>
      </c>
      <c r="T46" s="515" t="s">
        <v>4419</v>
      </c>
      <c r="U46" s="515" t="str">
        <f>"7020039"</f>
        <v>7020039</v>
      </c>
      <c r="V46" s="515" t="str">
        <f>"הוצאות שיווק ופרסום AUS"</f>
        <v>הוצאות שיווק ופרסום AUS</v>
      </c>
      <c r="W46" s="515"/>
      <c r="X46" s="515"/>
      <c r="Y46" s="515"/>
      <c r="Z46" s="515"/>
      <c r="AA46" s="515">
        <v>17</v>
      </c>
      <c r="AB46" s="515">
        <v>17</v>
      </c>
      <c r="AC46" s="515">
        <v>0</v>
      </c>
      <c r="AD46" s="515">
        <v>46.54</v>
      </c>
      <c r="AE46" s="515">
        <v>0</v>
      </c>
      <c r="AF46" s="515">
        <v>36.36</v>
      </c>
      <c r="AG46" s="515">
        <v>0</v>
      </c>
      <c r="AH46" s="515">
        <v>0</v>
      </c>
      <c r="AI46" s="515"/>
      <c r="AJ46" s="515"/>
      <c r="AK46" s="515"/>
      <c r="AL46" s="515"/>
      <c r="AM46" s="515"/>
      <c r="AN46" s="515"/>
      <c r="AO46" s="515"/>
      <c r="AP46" s="515"/>
      <c r="AQ46" s="515"/>
      <c r="AR46" s="515"/>
      <c r="AS46" s="515"/>
      <c r="AT46" s="515"/>
      <c r="AU46" s="515"/>
      <c r="AV46" s="515"/>
      <c r="AW46" s="515">
        <v>0</v>
      </c>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row>
    <row r="47" spans="9:77">
      <c r="I47" s="3522" t="s">
        <v>4419</v>
      </c>
      <c r="J47" s="515" t="str">
        <f>"21000166"</f>
        <v>21000166</v>
      </c>
      <c r="K47" s="515"/>
      <c r="L47" s="515" t="str">
        <f>"פ"</f>
        <v>פ</v>
      </c>
      <c r="M47" s="515" t="str">
        <f>"ביטול ל 21000163"</f>
        <v>ביטול ל 21000163</v>
      </c>
      <c r="N47" s="515">
        <v>0</v>
      </c>
      <c r="O47" s="515">
        <v>-46.54</v>
      </c>
      <c r="P47" s="515">
        <v>-11039960.99</v>
      </c>
      <c r="Q47" s="515" t="str">
        <f t="shared" si="0"/>
        <v>AUD</v>
      </c>
      <c r="R47" s="515"/>
      <c r="S47" s="515" t="s">
        <v>4419</v>
      </c>
      <c r="T47" s="515" t="s">
        <v>4419</v>
      </c>
      <c r="U47" s="515" t="str">
        <f>"7020039"</f>
        <v>7020039</v>
      </c>
      <c r="V47" s="515" t="str">
        <f>"הוצאות שיווק ופרסום AUS"</f>
        <v>הוצאות שיווק ופרסום AUS</v>
      </c>
      <c r="W47" s="515"/>
      <c r="X47" s="515"/>
      <c r="Y47" s="515"/>
      <c r="Z47" s="515"/>
      <c r="AA47" s="515">
        <v>17</v>
      </c>
      <c r="AB47" s="515">
        <v>17</v>
      </c>
      <c r="AC47" s="515">
        <v>0</v>
      </c>
      <c r="AD47" s="515">
        <v>-46.54</v>
      </c>
      <c r="AE47" s="515">
        <v>0</v>
      </c>
      <c r="AF47" s="515">
        <v>-36.36</v>
      </c>
      <c r="AG47" s="515">
        <v>0</v>
      </c>
      <c r="AH47" s="515">
        <v>0</v>
      </c>
      <c r="AI47" s="515"/>
      <c r="AJ47" s="515"/>
      <c r="AK47" s="515"/>
      <c r="AL47" s="515"/>
      <c r="AM47" s="515"/>
      <c r="AN47" s="515"/>
      <c r="AO47" s="515"/>
      <c r="AP47" s="515"/>
      <c r="AQ47" s="515"/>
      <c r="AR47" s="515"/>
      <c r="AS47" s="515"/>
      <c r="AT47" s="515"/>
      <c r="AU47" s="515"/>
      <c r="AV47" s="515"/>
      <c r="AW47" s="515">
        <v>0</v>
      </c>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23">
    <tabColor rgb="FF92D050"/>
    <pageSetUpPr fitToPage="1"/>
  </sheetPr>
  <dimension ref="A1:BA207"/>
  <sheetViews>
    <sheetView zoomScale="85" zoomScaleNormal="85" workbookViewId="0">
      <pane xSplit="2" ySplit="5" topLeftCell="C29" activePane="bottomRight" state="frozen"/>
      <selection pane="topRight" activeCell="C1" sqref="C1"/>
      <selection pane="bottomLeft" activeCell="A6" sqref="A6"/>
      <selection pane="bottomRight" activeCell="D63" sqref="D63"/>
    </sheetView>
  </sheetViews>
  <sheetFormatPr defaultColWidth="9.83203125" defaultRowHeight="12.75"/>
  <cols>
    <col min="1" max="1" width="25.83203125" style="137" customWidth="1"/>
    <col min="2" max="2" width="49.5" style="491" bestFit="1" customWidth="1"/>
    <col min="3" max="3" width="19" style="141" customWidth="1"/>
    <col min="4" max="4" width="18.6640625" style="141" customWidth="1"/>
    <col min="5" max="5" width="11.83203125" style="141" customWidth="1"/>
    <col min="6" max="6" width="18.6640625" style="52" customWidth="1"/>
    <col min="7" max="7" width="3" style="52" customWidth="1"/>
    <col min="8" max="9" width="18.6640625" style="52" customWidth="1"/>
    <col min="10" max="11" width="4.5" style="3524" customWidth="1"/>
    <col min="12" max="12" width="18.33203125" style="3524" customWidth="1"/>
    <col min="13" max="13" width="20.5" style="3524" customWidth="1"/>
    <col min="14" max="14" width="4.5" style="3524" customWidth="1"/>
    <col min="15" max="15" width="4.83203125" style="3524" customWidth="1"/>
    <col min="16" max="16" width="24" style="52" customWidth="1"/>
    <col min="17" max="17" width="22.83203125" style="52" customWidth="1"/>
    <col min="18" max="19" width="4" style="52" customWidth="1"/>
    <col min="20" max="20" width="20.33203125" style="52" customWidth="1"/>
    <col min="21" max="21" width="21.1640625" style="52" customWidth="1"/>
    <col min="22" max="22" width="5.1640625" style="52" customWidth="1"/>
    <col min="23" max="23" width="5.5" style="52" customWidth="1"/>
    <col min="24" max="24" width="19.1640625" style="52" customWidth="1"/>
    <col min="25" max="25" width="18.5" style="52" customWidth="1"/>
    <col min="26" max="26" width="4.83203125" style="52" customWidth="1"/>
    <col min="27" max="27" width="3.33203125" style="52" customWidth="1"/>
    <col min="28" max="28" width="14.83203125" style="52" customWidth="1"/>
    <col min="29" max="29" width="21.5" style="52" customWidth="1"/>
    <col min="30" max="30" width="2.33203125" style="52" customWidth="1"/>
    <col min="31" max="31" width="1.83203125" style="52" customWidth="1"/>
    <col min="32" max="32" width="19.6640625" style="52" customWidth="1"/>
    <col min="33" max="33" width="22.1640625" style="52" customWidth="1"/>
    <col min="34" max="34" width="4" style="52" customWidth="1"/>
    <col min="35" max="35" width="4.83203125" style="52" customWidth="1"/>
    <col min="36" max="37" width="14.83203125" style="52" customWidth="1"/>
    <col min="38" max="38" width="4.83203125" style="2056" customWidth="1"/>
    <col min="39" max="39" width="5.1640625" style="52" customWidth="1"/>
    <col min="40" max="41" width="14.83203125" style="52" bestFit="1" customWidth="1"/>
    <col min="42" max="42" width="6.33203125" style="559" customWidth="1"/>
    <col min="43" max="43" width="5.5" style="52" customWidth="1"/>
    <col min="44" max="45" width="14.83203125" style="52" bestFit="1" customWidth="1"/>
    <col min="46" max="46" width="16.6640625" style="52" customWidth="1"/>
    <col min="47" max="47" width="42.5" style="52" customWidth="1"/>
    <col min="48" max="48" width="10.1640625" style="559" customWidth="1"/>
    <col min="49" max="50" width="19.33203125" style="52" customWidth="1"/>
    <col min="51" max="51" width="9.83203125" style="52" hidden="1" customWidth="1"/>
    <col min="52" max="52" width="16.1640625" style="52" hidden="1" customWidth="1"/>
    <col min="53" max="53" width="28.1640625" style="52" hidden="1" customWidth="1"/>
    <col min="54" max="54" width="13.5" style="52" bestFit="1" customWidth="1"/>
    <col min="55" max="56" width="11.83203125" style="52" bestFit="1" customWidth="1"/>
    <col min="57" max="57" width="10.6640625" style="52" bestFit="1" customWidth="1"/>
    <col min="58" max="16384" width="9.83203125" style="52"/>
  </cols>
  <sheetData>
    <row r="1" spans="1:48">
      <c r="A1" s="32"/>
      <c r="B1" s="32"/>
      <c r="AL1" s="52"/>
      <c r="AP1" s="52"/>
      <c r="AV1" s="52"/>
    </row>
    <row r="2" spans="1:48" ht="17.100000000000001" customHeight="1">
      <c r="A2" s="32"/>
      <c r="B2" s="619" t="s">
        <v>1499</v>
      </c>
      <c r="AL2" s="52"/>
      <c r="AP2" s="52"/>
      <c r="AV2" s="52"/>
    </row>
    <row r="3" spans="1:48" ht="17.100000000000001" customHeight="1">
      <c r="A3" s="32"/>
      <c r="B3" s="620"/>
      <c r="C3" s="4477" t="str">
        <f>'נתונים לשינוי'!C4</f>
        <v>As at December 31, 2021</v>
      </c>
      <c r="D3" s="4477"/>
      <c r="E3" s="561"/>
      <c r="F3" s="3617"/>
      <c r="G3" s="561"/>
      <c r="H3" s="4496"/>
      <c r="I3" s="4496"/>
      <c r="J3" s="1379"/>
      <c r="K3" s="1379"/>
      <c r="L3" s="4496"/>
      <c r="M3" s="4496"/>
      <c r="N3" s="1379"/>
      <c r="O3" s="1379"/>
      <c r="P3" s="4496"/>
      <c r="Q3" s="4496"/>
      <c r="R3" s="561"/>
      <c r="S3" s="561"/>
      <c r="T3" s="4496"/>
      <c r="U3" s="4496"/>
      <c r="V3" s="561"/>
      <c r="X3" s="4496"/>
      <c r="Y3" s="4496"/>
      <c r="Z3" s="561"/>
      <c r="AA3" s="561"/>
      <c r="AB3" s="4496"/>
      <c r="AC3" s="4496"/>
      <c r="AD3" s="561"/>
      <c r="AE3" s="561"/>
      <c r="AF3" s="4496"/>
      <c r="AG3" s="4496"/>
      <c r="AH3" s="561"/>
      <c r="AI3" s="561"/>
      <c r="AJ3" s="4496"/>
      <c r="AK3" s="4496"/>
      <c r="AL3" s="52"/>
      <c r="AN3" s="4496"/>
      <c r="AO3" s="4496"/>
      <c r="AP3" s="52"/>
      <c r="AR3" s="4496"/>
      <c r="AS3" s="4496"/>
      <c r="AV3" s="52"/>
    </row>
    <row r="4" spans="1:48" ht="17.100000000000001" customHeight="1">
      <c r="A4" s="32"/>
      <c r="B4" s="21" t="s">
        <v>236</v>
      </c>
      <c r="C4" s="137"/>
      <c r="D4" s="137"/>
      <c r="E4" s="137"/>
      <c r="L4" s="52"/>
      <c r="M4" s="52"/>
      <c r="AL4" s="52"/>
      <c r="AP4" s="52"/>
      <c r="AV4" s="52"/>
    </row>
    <row r="5" spans="1:48" ht="17.100000000000001" customHeight="1">
      <c r="A5" s="32"/>
      <c r="B5" s="21"/>
      <c r="C5" s="621" t="s">
        <v>294</v>
      </c>
      <c r="D5" s="621" t="s">
        <v>794</v>
      </c>
      <c r="E5" s="622"/>
      <c r="F5" s="714"/>
      <c r="G5" s="714"/>
      <c r="H5" s="714"/>
      <c r="I5" s="714"/>
      <c r="J5" s="3525"/>
      <c r="K5" s="3525"/>
      <c r="L5" s="714"/>
      <c r="M5" s="714"/>
      <c r="N5" s="3525"/>
      <c r="O5" s="3525"/>
      <c r="P5" s="714"/>
      <c r="Q5" s="714"/>
      <c r="R5" s="714"/>
      <c r="S5" s="714"/>
      <c r="T5" s="714"/>
      <c r="U5" s="714"/>
      <c r="V5" s="714"/>
      <c r="X5" s="714"/>
      <c r="Y5" s="714"/>
      <c r="Z5" s="714"/>
      <c r="AA5" s="714"/>
      <c r="AB5" s="714"/>
      <c r="AC5" s="714"/>
      <c r="AD5" s="714"/>
      <c r="AE5" s="714"/>
      <c r="AF5" s="714"/>
      <c r="AG5" s="714"/>
      <c r="AH5" s="714"/>
      <c r="AI5" s="714"/>
      <c r="AJ5" s="714"/>
      <c r="AK5" s="714"/>
      <c r="AL5" s="52"/>
      <c r="AN5" s="714"/>
      <c r="AO5" s="714"/>
      <c r="AP5" s="52"/>
      <c r="AR5" s="714"/>
      <c r="AS5" s="714"/>
      <c r="AV5" s="52"/>
    </row>
    <row r="6" spans="1:48">
      <c r="A6" s="623"/>
      <c r="B6" s="624" t="s">
        <v>237</v>
      </c>
      <c r="C6" s="137"/>
      <c r="D6" s="137"/>
      <c r="E6" s="137"/>
      <c r="L6" s="52"/>
      <c r="M6" s="52"/>
      <c r="AL6" s="52"/>
      <c r="AP6" s="52"/>
      <c r="AV6" s="52"/>
    </row>
    <row r="7" spans="1:48">
      <c r="A7" s="623" t="s">
        <v>264</v>
      </c>
      <c r="B7" s="5" t="s">
        <v>238</v>
      </c>
      <c r="C7" s="137">
        <f>'מאזן בוחן Australia'!K16</f>
        <v>1530354.3499999999</v>
      </c>
      <c r="D7" s="137">
        <f>'מאזן בוחן Australia'!J16</f>
        <v>2106116.4899999998</v>
      </c>
      <c r="E7" s="1103">
        <f>D7/C7</f>
        <v>1.376227989288886</v>
      </c>
      <c r="L7" s="52"/>
      <c r="M7" s="52"/>
      <c r="AL7" s="52"/>
      <c r="AP7" s="52"/>
      <c r="AV7" s="52"/>
    </row>
    <row r="8" spans="1:48">
      <c r="A8" s="623" t="s">
        <v>257</v>
      </c>
      <c r="B8" s="5" t="s">
        <v>257</v>
      </c>
      <c r="C8" s="137">
        <f>'מאזן בוחן Australia'!K31</f>
        <v>4402731.5199999996</v>
      </c>
      <c r="D8" s="137">
        <f>'מאזן בוחן Australia'!J31</f>
        <v>6059162.3200000003</v>
      </c>
      <c r="E8" s="1103">
        <f>D8/C8</f>
        <v>1.3762279831226232</v>
      </c>
      <c r="L8" s="52"/>
      <c r="M8" s="52"/>
      <c r="AL8" s="52"/>
      <c r="AP8" s="52"/>
      <c r="AV8" s="52"/>
    </row>
    <row r="9" spans="1:48">
      <c r="A9" s="623"/>
      <c r="B9" s="5" t="s">
        <v>258</v>
      </c>
      <c r="C9" s="137"/>
      <c r="D9" s="137"/>
      <c r="E9" s="137"/>
      <c r="L9" s="52"/>
      <c r="M9" s="52"/>
      <c r="AL9" s="52"/>
      <c r="AP9" s="52"/>
      <c r="AV9" s="52"/>
    </row>
    <row r="10" spans="1:48">
      <c r="A10" s="623" t="s">
        <v>259</v>
      </c>
      <c r="B10" s="5" t="s">
        <v>259</v>
      </c>
      <c r="C10" s="137">
        <f>+'מאזן בוחן Australia'!K40</f>
        <v>3387126.5357076423</v>
      </c>
      <c r="D10" s="137">
        <f>+'מאזן בוחן Australia'!J40</f>
        <v>4546246.6440927377</v>
      </c>
      <c r="E10" s="1103">
        <f>D10/C10</f>
        <v>1.342213406014054</v>
      </c>
      <c r="L10" s="52"/>
      <c r="M10" s="52"/>
      <c r="AL10" s="52"/>
      <c r="AP10" s="52"/>
      <c r="AV10" s="52"/>
    </row>
    <row r="11" spans="1:48">
      <c r="A11" s="623" t="s">
        <v>298</v>
      </c>
      <c r="B11" s="5" t="s">
        <v>331</v>
      </c>
      <c r="C11" s="137"/>
      <c r="D11" s="137"/>
      <c r="E11" s="137"/>
      <c r="L11" s="52"/>
      <c r="M11" s="52"/>
      <c r="AL11" s="52"/>
      <c r="AP11" s="52"/>
      <c r="AV11" s="52"/>
    </row>
    <row r="12" spans="1:48">
      <c r="A12" s="623"/>
      <c r="B12" s="14" t="s">
        <v>1500</v>
      </c>
      <c r="C12" s="91">
        <f>SUM(C7:C11)</f>
        <v>9320212.4057076424</v>
      </c>
      <c r="D12" s="91">
        <f>SUM(D7:D11)</f>
        <v>12711525.454092737</v>
      </c>
      <c r="E12" s="137"/>
      <c r="F12" s="272"/>
      <c r="H12" s="272"/>
      <c r="I12" s="272"/>
      <c r="L12" s="272"/>
      <c r="M12" s="272"/>
      <c r="P12" s="272"/>
      <c r="Q12" s="272"/>
      <c r="R12" s="272"/>
      <c r="S12" s="272"/>
      <c r="T12" s="272"/>
      <c r="U12" s="272"/>
      <c r="X12" s="272"/>
      <c r="Y12" s="272"/>
      <c r="Z12" s="272"/>
      <c r="AA12" s="272"/>
      <c r="AB12" s="272"/>
      <c r="AC12" s="272"/>
      <c r="AD12" s="272"/>
      <c r="AE12" s="272"/>
      <c r="AF12" s="272"/>
      <c r="AG12" s="272"/>
      <c r="AH12" s="272"/>
      <c r="AI12" s="272"/>
      <c r="AJ12" s="272"/>
      <c r="AK12" s="272"/>
      <c r="AL12" s="52"/>
      <c r="AN12" s="272"/>
      <c r="AO12" s="272"/>
      <c r="AP12" s="52"/>
      <c r="AR12" s="272"/>
      <c r="AS12" s="272"/>
      <c r="AV12" s="52"/>
    </row>
    <row r="13" spans="1:48">
      <c r="A13" s="623"/>
      <c r="B13" s="14"/>
      <c r="C13" s="163"/>
      <c r="D13" s="163"/>
      <c r="E13" s="137"/>
      <c r="F13" s="272"/>
      <c r="H13" s="272"/>
      <c r="I13" s="272"/>
      <c r="L13" s="272"/>
      <c r="M13" s="272"/>
      <c r="P13" s="272"/>
      <c r="Q13" s="272"/>
      <c r="R13" s="272"/>
      <c r="S13" s="272"/>
      <c r="T13" s="272"/>
      <c r="U13" s="272"/>
      <c r="Z13" s="272"/>
      <c r="AA13" s="272"/>
      <c r="AD13" s="272"/>
      <c r="AE13" s="272"/>
      <c r="AH13" s="272"/>
      <c r="AI13" s="272"/>
      <c r="AL13" s="52"/>
      <c r="AN13" s="272"/>
      <c r="AO13" s="272"/>
      <c r="AP13" s="52"/>
      <c r="AR13" s="272"/>
      <c r="AS13" s="272"/>
      <c r="AV13" s="52"/>
    </row>
    <row r="14" spans="1:48">
      <c r="A14" s="623"/>
      <c r="B14" s="8" t="s">
        <v>809</v>
      </c>
      <c r="C14" s="137"/>
      <c r="D14" s="137"/>
      <c r="E14" s="137"/>
      <c r="L14" s="52"/>
      <c r="M14" s="52"/>
      <c r="AL14" s="52"/>
      <c r="AP14" s="52"/>
      <c r="AV14" s="52"/>
    </row>
    <row r="15" spans="1:48">
      <c r="A15" s="623"/>
      <c r="B15" s="5" t="s">
        <v>1920</v>
      </c>
      <c r="C15" s="137">
        <f>'מאזן בוחן Australia'!K64</f>
        <v>121809.95429235764</v>
      </c>
      <c r="D15" s="137">
        <f>'מאזן בוחן Australia'!J64</f>
        <v>165439.3759072627</v>
      </c>
      <c r="E15" s="1103">
        <f>D15/C15</f>
        <v>1.3581761594802797</v>
      </c>
      <c r="L15" s="52"/>
      <c r="M15" s="52"/>
      <c r="AL15" s="52"/>
      <c r="AP15" s="52"/>
      <c r="AV15" s="52"/>
    </row>
    <row r="16" spans="1:48">
      <c r="A16" s="623"/>
      <c r="B16" s="5" t="s">
        <v>1921</v>
      </c>
      <c r="C16" s="137">
        <f>'מאזן בוחן Australia'!K65</f>
        <v>2381676.12</v>
      </c>
      <c r="D16" s="137">
        <f>'מאזן בוחן Australia'!J65</f>
        <v>3189436.01</v>
      </c>
      <c r="E16" s="1103">
        <f>D16/C16</f>
        <v>1.3391560603966586</v>
      </c>
      <c r="L16" s="52"/>
      <c r="M16" s="52"/>
      <c r="AL16" s="52"/>
      <c r="AP16" s="52"/>
      <c r="AV16" s="52"/>
    </row>
    <row r="17" spans="1:48">
      <c r="A17" s="623"/>
      <c r="B17" s="5" t="s">
        <v>303</v>
      </c>
      <c r="C17" s="137"/>
      <c r="D17" s="137"/>
      <c r="E17" s="137"/>
      <c r="L17" s="52"/>
      <c r="M17" s="52"/>
      <c r="AL17" s="52"/>
      <c r="AP17" s="52"/>
      <c r="AV17" s="52"/>
    </row>
    <row r="18" spans="1:48">
      <c r="A18" s="623"/>
      <c r="B18" s="5" t="s">
        <v>258</v>
      </c>
      <c r="C18" s="137"/>
      <c r="D18" s="137"/>
      <c r="E18" s="137"/>
      <c r="L18" s="52"/>
      <c r="M18" s="52"/>
      <c r="AL18" s="52"/>
      <c r="AP18" s="52"/>
      <c r="AV18" s="52"/>
    </row>
    <row r="19" spans="1:48">
      <c r="A19" s="623"/>
      <c r="B19" s="5"/>
      <c r="C19" s="137"/>
      <c r="D19" s="137"/>
      <c r="E19" s="137"/>
      <c r="L19" s="52"/>
      <c r="M19" s="52"/>
      <c r="AL19" s="52"/>
      <c r="AP19" s="52"/>
      <c r="AV19" s="52"/>
    </row>
    <row r="20" spans="1:48">
      <c r="A20" s="623" t="s">
        <v>68</v>
      </c>
      <c r="B20" s="8" t="s">
        <v>141</v>
      </c>
      <c r="C20" s="137">
        <f>SUM('מאזן בוחן Australia'!K61)</f>
        <v>8740.08</v>
      </c>
      <c r="D20" s="137">
        <f>SUM('מאזן בוחן Australia'!J61)</f>
        <v>11693.25</v>
      </c>
      <c r="E20" s="137"/>
      <c r="L20" s="52"/>
      <c r="M20" s="52"/>
      <c r="AL20" s="52"/>
      <c r="AP20" s="52"/>
      <c r="AV20" s="52"/>
    </row>
    <row r="21" spans="1:48">
      <c r="A21" s="623"/>
      <c r="B21" s="5"/>
      <c r="C21" s="137"/>
      <c r="D21" s="137"/>
      <c r="E21" s="137"/>
      <c r="L21" s="52"/>
      <c r="M21" s="52"/>
      <c r="AL21" s="52"/>
      <c r="AP21" s="52"/>
      <c r="AV21" s="52"/>
    </row>
    <row r="22" spans="1:48">
      <c r="A22" s="623"/>
      <c r="B22" s="11"/>
      <c r="C22" s="137"/>
      <c r="D22" s="137"/>
      <c r="E22" s="137"/>
      <c r="L22" s="52"/>
      <c r="M22" s="52"/>
      <c r="AL22" s="52"/>
      <c r="AP22" s="52"/>
      <c r="AV22" s="52"/>
    </row>
    <row r="23" spans="1:48">
      <c r="A23" s="623"/>
      <c r="B23" s="8" t="s">
        <v>239</v>
      </c>
      <c r="C23" s="91">
        <f>SUM(C12:C22)</f>
        <v>11832438.560000001</v>
      </c>
      <c r="D23" s="91">
        <f>SUM(D12:D22)</f>
        <v>16078094.09</v>
      </c>
      <c r="E23" s="137"/>
      <c r="F23" s="272"/>
      <c r="H23" s="272"/>
      <c r="I23" s="272"/>
      <c r="L23" s="272"/>
      <c r="M23" s="272"/>
      <c r="P23" s="272"/>
      <c r="Q23" s="272"/>
      <c r="R23" s="272"/>
      <c r="S23" s="272"/>
      <c r="T23" s="272"/>
      <c r="U23" s="272"/>
      <c r="X23" s="272"/>
      <c r="Y23" s="272"/>
      <c r="Z23" s="272"/>
      <c r="AA23" s="272"/>
      <c r="AB23" s="272"/>
      <c r="AC23" s="272"/>
      <c r="AD23" s="272"/>
      <c r="AE23" s="272"/>
      <c r="AF23" s="272"/>
      <c r="AG23" s="272"/>
      <c r="AH23" s="272"/>
      <c r="AI23" s="272"/>
      <c r="AJ23" s="272"/>
      <c r="AK23" s="272"/>
      <c r="AL23" s="52"/>
      <c r="AN23" s="272"/>
      <c r="AO23" s="272"/>
      <c r="AP23" s="52"/>
      <c r="AR23" s="272"/>
      <c r="AS23" s="272"/>
      <c r="AV23" s="52"/>
    </row>
    <row r="24" spans="1:48">
      <c r="A24" s="623"/>
      <c r="B24" s="11"/>
      <c r="C24" s="137"/>
      <c r="D24" s="137"/>
      <c r="E24" s="137"/>
      <c r="L24" s="52"/>
      <c r="M24" s="52"/>
      <c r="AL24" s="52"/>
      <c r="AP24" s="52"/>
      <c r="AV24" s="52"/>
    </row>
    <row r="25" spans="1:48">
      <c r="A25" s="623"/>
      <c r="B25" s="11"/>
      <c r="C25" s="137"/>
      <c r="D25" s="137"/>
      <c r="E25" s="137"/>
      <c r="L25" s="52"/>
      <c r="M25" s="52"/>
      <c r="AL25" s="52"/>
      <c r="AP25" s="52"/>
      <c r="AV25" s="52"/>
    </row>
    <row r="26" spans="1:48">
      <c r="A26" s="623"/>
      <c r="B26" s="626" t="s">
        <v>240</v>
      </c>
      <c r="C26" s="137"/>
      <c r="D26" s="137"/>
      <c r="E26" s="137"/>
      <c r="L26" s="52"/>
      <c r="M26" s="52"/>
      <c r="AL26" s="52"/>
      <c r="AP26" s="52"/>
      <c r="AV26" s="52"/>
    </row>
    <row r="27" spans="1:48">
      <c r="A27" s="623" t="s">
        <v>241</v>
      </c>
      <c r="B27" s="5" t="s">
        <v>241</v>
      </c>
      <c r="C27" s="137">
        <f>('מאזן בוחן Australia'!K86)*-1</f>
        <v>13011.77</v>
      </c>
      <c r="D27" s="137">
        <f>('מאזן בוחן Australia'!J86)*-1</f>
        <v>17907.169999999998</v>
      </c>
      <c r="E27" s="1103">
        <f>D27/C27</f>
        <v>1.376228599183662</v>
      </c>
      <c r="L27" s="52"/>
      <c r="M27" s="52"/>
      <c r="AL27" s="52"/>
      <c r="AP27" s="52"/>
      <c r="AV27" s="52"/>
    </row>
    <row r="28" spans="1:48">
      <c r="A28" s="623" t="s">
        <v>260</v>
      </c>
      <c r="B28" s="5" t="s">
        <v>290</v>
      </c>
      <c r="C28" s="137">
        <f>('מאזן בוחן Australia'!K104+'מאזן בוחן Australia'!K117+'מאזן בוחן Australia'!K113)*-1</f>
        <v>273814.74</v>
      </c>
      <c r="D28" s="137">
        <f>('מאזן בוחן Australia'!J104+'מאזן בוחן Australia'!J117+'מאזן בוחן Australia'!J113)*-1</f>
        <v>380103.78</v>
      </c>
      <c r="E28" s="1103">
        <f>D28/C28</f>
        <v>1.3881786641581093</v>
      </c>
      <c r="L28" s="52"/>
      <c r="M28" s="52"/>
      <c r="AL28" s="52"/>
      <c r="AP28" s="52"/>
      <c r="AV28" s="52"/>
    </row>
    <row r="29" spans="1:48">
      <c r="A29" s="627" t="s">
        <v>261</v>
      </c>
      <c r="B29" s="5" t="s">
        <v>261</v>
      </c>
      <c r="C29" s="137">
        <f>(SUM('מאזן בוחן Australia'!K119:K131))*-1</f>
        <v>2663254.9299999997</v>
      </c>
      <c r="D29" s="137">
        <f>(SUM('מאזן בוחן Australia'!J119:J131))*-1</f>
        <v>3615341.8600000013</v>
      </c>
      <c r="E29" s="1103">
        <f>D29/C29</f>
        <v>1.3574899718668696</v>
      </c>
      <c r="L29" s="52"/>
      <c r="M29" s="52"/>
      <c r="AL29" s="52"/>
      <c r="AP29" s="52"/>
      <c r="AV29" s="52"/>
    </row>
    <row r="30" spans="1:48">
      <c r="A30" s="627" t="s">
        <v>298</v>
      </c>
      <c r="B30" s="5" t="s">
        <v>331</v>
      </c>
      <c r="C30" s="137">
        <f>(SUM('מאזן בוחן Australia'!K116:K116,'מאזן בוחן Australia'!K46)*-1)</f>
        <v>6790090.0099999998</v>
      </c>
      <c r="D30" s="137">
        <f>(SUM('מאזן בוחן Australia'!J116:J116,'מאזן בוחן Australia'!J46)*-1)</f>
        <v>9344718.0099999998</v>
      </c>
      <c r="E30" s="1103">
        <f>D30/C30</f>
        <v>1.3762288859555192</v>
      </c>
      <c r="L30" s="52"/>
      <c r="M30" s="52"/>
      <c r="AL30" s="52"/>
      <c r="AP30" s="52"/>
      <c r="AV30" s="52"/>
    </row>
    <row r="31" spans="1:48">
      <c r="A31" s="623"/>
      <c r="B31" s="14" t="s">
        <v>139</v>
      </c>
      <c r="C31" s="91">
        <f>SUM(C27:C30)</f>
        <v>9740171.4499999993</v>
      </c>
      <c r="D31" s="91">
        <f>SUM(D27:D30)</f>
        <v>13358070.82</v>
      </c>
      <c r="E31" s="137"/>
      <c r="F31" s="272"/>
      <c r="H31" s="272"/>
      <c r="I31" s="272"/>
      <c r="L31" s="272"/>
      <c r="M31" s="272"/>
      <c r="P31" s="272"/>
      <c r="Q31" s="272"/>
      <c r="R31" s="272"/>
      <c r="S31" s="272"/>
      <c r="T31" s="272"/>
      <c r="U31" s="272"/>
      <c r="X31" s="272"/>
      <c r="Y31" s="272"/>
      <c r="Z31" s="272"/>
      <c r="AA31" s="272"/>
      <c r="AB31" s="272"/>
      <c r="AC31" s="272"/>
      <c r="AD31" s="272"/>
      <c r="AE31" s="272"/>
      <c r="AF31" s="272"/>
      <c r="AG31" s="272"/>
      <c r="AH31" s="272"/>
      <c r="AI31" s="272"/>
      <c r="AJ31" s="272"/>
      <c r="AK31" s="272"/>
      <c r="AL31" s="52"/>
      <c r="AN31" s="272"/>
      <c r="AO31" s="272"/>
      <c r="AP31" s="52"/>
      <c r="AR31" s="272"/>
      <c r="AS31" s="272"/>
      <c r="AV31" s="52"/>
    </row>
    <row r="32" spans="1:48">
      <c r="A32" s="623"/>
      <c r="B32" s="14"/>
      <c r="C32" s="137"/>
      <c r="D32" s="137"/>
      <c r="E32" s="137"/>
      <c r="L32" s="52"/>
      <c r="M32" s="52"/>
      <c r="AL32" s="52"/>
      <c r="AP32" s="52"/>
      <c r="AV32" s="52"/>
    </row>
    <row r="33" spans="1:48">
      <c r="A33" s="623"/>
      <c r="B33" s="15" t="s">
        <v>242</v>
      </c>
      <c r="C33" s="137"/>
      <c r="D33" s="137"/>
      <c r="E33" s="137"/>
      <c r="L33" s="52"/>
      <c r="M33" s="52"/>
      <c r="AL33" s="52"/>
      <c r="AP33" s="52"/>
      <c r="AV33" s="52"/>
    </row>
    <row r="34" spans="1:48">
      <c r="A34" s="623" t="s">
        <v>266</v>
      </c>
      <c r="B34" s="16" t="s">
        <v>140</v>
      </c>
      <c r="C34" s="137"/>
      <c r="D34" s="137"/>
      <c r="E34" s="137"/>
      <c r="L34" s="52"/>
      <c r="M34" s="52"/>
      <c r="AL34" s="52"/>
      <c r="AP34" s="52"/>
      <c r="AV34" s="52"/>
    </row>
    <row r="35" spans="1:48">
      <c r="A35" s="627" t="s">
        <v>265</v>
      </c>
      <c r="B35" s="5" t="s">
        <v>261</v>
      </c>
      <c r="C35" s="137">
        <f>-'מאזן בוחן Australia'!K139</f>
        <v>2015822.66</v>
      </c>
      <c r="D35" s="137">
        <f>-'מאזן בוחן Australia'!J139</f>
        <v>2774231.55</v>
      </c>
      <c r="E35" s="137"/>
      <c r="L35" s="52"/>
      <c r="M35" s="52"/>
      <c r="AL35" s="52"/>
      <c r="AP35" s="52"/>
      <c r="AV35" s="52"/>
    </row>
    <row r="36" spans="1:48">
      <c r="B36" s="137"/>
      <c r="C36" s="91">
        <f>SUM(C34:C35)</f>
        <v>2015822.66</v>
      </c>
      <c r="D36" s="91">
        <f>SUM(D34:D35)</f>
        <v>2774231.55</v>
      </c>
      <c r="E36" s="137"/>
      <c r="F36" s="272"/>
      <c r="H36" s="272"/>
      <c r="I36" s="272"/>
      <c r="L36" s="272"/>
      <c r="M36" s="272"/>
      <c r="P36" s="272"/>
      <c r="Q36" s="272"/>
      <c r="R36" s="272"/>
      <c r="S36" s="272"/>
      <c r="T36" s="272"/>
      <c r="U36" s="272"/>
      <c r="X36" s="272"/>
      <c r="Y36" s="272"/>
      <c r="Z36" s="272"/>
      <c r="AA36" s="272"/>
      <c r="AB36" s="272"/>
      <c r="AC36" s="272"/>
      <c r="AD36" s="272"/>
      <c r="AE36" s="272"/>
      <c r="AF36" s="272"/>
      <c r="AG36" s="272"/>
      <c r="AJ36" s="272"/>
      <c r="AK36" s="272"/>
      <c r="AL36" s="52"/>
      <c r="AP36" s="52"/>
      <c r="AV36" s="52"/>
    </row>
    <row r="37" spans="1:48">
      <c r="A37" s="623"/>
      <c r="B37" s="17"/>
      <c r="C37" s="137"/>
      <c r="D37" s="137"/>
      <c r="E37" s="137"/>
      <c r="L37" s="52"/>
      <c r="M37" s="52"/>
      <c r="AL37" s="52"/>
      <c r="AP37" s="52"/>
      <c r="AV37" s="52"/>
    </row>
    <row r="38" spans="1:48">
      <c r="A38" s="623"/>
      <c r="B38" s="628" t="s">
        <v>142</v>
      </c>
      <c r="C38" s="137"/>
      <c r="D38" s="137"/>
      <c r="E38" s="137"/>
      <c r="L38" s="52"/>
      <c r="M38" s="52"/>
      <c r="AL38" s="52"/>
      <c r="AP38" s="52"/>
      <c r="AV38" s="52"/>
    </row>
    <row r="39" spans="1:48">
      <c r="A39" s="623" t="s">
        <v>267</v>
      </c>
      <c r="B39" s="16" t="s">
        <v>143</v>
      </c>
      <c r="C39" s="137"/>
      <c r="D39" s="137"/>
      <c r="E39" s="137"/>
      <c r="L39" s="52"/>
      <c r="M39" s="52"/>
      <c r="AL39" s="52"/>
      <c r="AP39" s="52"/>
      <c r="AV39" s="52"/>
    </row>
    <row r="40" spans="1:48">
      <c r="A40" s="623"/>
      <c r="B40" s="16" t="s">
        <v>287</v>
      </c>
      <c r="C40" s="137"/>
      <c r="D40" s="137"/>
      <c r="E40" s="137"/>
      <c r="L40" s="52"/>
      <c r="M40" s="52"/>
      <c r="AL40" s="52"/>
      <c r="AP40" s="52"/>
      <c r="AV40" s="52"/>
    </row>
    <row r="41" spans="1:48">
      <c r="A41" s="623" t="s">
        <v>269</v>
      </c>
      <c r="B41" s="16" t="s">
        <v>269</v>
      </c>
      <c r="C41" s="137"/>
      <c r="D41" s="137"/>
      <c r="E41" s="137"/>
      <c r="L41" s="52"/>
      <c r="M41" s="52"/>
      <c r="AL41" s="52"/>
      <c r="AP41" s="52"/>
      <c r="AV41" s="52"/>
    </row>
    <row r="42" spans="1:48">
      <c r="A42" s="623" t="s">
        <v>262</v>
      </c>
      <c r="B42" s="16" t="s">
        <v>1876</v>
      </c>
      <c r="C42" s="137">
        <f>'מאזן בוחן Australia'!K146*-1</f>
        <v>3987</v>
      </c>
      <c r="D42" s="137">
        <f>'מאזן בוחן Australia'!J146*-1</f>
        <v>5538</v>
      </c>
      <c r="E42" s="1103">
        <f>D42/C42</f>
        <v>1.3890142964635064</v>
      </c>
      <c r="L42" s="52"/>
      <c r="M42" s="52"/>
      <c r="AL42" s="52"/>
      <c r="AP42" s="52"/>
      <c r="AV42" s="52"/>
    </row>
    <row r="43" spans="1:48">
      <c r="A43" s="623" t="s">
        <v>262</v>
      </c>
      <c r="B43" s="16" t="s">
        <v>262</v>
      </c>
      <c r="C43" s="137">
        <f>('מאזן בוחן Australia'!K147)*-1</f>
        <v>-181545.21</v>
      </c>
      <c r="D43" s="137">
        <f>('מאזן בוחן Australia'!J147)*-1</f>
        <v>-139039.5</v>
      </c>
      <c r="E43" s="1103">
        <f>D43/C43</f>
        <v>0.76586708071229204</v>
      </c>
      <c r="L43" s="52"/>
      <c r="M43" s="52"/>
      <c r="AL43" s="52"/>
      <c r="AP43" s="52"/>
      <c r="AV43" s="52"/>
    </row>
    <row r="44" spans="1:48">
      <c r="A44" s="623"/>
      <c r="B44" s="16" t="s">
        <v>268</v>
      </c>
      <c r="C44" s="137">
        <f>(C67)</f>
        <v>254001.8599999992</v>
      </c>
      <c r="D44" s="137">
        <f>(D67)</f>
        <v>79292.220000000598</v>
      </c>
      <c r="E44" s="1103">
        <f>D44/C44</f>
        <v>0.31217180850565757</v>
      </c>
      <c r="L44" s="52"/>
      <c r="M44" s="52"/>
      <c r="AL44" s="52"/>
      <c r="AP44" s="52"/>
      <c r="AV44" s="52"/>
    </row>
    <row r="45" spans="1:48">
      <c r="A45" s="623"/>
      <c r="B45" s="14" t="s">
        <v>144</v>
      </c>
      <c r="C45" s="91">
        <f>SUM(C40:C44)</f>
        <v>76443.649999999208</v>
      </c>
      <c r="D45" s="91">
        <f>SUM(D40:D44)</f>
        <v>-54209.279999999402</v>
      </c>
      <c r="E45" s="137"/>
      <c r="F45" s="272"/>
      <c r="H45" s="272"/>
      <c r="I45" s="272"/>
      <c r="L45" s="272"/>
      <c r="M45" s="272"/>
      <c r="P45" s="272"/>
      <c r="Q45" s="272"/>
      <c r="R45" s="272"/>
      <c r="S45" s="272"/>
      <c r="T45" s="272"/>
      <c r="U45" s="272"/>
      <c r="X45" s="272"/>
      <c r="Y45" s="272"/>
      <c r="Z45" s="272"/>
      <c r="AA45" s="272"/>
      <c r="AB45" s="272"/>
      <c r="AC45" s="272"/>
      <c r="AD45" s="272"/>
      <c r="AE45" s="272"/>
      <c r="AF45" s="272"/>
      <c r="AG45" s="272"/>
      <c r="AH45" s="272"/>
      <c r="AI45" s="272"/>
      <c r="AJ45" s="272"/>
      <c r="AK45" s="272"/>
      <c r="AL45" s="52"/>
      <c r="AN45" s="272"/>
      <c r="AO45" s="272"/>
      <c r="AP45" s="52"/>
      <c r="AR45" s="272"/>
      <c r="AS45" s="272"/>
      <c r="AV45" s="52"/>
    </row>
    <row r="46" spans="1:48">
      <c r="A46" s="623"/>
      <c r="B46" s="11"/>
      <c r="C46" s="137"/>
      <c r="D46" s="137"/>
      <c r="E46" s="137"/>
      <c r="L46" s="52"/>
      <c r="M46" s="52"/>
      <c r="AL46" s="52"/>
      <c r="AP46" s="52"/>
      <c r="AV46" s="52"/>
    </row>
    <row r="47" spans="1:48" ht="13.5" thickBot="1">
      <c r="A47" s="623"/>
      <c r="B47" s="14" t="s">
        <v>243</v>
      </c>
      <c r="C47" s="1242">
        <f>SUM(C31,C45,C36)</f>
        <v>11832437.759999998</v>
      </c>
      <c r="D47" s="1242">
        <f>SUM(D31,D45,D36)</f>
        <v>16078093.09</v>
      </c>
      <c r="E47" s="137"/>
      <c r="F47" s="272"/>
      <c r="H47" s="272"/>
      <c r="I47" s="272"/>
      <c r="L47" s="272"/>
      <c r="M47" s="272"/>
      <c r="P47" s="272"/>
      <c r="Q47" s="272"/>
      <c r="R47" s="272"/>
      <c r="S47" s="272"/>
      <c r="T47" s="272"/>
      <c r="U47" s="272"/>
      <c r="X47" s="272"/>
      <c r="Y47" s="272"/>
      <c r="Z47" s="272"/>
      <c r="AA47" s="272"/>
      <c r="AB47" s="272"/>
      <c r="AC47" s="272"/>
      <c r="AD47" s="272"/>
      <c r="AE47" s="272"/>
      <c r="AF47" s="272"/>
      <c r="AG47" s="272"/>
      <c r="AH47" s="272"/>
      <c r="AI47" s="272"/>
      <c r="AJ47" s="272"/>
      <c r="AK47" s="272"/>
      <c r="AL47" s="52"/>
      <c r="AN47" s="272"/>
      <c r="AO47" s="272"/>
      <c r="AP47" s="52"/>
      <c r="AR47" s="272"/>
      <c r="AS47" s="272"/>
      <c r="AV47" s="52"/>
    </row>
    <row r="48" spans="1:48" ht="13.5" thickBot="1">
      <c r="A48" s="623"/>
      <c r="B48" s="11"/>
      <c r="C48" s="956">
        <f>C47-C23</f>
        <v>-0.80000000260770321</v>
      </c>
      <c r="D48" s="956">
        <f>D47-D23</f>
        <v>-1</v>
      </c>
      <c r="E48" s="137"/>
      <c r="L48" s="52"/>
      <c r="M48" s="52"/>
      <c r="AL48" s="52"/>
      <c r="AP48" s="52"/>
      <c r="AV48" s="52"/>
    </row>
    <row r="49" spans="1:48">
      <c r="A49" s="623"/>
      <c r="B49" s="629" t="s">
        <v>244</v>
      </c>
      <c r="C49" s="137"/>
      <c r="D49" s="137"/>
      <c r="E49" s="137"/>
      <c r="L49" s="52"/>
      <c r="M49" s="52"/>
      <c r="AL49" s="52"/>
      <c r="AP49" s="52"/>
      <c r="AV49" s="52"/>
    </row>
    <row r="50" spans="1:48">
      <c r="A50" s="623"/>
      <c r="B50" s="22"/>
      <c r="C50" s="137"/>
      <c r="D50" s="137"/>
      <c r="E50" s="137"/>
      <c r="L50" s="52"/>
      <c r="M50" s="52"/>
      <c r="AL50" s="52"/>
      <c r="AP50" s="52"/>
      <c r="AV50" s="52"/>
    </row>
    <row r="51" spans="1:48">
      <c r="A51" s="623"/>
      <c r="B51" s="22"/>
      <c r="C51" s="137"/>
      <c r="D51" s="137"/>
      <c r="E51" s="137"/>
      <c r="L51" s="52"/>
      <c r="M51" s="52"/>
      <c r="AL51" s="52"/>
      <c r="AP51" s="52"/>
      <c r="AV51" s="52"/>
    </row>
    <row r="52" spans="1:48">
      <c r="A52" s="623" t="s">
        <v>84</v>
      </c>
      <c r="B52" s="22" t="s">
        <v>145</v>
      </c>
      <c r="C52" s="137">
        <f>('מאזן בוחן Australia'!K179)*-1</f>
        <v>5012328.7699999996</v>
      </c>
      <c r="D52" s="137">
        <f>('מאזן בוחן Australia'!J179)*-1</f>
        <v>6840291.7800000012</v>
      </c>
      <c r="E52" s="1103">
        <f>D52/C52</f>
        <v>1.3646933578939997</v>
      </c>
      <c r="L52" s="52"/>
      <c r="M52" s="52"/>
      <c r="AL52" s="52"/>
      <c r="AP52" s="52"/>
      <c r="AV52" s="52"/>
    </row>
    <row r="53" spans="1:48">
      <c r="A53" s="623" t="s">
        <v>251</v>
      </c>
      <c r="B53" s="22" t="s">
        <v>251</v>
      </c>
      <c r="C53" s="630">
        <f>'מאזן בוחן Australia'!K194</f>
        <v>3066115.67</v>
      </c>
      <c r="D53" s="630">
        <f>'מאזן בוחן Australia'!J194</f>
        <v>4215415.49</v>
      </c>
      <c r="E53" s="1103">
        <f>D53/C53</f>
        <v>1.3748390288224188</v>
      </c>
      <c r="L53" s="52"/>
      <c r="M53" s="52"/>
      <c r="AL53" s="52"/>
      <c r="AP53" s="52"/>
      <c r="AV53" s="52"/>
    </row>
    <row r="54" spans="1:48">
      <c r="A54" s="623"/>
      <c r="B54" s="22" t="s">
        <v>263</v>
      </c>
      <c r="C54" s="382">
        <f>C52-C53</f>
        <v>1946213.0999999996</v>
      </c>
      <c r="D54" s="382">
        <f>D52-D53</f>
        <v>2624876.290000001</v>
      </c>
      <c r="E54" s="137"/>
      <c r="F54" s="272"/>
      <c r="H54" s="272"/>
      <c r="I54" s="272"/>
      <c r="L54" s="272"/>
      <c r="M54" s="272"/>
      <c r="P54" s="272"/>
      <c r="Q54" s="272"/>
      <c r="R54" s="272"/>
      <c r="S54" s="272"/>
      <c r="T54" s="272"/>
      <c r="U54" s="272"/>
      <c r="X54" s="272"/>
      <c r="Y54" s="272"/>
      <c r="AA54" s="272"/>
      <c r="AB54" s="272"/>
      <c r="AC54" s="272"/>
      <c r="AD54" s="272"/>
      <c r="AE54" s="272"/>
      <c r="AF54" s="272"/>
      <c r="AG54" s="272"/>
      <c r="AH54" s="272"/>
      <c r="AI54" s="272"/>
      <c r="AJ54" s="272"/>
      <c r="AK54" s="272"/>
      <c r="AL54" s="52"/>
      <c r="AN54" s="272"/>
      <c r="AO54" s="272"/>
      <c r="AP54" s="52"/>
      <c r="AR54" s="272"/>
      <c r="AS54" s="272"/>
      <c r="AV54" s="52"/>
    </row>
    <row r="55" spans="1:48">
      <c r="A55" s="623"/>
      <c r="B55" s="22"/>
      <c r="C55" s="137"/>
      <c r="D55" s="137"/>
      <c r="E55" s="137"/>
      <c r="L55" s="52"/>
      <c r="M55" s="52"/>
      <c r="AL55" s="52"/>
      <c r="AP55" s="52"/>
      <c r="AV55" s="52"/>
    </row>
    <row r="56" spans="1:48">
      <c r="A56" s="623" t="s">
        <v>192</v>
      </c>
      <c r="B56" s="22" t="s">
        <v>245</v>
      </c>
      <c r="C56" s="137">
        <f>'מאזן בוחן Australia'!K200</f>
        <v>0</v>
      </c>
      <c r="D56" s="137">
        <f>'מאזן בוחן Australia'!J200</f>
        <v>0</v>
      </c>
      <c r="E56" s="1103"/>
      <c r="L56" s="52"/>
      <c r="M56" s="52"/>
      <c r="AL56" s="52"/>
      <c r="AP56" s="52"/>
      <c r="AV56" s="52"/>
    </row>
    <row r="57" spans="1:48">
      <c r="A57" s="623" t="s">
        <v>254</v>
      </c>
      <c r="B57" s="22" t="s">
        <v>247</v>
      </c>
      <c r="C57" s="137">
        <f>'מאזן בוחן Australia'!K220+'מאזן בוחן Australia'!K259+'מאזן בוחן Australia'!K224</f>
        <v>1856889.1300000004</v>
      </c>
      <c r="D57" s="137">
        <f>'מאזן בוחן Australia'!J220+'מאזן בוחן Australia'!J259+'מאזן בוחן Australia'!J224</f>
        <v>2503131.1500000004</v>
      </c>
      <c r="E57" s="1103">
        <f>D57/C57</f>
        <v>1.3480240201524578</v>
      </c>
      <c r="L57" s="52"/>
      <c r="M57" s="52"/>
      <c r="AL57" s="52"/>
      <c r="AP57" s="52"/>
      <c r="AV57" s="52"/>
    </row>
    <row r="58" spans="1:48">
      <c r="A58" s="623" t="s">
        <v>193</v>
      </c>
      <c r="B58" s="22" t="s">
        <v>246</v>
      </c>
      <c r="C58" s="137">
        <f>'מאזן בוחן Australia'!K208</f>
        <v>16080.6</v>
      </c>
      <c r="D58" s="137">
        <f>'מאזן בוחן Australia'!J208</f>
        <v>21280</v>
      </c>
      <c r="E58" s="1103">
        <f>D58/C58</f>
        <v>1.3233337064537392</v>
      </c>
      <c r="L58" s="52"/>
      <c r="M58" s="52"/>
      <c r="AL58" s="52"/>
      <c r="AP58" s="52"/>
      <c r="AV58" s="52"/>
    </row>
    <row r="59" spans="1:48">
      <c r="A59" s="623"/>
      <c r="B59" s="16"/>
      <c r="C59" s="630"/>
      <c r="D59" s="630"/>
      <c r="E59" s="137"/>
      <c r="L59" s="52"/>
      <c r="M59" s="52"/>
      <c r="AL59" s="52"/>
      <c r="AP59" s="52"/>
      <c r="AV59" s="52"/>
    </row>
    <row r="60" spans="1:48">
      <c r="A60" s="623"/>
      <c r="B60" s="25" t="s">
        <v>426</v>
      </c>
      <c r="C60" s="382">
        <f>C54-SUM(C56:C59)</f>
        <v>73243.36999999918</v>
      </c>
      <c r="D60" s="382">
        <f>D54-SUM(D56:D59)</f>
        <v>100465.1400000006</v>
      </c>
      <c r="E60" s="137"/>
      <c r="F60" s="272"/>
      <c r="H60" s="272"/>
      <c r="I60" s="272"/>
      <c r="L60" s="272"/>
      <c r="M60" s="272"/>
      <c r="P60" s="272"/>
      <c r="Q60" s="272"/>
      <c r="R60" s="272"/>
      <c r="S60" s="272"/>
      <c r="T60" s="272"/>
      <c r="U60" s="272"/>
      <c r="X60" s="272"/>
      <c r="Y60" s="272"/>
      <c r="AA60" s="272"/>
      <c r="AB60" s="272"/>
      <c r="AC60" s="272"/>
      <c r="AD60" s="272"/>
      <c r="AE60" s="272"/>
      <c r="AH60" s="272"/>
      <c r="AI60" s="272"/>
      <c r="AL60" s="52"/>
      <c r="AN60" s="272"/>
      <c r="AO60" s="272"/>
      <c r="AP60" s="52"/>
      <c r="AR60" s="272"/>
      <c r="AS60" s="272"/>
      <c r="AV60" s="52"/>
    </row>
    <row r="61" spans="1:48">
      <c r="A61" s="623"/>
      <c r="B61" s="25"/>
      <c r="C61" s="382"/>
      <c r="D61" s="382"/>
      <c r="E61" s="137"/>
      <c r="F61" s="272"/>
      <c r="H61" s="272"/>
      <c r="I61" s="272"/>
      <c r="L61" s="272"/>
      <c r="M61" s="272"/>
      <c r="P61" s="272"/>
      <c r="Q61" s="272"/>
      <c r="R61" s="272"/>
      <c r="S61" s="272"/>
      <c r="T61" s="272"/>
      <c r="U61" s="272"/>
      <c r="AA61" s="272"/>
      <c r="AD61" s="272"/>
      <c r="AE61" s="272"/>
      <c r="AH61" s="272"/>
      <c r="AI61" s="272"/>
      <c r="AL61" s="52"/>
      <c r="AN61" s="272"/>
      <c r="AO61" s="272"/>
      <c r="AP61" s="52"/>
      <c r="AR61" s="272"/>
      <c r="AS61" s="272"/>
      <c r="AV61" s="52"/>
    </row>
    <row r="62" spans="1:48">
      <c r="A62" s="623" t="s">
        <v>255</v>
      </c>
      <c r="B62" s="22" t="s">
        <v>516</v>
      </c>
      <c r="C62" s="630">
        <f>('מאזן בוחן Australia'!K278)</f>
        <v>-180758.49000000002</v>
      </c>
      <c r="D62" s="630">
        <f>('מאזן בוחן Australia'!J278)</f>
        <v>21172.920000000002</v>
      </c>
      <c r="E62" s="1103">
        <f>D62/C62</f>
        <v>-0.11713375122795062</v>
      </c>
      <c r="L62" s="52"/>
      <c r="M62" s="52"/>
      <c r="AL62" s="52"/>
      <c r="AP62" s="52"/>
      <c r="AV62" s="52"/>
    </row>
    <row r="63" spans="1:48">
      <c r="A63" s="623"/>
      <c r="B63" s="26" t="s">
        <v>248</v>
      </c>
      <c r="C63" s="382">
        <f>C60-C62</f>
        <v>254001.8599999992</v>
      </c>
      <c r="D63" s="382">
        <f>D60-D62</f>
        <v>79292.220000000598</v>
      </c>
      <c r="E63" s="137"/>
      <c r="F63" s="272"/>
      <c r="H63" s="272"/>
      <c r="I63" s="272"/>
      <c r="L63" s="272"/>
      <c r="M63" s="272"/>
      <c r="P63" s="272"/>
      <c r="Q63" s="272"/>
      <c r="R63" s="272"/>
      <c r="S63" s="272"/>
      <c r="T63" s="272"/>
      <c r="U63" s="272"/>
      <c r="X63" s="272"/>
      <c r="Y63" s="272"/>
      <c r="AA63" s="272"/>
      <c r="AB63" s="272"/>
      <c r="AC63" s="272"/>
      <c r="AD63" s="272"/>
      <c r="AE63" s="272"/>
      <c r="AF63" s="272"/>
      <c r="AG63" s="272"/>
      <c r="AH63" s="272"/>
      <c r="AI63" s="272"/>
      <c r="AJ63" s="272"/>
      <c r="AK63" s="272"/>
      <c r="AL63" s="52"/>
      <c r="AN63" s="272"/>
      <c r="AO63" s="272"/>
      <c r="AP63" s="52"/>
      <c r="AR63" s="272"/>
      <c r="AS63" s="272"/>
      <c r="AV63" s="52"/>
    </row>
    <row r="64" spans="1:48">
      <c r="A64" s="623"/>
      <c r="B64" s="26"/>
      <c r="C64" s="382"/>
      <c r="D64" s="382"/>
      <c r="E64" s="137"/>
      <c r="F64" s="272"/>
      <c r="H64" s="272"/>
      <c r="I64" s="272"/>
      <c r="L64" s="272"/>
      <c r="M64" s="272"/>
      <c r="P64" s="272"/>
      <c r="Q64" s="272"/>
      <c r="R64" s="272"/>
      <c r="S64" s="272"/>
      <c r="T64" s="272"/>
      <c r="U64" s="272"/>
      <c r="AA64" s="272"/>
      <c r="AD64" s="272"/>
      <c r="AE64" s="272"/>
      <c r="AH64" s="272"/>
      <c r="AI64" s="272"/>
      <c r="AL64" s="52"/>
      <c r="AN64" s="272"/>
      <c r="AO64" s="272"/>
      <c r="AP64" s="52"/>
      <c r="AR64" s="272"/>
      <c r="AS64" s="272"/>
      <c r="AV64" s="52"/>
    </row>
    <row r="65" spans="1:48">
      <c r="A65" s="623" t="s">
        <v>256</v>
      </c>
      <c r="B65" s="22" t="s">
        <v>302</v>
      </c>
      <c r="C65" s="630">
        <f>'מאזן בוחן Australia'!K271</f>
        <v>0</v>
      </c>
      <c r="D65" s="630">
        <f>'מאזן בוחן Australia'!J271</f>
        <v>0</v>
      </c>
      <c r="E65" s="1103" t="e">
        <f>D65/C65</f>
        <v>#DIV/0!</v>
      </c>
      <c r="L65" s="52"/>
      <c r="M65" s="52"/>
      <c r="AL65" s="52"/>
      <c r="AP65" s="52"/>
      <c r="AV65" s="52"/>
    </row>
    <row r="66" spans="1:48">
      <c r="A66" s="623"/>
      <c r="B66" s="22"/>
      <c r="C66" s="51"/>
      <c r="D66" s="51"/>
      <c r="E66" s="137"/>
      <c r="L66" s="52"/>
      <c r="M66" s="52"/>
      <c r="AL66" s="52"/>
      <c r="AP66" s="52"/>
      <c r="AV66" s="52"/>
    </row>
    <row r="67" spans="1:48">
      <c r="A67" s="623"/>
      <c r="B67" s="25" t="s">
        <v>249</v>
      </c>
      <c r="C67" s="382">
        <f>C63-C65</f>
        <v>254001.8599999992</v>
      </c>
      <c r="D67" s="382">
        <f>D63-D65</f>
        <v>79292.220000000598</v>
      </c>
      <c r="E67" s="137"/>
      <c r="F67" s="272"/>
      <c r="H67" s="272"/>
      <c r="I67" s="272"/>
      <c r="L67" s="272"/>
      <c r="M67" s="272"/>
      <c r="P67" s="272"/>
      <c r="Q67" s="272"/>
      <c r="R67" s="272"/>
      <c r="S67" s="272"/>
      <c r="T67" s="272"/>
      <c r="U67" s="272"/>
      <c r="X67" s="272"/>
      <c r="Y67" s="272"/>
      <c r="AA67" s="272"/>
      <c r="AB67" s="272"/>
      <c r="AC67" s="272"/>
      <c r="AD67" s="272"/>
      <c r="AE67" s="272"/>
      <c r="AH67" s="272"/>
      <c r="AI67" s="272"/>
      <c r="AL67" s="52"/>
      <c r="AN67" s="272"/>
      <c r="AO67" s="272"/>
      <c r="AP67" s="52"/>
      <c r="AR67" s="272"/>
      <c r="AS67" s="272"/>
      <c r="AV67" s="52"/>
    </row>
    <row r="68" spans="1:48">
      <c r="B68" s="137"/>
      <c r="C68" s="137"/>
      <c r="D68" s="137"/>
      <c r="E68" s="137"/>
      <c r="L68" s="52"/>
      <c r="M68" s="52"/>
      <c r="AL68" s="52"/>
      <c r="AP68" s="52"/>
      <c r="AV68" s="52"/>
    </row>
    <row r="69" spans="1:48">
      <c r="B69" s="137"/>
      <c r="C69" s="137"/>
      <c r="D69" s="137"/>
      <c r="E69" s="137"/>
      <c r="L69" s="52"/>
      <c r="M69" s="52"/>
      <c r="AL69" s="52"/>
      <c r="AP69" s="52"/>
      <c r="AV69" s="52"/>
    </row>
    <row r="70" spans="1:48">
      <c r="B70" s="137"/>
      <c r="C70" s="137"/>
      <c r="D70" s="137"/>
      <c r="E70" s="137"/>
      <c r="L70" s="52"/>
      <c r="M70" s="52"/>
      <c r="AL70" s="52"/>
      <c r="AP70" s="52"/>
      <c r="AV70" s="52"/>
    </row>
    <row r="71" spans="1:48">
      <c r="B71" s="137"/>
      <c r="C71" s="137"/>
      <c r="D71" s="137"/>
      <c r="E71" s="137"/>
      <c r="L71" s="52"/>
      <c r="M71" s="52"/>
      <c r="AL71" s="52"/>
      <c r="AP71" s="52"/>
      <c r="AV71" s="52"/>
    </row>
    <row r="72" spans="1:48">
      <c r="B72" s="137"/>
      <c r="C72" s="137"/>
      <c r="D72" s="137"/>
      <c r="E72" s="137"/>
      <c r="L72" s="52"/>
      <c r="M72" s="52"/>
      <c r="AL72" s="52"/>
      <c r="AP72" s="52"/>
      <c r="AV72" s="52"/>
    </row>
    <row r="73" spans="1:48">
      <c r="B73" s="137"/>
      <c r="C73" s="137"/>
      <c r="D73" s="137"/>
      <c r="E73" s="137"/>
      <c r="L73" s="52"/>
      <c r="M73" s="52"/>
      <c r="AL73" s="52"/>
      <c r="AP73" s="52"/>
      <c r="AV73" s="52"/>
    </row>
    <row r="74" spans="1:48">
      <c r="B74" s="137"/>
      <c r="C74" s="137"/>
      <c r="D74" s="137"/>
      <c r="E74" s="137"/>
      <c r="L74" s="52"/>
      <c r="M74" s="52"/>
      <c r="AL74" s="52"/>
      <c r="AP74" s="52"/>
      <c r="AV74" s="52"/>
    </row>
    <row r="75" spans="1:48">
      <c r="B75" s="137"/>
      <c r="C75" s="137"/>
      <c r="D75" s="137"/>
      <c r="E75" s="137"/>
      <c r="L75" s="52"/>
      <c r="M75" s="52"/>
      <c r="AL75" s="52"/>
      <c r="AP75" s="52"/>
      <c r="AV75" s="52"/>
    </row>
    <row r="76" spans="1:48">
      <c r="B76" s="137"/>
      <c r="C76" s="137"/>
      <c r="D76" s="137"/>
      <c r="E76" s="137"/>
      <c r="L76" s="52"/>
      <c r="M76" s="52"/>
      <c r="AL76" s="52"/>
      <c r="AP76" s="52"/>
      <c r="AV76" s="52"/>
    </row>
    <row r="77" spans="1:48" ht="17.100000000000001" customHeight="1">
      <c r="B77" s="137"/>
      <c r="C77" s="137"/>
      <c r="D77" s="137"/>
      <c r="E77" s="137"/>
      <c r="L77" s="52"/>
      <c r="M77" s="52"/>
      <c r="AL77" s="52"/>
      <c r="AP77" s="52"/>
      <c r="AV77" s="52"/>
    </row>
    <row r="78" spans="1:48" ht="17.100000000000001" customHeight="1">
      <c r="B78" s="137"/>
      <c r="C78" s="137"/>
      <c r="D78" s="137"/>
      <c r="E78" s="137"/>
      <c r="L78" s="52"/>
      <c r="M78" s="52"/>
      <c r="AL78" s="52"/>
      <c r="AP78" s="52"/>
      <c r="AV78" s="52"/>
    </row>
    <row r="79" spans="1:48" ht="17.100000000000001" customHeight="1">
      <c r="B79" s="137"/>
      <c r="C79" s="137"/>
      <c r="D79" s="137"/>
      <c r="E79" s="137"/>
      <c r="L79" s="52"/>
      <c r="M79" s="52"/>
      <c r="AL79" s="52"/>
      <c r="AP79" s="52"/>
      <c r="AV79" s="52"/>
    </row>
    <row r="80" spans="1:48" ht="17.100000000000001" customHeight="1">
      <c r="B80" s="137"/>
      <c r="C80" s="137"/>
      <c r="D80" s="137"/>
      <c r="E80" s="137"/>
      <c r="L80" s="52"/>
      <c r="M80" s="52"/>
      <c r="AL80" s="52"/>
      <c r="AP80" s="52"/>
      <c r="AV80" s="52"/>
    </row>
    <row r="81" spans="2:48" ht="17.100000000000001" customHeight="1">
      <c r="B81" s="137"/>
      <c r="C81" s="137"/>
      <c r="D81" s="137"/>
      <c r="E81" s="137"/>
      <c r="L81" s="52"/>
      <c r="M81" s="52"/>
      <c r="AL81" s="52"/>
      <c r="AP81" s="52"/>
      <c r="AV81" s="52"/>
    </row>
    <row r="82" spans="2:48" ht="17.100000000000001" customHeight="1">
      <c r="B82" s="137"/>
      <c r="C82" s="137"/>
      <c r="D82" s="137"/>
      <c r="E82" s="137"/>
      <c r="L82" s="52"/>
      <c r="M82" s="52"/>
      <c r="AL82" s="52"/>
      <c r="AP82" s="52"/>
      <c r="AV82" s="52"/>
    </row>
    <row r="83" spans="2:48" ht="17.100000000000001" customHeight="1">
      <c r="B83" s="137"/>
      <c r="C83" s="137"/>
      <c r="D83" s="137"/>
      <c r="E83" s="137"/>
      <c r="L83" s="52"/>
      <c r="M83" s="52"/>
      <c r="AL83" s="52"/>
      <c r="AP83" s="52"/>
      <c r="AV83" s="52"/>
    </row>
    <row r="84" spans="2:48" ht="17.100000000000001" customHeight="1">
      <c r="B84" s="137"/>
      <c r="C84" s="137"/>
      <c r="D84" s="137"/>
      <c r="E84" s="137"/>
      <c r="L84" s="52"/>
      <c r="M84" s="52"/>
      <c r="AL84" s="52"/>
      <c r="AP84" s="52"/>
      <c r="AV84" s="52"/>
    </row>
    <row r="85" spans="2:48" ht="17.100000000000001" customHeight="1">
      <c r="B85" s="137"/>
      <c r="C85" s="137"/>
      <c r="D85" s="137"/>
      <c r="E85" s="137"/>
      <c r="L85" s="52"/>
      <c r="M85" s="52"/>
      <c r="AL85" s="52"/>
      <c r="AP85" s="52"/>
      <c r="AV85" s="52"/>
    </row>
    <row r="86" spans="2:48" ht="17.100000000000001" customHeight="1">
      <c r="B86" s="137"/>
      <c r="C86" s="137"/>
      <c r="D86" s="137"/>
      <c r="E86" s="137"/>
      <c r="L86" s="52"/>
      <c r="M86" s="52"/>
      <c r="AL86" s="52"/>
      <c r="AP86" s="52"/>
      <c r="AV86" s="52"/>
    </row>
    <row r="87" spans="2:48" ht="17.100000000000001" customHeight="1">
      <c r="B87" s="137"/>
      <c r="C87" s="137"/>
      <c r="D87" s="137"/>
      <c r="E87" s="137"/>
      <c r="L87" s="52"/>
      <c r="M87" s="52"/>
      <c r="AL87" s="52"/>
      <c r="AP87" s="52"/>
      <c r="AV87" s="52"/>
    </row>
    <row r="88" spans="2:48" ht="17.100000000000001" customHeight="1">
      <c r="B88" s="137"/>
      <c r="C88" s="137"/>
      <c r="D88" s="137"/>
      <c r="E88" s="137"/>
      <c r="L88" s="52"/>
      <c r="M88" s="52"/>
      <c r="AL88" s="52"/>
      <c r="AP88" s="52"/>
      <c r="AV88" s="52"/>
    </row>
    <row r="89" spans="2:48" ht="17.100000000000001" customHeight="1">
      <c r="B89" s="137"/>
      <c r="C89" s="137"/>
      <c r="D89" s="137"/>
      <c r="E89" s="137"/>
      <c r="L89" s="52"/>
      <c r="M89" s="52"/>
      <c r="AL89" s="52"/>
      <c r="AP89" s="52"/>
      <c r="AV89" s="52"/>
    </row>
    <row r="90" spans="2:48" ht="17.100000000000001" customHeight="1">
      <c r="B90" s="137"/>
      <c r="C90" s="137"/>
      <c r="D90" s="137"/>
      <c r="E90" s="137"/>
      <c r="L90" s="52"/>
      <c r="M90" s="52"/>
      <c r="AL90" s="52"/>
      <c r="AP90" s="52"/>
      <c r="AV90" s="52"/>
    </row>
    <row r="91" spans="2:48" ht="17.100000000000001" customHeight="1">
      <c r="B91" s="137"/>
      <c r="C91" s="137"/>
      <c r="D91" s="137"/>
      <c r="E91" s="137"/>
      <c r="L91" s="52"/>
      <c r="M91" s="52"/>
      <c r="AL91" s="52"/>
      <c r="AP91" s="52"/>
      <c r="AV91" s="52"/>
    </row>
    <row r="92" spans="2:48" ht="17.100000000000001" customHeight="1">
      <c r="B92" s="137"/>
      <c r="C92" s="137"/>
      <c r="D92" s="137"/>
      <c r="E92" s="137"/>
      <c r="L92" s="52"/>
      <c r="M92" s="52"/>
      <c r="AL92" s="52"/>
      <c r="AP92" s="52"/>
      <c r="AV92" s="52"/>
    </row>
    <row r="93" spans="2:48" ht="17.100000000000001" customHeight="1">
      <c r="B93" s="137"/>
      <c r="C93" s="137"/>
      <c r="D93" s="137"/>
      <c r="E93" s="137"/>
      <c r="L93" s="52"/>
      <c r="M93" s="52"/>
      <c r="AL93" s="52"/>
      <c r="AP93" s="52"/>
      <c r="AV93" s="52"/>
    </row>
    <row r="94" spans="2:48" ht="17.100000000000001" customHeight="1">
      <c r="B94" s="137"/>
      <c r="C94" s="137"/>
      <c r="D94" s="137"/>
      <c r="E94" s="137"/>
      <c r="L94" s="52"/>
      <c r="M94" s="52"/>
      <c r="AL94" s="52"/>
      <c r="AP94" s="52"/>
      <c r="AV94" s="52"/>
    </row>
    <row r="95" spans="2:48" ht="17.100000000000001" customHeight="1">
      <c r="B95" s="137"/>
      <c r="C95" s="137"/>
      <c r="D95" s="137"/>
      <c r="E95" s="137"/>
      <c r="L95" s="52"/>
      <c r="M95" s="52"/>
      <c r="AL95" s="52"/>
      <c r="AP95" s="52"/>
      <c r="AV95" s="52"/>
    </row>
    <row r="96" spans="2:48" ht="17.100000000000001" customHeight="1">
      <c r="B96" s="137"/>
      <c r="C96" s="137"/>
      <c r="D96" s="137"/>
      <c r="E96" s="137"/>
      <c r="L96" s="52"/>
      <c r="M96" s="52"/>
      <c r="AL96" s="52"/>
      <c r="AP96" s="52"/>
      <c r="AV96" s="52"/>
    </row>
    <row r="97" spans="2:48" ht="17.100000000000001" customHeight="1">
      <c r="B97" s="137"/>
      <c r="C97" s="137"/>
      <c r="D97" s="137"/>
      <c r="E97" s="137"/>
      <c r="L97" s="52"/>
      <c r="M97" s="52"/>
      <c r="AL97" s="52"/>
      <c r="AP97" s="52"/>
      <c r="AV97" s="52"/>
    </row>
    <row r="98" spans="2:48" ht="17.100000000000001" customHeight="1">
      <c r="B98" s="137"/>
      <c r="C98" s="137"/>
      <c r="D98" s="137"/>
      <c r="E98" s="137"/>
      <c r="L98" s="52"/>
      <c r="M98" s="52"/>
      <c r="AL98" s="52"/>
      <c r="AP98" s="52"/>
      <c r="AV98" s="52"/>
    </row>
    <row r="99" spans="2:48" ht="17.100000000000001" customHeight="1">
      <c r="B99" s="137"/>
      <c r="C99" s="137"/>
      <c r="D99" s="137"/>
      <c r="E99" s="137"/>
      <c r="L99" s="52"/>
      <c r="M99" s="52"/>
      <c r="AL99" s="52"/>
      <c r="AP99" s="52"/>
      <c r="AV99" s="52"/>
    </row>
    <row r="100" spans="2:48" ht="17.100000000000001" customHeight="1">
      <c r="B100" s="137"/>
      <c r="C100" s="137"/>
      <c r="D100" s="137"/>
      <c r="E100" s="137"/>
      <c r="L100" s="52"/>
      <c r="M100" s="52"/>
      <c r="AL100" s="52"/>
      <c r="AP100" s="52"/>
      <c r="AV100" s="52"/>
    </row>
    <row r="101" spans="2:48" ht="17.100000000000001" customHeight="1">
      <c r="B101" s="137"/>
      <c r="C101" s="137"/>
      <c r="D101" s="137"/>
      <c r="E101" s="137"/>
      <c r="L101" s="52"/>
      <c r="M101" s="52"/>
      <c r="AL101" s="52"/>
      <c r="AP101" s="52"/>
      <c r="AV101" s="52"/>
    </row>
    <row r="102" spans="2:48" ht="17.100000000000001" customHeight="1">
      <c r="B102" s="137"/>
      <c r="C102" s="137"/>
      <c r="D102" s="137"/>
      <c r="E102" s="137"/>
      <c r="L102" s="52"/>
      <c r="M102" s="52"/>
      <c r="AL102" s="52"/>
      <c r="AP102" s="52"/>
      <c r="AV102" s="52"/>
    </row>
    <row r="103" spans="2:48" ht="17.100000000000001" customHeight="1">
      <c r="B103" s="137"/>
      <c r="C103" s="137"/>
      <c r="D103" s="137"/>
      <c r="E103" s="137"/>
      <c r="L103" s="52"/>
      <c r="M103" s="52"/>
      <c r="AL103" s="52"/>
      <c r="AP103" s="52"/>
      <c r="AV103" s="52"/>
    </row>
    <row r="104" spans="2:48" ht="17.100000000000001" customHeight="1">
      <c r="B104" s="137"/>
      <c r="C104" s="137"/>
      <c r="D104" s="137"/>
      <c r="E104" s="137"/>
      <c r="L104" s="52"/>
      <c r="M104" s="52"/>
      <c r="AL104" s="52"/>
      <c r="AP104" s="52"/>
      <c r="AV104" s="52"/>
    </row>
    <row r="105" spans="2:48" ht="17.100000000000001" customHeight="1">
      <c r="B105" s="137"/>
      <c r="C105" s="137"/>
      <c r="D105" s="137"/>
      <c r="E105" s="137"/>
      <c r="L105" s="52"/>
      <c r="M105" s="52"/>
      <c r="AL105" s="52"/>
      <c r="AP105" s="52"/>
      <c r="AV105" s="52"/>
    </row>
    <row r="106" spans="2:48" ht="17.100000000000001" customHeight="1">
      <c r="B106" s="137"/>
      <c r="C106" s="137"/>
      <c r="D106" s="137"/>
      <c r="E106" s="137"/>
      <c r="L106" s="52"/>
      <c r="M106" s="52"/>
      <c r="X106" s="272"/>
      <c r="Y106" s="272"/>
      <c r="AL106" s="52"/>
      <c r="AP106" s="52"/>
      <c r="AV106" s="52"/>
    </row>
    <row r="107" spans="2:48" ht="17.100000000000001" customHeight="1">
      <c r="B107" s="137"/>
      <c r="C107" s="137"/>
      <c r="D107" s="137"/>
      <c r="E107" s="137"/>
      <c r="L107" s="52"/>
      <c r="M107" s="52"/>
      <c r="AL107" s="52"/>
      <c r="AP107" s="52"/>
      <c r="AV107" s="52"/>
    </row>
    <row r="108" spans="2:48" ht="17.100000000000001" customHeight="1">
      <c r="B108" s="137"/>
      <c r="C108" s="137"/>
      <c r="D108" s="137"/>
      <c r="E108" s="137"/>
      <c r="L108" s="52"/>
      <c r="M108" s="52"/>
      <c r="AL108" s="52"/>
      <c r="AP108" s="52"/>
      <c r="AV108" s="52"/>
    </row>
    <row r="109" spans="2:48" ht="17.100000000000001" customHeight="1">
      <c r="B109" s="137"/>
      <c r="C109" s="137"/>
      <c r="D109" s="137"/>
      <c r="E109" s="137"/>
      <c r="L109" s="52"/>
      <c r="M109" s="52"/>
      <c r="AL109" s="52"/>
      <c r="AP109" s="52"/>
      <c r="AV109" s="52"/>
    </row>
    <row r="110" spans="2:48" ht="17.100000000000001" customHeight="1">
      <c r="B110" s="137"/>
      <c r="C110" s="137"/>
      <c r="D110" s="137"/>
      <c r="E110" s="137"/>
      <c r="L110" s="52"/>
      <c r="M110" s="52"/>
      <c r="AL110" s="52"/>
      <c r="AP110" s="52"/>
      <c r="AV110" s="52"/>
    </row>
    <row r="111" spans="2:48" ht="17.100000000000001" customHeight="1">
      <c r="B111" s="137"/>
      <c r="C111" s="137"/>
      <c r="D111" s="137"/>
      <c r="E111" s="137"/>
      <c r="L111" s="52"/>
      <c r="M111" s="52"/>
      <c r="AL111" s="52"/>
      <c r="AP111" s="52"/>
      <c r="AV111" s="52"/>
    </row>
    <row r="112" spans="2:48" ht="17.100000000000001" customHeight="1">
      <c r="B112" s="137"/>
      <c r="C112" s="137"/>
      <c r="D112" s="137"/>
      <c r="E112" s="137"/>
      <c r="L112" s="52"/>
      <c r="M112" s="52"/>
      <c r="AL112" s="52"/>
      <c r="AP112" s="52"/>
      <c r="AV112" s="52"/>
    </row>
    <row r="113" spans="2:48" ht="17.100000000000001" customHeight="1">
      <c r="B113" s="137"/>
      <c r="C113" s="137"/>
      <c r="D113" s="137"/>
      <c r="E113" s="137"/>
      <c r="L113" s="52"/>
      <c r="M113" s="52"/>
      <c r="AL113" s="52"/>
      <c r="AP113" s="52"/>
      <c r="AV113" s="52"/>
    </row>
    <row r="114" spans="2:48" ht="17.100000000000001" customHeight="1">
      <c r="B114" s="137"/>
      <c r="C114" s="137"/>
      <c r="D114" s="137"/>
      <c r="E114" s="137"/>
      <c r="L114" s="52"/>
      <c r="M114" s="52"/>
      <c r="AL114" s="52"/>
      <c r="AP114" s="52"/>
      <c r="AV114" s="52"/>
    </row>
    <row r="115" spans="2:48" ht="17.100000000000001" customHeight="1">
      <c r="B115" s="137"/>
      <c r="C115" s="137"/>
      <c r="D115" s="137"/>
      <c r="E115" s="137"/>
      <c r="L115" s="52"/>
      <c r="M115" s="52"/>
      <c r="AL115" s="52"/>
      <c r="AP115" s="52"/>
      <c r="AV115" s="52"/>
    </row>
    <row r="116" spans="2:48" ht="17.100000000000001" customHeight="1">
      <c r="B116" s="137"/>
      <c r="C116" s="137"/>
      <c r="D116" s="137"/>
      <c r="E116" s="137"/>
      <c r="L116" s="52"/>
      <c r="M116" s="52"/>
      <c r="AL116" s="52"/>
      <c r="AP116" s="52"/>
      <c r="AV116" s="52"/>
    </row>
    <row r="117" spans="2:48" ht="17.100000000000001" customHeight="1">
      <c r="B117" s="137"/>
      <c r="C117" s="137"/>
      <c r="D117" s="137"/>
      <c r="E117" s="137"/>
      <c r="L117" s="52"/>
      <c r="M117" s="52"/>
      <c r="AL117" s="52"/>
      <c r="AP117" s="52"/>
      <c r="AV117" s="52"/>
    </row>
    <row r="118" spans="2:48" ht="17.100000000000001" customHeight="1">
      <c r="B118" s="137"/>
      <c r="C118" s="137"/>
      <c r="D118" s="137"/>
      <c r="E118" s="137"/>
      <c r="L118" s="52"/>
      <c r="M118" s="52"/>
      <c r="AL118" s="52"/>
      <c r="AP118" s="52"/>
      <c r="AV118" s="52"/>
    </row>
    <row r="119" spans="2:48" ht="17.100000000000001" customHeight="1">
      <c r="B119" s="137"/>
      <c r="C119" s="137"/>
      <c r="D119" s="137"/>
      <c r="E119" s="137"/>
      <c r="L119" s="52"/>
      <c r="M119" s="52"/>
      <c r="AL119" s="52"/>
      <c r="AP119" s="52"/>
      <c r="AV119" s="52"/>
    </row>
    <row r="120" spans="2:48" ht="17.100000000000001" customHeight="1">
      <c r="B120" s="137"/>
      <c r="C120" s="137"/>
      <c r="D120" s="137"/>
      <c r="E120" s="137"/>
      <c r="L120" s="52"/>
      <c r="M120" s="52"/>
      <c r="AL120" s="52"/>
      <c r="AP120" s="52"/>
      <c r="AV120" s="52"/>
    </row>
    <row r="121" spans="2:48" ht="17.100000000000001" customHeight="1">
      <c r="B121" s="137"/>
      <c r="C121" s="137"/>
      <c r="D121" s="137"/>
      <c r="E121" s="137"/>
      <c r="L121" s="52"/>
      <c r="M121" s="52"/>
      <c r="AL121" s="52"/>
      <c r="AP121" s="52"/>
      <c r="AV121" s="52"/>
    </row>
    <row r="122" spans="2:48" ht="17.100000000000001" customHeight="1">
      <c r="B122" s="137"/>
      <c r="C122" s="137"/>
      <c r="D122" s="137"/>
      <c r="E122" s="137"/>
      <c r="L122" s="52"/>
      <c r="M122" s="52"/>
      <c r="AL122" s="52"/>
      <c r="AP122" s="52"/>
      <c r="AV122" s="52"/>
    </row>
    <row r="123" spans="2:48" ht="17.100000000000001" customHeight="1">
      <c r="B123" s="137"/>
      <c r="C123" s="137"/>
      <c r="D123" s="137"/>
      <c r="E123" s="137"/>
      <c r="L123" s="52"/>
      <c r="M123" s="52"/>
      <c r="AL123" s="52"/>
      <c r="AP123" s="52"/>
      <c r="AV123" s="52"/>
    </row>
    <row r="124" spans="2:48" ht="17.100000000000001" customHeight="1">
      <c r="B124" s="137"/>
      <c r="C124" s="137"/>
      <c r="D124" s="137"/>
      <c r="E124" s="137"/>
      <c r="L124" s="52"/>
      <c r="M124" s="52"/>
      <c r="AL124" s="52"/>
      <c r="AP124" s="52"/>
      <c r="AV124" s="52"/>
    </row>
    <row r="125" spans="2:48" ht="17.100000000000001" customHeight="1">
      <c r="B125" s="137"/>
      <c r="C125" s="137"/>
      <c r="D125" s="137"/>
      <c r="E125" s="137"/>
      <c r="L125" s="52"/>
      <c r="M125" s="52"/>
      <c r="AL125" s="52"/>
      <c r="AP125" s="52"/>
      <c r="AV125" s="52"/>
    </row>
    <row r="126" spans="2:48" ht="17.100000000000001" customHeight="1">
      <c r="B126" s="137"/>
      <c r="C126" s="137"/>
      <c r="D126" s="137"/>
      <c r="E126" s="137"/>
      <c r="L126" s="52"/>
      <c r="M126" s="52"/>
      <c r="AL126" s="52"/>
      <c r="AP126" s="52"/>
      <c r="AV126" s="52"/>
    </row>
    <row r="127" spans="2:48" ht="17.100000000000001" customHeight="1">
      <c r="B127" s="137"/>
      <c r="C127" s="137"/>
      <c r="D127" s="137"/>
      <c r="E127" s="137"/>
      <c r="L127" s="52"/>
      <c r="M127" s="52"/>
      <c r="AL127" s="52"/>
      <c r="AP127" s="52"/>
      <c r="AV127" s="52"/>
    </row>
    <row r="128" spans="2:48" ht="17.100000000000001" customHeight="1">
      <c r="B128" s="137"/>
      <c r="C128" s="137"/>
      <c r="D128" s="137"/>
      <c r="E128" s="137"/>
      <c r="L128" s="52"/>
      <c r="M128" s="52"/>
      <c r="AL128" s="52"/>
      <c r="AP128" s="52"/>
      <c r="AV128" s="52"/>
    </row>
    <row r="129" spans="2:48" ht="17.100000000000001" customHeight="1">
      <c r="B129" s="137"/>
      <c r="C129" s="137"/>
      <c r="D129" s="137"/>
      <c r="E129" s="137"/>
      <c r="L129" s="52"/>
      <c r="M129" s="52"/>
      <c r="AL129" s="52"/>
      <c r="AP129" s="52"/>
      <c r="AV129" s="52"/>
    </row>
    <row r="130" spans="2:48" ht="17.100000000000001" customHeight="1">
      <c r="B130" s="137"/>
      <c r="C130" s="137"/>
      <c r="D130" s="137"/>
      <c r="E130" s="137"/>
      <c r="L130" s="52"/>
      <c r="M130" s="52"/>
      <c r="AL130" s="52"/>
      <c r="AP130" s="52"/>
      <c r="AV130" s="52"/>
    </row>
    <row r="131" spans="2:48" ht="17.100000000000001" customHeight="1">
      <c r="B131" s="137"/>
      <c r="C131" s="137"/>
      <c r="D131" s="137"/>
      <c r="E131" s="137"/>
      <c r="L131" s="52"/>
      <c r="M131" s="52"/>
      <c r="AL131" s="52"/>
      <c r="AP131" s="52"/>
      <c r="AV131" s="52"/>
    </row>
    <row r="132" spans="2:48" ht="17.100000000000001" customHeight="1">
      <c r="B132" s="137"/>
      <c r="C132" s="137"/>
      <c r="D132" s="137"/>
      <c r="E132" s="137"/>
      <c r="L132" s="52"/>
      <c r="M132" s="52"/>
      <c r="AL132" s="52"/>
      <c r="AP132" s="52"/>
      <c r="AV132" s="52"/>
    </row>
    <row r="133" spans="2:48" ht="17.100000000000001" customHeight="1">
      <c r="B133" s="137"/>
      <c r="C133" s="137"/>
      <c r="D133" s="137"/>
      <c r="E133" s="137"/>
      <c r="L133" s="52"/>
      <c r="M133" s="52"/>
      <c r="AL133" s="52"/>
      <c r="AP133" s="52"/>
      <c r="AV133" s="52"/>
    </row>
    <row r="134" spans="2:48" ht="17.100000000000001" customHeight="1">
      <c r="B134" s="137"/>
      <c r="C134" s="137"/>
      <c r="D134" s="137"/>
      <c r="E134" s="137"/>
      <c r="L134" s="52"/>
      <c r="M134" s="52"/>
      <c r="AL134" s="52"/>
      <c r="AP134" s="52"/>
      <c r="AV134" s="52"/>
    </row>
    <row r="135" spans="2:48" ht="17.100000000000001" customHeight="1">
      <c r="B135" s="137"/>
      <c r="C135" s="137"/>
      <c r="D135" s="137"/>
      <c r="E135" s="137"/>
      <c r="L135" s="52"/>
      <c r="M135" s="52"/>
      <c r="AL135" s="52"/>
      <c r="AP135" s="52"/>
      <c r="AV135" s="52"/>
    </row>
    <row r="136" spans="2:48" ht="17.100000000000001" customHeight="1">
      <c r="B136" s="137"/>
      <c r="C136" s="137"/>
      <c r="D136" s="137"/>
      <c r="E136" s="137"/>
      <c r="L136" s="52"/>
      <c r="M136" s="52"/>
      <c r="AL136" s="52"/>
      <c r="AP136" s="52"/>
      <c r="AV136" s="52"/>
    </row>
    <row r="137" spans="2:48" ht="17.100000000000001" customHeight="1">
      <c r="B137" s="137"/>
      <c r="C137" s="137"/>
      <c r="D137" s="137"/>
      <c r="E137" s="137"/>
      <c r="L137" s="52"/>
      <c r="M137" s="52"/>
      <c r="AL137" s="52"/>
      <c r="AP137" s="52"/>
      <c r="AV137" s="52"/>
    </row>
    <row r="138" spans="2:48" ht="17.100000000000001" customHeight="1">
      <c r="B138" s="137"/>
      <c r="C138" s="137"/>
      <c r="D138" s="137"/>
      <c r="E138" s="137"/>
      <c r="L138" s="52"/>
      <c r="M138" s="52"/>
      <c r="AL138" s="52"/>
      <c r="AP138" s="52"/>
      <c r="AV138" s="52"/>
    </row>
    <row r="139" spans="2:48" ht="17.100000000000001" customHeight="1">
      <c r="B139" s="137"/>
      <c r="C139" s="137"/>
      <c r="D139" s="137"/>
      <c r="E139" s="137"/>
      <c r="L139" s="52"/>
      <c r="M139" s="52"/>
      <c r="AL139" s="52"/>
      <c r="AP139" s="52"/>
      <c r="AV139" s="52"/>
    </row>
    <row r="140" spans="2:48" ht="17.100000000000001" customHeight="1">
      <c r="B140" s="137"/>
      <c r="C140" s="137"/>
      <c r="D140" s="137"/>
      <c r="E140" s="137"/>
      <c r="L140" s="52"/>
      <c r="M140" s="52"/>
      <c r="AL140" s="52"/>
      <c r="AP140" s="52"/>
      <c r="AV140" s="52"/>
    </row>
    <row r="141" spans="2:48" ht="17.100000000000001" customHeight="1">
      <c r="B141" s="137"/>
      <c r="C141" s="137"/>
      <c r="D141" s="137"/>
      <c r="E141" s="137"/>
      <c r="L141" s="52"/>
      <c r="M141" s="52"/>
      <c r="AL141" s="52"/>
      <c r="AP141" s="52"/>
      <c r="AV141" s="52"/>
    </row>
    <row r="142" spans="2:48" ht="17.100000000000001" customHeight="1">
      <c r="B142" s="137"/>
      <c r="C142" s="137"/>
      <c r="D142" s="137"/>
      <c r="E142" s="137"/>
      <c r="L142" s="52"/>
      <c r="M142" s="52"/>
      <c r="AL142" s="52"/>
      <c r="AP142" s="52"/>
      <c r="AV142" s="52"/>
    </row>
    <row r="143" spans="2:48" ht="17.100000000000001" customHeight="1">
      <c r="B143" s="137"/>
      <c r="C143" s="137"/>
      <c r="D143" s="137"/>
      <c r="E143" s="137"/>
      <c r="L143" s="52"/>
      <c r="M143" s="52"/>
      <c r="AL143" s="52"/>
      <c r="AP143" s="52"/>
      <c r="AV143" s="52"/>
    </row>
    <row r="144" spans="2:48" ht="17.100000000000001" customHeight="1">
      <c r="B144" s="137"/>
      <c r="C144" s="137"/>
      <c r="D144" s="137"/>
      <c r="E144" s="137"/>
      <c r="L144" s="52"/>
      <c r="M144" s="52"/>
      <c r="AL144" s="52"/>
      <c r="AP144" s="52"/>
      <c r="AV144" s="52"/>
    </row>
    <row r="145" spans="1:48" ht="17.100000000000001" customHeight="1">
      <c r="B145" s="137"/>
      <c r="C145" s="137"/>
      <c r="D145" s="137"/>
      <c r="E145" s="137"/>
      <c r="L145" s="52"/>
      <c r="M145" s="52"/>
      <c r="AL145" s="52"/>
      <c r="AP145" s="52"/>
      <c r="AV145" s="52"/>
    </row>
    <row r="146" spans="1:48" ht="17.100000000000001" customHeight="1">
      <c r="B146" s="137"/>
      <c r="C146" s="137"/>
      <c r="D146" s="137"/>
      <c r="E146" s="137"/>
      <c r="L146" s="52"/>
      <c r="M146" s="52"/>
      <c r="AL146" s="52"/>
      <c r="AP146" s="52"/>
      <c r="AV146" s="52"/>
    </row>
    <row r="147" spans="1:48" ht="17.100000000000001" customHeight="1">
      <c r="B147" s="137"/>
      <c r="C147" s="137"/>
      <c r="D147" s="137"/>
      <c r="E147" s="137"/>
      <c r="L147" s="52"/>
      <c r="M147" s="52"/>
      <c r="AL147" s="52"/>
      <c r="AP147" s="52"/>
      <c r="AV147" s="52"/>
    </row>
    <row r="148" spans="1:48" ht="17.100000000000001" customHeight="1">
      <c r="B148" s="137"/>
      <c r="C148" s="137"/>
      <c r="D148" s="137"/>
      <c r="E148" s="137"/>
      <c r="L148" s="52"/>
      <c r="M148" s="52"/>
      <c r="AL148" s="52"/>
      <c r="AP148" s="52"/>
      <c r="AV148" s="52"/>
    </row>
    <row r="149" spans="1:48" ht="17.100000000000001" customHeight="1">
      <c r="B149" s="137"/>
      <c r="C149" s="137"/>
      <c r="D149" s="137"/>
      <c r="E149" s="137"/>
      <c r="L149" s="52"/>
      <c r="M149" s="52"/>
      <c r="AL149" s="52"/>
      <c r="AP149" s="52"/>
      <c r="AV149" s="52"/>
    </row>
    <row r="150" spans="1:48" ht="17.100000000000001" customHeight="1">
      <c r="B150" s="137"/>
      <c r="C150" s="137"/>
      <c r="D150" s="137"/>
      <c r="E150" s="137"/>
      <c r="L150" s="52"/>
      <c r="M150" s="52"/>
      <c r="AL150" s="52"/>
      <c r="AP150" s="52"/>
      <c r="AV150" s="52"/>
    </row>
    <row r="151" spans="1:48" ht="17.100000000000001" customHeight="1">
      <c r="B151" s="137"/>
      <c r="C151" s="137"/>
      <c r="D151" s="137"/>
      <c r="E151" s="137"/>
      <c r="L151" s="52"/>
      <c r="M151" s="52"/>
      <c r="AL151" s="52"/>
      <c r="AP151" s="52"/>
      <c r="AV151" s="52"/>
    </row>
    <row r="152" spans="1:48" ht="17.100000000000001" customHeight="1">
      <c r="B152" s="137"/>
      <c r="C152" s="137"/>
      <c r="D152" s="137"/>
      <c r="E152" s="137"/>
      <c r="L152" s="52"/>
      <c r="M152" s="52"/>
      <c r="AL152" s="52"/>
      <c r="AP152" s="52"/>
      <c r="AV152" s="52"/>
    </row>
    <row r="153" spans="1:48" ht="17.100000000000001" customHeight="1">
      <c r="B153" s="137"/>
      <c r="C153" s="137"/>
      <c r="D153" s="137"/>
      <c r="E153" s="137"/>
      <c r="L153" s="52"/>
      <c r="M153" s="52"/>
      <c r="AL153" s="52"/>
      <c r="AP153" s="52"/>
      <c r="AV153" s="52"/>
    </row>
    <row r="154" spans="1:48" ht="17.100000000000001" customHeight="1">
      <c r="B154" s="137"/>
      <c r="C154" s="137"/>
      <c r="D154" s="137"/>
      <c r="E154" s="137"/>
      <c r="L154" s="52"/>
      <c r="M154" s="52"/>
      <c r="AL154" s="52"/>
      <c r="AP154" s="52"/>
      <c r="AV154" s="52"/>
    </row>
    <row r="155" spans="1:48" ht="17.100000000000001" customHeight="1">
      <c r="B155" s="137"/>
      <c r="C155" s="137"/>
      <c r="D155" s="137"/>
      <c r="E155" s="137"/>
      <c r="L155" s="52"/>
      <c r="M155" s="52"/>
      <c r="AL155" s="52"/>
      <c r="AP155" s="52"/>
      <c r="AV155" s="52"/>
    </row>
    <row r="156" spans="1:48" ht="17.100000000000001" customHeight="1">
      <c r="A156" s="493"/>
      <c r="B156" s="141"/>
      <c r="L156" s="52"/>
      <c r="M156" s="52"/>
      <c r="AL156" s="52"/>
      <c r="AN156" s="559"/>
      <c r="AP156" s="52"/>
      <c r="AV156" s="52"/>
    </row>
    <row r="157" spans="1:48" ht="17.100000000000001" customHeight="1">
      <c r="A157" s="493"/>
      <c r="B157" s="141"/>
      <c r="L157" s="52"/>
      <c r="M157" s="52"/>
      <c r="AL157" s="52"/>
      <c r="AN157" s="559"/>
      <c r="AP157" s="52"/>
      <c r="AV157" s="52"/>
    </row>
    <row r="158" spans="1:48" ht="17.100000000000001" customHeight="1">
      <c r="A158" s="493"/>
      <c r="B158" s="141"/>
      <c r="L158" s="52"/>
      <c r="M158" s="52"/>
      <c r="AL158" s="52"/>
      <c r="AN158" s="559"/>
      <c r="AP158" s="52"/>
      <c r="AV158" s="52"/>
    </row>
    <row r="159" spans="1:48" ht="17.100000000000001" customHeight="1">
      <c r="A159" s="493"/>
      <c r="B159" s="141"/>
      <c r="L159" s="52"/>
      <c r="M159" s="52"/>
      <c r="AL159" s="52"/>
      <c r="AN159" s="559"/>
      <c r="AP159" s="52"/>
      <c r="AV159" s="52"/>
    </row>
    <row r="160" spans="1:48" ht="17.100000000000001" customHeight="1">
      <c r="A160" s="493"/>
      <c r="B160" s="141"/>
      <c r="L160" s="52"/>
      <c r="M160" s="52"/>
      <c r="AL160" s="52"/>
      <c r="AN160" s="559"/>
      <c r="AP160" s="52"/>
      <c r="AV160" s="52"/>
    </row>
    <row r="161" spans="1:48" ht="17.100000000000001" customHeight="1">
      <c r="A161" s="493"/>
      <c r="B161" s="141"/>
      <c r="L161" s="52"/>
      <c r="M161" s="52"/>
      <c r="AL161" s="52"/>
      <c r="AN161" s="559"/>
      <c r="AP161" s="52"/>
      <c r="AV161" s="52"/>
    </row>
    <row r="162" spans="1:48" ht="17.100000000000001" customHeight="1">
      <c r="A162" s="493"/>
      <c r="B162" s="141"/>
      <c r="L162" s="52"/>
      <c r="M162" s="52"/>
      <c r="AL162" s="52"/>
      <c r="AN162" s="559"/>
      <c r="AP162" s="52"/>
      <c r="AV162" s="52"/>
    </row>
    <row r="163" spans="1:48" ht="17.100000000000001" customHeight="1">
      <c r="A163" s="493"/>
      <c r="B163" s="141"/>
      <c r="L163" s="52"/>
      <c r="M163" s="52"/>
      <c r="AL163" s="52"/>
      <c r="AN163" s="559"/>
      <c r="AP163" s="52"/>
      <c r="AV163" s="52"/>
    </row>
    <row r="164" spans="1:48" ht="17.100000000000001" customHeight="1">
      <c r="A164" s="493"/>
      <c r="B164" s="141"/>
      <c r="L164" s="52"/>
      <c r="M164" s="52"/>
      <c r="AL164" s="52"/>
      <c r="AN164" s="559"/>
      <c r="AP164" s="52"/>
      <c r="AV164" s="52"/>
    </row>
    <row r="165" spans="1:48" ht="17.100000000000001" customHeight="1">
      <c r="A165" s="493"/>
      <c r="B165" s="141"/>
      <c r="L165" s="52"/>
      <c r="M165" s="52"/>
      <c r="AL165" s="52"/>
      <c r="AN165" s="559"/>
      <c r="AP165" s="52"/>
      <c r="AV165" s="52"/>
    </row>
    <row r="166" spans="1:48" ht="17.100000000000001" customHeight="1">
      <c r="A166" s="493"/>
      <c r="B166" s="141"/>
      <c r="L166" s="52"/>
      <c r="M166" s="52"/>
      <c r="AL166" s="52"/>
      <c r="AN166" s="559"/>
      <c r="AP166" s="52"/>
      <c r="AV166" s="52"/>
    </row>
    <row r="167" spans="1:48" ht="17.100000000000001" customHeight="1">
      <c r="A167" s="493"/>
      <c r="B167" s="141"/>
      <c r="L167" s="52"/>
      <c r="M167" s="52"/>
      <c r="AL167" s="52"/>
      <c r="AN167" s="559"/>
      <c r="AP167" s="52"/>
      <c r="AV167" s="52"/>
    </row>
    <row r="168" spans="1:48" ht="17.100000000000001" customHeight="1">
      <c r="A168" s="493"/>
      <c r="B168" s="141"/>
      <c r="L168" s="52"/>
      <c r="M168" s="52"/>
      <c r="AL168" s="52"/>
      <c r="AN168" s="559"/>
      <c r="AP168" s="52"/>
      <c r="AV168" s="52"/>
    </row>
    <row r="169" spans="1:48" ht="17.100000000000001" customHeight="1">
      <c r="A169" s="493"/>
      <c r="B169" s="141"/>
      <c r="L169" s="52"/>
      <c r="M169" s="52"/>
      <c r="AL169" s="52"/>
      <c r="AN169" s="559"/>
      <c r="AP169" s="52"/>
      <c r="AV169" s="52"/>
    </row>
    <row r="170" spans="1:48" ht="17.100000000000001" customHeight="1">
      <c r="A170" s="493"/>
      <c r="B170" s="141"/>
      <c r="L170" s="52"/>
      <c r="M170" s="52"/>
      <c r="AL170" s="52"/>
      <c r="AN170" s="559"/>
      <c r="AP170" s="52"/>
      <c r="AV170" s="52"/>
    </row>
    <row r="171" spans="1:48" ht="17.100000000000001" customHeight="1">
      <c r="A171" s="493"/>
      <c r="B171" s="141"/>
      <c r="L171" s="52"/>
      <c r="M171" s="52"/>
      <c r="AL171" s="52"/>
      <c r="AN171" s="559"/>
      <c r="AP171" s="52"/>
      <c r="AV171" s="52"/>
    </row>
    <row r="172" spans="1:48" ht="17.100000000000001" customHeight="1">
      <c r="A172" s="493"/>
      <c r="B172" s="141"/>
      <c r="L172" s="52"/>
      <c r="M172" s="52"/>
      <c r="AL172" s="52"/>
      <c r="AN172" s="559"/>
      <c r="AP172" s="52"/>
      <c r="AV172" s="52"/>
    </row>
    <row r="173" spans="1:48" ht="17.100000000000001" customHeight="1">
      <c r="A173" s="493"/>
      <c r="B173" s="141"/>
      <c r="L173" s="52"/>
      <c r="M173" s="52"/>
      <c r="AL173" s="52"/>
      <c r="AN173" s="559"/>
      <c r="AP173" s="52"/>
      <c r="AV173" s="52"/>
    </row>
    <row r="174" spans="1:48" ht="17.100000000000001" customHeight="1">
      <c r="A174" s="493"/>
      <c r="B174" s="141"/>
      <c r="L174" s="52"/>
      <c r="M174" s="52"/>
      <c r="AL174" s="52"/>
      <c r="AN174" s="559"/>
      <c r="AP174" s="52"/>
      <c r="AV174" s="52"/>
    </row>
    <row r="175" spans="1:48" ht="17.100000000000001" customHeight="1">
      <c r="A175" s="493"/>
      <c r="B175" s="141"/>
      <c r="L175" s="52"/>
      <c r="M175" s="52"/>
      <c r="AL175" s="52"/>
      <c r="AN175" s="559"/>
      <c r="AP175" s="52"/>
      <c r="AV175" s="52"/>
    </row>
    <row r="176" spans="1:48" ht="17.100000000000001" customHeight="1">
      <c r="A176" s="493"/>
      <c r="B176" s="141"/>
      <c r="L176" s="52"/>
      <c r="M176" s="52"/>
      <c r="AL176" s="52"/>
      <c r="AN176" s="559"/>
      <c r="AP176" s="52"/>
      <c r="AV176" s="52"/>
    </row>
    <row r="177" spans="1:48" ht="17.100000000000001" customHeight="1">
      <c r="A177" s="493"/>
      <c r="B177" s="141"/>
      <c r="L177" s="52"/>
      <c r="M177" s="52"/>
      <c r="AL177" s="52"/>
      <c r="AN177" s="559"/>
      <c r="AP177" s="52"/>
      <c r="AV177" s="52"/>
    </row>
    <row r="178" spans="1:48" ht="17.100000000000001" customHeight="1">
      <c r="A178" s="493"/>
      <c r="B178" s="141"/>
      <c r="L178" s="52"/>
      <c r="M178" s="52"/>
      <c r="AL178" s="52"/>
      <c r="AN178" s="559"/>
      <c r="AP178" s="52"/>
      <c r="AV178" s="52"/>
    </row>
    <row r="179" spans="1:48" ht="17.100000000000001" customHeight="1">
      <c r="A179" s="493"/>
      <c r="B179" s="141"/>
      <c r="AL179" s="52"/>
      <c r="AN179" s="559"/>
      <c r="AP179" s="52"/>
      <c r="AV179" s="52"/>
    </row>
    <row r="180" spans="1:48" ht="17.100000000000001" customHeight="1">
      <c r="A180" s="493"/>
      <c r="B180" s="141"/>
      <c r="AL180" s="52"/>
      <c r="AN180" s="559"/>
      <c r="AP180" s="52"/>
      <c r="AV180" s="52"/>
    </row>
    <row r="181" spans="1:48" ht="17.100000000000001" customHeight="1">
      <c r="A181" s="493"/>
      <c r="B181" s="141"/>
      <c r="AL181" s="52"/>
      <c r="AN181" s="559"/>
      <c r="AP181" s="52"/>
      <c r="AV181" s="52"/>
    </row>
    <row r="182" spans="1:48" ht="17.100000000000001" customHeight="1">
      <c r="A182" s="493"/>
      <c r="B182" s="141"/>
      <c r="AL182" s="52"/>
      <c r="AN182" s="559"/>
      <c r="AP182" s="52"/>
      <c r="AV182" s="52"/>
    </row>
    <row r="183" spans="1:48" ht="17.100000000000001" customHeight="1">
      <c r="A183" s="493"/>
      <c r="B183" s="141"/>
      <c r="AL183" s="52"/>
      <c r="AN183" s="559"/>
      <c r="AP183" s="52"/>
      <c r="AV183" s="52"/>
    </row>
    <row r="184" spans="1:48" ht="17.100000000000001" customHeight="1">
      <c r="A184" s="493"/>
      <c r="B184" s="141"/>
      <c r="AL184" s="52"/>
      <c r="AN184" s="559"/>
      <c r="AP184" s="52"/>
      <c r="AV184" s="52"/>
    </row>
    <row r="185" spans="1:48" ht="17.100000000000001" customHeight="1">
      <c r="A185" s="493"/>
      <c r="B185" s="141"/>
      <c r="AL185" s="52"/>
      <c r="AN185" s="559"/>
      <c r="AP185" s="52"/>
      <c r="AV185" s="52"/>
    </row>
    <row r="186" spans="1:48" ht="17.100000000000001" customHeight="1">
      <c r="A186" s="493"/>
      <c r="B186" s="141"/>
      <c r="AL186" s="52"/>
      <c r="AN186" s="559"/>
      <c r="AP186" s="52"/>
      <c r="AV186" s="52"/>
    </row>
    <row r="187" spans="1:48" ht="17.100000000000001" customHeight="1">
      <c r="A187" s="493"/>
      <c r="B187" s="141"/>
      <c r="AL187" s="52"/>
      <c r="AN187" s="559"/>
      <c r="AP187" s="52"/>
      <c r="AV187" s="52"/>
    </row>
    <row r="188" spans="1:48" ht="17.100000000000001" customHeight="1">
      <c r="A188" s="493"/>
      <c r="B188" s="141"/>
      <c r="AL188" s="52"/>
      <c r="AN188" s="559"/>
      <c r="AP188" s="52"/>
      <c r="AV188" s="52"/>
    </row>
    <row r="189" spans="1:48" ht="17.100000000000001" customHeight="1">
      <c r="A189" s="493"/>
      <c r="B189" s="141"/>
      <c r="AL189" s="52"/>
      <c r="AN189" s="559"/>
      <c r="AP189" s="52"/>
      <c r="AV189" s="52"/>
    </row>
    <row r="190" spans="1:48" ht="17.100000000000001" customHeight="1">
      <c r="A190" s="493"/>
      <c r="B190" s="141"/>
      <c r="AL190" s="52"/>
      <c r="AN190" s="559"/>
      <c r="AP190" s="52"/>
      <c r="AV190" s="52"/>
    </row>
    <row r="191" spans="1:48" ht="17.100000000000001" customHeight="1">
      <c r="A191" s="493"/>
      <c r="B191" s="141"/>
      <c r="AL191" s="52"/>
      <c r="AN191" s="559"/>
      <c r="AP191" s="52"/>
      <c r="AV191" s="52"/>
    </row>
    <row r="192" spans="1:48" ht="17.100000000000001" customHeight="1">
      <c r="A192" s="493"/>
      <c r="B192" s="141"/>
      <c r="AL192" s="52"/>
      <c r="AN192" s="559"/>
      <c r="AP192" s="52"/>
      <c r="AV192" s="52"/>
    </row>
    <row r="193" spans="1:48" ht="17.100000000000001" customHeight="1">
      <c r="A193" s="493"/>
      <c r="B193" s="141"/>
      <c r="AL193" s="52"/>
      <c r="AN193" s="559"/>
      <c r="AP193" s="52"/>
      <c r="AV193" s="52"/>
    </row>
    <row r="194" spans="1:48" ht="17.100000000000001" customHeight="1">
      <c r="A194" s="493"/>
      <c r="B194" s="141"/>
      <c r="AL194" s="52"/>
      <c r="AN194" s="559"/>
      <c r="AP194" s="52"/>
      <c r="AV194" s="52"/>
    </row>
    <row r="195" spans="1:48" ht="17.100000000000001" customHeight="1">
      <c r="A195" s="493"/>
      <c r="B195" s="141"/>
      <c r="AL195" s="52"/>
      <c r="AN195" s="559"/>
      <c r="AP195" s="52"/>
      <c r="AV195" s="52"/>
    </row>
    <row r="196" spans="1:48" ht="17.100000000000001" customHeight="1">
      <c r="A196" s="493"/>
      <c r="B196" s="141"/>
      <c r="AL196" s="52"/>
      <c r="AN196" s="559"/>
      <c r="AP196" s="52"/>
      <c r="AV196" s="52"/>
    </row>
    <row r="197" spans="1:48" ht="17.100000000000001" customHeight="1">
      <c r="A197" s="493"/>
      <c r="B197" s="141"/>
      <c r="AL197" s="52"/>
      <c r="AN197" s="559"/>
      <c r="AP197" s="52"/>
      <c r="AV197" s="52"/>
    </row>
    <row r="198" spans="1:48" ht="17.100000000000001" customHeight="1"/>
    <row r="199" spans="1:48" ht="17.100000000000001" customHeight="1"/>
    <row r="200" spans="1:48" ht="17.100000000000001" customHeight="1"/>
    <row r="201" spans="1:48" ht="17.100000000000001" customHeight="1"/>
    <row r="202" spans="1:48" ht="17.100000000000001" customHeight="1"/>
    <row r="203" spans="1:48" ht="17.100000000000001" customHeight="1"/>
    <row r="204" spans="1:48" ht="17.100000000000001" customHeight="1"/>
    <row r="205" spans="1:48" ht="17.100000000000001" customHeight="1"/>
    <row r="206" spans="1:48" ht="17.100000000000001" customHeight="1"/>
    <row r="207" spans="1:48" ht="17.100000000000001" customHeight="1"/>
  </sheetData>
  <mergeCells count="11">
    <mergeCell ref="C3:D3"/>
    <mergeCell ref="AN3:AO3"/>
    <mergeCell ref="AR3:AS3"/>
    <mergeCell ref="AJ3:AK3"/>
    <mergeCell ref="AF3:AG3"/>
    <mergeCell ref="AB3:AC3"/>
    <mergeCell ref="X3:Y3"/>
    <mergeCell ref="T3:U3"/>
    <mergeCell ref="P3:Q3"/>
    <mergeCell ref="L3:M3"/>
    <mergeCell ref="H3:I3"/>
  </mergeCells>
  <conditionalFormatting sqref="D48">
    <cfRule type="cellIs" dxfId="473" priority="17" operator="notBetween">
      <formula>10</formula>
      <formula>-10</formula>
    </cfRule>
  </conditionalFormatting>
  <conditionalFormatting sqref="C48">
    <cfRule type="cellIs" dxfId="472" priority="16" operator="notBetween">
      <formula>10</formula>
      <formula>-10</formula>
    </cfRule>
  </conditionalFormatting>
  <printOptions horizontalCentered="1" verticalCentered="1" gridLines="1" gridLinesSet="0"/>
  <pageMargins left="1.2204724409448819" right="0.51181102362204722" top="0.51181102362204722" bottom="0.55118110236220474" header="0.51181102362204722" footer="0.51181102362204722"/>
  <pageSetup paperSize="9" scale="15" orientation="portrait" verticalDpi="300"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A91A-4F02-4BAE-9F19-E0B4A66BF685}">
  <sheetPr codeName="Sheet24">
    <tabColor rgb="FF92D050"/>
  </sheetPr>
  <dimension ref="B2:D30"/>
  <sheetViews>
    <sheetView workbookViewId="0">
      <selection activeCell="D30" sqref="D30"/>
    </sheetView>
  </sheetViews>
  <sheetFormatPr defaultColWidth="9.33203125" defaultRowHeight="12.75"/>
  <cols>
    <col min="1" max="1" width="9.33203125" style="32"/>
    <col min="2" max="2" width="38.5" style="32" customWidth="1"/>
    <col min="3" max="3" width="21" style="32" customWidth="1"/>
    <col min="4" max="4" width="60.1640625" style="32" bestFit="1" customWidth="1"/>
    <col min="5" max="16384" width="9.33203125" style="32"/>
  </cols>
  <sheetData>
    <row r="2" spans="2:4">
      <c r="B2" s="4497" t="s">
        <v>2442</v>
      </c>
      <c r="C2" s="4497"/>
      <c r="D2" s="51"/>
    </row>
    <row r="3" spans="2:4">
      <c r="B3" s="52"/>
      <c r="C3" s="51"/>
      <c r="D3" s="51"/>
    </row>
    <row r="4" spans="2:4">
      <c r="C4" s="1431" t="s">
        <v>794</v>
      </c>
      <c r="D4" s="141"/>
    </row>
    <row r="5" spans="2:4">
      <c r="C5" s="1431"/>
      <c r="D5" s="141"/>
    </row>
    <row r="6" spans="2:4">
      <c r="B6" s="1432" t="s">
        <v>2441</v>
      </c>
      <c r="C6" s="139">
        <f>'FS AU'!D63</f>
        <v>79292.220000000598</v>
      </c>
      <c r="D6" s="137"/>
    </row>
    <row r="7" spans="2:4">
      <c r="B7" s="194"/>
      <c r="C7" s="139"/>
      <c r="D7" s="137"/>
    </row>
    <row r="8" spans="2:4">
      <c r="B8" s="194" t="s">
        <v>598</v>
      </c>
      <c r="C8" s="139"/>
      <c r="D8" s="137"/>
    </row>
    <row r="9" spans="2:4">
      <c r="B9" s="153" t="s">
        <v>2444</v>
      </c>
      <c r="C9" s="3609">
        <f>'[144]2020 Tax Summary'!$C$18/12*12</f>
        <v>5110</v>
      </c>
      <c r="D9" s="4499" t="s">
        <v>4223</v>
      </c>
    </row>
    <row r="10" spans="2:4">
      <c r="B10" s="153" t="s">
        <v>2443</v>
      </c>
      <c r="C10" s="3609">
        <f>'[144]2020 Tax Summary'!$C$17/12*12</f>
        <v>4648.54</v>
      </c>
      <c r="D10" s="4499"/>
    </row>
    <row r="11" spans="2:4">
      <c r="B11" s="153" t="s">
        <v>3217</v>
      </c>
      <c r="C11" s="139">
        <f>-'מאזן בוחן Australia'!$J$107</f>
        <v>265013.13</v>
      </c>
      <c r="D11" s="4498" t="s">
        <v>2440</v>
      </c>
    </row>
    <row r="12" spans="2:4">
      <c r="B12" s="153" t="s">
        <v>4222</v>
      </c>
      <c r="C12" s="195">
        <f>-'מאזן בוחן Australia'!$J$111</f>
        <v>52844.01</v>
      </c>
      <c r="D12" s="4498"/>
    </row>
    <row r="13" spans="2:4" ht="12" customHeight="1">
      <c r="B13" s="153"/>
      <c r="C13" s="139">
        <f>SUM(C9:C12)</f>
        <v>327615.68</v>
      </c>
      <c r="D13" s="137"/>
    </row>
    <row r="14" spans="2:4">
      <c r="B14" s="194" t="s">
        <v>599</v>
      </c>
      <c r="C14" s="139"/>
      <c r="D14" s="137"/>
    </row>
    <row r="15" spans="2:4">
      <c r="B15" s="153" t="s">
        <v>2445</v>
      </c>
      <c r="C15" s="3609">
        <f>SUM('[44]מאזן בוחן Australia'!$J$100)/12*12</f>
        <v>-520866.28999999992</v>
      </c>
      <c r="D15" s="4498" t="s">
        <v>2440</v>
      </c>
    </row>
    <row r="16" spans="2:4">
      <c r="B16" s="153" t="s">
        <v>2195</v>
      </c>
      <c r="C16" s="3608">
        <f>SUM('[44]מאזן בוחן Australia'!$J$103)</f>
        <v>-34652</v>
      </c>
      <c r="D16" s="4498"/>
    </row>
    <row r="17" spans="2:4">
      <c r="B17" s="137"/>
      <c r="C17" s="139">
        <f>SUM(C15:C16)</f>
        <v>-555518.28999999992</v>
      </c>
      <c r="D17" s="137"/>
    </row>
    <row r="18" spans="2:4">
      <c r="B18" s="153"/>
      <c r="C18" s="139"/>
      <c r="D18" s="137"/>
    </row>
    <row r="19" spans="2:4" ht="13.5" thickBot="1">
      <c r="B19" s="194" t="s">
        <v>67</v>
      </c>
      <c r="C19" s="1434">
        <f>C6+C13+C17</f>
        <v>-148610.38999999932</v>
      </c>
      <c r="D19" s="137"/>
    </row>
    <row r="20" spans="2:4" ht="13.5" thickTop="1">
      <c r="B20" s="153"/>
      <c r="C20" s="139"/>
      <c r="D20" s="137"/>
    </row>
    <row r="21" spans="2:4">
      <c r="B21" s="153" t="s">
        <v>2446</v>
      </c>
      <c r="C21" s="1433">
        <v>0</v>
      </c>
      <c r="D21" s="137"/>
    </row>
    <row r="22" spans="2:4">
      <c r="B22" s="153"/>
      <c r="C22" s="139"/>
      <c r="D22" s="137"/>
    </row>
    <row r="23" spans="2:4">
      <c r="B23" s="1435" t="s">
        <v>2447</v>
      </c>
      <c r="C23" s="139">
        <f>C19+C21</f>
        <v>-148610.38999999932</v>
      </c>
      <c r="D23" s="137"/>
    </row>
    <row r="24" spans="2:4">
      <c r="B24" s="153"/>
      <c r="C24" s="139"/>
      <c r="D24" s="137"/>
    </row>
    <row r="25" spans="2:4">
      <c r="B25" s="1435" t="s">
        <v>2291</v>
      </c>
      <c r="C25" s="139">
        <f>-'מאזן בוחן Australia'!E102</f>
        <v>0</v>
      </c>
      <c r="D25" s="570"/>
    </row>
    <row r="26" spans="2:4">
      <c r="B26" s="1435" t="s">
        <v>2447</v>
      </c>
      <c r="C26" s="1940">
        <f>IF(C23&lt;0,0,C23*C30)</f>
        <v>0</v>
      </c>
    </row>
    <row r="27" spans="2:4">
      <c r="B27" s="1435" t="s">
        <v>284</v>
      </c>
      <c r="C27" s="139">
        <f>C26-C25</f>
        <v>0</v>
      </c>
    </row>
    <row r="29" spans="2:4" ht="13.5" thickBot="1">
      <c r="B29" s="380"/>
    </row>
    <row r="30" spans="2:4" ht="13.5" thickBot="1">
      <c r="B30" s="3017" t="s">
        <v>2448</v>
      </c>
      <c r="C30" s="3018">
        <v>0.25</v>
      </c>
      <c r="D30" s="639" t="s">
        <v>1480</v>
      </c>
    </row>
  </sheetData>
  <mergeCells count="4">
    <mergeCell ref="B2:C2"/>
    <mergeCell ref="D15:D16"/>
    <mergeCell ref="D11:D12"/>
    <mergeCell ref="D9:D10"/>
  </mergeCells>
  <hyperlinks>
    <hyperlink ref="D30" r:id="rId1" location="Base_rate_entity_company_tax_rate" xr:uid="{00000000-0004-0000-16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FFFF00"/>
  </sheetPr>
  <dimension ref="A1:GZ1389"/>
  <sheetViews>
    <sheetView zoomScale="80" zoomScaleNormal="80" workbookViewId="0">
      <pane xSplit="4" ySplit="6" topLeftCell="E991" activePane="bottomRight" state="frozen"/>
      <selection activeCell="C588" sqref="C588"/>
      <selection pane="topRight" activeCell="C588" sqref="C588"/>
      <selection pane="bottomLeft" activeCell="C588" sqref="C588"/>
      <selection pane="bottomRight" activeCell="J1004" sqref="J1004"/>
    </sheetView>
  </sheetViews>
  <sheetFormatPr defaultColWidth="9.83203125" defaultRowHeight="12.75" outlineLevelCol="1"/>
  <cols>
    <col min="1" max="1" width="3.6640625" style="780" customWidth="1"/>
    <col min="2" max="2" width="36" style="850" customWidth="1"/>
    <col min="3" max="3" width="24.83203125" style="1809" customWidth="1"/>
    <col min="4" max="4" width="55.33203125" style="1807" customWidth="1"/>
    <col min="5" max="5" width="14.6640625" style="799" bestFit="1" customWidth="1"/>
    <col min="6" max="6" width="14.83203125" style="799" customWidth="1" outlineLevel="1"/>
    <col min="7" max="7" width="6.83203125" style="799" customWidth="1" outlineLevel="1"/>
    <col min="8" max="8" width="11.1640625" style="799" customWidth="1" outlineLevel="1"/>
    <col min="9" max="9" width="7.6640625" style="799" customWidth="1" outlineLevel="1"/>
    <col min="10" max="10" width="17.1640625" style="799" customWidth="1"/>
    <col min="11" max="11" width="19.6640625" style="209" customWidth="1"/>
    <col min="12" max="12" width="3.6640625" style="1810" hidden="1" customWidth="1"/>
    <col min="13" max="13" width="103.5" style="799" customWidth="1"/>
    <col min="14" max="14" width="29.6640625" style="829" bestFit="1" customWidth="1"/>
    <col min="15" max="15" width="17" style="829" bestFit="1" customWidth="1"/>
    <col min="16" max="16" width="13.5" style="829" bestFit="1" customWidth="1"/>
    <col min="17" max="17" width="12" style="829" bestFit="1" customWidth="1"/>
    <col min="18" max="18" width="11.33203125" style="829" bestFit="1" customWidth="1"/>
    <col min="19" max="19" width="12.83203125" style="829" bestFit="1" customWidth="1"/>
    <col min="20" max="20" width="11.6640625" style="209" bestFit="1" customWidth="1"/>
    <col min="21" max="21" width="14.5" style="799" bestFit="1" customWidth="1"/>
    <col min="22" max="22" width="20" style="799" bestFit="1" customWidth="1"/>
    <col min="23" max="23" width="15.6640625" style="799" bestFit="1" customWidth="1"/>
    <col min="24" max="24" width="18.33203125" style="799" bestFit="1" customWidth="1"/>
    <col min="25" max="25" width="18" style="799" bestFit="1" customWidth="1"/>
    <col min="26" max="28" width="15.6640625" style="799" bestFit="1" customWidth="1"/>
    <col min="29" max="39" width="15.6640625" style="799" customWidth="1"/>
    <col min="40" max="40" width="165" style="799" bestFit="1" customWidth="1"/>
    <col min="41" max="41" width="69" style="799" bestFit="1" customWidth="1"/>
    <col min="42" max="42" width="58.6640625" style="799" bestFit="1" customWidth="1"/>
    <col min="43" max="44" width="15.6640625" style="799" customWidth="1"/>
    <col min="45" max="45" width="40.1640625" style="799" bestFit="1" customWidth="1"/>
    <col min="46" max="46" width="25.83203125" style="799" bestFit="1" customWidth="1"/>
    <col min="47" max="47" width="31.5" style="799" bestFit="1" customWidth="1"/>
    <col min="48" max="48" width="28.83203125" style="799" customWidth="1"/>
    <col min="49" max="49" width="22" style="2520" customWidth="1"/>
    <col min="50" max="50" width="18.33203125" style="799" customWidth="1"/>
    <col min="51" max="51" width="13.6640625" style="799" bestFit="1" customWidth="1"/>
    <col min="52" max="53" width="12.83203125" style="799" bestFit="1" customWidth="1"/>
    <col min="54" max="54" width="15.5" style="799" customWidth="1"/>
    <col min="55" max="58" width="18.1640625" style="2520" customWidth="1"/>
    <col min="60" max="60" width="31" style="2520" customWidth="1"/>
    <col min="61" max="61" width="118.1640625" style="799" bestFit="1" customWidth="1"/>
    <col min="62" max="62" width="18.1640625" style="799" customWidth="1"/>
    <col min="63" max="63" width="108.1640625" style="799" customWidth="1"/>
    <col min="64" max="64" width="108.6640625" style="799" bestFit="1" customWidth="1"/>
    <col min="65" max="65" width="21.33203125" style="799" customWidth="1"/>
    <col min="66" max="66" width="57.5" style="799" bestFit="1" customWidth="1"/>
    <col min="67" max="67" width="24.83203125" style="799" customWidth="1"/>
    <col min="68" max="68" width="17.33203125" style="799" customWidth="1"/>
    <col min="69" max="69" width="23.5" style="799" customWidth="1"/>
    <col min="70" max="70" width="13.6640625" style="799" customWidth="1"/>
    <col min="71" max="71" width="11.6640625" style="799" customWidth="1"/>
    <col min="72" max="72" width="61.33203125" style="799" customWidth="1"/>
    <col min="73" max="73" width="37" style="799" customWidth="1"/>
    <col min="74" max="74" width="8" style="799" customWidth="1"/>
    <col min="75" max="75" width="6.33203125" style="799" customWidth="1"/>
    <col min="76" max="77" width="9.83203125" style="799"/>
    <col min="78" max="78" width="11.1640625" style="799" customWidth="1"/>
    <col min="79" max="79" width="9.83203125" style="799"/>
    <col min="80" max="80" width="12" style="799" customWidth="1"/>
    <col min="81" max="81" width="14.1640625" style="799" customWidth="1"/>
    <col min="82" max="82" width="13.6640625" style="799" customWidth="1"/>
    <col min="83" max="83" width="9.83203125" style="799"/>
    <col min="84" max="84" width="13" style="799" customWidth="1"/>
    <col min="85" max="85" width="26.33203125" style="799" customWidth="1"/>
    <col min="86" max="86" width="13.1640625" style="799" bestFit="1" customWidth="1"/>
    <col min="87" max="88" width="9.83203125" style="799"/>
    <col min="89" max="89" width="10" style="799" bestFit="1" customWidth="1"/>
    <col min="90" max="99" width="9.83203125" style="799"/>
    <col min="100" max="100" width="9.83203125" style="799" customWidth="1"/>
    <col min="101" max="105" width="9.83203125" style="799"/>
    <col min="106" max="113" width="9.83203125" style="209"/>
    <col min="114" max="114" width="10" style="209" bestFit="1" customWidth="1"/>
    <col min="115" max="128" width="9.83203125" style="209"/>
    <col min="129" max="129" width="10" style="209" bestFit="1" customWidth="1"/>
    <col min="130" max="130" width="9.83203125" style="209"/>
    <col min="131" max="131" width="10" style="209" bestFit="1" customWidth="1"/>
    <col min="132" max="133" width="9.83203125" style="209"/>
    <col min="134" max="134" width="10" style="209" bestFit="1" customWidth="1"/>
    <col min="135" max="135" width="9.83203125" style="209"/>
    <col min="136" max="145" width="10" style="209" bestFit="1" customWidth="1"/>
    <col min="146" max="208" width="9.83203125" style="209"/>
    <col min="209" max="301" width="9.83203125" style="799"/>
    <col min="302" max="302" width="6.6640625" style="799" customWidth="1"/>
    <col min="303" max="303" width="8.83203125" style="799" customWidth="1"/>
    <col min="304" max="304" width="54.6640625" style="799" customWidth="1"/>
    <col min="305" max="305" width="55.33203125" style="799" customWidth="1"/>
    <col min="306" max="306" width="14.5" style="799" bestFit="1" customWidth="1"/>
    <col min="307" max="307" width="14.83203125" style="799" customWidth="1"/>
    <col min="308" max="308" width="4.6640625" style="799" customWidth="1"/>
    <col min="309" max="309" width="11.1640625" style="799" customWidth="1"/>
    <col min="310" max="310" width="4.83203125" style="799" customWidth="1"/>
    <col min="311" max="311" width="15.1640625" style="799" bestFit="1" customWidth="1"/>
    <col min="312" max="312" width="4.1640625" style="799" customWidth="1"/>
    <col min="313" max="313" width="0" style="799" hidden="1" customWidth="1"/>
    <col min="314" max="314" width="29.6640625" style="799" customWidth="1"/>
    <col min="315" max="315" width="12.33203125" style="799" bestFit="1" customWidth="1"/>
    <col min="316" max="316" width="16.6640625" style="799" bestFit="1" customWidth="1"/>
    <col min="317" max="317" width="13.6640625" style="799" bestFit="1" customWidth="1"/>
    <col min="318" max="318" width="9.83203125" style="799"/>
    <col min="319" max="319" width="16.6640625" style="799" customWidth="1"/>
    <col min="320" max="320" width="16.1640625" style="799" bestFit="1" customWidth="1"/>
    <col min="321" max="321" width="13.6640625" style="799" customWidth="1"/>
    <col min="322" max="322" width="40.83203125" style="799" customWidth="1"/>
    <col min="323" max="323" width="16.33203125" style="799" customWidth="1"/>
    <col min="324" max="324" width="17.33203125" style="799" customWidth="1"/>
    <col min="325" max="325" width="15.33203125" style="799" customWidth="1"/>
    <col min="326" max="326" width="13.6640625" style="799" customWidth="1"/>
    <col min="327" max="327" width="11.6640625" style="799" customWidth="1"/>
    <col min="328" max="328" width="61.33203125" style="799" customWidth="1"/>
    <col min="329" max="329" width="37" style="799" customWidth="1"/>
    <col min="330" max="330" width="8" style="799" customWidth="1"/>
    <col min="331" max="331" width="6.33203125" style="799" customWidth="1"/>
    <col min="332" max="333" width="9.83203125" style="799"/>
    <col min="334" max="334" width="11.1640625" style="799" customWidth="1"/>
    <col min="335" max="335" width="9.83203125" style="799"/>
    <col min="336" max="336" width="12" style="799" customWidth="1"/>
    <col min="337" max="337" width="14.1640625" style="799" customWidth="1"/>
    <col min="338" max="338" width="13.6640625" style="799" customWidth="1"/>
    <col min="339" max="339" width="9.83203125" style="799"/>
    <col min="340" max="340" width="13" style="799" customWidth="1"/>
    <col min="341" max="341" width="26.33203125" style="799" customWidth="1"/>
    <col min="342" max="557" width="9.83203125" style="799"/>
    <col min="558" max="558" width="6.6640625" style="799" customWidth="1"/>
    <col min="559" max="559" width="8.83203125" style="799" customWidth="1"/>
    <col min="560" max="560" width="54.6640625" style="799" customWidth="1"/>
    <col min="561" max="561" width="55.33203125" style="799" customWidth="1"/>
    <col min="562" max="562" width="14.5" style="799" bestFit="1" customWidth="1"/>
    <col min="563" max="563" width="14.83203125" style="799" customWidth="1"/>
    <col min="564" max="564" width="4.6640625" style="799" customWidth="1"/>
    <col min="565" max="565" width="11.1640625" style="799" customWidth="1"/>
    <col min="566" max="566" width="4.83203125" style="799" customWidth="1"/>
    <col min="567" max="567" width="15.1640625" style="799" bestFit="1" customWidth="1"/>
    <col min="568" max="568" width="4.1640625" style="799" customWidth="1"/>
    <col min="569" max="569" width="0" style="799" hidden="1" customWidth="1"/>
    <col min="570" max="570" width="29.6640625" style="799" customWidth="1"/>
    <col min="571" max="571" width="12.33203125" style="799" bestFit="1" customWidth="1"/>
    <col min="572" max="572" width="16.6640625" style="799" bestFit="1" customWidth="1"/>
    <col min="573" max="573" width="13.6640625" style="799" bestFit="1" customWidth="1"/>
    <col min="574" max="574" width="9.83203125" style="799"/>
    <col min="575" max="575" width="16.6640625" style="799" customWidth="1"/>
    <col min="576" max="576" width="16.1640625" style="799" bestFit="1" customWidth="1"/>
    <col min="577" max="577" width="13.6640625" style="799" customWidth="1"/>
    <col min="578" max="578" width="40.83203125" style="799" customWidth="1"/>
    <col min="579" max="579" width="16.33203125" style="799" customWidth="1"/>
    <col min="580" max="580" width="17.33203125" style="799" customWidth="1"/>
    <col min="581" max="581" width="15.33203125" style="799" customWidth="1"/>
    <col min="582" max="582" width="13.6640625" style="799" customWidth="1"/>
    <col min="583" max="583" width="11.6640625" style="799" customWidth="1"/>
    <col min="584" max="584" width="61.33203125" style="799" customWidth="1"/>
    <col min="585" max="585" width="37" style="799" customWidth="1"/>
    <col min="586" max="586" width="8" style="799" customWidth="1"/>
    <col min="587" max="587" width="6.33203125" style="799" customWidth="1"/>
    <col min="588" max="589" width="9.83203125" style="799"/>
    <col min="590" max="590" width="11.1640625" style="799" customWidth="1"/>
    <col min="591" max="591" width="9.83203125" style="799"/>
    <col min="592" max="592" width="12" style="799" customWidth="1"/>
    <col min="593" max="593" width="14.1640625" style="799" customWidth="1"/>
    <col min="594" max="594" width="13.6640625" style="799" customWidth="1"/>
    <col min="595" max="595" width="9.83203125" style="799"/>
    <col min="596" max="596" width="13" style="799" customWidth="1"/>
    <col min="597" max="597" width="26.33203125" style="799" customWidth="1"/>
    <col min="598" max="813" width="9.83203125" style="799"/>
    <col min="814" max="814" width="6.6640625" style="799" customWidth="1"/>
    <col min="815" max="815" width="8.83203125" style="799" customWidth="1"/>
    <col min="816" max="816" width="54.6640625" style="799" customWidth="1"/>
    <col min="817" max="817" width="55.33203125" style="799" customWidth="1"/>
    <col min="818" max="818" width="14.5" style="799" bestFit="1" customWidth="1"/>
    <col min="819" max="819" width="14.83203125" style="799" customWidth="1"/>
    <col min="820" max="820" width="4.6640625" style="799" customWidth="1"/>
    <col min="821" max="821" width="11.1640625" style="799" customWidth="1"/>
    <col min="822" max="822" width="4.83203125" style="799" customWidth="1"/>
    <col min="823" max="823" width="15.1640625" style="799" bestFit="1" customWidth="1"/>
    <col min="824" max="824" width="4.1640625" style="799" customWidth="1"/>
    <col min="825" max="825" width="0" style="799" hidden="1" customWidth="1"/>
    <col min="826" max="826" width="29.6640625" style="799" customWidth="1"/>
    <col min="827" max="827" width="12.33203125" style="799" bestFit="1" customWidth="1"/>
    <col min="828" max="828" width="16.6640625" style="799" bestFit="1" customWidth="1"/>
    <col min="829" max="829" width="13.6640625" style="799" bestFit="1" customWidth="1"/>
    <col min="830" max="830" width="9.83203125" style="799"/>
    <col min="831" max="831" width="16.6640625" style="799" customWidth="1"/>
    <col min="832" max="832" width="16.1640625" style="799" bestFit="1" customWidth="1"/>
    <col min="833" max="833" width="13.6640625" style="799" customWidth="1"/>
    <col min="834" max="834" width="40.83203125" style="799" customWidth="1"/>
    <col min="835" max="835" width="16.33203125" style="799" customWidth="1"/>
    <col min="836" max="836" width="17.33203125" style="799" customWidth="1"/>
    <col min="837" max="837" width="15.33203125" style="799" customWidth="1"/>
    <col min="838" max="838" width="13.6640625" style="799" customWidth="1"/>
    <col min="839" max="839" width="11.6640625" style="799" customWidth="1"/>
    <col min="840" max="840" width="61.33203125" style="799" customWidth="1"/>
    <col min="841" max="841" width="37" style="799" customWidth="1"/>
    <col min="842" max="842" width="8" style="799" customWidth="1"/>
    <col min="843" max="843" width="6.33203125" style="799" customWidth="1"/>
    <col min="844" max="845" width="9.83203125" style="799"/>
    <col min="846" max="846" width="11.1640625" style="799" customWidth="1"/>
    <col min="847" max="847" width="9.83203125" style="799"/>
    <col min="848" max="848" width="12" style="799" customWidth="1"/>
    <col min="849" max="849" width="14.1640625" style="799" customWidth="1"/>
    <col min="850" max="850" width="13.6640625" style="799" customWidth="1"/>
    <col min="851" max="851" width="9.83203125" style="799"/>
    <col min="852" max="852" width="13" style="799" customWidth="1"/>
    <col min="853" max="853" width="26.33203125" style="799" customWidth="1"/>
    <col min="854" max="1069" width="9.83203125" style="799"/>
    <col min="1070" max="1070" width="6.6640625" style="799" customWidth="1"/>
    <col min="1071" max="1071" width="8.83203125" style="799" customWidth="1"/>
    <col min="1072" max="1072" width="54.6640625" style="799" customWidth="1"/>
    <col min="1073" max="1073" width="55.33203125" style="799" customWidth="1"/>
    <col min="1074" max="1074" width="14.5" style="799" bestFit="1" customWidth="1"/>
    <col min="1075" max="1075" width="14.83203125" style="799" customWidth="1"/>
    <col min="1076" max="1076" width="4.6640625" style="799" customWidth="1"/>
    <col min="1077" max="1077" width="11.1640625" style="799" customWidth="1"/>
    <col min="1078" max="1078" width="4.83203125" style="799" customWidth="1"/>
    <col min="1079" max="1079" width="15.1640625" style="799" bestFit="1" customWidth="1"/>
    <col min="1080" max="1080" width="4.1640625" style="799" customWidth="1"/>
    <col min="1081" max="1081" width="0" style="799" hidden="1" customWidth="1"/>
    <col min="1082" max="1082" width="29.6640625" style="799" customWidth="1"/>
    <col min="1083" max="1083" width="12.33203125" style="799" bestFit="1" customWidth="1"/>
    <col min="1084" max="1084" width="16.6640625" style="799" bestFit="1" customWidth="1"/>
    <col min="1085" max="1085" width="13.6640625" style="799" bestFit="1" customWidth="1"/>
    <col min="1086" max="1086" width="9.83203125" style="799"/>
    <col min="1087" max="1087" width="16.6640625" style="799" customWidth="1"/>
    <col min="1088" max="1088" width="16.1640625" style="799" bestFit="1" customWidth="1"/>
    <col min="1089" max="1089" width="13.6640625" style="799" customWidth="1"/>
    <col min="1090" max="1090" width="40.83203125" style="799" customWidth="1"/>
    <col min="1091" max="1091" width="16.33203125" style="799" customWidth="1"/>
    <col min="1092" max="1092" width="17.33203125" style="799" customWidth="1"/>
    <col min="1093" max="1093" width="15.33203125" style="799" customWidth="1"/>
    <col min="1094" max="1094" width="13.6640625" style="799" customWidth="1"/>
    <col min="1095" max="1095" width="11.6640625" style="799" customWidth="1"/>
    <col min="1096" max="1096" width="61.33203125" style="799" customWidth="1"/>
    <col min="1097" max="1097" width="37" style="799" customWidth="1"/>
    <col min="1098" max="1098" width="8" style="799" customWidth="1"/>
    <col min="1099" max="1099" width="6.33203125" style="799" customWidth="1"/>
    <col min="1100" max="1101" width="9.83203125" style="799"/>
    <col min="1102" max="1102" width="11.1640625" style="799" customWidth="1"/>
    <col min="1103" max="1103" width="9.83203125" style="799"/>
    <col min="1104" max="1104" width="12" style="799" customWidth="1"/>
    <col min="1105" max="1105" width="14.1640625" style="799" customWidth="1"/>
    <col min="1106" max="1106" width="13.6640625" style="799" customWidth="1"/>
    <col min="1107" max="1107" width="9.83203125" style="799"/>
    <col min="1108" max="1108" width="13" style="799" customWidth="1"/>
    <col min="1109" max="1109" width="26.33203125" style="799" customWidth="1"/>
    <col min="1110" max="1325" width="9.83203125" style="799"/>
    <col min="1326" max="1326" width="6.6640625" style="799" customWidth="1"/>
    <col min="1327" max="1327" width="8.83203125" style="799" customWidth="1"/>
    <col min="1328" max="1328" width="54.6640625" style="799" customWidth="1"/>
    <col min="1329" max="1329" width="55.33203125" style="799" customWidth="1"/>
    <col min="1330" max="1330" width="14.5" style="799" bestFit="1" customWidth="1"/>
    <col min="1331" max="1331" width="14.83203125" style="799" customWidth="1"/>
    <col min="1332" max="1332" width="4.6640625" style="799" customWidth="1"/>
    <col min="1333" max="1333" width="11.1640625" style="799" customWidth="1"/>
    <col min="1334" max="1334" width="4.83203125" style="799" customWidth="1"/>
    <col min="1335" max="1335" width="15.1640625" style="799" bestFit="1" customWidth="1"/>
    <col min="1336" max="1336" width="4.1640625" style="799" customWidth="1"/>
    <col min="1337" max="1337" width="0" style="799" hidden="1" customWidth="1"/>
    <col min="1338" max="1338" width="29.6640625" style="799" customWidth="1"/>
    <col min="1339" max="1339" width="12.33203125" style="799" bestFit="1" customWidth="1"/>
    <col min="1340" max="1340" width="16.6640625" style="799" bestFit="1" customWidth="1"/>
    <col min="1341" max="1341" width="13.6640625" style="799" bestFit="1" customWidth="1"/>
    <col min="1342" max="1342" width="9.83203125" style="799"/>
    <col min="1343" max="1343" width="16.6640625" style="799" customWidth="1"/>
    <col min="1344" max="1344" width="16.1640625" style="799" bestFit="1" customWidth="1"/>
    <col min="1345" max="1345" width="13.6640625" style="799" customWidth="1"/>
    <col min="1346" max="1346" width="40.83203125" style="799" customWidth="1"/>
    <col min="1347" max="1347" width="16.33203125" style="799" customWidth="1"/>
    <col min="1348" max="1348" width="17.33203125" style="799" customWidth="1"/>
    <col min="1349" max="1349" width="15.33203125" style="799" customWidth="1"/>
    <col min="1350" max="1350" width="13.6640625" style="799" customWidth="1"/>
    <col min="1351" max="1351" width="11.6640625" style="799" customWidth="1"/>
    <col min="1352" max="1352" width="61.33203125" style="799" customWidth="1"/>
    <col min="1353" max="1353" width="37" style="799" customWidth="1"/>
    <col min="1354" max="1354" width="8" style="799" customWidth="1"/>
    <col min="1355" max="1355" width="6.33203125" style="799" customWidth="1"/>
    <col min="1356" max="1357" width="9.83203125" style="799"/>
    <col min="1358" max="1358" width="11.1640625" style="799" customWidth="1"/>
    <col min="1359" max="1359" width="9.83203125" style="799"/>
    <col min="1360" max="1360" width="12" style="799" customWidth="1"/>
    <col min="1361" max="1361" width="14.1640625" style="799" customWidth="1"/>
    <col min="1362" max="1362" width="13.6640625" style="799" customWidth="1"/>
    <col min="1363" max="1363" width="9.83203125" style="799"/>
    <col min="1364" max="1364" width="13" style="799" customWidth="1"/>
    <col min="1365" max="1365" width="26.33203125" style="799" customWidth="1"/>
    <col min="1366" max="1581" width="9.83203125" style="799"/>
    <col min="1582" max="1582" width="6.6640625" style="799" customWidth="1"/>
    <col min="1583" max="1583" width="8.83203125" style="799" customWidth="1"/>
    <col min="1584" max="1584" width="54.6640625" style="799" customWidth="1"/>
    <col min="1585" max="1585" width="55.33203125" style="799" customWidth="1"/>
    <col min="1586" max="1586" width="14.5" style="799" bestFit="1" customWidth="1"/>
    <col min="1587" max="1587" width="14.83203125" style="799" customWidth="1"/>
    <col min="1588" max="1588" width="4.6640625" style="799" customWidth="1"/>
    <col min="1589" max="1589" width="11.1640625" style="799" customWidth="1"/>
    <col min="1590" max="1590" width="4.83203125" style="799" customWidth="1"/>
    <col min="1591" max="1591" width="15.1640625" style="799" bestFit="1" customWidth="1"/>
    <col min="1592" max="1592" width="4.1640625" style="799" customWidth="1"/>
    <col min="1593" max="1593" width="0" style="799" hidden="1" customWidth="1"/>
    <col min="1594" max="1594" width="29.6640625" style="799" customWidth="1"/>
    <col min="1595" max="1595" width="12.33203125" style="799" bestFit="1" customWidth="1"/>
    <col min="1596" max="1596" width="16.6640625" style="799" bestFit="1" customWidth="1"/>
    <col min="1597" max="1597" width="13.6640625" style="799" bestFit="1" customWidth="1"/>
    <col min="1598" max="1598" width="9.83203125" style="799"/>
    <col min="1599" max="1599" width="16.6640625" style="799" customWidth="1"/>
    <col min="1600" max="1600" width="16.1640625" style="799" bestFit="1" customWidth="1"/>
    <col min="1601" max="1601" width="13.6640625" style="799" customWidth="1"/>
    <col min="1602" max="1602" width="40.83203125" style="799" customWidth="1"/>
    <col min="1603" max="1603" width="16.33203125" style="799" customWidth="1"/>
    <col min="1604" max="1604" width="17.33203125" style="799" customWidth="1"/>
    <col min="1605" max="1605" width="15.33203125" style="799" customWidth="1"/>
    <col min="1606" max="1606" width="13.6640625" style="799" customWidth="1"/>
    <col min="1607" max="1607" width="11.6640625" style="799" customWidth="1"/>
    <col min="1608" max="1608" width="61.33203125" style="799" customWidth="1"/>
    <col min="1609" max="1609" width="37" style="799" customWidth="1"/>
    <col min="1610" max="1610" width="8" style="799" customWidth="1"/>
    <col min="1611" max="1611" width="6.33203125" style="799" customWidth="1"/>
    <col min="1612" max="1613" width="9.83203125" style="799"/>
    <col min="1614" max="1614" width="11.1640625" style="799" customWidth="1"/>
    <col min="1615" max="1615" width="9.83203125" style="799"/>
    <col min="1616" max="1616" width="12" style="799" customWidth="1"/>
    <col min="1617" max="1617" width="14.1640625" style="799" customWidth="1"/>
    <col min="1618" max="1618" width="13.6640625" style="799" customWidth="1"/>
    <col min="1619" max="1619" width="9.83203125" style="799"/>
    <col min="1620" max="1620" width="13" style="799" customWidth="1"/>
    <col min="1621" max="1621" width="26.33203125" style="799" customWidth="1"/>
    <col min="1622" max="1837" width="9.83203125" style="799"/>
    <col min="1838" max="1838" width="6.6640625" style="799" customWidth="1"/>
    <col min="1839" max="1839" width="8.83203125" style="799" customWidth="1"/>
    <col min="1840" max="1840" width="54.6640625" style="799" customWidth="1"/>
    <col min="1841" max="1841" width="55.33203125" style="799" customWidth="1"/>
    <col min="1842" max="1842" width="14.5" style="799" bestFit="1" customWidth="1"/>
    <col min="1843" max="1843" width="14.83203125" style="799" customWidth="1"/>
    <col min="1844" max="1844" width="4.6640625" style="799" customWidth="1"/>
    <col min="1845" max="1845" width="11.1640625" style="799" customWidth="1"/>
    <col min="1846" max="1846" width="4.83203125" style="799" customWidth="1"/>
    <col min="1847" max="1847" width="15.1640625" style="799" bestFit="1" customWidth="1"/>
    <col min="1848" max="1848" width="4.1640625" style="799" customWidth="1"/>
    <col min="1849" max="1849" width="0" style="799" hidden="1" customWidth="1"/>
    <col min="1850" max="1850" width="29.6640625" style="799" customWidth="1"/>
    <col min="1851" max="1851" width="12.33203125" style="799" bestFit="1" customWidth="1"/>
    <col min="1852" max="1852" width="16.6640625" style="799" bestFit="1" customWidth="1"/>
    <col min="1853" max="1853" width="13.6640625" style="799" bestFit="1" customWidth="1"/>
    <col min="1854" max="1854" width="9.83203125" style="799"/>
    <col min="1855" max="1855" width="16.6640625" style="799" customWidth="1"/>
    <col min="1856" max="1856" width="16.1640625" style="799" bestFit="1" customWidth="1"/>
    <col min="1857" max="1857" width="13.6640625" style="799" customWidth="1"/>
    <col min="1858" max="1858" width="40.83203125" style="799" customWidth="1"/>
    <col min="1859" max="1859" width="16.33203125" style="799" customWidth="1"/>
    <col min="1860" max="1860" width="17.33203125" style="799" customWidth="1"/>
    <col min="1861" max="1861" width="15.33203125" style="799" customWidth="1"/>
    <col min="1862" max="1862" width="13.6640625" style="799" customWidth="1"/>
    <col min="1863" max="1863" width="11.6640625" style="799" customWidth="1"/>
    <col min="1864" max="1864" width="61.33203125" style="799" customWidth="1"/>
    <col min="1865" max="1865" width="37" style="799" customWidth="1"/>
    <col min="1866" max="1866" width="8" style="799" customWidth="1"/>
    <col min="1867" max="1867" width="6.33203125" style="799" customWidth="1"/>
    <col min="1868" max="1869" width="9.83203125" style="799"/>
    <col min="1870" max="1870" width="11.1640625" style="799" customWidth="1"/>
    <col min="1871" max="1871" width="9.83203125" style="799"/>
    <col min="1872" max="1872" width="12" style="799" customWidth="1"/>
    <col min="1873" max="1873" width="14.1640625" style="799" customWidth="1"/>
    <col min="1874" max="1874" width="13.6640625" style="799" customWidth="1"/>
    <col min="1875" max="1875" width="9.83203125" style="799"/>
    <col min="1876" max="1876" width="13" style="799" customWidth="1"/>
    <col min="1877" max="1877" width="26.33203125" style="799" customWidth="1"/>
    <col min="1878" max="2093" width="9.83203125" style="799"/>
    <col min="2094" max="2094" width="6.6640625" style="799" customWidth="1"/>
    <col min="2095" max="2095" width="8.83203125" style="799" customWidth="1"/>
    <col min="2096" max="2096" width="54.6640625" style="799" customWidth="1"/>
    <col min="2097" max="2097" width="55.33203125" style="799" customWidth="1"/>
    <col min="2098" max="2098" width="14.5" style="799" bestFit="1" customWidth="1"/>
    <col min="2099" max="2099" width="14.83203125" style="799" customWidth="1"/>
    <col min="2100" max="2100" width="4.6640625" style="799" customWidth="1"/>
    <col min="2101" max="2101" width="11.1640625" style="799" customWidth="1"/>
    <col min="2102" max="2102" width="4.83203125" style="799" customWidth="1"/>
    <col min="2103" max="2103" width="15.1640625" style="799" bestFit="1" customWidth="1"/>
    <col min="2104" max="2104" width="4.1640625" style="799" customWidth="1"/>
    <col min="2105" max="2105" width="0" style="799" hidden="1" customWidth="1"/>
    <col min="2106" max="2106" width="29.6640625" style="799" customWidth="1"/>
    <col min="2107" max="2107" width="12.33203125" style="799" bestFit="1" customWidth="1"/>
    <col min="2108" max="2108" width="16.6640625" style="799" bestFit="1" customWidth="1"/>
    <col min="2109" max="2109" width="13.6640625" style="799" bestFit="1" customWidth="1"/>
    <col min="2110" max="2110" width="9.83203125" style="799"/>
    <col min="2111" max="2111" width="16.6640625" style="799" customWidth="1"/>
    <col min="2112" max="2112" width="16.1640625" style="799" bestFit="1" customWidth="1"/>
    <col min="2113" max="2113" width="13.6640625" style="799" customWidth="1"/>
    <col min="2114" max="2114" width="40.83203125" style="799" customWidth="1"/>
    <col min="2115" max="2115" width="16.33203125" style="799" customWidth="1"/>
    <col min="2116" max="2116" width="17.33203125" style="799" customWidth="1"/>
    <col min="2117" max="2117" width="15.33203125" style="799" customWidth="1"/>
    <col min="2118" max="2118" width="13.6640625" style="799" customWidth="1"/>
    <col min="2119" max="2119" width="11.6640625" style="799" customWidth="1"/>
    <col min="2120" max="2120" width="61.33203125" style="799" customWidth="1"/>
    <col min="2121" max="2121" width="37" style="799" customWidth="1"/>
    <col min="2122" max="2122" width="8" style="799" customWidth="1"/>
    <col min="2123" max="2123" width="6.33203125" style="799" customWidth="1"/>
    <col min="2124" max="2125" width="9.83203125" style="799"/>
    <col min="2126" max="2126" width="11.1640625" style="799" customWidth="1"/>
    <col min="2127" max="2127" width="9.83203125" style="799"/>
    <col min="2128" max="2128" width="12" style="799" customWidth="1"/>
    <col min="2129" max="2129" width="14.1640625" style="799" customWidth="1"/>
    <col min="2130" max="2130" width="13.6640625" style="799" customWidth="1"/>
    <col min="2131" max="2131" width="9.83203125" style="799"/>
    <col min="2132" max="2132" width="13" style="799" customWidth="1"/>
    <col min="2133" max="2133" width="26.33203125" style="799" customWidth="1"/>
    <col min="2134" max="2349" width="9.83203125" style="799"/>
    <col min="2350" max="2350" width="6.6640625" style="799" customWidth="1"/>
    <col min="2351" max="2351" width="8.83203125" style="799" customWidth="1"/>
    <col min="2352" max="2352" width="54.6640625" style="799" customWidth="1"/>
    <col min="2353" max="2353" width="55.33203125" style="799" customWidth="1"/>
    <col min="2354" max="2354" width="14.5" style="799" bestFit="1" customWidth="1"/>
    <col min="2355" max="2355" width="14.83203125" style="799" customWidth="1"/>
    <col min="2356" max="2356" width="4.6640625" style="799" customWidth="1"/>
    <col min="2357" max="2357" width="11.1640625" style="799" customWidth="1"/>
    <col min="2358" max="2358" width="4.83203125" style="799" customWidth="1"/>
    <col min="2359" max="2359" width="15.1640625" style="799" bestFit="1" customWidth="1"/>
    <col min="2360" max="2360" width="4.1640625" style="799" customWidth="1"/>
    <col min="2361" max="2361" width="0" style="799" hidden="1" customWidth="1"/>
    <col min="2362" max="2362" width="29.6640625" style="799" customWidth="1"/>
    <col min="2363" max="2363" width="12.33203125" style="799" bestFit="1" customWidth="1"/>
    <col min="2364" max="2364" width="16.6640625" style="799" bestFit="1" customWidth="1"/>
    <col min="2365" max="2365" width="13.6640625" style="799" bestFit="1" customWidth="1"/>
    <col min="2366" max="2366" width="9.83203125" style="799"/>
    <col min="2367" max="2367" width="16.6640625" style="799" customWidth="1"/>
    <col min="2368" max="2368" width="16.1640625" style="799" bestFit="1" customWidth="1"/>
    <col min="2369" max="2369" width="13.6640625" style="799" customWidth="1"/>
    <col min="2370" max="2370" width="40.83203125" style="799" customWidth="1"/>
    <col min="2371" max="2371" width="16.33203125" style="799" customWidth="1"/>
    <col min="2372" max="2372" width="17.33203125" style="799" customWidth="1"/>
    <col min="2373" max="2373" width="15.33203125" style="799" customWidth="1"/>
    <col min="2374" max="2374" width="13.6640625" style="799" customWidth="1"/>
    <col min="2375" max="2375" width="11.6640625" style="799" customWidth="1"/>
    <col min="2376" max="2376" width="61.33203125" style="799" customWidth="1"/>
    <col min="2377" max="2377" width="37" style="799" customWidth="1"/>
    <col min="2378" max="2378" width="8" style="799" customWidth="1"/>
    <col min="2379" max="2379" width="6.33203125" style="799" customWidth="1"/>
    <col min="2380" max="2381" width="9.83203125" style="799"/>
    <col min="2382" max="2382" width="11.1640625" style="799" customWidth="1"/>
    <col min="2383" max="2383" width="9.83203125" style="799"/>
    <col min="2384" max="2384" width="12" style="799" customWidth="1"/>
    <col min="2385" max="2385" width="14.1640625" style="799" customWidth="1"/>
    <col min="2386" max="2386" width="13.6640625" style="799" customWidth="1"/>
    <col min="2387" max="2387" width="9.83203125" style="799"/>
    <col min="2388" max="2388" width="13" style="799" customWidth="1"/>
    <col min="2389" max="2389" width="26.33203125" style="799" customWidth="1"/>
    <col min="2390" max="2605" width="9.83203125" style="799"/>
    <col min="2606" max="2606" width="6.6640625" style="799" customWidth="1"/>
    <col min="2607" max="2607" width="8.83203125" style="799" customWidth="1"/>
    <col min="2608" max="2608" width="54.6640625" style="799" customWidth="1"/>
    <col min="2609" max="2609" width="55.33203125" style="799" customWidth="1"/>
    <col min="2610" max="2610" width="14.5" style="799" bestFit="1" customWidth="1"/>
    <col min="2611" max="2611" width="14.83203125" style="799" customWidth="1"/>
    <col min="2612" max="2612" width="4.6640625" style="799" customWidth="1"/>
    <col min="2613" max="2613" width="11.1640625" style="799" customWidth="1"/>
    <col min="2614" max="2614" width="4.83203125" style="799" customWidth="1"/>
    <col min="2615" max="2615" width="15.1640625" style="799" bestFit="1" customWidth="1"/>
    <col min="2616" max="2616" width="4.1640625" style="799" customWidth="1"/>
    <col min="2617" max="2617" width="0" style="799" hidden="1" customWidth="1"/>
    <col min="2618" max="2618" width="29.6640625" style="799" customWidth="1"/>
    <col min="2619" max="2619" width="12.33203125" style="799" bestFit="1" customWidth="1"/>
    <col min="2620" max="2620" width="16.6640625" style="799" bestFit="1" customWidth="1"/>
    <col min="2621" max="2621" width="13.6640625" style="799" bestFit="1" customWidth="1"/>
    <col min="2622" max="2622" width="9.83203125" style="799"/>
    <col min="2623" max="2623" width="16.6640625" style="799" customWidth="1"/>
    <col min="2624" max="2624" width="16.1640625" style="799" bestFit="1" customWidth="1"/>
    <col min="2625" max="2625" width="13.6640625" style="799" customWidth="1"/>
    <col min="2626" max="2626" width="40.83203125" style="799" customWidth="1"/>
    <col min="2627" max="2627" width="16.33203125" style="799" customWidth="1"/>
    <col min="2628" max="2628" width="17.33203125" style="799" customWidth="1"/>
    <col min="2629" max="2629" width="15.33203125" style="799" customWidth="1"/>
    <col min="2630" max="2630" width="13.6640625" style="799" customWidth="1"/>
    <col min="2631" max="2631" width="11.6640625" style="799" customWidth="1"/>
    <col min="2632" max="2632" width="61.33203125" style="799" customWidth="1"/>
    <col min="2633" max="2633" width="37" style="799" customWidth="1"/>
    <col min="2634" max="2634" width="8" style="799" customWidth="1"/>
    <col min="2635" max="2635" width="6.33203125" style="799" customWidth="1"/>
    <col min="2636" max="2637" width="9.83203125" style="799"/>
    <col min="2638" max="2638" width="11.1640625" style="799" customWidth="1"/>
    <col min="2639" max="2639" width="9.83203125" style="799"/>
    <col min="2640" max="2640" width="12" style="799" customWidth="1"/>
    <col min="2641" max="2641" width="14.1640625" style="799" customWidth="1"/>
    <col min="2642" max="2642" width="13.6640625" style="799" customWidth="1"/>
    <col min="2643" max="2643" width="9.83203125" style="799"/>
    <col min="2644" max="2644" width="13" style="799" customWidth="1"/>
    <col min="2645" max="2645" width="26.33203125" style="799" customWidth="1"/>
    <col min="2646" max="2861" width="9.83203125" style="799"/>
    <col min="2862" max="2862" width="6.6640625" style="799" customWidth="1"/>
    <col min="2863" max="2863" width="8.83203125" style="799" customWidth="1"/>
    <col min="2864" max="2864" width="54.6640625" style="799" customWidth="1"/>
    <col min="2865" max="2865" width="55.33203125" style="799" customWidth="1"/>
    <col min="2866" max="2866" width="14.5" style="799" bestFit="1" customWidth="1"/>
    <col min="2867" max="2867" width="14.83203125" style="799" customWidth="1"/>
    <col min="2868" max="2868" width="4.6640625" style="799" customWidth="1"/>
    <col min="2869" max="2869" width="11.1640625" style="799" customWidth="1"/>
    <col min="2870" max="2870" width="4.83203125" style="799" customWidth="1"/>
    <col min="2871" max="2871" width="15.1640625" style="799" bestFit="1" customWidth="1"/>
    <col min="2872" max="2872" width="4.1640625" style="799" customWidth="1"/>
    <col min="2873" max="2873" width="0" style="799" hidden="1" customWidth="1"/>
    <col min="2874" max="2874" width="29.6640625" style="799" customWidth="1"/>
    <col min="2875" max="2875" width="12.33203125" style="799" bestFit="1" customWidth="1"/>
    <col min="2876" max="2876" width="16.6640625" style="799" bestFit="1" customWidth="1"/>
    <col min="2877" max="2877" width="13.6640625" style="799" bestFit="1" customWidth="1"/>
    <col min="2878" max="2878" width="9.83203125" style="799"/>
    <col min="2879" max="2879" width="16.6640625" style="799" customWidth="1"/>
    <col min="2880" max="2880" width="16.1640625" style="799" bestFit="1" customWidth="1"/>
    <col min="2881" max="2881" width="13.6640625" style="799" customWidth="1"/>
    <col min="2882" max="2882" width="40.83203125" style="799" customWidth="1"/>
    <col min="2883" max="2883" width="16.33203125" style="799" customWidth="1"/>
    <col min="2884" max="2884" width="17.33203125" style="799" customWidth="1"/>
    <col min="2885" max="2885" width="15.33203125" style="799" customWidth="1"/>
    <col min="2886" max="2886" width="13.6640625" style="799" customWidth="1"/>
    <col min="2887" max="2887" width="11.6640625" style="799" customWidth="1"/>
    <col min="2888" max="2888" width="61.33203125" style="799" customWidth="1"/>
    <col min="2889" max="2889" width="37" style="799" customWidth="1"/>
    <col min="2890" max="2890" width="8" style="799" customWidth="1"/>
    <col min="2891" max="2891" width="6.33203125" style="799" customWidth="1"/>
    <col min="2892" max="2893" width="9.83203125" style="799"/>
    <col min="2894" max="2894" width="11.1640625" style="799" customWidth="1"/>
    <col min="2895" max="2895" width="9.83203125" style="799"/>
    <col min="2896" max="2896" width="12" style="799" customWidth="1"/>
    <col min="2897" max="2897" width="14.1640625" style="799" customWidth="1"/>
    <col min="2898" max="2898" width="13.6640625" style="799" customWidth="1"/>
    <col min="2899" max="2899" width="9.83203125" style="799"/>
    <col min="2900" max="2900" width="13" style="799" customWidth="1"/>
    <col min="2901" max="2901" width="26.33203125" style="799" customWidth="1"/>
    <col min="2902" max="3117" width="9.83203125" style="799"/>
    <col min="3118" max="3118" width="6.6640625" style="799" customWidth="1"/>
    <col min="3119" max="3119" width="8.83203125" style="799" customWidth="1"/>
    <col min="3120" max="3120" width="54.6640625" style="799" customWidth="1"/>
    <col min="3121" max="3121" width="55.33203125" style="799" customWidth="1"/>
    <col min="3122" max="3122" width="14.5" style="799" bestFit="1" customWidth="1"/>
    <col min="3123" max="3123" width="14.83203125" style="799" customWidth="1"/>
    <col min="3124" max="3124" width="4.6640625" style="799" customWidth="1"/>
    <col min="3125" max="3125" width="11.1640625" style="799" customWidth="1"/>
    <col min="3126" max="3126" width="4.83203125" style="799" customWidth="1"/>
    <col min="3127" max="3127" width="15.1640625" style="799" bestFit="1" customWidth="1"/>
    <col min="3128" max="3128" width="4.1640625" style="799" customWidth="1"/>
    <col min="3129" max="3129" width="0" style="799" hidden="1" customWidth="1"/>
    <col min="3130" max="3130" width="29.6640625" style="799" customWidth="1"/>
    <col min="3131" max="3131" width="12.33203125" style="799" bestFit="1" customWidth="1"/>
    <col min="3132" max="3132" width="16.6640625" style="799" bestFit="1" customWidth="1"/>
    <col min="3133" max="3133" width="13.6640625" style="799" bestFit="1" customWidth="1"/>
    <col min="3134" max="3134" width="9.83203125" style="799"/>
    <col min="3135" max="3135" width="16.6640625" style="799" customWidth="1"/>
    <col min="3136" max="3136" width="16.1640625" style="799" bestFit="1" customWidth="1"/>
    <col min="3137" max="3137" width="13.6640625" style="799" customWidth="1"/>
    <col min="3138" max="3138" width="40.83203125" style="799" customWidth="1"/>
    <col min="3139" max="3139" width="16.33203125" style="799" customWidth="1"/>
    <col min="3140" max="3140" width="17.33203125" style="799" customWidth="1"/>
    <col min="3141" max="3141" width="15.33203125" style="799" customWidth="1"/>
    <col min="3142" max="3142" width="13.6640625" style="799" customWidth="1"/>
    <col min="3143" max="3143" width="11.6640625" style="799" customWidth="1"/>
    <col min="3144" max="3144" width="61.33203125" style="799" customWidth="1"/>
    <col min="3145" max="3145" width="37" style="799" customWidth="1"/>
    <col min="3146" max="3146" width="8" style="799" customWidth="1"/>
    <col min="3147" max="3147" width="6.33203125" style="799" customWidth="1"/>
    <col min="3148" max="3149" width="9.83203125" style="799"/>
    <col min="3150" max="3150" width="11.1640625" style="799" customWidth="1"/>
    <col min="3151" max="3151" width="9.83203125" style="799"/>
    <col min="3152" max="3152" width="12" style="799" customWidth="1"/>
    <col min="3153" max="3153" width="14.1640625" style="799" customWidth="1"/>
    <col min="3154" max="3154" width="13.6640625" style="799" customWidth="1"/>
    <col min="3155" max="3155" width="9.83203125" style="799"/>
    <col min="3156" max="3156" width="13" style="799" customWidth="1"/>
    <col min="3157" max="3157" width="26.33203125" style="799" customWidth="1"/>
    <col min="3158" max="3373" width="9.83203125" style="799"/>
    <col min="3374" max="3374" width="6.6640625" style="799" customWidth="1"/>
    <col min="3375" max="3375" width="8.83203125" style="799" customWidth="1"/>
    <col min="3376" max="3376" width="54.6640625" style="799" customWidth="1"/>
    <col min="3377" max="3377" width="55.33203125" style="799" customWidth="1"/>
    <col min="3378" max="3378" width="14.5" style="799" bestFit="1" customWidth="1"/>
    <col min="3379" max="3379" width="14.83203125" style="799" customWidth="1"/>
    <col min="3380" max="3380" width="4.6640625" style="799" customWidth="1"/>
    <col min="3381" max="3381" width="11.1640625" style="799" customWidth="1"/>
    <col min="3382" max="3382" width="4.83203125" style="799" customWidth="1"/>
    <col min="3383" max="3383" width="15.1640625" style="799" bestFit="1" customWidth="1"/>
    <col min="3384" max="3384" width="4.1640625" style="799" customWidth="1"/>
    <col min="3385" max="3385" width="0" style="799" hidden="1" customWidth="1"/>
    <col min="3386" max="3386" width="29.6640625" style="799" customWidth="1"/>
    <col min="3387" max="3387" width="12.33203125" style="799" bestFit="1" customWidth="1"/>
    <col min="3388" max="3388" width="16.6640625" style="799" bestFit="1" customWidth="1"/>
    <col min="3389" max="3389" width="13.6640625" style="799" bestFit="1" customWidth="1"/>
    <col min="3390" max="3390" width="9.83203125" style="799"/>
    <col min="3391" max="3391" width="16.6640625" style="799" customWidth="1"/>
    <col min="3392" max="3392" width="16.1640625" style="799" bestFit="1" customWidth="1"/>
    <col min="3393" max="3393" width="13.6640625" style="799" customWidth="1"/>
    <col min="3394" max="3394" width="40.83203125" style="799" customWidth="1"/>
    <col min="3395" max="3395" width="16.33203125" style="799" customWidth="1"/>
    <col min="3396" max="3396" width="17.33203125" style="799" customWidth="1"/>
    <col min="3397" max="3397" width="15.33203125" style="799" customWidth="1"/>
    <col min="3398" max="3398" width="13.6640625" style="799" customWidth="1"/>
    <col min="3399" max="3399" width="11.6640625" style="799" customWidth="1"/>
    <col min="3400" max="3400" width="61.33203125" style="799" customWidth="1"/>
    <col min="3401" max="3401" width="37" style="799" customWidth="1"/>
    <col min="3402" max="3402" width="8" style="799" customWidth="1"/>
    <col min="3403" max="3403" width="6.33203125" style="799" customWidth="1"/>
    <col min="3404" max="3405" width="9.83203125" style="799"/>
    <col min="3406" max="3406" width="11.1640625" style="799" customWidth="1"/>
    <col min="3407" max="3407" width="9.83203125" style="799"/>
    <col min="3408" max="3408" width="12" style="799" customWidth="1"/>
    <col min="3409" max="3409" width="14.1640625" style="799" customWidth="1"/>
    <col min="3410" max="3410" width="13.6640625" style="799" customWidth="1"/>
    <col min="3411" max="3411" width="9.83203125" style="799"/>
    <col min="3412" max="3412" width="13" style="799" customWidth="1"/>
    <col min="3413" max="3413" width="26.33203125" style="799" customWidth="1"/>
    <col min="3414" max="3629" width="9.83203125" style="799"/>
    <col min="3630" max="3630" width="6.6640625" style="799" customWidth="1"/>
    <col min="3631" max="3631" width="8.83203125" style="799" customWidth="1"/>
    <col min="3632" max="3632" width="54.6640625" style="799" customWidth="1"/>
    <col min="3633" max="3633" width="55.33203125" style="799" customWidth="1"/>
    <col min="3634" max="3634" width="14.5" style="799" bestFit="1" customWidth="1"/>
    <col min="3635" max="3635" width="14.83203125" style="799" customWidth="1"/>
    <col min="3636" max="3636" width="4.6640625" style="799" customWidth="1"/>
    <col min="3637" max="3637" width="11.1640625" style="799" customWidth="1"/>
    <col min="3638" max="3638" width="4.83203125" style="799" customWidth="1"/>
    <col min="3639" max="3639" width="15.1640625" style="799" bestFit="1" customWidth="1"/>
    <col min="3640" max="3640" width="4.1640625" style="799" customWidth="1"/>
    <col min="3641" max="3641" width="0" style="799" hidden="1" customWidth="1"/>
    <col min="3642" max="3642" width="29.6640625" style="799" customWidth="1"/>
    <col min="3643" max="3643" width="12.33203125" style="799" bestFit="1" customWidth="1"/>
    <col min="3644" max="3644" width="16.6640625" style="799" bestFit="1" customWidth="1"/>
    <col min="3645" max="3645" width="13.6640625" style="799" bestFit="1" customWidth="1"/>
    <col min="3646" max="3646" width="9.83203125" style="799"/>
    <col min="3647" max="3647" width="16.6640625" style="799" customWidth="1"/>
    <col min="3648" max="3648" width="16.1640625" style="799" bestFit="1" customWidth="1"/>
    <col min="3649" max="3649" width="13.6640625" style="799" customWidth="1"/>
    <col min="3650" max="3650" width="40.83203125" style="799" customWidth="1"/>
    <col min="3651" max="3651" width="16.33203125" style="799" customWidth="1"/>
    <col min="3652" max="3652" width="17.33203125" style="799" customWidth="1"/>
    <col min="3653" max="3653" width="15.33203125" style="799" customWidth="1"/>
    <col min="3654" max="3654" width="13.6640625" style="799" customWidth="1"/>
    <col min="3655" max="3655" width="11.6640625" style="799" customWidth="1"/>
    <col min="3656" max="3656" width="61.33203125" style="799" customWidth="1"/>
    <col min="3657" max="3657" width="37" style="799" customWidth="1"/>
    <col min="3658" max="3658" width="8" style="799" customWidth="1"/>
    <col min="3659" max="3659" width="6.33203125" style="799" customWidth="1"/>
    <col min="3660" max="3661" width="9.83203125" style="799"/>
    <col min="3662" max="3662" width="11.1640625" style="799" customWidth="1"/>
    <col min="3663" max="3663" width="9.83203125" style="799"/>
    <col min="3664" max="3664" width="12" style="799" customWidth="1"/>
    <col min="3665" max="3665" width="14.1640625" style="799" customWidth="1"/>
    <col min="3666" max="3666" width="13.6640625" style="799" customWidth="1"/>
    <col min="3667" max="3667" width="9.83203125" style="799"/>
    <col min="3668" max="3668" width="13" style="799" customWidth="1"/>
    <col min="3669" max="3669" width="26.33203125" style="799" customWidth="1"/>
    <col min="3670" max="3885" width="9.83203125" style="799"/>
    <col min="3886" max="3886" width="6.6640625" style="799" customWidth="1"/>
    <col min="3887" max="3887" width="8.83203125" style="799" customWidth="1"/>
    <col min="3888" max="3888" width="54.6640625" style="799" customWidth="1"/>
    <col min="3889" max="3889" width="55.33203125" style="799" customWidth="1"/>
    <col min="3890" max="3890" width="14.5" style="799" bestFit="1" customWidth="1"/>
    <col min="3891" max="3891" width="14.83203125" style="799" customWidth="1"/>
    <col min="3892" max="3892" width="4.6640625" style="799" customWidth="1"/>
    <col min="3893" max="3893" width="11.1640625" style="799" customWidth="1"/>
    <col min="3894" max="3894" width="4.83203125" style="799" customWidth="1"/>
    <col min="3895" max="3895" width="15.1640625" style="799" bestFit="1" customWidth="1"/>
    <col min="3896" max="3896" width="4.1640625" style="799" customWidth="1"/>
    <col min="3897" max="3897" width="0" style="799" hidden="1" customWidth="1"/>
    <col min="3898" max="3898" width="29.6640625" style="799" customWidth="1"/>
    <col min="3899" max="3899" width="12.33203125" style="799" bestFit="1" customWidth="1"/>
    <col min="3900" max="3900" width="16.6640625" style="799" bestFit="1" customWidth="1"/>
    <col min="3901" max="3901" width="13.6640625" style="799" bestFit="1" customWidth="1"/>
    <col min="3902" max="3902" width="9.83203125" style="799"/>
    <col min="3903" max="3903" width="16.6640625" style="799" customWidth="1"/>
    <col min="3904" max="3904" width="16.1640625" style="799" bestFit="1" customWidth="1"/>
    <col min="3905" max="3905" width="13.6640625" style="799" customWidth="1"/>
    <col min="3906" max="3906" width="40.83203125" style="799" customWidth="1"/>
    <col min="3907" max="3907" width="16.33203125" style="799" customWidth="1"/>
    <col min="3908" max="3908" width="17.33203125" style="799" customWidth="1"/>
    <col min="3909" max="3909" width="15.33203125" style="799" customWidth="1"/>
    <col min="3910" max="3910" width="13.6640625" style="799" customWidth="1"/>
    <col min="3911" max="3911" width="11.6640625" style="799" customWidth="1"/>
    <col min="3912" max="3912" width="61.33203125" style="799" customWidth="1"/>
    <col min="3913" max="3913" width="37" style="799" customWidth="1"/>
    <col min="3914" max="3914" width="8" style="799" customWidth="1"/>
    <col min="3915" max="3915" width="6.33203125" style="799" customWidth="1"/>
    <col min="3916" max="3917" width="9.83203125" style="799"/>
    <col min="3918" max="3918" width="11.1640625" style="799" customWidth="1"/>
    <col min="3919" max="3919" width="9.83203125" style="799"/>
    <col min="3920" max="3920" width="12" style="799" customWidth="1"/>
    <col min="3921" max="3921" width="14.1640625" style="799" customWidth="1"/>
    <col min="3922" max="3922" width="13.6640625" style="799" customWidth="1"/>
    <col min="3923" max="3923" width="9.83203125" style="799"/>
    <col min="3924" max="3924" width="13" style="799" customWidth="1"/>
    <col min="3925" max="3925" width="26.33203125" style="799" customWidth="1"/>
    <col min="3926" max="4141" width="9.83203125" style="799"/>
    <col min="4142" max="4142" width="6.6640625" style="799" customWidth="1"/>
    <col min="4143" max="4143" width="8.83203125" style="799" customWidth="1"/>
    <col min="4144" max="4144" width="54.6640625" style="799" customWidth="1"/>
    <col min="4145" max="4145" width="55.33203125" style="799" customWidth="1"/>
    <col min="4146" max="4146" width="14.5" style="799" bestFit="1" customWidth="1"/>
    <col min="4147" max="4147" width="14.83203125" style="799" customWidth="1"/>
    <col min="4148" max="4148" width="4.6640625" style="799" customWidth="1"/>
    <col min="4149" max="4149" width="11.1640625" style="799" customWidth="1"/>
    <col min="4150" max="4150" width="4.83203125" style="799" customWidth="1"/>
    <col min="4151" max="4151" width="15.1640625" style="799" bestFit="1" customWidth="1"/>
    <col min="4152" max="4152" width="4.1640625" style="799" customWidth="1"/>
    <col min="4153" max="4153" width="0" style="799" hidden="1" customWidth="1"/>
    <col min="4154" max="4154" width="29.6640625" style="799" customWidth="1"/>
    <col min="4155" max="4155" width="12.33203125" style="799" bestFit="1" customWidth="1"/>
    <col min="4156" max="4156" width="16.6640625" style="799" bestFit="1" customWidth="1"/>
    <col min="4157" max="4157" width="13.6640625" style="799" bestFit="1" customWidth="1"/>
    <col min="4158" max="4158" width="9.83203125" style="799"/>
    <col min="4159" max="4159" width="16.6640625" style="799" customWidth="1"/>
    <col min="4160" max="4160" width="16.1640625" style="799" bestFit="1" customWidth="1"/>
    <col min="4161" max="4161" width="13.6640625" style="799" customWidth="1"/>
    <col min="4162" max="4162" width="40.83203125" style="799" customWidth="1"/>
    <col min="4163" max="4163" width="16.33203125" style="799" customWidth="1"/>
    <col min="4164" max="4164" width="17.33203125" style="799" customWidth="1"/>
    <col min="4165" max="4165" width="15.33203125" style="799" customWidth="1"/>
    <col min="4166" max="4166" width="13.6640625" style="799" customWidth="1"/>
    <col min="4167" max="4167" width="11.6640625" style="799" customWidth="1"/>
    <col min="4168" max="4168" width="61.33203125" style="799" customWidth="1"/>
    <col min="4169" max="4169" width="37" style="799" customWidth="1"/>
    <col min="4170" max="4170" width="8" style="799" customWidth="1"/>
    <col min="4171" max="4171" width="6.33203125" style="799" customWidth="1"/>
    <col min="4172" max="4173" width="9.83203125" style="799"/>
    <col min="4174" max="4174" width="11.1640625" style="799" customWidth="1"/>
    <col min="4175" max="4175" width="9.83203125" style="799"/>
    <col min="4176" max="4176" width="12" style="799" customWidth="1"/>
    <col min="4177" max="4177" width="14.1640625" style="799" customWidth="1"/>
    <col min="4178" max="4178" width="13.6640625" style="799" customWidth="1"/>
    <col min="4179" max="4179" width="9.83203125" style="799"/>
    <col min="4180" max="4180" width="13" style="799" customWidth="1"/>
    <col min="4181" max="4181" width="26.33203125" style="799" customWidth="1"/>
    <col min="4182" max="4397" width="9.83203125" style="799"/>
    <col min="4398" max="4398" width="6.6640625" style="799" customWidth="1"/>
    <col min="4399" max="4399" width="8.83203125" style="799" customWidth="1"/>
    <col min="4400" max="4400" width="54.6640625" style="799" customWidth="1"/>
    <col min="4401" max="4401" width="55.33203125" style="799" customWidth="1"/>
    <col min="4402" max="4402" width="14.5" style="799" bestFit="1" customWidth="1"/>
    <col min="4403" max="4403" width="14.83203125" style="799" customWidth="1"/>
    <col min="4404" max="4404" width="4.6640625" style="799" customWidth="1"/>
    <col min="4405" max="4405" width="11.1640625" style="799" customWidth="1"/>
    <col min="4406" max="4406" width="4.83203125" style="799" customWidth="1"/>
    <col min="4407" max="4407" width="15.1640625" style="799" bestFit="1" customWidth="1"/>
    <col min="4408" max="4408" width="4.1640625" style="799" customWidth="1"/>
    <col min="4409" max="4409" width="0" style="799" hidden="1" customWidth="1"/>
    <col min="4410" max="4410" width="29.6640625" style="799" customWidth="1"/>
    <col min="4411" max="4411" width="12.33203125" style="799" bestFit="1" customWidth="1"/>
    <col min="4412" max="4412" width="16.6640625" style="799" bestFit="1" customWidth="1"/>
    <col min="4413" max="4413" width="13.6640625" style="799" bestFit="1" customWidth="1"/>
    <col min="4414" max="4414" width="9.83203125" style="799"/>
    <col min="4415" max="4415" width="16.6640625" style="799" customWidth="1"/>
    <col min="4416" max="4416" width="16.1640625" style="799" bestFit="1" customWidth="1"/>
    <col min="4417" max="4417" width="13.6640625" style="799" customWidth="1"/>
    <col min="4418" max="4418" width="40.83203125" style="799" customWidth="1"/>
    <col min="4419" max="4419" width="16.33203125" style="799" customWidth="1"/>
    <col min="4420" max="4420" width="17.33203125" style="799" customWidth="1"/>
    <col min="4421" max="4421" width="15.33203125" style="799" customWidth="1"/>
    <col min="4422" max="4422" width="13.6640625" style="799" customWidth="1"/>
    <col min="4423" max="4423" width="11.6640625" style="799" customWidth="1"/>
    <col min="4424" max="4424" width="61.33203125" style="799" customWidth="1"/>
    <col min="4425" max="4425" width="37" style="799" customWidth="1"/>
    <col min="4426" max="4426" width="8" style="799" customWidth="1"/>
    <col min="4427" max="4427" width="6.33203125" style="799" customWidth="1"/>
    <col min="4428" max="4429" width="9.83203125" style="799"/>
    <col min="4430" max="4430" width="11.1640625" style="799" customWidth="1"/>
    <col min="4431" max="4431" width="9.83203125" style="799"/>
    <col min="4432" max="4432" width="12" style="799" customWidth="1"/>
    <col min="4433" max="4433" width="14.1640625" style="799" customWidth="1"/>
    <col min="4434" max="4434" width="13.6640625" style="799" customWidth="1"/>
    <col min="4435" max="4435" width="9.83203125" style="799"/>
    <col min="4436" max="4436" width="13" style="799" customWidth="1"/>
    <col min="4437" max="4437" width="26.33203125" style="799" customWidth="1"/>
    <col min="4438" max="4653" width="9.83203125" style="799"/>
    <col min="4654" max="4654" width="6.6640625" style="799" customWidth="1"/>
    <col min="4655" max="4655" width="8.83203125" style="799" customWidth="1"/>
    <col min="4656" max="4656" width="54.6640625" style="799" customWidth="1"/>
    <col min="4657" max="4657" width="55.33203125" style="799" customWidth="1"/>
    <col min="4658" max="4658" width="14.5" style="799" bestFit="1" customWidth="1"/>
    <col min="4659" max="4659" width="14.83203125" style="799" customWidth="1"/>
    <col min="4660" max="4660" width="4.6640625" style="799" customWidth="1"/>
    <col min="4661" max="4661" width="11.1640625" style="799" customWidth="1"/>
    <col min="4662" max="4662" width="4.83203125" style="799" customWidth="1"/>
    <col min="4663" max="4663" width="15.1640625" style="799" bestFit="1" customWidth="1"/>
    <col min="4664" max="4664" width="4.1640625" style="799" customWidth="1"/>
    <col min="4665" max="4665" width="0" style="799" hidden="1" customWidth="1"/>
    <col min="4666" max="4666" width="29.6640625" style="799" customWidth="1"/>
    <col min="4667" max="4667" width="12.33203125" style="799" bestFit="1" customWidth="1"/>
    <col min="4668" max="4668" width="16.6640625" style="799" bestFit="1" customWidth="1"/>
    <col min="4669" max="4669" width="13.6640625" style="799" bestFit="1" customWidth="1"/>
    <col min="4670" max="4670" width="9.83203125" style="799"/>
    <col min="4671" max="4671" width="16.6640625" style="799" customWidth="1"/>
    <col min="4672" max="4672" width="16.1640625" style="799" bestFit="1" customWidth="1"/>
    <col min="4673" max="4673" width="13.6640625" style="799" customWidth="1"/>
    <col min="4674" max="4674" width="40.83203125" style="799" customWidth="1"/>
    <col min="4675" max="4675" width="16.33203125" style="799" customWidth="1"/>
    <col min="4676" max="4676" width="17.33203125" style="799" customWidth="1"/>
    <col min="4677" max="4677" width="15.33203125" style="799" customWidth="1"/>
    <col min="4678" max="4678" width="13.6640625" style="799" customWidth="1"/>
    <col min="4679" max="4679" width="11.6640625" style="799" customWidth="1"/>
    <col min="4680" max="4680" width="61.33203125" style="799" customWidth="1"/>
    <col min="4681" max="4681" width="37" style="799" customWidth="1"/>
    <col min="4682" max="4682" width="8" style="799" customWidth="1"/>
    <col min="4683" max="4683" width="6.33203125" style="799" customWidth="1"/>
    <col min="4684" max="4685" width="9.83203125" style="799"/>
    <col min="4686" max="4686" width="11.1640625" style="799" customWidth="1"/>
    <col min="4687" max="4687" width="9.83203125" style="799"/>
    <col min="4688" max="4688" width="12" style="799" customWidth="1"/>
    <col min="4689" max="4689" width="14.1640625" style="799" customWidth="1"/>
    <col min="4690" max="4690" width="13.6640625" style="799" customWidth="1"/>
    <col min="4691" max="4691" width="9.83203125" style="799"/>
    <col min="4692" max="4692" width="13" style="799" customWidth="1"/>
    <col min="4693" max="4693" width="26.33203125" style="799" customWidth="1"/>
    <col min="4694" max="4909" width="9.83203125" style="799"/>
    <col min="4910" max="4910" width="6.6640625" style="799" customWidth="1"/>
    <col min="4911" max="4911" width="8.83203125" style="799" customWidth="1"/>
    <col min="4912" max="4912" width="54.6640625" style="799" customWidth="1"/>
    <col min="4913" max="4913" width="55.33203125" style="799" customWidth="1"/>
    <col min="4914" max="4914" width="14.5" style="799" bestFit="1" customWidth="1"/>
    <col min="4915" max="4915" width="14.83203125" style="799" customWidth="1"/>
    <col min="4916" max="4916" width="4.6640625" style="799" customWidth="1"/>
    <col min="4917" max="4917" width="11.1640625" style="799" customWidth="1"/>
    <col min="4918" max="4918" width="4.83203125" style="799" customWidth="1"/>
    <col min="4919" max="4919" width="15.1640625" style="799" bestFit="1" customWidth="1"/>
    <col min="4920" max="4920" width="4.1640625" style="799" customWidth="1"/>
    <col min="4921" max="4921" width="0" style="799" hidden="1" customWidth="1"/>
    <col min="4922" max="4922" width="29.6640625" style="799" customWidth="1"/>
    <col min="4923" max="4923" width="12.33203125" style="799" bestFit="1" customWidth="1"/>
    <col min="4924" max="4924" width="16.6640625" style="799" bestFit="1" customWidth="1"/>
    <col min="4925" max="4925" width="13.6640625" style="799" bestFit="1" customWidth="1"/>
    <col min="4926" max="4926" width="9.83203125" style="799"/>
    <col min="4927" max="4927" width="16.6640625" style="799" customWidth="1"/>
    <col min="4928" max="4928" width="16.1640625" style="799" bestFit="1" customWidth="1"/>
    <col min="4929" max="4929" width="13.6640625" style="799" customWidth="1"/>
    <col min="4930" max="4930" width="40.83203125" style="799" customWidth="1"/>
    <col min="4931" max="4931" width="16.33203125" style="799" customWidth="1"/>
    <col min="4932" max="4932" width="17.33203125" style="799" customWidth="1"/>
    <col min="4933" max="4933" width="15.33203125" style="799" customWidth="1"/>
    <col min="4934" max="4934" width="13.6640625" style="799" customWidth="1"/>
    <col min="4935" max="4935" width="11.6640625" style="799" customWidth="1"/>
    <col min="4936" max="4936" width="61.33203125" style="799" customWidth="1"/>
    <col min="4937" max="4937" width="37" style="799" customWidth="1"/>
    <col min="4938" max="4938" width="8" style="799" customWidth="1"/>
    <col min="4939" max="4939" width="6.33203125" style="799" customWidth="1"/>
    <col min="4940" max="4941" width="9.83203125" style="799"/>
    <col min="4942" max="4942" width="11.1640625" style="799" customWidth="1"/>
    <col min="4943" max="4943" width="9.83203125" style="799"/>
    <col min="4944" max="4944" width="12" style="799" customWidth="1"/>
    <col min="4945" max="4945" width="14.1640625" style="799" customWidth="1"/>
    <col min="4946" max="4946" width="13.6640625" style="799" customWidth="1"/>
    <col min="4947" max="4947" width="9.83203125" style="799"/>
    <col min="4948" max="4948" width="13" style="799" customWidth="1"/>
    <col min="4949" max="4949" width="26.33203125" style="799" customWidth="1"/>
    <col min="4950" max="5165" width="9.83203125" style="799"/>
    <col min="5166" max="5166" width="6.6640625" style="799" customWidth="1"/>
    <col min="5167" max="5167" width="8.83203125" style="799" customWidth="1"/>
    <col min="5168" max="5168" width="54.6640625" style="799" customWidth="1"/>
    <col min="5169" max="5169" width="55.33203125" style="799" customWidth="1"/>
    <col min="5170" max="5170" width="14.5" style="799" bestFit="1" customWidth="1"/>
    <col min="5171" max="5171" width="14.83203125" style="799" customWidth="1"/>
    <col min="5172" max="5172" width="4.6640625" style="799" customWidth="1"/>
    <col min="5173" max="5173" width="11.1640625" style="799" customWidth="1"/>
    <col min="5174" max="5174" width="4.83203125" style="799" customWidth="1"/>
    <col min="5175" max="5175" width="15.1640625" style="799" bestFit="1" customWidth="1"/>
    <col min="5176" max="5176" width="4.1640625" style="799" customWidth="1"/>
    <col min="5177" max="5177" width="0" style="799" hidden="1" customWidth="1"/>
    <col min="5178" max="5178" width="29.6640625" style="799" customWidth="1"/>
    <col min="5179" max="5179" width="12.33203125" style="799" bestFit="1" customWidth="1"/>
    <col min="5180" max="5180" width="16.6640625" style="799" bestFit="1" customWidth="1"/>
    <col min="5181" max="5181" width="13.6640625" style="799" bestFit="1" customWidth="1"/>
    <col min="5182" max="5182" width="9.83203125" style="799"/>
    <col min="5183" max="5183" width="16.6640625" style="799" customWidth="1"/>
    <col min="5184" max="5184" width="16.1640625" style="799" bestFit="1" customWidth="1"/>
    <col min="5185" max="5185" width="13.6640625" style="799" customWidth="1"/>
    <col min="5186" max="5186" width="40.83203125" style="799" customWidth="1"/>
    <col min="5187" max="5187" width="16.33203125" style="799" customWidth="1"/>
    <col min="5188" max="5188" width="17.33203125" style="799" customWidth="1"/>
    <col min="5189" max="5189" width="15.33203125" style="799" customWidth="1"/>
    <col min="5190" max="5190" width="13.6640625" style="799" customWidth="1"/>
    <col min="5191" max="5191" width="11.6640625" style="799" customWidth="1"/>
    <col min="5192" max="5192" width="61.33203125" style="799" customWidth="1"/>
    <col min="5193" max="5193" width="37" style="799" customWidth="1"/>
    <col min="5194" max="5194" width="8" style="799" customWidth="1"/>
    <col min="5195" max="5195" width="6.33203125" style="799" customWidth="1"/>
    <col min="5196" max="5197" width="9.83203125" style="799"/>
    <col min="5198" max="5198" width="11.1640625" style="799" customWidth="1"/>
    <col min="5199" max="5199" width="9.83203125" style="799"/>
    <col min="5200" max="5200" width="12" style="799" customWidth="1"/>
    <col min="5201" max="5201" width="14.1640625" style="799" customWidth="1"/>
    <col min="5202" max="5202" width="13.6640625" style="799" customWidth="1"/>
    <col min="5203" max="5203" width="9.83203125" style="799"/>
    <col min="5204" max="5204" width="13" style="799" customWidth="1"/>
    <col min="5205" max="5205" width="26.33203125" style="799" customWidth="1"/>
    <col min="5206" max="5421" width="9.83203125" style="799"/>
    <col min="5422" max="5422" width="6.6640625" style="799" customWidth="1"/>
    <col min="5423" max="5423" width="8.83203125" style="799" customWidth="1"/>
    <col min="5424" max="5424" width="54.6640625" style="799" customWidth="1"/>
    <col min="5425" max="5425" width="55.33203125" style="799" customWidth="1"/>
    <col min="5426" max="5426" width="14.5" style="799" bestFit="1" customWidth="1"/>
    <col min="5427" max="5427" width="14.83203125" style="799" customWidth="1"/>
    <col min="5428" max="5428" width="4.6640625" style="799" customWidth="1"/>
    <col min="5429" max="5429" width="11.1640625" style="799" customWidth="1"/>
    <col min="5430" max="5430" width="4.83203125" style="799" customWidth="1"/>
    <col min="5431" max="5431" width="15.1640625" style="799" bestFit="1" customWidth="1"/>
    <col min="5432" max="5432" width="4.1640625" style="799" customWidth="1"/>
    <col min="5433" max="5433" width="0" style="799" hidden="1" customWidth="1"/>
    <col min="5434" max="5434" width="29.6640625" style="799" customWidth="1"/>
    <col min="5435" max="5435" width="12.33203125" style="799" bestFit="1" customWidth="1"/>
    <col min="5436" max="5436" width="16.6640625" style="799" bestFit="1" customWidth="1"/>
    <col min="5437" max="5437" width="13.6640625" style="799" bestFit="1" customWidth="1"/>
    <col min="5438" max="5438" width="9.83203125" style="799"/>
    <col min="5439" max="5439" width="16.6640625" style="799" customWidth="1"/>
    <col min="5440" max="5440" width="16.1640625" style="799" bestFit="1" customWidth="1"/>
    <col min="5441" max="5441" width="13.6640625" style="799" customWidth="1"/>
    <col min="5442" max="5442" width="40.83203125" style="799" customWidth="1"/>
    <col min="5443" max="5443" width="16.33203125" style="799" customWidth="1"/>
    <col min="5444" max="5444" width="17.33203125" style="799" customWidth="1"/>
    <col min="5445" max="5445" width="15.33203125" style="799" customWidth="1"/>
    <col min="5446" max="5446" width="13.6640625" style="799" customWidth="1"/>
    <col min="5447" max="5447" width="11.6640625" style="799" customWidth="1"/>
    <col min="5448" max="5448" width="61.33203125" style="799" customWidth="1"/>
    <col min="5449" max="5449" width="37" style="799" customWidth="1"/>
    <col min="5450" max="5450" width="8" style="799" customWidth="1"/>
    <col min="5451" max="5451" width="6.33203125" style="799" customWidth="1"/>
    <col min="5452" max="5453" width="9.83203125" style="799"/>
    <col min="5454" max="5454" width="11.1640625" style="799" customWidth="1"/>
    <col min="5455" max="5455" width="9.83203125" style="799"/>
    <col min="5456" max="5456" width="12" style="799" customWidth="1"/>
    <col min="5457" max="5457" width="14.1640625" style="799" customWidth="1"/>
    <col min="5458" max="5458" width="13.6640625" style="799" customWidth="1"/>
    <col min="5459" max="5459" width="9.83203125" style="799"/>
    <col min="5460" max="5460" width="13" style="799" customWidth="1"/>
    <col min="5461" max="5461" width="26.33203125" style="799" customWidth="1"/>
    <col min="5462" max="5677" width="9.83203125" style="799"/>
    <col min="5678" max="5678" width="6.6640625" style="799" customWidth="1"/>
    <col min="5679" max="5679" width="8.83203125" style="799" customWidth="1"/>
    <col min="5680" max="5680" width="54.6640625" style="799" customWidth="1"/>
    <col min="5681" max="5681" width="55.33203125" style="799" customWidth="1"/>
    <col min="5682" max="5682" width="14.5" style="799" bestFit="1" customWidth="1"/>
    <col min="5683" max="5683" width="14.83203125" style="799" customWidth="1"/>
    <col min="5684" max="5684" width="4.6640625" style="799" customWidth="1"/>
    <col min="5685" max="5685" width="11.1640625" style="799" customWidth="1"/>
    <col min="5686" max="5686" width="4.83203125" style="799" customWidth="1"/>
    <col min="5687" max="5687" width="15.1640625" style="799" bestFit="1" customWidth="1"/>
    <col min="5688" max="5688" width="4.1640625" style="799" customWidth="1"/>
    <col min="5689" max="5689" width="0" style="799" hidden="1" customWidth="1"/>
    <col min="5690" max="5690" width="29.6640625" style="799" customWidth="1"/>
    <col min="5691" max="5691" width="12.33203125" style="799" bestFit="1" customWidth="1"/>
    <col min="5692" max="5692" width="16.6640625" style="799" bestFit="1" customWidth="1"/>
    <col min="5693" max="5693" width="13.6640625" style="799" bestFit="1" customWidth="1"/>
    <col min="5694" max="5694" width="9.83203125" style="799"/>
    <col min="5695" max="5695" width="16.6640625" style="799" customWidth="1"/>
    <col min="5696" max="5696" width="16.1640625" style="799" bestFit="1" customWidth="1"/>
    <col min="5697" max="5697" width="13.6640625" style="799" customWidth="1"/>
    <col min="5698" max="5698" width="40.83203125" style="799" customWidth="1"/>
    <col min="5699" max="5699" width="16.33203125" style="799" customWidth="1"/>
    <col min="5700" max="5700" width="17.33203125" style="799" customWidth="1"/>
    <col min="5701" max="5701" width="15.33203125" style="799" customWidth="1"/>
    <col min="5702" max="5702" width="13.6640625" style="799" customWidth="1"/>
    <col min="5703" max="5703" width="11.6640625" style="799" customWidth="1"/>
    <col min="5704" max="5704" width="61.33203125" style="799" customWidth="1"/>
    <col min="5705" max="5705" width="37" style="799" customWidth="1"/>
    <col min="5706" max="5706" width="8" style="799" customWidth="1"/>
    <col min="5707" max="5707" width="6.33203125" style="799" customWidth="1"/>
    <col min="5708" max="5709" width="9.83203125" style="799"/>
    <col min="5710" max="5710" width="11.1640625" style="799" customWidth="1"/>
    <col min="5711" max="5711" width="9.83203125" style="799"/>
    <col min="5712" max="5712" width="12" style="799" customWidth="1"/>
    <col min="5713" max="5713" width="14.1640625" style="799" customWidth="1"/>
    <col min="5714" max="5714" width="13.6640625" style="799" customWidth="1"/>
    <col min="5715" max="5715" width="9.83203125" style="799"/>
    <col min="5716" max="5716" width="13" style="799" customWidth="1"/>
    <col min="5717" max="5717" width="26.33203125" style="799" customWidth="1"/>
    <col min="5718" max="5933" width="9.83203125" style="799"/>
    <col min="5934" max="5934" width="6.6640625" style="799" customWidth="1"/>
    <col min="5935" max="5935" width="8.83203125" style="799" customWidth="1"/>
    <col min="5936" max="5936" width="54.6640625" style="799" customWidth="1"/>
    <col min="5937" max="5937" width="55.33203125" style="799" customWidth="1"/>
    <col min="5938" max="5938" width="14.5" style="799" bestFit="1" customWidth="1"/>
    <col min="5939" max="5939" width="14.83203125" style="799" customWidth="1"/>
    <col min="5940" max="5940" width="4.6640625" style="799" customWidth="1"/>
    <col min="5941" max="5941" width="11.1640625" style="799" customWidth="1"/>
    <col min="5942" max="5942" width="4.83203125" style="799" customWidth="1"/>
    <col min="5943" max="5943" width="15.1640625" style="799" bestFit="1" customWidth="1"/>
    <col min="5944" max="5944" width="4.1640625" style="799" customWidth="1"/>
    <col min="5945" max="5945" width="0" style="799" hidden="1" customWidth="1"/>
    <col min="5946" max="5946" width="29.6640625" style="799" customWidth="1"/>
    <col min="5947" max="5947" width="12.33203125" style="799" bestFit="1" customWidth="1"/>
    <col min="5948" max="5948" width="16.6640625" style="799" bestFit="1" customWidth="1"/>
    <col min="5949" max="5949" width="13.6640625" style="799" bestFit="1" customWidth="1"/>
    <col min="5950" max="5950" width="9.83203125" style="799"/>
    <col min="5951" max="5951" width="16.6640625" style="799" customWidth="1"/>
    <col min="5952" max="5952" width="16.1640625" style="799" bestFit="1" customWidth="1"/>
    <col min="5953" max="5953" width="13.6640625" style="799" customWidth="1"/>
    <col min="5954" max="5954" width="40.83203125" style="799" customWidth="1"/>
    <col min="5955" max="5955" width="16.33203125" style="799" customWidth="1"/>
    <col min="5956" max="5956" width="17.33203125" style="799" customWidth="1"/>
    <col min="5957" max="5957" width="15.33203125" style="799" customWidth="1"/>
    <col min="5958" max="5958" width="13.6640625" style="799" customWidth="1"/>
    <col min="5959" max="5959" width="11.6640625" style="799" customWidth="1"/>
    <col min="5960" max="5960" width="61.33203125" style="799" customWidth="1"/>
    <col min="5961" max="5961" width="37" style="799" customWidth="1"/>
    <col min="5962" max="5962" width="8" style="799" customWidth="1"/>
    <col min="5963" max="5963" width="6.33203125" style="799" customWidth="1"/>
    <col min="5964" max="5965" width="9.83203125" style="799"/>
    <col min="5966" max="5966" width="11.1640625" style="799" customWidth="1"/>
    <col min="5967" max="5967" width="9.83203125" style="799"/>
    <col min="5968" max="5968" width="12" style="799" customWidth="1"/>
    <col min="5969" max="5969" width="14.1640625" style="799" customWidth="1"/>
    <col min="5970" max="5970" width="13.6640625" style="799" customWidth="1"/>
    <col min="5971" max="5971" width="9.83203125" style="799"/>
    <col min="5972" max="5972" width="13" style="799" customWidth="1"/>
    <col min="5973" max="5973" width="26.33203125" style="799" customWidth="1"/>
    <col min="5974" max="6189" width="9.83203125" style="799"/>
    <col min="6190" max="6190" width="6.6640625" style="799" customWidth="1"/>
    <col min="6191" max="6191" width="8.83203125" style="799" customWidth="1"/>
    <col min="6192" max="6192" width="54.6640625" style="799" customWidth="1"/>
    <col min="6193" max="6193" width="55.33203125" style="799" customWidth="1"/>
    <col min="6194" max="6194" width="14.5" style="799" bestFit="1" customWidth="1"/>
    <col min="6195" max="6195" width="14.83203125" style="799" customWidth="1"/>
    <col min="6196" max="6196" width="4.6640625" style="799" customWidth="1"/>
    <col min="6197" max="6197" width="11.1640625" style="799" customWidth="1"/>
    <col min="6198" max="6198" width="4.83203125" style="799" customWidth="1"/>
    <col min="6199" max="6199" width="15.1640625" style="799" bestFit="1" customWidth="1"/>
    <col min="6200" max="6200" width="4.1640625" style="799" customWidth="1"/>
    <col min="6201" max="6201" width="0" style="799" hidden="1" customWidth="1"/>
    <col min="6202" max="6202" width="29.6640625" style="799" customWidth="1"/>
    <col min="6203" max="6203" width="12.33203125" style="799" bestFit="1" customWidth="1"/>
    <col min="6204" max="6204" width="16.6640625" style="799" bestFit="1" customWidth="1"/>
    <col min="6205" max="6205" width="13.6640625" style="799" bestFit="1" customWidth="1"/>
    <col min="6206" max="6206" width="9.83203125" style="799"/>
    <col min="6207" max="6207" width="16.6640625" style="799" customWidth="1"/>
    <col min="6208" max="6208" width="16.1640625" style="799" bestFit="1" customWidth="1"/>
    <col min="6209" max="6209" width="13.6640625" style="799" customWidth="1"/>
    <col min="6210" max="6210" width="40.83203125" style="799" customWidth="1"/>
    <col min="6211" max="6211" width="16.33203125" style="799" customWidth="1"/>
    <col min="6212" max="6212" width="17.33203125" style="799" customWidth="1"/>
    <col min="6213" max="6213" width="15.33203125" style="799" customWidth="1"/>
    <col min="6214" max="6214" width="13.6640625" style="799" customWidth="1"/>
    <col min="6215" max="6215" width="11.6640625" style="799" customWidth="1"/>
    <col min="6216" max="6216" width="61.33203125" style="799" customWidth="1"/>
    <col min="6217" max="6217" width="37" style="799" customWidth="1"/>
    <col min="6218" max="6218" width="8" style="799" customWidth="1"/>
    <col min="6219" max="6219" width="6.33203125" style="799" customWidth="1"/>
    <col min="6220" max="6221" width="9.83203125" style="799"/>
    <col min="6222" max="6222" width="11.1640625" style="799" customWidth="1"/>
    <col min="6223" max="6223" width="9.83203125" style="799"/>
    <col min="6224" max="6224" width="12" style="799" customWidth="1"/>
    <col min="6225" max="6225" width="14.1640625" style="799" customWidth="1"/>
    <col min="6226" max="6226" width="13.6640625" style="799" customWidth="1"/>
    <col min="6227" max="6227" width="9.83203125" style="799"/>
    <col min="6228" max="6228" width="13" style="799" customWidth="1"/>
    <col min="6229" max="6229" width="26.33203125" style="799" customWidth="1"/>
    <col min="6230" max="6445" width="9.83203125" style="799"/>
    <col min="6446" max="6446" width="6.6640625" style="799" customWidth="1"/>
    <col min="6447" max="6447" width="8.83203125" style="799" customWidth="1"/>
    <col min="6448" max="6448" width="54.6640625" style="799" customWidth="1"/>
    <col min="6449" max="6449" width="55.33203125" style="799" customWidth="1"/>
    <col min="6450" max="6450" width="14.5" style="799" bestFit="1" customWidth="1"/>
    <col min="6451" max="6451" width="14.83203125" style="799" customWidth="1"/>
    <col min="6452" max="6452" width="4.6640625" style="799" customWidth="1"/>
    <col min="6453" max="6453" width="11.1640625" style="799" customWidth="1"/>
    <col min="6454" max="6454" width="4.83203125" style="799" customWidth="1"/>
    <col min="6455" max="6455" width="15.1640625" style="799" bestFit="1" customWidth="1"/>
    <col min="6456" max="6456" width="4.1640625" style="799" customWidth="1"/>
    <col min="6457" max="6457" width="0" style="799" hidden="1" customWidth="1"/>
    <col min="6458" max="6458" width="29.6640625" style="799" customWidth="1"/>
    <col min="6459" max="6459" width="12.33203125" style="799" bestFit="1" customWidth="1"/>
    <col min="6460" max="6460" width="16.6640625" style="799" bestFit="1" customWidth="1"/>
    <col min="6461" max="6461" width="13.6640625" style="799" bestFit="1" customWidth="1"/>
    <col min="6462" max="6462" width="9.83203125" style="799"/>
    <col min="6463" max="6463" width="16.6640625" style="799" customWidth="1"/>
    <col min="6464" max="6464" width="16.1640625" style="799" bestFit="1" customWidth="1"/>
    <col min="6465" max="6465" width="13.6640625" style="799" customWidth="1"/>
    <col min="6466" max="6466" width="40.83203125" style="799" customWidth="1"/>
    <col min="6467" max="6467" width="16.33203125" style="799" customWidth="1"/>
    <col min="6468" max="6468" width="17.33203125" style="799" customWidth="1"/>
    <col min="6469" max="6469" width="15.33203125" style="799" customWidth="1"/>
    <col min="6470" max="6470" width="13.6640625" style="799" customWidth="1"/>
    <col min="6471" max="6471" width="11.6640625" style="799" customWidth="1"/>
    <col min="6472" max="6472" width="61.33203125" style="799" customWidth="1"/>
    <col min="6473" max="6473" width="37" style="799" customWidth="1"/>
    <col min="6474" max="6474" width="8" style="799" customWidth="1"/>
    <col min="6475" max="6475" width="6.33203125" style="799" customWidth="1"/>
    <col min="6476" max="6477" width="9.83203125" style="799"/>
    <col min="6478" max="6478" width="11.1640625" style="799" customWidth="1"/>
    <col min="6479" max="6479" width="9.83203125" style="799"/>
    <col min="6480" max="6480" width="12" style="799" customWidth="1"/>
    <col min="6481" max="6481" width="14.1640625" style="799" customWidth="1"/>
    <col min="6482" max="6482" width="13.6640625" style="799" customWidth="1"/>
    <col min="6483" max="6483" width="9.83203125" style="799"/>
    <col min="6484" max="6484" width="13" style="799" customWidth="1"/>
    <col min="6485" max="6485" width="26.33203125" style="799" customWidth="1"/>
    <col min="6486" max="6701" width="9.83203125" style="799"/>
    <col min="6702" max="6702" width="6.6640625" style="799" customWidth="1"/>
    <col min="6703" max="6703" width="8.83203125" style="799" customWidth="1"/>
    <col min="6704" max="6704" width="54.6640625" style="799" customWidth="1"/>
    <col min="6705" max="6705" width="55.33203125" style="799" customWidth="1"/>
    <col min="6706" max="6706" width="14.5" style="799" bestFit="1" customWidth="1"/>
    <col min="6707" max="6707" width="14.83203125" style="799" customWidth="1"/>
    <col min="6708" max="6708" width="4.6640625" style="799" customWidth="1"/>
    <col min="6709" max="6709" width="11.1640625" style="799" customWidth="1"/>
    <col min="6710" max="6710" width="4.83203125" style="799" customWidth="1"/>
    <col min="6711" max="6711" width="15.1640625" style="799" bestFit="1" customWidth="1"/>
    <col min="6712" max="6712" width="4.1640625" style="799" customWidth="1"/>
    <col min="6713" max="6713" width="0" style="799" hidden="1" customWidth="1"/>
    <col min="6714" max="6714" width="29.6640625" style="799" customWidth="1"/>
    <col min="6715" max="6715" width="12.33203125" style="799" bestFit="1" customWidth="1"/>
    <col min="6716" max="6716" width="16.6640625" style="799" bestFit="1" customWidth="1"/>
    <col min="6717" max="6717" width="13.6640625" style="799" bestFit="1" customWidth="1"/>
    <col min="6718" max="6718" width="9.83203125" style="799"/>
    <col min="6719" max="6719" width="16.6640625" style="799" customWidth="1"/>
    <col min="6720" max="6720" width="16.1640625" style="799" bestFit="1" customWidth="1"/>
    <col min="6721" max="6721" width="13.6640625" style="799" customWidth="1"/>
    <col min="6722" max="6722" width="40.83203125" style="799" customWidth="1"/>
    <col min="6723" max="6723" width="16.33203125" style="799" customWidth="1"/>
    <col min="6724" max="6724" width="17.33203125" style="799" customWidth="1"/>
    <col min="6725" max="6725" width="15.33203125" style="799" customWidth="1"/>
    <col min="6726" max="6726" width="13.6640625" style="799" customWidth="1"/>
    <col min="6727" max="6727" width="11.6640625" style="799" customWidth="1"/>
    <col min="6728" max="6728" width="61.33203125" style="799" customWidth="1"/>
    <col min="6729" max="6729" width="37" style="799" customWidth="1"/>
    <col min="6730" max="6730" width="8" style="799" customWidth="1"/>
    <col min="6731" max="6731" width="6.33203125" style="799" customWidth="1"/>
    <col min="6732" max="6733" width="9.83203125" style="799"/>
    <col min="6734" max="6734" width="11.1640625" style="799" customWidth="1"/>
    <col min="6735" max="6735" width="9.83203125" style="799"/>
    <col min="6736" max="6736" width="12" style="799" customWidth="1"/>
    <col min="6737" max="6737" width="14.1640625" style="799" customWidth="1"/>
    <col min="6738" max="6738" width="13.6640625" style="799" customWidth="1"/>
    <col min="6739" max="6739" width="9.83203125" style="799"/>
    <col min="6740" max="6740" width="13" style="799" customWidth="1"/>
    <col min="6741" max="6741" width="26.33203125" style="799" customWidth="1"/>
    <col min="6742" max="6957" width="9.83203125" style="799"/>
    <col min="6958" max="6958" width="6.6640625" style="799" customWidth="1"/>
    <col min="6959" max="6959" width="8.83203125" style="799" customWidth="1"/>
    <col min="6960" max="6960" width="54.6640625" style="799" customWidth="1"/>
    <col min="6961" max="6961" width="55.33203125" style="799" customWidth="1"/>
    <col min="6962" max="6962" width="14.5" style="799" bestFit="1" customWidth="1"/>
    <col min="6963" max="6963" width="14.83203125" style="799" customWidth="1"/>
    <col min="6964" max="6964" width="4.6640625" style="799" customWidth="1"/>
    <col min="6965" max="6965" width="11.1640625" style="799" customWidth="1"/>
    <col min="6966" max="6966" width="4.83203125" style="799" customWidth="1"/>
    <col min="6967" max="6967" width="15.1640625" style="799" bestFit="1" customWidth="1"/>
    <col min="6968" max="6968" width="4.1640625" style="799" customWidth="1"/>
    <col min="6969" max="6969" width="0" style="799" hidden="1" customWidth="1"/>
    <col min="6970" max="6970" width="29.6640625" style="799" customWidth="1"/>
    <col min="6971" max="6971" width="12.33203125" style="799" bestFit="1" customWidth="1"/>
    <col min="6972" max="6972" width="16.6640625" style="799" bestFit="1" customWidth="1"/>
    <col min="6973" max="6973" width="13.6640625" style="799" bestFit="1" customWidth="1"/>
    <col min="6974" max="6974" width="9.83203125" style="799"/>
    <col min="6975" max="6975" width="16.6640625" style="799" customWidth="1"/>
    <col min="6976" max="6976" width="16.1640625" style="799" bestFit="1" customWidth="1"/>
    <col min="6977" max="6977" width="13.6640625" style="799" customWidth="1"/>
    <col min="6978" max="6978" width="40.83203125" style="799" customWidth="1"/>
    <col min="6979" max="6979" width="16.33203125" style="799" customWidth="1"/>
    <col min="6980" max="6980" width="17.33203125" style="799" customWidth="1"/>
    <col min="6981" max="6981" width="15.33203125" style="799" customWidth="1"/>
    <col min="6982" max="6982" width="13.6640625" style="799" customWidth="1"/>
    <col min="6983" max="6983" width="11.6640625" style="799" customWidth="1"/>
    <col min="6984" max="6984" width="61.33203125" style="799" customWidth="1"/>
    <col min="6985" max="6985" width="37" style="799" customWidth="1"/>
    <col min="6986" max="6986" width="8" style="799" customWidth="1"/>
    <col min="6987" max="6987" width="6.33203125" style="799" customWidth="1"/>
    <col min="6988" max="6989" width="9.83203125" style="799"/>
    <col min="6990" max="6990" width="11.1640625" style="799" customWidth="1"/>
    <col min="6991" max="6991" width="9.83203125" style="799"/>
    <col min="6992" max="6992" width="12" style="799" customWidth="1"/>
    <col min="6993" max="6993" width="14.1640625" style="799" customWidth="1"/>
    <col min="6994" max="6994" width="13.6640625" style="799" customWidth="1"/>
    <col min="6995" max="6995" width="9.83203125" style="799"/>
    <col min="6996" max="6996" width="13" style="799" customWidth="1"/>
    <col min="6997" max="6997" width="26.33203125" style="799" customWidth="1"/>
    <col min="6998" max="7213" width="9.83203125" style="799"/>
    <col min="7214" max="7214" width="6.6640625" style="799" customWidth="1"/>
    <col min="7215" max="7215" width="8.83203125" style="799" customWidth="1"/>
    <col min="7216" max="7216" width="54.6640625" style="799" customWidth="1"/>
    <col min="7217" max="7217" width="55.33203125" style="799" customWidth="1"/>
    <col min="7218" max="7218" width="14.5" style="799" bestFit="1" customWidth="1"/>
    <col min="7219" max="7219" width="14.83203125" style="799" customWidth="1"/>
    <col min="7220" max="7220" width="4.6640625" style="799" customWidth="1"/>
    <col min="7221" max="7221" width="11.1640625" style="799" customWidth="1"/>
    <col min="7222" max="7222" width="4.83203125" style="799" customWidth="1"/>
    <col min="7223" max="7223" width="15.1640625" style="799" bestFit="1" customWidth="1"/>
    <col min="7224" max="7224" width="4.1640625" style="799" customWidth="1"/>
    <col min="7225" max="7225" width="0" style="799" hidden="1" customWidth="1"/>
    <col min="7226" max="7226" width="29.6640625" style="799" customWidth="1"/>
    <col min="7227" max="7227" width="12.33203125" style="799" bestFit="1" customWidth="1"/>
    <col min="7228" max="7228" width="16.6640625" style="799" bestFit="1" customWidth="1"/>
    <col min="7229" max="7229" width="13.6640625" style="799" bestFit="1" customWidth="1"/>
    <col min="7230" max="7230" width="9.83203125" style="799"/>
    <col min="7231" max="7231" width="16.6640625" style="799" customWidth="1"/>
    <col min="7232" max="7232" width="16.1640625" style="799" bestFit="1" customWidth="1"/>
    <col min="7233" max="7233" width="13.6640625" style="799" customWidth="1"/>
    <col min="7234" max="7234" width="40.83203125" style="799" customWidth="1"/>
    <col min="7235" max="7235" width="16.33203125" style="799" customWidth="1"/>
    <col min="7236" max="7236" width="17.33203125" style="799" customWidth="1"/>
    <col min="7237" max="7237" width="15.33203125" style="799" customWidth="1"/>
    <col min="7238" max="7238" width="13.6640625" style="799" customWidth="1"/>
    <col min="7239" max="7239" width="11.6640625" style="799" customWidth="1"/>
    <col min="7240" max="7240" width="61.33203125" style="799" customWidth="1"/>
    <col min="7241" max="7241" width="37" style="799" customWidth="1"/>
    <col min="7242" max="7242" width="8" style="799" customWidth="1"/>
    <col min="7243" max="7243" width="6.33203125" style="799" customWidth="1"/>
    <col min="7244" max="7245" width="9.83203125" style="799"/>
    <col min="7246" max="7246" width="11.1640625" style="799" customWidth="1"/>
    <col min="7247" max="7247" width="9.83203125" style="799"/>
    <col min="7248" max="7248" width="12" style="799" customWidth="1"/>
    <col min="7249" max="7249" width="14.1640625" style="799" customWidth="1"/>
    <col min="7250" max="7250" width="13.6640625" style="799" customWidth="1"/>
    <col min="7251" max="7251" width="9.83203125" style="799"/>
    <col min="7252" max="7252" width="13" style="799" customWidth="1"/>
    <col min="7253" max="7253" width="26.33203125" style="799" customWidth="1"/>
    <col min="7254" max="7469" width="9.83203125" style="799"/>
    <col min="7470" max="7470" width="6.6640625" style="799" customWidth="1"/>
    <col min="7471" max="7471" width="8.83203125" style="799" customWidth="1"/>
    <col min="7472" max="7472" width="54.6640625" style="799" customWidth="1"/>
    <col min="7473" max="7473" width="55.33203125" style="799" customWidth="1"/>
    <col min="7474" max="7474" width="14.5" style="799" bestFit="1" customWidth="1"/>
    <col min="7475" max="7475" width="14.83203125" style="799" customWidth="1"/>
    <col min="7476" max="7476" width="4.6640625" style="799" customWidth="1"/>
    <col min="7477" max="7477" width="11.1640625" style="799" customWidth="1"/>
    <col min="7478" max="7478" width="4.83203125" style="799" customWidth="1"/>
    <col min="7479" max="7479" width="15.1640625" style="799" bestFit="1" customWidth="1"/>
    <col min="7480" max="7480" width="4.1640625" style="799" customWidth="1"/>
    <col min="7481" max="7481" width="0" style="799" hidden="1" customWidth="1"/>
    <col min="7482" max="7482" width="29.6640625" style="799" customWidth="1"/>
    <col min="7483" max="7483" width="12.33203125" style="799" bestFit="1" customWidth="1"/>
    <col min="7484" max="7484" width="16.6640625" style="799" bestFit="1" customWidth="1"/>
    <col min="7485" max="7485" width="13.6640625" style="799" bestFit="1" customWidth="1"/>
    <col min="7486" max="7486" width="9.83203125" style="799"/>
    <col min="7487" max="7487" width="16.6640625" style="799" customWidth="1"/>
    <col min="7488" max="7488" width="16.1640625" style="799" bestFit="1" customWidth="1"/>
    <col min="7489" max="7489" width="13.6640625" style="799" customWidth="1"/>
    <col min="7490" max="7490" width="40.83203125" style="799" customWidth="1"/>
    <col min="7491" max="7491" width="16.33203125" style="799" customWidth="1"/>
    <col min="7492" max="7492" width="17.33203125" style="799" customWidth="1"/>
    <col min="7493" max="7493" width="15.33203125" style="799" customWidth="1"/>
    <col min="7494" max="7494" width="13.6640625" style="799" customWidth="1"/>
    <col min="7495" max="7495" width="11.6640625" style="799" customWidth="1"/>
    <col min="7496" max="7496" width="61.33203125" style="799" customWidth="1"/>
    <col min="7497" max="7497" width="37" style="799" customWidth="1"/>
    <col min="7498" max="7498" width="8" style="799" customWidth="1"/>
    <col min="7499" max="7499" width="6.33203125" style="799" customWidth="1"/>
    <col min="7500" max="7501" width="9.83203125" style="799"/>
    <col min="7502" max="7502" width="11.1640625" style="799" customWidth="1"/>
    <col min="7503" max="7503" width="9.83203125" style="799"/>
    <col min="7504" max="7504" width="12" style="799" customWidth="1"/>
    <col min="7505" max="7505" width="14.1640625" style="799" customWidth="1"/>
    <col min="7506" max="7506" width="13.6640625" style="799" customWidth="1"/>
    <col min="7507" max="7507" width="9.83203125" style="799"/>
    <col min="7508" max="7508" width="13" style="799" customWidth="1"/>
    <col min="7509" max="7509" width="26.33203125" style="799" customWidth="1"/>
    <col min="7510" max="7725" width="9.83203125" style="799"/>
    <col min="7726" max="7726" width="6.6640625" style="799" customWidth="1"/>
    <col min="7727" max="7727" width="8.83203125" style="799" customWidth="1"/>
    <col min="7728" max="7728" width="54.6640625" style="799" customWidth="1"/>
    <col min="7729" max="7729" width="55.33203125" style="799" customWidth="1"/>
    <col min="7730" max="7730" width="14.5" style="799" bestFit="1" customWidth="1"/>
    <col min="7731" max="7731" width="14.83203125" style="799" customWidth="1"/>
    <col min="7732" max="7732" width="4.6640625" style="799" customWidth="1"/>
    <col min="7733" max="7733" width="11.1640625" style="799" customWidth="1"/>
    <col min="7734" max="7734" width="4.83203125" style="799" customWidth="1"/>
    <col min="7735" max="7735" width="15.1640625" style="799" bestFit="1" customWidth="1"/>
    <col min="7736" max="7736" width="4.1640625" style="799" customWidth="1"/>
    <col min="7737" max="7737" width="0" style="799" hidden="1" customWidth="1"/>
    <col min="7738" max="7738" width="29.6640625" style="799" customWidth="1"/>
    <col min="7739" max="7739" width="12.33203125" style="799" bestFit="1" customWidth="1"/>
    <col min="7740" max="7740" width="16.6640625" style="799" bestFit="1" customWidth="1"/>
    <col min="7741" max="7741" width="13.6640625" style="799" bestFit="1" customWidth="1"/>
    <col min="7742" max="7742" width="9.83203125" style="799"/>
    <col min="7743" max="7743" width="16.6640625" style="799" customWidth="1"/>
    <col min="7744" max="7744" width="16.1640625" style="799" bestFit="1" customWidth="1"/>
    <col min="7745" max="7745" width="13.6640625" style="799" customWidth="1"/>
    <col min="7746" max="7746" width="40.83203125" style="799" customWidth="1"/>
    <col min="7747" max="7747" width="16.33203125" style="799" customWidth="1"/>
    <col min="7748" max="7748" width="17.33203125" style="799" customWidth="1"/>
    <col min="7749" max="7749" width="15.33203125" style="799" customWidth="1"/>
    <col min="7750" max="7750" width="13.6640625" style="799" customWidth="1"/>
    <col min="7751" max="7751" width="11.6640625" style="799" customWidth="1"/>
    <col min="7752" max="7752" width="61.33203125" style="799" customWidth="1"/>
    <col min="7753" max="7753" width="37" style="799" customWidth="1"/>
    <col min="7754" max="7754" width="8" style="799" customWidth="1"/>
    <col min="7755" max="7755" width="6.33203125" style="799" customWidth="1"/>
    <col min="7756" max="7757" width="9.83203125" style="799"/>
    <col min="7758" max="7758" width="11.1640625" style="799" customWidth="1"/>
    <col min="7759" max="7759" width="9.83203125" style="799"/>
    <col min="7760" max="7760" width="12" style="799" customWidth="1"/>
    <col min="7761" max="7761" width="14.1640625" style="799" customWidth="1"/>
    <col min="7762" max="7762" width="13.6640625" style="799" customWidth="1"/>
    <col min="7763" max="7763" width="9.83203125" style="799"/>
    <col min="7764" max="7764" width="13" style="799" customWidth="1"/>
    <col min="7765" max="7765" width="26.33203125" style="799" customWidth="1"/>
    <col min="7766" max="7981" width="9.83203125" style="799"/>
    <col min="7982" max="7982" width="6.6640625" style="799" customWidth="1"/>
    <col min="7983" max="7983" width="8.83203125" style="799" customWidth="1"/>
    <col min="7984" max="7984" width="54.6640625" style="799" customWidth="1"/>
    <col min="7985" max="7985" width="55.33203125" style="799" customWidth="1"/>
    <col min="7986" max="7986" width="14.5" style="799" bestFit="1" customWidth="1"/>
    <col min="7987" max="7987" width="14.83203125" style="799" customWidth="1"/>
    <col min="7988" max="7988" width="4.6640625" style="799" customWidth="1"/>
    <col min="7989" max="7989" width="11.1640625" style="799" customWidth="1"/>
    <col min="7990" max="7990" width="4.83203125" style="799" customWidth="1"/>
    <col min="7991" max="7991" width="15.1640625" style="799" bestFit="1" customWidth="1"/>
    <col min="7992" max="7992" width="4.1640625" style="799" customWidth="1"/>
    <col min="7993" max="7993" width="0" style="799" hidden="1" customWidth="1"/>
    <col min="7994" max="7994" width="29.6640625" style="799" customWidth="1"/>
    <col min="7995" max="7995" width="12.33203125" style="799" bestFit="1" customWidth="1"/>
    <col min="7996" max="7996" width="16.6640625" style="799" bestFit="1" customWidth="1"/>
    <col min="7997" max="7997" width="13.6640625" style="799" bestFit="1" customWidth="1"/>
    <col min="7998" max="7998" width="9.83203125" style="799"/>
    <col min="7999" max="7999" width="16.6640625" style="799" customWidth="1"/>
    <col min="8000" max="8000" width="16.1640625" style="799" bestFit="1" customWidth="1"/>
    <col min="8001" max="8001" width="13.6640625" style="799" customWidth="1"/>
    <col min="8002" max="8002" width="40.83203125" style="799" customWidth="1"/>
    <col min="8003" max="8003" width="16.33203125" style="799" customWidth="1"/>
    <col min="8004" max="8004" width="17.33203125" style="799" customWidth="1"/>
    <col min="8005" max="8005" width="15.33203125" style="799" customWidth="1"/>
    <col min="8006" max="8006" width="13.6640625" style="799" customWidth="1"/>
    <col min="8007" max="8007" width="11.6640625" style="799" customWidth="1"/>
    <col min="8008" max="8008" width="61.33203125" style="799" customWidth="1"/>
    <col min="8009" max="8009" width="37" style="799" customWidth="1"/>
    <col min="8010" max="8010" width="8" style="799" customWidth="1"/>
    <col min="8011" max="8011" width="6.33203125" style="799" customWidth="1"/>
    <col min="8012" max="8013" width="9.83203125" style="799"/>
    <col min="8014" max="8014" width="11.1640625" style="799" customWidth="1"/>
    <col min="8015" max="8015" width="9.83203125" style="799"/>
    <col min="8016" max="8016" width="12" style="799" customWidth="1"/>
    <col min="8017" max="8017" width="14.1640625" style="799" customWidth="1"/>
    <col min="8018" max="8018" width="13.6640625" style="799" customWidth="1"/>
    <col min="8019" max="8019" width="9.83203125" style="799"/>
    <col min="8020" max="8020" width="13" style="799" customWidth="1"/>
    <col min="8021" max="8021" width="26.33203125" style="799" customWidth="1"/>
    <col min="8022" max="8237" width="9.83203125" style="799"/>
    <col min="8238" max="8238" width="6.6640625" style="799" customWidth="1"/>
    <col min="8239" max="8239" width="8.83203125" style="799" customWidth="1"/>
    <col min="8240" max="8240" width="54.6640625" style="799" customWidth="1"/>
    <col min="8241" max="8241" width="55.33203125" style="799" customWidth="1"/>
    <col min="8242" max="8242" width="14.5" style="799" bestFit="1" customWidth="1"/>
    <col min="8243" max="8243" width="14.83203125" style="799" customWidth="1"/>
    <col min="8244" max="8244" width="4.6640625" style="799" customWidth="1"/>
    <col min="8245" max="8245" width="11.1640625" style="799" customWidth="1"/>
    <col min="8246" max="8246" width="4.83203125" style="799" customWidth="1"/>
    <col min="8247" max="8247" width="15.1640625" style="799" bestFit="1" customWidth="1"/>
    <col min="8248" max="8248" width="4.1640625" style="799" customWidth="1"/>
    <col min="8249" max="8249" width="0" style="799" hidden="1" customWidth="1"/>
    <col min="8250" max="8250" width="29.6640625" style="799" customWidth="1"/>
    <col min="8251" max="8251" width="12.33203125" style="799" bestFit="1" customWidth="1"/>
    <col min="8252" max="8252" width="16.6640625" style="799" bestFit="1" customWidth="1"/>
    <col min="8253" max="8253" width="13.6640625" style="799" bestFit="1" customWidth="1"/>
    <col min="8254" max="8254" width="9.83203125" style="799"/>
    <col min="8255" max="8255" width="16.6640625" style="799" customWidth="1"/>
    <col min="8256" max="8256" width="16.1640625" style="799" bestFit="1" customWidth="1"/>
    <col min="8257" max="8257" width="13.6640625" style="799" customWidth="1"/>
    <col min="8258" max="8258" width="40.83203125" style="799" customWidth="1"/>
    <col min="8259" max="8259" width="16.33203125" style="799" customWidth="1"/>
    <col min="8260" max="8260" width="17.33203125" style="799" customWidth="1"/>
    <col min="8261" max="8261" width="15.33203125" style="799" customWidth="1"/>
    <col min="8262" max="8262" width="13.6640625" style="799" customWidth="1"/>
    <col min="8263" max="8263" width="11.6640625" style="799" customWidth="1"/>
    <col min="8264" max="8264" width="61.33203125" style="799" customWidth="1"/>
    <col min="8265" max="8265" width="37" style="799" customWidth="1"/>
    <col min="8266" max="8266" width="8" style="799" customWidth="1"/>
    <col min="8267" max="8267" width="6.33203125" style="799" customWidth="1"/>
    <col min="8268" max="8269" width="9.83203125" style="799"/>
    <col min="8270" max="8270" width="11.1640625" style="799" customWidth="1"/>
    <col min="8271" max="8271" width="9.83203125" style="799"/>
    <col min="8272" max="8272" width="12" style="799" customWidth="1"/>
    <col min="8273" max="8273" width="14.1640625" style="799" customWidth="1"/>
    <col min="8274" max="8274" width="13.6640625" style="799" customWidth="1"/>
    <col min="8275" max="8275" width="9.83203125" style="799"/>
    <col min="8276" max="8276" width="13" style="799" customWidth="1"/>
    <col min="8277" max="8277" width="26.33203125" style="799" customWidth="1"/>
    <col min="8278" max="8493" width="9.83203125" style="799"/>
    <col min="8494" max="8494" width="6.6640625" style="799" customWidth="1"/>
    <col min="8495" max="8495" width="8.83203125" style="799" customWidth="1"/>
    <col min="8496" max="8496" width="54.6640625" style="799" customWidth="1"/>
    <col min="8497" max="8497" width="55.33203125" style="799" customWidth="1"/>
    <col min="8498" max="8498" width="14.5" style="799" bestFit="1" customWidth="1"/>
    <col min="8499" max="8499" width="14.83203125" style="799" customWidth="1"/>
    <col min="8500" max="8500" width="4.6640625" style="799" customWidth="1"/>
    <col min="8501" max="8501" width="11.1640625" style="799" customWidth="1"/>
    <col min="8502" max="8502" width="4.83203125" style="799" customWidth="1"/>
    <col min="8503" max="8503" width="15.1640625" style="799" bestFit="1" customWidth="1"/>
    <col min="8504" max="8504" width="4.1640625" style="799" customWidth="1"/>
    <col min="8505" max="8505" width="0" style="799" hidden="1" customWidth="1"/>
    <col min="8506" max="8506" width="29.6640625" style="799" customWidth="1"/>
    <col min="8507" max="8507" width="12.33203125" style="799" bestFit="1" customWidth="1"/>
    <col min="8508" max="8508" width="16.6640625" style="799" bestFit="1" customWidth="1"/>
    <col min="8509" max="8509" width="13.6640625" style="799" bestFit="1" customWidth="1"/>
    <col min="8510" max="8510" width="9.83203125" style="799"/>
    <col min="8511" max="8511" width="16.6640625" style="799" customWidth="1"/>
    <col min="8512" max="8512" width="16.1640625" style="799" bestFit="1" customWidth="1"/>
    <col min="8513" max="8513" width="13.6640625" style="799" customWidth="1"/>
    <col min="8514" max="8514" width="40.83203125" style="799" customWidth="1"/>
    <col min="8515" max="8515" width="16.33203125" style="799" customWidth="1"/>
    <col min="8516" max="8516" width="17.33203125" style="799" customWidth="1"/>
    <col min="8517" max="8517" width="15.33203125" style="799" customWidth="1"/>
    <col min="8518" max="8518" width="13.6640625" style="799" customWidth="1"/>
    <col min="8519" max="8519" width="11.6640625" style="799" customWidth="1"/>
    <col min="8520" max="8520" width="61.33203125" style="799" customWidth="1"/>
    <col min="8521" max="8521" width="37" style="799" customWidth="1"/>
    <col min="8522" max="8522" width="8" style="799" customWidth="1"/>
    <col min="8523" max="8523" width="6.33203125" style="799" customWidth="1"/>
    <col min="8524" max="8525" width="9.83203125" style="799"/>
    <col min="8526" max="8526" width="11.1640625" style="799" customWidth="1"/>
    <col min="8527" max="8527" width="9.83203125" style="799"/>
    <col min="8528" max="8528" width="12" style="799" customWidth="1"/>
    <col min="8529" max="8529" width="14.1640625" style="799" customWidth="1"/>
    <col min="8530" max="8530" width="13.6640625" style="799" customWidth="1"/>
    <col min="8531" max="8531" width="9.83203125" style="799"/>
    <col min="8532" max="8532" width="13" style="799" customWidth="1"/>
    <col min="8533" max="8533" width="26.33203125" style="799" customWidth="1"/>
    <col min="8534" max="8749" width="9.83203125" style="799"/>
    <col min="8750" max="8750" width="6.6640625" style="799" customWidth="1"/>
    <col min="8751" max="8751" width="8.83203125" style="799" customWidth="1"/>
    <col min="8752" max="8752" width="54.6640625" style="799" customWidth="1"/>
    <col min="8753" max="8753" width="55.33203125" style="799" customWidth="1"/>
    <col min="8754" max="8754" width="14.5" style="799" bestFit="1" customWidth="1"/>
    <col min="8755" max="8755" width="14.83203125" style="799" customWidth="1"/>
    <col min="8756" max="8756" width="4.6640625" style="799" customWidth="1"/>
    <col min="8757" max="8757" width="11.1640625" style="799" customWidth="1"/>
    <col min="8758" max="8758" width="4.83203125" style="799" customWidth="1"/>
    <col min="8759" max="8759" width="15.1640625" style="799" bestFit="1" customWidth="1"/>
    <col min="8760" max="8760" width="4.1640625" style="799" customWidth="1"/>
    <col min="8761" max="8761" width="0" style="799" hidden="1" customWidth="1"/>
    <col min="8762" max="8762" width="29.6640625" style="799" customWidth="1"/>
    <col min="8763" max="8763" width="12.33203125" style="799" bestFit="1" customWidth="1"/>
    <col min="8764" max="8764" width="16.6640625" style="799" bestFit="1" customWidth="1"/>
    <col min="8765" max="8765" width="13.6640625" style="799" bestFit="1" customWidth="1"/>
    <col min="8766" max="8766" width="9.83203125" style="799"/>
    <col min="8767" max="8767" width="16.6640625" style="799" customWidth="1"/>
    <col min="8768" max="8768" width="16.1640625" style="799" bestFit="1" customWidth="1"/>
    <col min="8769" max="8769" width="13.6640625" style="799" customWidth="1"/>
    <col min="8770" max="8770" width="40.83203125" style="799" customWidth="1"/>
    <col min="8771" max="8771" width="16.33203125" style="799" customWidth="1"/>
    <col min="8772" max="8772" width="17.33203125" style="799" customWidth="1"/>
    <col min="8773" max="8773" width="15.33203125" style="799" customWidth="1"/>
    <col min="8774" max="8774" width="13.6640625" style="799" customWidth="1"/>
    <col min="8775" max="8775" width="11.6640625" style="799" customWidth="1"/>
    <col min="8776" max="8776" width="61.33203125" style="799" customWidth="1"/>
    <col min="8777" max="8777" width="37" style="799" customWidth="1"/>
    <col min="8778" max="8778" width="8" style="799" customWidth="1"/>
    <col min="8779" max="8779" width="6.33203125" style="799" customWidth="1"/>
    <col min="8780" max="8781" width="9.83203125" style="799"/>
    <col min="8782" max="8782" width="11.1640625" style="799" customWidth="1"/>
    <col min="8783" max="8783" width="9.83203125" style="799"/>
    <col min="8784" max="8784" width="12" style="799" customWidth="1"/>
    <col min="8785" max="8785" width="14.1640625" style="799" customWidth="1"/>
    <col min="8786" max="8786" width="13.6640625" style="799" customWidth="1"/>
    <col min="8787" max="8787" width="9.83203125" style="799"/>
    <col min="8788" max="8788" width="13" style="799" customWidth="1"/>
    <col min="8789" max="8789" width="26.33203125" style="799" customWidth="1"/>
    <col min="8790" max="9005" width="9.83203125" style="799"/>
    <col min="9006" max="9006" width="6.6640625" style="799" customWidth="1"/>
    <col min="9007" max="9007" width="8.83203125" style="799" customWidth="1"/>
    <col min="9008" max="9008" width="54.6640625" style="799" customWidth="1"/>
    <col min="9009" max="9009" width="55.33203125" style="799" customWidth="1"/>
    <col min="9010" max="9010" width="14.5" style="799" bestFit="1" customWidth="1"/>
    <col min="9011" max="9011" width="14.83203125" style="799" customWidth="1"/>
    <col min="9012" max="9012" width="4.6640625" style="799" customWidth="1"/>
    <col min="9013" max="9013" width="11.1640625" style="799" customWidth="1"/>
    <col min="9014" max="9014" width="4.83203125" style="799" customWidth="1"/>
    <col min="9015" max="9015" width="15.1640625" style="799" bestFit="1" customWidth="1"/>
    <col min="9016" max="9016" width="4.1640625" style="799" customWidth="1"/>
    <col min="9017" max="9017" width="0" style="799" hidden="1" customWidth="1"/>
    <col min="9018" max="9018" width="29.6640625" style="799" customWidth="1"/>
    <col min="9019" max="9019" width="12.33203125" style="799" bestFit="1" customWidth="1"/>
    <col min="9020" max="9020" width="16.6640625" style="799" bestFit="1" customWidth="1"/>
    <col min="9021" max="9021" width="13.6640625" style="799" bestFit="1" customWidth="1"/>
    <col min="9022" max="9022" width="9.83203125" style="799"/>
    <col min="9023" max="9023" width="16.6640625" style="799" customWidth="1"/>
    <col min="9024" max="9024" width="16.1640625" style="799" bestFit="1" customWidth="1"/>
    <col min="9025" max="9025" width="13.6640625" style="799" customWidth="1"/>
    <col min="9026" max="9026" width="40.83203125" style="799" customWidth="1"/>
    <col min="9027" max="9027" width="16.33203125" style="799" customWidth="1"/>
    <col min="9028" max="9028" width="17.33203125" style="799" customWidth="1"/>
    <col min="9029" max="9029" width="15.33203125" style="799" customWidth="1"/>
    <col min="9030" max="9030" width="13.6640625" style="799" customWidth="1"/>
    <col min="9031" max="9031" width="11.6640625" style="799" customWidth="1"/>
    <col min="9032" max="9032" width="61.33203125" style="799" customWidth="1"/>
    <col min="9033" max="9033" width="37" style="799" customWidth="1"/>
    <col min="9034" max="9034" width="8" style="799" customWidth="1"/>
    <col min="9035" max="9035" width="6.33203125" style="799" customWidth="1"/>
    <col min="9036" max="9037" width="9.83203125" style="799"/>
    <col min="9038" max="9038" width="11.1640625" style="799" customWidth="1"/>
    <col min="9039" max="9039" width="9.83203125" style="799"/>
    <col min="9040" max="9040" width="12" style="799" customWidth="1"/>
    <col min="9041" max="9041" width="14.1640625" style="799" customWidth="1"/>
    <col min="9042" max="9042" width="13.6640625" style="799" customWidth="1"/>
    <col min="9043" max="9043" width="9.83203125" style="799"/>
    <col min="9044" max="9044" width="13" style="799" customWidth="1"/>
    <col min="9045" max="9045" width="26.33203125" style="799" customWidth="1"/>
    <col min="9046" max="9261" width="9.83203125" style="799"/>
    <col min="9262" max="9262" width="6.6640625" style="799" customWidth="1"/>
    <col min="9263" max="9263" width="8.83203125" style="799" customWidth="1"/>
    <col min="9264" max="9264" width="54.6640625" style="799" customWidth="1"/>
    <col min="9265" max="9265" width="55.33203125" style="799" customWidth="1"/>
    <col min="9266" max="9266" width="14.5" style="799" bestFit="1" customWidth="1"/>
    <col min="9267" max="9267" width="14.83203125" style="799" customWidth="1"/>
    <col min="9268" max="9268" width="4.6640625" style="799" customWidth="1"/>
    <col min="9269" max="9269" width="11.1640625" style="799" customWidth="1"/>
    <col min="9270" max="9270" width="4.83203125" style="799" customWidth="1"/>
    <col min="9271" max="9271" width="15.1640625" style="799" bestFit="1" customWidth="1"/>
    <col min="9272" max="9272" width="4.1640625" style="799" customWidth="1"/>
    <col min="9273" max="9273" width="0" style="799" hidden="1" customWidth="1"/>
    <col min="9274" max="9274" width="29.6640625" style="799" customWidth="1"/>
    <col min="9275" max="9275" width="12.33203125" style="799" bestFit="1" customWidth="1"/>
    <col min="9276" max="9276" width="16.6640625" style="799" bestFit="1" customWidth="1"/>
    <col min="9277" max="9277" width="13.6640625" style="799" bestFit="1" customWidth="1"/>
    <col min="9278" max="9278" width="9.83203125" style="799"/>
    <col min="9279" max="9279" width="16.6640625" style="799" customWidth="1"/>
    <col min="9280" max="9280" width="16.1640625" style="799" bestFit="1" customWidth="1"/>
    <col min="9281" max="9281" width="13.6640625" style="799" customWidth="1"/>
    <col min="9282" max="9282" width="40.83203125" style="799" customWidth="1"/>
    <col min="9283" max="9283" width="16.33203125" style="799" customWidth="1"/>
    <col min="9284" max="9284" width="17.33203125" style="799" customWidth="1"/>
    <col min="9285" max="9285" width="15.33203125" style="799" customWidth="1"/>
    <col min="9286" max="9286" width="13.6640625" style="799" customWidth="1"/>
    <col min="9287" max="9287" width="11.6640625" style="799" customWidth="1"/>
    <col min="9288" max="9288" width="61.33203125" style="799" customWidth="1"/>
    <col min="9289" max="9289" width="37" style="799" customWidth="1"/>
    <col min="9290" max="9290" width="8" style="799" customWidth="1"/>
    <col min="9291" max="9291" width="6.33203125" style="799" customWidth="1"/>
    <col min="9292" max="9293" width="9.83203125" style="799"/>
    <col min="9294" max="9294" width="11.1640625" style="799" customWidth="1"/>
    <col min="9295" max="9295" width="9.83203125" style="799"/>
    <col min="9296" max="9296" width="12" style="799" customWidth="1"/>
    <col min="9297" max="9297" width="14.1640625" style="799" customWidth="1"/>
    <col min="9298" max="9298" width="13.6640625" style="799" customWidth="1"/>
    <col min="9299" max="9299" width="9.83203125" style="799"/>
    <col min="9300" max="9300" width="13" style="799" customWidth="1"/>
    <col min="9301" max="9301" width="26.33203125" style="799" customWidth="1"/>
    <col min="9302" max="9517" width="9.83203125" style="799"/>
    <col min="9518" max="9518" width="6.6640625" style="799" customWidth="1"/>
    <col min="9519" max="9519" width="8.83203125" style="799" customWidth="1"/>
    <col min="9520" max="9520" width="54.6640625" style="799" customWidth="1"/>
    <col min="9521" max="9521" width="55.33203125" style="799" customWidth="1"/>
    <col min="9522" max="9522" width="14.5" style="799" bestFit="1" customWidth="1"/>
    <col min="9523" max="9523" width="14.83203125" style="799" customWidth="1"/>
    <col min="9524" max="9524" width="4.6640625" style="799" customWidth="1"/>
    <col min="9525" max="9525" width="11.1640625" style="799" customWidth="1"/>
    <col min="9526" max="9526" width="4.83203125" style="799" customWidth="1"/>
    <col min="9527" max="9527" width="15.1640625" style="799" bestFit="1" customWidth="1"/>
    <col min="9528" max="9528" width="4.1640625" style="799" customWidth="1"/>
    <col min="9529" max="9529" width="0" style="799" hidden="1" customWidth="1"/>
    <col min="9530" max="9530" width="29.6640625" style="799" customWidth="1"/>
    <col min="9531" max="9531" width="12.33203125" style="799" bestFit="1" customWidth="1"/>
    <col min="9532" max="9532" width="16.6640625" style="799" bestFit="1" customWidth="1"/>
    <col min="9533" max="9533" width="13.6640625" style="799" bestFit="1" customWidth="1"/>
    <col min="9534" max="9534" width="9.83203125" style="799"/>
    <col min="9535" max="9535" width="16.6640625" style="799" customWidth="1"/>
    <col min="9536" max="9536" width="16.1640625" style="799" bestFit="1" customWidth="1"/>
    <col min="9537" max="9537" width="13.6640625" style="799" customWidth="1"/>
    <col min="9538" max="9538" width="40.83203125" style="799" customWidth="1"/>
    <col min="9539" max="9539" width="16.33203125" style="799" customWidth="1"/>
    <col min="9540" max="9540" width="17.33203125" style="799" customWidth="1"/>
    <col min="9541" max="9541" width="15.33203125" style="799" customWidth="1"/>
    <col min="9542" max="9542" width="13.6640625" style="799" customWidth="1"/>
    <col min="9543" max="9543" width="11.6640625" style="799" customWidth="1"/>
    <col min="9544" max="9544" width="61.33203125" style="799" customWidth="1"/>
    <col min="9545" max="9545" width="37" style="799" customWidth="1"/>
    <col min="9546" max="9546" width="8" style="799" customWidth="1"/>
    <col min="9547" max="9547" width="6.33203125" style="799" customWidth="1"/>
    <col min="9548" max="9549" width="9.83203125" style="799"/>
    <col min="9550" max="9550" width="11.1640625" style="799" customWidth="1"/>
    <col min="9551" max="9551" width="9.83203125" style="799"/>
    <col min="9552" max="9552" width="12" style="799" customWidth="1"/>
    <col min="9553" max="9553" width="14.1640625" style="799" customWidth="1"/>
    <col min="9554" max="9554" width="13.6640625" style="799" customWidth="1"/>
    <col min="9555" max="9555" width="9.83203125" style="799"/>
    <col min="9556" max="9556" width="13" style="799" customWidth="1"/>
    <col min="9557" max="9557" width="26.33203125" style="799" customWidth="1"/>
    <col min="9558" max="9773" width="9.83203125" style="799"/>
    <col min="9774" max="9774" width="6.6640625" style="799" customWidth="1"/>
    <col min="9775" max="9775" width="8.83203125" style="799" customWidth="1"/>
    <col min="9776" max="9776" width="54.6640625" style="799" customWidth="1"/>
    <col min="9777" max="9777" width="55.33203125" style="799" customWidth="1"/>
    <col min="9778" max="9778" width="14.5" style="799" bestFit="1" customWidth="1"/>
    <col min="9779" max="9779" width="14.83203125" style="799" customWidth="1"/>
    <col min="9780" max="9780" width="4.6640625" style="799" customWidth="1"/>
    <col min="9781" max="9781" width="11.1640625" style="799" customWidth="1"/>
    <col min="9782" max="9782" width="4.83203125" style="799" customWidth="1"/>
    <col min="9783" max="9783" width="15.1640625" style="799" bestFit="1" customWidth="1"/>
    <col min="9784" max="9784" width="4.1640625" style="799" customWidth="1"/>
    <col min="9785" max="9785" width="0" style="799" hidden="1" customWidth="1"/>
    <col min="9786" max="9786" width="29.6640625" style="799" customWidth="1"/>
    <col min="9787" max="9787" width="12.33203125" style="799" bestFit="1" customWidth="1"/>
    <col min="9788" max="9788" width="16.6640625" style="799" bestFit="1" customWidth="1"/>
    <col min="9789" max="9789" width="13.6640625" style="799" bestFit="1" customWidth="1"/>
    <col min="9790" max="9790" width="9.83203125" style="799"/>
    <col min="9791" max="9791" width="16.6640625" style="799" customWidth="1"/>
    <col min="9792" max="9792" width="16.1640625" style="799" bestFit="1" customWidth="1"/>
    <col min="9793" max="9793" width="13.6640625" style="799" customWidth="1"/>
    <col min="9794" max="9794" width="40.83203125" style="799" customWidth="1"/>
    <col min="9795" max="9795" width="16.33203125" style="799" customWidth="1"/>
    <col min="9796" max="9796" width="17.33203125" style="799" customWidth="1"/>
    <col min="9797" max="9797" width="15.33203125" style="799" customWidth="1"/>
    <col min="9798" max="9798" width="13.6640625" style="799" customWidth="1"/>
    <col min="9799" max="9799" width="11.6640625" style="799" customWidth="1"/>
    <col min="9800" max="9800" width="61.33203125" style="799" customWidth="1"/>
    <col min="9801" max="9801" width="37" style="799" customWidth="1"/>
    <col min="9802" max="9802" width="8" style="799" customWidth="1"/>
    <col min="9803" max="9803" width="6.33203125" style="799" customWidth="1"/>
    <col min="9804" max="9805" width="9.83203125" style="799"/>
    <col min="9806" max="9806" width="11.1640625" style="799" customWidth="1"/>
    <col min="9807" max="9807" width="9.83203125" style="799"/>
    <col min="9808" max="9808" width="12" style="799" customWidth="1"/>
    <col min="9809" max="9809" width="14.1640625" style="799" customWidth="1"/>
    <col min="9810" max="9810" width="13.6640625" style="799" customWidth="1"/>
    <col min="9811" max="9811" width="9.83203125" style="799"/>
    <col min="9812" max="9812" width="13" style="799" customWidth="1"/>
    <col min="9813" max="9813" width="26.33203125" style="799" customWidth="1"/>
    <col min="9814" max="10029" width="9.83203125" style="799"/>
    <col min="10030" max="10030" width="6.6640625" style="799" customWidth="1"/>
    <col min="10031" max="10031" width="8.83203125" style="799" customWidth="1"/>
    <col min="10032" max="10032" width="54.6640625" style="799" customWidth="1"/>
    <col min="10033" max="10033" width="55.33203125" style="799" customWidth="1"/>
    <col min="10034" max="10034" width="14.5" style="799" bestFit="1" customWidth="1"/>
    <col min="10035" max="10035" width="14.83203125" style="799" customWidth="1"/>
    <col min="10036" max="10036" width="4.6640625" style="799" customWidth="1"/>
    <col min="10037" max="10037" width="11.1640625" style="799" customWidth="1"/>
    <col min="10038" max="10038" width="4.83203125" style="799" customWidth="1"/>
    <col min="10039" max="10039" width="15.1640625" style="799" bestFit="1" customWidth="1"/>
    <col min="10040" max="10040" width="4.1640625" style="799" customWidth="1"/>
    <col min="10041" max="10041" width="0" style="799" hidden="1" customWidth="1"/>
    <col min="10042" max="10042" width="29.6640625" style="799" customWidth="1"/>
    <col min="10043" max="10043" width="12.33203125" style="799" bestFit="1" customWidth="1"/>
    <col min="10044" max="10044" width="16.6640625" style="799" bestFit="1" customWidth="1"/>
    <col min="10045" max="10045" width="13.6640625" style="799" bestFit="1" customWidth="1"/>
    <col min="10046" max="10046" width="9.83203125" style="799"/>
    <col min="10047" max="10047" width="16.6640625" style="799" customWidth="1"/>
    <col min="10048" max="10048" width="16.1640625" style="799" bestFit="1" customWidth="1"/>
    <col min="10049" max="10049" width="13.6640625" style="799" customWidth="1"/>
    <col min="10050" max="10050" width="40.83203125" style="799" customWidth="1"/>
    <col min="10051" max="10051" width="16.33203125" style="799" customWidth="1"/>
    <col min="10052" max="10052" width="17.33203125" style="799" customWidth="1"/>
    <col min="10053" max="10053" width="15.33203125" style="799" customWidth="1"/>
    <col min="10054" max="10054" width="13.6640625" style="799" customWidth="1"/>
    <col min="10055" max="10055" width="11.6640625" style="799" customWidth="1"/>
    <col min="10056" max="10056" width="61.33203125" style="799" customWidth="1"/>
    <col min="10057" max="10057" width="37" style="799" customWidth="1"/>
    <col min="10058" max="10058" width="8" style="799" customWidth="1"/>
    <col min="10059" max="10059" width="6.33203125" style="799" customWidth="1"/>
    <col min="10060" max="10061" width="9.83203125" style="799"/>
    <col min="10062" max="10062" width="11.1640625" style="799" customWidth="1"/>
    <col min="10063" max="10063" width="9.83203125" style="799"/>
    <col min="10064" max="10064" width="12" style="799" customWidth="1"/>
    <col min="10065" max="10065" width="14.1640625" style="799" customWidth="1"/>
    <col min="10066" max="10066" width="13.6640625" style="799" customWidth="1"/>
    <col min="10067" max="10067" width="9.83203125" style="799"/>
    <col min="10068" max="10068" width="13" style="799" customWidth="1"/>
    <col min="10069" max="10069" width="26.33203125" style="799" customWidth="1"/>
    <col min="10070" max="10285" width="9.83203125" style="799"/>
    <col min="10286" max="10286" width="6.6640625" style="799" customWidth="1"/>
    <col min="10287" max="10287" width="8.83203125" style="799" customWidth="1"/>
    <col min="10288" max="10288" width="54.6640625" style="799" customWidth="1"/>
    <col min="10289" max="10289" width="55.33203125" style="799" customWidth="1"/>
    <col min="10290" max="10290" width="14.5" style="799" bestFit="1" customWidth="1"/>
    <col min="10291" max="10291" width="14.83203125" style="799" customWidth="1"/>
    <col min="10292" max="10292" width="4.6640625" style="799" customWidth="1"/>
    <col min="10293" max="10293" width="11.1640625" style="799" customWidth="1"/>
    <col min="10294" max="10294" width="4.83203125" style="799" customWidth="1"/>
    <col min="10295" max="10295" width="15.1640625" style="799" bestFit="1" customWidth="1"/>
    <col min="10296" max="10296" width="4.1640625" style="799" customWidth="1"/>
    <col min="10297" max="10297" width="0" style="799" hidden="1" customWidth="1"/>
    <col min="10298" max="10298" width="29.6640625" style="799" customWidth="1"/>
    <col min="10299" max="10299" width="12.33203125" style="799" bestFit="1" customWidth="1"/>
    <col min="10300" max="10300" width="16.6640625" style="799" bestFit="1" customWidth="1"/>
    <col min="10301" max="10301" width="13.6640625" style="799" bestFit="1" customWidth="1"/>
    <col min="10302" max="10302" width="9.83203125" style="799"/>
    <col min="10303" max="10303" width="16.6640625" style="799" customWidth="1"/>
    <col min="10304" max="10304" width="16.1640625" style="799" bestFit="1" customWidth="1"/>
    <col min="10305" max="10305" width="13.6640625" style="799" customWidth="1"/>
    <col min="10306" max="10306" width="40.83203125" style="799" customWidth="1"/>
    <col min="10307" max="10307" width="16.33203125" style="799" customWidth="1"/>
    <col min="10308" max="10308" width="17.33203125" style="799" customWidth="1"/>
    <col min="10309" max="10309" width="15.33203125" style="799" customWidth="1"/>
    <col min="10310" max="10310" width="13.6640625" style="799" customWidth="1"/>
    <col min="10311" max="10311" width="11.6640625" style="799" customWidth="1"/>
    <col min="10312" max="10312" width="61.33203125" style="799" customWidth="1"/>
    <col min="10313" max="10313" width="37" style="799" customWidth="1"/>
    <col min="10314" max="10314" width="8" style="799" customWidth="1"/>
    <col min="10315" max="10315" width="6.33203125" style="799" customWidth="1"/>
    <col min="10316" max="10317" width="9.83203125" style="799"/>
    <col min="10318" max="10318" width="11.1640625" style="799" customWidth="1"/>
    <col min="10319" max="10319" width="9.83203125" style="799"/>
    <col min="10320" max="10320" width="12" style="799" customWidth="1"/>
    <col min="10321" max="10321" width="14.1640625" style="799" customWidth="1"/>
    <col min="10322" max="10322" width="13.6640625" style="799" customWidth="1"/>
    <col min="10323" max="10323" width="9.83203125" style="799"/>
    <col min="10324" max="10324" width="13" style="799" customWidth="1"/>
    <col min="10325" max="10325" width="26.33203125" style="799" customWidth="1"/>
    <col min="10326" max="10541" width="9.83203125" style="799"/>
    <col min="10542" max="10542" width="6.6640625" style="799" customWidth="1"/>
    <col min="10543" max="10543" width="8.83203125" style="799" customWidth="1"/>
    <col min="10544" max="10544" width="54.6640625" style="799" customWidth="1"/>
    <col min="10545" max="10545" width="55.33203125" style="799" customWidth="1"/>
    <col min="10546" max="10546" width="14.5" style="799" bestFit="1" customWidth="1"/>
    <col min="10547" max="10547" width="14.83203125" style="799" customWidth="1"/>
    <col min="10548" max="10548" width="4.6640625" style="799" customWidth="1"/>
    <col min="10549" max="10549" width="11.1640625" style="799" customWidth="1"/>
    <col min="10550" max="10550" width="4.83203125" style="799" customWidth="1"/>
    <col min="10551" max="10551" width="15.1640625" style="799" bestFit="1" customWidth="1"/>
    <col min="10552" max="10552" width="4.1640625" style="799" customWidth="1"/>
    <col min="10553" max="10553" width="0" style="799" hidden="1" customWidth="1"/>
    <col min="10554" max="10554" width="29.6640625" style="799" customWidth="1"/>
    <col min="10555" max="10555" width="12.33203125" style="799" bestFit="1" customWidth="1"/>
    <col min="10556" max="10556" width="16.6640625" style="799" bestFit="1" customWidth="1"/>
    <col min="10557" max="10557" width="13.6640625" style="799" bestFit="1" customWidth="1"/>
    <col min="10558" max="10558" width="9.83203125" style="799"/>
    <col min="10559" max="10559" width="16.6640625" style="799" customWidth="1"/>
    <col min="10560" max="10560" width="16.1640625" style="799" bestFit="1" customWidth="1"/>
    <col min="10561" max="10561" width="13.6640625" style="799" customWidth="1"/>
    <col min="10562" max="10562" width="40.83203125" style="799" customWidth="1"/>
    <col min="10563" max="10563" width="16.33203125" style="799" customWidth="1"/>
    <col min="10564" max="10564" width="17.33203125" style="799" customWidth="1"/>
    <col min="10565" max="10565" width="15.33203125" style="799" customWidth="1"/>
    <col min="10566" max="10566" width="13.6640625" style="799" customWidth="1"/>
    <col min="10567" max="10567" width="11.6640625" style="799" customWidth="1"/>
    <col min="10568" max="10568" width="61.33203125" style="799" customWidth="1"/>
    <col min="10569" max="10569" width="37" style="799" customWidth="1"/>
    <col min="10570" max="10570" width="8" style="799" customWidth="1"/>
    <col min="10571" max="10571" width="6.33203125" style="799" customWidth="1"/>
    <col min="10572" max="10573" width="9.83203125" style="799"/>
    <col min="10574" max="10574" width="11.1640625" style="799" customWidth="1"/>
    <col min="10575" max="10575" width="9.83203125" style="799"/>
    <col min="10576" max="10576" width="12" style="799" customWidth="1"/>
    <col min="10577" max="10577" width="14.1640625" style="799" customWidth="1"/>
    <col min="10578" max="10578" width="13.6640625" style="799" customWidth="1"/>
    <col min="10579" max="10579" width="9.83203125" style="799"/>
    <col min="10580" max="10580" width="13" style="799" customWidth="1"/>
    <col min="10581" max="10581" width="26.33203125" style="799" customWidth="1"/>
    <col min="10582" max="10797" width="9.83203125" style="799"/>
    <col min="10798" max="10798" width="6.6640625" style="799" customWidth="1"/>
    <col min="10799" max="10799" width="8.83203125" style="799" customWidth="1"/>
    <col min="10800" max="10800" width="54.6640625" style="799" customWidth="1"/>
    <col min="10801" max="10801" width="55.33203125" style="799" customWidth="1"/>
    <col min="10802" max="10802" width="14.5" style="799" bestFit="1" customWidth="1"/>
    <col min="10803" max="10803" width="14.83203125" style="799" customWidth="1"/>
    <col min="10804" max="10804" width="4.6640625" style="799" customWidth="1"/>
    <col min="10805" max="10805" width="11.1640625" style="799" customWidth="1"/>
    <col min="10806" max="10806" width="4.83203125" style="799" customWidth="1"/>
    <col min="10807" max="10807" width="15.1640625" style="799" bestFit="1" customWidth="1"/>
    <col min="10808" max="10808" width="4.1640625" style="799" customWidth="1"/>
    <col min="10809" max="10809" width="0" style="799" hidden="1" customWidth="1"/>
    <col min="10810" max="10810" width="29.6640625" style="799" customWidth="1"/>
    <col min="10811" max="10811" width="12.33203125" style="799" bestFit="1" customWidth="1"/>
    <col min="10812" max="10812" width="16.6640625" style="799" bestFit="1" customWidth="1"/>
    <col min="10813" max="10813" width="13.6640625" style="799" bestFit="1" customWidth="1"/>
    <col min="10814" max="10814" width="9.83203125" style="799"/>
    <col min="10815" max="10815" width="16.6640625" style="799" customWidth="1"/>
    <col min="10816" max="10816" width="16.1640625" style="799" bestFit="1" customWidth="1"/>
    <col min="10817" max="10817" width="13.6640625" style="799" customWidth="1"/>
    <col min="10818" max="10818" width="40.83203125" style="799" customWidth="1"/>
    <col min="10819" max="10819" width="16.33203125" style="799" customWidth="1"/>
    <col min="10820" max="10820" width="17.33203125" style="799" customWidth="1"/>
    <col min="10821" max="10821" width="15.33203125" style="799" customWidth="1"/>
    <col min="10822" max="10822" width="13.6640625" style="799" customWidth="1"/>
    <col min="10823" max="10823" width="11.6640625" style="799" customWidth="1"/>
    <col min="10824" max="10824" width="61.33203125" style="799" customWidth="1"/>
    <col min="10825" max="10825" width="37" style="799" customWidth="1"/>
    <col min="10826" max="10826" width="8" style="799" customWidth="1"/>
    <col min="10827" max="10827" width="6.33203125" style="799" customWidth="1"/>
    <col min="10828" max="10829" width="9.83203125" style="799"/>
    <col min="10830" max="10830" width="11.1640625" style="799" customWidth="1"/>
    <col min="10831" max="10831" width="9.83203125" style="799"/>
    <col min="10832" max="10832" width="12" style="799" customWidth="1"/>
    <col min="10833" max="10833" width="14.1640625" style="799" customWidth="1"/>
    <col min="10834" max="10834" width="13.6640625" style="799" customWidth="1"/>
    <col min="10835" max="10835" width="9.83203125" style="799"/>
    <col min="10836" max="10836" width="13" style="799" customWidth="1"/>
    <col min="10837" max="10837" width="26.33203125" style="799" customWidth="1"/>
    <col min="10838" max="11053" width="9.83203125" style="799"/>
    <col min="11054" max="11054" width="6.6640625" style="799" customWidth="1"/>
    <col min="11055" max="11055" width="8.83203125" style="799" customWidth="1"/>
    <col min="11056" max="11056" width="54.6640625" style="799" customWidth="1"/>
    <col min="11057" max="11057" width="55.33203125" style="799" customWidth="1"/>
    <col min="11058" max="11058" width="14.5" style="799" bestFit="1" customWidth="1"/>
    <col min="11059" max="11059" width="14.83203125" style="799" customWidth="1"/>
    <col min="11060" max="11060" width="4.6640625" style="799" customWidth="1"/>
    <col min="11061" max="11061" width="11.1640625" style="799" customWidth="1"/>
    <col min="11062" max="11062" width="4.83203125" style="799" customWidth="1"/>
    <col min="11063" max="11063" width="15.1640625" style="799" bestFit="1" customWidth="1"/>
    <col min="11064" max="11064" width="4.1640625" style="799" customWidth="1"/>
    <col min="11065" max="11065" width="0" style="799" hidden="1" customWidth="1"/>
    <col min="11066" max="11066" width="29.6640625" style="799" customWidth="1"/>
    <col min="11067" max="11067" width="12.33203125" style="799" bestFit="1" customWidth="1"/>
    <col min="11068" max="11068" width="16.6640625" style="799" bestFit="1" customWidth="1"/>
    <col min="11069" max="11069" width="13.6640625" style="799" bestFit="1" customWidth="1"/>
    <col min="11070" max="11070" width="9.83203125" style="799"/>
    <col min="11071" max="11071" width="16.6640625" style="799" customWidth="1"/>
    <col min="11072" max="11072" width="16.1640625" style="799" bestFit="1" customWidth="1"/>
    <col min="11073" max="11073" width="13.6640625" style="799" customWidth="1"/>
    <col min="11074" max="11074" width="40.83203125" style="799" customWidth="1"/>
    <col min="11075" max="11075" width="16.33203125" style="799" customWidth="1"/>
    <col min="11076" max="11076" width="17.33203125" style="799" customWidth="1"/>
    <col min="11077" max="11077" width="15.33203125" style="799" customWidth="1"/>
    <col min="11078" max="11078" width="13.6640625" style="799" customWidth="1"/>
    <col min="11079" max="11079" width="11.6640625" style="799" customWidth="1"/>
    <col min="11080" max="11080" width="61.33203125" style="799" customWidth="1"/>
    <col min="11081" max="11081" width="37" style="799" customWidth="1"/>
    <col min="11082" max="11082" width="8" style="799" customWidth="1"/>
    <col min="11083" max="11083" width="6.33203125" style="799" customWidth="1"/>
    <col min="11084" max="11085" width="9.83203125" style="799"/>
    <col min="11086" max="11086" width="11.1640625" style="799" customWidth="1"/>
    <col min="11087" max="11087" width="9.83203125" style="799"/>
    <col min="11088" max="11088" width="12" style="799" customWidth="1"/>
    <col min="11089" max="11089" width="14.1640625" style="799" customWidth="1"/>
    <col min="11090" max="11090" width="13.6640625" style="799" customWidth="1"/>
    <col min="11091" max="11091" width="9.83203125" style="799"/>
    <col min="11092" max="11092" width="13" style="799" customWidth="1"/>
    <col min="11093" max="11093" width="26.33203125" style="799" customWidth="1"/>
    <col min="11094" max="11309" width="9.83203125" style="799"/>
    <col min="11310" max="11310" width="6.6640625" style="799" customWidth="1"/>
    <col min="11311" max="11311" width="8.83203125" style="799" customWidth="1"/>
    <col min="11312" max="11312" width="54.6640625" style="799" customWidth="1"/>
    <col min="11313" max="11313" width="55.33203125" style="799" customWidth="1"/>
    <col min="11314" max="11314" width="14.5" style="799" bestFit="1" customWidth="1"/>
    <col min="11315" max="11315" width="14.83203125" style="799" customWidth="1"/>
    <col min="11316" max="11316" width="4.6640625" style="799" customWidth="1"/>
    <col min="11317" max="11317" width="11.1640625" style="799" customWidth="1"/>
    <col min="11318" max="11318" width="4.83203125" style="799" customWidth="1"/>
    <col min="11319" max="11319" width="15.1640625" style="799" bestFit="1" customWidth="1"/>
    <col min="11320" max="11320" width="4.1640625" style="799" customWidth="1"/>
    <col min="11321" max="11321" width="0" style="799" hidden="1" customWidth="1"/>
    <col min="11322" max="11322" width="29.6640625" style="799" customWidth="1"/>
    <col min="11323" max="11323" width="12.33203125" style="799" bestFit="1" customWidth="1"/>
    <col min="11324" max="11324" width="16.6640625" style="799" bestFit="1" customWidth="1"/>
    <col min="11325" max="11325" width="13.6640625" style="799" bestFit="1" customWidth="1"/>
    <col min="11326" max="11326" width="9.83203125" style="799"/>
    <col min="11327" max="11327" width="16.6640625" style="799" customWidth="1"/>
    <col min="11328" max="11328" width="16.1640625" style="799" bestFit="1" customWidth="1"/>
    <col min="11329" max="11329" width="13.6640625" style="799" customWidth="1"/>
    <col min="11330" max="11330" width="40.83203125" style="799" customWidth="1"/>
    <col min="11331" max="11331" width="16.33203125" style="799" customWidth="1"/>
    <col min="11332" max="11332" width="17.33203125" style="799" customWidth="1"/>
    <col min="11333" max="11333" width="15.33203125" style="799" customWidth="1"/>
    <col min="11334" max="11334" width="13.6640625" style="799" customWidth="1"/>
    <col min="11335" max="11335" width="11.6640625" style="799" customWidth="1"/>
    <col min="11336" max="11336" width="61.33203125" style="799" customWidth="1"/>
    <col min="11337" max="11337" width="37" style="799" customWidth="1"/>
    <col min="11338" max="11338" width="8" style="799" customWidth="1"/>
    <col min="11339" max="11339" width="6.33203125" style="799" customWidth="1"/>
    <col min="11340" max="11341" width="9.83203125" style="799"/>
    <col min="11342" max="11342" width="11.1640625" style="799" customWidth="1"/>
    <col min="11343" max="11343" width="9.83203125" style="799"/>
    <col min="11344" max="11344" width="12" style="799" customWidth="1"/>
    <col min="11345" max="11345" width="14.1640625" style="799" customWidth="1"/>
    <col min="11346" max="11346" width="13.6640625" style="799" customWidth="1"/>
    <col min="11347" max="11347" width="9.83203125" style="799"/>
    <col min="11348" max="11348" width="13" style="799" customWidth="1"/>
    <col min="11349" max="11349" width="26.33203125" style="799" customWidth="1"/>
    <col min="11350" max="11565" width="9.83203125" style="799"/>
    <col min="11566" max="11566" width="6.6640625" style="799" customWidth="1"/>
    <col min="11567" max="11567" width="8.83203125" style="799" customWidth="1"/>
    <col min="11568" max="11568" width="54.6640625" style="799" customWidth="1"/>
    <col min="11569" max="11569" width="55.33203125" style="799" customWidth="1"/>
    <col min="11570" max="11570" width="14.5" style="799" bestFit="1" customWidth="1"/>
    <col min="11571" max="11571" width="14.83203125" style="799" customWidth="1"/>
    <col min="11572" max="11572" width="4.6640625" style="799" customWidth="1"/>
    <col min="11573" max="11573" width="11.1640625" style="799" customWidth="1"/>
    <col min="11574" max="11574" width="4.83203125" style="799" customWidth="1"/>
    <col min="11575" max="11575" width="15.1640625" style="799" bestFit="1" customWidth="1"/>
    <col min="11576" max="11576" width="4.1640625" style="799" customWidth="1"/>
    <col min="11577" max="11577" width="0" style="799" hidden="1" customWidth="1"/>
    <col min="11578" max="11578" width="29.6640625" style="799" customWidth="1"/>
    <col min="11579" max="11579" width="12.33203125" style="799" bestFit="1" customWidth="1"/>
    <col min="11580" max="11580" width="16.6640625" style="799" bestFit="1" customWidth="1"/>
    <col min="11581" max="11581" width="13.6640625" style="799" bestFit="1" customWidth="1"/>
    <col min="11582" max="11582" width="9.83203125" style="799"/>
    <col min="11583" max="11583" width="16.6640625" style="799" customWidth="1"/>
    <col min="11584" max="11584" width="16.1640625" style="799" bestFit="1" customWidth="1"/>
    <col min="11585" max="11585" width="13.6640625" style="799" customWidth="1"/>
    <col min="11586" max="11586" width="40.83203125" style="799" customWidth="1"/>
    <col min="11587" max="11587" width="16.33203125" style="799" customWidth="1"/>
    <col min="11588" max="11588" width="17.33203125" style="799" customWidth="1"/>
    <col min="11589" max="11589" width="15.33203125" style="799" customWidth="1"/>
    <col min="11590" max="11590" width="13.6640625" style="799" customWidth="1"/>
    <col min="11591" max="11591" width="11.6640625" style="799" customWidth="1"/>
    <col min="11592" max="11592" width="61.33203125" style="799" customWidth="1"/>
    <col min="11593" max="11593" width="37" style="799" customWidth="1"/>
    <col min="11594" max="11594" width="8" style="799" customWidth="1"/>
    <col min="11595" max="11595" width="6.33203125" style="799" customWidth="1"/>
    <col min="11596" max="11597" width="9.83203125" style="799"/>
    <col min="11598" max="11598" width="11.1640625" style="799" customWidth="1"/>
    <col min="11599" max="11599" width="9.83203125" style="799"/>
    <col min="11600" max="11600" width="12" style="799" customWidth="1"/>
    <col min="11601" max="11601" width="14.1640625" style="799" customWidth="1"/>
    <col min="11602" max="11602" width="13.6640625" style="799" customWidth="1"/>
    <col min="11603" max="11603" width="9.83203125" style="799"/>
    <col min="11604" max="11604" width="13" style="799" customWidth="1"/>
    <col min="11605" max="11605" width="26.33203125" style="799" customWidth="1"/>
    <col min="11606" max="11821" width="9.83203125" style="799"/>
    <col min="11822" max="11822" width="6.6640625" style="799" customWidth="1"/>
    <col min="11823" max="11823" width="8.83203125" style="799" customWidth="1"/>
    <col min="11824" max="11824" width="54.6640625" style="799" customWidth="1"/>
    <col min="11825" max="11825" width="55.33203125" style="799" customWidth="1"/>
    <col min="11826" max="11826" width="14.5" style="799" bestFit="1" customWidth="1"/>
    <col min="11827" max="11827" width="14.83203125" style="799" customWidth="1"/>
    <col min="11828" max="11828" width="4.6640625" style="799" customWidth="1"/>
    <col min="11829" max="11829" width="11.1640625" style="799" customWidth="1"/>
    <col min="11830" max="11830" width="4.83203125" style="799" customWidth="1"/>
    <col min="11831" max="11831" width="15.1640625" style="799" bestFit="1" customWidth="1"/>
    <col min="11832" max="11832" width="4.1640625" style="799" customWidth="1"/>
    <col min="11833" max="11833" width="0" style="799" hidden="1" customWidth="1"/>
    <col min="11834" max="11834" width="29.6640625" style="799" customWidth="1"/>
    <col min="11835" max="11835" width="12.33203125" style="799" bestFit="1" customWidth="1"/>
    <col min="11836" max="11836" width="16.6640625" style="799" bestFit="1" customWidth="1"/>
    <col min="11837" max="11837" width="13.6640625" style="799" bestFit="1" customWidth="1"/>
    <col min="11838" max="11838" width="9.83203125" style="799"/>
    <col min="11839" max="11839" width="16.6640625" style="799" customWidth="1"/>
    <col min="11840" max="11840" width="16.1640625" style="799" bestFit="1" customWidth="1"/>
    <col min="11841" max="11841" width="13.6640625" style="799" customWidth="1"/>
    <col min="11842" max="11842" width="40.83203125" style="799" customWidth="1"/>
    <col min="11843" max="11843" width="16.33203125" style="799" customWidth="1"/>
    <col min="11844" max="11844" width="17.33203125" style="799" customWidth="1"/>
    <col min="11845" max="11845" width="15.33203125" style="799" customWidth="1"/>
    <col min="11846" max="11846" width="13.6640625" style="799" customWidth="1"/>
    <col min="11847" max="11847" width="11.6640625" style="799" customWidth="1"/>
    <col min="11848" max="11848" width="61.33203125" style="799" customWidth="1"/>
    <col min="11849" max="11849" width="37" style="799" customWidth="1"/>
    <col min="11850" max="11850" width="8" style="799" customWidth="1"/>
    <col min="11851" max="11851" width="6.33203125" style="799" customWidth="1"/>
    <col min="11852" max="11853" width="9.83203125" style="799"/>
    <col min="11854" max="11854" width="11.1640625" style="799" customWidth="1"/>
    <col min="11855" max="11855" width="9.83203125" style="799"/>
    <col min="11856" max="11856" width="12" style="799" customWidth="1"/>
    <col min="11857" max="11857" width="14.1640625" style="799" customWidth="1"/>
    <col min="11858" max="11858" width="13.6640625" style="799" customWidth="1"/>
    <col min="11859" max="11859" width="9.83203125" style="799"/>
    <col min="11860" max="11860" width="13" style="799" customWidth="1"/>
    <col min="11861" max="11861" width="26.33203125" style="799" customWidth="1"/>
    <col min="11862" max="12077" width="9.83203125" style="799"/>
    <col min="12078" max="12078" width="6.6640625" style="799" customWidth="1"/>
    <col min="12079" max="12079" width="8.83203125" style="799" customWidth="1"/>
    <col min="12080" max="12080" width="54.6640625" style="799" customWidth="1"/>
    <col min="12081" max="12081" width="55.33203125" style="799" customWidth="1"/>
    <col min="12082" max="12082" width="14.5" style="799" bestFit="1" customWidth="1"/>
    <col min="12083" max="12083" width="14.83203125" style="799" customWidth="1"/>
    <col min="12084" max="12084" width="4.6640625" style="799" customWidth="1"/>
    <col min="12085" max="12085" width="11.1640625" style="799" customWidth="1"/>
    <col min="12086" max="12086" width="4.83203125" style="799" customWidth="1"/>
    <col min="12087" max="12087" width="15.1640625" style="799" bestFit="1" customWidth="1"/>
    <col min="12088" max="12088" width="4.1640625" style="799" customWidth="1"/>
    <col min="12089" max="12089" width="0" style="799" hidden="1" customWidth="1"/>
    <col min="12090" max="12090" width="29.6640625" style="799" customWidth="1"/>
    <col min="12091" max="12091" width="12.33203125" style="799" bestFit="1" customWidth="1"/>
    <col min="12092" max="12092" width="16.6640625" style="799" bestFit="1" customWidth="1"/>
    <col min="12093" max="12093" width="13.6640625" style="799" bestFit="1" customWidth="1"/>
    <col min="12094" max="12094" width="9.83203125" style="799"/>
    <col min="12095" max="12095" width="16.6640625" style="799" customWidth="1"/>
    <col min="12096" max="12096" width="16.1640625" style="799" bestFit="1" customWidth="1"/>
    <col min="12097" max="12097" width="13.6640625" style="799" customWidth="1"/>
    <col min="12098" max="12098" width="40.83203125" style="799" customWidth="1"/>
    <col min="12099" max="12099" width="16.33203125" style="799" customWidth="1"/>
    <col min="12100" max="12100" width="17.33203125" style="799" customWidth="1"/>
    <col min="12101" max="12101" width="15.33203125" style="799" customWidth="1"/>
    <col min="12102" max="12102" width="13.6640625" style="799" customWidth="1"/>
    <col min="12103" max="12103" width="11.6640625" style="799" customWidth="1"/>
    <col min="12104" max="12104" width="61.33203125" style="799" customWidth="1"/>
    <col min="12105" max="12105" width="37" style="799" customWidth="1"/>
    <col min="12106" max="12106" width="8" style="799" customWidth="1"/>
    <col min="12107" max="12107" width="6.33203125" style="799" customWidth="1"/>
    <col min="12108" max="12109" width="9.83203125" style="799"/>
    <col min="12110" max="12110" width="11.1640625" style="799" customWidth="1"/>
    <col min="12111" max="12111" width="9.83203125" style="799"/>
    <col min="12112" max="12112" width="12" style="799" customWidth="1"/>
    <col min="12113" max="12113" width="14.1640625" style="799" customWidth="1"/>
    <col min="12114" max="12114" width="13.6640625" style="799" customWidth="1"/>
    <col min="12115" max="12115" width="9.83203125" style="799"/>
    <col min="12116" max="12116" width="13" style="799" customWidth="1"/>
    <col min="12117" max="12117" width="26.33203125" style="799" customWidth="1"/>
    <col min="12118" max="12333" width="9.83203125" style="799"/>
    <col min="12334" max="12334" width="6.6640625" style="799" customWidth="1"/>
    <col min="12335" max="12335" width="8.83203125" style="799" customWidth="1"/>
    <col min="12336" max="12336" width="54.6640625" style="799" customWidth="1"/>
    <col min="12337" max="12337" width="55.33203125" style="799" customWidth="1"/>
    <col min="12338" max="12338" width="14.5" style="799" bestFit="1" customWidth="1"/>
    <col min="12339" max="12339" width="14.83203125" style="799" customWidth="1"/>
    <col min="12340" max="12340" width="4.6640625" style="799" customWidth="1"/>
    <col min="12341" max="12341" width="11.1640625" style="799" customWidth="1"/>
    <col min="12342" max="12342" width="4.83203125" style="799" customWidth="1"/>
    <col min="12343" max="12343" width="15.1640625" style="799" bestFit="1" customWidth="1"/>
    <col min="12344" max="12344" width="4.1640625" style="799" customWidth="1"/>
    <col min="12345" max="12345" width="0" style="799" hidden="1" customWidth="1"/>
    <col min="12346" max="12346" width="29.6640625" style="799" customWidth="1"/>
    <col min="12347" max="12347" width="12.33203125" style="799" bestFit="1" customWidth="1"/>
    <col min="12348" max="12348" width="16.6640625" style="799" bestFit="1" customWidth="1"/>
    <col min="12349" max="12349" width="13.6640625" style="799" bestFit="1" customWidth="1"/>
    <col min="12350" max="12350" width="9.83203125" style="799"/>
    <col min="12351" max="12351" width="16.6640625" style="799" customWidth="1"/>
    <col min="12352" max="12352" width="16.1640625" style="799" bestFit="1" customWidth="1"/>
    <col min="12353" max="12353" width="13.6640625" style="799" customWidth="1"/>
    <col min="12354" max="12354" width="40.83203125" style="799" customWidth="1"/>
    <col min="12355" max="12355" width="16.33203125" style="799" customWidth="1"/>
    <col min="12356" max="12356" width="17.33203125" style="799" customWidth="1"/>
    <col min="12357" max="12357" width="15.33203125" style="799" customWidth="1"/>
    <col min="12358" max="12358" width="13.6640625" style="799" customWidth="1"/>
    <col min="12359" max="12359" width="11.6640625" style="799" customWidth="1"/>
    <col min="12360" max="12360" width="61.33203125" style="799" customWidth="1"/>
    <col min="12361" max="12361" width="37" style="799" customWidth="1"/>
    <col min="12362" max="12362" width="8" style="799" customWidth="1"/>
    <col min="12363" max="12363" width="6.33203125" style="799" customWidth="1"/>
    <col min="12364" max="12365" width="9.83203125" style="799"/>
    <col min="12366" max="12366" width="11.1640625" style="799" customWidth="1"/>
    <col min="12367" max="12367" width="9.83203125" style="799"/>
    <col min="12368" max="12368" width="12" style="799" customWidth="1"/>
    <col min="12369" max="12369" width="14.1640625" style="799" customWidth="1"/>
    <col min="12370" max="12370" width="13.6640625" style="799" customWidth="1"/>
    <col min="12371" max="12371" width="9.83203125" style="799"/>
    <col min="12372" max="12372" width="13" style="799" customWidth="1"/>
    <col min="12373" max="12373" width="26.33203125" style="799" customWidth="1"/>
    <col min="12374" max="12589" width="9.83203125" style="799"/>
    <col min="12590" max="12590" width="6.6640625" style="799" customWidth="1"/>
    <col min="12591" max="12591" width="8.83203125" style="799" customWidth="1"/>
    <col min="12592" max="12592" width="54.6640625" style="799" customWidth="1"/>
    <col min="12593" max="12593" width="55.33203125" style="799" customWidth="1"/>
    <col min="12594" max="12594" width="14.5" style="799" bestFit="1" customWidth="1"/>
    <col min="12595" max="12595" width="14.83203125" style="799" customWidth="1"/>
    <col min="12596" max="12596" width="4.6640625" style="799" customWidth="1"/>
    <col min="12597" max="12597" width="11.1640625" style="799" customWidth="1"/>
    <col min="12598" max="12598" width="4.83203125" style="799" customWidth="1"/>
    <col min="12599" max="12599" width="15.1640625" style="799" bestFit="1" customWidth="1"/>
    <col min="12600" max="12600" width="4.1640625" style="799" customWidth="1"/>
    <col min="12601" max="12601" width="0" style="799" hidden="1" customWidth="1"/>
    <col min="12602" max="12602" width="29.6640625" style="799" customWidth="1"/>
    <col min="12603" max="12603" width="12.33203125" style="799" bestFit="1" customWidth="1"/>
    <col min="12604" max="12604" width="16.6640625" style="799" bestFit="1" customWidth="1"/>
    <col min="12605" max="12605" width="13.6640625" style="799" bestFit="1" customWidth="1"/>
    <col min="12606" max="12606" width="9.83203125" style="799"/>
    <col min="12607" max="12607" width="16.6640625" style="799" customWidth="1"/>
    <col min="12608" max="12608" width="16.1640625" style="799" bestFit="1" customWidth="1"/>
    <col min="12609" max="12609" width="13.6640625" style="799" customWidth="1"/>
    <col min="12610" max="12610" width="40.83203125" style="799" customWidth="1"/>
    <col min="12611" max="12611" width="16.33203125" style="799" customWidth="1"/>
    <col min="12612" max="12612" width="17.33203125" style="799" customWidth="1"/>
    <col min="12613" max="12613" width="15.33203125" style="799" customWidth="1"/>
    <col min="12614" max="12614" width="13.6640625" style="799" customWidth="1"/>
    <col min="12615" max="12615" width="11.6640625" style="799" customWidth="1"/>
    <col min="12616" max="12616" width="61.33203125" style="799" customWidth="1"/>
    <col min="12617" max="12617" width="37" style="799" customWidth="1"/>
    <col min="12618" max="12618" width="8" style="799" customWidth="1"/>
    <col min="12619" max="12619" width="6.33203125" style="799" customWidth="1"/>
    <col min="12620" max="12621" width="9.83203125" style="799"/>
    <col min="12622" max="12622" width="11.1640625" style="799" customWidth="1"/>
    <col min="12623" max="12623" width="9.83203125" style="799"/>
    <col min="12624" max="12624" width="12" style="799" customWidth="1"/>
    <col min="12625" max="12625" width="14.1640625" style="799" customWidth="1"/>
    <col min="12626" max="12626" width="13.6640625" style="799" customWidth="1"/>
    <col min="12627" max="12627" width="9.83203125" style="799"/>
    <col min="12628" max="12628" width="13" style="799" customWidth="1"/>
    <col min="12629" max="12629" width="26.33203125" style="799" customWidth="1"/>
    <col min="12630" max="12845" width="9.83203125" style="799"/>
    <col min="12846" max="12846" width="6.6640625" style="799" customWidth="1"/>
    <col min="12847" max="12847" width="8.83203125" style="799" customWidth="1"/>
    <col min="12848" max="12848" width="54.6640625" style="799" customWidth="1"/>
    <col min="12849" max="12849" width="55.33203125" style="799" customWidth="1"/>
    <col min="12850" max="12850" width="14.5" style="799" bestFit="1" customWidth="1"/>
    <col min="12851" max="12851" width="14.83203125" style="799" customWidth="1"/>
    <col min="12852" max="12852" width="4.6640625" style="799" customWidth="1"/>
    <col min="12853" max="12853" width="11.1640625" style="799" customWidth="1"/>
    <col min="12854" max="12854" width="4.83203125" style="799" customWidth="1"/>
    <col min="12855" max="12855" width="15.1640625" style="799" bestFit="1" customWidth="1"/>
    <col min="12856" max="12856" width="4.1640625" style="799" customWidth="1"/>
    <col min="12857" max="12857" width="0" style="799" hidden="1" customWidth="1"/>
    <col min="12858" max="12858" width="29.6640625" style="799" customWidth="1"/>
    <col min="12859" max="12859" width="12.33203125" style="799" bestFit="1" customWidth="1"/>
    <col min="12860" max="12860" width="16.6640625" style="799" bestFit="1" customWidth="1"/>
    <col min="12861" max="12861" width="13.6640625" style="799" bestFit="1" customWidth="1"/>
    <col min="12862" max="12862" width="9.83203125" style="799"/>
    <col min="12863" max="12863" width="16.6640625" style="799" customWidth="1"/>
    <col min="12864" max="12864" width="16.1640625" style="799" bestFit="1" customWidth="1"/>
    <col min="12865" max="12865" width="13.6640625" style="799" customWidth="1"/>
    <col min="12866" max="12866" width="40.83203125" style="799" customWidth="1"/>
    <col min="12867" max="12867" width="16.33203125" style="799" customWidth="1"/>
    <col min="12868" max="12868" width="17.33203125" style="799" customWidth="1"/>
    <col min="12869" max="12869" width="15.33203125" style="799" customWidth="1"/>
    <col min="12870" max="12870" width="13.6640625" style="799" customWidth="1"/>
    <col min="12871" max="12871" width="11.6640625" style="799" customWidth="1"/>
    <col min="12872" max="12872" width="61.33203125" style="799" customWidth="1"/>
    <col min="12873" max="12873" width="37" style="799" customWidth="1"/>
    <col min="12874" max="12874" width="8" style="799" customWidth="1"/>
    <col min="12875" max="12875" width="6.33203125" style="799" customWidth="1"/>
    <col min="12876" max="12877" width="9.83203125" style="799"/>
    <col min="12878" max="12878" width="11.1640625" style="799" customWidth="1"/>
    <col min="12879" max="12879" width="9.83203125" style="799"/>
    <col min="12880" max="12880" width="12" style="799" customWidth="1"/>
    <col min="12881" max="12881" width="14.1640625" style="799" customWidth="1"/>
    <col min="12882" max="12882" width="13.6640625" style="799" customWidth="1"/>
    <col min="12883" max="12883" width="9.83203125" style="799"/>
    <col min="12884" max="12884" width="13" style="799" customWidth="1"/>
    <col min="12885" max="12885" width="26.33203125" style="799" customWidth="1"/>
    <col min="12886" max="13101" width="9.83203125" style="799"/>
    <col min="13102" max="13102" width="6.6640625" style="799" customWidth="1"/>
    <col min="13103" max="13103" width="8.83203125" style="799" customWidth="1"/>
    <col min="13104" max="13104" width="54.6640625" style="799" customWidth="1"/>
    <col min="13105" max="13105" width="55.33203125" style="799" customWidth="1"/>
    <col min="13106" max="13106" width="14.5" style="799" bestFit="1" customWidth="1"/>
    <col min="13107" max="13107" width="14.83203125" style="799" customWidth="1"/>
    <col min="13108" max="13108" width="4.6640625" style="799" customWidth="1"/>
    <col min="13109" max="13109" width="11.1640625" style="799" customWidth="1"/>
    <col min="13110" max="13110" width="4.83203125" style="799" customWidth="1"/>
    <col min="13111" max="13111" width="15.1640625" style="799" bestFit="1" customWidth="1"/>
    <col min="13112" max="13112" width="4.1640625" style="799" customWidth="1"/>
    <col min="13113" max="13113" width="0" style="799" hidden="1" customWidth="1"/>
    <col min="13114" max="13114" width="29.6640625" style="799" customWidth="1"/>
    <col min="13115" max="13115" width="12.33203125" style="799" bestFit="1" customWidth="1"/>
    <col min="13116" max="13116" width="16.6640625" style="799" bestFit="1" customWidth="1"/>
    <col min="13117" max="13117" width="13.6640625" style="799" bestFit="1" customWidth="1"/>
    <col min="13118" max="13118" width="9.83203125" style="799"/>
    <col min="13119" max="13119" width="16.6640625" style="799" customWidth="1"/>
    <col min="13120" max="13120" width="16.1640625" style="799" bestFit="1" customWidth="1"/>
    <col min="13121" max="13121" width="13.6640625" style="799" customWidth="1"/>
    <col min="13122" max="13122" width="40.83203125" style="799" customWidth="1"/>
    <col min="13123" max="13123" width="16.33203125" style="799" customWidth="1"/>
    <col min="13124" max="13124" width="17.33203125" style="799" customWidth="1"/>
    <col min="13125" max="13125" width="15.33203125" style="799" customWidth="1"/>
    <col min="13126" max="13126" width="13.6640625" style="799" customWidth="1"/>
    <col min="13127" max="13127" width="11.6640625" style="799" customWidth="1"/>
    <col min="13128" max="13128" width="61.33203125" style="799" customWidth="1"/>
    <col min="13129" max="13129" width="37" style="799" customWidth="1"/>
    <col min="13130" max="13130" width="8" style="799" customWidth="1"/>
    <col min="13131" max="13131" width="6.33203125" style="799" customWidth="1"/>
    <col min="13132" max="13133" width="9.83203125" style="799"/>
    <col min="13134" max="13134" width="11.1640625" style="799" customWidth="1"/>
    <col min="13135" max="13135" width="9.83203125" style="799"/>
    <col min="13136" max="13136" width="12" style="799" customWidth="1"/>
    <col min="13137" max="13137" width="14.1640625" style="799" customWidth="1"/>
    <col min="13138" max="13138" width="13.6640625" style="799" customWidth="1"/>
    <col min="13139" max="13139" width="9.83203125" style="799"/>
    <col min="13140" max="13140" width="13" style="799" customWidth="1"/>
    <col min="13141" max="13141" width="26.33203125" style="799" customWidth="1"/>
    <col min="13142" max="13357" width="9.83203125" style="799"/>
    <col min="13358" max="13358" width="6.6640625" style="799" customWidth="1"/>
    <col min="13359" max="13359" width="8.83203125" style="799" customWidth="1"/>
    <col min="13360" max="13360" width="54.6640625" style="799" customWidth="1"/>
    <col min="13361" max="13361" width="55.33203125" style="799" customWidth="1"/>
    <col min="13362" max="13362" width="14.5" style="799" bestFit="1" customWidth="1"/>
    <col min="13363" max="13363" width="14.83203125" style="799" customWidth="1"/>
    <col min="13364" max="13364" width="4.6640625" style="799" customWidth="1"/>
    <col min="13365" max="13365" width="11.1640625" style="799" customWidth="1"/>
    <col min="13366" max="13366" width="4.83203125" style="799" customWidth="1"/>
    <col min="13367" max="13367" width="15.1640625" style="799" bestFit="1" customWidth="1"/>
    <col min="13368" max="13368" width="4.1640625" style="799" customWidth="1"/>
    <col min="13369" max="13369" width="0" style="799" hidden="1" customWidth="1"/>
    <col min="13370" max="13370" width="29.6640625" style="799" customWidth="1"/>
    <col min="13371" max="13371" width="12.33203125" style="799" bestFit="1" customWidth="1"/>
    <col min="13372" max="13372" width="16.6640625" style="799" bestFit="1" customWidth="1"/>
    <col min="13373" max="13373" width="13.6640625" style="799" bestFit="1" customWidth="1"/>
    <col min="13374" max="13374" width="9.83203125" style="799"/>
    <col min="13375" max="13375" width="16.6640625" style="799" customWidth="1"/>
    <col min="13376" max="13376" width="16.1640625" style="799" bestFit="1" customWidth="1"/>
    <col min="13377" max="13377" width="13.6640625" style="799" customWidth="1"/>
    <col min="13378" max="13378" width="40.83203125" style="799" customWidth="1"/>
    <col min="13379" max="13379" width="16.33203125" style="799" customWidth="1"/>
    <col min="13380" max="13380" width="17.33203125" style="799" customWidth="1"/>
    <col min="13381" max="13381" width="15.33203125" style="799" customWidth="1"/>
    <col min="13382" max="13382" width="13.6640625" style="799" customWidth="1"/>
    <col min="13383" max="13383" width="11.6640625" style="799" customWidth="1"/>
    <col min="13384" max="13384" width="61.33203125" style="799" customWidth="1"/>
    <col min="13385" max="13385" width="37" style="799" customWidth="1"/>
    <col min="13386" max="13386" width="8" style="799" customWidth="1"/>
    <col min="13387" max="13387" width="6.33203125" style="799" customWidth="1"/>
    <col min="13388" max="13389" width="9.83203125" style="799"/>
    <col min="13390" max="13390" width="11.1640625" style="799" customWidth="1"/>
    <col min="13391" max="13391" width="9.83203125" style="799"/>
    <col min="13392" max="13392" width="12" style="799" customWidth="1"/>
    <col min="13393" max="13393" width="14.1640625" style="799" customWidth="1"/>
    <col min="13394" max="13394" width="13.6640625" style="799" customWidth="1"/>
    <col min="13395" max="13395" width="9.83203125" style="799"/>
    <col min="13396" max="13396" width="13" style="799" customWidth="1"/>
    <col min="13397" max="13397" width="26.33203125" style="799" customWidth="1"/>
    <col min="13398" max="13613" width="9.83203125" style="799"/>
    <col min="13614" max="13614" width="6.6640625" style="799" customWidth="1"/>
    <col min="13615" max="13615" width="8.83203125" style="799" customWidth="1"/>
    <col min="13616" max="13616" width="54.6640625" style="799" customWidth="1"/>
    <col min="13617" max="13617" width="55.33203125" style="799" customWidth="1"/>
    <col min="13618" max="13618" width="14.5" style="799" bestFit="1" customWidth="1"/>
    <col min="13619" max="13619" width="14.83203125" style="799" customWidth="1"/>
    <col min="13620" max="13620" width="4.6640625" style="799" customWidth="1"/>
    <col min="13621" max="13621" width="11.1640625" style="799" customWidth="1"/>
    <col min="13622" max="13622" width="4.83203125" style="799" customWidth="1"/>
    <col min="13623" max="13623" width="15.1640625" style="799" bestFit="1" customWidth="1"/>
    <col min="13624" max="13624" width="4.1640625" style="799" customWidth="1"/>
    <col min="13625" max="13625" width="0" style="799" hidden="1" customWidth="1"/>
    <col min="13626" max="13626" width="29.6640625" style="799" customWidth="1"/>
    <col min="13627" max="13627" width="12.33203125" style="799" bestFit="1" customWidth="1"/>
    <col min="13628" max="13628" width="16.6640625" style="799" bestFit="1" customWidth="1"/>
    <col min="13629" max="13629" width="13.6640625" style="799" bestFit="1" customWidth="1"/>
    <col min="13630" max="13630" width="9.83203125" style="799"/>
    <col min="13631" max="13631" width="16.6640625" style="799" customWidth="1"/>
    <col min="13632" max="13632" width="16.1640625" style="799" bestFit="1" customWidth="1"/>
    <col min="13633" max="13633" width="13.6640625" style="799" customWidth="1"/>
    <col min="13634" max="13634" width="40.83203125" style="799" customWidth="1"/>
    <col min="13635" max="13635" width="16.33203125" style="799" customWidth="1"/>
    <col min="13636" max="13636" width="17.33203125" style="799" customWidth="1"/>
    <col min="13637" max="13637" width="15.33203125" style="799" customWidth="1"/>
    <col min="13638" max="13638" width="13.6640625" style="799" customWidth="1"/>
    <col min="13639" max="13639" width="11.6640625" style="799" customWidth="1"/>
    <col min="13640" max="13640" width="61.33203125" style="799" customWidth="1"/>
    <col min="13641" max="13641" width="37" style="799" customWidth="1"/>
    <col min="13642" max="13642" width="8" style="799" customWidth="1"/>
    <col min="13643" max="13643" width="6.33203125" style="799" customWidth="1"/>
    <col min="13644" max="13645" width="9.83203125" style="799"/>
    <col min="13646" max="13646" width="11.1640625" style="799" customWidth="1"/>
    <col min="13647" max="13647" width="9.83203125" style="799"/>
    <col min="13648" max="13648" width="12" style="799" customWidth="1"/>
    <col min="13649" max="13649" width="14.1640625" style="799" customWidth="1"/>
    <col min="13650" max="13650" width="13.6640625" style="799" customWidth="1"/>
    <col min="13651" max="13651" width="9.83203125" style="799"/>
    <col min="13652" max="13652" width="13" style="799" customWidth="1"/>
    <col min="13653" max="13653" width="26.33203125" style="799" customWidth="1"/>
    <col min="13654" max="13869" width="9.83203125" style="799"/>
    <col min="13870" max="13870" width="6.6640625" style="799" customWidth="1"/>
    <col min="13871" max="13871" width="8.83203125" style="799" customWidth="1"/>
    <col min="13872" max="13872" width="54.6640625" style="799" customWidth="1"/>
    <col min="13873" max="13873" width="55.33203125" style="799" customWidth="1"/>
    <col min="13874" max="13874" width="14.5" style="799" bestFit="1" customWidth="1"/>
    <col min="13875" max="13875" width="14.83203125" style="799" customWidth="1"/>
    <col min="13876" max="13876" width="4.6640625" style="799" customWidth="1"/>
    <col min="13877" max="13877" width="11.1640625" style="799" customWidth="1"/>
    <col min="13878" max="13878" width="4.83203125" style="799" customWidth="1"/>
    <col min="13879" max="13879" width="15.1640625" style="799" bestFit="1" customWidth="1"/>
    <col min="13880" max="13880" width="4.1640625" style="799" customWidth="1"/>
    <col min="13881" max="13881" width="0" style="799" hidden="1" customWidth="1"/>
    <col min="13882" max="13882" width="29.6640625" style="799" customWidth="1"/>
    <col min="13883" max="13883" width="12.33203125" style="799" bestFit="1" customWidth="1"/>
    <col min="13884" max="13884" width="16.6640625" style="799" bestFit="1" customWidth="1"/>
    <col min="13885" max="13885" width="13.6640625" style="799" bestFit="1" customWidth="1"/>
    <col min="13886" max="13886" width="9.83203125" style="799"/>
    <col min="13887" max="13887" width="16.6640625" style="799" customWidth="1"/>
    <col min="13888" max="13888" width="16.1640625" style="799" bestFit="1" customWidth="1"/>
    <col min="13889" max="13889" width="13.6640625" style="799" customWidth="1"/>
    <col min="13890" max="13890" width="40.83203125" style="799" customWidth="1"/>
    <col min="13891" max="13891" width="16.33203125" style="799" customWidth="1"/>
    <col min="13892" max="13892" width="17.33203125" style="799" customWidth="1"/>
    <col min="13893" max="13893" width="15.33203125" style="799" customWidth="1"/>
    <col min="13894" max="13894" width="13.6640625" style="799" customWidth="1"/>
    <col min="13895" max="13895" width="11.6640625" style="799" customWidth="1"/>
    <col min="13896" max="13896" width="61.33203125" style="799" customWidth="1"/>
    <col min="13897" max="13897" width="37" style="799" customWidth="1"/>
    <col min="13898" max="13898" width="8" style="799" customWidth="1"/>
    <col min="13899" max="13899" width="6.33203125" style="799" customWidth="1"/>
    <col min="13900" max="13901" width="9.83203125" style="799"/>
    <col min="13902" max="13902" width="11.1640625" style="799" customWidth="1"/>
    <col min="13903" max="13903" width="9.83203125" style="799"/>
    <col min="13904" max="13904" width="12" style="799" customWidth="1"/>
    <col min="13905" max="13905" width="14.1640625" style="799" customWidth="1"/>
    <col min="13906" max="13906" width="13.6640625" style="799" customWidth="1"/>
    <col min="13907" max="13907" width="9.83203125" style="799"/>
    <col min="13908" max="13908" width="13" style="799" customWidth="1"/>
    <col min="13909" max="13909" width="26.33203125" style="799" customWidth="1"/>
    <col min="13910" max="14125" width="9.83203125" style="799"/>
    <col min="14126" max="14126" width="6.6640625" style="799" customWidth="1"/>
    <col min="14127" max="14127" width="8.83203125" style="799" customWidth="1"/>
    <col min="14128" max="14128" width="54.6640625" style="799" customWidth="1"/>
    <col min="14129" max="14129" width="55.33203125" style="799" customWidth="1"/>
    <col min="14130" max="14130" width="14.5" style="799" bestFit="1" customWidth="1"/>
    <col min="14131" max="14131" width="14.83203125" style="799" customWidth="1"/>
    <col min="14132" max="14132" width="4.6640625" style="799" customWidth="1"/>
    <col min="14133" max="14133" width="11.1640625" style="799" customWidth="1"/>
    <col min="14134" max="14134" width="4.83203125" style="799" customWidth="1"/>
    <col min="14135" max="14135" width="15.1640625" style="799" bestFit="1" customWidth="1"/>
    <col min="14136" max="14136" width="4.1640625" style="799" customWidth="1"/>
    <col min="14137" max="14137" width="0" style="799" hidden="1" customWidth="1"/>
    <col min="14138" max="14138" width="29.6640625" style="799" customWidth="1"/>
    <col min="14139" max="14139" width="12.33203125" style="799" bestFit="1" customWidth="1"/>
    <col min="14140" max="14140" width="16.6640625" style="799" bestFit="1" customWidth="1"/>
    <col min="14141" max="14141" width="13.6640625" style="799" bestFit="1" customWidth="1"/>
    <col min="14142" max="14142" width="9.83203125" style="799"/>
    <col min="14143" max="14143" width="16.6640625" style="799" customWidth="1"/>
    <col min="14144" max="14144" width="16.1640625" style="799" bestFit="1" customWidth="1"/>
    <col min="14145" max="14145" width="13.6640625" style="799" customWidth="1"/>
    <col min="14146" max="14146" width="40.83203125" style="799" customWidth="1"/>
    <col min="14147" max="14147" width="16.33203125" style="799" customWidth="1"/>
    <col min="14148" max="14148" width="17.33203125" style="799" customWidth="1"/>
    <col min="14149" max="14149" width="15.33203125" style="799" customWidth="1"/>
    <col min="14150" max="14150" width="13.6640625" style="799" customWidth="1"/>
    <col min="14151" max="14151" width="11.6640625" style="799" customWidth="1"/>
    <col min="14152" max="14152" width="61.33203125" style="799" customWidth="1"/>
    <col min="14153" max="14153" width="37" style="799" customWidth="1"/>
    <col min="14154" max="14154" width="8" style="799" customWidth="1"/>
    <col min="14155" max="14155" width="6.33203125" style="799" customWidth="1"/>
    <col min="14156" max="14157" width="9.83203125" style="799"/>
    <col min="14158" max="14158" width="11.1640625" style="799" customWidth="1"/>
    <col min="14159" max="14159" width="9.83203125" style="799"/>
    <col min="14160" max="14160" width="12" style="799" customWidth="1"/>
    <col min="14161" max="14161" width="14.1640625" style="799" customWidth="1"/>
    <col min="14162" max="14162" width="13.6640625" style="799" customWidth="1"/>
    <col min="14163" max="14163" width="9.83203125" style="799"/>
    <col min="14164" max="14164" width="13" style="799" customWidth="1"/>
    <col min="14165" max="14165" width="26.33203125" style="799" customWidth="1"/>
    <col min="14166" max="14381" width="9.83203125" style="799"/>
    <col min="14382" max="14382" width="6.6640625" style="799" customWidth="1"/>
    <col min="14383" max="14383" width="8.83203125" style="799" customWidth="1"/>
    <col min="14384" max="14384" width="54.6640625" style="799" customWidth="1"/>
    <col min="14385" max="14385" width="55.33203125" style="799" customWidth="1"/>
    <col min="14386" max="14386" width="14.5" style="799" bestFit="1" customWidth="1"/>
    <col min="14387" max="14387" width="14.83203125" style="799" customWidth="1"/>
    <col min="14388" max="14388" width="4.6640625" style="799" customWidth="1"/>
    <col min="14389" max="14389" width="11.1640625" style="799" customWidth="1"/>
    <col min="14390" max="14390" width="4.83203125" style="799" customWidth="1"/>
    <col min="14391" max="14391" width="15.1640625" style="799" bestFit="1" customWidth="1"/>
    <col min="14392" max="14392" width="4.1640625" style="799" customWidth="1"/>
    <col min="14393" max="14393" width="0" style="799" hidden="1" customWidth="1"/>
    <col min="14394" max="14394" width="29.6640625" style="799" customWidth="1"/>
    <col min="14395" max="14395" width="12.33203125" style="799" bestFit="1" customWidth="1"/>
    <col min="14396" max="14396" width="16.6640625" style="799" bestFit="1" customWidth="1"/>
    <col min="14397" max="14397" width="13.6640625" style="799" bestFit="1" customWidth="1"/>
    <col min="14398" max="14398" width="9.83203125" style="799"/>
    <col min="14399" max="14399" width="16.6640625" style="799" customWidth="1"/>
    <col min="14400" max="14400" width="16.1640625" style="799" bestFit="1" customWidth="1"/>
    <col min="14401" max="14401" width="13.6640625" style="799" customWidth="1"/>
    <col min="14402" max="14402" width="40.83203125" style="799" customWidth="1"/>
    <col min="14403" max="14403" width="16.33203125" style="799" customWidth="1"/>
    <col min="14404" max="14404" width="17.33203125" style="799" customWidth="1"/>
    <col min="14405" max="14405" width="15.33203125" style="799" customWidth="1"/>
    <col min="14406" max="14406" width="13.6640625" style="799" customWidth="1"/>
    <col min="14407" max="14407" width="11.6640625" style="799" customWidth="1"/>
    <col min="14408" max="14408" width="61.33203125" style="799" customWidth="1"/>
    <col min="14409" max="14409" width="37" style="799" customWidth="1"/>
    <col min="14410" max="14410" width="8" style="799" customWidth="1"/>
    <col min="14411" max="14411" width="6.33203125" style="799" customWidth="1"/>
    <col min="14412" max="14413" width="9.83203125" style="799"/>
    <col min="14414" max="14414" width="11.1640625" style="799" customWidth="1"/>
    <col min="14415" max="14415" width="9.83203125" style="799"/>
    <col min="14416" max="14416" width="12" style="799" customWidth="1"/>
    <col min="14417" max="14417" width="14.1640625" style="799" customWidth="1"/>
    <col min="14418" max="14418" width="13.6640625" style="799" customWidth="1"/>
    <col min="14419" max="14419" width="9.83203125" style="799"/>
    <col min="14420" max="14420" width="13" style="799" customWidth="1"/>
    <col min="14421" max="14421" width="26.33203125" style="799" customWidth="1"/>
    <col min="14422" max="14637" width="9.83203125" style="799"/>
    <col min="14638" max="14638" width="6.6640625" style="799" customWidth="1"/>
    <col min="14639" max="14639" width="8.83203125" style="799" customWidth="1"/>
    <col min="14640" max="14640" width="54.6640625" style="799" customWidth="1"/>
    <col min="14641" max="14641" width="55.33203125" style="799" customWidth="1"/>
    <col min="14642" max="14642" width="14.5" style="799" bestFit="1" customWidth="1"/>
    <col min="14643" max="14643" width="14.83203125" style="799" customWidth="1"/>
    <col min="14644" max="14644" width="4.6640625" style="799" customWidth="1"/>
    <col min="14645" max="14645" width="11.1640625" style="799" customWidth="1"/>
    <col min="14646" max="14646" width="4.83203125" style="799" customWidth="1"/>
    <col min="14647" max="14647" width="15.1640625" style="799" bestFit="1" customWidth="1"/>
    <col min="14648" max="14648" width="4.1640625" style="799" customWidth="1"/>
    <col min="14649" max="14649" width="0" style="799" hidden="1" customWidth="1"/>
    <col min="14650" max="14650" width="29.6640625" style="799" customWidth="1"/>
    <col min="14651" max="14651" width="12.33203125" style="799" bestFit="1" customWidth="1"/>
    <col min="14652" max="14652" width="16.6640625" style="799" bestFit="1" customWidth="1"/>
    <col min="14653" max="14653" width="13.6640625" style="799" bestFit="1" customWidth="1"/>
    <col min="14654" max="14654" width="9.83203125" style="799"/>
    <col min="14655" max="14655" width="16.6640625" style="799" customWidth="1"/>
    <col min="14656" max="14656" width="16.1640625" style="799" bestFit="1" customWidth="1"/>
    <col min="14657" max="14657" width="13.6640625" style="799" customWidth="1"/>
    <col min="14658" max="14658" width="40.83203125" style="799" customWidth="1"/>
    <col min="14659" max="14659" width="16.33203125" style="799" customWidth="1"/>
    <col min="14660" max="14660" width="17.33203125" style="799" customWidth="1"/>
    <col min="14661" max="14661" width="15.33203125" style="799" customWidth="1"/>
    <col min="14662" max="14662" width="13.6640625" style="799" customWidth="1"/>
    <col min="14663" max="14663" width="11.6640625" style="799" customWidth="1"/>
    <col min="14664" max="14664" width="61.33203125" style="799" customWidth="1"/>
    <col min="14665" max="14665" width="37" style="799" customWidth="1"/>
    <col min="14666" max="14666" width="8" style="799" customWidth="1"/>
    <col min="14667" max="14667" width="6.33203125" style="799" customWidth="1"/>
    <col min="14668" max="14669" width="9.83203125" style="799"/>
    <col min="14670" max="14670" width="11.1640625" style="799" customWidth="1"/>
    <col min="14671" max="14671" width="9.83203125" style="799"/>
    <col min="14672" max="14672" width="12" style="799" customWidth="1"/>
    <col min="14673" max="14673" width="14.1640625" style="799" customWidth="1"/>
    <col min="14674" max="14674" width="13.6640625" style="799" customWidth="1"/>
    <col min="14675" max="14675" width="9.83203125" style="799"/>
    <col min="14676" max="14676" width="13" style="799" customWidth="1"/>
    <col min="14677" max="14677" width="26.33203125" style="799" customWidth="1"/>
    <col min="14678" max="14893" width="9.83203125" style="799"/>
    <col min="14894" max="14894" width="6.6640625" style="799" customWidth="1"/>
    <col min="14895" max="14895" width="8.83203125" style="799" customWidth="1"/>
    <col min="14896" max="14896" width="54.6640625" style="799" customWidth="1"/>
    <col min="14897" max="14897" width="55.33203125" style="799" customWidth="1"/>
    <col min="14898" max="14898" width="14.5" style="799" bestFit="1" customWidth="1"/>
    <col min="14899" max="14899" width="14.83203125" style="799" customWidth="1"/>
    <col min="14900" max="14900" width="4.6640625" style="799" customWidth="1"/>
    <col min="14901" max="14901" width="11.1640625" style="799" customWidth="1"/>
    <col min="14902" max="14902" width="4.83203125" style="799" customWidth="1"/>
    <col min="14903" max="14903" width="15.1640625" style="799" bestFit="1" customWidth="1"/>
    <col min="14904" max="14904" width="4.1640625" style="799" customWidth="1"/>
    <col min="14905" max="14905" width="0" style="799" hidden="1" customWidth="1"/>
    <col min="14906" max="14906" width="29.6640625" style="799" customWidth="1"/>
    <col min="14907" max="14907" width="12.33203125" style="799" bestFit="1" customWidth="1"/>
    <col min="14908" max="14908" width="16.6640625" style="799" bestFit="1" customWidth="1"/>
    <col min="14909" max="14909" width="13.6640625" style="799" bestFit="1" customWidth="1"/>
    <col min="14910" max="14910" width="9.83203125" style="799"/>
    <col min="14911" max="14911" width="16.6640625" style="799" customWidth="1"/>
    <col min="14912" max="14912" width="16.1640625" style="799" bestFit="1" customWidth="1"/>
    <col min="14913" max="14913" width="13.6640625" style="799" customWidth="1"/>
    <col min="14914" max="14914" width="40.83203125" style="799" customWidth="1"/>
    <col min="14915" max="14915" width="16.33203125" style="799" customWidth="1"/>
    <col min="14916" max="14916" width="17.33203125" style="799" customWidth="1"/>
    <col min="14917" max="14917" width="15.33203125" style="799" customWidth="1"/>
    <col min="14918" max="14918" width="13.6640625" style="799" customWidth="1"/>
    <col min="14919" max="14919" width="11.6640625" style="799" customWidth="1"/>
    <col min="14920" max="14920" width="61.33203125" style="799" customWidth="1"/>
    <col min="14921" max="14921" width="37" style="799" customWidth="1"/>
    <col min="14922" max="14922" width="8" style="799" customWidth="1"/>
    <col min="14923" max="14923" width="6.33203125" style="799" customWidth="1"/>
    <col min="14924" max="14925" width="9.83203125" style="799"/>
    <col min="14926" max="14926" width="11.1640625" style="799" customWidth="1"/>
    <col min="14927" max="14927" width="9.83203125" style="799"/>
    <col min="14928" max="14928" width="12" style="799" customWidth="1"/>
    <col min="14929" max="14929" width="14.1640625" style="799" customWidth="1"/>
    <col min="14930" max="14930" width="13.6640625" style="799" customWidth="1"/>
    <col min="14931" max="14931" width="9.83203125" style="799"/>
    <col min="14932" max="14932" width="13" style="799" customWidth="1"/>
    <col min="14933" max="14933" width="26.33203125" style="799" customWidth="1"/>
    <col min="14934" max="15149" width="9.83203125" style="799"/>
    <col min="15150" max="15150" width="6.6640625" style="799" customWidth="1"/>
    <col min="15151" max="15151" width="8.83203125" style="799" customWidth="1"/>
    <col min="15152" max="15152" width="54.6640625" style="799" customWidth="1"/>
    <col min="15153" max="15153" width="55.33203125" style="799" customWidth="1"/>
    <col min="15154" max="15154" width="14.5" style="799" bestFit="1" customWidth="1"/>
    <col min="15155" max="15155" width="14.83203125" style="799" customWidth="1"/>
    <col min="15156" max="15156" width="4.6640625" style="799" customWidth="1"/>
    <col min="15157" max="15157" width="11.1640625" style="799" customWidth="1"/>
    <col min="15158" max="15158" width="4.83203125" style="799" customWidth="1"/>
    <col min="15159" max="15159" width="15.1640625" style="799" bestFit="1" customWidth="1"/>
    <col min="15160" max="15160" width="4.1640625" style="799" customWidth="1"/>
    <col min="15161" max="15161" width="0" style="799" hidden="1" customWidth="1"/>
    <col min="15162" max="15162" width="29.6640625" style="799" customWidth="1"/>
    <col min="15163" max="15163" width="12.33203125" style="799" bestFit="1" customWidth="1"/>
    <col min="15164" max="15164" width="16.6640625" style="799" bestFit="1" customWidth="1"/>
    <col min="15165" max="15165" width="13.6640625" style="799" bestFit="1" customWidth="1"/>
    <col min="15166" max="15166" width="9.83203125" style="799"/>
    <col min="15167" max="15167" width="16.6640625" style="799" customWidth="1"/>
    <col min="15168" max="15168" width="16.1640625" style="799" bestFit="1" customWidth="1"/>
    <col min="15169" max="15169" width="13.6640625" style="799" customWidth="1"/>
    <col min="15170" max="15170" width="40.83203125" style="799" customWidth="1"/>
    <col min="15171" max="15171" width="16.33203125" style="799" customWidth="1"/>
    <col min="15172" max="15172" width="17.33203125" style="799" customWidth="1"/>
    <col min="15173" max="15173" width="15.33203125" style="799" customWidth="1"/>
    <col min="15174" max="15174" width="13.6640625" style="799" customWidth="1"/>
    <col min="15175" max="15175" width="11.6640625" style="799" customWidth="1"/>
    <col min="15176" max="15176" width="61.33203125" style="799" customWidth="1"/>
    <col min="15177" max="15177" width="37" style="799" customWidth="1"/>
    <col min="15178" max="15178" width="8" style="799" customWidth="1"/>
    <col min="15179" max="15179" width="6.33203125" style="799" customWidth="1"/>
    <col min="15180" max="15181" width="9.83203125" style="799"/>
    <col min="15182" max="15182" width="11.1640625" style="799" customWidth="1"/>
    <col min="15183" max="15183" width="9.83203125" style="799"/>
    <col min="15184" max="15184" width="12" style="799" customWidth="1"/>
    <col min="15185" max="15185" width="14.1640625" style="799" customWidth="1"/>
    <col min="15186" max="15186" width="13.6640625" style="799" customWidth="1"/>
    <col min="15187" max="15187" width="9.83203125" style="799"/>
    <col min="15188" max="15188" width="13" style="799" customWidth="1"/>
    <col min="15189" max="15189" width="26.33203125" style="799" customWidth="1"/>
    <col min="15190" max="15405" width="9.83203125" style="799"/>
    <col min="15406" max="15406" width="6.6640625" style="799" customWidth="1"/>
    <col min="15407" max="15407" width="8.83203125" style="799" customWidth="1"/>
    <col min="15408" max="15408" width="54.6640625" style="799" customWidth="1"/>
    <col min="15409" max="15409" width="55.33203125" style="799" customWidth="1"/>
    <col min="15410" max="15410" width="14.5" style="799" bestFit="1" customWidth="1"/>
    <col min="15411" max="15411" width="14.83203125" style="799" customWidth="1"/>
    <col min="15412" max="15412" width="4.6640625" style="799" customWidth="1"/>
    <col min="15413" max="15413" width="11.1640625" style="799" customWidth="1"/>
    <col min="15414" max="15414" width="4.83203125" style="799" customWidth="1"/>
    <col min="15415" max="15415" width="15.1640625" style="799" bestFit="1" customWidth="1"/>
    <col min="15416" max="15416" width="4.1640625" style="799" customWidth="1"/>
    <col min="15417" max="15417" width="0" style="799" hidden="1" customWidth="1"/>
    <col min="15418" max="15418" width="29.6640625" style="799" customWidth="1"/>
    <col min="15419" max="15419" width="12.33203125" style="799" bestFit="1" customWidth="1"/>
    <col min="15420" max="15420" width="16.6640625" style="799" bestFit="1" customWidth="1"/>
    <col min="15421" max="15421" width="13.6640625" style="799" bestFit="1" customWidth="1"/>
    <col min="15422" max="15422" width="9.83203125" style="799"/>
    <col min="15423" max="15423" width="16.6640625" style="799" customWidth="1"/>
    <col min="15424" max="15424" width="16.1640625" style="799" bestFit="1" customWidth="1"/>
    <col min="15425" max="15425" width="13.6640625" style="799" customWidth="1"/>
    <col min="15426" max="15426" width="40.83203125" style="799" customWidth="1"/>
    <col min="15427" max="15427" width="16.33203125" style="799" customWidth="1"/>
    <col min="15428" max="15428" width="17.33203125" style="799" customWidth="1"/>
    <col min="15429" max="15429" width="15.33203125" style="799" customWidth="1"/>
    <col min="15430" max="15430" width="13.6640625" style="799" customWidth="1"/>
    <col min="15431" max="15431" width="11.6640625" style="799" customWidth="1"/>
    <col min="15432" max="15432" width="61.33203125" style="799" customWidth="1"/>
    <col min="15433" max="15433" width="37" style="799" customWidth="1"/>
    <col min="15434" max="15434" width="8" style="799" customWidth="1"/>
    <col min="15435" max="15435" width="6.33203125" style="799" customWidth="1"/>
    <col min="15436" max="15437" width="9.83203125" style="799"/>
    <col min="15438" max="15438" width="11.1640625" style="799" customWidth="1"/>
    <col min="15439" max="15439" width="9.83203125" style="799"/>
    <col min="15440" max="15440" width="12" style="799" customWidth="1"/>
    <col min="15441" max="15441" width="14.1640625" style="799" customWidth="1"/>
    <col min="15442" max="15442" width="13.6640625" style="799" customWidth="1"/>
    <col min="15443" max="15443" width="9.83203125" style="799"/>
    <col min="15444" max="15444" width="13" style="799" customWidth="1"/>
    <col min="15445" max="15445" width="26.33203125" style="799" customWidth="1"/>
    <col min="15446" max="15661" width="9.83203125" style="799"/>
    <col min="15662" max="15662" width="6.6640625" style="799" customWidth="1"/>
    <col min="15663" max="15663" width="8.83203125" style="799" customWidth="1"/>
    <col min="15664" max="15664" width="54.6640625" style="799" customWidth="1"/>
    <col min="15665" max="15665" width="55.33203125" style="799" customWidth="1"/>
    <col min="15666" max="15666" width="14.5" style="799" bestFit="1" customWidth="1"/>
    <col min="15667" max="15667" width="14.83203125" style="799" customWidth="1"/>
    <col min="15668" max="15668" width="4.6640625" style="799" customWidth="1"/>
    <col min="15669" max="15669" width="11.1640625" style="799" customWidth="1"/>
    <col min="15670" max="15670" width="4.83203125" style="799" customWidth="1"/>
    <col min="15671" max="15671" width="15.1640625" style="799" bestFit="1" customWidth="1"/>
    <col min="15672" max="15672" width="4.1640625" style="799" customWidth="1"/>
    <col min="15673" max="15673" width="0" style="799" hidden="1" customWidth="1"/>
    <col min="15674" max="15674" width="29.6640625" style="799" customWidth="1"/>
    <col min="15675" max="15675" width="12.33203125" style="799" bestFit="1" customWidth="1"/>
    <col min="15676" max="15676" width="16.6640625" style="799" bestFit="1" customWidth="1"/>
    <col min="15677" max="15677" width="13.6640625" style="799" bestFit="1" customWidth="1"/>
    <col min="15678" max="15678" width="9.83203125" style="799"/>
    <col min="15679" max="15679" width="16.6640625" style="799" customWidth="1"/>
    <col min="15680" max="15680" width="16.1640625" style="799" bestFit="1" customWidth="1"/>
    <col min="15681" max="15681" width="13.6640625" style="799" customWidth="1"/>
    <col min="15682" max="15682" width="40.83203125" style="799" customWidth="1"/>
    <col min="15683" max="15683" width="16.33203125" style="799" customWidth="1"/>
    <col min="15684" max="15684" width="17.33203125" style="799" customWidth="1"/>
    <col min="15685" max="15685" width="15.33203125" style="799" customWidth="1"/>
    <col min="15686" max="15686" width="13.6640625" style="799" customWidth="1"/>
    <col min="15687" max="15687" width="11.6640625" style="799" customWidth="1"/>
    <col min="15688" max="15688" width="61.33203125" style="799" customWidth="1"/>
    <col min="15689" max="15689" width="37" style="799" customWidth="1"/>
    <col min="15690" max="15690" width="8" style="799" customWidth="1"/>
    <col min="15691" max="15691" width="6.33203125" style="799" customWidth="1"/>
    <col min="15692" max="15693" width="9.83203125" style="799"/>
    <col min="15694" max="15694" width="11.1640625" style="799" customWidth="1"/>
    <col min="15695" max="15695" width="9.83203125" style="799"/>
    <col min="15696" max="15696" width="12" style="799" customWidth="1"/>
    <col min="15697" max="15697" width="14.1640625" style="799" customWidth="1"/>
    <col min="15698" max="15698" width="13.6640625" style="799" customWidth="1"/>
    <col min="15699" max="15699" width="9.83203125" style="799"/>
    <col min="15700" max="15700" width="13" style="799" customWidth="1"/>
    <col min="15701" max="15701" width="26.33203125" style="799" customWidth="1"/>
    <col min="15702" max="15917" width="9.83203125" style="799"/>
    <col min="15918" max="15918" width="6.6640625" style="799" customWidth="1"/>
    <col min="15919" max="15919" width="8.83203125" style="799" customWidth="1"/>
    <col min="15920" max="15920" width="54.6640625" style="799" customWidth="1"/>
    <col min="15921" max="15921" width="55.33203125" style="799" customWidth="1"/>
    <col min="15922" max="15922" width="14.5" style="799" bestFit="1" customWidth="1"/>
    <col min="15923" max="15923" width="14.83203125" style="799" customWidth="1"/>
    <col min="15924" max="15924" width="4.6640625" style="799" customWidth="1"/>
    <col min="15925" max="15925" width="11.1640625" style="799" customWidth="1"/>
    <col min="15926" max="15926" width="4.83203125" style="799" customWidth="1"/>
    <col min="15927" max="15927" width="15.1640625" style="799" bestFit="1" customWidth="1"/>
    <col min="15928" max="15928" width="4.1640625" style="799" customWidth="1"/>
    <col min="15929" max="15929" width="0" style="799" hidden="1" customWidth="1"/>
    <col min="15930" max="15930" width="29.6640625" style="799" customWidth="1"/>
    <col min="15931" max="15931" width="12.33203125" style="799" bestFit="1" customWidth="1"/>
    <col min="15932" max="15932" width="16.6640625" style="799" bestFit="1" customWidth="1"/>
    <col min="15933" max="15933" width="13.6640625" style="799" bestFit="1" customWidth="1"/>
    <col min="15934" max="15934" width="9.83203125" style="799"/>
    <col min="15935" max="15935" width="16.6640625" style="799" customWidth="1"/>
    <col min="15936" max="15936" width="16.1640625" style="799" bestFit="1" customWidth="1"/>
    <col min="15937" max="15937" width="13.6640625" style="799" customWidth="1"/>
    <col min="15938" max="15938" width="40.83203125" style="799" customWidth="1"/>
    <col min="15939" max="15939" width="16.33203125" style="799" customWidth="1"/>
    <col min="15940" max="15940" width="17.33203125" style="799" customWidth="1"/>
    <col min="15941" max="15941" width="15.33203125" style="799" customWidth="1"/>
    <col min="15942" max="15942" width="13.6640625" style="799" customWidth="1"/>
    <col min="15943" max="15943" width="11.6640625" style="799" customWidth="1"/>
    <col min="15944" max="15944" width="61.33203125" style="799" customWidth="1"/>
    <col min="15945" max="15945" width="37" style="799" customWidth="1"/>
    <col min="15946" max="15946" width="8" style="799" customWidth="1"/>
    <col min="15947" max="15947" width="6.33203125" style="799" customWidth="1"/>
    <col min="15948" max="15949" width="9.83203125" style="799"/>
    <col min="15950" max="15950" width="11.1640625" style="799" customWidth="1"/>
    <col min="15951" max="15951" width="9.83203125" style="799"/>
    <col min="15952" max="15952" width="12" style="799" customWidth="1"/>
    <col min="15953" max="15953" width="14.1640625" style="799" customWidth="1"/>
    <col min="15954" max="15954" width="13.6640625" style="799" customWidth="1"/>
    <col min="15955" max="15955" width="9.83203125" style="799"/>
    <col min="15956" max="15956" width="13" style="799" customWidth="1"/>
    <col min="15957" max="15957" width="26.33203125" style="799" customWidth="1"/>
    <col min="15958" max="16173" width="9.83203125" style="799"/>
    <col min="16174" max="16174" width="6.6640625" style="799" customWidth="1"/>
    <col min="16175" max="16175" width="8.83203125" style="799" customWidth="1"/>
    <col min="16176" max="16176" width="54.6640625" style="799" customWidth="1"/>
    <col min="16177" max="16177" width="55.33203125" style="799" customWidth="1"/>
    <col min="16178" max="16178" width="14.5" style="799" bestFit="1" customWidth="1"/>
    <col min="16179" max="16179" width="14.83203125" style="799" customWidth="1"/>
    <col min="16180" max="16180" width="4.6640625" style="799" customWidth="1"/>
    <col min="16181" max="16181" width="11.1640625" style="799" customWidth="1"/>
    <col min="16182" max="16182" width="4.83203125" style="799" customWidth="1"/>
    <col min="16183" max="16183" width="15.1640625" style="799" bestFit="1" customWidth="1"/>
    <col min="16184" max="16184" width="4.1640625" style="799" customWidth="1"/>
    <col min="16185" max="16185" width="0" style="799" hidden="1" customWidth="1"/>
    <col min="16186" max="16186" width="29.6640625" style="799" customWidth="1"/>
    <col min="16187" max="16187" width="12.33203125" style="799" bestFit="1" customWidth="1"/>
    <col min="16188" max="16188" width="16.6640625" style="799" bestFit="1" customWidth="1"/>
    <col min="16189" max="16189" width="13.6640625" style="799" bestFit="1" customWidth="1"/>
    <col min="16190" max="16190" width="9.83203125" style="799"/>
    <col min="16191" max="16191" width="16.6640625" style="799" customWidth="1"/>
    <col min="16192" max="16192" width="16.1640625" style="799" bestFit="1" customWidth="1"/>
    <col min="16193" max="16193" width="13.6640625" style="799" customWidth="1"/>
    <col min="16194" max="16194" width="40.83203125" style="799" customWidth="1"/>
    <col min="16195" max="16195" width="16.33203125" style="799" customWidth="1"/>
    <col min="16196" max="16196" width="17.33203125" style="799" customWidth="1"/>
    <col min="16197" max="16197" width="15.33203125" style="799" customWidth="1"/>
    <col min="16198" max="16198" width="13.6640625" style="799" customWidth="1"/>
    <col min="16199" max="16199" width="11.6640625" style="799" customWidth="1"/>
    <col min="16200" max="16200" width="61.33203125" style="799" customWidth="1"/>
    <col min="16201" max="16201" width="37" style="799" customWidth="1"/>
    <col min="16202" max="16202" width="8" style="799" customWidth="1"/>
    <col min="16203" max="16203" width="6.33203125" style="799" customWidth="1"/>
    <col min="16204" max="16205" width="9.83203125" style="799"/>
    <col min="16206" max="16206" width="11.1640625" style="799" customWidth="1"/>
    <col min="16207" max="16207" width="9.83203125" style="799"/>
    <col min="16208" max="16208" width="12" style="799" customWidth="1"/>
    <col min="16209" max="16209" width="14.1640625" style="799" customWidth="1"/>
    <col min="16210" max="16210" width="13.6640625" style="799" customWidth="1"/>
    <col min="16211" max="16211" width="9.83203125" style="799"/>
    <col min="16212" max="16212" width="13" style="799" customWidth="1"/>
    <col min="16213" max="16213" width="26.33203125" style="799" customWidth="1"/>
    <col min="16214" max="16384" width="9.83203125" style="799"/>
  </cols>
  <sheetData>
    <row r="1" spans="1:208" s="11" customFormat="1" ht="13.5" thickBot="1">
      <c r="A1" s="765"/>
      <c r="B1" s="766"/>
      <c r="C1" s="767"/>
      <c r="D1" s="768"/>
      <c r="E1" s="1918">
        <f>E1033</f>
        <v>0</v>
      </c>
      <c r="F1" s="769">
        <f>F1033</f>
        <v>0</v>
      </c>
      <c r="G1" s="769">
        <f>G1033/2</f>
        <v>0</v>
      </c>
      <c r="H1" s="769">
        <f>H1033/2</f>
        <v>0</v>
      </c>
      <c r="I1" s="769">
        <f>I1033/2</f>
        <v>0</v>
      </c>
      <c r="J1" s="769">
        <f>J1033</f>
        <v>-3.7252902984619141E-9</v>
      </c>
      <c r="K1" s="773"/>
      <c r="L1" s="770"/>
      <c r="M1" s="2678"/>
      <c r="N1" s="772"/>
      <c r="O1" s="772"/>
      <c r="P1" s="772"/>
      <c r="Q1" s="772"/>
      <c r="R1" s="772"/>
      <c r="S1" s="772"/>
      <c r="T1" s="773"/>
      <c r="AW1" s="2510"/>
      <c r="BC1" s="2510"/>
      <c r="BD1" s="2510"/>
      <c r="BE1" s="2510"/>
      <c r="BF1" s="2510"/>
      <c r="BH1" s="2510"/>
      <c r="BN1" s="209"/>
      <c r="BO1" s="209"/>
      <c r="BP1" s="209"/>
      <c r="BQ1" s="209"/>
      <c r="DB1" s="773"/>
      <c r="DC1" s="773"/>
      <c r="DD1" s="773"/>
      <c r="DE1" s="773"/>
      <c r="DF1" s="773"/>
      <c r="DG1" s="773"/>
      <c r="DH1" s="773"/>
      <c r="DI1" s="773"/>
      <c r="DJ1" s="773"/>
      <c r="DK1" s="773"/>
      <c r="DL1" s="773"/>
      <c r="DM1" s="773"/>
      <c r="DN1" s="773"/>
      <c r="DO1" s="773"/>
      <c r="DP1" s="773"/>
      <c r="DQ1" s="773"/>
      <c r="DR1" s="773"/>
      <c r="DS1" s="773"/>
      <c r="DT1" s="773"/>
      <c r="DU1" s="773"/>
      <c r="DV1" s="773"/>
      <c r="DW1" s="773"/>
      <c r="DX1" s="773"/>
      <c r="DY1" s="773"/>
      <c r="DZ1" s="773"/>
      <c r="EA1" s="773"/>
      <c r="EB1" s="773"/>
      <c r="EC1" s="773"/>
      <c r="ED1" s="773"/>
      <c r="EE1" s="773"/>
      <c r="EF1" s="773"/>
      <c r="EG1" s="773"/>
      <c r="EH1" s="773"/>
      <c r="EI1" s="773"/>
      <c r="EJ1" s="773"/>
      <c r="EK1" s="773"/>
      <c r="EL1" s="773"/>
      <c r="EM1" s="773"/>
      <c r="EN1" s="773"/>
      <c r="EO1" s="773"/>
      <c r="EP1" s="773"/>
      <c r="EQ1" s="773"/>
      <c r="ER1" s="773"/>
      <c r="ES1" s="773"/>
      <c r="ET1" s="773"/>
      <c r="EU1" s="773"/>
      <c r="EV1" s="773"/>
      <c r="EW1" s="773"/>
      <c r="EX1" s="773"/>
      <c r="EY1" s="773"/>
      <c r="EZ1" s="773"/>
      <c r="FA1" s="773"/>
      <c r="FB1" s="773"/>
      <c r="FC1" s="773"/>
      <c r="FD1" s="773"/>
      <c r="FE1" s="773"/>
      <c r="FF1" s="773"/>
      <c r="FG1" s="773"/>
      <c r="FH1" s="773"/>
      <c r="FI1" s="773"/>
      <c r="FJ1" s="773"/>
      <c r="FK1" s="773"/>
      <c r="FL1" s="773"/>
      <c r="FM1" s="773"/>
      <c r="FN1" s="773"/>
      <c r="FO1" s="773"/>
      <c r="FP1" s="773"/>
      <c r="FQ1" s="773"/>
      <c r="FR1" s="773"/>
      <c r="FS1" s="773"/>
      <c r="FT1" s="773"/>
      <c r="FU1" s="773"/>
      <c r="FV1" s="773"/>
      <c r="FW1" s="773"/>
      <c r="FX1" s="773"/>
      <c r="FY1" s="773"/>
      <c r="FZ1" s="773"/>
      <c r="GA1" s="773"/>
      <c r="GB1" s="773"/>
      <c r="GC1" s="773"/>
      <c r="GD1" s="773"/>
      <c r="GE1" s="773"/>
      <c r="GF1" s="773"/>
      <c r="GG1" s="773"/>
      <c r="GH1" s="773"/>
      <c r="GI1" s="773"/>
      <c r="GJ1" s="773"/>
      <c r="GK1" s="773"/>
      <c r="GL1" s="773"/>
      <c r="GM1" s="773"/>
      <c r="GN1" s="773"/>
      <c r="GO1" s="773"/>
      <c r="GP1" s="773"/>
      <c r="GQ1" s="773"/>
      <c r="GR1" s="773"/>
      <c r="GS1" s="773"/>
      <c r="GT1" s="773"/>
      <c r="GU1" s="773"/>
      <c r="GV1" s="773"/>
      <c r="GW1" s="773"/>
      <c r="GX1" s="773"/>
      <c r="GY1" s="773"/>
      <c r="GZ1" s="773"/>
    </row>
    <row r="2" spans="1:208" s="11" customFormat="1" ht="13.5" thickBot="1">
      <c r="A2" s="774"/>
      <c r="B2" s="4507" t="s">
        <v>575</v>
      </c>
      <c r="C2" s="4508"/>
      <c r="D2" s="4509"/>
      <c r="E2" s="921"/>
      <c r="F2" s="922"/>
      <c r="G2" s="922"/>
      <c r="H2" s="922"/>
      <c r="I2" s="922"/>
      <c r="J2" s="922"/>
      <c r="K2" s="778"/>
      <c r="L2" s="776"/>
      <c r="M2" s="790"/>
      <c r="N2" s="777"/>
      <c r="O2" s="777"/>
      <c r="P2" s="777"/>
      <c r="Q2" s="777"/>
      <c r="R2" s="777"/>
      <c r="S2" s="777"/>
      <c r="T2" s="778"/>
      <c r="AW2" s="2511"/>
      <c r="AX2" s="209"/>
      <c r="AY2" s="209"/>
      <c r="AZ2" s="209"/>
      <c r="BA2" s="209"/>
      <c r="BB2" s="209"/>
      <c r="BC2" s="2511"/>
      <c r="BD2" s="2511"/>
      <c r="BE2" s="2511"/>
      <c r="BF2" s="2511"/>
      <c r="BH2" s="2511"/>
      <c r="BI2" s="209"/>
      <c r="BJ2" s="209"/>
      <c r="BK2" s="209"/>
      <c r="BL2" s="209"/>
      <c r="BM2" s="209"/>
      <c r="BN2" s="209"/>
      <c r="BO2" s="209"/>
      <c r="BP2" s="209"/>
      <c r="BQ2" s="209"/>
      <c r="BR2" s="30"/>
      <c r="BS2" s="209"/>
      <c r="BT2" s="30"/>
      <c r="BU2" s="30"/>
      <c r="BV2" s="30"/>
      <c r="BW2" s="209"/>
      <c r="DB2" s="773"/>
      <c r="DC2" s="773"/>
      <c r="DD2" s="773"/>
      <c r="DE2" s="773"/>
      <c r="DF2" s="773"/>
      <c r="DG2" s="773"/>
      <c r="DH2" s="773"/>
      <c r="DI2" s="773"/>
      <c r="DJ2" s="773"/>
      <c r="DK2" s="773"/>
      <c r="DL2" s="773"/>
      <c r="DM2" s="773"/>
      <c r="DN2" s="773"/>
      <c r="DO2" s="773"/>
      <c r="DP2" s="773"/>
      <c r="DQ2" s="773"/>
      <c r="DR2" s="773"/>
      <c r="DS2" s="773"/>
      <c r="DT2" s="773"/>
      <c r="DU2" s="773"/>
      <c r="DV2" s="773"/>
      <c r="DW2" s="773"/>
      <c r="DX2" s="773"/>
      <c r="DY2" s="773"/>
      <c r="DZ2" s="773"/>
      <c r="EA2" s="773"/>
      <c r="EB2" s="773"/>
      <c r="EC2" s="773"/>
      <c r="ED2" s="773"/>
      <c r="EE2" s="773"/>
      <c r="EF2" s="773"/>
      <c r="EG2" s="773"/>
      <c r="EH2" s="773"/>
      <c r="EI2" s="773"/>
      <c r="EJ2" s="773"/>
      <c r="EK2" s="773"/>
      <c r="EL2" s="773"/>
      <c r="EM2" s="773"/>
      <c r="EN2" s="773"/>
      <c r="EO2" s="773"/>
      <c r="EP2" s="773"/>
      <c r="EQ2" s="773"/>
      <c r="ER2" s="773"/>
      <c r="ES2" s="773"/>
      <c r="ET2" s="773"/>
      <c r="EU2" s="773"/>
      <c r="EV2" s="773"/>
      <c r="EW2" s="773"/>
      <c r="EX2" s="773"/>
      <c r="EY2" s="773"/>
      <c r="EZ2" s="773"/>
      <c r="FA2" s="773"/>
      <c r="FB2" s="773"/>
      <c r="FC2" s="773"/>
      <c r="FD2" s="773"/>
      <c r="FE2" s="773"/>
      <c r="FF2" s="773"/>
      <c r="FG2" s="773"/>
      <c r="FH2" s="773"/>
      <c r="FI2" s="773"/>
      <c r="FJ2" s="773"/>
      <c r="FK2" s="773"/>
      <c r="FL2" s="773"/>
      <c r="FM2" s="773"/>
      <c r="FN2" s="773"/>
      <c r="FO2" s="773"/>
      <c r="FP2" s="773"/>
      <c r="FQ2" s="773"/>
      <c r="FR2" s="773"/>
      <c r="FS2" s="773"/>
      <c r="FT2" s="773"/>
      <c r="FU2" s="773"/>
      <c r="FV2" s="773"/>
      <c r="FW2" s="773"/>
      <c r="FX2" s="773"/>
      <c r="FY2" s="773"/>
      <c r="FZ2" s="773"/>
      <c r="GA2" s="773"/>
      <c r="GB2" s="773"/>
      <c r="GC2" s="773"/>
      <c r="GD2" s="773"/>
      <c r="GE2" s="773"/>
      <c r="GF2" s="773"/>
      <c r="GG2" s="773"/>
      <c r="GH2" s="773"/>
      <c r="GI2" s="773"/>
      <c r="GJ2" s="773"/>
      <c r="GK2" s="773"/>
      <c r="GL2" s="773"/>
      <c r="GM2" s="773"/>
      <c r="GN2" s="773"/>
      <c r="GO2" s="773"/>
      <c r="GP2" s="773"/>
      <c r="GQ2" s="773"/>
      <c r="GR2" s="773"/>
      <c r="GS2" s="773"/>
      <c r="GT2" s="773"/>
      <c r="GU2" s="773"/>
      <c r="GV2" s="773"/>
      <c r="GW2" s="773"/>
      <c r="GX2" s="773"/>
      <c r="GY2" s="773"/>
      <c r="GZ2" s="773"/>
    </row>
    <row r="3" spans="1:208" s="11" customFormat="1" ht="13.5" thickBot="1">
      <c r="A3" s="774"/>
      <c r="B3" s="957"/>
      <c r="C3" s="958"/>
      <c r="D3" s="959"/>
      <c r="E3" s="4510">
        <f>'נתונים לשינוי'!$C$1</f>
        <v>44561</v>
      </c>
      <c r="F3" s="4511"/>
      <c r="G3" s="4512"/>
      <c r="H3" s="4513"/>
      <c r="I3" s="4513"/>
      <c r="J3" s="4513"/>
      <c r="K3" s="778"/>
      <c r="L3" s="776"/>
      <c r="M3" s="790"/>
      <c r="N3" s="772"/>
      <c r="O3" s="772"/>
      <c r="P3" s="772"/>
      <c r="Q3" s="772"/>
      <c r="R3" s="772"/>
      <c r="S3" s="772"/>
      <c r="T3" s="4503"/>
      <c r="U3" s="4503"/>
      <c r="AW3" s="2510"/>
      <c r="BC3" s="2510"/>
      <c r="BD3" s="2510"/>
      <c r="BE3" s="2510"/>
      <c r="BF3" s="2510"/>
      <c r="BH3" s="2510"/>
      <c r="BN3" s="209"/>
      <c r="BO3" s="209"/>
      <c r="BP3" s="30"/>
      <c r="BQ3" s="30"/>
      <c r="BR3" s="209"/>
      <c r="BS3" s="209"/>
      <c r="BT3" s="923"/>
      <c r="BU3" s="209"/>
      <c r="BV3" s="30"/>
      <c r="BW3" s="209"/>
      <c r="BZ3" s="4"/>
      <c r="CA3" s="4"/>
      <c r="CB3" s="4"/>
      <c r="DB3" s="773"/>
      <c r="DC3" s="773"/>
      <c r="DD3" s="773"/>
      <c r="DE3" s="773"/>
      <c r="DF3" s="773"/>
      <c r="DG3" s="773"/>
      <c r="DH3" s="773"/>
      <c r="DI3" s="773"/>
      <c r="DJ3" s="773"/>
      <c r="DK3" s="773"/>
      <c r="DL3" s="773"/>
      <c r="DM3" s="773"/>
      <c r="DN3" s="773"/>
      <c r="DO3" s="773"/>
      <c r="DP3" s="773"/>
      <c r="DQ3" s="773"/>
      <c r="DR3" s="773"/>
      <c r="DS3" s="773"/>
      <c r="DT3" s="773"/>
      <c r="DU3" s="773"/>
      <c r="DV3" s="773"/>
      <c r="DW3" s="773"/>
      <c r="DX3" s="773"/>
      <c r="DY3" s="773"/>
      <c r="DZ3" s="773"/>
      <c r="EA3" s="773"/>
      <c r="EB3" s="773"/>
      <c r="EC3" s="773"/>
      <c r="ED3" s="773"/>
      <c r="EE3" s="773"/>
      <c r="EF3" s="773"/>
      <c r="EG3" s="773"/>
      <c r="EH3" s="773"/>
      <c r="EI3" s="773"/>
      <c r="EJ3" s="773"/>
      <c r="EK3" s="773"/>
      <c r="EL3" s="773"/>
      <c r="EM3" s="773"/>
      <c r="EN3" s="773"/>
      <c r="EO3" s="773"/>
      <c r="EP3" s="773"/>
      <c r="EQ3" s="773"/>
      <c r="ER3" s="773"/>
      <c r="ES3" s="773"/>
      <c r="ET3" s="773"/>
      <c r="EU3" s="773"/>
      <c r="EV3" s="773"/>
      <c r="EW3" s="773"/>
      <c r="EX3" s="773"/>
      <c r="EY3" s="773"/>
      <c r="EZ3" s="773"/>
      <c r="FA3" s="773"/>
      <c r="FB3" s="773"/>
      <c r="FC3" s="773"/>
      <c r="FD3" s="773"/>
      <c r="FE3" s="773"/>
      <c r="FF3" s="773"/>
      <c r="FG3" s="773"/>
      <c r="FH3" s="773"/>
      <c r="FI3" s="773"/>
      <c r="FJ3" s="773"/>
      <c r="FK3" s="773"/>
      <c r="FL3" s="773"/>
      <c r="FM3" s="773"/>
      <c r="FN3" s="773"/>
      <c r="FO3" s="773"/>
      <c r="FP3" s="773"/>
      <c r="FQ3" s="773"/>
      <c r="FR3" s="773"/>
      <c r="FS3" s="773"/>
      <c r="FT3" s="773"/>
      <c r="FU3" s="773"/>
      <c r="FV3" s="773"/>
      <c r="FW3" s="773"/>
      <c r="FX3" s="773"/>
      <c r="FY3" s="773"/>
      <c r="FZ3" s="773"/>
      <c r="GA3" s="773"/>
      <c r="GB3" s="773"/>
      <c r="GC3" s="773"/>
      <c r="GD3" s="773"/>
      <c r="GE3" s="773"/>
      <c r="GF3" s="773"/>
      <c r="GG3" s="773"/>
      <c r="GH3" s="773"/>
      <c r="GI3" s="773"/>
      <c r="GJ3" s="773"/>
      <c r="GK3" s="773"/>
      <c r="GL3" s="773"/>
      <c r="GM3" s="773"/>
      <c r="GN3" s="773"/>
      <c r="GO3" s="773"/>
      <c r="GP3" s="773"/>
      <c r="GQ3" s="773"/>
      <c r="GR3" s="773"/>
      <c r="GS3" s="773"/>
      <c r="GT3" s="773"/>
      <c r="GU3" s="773"/>
      <c r="GV3" s="773"/>
      <c r="GW3" s="773"/>
      <c r="GX3" s="773"/>
      <c r="GY3" s="773"/>
      <c r="GZ3" s="773"/>
    </row>
    <row r="4" spans="1:208" s="11" customFormat="1">
      <c r="A4" s="780"/>
      <c r="B4" s="3776"/>
      <c r="C4" s="782"/>
      <c r="D4" s="783"/>
      <c r="E4" s="784" t="s">
        <v>46</v>
      </c>
      <c r="F4" s="784" t="s">
        <v>47</v>
      </c>
      <c r="G4" s="784" t="s">
        <v>47</v>
      </c>
      <c r="H4" s="784" t="s">
        <v>47</v>
      </c>
      <c r="I4" s="784" t="s">
        <v>47</v>
      </c>
      <c r="J4" s="784" t="s">
        <v>48</v>
      </c>
      <c r="K4" s="778"/>
      <c r="L4" s="776"/>
      <c r="M4" s="790"/>
      <c r="N4" s="772"/>
      <c r="O4" s="772"/>
      <c r="P4" s="772"/>
      <c r="Q4" s="772"/>
      <c r="R4" s="772"/>
      <c r="S4" s="772"/>
      <c r="T4" s="773"/>
      <c r="AW4" s="2510"/>
      <c r="BC4" s="2510"/>
      <c r="BD4" s="2510"/>
      <c r="BE4" s="2510"/>
      <c r="BF4" s="2510"/>
      <c r="BH4" s="2510"/>
      <c r="BN4" s="209"/>
      <c r="BO4" s="209"/>
      <c r="BP4" s="209"/>
      <c r="BQ4" s="785"/>
      <c r="BR4" s="209"/>
      <c r="BS4" s="209"/>
      <c r="BT4" s="924"/>
      <c r="BU4" s="209"/>
      <c r="BV4" s="209"/>
      <c r="BW4" s="786"/>
      <c r="CA4" s="787"/>
      <c r="DB4" s="773"/>
      <c r="DC4" s="773"/>
      <c r="DD4" s="773"/>
      <c r="DE4" s="773"/>
      <c r="DF4" s="773"/>
      <c r="DG4" s="773"/>
      <c r="DH4" s="773"/>
      <c r="DI4" s="773"/>
      <c r="DJ4" s="773"/>
      <c r="DK4" s="773"/>
      <c r="DL4" s="773"/>
      <c r="DM4" s="773"/>
      <c r="DN4" s="773"/>
      <c r="DO4" s="773"/>
      <c r="DP4" s="773"/>
      <c r="DQ4" s="773"/>
      <c r="DR4" s="773"/>
      <c r="DS4" s="773"/>
      <c r="DT4" s="773"/>
      <c r="DU4" s="773"/>
      <c r="DV4" s="773"/>
      <c r="DW4" s="773"/>
      <c r="DX4" s="773"/>
      <c r="DY4" s="773"/>
      <c r="DZ4" s="773"/>
      <c r="EA4" s="773"/>
      <c r="EB4" s="773"/>
      <c r="EC4" s="773"/>
      <c r="ED4" s="773"/>
      <c r="EE4" s="773"/>
      <c r="EF4" s="773"/>
      <c r="EG4" s="773"/>
      <c r="EH4" s="773"/>
      <c r="EI4" s="773"/>
      <c r="EJ4" s="773"/>
      <c r="EK4" s="773"/>
      <c r="EL4" s="773"/>
      <c r="EM4" s="773"/>
      <c r="EN4" s="773"/>
      <c r="EO4" s="773"/>
      <c r="EP4" s="773"/>
      <c r="EQ4" s="773"/>
      <c r="ER4" s="773"/>
      <c r="ES4" s="773"/>
      <c r="ET4" s="773"/>
      <c r="EU4" s="773"/>
      <c r="EV4" s="773"/>
      <c r="EW4" s="773"/>
      <c r="EX4" s="773"/>
      <c r="EY4" s="773"/>
      <c r="EZ4" s="773"/>
      <c r="FA4" s="773"/>
      <c r="FB4" s="773"/>
      <c r="FC4" s="773"/>
      <c r="FD4" s="773"/>
      <c r="FE4" s="773"/>
      <c r="FF4" s="773"/>
      <c r="FG4" s="773"/>
      <c r="FH4" s="773"/>
      <c r="FI4" s="773"/>
      <c r="FJ4" s="773"/>
      <c r="FK4" s="773"/>
      <c r="FL4" s="773"/>
      <c r="FM4" s="773"/>
      <c r="FN4" s="773"/>
      <c r="FO4" s="773"/>
      <c r="FP4" s="773"/>
      <c r="FQ4" s="773"/>
      <c r="FR4" s="773"/>
      <c r="FS4" s="773"/>
      <c r="FT4" s="773"/>
      <c r="FU4" s="773"/>
      <c r="FV4" s="773"/>
      <c r="FW4" s="773"/>
      <c r="FX4" s="773"/>
      <c r="FY4" s="773"/>
      <c r="FZ4" s="773"/>
      <c r="GA4" s="773"/>
      <c r="GB4" s="773"/>
      <c r="GC4" s="773"/>
      <c r="GD4" s="773"/>
      <c r="GE4" s="773"/>
      <c r="GF4" s="773"/>
      <c r="GG4" s="773"/>
      <c r="GH4" s="773"/>
      <c r="GI4" s="773"/>
      <c r="GJ4" s="773"/>
      <c r="GK4" s="773"/>
      <c r="GL4" s="773"/>
      <c r="GM4" s="773"/>
      <c r="GN4" s="773"/>
      <c r="GO4" s="773"/>
      <c r="GP4" s="773"/>
      <c r="GQ4" s="773"/>
      <c r="GR4" s="773"/>
      <c r="GS4" s="773"/>
      <c r="GT4" s="773"/>
      <c r="GU4" s="773"/>
      <c r="GV4" s="773"/>
      <c r="GW4" s="773"/>
      <c r="GX4" s="773"/>
      <c r="GY4" s="773"/>
      <c r="GZ4" s="773"/>
    </row>
    <row r="5" spans="1:208" s="11" customFormat="1">
      <c r="A5" s="780"/>
      <c r="B5" s="3777"/>
      <c r="C5" s="767"/>
      <c r="D5" s="176"/>
      <c r="E5" s="788" t="s">
        <v>51</v>
      </c>
      <c r="F5" s="788" t="s">
        <v>52</v>
      </c>
      <c r="G5" s="788" t="s">
        <v>52</v>
      </c>
      <c r="H5" s="788" t="s">
        <v>52</v>
      </c>
      <c r="I5" s="788" t="s">
        <v>52</v>
      </c>
      <c r="J5" s="789" t="s">
        <v>53</v>
      </c>
      <c r="K5" s="778"/>
      <c r="L5" s="776"/>
      <c r="M5" s="790"/>
      <c r="N5" s="772"/>
      <c r="O5" s="772"/>
      <c r="P5" s="772"/>
      <c r="Q5" s="772"/>
      <c r="R5" s="772"/>
      <c r="S5" s="772"/>
      <c r="T5" s="773"/>
      <c r="AW5" s="2510"/>
      <c r="BC5" s="2510"/>
      <c r="BD5" s="2510"/>
      <c r="BE5" s="2510"/>
      <c r="BF5" s="2510"/>
      <c r="BH5" s="2510"/>
      <c r="BN5" s="209"/>
      <c r="BO5" s="209"/>
      <c r="BP5" s="209"/>
      <c r="BQ5" s="785"/>
      <c r="BR5" s="209"/>
      <c r="BS5" s="209"/>
      <c r="BT5" s="209"/>
      <c r="BU5" s="209"/>
      <c r="BV5" s="209"/>
      <c r="BW5" s="30"/>
      <c r="CA5" s="787"/>
      <c r="DB5" s="773"/>
      <c r="DC5" s="773"/>
      <c r="DD5" s="773"/>
      <c r="DE5" s="773"/>
      <c r="DF5" s="773"/>
      <c r="DG5" s="773"/>
      <c r="DH5" s="773"/>
      <c r="DI5" s="773"/>
      <c r="DJ5" s="773"/>
      <c r="DK5" s="773"/>
      <c r="DL5" s="773"/>
      <c r="DM5" s="773"/>
      <c r="DN5" s="773"/>
      <c r="DO5" s="773"/>
      <c r="DP5" s="773"/>
      <c r="DQ5" s="773"/>
      <c r="DR5" s="773"/>
      <c r="DS5" s="773"/>
      <c r="DT5" s="773"/>
      <c r="DU5" s="773"/>
      <c r="DV5" s="773"/>
      <c r="DW5" s="773"/>
      <c r="DX5" s="773"/>
      <c r="DY5" s="773"/>
      <c r="DZ5" s="773"/>
      <c r="EA5" s="773"/>
      <c r="EB5" s="773"/>
      <c r="EC5" s="773"/>
      <c r="ED5" s="773"/>
      <c r="EE5" s="773"/>
      <c r="EF5" s="773"/>
      <c r="EG5" s="773"/>
      <c r="EH5" s="773"/>
      <c r="EI5" s="773"/>
      <c r="EJ5" s="773"/>
      <c r="EK5" s="773"/>
      <c r="EL5" s="773"/>
      <c r="EM5" s="773"/>
      <c r="EN5" s="773"/>
      <c r="EO5" s="773"/>
      <c r="EP5" s="773"/>
      <c r="EQ5" s="773"/>
      <c r="ER5" s="773"/>
      <c r="ES5" s="773"/>
      <c r="ET5" s="773"/>
      <c r="EU5" s="773"/>
      <c r="EV5" s="773"/>
      <c r="EW5" s="773"/>
      <c r="EX5" s="773"/>
      <c r="EY5" s="773"/>
      <c r="EZ5" s="773"/>
      <c r="FA5" s="773"/>
      <c r="FB5" s="773"/>
      <c r="FC5" s="773"/>
      <c r="FD5" s="773"/>
      <c r="FE5" s="773"/>
      <c r="FF5" s="773"/>
      <c r="FG5" s="773"/>
      <c r="FH5" s="773"/>
      <c r="FI5" s="773"/>
      <c r="FJ5" s="773"/>
      <c r="FK5" s="773"/>
      <c r="FL5" s="773"/>
      <c r="FM5" s="773"/>
      <c r="FN5" s="773"/>
      <c r="FO5" s="773"/>
      <c r="FP5" s="773"/>
      <c r="FQ5" s="773"/>
      <c r="FR5" s="773"/>
      <c r="FS5" s="773"/>
      <c r="FT5" s="773"/>
      <c r="FU5" s="773"/>
      <c r="FV5" s="773"/>
      <c r="FW5" s="773"/>
      <c r="FX5" s="773"/>
      <c r="FY5" s="773"/>
      <c r="FZ5" s="773"/>
      <c r="GA5" s="773"/>
      <c r="GB5" s="773"/>
      <c r="GC5" s="773"/>
      <c r="GD5" s="773"/>
      <c r="GE5" s="773"/>
      <c r="GF5" s="773"/>
      <c r="GG5" s="773"/>
      <c r="GH5" s="773"/>
      <c r="GI5" s="773"/>
      <c r="GJ5" s="773"/>
      <c r="GK5" s="773"/>
      <c r="GL5" s="773"/>
      <c r="GM5" s="773"/>
      <c r="GN5" s="773"/>
      <c r="GO5" s="773"/>
      <c r="GP5" s="773"/>
      <c r="GQ5" s="773"/>
      <c r="GR5" s="773"/>
      <c r="GS5" s="773"/>
      <c r="GT5" s="773"/>
      <c r="GU5" s="773"/>
      <c r="GV5" s="773"/>
      <c r="GW5" s="773"/>
      <c r="GX5" s="773"/>
      <c r="GY5" s="773"/>
      <c r="GZ5" s="773"/>
    </row>
    <row r="6" spans="1:208" s="11" customFormat="1" ht="13.5" thickBot="1">
      <c r="A6" s="774"/>
      <c r="B6" s="3778"/>
      <c r="C6" s="791"/>
      <c r="D6" s="792"/>
      <c r="E6" s="793" t="s">
        <v>54</v>
      </c>
      <c r="F6" s="793" t="s">
        <v>177</v>
      </c>
      <c r="G6" s="793" t="s">
        <v>177</v>
      </c>
      <c r="H6" s="793" t="s">
        <v>55</v>
      </c>
      <c r="I6" s="793" t="s">
        <v>56</v>
      </c>
      <c r="J6" s="793" t="s">
        <v>177</v>
      </c>
      <c r="K6" s="925"/>
      <c r="L6" s="794"/>
      <c r="M6" s="790"/>
      <c r="N6" s="361" t="s">
        <v>2140</v>
      </c>
      <c r="O6" s="263" t="s">
        <v>2153</v>
      </c>
      <c r="P6" s="263" t="s">
        <v>2191</v>
      </c>
      <c r="Q6" s="263" t="s">
        <v>2203</v>
      </c>
      <c r="R6" s="263" t="s">
        <v>2276</v>
      </c>
      <c r="S6" s="361" t="s">
        <v>2229</v>
      </c>
      <c r="T6" s="263" t="s">
        <v>2570</v>
      </c>
      <c r="U6" s="263" t="s">
        <v>2571</v>
      </c>
      <c r="V6" s="2512" t="s">
        <v>2667</v>
      </c>
      <c r="W6" s="2512" t="s">
        <v>2833</v>
      </c>
      <c r="X6" s="2519" t="s">
        <v>3006</v>
      </c>
      <c r="Y6" s="2519" t="s">
        <v>2635</v>
      </c>
      <c r="Z6" s="2519" t="s">
        <v>2126</v>
      </c>
      <c r="AA6" s="2519" t="s">
        <v>2142</v>
      </c>
      <c r="AB6" s="2519" t="s">
        <v>2143</v>
      </c>
      <c r="AC6" s="2519" t="s">
        <v>3580</v>
      </c>
      <c r="AD6" s="2519" t="s">
        <v>3634</v>
      </c>
      <c r="AE6" s="2519" t="s">
        <v>3720</v>
      </c>
      <c r="AF6" s="2519" t="s">
        <v>3889</v>
      </c>
      <c r="AG6" s="2519" t="s">
        <v>3998</v>
      </c>
      <c r="AH6" s="2519" t="s">
        <v>4123</v>
      </c>
      <c r="AI6" s="2519" t="s">
        <v>4287</v>
      </c>
      <c r="AJ6" s="2519" t="s">
        <v>4402</v>
      </c>
      <c r="AK6" s="2519" t="s">
        <v>4570</v>
      </c>
      <c r="AL6" s="2519"/>
      <c r="AM6" s="2519"/>
      <c r="AN6" s="2519"/>
      <c r="AO6" s="2519"/>
      <c r="AQ6" s="2519"/>
      <c r="AR6" s="2519"/>
      <c r="AS6" s="2519"/>
      <c r="AT6" s="2519"/>
      <c r="AU6" s="2519"/>
      <c r="AV6" s="2519" t="s">
        <v>3209</v>
      </c>
      <c r="AW6" s="2519" t="s">
        <v>3033</v>
      </c>
      <c r="BH6" s="2512"/>
      <c r="BI6" s="2512"/>
      <c r="BJ6" s="361"/>
      <c r="BN6" s="209"/>
      <c r="BO6" s="209"/>
      <c r="BP6" s="795"/>
      <c r="BQ6" s="785"/>
      <c r="BR6" s="925"/>
      <c r="BS6" s="925"/>
      <c r="BT6" s="368"/>
      <c r="BU6" s="926"/>
      <c r="BV6" s="795"/>
      <c r="BW6" s="209"/>
      <c r="CA6" s="787"/>
      <c r="DB6" s="773"/>
      <c r="DC6" s="773"/>
      <c r="DD6" s="773"/>
      <c r="DE6" s="773"/>
      <c r="DF6" s="773"/>
      <c r="DG6" s="773"/>
      <c r="DH6" s="773"/>
      <c r="DI6" s="773"/>
      <c r="DJ6" s="773"/>
      <c r="DK6" s="773"/>
      <c r="DL6" s="773"/>
      <c r="DM6" s="773"/>
      <c r="DN6" s="773"/>
      <c r="DO6" s="773"/>
      <c r="DP6" s="773"/>
      <c r="DQ6" s="773"/>
      <c r="DR6" s="773"/>
      <c r="DS6" s="773"/>
      <c r="DT6" s="773"/>
      <c r="DU6" s="773"/>
      <c r="DV6" s="773"/>
      <c r="DW6" s="773"/>
      <c r="DX6" s="773"/>
      <c r="DY6" s="773"/>
      <c r="DZ6" s="773"/>
      <c r="EA6" s="773"/>
      <c r="EB6" s="773"/>
      <c r="EC6" s="773"/>
      <c r="ED6" s="773"/>
      <c r="EE6" s="773"/>
      <c r="EF6" s="773"/>
      <c r="EG6" s="773"/>
      <c r="EH6" s="773"/>
      <c r="EI6" s="773"/>
      <c r="EJ6" s="773"/>
      <c r="EK6" s="773"/>
      <c r="EL6" s="773"/>
      <c r="EM6" s="773"/>
      <c r="EN6" s="773"/>
      <c r="EO6" s="773"/>
      <c r="EP6" s="773"/>
      <c r="EQ6" s="773"/>
      <c r="ER6" s="773"/>
      <c r="ES6" s="773"/>
      <c r="ET6" s="773"/>
      <c r="EU6" s="773"/>
      <c r="EV6" s="773"/>
      <c r="EW6" s="773"/>
      <c r="EX6" s="773"/>
      <c r="EY6" s="773"/>
      <c r="EZ6" s="773"/>
      <c r="FA6" s="773"/>
      <c r="FB6" s="773"/>
      <c r="FC6" s="773"/>
      <c r="FD6" s="773"/>
      <c r="FE6" s="773"/>
      <c r="FF6" s="773"/>
      <c r="FG6" s="773"/>
      <c r="FH6" s="773"/>
      <c r="FI6" s="773"/>
      <c r="FJ6" s="773"/>
      <c r="FK6" s="773"/>
      <c r="FL6" s="773"/>
      <c r="FM6" s="773"/>
      <c r="FN6" s="773"/>
      <c r="FO6" s="773"/>
      <c r="FP6" s="773"/>
      <c r="FQ6" s="773"/>
      <c r="FR6" s="773"/>
      <c r="FS6" s="773"/>
      <c r="FT6" s="773"/>
      <c r="FU6" s="773"/>
      <c r="FV6" s="773"/>
      <c r="FW6" s="773"/>
      <c r="FX6" s="773"/>
      <c r="FY6" s="773"/>
      <c r="FZ6" s="773"/>
      <c r="GA6" s="773"/>
      <c r="GB6" s="773"/>
      <c r="GC6" s="773"/>
      <c r="GD6" s="773"/>
      <c r="GE6" s="773"/>
      <c r="GF6" s="773"/>
      <c r="GG6" s="773"/>
      <c r="GH6" s="773"/>
      <c r="GI6" s="773"/>
      <c r="GJ6" s="773"/>
      <c r="GK6" s="773"/>
      <c r="GL6" s="773"/>
      <c r="GM6" s="773"/>
      <c r="GN6" s="773"/>
      <c r="GO6" s="773"/>
      <c r="GP6" s="773"/>
      <c r="GQ6" s="773"/>
      <c r="GR6" s="773"/>
      <c r="GS6" s="773"/>
      <c r="GT6" s="773"/>
      <c r="GU6" s="773"/>
      <c r="GV6" s="773"/>
      <c r="GW6" s="773"/>
      <c r="GX6" s="773"/>
      <c r="GY6" s="773"/>
      <c r="GZ6" s="773"/>
    </row>
    <row r="7" spans="1:208" s="11" customFormat="1" ht="13.5" thickBot="1">
      <c r="A7" s="774"/>
      <c r="B7" s="3779"/>
      <c r="C7" s="848"/>
      <c r="D7" s="927" t="s">
        <v>58</v>
      </c>
      <c r="E7" s="796"/>
      <c r="F7" s="769"/>
      <c r="G7" s="769"/>
      <c r="H7" s="769"/>
      <c r="I7" s="769"/>
      <c r="J7" s="769"/>
      <c r="K7" s="925"/>
      <c r="L7" s="797"/>
      <c r="M7" s="771"/>
      <c r="N7" s="32"/>
      <c r="O7" s="32"/>
      <c r="P7" s="772"/>
      <c r="Q7" s="772"/>
      <c r="R7" s="772"/>
      <c r="S7" s="772"/>
      <c r="T7" s="773"/>
      <c r="AW7" s="2510"/>
      <c r="AX7" s="820"/>
      <c r="AY7" s="820"/>
      <c r="AZ7" s="820"/>
      <c r="BC7" s="2510"/>
      <c r="BD7" s="2510"/>
      <c r="BE7" s="2510"/>
      <c r="BF7" s="2510"/>
      <c r="BH7" s="2510"/>
      <c r="BI7" s="2512"/>
      <c r="BN7" s="209"/>
      <c r="BO7" s="209"/>
      <c r="BP7" s="924"/>
      <c r="BQ7" s="785"/>
      <c r="BR7" s="925"/>
      <c r="BS7" s="925"/>
      <c r="BT7" s="925"/>
      <c r="BU7" s="209"/>
      <c r="BV7" s="924"/>
      <c r="BW7" s="209"/>
      <c r="CA7" s="787"/>
      <c r="DB7" s="773"/>
      <c r="DC7" s="773"/>
      <c r="DD7" s="773"/>
      <c r="DE7" s="773"/>
      <c r="DF7" s="773"/>
      <c r="DG7" s="773"/>
      <c r="DH7" s="773"/>
      <c r="DI7" s="773"/>
      <c r="DJ7" s="773"/>
      <c r="DK7" s="773"/>
      <c r="DL7" s="773"/>
      <c r="DM7" s="773"/>
      <c r="DN7" s="773"/>
      <c r="DO7" s="773"/>
      <c r="DP7" s="773"/>
      <c r="DQ7" s="773"/>
      <c r="DR7" s="773"/>
      <c r="DS7" s="773"/>
      <c r="DT7" s="773"/>
      <c r="DU7" s="773"/>
      <c r="DV7" s="773"/>
      <c r="DW7" s="773"/>
      <c r="DX7" s="773"/>
      <c r="DY7" s="773"/>
      <c r="DZ7" s="773"/>
      <c r="EA7" s="773"/>
      <c r="EB7" s="773"/>
      <c r="EC7" s="773"/>
      <c r="ED7" s="773"/>
      <c r="EE7" s="773"/>
      <c r="EF7" s="773"/>
      <c r="EG7" s="773"/>
      <c r="EH7" s="773"/>
      <c r="EI7" s="773"/>
      <c r="EJ7" s="773"/>
      <c r="EK7" s="773"/>
      <c r="EL7" s="773"/>
      <c r="EM7" s="773"/>
      <c r="EN7" s="773"/>
      <c r="EO7" s="773"/>
      <c r="EP7" s="773"/>
      <c r="EQ7" s="773"/>
      <c r="ER7" s="773"/>
      <c r="ES7" s="773"/>
      <c r="ET7" s="773"/>
      <c r="EU7" s="773"/>
      <c r="EV7" s="773"/>
      <c r="EW7" s="773"/>
      <c r="EX7" s="773"/>
      <c r="EY7" s="773"/>
      <c r="EZ7" s="773"/>
      <c r="FA7" s="773"/>
      <c r="FB7" s="773"/>
      <c r="FC7" s="773"/>
      <c r="FD7" s="773"/>
      <c r="FE7" s="773"/>
      <c r="FF7" s="773"/>
      <c r="FG7" s="773"/>
      <c r="FH7" s="773"/>
      <c r="FI7" s="773"/>
      <c r="FJ7" s="773"/>
      <c r="FK7" s="773"/>
      <c r="FL7" s="773"/>
      <c r="FM7" s="773"/>
      <c r="FN7" s="773"/>
      <c r="FO7" s="773"/>
      <c r="FP7" s="773"/>
      <c r="FQ7" s="773"/>
      <c r="FR7" s="773"/>
      <c r="FS7" s="773"/>
      <c r="FT7" s="773"/>
      <c r="FU7" s="773"/>
      <c r="FV7" s="773"/>
      <c r="FW7" s="773"/>
      <c r="FX7" s="773"/>
      <c r="FY7" s="773"/>
      <c r="FZ7" s="773"/>
      <c r="GA7" s="773"/>
      <c r="GB7" s="773"/>
      <c r="GC7" s="773"/>
      <c r="GD7" s="773"/>
      <c r="GE7" s="773"/>
      <c r="GF7" s="773"/>
      <c r="GG7" s="773"/>
      <c r="GH7" s="773"/>
      <c r="GI7" s="773"/>
      <c r="GJ7" s="773"/>
      <c r="GK7" s="773"/>
      <c r="GL7" s="773"/>
      <c r="GM7" s="773"/>
      <c r="GN7" s="773"/>
      <c r="GO7" s="773"/>
      <c r="GP7" s="773"/>
      <c r="GQ7" s="773"/>
      <c r="GR7" s="773"/>
      <c r="GS7" s="773"/>
      <c r="GT7" s="773"/>
      <c r="GU7" s="773"/>
      <c r="GV7" s="773"/>
      <c r="GW7" s="773"/>
      <c r="GX7" s="773"/>
      <c r="GY7" s="773"/>
      <c r="GZ7" s="773"/>
    </row>
    <row r="8" spans="1:208" s="11" customFormat="1">
      <c r="A8" s="774"/>
      <c r="B8" s="3761" t="s">
        <v>665</v>
      </c>
      <c r="C8" s="197">
        <v>1000002</v>
      </c>
      <c r="D8" s="200" t="s">
        <v>795</v>
      </c>
      <c r="E8" s="42">
        <f>VLOOKUP(C8,'AJE 12 - INC'!$D$168:$F$345,3,0)</f>
        <v>4128525.95</v>
      </c>
      <c r="F8" s="1325">
        <f>SUMIF('AJE 12 - INC'!B:B,'New TB INC'!C8,'AJE 12 - INC'!D:D)</f>
        <v>0</v>
      </c>
      <c r="G8" s="1326"/>
      <c r="H8" s="1325"/>
      <c r="I8" s="1325"/>
      <c r="J8" s="3399">
        <f>SUM(E8:I8)</f>
        <v>4128525.95</v>
      </c>
      <c r="K8" s="209"/>
      <c r="L8" s="434"/>
      <c r="M8" s="2166"/>
      <c r="N8" s="772"/>
      <c r="O8" s="32"/>
      <c r="P8" s="772"/>
      <c r="Q8" s="772"/>
      <c r="R8" s="772"/>
      <c r="S8" s="772"/>
      <c r="T8" s="773"/>
      <c r="AW8" s="2513"/>
      <c r="AX8" s="820"/>
      <c r="AY8" s="820"/>
      <c r="AZ8" s="820"/>
      <c r="BA8" s="820"/>
      <c r="BB8" s="820"/>
      <c r="BC8" s="2513"/>
      <c r="BD8" s="2513"/>
      <c r="BE8" s="2513"/>
      <c r="BF8" s="2513"/>
      <c r="BH8" s="2513"/>
      <c r="BI8" s="820"/>
      <c r="BJ8" s="820"/>
      <c r="BK8" s="820"/>
      <c r="BL8" s="820"/>
      <c r="BM8" s="820"/>
      <c r="BN8" s="822"/>
      <c r="BO8" s="800"/>
      <c r="BP8" s="800"/>
      <c r="BQ8" s="785"/>
      <c r="BR8" s="820"/>
      <c r="BS8" s="820"/>
      <c r="BT8" s="30"/>
      <c r="BU8" s="800"/>
      <c r="BV8" s="800"/>
      <c r="BW8" s="209"/>
      <c r="CA8" s="787"/>
      <c r="DB8" s="773"/>
      <c r="DC8" s="773"/>
      <c r="DD8" s="773"/>
      <c r="DE8" s="773"/>
      <c r="DF8" s="773"/>
      <c r="DG8" s="773"/>
      <c r="DH8" s="773"/>
      <c r="DI8" s="773"/>
      <c r="DJ8" s="773"/>
      <c r="DK8" s="773"/>
      <c r="DL8" s="773"/>
      <c r="DM8" s="773"/>
      <c r="DN8" s="773"/>
      <c r="DO8" s="773"/>
      <c r="DP8" s="773"/>
      <c r="DQ8" s="773"/>
      <c r="DR8" s="773"/>
      <c r="DS8" s="773"/>
      <c r="DT8" s="773"/>
      <c r="DU8" s="773"/>
      <c r="DV8" s="773"/>
      <c r="DW8" s="773"/>
      <c r="DX8" s="773"/>
      <c r="DY8" s="773"/>
      <c r="DZ8" s="773"/>
      <c r="EA8" s="773"/>
      <c r="EB8" s="773"/>
      <c r="EC8" s="773"/>
      <c r="ED8" s="773"/>
      <c r="EE8" s="773"/>
      <c r="EF8" s="773"/>
      <c r="EG8" s="773"/>
      <c r="EH8" s="773"/>
      <c r="EI8" s="773"/>
      <c r="EJ8" s="773"/>
      <c r="EK8" s="773"/>
      <c r="EL8" s="773"/>
      <c r="EM8" s="773"/>
      <c r="EN8" s="773"/>
      <c r="EO8" s="773"/>
      <c r="EP8" s="773"/>
      <c r="EQ8" s="773"/>
      <c r="ER8" s="773"/>
      <c r="ES8" s="773"/>
      <c r="ET8" s="773"/>
      <c r="EU8" s="773"/>
      <c r="EV8" s="773"/>
      <c r="EW8" s="773"/>
      <c r="EX8" s="773"/>
      <c r="EY8" s="773"/>
      <c r="EZ8" s="773"/>
      <c r="FA8" s="773"/>
      <c r="FB8" s="773"/>
      <c r="FC8" s="773"/>
      <c r="FD8" s="773"/>
      <c r="FE8" s="773"/>
      <c r="FF8" s="773"/>
      <c r="FG8" s="773"/>
      <c r="FH8" s="773"/>
      <c r="FI8" s="773"/>
      <c r="FJ8" s="773"/>
      <c r="FK8" s="773"/>
      <c r="FL8" s="773"/>
      <c r="FM8" s="773"/>
      <c r="FN8" s="773"/>
      <c r="FO8" s="773"/>
      <c r="FP8" s="773"/>
      <c r="FQ8" s="773"/>
      <c r="FR8" s="773"/>
      <c r="FS8" s="773"/>
      <c r="FT8" s="773"/>
      <c r="FU8" s="773"/>
      <c r="FV8" s="773"/>
      <c r="FW8" s="773"/>
      <c r="FX8" s="773"/>
      <c r="FY8" s="773"/>
      <c r="FZ8" s="773"/>
      <c r="GA8" s="773"/>
      <c r="GB8" s="773"/>
      <c r="GC8" s="773"/>
      <c r="GD8" s="773"/>
      <c r="GE8" s="773"/>
      <c r="GF8" s="773"/>
      <c r="GG8" s="773"/>
      <c r="GH8" s="773"/>
      <c r="GI8" s="773"/>
      <c r="GJ8" s="773"/>
      <c r="GK8" s="773"/>
      <c r="GL8" s="773"/>
      <c r="GM8" s="773"/>
      <c r="GN8" s="773"/>
      <c r="GO8" s="773"/>
      <c r="GP8" s="773"/>
      <c r="GQ8" s="773"/>
      <c r="GR8" s="773"/>
      <c r="GS8" s="773"/>
      <c r="GT8" s="773"/>
      <c r="GU8" s="773"/>
      <c r="GV8" s="773"/>
      <c r="GW8" s="773"/>
      <c r="GX8" s="773"/>
      <c r="GY8" s="773"/>
      <c r="GZ8" s="773"/>
    </row>
    <row r="9" spans="1:208" s="11" customFormat="1">
      <c r="A9" s="774"/>
      <c r="B9" s="3761" t="s">
        <v>665</v>
      </c>
      <c r="C9" s="197">
        <v>1000003</v>
      </c>
      <c r="D9" s="200" t="s">
        <v>796</v>
      </c>
      <c r="E9" s="42">
        <f>VLOOKUP(C9,'AJE 12 - INC'!$D$168:$F$345,3,0)</f>
        <v>16738579.710000001</v>
      </c>
      <c r="F9" s="1325">
        <f>SUMIF('AJE 12 - INC'!B:B,'New TB INC'!C9,'AJE 12 - INC'!D:D)</f>
        <v>0</v>
      </c>
      <c r="G9" s="1326"/>
      <c r="H9" s="1325"/>
      <c r="I9" s="1325"/>
      <c r="J9" s="798">
        <f>SUM(E9:I9)</f>
        <v>16738579.710000001</v>
      </c>
      <c r="K9" s="209"/>
      <c r="L9" s="434"/>
      <c r="M9" s="2166"/>
      <c r="N9" s="772"/>
      <c r="O9" s="772"/>
      <c r="P9" s="772"/>
      <c r="Q9" s="772"/>
      <c r="R9" s="772"/>
      <c r="S9" s="772"/>
      <c r="T9" s="773"/>
      <c r="U9" s="799"/>
      <c r="AW9" s="2513"/>
      <c r="AX9" s="820"/>
      <c r="AY9" s="820"/>
      <c r="AZ9" s="820"/>
      <c r="BA9" s="820"/>
      <c r="BB9" s="820"/>
      <c r="BC9" s="2513"/>
      <c r="BD9" s="2513"/>
      <c r="BE9" s="2513"/>
      <c r="BF9" s="2513"/>
      <c r="BH9" s="2513"/>
      <c r="BI9" s="820"/>
      <c r="BJ9" s="820"/>
      <c r="BK9" s="820"/>
      <c r="BL9" s="820"/>
      <c r="BM9" s="820"/>
      <c r="BN9" s="822"/>
      <c r="BO9" s="800"/>
      <c r="BP9" s="800"/>
      <c r="BQ9" s="785"/>
      <c r="BR9" s="820"/>
      <c r="BS9" s="820"/>
      <c r="BT9" s="30"/>
      <c r="BU9" s="800"/>
      <c r="BV9" s="800"/>
      <c r="BW9" s="209"/>
      <c r="CA9" s="787"/>
      <c r="DB9" s="773"/>
      <c r="DC9" s="773"/>
      <c r="DD9" s="773"/>
      <c r="DE9" s="773"/>
      <c r="DF9" s="773"/>
      <c r="DG9" s="773"/>
      <c r="DH9" s="773"/>
      <c r="DI9" s="773"/>
      <c r="DJ9" s="773"/>
      <c r="DK9" s="773"/>
      <c r="DL9" s="773"/>
      <c r="DM9" s="773"/>
      <c r="DN9" s="773"/>
      <c r="DO9" s="773"/>
      <c r="DP9" s="773"/>
      <c r="DQ9" s="773"/>
      <c r="DR9" s="773"/>
      <c r="DS9" s="773"/>
      <c r="DT9" s="773"/>
      <c r="DU9" s="773"/>
      <c r="DV9" s="773"/>
      <c r="DW9" s="773"/>
      <c r="DX9" s="773"/>
      <c r="DY9" s="773"/>
      <c r="DZ9" s="773"/>
      <c r="EA9" s="773"/>
      <c r="EB9" s="773"/>
      <c r="EC9" s="773"/>
      <c r="ED9" s="773"/>
      <c r="EE9" s="773"/>
      <c r="EF9" s="773"/>
      <c r="EG9" s="773"/>
      <c r="EH9" s="773"/>
      <c r="EI9" s="773"/>
      <c r="EJ9" s="773"/>
      <c r="EK9" s="773"/>
      <c r="EL9" s="773"/>
      <c r="EM9" s="773"/>
      <c r="EN9" s="773"/>
      <c r="EO9" s="773"/>
      <c r="EP9" s="773"/>
      <c r="EQ9" s="773"/>
      <c r="ER9" s="773"/>
      <c r="ES9" s="773"/>
      <c r="ET9" s="773"/>
      <c r="EU9" s="773"/>
      <c r="EV9" s="773"/>
      <c r="EW9" s="773"/>
      <c r="EX9" s="773"/>
      <c r="EY9" s="773"/>
      <c r="EZ9" s="773"/>
      <c r="FA9" s="773"/>
      <c r="FB9" s="773"/>
      <c r="FC9" s="773"/>
      <c r="FD9" s="773"/>
      <c r="FE9" s="773"/>
      <c r="FF9" s="773"/>
      <c r="FG9" s="773"/>
      <c r="FH9" s="773"/>
      <c r="FI9" s="773"/>
      <c r="FJ9" s="773"/>
      <c r="FK9" s="773"/>
      <c r="FL9" s="773"/>
      <c r="FM9" s="773"/>
      <c r="FN9" s="773"/>
      <c r="FO9" s="773"/>
      <c r="FP9" s="773"/>
      <c r="FQ9" s="773"/>
      <c r="FR9" s="773"/>
      <c r="FS9" s="773"/>
      <c r="FT9" s="773"/>
      <c r="FU9" s="773"/>
      <c r="FV9" s="773"/>
      <c r="FW9" s="773"/>
      <c r="FX9" s="773"/>
      <c r="FY9" s="773"/>
      <c r="FZ9" s="773"/>
      <c r="GA9" s="773"/>
      <c r="GB9" s="773"/>
      <c r="GC9" s="773"/>
      <c r="GD9" s="773"/>
      <c r="GE9" s="773"/>
      <c r="GF9" s="773"/>
      <c r="GG9" s="773"/>
      <c r="GH9" s="773"/>
      <c r="GI9" s="773"/>
      <c r="GJ9" s="773"/>
      <c r="GK9" s="773"/>
      <c r="GL9" s="773"/>
      <c r="GM9" s="773"/>
      <c r="GN9" s="773"/>
      <c r="GO9" s="773"/>
      <c r="GP9" s="773"/>
      <c r="GQ9" s="773"/>
      <c r="GR9" s="773"/>
      <c r="GS9" s="773"/>
      <c r="GT9" s="773"/>
      <c r="GU9" s="773"/>
      <c r="GV9" s="773"/>
      <c r="GW9" s="773"/>
      <c r="GX9" s="773"/>
      <c r="GY9" s="773"/>
      <c r="GZ9" s="773"/>
    </row>
    <row r="10" spans="1:208" s="11" customFormat="1">
      <c r="A10" s="774"/>
      <c r="B10" s="3763" t="s">
        <v>2329</v>
      </c>
      <c r="C10" s="197">
        <v>10002</v>
      </c>
      <c r="D10" s="200" t="s">
        <v>3915</v>
      </c>
      <c r="E10" s="42">
        <f>VLOOKUP(C10,'AJE 12 - INC'!$D$168:$F$345,3,0)</f>
        <v>32.31</v>
      </c>
      <c r="F10" s="1325">
        <f>SUMIF('AJE 12 - INC'!B:B,'New TB INC'!C10,'AJE 12 - INC'!D:D)</f>
        <v>0</v>
      </c>
      <c r="G10" s="1326"/>
      <c r="H10" s="1325"/>
      <c r="I10" s="1325"/>
      <c r="J10" s="798">
        <f>SUM(E10:I10)</f>
        <v>32.31</v>
      </c>
      <c r="K10" s="209" t="s">
        <v>3936</v>
      </c>
      <c r="L10" s="434"/>
      <c r="M10" s="2166"/>
      <c r="N10" s="772"/>
      <c r="O10" s="772"/>
      <c r="P10" s="772"/>
      <c r="Q10" s="772"/>
      <c r="R10" s="772"/>
      <c r="S10" s="772"/>
      <c r="T10" s="773"/>
      <c r="U10" s="799"/>
      <c r="AW10" s="2513"/>
      <c r="AX10" s="820"/>
      <c r="AY10" s="820"/>
      <c r="AZ10" s="820"/>
      <c r="BA10" s="820"/>
      <c r="BB10" s="820"/>
      <c r="BC10" s="2513"/>
      <c r="BD10" s="2513"/>
      <c r="BE10" s="2513"/>
      <c r="BF10" s="2513"/>
      <c r="BH10" s="2513"/>
      <c r="BI10" s="820"/>
      <c r="BJ10" s="820"/>
      <c r="BK10" s="820"/>
      <c r="BL10" s="820"/>
      <c r="BM10" s="820"/>
      <c r="BN10" s="822"/>
      <c r="BO10" s="800"/>
      <c r="BP10" s="800"/>
      <c r="BQ10" s="785"/>
      <c r="BR10" s="820"/>
      <c r="BS10" s="820"/>
      <c r="BT10" s="30"/>
      <c r="BU10" s="800"/>
      <c r="BV10" s="800"/>
      <c r="BW10" s="209"/>
      <c r="CA10" s="787"/>
      <c r="DB10" s="773"/>
      <c r="DC10" s="773"/>
      <c r="DD10" s="773"/>
      <c r="DE10" s="773"/>
      <c r="DF10" s="773"/>
      <c r="DG10" s="773"/>
      <c r="DH10" s="773"/>
      <c r="DI10" s="773"/>
      <c r="DJ10" s="773"/>
      <c r="DK10" s="773"/>
      <c r="DL10" s="773"/>
      <c r="DM10" s="773"/>
      <c r="DN10" s="773"/>
      <c r="DO10" s="773"/>
      <c r="DP10" s="773"/>
      <c r="DQ10" s="773"/>
      <c r="DR10" s="773"/>
      <c r="DS10" s="773"/>
      <c r="DT10" s="773"/>
      <c r="DU10" s="773"/>
      <c r="DV10" s="773"/>
      <c r="DW10" s="773"/>
      <c r="DX10" s="773"/>
      <c r="DY10" s="773"/>
      <c r="DZ10" s="773"/>
      <c r="EA10" s="773"/>
      <c r="EB10" s="773"/>
      <c r="EC10" s="773"/>
      <c r="ED10" s="773"/>
      <c r="EE10" s="773"/>
      <c r="EF10" s="773"/>
      <c r="EG10" s="773"/>
      <c r="EH10" s="773"/>
      <c r="EI10" s="773"/>
      <c r="EJ10" s="773"/>
      <c r="EK10" s="773"/>
      <c r="EL10" s="773"/>
      <c r="EM10" s="773"/>
      <c r="EN10" s="773"/>
      <c r="EO10" s="773"/>
      <c r="EP10" s="773"/>
      <c r="EQ10" s="773"/>
      <c r="ER10" s="773"/>
      <c r="ES10" s="773"/>
      <c r="ET10" s="773"/>
      <c r="EU10" s="773"/>
      <c r="EV10" s="773"/>
      <c r="EW10" s="773"/>
      <c r="EX10" s="773"/>
      <c r="EY10" s="773"/>
      <c r="EZ10" s="773"/>
      <c r="FA10" s="773"/>
      <c r="FB10" s="773"/>
      <c r="FC10" s="773"/>
      <c r="FD10" s="773"/>
      <c r="FE10" s="773"/>
      <c r="FF10" s="773"/>
      <c r="FG10" s="773"/>
      <c r="FH10" s="773"/>
      <c r="FI10" s="773"/>
      <c r="FJ10" s="773"/>
      <c r="FK10" s="773"/>
      <c r="FL10" s="773"/>
      <c r="FM10" s="773"/>
      <c r="FN10" s="773"/>
      <c r="FO10" s="773"/>
      <c r="FP10" s="773"/>
      <c r="FQ10" s="773"/>
      <c r="FR10" s="773"/>
      <c r="FS10" s="773"/>
      <c r="FT10" s="773"/>
      <c r="FU10" s="773"/>
      <c r="FV10" s="773"/>
      <c r="FW10" s="773"/>
      <c r="FX10" s="773"/>
      <c r="FY10" s="773"/>
      <c r="FZ10" s="773"/>
      <c r="GA10" s="773"/>
      <c r="GB10" s="773"/>
      <c r="GC10" s="773"/>
      <c r="GD10" s="773"/>
      <c r="GE10" s="773"/>
      <c r="GF10" s="773"/>
      <c r="GG10" s="773"/>
      <c r="GH10" s="773"/>
      <c r="GI10" s="773"/>
      <c r="GJ10" s="773"/>
      <c r="GK10" s="773"/>
      <c r="GL10" s="773"/>
      <c r="GM10" s="773"/>
      <c r="GN10" s="773"/>
      <c r="GO10" s="773"/>
      <c r="GP10" s="773"/>
      <c r="GQ10" s="773"/>
      <c r="GR10" s="773"/>
      <c r="GS10" s="773"/>
      <c r="GT10" s="773"/>
      <c r="GU10" s="773"/>
      <c r="GV10" s="773"/>
      <c r="GW10" s="773"/>
      <c r="GX10" s="773"/>
      <c r="GY10" s="773"/>
      <c r="GZ10" s="773"/>
    </row>
    <row r="11" spans="1:208" s="11" customFormat="1">
      <c r="A11" s="774"/>
      <c r="B11" s="3763" t="s">
        <v>665</v>
      </c>
      <c r="C11" s="197">
        <v>1000031</v>
      </c>
      <c r="D11" s="200" t="s">
        <v>1347</v>
      </c>
      <c r="E11" s="1720">
        <f>VLOOKUP(C11,'AJE 12 - INC'!$D$168:$F$345,3,0)</f>
        <v>-0.2</v>
      </c>
      <c r="F11" s="1325">
        <f>SUMIF('AJE 12 - INC'!B:B,'New TB INC'!C11,'AJE 12 - INC'!D:D)</f>
        <v>0</v>
      </c>
      <c r="G11" s="1326"/>
      <c r="H11" s="1325"/>
      <c r="I11" s="1325"/>
      <c r="J11" s="798">
        <f>SUM(E11:I11)</f>
        <v>-0.2</v>
      </c>
      <c r="K11" s="209" t="s">
        <v>3935</v>
      </c>
      <c r="L11" s="434"/>
      <c r="M11" s="771"/>
      <c r="N11" s="772"/>
      <c r="O11" s="772"/>
      <c r="P11" s="32"/>
      <c r="Q11" s="772"/>
      <c r="R11" s="772"/>
      <c r="S11" s="772"/>
      <c r="T11" s="773"/>
      <c r="U11" s="799"/>
      <c r="AW11" s="2513"/>
      <c r="AX11" s="820"/>
      <c r="AY11" s="820"/>
      <c r="AZ11" s="820"/>
      <c r="BA11" s="820"/>
      <c r="BB11" s="820"/>
      <c r="BC11" s="2513"/>
      <c r="BD11" s="2513"/>
      <c r="BE11" s="2513"/>
      <c r="BF11" s="2513"/>
      <c r="BH11" s="2513"/>
      <c r="BI11" s="820"/>
      <c r="BJ11" s="820"/>
      <c r="BK11" s="820"/>
      <c r="BL11" s="820"/>
      <c r="BM11" s="820"/>
      <c r="BN11" s="822"/>
      <c r="BO11" s="800"/>
      <c r="BP11" s="800"/>
      <c r="BQ11" s="785"/>
      <c r="BR11" s="820"/>
      <c r="BS11" s="820"/>
      <c r="BT11" s="30"/>
      <c r="BU11" s="800"/>
      <c r="BV11" s="800"/>
      <c r="BW11" s="209"/>
      <c r="CA11" s="787"/>
      <c r="DB11" s="773"/>
      <c r="DC11" s="773"/>
      <c r="DD11" s="773"/>
      <c r="DE11" s="773"/>
      <c r="DF11" s="773"/>
      <c r="DG11" s="773"/>
      <c r="DH11" s="773"/>
      <c r="DI11" s="773"/>
      <c r="DJ11" s="773"/>
      <c r="DK11" s="773"/>
      <c r="DL11" s="773"/>
      <c r="DM11" s="773"/>
      <c r="DN11" s="773"/>
      <c r="DO11" s="773"/>
      <c r="DP11" s="773"/>
      <c r="DQ11" s="773"/>
      <c r="DR11" s="773"/>
      <c r="DS11" s="773"/>
      <c r="DT11" s="773"/>
      <c r="DU11" s="773"/>
      <c r="DV11" s="773"/>
      <c r="DW11" s="773"/>
      <c r="DX11" s="773"/>
      <c r="DY11" s="773"/>
      <c r="DZ11" s="773"/>
      <c r="EA11" s="773"/>
      <c r="EB11" s="773"/>
      <c r="EC11" s="773"/>
      <c r="ED11" s="773"/>
      <c r="EE11" s="773"/>
      <c r="EF11" s="773"/>
      <c r="EG11" s="773"/>
      <c r="EH11" s="773"/>
      <c r="EI11" s="773"/>
      <c r="EJ11" s="773"/>
      <c r="EK11" s="773"/>
      <c r="EL11" s="773"/>
      <c r="EM11" s="773"/>
      <c r="EN11" s="773"/>
      <c r="EO11" s="773"/>
      <c r="EP11" s="773"/>
      <c r="EQ11" s="773"/>
      <c r="ER11" s="773"/>
      <c r="ES11" s="773"/>
      <c r="ET11" s="773"/>
      <c r="EU11" s="773"/>
      <c r="EV11" s="773"/>
      <c r="EW11" s="773"/>
      <c r="EX11" s="773"/>
      <c r="EY11" s="773"/>
      <c r="EZ11" s="773"/>
      <c r="FA11" s="773"/>
      <c r="FB11" s="773"/>
      <c r="FC11" s="773"/>
      <c r="FD11" s="773"/>
      <c r="FE11" s="773"/>
      <c r="FF11" s="773"/>
      <c r="FG11" s="773"/>
      <c r="FH11" s="773"/>
      <c r="FI11" s="773"/>
      <c r="FJ11" s="773"/>
      <c r="FK11" s="773"/>
      <c r="FL11" s="773"/>
      <c r="FM11" s="773"/>
      <c r="FN11" s="773"/>
      <c r="FO11" s="773"/>
      <c r="FP11" s="773"/>
      <c r="FQ11" s="773"/>
      <c r="FR11" s="773"/>
      <c r="FS11" s="773"/>
      <c r="FT11" s="773"/>
      <c r="FU11" s="773"/>
      <c r="FV11" s="773"/>
      <c r="FW11" s="773"/>
      <c r="FX11" s="773"/>
      <c r="FY11" s="773"/>
      <c r="FZ11" s="773"/>
      <c r="GA11" s="773"/>
      <c r="GB11" s="773"/>
      <c r="GC11" s="773"/>
      <c r="GD11" s="773"/>
      <c r="GE11" s="773"/>
      <c r="GF11" s="773"/>
      <c r="GG11" s="773"/>
      <c r="GH11" s="773"/>
      <c r="GI11" s="773"/>
      <c r="GJ11" s="773"/>
      <c r="GK11" s="773"/>
      <c r="GL11" s="773"/>
      <c r="GM11" s="773"/>
      <c r="GN11" s="773"/>
      <c r="GO11" s="773"/>
      <c r="GP11" s="773"/>
      <c r="GQ11" s="773"/>
      <c r="GR11" s="773"/>
      <c r="GS11" s="773"/>
      <c r="GT11" s="773"/>
      <c r="GU11" s="773"/>
      <c r="GV11" s="773"/>
      <c r="GW11" s="773"/>
      <c r="GX11" s="773"/>
      <c r="GY11" s="773"/>
      <c r="GZ11" s="773"/>
    </row>
    <row r="12" spans="1:208" s="11" customFormat="1">
      <c r="A12" s="774"/>
      <c r="B12" s="3763"/>
      <c r="C12" s="442"/>
      <c r="D12" s="167"/>
      <c r="E12" s="42"/>
      <c r="F12" s="1326"/>
      <c r="G12" s="1326"/>
      <c r="H12" s="1325"/>
      <c r="I12" s="1325"/>
      <c r="J12" s="798"/>
      <c r="K12" s="209"/>
      <c r="L12" s="434"/>
      <c r="M12" s="771"/>
      <c r="N12" s="772"/>
      <c r="O12" s="32"/>
      <c r="P12" s="772"/>
      <c r="Q12" s="772"/>
      <c r="R12" s="772"/>
      <c r="S12" s="772"/>
      <c r="T12" s="773"/>
      <c r="AW12" s="2513"/>
      <c r="AX12" s="820"/>
      <c r="AY12" s="820"/>
      <c r="AZ12" s="820"/>
      <c r="BA12" s="820"/>
      <c r="BB12" s="820"/>
      <c r="BC12" s="2513"/>
      <c r="BD12" s="2513"/>
      <c r="BE12" s="2513"/>
      <c r="BF12" s="2513"/>
      <c r="BH12" s="2513"/>
      <c r="BI12" s="820"/>
      <c r="BJ12" s="820"/>
      <c r="BK12" s="820"/>
      <c r="BL12" s="820"/>
      <c r="BM12" s="820"/>
      <c r="BN12" s="822"/>
      <c r="BO12" s="800"/>
      <c r="BP12" s="800"/>
      <c r="BQ12" s="785"/>
      <c r="BR12" s="820"/>
      <c r="BS12" s="820"/>
      <c r="BT12" s="30"/>
      <c r="BU12" s="800"/>
      <c r="BV12" s="800"/>
      <c r="BW12" s="209"/>
      <c r="CA12" s="787"/>
      <c r="DB12" s="773"/>
      <c r="DC12" s="773"/>
      <c r="DD12" s="773"/>
      <c r="DE12" s="773"/>
      <c r="DF12" s="773"/>
      <c r="DG12" s="773"/>
      <c r="DH12" s="773"/>
      <c r="DI12" s="773"/>
      <c r="DJ12" s="773"/>
      <c r="DK12" s="773"/>
      <c r="DL12" s="773"/>
      <c r="DM12" s="773"/>
      <c r="DN12" s="773"/>
      <c r="DO12" s="773"/>
      <c r="DP12" s="773"/>
      <c r="DQ12" s="773"/>
      <c r="DR12" s="773"/>
      <c r="DS12" s="773"/>
      <c r="DT12" s="773"/>
      <c r="DU12" s="773"/>
      <c r="DV12" s="773"/>
      <c r="DW12" s="773"/>
      <c r="DX12" s="773"/>
      <c r="DY12" s="773"/>
      <c r="DZ12" s="773"/>
      <c r="EA12" s="773"/>
      <c r="EB12" s="773"/>
      <c r="EC12" s="773"/>
      <c r="ED12" s="773"/>
      <c r="EE12" s="773"/>
      <c r="EF12" s="773"/>
      <c r="EG12" s="773"/>
      <c r="EH12" s="773"/>
      <c r="EI12" s="773"/>
      <c r="EJ12" s="773"/>
      <c r="EK12" s="773"/>
      <c r="EL12" s="773"/>
      <c r="EM12" s="773"/>
      <c r="EN12" s="773"/>
      <c r="EO12" s="773"/>
      <c r="EP12" s="773"/>
      <c r="EQ12" s="773"/>
      <c r="ER12" s="773"/>
      <c r="ES12" s="773"/>
      <c r="ET12" s="773"/>
      <c r="EU12" s="773"/>
      <c r="EV12" s="773"/>
      <c r="EW12" s="773"/>
      <c r="EX12" s="773"/>
      <c r="EY12" s="773"/>
      <c r="EZ12" s="773"/>
      <c r="FA12" s="773"/>
      <c r="FB12" s="773"/>
      <c r="FC12" s="773"/>
      <c r="FD12" s="773"/>
      <c r="FE12" s="773"/>
      <c r="FF12" s="773"/>
      <c r="FG12" s="773"/>
      <c r="FH12" s="773"/>
      <c r="FI12" s="773"/>
      <c r="FJ12" s="773"/>
      <c r="FK12" s="773"/>
      <c r="FL12" s="773"/>
      <c r="FM12" s="773"/>
      <c r="FN12" s="773"/>
      <c r="FO12" s="773"/>
      <c r="FP12" s="773"/>
      <c r="FQ12" s="773"/>
      <c r="FR12" s="773"/>
      <c r="FS12" s="773"/>
      <c r="FT12" s="773"/>
      <c r="FU12" s="773"/>
      <c r="FV12" s="773"/>
      <c r="FW12" s="773"/>
      <c r="FX12" s="773"/>
      <c r="FY12" s="773"/>
      <c r="FZ12" s="773"/>
      <c r="GA12" s="773"/>
      <c r="GB12" s="773"/>
      <c r="GC12" s="773"/>
      <c r="GD12" s="773"/>
      <c r="GE12" s="773"/>
      <c r="GF12" s="773"/>
      <c r="GG12" s="773"/>
      <c r="GH12" s="773"/>
      <c r="GI12" s="773"/>
      <c r="GJ12" s="773"/>
      <c r="GK12" s="773"/>
      <c r="GL12" s="773"/>
      <c r="GM12" s="773"/>
      <c r="GN12" s="773"/>
      <c r="GO12" s="773"/>
      <c r="GP12" s="773"/>
      <c r="GQ12" s="773"/>
      <c r="GR12" s="773"/>
      <c r="GS12" s="773"/>
      <c r="GT12" s="773"/>
      <c r="GU12" s="773"/>
      <c r="GV12" s="773"/>
      <c r="GW12" s="773"/>
      <c r="GX12" s="773"/>
      <c r="GY12" s="773"/>
      <c r="GZ12" s="773"/>
    </row>
    <row r="13" spans="1:208" s="11" customFormat="1" ht="13.5" thickBot="1">
      <c r="A13" s="774"/>
      <c r="B13" s="3763"/>
      <c r="C13" s="928"/>
      <c r="D13" s="929" t="s">
        <v>63</v>
      </c>
      <c r="E13" s="1963">
        <f t="shared" ref="E13:J13" si="0">SUM(E8:E12)</f>
        <v>20867137.77</v>
      </c>
      <c r="F13" s="1964">
        <f t="shared" si="0"/>
        <v>0</v>
      </c>
      <c r="G13" s="1964">
        <f t="shared" si="0"/>
        <v>0</v>
      </c>
      <c r="H13" s="1964">
        <f t="shared" si="0"/>
        <v>0</v>
      </c>
      <c r="I13" s="1964">
        <f t="shared" si="0"/>
        <v>0</v>
      </c>
      <c r="J13" s="2023">
        <f t="shared" si="0"/>
        <v>20867137.77</v>
      </c>
      <c r="K13" s="209"/>
      <c r="L13" s="434"/>
      <c r="M13" s="771"/>
      <c r="N13" s="772"/>
      <c r="O13" s="772"/>
      <c r="P13" s="772"/>
      <c r="Q13" s="772"/>
      <c r="R13" s="772"/>
      <c r="S13" s="772"/>
      <c r="T13" s="773"/>
      <c r="AW13" s="2513"/>
      <c r="AX13" s="820"/>
      <c r="AY13" s="820"/>
      <c r="AZ13" s="820"/>
      <c r="BA13" s="820"/>
      <c r="BB13" s="820"/>
      <c r="BC13" s="2513"/>
      <c r="BD13" s="2513"/>
      <c r="BE13" s="2513"/>
      <c r="BF13" s="2513"/>
      <c r="BH13" s="2513"/>
      <c r="BI13" s="820"/>
      <c r="BJ13" s="820"/>
      <c r="BK13" s="820"/>
      <c r="BL13" s="820"/>
      <c r="BM13" s="820"/>
      <c r="BN13" s="822"/>
      <c r="BO13" s="800"/>
      <c r="BP13" s="800"/>
      <c r="BQ13" s="785"/>
      <c r="BR13" s="820"/>
      <c r="BS13" s="820"/>
      <c r="BT13" s="30"/>
      <c r="BU13" s="800"/>
      <c r="BV13" s="800"/>
      <c r="BW13" s="209"/>
      <c r="CA13" s="787"/>
      <c r="DB13" s="773"/>
      <c r="DC13" s="773"/>
      <c r="DD13" s="773"/>
      <c r="DE13" s="773"/>
      <c r="DF13" s="773"/>
      <c r="DG13" s="773"/>
      <c r="DH13" s="773"/>
      <c r="DI13" s="773"/>
      <c r="DJ13" s="773"/>
      <c r="DK13" s="773"/>
      <c r="DL13" s="773"/>
      <c r="DM13" s="773"/>
      <c r="DN13" s="773"/>
      <c r="DO13" s="773"/>
      <c r="DP13" s="773"/>
      <c r="DQ13" s="773"/>
      <c r="DR13" s="773"/>
      <c r="DS13" s="773"/>
      <c r="DT13" s="773"/>
      <c r="DU13" s="773"/>
      <c r="DV13" s="773"/>
      <c r="DW13" s="773"/>
      <c r="DX13" s="773"/>
      <c r="DY13" s="773"/>
      <c r="DZ13" s="773"/>
      <c r="EA13" s="773"/>
      <c r="EB13" s="773"/>
      <c r="EC13" s="773"/>
      <c r="ED13" s="773"/>
      <c r="EE13" s="773"/>
      <c r="EF13" s="773"/>
      <c r="EG13" s="773"/>
      <c r="EH13" s="773"/>
      <c r="EI13" s="773"/>
      <c r="EJ13" s="773"/>
      <c r="EK13" s="773"/>
      <c r="EL13" s="773"/>
      <c r="EM13" s="773"/>
      <c r="EN13" s="773"/>
      <c r="EO13" s="773"/>
      <c r="EP13" s="773"/>
      <c r="EQ13" s="773"/>
      <c r="ER13" s="773"/>
      <c r="ES13" s="773"/>
      <c r="ET13" s="773"/>
      <c r="EU13" s="773"/>
      <c r="EV13" s="773"/>
      <c r="EW13" s="773"/>
      <c r="EX13" s="773"/>
      <c r="EY13" s="773"/>
      <c r="EZ13" s="773"/>
      <c r="FA13" s="773"/>
      <c r="FB13" s="773"/>
      <c r="FC13" s="773"/>
      <c r="FD13" s="773"/>
      <c r="FE13" s="773"/>
      <c r="FF13" s="773"/>
      <c r="FG13" s="773"/>
      <c r="FH13" s="773"/>
      <c r="FI13" s="773"/>
      <c r="FJ13" s="773"/>
      <c r="FK13" s="773"/>
      <c r="FL13" s="773"/>
      <c r="FM13" s="773"/>
      <c r="FN13" s="773"/>
      <c r="FO13" s="773"/>
      <c r="FP13" s="773"/>
      <c r="FQ13" s="773"/>
      <c r="FR13" s="773"/>
      <c r="FS13" s="773"/>
      <c r="FT13" s="773"/>
      <c r="FU13" s="773"/>
      <c r="FV13" s="773"/>
      <c r="FW13" s="773"/>
      <c r="FX13" s="773"/>
      <c r="FY13" s="773"/>
      <c r="FZ13" s="773"/>
      <c r="GA13" s="773"/>
      <c r="GB13" s="773"/>
      <c r="GC13" s="773"/>
      <c r="GD13" s="773"/>
      <c r="GE13" s="773"/>
      <c r="GF13" s="773"/>
      <c r="GG13" s="773"/>
      <c r="GH13" s="773"/>
      <c r="GI13" s="773"/>
      <c r="GJ13" s="773"/>
      <c r="GK13" s="773"/>
      <c r="GL13" s="773"/>
      <c r="GM13" s="773"/>
      <c r="GN13" s="773"/>
      <c r="GO13" s="773"/>
      <c r="GP13" s="773"/>
      <c r="GQ13" s="773"/>
      <c r="GR13" s="773"/>
      <c r="GS13" s="773"/>
      <c r="GT13" s="773"/>
      <c r="GU13" s="773"/>
      <c r="GV13" s="773"/>
      <c r="GW13" s="773"/>
      <c r="GX13" s="773"/>
      <c r="GY13" s="773"/>
      <c r="GZ13" s="773"/>
    </row>
    <row r="14" spans="1:208" s="11" customFormat="1" ht="13.5" thickBot="1">
      <c r="A14" s="774"/>
      <c r="B14" s="3764"/>
      <c r="C14" s="848"/>
      <c r="D14" s="930"/>
      <c r="E14" s="807"/>
      <c r="F14" s="1327"/>
      <c r="G14" s="1327"/>
      <c r="H14" s="1327"/>
      <c r="I14" s="1327"/>
      <c r="J14" s="807"/>
      <c r="K14" s="209"/>
      <c r="L14" s="434"/>
      <c r="M14" s="771"/>
      <c r="N14" s="772"/>
      <c r="O14" s="772"/>
      <c r="P14" s="772"/>
      <c r="Q14" s="772"/>
      <c r="R14" s="772"/>
      <c r="S14" s="772"/>
      <c r="T14" s="773"/>
      <c r="AW14" s="2513"/>
      <c r="AX14" s="820"/>
      <c r="AY14" s="820"/>
      <c r="AZ14" s="820"/>
      <c r="BA14" s="820"/>
      <c r="BB14" s="820"/>
      <c r="BC14" s="2513"/>
      <c r="BD14" s="2513"/>
      <c r="BE14" s="2513"/>
      <c r="BF14" s="2513"/>
      <c r="BH14" s="2513"/>
      <c r="BI14" s="820"/>
      <c r="BJ14" s="820"/>
      <c r="BK14" s="820"/>
      <c r="BL14" s="820"/>
      <c r="BM14" s="820"/>
      <c r="BN14" s="822"/>
      <c r="BO14" s="800"/>
      <c r="BP14" s="800"/>
      <c r="BQ14" s="785"/>
      <c r="BR14" s="820"/>
      <c r="BS14" s="820"/>
      <c r="BT14" s="30"/>
      <c r="BU14" s="800"/>
      <c r="BV14" s="800"/>
      <c r="BW14" s="209"/>
      <c r="CA14" s="787"/>
      <c r="DB14" s="773"/>
      <c r="DC14" s="773"/>
      <c r="DD14" s="773"/>
      <c r="DE14" s="773"/>
      <c r="DF14" s="773"/>
      <c r="DG14" s="773"/>
      <c r="DH14" s="773"/>
      <c r="DI14" s="773"/>
      <c r="DJ14" s="773"/>
      <c r="DK14" s="773"/>
      <c r="DL14" s="773"/>
      <c r="DM14" s="773"/>
      <c r="DN14" s="773"/>
      <c r="DO14" s="773"/>
      <c r="DP14" s="773"/>
      <c r="DQ14" s="773"/>
      <c r="DR14" s="773"/>
      <c r="DS14" s="773"/>
      <c r="DT14" s="773"/>
      <c r="DU14" s="773"/>
      <c r="DV14" s="773"/>
      <c r="DW14" s="773"/>
      <c r="DX14" s="773"/>
      <c r="DY14" s="773"/>
      <c r="DZ14" s="773"/>
      <c r="EA14" s="773"/>
      <c r="EB14" s="773"/>
      <c r="EC14" s="773"/>
      <c r="ED14" s="773"/>
      <c r="EE14" s="773"/>
      <c r="EF14" s="773"/>
      <c r="EG14" s="773"/>
      <c r="EH14" s="773"/>
      <c r="EI14" s="773"/>
      <c r="EJ14" s="773"/>
      <c r="EK14" s="773"/>
      <c r="EL14" s="773"/>
      <c r="EM14" s="773"/>
      <c r="EN14" s="773"/>
      <c r="EO14" s="773"/>
      <c r="EP14" s="773"/>
      <c r="EQ14" s="773"/>
      <c r="ER14" s="773"/>
      <c r="ES14" s="773"/>
      <c r="ET14" s="773"/>
      <c r="EU14" s="773"/>
      <c r="EV14" s="773"/>
      <c r="EW14" s="773"/>
      <c r="EX14" s="773"/>
      <c r="EY14" s="773"/>
      <c r="EZ14" s="773"/>
      <c r="FA14" s="773"/>
      <c r="FB14" s="773"/>
      <c r="FC14" s="773"/>
      <c r="FD14" s="773"/>
      <c r="FE14" s="773"/>
      <c r="FF14" s="773"/>
      <c r="FG14" s="773"/>
      <c r="FH14" s="773"/>
      <c r="FI14" s="773"/>
      <c r="FJ14" s="773"/>
      <c r="FK14" s="773"/>
      <c r="FL14" s="773"/>
      <c r="FM14" s="773"/>
      <c r="FN14" s="773"/>
      <c r="FO14" s="773"/>
      <c r="FP14" s="773"/>
      <c r="FQ14" s="773"/>
      <c r="FR14" s="773"/>
      <c r="FS14" s="773"/>
      <c r="FT14" s="773"/>
      <c r="FU14" s="773"/>
      <c r="FV14" s="773"/>
      <c r="FW14" s="773"/>
      <c r="FX14" s="773"/>
      <c r="FY14" s="773"/>
      <c r="FZ14" s="773"/>
      <c r="GA14" s="773"/>
      <c r="GB14" s="773"/>
      <c r="GC14" s="773"/>
      <c r="GD14" s="773"/>
      <c r="GE14" s="773"/>
      <c r="GF14" s="773"/>
      <c r="GG14" s="773"/>
      <c r="GH14" s="773"/>
      <c r="GI14" s="773"/>
      <c r="GJ14" s="773"/>
      <c r="GK14" s="773"/>
      <c r="GL14" s="773"/>
      <c r="GM14" s="773"/>
      <c r="GN14" s="773"/>
      <c r="GO14" s="773"/>
      <c r="GP14" s="773"/>
      <c r="GQ14" s="773"/>
      <c r="GR14" s="773"/>
      <c r="GS14" s="773"/>
      <c r="GT14" s="773"/>
      <c r="GU14" s="773"/>
      <c r="GV14" s="773"/>
      <c r="GW14" s="773"/>
      <c r="GX14" s="773"/>
      <c r="GY14" s="773"/>
      <c r="GZ14" s="773"/>
    </row>
    <row r="15" spans="1:208" s="11" customFormat="1" ht="13.5" thickBot="1">
      <c r="A15" s="774"/>
      <c r="B15" s="3763"/>
      <c r="C15" s="931"/>
      <c r="D15" s="932" t="s">
        <v>149</v>
      </c>
      <c r="E15" s="107"/>
      <c r="F15" s="1326"/>
      <c r="G15" s="1326"/>
      <c r="H15" s="1326"/>
      <c r="I15" s="1326"/>
      <c r="J15" s="107"/>
      <c r="K15" s="209"/>
      <c r="L15" s="434"/>
      <c r="M15" s="808"/>
      <c r="N15" s="772"/>
      <c r="O15" s="772"/>
      <c r="P15" s="772"/>
      <c r="Q15" s="772"/>
      <c r="R15" s="772"/>
      <c r="S15" s="772"/>
      <c r="T15" s="773"/>
      <c r="AW15" s="2513"/>
      <c r="AX15" s="820"/>
      <c r="AY15" s="820"/>
      <c r="AZ15" s="820"/>
      <c r="BA15" s="820"/>
      <c r="BB15" s="820"/>
      <c r="BC15" s="2513"/>
      <c r="BD15" s="2513"/>
      <c r="BE15" s="2513"/>
      <c r="BF15" s="2513"/>
      <c r="BH15" s="2513"/>
      <c r="BI15" s="820"/>
      <c r="BJ15" s="820"/>
      <c r="BK15" s="820"/>
      <c r="BL15" s="820"/>
      <c r="BM15" s="820"/>
      <c r="BN15" s="822"/>
      <c r="BO15" s="800"/>
      <c r="BP15" s="800"/>
      <c r="BQ15" s="785"/>
      <c r="BR15" s="820"/>
      <c r="BS15" s="820"/>
      <c r="BT15" s="30"/>
      <c r="BU15" s="800"/>
      <c r="BV15" s="800"/>
      <c r="BW15" s="209"/>
      <c r="CA15" s="787"/>
      <c r="DB15" s="773"/>
      <c r="DC15" s="773"/>
      <c r="DD15" s="773"/>
      <c r="DE15" s="773"/>
      <c r="DF15" s="773"/>
      <c r="DG15" s="773"/>
      <c r="DH15" s="773"/>
      <c r="DI15" s="773"/>
      <c r="DJ15" s="773"/>
      <c r="DK15" s="773"/>
      <c r="DL15" s="773"/>
      <c r="DM15" s="773"/>
      <c r="DN15" s="773"/>
      <c r="DO15" s="773"/>
      <c r="DP15" s="773"/>
      <c r="DQ15" s="773"/>
      <c r="DR15" s="773"/>
      <c r="DS15" s="773"/>
      <c r="DT15" s="773"/>
      <c r="DU15" s="773"/>
      <c r="DV15" s="773"/>
      <c r="DW15" s="773"/>
      <c r="DX15" s="773"/>
      <c r="DY15" s="773"/>
      <c r="DZ15" s="773"/>
      <c r="EA15" s="773"/>
      <c r="EB15" s="773"/>
      <c r="EC15" s="773"/>
      <c r="ED15" s="773"/>
      <c r="EE15" s="773"/>
      <c r="EF15" s="773"/>
      <c r="EG15" s="773"/>
      <c r="EH15" s="773"/>
      <c r="EI15" s="773"/>
      <c r="EJ15" s="773"/>
      <c r="EK15" s="773"/>
      <c r="EL15" s="773"/>
      <c r="EM15" s="773"/>
      <c r="EN15" s="773"/>
      <c r="EO15" s="773"/>
      <c r="EP15" s="773"/>
      <c r="EQ15" s="773"/>
      <c r="ER15" s="773"/>
      <c r="ES15" s="773"/>
      <c r="ET15" s="773"/>
      <c r="EU15" s="773"/>
      <c r="EV15" s="773"/>
      <c r="EW15" s="773"/>
      <c r="EX15" s="773"/>
      <c r="EY15" s="773"/>
      <c r="EZ15" s="773"/>
      <c r="FA15" s="773"/>
      <c r="FB15" s="773"/>
      <c r="FC15" s="773"/>
      <c r="FD15" s="773"/>
      <c r="FE15" s="773"/>
      <c r="FF15" s="773"/>
      <c r="FG15" s="773"/>
      <c r="FH15" s="773"/>
      <c r="FI15" s="773"/>
      <c r="FJ15" s="773"/>
      <c r="FK15" s="773"/>
      <c r="FL15" s="773"/>
      <c r="FM15" s="773"/>
      <c r="FN15" s="773"/>
      <c r="FO15" s="773"/>
      <c r="FP15" s="773"/>
      <c r="FQ15" s="773"/>
      <c r="FR15" s="773"/>
      <c r="FS15" s="773"/>
      <c r="FT15" s="773"/>
      <c r="FU15" s="773"/>
      <c r="FV15" s="773"/>
      <c r="FW15" s="773"/>
      <c r="FX15" s="773"/>
      <c r="FY15" s="773"/>
      <c r="FZ15" s="773"/>
      <c r="GA15" s="773"/>
      <c r="GB15" s="773"/>
      <c r="GC15" s="773"/>
      <c r="GD15" s="773"/>
      <c r="GE15" s="773"/>
      <c r="GF15" s="773"/>
      <c r="GG15" s="773"/>
      <c r="GH15" s="773"/>
      <c r="GI15" s="773"/>
      <c r="GJ15" s="773"/>
      <c r="GK15" s="773"/>
      <c r="GL15" s="773"/>
      <c r="GM15" s="773"/>
      <c r="GN15" s="773"/>
      <c r="GO15" s="773"/>
      <c r="GP15" s="773"/>
      <c r="GQ15" s="773"/>
      <c r="GR15" s="773"/>
      <c r="GS15" s="773"/>
      <c r="GT15" s="773"/>
      <c r="GU15" s="773"/>
      <c r="GV15" s="773"/>
      <c r="GW15" s="773"/>
      <c r="GX15" s="773"/>
      <c r="GY15" s="773"/>
      <c r="GZ15" s="773"/>
    </row>
    <row r="16" spans="1:208" s="11" customFormat="1">
      <c r="A16" s="774"/>
      <c r="B16" s="3763"/>
      <c r="C16" s="848"/>
      <c r="D16" s="174"/>
      <c r="E16" s="107"/>
      <c r="F16" s="1326"/>
      <c r="G16" s="1326"/>
      <c r="H16" s="1326"/>
      <c r="I16" s="1326"/>
      <c r="J16" s="107"/>
      <c r="K16" s="779"/>
      <c r="L16" s="434"/>
      <c r="M16" s="808"/>
      <c r="N16" s="772"/>
      <c r="O16" s="772"/>
      <c r="P16" s="772"/>
      <c r="Q16" s="772"/>
      <c r="R16" s="772"/>
      <c r="S16" s="772"/>
      <c r="T16" s="773"/>
      <c r="AW16" s="2513"/>
      <c r="AX16" s="820"/>
      <c r="AY16" s="820"/>
      <c r="AZ16" s="820"/>
      <c r="BA16" s="820"/>
      <c r="BB16" s="820"/>
      <c r="BC16" s="2513"/>
      <c r="BD16" s="2513"/>
      <c r="BE16" s="2513"/>
      <c r="BF16" s="2513"/>
      <c r="BH16" s="2513"/>
      <c r="BI16" s="820"/>
      <c r="BJ16" s="820"/>
      <c r="BK16" s="820"/>
      <c r="BL16" s="820"/>
      <c r="BM16" s="820"/>
      <c r="BN16" s="822"/>
      <c r="BO16" s="800"/>
      <c r="BP16" s="800"/>
      <c r="BQ16" s="785"/>
      <c r="BR16" s="820"/>
      <c r="BS16" s="820"/>
      <c r="BT16" s="30"/>
      <c r="BU16" s="800"/>
      <c r="BV16" s="800"/>
      <c r="BW16" s="209"/>
      <c r="CA16" s="787"/>
      <c r="DB16" s="773"/>
      <c r="DC16" s="773"/>
      <c r="DD16" s="773"/>
      <c r="DE16" s="773"/>
      <c r="DF16" s="773"/>
      <c r="DG16" s="773"/>
      <c r="DH16" s="773"/>
      <c r="DI16" s="773"/>
      <c r="DJ16" s="773"/>
      <c r="DK16" s="773"/>
      <c r="DL16" s="773"/>
      <c r="DM16" s="773"/>
      <c r="DN16" s="773"/>
      <c r="DO16" s="773"/>
      <c r="DP16" s="773"/>
      <c r="DQ16" s="773"/>
      <c r="DR16" s="773"/>
      <c r="DS16" s="773"/>
      <c r="DT16" s="773"/>
      <c r="DU16" s="773"/>
      <c r="DV16" s="773"/>
      <c r="DW16" s="773"/>
      <c r="DX16" s="773"/>
      <c r="DY16" s="773"/>
      <c r="DZ16" s="773"/>
      <c r="EA16" s="773"/>
      <c r="EB16" s="773"/>
      <c r="EC16" s="773"/>
      <c r="ED16" s="773"/>
      <c r="EE16" s="773"/>
      <c r="EF16" s="773"/>
      <c r="EG16" s="773"/>
      <c r="EH16" s="773"/>
      <c r="EI16" s="773"/>
      <c r="EJ16" s="773"/>
      <c r="EK16" s="773"/>
      <c r="EL16" s="773"/>
      <c r="EM16" s="773"/>
      <c r="EN16" s="773"/>
      <c r="EO16" s="773"/>
      <c r="EP16" s="773"/>
      <c r="EQ16" s="773"/>
      <c r="ER16" s="773"/>
      <c r="ES16" s="773"/>
      <c r="ET16" s="773"/>
      <c r="EU16" s="773"/>
      <c r="EV16" s="773"/>
      <c r="EW16" s="773"/>
      <c r="EX16" s="773"/>
      <c r="EY16" s="773"/>
      <c r="EZ16" s="773"/>
      <c r="FA16" s="773"/>
      <c r="FB16" s="773"/>
      <c r="FC16" s="773"/>
      <c r="FD16" s="773"/>
      <c r="FE16" s="773"/>
      <c r="FF16" s="773"/>
      <c r="FG16" s="773"/>
      <c r="FH16" s="773"/>
      <c r="FI16" s="773"/>
      <c r="FJ16" s="773"/>
      <c r="FK16" s="773"/>
      <c r="FL16" s="773"/>
      <c r="FM16" s="773"/>
      <c r="FN16" s="773"/>
      <c r="FO16" s="773"/>
      <c r="FP16" s="773"/>
      <c r="FQ16" s="773"/>
      <c r="FR16" s="773"/>
      <c r="FS16" s="773"/>
      <c r="FT16" s="773"/>
      <c r="FU16" s="773"/>
      <c r="FV16" s="773"/>
      <c r="FW16" s="773"/>
      <c r="FX16" s="773"/>
      <c r="FY16" s="773"/>
      <c r="FZ16" s="773"/>
      <c r="GA16" s="773"/>
      <c r="GB16" s="773"/>
      <c r="GC16" s="773"/>
      <c r="GD16" s="773"/>
      <c r="GE16" s="773"/>
      <c r="GF16" s="773"/>
      <c r="GG16" s="773"/>
      <c r="GH16" s="773"/>
      <c r="GI16" s="773"/>
      <c r="GJ16" s="773"/>
      <c r="GK16" s="773"/>
      <c r="GL16" s="773"/>
      <c r="GM16" s="773"/>
      <c r="GN16" s="773"/>
      <c r="GO16" s="773"/>
      <c r="GP16" s="773"/>
      <c r="GQ16" s="773"/>
      <c r="GR16" s="773"/>
      <c r="GS16" s="773"/>
      <c r="GT16" s="773"/>
      <c r="GU16" s="773"/>
      <c r="GV16" s="773"/>
      <c r="GW16" s="773"/>
      <c r="GX16" s="773"/>
      <c r="GY16" s="773"/>
      <c r="GZ16" s="773"/>
    </row>
    <row r="17" spans="1:208" s="11" customFormat="1">
      <c r="A17" s="774"/>
      <c r="B17" s="3761" t="s">
        <v>1350</v>
      </c>
      <c r="C17" s="197">
        <v>218684</v>
      </c>
      <c r="D17" s="801" t="s">
        <v>3746</v>
      </c>
      <c r="E17" s="809">
        <f>IFERROR(VLOOKUP(C17,'AJE 12 - INC'!$D$168:$F$345,3,0),0)</f>
        <v>6094.5</v>
      </c>
      <c r="F17" s="1325">
        <f>SUMIF('AJE 12 - INC'!B:B,'New TB INC'!C17,'AJE 12 - INC'!D:D)</f>
        <v>0</v>
      </c>
      <c r="G17" s="1326"/>
      <c r="H17" s="1326"/>
      <c r="I17" s="1326"/>
      <c r="J17" s="796">
        <f t="shared" ref="J17:J35" si="1">SUM(E17:I17)</f>
        <v>6094.5</v>
      </c>
      <c r="K17" s="779"/>
      <c r="L17" s="434"/>
      <c r="M17" s="2679"/>
      <c r="N17" s="772"/>
      <c r="O17" s="772"/>
      <c r="P17" s="772"/>
      <c r="Q17" s="772"/>
      <c r="R17" s="772"/>
      <c r="S17" s="772"/>
      <c r="T17" s="773"/>
      <c r="AW17" s="2514"/>
      <c r="AX17" s="820"/>
      <c r="AY17" s="820"/>
      <c r="AZ17" s="820"/>
      <c r="BA17" s="30"/>
      <c r="BB17" s="30"/>
      <c r="BC17" s="2514"/>
      <c r="BD17" s="2514"/>
      <c r="BE17" s="2514"/>
      <c r="BF17" s="2514"/>
      <c r="BH17" s="2514"/>
      <c r="BI17" s="30"/>
      <c r="BJ17" s="30"/>
      <c r="BK17" s="30"/>
      <c r="BL17" s="30"/>
      <c r="BM17" s="30"/>
      <c r="BN17" s="30"/>
      <c r="BO17" s="209"/>
      <c r="BP17" s="209"/>
      <c r="BQ17" s="785"/>
      <c r="BR17" s="820"/>
      <c r="BS17" s="820"/>
      <c r="BT17" s="30"/>
      <c r="BU17" s="800"/>
      <c r="BV17" s="800"/>
      <c r="BW17" s="209"/>
      <c r="CA17" s="787"/>
      <c r="DB17" s="773"/>
      <c r="DC17" s="773"/>
      <c r="DD17" s="773"/>
      <c r="DE17" s="773"/>
      <c r="DF17" s="773"/>
      <c r="DG17" s="773"/>
      <c r="DH17" s="773"/>
      <c r="DI17" s="773"/>
      <c r="DJ17" s="773"/>
      <c r="DK17" s="773"/>
      <c r="DL17" s="773"/>
      <c r="DM17" s="773"/>
      <c r="DN17" s="773"/>
      <c r="DO17" s="773"/>
      <c r="DP17" s="773"/>
      <c r="DQ17" s="773"/>
      <c r="DR17" s="773"/>
      <c r="DS17" s="773"/>
      <c r="DT17" s="773"/>
      <c r="DU17" s="773"/>
      <c r="DV17" s="773"/>
      <c r="DW17" s="773"/>
      <c r="DX17" s="773"/>
      <c r="DY17" s="773"/>
      <c r="DZ17" s="773"/>
      <c r="EA17" s="773"/>
      <c r="EB17" s="773"/>
      <c r="EC17" s="773"/>
      <c r="ED17" s="773"/>
      <c r="EE17" s="773"/>
      <c r="EF17" s="773"/>
      <c r="EG17" s="773"/>
      <c r="EH17" s="773"/>
      <c r="EI17" s="773"/>
      <c r="EJ17" s="773"/>
      <c r="EK17" s="773"/>
      <c r="EL17" s="773"/>
      <c r="EM17" s="773"/>
      <c r="EN17" s="773"/>
      <c r="EO17" s="773"/>
      <c r="EP17" s="773"/>
      <c r="EQ17" s="773"/>
      <c r="ER17" s="773"/>
      <c r="ES17" s="773"/>
      <c r="ET17" s="773"/>
      <c r="EU17" s="773"/>
      <c r="EV17" s="773"/>
      <c r="EW17" s="773"/>
      <c r="EX17" s="773"/>
      <c r="EY17" s="773"/>
      <c r="EZ17" s="773"/>
      <c r="FA17" s="773"/>
      <c r="FB17" s="773"/>
      <c r="FC17" s="773"/>
      <c r="FD17" s="773"/>
      <c r="FE17" s="773"/>
      <c r="FF17" s="773"/>
      <c r="FG17" s="773"/>
      <c r="FH17" s="773"/>
      <c r="FI17" s="773"/>
      <c r="FJ17" s="773"/>
      <c r="FK17" s="773"/>
      <c r="FL17" s="773"/>
      <c r="FM17" s="773"/>
      <c r="FN17" s="773"/>
      <c r="FO17" s="773"/>
      <c r="FP17" s="773"/>
      <c r="FQ17" s="773"/>
      <c r="FR17" s="773"/>
      <c r="FS17" s="773"/>
      <c r="FT17" s="773"/>
      <c r="FU17" s="773"/>
      <c r="FV17" s="773"/>
      <c r="FW17" s="773"/>
      <c r="FX17" s="773"/>
      <c r="FY17" s="773"/>
      <c r="FZ17" s="773"/>
      <c r="GA17" s="773"/>
      <c r="GB17" s="773"/>
      <c r="GC17" s="773"/>
      <c r="GD17" s="773"/>
      <c r="GE17" s="773"/>
      <c r="GF17" s="773"/>
      <c r="GG17" s="773"/>
      <c r="GH17" s="773"/>
      <c r="GI17" s="773"/>
      <c r="GJ17" s="773"/>
      <c r="GK17" s="773"/>
      <c r="GL17" s="773"/>
      <c r="GM17" s="773"/>
      <c r="GN17" s="773"/>
      <c r="GO17" s="773"/>
      <c r="GP17" s="773"/>
      <c r="GQ17" s="773"/>
      <c r="GR17" s="773"/>
      <c r="GS17" s="773"/>
      <c r="GT17" s="773"/>
      <c r="GU17" s="773"/>
      <c r="GV17" s="773"/>
      <c r="GW17" s="773"/>
      <c r="GX17" s="773"/>
      <c r="GY17" s="773"/>
      <c r="GZ17" s="773"/>
    </row>
    <row r="18" spans="1:208" s="11" customFormat="1">
      <c r="A18" s="774"/>
      <c r="B18" s="3761" t="s">
        <v>1350</v>
      </c>
      <c r="C18" s="197">
        <v>201791</v>
      </c>
      <c r="D18" s="801" t="s">
        <v>4692</v>
      </c>
      <c r="E18" s="809">
        <f>IFERROR(VLOOKUP(C18,'AJE 12 - INC'!$D$168:$F$345,3,0),0)</f>
        <v>219602.15</v>
      </c>
      <c r="F18" s="1325">
        <f>SUMIF('AJE 12 - INC'!B:B,'New TB INC'!C18,'AJE 12 - INC'!D:D)</f>
        <v>0</v>
      </c>
      <c r="G18" s="1326"/>
      <c r="H18" s="1326"/>
      <c r="I18" s="1326"/>
      <c r="J18" s="796">
        <f t="shared" ref="J18:J21" si="2">SUM(E18:I18)</f>
        <v>219602.15</v>
      </c>
      <c r="K18" s="779"/>
      <c r="L18" s="434"/>
      <c r="M18" s="2679"/>
      <c r="N18" s="772"/>
      <c r="O18" s="772"/>
      <c r="P18" s="772"/>
      <c r="Q18" s="772"/>
      <c r="R18" s="772"/>
      <c r="S18" s="772"/>
      <c r="T18" s="773"/>
      <c r="AW18" s="2514"/>
      <c r="AX18" s="820"/>
      <c r="AY18" s="820"/>
      <c r="AZ18" s="820"/>
      <c r="BA18" s="30"/>
      <c r="BB18" s="30"/>
      <c r="BC18" s="2514"/>
      <c r="BD18" s="2514"/>
      <c r="BE18" s="2514"/>
      <c r="BF18" s="2514"/>
      <c r="BH18" s="2514"/>
      <c r="BI18" s="30"/>
      <c r="BJ18" s="30"/>
      <c r="BK18" s="30"/>
      <c r="BL18" s="30"/>
      <c r="BM18" s="30"/>
      <c r="BN18" s="30"/>
      <c r="BO18" s="209"/>
      <c r="BP18" s="209"/>
      <c r="BQ18" s="785"/>
      <c r="BR18" s="820"/>
      <c r="BS18" s="820"/>
      <c r="BT18" s="30"/>
      <c r="BU18" s="800"/>
      <c r="BV18" s="800"/>
      <c r="BW18" s="209"/>
      <c r="CA18" s="787"/>
      <c r="DB18" s="773"/>
      <c r="DC18" s="773"/>
      <c r="DD18" s="773"/>
      <c r="DE18" s="773"/>
      <c r="DF18" s="773"/>
      <c r="DG18" s="773"/>
      <c r="DH18" s="773"/>
      <c r="DI18" s="773"/>
      <c r="DJ18" s="773"/>
      <c r="DK18" s="773"/>
      <c r="DL18" s="773"/>
      <c r="DM18" s="773"/>
      <c r="DN18" s="773"/>
      <c r="DO18" s="773"/>
      <c r="DP18" s="773"/>
      <c r="DQ18" s="773"/>
      <c r="DR18" s="773"/>
      <c r="DS18" s="773"/>
      <c r="DT18" s="773"/>
      <c r="DU18" s="773"/>
      <c r="DV18" s="773"/>
      <c r="DW18" s="773"/>
      <c r="DX18" s="773"/>
      <c r="DY18" s="773"/>
      <c r="DZ18" s="773"/>
      <c r="EA18" s="773"/>
      <c r="EB18" s="773"/>
      <c r="EC18" s="773"/>
      <c r="ED18" s="773"/>
      <c r="EE18" s="773"/>
      <c r="EF18" s="773"/>
      <c r="EG18" s="773"/>
      <c r="EH18" s="773"/>
      <c r="EI18" s="773"/>
      <c r="EJ18" s="773"/>
      <c r="EK18" s="773"/>
      <c r="EL18" s="773"/>
      <c r="EM18" s="773"/>
      <c r="EN18" s="773"/>
      <c r="EO18" s="773"/>
      <c r="EP18" s="773"/>
      <c r="EQ18" s="773"/>
      <c r="ER18" s="773"/>
      <c r="ES18" s="773"/>
      <c r="ET18" s="773"/>
      <c r="EU18" s="773"/>
      <c r="EV18" s="773"/>
      <c r="EW18" s="773"/>
      <c r="EX18" s="773"/>
      <c r="EY18" s="773"/>
      <c r="EZ18" s="773"/>
      <c r="FA18" s="773"/>
      <c r="FB18" s="773"/>
      <c r="FC18" s="773"/>
      <c r="FD18" s="773"/>
      <c r="FE18" s="773"/>
      <c r="FF18" s="773"/>
      <c r="FG18" s="773"/>
      <c r="FH18" s="773"/>
      <c r="FI18" s="773"/>
      <c r="FJ18" s="773"/>
      <c r="FK18" s="773"/>
      <c r="FL18" s="773"/>
      <c r="FM18" s="773"/>
      <c r="FN18" s="773"/>
      <c r="FO18" s="773"/>
      <c r="FP18" s="773"/>
      <c r="FQ18" s="773"/>
      <c r="FR18" s="773"/>
      <c r="FS18" s="773"/>
      <c r="FT18" s="773"/>
      <c r="FU18" s="773"/>
      <c r="FV18" s="773"/>
      <c r="FW18" s="773"/>
      <c r="FX18" s="773"/>
      <c r="FY18" s="773"/>
      <c r="FZ18" s="773"/>
      <c r="GA18" s="773"/>
      <c r="GB18" s="773"/>
      <c r="GC18" s="773"/>
      <c r="GD18" s="773"/>
      <c r="GE18" s="773"/>
      <c r="GF18" s="773"/>
      <c r="GG18" s="773"/>
      <c r="GH18" s="773"/>
      <c r="GI18" s="773"/>
      <c r="GJ18" s="773"/>
      <c r="GK18" s="773"/>
      <c r="GL18" s="773"/>
      <c r="GM18" s="773"/>
      <c r="GN18" s="773"/>
      <c r="GO18" s="773"/>
      <c r="GP18" s="773"/>
      <c r="GQ18" s="773"/>
      <c r="GR18" s="773"/>
      <c r="GS18" s="773"/>
      <c r="GT18" s="773"/>
      <c r="GU18" s="773"/>
      <c r="GV18" s="773"/>
      <c r="GW18" s="773"/>
      <c r="GX18" s="773"/>
      <c r="GY18" s="773"/>
      <c r="GZ18" s="773"/>
    </row>
    <row r="19" spans="1:208" s="11" customFormat="1">
      <c r="A19" s="774"/>
      <c r="B19" s="3761" t="s">
        <v>1350</v>
      </c>
      <c r="C19" s="197">
        <v>217579</v>
      </c>
      <c r="D19" s="801" t="s">
        <v>4693</v>
      </c>
      <c r="E19" s="809">
        <f>IFERROR(VLOOKUP(C19,'AJE 12 - INC'!$D$168:$F$345,3,0),0)</f>
        <v>20942.21</v>
      </c>
      <c r="F19" s="1325">
        <f>SUMIF('AJE 12 - INC'!B:B,'New TB INC'!C19,'AJE 12 - INC'!D:D)</f>
        <v>0</v>
      </c>
      <c r="G19" s="1326"/>
      <c r="H19" s="1326"/>
      <c r="I19" s="1326"/>
      <c r="J19" s="796">
        <f t="shared" si="2"/>
        <v>20942.21</v>
      </c>
      <c r="K19" s="779"/>
      <c r="L19" s="434"/>
      <c r="M19" s="2679"/>
      <c r="N19" s="772"/>
      <c r="O19" s="772"/>
      <c r="P19" s="772"/>
      <c r="Q19" s="772"/>
      <c r="R19" s="772"/>
      <c r="S19" s="772"/>
      <c r="T19" s="773"/>
      <c r="AW19" s="2514"/>
      <c r="AX19" s="820"/>
      <c r="AY19" s="820"/>
      <c r="AZ19" s="820"/>
      <c r="BA19" s="30"/>
      <c r="BB19" s="30"/>
      <c r="BC19" s="2514"/>
      <c r="BD19" s="2514"/>
      <c r="BE19" s="2514"/>
      <c r="BF19" s="2514"/>
      <c r="BH19" s="2514"/>
      <c r="BI19" s="30"/>
      <c r="BJ19" s="30"/>
      <c r="BK19" s="30"/>
      <c r="BL19" s="30"/>
      <c r="BM19" s="30"/>
      <c r="BN19" s="30"/>
      <c r="BO19" s="209"/>
      <c r="BP19" s="209"/>
      <c r="BQ19" s="785"/>
      <c r="BR19" s="820"/>
      <c r="BS19" s="820"/>
      <c r="BT19" s="30"/>
      <c r="BU19" s="800"/>
      <c r="BV19" s="800"/>
      <c r="BW19" s="209"/>
      <c r="CA19" s="787"/>
      <c r="DB19" s="773"/>
      <c r="DC19" s="773"/>
      <c r="DD19" s="773"/>
      <c r="DE19" s="773"/>
      <c r="DF19" s="773"/>
      <c r="DG19" s="773"/>
      <c r="DH19" s="773"/>
      <c r="DI19" s="773"/>
      <c r="DJ19" s="773"/>
      <c r="DK19" s="773"/>
      <c r="DL19" s="773"/>
      <c r="DM19" s="773"/>
      <c r="DN19" s="773"/>
      <c r="DO19" s="773"/>
      <c r="DP19" s="773"/>
      <c r="DQ19" s="773"/>
      <c r="DR19" s="773"/>
      <c r="DS19" s="773"/>
      <c r="DT19" s="773"/>
      <c r="DU19" s="773"/>
      <c r="DV19" s="773"/>
      <c r="DW19" s="773"/>
      <c r="DX19" s="773"/>
      <c r="DY19" s="773"/>
      <c r="DZ19" s="773"/>
      <c r="EA19" s="773"/>
      <c r="EB19" s="773"/>
      <c r="EC19" s="773"/>
      <c r="ED19" s="773"/>
      <c r="EE19" s="773"/>
      <c r="EF19" s="773"/>
      <c r="EG19" s="773"/>
      <c r="EH19" s="773"/>
      <c r="EI19" s="773"/>
      <c r="EJ19" s="773"/>
      <c r="EK19" s="773"/>
      <c r="EL19" s="773"/>
      <c r="EM19" s="773"/>
      <c r="EN19" s="773"/>
      <c r="EO19" s="773"/>
      <c r="EP19" s="773"/>
      <c r="EQ19" s="773"/>
      <c r="ER19" s="773"/>
      <c r="ES19" s="773"/>
      <c r="ET19" s="773"/>
      <c r="EU19" s="773"/>
      <c r="EV19" s="773"/>
      <c r="EW19" s="773"/>
      <c r="EX19" s="773"/>
      <c r="EY19" s="773"/>
      <c r="EZ19" s="773"/>
      <c r="FA19" s="773"/>
      <c r="FB19" s="773"/>
      <c r="FC19" s="773"/>
      <c r="FD19" s="773"/>
      <c r="FE19" s="773"/>
      <c r="FF19" s="773"/>
      <c r="FG19" s="773"/>
      <c r="FH19" s="773"/>
      <c r="FI19" s="773"/>
      <c r="FJ19" s="773"/>
      <c r="FK19" s="773"/>
      <c r="FL19" s="773"/>
      <c r="FM19" s="773"/>
      <c r="FN19" s="773"/>
      <c r="FO19" s="773"/>
      <c r="FP19" s="773"/>
      <c r="FQ19" s="773"/>
      <c r="FR19" s="773"/>
      <c r="FS19" s="773"/>
      <c r="FT19" s="773"/>
      <c r="FU19" s="773"/>
      <c r="FV19" s="773"/>
      <c r="FW19" s="773"/>
      <c r="FX19" s="773"/>
      <c r="FY19" s="773"/>
      <c r="FZ19" s="773"/>
      <c r="GA19" s="773"/>
      <c r="GB19" s="773"/>
      <c r="GC19" s="773"/>
      <c r="GD19" s="773"/>
      <c r="GE19" s="773"/>
      <c r="GF19" s="773"/>
      <c r="GG19" s="773"/>
      <c r="GH19" s="773"/>
      <c r="GI19" s="773"/>
      <c r="GJ19" s="773"/>
      <c r="GK19" s="773"/>
      <c r="GL19" s="773"/>
      <c r="GM19" s="773"/>
      <c r="GN19" s="773"/>
      <c r="GO19" s="773"/>
      <c r="GP19" s="773"/>
      <c r="GQ19" s="773"/>
      <c r="GR19" s="773"/>
      <c r="GS19" s="773"/>
      <c r="GT19" s="773"/>
      <c r="GU19" s="773"/>
      <c r="GV19" s="773"/>
      <c r="GW19" s="773"/>
      <c r="GX19" s="773"/>
      <c r="GY19" s="773"/>
      <c r="GZ19" s="773"/>
    </row>
    <row r="20" spans="1:208" s="11" customFormat="1">
      <c r="A20" s="774"/>
      <c r="B20" s="3761" t="s">
        <v>1350</v>
      </c>
      <c r="C20" s="197">
        <v>228113</v>
      </c>
      <c r="D20" s="801" t="s">
        <v>4694</v>
      </c>
      <c r="E20" s="809">
        <f>IFERROR(VLOOKUP(C20,'AJE 12 - INC'!$D$168:$F$345,3,0),0)</f>
        <v>21096.85</v>
      </c>
      <c r="F20" s="1325">
        <f>SUMIF('AJE 12 - INC'!B:B,'New TB INC'!C20,'AJE 12 - INC'!D:D)</f>
        <v>0</v>
      </c>
      <c r="G20" s="1326"/>
      <c r="H20" s="1326"/>
      <c r="I20" s="1326"/>
      <c r="J20" s="796">
        <f t="shared" si="2"/>
        <v>21096.85</v>
      </c>
      <c r="K20" s="779"/>
      <c r="L20" s="434"/>
      <c r="M20" s="2679"/>
      <c r="N20" s="772"/>
      <c r="O20" s="772"/>
      <c r="P20" s="772"/>
      <c r="Q20" s="772"/>
      <c r="R20" s="772"/>
      <c r="S20" s="772"/>
      <c r="T20" s="773"/>
      <c r="AW20" s="2514"/>
      <c r="AX20" s="820"/>
      <c r="AY20" s="820"/>
      <c r="AZ20" s="820"/>
      <c r="BA20" s="30"/>
      <c r="BB20" s="30"/>
      <c r="BC20" s="2514"/>
      <c r="BD20" s="2514"/>
      <c r="BE20" s="2514"/>
      <c r="BF20" s="2514"/>
      <c r="BH20" s="2514"/>
      <c r="BI20" s="30"/>
      <c r="BJ20" s="30"/>
      <c r="BK20" s="30"/>
      <c r="BL20" s="30"/>
      <c r="BM20" s="30"/>
      <c r="BN20" s="30"/>
      <c r="BO20" s="209"/>
      <c r="BP20" s="209"/>
      <c r="BQ20" s="785"/>
      <c r="BR20" s="820"/>
      <c r="BS20" s="820"/>
      <c r="BT20" s="30"/>
      <c r="BU20" s="800"/>
      <c r="BV20" s="800"/>
      <c r="BW20" s="209"/>
      <c r="CA20" s="787"/>
      <c r="DB20" s="773"/>
      <c r="DC20" s="773"/>
      <c r="DD20" s="773"/>
      <c r="DE20" s="773"/>
      <c r="DF20" s="773"/>
      <c r="DG20" s="773"/>
      <c r="DH20" s="773"/>
      <c r="DI20" s="773"/>
      <c r="DJ20" s="773"/>
      <c r="DK20" s="773"/>
      <c r="DL20" s="773"/>
      <c r="DM20" s="773"/>
      <c r="DN20" s="773"/>
      <c r="DO20" s="773"/>
      <c r="DP20" s="773"/>
      <c r="DQ20" s="773"/>
      <c r="DR20" s="773"/>
      <c r="DS20" s="773"/>
      <c r="DT20" s="773"/>
      <c r="DU20" s="773"/>
      <c r="DV20" s="773"/>
      <c r="DW20" s="773"/>
      <c r="DX20" s="773"/>
      <c r="DY20" s="773"/>
      <c r="DZ20" s="773"/>
      <c r="EA20" s="773"/>
      <c r="EB20" s="773"/>
      <c r="EC20" s="773"/>
      <c r="ED20" s="773"/>
      <c r="EE20" s="773"/>
      <c r="EF20" s="773"/>
      <c r="EG20" s="773"/>
      <c r="EH20" s="773"/>
      <c r="EI20" s="773"/>
      <c r="EJ20" s="773"/>
      <c r="EK20" s="773"/>
      <c r="EL20" s="773"/>
      <c r="EM20" s="773"/>
      <c r="EN20" s="773"/>
      <c r="EO20" s="773"/>
      <c r="EP20" s="773"/>
      <c r="EQ20" s="773"/>
      <c r="ER20" s="773"/>
      <c r="ES20" s="773"/>
      <c r="ET20" s="773"/>
      <c r="EU20" s="773"/>
      <c r="EV20" s="773"/>
      <c r="EW20" s="773"/>
      <c r="EX20" s="773"/>
      <c r="EY20" s="773"/>
      <c r="EZ20" s="773"/>
      <c r="FA20" s="773"/>
      <c r="FB20" s="773"/>
      <c r="FC20" s="773"/>
      <c r="FD20" s="773"/>
      <c r="FE20" s="773"/>
      <c r="FF20" s="773"/>
      <c r="FG20" s="773"/>
      <c r="FH20" s="773"/>
      <c r="FI20" s="773"/>
      <c r="FJ20" s="773"/>
      <c r="FK20" s="773"/>
      <c r="FL20" s="773"/>
      <c r="FM20" s="773"/>
      <c r="FN20" s="773"/>
      <c r="FO20" s="773"/>
      <c r="FP20" s="773"/>
      <c r="FQ20" s="773"/>
      <c r="FR20" s="773"/>
      <c r="FS20" s="773"/>
      <c r="FT20" s="773"/>
      <c r="FU20" s="773"/>
      <c r="FV20" s="773"/>
      <c r="FW20" s="773"/>
      <c r="FX20" s="773"/>
      <c r="FY20" s="773"/>
      <c r="FZ20" s="773"/>
      <c r="GA20" s="773"/>
      <c r="GB20" s="773"/>
      <c r="GC20" s="773"/>
      <c r="GD20" s="773"/>
      <c r="GE20" s="773"/>
      <c r="GF20" s="773"/>
      <c r="GG20" s="773"/>
      <c r="GH20" s="773"/>
      <c r="GI20" s="773"/>
      <c r="GJ20" s="773"/>
      <c r="GK20" s="773"/>
      <c r="GL20" s="773"/>
      <c r="GM20" s="773"/>
      <c r="GN20" s="773"/>
      <c r="GO20" s="773"/>
      <c r="GP20" s="773"/>
      <c r="GQ20" s="773"/>
      <c r="GR20" s="773"/>
      <c r="GS20" s="773"/>
      <c r="GT20" s="773"/>
      <c r="GU20" s="773"/>
      <c r="GV20" s="773"/>
      <c r="GW20" s="773"/>
      <c r="GX20" s="773"/>
      <c r="GY20" s="773"/>
      <c r="GZ20" s="773"/>
    </row>
    <row r="21" spans="1:208" s="11" customFormat="1">
      <c r="A21" s="774"/>
      <c r="B21" s="3761" t="s">
        <v>1350</v>
      </c>
      <c r="C21" s="197">
        <v>232113</v>
      </c>
      <c r="D21" s="801" t="s">
        <v>4695</v>
      </c>
      <c r="E21" s="809">
        <f>IFERROR(VLOOKUP(C21,'AJE 12 - INC'!$D$168:$F$345,3,0),0)</f>
        <v>104218</v>
      </c>
      <c r="F21" s="1325">
        <f>SUMIF('AJE 12 - INC'!B:B,'New TB INC'!C21,'AJE 12 - INC'!D:D)</f>
        <v>0</v>
      </c>
      <c r="G21" s="1326"/>
      <c r="H21" s="1326"/>
      <c r="I21" s="1326"/>
      <c r="J21" s="796">
        <f t="shared" si="2"/>
        <v>104218</v>
      </c>
      <c r="K21" s="779"/>
      <c r="L21" s="434"/>
      <c r="M21" s="2679"/>
      <c r="N21" s="772"/>
      <c r="O21" s="772"/>
      <c r="P21" s="772"/>
      <c r="Q21" s="772"/>
      <c r="R21" s="772"/>
      <c r="S21" s="772"/>
      <c r="T21" s="773"/>
      <c r="AW21" s="2514"/>
      <c r="AX21" s="820"/>
      <c r="AY21" s="820"/>
      <c r="AZ21" s="820"/>
      <c r="BA21" s="30"/>
      <c r="BB21" s="30"/>
      <c r="BC21" s="2514"/>
      <c r="BD21" s="2514"/>
      <c r="BE21" s="2514"/>
      <c r="BF21" s="2514"/>
      <c r="BH21" s="2514"/>
      <c r="BI21" s="30"/>
      <c r="BJ21" s="30"/>
      <c r="BK21" s="30"/>
      <c r="BL21" s="30"/>
      <c r="BM21" s="30"/>
      <c r="BN21" s="30"/>
      <c r="BO21" s="209"/>
      <c r="BP21" s="209"/>
      <c r="BQ21" s="785"/>
      <c r="BR21" s="820"/>
      <c r="BS21" s="820"/>
      <c r="BT21" s="30"/>
      <c r="BU21" s="800"/>
      <c r="BV21" s="800"/>
      <c r="BW21" s="209"/>
      <c r="CA21" s="787"/>
      <c r="DB21" s="773"/>
      <c r="DC21" s="773"/>
      <c r="DD21" s="773"/>
      <c r="DE21" s="773"/>
      <c r="DF21" s="773"/>
      <c r="DG21" s="773"/>
      <c r="DH21" s="773"/>
      <c r="DI21" s="773"/>
      <c r="DJ21" s="773"/>
      <c r="DK21" s="773"/>
      <c r="DL21" s="773"/>
      <c r="DM21" s="773"/>
      <c r="DN21" s="773"/>
      <c r="DO21" s="773"/>
      <c r="DP21" s="773"/>
      <c r="DQ21" s="773"/>
      <c r="DR21" s="773"/>
      <c r="DS21" s="773"/>
      <c r="DT21" s="773"/>
      <c r="DU21" s="773"/>
      <c r="DV21" s="773"/>
      <c r="DW21" s="773"/>
      <c r="DX21" s="773"/>
      <c r="DY21" s="773"/>
      <c r="DZ21" s="773"/>
      <c r="EA21" s="773"/>
      <c r="EB21" s="773"/>
      <c r="EC21" s="773"/>
      <c r="ED21" s="773"/>
      <c r="EE21" s="773"/>
      <c r="EF21" s="773"/>
      <c r="EG21" s="773"/>
      <c r="EH21" s="773"/>
      <c r="EI21" s="773"/>
      <c r="EJ21" s="773"/>
      <c r="EK21" s="773"/>
      <c r="EL21" s="773"/>
      <c r="EM21" s="773"/>
      <c r="EN21" s="773"/>
      <c r="EO21" s="773"/>
      <c r="EP21" s="773"/>
      <c r="EQ21" s="773"/>
      <c r="ER21" s="773"/>
      <c r="ES21" s="773"/>
      <c r="ET21" s="773"/>
      <c r="EU21" s="773"/>
      <c r="EV21" s="773"/>
      <c r="EW21" s="773"/>
      <c r="EX21" s="773"/>
      <c r="EY21" s="773"/>
      <c r="EZ21" s="773"/>
      <c r="FA21" s="773"/>
      <c r="FB21" s="773"/>
      <c r="FC21" s="773"/>
      <c r="FD21" s="773"/>
      <c r="FE21" s="773"/>
      <c r="FF21" s="773"/>
      <c r="FG21" s="773"/>
      <c r="FH21" s="773"/>
      <c r="FI21" s="773"/>
      <c r="FJ21" s="773"/>
      <c r="FK21" s="773"/>
      <c r="FL21" s="773"/>
      <c r="FM21" s="773"/>
      <c r="FN21" s="773"/>
      <c r="FO21" s="773"/>
      <c r="FP21" s="773"/>
      <c r="FQ21" s="773"/>
      <c r="FR21" s="773"/>
      <c r="FS21" s="773"/>
      <c r="FT21" s="773"/>
      <c r="FU21" s="773"/>
      <c r="FV21" s="773"/>
      <c r="FW21" s="773"/>
      <c r="FX21" s="773"/>
      <c r="FY21" s="773"/>
      <c r="FZ21" s="773"/>
      <c r="GA21" s="773"/>
      <c r="GB21" s="773"/>
      <c r="GC21" s="773"/>
      <c r="GD21" s="773"/>
      <c r="GE21" s="773"/>
      <c r="GF21" s="773"/>
      <c r="GG21" s="773"/>
      <c r="GH21" s="773"/>
      <c r="GI21" s="773"/>
      <c r="GJ21" s="773"/>
      <c r="GK21" s="773"/>
      <c r="GL21" s="773"/>
      <c r="GM21" s="773"/>
      <c r="GN21" s="773"/>
      <c r="GO21" s="773"/>
      <c r="GP21" s="773"/>
      <c r="GQ21" s="773"/>
      <c r="GR21" s="773"/>
      <c r="GS21" s="773"/>
      <c r="GT21" s="773"/>
      <c r="GU21" s="773"/>
      <c r="GV21" s="773"/>
      <c r="GW21" s="773"/>
      <c r="GX21" s="773"/>
      <c r="GY21" s="773"/>
      <c r="GZ21" s="773"/>
    </row>
    <row r="22" spans="1:208" s="11" customFormat="1">
      <c r="A22" s="774"/>
      <c r="B22" s="3761" t="s">
        <v>1350</v>
      </c>
      <c r="C22" s="197">
        <v>202975</v>
      </c>
      <c r="D22" s="801" t="s">
        <v>4497</v>
      </c>
      <c r="E22" s="809">
        <f>IFERROR(VLOOKUP(C22,'AJE 12 - INC'!$D$168:$F$345,3,0),0)</f>
        <v>308458.31</v>
      </c>
      <c r="F22" s="1325">
        <f>SUMIF('AJE 12 - INC'!B:B,'New TB INC'!C22,'AJE 12 - INC'!D:D)</f>
        <v>0</v>
      </c>
      <c r="G22" s="1326"/>
      <c r="H22" s="1326"/>
      <c r="I22" s="1326"/>
      <c r="J22" s="796">
        <f t="shared" ref="J22:J27" si="3">SUM(E22:I22)</f>
        <v>308458.31</v>
      </c>
      <c r="K22" s="779"/>
      <c r="L22" s="434"/>
      <c r="M22" s="2679"/>
      <c r="N22" s="772"/>
      <c r="O22" s="772"/>
      <c r="P22" s="772"/>
      <c r="Q22" s="772"/>
      <c r="R22" s="772"/>
      <c r="S22" s="772"/>
      <c r="T22" s="773"/>
      <c r="AW22" s="2514"/>
      <c r="AX22" s="820"/>
      <c r="AY22" s="820"/>
      <c r="AZ22" s="820"/>
      <c r="BA22" s="30"/>
      <c r="BB22" s="30"/>
      <c r="BC22" s="2514"/>
      <c r="BD22" s="2514"/>
      <c r="BE22" s="2514"/>
      <c r="BF22" s="2514"/>
      <c r="BH22" s="2514"/>
      <c r="BI22" s="30"/>
      <c r="BJ22" s="30"/>
      <c r="BK22" s="30"/>
      <c r="BL22" s="30"/>
      <c r="BM22" s="30"/>
      <c r="BN22" s="30"/>
      <c r="BO22" s="209"/>
      <c r="BP22" s="209"/>
      <c r="BQ22" s="785"/>
      <c r="BR22" s="820"/>
      <c r="BS22" s="820"/>
      <c r="BT22" s="30"/>
      <c r="BU22" s="800"/>
      <c r="BV22" s="800"/>
      <c r="BW22" s="209"/>
      <c r="CA22" s="787"/>
      <c r="DB22" s="773"/>
      <c r="DC22" s="773"/>
      <c r="DD22" s="773"/>
      <c r="DE22" s="773"/>
      <c r="DF22" s="773"/>
      <c r="DG22" s="773"/>
      <c r="DH22" s="773"/>
      <c r="DI22" s="773"/>
      <c r="DJ22" s="773"/>
      <c r="DK22" s="773"/>
      <c r="DL22" s="773"/>
      <c r="DM22" s="773"/>
      <c r="DN22" s="773"/>
      <c r="DO22" s="773"/>
      <c r="DP22" s="773"/>
      <c r="DQ22" s="773"/>
      <c r="DR22" s="773"/>
      <c r="DS22" s="773"/>
      <c r="DT22" s="773"/>
      <c r="DU22" s="773"/>
      <c r="DV22" s="773"/>
      <c r="DW22" s="773"/>
      <c r="DX22" s="773"/>
      <c r="DY22" s="773"/>
      <c r="DZ22" s="773"/>
      <c r="EA22" s="773"/>
      <c r="EB22" s="773"/>
      <c r="EC22" s="773"/>
      <c r="ED22" s="773"/>
      <c r="EE22" s="773"/>
      <c r="EF22" s="773"/>
      <c r="EG22" s="773"/>
      <c r="EH22" s="773"/>
      <c r="EI22" s="773"/>
      <c r="EJ22" s="773"/>
      <c r="EK22" s="773"/>
      <c r="EL22" s="773"/>
      <c r="EM22" s="773"/>
      <c r="EN22" s="773"/>
      <c r="EO22" s="773"/>
      <c r="EP22" s="773"/>
      <c r="EQ22" s="773"/>
      <c r="ER22" s="773"/>
      <c r="ES22" s="773"/>
      <c r="ET22" s="773"/>
      <c r="EU22" s="773"/>
      <c r="EV22" s="773"/>
      <c r="EW22" s="773"/>
      <c r="EX22" s="773"/>
      <c r="EY22" s="773"/>
      <c r="EZ22" s="773"/>
      <c r="FA22" s="773"/>
      <c r="FB22" s="773"/>
      <c r="FC22" s="773"/>
      <c r="FD22" s="773"/>
      <c r="FE22" s="773"/>
      <c r="FF22" s="773"/>
      <c r="FG22" s="773"/>
      <c r="FH22" s="773"/>
      <c r="FI22" s="773"/>
      <c r="FJ22" s="773"/>
      <c r="FK22" s="773"/>
      <c r="FL22" s="773"/>
      <c r="FM22" s="773"/>
      <c r="FN22" s="773"/>
      <c r="FO22" s="773"/>
      <c r="FP22" s="773"/>
      <c r="FQ22" s="773"/>
      <c r="FR22" s="773"/>
      <c r="FS22" s="773"/>
      <c r="FT22" s="773"/>
      <c r="FU22" s="773"/>
      <c r="FV22" s="773"/>
      <c r="FW22" s="773"/>
      <c r="FX22" s="773"/>
      <c r="FY22" s="773"/>
      <c r="FZ22" s="773"/>
      <c r="GA22" s="773"/>
      <c r="GB22" s="773"/>
      <c r="GC22" s="773"/>
      <c r="GD22" s="773"/>
      <c r="GE22" s="773"/>
      <c r="GF22" s="773"/>
      <c r="GG22" s="773"/>
      <c r="GH22" s="773"/>
      <c r="GI22" s="773"/>
      <c r="GJ22" s="773"/>
      <c r="GK22" s="773"/>
      <c r="GL22" s="773"/>
      <c r="GM22" s="773"/>
      <c r="GN22" s="773"/>
      <c r="GO22" s="773"/>
      <c r="GP22" s="773"/>
      <c r="GQ22" s="773"/>
      <c r="GR22" s="773"/>
      <c r="GS22" s="773"/>
      <c r="GT22" s="773"/>
      <c r="GU22" s="773"/>
      <c r="GV22" s="773"/>
      <c r="GW22" s="773"/>
      <c r="GX22" s="773"/>
      <c r="GY22" s="773"/>
      <c r="GZ22" s="773"/>
    </row>
    <row r="23" spans="1:208" s="11" customFormat="1">
      <c r="A23" s="774"/>
      <c r="B23" s="3761" t="s">
        <v>1350</v>
      </c>
      <c r="C23" s="197">
        <v>206071</v>
      </c>
      <c r="D23" s="801" t="s">
        <v>4498</v>
      </c>
      <c r="E23" s="809">
        <f>IFERROR(VLOOKUP(C23,'AJE 12 - INC'!$D$168:$F$345,3,0),0)</f>
        <v>1805112.8</v>
      </c>
      <c r="F23" s="1325">
        <f>SUMIF('AJE 12 - INC'!B:B,'New TB INC'!C23,'AJE 12 - INC'!D:D)</f>
        <v>0</v>
      </c>
      <c r="G23" s="1326"/>
      <c r="H23" s="1326"/>
      <c r="I23" s="1326"/>
      <c r="J23" s="796">
        <f t="shared" si="3"/>
        <v>1805112.8</v>
      </c>
      <c r="K23" s="779"/>
      <c r="L23" s="434"/>
      <c r="M23" s="2679" t="s">
        <v>4718</v>
      </c>
      <c r="N23" s="772"/>
      <c r="O23" s="772"/>
      <c r="P23" s="772"/>
      <c r="Q23" s="772"/>
      <c r="R23" s="772"/>
      <c r="S23" s="772"/>
      <c r="T23" s="773"/>
      <c r="AW23" s="2514"/>
      <c r="AX23" s="820"/>
      <c r="AY23" s="820"/>
      <c r="AZ23" s="820"/>
      <c r="BA23" s="30"/>
      <c r="BB23" s="30"/>
      <c r="BC23" s="2514"/>
      <c r="BD23" s="2514"/>
      <c r="BE23" s="2514"/>
      <c r="BF23" s="2514"/>
      <c r="BH23" s="2514"/>
      <c r="BI23" s="30"/>
      <c r="BJ23" s="30"/>
      <c r="BK23" s="30"/>
      <c r="BL23" s="30"/>
      <c r="BM23" s="30"/>
      <c r="BN23" s="30"/>
      <c r="BO23" s="209"/>
      <c r="BP23" s="209"/>
      <c r="BQ23" s="785"/>
      <c r="BR23" s="820"/>
      <c r="BS23" s="820"/>
      <c r="BT23" s="30"/>
      <c r="BU23" s="800"/>
      <c r="BV23" s="800"/>
      <c r="BW23" s="209"/>
      <c r="CA23" s="787"/>
      <c r="DB23" s="773"/>
      <c r="DC23" s="773"/>
      <c r="DD23" s="773"/>
      <c r="DE23" s="773"/>
      <c r="DF23" s="773"/>
      <c r="DG23" s="773"/>
      <c r="DH23" s="773"/>
      <c r="DI23" s="773"/>
      <c r="DJ23" s="773"/>
      <c r="DK23" s="773"/>
      <c r="DL23" s="773"/>
      <c r="DM23" s="773"/>
      <c r="DN23" s="773"/>
      <c r="DO23" s="773"/>
      <c r="DP23" s="773"/>
      <c r="DQ23" s="773"/>
      <c r="DR23" s="773"/>
      <c r="DS23" s="773"/>
      <c r="DT23" s="773"/>
      <c r="DU23" s="773"/>
      <c r="DV23" s="773"/>
      <c r="DW23" s="773"/>
      <c r="DX23" s="773"/>
      <c r="DY23" s="773"/>
      <c r="DZ23" s="773"/>
      <c r="EA23" s="773"/>
      <c r="EB23" s="773"/>
      <c r="EC23" s="773"/>
      <c r="ED23" s="773"/>
      <c r="EE23" s="773"/>
      <c r="EF23" s="773"/>
      <c r="EG23" s="773"/>
      <c r="EH23" s="773"/>
      <c r="EI23" s="773"/>
      <c r="EJ23" s="773"/>
      <c r="EK23" s="773"/>
      <c r="EL23" s="773"/>
      <c r="EM23" s="773"/>
      <c r="EN23" s="773"/>
      <c r="EO23" s="773"/>
      <c r="EP23" s="773"/>
      <c r="EQ23" s="773"/>
      <c r="ER23" s="773"/>
      <c r="ES23" s="773"/>
      <c r="ET23" s="773"/>
      <c r="EU23" s="773"/>
      <c r="EV23" s="773"/>
      <c r="EW23" s="773"/>
      <c r="EX23" s="773"/>
      <c r="EY23" s="773"/>
      <c r="EZ23" s="773"/>
      <c r="FA23" s="773"/>
      <c r="FB23" s="773"/>
      <c r="FC23" s="773"/>
      <c r="FD23" s="773"/>
      <c r="FE23" s="773"/>
      <c r="FF23" s="773"/>
      <c r="FG23" s="773"/>
      <c r="FH23" s="773"/>
      <c r="FI23" s="773"/>
      <c r="FJ23" s="773"/>
      <c r="FK23" s="773"/>
      <c r="FL23" s="773"/>
      <c r="FM23" s="773"/>
      <c r="FN23" s="773"/>
      <c r="FO23" s="773"/>
      <c r="FP23" s="773"/>
      <c r="FQ23" s="773"/>
      <c r="FR23" s="773"/>
      <c r="FS23" s="773"/>
      <c r="FT23" s="773"/>
      <c r="FU23" s="773"/>
      <c r="FV23" s="773"/>
      <c r="FW23" s="773"/>
      <c r="FX23" s="773"/>
      <c r="FY23" s="773"/>
      <c r="FZ23" s="773"/>
      <c r="GA23" s="773"/>
      <c r="GB23" s="773"/>
      <c r="GC23" s="773"/>
      <c r="GD23" s="773"/>
      <c r="GE23" s="773"/>
      <c r="GF23" s="773"/>
      <c r="GG23" s="773"/>
      <c r="GH23" s="773"/>
      <c r="GI23" s="773"/>
      <c r="GJ23" s="773"/>
      <c r="GK23" s="773"/>
      <c r="GL23" s="773"/>
      <c r="GM23" s="773"/>
      <c r="GN23" s="773"/>
      <c r="GO23" s="773"/>
      <c r="GP23" s="773"/>
      <c r="GQ23" s="773"/>
      <c r="GR23" s="773"/>
      <c r="GS23" s="773"/>
      <c r="GT23" s="773"/>
      <c r="GU23" s="773"/>
      <c r="GV23" s="773"/>
      <c r="GW23" s="773"/>
      <c r="GX23" s="773"/>
      <c r="GY23" s="773"/>
      <c r="GZ23" s="773"/>
    </row>
    <row r="24" spans="1:208" s="11" customFormat="1">
      <c r="A24" s="774"/>
      <c r="B24" s="3761" t="s">
        <v>1350</v>
      </c>
      <c r="C24" s="197">
        <v>213460</v>
      </c>
      <c r="D24" s="801" t="s">
        <v>4500</v>
      </c>
      <c r="E24" s="809">
        <f>IFERROR(VLOOKUP(C24,'AJE 12 - INC'!$D$168:$F$345,3,0),0)</f>
        <v>0</v>
      </c>
      <c r="F24" s="1325">
        <f>SUMIF('AJE 12 - INC'!B:B,'New TB INC'!C24,'AJE 12 - INC'!D:D)</f>
        <v>0</v>
      </c>
      <c r="G24" s="1326"/>
      <c r="H24" s="1326"/>
      <c r="I24" s="1326"/>
      <c r="J24" s="796">
        <f t="shared" si="3"/>
        <v>0</v>
      </c>
      <c r="K24" s="779"/>
      <c r="L24" s="434"/>
      <c r="M24" s="2679"/>
      <c r="N24" s="772"/>
      <c r="O24" s="772"/>
      <c r="P24" s="772"/>
      <c r="Q24" s="772"/>
      <c r="R24" s="772"/>
      <c r="S24" s="772"/>
      <c r="T24" s="773"/>
      <c r="AW24" s="2514"/>
      <c r="AX24" s="820"/>
      <c r="AY24" s="820"/>
      <c r="AZ24" s="820"/>
      <c r="BA24" s="30"/>
      <c r="BB24" s="30"/>
      <c r="BC24" s="2514"/>
      <c r="BD24" s="2514"/>
      <c r="BE24" s="2514"/>
      <c r="BF24" s="2514"/>
      <c r="BH24" s="2514"/>
      <c r="BI24" s="30"/>
      <c r="BJ24" s="30"/>
      <c r="BK24" s="30"/>
      <c r="BL24" s="30"/>
      <c r="BM24" s="30"/>
      <c r="BN24" s="30"/>
      <c r="BO24" s="209"/>
      <c r="BP24" s="209"/>
      <c r="BQ24" s="785"/>
      <c r="BR24" s="820"/>
      <c r="BS24" s="820"/>
      <c r="BT24" s="30"/>
      <c r="BU24" s="800"/>
      <c r="BV24" s="800"/>
      <c r="BW24" s="209"/>
      <c r="CA24" s="787"/>
      <c r="DB24" s="773"/>
      <c r="DC24" s="773"/>
      <c r="DD24" s="773"/>
      <c r="DE24" s="773"/>
      <c r="DF24" s="773"/>
      <c r="DG24" s="773"/>
      <c r="DH24" s="773"/>
      <c r="DI24" s="773"/>
      <c r="DJ24" s="773"/>
      <c r="DK24" s="773"/>
      <c r="DL24" s="773"/>
      <c r="DM24" s="773"/>
      <c r="DN24" s="773"/>
      <c r="DO24" s="773"/>
      <c r="DP24" s="773"/>
      <c r="DQ24" s="773"/>
      <c r="DR24" s="773"/>
      <c r="DS24" s="773"/>
      <c r="DT24" s="773"/>
      <c r="DU24" s="773"/>
      <c r="DV24" s="773"/>
      <c r="DW24" s="773"/>
      <c r="DX24" s="773"/>
      <c r="DY24" s="773"/>
      <c r="DZ24" s="773"/>
      <c r="EA24" s="773"/>
      <c r="EB24" s="773"/>
      <c r="EC24" s="773"/>
      <c r="ED24" s="773"/>
      <c r="EE24" s="773"/>
      <c r="EF24" s="773"/>
      <c r="EG24" s="773"/>
      <c r="EH24" s="773"/>
      <c r="EI24" s="773"/>
      <c r="EJ24" s="773"/>
      <c r="EK24" s="773"/>
      <c r="EL24" s="773"/>
      <c r="EM24" s="773"/>
      <c r="EN24" s="773"/>
      <c r="EO24" s="773"/>
      <c r="EP24" s="773"/>
      <c r="EQ24" s="773"/>
      <c r="ER24" s="773"/>
      <c r="ES24" s="773"/>
      <c r="ET24" s="773"/>
      <c r="EU24" s="773"/>
      <c r="EV24" s="773"/>
      <c r="EW24" s="773"/>
      <c r="EX24" s="773"/>
      <c r="EY24" s="773"/>
      <c r="EZ24" s="773"/>
      <c r="FA24" s="773"/>
      <c r="FB24" s="773"/>
      <c r="FC24" s="773"/>
      <c r="FD24" s="773"/>
      <c r="FE24" s="773"/>
      <c r="FF24" s="773"/>
      <c r="FG24" s="773"/>
      <c r="FH24" s="773"/>
      <c r="FI24" s="773"/>
      <c r="FJ24" s="773"/>
      <c r="FK24" s="773"/>
      <c r="FL24" s="773"/>
      <c r="FM24" s="773"/>
      <c r="FN24" s="773"/>
      <c r="FO24" s="773"/>
      <c r="FP24" s="773"/>
      <c r="FQ24" s="773"/>
      <c r="FR24" s="773"/>
      <c r="FS24" s="773"/>
      <c r="FT24" s="773"/>
      <c r="FU24" s="773"/>
      <c r="FV24" s="773"/>
      <c r="FW24" s="773"/>
      <c r="FX24" s="773"/>
      <c r="FY24" s="773"/>
      <c r="FZ24" s="773"/>
      <c r="GA24" s="773"/>
      <c r="GB24" s="773"/>
      <c r="GC24" s="773"/>
      <c r="GD24" s="773"/>
      <c r="GE24" s="773"/>
      <c r="GF24" s="773"/>
      <c r="GG24" s="773"/>
      <c r="GH24" s="773"/>
      <c r="GI24" s="773"/>
      <c r="GJ24" s="773"/>
      <c r="GK24" s="773"/>
      <c r="GL24" s="773"/>
      <c r="GM24" s="773"/>
      <c r="GN24" s="773"/>
      <c r="GO24" s="773"/>
      <c r="GP24" s="773"/>
      <c r="GQ24" s="773"/>
      <c r="GR24" s="773"/>
      <c r="GS24" s="773"/>
      <c r="GT24" s="773"/>
      <c r="GU24" s="773"/>
      <c r="GV24" s="773"/>
      <c r="GW24" s="773"/>
      <c r="GX24" s="773"/>
      <c r="GY24" s="773"/>
      <c r="GZ24" s="773"/>
    </row>
    <row r="25" spans="1:208" s="11" customFormat="1">
      <c r="A25" s="774"/>
      <c r="B25" s="3761" t="s">
        <v>1350</v>
      </c>
      <c r="C25" s="197">
        <v>215495</v>
      </c>
      <c r="D25" s="801" t="s">
        <v>4501</v>
      </c>
      <c r="E25" s="809">
        <f>IFERROR(VLOOKUP(C25,'AJE 12 - INC'!$D$168:$F$345,3,0),0)</f>
        <v>0</v>
      </c>
      <c r="F25" s="1325">
        <f>SUMIF('AJE 12 - INC'!B:B,'New TB INC'!C25,'AJE 12 - INC'!D:D)</f>
        <v>0</v>
      </c>
      <c r="G25" s="1326"/>
      <c r="H25" s="1326"/>
      <c r="I25" s="1326"/>
      <c r="J25" s="796">
        <f t="shared" si="3"/>
        <v>0</v>
      </c>
      <c r="K25" s="779"/>
      <c r="L25" s="434"/>
      <c r="M25" s="2679"/>
      <c r="N25" s="772"/>
      <c r="O25" s="772"/>
      <c r="P25" s="772"/>
      <c r="Q25" s="772"/>
      <c r="R25" s="772"/>
      <c r="S25" s="772"/>
      <c r="T25" s="773"/>
      <c r="AW25" s="2514"/>
      <c r="AX25" s="820"/>
      <c r="AY25" s="820"/>
      <c r="AZ25" s="820"/>
      <c r="BA25" s="30"/>
      <c r="BB25" s="30"/>
      <c r="BC25" s="2514"/>
      <c r="BD25" s="2514"/>
      <c r="BE25" s="2514"/>
      <c r="BF25" s="2514"/>
      <c r="BH25" s="2514"/>
      <c r="BI25" s="30"/>
      <c r="BJ25" s="30"/>
      <c r="BK25" s="30"/>
      <c r="BL25" s="30"/>
      <c r="BM25" s="30"/>
      <c r="BN25" s="30"/>
      <c r="BO25" s="209"/>
      <c r="BP25" s="209"/>
      <c r="BQ25" s="785"/>
      <c r="BR25" s="820"/>
      <c r="BS25" s="820"/>
      <c r="BT25" s="30"/>
      <c r="BU25" s="800"/>
      <c r="BV25" s="800"/>
      <c r="BW25" s="209"/>
      <c r="CA25" s="787"/>
      <c r="DB25" s="773"/>
      <c r="DC25" s="773"/>
      <c r="DD25" s="773"/>
      <c r="DE25" s="773"/>
      <c r="DF25" s="773"/>
      <c r="DG25" s="773"/>
      <c r="DH25" s="773"/>
      <c r="DI25" s="773"/>
      <c r="DJ25" s="773"/>
      <c r="DK25" s="773"/>
      <c r="DL25" s="773"/>
      <c r="DM25" s="773"/>
      <c r="DN25" s="773"/>
      <c r="DO25" s="773"/>
      <c r="DP25" s="773"/>
      <c r="DQ25" s="773"/>
      <c r="DR25" s="773"/>
      <c r="DS25" s="773"/>
      <c r="DT25" s="773"/>
      <c r="DU25" s="773"/>
      <c r="DV25" s="773"/>
      <c r="DW25" s="773"/>
      <c r="DX25" s="773"/>
      <c r="DY25" s="773"/>
      <c r="DZ25" s="773"/>
      <c r="EA25" s="773"/>
      <c r="EB25" s="773"/>
      <c r="EC25" s="773"/>
      <c r="ED25" s="773"/>
      <c r="EE25" s="773"/>
      <c r="EF25" s="773"/>
      <c r="EG25" s="773"/>
      <c r="EH25" s="773"/>
      <c r="EI25" s="773"/>
      <c r="EJ25" s="773"/>
      <c r="EK25" s="773"/>
      <c r="EL25" s="773"/>
      <c r="EM25" s="773"/>
      <c r="EN25" s="773"/>
      <c r="EO25" s="773"/>
      <c r="EP25" s="773"/>
      <c r="EQ25" s="773"/>
      <c r="ER25" s="773"/>
      <c r="ES25" s="773"/>
      <c r="ET25" s="773"/>
      <c r="EU25" s="773"/>
      <c r="EV25" s="773"/>
      <c r="EW25" s="773"/>
      <c r="EX25" s="773"/>
      <c r="EY25" s="773"/>
      <c r="EZ25" s="773"/>
      <c r="FA25" s="773"/>
      <c r="FB25" s="773"/>
      <c r="FC25" s="773"/>
      <c r="FD25" s="773"/>
      <c r="FE25" s="773"/>
      <c r="FF25" s="773"/>
      <c r="FG25" s="773"/>
      <c r="FH25" s="773"/>
      <c r="FI25" s="773"/>
      <c r="FJ25" s="773"/>
      <c r="FK25" s="773"/>
      <c r="FL25" s="773"/>
      <c r="FM25" s="773"/>
      <c r="FN25" s="773"/>
      <c r="FO25" s="773"/>
      <c r="FP25" s="773"/>
      <c r="FQ25" s="773"/>
      <c r="FR25" s="773"/>
      <c r="FS25" s="773"/>
      <c r="FT25" s="773"/>
      <c r="FU25" s="773"/>
      <c r="FV25" s="773"/>
      <c r="FW25" s="773"/>
      <c r="FX25" s="773"/>
      <c r="FY25" s="773"/>
      <c r="FZ25" s="773"/>
      <c r="GA25" s="773"/>
      <c r="GB25" s="773"/>
      <c r="GC25" s="773"/>
      <c r="GD25" s="773"/>
      <c r="GE25" s="773"/>
      <c r="GF25" s="773"/>
      <c r="GG25" s="773"/>
      <c r="GH25" s="773"/>
      <c r="GI25" s="773"/>
      <c r="GJ25" s="773"/>
      <c r="GK25" s="773"/>
      <c r="GL25" s="773"/>
      <c r="GM25" s="773"/>
      <c r="GN25" s="773"/>
      <c r="GO25" s="773"/>
      <c r="GP25" s="773"/>
      <c r="GQ25" s="773"/>
      <c r="GR25" s="773"/>
      <c r="GS25" s="773"/>
      <c r="GT25" s="773"/>
      <c r="GU25" s="773"/>
      <c r="GV25" s="773"/>
      <c r="GW25" s="773"/>
      <c r="GX25" s="773"/>
      <c r="GY25" s="773"/>
      <c r="GZ25" s="773"/>
    </row>
    <row r="26" spans="1:208" s="11" customFormat="1">
      <c r="A26" s="774"/>
      <c r="B26" s="3761" t="s">
        <v>1350</v>
      </c>
      <c r="C26" s="197">
        <v>221995</v>
      </c>
      <c r="D26" s="801" t="s">
        <v>4504</v>
      </c>
      <c r="E26" s="809">
        <f>IFERROR(VLOOKUP(C26,'AJE 12 - INC'!$D$168:$F$345,3,0),0)</f>
        <v>23178.6</v>
      </c>
      <c r="F26" s="1325">
        <f>SUMIF('AJE 12 - INC'!B:B,'New TB INC'!C26,'AJE 12 - INC'!D:D)</f>
        <v>0</v>
      </c>
      <c r="G26" s="1326"/>
      <c r="H26" s="1326"/>
      <c r="I26" s="1326"/>
      <c r="J26" s="796">
        <f t="shared" si="3"/>
        <v>23178.6</v>
      </c>
      <c r="K26" s="779"/>
      <c r="L26" s="434"/>
      <c r="M26" s="2679"/>
      <c r="N26" s="772"/>
      <c r="O26" s="772"/>
      <c r="P26" s="772"/>
      <c r="Q26" s="772"/>
      <c r="R26" s="772"/>
      <c r="S26" s="772"/>
      <c r="T26" s="773"/>
      <c r="AW26" s="2514"/>
      <c r="AX26" s="820"/>
      <c r="AY26" s="820"/>
      <c r="AZ26" s="820"/>
      <c r="BA26" s="30"/>
      <c r="BB26" s="30"/>
      <c r="BC26" s="2514"/>
      <c r="BD26" s="2514"/>
      <c r="BE26" s="2514"/>
      <c r="BF26" s="2514"/>
      <c r="BH26" s="2514"/>
      <c r="BI26" s="30"/>
      <c r="BJ26" s="30"/>
      <c r="BK26" s="30"/>
      <c r="BL26" s="30"/>
      <c r="BM26" s="30"/>
      <c r="BN26" s="30"/>
      <c r="BO26" s="209"/>
      <c r="BP26" s="209"/>
      <c r="BQ26" s="785"/>
      <c r="BR26" s="820"/>
      <c r="BS26" s="820"/>
      <c r="BT26" s="30"/>
      <c r="BU26" s="800"/>
      <c r="BV26" s="800"/>
      <c r="BW26" s="209"/>
      <c r="CA26" s="787"/>
      <c r="DB26" s="773"/>
      <c r="DC26" s="773"/>
      <c r="DD26" s="773"/>
      <c r="DE26" s="773"/>
      <c r="DF26" s="773"/>
      <c r="DG26" s="773"/>
      <c r="DH26" s="773"/>
      <c r="DI26" s="773"/>
      <c r="DJ26" s="773"/>
      <c r="DK26" s="773"/>
      <c r="DL26" s="773"/>
      <c r="DM26" s="773"/>
      <c r="DN26" s="773"/>
      <c r="DO26" s="773"/>
      <c r="DP26" s="773"/>
      <c r="DQ26" s="773"/>
      <c r="DR26" s="773"/>
      <c r="DS26" s="773"/>
      <c r="DT26" s="773"/>
      <c r="DU26" s="773"/>
      <c r="DV26" s="773"/>
      <c r="DW26" s="773"/>
      <c r="DX26" s="773"/>
      <c r="DY26" s="773"/>
      <c r="DZ26" s="773"/>
      <c r="EA26" s="773"/>
      <c r="EB26" s="773"/>
      <c r="EC26" s="773"/>
      <c r="ED26" s="773"/>
      <c r="EE26" s="773"/>
      <c r="EF26" s="773"/>
      <c r="EG26" s="773"/>
      <c r="EH26" s="773"/>
      <c r="EI26" s="773"/>
      <c r="EJ26" s="773"/>
      <c r="EK26" s="773"/>
      <c r="EL26" s="773"/>
      <c r="EM26" s="773"/>
      <c r="EN26" s="773"/>
      <c r="EO26" s="773"/>
      <c r="EP26" s="773"/>
      <c r="EQ26" s="773"/>
      <c r="ER26" s="773"/>
      <c r="ES26" s="773"/>
      <c r="ET26" s="773"/>
      <c r="EU26" s="773"/>
      <c r="EV26" s="773"/>
      <c r="EW26" s="773"/>
      <c r="EX26" s="773"/>
      <c r="EY26" s="773"/>
      <c r="EZ26" s="773"/>
      <c r="FA26" s="773"/>
      <c r="FB26" s="773"/>
      <c r="FC26" s="773"/>
      <c r="FD26" s="773"/>
      <c r="FE26" s="773"/>
      <c r="FF26" s="773"/>
      <c r="FG26" s="773"/>
      <c r="FH26" s="773"/>
      <c r="FI26" s="773"/>
      <c r="FJ26" s="773"/>
      <c r="FK26" s="773"/>
      <c r="FL26" s="773"/>
      <c r="FM26" s="773"/>
      <c r="FN26" s="773"/>
      <c r="FO26" s="773"/>
      <c r="FP26" s="773"/>
      <c r="FQ26" s="773"/>
      <c r="FR26" s="773"/>
      <c r="FS26" s="773"/>
      <c r="FT26" s="773"/>
      <c r="FU26" s="773"/>
      <c r="FV26" s="773"/>
      <c r="FW26" s="773"/>
      <c r="FX26" s="773"/>
      <c r="FY26" s="773"/>
      <c r="FZ26" s="773"/>
      <c r="GA26" s="773"/>
      <c r="GB26" s="773"/>
      <c r="GC26" s="773"/>
      <c r="GD26" s="773"/>
      <c r="GE26" s="773"/>
      <c r="GF26" s="773"/>
      <c r="GG26" s="773"/>
      <c r="GH26" s="773"/>
      <c r="GI26" s="773"/>
      <c r="GJ26" s="773"/>
      <c r="GK26" s="773"/>
      <c r="GL26" s="773"/>
      <c r="GM26" s="773"/>
      <c r="GN26" s="773"/>
      <c r="GO26" s="773"/>
      <c r="GP26" s="773"/>
      <c r="GQ26" s="773"/>
      <c r="GR26" s="773"/>
      <c r="GS26" s="773"/>
      <c r="GT26" s="773"/>
      <c r="GU26" s="773"/>
      <c r="GV26" s="773"/>
      <c r="GW26" s="773"/>
      <c r="GX26" s="773"/>
      <c r="GY26" s="773"/>
      <c r="GZ26" s="773"/>
    </row>
    <row r="27" spans="1:208" s="11" customFormat="1">
      <c r="A27" s="774"/>
      <c r="B27" s="3761" t="s">
        <v>1350</v>
      </c>
      <c r="C27" s="197">
        <v>230635</v>
      </c>
      <c r="D27" s="801" t="s">
        <v>4719</v>
      </c>
      <c r="E27" s="809">
        <f>IFERROR(VLOOKUP(C27,'AJE 12 - INC'!$D$168:$F$345,3,0),0)</f>
        <v>30158.75</v>
      </c>
      <c r="F27" s="1325">
        <f>SUMIF('AJE 12 - INC'!B:B,'New TB INC'!C27,'AJE 12 - INC'!D:D)</f>
        <v>0</v>
      </c>
      <c r="G27" s="1326"/>
      <c r="H27" s="1326"/>
      <c r="I27" s="1326"/>
      <c r="J27" s="796">
        <f t="shared" si="3"/>
        <v>30158.75</v>
      </c>
      <c r="K27" s="779"/>
      <c r="L27" s="434"/>
      <c r="M27" s="2679"/>
      <c r="N27" s="772"/>
      <c r="O27" s="772"/>
      <c r="P27" s="772"/>
      <c r="Q27" s="772"/>
      <c r="R27" s="772"/>
      <c r="S27" s="772"/>
      <c r="T27" s="773"/>
      <c r="AW27" s="2514"/>
      <c r="AX27" s="820"/>
      <c r="AY27" s="820"/>
      <c r="AZ27" s="820"/>
      <c r="BA27" s="30"/>
      <c r="BB27" s="30"/>
      <c r="BC27" s="2514"/>
      <c r="BD27" s="2514"/>
      <c r="BE27" s="2514"/>
      <c r="BF27" s="2514"/>
      <c r="BH27" s="2514"/>
      <c r="BI27" s="30"/>
      <c r="BJ27" s="30"/>
      <c r="BK27" s="30"/>
      <c r="BL27" s="30"/>
      <c r="BM27" s="30"/>
      <c r="BN27" s="30"/>
      <c r="BO27" s="209"/>
      <c r="BP27" s="209"/>
      <c r="BQ27" s="785"/>
      <c r="BR27" s="820"/>
      <c r="BS27" s="820"/>
      <c r="BT27" s="30"/>
      <c r="BU27" s="800"/>
      <c r="BV27" s="800"/>
      <c r="BW27" s="209"/>
      <c r="CA27" s="787"/>
      <c r="DB27" s="773"/>
      <c r="DC27" s="773"/>
      <c r="DD27" s="773"/>
      <c r="DE27" s="773"/>
      <c r="DF27" s="773"/>
      <c r="DG27" s="773"/>
      <c r="DH27" s="773"/>
      <c r="DI27" s="773"/>
      <c r="DJ27" s="773"/>
      <c r="DK27" s="773"/>
      <c r="DL27" s="773"/>
      <c r="DM27" s="773"/>
      <c r="DN27" s="773"/>
      <c r="DO27" s="773"/>
      <c r="DP27" s="773"/>
      <c r="DQ27" s="773"/>
      <c r="DR27" s="773"/>
      <c r="DS27" s="773"/>
      <c r="DT27" s="773"/>
      <c r="DU27" s="773"/>
      <c r="DV27" s="773"/>
      <c r="DW27" s="773"/>
      <c r="DX27" s="773"/>
      <c r="DY27" s="773"/>
      <c r="DZ27" s="773"/>
      <c r="EA27" s="773"/>
      <c r="EB27" s="773"/>
      <c r="EC27" s="773"/>
      <c r="ED27" s="773"/>
      <c r="EE27" s="773"/>
      <c r="EF27" s="773"/>
      <c r="EG27" s="773"/>
      <c r="EH27" s="773"/>
      <c r="EI27" s="773"/>
      <c r="EJ27" s="773"/>
      <c r="EK27" s="773"/>
      <c r="EL27" s="773"/>
      <c r="EM27" s="773"/>
      <c r="EN27" s="773"/>
      <c r="EO27" s="773"/>
      <c r="EP27" s="773"/>
      <c r="EQ27" s="773"/>
      <c r="ER27" s="773"/>
      <c r="ES27" s="773"/>
      <c r="ET27" s="773"/>
      <c r="EU27" s="773"/>
      <c r="EV27" s="773"/>
      <c r="EW27" s="773"/>
      <c r="EX27" s="773"/>
      <c r="EY27" s="773"/>
      <c r="EZ27" s="773"/>
      <c r="FA27" s="773"/>
      <c r="FB27" s="773"/>
      <c r="FC27" s="773"/>
      <c r="FD27" s="773"/>
      <c r="FE27" s="773"/>
      <c r="FF27" s="773"/>
      <c r="FG27" s="773"/>
      <c r="FH27" s="773"/>
      <c r="FI27" s="773"/>
      <c r="FJ27" s="773"/>
      <c r="FK27" s="773"/>
      <c r="FL27" s="773"/>
      <c r="FM27" s="773"/>
      <c r="FN27" s="773"/>
      <c r="FO27" s="773"/>
      <c r="FP27" s="773"/>
      <c r="FQ27" s="773"/>
      <c r="FR27" s="773"/>
      <c r="FS27" s="773"/>
      <c r="FT27" s="773"/>
      <c r="FU27" s="773"/>
      <c r="FV27" s="773"/>
      <c r="FW27" s="773"/>
      <c r="FX27" s="773"/>
      <c r="FY27" s="773"/>
      <c r="FZ27" s="773"/>
      <c r="GA27" s="773"/>
      <c r="GB27" s="773"/>
      <c r="GC27" s="773"/>
      <c r="GD27" s="773"/>
      <c r="GE27" s="773"/>
      <c r="GF27" s="773"/>
      <c r="GG27" s="773"/>
      <c r="GH27" s="773"/>
      <c r="GI27" s="773"/>
      <c r="GJ27" s="773"/>
      <c r="GK27" s="773"/>
      <c r="GL27" s="773"/>
      <c r="GM27" s="773"/>
      <c r="GN27" s="773"/>
      <c r="GO27" s="773"/>
      <c r="GP27" s="773"/>
      <c r="GQ27" s="773"/>
      <c r="GR27" s="773"/>
      <c r="GS27" s="773"/>
      <c r="GT27" s="773"/>
      <c r="GU27" s="773"/>
      <c r="GV27" s="773"/>
      <c r="GW27" s="773"/>
      <c r="GX27" s="773"/>
      <c r="GY27" s="773"/>
      <c r="GZ27" s="773"/>
    </row>
    <row r="28" spans="1:208" s="11" customFormat="1">
      <c r="A28" s="774"/>
      <c r="B28" s="3761" t="s">
        <v>1350</v>
      </c>
      <c r="C28" s="197">
        <v>207891</v>
      </c>
      <c r="D28" s="801" t="s">
        <v>4288</v>
      </c>
      <c r="E28" s="809">
        <f>IFERROR(VLOOKUP(C28,'AJE 12 - INC'!$D$168:$F$345,3,0),0)</f>
        <v>0</v>
      </c>
      <c r="F28" s="1325">
        <f>SUMIF('AJE 12 - INC'!B:B,'New TB INC'!C28,'AJE 12 - INC'!D:D)</f>
        <v>0</v>
      </c>
      <c r="G28" s="1326"/>
      <c r="H28" s="1326"/>
      <c r="I28" s="1326"/>
      <c r="J28" s="796">
        <f t="shared" si="1"/>
        <v>0</v>
      </c>
      <c r="K28" s="779"/>
      <c r="L28" s="434"/>
      <c r="M28" s="2679"/>
      <c r="N28" s="772"/>
      <c r="O28" s="772"/>
      <c r="P28" s="772"/>
      <c r="Q28" s="772"/>
      <c r="R28" s="772"/>
      <c r="S28" s="772"/>
      <c r="T28" s="773"/>
      <c r="AW28" s="2514"/>
      <c r="AX28" s="820"/>
      <c r="AY28" s="820"/>
      <c r="AZ28" s="820"/>
      <c r="BA28" s="30"/>
      <c r="BB28" s="30"/>
      <c r="BC28" s="2514"/>
      <c r="BD28" s="2514"/>
      <c r="BE28" s="2514"/>
      <c r="BF28" s="2514"/>
      <c r="BH28" s="2514"/>
      <c r="BI28" s="30"/>
      <c r="BJ28" s="30"/>
      <c r="BK28" s="30"/>
      <c r="BL28" s="30"/>
      <c r="BM28" s="30"/>
      <c r="BN28" s="30"/>
      <c r="BO28" s="209"/>
      <c r="BP28" s="209"/>
      <c r="BQ28" s="785"/>
      <c r="BR28" s="820"/>
      <c r="BS28" s="820"/>
      <c r="BT28" s="30"/>
      <c r="BU28" s="800"/>
      <c r="BV28" s="800"/>
      <c r="BW28" s="209"/>
      <c r="CA28" s="787"/>
      <c r="DB28" s="773"/>
      <c r="DC28" s="773"/>
      <c r="DD28" s="773"/>
      <c r="DE28" s="773"/>
      <c r="DF28" s="773"/>
      <c r="DG28" s="773"/>
      <c r="DH28" s="773"/>
      <c r="DI28" s="773"/>
      <c r="DJ28" s="773"/>
      <c r="DK28" s="773"/>
      <c r="DL28" s="773"/>
      <c r="DM28" s="773"/>
      <c r="DN28" s="773"/>
      <c r="DO28" s="773"/>
      <c r="DP28" s="773"/>
      <c r="DQ28" s="773"/>
      <c r="DR28" s="773"/>
      <c r="DS28" s="773"/>
      <c r="DT28" s="773"/>
      <c r="DU28" s="773"/>
      <c r="DV28" s="773"/>
      <c r="DW28" s="773"/>
      <c r="DX28" s="773"/>
      <c r="DY28" s="773"/>
      <c r="DZ28" s="773"/>
      <c r="EA28" s="773"/>
      <c r="EB28" s="773"/>
      <c r="EC28" s="773"/>
      <c r="ED28" s="773"/>
      <c r="EE28" s="773"/>
      <c r="EF28" s="773"/>
      <c r="EG28" s="773"/>
      <c r="EH28" s="773"/>
      <c r="EI28" s="773"/>
      <c r="EJ28" s="773"/>
      <c r="EK28" s="773"/>
      <c r="EL28" s="773"/>
      <c r="EM28" s="773"/>
      <c r="EN28" s="773"/>
      <c r="EO28" s="773"/>
      <c r="EP28" s="773"/>
      <c r="EQ28" s="773"/>
      <c r="ER28" s="773"/>
      <c r="ES28" s="773"/>
      <c r="ET28" s="773"/>
      <c r="EU28" s="773"/>
      <c r="EV28" s="773"/>
      <c r="EW28" s="773"/>
      <c r="EX28" s="773"/>
      <c r="EY28" s="773"/>
      <c r="EZ28" s="773"/>
      <c r="FA28" s="773"/>
      <c r="FB28" s="773"/>
      <c r="FC28" s="773"/>
      <c r="FD28" s="773"/>
      <c r="FE28" s="773"/>
      <c r="FF28" s="773"/>
      <c r="FG28" s="773"/>
      <c r="FH28" s="773"/>
      <c r="FI28" s="773"/>
      <c r="FJ28" s="773"/>
      <c r="FK28" s="773"/>
      <c r="FL28" s="773"/>
      <c r="FM28" s="773"/>
      <c r="FN28" s="773"/>
      <c r="FO28" s="773"/>
      <c r="FP28" s="773"/>
      <c r="FQ28" s="773"/>
      <c r="FR28" s="773"/>
      <c r="FS28" s="773"/>
      <c r="FT28" s="773"/>
      <c r="FU28" s="773"/>
      <c r="FV28" s="773"/>
      <c r="FW28" s="773"/>
      <c r="FX28" s="773"/>
      <c r="FY28" s="773"/>
      <c r="FZ28" s="773"/>
      <c r="GA28" s="773"/>
      <c r="GB28" s="773"/>
      <c r="GC28" s="773"/>
      <c r="GD28" s="773"/>
      <c r="GE28" s="773"/>
      <c r="GF28" s="773"/>
      <c r="GG28" s="773"/>
      <c r="GH28" s="773"/>
      <c r="GI28" s="773"/>
      <c r="GJ28" s="773"/>
      <c r="GK28" s="773"/>
      <c r="GL28" s="773"/>
      <c r="GM28" s="773"/>
      <c r="GN28" s="773"/>
      <c r="GO28" s="773"/>
      <c r="GP28" s="773"/>
      <c r="GQ28" s="773"/>
      <c r="GR28" s="773"/>
      <c r="GS28" s="773"/>
      <c r="GT28" s="773"/>
      <c r="GU28" s="773"/>
      <c r="GV28" s="773"/>
      <c r="GW28" s="773"/>
      <c r="GX28" s="773"/>
      <c r="GY28" s="773"/>
      <c r="GZ28" s="773"/>
    </row>
    <row r="29" spans="1:208" s="11" customFormat="1">
      <c r="A29" s="774"/>
      <c r="B29" s="3761" t="s">
        <v>1350</v>
      </c>
      <c r="C29" s="197">
        <v>215749</v>
      </c>
      <c r="D29" s="801" t="s">
        <v>4290</v>
      </c>
      <c r="E29" s="809">
        <f>IFERROR(VLOOKUP(C29,'AJE 12 - INC'!$D$168:$F$345,3,0),0)</f>
        <v>0</v>
      </c>
      <c r="F29" s="1325">
        <f>SUMIF('AJE 12 - INC'!B:B,'New TB INC'!C29,'AJE 12 - INC'!D:D)</f>
        <v>0</v>
      </c>
      <c r="G29" s="1326"/>
      <c r="H29" s="1326"/>
      <c r="I29" s="1326"/>
      <c r="J29" s="796">
        <f t="shared" si="1"/>
        <v>0</v>
      </c>
      <c r="K29" s="779"/>
      <c r="L29" s="434"/>
      <c r="M29" s="2679"/>
      <c r="N29" s="772"/>
      <c r="O29" s="772"/>
      <c r="P29" s="772"/>
      <c r="Q29" s="772"/>
      <c r="R29" s="772"/>
      <c r="S29" s="772"/>
      <c r="T29" s="773"/>
      <c r="AW29" s="2514"/>
      <c r="AX29" s="820"/>
      <c r="AY29" s="820"/>
      <c r="AZ29" s="820"/>
      <c r="BA29" s="30"/>
      <c r="BB29" s="30"/>
      <c r="BC29" s="2514"/>
      <c r="BD29" s="2514"/>
      <c r="BE29" s="2514"/>
      <c r="BF29" s="2514"/>
      <c r="BH29" s="2514"/>
      <c r="BI29" s="30"/>
      <c r="BJ29" s="30"/>
      <c r="BK29" s="30"/>
      <c r="BL29" s="30"/>
      <c r="BM29" s="30"/>
      <c r="BN29" s="30"/>
      <c r="BO29" s="209"/>
      <c r="BP29" s="209"/>
      <c r="BQ29" s="785"/>
      <c r="BR29" s="820"/>
      <c r="BS29" s="820"/>
      <c r="BT29" s="30"/>
      <c r="BU29" s="800"/>
      <c r="BV29" s="800"/>
      <c r="BW29" s="209"/>
      <c r="CA29" s="787"/>
      <c r="DB29" s="773"/>
      <c r="DC29" s="773"/>
      <c r="DD29" s="773"/>
      <c r="DE29" s="773"/>
      <c r="DF29" s="773"/>
      <c r="DG29" s="773"/>
      <c r="DH29" s="773"/>
      <c r="DI29" s="773"/>
      <c r="DJ29" s="773"/>
      <c r="DK29" s="773"/>
      <c r="DL29" s="773"/>
      <c r="DM29" s="773"/>
      <c r="DN29" s="773"/>
      <c r="DO29" s="773"/>
      <c r="DP29" s="773"/>
      <c r="DQ29" s="773"/>
      <c r="DR29" s="773"/>
      <c r="DS29" s="773"/>
      <c r="DT29" s="773"/>
      <c r="DU29" s="773"/>
      <c r="DV29" s="773"/>
      <c r="DW29" s="773"/>
      <c r="DX29" s="773"/>
      <c r="DY29" s="773"/>
      <c r="DZ29" s="773"/>
      <c r="EA29" s="773"/>
      <c r="EB29" s="773"/>
      <c r="EC29" s="773"/>
      <c r="ED29" s="773"/>
      <c r="EE29" s="773"/>
      <c r="EF29" s="773"/>
      <c r="EG29" s="773"/>
      <c r="EH29" s="773"/>
      <c r="EI29" s="773"/>
      <c r="EJ29" s="773"/>
      <c r="EK29" s="773"/>
      <c r="EL29" s="773"/>
      <c r="EM29" s="773"/>
      <c r="EN29" s="773"/>
      <c r="EO29" s="773"/>
      <c r="EP29" s="773"/>
      <c r="EQ29" s="773"/>
      <c r="ER29" s="773"/>
      <c r="ES29" s="773"/>
      <c r="ET29" s="773"/>
      <c r="EU29" s="773"/>
      <c r="EV29" s="773"/>
      <c r="EW29" s="773"/>
      <c r="EX29" s="773"/>
      <c r="EY29" s="773"/>
      <c r="EZ29" s="773"/>
      <c r="FA29" s="773"/>
      <c r="FB29" s="773"/>
      <c r="FC29" s="773"/>
      <c r="FD29" s="773"/>
      <c r="FE29" s="773"/>
      <c r="FF29" s="773"/>
      <c r="FG29" s="773"/>
      <c r="FH29" s="773"/>
      <c r="FI29" s="773"/>
      <c r="FJ29" s="773"/>
      <c r="FK29" s="773"/>
      <c r="FL29" s="773"/>
      <c r="FM29" s="773"/>
      <c r="FN29" s="773"/>
      <c r="FO29" s="773"/>
      <c r="FP29" s="773"/>
      <c r="FQ29" s="773"/>
      <c r="FR29" s="773"/>
      <c r="FS29" s="773"/>
      <c r="FT29" s="773"/>
      <c r="FU29" s="773"/>
      <c r="FV29" s="773"/>
      <c r="FW29" s="773"/>
      <c r="FX29" s="773"/>
      <c r="FY29" s="773"/>
      <c r="FZ29" s="773"/>
      <c r="GA29" s="773"/>
      <c r="GB29" s="773"/>
      <c r="GC29" s="773"/>
      <c r="GD29" s="773"/>
      <c r="GE29" s="773"/>
      <c r="GF29" s="773"/>
      <c r="GG29" s="773"/>
      <c r="GH29" s="773"/>
      <c r="GI29" s="773"/>
      <c r="GJ29" s="773"/>
      <c r="GK29" s="773"/>
      <c r="GL29" s="773"/>
      <c r="GM29" s="773"/>
      <c r="GN29" s="773"/>
      <c r="GO29" s="773"/>
      <c r="GP29" s="773"/>
      <c r="GQ29" s="773"/>
      <c r="GR29" s="773"/>
      <c r="GS29" s="773"/>
      <c r="GT29" s="773"/>
      <c r="GU29" s="773"/>
      <c r="GV29" s="773"/>
      <c r="GW29" s="773"/>
      <c r="GX29" s="773"/>
      <c r="GY29" s="773"/>
      <c r="GZ29" s="773"/>
    </row>
    <row r="30" spans="1:208" s="11" customFormat="1">
      <c r="A30" s="774"/>
      <c r="B30" s="3761" t="s">
        <v>1350</v>
      </c>
      <c r="C30" s="197">
        <v>227533</v>
      </c>
      <c r="D30" s="801" t="s">
        <v>4291</v>
      </c>
      <c r="E30" s="809">
        <f>IFERROR(VLOOKUP(C30,'AJE 12 - INC'!$D$168:$F$345,3,0),0)</f>
        <v>22000</v>
      </c>
      <c r="F30" s="1325">
        <f>SUMIF('AJE 12 - INC'!B:B,'New TB INC'!C30,'AJE 12 - INC'!D:D)</f>
        <v>0</v>
      </c>
      <c r="G30" s="1326"/>
      <c r="H30" s="1326"/>
      <c r="I30" s="1326"/>
      <c r="J30" s="796">
        <f t="shared" si="1"/>
        <v>22000</v>
      </c>
      <c r="K30" s="779"/>
      <c r="L30" s="434"/>
      <c r="M30" s="2679"/>
      <c r="N30" s="772"/>
      <c r="O30" s="772"/>
      <c r="P30" s="772"/>
      <c r="Q30" s="772"/>
      <c r="R30" s="772"/>
      <c r="S30" s="772"/>
      <c r="T30" s="773"/>
      <c r="AW30" s="2514"/>
      <c r="AX30" s="820"/>
      <c r="AY30" s="820"/>
      <c r="AZ30" s="820"/>
      <c r="BA30" s="30"/>
      <c r="BB30" s="30"/>
      <c r="BC30" s="2514"/>
      <c r="BD30" s="2514"/>
      <c r="BE30" s="2514"/>
      <c r="BF30" s="2514"/>
      <c r="BH30" s="2514"/>
      <c r="BI30" s="30"/>
      <c r="BJ30" s="30"/>
      <c r="BK30" s="30"/>
      <c r="BL30" s="30"/>
      <c r="BM30" s="30"/>
      <c r="BN30" s="30"/>
      <c r="BO30" s="209"/>
      <c r="BP30" s="209"/>
      <c r="BQ30" s="785"/>
      <c r="BR30" s="820"/>
      <c r="BS30" s="820"/>
      <c r="BT30" s="30"/>
      <c r="BU30" s="800"/>
      <c r="BV30" s="800"/>
      <c r="BW30" s="209"/>
      <c r="CA30" s="787"/>
      <c r="DB30" s="773"/>
      <c r="DC30" s="773"/>
      <c r="DD30" s="773"/>
      <c r="DE30" s="773"/>
      <c r="DF30" s="773"/>
      <c r="DG30" s="773"/>
      <c r="DH30" s="773"/>
      <c r="DI30" s="773"/>
      <c r="DJ30" s="773"/>
      <c r="DK30" s="773"/>
      <c r="DL30" s="773"/>
      <c r="DM30" s="773"/>
      <c r="DN30" s="773"/>
      <c r="DO30" s="773"/>
      <c r="DP30" s="773"/>
      <c r="DQ30" s="773"/>
      <c r="DR30" s="773"/>
      <c r="DS30" s="773"/>
      <c r="DT30" s="773"/>
      <c r="DU30" s="773"/>
      <c r="DV30" s="773"/>
      <c r="DW30" s="773"/>
      <c r="DX30" s="773"/>
      <c r="DY30" s="773"/>
      <c r="DZ30" s="773"/>
      <c r="EA30" s="773"/>
      <c r="EB30" s="773"/>
      <c r="EC30" s="773"/>
      <c r="ED30" s="773"/>
      <c r="EE30" s="773"/>
      <c r="EF30" s="773"/>
      <c r="EG30" s="773"/>
      <c r="EH30" s="773"/>
      <c r="EI30" s="773"/>
      <c r="EJ30" s="773"/>
      <c r="EK30" s="773"/>
      <c r="EL30" s="773"/>
      <c r="EM30" s="773"/>
      <c r="EN30" s="773"/>
      <c r="EO30" s="773"/>
      <c r="EP30" s="773"/>
      <c r="EQ30" s="773"/>
      <c r="ER30" s="773"/>
      <c r="ES30" s="773"/>
      <c r="ET30" s="773"/>
      <c r="EU30" s="773"/>
      <c r="EV30" s="773"/>
      <c r="EW30" s="773"/>
      <c r="EX30" s="773"/>
      <c r="EY30" s="773"/>
      <c r="EZ30" s="773"/>
      <c r="FA30" s="773"/>
      <c r="FB30" s="773"/>
      <c r="FC30" s="773"/>
      <c r="FD30" s="773"/>
      <c r="FE30" s="773"/>
      <c r="FF30" s="773"/>
      <c r="FG30" s="773"/>
      <c r="FH30" s="773"/>
      <c r="FI30" s="773"/>
      <c r="FJ30" s="773"/>
      <c r="FK30" s="773"/>
      <c r="FL30" s="773"/>
      <c r="FM30" s="773"/>
      <c r="FN30" s="773"/>
      <c r="FO30" s="773"/>
      <c r="FP30" s="773"/>
      <c r="FQ30" s="773"/>
      <c r="FR30" s="773"/>
      <c r="FS30" s="773"/>
      <c r="FT30" s="773"/>
      <c r="FU30" s="773"/>
      <c r="FV30" s="773"/>
      <c r="FW30" s="773"/>
      <c r="FX30" s="773"/>
      <c r="FY30" s="773"/>
      <c r="FZ30" s="773"/>
      <c r="GA30" s="773"/>
      <c r="GB30" s="773"/>
      <c r="GC30" s="773"/>
      <c r="GD30" s="773"/>
      <c r="GE30" s="773"/>
      <c r="GF30" s="773"/>
      <c r="GG30" s="773"/>
      <c r="GH30" s="773"/>
      <c r="GI30" s="773"/>
      <c r="GJ30" s="773"/>
      <c r="GK30" s="773"/>
      <c r="GL30" s="773"/>
      <c r="GM30" s="773"/>
      <c r="GN30" s="773"/>
      <c r="GO30" s="773"/>
      <c r="GP30" s="773"/>
      <c r="GQ30" s="773"/>
      <c r="GR30" s="773"/>
      <c r="GS30" s="773"/>
      <c r="GT30" s="773"/>
      <c r="GU30" s="773"/>
      <c r="GV30" s="773"/>
      <c r="GW30" s="773"/>
      <c r="GX30" s="773"/>
      <c r="GY30" s="773"/>
      <c r="GZ30" s="773"/>
    </row>
    <row r="31" spans="1:208" s="11" customFormat="1">
      <c r="A31" s="774"/>
      <c r="B31" s="3761" t="s">
        <v>1350</v>
      </c>
      <c r="C31" s="197">
        <v>207181</v>
      </c>
      <c r="D31" s="801" t="s">
        <v>4153</v>
      </c>
      <c r="E31" s="809">
        <f>IFERROR(VLOOKUP(C31,'AJE 12 - INC'!$D$168:$F$345,3,0),0)</f>
        <v>532448.68999999994</v>
      </c>
      <c r="F31" s="1325">
        <f>SUMIF('AJE 12 - INC'!B:B,'New TB INC'!C31,'AJE 12 - INC'!D:D)</f>
        <v>0</v>
      </c>
      <c r="G31" s="1326"/>
      <c r="H31" s="1326"/>
      <c r="I31" s="1326"/>
      <c r="J31" s="796">
        <f t="shared" si="1"/>
        <v>532448.68999999994</v>
      </c>
      <c r="K31" s="779"/>
      <c r="L31" s="434"/>
      <c r="M31" s="2679"/>
      <c r="N31" s="772"/>
      <c r="O31" s="772"/>
      <c r="P31" s="772"/>
      <c r="Q31" s="772"/>
      <c r="R31" s="772"/>
      <c r="S31" s="772"/>
      <c r="T31" s="773"/>
      <c r="AW31" s="2514"/>
      <c r="AX31" s="820"/>
      <c r="AY31" s="820"/>
      <c r="AZ31" s="820"/>
      <c r="BA31" s="30"/>
      <c r="BB31" s="30"/>
      <c r="BC31" s="2514"/>
      <c r="BD31" s="2514"/>
      <c r="BE31" s="2514"/>
      <c r="BF31" s="2514"/>
      <c r="BH31" s="2514"/>
      <c r="BI31" s="30"/>
      <c r="BJ31" s="30"/>
      <c r="BK31" s="30"/>
      <c r="BL31" s="30"/>
      <c r="BM31" s="30"/>
      <c r="BN31" s="30"/>
      <c r="BO31" s="209"/>
      <c r="BP31" s="209"/>
      <c r="BQ31" s="785"/>
      <c r="BR31" s="820"/>
      <c r="BS31" s="820"/>
      <c r="BT31" s="30"/>
      <c r="BU31" s="800"/>
      <c r="BV31" s="800"/>
      <c r="BW31" s="209"/>
      <c r="CA31" s="787"/>
      <c r="DB31" s="773"/>
      <c r="DC31" s="773"/>
      <c r="DD31" s="773"/>
      <c r="DE31" s="773"/>
      <c r="DF31" s="773"/>
      <c r="DG31" s="773"/>
      <c r="DH31" s="773"/>
      <c r="DI31" s="773"/>
      <c r="DJ31" s="773"/>
      <c r="DK31" s="773"/>
      <c r="DL31" s="773"/>
      <c r="DM31" s="773"/>
      <c r="DN31" s="773"/>
      <c r="DO31" s="773"/>
      <c r="DP31" s="773"/>
      <c r="DQ31" s="773"/>
      <c r="DR31" s="773"/>
      <c r="DS31" s="773"/>
      <c r="DT31" s="773"/>
      <c r="DU31" s="773"/>
      <c r="DV31" s="773"/>
      <c r="DW31" s="773"/>
      <c r="DX31" s="773"/>
      <c r="DY31" s="773"/>
      <c r="DZ31" s="773"/>
      <c r="EA31" s="773"/>
      <c r="EB31" s="773"/>
      <c r="EC31" s="773"/>
      <c r="ED31" s="773"/>
      <c r="EE31" s="773"/>
      <c r="EF31" s="773"/>
      <c r="EG31" s="773"/>
      <c r="EH31" s="773"/>
      <c r="EI31" s="773"/>
      <c r="EJ31" s="773"/>
      <c r="EK31" s="773"/>
      <c r="EL31" s="773"/>
      <c r="EM31" s="773"/>
      <c r="EN31" s="773"/>
      <c r="EO31" s="773"/>
      <c r="EP31" s="773"/>
      <c r="EQ31" s="773"/>
      <c r="ER31" s="773"/>
      <c r="ES31" s="773"/>
      <c r="ET31" s="773"/>
      <c r="EU31" s="773"/>
      <c r="EV31" s="773"/>
      <c r="EW31" s="773"/>
      <c r="EX31" s="773"/>
      <c r="EY31" s="773"/>
      <c r="EZ31" s="773"/>
      <c r="FA31" s="773"/>
      <c r="FB31" s="773"/>
      <c r="FC31" s="773"/>
      <c r="FD31" s="773"/>
      <c r="FE31" s="773"/>
      <c r="FF31" s="773"/>
      <c r="FG31" s="773"/>
      <c r="FH31" s="773"/>
      <c r="FI31" s="773"/>
      <c r="FJ31" s="773"/>
      <c r="FK31" s="773"/>
      <c r="FL31" s="773"/>
      <c r="FM31" s="773"/>
      <c r="FN31" s="773"/>
      <c r="FO31" s="773"/>
      <c r="FP31" s="773"/>
      <c r="FQ31" s="773"/>
      <c r="FR31" s="773"/>
      <c r="FS31" s="773"/>
      <c r="FT31" s="773"/>
      <c r="FU31" s="773"/>
      <c r="FV31" s="773"/>
      <c r="FW31" s="773"/>
      <c r="FX31" s="773"/>
      <c r="FY31" s="773"/>
      <c r="FZ31" s="773"/>
      <c r="GA31" s="773"/>
      <c r="GB31" s="773"/>
      <c r="GC31" s="773"/>
      <c r="GD31" s="773"/>
      <c r="GE31" s="773"/>
      <c r="GF31" s="773"/>
      <c r="GG31" s="773"/>
      <c r="GH31" s="773"/>
      <c r="GI31" s="773"/>
      <c r="GJ31" s="773"/>
      <c r="GK31" s="773"/>
      <c r="GL31" s="773"/>
      <c r="GM31" s="773"/>
      <c r="GN31" s="773"/>
      <c r="GO31" s="773"/>
      <c r="GP31" s="773"/>
      <c r="GQ31" s="773"/>
      <c r="GR31" s="773"/>
      <c r="GS31" s="773"/>
      <c r="GT31" s="773"/>
      <c r="GU31" s="773"/>
      <c r="GV31" s="773"/>
      <c r="GW31" s="773"/>
      <c r="GX31" s="773"/>
      <c r="GY31" s="773"/>
      <c r="GZ31" s="773"/>
    </row>
    <row r="32" spans="1:208" s="11" customFormat="1">
      <c r="A32" s="774"/>
      <c r="B32" s="3761" t="s">
        <v>1350</v>
      </c>
      <c r="C32" s="197">
        <v>227163</v>
      </c>
      <c r="D32" s="801" t="s">
        <v>4154</v>
      </c>
      <c r="E32" s="809">
        <f>IFERROR(VLOOKUP(C32,'AJE 12 - INC'!$D$168:$F$345,3,0),0)</f>
        <v>0</v>
      </c>
      <c r="F32" s="1325">
        <f>SUMIF('AJE 12 - INC'!B:B,'New TB INC'!C32,'AJE 12 - INC'!D:D)</f>
        <v>0</v>
      </c>
      <c r="G32" s="1326"/>
      <c r="H32" s="1326"/>
      <c r="I32" s="1326"/>
      <c r="J32" s="796">
        <f t="shared" si="1"/>
        <v>0</v>
      </c>
      <c r="K32" s="779"/>
      <c r="L32" s="434"/>
      <c r="M32" s="2679"/>
      <c r="N32" s="772"/>
      <c r="O32" s="772"/>
      <c r="P32" s="772"/>
      <c r="Q32" s="772"/>
      <c r="R32" s="772"/>
      <c r="S32" s="772"/>
      <c r="T32" s="773"/>
      <c r="AW32" s="2514"/>
      <c r="AX32" s="820"/>
      <c r="AY32" s="820"/>
      <c r="AZ32" s="820"/>
      <c r="BA32" s="30"/>
      <c r="BB32" s="30"/>
      <c r="BC32" s="2514"/>
      <c r="BD32" s="2514"/>
      <c r="BE32" s="2514"/>
      <c r="BF32" s="2514"/>
      <c r="BH32" s="2514"/>
      <c r="BI32" s="30"/>
      <c r="BJ32" s="30"/>
      <c r="BK32" s="30"/>
      <c r="BL32" s="30"/>
      <c r="BM32" s="30"/>
      <c r="BN32" s="30"/>
      <c r="BO32" s="209"/>
      <c r="BP32" s="209"/>
      <c r="BQ32" s="785"/>
      <c r="BR32" s="820"/>
      <c r="BS32" s="820"/>
      <c r="BT32" s="30"/>
      <c r="BU32" s="800"/>
      <c r="BV32" s="800"/>
      <c r="BW32" s="209"/>
      <c r="CA32" s="787"/>
      <c r="DB32" s="773"/>
      <c r="DC32" s="773"/>
      <c r="DD32" s="773"/>
      <c r="DE32" s="773"/>
      <c r="DF32" s="773"/>
      <c r="DG32" s="773"/>
      <c r="DH32" s="773"/>
      <c r="DI32" s="773"/>
      <c r="DJ32" s="773"/>
      <c r="DK32" s="773"/>
      <c r="DL32" s="773"/>
      <c r="DM32" s="773"/>
      <c r="DN32" s="773"/>
      <c r="DO32" s="773"/>
      <c r="DP32" s="773"/>
      <c r="DQ32" s="773"/>
      <c r="DR32" s="773"/>
      <c r="DS32" s="773"/>
      <c r="DT32" s="773"/>
      <c r="DU32" s="773"/>
      <c r="DV32" s="773"/>
      <c r="DW32" s="773"/>
      <c r="DX32" s="773"/>
      <c r="DY32" s="773"/>
      <c r="DZ32" s="773"/>
      <c r="EA32" s="773"/>
      <c r="EB32" s="773"/>
      <c r="EC32" s="773"/>
      <c r="ED32" s="773"/>
      <c r="EE32" s="773"/>
      <c r="EF32" s="773"/>
      <c r="EG32" s="773"/>
      <c r="EH32" s="773"/>
      <c r="EI32" s="773"/>
      <c r="EJ32" s="773"/>
      <c r="EK32" s="773"/>
      <c r="EL32" s="773"/>
      <c r="EM32" s="773"/>
      <c r="EN32" s="773"/>
      <c r="EO32" s="773"/>
      <c r="EP32" s="773"/>
      <c r="EQ32" s="773"/>
      <c r="ER32" s="773"/>
      <c r="ES32" s="773"/>
      <c r="ET32" s="773"/>
      <c r="EU32" s="773"/>
      <c r="EV32" s="773"/>
      <c r="EW32" s="773"/>
      <c r="EX32" s="773"/>
      <c r="EY32" s="773"/>
      <c r="EZ32" s="773"/>
      <c r="FA32" s="773"/>
      <c r="FB32" s="773"/>
      <c r="FC32" s="773"/>
      <c r="FD32" s="773"/>
      <c r="FE32" s="773"/>
      <c r="FF32" s="773"/>
      <c r="FG32" s="773"/>
      <c r="FH32" s="773"/>
      <c r="FI32" s="773"/>
      <c r="FJ32" s="773"/>
      <c r="FK32" s="773"/>
      <c r="FL32" s="773"/>
      <c r="FM32" s="773"/>
      <c r="FN32" s="773"/>
      <c r="FO32" s="773"/>
      <c r="FP32" s="773"/>
      <c r="FQ32" s="773"/>
      <c r="FR32" s="773"/>
      <c r="FS32" s="773"/>
      <c r="FT32" s="773"/>
      <c r="FU32" s="773"/>
      <c r="FV32" s="773"/>
      <c r="FW32" s="773"/>
      <c r="FX32" s="773"/>
      <c r="FY32" s="773"/>
      <c r="FZ32" s="773"/>
      <c r="GA32" s="773"/>
      <c r="GB32" s="773"/>
      <c r="GC32" s="773"/>
      <c r="GD32" s="773"/>
      <c r="GE32" s="773"/>
      <c r="GF32" s="773"/>
      <c r="GG32" s="773"/>
      <c r="GH32" s="773"/>
      <c r="GI32" s="773"/>
      <c r="GJ32" s="773"/>
      <c r="GK32" s="773"/>
      <c r="GL32" s="773"/>
      <c r="GM32" s="773"/>
      <c r="GN32" s="773"/>
      <c r="GO32" s="773"/>
      <c r="GP32" s="773"/>
      <c r="GQ32" s="773"/>
      <c r="GR32" s="773"/>
      <c r="GS32" s="773"/>
      <c r="GT32" s="773"/>
      <c r="GU32" s="773"/>
      <c r="GV32" s="773"/>
      <c r="GW32" s="773"/>
      <c r="GX32" s="773"/>
      <c r="GY32" s="773"/>
      <c r="GZ32" s="773"/>
    </row>
    <row r="33" spans="1:208" s="11" customFormat="1">
      <c r="A33" s="774"/>
      <c r="B33" s="3761" t="s">
        <v>1350</v>
      </c>
      <c r="C33" s="197">
        <v>230060</v>
      </c>
      <c r="D33" s="801" t="s">
        <v>4155</v>
      </c>
      <c r="E33" s="809">
        <f>IFERROR(VLOOKUP(C33,'AJE 12 - INC'!$D$168:$F$345,3,0),0)</f>
        <v>116252.46</v>
      </c>
      <c r="F33" s="1325">
        <f>SUMIF('AJE 12 - INC'!B:B,'New TB INC'!C33,'AJE 12 - INC'!D:D)</f>
        <v>0</v>
      </c>
      <c r="G33" s="1326"/>
      <c r="H33" s="1326"/>
      <c r="I33" s="1326"/>
      <c r="J33" s="796">
        <f t="shared" si="1"/>
        <v>116252.46</v>
      </c>
      <c r="K33" s="779"/>
      <c r="L33" s="434"/>
      <c r="M33" s="2679"/>
      <c r="N33" s="772"/>
      <c r="O33" s="772"/>
      <c r="P33" s="772"/>
      <c r="Q33" s="772"/>
      <c r="R33" s="772"/>
      <c r="S33" s="772"/>
      <c r="T33" s="773"/>
      <c r="AW33" s="2514"/>
      <c r="AX33" s="820"/>
      <c r="AY33" s="820"/>
      <c r="AZ33" s="820"/>
      <c r="BA33" s="30"/>
      <c r="BB33" s="30"/>
      <c r="BC33" s="2514"/>
      <c r="BD33" s="2514"/>
      <c r="BE33" s="2514"/>
      <c r="BF33" s="2514"/>
      <c r="BH33" s="2514"/>
      <c r="BI33" s="30"/>
      <c r="BJ33" s="30"/>
      <c r="BK33" s="30"/>
      <c r="BL33" s="30"/>
      <c r="BM33" s="30"/>
      <c r="BN33" s="30"/>
      <c r="BO33" s="209"/>
      <c r="BP33" s="209"/>
      <c r="BQ33" s="785"/>
      <c r="BR33" s="820"/>
      <c r="BS33" s="820"/>
      <c r="BT33" s="30"/>
      <c r="BU33" s="800"/>
      <c r="BV33" s="800"/>
      <c r="BW33" s="209"/>
      <c r="CA33" s="787"/>
      <c r="DB33" s="773"/>
      <c r="DC33" s="773"/>
      <c r="DD33" s="773"/>
      <c r="DE33" s="773"/>
      <c r="DF33" s="773"/>
      <c r="DG33" s="773"/>
      <c r="DH33" s="773"/>
      <c r="DI33" s="773"/>
      <c r="DJ33" s="773"/>
      <c r="DK33" s="773"/>
      <c r="DL33" s="773"/>
      <c r="DM33" s="773"/>
      <c r="DN33" s="773"/>
      <c r="DO33" s="773"/>
      <c r="DP33" s="773"/>
      <c r="DQ33" s="773"/>
      <c r="DR33" s="773"/>
      <c r="DS33" s="773"/>
      <c r="DT33" s="773"/>
      <c r="DU33" s="773"/>
      <c r="DV33" s="773"/>
      <c r="DW33" s="773"/>
      <c r="DX33" s="773"/>
      <c r="DY33" s="773"/>
      <c r="DZ33" s="773"/>
      <c r="EA33" s="773"/>
      <c r="EB33" s="773"/>
      <c r="EC33" s="773"/>
      <c r="ED33" s="773"/>
      <c r="EE33" s="773"/>
      <c r="EF33" s="773"/>
      <c r="EG33" s="773"/>
      <c r="EH33" s="773"/>
      <c r="EI33" s="773"/>
      <c r="EJ33" s="773"/>
      <c r="EK33" s="773"/>
      <c r="EL33" s="773"/>
      <c r="EM33" s="773"/>
      <c r="EN33" s="773"/>
      <c r="EO33" s="773"/>
      <c r="EP33" s="773"/>
      <c r="EQ33" s="773"/>
      <c r="ER33" s="773"/>
      <c r="ES33" s="773"/>
      <c r="ET33" s="773"/>
      <c r="EU33" s="773"/>
      <c r="EV33" s="773"/>
      <c r="EW33" s="773"/>
      <c r="EX33" s="773"/>
      <c r="EY33" s="773"/>
      <c r="EZ33" s="773"/>
      <c r="FA33" s="773"/>
      <c r="FB33" s="773"/>
      <c r="FC33" s="773"/>
      <c r="FD33" s="773"/>
      <c r="FE33" s="773"/>
      <c r="FF33" s="773"/>
      <c r="FG33" s="773"/>
      <c r="FH33" s="773"/>
      <c r="FI33" s="773"/>
      <c r="FJ33" s="773"/>
      <c r="FK33" s="773"/>
      <c r="FL33" s="773"/>
      <c r="FM33" s="773"/>
      <c r="FN33" s="773"/>
      <c r="FO33" s="773"/>
      <c r="FP33" s="773"/>
      <c r="FQ33" s="773"/>
      <c r="FR33" s="773"/>
      <c r="FS33" s="773"/>
      <c r="FT33" s="773"/>
      <c r="FU33" s="773"/>
      <c r="FV33" s="773"/>
      <c r="FW33" s="773"/>
      <c r="FX33" s="773"/>
      <c r="FY33" s="773"/>
      <c r="FZ33" s="773"/>
      <c r="GA33" s="773"/>
      <c r="GB33" s="773"/>
      <c r="GC33" s="773"/>
      <c r="GD33" s="773"/>
      <c r="GE33" s="773"/>
      <c r="GF33" s="773"/>
      <c r="GG33" s="773"/>
      <c r="GH33" s="773"/>
      <c r="GI33" s="773"/>
      <c r="GJ33" s="773"/>
      <c r="GK33" s="773"/>
      <c r="GL33" s="773"/>
      <c r="GM33" s="773"/>
      <c r="GN33" s="773"/>
      <c r="GO33" s="773"/>
      <c r="GP33" s="773"/>
      <c r="GQ33" s="773"/>
      <c r="GR33" s="773"/>
      <c r="GS33" s="773"/>
      <c r="GT33" s="773"/>
      <c r="GU33" s="773"/>
      <c r="GV33" s="773"/>
      <c r="GW33" s="773"/>
      <c r="GX33" s="773"/>
      <c r="GY33" s="773"/>
      <c r="GZ33" s="773"/>
    </row>
    <row r="34" spans="1:208" s="11" customFormat="1">
      <c r="A34" s="774"/>
      <c r="B34" s="3761" t="s">
        <v>1350</v>
      </c>
      <c r="C34" s="197">
        <v>231386</v>
      </c>
      <c r="D34" s="801" t="s">
        <v>4156</v>
      </c>
      <c r="E34" s="809">
        <f>IFERROR(VLOOKUP(C34,'AJE 12 - INC'!$D$168:$F$345,3,0),0)</f>
        <v>0</v>
      </c>
      <c r="F34" s="1325">
        <f>SUMIF('AJE 12 - INC'!B:B,'New TB INC'!C34,'AJE 12 - INC'!D:D)</f>
        <v>0</v>
      </c>
      <c r="G34" s="1326"/>
      <c r="H34" s="1326"/>
      <c r="I34" s="1326"/>
      <c r="J34" s="796">
        <f t="shared" si="1"/>
        <v>0</v>
      </c>
      <c r="K34" s="779"/>
      <c r="L34" s="434"/>
      <c r="M34" s="2679"/>
      <c r="N34" s="772"/>
      <c r="O34" s="772"/>
      <c r="P34" s="772"/>
      <c r="Q34" s="772"/>
      <c r="R34" s="772"/>
      <c r="S34" s="772"/>
      <c r="T34" s="773"/>
      <c r="AW34" s="2514"/>
      <c r="AX34" s="820"/>
      <c r="AY34" s="820"/>
      <c r="AZ34" s="820"/>
      <c r="BA34" s="30"/>
      <c r="BB34" s="30"/>
      <c r="BC34" s="2514"/>
      <c r="BD34" s="2514"/>
      <c r="BE34" s="2514"/>
      <c r="BF34" s="2514"/>
      <c r="BH34" s="2514"/>
      <c r="BI34" s="30"/>
      <c r="BJ34" s="30"/>
      <c r="BK34" s="30"/>
      <c r="BL34" s="30"/>
      <c r="BM34" s="30"/>
      <c r="BN34" s="30"/>
      <c r="BO34" s="209"/>
      <c r="BP34" s="209"/>
      <c r="BQ34" s="785"/>
      <c r="BR34" s="820"/>
      <c r="BS34" s="820"/>
      <c r="BT34" s="30"/>
      <c r="BU34" s="800"/>
      <c r="BV34" s="800"/>
      <c r="BW34" s="209"/>
      <c r="CA34" s="787"/>
      <c r="DB34" s="773"/>
      <c r="DC34" s="773"/>
      <c r="DD34" s="773"/>
      <c r="DE34" s="773"/>
      <c r="DF34" s="773"/>
      <c r="DG34" s="773"/>
      <c r="DH34" s="773"/>
      <c r="DI34" s="773"/>
      <c r="DJ34" s="773"/>
      <c r="DK34" s="773"/>
      <c r="DL34" s="773"/>
      <c r="DM34" s="773"/>
      <c r="DN34" s="773"/>
      <c r="DO34" s="773"/>
      <c r="DP34" s="773"/>
      <c r="DQ34" s="773"/>
      <c r="DR34" s="773"/>
      <c r="DS34" s="773"/>
      <c r="DT34" s="773"/>
      <c r="DU34" s="773"/>
      <c r="DV34" s="773"/>
      <c r="DW34" s="773"/>
      <c r="DX34" s="773"/>
      <c r="DY34" s="773"/>
      <c r="DZ34" s="773"/>
      <c r="EA34" s="773"/>
      <c r="EB34" s="773"/>
      <c r="EC34" s="773"/>
      <c r="ED34" s="773"/>
      <c r="EE34" s="773"/>
      <c r="EF34" s="773"/>
      <c r="EG34" s="773"/>
      <c r="EH34" s="773"/>
      <c r="EI34" s="773"/>
      <c r="EJ34" s="773"/>
      <c r="EK34" s="773"/>
      <c r="EL34" s="773"/>
      <c r="EM34" s="773"/>
      <c r="EN34" s="773"/>
      <c r="EO34" s="773"/>
      <c r="EP34" s="773"/>
      <c r="EQ34" s="773"/>
      <c r="ER34" s="773"/>
      <c r="ES34" s="773"/>
      <c r="ET34" s="773"/>
      <c r="EU34" s="773"/>
      <c r="EV34" s="773"/>
      <c r="EW34" s="773"/>
      <c r="EX34" s="773"/>
      <c r="EY34" s="773"/>
      <c r="EZ34" s="773"/>
      <c r="FA34" s="773"/>
      <c r="FB34" s="773"/>
      <c r="FC34" s="773"/>
      <c r="FD34" s="773"/>
      <c r="FE34" s="773"/>
      <c r="FF34" s="773"/>
      <c r="FG34" s="773"/>
      <c r="FH34" s="773"/>
      <c r="FI34" s="773"/>
      <c r="FJ34" s="773"/>
      <c r="FK34" s="773"/>
      <c r="FL34" s="773"/>
      <c r="FM34" s="773"/>
      <c r="FN34" s="773"/>
      <c r="FO34" s="773"/>
      <c r="FP34" s="773"/>
      <c r="FQ34" s="773"/>
      <c r="FR34" s="773"/>
      <c r="FS34" s="773"/>
      <c r="FT34" s="773"/>
      <c r="FU34" s="773"/>
      <c r="FV34" s="773"/>
      <c r="FW34" s="773"/>
      <c r="FX34" s="773"/>
      <c r="FY34" s="773"/>
      <c r="FZ34" s="773"/>
      <c r="GA34" s="773"/>
      <c r="GB34" s="773"/>
      <c r="GC34" s="773"/>
      <c r="GD34" s="773"/>
      <c r="GE34" s="773"/>
      <c r="GF34" s="773"/>
      <c r="GG34" s="773"/>
      <c r="GH34" s="773"/>
      <c r="GI34" s="773"/>
      <c r="GJ34" s="773"/>
      <c r="GK34" s="773"/>
      <c r="GL34" s="773"/>
      <c r="GM34" s="773"/>
      <c r="GN34" s="773"/>
      <c r="GO34" s="773"/>
      <c r="GP34" s="773"/>
      <c r="GQ34" s="773"/>
      <c r="GR34" s="773"/>
      <c r="GS34" s="773"/>
      <c r="GT34" s="773"/>
      <c r="GU34" s="773"/>
      <c r="GV34" s="773"/>
      <c r="GW34" s="773"/>
      <c r="GX34" s="773"/>
      <c r="GY34" s="773"/>
      <c r="GZ34" s="773"/>
    </row>
    <row r="35" spans="1:208" s="11" customFormat="1">
      <c r="A35" s="774"/>
      <c r="B35" s="3761" t="s">
        <v>1350</v>
      </c>
      <c r="C35" s="197">
        <v>232070</v>
      </c>
      <c r="D35" s="801" t="s">
        <v>4157</v>
      </c>
      <c r="E35" s="809">
        <f>IFERROR(VLOOKUP(C35,'AJE 12 - INC'!$D$168:$F$345,3,0),0)</f>
        <v>7867.55</v>
      </c>
      <c r="F35" s="1325">
        <f>SUMIF('AJE 12 - INC'!B:B,'New TB INC'!C35,'AJE 12 - INC'!D:D)</f>
        <v>0</v>
      </c>
      <c r="G35" s="1326"/>
      <c r="H35" s="1326"/>
      <c r="I35" s="1326"/>
      <c r="J35" s="796">
        <f t="shared" si="1"/>
        <v>7867.55</v>
      </c>
      <c r="K35" s="779"/>
      <c r="L35" s="434"/>
      <c r="M35" s="2679"/>
      <c r="N35" s="772"/>
      <c r="O35" s="772"/>
      <c r="P35" s="772"/>
      <c r="Q35" s="772"/>
      <c r="R35" s="772"/>
      <c r="S35" s="772"/>
      <c r="T35" s="773"/>
      <c r="AW35" s="2514"/>
      <c r="AX35" s="820"/>
      <c r="AY35" s="820"/>
      <c r="AZ35" s="820"/>
      <c r="BA35" s="30"/>
      <c r="BB35" s="30"/>
      <c r="BC35" s="2514"/>
      <c r="BD35" s="2514"/>
      <c r="BE35" s="2514"/>
      <c r="BF35" s="2514"/>
      <c r="BH35" s="2514"/>
      <c r="BI35" s="30"/>
      <c r="BJ35" s="30"/>
      <c r="BK35" s="30"/>
      <c r="BL35" s="30"/>
      <c r="BM35" s="30"/>
      <c r="BN35" s="30"/>
      <c r="BO35" s="209"/>
      <c r="BP35" s="209"/>
      <c r="BQ35" s="785"/>
      <c r="BR35" s="820"/>
      <c r="BS35" s="820"/>
      <c r="BT35" s="30"/>
      <c r="BU35" s="800"/>
      <c r="BV35" s="800"/>
      <c r="BW35" s="209"/>
      <c r="CA35" s="787"/>
      <c r="DB35" s="773"/>
      <c r="DC35" s="773"/>
      <c r="DD35" s="773"/>
      <c r="DE35" s="773"/>
      <c r="DF35" s="773"/>
      <c r="DG35" s="773"/>
      <c r="DH35" s="773"/>
      <c r="DI35" s="773"/>
      <c r="DJ35" s="773"/>
      <c r="DK35" s="773"/>
      <c r="DL35" s="773"/>
      <c r="DM35" s="773"/>
      <c r="DN35" s="773"/>
      <c r="DO35" s="773"/>
      <c r="DP35" s="773"/>
      <c r="DQ35" s="773"/>
      <c r="DR35" s="773"/>
      <c r="DS35" s="773"/>
      <c r="DT35" s="773"/>
      <c r="DU35" s="773"/>
      <c r="DV35" s="773"/>
      <c r="DW35" s="773"/>
      <c r="DX35" s="773"/>
      <c r="DY35" s="773"/>
      <c r="DZ35" s="773"/>
      <c r="EA35" s="773"/>
      <c r="EB35" s="773"/>
      <c r="EC35" s="773"/>
      <c r="ED35" s="773"/>
      <c r="EE35" s="773"/>
      <c r="EF35" s="773"/>
      <c r="EG35" s="773"/>
      <c r="EH35" s="773"/>
      <c r="EI35" s="773"/>
      <c r="EJ35" s="773"/>
      <c r="EK35" s="773"/>
      <c r="EL35" s="773"/>
      <c r="EM35" s="773"/>
      <c r="EN35" s="773"/>
      <c r="EO35" s="773"/>
      <c r="EP35" s="773"/>
      <c r="EQ35" s="773"/>
      <c r="ER35" s="773"/>
      <c r="ES35" s="773"/>
      <c r="ET35" s="773"/>
      <c r="EU35" s="773"/>
      <c r="EV35" s="773"/>
      <c r="EW35" s="773"/>
      <c r="EX35" s="773"/>
      <c r="EY35" s="773"/>
      <c r="EZ35" s="773"/>
      <c r="FA35" s="773"/>
      <c r="FB35" s="773"/>
      <c r="FC35" s="773"/>
      <c r="FD35" s="773"/>
      <c r="FE35" s="773"/>
      <c r="FF35" s="773"/>
      <c r="FG35" s="773"/>
      <c r="FH35" s="773"/>
      <c r="FI35" s="773"/>
      <c r="FJ35" s="773"/>
      <c r="FK35" s="773"/>
      <c r="FL35" s="773"/>
      <c r="FM35" s="773"/>
      <c r="FN35" s="773"/>
      <c r="FO35" s="773"/>
      <c r="FP35" s="773"/>
      <c r="FQ35" s="773"/>
      <c r="FR35" s="773"/>
      <c r="FS35" s="773"/>
      <c r="FT35" s="773"/>
      <c r="FU35" s="773"/>
      <c r="FV35" s="773"/>
      <c r="FW35" s="773"/>
      <c r="FX35" s="773"/>
      <c r="FY35" s="773"/>
      <c r="FZ35" s="773"/>
      <c r="GA35" s="773"/>
      <c r="GB35" s="773"/>
      <c r="GC35" s="773"/>
      <c r="GD35" s="773"/>
      <c r="GE35" s="773"/>
      <c r="GF35" s="773"/>
      <c r="GG35" s="773"/>
      <c r="GH35" s="773"/>
      <c r="GI35" s="773"/>
      <c r="GJ35" s="773"/>
      <c r="GK35" s="773"/>
      <c r="GL35" s="773"/>
      <c r="GM35" s="773"/>
      <c r="GN35" s="773"/>
      <c r="GO35" s="773"/>
      <c r="GP35" s="773"/>
      <c r="GQ35" s="773"/>
      <c r="GR35" s="773"/>
      <c r="GS35" s="773"/>
      <c r="GT35" s="773"/>
      <c r="GU35" s="773"/>
      <c r="GV35" s="773"/>
      <c r="GW35" s="773"/>
      <c r="GX35" s="773"/>
      <c r="GY35" s="773"/>
      <c r="GZ35" s="773"/>
    </row>
    <row r="36" spans="1:208" s="11" customFormat="1">
      <c r="A36" s="774"/>
      <c r="B36" s="3761" t="s">
        <v>1350</v>
      </c>
      <c r="C36" s="197">
        <v>200815</v>
      </c>
      <c r="D36" s="801" t="s">
        <v>4005</v>
      </c>
      <c r="E36" s="809">
        <f>IFERROR(VLOOKUP(C36,'AJE 12 - INC'!$D$168:$F$345,3,0),0)</f>
        <v>1800</v>
      </c>
      <c r="F36" s="1325">
        <f>SUMIF('AJE 12 - INC'!B:B,'New TB INC'!C36,'AJE 12 - INC'!D:D)</f>
        <v>0</v>
      </c>
      <c r="G36" s="1326"/>
      <c r="H36" s="1326"/>
      <c r="I36" s="1326"/>
      <c r="J36" s="796">
        <f t="shared" ref="J36:J41" si="4">SUM(E36:I36)</f>
        <v>1800</v>
      </c>
      <c r="K36" s="779"/>
      <c r="L36" s="434"/>
      <c r="M36" s="2679"/>
      <c r="N36" s="772"/>
      <c r="O36" s="772"/>
      <c r="P36" s="772"/>
      <c r="Q36" s="772"/>
      <c r="R36" s="772"/>
      <c r="S36" s="772"/>
      <c r="T36" s="773"/>
      <c r="AW36" s="2514"/>
      <c r="AX36" s="820"/>
      <c r="AY36" s="820"/>
      <c r="AZ36" s="820"/>
      <c r="BA36" s="30"/>
      <c r="BB36" s="30"/>
      <c r="BC36" s="2514"/>
      <c r="BD36" s="2514"/>
      <c r="BE36" s="2514"/>
      <c r="BF36" s="2514"/>
      <c r="BH36" s="2514"/>
      <c r="BI36" s="30"/>
      <c r="BJ36" s="30"/>
      <c r="BK36" s="30"/>
      <c r="BL36" s="30"/>
      <c r="BM36" s="30"/>
      <c r="BN36" s="30"/>
      <c r="BO36" s="209"/>
      <c r="BP36" s="209"/>
      <c r="BQ36" s="785"/>
      <c r="BR36" s="820"/>
      <c r="BS36" s="820"/>
      <c r="BT36" s="30"/>
      <c r="BU36" s="800"/>
      <c r="BV36" s="800"/>
      <c r="BW36" s="209"/>
      <c r="CA36" s="787"/>
      <c r="DB36" s="773"/>
      <c r="DC36" s="773"/>
      <c r="DD36" s="773"/>
      <c r="DE36" s="773"/>
      <c r="DF36" s="773"/>
      <c r="DG36" s="773"/>
      <c r="DH36" s="773"/>
      <c r="DI36" s="773"/>
      <c r="DJ36" s="773"/>
      <c r="DK36" s="773"/>
      <c r="DL36" s="773"/>
      <c r="DM36" s="773"/>
      <c r="DN36" s="773"/>
      <c r="DO36" s="773"/>
      <c r="DP36" s="773"/>
      <c r="DQ36" s="773"/>
      <c r="DR36" s="773"/>
      <c r="DS36" s="773"/>
      <c r="DT36" s="773"/>
      <c r="DU36" s="773"/>
      <c r="DV36" s="773"/>
      <c r="DW36" s="773"/>
      <c r="DX36" s="773"/>
      <c r="DY36" s="773"/>
      <c r="DZ36" s="773"/>
      <c r="EA36" s="773"/>
      <c r="EB36" s="773"/>
      <c r="EC36" s="773"/>
      <c r="ED36" s="773"/>
      <c r="EE36" s="773"/>
      <c r="EF36" s="773"/>
      <c r="EG36" s="773"/>
      <c r="EH36" s="773"/>
      <c r="EI36" s="773"/>
      <c r="EJ36" s="773"/>
      <c r="EK36" s="773"/>
      <c r="EL36" s="773"/>
      <c r="EM36" s="773"/>
      <c r="EN36" s="773"/>
      <c r="EO36" s="773"/>
      <c r="EP36" s="773"/>
      <c r="EQ36" s="773"/>
      <c r="ER36" s="773"/>
      <c r="ES36" s="773"/>
      <c r="ET36" s="773"/>
      <c r="EU36" s="773"/>
      <c r="EV36" s="773"/>
      <c r="EW36" s="773"/>
      <c r="EX36" s="773"/>
      <c r="EY36" s="773"/>
      <c r="EZ36" s="773"/>
      <c r="FA36" s="773"/>
      <c r="FB36" s="773"/>
      <c r="FC36" s="773"/>
      <c r="FD36" s="773"/>
      <c r="FE36" s="773"/>
      <c r="FF36" s="773"/>
      <c r="FG36" s="773"/>
      <c r="FH36" s="773"/>
      <c r="FI36" s="773"/>
      <c r="FJ36" s="773"/>
      <c r="FK36" s="773"/>
      <c r="FL36" s="773"/>
      <c r="FM36" s="773"/>
      <c r="FN36" s="773"/>
      <c r="FO36" s="773"/>
      <c r="FP36" s="773"/>
      <c r="FQ36" s="773"/>
      <c r="FR36" s="773"/>
      <c r="FS36" s="773"/>
      <c r="FT36" s="773"/>
      <c r="FU36" s="773"/>
      <c r="FV36" s="773"/>
      <c r="FW36" s="773"/>
      <c r="FX36" s="773"/>
      <c r="FY36" s="773"/>
      <c r="FZ36" s="773"/>
      <c r="GA36" s="773"/>
      <c r="GB36" s="773"/>
      <c r="GC36" s="773"/>
      <c r="GD36" s="773"/>
      <c r="GE36" s="773"/>
      <c r="GF36" s="773"/>
      <c r="GG36" s="773"/>
      <c r="GH36" s="773"/>
      <c r="GI36" s="773"/>
      <c r="GJ36" s="773"/>
      <c r="GK36" s="773"/>
      <c r="GL36" s="773"/>
      <c r="GM36" s="773"/>
      <c r="GN36" s="773"/>
      <c r="GO36" s="773"/>
      <c r="GP36" s="773"/>
      <c r="GQ36" s="773"/>
      <c r="GR36" s="773"/>
      <c r="GS36" s="773"/>
      <c r="GT36" s="773"/>
      <c r="GU36" s="773"/>
      <c r="GV36" s="773"/>
      <c r="GW36" s="773"/>
      <c r="GX36" s="773"/>
      <c r="GY36" s="773"/>
      <c r="GZ36" s="773"/>
    </row>
    <row r="37" spans="1:208" s="11" customFormat="1">
      <c r="A37" s="774"/>
      <c r="B37" s="3761" t="s">
        <v>1350</v>
      </c>
      <c r="C37" s="197">
        <v>202812</v>
      </c>
      <c r="D37" s="801" t="s">
        <v>4006</v>
      </c>
      <c r="E37" s="809">
        <f>IFERROR(VLOOKUP(C37,'AJE 12 - INC'!$D$168:$F$345,3,0),0)</f>
        <v>0</v>
      </c>
      <c r="F37" s="1325">
        <f>SUMIF('AJE 12 - INC'!B:B,'New TB INC'!C37,'AJE 12 - INC'!D:D)</f>
        <v>0</v>
      </c>
      <c r="G37" s="1326"/>
      <c r="H37" s="1326"/>
      <c r="I37" s="1326"/>
      <c r="J37" s="796">
        <f t="shared" si="4"/>
        <v>0</v>
      </c>
      <c r="K37" s="779"/>
      <c r="L37" s="434"/>
      <c r="M37" s="3586" t="s">
        <v>4517</v>
      </c>
      <c r="N37" s="772"/>
      <c r="O37" s="772"/>
      <c r="P37" s="772"/>
      <c r="Q37" s="772"/>
      <c r="R37" s="772"/>
      <c r="S37" s="772"/>
      <c r="T37" s="773"/>
      <c r="AW37" s="2514"/>
      <c r="AX37" s="820"/>
      <c r="AY37" s="820"/>
      <c r="AZ37" s="820"/>
      <c r="BA37" s="30"/>
      <c r="BB37" s="30"/>
      <c r="BC37" s="2514"/>
      <c r="BD37" s="2514"/>
      <c r="BE37" s="2514"/>
      <c r="BF37" s="2514"/>
      <c r="BH37" s="2514"/>
      <c r="BI37" s="30"/>
      <c r="BJ37" s="30"/>
      <c r="BK37" s="30"/>
      <c r="BL37" s="30"/>
      <c r="BM37" s="30"/>
      <c r="BN37" s="30"/>
      <c r="BO37" s="209"/>
      <c r="BP37" s="209"/>
      <c r="BQ37" s="785"/>
      <c r="BR37" s="820"/>
      <c r="BS37" s="820"/>
      <c r="BT37" s="30"/>
      <c r="BU37" s="800"/>
      <c r="BV37" s="800"/>
      <c r="BW37" s="209"/>
      <c r="CA37" s="787"/>
      <c r="DB37" s="773"/>
      <c r="DC37" s="773"/>
      <c r="DD37" s="773"/>
      <c r="DE37" s="773"/>
      <c r="DF37" s="773"/>
      <c r="DG37" s="773"/>
      <c r="DH37" s="773"/>
      <c r="DI37" s="773"/>
      <c r="DJ37" s="773"/>
      <c r="DK37" s="773"/>
      <c r="DL37" s="773"/>
      <c r="DM37" s="773"/>
      <c r="DN37" s="773"/>
      <c r="DO37" s="773"/>
      <c r="DP37" s="773"/>
      <c r="DQ37" s="773"/>
      <c r="DR37" s="773"/>
      <c r="DS37" s="773"/>
      <c r="DT37" s="773"/>
      <c r="DU37" s="773"/>
      <c r="DV37" s="773"/>
      <c r="DW37" s="773"/>
      <c r="DX37" s="773"/>
      <c r="DY37" s="773"/>
      <c r="DZ37" s="773"/>
      <c r="EA37" s="773"/>
      <c r="EB37" s="773"/>
      <c r="EC37" s="773"/>
      <c r="ED37" s="773"/>
      <c r="EE37" s="773"/>
      <c r="EF37" s="773"/>
      <c r="EG37" s="773"/>
      <c r="EH37" s="773"/>
      <c r="EI37" s="773"/>
      <c r="EJ37" s="773"/>
      <c r="EK37" s="773"/>
      <c r="EL37" s="773"/>
      <c r="EM37" s="773"/>
      <c r="EN37" s="773"/>
      <c r="EO37" s="773"/>
      <c r="EP37" s="773"/>
      <c r="EQ37" s="773"/>
      <c r="ER37" s="773"/>
      <c r="ES37" s="773"/>
      <c r="ET37" s="773"/>
      <c r="EU37" s="773"/>
      <c r="EV37" s="773"/>
      <c r="EW37" s="773"/>
      <c r="EX37" s="773"/>
      <c r="EY37" s="773"/>
      <c r="EZ37" s="773"/>
      <c r="FA37" s="773"/>
      <c r="FB37" s="773"/>
      <c r="FC37" s="773"/>
      <c r="FD37" s="773"/>
      <c r="FE37" s="773"/>
      <c r="FF37" s="773"/>
      <c r="FG37" s="773"/>
      <c r="FH37" s="773"/>
      <c r="FI37" s="773"/>
      <c r="FJ37" s="773"/>
      <c r="FK37" s="773"/>
      <c r="FL37" s="773"/>
      <c r="FM37" s="773"/>
      <c r="FN37" s="773"/>
      <c r="FO37" s="773"/>
      <c r="FP37" s="773"/>
      <c r="FQ37" s="773"/>
      <c r="FR37" s="773"/>
      <c r="FS37" s="773"/>
      <c r="FT37" s="773"/>
      <c r="FU37" s="773"/>
      <c r="FV37" s="773"/>
      <c r="FW37" s="773"/>
      <c r="FX37" s="773"/>
      <c r="FY37" s="773"/>
      <c r="FZ37" s="773"/>
      <c r="GA37" s="773"/>
      <c r="GB37" s="773"/>
      <c r="GC37" s="773"/>
      <c r="GD37" s="773"/>
      <c r="GE37" s="773"/>
      <c r="GF37" s="773"/>
      <c r="GG37" s="773"/>
      <c r="GH37" s="773"/>
      <c r="GI37" s="773"/>
      <c r="GJ37" s="773"/>
      <c r="GK37" s="773"/>
      <c r="GL37" s="773"/>
      <c r="GM37" s="773"/>
      <c r="GN37" s="773"/>
      <c r="GO37" s="773"/>
      <c r="GP37" s="773"/>
      <c r="GQ37" s="773"/>
      <c r="GR37" s="773"/>
      <c r="GS37" s="773"/>
      <c r="GT37" s="773"/>
      <c r="GU37" s="773"/>
      <c r="GV37" s="773"/>
      <c r="GW37" s="773"/>
      <c r="GX37" s="773"/>
      <c r="GY37" s="773"/>
      <c r="GZ37" s="773"/>
    </row>
    <row r="38" spans="1:208" s="11" customFormat="1">
      <c r="A38" s="774"/>
      <c r="B38" s="3761" t="s">
        <v>1350</v>
      </c>
      <c r="C38" s="197">
        <v>208354</v>
      </c>
      <c r="D38" s="801" t="s">
        <v>4007</v>
      </c>
      <c r="E38" s="809">
        <f>IFERROR(VLOOKUP(C38,'AJE 12 - INC'!$D$168:$F$345,3,0),0)</f>
        <v>0</v>
      </c>
      <c r="F38" s="1325">
        <f>SUMIF('AJE 12 - INC'!B:B,'New TB INC'!C38,'AJE 12 - INC'!D:D)</f>
        <v>0</v>
      </c>
      <c r="G38" s="1326"/>
      <c r="H38" s="1326"/>
      <c r="I38" s="1326"/>
      <c r="J38" s="796">
        <f t="shared" si="4"/>
        <v>0</v>
      </c>
      <c r="K38" s="779"/>
      <c r="L38" s="434"/>
      <c r="M38" s="2679"/>
      <c r="N38" s="772"/>
      <c r="O38" s="772"/>
      <c r="P38" s="772"/>
      <c r="Q38" s="772"/>
      <c r="R38" s="772"/>
      <c r="S38" s="772"/>
      <c r="T38" s="773"/>
      <c r="AW38" s="2514"/>
      <c r="AX38" s="820"/>
      <c r="AY38" s="820"/>
      <c r="AZ38" s="820"/>
      <c r="BA38" s="30"/>
      <c r="BB38" s="30"/>
      <c r="BC38" s="2514"/>
      <c r="BD38" s="2514"/>
      <c r="BE38" s="2514"/>
      <c r="BF38" s="2514"/>
      <c r="BH38" s="2514"/>
      <c r="BI38" s="30"/>
      <c r="BJ38" s="30"/>
      <c r="BK38" s="30"/>
      <c r="BL38" s="30"/>
      <c r="BM38" s="30"/>
      <c r="BN38" s="30"/>
      <c r="BO38" s="209"/>
      <c r="BP38" s="209"/>
      <c r="BQ38" s="785"/>
      <c r="BR38" s="820"/>
      <c r="BS38" s="820"/>
      <c r="BT38" s="30"/>
      <c r="BU38" s="800"/>
      <c r="BV38" s="800"/>
      <c r="BW38" s="209"/>
      <c r="CA38" s="787"/>
      <c r="DB38" s="773"/>
      <c r="DC38" s="773"/>
      <c r="DD38" s="773"/>
      <c r="DE38" s="773"/>
      <c r="DF38" s="773"/>
      <c r="DG38" s="773"/>
      <c r="DH38" s="773"/>
      <c r="DI38" s="773"/>
      <c r="DJ38" s="773"/>
      <c r="DK38" s="773"/>
      <c r="DL38" s="773"/>
      <c r="DM38" s="773"/>
      <c r="DN38" s="773"/>
      <c r="DO38" s="773"/>
      <c r="DP38" s="773"/>
      <c r="DQ38" s="773"/>
      <c r="DR38" s="773"/>
      <c r="DS38" s="773"/>
      <c r="DT38" s="773"/>
      <c r="DU38" s="773"/>
      <c r="DV38" s="773"/>
      <c r="DW38" s="773"/>
      <c r="DX38" s="773"/>
      <c r="DY38" s="773"/>
      <c r="DZ38" s="773"/>
      <c r="EA38" s="773"/>
      <c r="EB38" s="773"/>
      <c r="EC38" s="773"/>
      <c r="ED38" s="773"/>
      <c r="EE38" s="773"/>
      <c r="EF38" s="773"/>
      <c r="EG38" s="773"/>
      <c r="EH38" s="773"/>
      <c r="EI38" s="773"/>
      <c r="EJ38" s="773"/>
      <c r="EK38" s="773"/>
      <c r="EL38" s="773"/>
      <c r="EM38" s="773"/>
      <c r="EN38" s="773"/>
      <c r="EO38" s="773"/>
      <c r="EP38" s="773"/>
      <c r="EQ38" s="773"/>
      <c r="ER38" s="773"/>
      <c r="ES38" s="773"/>
      <c r="ET38" s="773"/>
      <c r="EU38" s="773"/>
      <c r="EV38" s="773"/>
      <c r="EW38" s="773"/>
      <c r="EX38" s="773"/>
      <c r="EY38" s="773"/>
      <c r="EZ38" s="773"/>
      <c r="FA38" s="773"/>
      <c r="FB38" s="773"/>
      <c r="FC38" s="773"/>
      <c r="FD38" s="773"/>
      <c r="FE38" s="773"/>
      <c r="FF38" s="773"/>
      <c r="FG38" s="773"/>
      <c r="FH38" s="773"/>
      <c r="FI38" s="773"/>
      <c r="FJ38" s="773"/>
      <c r="FK38" s="773"/>
      <c r="FL38" s="773"/>
      <c r="FM38" s="773"/>
      <c r="FN38" s="773"/>
      <c r="FO38" s="773"/>
      <c r="FP38" s="773"/>
      <c r="FQ38" s="773"/>
      <c r="FR38" s="773"/>
      <c r="FS38" s="773"/>
      <c r="FT38" s="773"/>
      <c r="FU38" s="773"/>
      <c r="FV38" s="773"/>
      <c r="FW38" s="773"/>
      <c r="FX38" s="773"/>
      <c r="FY38" s="773"/>
      <c r="FZ38" s="773"/>
      <c r="GA38" s="773"/>
      <c r="GB38" s="773"/>
      <c r="GC38" s="773"/>
      <c r="GD38" s="773"/>
      <c r="GE38" s="773"/>
      <c r="GF38" s="773"/>
      <c r="GG38" s="773"/>
      <c r="GH38" s="773"/>
      <c r="GI38" s="773"/>
      <c r="GJ38" s="773"/>
      <c r="GK38" s="773"/>
      <c r="GL38" s="773"/>
      <c r="GM38" s="773"/>
      <c r="GN38" s="773"/>
      <c r="GO38" s="773"/>
      <c r="GP38" s="773"/>
      <c r="GQ38" s="773"/>
      <c r="GR38" s="773"/>
      <c r="GS38" s="773"/>
      <c r="GT38" s="773"/>
      <c r="GU38" s="773"/>
      <c r="GV38" s="773"/>
      <c r="GW38" s="773"/>
      <c r="GX38" s="773"/>
      <c r="GY38" s="773"/>
      <c r="GZ38" s="773"/>
    </row>
    <row r="39" spans="1:208" s="11" customFormat="1">
      <c r="A39" s="774"/>
      <c r="B39" s="3761" t="s">
        <v>1350</v>
      </c>
      <c r="C39" s="197">
        <v>226409</v>
      </c>
      <c r="D39" s="801" t="s">
        <v>4008</v>
      </c>
      <c r="E39" s="809">
        <f>IFERROR(VLOOKUP(C39,'AJE 12 - INC'!$D$168:$F$345,3,0),0)</f>
        <v>0</v>
      </c>
      <c r="F39" s="1325">
        <f>SUMIF('AJE 12 - INC'!B:B,'New TB INC'!C39,'AJE 12 - INC'!D:D)</f>
        <v>0</v>
      </c>
      <c r="G39" s="1326"/>
      <c r="H39" s="1326"/>
      <c r="I39" s="1326"/>
      <c r="J39" s="796">
        <f t="shared" si="4"/>
        <v>0</v>
      </c>
      <c r="K39" s="779"/>
      <c r="L39" s="434"/>
      <c r="M39" s="2679"/>
      <c r="N39" s="772"/>
      <c r="O39" s="772"/>
      <c r="P39" s="772"/>
      <c r="Q39" s="772"/>
      <c r="R39" s="772"/>
      <c r="S39" s="772"/>
      <c r="T39" s="773"/>
      <c r="AW39" s="2514"/>
      <c r="AX39" s="820"/>
      <c r="AY39" s="820"/>
      <c r="AZ39" s="820"/>
      <c r="BA39" s="30"/>
      <c r="BB39" s="30"/>
      <c r="BC39" s="2514"/>
      <c r="BD39" s="2514"/>
      <c r="BE39" s="2514"/>
      <c r="BF39" s="2514"/>
      <c r="BH39" s="2514"/>
      <c r="BI39" s="30"/>
      <c r="BJ39" s="30"/>
      <c r="BK39" s="30"/>
      <c r="BL39" s="30"/>
      <c r="BM39" s="30"/>
      <c r="BN39" s="30"/>
      <c r="BO39" s="209"/>
      <c r="BP39" s="209"/>
      <c r="BQ39" s="785"/>
      <c r="BR39" s="820"/>
      <c r="BS39" s="820"/>
      <c r="BT39" s="30"/>
      <c r="BU39" s="800"/>
      <c r="BV39" s="800"/>
      <c r="BW39" s="209"/>
      <c r="CA39" s="787"/>
      <c r="DB39" s="773"/>
      <c r="DC39" s="773"/>
      <c r="DD39" s="773"/>
      <c r="DE39" s="773"/>
      <c r="DF39" s="773"/>
      <c r="DG39" s="773"/>
      <c r="DH39" s="773"/>
      <c r="DI39" s="773"/>
      <c r="DJ39" s="773"/>
      <c r="DK39" s="773"/>
      <c r="DL39" s="773"/>
      <c r="DM39" s="773"/>
      <c r="DN39" s="773"/>
      <c r="DO39" s="773"/>
      <c r="DP39" s="773"/>
      <c r="DQ39" s="773"/>
      <c r="DR39" s="773"/>
      <c r="DS39" s="773"/>
      <c r="DT39" s="773"/>
      <c r="DU39" s="773"/>
      <c r="DV39" s="773"/>
      <c r="DW39" s="773"/>
      <c r="DX39" s="773"/>
      <c r="DY39" s="773"/>
      <c r="DZ39" s="773"/>
      <c r="EA39" s="773"/>
      <c r="EB39" s="773"/>
      <c r="EC39" s="773"/>
      <c r="ED39" s="773"/>
      <c r="EE39" s="773"/>
      <c r="EF39" s="773"/>
      <c r="EG39" s="773"/>
      <c r="EH39" s="773"/>
      <c r="EI39" s="773"/>
      <c r="EJ39" s="773"/>
      <c r="EK39" s="773"/>
      <c r="EL39" s="773"/>
      <c r="EM39" s="773"/>
      <c r="EN39" s="773"/>
      <c r="EO39" s="773"/>
      <c r="EP39" s="773"/>
      <c r="EQ39" s="773"/>
      <c r="ER39" s="773"/>
      <c r="ES39" s="773"/>
      <c r="ET39" s="773"/>
      <c r="EU39" s="773"/>
      <c r="EV39" s="773"/>
      <c r="EW39" s="773"/>
      <c r="EX39" s="773"/>
      <c r="EY39" s="773"/>
      <c r="EZ39" s="773"/>
      <c r="FA39" s="773"/>
      <c r="FB39" s="773"/>
      <c r="FC39" s="773"/>
      <c r="FD39" s="773"/>
      <c r="FE39" s="773"/>
      <c r="FF39" s="773"/>
      <c r="FG39" s="773"/>
      <c r="FH39" s="773"/>
      <c r="FI39" s="773"/>
      <c r="FJ39" s="773"/>
      <c r="FK39" s="773"/>
      <c r="FL39" s="773"/>
      <c r="FM39" s="773"/>
      <c r="FN39" s="773"/>
      <c r="FO39" s="773"/>
      <c r="FP39" s="773"/>
      <c r="FQ39" s="773"/>
      <c r="FR39" s="773"/>
      <c r="FS39" s="773"/>
      <c r="FT39" s="773"/>
      <c r="FU39" s="773"/>
      <c r="FV39" s="773"/>
      <c r="FW39" s="773"/>
      <c r="FX39" s="773"/>
      <c r="FY39" s="773"/>
      <c r="FZ39" s="773"/>
      <c r="GA39" s="773"/>
      <c r="GB39" s="773"/>
      <c r="GC39" s="773"/>
      <c r="GD39" s="773"/>
      <c r="GE39" s="773"/>
      <c r="GF39" s="773"/>
      <c r="GG39" s="773"/>
      <c r="GH39" s="773"/>
      <c r="GI39" s="773"/>
      <c r="GJ39" s="773"/>
      <c r="GK39" s="773"/>
      <c r="GL39" s="773"/>
      <c r="GM39" s="773"/>
      <c r="GN39" s="773"/>
      <c r="GO39" s="773"/>
      <c r="GP39" s="773"/>
      <c r="GQ39" s="773"/>
      <c r="GR39" s="773"/>
      <c r="GS39" s="773"/>
      <c r="GT39" s="773"/>
      <c r="GU39" s="773"/>
      <c r="GV39" s="773"/>
      <c r="GW39" s="773"/>
      <c r="GX39" s="773"/>
      <c r="GY39" s="773"/>
      <c r="GZ39" s="773"/>
    </row>
    <row r="40" spans="1:208" s="11" customFormat="1">
      <c r="A40" s="774"/>
      <c r="B40" s="3761" t="s">
        <v>1350</v>
      </c>
      <c r="C40" s="197">
        <v>231074</v>
      </c>
      <c r="D40" s="801" t="s">
        <v>4009</v>
      </c>
      <c r="E40" s="809">
        <f>IFERROR(VLOOKUP(C40,'AJE 12 - INC'!$D$168:$F$345,3,0),0)</f>
        <v>-27945</v>
      </c>
      <c r="F40" s="1325">
        <f>SUMIF('AJE 12 - INC'!B:B,'New TB INC'!C40,'AJE 12 - INC'!D:D)</f>
        <v>0</v>
      </c>
      <c r="G40" s="1326"/>
      <c r="H40" s="1326"/>
      <c r="I40" s="1326"/>
      <c r="J40" s="796">
        <f t="shared" si="4"/>
        <v>-27945</v>
      </c>
      <c r="K40" s="779"/>
      <c r="L40" s="434"/>
      <c r="M40" s="2679"/>
      <c r="N40" s="772"/>
      <c r="O40" s="772"/>
      <c r="P40" s="772"/>
      <c r="Q40" s="772"/>
      <c r="R40" s="772"/>
      <c r="S40" s="772"/>
      <c r="T40" s="773"/>
      <c r="AW40" s="2514"/>
      <c r="AX40" s="820"/>
      <c r="AY40" s="820"/>
      <c r="AZ40" s="820"/>
      <c r="BA40" s="30"/>
      <c r="BB40" s="30"/>
      <c r="BC40" s="2514"/>
      <c r="BD40" s="2514"/>
      <c r="BE40" s="2514"/>
      <c r="BF40" s="2514"/>
      <c r="BH40" s="2514"/>
      <c r="BI40" s="30"/>
      <c r="BJ40" s="30"/>
      <c r="BK40" s="30"/>
      <c r="BL40" s="30"/>
      <c r="BM40" s="30"/>
      <c r="BN40" s="30"/>
      <c r="BO40" s="209"/>
      <c r="BP40" s="209"/>
      <c r="BQ40" s="785"/>
      <c r="BR40" s="820"/>
      <c r="BS40" s="820"/>
      <c r="BT40" s="30"/>
      <c r="BU40" s="800"/>
      <c r="BV40" s="800"/>
      <c r="BW40" s="209"/>
      <c r="CA40" s="787"/>
      <c r="DB40" s="773"/>
      <c r="DC40" s="773"/>
      <c r="DD40" s="773"/>
      <c r="DE40" s="773"/>
      <c r="DF40" s="773"/>
      <c r="DG40" s="773"/>
      <c r="DH40" s="773"/>
      <c r="DI40" s="773"/>
      <c r="DJ40" s="773"/>
      <c r="DK40" s="773"/>
      <c r="DL40" s="773"/>
      <c r="DM40" s="773"/>
      <c r="DN40" s="773"/>
      <c r="DO40" s="773"/>
      <c r="DP40" s="773"/>
      <c r="DQ40" s="773"/>
      <c r="DR40" s="773"/>
      <c r="DS40" s="773"/>
      <c r="DT40" s="773"/>
      <c r="DU40" s="773"/>
      <c r="DV40" s="773"/>
      <c r="DW40" s="773"/>
      <c r="DX40" s="773"/>
      <c r="DY40" s="773"/>
      <c r="DZ40" s="773"/>
      <c r="EA40" s="773"/>
      <c r="EB40" s="773"/>
      <c r="EC40" s="773"/>
      <c r="ED40" s="773"/>
      <c r="EE40" s="773"/>
      <c r="EF40" s="773"/>
      <c r="EG40" s="773"/>
      <c r="EH40" s="773"/>
      <c r="EI40" s="773"/>
      <c r="EJ40" s="773"/>
      <c r="EK40" s="773"/>
      <c r="EL40" s="773"/>
      <c r="EM40" s="773"/>
      <c r="EN40" s="773"/>
      <c r="EO40" s="773"/>
      <c r="EP40" s="773"/>
      <c r="EQ40" s="773"/>
      <c r="ER40" s="773"/>
      <c r="ES40" s="773"/>
      <c r="ET40" s="773"/>
      <c r="EU40" s="773"/>
      <c r="EV40" s="773"/>
      <c r="EW40" s="773"/>
      <c r="EX40" s="773"/>
      <c r="EY40" s="773"/>
      <c r="EZ40" s="773"/>
      <c r="FA40" s="773"/>
      <c r="FB40" s="773"/>
      <c r="FC40" s="773"/>
      <c r="FD40" s="773"/>
      <c r="FE40" s="773"/>
      <c r="FF40" s="773"/>
      <c r="FG40" s="773"/>
      <c r="FH40" s="773"/>
      <c r="FI40" s="773"/>
      <c r="FJ40" s="773"/>
      <c r="FK40" s="773"/>
      <c r="FL40" s="773"/>
      <c r="FM40" s="773"/>
      <c r="FN40" s="773"/>
      <c r="FO40" s="773"/>
      <c r="FP40" s="773"/>
      <c r="FQ40" s="773"/>
      <c r="FR40" s="773"/>
      <c r="FS40" s="773"/>
      <c r="FT40" s="773"/>
      <c r="FU40" s="773"/>
      <c r="FV40" s="773"/>
      <c r="FW40" s="773"/>
      <c r="FX40" s="773"/>
      <c r="FY40" s="773"/>
      <c r="FZ40" s="773"/>
      <c r="GA40" s="773"/>
      <c r="GB40" s="773"/>
      <c r="GC40" s="773"/>
      <c r="GD40" s="773"/>
      <c r="GE40" s="773"/>
      <c r="GF40" s="773"/>
      <c r="GG40" s="773"/>
      <c r="GH40" s="773"/>
      <c r="GI40" s="773"/>
      <c r="GJ40" s="773"/>
      <c r="GK40" s="773"/>
      <c r="GL40" s="773"/>
      <c r="GM40" s="773"/>
      <c r="GN40" s="773"/>
      <c r="GO40" s="773"/>
      <c r="GP40" s="773"/>
      <c r="GQ40" s="773"/>
      <c r="GR40" s="773"/>
      <c r="GS40" s="773"/>
      <c r="GT40" s="773"/>
      <c r="GU40" s="773"/>
      <c r="GV40" s="773"/>
      <c r="GW40" s="773"/>
      <c r="GX40" s="773"/>
      <c r="GY40" s="773"/>
      <c r="GZ40" s="773"/>
    </row>
    <row r="41" spans="1:208" s="11" customFormat="1">
      <c r="A41" s="774"/>
      <c r="B41" s="3761" t="s">
        <v>1350</v>
      </c>
      <c r="C41" s="197">
        <v>209290</v>
      </c>
      <c r="D41" s="801" t="s">
        <v>3917</v>
      </c>
      <c r="E41" s="809">
        <f>IFERROR(VLOOKUP(C41,'AJE 12 - INC'!$D$168:$F$345,3,0),0)</f>
        <v>0</v>
      </c>
      <c r="F41" s="1325">
        <f>SUMIF('AJE 12 - INC'!B:B,'New TB INC'!C41,'AJE 12 - INC'!D:D)</f>
        <v>0</v>
      </c>
      <c r="G41" s="1326"/>
      <c r="H41" s="1326"/>
      <c r="I41" s="1326"/>
      <c r="J41" s="796">
        <f t="shared" si="4"/>
        <v>0</v>
      </c>
      <c r="K41" s="779"/>
      <c r="L41" s="434"/>
      <c r="M41" s="2679"/>
      <c r="N41" s="772"/>
      <c r="O41" s="772"/>
      <c r="P41" s="772"/>
      <c r="Q41" s="772"/>
      <c r="R41" s="772"/>
      <c r="S41" s="772"/>
      <c r="T41" s="773"/>
      <c r="AW41" s="2514"/>
      <c r="AX41" s="820"/>
      <c r="AY41" s="820"/>
      <c r="AZ41" s="820"/>
      <c r="BA41" s="30"/>
      <c r="BB41" s="30"/>
      <c r="BC41" s="2514"/>
      <c r="BD41" s="2514"/>
      <c r="BE41" s="2514"/>
      <c r="BF41" s="2514"/>
      <c r="BH41" s="2514"/>
      <c r="BI41" s="30"/>
      <c r="BJ41" s="30"/>
      <c r="BK41" s="30"/>
      <c r="BL41" s="30"/>
      <c r="BM41" s="30"/>
      <c r="BN41" s="30"/>
      <c r="BO41" s="209"/>
      <c r="BP41" s="209"/>
      <c r="BQ41" s="785"/>
      <c r="BR41" s="820"/>
      <c r="BS41" s="820"/>
      <c r="BT41" s="30"/>
      <c r="BU41" s="800"/>
      <c r="BV41" s="800"/>
      <c r="BW41" s="209"/>
      <c r="CA41" s="787"/>
      <c r="DB41" s="773"/>
      <c r="DC41" s="773"/>
      <c r="DD41" s="773"/>
      <c r="DE41" s="773"/>
      <c r="DF41" s="773"/>
      <c r="DG41" s="773"/>
      <c r="DH41" s="773"/>
      <c r="DI41" s="773"/>
      <c r="DJ41" s="773"/>
      <c r="DK41" s="773"/>
      <c r="DL41" s="773"/>
      <c r="DM41" s="773"/>
      <c r="DN41" s="773"/>
      <c r="DO41" s="773"/>
      <c r="DP41" s="773"/>
      <c r="DQ41" s="773"/>
      <c r="DR41" s="773"/>
      <c r="DS41" s="773"/>
      <c r="DT41" s="773"/>
      <c r="DU41" s="773"/>
      <c r="DV41" s="773"/>
      <c r="DW41" s="773"/>
      <c r="DX41" s="773"/>
      <c r="DY41" s="773"/>
      <c r="DZ41" s="773"/>
      <c r="EA41" s="773"/>
      <c r="EB41" s="773"/>
      <c r="EC41" s="773"/>
      <c r="ED41" s="773"/>
      <c r="EE41" s="773"/>
      <c r="EF41" s="773"/>
      <c r="EG41" s="773"/>
      <c r="EH41" s="773"/>
      <c r="EI41" s="773"/>
      <c r="EJ41" s="773"/>
      <c r="EK41" s="773"/>
      <c r="EL41" s="773"/>
      <c r="EM41" s="773"/>
      <c r="EN41" s="773"/>
      <c r="EO41" s="773"/>
      <c r="EP41" s="773"/>
      <c r="EQ41" s="773"/>
      <c r="ER41" s="773"/>
      <c r="ES41" s="773"/>
      <c r="ET41" s="773"/>
      <c r="EU41" s="773"/>
      <c r="EV41" s="773"/>
      <c r="EW41" s="773"/>
      <c r="EX41" s="773"/>
      <c r="EY41" s="773"/>
      <c r="EZ41" s="773"/>
      <c r="FA41" s="773"/>
      <c r="FB41" s="773"/>
      <c r="FC41" s="773"/>
      <c r="FD41" s="773"/>
      <c r="FE41" s="773"/>
      <c r="FF41" s="773"/>
      <c r="FG41" s="773"/>
      <c r="FH41" s="773"/>
      <c r="FI41" s="773"/>
      <c r="FJ41" s="773"/>
      <c r="FK41" s="773"/>
      <c r="FL41" s="773"/>
      <c r="FM41" s="773"/>
      <c r="FN41" s="773"/>
      <c r="FO41" s="773"/>
      <c r="FP41" s="773"/>
      <c r="FQ41" s="773"/>
      <c r="FR41" s="773"/>
      <c r="FS41" s="773"/>
      <c r="FT41" s="773"/>
      <c r="FU41" s="773"/>
      <c r="FV41" s="773"/>
      <c r="FW41" s="773"/>
      <c r="FX41" s="773"/>
      <c r="FY41" s="773"/>
      <c r="FZ41" s="773"/>
      <c r="GA41" s="773"/>
      <c r="GB41" s="773"/>
      <c r="GC41" s="773"/>
      <c r="GD41" s="773"/>
      <c r="GE41" s="773"/>
      <c r="GF41" s="773"/>
      <c r="GG41" s="773"/>
      <c r="GH41" s="773"/>
      <c r="GI41" s="773"/>
      <c r="GJ41" s="773"/>
      <c r="GK41" s="773"/>
      <c r="GL41" s="773"/>
      <c r="GM41" s="773"/>
      <c r="GN41" s="773"/>
      <c r="GO41" s="773"/>
      <c r="GP41" s="773"/>
      <c r="GQ41" s="773"/>
      <c r="GR41" s="773"/>
      <c r="GS41" s="773"/>
      <c r="GT41" s="773"/>
      <c r="GU41" s="773"/>
      <c r="GV41" s="773"/>
      <c r="GW41" s="773"/>
      <c r="GX41" s="773"/>
      <c r="GY41" s="773"/>
      <c r="GZ41" s="773"/>
    </row>
    <row r="42" spans="1:208" s="11" customFormat="1">
      <c r="A42" s="774"/>
      <c r="B42" s="3761" t="s">
        <v>1350</v>
      </c>
      <c r="C42" s="197">
        <v>215233</v>
      </c>
      <c r="D42" s="801" t="s">
        <v>3918</v>
      </c>
      <c r="E42" s="809">
        <f>IFERROR(VLOOKUP(C42,'AJE 12 - INC'!$D$168:$F$345,3,0),0)</f>
        <v>0</v>
      </c>
      <c r="F42" s="1325">
        <f>SUMIF('AJE 12 - INC'!B:B,'New TB INC'!C42,'AJE 12 - INC'!D:D)</f>
        <v>0</v>
      </c>
      <c r="G42" s="1326"/>
      <c r="H42" s="1326"/>
      <c r="I42" s="1326"/>
      <c r="J42" s="796">
        <f t="shared" ref="J42:J48" si="5">SUM(E42:I42)</f>
        <v>0</v>
      </c>
      <c r="K42" s="779"/>
      <c r="L42" s="434"/>
      <c r="M42" s="2679"/>
      <c r="N42" s="772"/>
      <c r="O42" s="772"/>
      <c r="P42" s="772"/>
      <c r="Q42" s="772"/>
      <c r="R42" s="772"/>
      <c r="S42" s="772"/>
      <c r="T42" s="773"/>
      <c r="AW42" s="2514"/>
      <c r="AX42" s="820"/>
      <c r="AY42" s="820"/>
      <c r="AZ42" s="820"/>
      <c r="BA42" s="30"/>
      <c r="BB42" s="30"/>
      <c r="BC42" s="2514"/>
      <c r="BD42" s="2514"/>
      <c r="BE42" s="2514"/>
      <c r="BF42" s="2514"/>
      <c r="BH42" s="2514"/>
      <c r="BI42" s="30"/>
      <c r="BJ42" s="30"/>
      <c r="BK42" s="30"/>
      <c r="BL42" s="30"/>
      <c r="BM42" s="30"/>
      <c r="BN42" s="30"/>
      <c r="BO42" s="209"/>
      <c r="BP42" s="209"/>
      <c r="BQ42" s="785"/>
      <c r="BR42" s="820"/>
      <c r="BS42" s="820"/>
      <c r="BT42" s="30"/>
      <c r="BU42" s="800"/>
      <c r="BV42" s="800"/>
      <c r="BW42" s="209"/>
      <c r="CA42" s="787"/>
      <c r="DB42" s="773"/>
      <c r="DC42" s="773"/>
      <c r="DD42" s="773"/>
      <c r="DE42" s="773"/>
      <c r="DF42" s="773"/>
      <c r="DG42" s="773"/>
      <c r="DH42" s="773"/>
      <c r="DI42" s="773"/>
      <c r="DJ42" s="773"/>
      <c r="DK42" s="773"/>
      <c r="DL42" s="773"/>
      <c r="DM42" s="773"/>
      <c r="DN42" s="773"/>
      <c r="DO42" s="773"/>
      <c r="DP42" s="773"/>
      <c r="DQ42" s="773"/>
      <c r="DR42" s="773"/>
      <c r="DS42" s="773"/>
      <c r="DT42" s="773"/>
      <c r="DU42" s="773"/>
      <c r="DV42" s="773"/>
      <c r="DW42" s="773"/>
      <c r="DX42" s="773"/>
      <c r="DY42" s="773"/>
      <c r="DZ42" s="773"/>
      <c r="EA42" s="773"/>
      <c r="EB42" s="773"/>
      <c r="EC42" s="773"/>
      <c r="ED42" s="773"/>
      <c r="EE42" s="773"/>
      <c r="EF42" s="773"/>
      <c r="EG42" s="773"/>
      <c r="EH42" s="773"/>
      <c r="EI42" s="773"/>
      <c r="EJ42" s="773"/>
      <c r="EK42" s="773"/>
      <c r="EL42" s="773"/>
      <c r="EM42" s="773"/>
      <c r="EN42" s="773"/>
      <c r="EO42" s="773"/>
      <c r="EP42" s="773"/>
      <c r="EQ42" s="773"/>
      <c r="ER42" s="773"/>
      <c r="ES42" s="773"/>
      <c r="ET42" s="773"/>
      <c r="EU42" s="773"/>
      <c r="EV42" s="773"/>
      <c r="EW42" s="773"/>
      <c r="EX42" s="773"/>
      <c r="EY42" s="773"/>
      <c r="EZ42" s="773"/>
      <c r="FA42" s="773"/>
      <c r="FB42" s="773"/>
      <c r="FC42" s="773"/>
      <c r="FD42" s="773"/>
      <c r="FE42" s="773"/>
      <c r="FF42" s="773"/>
      <c r="FG42" s="773"/>
      <c r="FH42" s="773"/>
      <c r="FI42" s="773"/>
      <c r="FJ42" s="773"/>
      <c r="FK42" s="773"/>
      <c r="FL42" s="773"/>
      <c r="FM42" s="773"/>
      <c r="FN42" s="773"/>
      <c r="FO42" s="773"/>
      <c r="FP42" s="773"/>
      <c r="FQ42" s="773"/>
      <c r="FR42" s="773"/>
      <c r="FS42" s="773"/>
      <c r="FT42" s="773"/>
      <c r="FU42" s="773"/>
      <c r="FV42" s="773"/>
      <c r="FW42" s="773"/>
      <c r="FX42" s="773"/>
      <c r="FY42" s="773"/>
      <c r="FZ42" s="773"/>
      <c r="GA42" s="773"/>
      <c r="GB42" s="773"/>
      <c r="GC42" s="773"/>
      <c r="GD42" s="773"/>
      <c r="GE42" s="773"/>
      <c r="GF42" s="773"/>
      <c r="GG42" s="773"/>
      <c r="GH42" s="773"/>
      <c r="GI42" s="773"/>
      <c r="GJ42" s="773"/>
      <c r="GK42" s="773"/>
      <c r="GL42" s="773"/>
      <c r="GM42" s="773"/>
      <c r="GN42" s="773"/>
      <c r="GO42" s="773"/>
      <c r="GP42" s="773"/>
      <c r="GQ42" s="773"/>
      <c r="GR42" s="773"/>
      <c r="GS42" s="773"/>
      <c r="GT42" s="773"/>
      <c r="GU42" s="773"/>
      <c r="GV42" s="773"/>
      <c r="GW42" s="773"/>
      <c r="GX42" s="773"/>
      <c r="GY42" s="773"/>
      <c r="GZ42" s="773"/>
    </row>
    <row r="43" spans="1:208" s="11" customFormat="1">
      <c r="A43" s="774"/>
      <c r="B43" s="3761" t="s">
        <v>1350</v>
      </c>
      <c r="C43" s="197">
        <v>215309</v>
      </c>
      <c r="D43" s="801" t="s">
        <v>3919</v>
      </c>
      <c r="E43" s="809">
        <f>IFERROR(VLOOKUP(C43,'AJE 12 - INC'!$D$168:$F$345,3,0),0)</f>
        <v>0</v>
      </c>
      <c r="F43" s="1325">
        <f>SUMIF('AJE 12 - INC'!B:B,'New TB INC'!C43,'AJE 12 - INC'!D:D)</f>
        <v>0</v>
      </c>
      <c r="G43" s="1326"/>
      <c r="H43" s="1326"/>
      <c r="I43" s="1326"/>
      <c r="J43" s="796">
        <f t="shared" si="5"/>
        <v>0</v>
      </c>
      <c r="K43" s="779"/>
      <c r="L43" s="434"/>
      <c r="M43" s="2679"/>
      <c r="N43" s="772"/>
      <c r="O43" s="772"/>
      <c r="P43" s="772"/>
      <c r="Q43" s="772"/>
      <c r="R43" s="772"/>
      <c r="S43" s="772"/>
      <c r="T43" s="773"/>
      <c r="AW43" s="2514"/>
      <c r="AX43" s="820"/>
      <c r="AY43" s="820"/>
      <c r="AZ43" s="820"/>
      <c r="BA43" s="30"/>
      <c r="BB43" s="30"/>
      <c r="BC43" s="2514"/>
      <c r="BD43" s="2514"/>
      <c r="BE43" s="2514"/>
      <c r="BF43" s="2514"/>
      <c r="BH43" s="2514"/>
      <c r="BI43" s="30"/>
      <c r="BJ43" s="30"/>
      <c r="BK43" s="30"/>
      <c r="BL43" s="30"/>
      <c r="BM43" s="30"/>
      <c r="BN43" s="30"/>
      <c r="BO43" s="209"/>
      <c r="BP43" s="209"/>
      <c r="BQ43" s="785"/>
      <c r="BR43" s="820"/>
      <c r="BS43" s="820"/>
      <c r="BT43" s="30"/>
      <c r="BU43" s="800"/>
      <c r="BV43" s="800"/>
      <c r="BW43" s="209"/>
      <c r="CA43" s="787"/>
      <c r="DB43" s="773"/>
      <c r="DC43" s="773"/>
      <c r="DD43" s="773"/>
      <c r="DE43" s="773"/>
      <c r="DF43" s="773"/>
      <c r="DG43" s="773"/>
      <c r="DH43" s="773"/>
      <c r="DI43" s="773"/>
      <c r="DJ43" s="773"/>
      <c r="DK43" s="773"/>
      <c r="DL43" s="773"/>
      <c r="DM43" s="773"/>
      <c r="DN43" s="773"/>
      <c r="DO43" s="773"/>
      <c r="DP43" s="773"/>
      <c r="DQ43" s="773"/>
      <c r="DR43" s="773"/>
      <c r="DS43" s="773"/>
      <c r="DT43" s="773"/>
      <c r="DU43" s="773"/>
      <c r="DV43" s="773"/>
      <c r="DW43" s="773"/>
      <c r="DX43" s="773"/>
      <c r="DY43" s="773"/>
      <c r="DZ43" s="773"/>
      <c r="EA43" s="773"/>
      <c r="EB43" s="773"/>
      <c r="EC43" s="773"/>
      <c r="ED43" s="773"/>
      <c r="EE43" s="773"/>
      <c r="EF43" s="773"/>
      <c r="EG43" s="773"/>
      <c r="EH43" s="773"/>
      <c r="EI43" s="773"/>
      <c r="EJ43" s="773"/>
      <c r="EK43" s="773"/>
      <c r="EL43" s="773"/>
      <c r="EM43" s="773"/>
      <c r="EN43" s="773"/>
      <c r="EO43" s="773"/>
      <c r="EP43" s="773"/>
      <c r="EQ43" s="773"/>
      <c r="ER43" s="773"/>
      <c r="ES43" s="773"/>
      <c r="ET43" s="773"/>
      <c r="EU43" s="773"/>
      <c r="EV43" s="773"/>
      <c r="EW43" s="773"/>
      <c r="EX43" s="773"/>
      <c r="EY43" s="773"/>
      <c r="EZ43" s="773"/>
      <c r="FA43" s="773"/>
      <c r="FB43" s="773"/>
      <c r="FC43" s="773"/>
      <c r="FD43" s="773"/>
      <c r="FE43" s="773"/>
      <c r="FF43" s="773"/>
      <c r="FG43" s="773"/>
      <c r="FH43" s="773"/>
      <c r="FI43" s="773"/>
      <c r="FJ43" s="773"/>
      <c r="FK43" s="773"/>
      <c r="FL43" s="773"/>
      <c r="FM43" s="773"/>
      <c r="FN43" s="773"/>
      <c r="FO43" s="773"/>
      <c r="FP43" s="773"/>
      <c r="FQ43" s="773"/>
      <c r="FR43" s="773"/>
      <c r="FS43" s="773"/>
      <c r="FT43" s="773"/>
      <c r="FU43" s="773"/>
      <c r="FV43" s="773"/>
      <c r="FW43" s="773"/>
      <c r="FX43" s="773"/>
      <c r="FY43" s="773"/>
      <c r="FZ43" s="773"/>
      <c r="GA43" s="773"/>
      <c r="GB43" s="773"/>
      <c r="GC43" s="773"/>
      <c r="GD43" s="773"/>
      <c r="GE43" s="773"/>
      <c r="GF43" s="773"/>
      <c r="GG43" s="773"/>
      <c r="GH43" s="773"/>
      <c r="GI43" s="773"/>
      <c r="GJ43" s="773"/>
      <c r="GK43" s="773"/>
      <c r="GL43" s="773"/>
      <c r="GM43" s="773"/>
      <c r="GN43" s="773"/>
      <c r="GO43" s="773"/>
      <c r="GP43" s="773"/>
      <c r="GQ43" s="773"/>
      <c r="GR43" s="773"/>
      <c r="GS43" s="773"/>
      <c r="GT43" s="773"/>
      <c r="GU43" s="773"/>
      <c r="GV43" s="773"/>
      <c r="GW43" s="773"/>
      <c r="GX43" s="773"/>
      <c r="GY43" s="773"/>
      <c r="GZ43" s="773"/>
    </row>
    <row r="44" spans="1:208" s="11" customFormat="1">
      <c r="A44" s="774"/>
      <c r="B44" s="3761" t="s">
        <v>1350</v>
      </c>
      <c r="C44" s="197">
        <v>220309</v>
      </c>
      <c r="D44" s="801" t="s">
        <v>3920</v>
      </c>
      <c r="E44" s="809">
        <f>IFERROR(VLOOKUP(C44,'AJE 12 - INC'!$D$168:$F$345,3,0),0)</f>
        <v>0</v>
      </c>
      <c r="F44" s="1325">
        <f>SUMIF('AJE 12 - INC'!B:B,'New TB INC'!C44,'AJE 12 - INC'!D:D)</f>
        <v>0</v>
      </c>
      <c r="G44" s="1326"/>
      <c r="H44" s="1326"/>
      <c r="I44" s="1326"/>
      <c r="J44" s="796">
        <f t="shared" si="5"/>
        <v>0</v>
      </c>
      <c r="K44" s="779"/>
      <c r="L44" s="434"/>
      <c r="M44" s="2679"/>
      <c r="N44" s="772"/>
      <c r="O44" s="772"/>
      <c r="P44" s="772"/>
      <c r="Q44" s="772"/>
      <c r="R44" s="772"/>
      <c r="S44" s="772"/>
      <c r="T44" s="773"/>
      <c r="AW44" s="2514"/>
      <c r="AX44" s="820"/>
      <c r="AY44" s="820"/>
      <c r="AZ44" s="820"/>
      <c r="BA44" s="30"/>
      <c r="BB44" s="30"/>
      <c r="BC44" s="2514"/>
      <c r="BD44" s="2514"/>
      <c r="BE44" s="2514"/>
      <c r="BF44" s="2514"/>
      <c r="BH44" s="2514"/>
      <c r="BI44" s="30"/>
      <c r="BJ44" s="30"/>
      <c r="BK44" s="30"/>
      <c r="BL44" s="30"/>
      <c r="BM44" s="30"/>
      <c r="BN44" s="30"/>
      <c r="BO44" s="209"/>
      <c r="BP44" s="209"/>
      <c r="BQ44" s="785"/>
      <c r="BR44" s="820"/>
      <c r="BS44" s="820"/>
      <c r="BT44" s="30"/>
      <c r="BU44" s="800"/>
      <c r="BV44" s="800"/>
      <c r="BW44" s="209"/>
      <c r="CA44" s="787"/>
      <c r="DB44" s="773"/>
      <c r="DC44" s="773"/>
      <c r="DD44" s="773"/>
      <c r="DE44" s="773"/>
      <c r="DF44" s="773"/>
      <c r="DG44" s="773"/>
      <c r="DH44" s="773"/>
      <c r="DI44" s="773"/>
      <c r="DJ44" s="773"/>
      <c r="DK44" s="773"/>
      <c r="DL44" s="773"/>
      <c r="DM44" s="773"/>
      <c r="DN44" s="773"/>
      <c r="DO44" s="773"/>
      <c r="DP44" s="773"/>
      <c r="DQ44" s="773"/>
      <c r="DR44" s="773"/>
      <c r="DS44" s="773"/>
      <c r="DT44" s="773"/>
      <c r="DU44" s="773"/>
      <c r="DV44" s="773"/>
      <c r="DW44" s="773"/>
      <c r="DX44" s="773"/>
      <c r="DY44" s="773"/>
      <c r="DZ44" s="773"/>
      <c r="EA44" s="773"/>
      <c r="EB44" s="773"/>
      <c r="EC44" s="773"/>
      <c r="ED44" s="773"/>
      <c r="EE44" s="773"/>
      <c r="EF44" s="773"/>
      <c r="EG44" s="773"/>
      <c r="EH44" s="773"/>
      <c r="EI44" s="773"/>
      <c r="EJ44" s="773"/>
      <c r="EK44" s="773"/>
      <c r="EL44" s="773"/>
      <c r="EM44" s="773"/>
      <c r="EN44" s="773"/>
      <c r="EO44" s="773"/>
      <c r="EP44" s="773"/>
      <c r="EQ44" s="773"/>
      <c r="ER44" s="773"/>
      <c r="ES44" s="773"/>
      <c r="ET44" s="773"/>
      <c r="EU44" s="773"/>
      <c r="EV44" s="773"/>
      <c r="EW44" s="773"/>
      <c r="EX44" s="773"/>
      <c r="EY44" s="773"/>
      <c r="EZ44" s="773"/>
      <c r="FA44" s="773"/>
      <c r="FB44" s="773"/>
      <c r="FC44" s="773"/>
      <c r="FD44" s="773"/>
      <c r="FE44" s="773"/>
      <c r="FF44" s="773"/>
      <c r="FG44" s="773"/>
      <c r="FH44" s="773"/>
      <c r="FI44" s="773"/>
      <c r="FJ44" s="773"/>
      <c r="FK44" s="773"/>
      <c r="FL44" s="773"/>
      <c r="FM44" s="773"/>
      <c r="FN44" s="773"/>
      <c r="FO44" s="773"/>
      <c r="FP44" s="773"/>
      <c r="FQ44" s="773"/>
      <c r="FR44" s="773"/>
      <c r="FS44" s="773"/>
      <c r="FT44" s="773"/>
      <c r="FU44" s="773"/>
      <c r="FV44" s="773"/>
      <c r="FW44" s="773"/>
      <c r="FX44" s="773"/>
      <c r="FY44" s="773"/>
      <c r="FZ44" s="773"/>
      <c r="GA44" s="773"/>
      <c r="GB44" s="773"/>
      <c r="GC44" s="773"/>
      <c r="GD44" s="773"/>
      <c r="GE44" s="773"/>
      <c r="GF44" s="773"/>
      <c r="GG44" s="773"/>
      <c r="GH44" s="773"/>
      <c r="GI44" s="773"/>
      <c r="GJ44" s="773"/>
      <c r="GK44" s="773"/>
      <c r="GL44" s="773"/>
      <c r="GM44" s="773"/>
      <c r="GN44" s="773"/>
      <c r="GO44" s="773"/>
      <c r="GP44" s="773"/>
      <c r="GQ44" s="773"/>
      <c r="GR44" s="773"/>
      <c r="GS44" s="773"/>
      <c r="GT44" s="773"/>
      <c r="GU44" s="773"/>
      <c r="GV44" s="773"/>
      <c r="GW44" s="773"/>
      <c r="GX44" s="773"/>
      <c r="GY44" s="773"/>
      <c r="GZ44" s="773"/>
    </row>
    <row r="45" spans="1:208" s="11" customFormat="1">
      <c r="A45" s="774"/>
      <c r="B45" s="3761" t="s">
        <v>1350</v>
      </c>
      <c r="C45" s="197">
        <v>223570</v>
      </c>
      <c r="D45" s="801" t="s">
        <v>3921</v>
      </c>
      <c r="E45" s="809">
        <f>IFERROR(VLOOKUP(C45,'AJE 12 - INC'!$D$168:$F$345,3,0),0)</f>
        <v>0</v>
      </c>
      <c r="F45" s="1325">
        <f>SUMIF('AJE 12 - INC'!B:B,'New TB INC'!C45,'AJE 12 - INC'!D:D)</f>
        <v>0</v>
      </c>
      <c r="G45" s="1326"/>
      <c r="H45" s="1326"/>
      <c r="I45" s="1326"/>
      <c r="J45" s="796">
        <f t="shared" si="5"/>
        <v>0</v>
      </c>
      <c r="K45" s="779"/>
      <c r="L45" s="434"/>
      <c r="M45" s="2679"/>
      <c r="N45" s="772"/>
      <c r="O45" s="772"/>
      <c r="P45" s="772"/>
      <c r="Q45" s="772"/>
      <c r="R45" s="772"/>
      <c r="S45" s="772"/>
      <c r="T45" s="773"/>
      <c r="AW45" s="2514"/>
      <c r="AX45" s="820"/>
      <c r="AY45" s="820"/>
      <c r="AZ45" s="820"/>
      <c r="BA45" s="30"/>
      <c r="BB45" s="30"/>
      <c r="BC45" s="2514"/>
      <c r="BD45" s="2514"/>
      <c r="BE45" s="2514"/>
      <c r="BF45" s="2514"/>
      <c r="BH45" s="2514"/>
      <c r="BI45" s="30"/>
      <c r="BJ45" s="30"/>
      <c r="BK45" s="30"/>
      <c r="BL45" s="30"/>
      <c r="BM45" s="30"/>
      <c r="BN45" s="30"/>
      <c r="BO45" s="209"/>
      <c r="BP45" s="209"/>
      <c r="BQ45" s="785"/>
      <c r="BR45" s="820"/>
      <c r="BS45" s="820"/>
      <c r="BT45" s="30"/>
      <c r="BU45" s="800"/>
      <c r="BV45" s="800"/>
      <c r="BW45" s="209"/>
      <c r="CA45" s="787"/>
      <c r="DB45" s="773"/>
      <c r="DC45" s="773"/>
      <c r="DD45" s="773"/>
      <c r="DE45" s="773"/>
      <c r="DF45" s="773"/>
      <c r="DG45" s="773"/>
      <c r="DH45" s="773"/>
      <c r="DI45" s="773"/>
      <c r="DJ45" s="773"/>
      <c r="DK45" s="773"/>
      <c r="DL45" s="773"/>
      <c r="DM45" s="773"/>
      <c r="DN45" s="773"/>
      <c r="DO45" s="773"/>
      <c r="DP45" s="773"/>
      <c r="DQ45" s="773"/>
      <c r="DR45" s="773"/>
      <c r="DS45" s="773"/>
      <c r="DT45" s="773"/>
      <c r="DU45" s="773"/>
      <c r="DV45" s="773"/>
      <c r="DW45" s="773"/>
      <c r="DX45" s="773"/>
      <c r="DY45" s="773"/>
      <c r="DZ45" s="773"/>
      <c r="EA45" s="773"/>
      <c r="EB45" s="773"/>
      <c r="EC45" s="773"/>
      <c r="ED45" s="773"/>
      <c r="EE45" s="773"/>
      <c r="EF45" s="773"/>
      <c r="EG45" s="773"/>
      <c r="EH45" s="773"/>
      <c r="EI45" s="773"/>
      <c r="EJ45" s="773"/>
      <c r="EK45" s="773"/>
      <c r="EL45" s="773"/>
      <c r="EM45" s="773"/>
      <c r="EN45" s="773"/>
      <c r="EO45" s="773"/>
      <c r="EP45" s="773"/>
      <c r="EQ45" s="773"/>
      <c r="ER45" s="773"/>
      <c r="ES45" s="773"/>
      <c r="ET45" s="773"/>
      <c r="EU45" s="773"/>
      <c r="EV45" s="773"/>
      <c r="EW45" s="773"/>
      <c r="EX45" s="773"/>
      <c r="EY45" s="773"/>
      <c r="EZ45" s="773"/>
      <c r="FA45" s="773"/>
      <c r="FB45" s="773"/>
      <c r="FC45" s="773"/>
      <c r="FD45" s="773"/>
      <c r="FE45" s="773"/>
      <c r="FF45" s="773"/>
      <c r="FG45" s="773"/>
      <c r="FH45" s="773"/>
      <c r="FI45" s="773"/>
      <c r="FJ45" s="773"/>
      <c r="FK45" s="773"/>
      <c r="FL45" s="773"/>
      <c r="FM45" s="773"/>
      <c r="FN45" s="773"/>
      <c r="FO45" s="773"/>
      <c r="FP45" s="773"/>
      <c r="FQ45" s="773"/>
      <c r="FR45" s="773"/>
      <c r="FS45" s="773"/>
      <c r="FT45" s="773"/>
      <c r="FU45" s="773"/>
      <c r="FV45" s="773"/>
      <c r="FW45" s="773"/>
      <c r="FX45" s="773"/>
      <c r="FY45" s="773"/>
      <c r="FZ45" s="773"/>
      <c r="GA45" s="773"/>
      <c r="GB45" s="773"/>
      <c r="GC45" s="773"/>
      <c r="GD45" s="773"/>
      <c r="GE45" s="773"/>
      <c r="GF45" s="773"/>
      <c r="GG45" s="773"/>
      <c r="GH45" s="773"/>
      <c r="GI45" s="773"/>
      <c r="GJ45" s="773"/>
      <c r="GK45" s="773"/>
      <c r="GL45" s="773"/>
      <c r="GM45" s="773"/>
      <c r="GN45" s="773"/>
      <c r="GO45" s="773"/>
      <c r="GP45" s="773"/>
      <c r="GQ45" s="773"/>
      <c r="GR45" s="773"/>
      <c r="GS45" s="773"/>
      <c r="GT45" s="773"/>
      <c r="GU45" s="773"/>
      <c r="GV45" s="773"/>
      <c r="GW45" s="773"/>
      <c r="GX45" s="773"/>
      <c r="GY45" s="773"/>
      <c r="GZ45" s="773"/>
    </row>
    <row r="46" spans="1:208" s="11" customFormat="1" ht="16.5">
      <c r="A46" s="774"/>
      <c r="B46" s="3761" t="s">
        <v>1350</v>
      </c>
      <c r="C46" s="197">
        <v>226927</v>
      </c>
      <c r="D46" s="801" t="s">
        <v>3922</v>
      </c>
      <c r="E46" s="809">
        <f>IFERROR(VLOOKUP(C46,'AJE 12 - INC'!$D$168:$F$345,3,0),0)</f>
        <v>0</v>
      </c>
      <c r="F46" s="1325">
        <f>SUMIF('AJE 12 - INC'!B:B,'New TB INC'!C46,'AJE 12 - INC'!D:D)</f>
        <v>0</v>
      </c>
      <c r="G46" s="1326"/>
      <c r="H46" s="1326"/>
      <c r="I46" s="1326"/>
      <c r="J46" s="796">
        <f t="shared" si="5"/>
        <v>0</v>
      </c>
      <c r="K46" s="779"/>
      <c r="L46" s="434"/>
      <c r="M46" s="3473"/>
      <c r="N46" s="772"/>
      <c r="O46" s="772"/>
      <c r="P46" s="772"/>
      <c r="Q46" s="772"/>
      <c r="R46" s="772"/>
      <c r="S46" s="772"/>
      <c r="T46" s="773"/>
      <c r="AW46" s="2514"/>
      <c r="AX46" s="820"/>
      <c r="AY46" s="820"/>
      <c r="AZ46" s="820"/>
      <c r="BA46" s="30"/>
      <c r="BB46" s="30"/>
      <c r="BC46" s="2514"/>
      <c r="BD46" s="2514"/>
      <c r="BE46" s="2514"/>
      <c r="BF46" s="2514"/>
      <c r="BH46" s="2514"/>
      <c r="BI46" s="30"/>
      <c r="BJ46" s="30"/>
      <c r="BK46" s="30"/>
      <c r="BL46" s="30"/>
      <c r="BM46" s="30"/>
      <c r="BN46" s="30"/>
      <c r="BO46" s="209"/>
      <c r="BP46" s="209"/>
      <c r="BQ46" s="785"/>
      <c r="BR46" s="820"/>
      <c r="BS46" s="820"/>
      <c r="BT46" s="30"/>
      <c r="BU46" s="800"/>
      <c r="BV46" s="800"/>
      <c r="BW46" s="209"/>
      <c r="CA46" s="787"/>
      <c r="DB46" s="773"/>
      <c r="DC46" s="773"/>
      <c r="DD46" s="773"/>
      <c r="DE46" s="773"/>
      <c r="DF46" s="773"/>
      <c r="DG46" s="773"/>
      <c r="DH46" s="773"/>
      <c r="DI46" s="773"/>
      <c r="DJ46" s="773"/>
      <c r="DK46" s="773"/>
      <c r="DL46" s="773"/>
      <c r="DM46" s="773"/>
      <c r="DN46" s="773"/>
      <c r="DO46" s="773"/>
      <c r="DP46" s="773"/>
      <c r="DQ46" s="773"/>
      <c r="DR46" s="773"/>
      <c r="DS46" s="773"/>
      <c r="DT46" s="773"/>
      <c r="DU46" s="773"/>
      <c r="DV46" s="773"/>
      <c r="DW46" s="773"/>
      <c r="DX46" s="773"/>
      <c r="DY46" s="773"/>
      <c r="DZ46" s="773"/>
      <c r="EA46" s="773"/>
      <c r="EB46" s="773"/>
      <c r="EC46" s="773"/>
      <c r="ED46" s="773"/>
      <c r="EE46" s="773"/>
      <c r="EF46" s="773"/>
      <c r="EG46" s="773"/>
      <c r="EH46" s="773"/>
      <c r="EI46" s="773"/>
      <c r="EJ46" s="773"/>
      <c r="EK46" s="773"/>
      <c r="EL46" s="773"/>
      <c r="EM46" s="773"/>
      <c r="EN46" s="773"/>
      <c r="EO46" s="773"/>
      <c r="EP46" s="773"/>
      <c r="EQ46" s="773"/>
      <c r="ER46" s="773"/>
      <c r="ES46" s="773"/>
      <c r="ET46" s="773"/>
      <c r="EU46" s="773"/>
      <c r="EV46" s="773"/>
      <c r="EW46" s="773"/>
      <c r="EX46" s="773"/>
      <c r="EY46" s="773"/>
      <c r="EZ46" s="773"/>
      <c r="FA46" s="773"/>
      <c r="FB46" s="773"/>
      <c r="FC46" s="773"/>
      <c r="FD46" s="773"/>
      <c r="FE46" s="773"/>
      <c r="FF46" s="773"/>
      <c r="FG46" s="773"/>
      <c r="FH46" s="773"/>
      <c r="FI46" s="773"/>
      <c r="FJ46" s="773"/>
      <c r="FK46" s="773"/>
      <c r="FL46" s="773"/>
      <c r="FM46" s="773"/>
      <c r="FN46" s="773"/>
      <c r="FO46" s="773"/>
      <c r="FP46" s="773"/>
      <c r="FQ46" s="773"/>
      <c r="FR46" s="773"/>
      <c r="FS46" s="773"/>
      <c r="FT46" s="773"/>
      <c r="FU46" s="773"/>
      <c r="FV46" s="773"/>
      <c r="FW46" s="773"/>
      <c r="FX46" s="773"/>
      <c r="FY46" s="773"/>
      <c r="FZ46" s="773"/>
      <c r="GA46" s="773"/>
      <c r="GB46" s="773"/>
      <c r="GC46" s="773"/>
      <c r="GD46" s="773"/>
      <c r="GE46" s="773"/>
      <c r="GF46" s="773"/>
      <c r="GG46" s="773"/>
      <c r="GH46" s="773"/>
      <c r="GI46" s="773"/>
      <c r="GJ46" s="773"/>
      <c r="GK46" s="773"/>
      <c r="GL46" s="773"/>
      <c r="GM46" s="773"/>
      <c r="GN46" s="773"/>
      <c r="GO46" s="773"/>
      <c r="GP46" s="773"/>
      <c r="GQ46" s="773"/>
      <c r="GR46" s="773"/>
      <c r="GS46" s="773"/>
      <c r="GT46" s="773"/>
      <c r="GU46" s="773"/>
      <c r="GV46" s="773"/>
      <c r="GW46" s="773"/>
      <c r="GX46" s="773"/>
      <c r="GY46" s="773"/>
      <c r="GZ46" s="773"/>
    </row>
    <row r="47" spans="1:208" s="11" customFormat="1">
      <c r="A47" s="774"/>
      <c r="B47" s="3761" t="s">
        <v>1350</v>
      </c>
      <c r="C47" s="197">
        <v>230244</v>
      </c>
      <c r="D47" s="801" t="s">
        <v>2200</v>
      </c>
      <c r="E47" s="809">
        <f>IFERROR(VLOOKUP(C47,'AJE 12 - INC'!$D$168:$F$345,3,0),0)</f>
        <v>0</v>
      </c>
      <c r="F47" s="1325">
        <f>SUMIF('AJE 12 - INC'!B:B,'New TB INC'!C47,'AJE 12 - INC'!D:D)</f>
        <v>0</v>
      </c>
      <c r="G47" s="1326"/>
      <c r="H47" s="1326"/>
      <c r="I47" s="1326"/>
      <c r="J47" s="796">
        <f t="shared" si="5"/>
        <v>0</v>
      </c>
      <c r="K47" s="779"/>
      <c r="L47" s="434"/>
      <c r="M47" s="2679"/>
      <c r="N47" s="772"/>
      <c r="O47" s="772"/>
      <c r="P47" s="772"/>
      <c r="Q47" s="772"/>
      <c r="R47" s="772"/>
      <c r="S47" s="772"/>
      <c r="T47" s="773"/>
      <c r="AW47" s="2514"/>
      <c r="AX47" s="820"/>
      <c r="AY47" s="820"/>
      <c r="AZ47" s="820"/>
      <c r="BA47" s="30"/>
      <c r="BB47" s="30"/>
      <c r="BC47" s="2514"/>
      <c r="BD47" s="2514"/>
      <c r="BE47" s="2514"/>
      <c r="BF47" s="2514"/>
      <c r="BH47" s="2514"/>
      <c r="BI47" s="30"/>
      <c r="BJ47" s="30"/>
      <c r="BK47" s="30"/>
      <c r="BL47" s="30"/>
      <c r="BM47" s="30"/>
      <c r="BN47" s="30"/>
      <c r="BO47" s="209"/>
      <c r="BP47" s="209"/>
      <c r="BQ47" s="785"/>
      <c r="BR47" s="820"/>
      <c r="BS47" s="820"/>
      <c r="BT47" s="30"/>
      <c r="BU47" s="800"/>
      <c r="BV47" s="800"/>
      <c r="BW47" s="209"/>
      <c r="CA47" s="787"/>
      <c r="DB47" s="773"/>
      <c r="DC47" s="773"/>
      <c r="DD47" s="773"/>
      <c r="DE47" s="773"/>
      <c r="DF47" s="773"/>
      <c r="DG47" s="773"/>
      <c r="DH47" s="773"/>
      <c r="DI47" s="773"/>
      <c r="DJ47" s="773"/>
      <c r="DK47" s="773"/>
      <c r="DL47" s="773"/>
      <c r="DM47" s="773"/>
      <c r="DN47" s="773"/>
      <c r="DO47" s="773"/>
      <c r="DP47" s="773"/>
      <c r="DQ47" s="773"/>
      <c r="DR47" s="773"/>
      <c r="DS47" s="773"/>
      <c r="DT47" s="773"/>
      <c r="DU47" s="773"/>
      <c r="DV47" s="773"/>
      <c r="DW47" s="773"/>
      <c r="DX47" s="773"/>
      <c r="DY47" s="773"/>
      <c r="DZ47" s="773"/>
      <c r="EA47" s="773"/>
      <c r="EB47" s="773"/>
      <c r="EC47" s="773"/>
      <c r="ED47" s="773"/>
      <c r="EE47" s="773"/>
      <c r="EF47" s="773"/>
      <c r="EG47" s="773"/>
      <c r="EH47" s="773"/>
      <c r="EI47" s="773"/>
      <c r="EJ47" s="773"/>
      <c r="EK47" s="773"/>
      <c r="EL47" s="773"/>
      <c r="EM47" s="773"/>
      <c r="EN47" s="773"/>
      <c r="EO47" s="773"/>
      <c r="EP47" s="773"/>
      <c r="EQ47" s="773"/>
      <c r="ER47" s="773"/>
      <c r="ES47" s="773"/>
      <c r="ET47" s="773"/>
      <c r="EU47" s="773"/>
      <c r="EV47" s="773"/>
      <c r="EW47" s="773"/>
      <c r="EX47" s="773"/>
      <c r="EY47" s="773"/>
      <c r="EZ47" s="773"/>
      <c r="FA47" s="773"/>
      <c r="FB47" s="773"/>
      <c r="FC47" s="773"/>
      <c r="FD47" s="773"/>
      <c r="FE47" s="773"/>
      <c r="FF47" s="773"/>
      <c r="FG47" s="773"/>
      <c r="FH47" s="773"/>
      <c r="FI47" s="773"/>
      <c r="FJ47" s="773"/>
      <c r="FK47" s="773"/>
      <c r="FL47" s="773"/>
      <c r="FM47" s="773"/>
      <c r="FN47" s="773"/>
      <c r="FO47" s="773"/>
      <c r="FP47" s="773"/>
      <c r="FQ47" s="773"/>
      <c r="FR47" s="773"/>
      <c r="FS47" s="773"/>
      <c r="FT47" s="773"/>
      <c r="FU47" s="773"/>
      <c r="FV47" s="773"/>
      <c r="FW47" s="773"/>
      <c r="FX47" s="773"/>
      <c r="FY47" s="773"/>
      <c r="FZ47" s="773"/>
      <c r="GA47" s="773"/>
      <c r="GB47" s="773"/>
      <c r="GC47" s="773"/>
      <c r="GD47" s="773"/>
      <c r="GE47" s="773"/>
      <c r="GF47" s="773"/>
      <c r="GG47" s="773"/>
      <c r="GH47" s="773"/>
      <c r="GI47" s="773"/>
      <c r="GJ47" s="773"/>
      <c r="GK47" s="773"/>
      <c r="GL47" s="773"/>
      <c r="GM47" s="773"/>
      <c r="GN47" s="773"/>
      <c r="GO47" s="773"/>
      <c r="GP47" s="773"/>
      <c r="GQ47" s="773"/>
      <c r="GR47" s="773"/>
      <c r="GS47" s="773"/>
      <c r="GT47" s="773"/>
      <c r="GU47" s="773"/>
      <c r="GV47" s="773"/>
      <c r="GW47" s="773"/>
      <c r="GX47" s="773"/>
      <c r="GY47" s="773"/>
      <c r="GZ47" s="773"/>
    </row>
    <row r="48" spans="1:208" s="11" customFormat="1">
      <c r="A48" s="774"/>
      <c r="B48" s="3761" t="s">
        <v>1350</v>
      </c>
      <c r="C48" s="197">
        <v>231309</v>
      </c>
      <c r="D48" s="801" t="s">
        <v>3923</v>
      </c>
      <c r="E48" s="809">
        <f>IFERROR(VLOOKUP(C48,'AJE 12 - INC'!$D$168:$F$345,3,0),0)</f>
        <v>0</v>
      </c>
      <c r="F48" s="1325">
        <f>SUMIF('AJE 12 - INC'!B:B,'New TB INC'!C48,'AJE 12 - INC'!D:D)</f>
        <v>0</v>
      </c>
      <c r="G48" s="1326"/>
      <c r="H48" s="1326"/>
      <c r="I48" s="1326"/>
      <c r="J48" s="796">
        <f t="shared" si="5"/>
        <v>0</v>
      </c>
      <c r="K48" s="779"/>
      <c r="L48" s="434"/>
      <c r="M48" s="2679"/>
      <c r="N48" s="772"/>
      <c r="O48" s="772"/>
      <c r="P48" s="772"/>
      <c r="Q48" s="772"/>
      <c r="R48" s="772"/>
      <c r="S48" s="772"/>
      <c r="T48" s="773"/>
      <c r="AW48" s="2514"/>
      <c r="AX48" s="820"/>
      <c r="AY48" s="820"/>
      <c r="AZ48" s="820"/>
      <c r="BA48" s="30"/>
      <c r="BB48" s="30"/>
      <c r="BC48" s="2514"/>
      <c r="BD48" s="2514"/>
      <c r="BE48" s="2514"/>
      <c r="BF48" s="2514"/>
      <c r="BH48" s="2514"/>
      <c r="BI48" s="30"/>
      <c r="BJ48" s="30"/>
      <c r="BK48" s="30"/>
      <c r="BL48" s="30"/>
      <c r="BM48" s="30"/>
      <c r="BN48" s="30"/>
      <c r="BO48" s="209"/>
      <c r="BP48" s="209"/>
      <c r="BQ48" s="785"/>
      <c r="BR48" s="820"/>
      <c r="BS48" s="820"/>
      <c r="BT48" s="30"/>
      <c r="BU48" s="800"/>
      <c r="BV48" s="800"/>
      <c r="BW48" s="209"/>
      <c r="CA48" s="787"/>
      <c r="DB48" s="773"/>
      <c r="DC48" s="773"/>
      <c r="DD48" s="773"/>
      <c r="DE48" s="773"/>
      <c r="DF48" s="773"/>
      <c r="DG48" s="773"/>
      <c r="DH48" s="773"/>
      <c r="DI48" s="773"/>
      <c r="DJ48" s="773"/>
      <c r="DK48" s="773"/>
      <c r="DL48" s="773"/>
      <c r="DM48" s="773"/>
      <c r="DN48" s="773"/>
      <c r="DO48" s="773"/>
      <c r="DP48" s="773"/>
      <c r="DQ48" s="773"/>
      <c r="DR48" s="773"/>
      <c r="DS48" s="773"/>
      <c r="DT48" s="773"/>
      <c r="DU48" s="773"/>
      <c r="DV48" s="773"/>
      <c r="DW48" s="773"/>
      <c r="DX48" s="773"/>
      <c r="DY48" s="773"/>
      <c r="DZ48" s="773"/>
      <c r="EA48" s="773"/>
      <c r="EB48" s="773"/>
      <c r="EC48" s="773"/>
      <c r="ED48" s="773"/>
      <c r="EE48" s="773"/>
      <c r="EF48" s="773"/>
      <c r="EG48" s="773"/>
      <c r="EH48" s="773"/>
      <c r="EI48" s="773"/>
      <c r="EJ48" s="773"/>
      <c r="EK48" s="773"/>
      <c r="EL48" s="773"/>
      <c r="EM48" s="773"/>
      <c r="EN48" s="773"/>
      <c r="EO48" s="773"/>
      <c r="EP48" s="773"/>
      <c r="EQ48" s="773"/>
      <c r="ER48" s="773"/>
      <c r="ES48" s="773"/>
      <c r="ET48" s="773"/>
      <c r="EU48" s="773"/>
      <c r="EV48" s="773"/>
      <c r="EW48" s="773"/>
      <c r="EX48" s="773"/>
      <c r="EY48" s="773"/>
      <c r="EZ48" s="773"/>
      <c r="FA48" s="773"/>
      <c r="FB48" s="773"/>
      <c r="FC48" s="773"/>
      <c r="FD48" s="773"/>
      <c r="FE48" s="773"/>
      <c r="FF48" s="773"/>
      <c r="FG48" s="773"/>
      <c r="FH48" s="773"/>
      <c r="FI48" s="773"/>
      <c r="FJ48" s="773"/>
      <c r="FK48" s="773"/>
      <c r="FL48" s="773"/>
      <c r="FM48" s="773"/>
      <c r="FN48" s="773"/>
      <c r="FO48" s="773"/>
      <c r="FP48" s="773"/>
      <c r="FQ48" s="773"/>
      <c r="FR48" s="773"/>
      <c r="FS48" s="773"/>
      <c r="FT48" s="773"/>
      <c r="FU48" s="773"/>
      <c r="FV48" s="773"/>
      <c r="FW48" s="773"/>
      <c r="FX48" s="773"/>
      <c r="FY48" s="773"/>
      <c r="FZ48" s="773"/>
      <c r="GA48" s="773"/>
      <c r="GB48" s="773"/>
      <c r="GC48" s="773"/>
      <c r="GD48" s="773"/>
      <c r="GE48" s="773"/>
      <c r="GF48" s="773"/>
      <c r="GG48" s="773"/>
      <c r="GH48" s="773"/>
      <c r="GI48" s="773"/>
      <c r="GJ48" s="773"/>
      <c r="GK48" s="773"/>
      <c r="GL48" s="773"/>
      <c r="GM48" s="773"/>
      <c r="GN48" s="773"/>
      <c r="GO48" s="773"/>
      <c r="GP48" s="773"/>
      <c r="GQ48" s="773"/>
      <c r="GR48" s="773"/>
      <c r="GS48" s="773"/>
      <c r="GT48" s="773"/>
      <c r="GU48" s="773"/>
      <c r="GV48" s="773"/>
      <c r="GW48" s="773"/>
      <c r="GX48" s="773"/>
      <c r="GY48" s="773"/>
      <c r="GZ48" s="773"/>
    </row>
    <row r="49" spans="1:208" s="11" customFormat="1">
      <c r="A49" s="774"/>
      <c r="B49" s="3761" t="s">
        <v>1350</v>
      </c>
      <c r="C49" s="197">
        <v>200159</v>
      </c>
      <c r="D49" s="801" t="s">
        <v>3741</v>
      </c>
      <c r="E49" s="809">
        <f>IFERROR(VLOOKUP(C49,'AJE 12 - INC'!$D$168:$F$345,3,0),0)</f>
        <v>0</v>
      </c>
      <c r="F49" s="1325">
        <f>SUMIF('AJE 12 - INC'!B:B,'New TB INC'!C49,'AJE 12 - INC'!D:D)</f>
        <v>0</v>
      </c>
      <c r="G49" s="1326"/>
      <c r="H49" s="1326"/>
      <c r="I49" s="1326"/>
      <c r="J49" s="796">
        <f t="shared" ref="J49:J61" si="6">SUM(E49:I49)</f>
        <v>0</v>
      </c>
      <c r="K49" s="779"/>
      <c r="L49" s="434"/>
      <c r="M49" s="2679"/>
      <c r="N49" s="772"/>
      <c r="O49" s="772"/>
      <c r="P49" s="772"/>
      <c r="Q49" s="772"/>
      <c r="R49" s="772"/>
      <c r="S49" s="772"/>
      <c r="T49" s="773"/>
      <c r="AW49" s="2514"/>
      <c r="AX49" s="820"/>
      <c r="AY49" s="820"/>
      <c r="AZ49" s="820"/>
      <c r="BA49" s="30"/>
      <c r="BB49" s="30"/>
      <c r="BC49" s="2514"/>
      <c r="BD49" s="2514"/>
      <c r="BE49" s="2514"/>
      <c r="BF49" s="2514"/>
      <c r="BH49" s="2514"/>
      <c r="BI49" s="30"/>
      <c r="BJ49" s="30"/>
      <c r="BK49" s="30"/>
      <c r="BL49" s="30"/>
      <c r="BM49" s="30"/>
      <c r="BN49" s="30"/>
      <c r="BO49" s="209"/>
      <c r="BP49" s="209"/>
      <c r="BQ49" s="785"/>
      <c r="BR49" s="820"/>
      <c r="BS49" s="820"/>
      <c r="BT49" s="30"/>
      <c r="BU49" s="800"/>
      <c r="BV49" s="800"/>
      <c r="BW49" s="209"/>
      <c r="CA49" s="787"/>
      <c r="DB49" s="773"/>
      <c r="DC49" s="773"/>
      <c r="DD49" s="773"/>
      <c r="DE49" s="773"/>
      <c r="DF49" s="773"/>
      <c r="DG49" s="773"/>
      <c r="DH49" s="773"/>
      <c r="DI49" s="773"/>
      <c r="DJ49" s="773"/>
      <c r="DK49" s="773"/>
      <c r="DL49" s="773"/>
      <c r="DM49" s="773"/>
      <c r="DN49" s="773"/>
      <c r="DO49" s="773"/>
      <c r="DP49" s="773"/>
      <c r="DQ49" s="773"/>
      <c r="DR49" s="773"/>
      <c r="DS49" s="773"/>
      <c r="DT49" s="773"/>
      <c r="DU49" s="773"/>
      <c r="DV49" s="773"/>
      <c r="DW49" s="773"/>
      <c r="DX49" s="773"/>
      <c r="DY49" s="773"/>
      <c r="DZ49" s="773"/>
      <c r="EA49" s="773"/>
      <c r="EB49" s="773"/>
      <c r="EC49" s="773"/>
      <c r="ED49" s="773"/>
      <c r="EE49" s="773"/>
      <c r="EF49" s="773"/>
      <c r="EG49" s="773"/>
      <c r="EH49" s="773"/>
      <c r="EI49" s="773"/>
      <c r="EJ49" s="773"/>
      <c r="EK49" s="773"/>
      <c r="EL49" s="773"/>
      <c r="EM49" s="773"/>
      <c r="EN49" s="773"/>
      <c r="EO49" s="773"/>
      <c r="EP49" s="773"/>
      <c r="EQ49" s="773"/>
      <c r="ER49" s="773"/>
      <c r="ES49" s="773"/>
      <c r="ET49" s="773"/>
      <c r="EU49" s="773"/>
      <c r="EV49" s="773"/>
      <c r="EW49" s="773"/>
      <c r="EX49" s="773"/>
      <c r="EY49" s="773"/>
      <c r="EZ49" s="773"/>
      <c r="FA49" s="773"/>
      <c r="FB49" s="773"/>
      <c r="FC49" s="773"/>
      <c r="FD49" s="773"/>
      <c r="FE49" s="773"/>
      <c r="FF49" s="773"/>
      <c r="FG49" s="773"/>
      <c r="FH49" s="773"/>
      <c r="FI49" s="773"/>
      <c r="FJ49" s="773"/>
      <c r="FK49" s="773"/>
      <c r="FL49" s="773"/>
      <c r="FM49" s="773"/>
      <c r="FN49" s="773"/>
      <c r="FO49" s="773"/>
      <c r="FP49" s="773"/>
      <c r="FQ49" s="773"/>
      <c r="FR49" s="773"/>
      <c r="FS49" s="773"/>
      <c r="FT49" s="773"/>
      <c r="FU49" s="773"/>
      <c r="FV49" s="773"/>
      <c r="FW49" s="773"/>
      <c r="FX49" s="773"/>
      <c r="FY49" s="773"/>
      <c r="FZ49" s="773"/>
      <c r="GA49" s="773"/>
      <c r="GB49" s="773"/>
      <c r="GC49" s="773"/>
      <c r="GD49" s="773"/>
      <c r="GE49" s="773"/>
      <c r="GF49" s="773"/>
      <c r="GG49" s="773"/>
      <c r="GH49" s="773"/>
      <c r="GI49" s="773"/>
      <c r="GJ49" s="773"/>
      <c r="GK49" s="773"/>
      <c r="GL49" s="773"/>
      <c r="GM49" s="773"/>
      <c r="GN49" s="773"/>
      <c r="GO49" s="773"/>
      <c r="GP49" s="773"/>
      <c r="GQ49" s="773"/>
      <c r="GR49" s="773"/>
      <c r="GS49" s="773"/>
      <c r="GT49" s="773"/>
      <c r="GU49" s="773"/>
      <c r="GV49" s="773"/>
      <c r="GW49" s="773"/>
      <c r="GX49" s="773"/>
      <c r="GY49" s="773"/>
      <c r="GZ49" s="773"/>
    </row>
    <row r="50" spans="1:208" s="11" customFormat="1">
      <c r="A50" s="774"/>
      <c r="B50" s="3761" t="s">
        <v>1350</v>
      </c>
      <c r="C50" s="197">
        <v>205861</v>
      </c>
      <c r="D50" s="801" t="s">
        <v>3742</v>
      </c>
      <c r="E50" s="809">
        <f>IFERROR(VLOOKUP(C50,'AJE 12 - INC'!$D$168:$F$345,3,0),0)</f>
        <v>0</v>
      </c>
      <c r="F50" s="1325">
        <f>SUMIF('AJE 12 - INC'!B:B,'New TB INC'!C50,'AJE 12 - INC'!D:D)</f>
        <v>0</v>
      </c>
      <c r="G50" s="1326"/>
      <c r="H50" s="1326"/>
      <c r="I50" s="1326"/>
      <c r="J50" s="796">
        <f t="shared" si="6"/>
        <v>0</v>
      </c>
      <c r="K50" s="779"/>
      <c r="L50" s="434"/>
      <c r="M50" s="2679"/>
      <c r="N50" s="772"/>
      <c r="O50" s="772"/>
      <c r="P50" s="772"/>
      <c r="Q50" s="772"/>
      <c r="R50" s="772"/>
      <c r="S50" s="772"/>
      <c r="T50" s="773"/>
      <c r="AW50" s="2514"/>
      <c r="AX50" s="820"/>
      <c r="AY50" s="820"/>
      <c r="AZ50" s="820"/>
      <c r="BA50" s="30"/>
      <c r="BB50" s="30"/>
      <c r="BC50" s="2514"/>
      <c r="BD50" s="2514"/>
      <c r="BE50" s="2514"/>
      <c r="BF50" s="2514"/>
      <c r="BH50" s="2514"/>
      <c r="BI50" s="30"/>
      <c r="BJ50" s="30"/>
      <c r="BK50" s="30"/>
      <c r="BL50" s="30"/>
      <c r="BM50" s="30"/>
      <c r="BN50" s="30"/>
      <c r="BO50" s="209"/>
      <c r="BP50" s="209"/>
      <c r="BQ50" s="785"/>
      <c r="BR50" s="820"/>
      <c r="BS50" s="820"/>
      <c r="BT50" s="30"/>
      <c r="BU50" s="800"/>
      <c r="BV50" s="800"/>
      <c r="BW50" s="209"/>
      <c r="CA50" s="787"/>
      <c r="DB50" s="773"/>
      <c r="DC50" s="773"/>
      <c r="DD50" s="773"/>
      <c r="DE50" s="773"/>
      <c r="DF50" s="773"/>
      <c r="DG50" s="773"/>
      <c r="DH50" s="773"/>
      <c r="DI50" s="773"/>
      <c r="DJ50" s="773"/>
      <c r="DK50" s="773"/>
      <c r="DL50" s="773"/>
      <c r="DM50" s="773"/>
      <c r="DN50" s="773"/>
      <c r="DO50" s="773"/>
      <c r="DP50" s="773"/>
      <c r="DQ50" s="773"/>
      <c r="DR50" s="773"/>
      <c r="DS50" s="773"/>
      <c r="DT50" s="773"/>
      <c r="DU50" s="773"/>
      <c r="DV50" s="773"/>
      <c r="DW50" s="773"/>
      <c r="DX50" s="773"/>
      <c r="DY50" s="773"/>
      <c r="DZ50" s="773"/>
      <c r="EA50" s="773"/>
      <c r="EB50" s="773"/>
      <c r="EC50" s="773"/>
      <c r="ED50" s="773"/>
      <c r="EE50" s="773"/>
      <c r="EF50" s="773"/>
      <c r="EG50" s="773"/>
      <c r="EH50" s="773"/>
      <c r="EI50" s="773"/>
      <c r="EJ50" s="773"/>
      <c r="EK50" s="773"/>
      <c r="EL50" s="773"/>
      <c r="EM50" s="773"/>
      <c r="EN50" s="773"/>
      <c r="EO50" s="773"/>
      <c r="EP50" s="773"/>
      <c r="EQ50" s="773"/>
      <c r="ER50" s="773"/>
      <c r="ES50" s="773"/>
      <c r="ET50" s="773"/>
      <c r="EU50" s="773"/>
      <c r="EV50" s="773"/>
      <c r="EW50" s="773"/>
      <c r="EX50" s="773"/>
      <c r="EY50" s="773"/>
      <c r="EZ50" s="773"/>
      <c r="FA50" s="773"/>
      <c r="FB50" s="773"/>
      <c r="FC50" s="773"/>
      <c r="FD50" s="773"/>
      <c r="FE50" s="773"/>
      <c r="FF50" s="773"/>
      <c r="FG50" s="773"/>
      <c r="FH50" s="773"/>
      <c r="FI50" s="773"/>
      <c r="FJ50" s="773"/>
      <c r="FK50" s="773"/>
      <c r="FL50" s="773"/>
      <c r="FM50" s="773"/>
      <c r="FN50" s="773"/>
      <c r="FO50" s="773"/>
      <c r="FP50" s="773"/>
      <c r="FQ50" s="773"/>
      <c r="FR50" s="773"/>
      <c r="FS50" s="773"/>
      <c r="FT50" s="773"/>
      <c r="FU50" s="773"/>
      <c r="FV50" s="773"/>
      <c r="FW50" s="773"/>
      <c r="FX50" s="773"/>
      <c r="FY50" s="773"/>
      <c r="FZ50" s="773"/>
      <c r="GA50" s="773"/>
      <c r="GB50" s="773"/>
      <c r="GC50" s="773"/>
      <c r="GD50" s="773"/>
      <c r="GE50" s="773"/>
      <c r="GF50" s="773"/>
      <c r="GG50" s="773"/>
      <c r="GH50" s="773"/>
      <c r="GI50" s="773"/>
      <c r="GJ50" s="773"/>
      <c r="GK50" s="773"/>
      <c r="GL50" s="773"/>
      <c r="GM50" s="773"/>
      <c r="GN50" s="773"/>
      <c r="GO50" s="773"/>
      <c r="GP50" s="773"/>
      <c r="GQ50" s="773"/>
      <c r="GR50" s="773"/>
      <c r="GS50" s="773"/>
      <c r="GT50" s="773"/>
      <c r="GU50" s="773"/>
      <c r="GV50" s="773"/>
      <c r="GW50" s="773"/>
      <c r="GX50" s="773"/>
      <c r="GY50" s="773"/>
      <c r="GZ50" s="773"/>
    </row>
    <row r="51" spans="1:208" s="11" customFormat="1">
      <c r="A51" s="774"/>
      <c r="B51" s="3761" t="s">
        <v>1350</v>
      </c>
      <c r="C51" s="197">
        <v>209595</v>
      </c>
      <c r="D51" s="801" t="s">
        <v>3743</v>
      </c>
      <c r="E51" s="809">
        <f>IFERROR(VLOOKUP(C51,'AJE 12 - INC'!$D$168:$F$345,3,0),0)</f>
        <v>0</v>
      </c>
      <c r="F51" s="1325">
        <f>SUMIF('AJE 12 - INC'!B:B,'New TB INC'!C51,'AJE 12 - INC'!D:D)</f>
        <v>0</v>
      </c>
      <c r="G51" s="1326"/>
      <c r="H51" s="1326"/>
      <c r="I51" s="1326"/>
      <c r="J51" s="796">
        <f t="shared" si="6"/>
        <v>0</v>
      </c>
      <c r="K51" s="779"/>
      <c r="L51" s="434"/>
      <c r="M51" s="2679"/>
      <c r="N51" s="772"/>
      <c r="O51" s="772"/>
      <c r="P51" s="772"/>
      <c r="Q51" s="772"/>
      <c r="R51" s="772"/>
      <c r="S51" s="772"/>
      <c r="T51" s="773"/>
      <c r="AW51" s="2514"/>
      <c r="AX51" s="820"/>
      <c r="AY51" s="820"/>
      <c r="AZ51" s="820"/>
      <c r="BA51" s="30"/>
      <c r="BB51" s="30"/>
      <c r="BC51" s="2514"/>
      <c r="BD51" s="2514"/>
      <c r="BE51" s="2514"/>
      <c r="BF51" s="2514"/>
      <c r="BH51" s="2514"/>
      <c r="BI51" s="30"/>
      <c r="BJ51" s="30"/>
      <c r="BK51" s="30"/>
      <c r="BL51" s="30"/>
      <c r="BM51" s="30"/>
      <c r="BN51" s="30"/>
      <c r="BO51" s="209"/>
      <c r="BP51" s="209"/>
      <c r="BQ51" s="785"/>
      <c r="BR51" s="820"/>
      <c r="BS51" s="820"/>
      <c r="BT51" s="30"/>
      <c r="BU51" s="800"/>
      <c r="BV51" s="800"/>
      <c r="BW51" s="209"/>
      <c r="CA51" s="787"/>
      <c r="DB51" s="773"/>
      <c r="DC51" s="773"/>
      <c r="DD51" s="773"/>
      <c r="DE51" s="773"/>
      <c r="DF51" s="773"/>
      <c r="DG51" s="773"/>
      <c r="DH51" s="773"/>
      <c r="DI51" s="773"/>
      <c r="DJ51" s="773"/>
      <c r="DK51" s="773"/>
      <c r="DL51" s="773"/>
      <c r="DM51" s="773"/>
      <c r="DN51" s="773"/>
      <c r="DO51" s="773"/>
      <c r="DP51" s="773"/>
      <c r="DQ51" s="773"/>
      <c r="DR51" s="773"/>
      <c r="DS51" s="773"/>
      <c r="DT51" s="773"/>
      <c r="DU51" s="773"/>
      <c r="DV51" s="773"/>
      <c r="DW51" s="773"/>
      <c r="DX51" s="773"/>
      <c r="DY51" s="773"/>
      <c r="DZ51" s="773"/>
      <c r="EA51" s="773"/>
      <c r="EB51" s="773"/>
      <c r="EC51" s="773"/>
      <c r="ED51" s="773"/>
      <c r="EE51" s="773"/>
      <c r="EF51" s="773"/>
      <c r="EG51" s="773"/>
      <c r="EH51" s="773"/>
      <c r="EI51" s="773"/>
      <c r="EJ51" s="773"/>
      <c r="EK51" s="773"/>
      <c r="EL51" s="773"/>
      <c r="EM51" s="773"/>
      <c r="EN51" s="773"/>
      <c r="EO51" s="773"/>
      <c r="EP51" s="773"/>
      <c r="EQ51" s="773"/>
      <c r="ER51" s="773"/>
      <c r="ES51" s="773"/>
      <c r="ET51" s="773"/>
      <c r="EU51" s="773"/>
      <c r="EV51" s="773"/>
      <c r="EW51" s="773"/>
      <c r="EX51" s="773"/>
      <c r="EY51" s="773"/>
      <c r="EZ51" s="773"/>
      <c r="FA51" s="773"/>
      <c r="FB51" s="773"/>
      <c r="FC51" s="773"/>
      <c r="FD51" s="773"/>
      <c r="FE51" s="773"/>
      <c r="FF51" s="773"/>
      <c r="FG51" s="773"/>
      <c r="FH51" s="773"/>
      <c r="FI51" s="773"/>
      <c r="FJ51" s="773"/>
      <c r="FK51" s="773"/>
      <c r="FL51" s="773"/>
      <c r="FM51" s="773"/>
      <c r="FN51" s="773"/>
      <c r="FO51" s="773"/>
      <c r="FP51" s="773"/>
      <c r="FQ51" s="773"/>
      <c r="FR51" s="773"/>
      <c r="FS51" s="773"/>
      <c r="FT51" s="773"/>
      <c r="FU51" s="773"/>
      <c r="FV51" s="773"/>
      <c r="FW51" s="773"/>
      <c r="FX51" s="773"/>
      <c r="FY51" s="773"/>
      <c r="FZ51" s="773"/>
      <c r="GA51" s="773"/>
      <c r="GB51" s="773"/>
      <c r="GC51" s="773"/>
      <c r="GD51" s="773"/>
      <c r="GE51" s="773"/>
      <c r="GF51" s="773"/>
      <c r="GG51" s="773"/>
      <c r="GH51" s="773"/>
      <c r="GI51" s="773"/>
      <c r="GJ51" s="773"/>
      <c r="GK51" s="773"/>
      <c r="GL51" s="773"/>
      <c r="GM51" s="773"/>
      <c r="GN51" s="773"/>
      <c r="GO51" s="773"/>
      <c r="GP51" s="773"/>
      <c r="GQ51" s="773"/>
      <c r="GR51" s="773"/>
      <c r="GS51" s="773"/>
      <c r="GT51" s="773"/>
      <c r="GU51" s="773"/>
      <c r="GV51" s="773"/>
      <c r="GW51" s="773"/>
      <c r="GX51" s="773"/>
      <c r="GY51" s="773"/>
      <c r="GZ51" s="773"/>
    </row>
    <row r="52" spans="1:208" s="11" customFormat="1">
      <c r="A52" s="774"/>
      <c r="B52" s="3761" t="s">
        <v>1350</v>
      </c>
      <c r="C52" s="197">
        <v>213343</v>
      </c>
      <c r="D52" s="801" t="s">
        <v>3744</v>
      </c>
      <c r="E52" s="809">
        <f>IFERROR(VLOOKUP(C52,'AJE 12 - INC'!$D$168:$F$345,3,0),0)</f>
        <v>0</v>
      </c>
      <c r="F52" s="1325">
        <f>SUMIF('AJE 12 - INC'!B:B,'New TB INC'!C52,'AJE 12 - INC'!D:D)</f>
        <v>0</v>
      </c>
      <c r="G52" s="1326"/>
      <c r="H52" s="1326"/>
      <c r="I52" s="1326"/>
      <c r="J52" s="796">
        <f t="shared" si="6"/>
        <v>0</v>
      </c>
      <c r="K52" s="779"/>
      <c r="L52" s="434"/>
      <c r="M52" s="2679"/>
      <c r="N52" s="772"/>
      <c r="O52" s="772"/>
      <c r="P52" s="772"/>
      <c r="Q52" s="772"/>
      <c r="R52" s="772"/>
      <c r="S52" s="772"/>
      <c r="T52" s="773"/>
      <c r="AW52" s="2514"/>
      <c r="AX52" s="820"/>
      <c r="AY52" s="820"/>
      <c r="AZ52" s="820"/>
      <c r="BA52" s="30"/>
      <c r="BB52" s="30"/>
      <c r="BC52" s="2514"/>
      <c r="BD52" s="2514"/>
      <c r="BE52" s="2514"/>
      <c r="BF52" s="2514"/>
      <c r="BH52" s="2514"/>
      <c r="BI52" s="30"/>
      <c r="BJ52" s="30"/>
      <c r="BK52" s="30"/>
      <c r="BL52" s="30"/>
      <c r="BM52" s="30"/>
      <c r="BN52" s="30"/>
      <c r="BO52" s="209"/>
      <c r="BP52" s="209"/>
      <c r="BQ52" s="785"/>
      <c r="BR52" s="820"/>
      <c r="BS52" s="820"/>
      <c r="BT52" s="30"/>
      <c r="BU52" s="800"/>
      <c r="BV52" s="800"/>
      <c r="BW52" s="209"/>
      <c r="CA52" s="787"/>
      <c r="DB52" s="773"/>
      <c r="DC52" s="773"/>
      <c r="DD52" s="773"/>
      <c r="DE52" s="773"/>
      <c r="DF52" s="773"/>
      <c r="DG52" s="773"/>
      <c r="DH52" s="773"/>
      <c r="DI52" s="773"/>
      <c r="DJ52" s="773"/>
      <c r="DK52" s="773"/>
      <c r="DL52" s="773"/>
      <c r="DM52" s="773"/>
      <c r="DN52" s="773"/>
      <c r="DO52" s="773"/>
      <c r="DP52" s="773"/>
      <c r="DQ52" s="773"/>
      <c r="DR52" s="773"/>
      <c r="DS52" s="773"/>
      <c r="DT52" s="773"/>
      <c r="DU52" s="773"/>
      <c r="DV52" s="773"/>
      <c r="DW52" s="773"/>
      <c r="DX52" s="773"/>
      <c r="DY52" s="773"/>
      <c r="DZ52" s="773"/>
      <c r="EA52" s="773"/>
      <c r="EB52" s="773"/>
      <c r="EC52" s="773"/>
      <c r="ED52" s="773"/>
      <c r="EE52" s="773"/>
      <c r="EF52" s="773"/>
      <c r="EG52" s="773"/>
      <c r="EH52" s="773"/>
      <c r="EI52" s="773"/>
      <c r="EJ52" s="773"/>
      <c r="EK52" s="773"/>
      <c r="EL52" s="773"/>
      <c r="EM52" s="773"/>
      <c r="EN52" s="773"/>
      <c r="EO52" s="773"/>
      <c r="EP52" s="773"/>
      <c r="EQ52" s="773"/>
      <c r="ER52" s="773"/>
      <c r="ES52" s="773"/>
      <c r="ET52" s="773"/>
      <c r="EU52" s="773"/>
      <c r="EV52" s="773"/>
      <c r="EW52" s="773"/>
      <c r="EX52" s="773"/>
      <c r="EY52" s="773"/>
      <c r="EZ52" s="773"/>
      <c r="FA52" s="773"/>
      <c r="FB52" s="773"/>
      <c r="FC52" s="773"/>
      <c r="FD52" s="773"/>
      <c r="FE52" s="773"/>
      <c r="FF52" s="773"/>
      <c r="FG52" s="773"/>
      <c r="FH52" s="773"/>
      <c r="FI52" s="773"/>
      <c r="FJ52" s="773"/>
      <c r="FK52" s="773"/>
      <c r="FL52" s="773"/>
      <c r="FM52" s="773"/>
      <c r="FN52" s="773"/>
      <c r="FO52" s="773"/>
      <c r="FP52" s="773"/>
      <c r="FQ52" s="773"/>
      <c r="FR52" s="773"/>
      <c r="FS52" s="773"/>
      <c r="FT52" s="773"/>
      <c r="FU52" s="773"/>
      <c r="FV52" s="773"/>
      <c r="FW52" s="773"/>
      <c r="FX52" s="773"/>
      <c r="FY52" s="773"/>
      <c r="FZ52" s="773"/>
      <c r="GA52" s="773"/>
      <c r="GB52" s="773"/>
      <c r="GC52" s="773"/>
      <c r="GD52" s="773"/>
      <c r="GE52" s="773"/>
      <c r="GF52" s="773"/>
      <c r="GG52" s="773"/>
      <c r="GH52" s="773"/>
      <c r="GI52" s="773"/>
      <c r="GJ52" s="773"/>
      <c r="GK52" s="773"/>
      <c r="GL52" s="773"/>
      <c r="GM52" s="773"/>
      <c r="GN52" s="773"/>
      <c r="GO52" s="773"/>
      <c r="GP52" s="773"/>
      <c r="GQ52" s="773"/>
      <c r="GR52" s="773"/>
      <c r="GS52" s="773"/>
      <c r="GT52" s="773"/>
      <c r="GU52" s="773"/>
      <c r="GV52" s="773"/>
      <c r="GW52" s="773"/>
      <c r="GX52" s="773"/>
      <c r="GY52" s="773"/>
      <c r="GZ52" s="773"/>
    </row>
    <row r="53" spans="1:208" s="11" customFormat="1">
      <c r="A53" s="774"/>
      <c r="B53" s="3761" t="s">
        <v>1350</v>
      </c>
      <c r="C53" s="197">
        <v>215026</v>
      </c>
      <c r="D53" s="801" t="s">
        <v>3745</v>
      </c>
      <c r="E53" s="809">
        <f>IFERROR(VLOOKUP(C53,'AJE 12 - INC'!$D$168:$F$345,3,0),0)</f>
        <v>0</v>
      </c>
      <c r="F53" s="1325">
        <f>SUMIF('AJE 12 - INC'!B:B,'New TB INC'!C53,'AJE 12 - INC'!D:D)</f>
        <v>0</v>
      </c>
      <c r="G53" s="1326"/>
      <c r="H53" s="1326"/>
      <c r="I53" s="1326"/>
      <c r="J53" s="796">
        <f t="shared" si="6"/>
        <v>0</v>
      </c>
      <c r="K53" s="779"/>
      <c r="L53" s="434"/>
      <c r="M53" s="2679"/>
      <c r="N53" s="772"/>
      <c r="O53" s="772"/>
      <c r="P53" s="772"/>
      <c r="Q53" s="772"/>
      <c r="R53" s="772"/>
      <c r="S53" s="772"/>
      <c r="T53" s="773"/>
      <c r="AW53" s="2514"/>
      <c r="AX53" s="820"/>
      <c r="AY53" s="820"/>
      <c r="AZ53" s="820"/>
      <c r="BA53" s="30"/>
      <c r="BB53" s="30"/>
      <c r="BC53" s="2514"/>
      <c r="BD53" s="2514"/>
      <c r="BE53" s="2514"/>
      <c r="BF53" s="2514"/>
      <c r="BH53" s="2514"/>
      <c r="BI53" s="30"/>
      <c r="BJ53" s="30"/>
      <c r="BK53" s="30"/>
      <c r="BL53" s="30"/>
      <c r="BM53" s="30"/>
      <c r="BN53" s="30"/>
      <c r="BO53" s="209"/>
      <c r="BP53" s="209"/>
      <c r="BQ53" s="785"/>
      <c r="BR53" s="820"/>
      <c r="BS53" s="820"/>
      <c r="BT53" s="30"/>
      <c r="BU53" s="800"/>
      <c r="BV53" s="800"/>
      <c r="BW53" s="209"/>
      <c r="CA53" s="787"/>
      <c r="DB53" s="773"/>
      <c r="DC53" s="773"/>
      <c r="DD53" s="773"/>
      <c r="DE53" s="773"/>
      <c r="DF53" s="773"/>
      <c r="DG53" s="773"/>
      <c r="DH53" s="773"/>
      <c r="DI53" s="773"/>
      <c r="DJ53" s="773"/>
      <c r="DK53" s="773"/>
      <c r="DL53" s="773"/>
      <c r="DM53" s="773"/>
      <c r="DN53" s="773"/>
      <c r="DO53" s="773"/>
      <c r="DP53" s="773"/>
      <c r="DQ53" s="773"/>
      <c r="DR53" s="773"/>
      <c r="DS53" s="773"/>
      <c r="DT53" s="773"/>
      <c r="DU53" s="773"/>
      <c r="DV53" s="773"/>
      <c r="DW53" s="773"/>
      <c r="DX53" s="773"/>
      <c r="DY53" s="773"/>
      <c r="DZ53" s="773"/>
      <c r="EA53" s="773"/>
      <c r="EB53" s="773"/>
      <c r="EC53" s="773"/>
      <c r="ED53" s="773"/>
      <c r="EE53" s="773"/>
      <c r="EF53" s="773"/>
      <c r="EG53" s="773"/>
      <c r="EH53" s="773"/>
      <c r="EI53" s="773"/>
      <c r="EJ53" s="773"/>
      <c r="EK53" s="773"/>
      <c r="EL53" s="773"/>
      <c r="EM53" s="773"/>
      <c r="EN53" s="773"/>
      <c r="EO53" s="773"/>
      <c r="EP53" s="773"/>
      <c r="EQ53" s="773"/>
      <c r="ER53" s="773"/>
      <c r="ES53" s="773"/>
      <c r="ET53" s="773"/>
      <c r="EU53" s="773"/>
      <c r="EV53" s="773"/>
      <c r="EW53" s="773"/>
      <c r="EX53" s="773"/>
      <c r="EY53" s="773"/>
      <c r="EZ53" s="773"/>
      <c r="FA53" s="773"/>
      <c r="FB53" s="773"/>
      <c r="FC53" s="773"/>
      <c r="FD53" s="773"/>
      <c r="FE53" s="773"/>
      <c r="FF53" s="773"/>
      <c r="FG53" s="773"/>
      <c r="FH53" s="773"/>
      <c r="FI53" s="773"/>
      <c r="FJ53" s="773"/>
      <c r="FK53" s="773"/>
      <c r="FL53" s="773"/>
      <c r="FM53" s="773"/>
      <c r="FN53" s="773"/>
      <c r="FO53" s="773"/>
      <c r="FP53" s="773"/>
      <c r="FQ53" s="773"/>
      <c r="FR53" s="773"/>
      <c r="FS53" s="773"/>
      <c r="FT53" s="773"/>
      <c r="FU53" s="773"/>
      <c r="FV53" s="773"/>
      <c r="FW53" s="773"/>
      <c r="FX53" s="773"/>
      <c r="FY53" s="773"/>
      <c r="FZ53" s="773"/>
      <c r="GA53" s="773"/>
      <c r="GB53" s="773"/>
      <c r="GC53" s="773"/>
      <c r="GD53" s="773"/>
      <c r="GE53" s="773"/>
      <c r="GF53" s="773"/>
      <c r="GG53" s="773"/>
      <c r="GH53" s="773"/>
      <c r="GI53" s="773"/>
      <c r="GJ53" s="773"/>
      <c r="GK53" s="773"/>
      <c r="GL53" s="773"/>
      <c r="GM53" s="773"/>
      <c r="GN53" s="773"/>
      <c r="GO53" s="773"/>
      <c r="GP53" s="773"/>
      <c r="GQ53" s="773"/>
      <c r="GR53" s="773"/>
      <c r="GS53" s="773"/>
      <c r="GT53" s="773"/>
      <c r="GU53" s="773"/>
      <c r="GV53" s="773"/>
      <c r="GW53" s="773"/>
      <c r="GX53" s="773"/>
      <c r="GY53" s="773"/>
      <c r="GZ53" s="773"/>
    </row>
    <row r="54" spans="1:208" s="11" customFormat="1">
      <c r="A54" s="774"/>
      <c r="B54" s="3761" t="s">
        <v>1350</v>
      </c>
      <c r="C54" s="197">
        <v>219425</v>
      </c>
      <c r="D54" s="801" t="s">
        <v>3747</v>
      </c>
      <c r="E54" s="809">
        <f>IFERROR(VLOOKUP(C54,'AJE 12 - INC'!$D$168:$F$345,3,0),0)</f>
        <v>0</v>
      </c>
      <c r="F54" s="1325">
        <f>SUMIF('AJE 12 - INC'!B:B,'New TB INC'!C54,'AJE 12 - INC'!D:D)</f>
        <v>0</v>
      </c>
      <c r="G54" s="1326"/>
      <c r="H54" s="1326"/>
      <c r="I54" s="1326"/>
      <c r="J54" s="796">
        <f t="shared" si="6"/>
        <v>0</v>
      </c>
      <c r="K54" s="779"/>
      <c r="L54" s="434"/>
      <c r="M54" s="2679"/>
      <c r="N54" s="772"/>
      <c r="O54" s="772"/>
      <c r="P54" s="772"/>
      <c r="Q54" s="772"/>
      <c r="R54" s="772"/>
      <c r="S54" s="772"/>
      <c r="T54" s="773"/>
      <c r="AW54" s="2514"/>
      <c r="AX54" s="820"/>
      <c r="AY54" s="820"/>
      <c r="AZ54" s="820"/>
      <c r="BA54" s="30"/>
      <c r="BB54" s="30"/>
      <c r="BC54" s="2514"/>
      <c r="BD54" s="2514"/>
      <c r="BE54" s="2514"/>
      <c r="BF54" s="2514"/>
      <c r="BH54" s="2514"/>
      <c r="BI54" s="30"/>
      <c r="BJ54" s="30"/>
      <c r="BK54" s="30"/>
      <c r="BL54" s="30"/>
      <c r="BM54" s="30"/>
      <c r="BN54" s="30"/>
      <c r="BO54" s="209"/>
      <c r="BP54" s="209"/>
      <c r="BQ54" s="785"/>
      <c r="BR54" s="820"/>
      <c r="BS54" s="820"/>
      <c r="BT54" s="30"/>
      <c r="BU54" s="800"/>
      <c r="BV54" s="800"/>
      <c r="BW54" s="209"/>
      <c r="CA54" s="787"/>
      <c r="DB54" s="773"/>
      <c r="DC54" s="773"/>
      <c r="DD54" s="773"/>
      <c r="DE54" s="773"/>
      <c r="DF54" s="773"/>
      <c r="DG54" s="773"/>
      <c r="DH54" s="773"/>
      <c r="DI54" s="773"/>
      <c r="DJ54" s="773"/>
      <c r="DK54" s="773"/>
      <c r="DL54" s="773"/>
      <c r="DM54" s="773"/>
      <c r="DN54" s="773"/>
      <c r="DO54" s="773"/>
      <c r="DP54" s="773"/>
      <c r="DQ54" s="773"/>
      <c r="DR54" s="773"/>
      <c r="DS54" s="773"/>
      <c r="DT54" s="773"/>
      <c r="DU54" s="773"/>
      <c r="DV54" s="773"/>
      <c r="DW54" s="773"/>
      <c r="DX54" s="773"/>
      <c r="DY54" s="773"/>
      <c r="DZ54" s="773"/>
      <c r="EA54" s="773"/>
      <c r="EB54" s="773"/>
      <c r="EC54" s="773"/>
      <c r="ED54" s="773"/>
      <c r="EE54" s="773"/>
      <c r="EF54" s="773"/>
      <c r="EG54" s="773"/>
      <c r="EH54" s="773"/>
      <c r="EI54" s="773"/>
      <c r="EJ54" s="773"/>
      <c r="EK54" s="773"/>
      <c r="EL54" s="773"/>
      <c r="EM54" s="773"/>
      <c r="EN54" s="773"/>
      <c r="EO54" s="773"/>
      <c r="EP54" s="773"/>
      <c r="EQ54" s="773"/>
      <c r="ER54" s="773"/>
      <c r="ES54" s="773"/>
      <c r="ET54" s="773"/>
      <c r="EU54" s="773"/>
      <c r="EV54" s="773"/>
      <c r="EW54" s="773"/>
      <c r="EX54" s="773"/>
      <c r="EY54" s="773"/>
      <c r="EZ54" s="773"/>
      <c r="FA54" s="773"/>
      <c r="FB54" s="773"/>
      <c r="FC54" s="773"/>
      <c r="FD54" s="773"/>
      <c r="FE54" s="773"/>
      <c r="FF54" s="773"/>
      <c r="FG54" s="773"/>
      <c r="FH54" s="773"/>
      <c r="FI54" s="773"/>
      <c r="FJ54" s="773"/>
      <c r="FK54" s="773"/>
      <c r="FL54" s="773"/>
      <c r="FM54" s="773"/>
      <c r="FN54" s="773"/>
      <c r="FO54" s="773"/>
      <c r="FP54" s="773"/>
      <c r="FQ54" s="773"/>
      <c r="FR54" s="773"/>
      <c r="FS54" s="773"/>
      <c r="FT54" s="773"/>
      <c r="FU54" s="773"/>
      <c r="FV54" s="773"/>
      <c r="FW54" s="773"/>
      <c r="FX54" s="773"/>
      <c r="FY54" s="773"/>
      <c r="FZ54" s="773"/>
      <c r="GA54" s="773"/>
      <c r="GB54" s="773"/>
      <c r="GC54" s="773"/>
      <c r="GD54" s="773"/>
      <c r="GE54" s="773"/>
      <c r="GF54" s="773"/>
      <c r="GG54" s="773"/>
      <c r="GH54" s="773"/>
      <c r="GI54" s="773"/>
      <c r="GJ54" s="773"/>
      <c r="GK54" s="773"/>
      <c r="GL54" s="773"/>
      <c r="GM54" s="773"/>
      <c r="GN54" s="773"/>
      <c r="GO54" s="773"/>
      <c r="GP54" s="773"/>
      <c r="GQ54" s="773"/>
      <c r="GR54" s="773"/>
      <c r="GS54" s="773"/>
      <c r="GT54" s="773"/>
      <c r="GU54" s="773"/>
      <c r="GV54" s="773"/>
      <c r="GW54" s="773"/>
      <c r="GX54" s="773"/>
      <c r="GY54" s="773"/>
      <c r="GZ54" s="773"/>
    </row>
    <row r="55" spans="1:208" s="11" customFormat="1">
      <c r="A55" s="774"/>
      <c r="B55" s="3761" t="s">
        <v>1350</v>
      </c>
      <c r="C55" s="197">
        <v>220365</v>
      </c>
      <c r="D55" s="801" t="s">
        <v>3748</v>
      </c>
      <c r="E55" s="809">
        <f>IFERROR(VLOOKUP(C55,'AJE 12 - INC'!$D$168:$F$345,3,0),0)</f>
        <v>0</v>
      </c>
      <c r="F55" s="1325">
        <f>SUMIF('AJE 12 - INC'!B:B,'New TB INC'!C55,'AJE 12 - INC'!D:D)</f>
        <v>0</v>
      </c>
      <c r="G55" s="1326"/>
      <c r="H55" s="1326"/>
      <c r="I55" s="1326"/>
      <c r="J55" s="796">
        <f t="shared" si="6"/>
        <v>0</v>
      </c>
      <c r="K55" s="779"/>
      <c r="L55" s="434"/>
      <c r="M55" s="2679"/>
      <c r="N55" s="772"/>
      <c r="O55" s="772"/>
      <c r="P55" s="772"/>
      <c r="Q55" s="772"/>
      <c r="R55" s="772"/>
      <c r="S55" s="772"/>
      <c r="T55" s="773"/>
      <c r="AW55" s="2514"/>
      <c r="AX55" s="820"/>
      <c r="AY55" s="820"/>
      <c r="AZ55" s="820"/>
      <c r="BA55" s="30"/>
      <c r="BB55" s="30"/>
      <c r="BC55" s="2514"/>
      <c r="BD55" s="2514"/>
      <c r="BE55" s="2514"/>
      <c r="BF55" s="2514"/>
      <c r="BH55" s="2514"/>
      <c r="BI55" s="30"/>
      <c r="BJ55" s="30"/>
      <c r="BK55" s="30"/>
      <c r="BL55" s="30"/>
      <c r="BM55" s="30"/>
      <c r="BN55" s="30"/>
      <c r="BO55" s="209"/>
      <c r="BP55" s="209"/>
      <c r="BQ55" s="785"/>
      <c r="BR55" s="820"/>
      <c r="BS55" s="820"/>
      <c r="BT55" s="30"/>
      <c r="BU55" s="800"/>
      <c r="BV55" s="800"/>
      <c r="BW55" s="209"/>
      <c r="CA55" s="787"/>
      <c r="DB55" s="773"/>
      <c r="DC55" s="773"/>
      <c r="DD55" s="773"/>
      <c r="DE55" s="773"/>
      <c r="DF55" s="773"/>
      <c r="DG55" s="773"/>
      <c r="DH55" s="773"/>
      <c r="DI55" s="773"/>
      <c r="DJ55" s="773"/>
      <c r="DK55" s="773"/>
      <c r="DL55" s="773"/>
      <c r="DM55" s="773"/>
      <c r="DN55" s="773"/>
      <c r="DO55" s="773"/>
      <c r="DP55" s="773"/>
      <c r="DQ55" s="773"/>
      <c r="DR55" s="773"/>
      <c r="DS55" s="773"/>
      <c r="DT55" s="773"/>
      <c r="DU55" s="773"/>
      <c r="DV55" s="773"/>
      <c r="DW55" s="773"/>
      <c r="DX55" s="773"/>
      <c r="DY55" s="773"/>
      <c r="DZ55" s="773"/>
      <c r="EA55" s="773"/>
      <c r="EB55" s="773"/>
      <c r="EC55" s="773"/>
      <c r="ED55" s="773"/>
      <c r="EE55" s="773"/>
      <c r="EF55" s="773"/>
      <c r="EG55" s="773"/>
      <c r="EH55" s="773"/>
      <c r="EI55" s="773"/>
      <c r="EJ55" s="773"/>
      <c r="EK55" s="773"/>
      <c r="EL55" s="773"/>
      <c r="EM55" s="773"/>
      <c r="EN55" s="773"/>
      <c r="EO55" s="773"/>
      <c r="EP55" s="773"/>
      <c r="EQ55" s="773"/>
      <c r="ER55" s="773"/>
      <c r="ES55" s="773"/>
      <c r="ET55" s="773"/>
      <c r="EU55" s="773"/>
      <c r="EV55" s="773"/>
      <c r="EW55" s="773"/>
      <c r="EX55" s="773"/>
      <c r="EY55" s="773"/>
      <c r="EZ55" s="773"/>
      <c r="FA55" s="773"/>
      <c r="FB55" s="773"/>
      <c r="FC55" s="773"/>
      <c r="FD55" s="773"/>
      <c r="FE55" s="773"/>
      <c r="FF55" s="773"/>
      <c r="FG55" s="773"/>
      <c r="FH55" s="773"/>
      <c r="FI55" s="773"/>
      <c r="FJ55" s="773"/>
      <c r="FK55" s="773"/>
      <c r="FL55" s="773"/>
      <c r="FM55" s="773"/>
      <c r="FN55" s="773"/>
      <c r="FO55" s="773"/>
      <c r="FP55" s="773"/>
      <c r="FQ55" s="773"/>
      <c r="FR55" s="773"/>
      <c r="FS55" s="773"/>
      <c r="FT55" s="773"/>
      <c r="FU55" s="773"/>
      <c r="FV55" s="773"/>
      <c r="FW55" s="773"/>
      <c r="FX55" s="773"/>
      <c r="FY55" s="773"/>
      <c r="FZ55" s="773"/>
      <c r="GA55" s="773"/>
      <c r="GB55" s="773"/>
      <c r="GC55" s="773"/>
      <c r="GD55" s="773"/>
      <c r="GE55" s="773"/>
      <c r="GF55" s="773"/>
      <c r="GG55" s="773"/>
      <c r="GH55" s="773"/>
      <c r="GI55" s="773"/>
      <c r="GJ55" s="773"/>
      <c r="GK55" s="773"/>
      <c r="GL55" s="773"/>
      <c r="GM55" s="773"/>
      <c r="GN55" s="773"/>
      <c r="GO55" s="773"/>
      <c r="GP55" s="773"/>
      <c r="GQ55" s="773"/>
      <c r="GR55" s="773"/>
      <c r="GS55" s="773"/>
      <c r="GT55" s="773"/>
      <c r="GU55" s="773"/>
      <c r="GV55" s="773"/>
      <c r="GW55" s="773"/>
      <c r="GX55" s="773"/>
      <c r="GY55" s="773"/>
      <c r="GZ55" s="773"/>
    </row>
    <row r="56" spans="1:208" s="11" customFormat="1">
      <c r="A56" s="774"/>
      <c r="B56" s="3761" t="s">
        <v>1350</v>
      </c>
      <c r="C56" s="197">
        <v>223150</v>
      </c>
      <c r="D56" s="801" t="s">
        <v>3750</v>
      </c>
      <c r="E56" s="809">
        <f>IFERROR(VLOOKUP(C56,'AJE 12 - INC'!$D$168:$F$345,3,0),0)</f>
        <v>0</v>
      </c>
      <c r="F56" s="1325">
        <f>SUMIF('AJE 12 - INC'!B:B,'New TB INC'!C56,'AJE 12 - INC'!D:D)</f>
        <v>0</v>
      </c>
      <c r="G56" s="1326"/>
      <c r="H56" s="1326"/>
      <c r="I56" s="1326"/>
      <c r="J56" s="796">
        <f t="shared" si="6"/>
        <v>0</v>
      </c>
      <c r="K56" s="779"/>
      <c r="L56" s="434"/>
      <c r="M56" s="2679"/>
      <c r="N56" s="772"/>
      <c r="O56" s="772"/>
      <c r="P56" s="772"/>
      <c r="Q56" s="772"/>
      <c r="R56" s="772"/>
      <c r="S56" s="772"/>
      <c r="T56" s="773"/>
      <c r="AW56" s="2514"/>
      <c r="AX56" s="820"/>
      <c r="AY56" s="820"/>
      <c r="AZ56" s="820"/>
      <c r="BA56" s="30"/>
      <c r="BB56" s="30"/>
      <c r="BC56" s="2514"/>
      <c r="BD56" s="2514"/>
      <c r="BE56" s="2514"/>
      <c r="BF56" s="2514"/>
      <c r="BH56" s="2514"/>
      <c r="BI56" s="30"/>
      <c r="BJ56" s="30"/>
      <c r="BK56" s="30"/>
      <c r="BL56" s="30"/>
      <c r="BM56" s="30"/>
      <c r="BN56" s="30"/>
      <c r="BO56" s="209"/>
      <c r="BP56" s="209"/>
      <c r="BQ56" s="785"/>
      <c r="BR56" s="820"/>
      <c r="BS56" s="820"/>
      <c r="BT56" s="30"/>
      <c r="BU56" s="800"/>
      <c r="BV56" s="800"/>
      <c r="BW56" s="209"/>
      <c r="CA56" s="787"/>
      <c r="DB56" s="773"/>
      <c r="DC56" s="773"/>
      <c r="DD56" s="773"/>
      <c r="DE56" s="773"/>
      <c r="DF56" s="773"/>
      <c r="DG56" s="773"/>
      <c r="DH56" s="773"/>
      <c r="DI56" s="773"/>
      <c r="DJ56" s="773"/>
      <c r="DK56" s="773"/>
      <c r="DL56" s="773"/>
      <c r="DM56" s="773"/>
      <c r="DN56" s="773"/>
      <c r="DO56" s="773"/>
      <c r="DP56" s="773"/>
      <c r="DQ56" s="773"/>
      <c r="DR56" s="773"/>
      <c r="DS56" s="773"/>
      <c r="DT56" s="773"/>
      <c r="DU56" s="773"/>
      <c r="DV56" s="773"/>
      <c r="DW56" s="773"/>
      <c r="DX56" s="773"/>
      <c r="DY56" s="773"/>
      <c r="DZ56" s="773"/>
      <c r="EA56" s="773"/>
      <c r="EB56" s="773"/>
      <c r="EC56" s="773"/>
      <c r="ED56" s="773"/>
      <c r="EE56" s="773"/>
      <c r="EF56" s="773"/>
      <c r="EG56" s="773"/>
      <c r="EH56" s="773"/>
      <c r="EI56" s="773"/>
      <c r="EJ56" s="773"/>
      <c r="EK56" s="773"/>
      <c r="EL56" s="773"/>
      <c r="EM56" s="773"/>
      <c r="EN56" s="773"/>
      <c r="EO56" s="773"/>
      <c r="EP56" s="773"/>
      <c r="EQ56" s="773"/>
      <c r="ER56" s="773"/>
      <c r="ES56" s="773"/>
      <c r="ET56" s="773"/>
      <c r="EU56" s="773"/>
      <c r="EV56" s="773"/>
      <c r="EW56" s="773"/>
      <c r="EX56" s="773"/>
      <c r="EY56" s="773"/>
      <c r="EZ56" s="773"/>
      <c r="FA56" s="773"/>
      <c r="FB56" s="773"/>
      <c r="FC56" s="773"/>
      <c r="FD56" s="773"/>
      <c r="FE56" s="773"/>
      <c r="FF56" s="773"/>
      <c r="FG56" s="773"/>
      <c r="FH56" s="773"/>
      <c r="FI56" s="773"/>
      <c r="FJ56" s="773"/>
      <c r="FK56" s="773"/>
      <c r="FL56" s="773"/>
      <c r="FM56" s="773"/>
      <c r="FN56" s="773"/>
      <c r="FO56" s="773"/>
      <c r="FP56" s="773"/>
      <c r="FQ56" s="773"/>
      <c r="FR56" s="773"/>
      <c r="FS56" s="773"/>
      <c r="FT56" s="773"/>
      <c r="FU56" s="773"/>
      <c r="FV56" s="773"/>
      <c r="FW56" s="773"/>
      <c r="FX56" s="773"/>
      <c r="FY56" s="773"/>
      <c r="FZ56" s="773"/>
      <c r="GA56" s="773"/>
      <c r="GB56" s="773"/>
      <c r="GC56" s="773"/>
      <c r="GD56" s="773"/>
      <c r="GE56" s="773"/>
      <c r="GF56" s="773"/>
      <c r="GG56" s="773"/>
      <c r="GH56" s="773"/>
      <c r="GI56" s="773"/>
      <c r="GJ56" s="773"/>
      <c r="GK56" s="773"/>
      <c r="GL56" s="773"/>
      <c r="GM56" s="773"/>
      <c r="GN56" s="773"/>
      <c r="GO56" s="773"/>
      <c r="GP56" s="773"/>
      <c r="GQ56" s="773"/>
      <c r="GR56" s="773"/>
      <c r="GS56" s="773"/>
      <c r="GT56" s="773"/>
      <c r="GU56" s="773"/>
      <c r="GV56" s="773"/>
      <c r="GW56" s="773"/>
      <c r="GX56" s="773"/>
      <c r="GY56" s="773"/>
      <c r="GZ56" s="773"/>
    </row>
    <row r="57" spans="1:208" s="11" customFormat="1">
      <c r="A57" s="774"/>
      <c r="B57" s="3761" t="s">
        <v>1350</v>
      </c>
      <c r="C57" s="197">
        <v>224200</v>
      </c>
      <c r="D57" s="801" t="s">
        <v>3751</v>
      </c>
      <c r="E57" s="809">
        <f>IFERROR(VLOOKUP(C57,'AJE 12 - INC'!$D$168:$F$345,3,0),0)</f>
        <v>0</v>
      </c>
      <c r="F57" s="1325">
        <f>SUMIF('AJE 12 - INC'!B:B,'New TB INC'!C57,'AJE 12 - INC'!D:D)</f>
        <v>0</v>
      </c>
      <c r="G57" s="1326"/>
      <c r="H57" s="1326"/>
      <c r="I57" s="1326"/>
      <c r="J57" s="796">
        <f t="shared" si="6"/>
        <v>0</v>
      </c>
      <c r="K57" s="779"/>
      <c r="L57" s="434"/>
      <c r="M57" s="2679"/>
      <c r="N57" s="772"/>
      <c r="O57" s="772"/>
      <c r="P57" s="772"/>
      <c r="Q57" s="772"/>
      <c r="R57" s="772"/>
      <c r="S57" s="772"/>
      <c r="T57" s="773"/>
      <c r="AW57" s="2514"/>
      <c r="AX57" s="820"/>
      <c r="AY57" s="820"/>
      <c r="AZ57" s="820"/>
      <c r="BA57" s="30"/>
      <c r="BB57" s="30"/>
      <c r="BC57" s="2514"/>
      <c r="BD57" s="2514"/>
      <c r="BE57" s="2514"/>
      <c r="BF57" s="2514"/>
      <c r="BH57" s="2514"/>
      <c r="BI57" s="30"/>
      <c r="BJ57" s="30"/>
      <c r="BK57" s="30"/>
      <c r="BL57" s="30"/>
      <c r="BM57" s="30"/>
      <c r="BN57" s="30"/>
      <c r="BO57" s="209"/>
      <c r="BP57" s="209"/>
      <c r="BQ57" s="785"/>
      <c r="BR57" s="820"/>
      <c r="BS57" s="820"/>
      <c r="BT57" s="30"/>
      <c r="BU57" s="800"/>
      <c r="BV57" s="800"/>
      <c r="BW57" s="209"/>
      <c r="CA57" s="787"/>
      <c r="DB57" s="773"/>
      <c r="DC57" s="773"/>
      <c r="DD57" s="773"/>
      <c r="DE57" s="773"/>
      <c r="DF57" s="773"/>
      <c r="DG57" s="773"/>
      <c r="DH57" s="773"/>
      <c r="DI57" s="773"/>
      <c r="DJ57" s="773"/>
      <c r="DK57" s="773"/>
      <c r="DL57" s="773"/>
      <c r="DM57" s="773"/>
      <c r="DN57" s="773"/>
      <c r="DO57" s="773"/>
      <c r="DP57" s="773"/>
      <c r="DQ57" s="773"/>
      <c r="DR57" s="773"/>
      <c r="DS57" s="773"/>
      <c r="DT57" s="773"/>
      <c r="DU57" s="773"/>
      <c r="DV57" s="773"/>
      <c r="DW57" s="773"/>
      <c r="DX57" s="773"/>
      <c r="DY57" s="773"/>
      <c r="DZ57" s="773"/>
      <c r="EA57" s="773"/>
      <c r="EB57" s="773"/>
      <c r="EC57" s="773"/>
      <c r="ED57" s="773"/>
      <c r="EE57" s="773"/>
      <c r="EF57" s="773"/>
      <c r="EG57" s="773"/>
      <c r="EH57" s="773"/>
      <c r="EI57" s="773"/>
      <c r="EJ57" s="773"/>
      <c r="EK57" s="773"/>
      <c r="EL57" s="773"/>
      <c r="EM57" s="773"/>
      <c r="EN57" s="773"/>
      <c r="EO57" s="773"/>
      <c r="EP57" s="773"/>
      <c r="EQ57" s="773"/>
      <c r="ER57" s="773"/>
      <c r="ES57" s="773"/>
      <c r="ET57" s="773"/>
      <c r="EU57" s="773"/>
      <c r="EV57" s="773"/>
      <c r="EW57" s="773"/>
      <c r="EX57" s="773"/>
      <c r="EY57" s="773"/>
      <c r="EZ57" s="773"/>
      <c r="FA57" s="773"/>
      <c r="FB57" s="773"/>
      <c r="FC57" s="773"/>
      <c r="FD57" s="773"/>
      <c r="FE57" s="773"/>
      <c r="FF57" s="773"/>
      <c r="FG57" s="773"/>
      <c r="FH57" s="773"/>
      <c r="FI57" s="773"/>
      <c r="FJ57" s="773"/>
      <c r="FK57" s="773"/>
      <c r="FL57" s="773"/>
      <c r="FM57" s="773"/>
      <c r="FN57" s="773"/>
      <c r="FO57" s="773"/>
      <c r="FP57" s="773"/>
      <c r="FQ57" s="773"/>
      <c r="FR57" s="773"/>
      <c r="FS57" s="773"/>
      <c r="FT57" s="773"/>
      <c r="FU57" s="773"/>
      <c r="FV57" s="773"/>
      <c r="FW57" s="773"/>
      <c r="FX57" s="773"/>
      <c r="FY57" s="773"/>
      <c r="FZ57" s="773"/>
      <c r="GA57" s="773"/>
      <c r="GB57" s="773"/>
      <c r="GC57" s="773"/>
      <c r="GD57" s="773"/>
      <c r="GE57" s="773"/>
      <c r="GF57" s="773"/>
      <c r="GG57" s="773"/>
      <c r="GH57" s="773"/>
      <c r="GI57" s="773"/>
      <c r="GJ57" s="773"/>
      <c r="GK57" s="773"/>
      <c r="GL57" s="773"/>
      <c r="GM57" s="773"/>
      <c r="GN57" s="773"/>
      <c r="GO57" s="773"/>
      <c r="GP57" s="773"/>
      <c r="GQ57" s="773"/>
      <c r="GR57" s="773"/>
      <c r="GS57" s="773"/>
      <c r="GT57" s="773"/>
      <c r="GU57" s="773"/>
      <c r="GV57" s="773"/>
      <c r="GW57" s="773"/>
      <c r="GX57" s="773"/>
      <c r="GY57" s="773"/>
      <c r="GZ57" s="773"/>
    </row>
    <row r="58" spans="1:208" s="11" customFormat="1">
      <c r="A58" s="774"/>
      <c r="B58" s="3761" t="s">
        <v>1350</v>
      </c>
      <c r="C58" s="197">
        <v>226590</v>
      </c>
      <c r="D58" s="801" t="s">
        <v>3752</v>
      </c>
      <c r="E58" s="809">
        <f>IFERROR(VLOOKUP(C58,'AJE 12 - INC'!$D$168:$F$345,3,0),0)</f>
        <v>0</v>
      </c>
      <c r="F58" s="1325">
        <f>SUMIF('AJE 12 - INC'!B:B,'New TB INC'!C58,'AJE 12 - INC'!D:D)</f>
        <v>0</v>
      </c>
      <c r="G58" s="1326"/>
      <c r="H58" s="1326"/>
      <c r="I58" s="1326"/>
      <c r="J58" s="796">
        <f t="shared" si="6"/>
        <v>0</v>
      </c>
      <c r="K58" s="779"/>
      <c r="L58" s="434"/>
      <c r="M58" s="2679"/>
      <c r="N58" s="772"/>
      <c r="O58" s="772"/>
      <c r="P58" s="772"/>
      <c r="Q58" s="772"/>
      <c r="R58" s="772"/>
      <c r="S58" s="772"/>
      <c r="T58" s="773"/>
      <c r="AW58" s="2514"/>
      <c r="AX58" s="820"/>
      <c r="AY58" s="820"/>
      <c r="AZ58" s="820"/>
      <c r="BA58" s="30"/>
      <c r="BB58" s="30"/>
      <c r="BC58" s="2514"/>
      <c r="BD58" s="2514"/>
      <c r="BE58" s="2514"/>
      <c r="BF58" s="2514"/>
      <c r="BH58" s="2514"/>
      <c r="BI58" s="30"/>
      <c r="BJ58" s="30"/>
      <c r="BK58" s="30"/>
      <c r="BL58" s="30"/>
      <c r="BM58" s="30"/>
      <c r="BN58" s="30"/>
      <c r="BO58" s="209"/>
      <c r="BP58" s="209"/>
      <c r="BQ58" s="785"/>
      <c r="BR58" s="820"/>
      <c r="BS58" s="820"/>
      <c r="BT58" s="30"/>
      <c r="BU58" s="800"/>
      <c r="BV58" s="800"/>
      <c r="BW58" s="209"/>
      <c r="CA58" s="787"/>
      <c r="DB58" s="773"/>
      <c r="DC58" s="773"/>
      <c r="DD58" s="773"/>
      <c r="DE58" s="773"/>
      <c r="DF58" s="773"/>
      <c r="DG58" s="773"/>
      <c r="DH58" s="773"/>
      <c r="DI58" s="773"/>
      <c r="DJ58" s="773"/>
      <c r="DK58" s="773"/>
      <c r="DL58" s="773"/>
      <c r="DM58" s="773"/>
      <c r="DN58" s="773"/>
      <c r="DO58" s="773"/>
      <c r="DP58" s="773"/>
      <c r="DQ58" s="773"/>
      <c r="DR58" s="773"/>
      <c r="DS58" s="773"/>
      <c r="DT58" s="773"/>
      <c r="DU58" s="773"/>
      <c r="DV58" s="773"/>
      <c r="DW58" s="773"/>
      <c r="DX58" s="773"/>
      <c r="DY58" s="773"/>
      <c r="DZ58" s="773"/>
      <c r="EA58" s="773"/>
      <c r="EB58" s="773"/>
      <c r="EC58" s="773"/>
      <c r="ED58" s="773"/>
      <c r="EE58" s="773"/>
      <c r="EF58" s="773"/>
      <c r="EG58" s="773"/>
      <c r="EH58" s="773"/>
      <c r="EI58" s="773"/>
      <c r="EJ58" s="773"/>
      <c r="EK58" s="773"/>
      <c r="EL58" s="773"/>
      <c r="EM58" s="773"/>
      <c r="EN58" s="773"/>
      <c r="EO58" s="773"/>
      <c r="EP58" s="773"/>
      <c r="EQ58" s="773"/>
      <c r="ER58" s="773"/>
      <c r="ES58" s="773"/>
      <c r="ET58" s="773"/>
      <c r="EU58" s="773"/>
      <c r="EV58" s="773"/>
      <c r="EW58" s="773"/>
      <c r="EX58" s="773"/>
      <c r="EY58" s="773"/>
      <c r="EZ58" s="773"/>
      <c r="FA58" s="773"/>
      <c r="FB58" s="773"/>
      <c r="FC58" s="773"/>
      <c r="FD58" s="773"/>
      <c r="FE58" s="773"/>
      <c r="FF58" s="773"/>
      <c r="FG58" s="773"/>
      <c r="FH58" s="773"/>
      <c r="FI58" s="773"/>
      <c r="FJ58" s="773"/>
      <c r="FK58" s="773"/>
      <c r="FL58" s="773"/>
      <c r="FM58" s="773"/>
      <c r="FN58" s="773"/>
      <c r="FO58" s="773"/>
      <c r="FP58" s="773"/>
      <c r="FQ58" s="773"/>
      <c r="FR58" s="773"/>
      <c r="FS58" s="773"/>
      <c r="FT58" s="773"/>
      <c r="FU58" s="773"/>
      <c r="FV58" s="773"/>
      <c r="FW58" s="773"/>
      <c r="FX58" s="773"/>
      <c r="FY58" s="773"/>
      <c r="FZ58" s="773"/>
      <c r="GA58" s="773"/>
      <c r="GB58" s="773"/>
      <c r="GC58" s="773"/>
      <c r="GD58" s="773"/>
      <c r="GE58" s="773"/>
      <c r="GF58" s="773"/>
      <c r="GG58" s="773"/>
      <c r="GH58" s="773"/>
      <c r="GI58" s="773"/>
      <c r="GJ58" s="773"/>
      <c r="GK58" s="773"/>
      <c r="GL58" s="773"/>
      <c r="GM58" s="773"/>
      <c r="GN58" s="773"/>
      <c r="GO58" s="773"/>
      <c r="GP58" s="773"/>
      <c r="GQ58" s="773"/>
      <c r="GR58" s="773"/>
      <c r="GS58" s="773"/>
      <c r="GT58" s="773"/>
      <c r="GU58" s="773"/>
      <c r="GV58" s="773"/>
      <c r="GW58" s="773"/>
      <c r="GX58" s="773"/>
      <c r="GY58" s="773"/>
      <c r="GZ58" s="773"/>
    </row>
    <row r="59" spans="1:208" s="11" customFormat="1">
      <c r="A59" s="774"/>
      <c r="B59" s="3761" t="s">
        <v>1350</v>
      </c>
      <c r="C59" s="197">
        <v>229283</v>
      </c>
      <c r="D59" s="801" t="s">
        <v>3753</v>
      </c>
      <c r="E59" s="809">
        <f>IFERROR(VLOOKUP(C59,'AJE 12 - INC'!$D$168:$F$345,3,0),0)</f>
        <v>0</v>
      </c>
      <c r="F59" s="1325">
        <f>SUMIF('AJE 12 - INC'!B:B,'New TB INC'!C59,'AJE 12 - INC'!D:D)</f>
        <v>0</v>
      </c>
      <c r="G59" s="1326"/>
      <c r="H59" s="1326"/>
      <c r="I59" s="1326"/>
      <c r="J59" s="796">
        <f t="shared" si="6"/>
        <v>0</v>
      </c>
      <c r="K59" s="779"/>
      <c r="L59" s="434"/>
      <c r="M59" s="2679"/>
      <c r="N59" s="772"/>
      <c r="O59" s="772"/>
      <c r="P59" s="772"/>
      <c r="Q59" s="772"/>
      <c r="R59" s="772"/>
      <c r="S59" s="772"/>
      <c r="T59" s="773"/>
      <c r="AW59" s="2514"/>
      <c r="AX59" s="820"/>
      <c r="AY59" s="820"/>
      <c r="AZ59" s="820"/>
      <c r="BA59" s="30"/>
      <c r="BB59" s="30"/>
      <c r="BC59" s="2514"/>
      <c r="BD59" s="2514"/>
      <c r="BE59" s="2514"/>
      <c r="BF59" s="2514"/>
      <c r="BH59" s="2514"/>
      <c r="BI59" s="30"/>
      <c r="BJ59" s="30"/>
      <c r="BK59" s="30"/>
      <c r="BL59" s="30"/>
      <c r="BM59" s="30"/>
      <c r="BN59" s="30"/>
      <c r="BO59" s="209"/>
      <c r="BP59" s="209"/>
      <c r="BQ59" s="785"/>
      <c r="BR59" s="820"/>
      <c r="BS59" s="820"/>
      <c r="BT59" s="30"/>
      <c r="BU59" s="800"/>
      <c r="BV59" s="800"/>
      <c r="BW59" s="209"/>
      <c r="CA59" s="787"/>
      <c r="DB59" s="773"/>
      <c r="DC59" s="773"/>
      <c r="DD59" s="773"/>
      <c r="DE59" s="773"/>
      <c r="DF59" s="773"/>
      <c r="DG59" s="773"/>
      <c r="DH59" s="773"/>
      <c r="DI59" s="773"/>
      <c r="DJ59" s="773"/>
      <c r="DK59" s="773"/>
      <c r="DL59" s="773"/>
      <c r="DM59" s="773"/>
      <c r="DN59" s="773"/>
      <c r="DO59" s="773"/>
      <c r="DP59" s="773"/>
      <c r="DQ59" s="773"/>
      <c r="DR59" s="773"/>
      <c r="DS59" s="773"/>
      <c r="DT59" s="773"/>
      <c r="DU59" s="773"/>
      <c r="DV59" s="773"/>
      <c r="DW59" s="773"/>
      <c r="DX59" s="773"/>
      <c r="DY59" s="773"/>
      <c r="DZ59" s="773"/>
      <c r="EA59" s="773"/>
      <c r="EB59" s="773"/>
      <c r="EC59" s="773"/>
      <c r="ED59" s="773"/>
      <c r="EE59" s="773"/>
      <c r="EF59" s="773"/>
      <c r="EG59" s="773"/>
      <c r="EH59" s="773"/>
      <c r="EI59" s="773"/>
      <c r="EJ59" s="773"/>
      <c r="EK59" s="773"/>
      <c r="EL59" s="773"/>
      <c r="EM59" s="773"/>
      <c r="EN59" s="773"/>
      <c r="EO59" s="773"/>
      <c r="EP59" s="773"/>
      <c r="EQ59" s="773"/>
      <c r="ER59" s="773"/>
      <c r="ES59" s="773"/>
      <c r="ET59" s="773"/>
      <c r="EU59" s="773"/>
      <c r="EV59" s="773"/>
      <c r="EW59" s="773"/>
      <c r="EX59" s="773"/>
      <c r="EY59" s="773"/>
      <c r="EZ59" s="773"/>
      <c r="FA59" s="773"/>
      <c r="FB59" s="773"/>
      <c r="FC59" s="773"/>
      <c r="FD59" s="773"/>
      <c r="FE59" s="773"/>
      <c r="FF59" s="773"/>
      <c r="FG59" s="773"/>
      <c r="FH59" s="773"/>
      <c r="FI59" s="773"/>
      <c r="FJ59" s="773"/>
      <c r="FK59" s="773"/>
      <c r="FL59" s="773"/>
      <c r="FM59" s="773"/>
      <c r="FN59" s="773"/>
      <c r="FO59" s="773"/>
      <c r="FP59" s="773"/>
      <c r="FQ59" s="773"/>
      <c r="FR59" s="773"/>
      <c r="FS59" s="773"/>
      <c r="FT59" s="773"/>
      <c r="FU59" s="773"/>
      <c r="FV59" s="773"/>
      <c r="FW59" s="773"/>
      <c r="FX59" s="773"/>
      <c r="FY59" s="773"/>
      <c r="FZ59" s="773"/>
      <c r="GA59" s="773"/>
      <c r="GB59" s="773"/>
      <c r="GC59" s="773"/>
      <c r="GD59" s="773"/>
      <c r="GE59" s="773"/>
      <c r="GF59" s="773"/>
      <c r="GG59" s="773"/>
      <c r="GH59" s="773"/>
      <c r="GI59" s="773"/>
      <c r="GJ59" s="773"/>
      <c r="GK59" s="773"/>
      <c r="GL59" s="773"/>
      <c r="GM59" s="773"/>
      <c r="GN59" s="773"/>
      <c r="GO59" s="773"/>
      <c r="GP59" s="773"/>
      <c r="GQ59" s="773"/>
      <c r="GR59" s="773"/>
      <c r="GS59" s="773"/>
      <c r="GT59" s="773"/>
      <c r="GU59" s="773"/>
      <c r="GV59" s="773"/>
      <c r="GW59" s="773"/>
      <c r="GX59" s="773"/>
      <c r="GY59" s="773"/>
      <c r="GZ59" s="773"/>
    </row>
    <row r="60" spans="1:208" s="11" customFormat="1">
      <c r="A60" s="774"/>
      <c r="B60" s="3761" t="s">
        <v>1350</v>
      </c>
      <c r="C60" s="197">
        <v>230994</v>
      </c>
      <c r="D60" s="801" t="s">
        <v>3754</v>
      </c>
      <c r="E60" s="809">
        <f>IFERROR(VLOOKUP(C60,'AJE 12 - INC'!$D$168:$F$345,3,0),0)</f>
        <v>6800</v>
      </c>
      <c r="F60" s="1325">
        <f>SUMIF('AJE 12 - INC'!B:B,'New TB INC'!C60,'AJE 12 - INC'!D:D)</f>
        <v>0</v>
      </c>
      <c r="G60" s="1326"/>
      <c r="H60" s="1326"/>
      <c r="I60" s="1326"/>
      <c r="J60" s="796">
        <f t="shared" si="6"/>
        <v>6800</v>
      </c>
      <c r="K60" s="779"/>
      <c r="L60" s="434"/>
      <c r="M60" s="2679"/>
      <c r="N60" s="772"/>
      <c r="O60" s="772"/>
      <c r="P60" s="772"/>
      <c r="Q60" s="772"/>
      <c r="R60" s="772"/>
      <c r="S60" s="772"/>
      <c r="T60" s="773"/>
      <c r="AW60" s="2514"/>
      <c r="AX60" s="820"/>
      <c r="AY60" s="820"/>
      <c r="AZ60" s="820"/>
      <c r="BA60" s="30"/>
      <c r="BB60" s="30"/>
      <c r="BC60" s="2514"/>
      <c r="BD60" s="2514"/>
      <c r="BE60" s="2514"/>
      <c r="BF60" s="2514"/>
      <c r="BH60" s="2514"/>
      <c r="BI60" s="30"/>
      <c r="BJ60" s="30"/>
      <c r="BK60" s="30"/>
      <c r="BL60" s="30"/>
      <c r="BM60" s="30"/>
      <c r="BN60" s="30"/>
      <c r="BO60" s="209"/>
      <c r="BP60" s="209"/>
      <c r="BQ60" s="785"/>
      <c r="BR60" s="820"/>
      <c r="BS60" s="820"/>
      <c r="BT60" s="30"/>
      <c r="BU60" s="800"/>
      <c r="BV60" s="800"/>
      <c r="BW60" s="209"/>
      <c r="CA60" s="787"/>
      <c r="DB60" s="773"/>
      <c r="DC60" s="773"/>
      <c r="DD60" s="773"/>
      <c r="DE60" s="773"/>
      <c r="DF60" s="773"/>
      <c r="DG60" s="773"/>
      <c r="DH60" s="773"/>
      <c r="DI60" s="773"/>
      <c r="DJ60" s="773"/>
      <c r="DK60" s="773"/>
      <c r="DL60" s="773"/>
      <c r="DM60" s="773"/>
      <c r="DN60" s="773"/>
      <c r="DO60" s="773"/>
      <c r="DP60" s="773"/>
      <c r="DQ60" s="773"/>
      <c r="DR60" s="773"/>
      <c r="DS60" s="773"/>
      <c r="DT60" s="773"/>
      <c r="DU60" s="773"/>
      <c r="DV60" s="773"/>
      <c r="DW60" s="773"/>
      <c r="DX60" s="773"/>
      <c r="DY60" s="773"/>
      <c r="DZ60" s="773"/>
      <c r="EA60" s="773"/>
      <c r="EB60" s="773"/>
      <c r="EC60" s="773"/>
      <c r="ED60" s="773"/>
      <c r="EE60" s="773"/>
      <c r="EF60" s="773"/>
      <c r="EG60" s="773"/>
      <c r="EH60" s="773"/>
      <c r="EI60" s="773"/>
      <c r="EJ60" s="773"/>
      <c r="EK60" s="773"/>
      <c r="EL60" s="773"/>
      <c r="EM60" s="773"/>
      <c r="EN60" s="773"/>
      <c r="EO60" s="773"/>
      <c r="EP60" s="773"/>
      <c r="EQ60" s="773"/>
      <c r="ER60" s="773"/>
      <c r="ES60" s="773"/>
      <c r="ET60" s="773"/>
      <c r="EU60" s="773"/>
      <c r="EV60" s="773"/>
      <c r="EW60" s="773"/>
      <c r="EX60" s="773"/>
      <c r="EY60" s="773"/>
      <c r="EZ60" s="773"/>
      <c r="FA60" s="773"/>
      <c r="FB60" s="773"/>
      <c r="FC60" s="773"/>
      <c r="FD60" s="773"/>
      <c r="FE60" s="773"/>
      <c r="FF60" s="773"/>
      <c r="FG60" s="773"/>
      <c r="FH60" s="773"/>
      <c r="FI60" s="773"/>
      <c r="FJ60" s="773"/>
      <c r="FK60" s="773"/>
      <c r="FL60" s="773"/>
      <c r="FM60" s="773"/>
      <c r="FN60" s="773"/>
      <c r="FO60" s="773"/>
      <c r="FP60" s="773"/>
      <c r="FQ60" s="773"/>
      <c r="FR60" s="773"/>
      <c r="FS60" s="773"/>
      <c r="FT60" s="773"/>
      <c r="FU60" s="773"/>
      <c r="FV60" s="773"/>
      <c r="FW60" s="773"/>
      <c r="FX60" s="773"/>
      <c r="FY60" s="773"/>
      <c r="FZ60" s="773"/>
      <c r="GA60" s="773"/>
      <c r="GB60" s="773"/>
      <c r="GC60" s="773"/>
      <c r="GD60" s="773"/>
      <c r="GE60" s="773"/>
      <c r="GF60" s="773"/>
      <c r="GG60" s="773"/>
      <c r="GH60" s="773"/>
      <c r="GI60" s="773"/>
      <c r="GJ60" s="773"/>
      <c r="GK60" s="773"/>
      <c r="GL60" s="773"/>
      <c r="GM60" s="773"/>
      <c r="GN60" s="773"/>
      <c r="GO60" s="773"/>
      <c r="GP60" s="773"/>
      <c r="GQ60" s="773"/>
      <c r="GR60" s="773"/>
      <c r="GS60" s="773"/>
      <c r="GT60" s="773"/>
      <c r="GU60" s="773"/>
      <c r="GV60" s="773"/>
      <c r="GW60" s="773"/>
      <c r="GX60" s="773"/>
      <c r="GY60" s="773"/>
      <c r="GZ60" s="773"/>
    </row>
    <row r="61" spans="1:208" s="11" customFormat="1">
      <c r="A61" s="774"/>
      <c r="B61" s="3761" t="s">
        <v>1350</v>
      </c>
      <c r="C61" s="197">
        <v>231539</v>
      </c>
      <c r="D61" s="801" t="s">
        <v>3755</v>
      </c>
      <c r="E61" s="809">
        <f>IFERROR(VLOOKUP(C61,'AJE 12 - INC'!$D$168:$F$345,3,0),0)</f>
        <v>468679.33</v>
      </c>
      <c r="F61" s="1325">
        <f>SUMIF('AJE 12 - INC'!B:B,'New TB INC'!C61,'AJE 12 - INC'!D:D)</f>
        <v>0</v>
      </c>
      <c r="G61" s="1326"/>
      <c r="H61" s="1326"/>
      <c r="I61" s="1326"/>
      <c r="J61" s="796">
        <f t="shared" si="6"/>
        <v>468679.33</v>
      </c>
      <c r="K61" s="779"/>
      <c r="L61" s="434"/>
      <c r="M61" s="2679"/>
      <c r="N61" s="772"/>
      <c r="O61" s="772"/>
      <c r="P61" s="772"/>
      <c r="Q61" s="772"/>
      <c r="R61" s="772"/>
      <c r="S61" s="772"/>
      <c r="T61" s="773"/>
      <c r="AW61" s="2514"/>
      <c r="AX61" s="820"/>
      <c r="AY61" s="820"/>
      <c r="AZ61" s="820"/>
      <c r="BA61" s="30"/>
      <c r="BB61" s="30"/>
      <c r="BC61" s="2514"/>
      <c r="BD61" s="2514"/>
      <c r="BE61" s="2514"/>
      <c r="BF61" s="2514"/>
      <c r="BH61" s="2514"/>
      <c r="BI61" s="30"/>
      <c r="BJ61" s="30"/>
      <c r="BK61" s="30"/>
      <c r="BL61" s="30"/>
      <c r="BM61" s="30"/>
      <c r="BN61" s="30"/>
      <c r="BO61" s="209"/>
      <c r="BP61" s="209"/>
      <c r="BQ61" s="785"/>
      <c r="BR61" s="820"/>
      <c r="BS61" s="820"/>
      <c r="BT61" s="30"/>
      <c r="BU61" s="800"/>
      <c r="BV61" s="800"/>
      <c r="BW61" s="209"/>
      <c r="CA61" s="787"/>
      <c r="DB61" s="773"/>
      <c r="DC61" s="773"/>
      <c r="DD61" s="773"/>
      <c r="DE61" s="773"/>
      <c r="DF61" s="773"/>
      <c r="DG61" s="773"/>
      <c r="DH61" s="773"/>
      <c r="DI61" s="773"/>
      <c r="DJ61" s="773"/>
      <c r="DK61" s="773"/>
      <c r="DL61" s="773"/>
      <c r="DM61" s="773"/>
      <c r="DN61" s="773"/>
      <c r="DO61" s="773"/>
      <c r="DP61" s="773"/>
      <c r="DQ61" s="773"/>
      <c r="DR61" s="773"/>
      <c r="DS61" s="773"/>
      <c r="DT61" s="773"/>
      <c r="DU61" s="773"/>
      <c r="DV61" s="773"/>
      <c r="DW61" s="773"/>
      <c r="DX61" s="773"/>
      <c r="DY61" s="773"/>
      <c r="DZ61" s="773"/>
      <c r="EA61" s="773"/>
      <c r="EB61" s="773"/>
      <c r="EC61" s="773"/>
      <c r="ED61" s="773"/>
      <c r="EE61" s="773"/>
      <c r="EF61" s="773"/>
      <c r="EG61" s="773"/>
      <c r="EH61" s="773"/>
      <c r="EI61" s="773"/>
      <c r="EJ61" s="773"/>
      <c r="EK61" s="773"/>
      <c r="EL61" s="773"/>
      <c r="EM61" s="773"/>
      <c r="EN61" s="773"/>
      <c r="EO61" s="773"/>
      <c r="EP61" s="773"/>
      <c r="EQ61" s="773"/>
      <c r="ER61" s="773"/>
      <c r="ES61" s="773"/>
      <c r="ET61" s="773"/>
      <c r="EU61" s="773"/>
      <c r="EV61" s="773"/>
      <c r="EW61" s="773"/>
      <c r="EX61" s="773"/>
      <c r="EY61" s="773"/>
      <c r="EZ61" s="773"/>
      <c r="FA61" s="773"/>
      <c r="FB61" s="773"/>
      <c r="FC61" s="773"/>
      <c r="FD61" s="773"/>
      <c r="FE61" s="773"/>
      <c r="FF61" s="773"/>
      <c r="FG61" s="773"/>
      <c r="FH61" s="773"/>
      <c r="FI61" s="773"/>
      <c r="FJ61" s="773"/>
      <c r="FK61" s="773"/>
      <c r="FL61" s="773"/>
      <c r="FM61" s="773"/>
      <c r="FN61" s="773"/>
      <c r="FO61" s="773"/>
      <c r="FP61" s="773"/>
      <c r="FQ61" s="773"/>
      <c r="FR61" s="773"/>
      <c r="FS61" s="773"/>
      <c r="FT61" s="773"/>
      <c r="FU61" s="773"/>
      <c r="FV61" s="773"/>
      <c r="FW61" s="773"/>
      <c r="FX61" s="773"/>
      <c r="FY61" s="773"/>
      <c r="FZ61" s="773"/>
      <c r="GA61" s="773"/>
      <c r="GB61" s="773"/>
      <c r="GC61" s="773"/>
      <c r="GD61" s="773"/>
      <c r="GE61" s="773"/>
      <c r="GF61" s="773"/>
      <c r="GG61" s="773"/>
      <c r="GH61" s="773"/>
      <c r="GI61" s="773"/>
      <c r="GJ61" s="773"/>
      <c r="GK61" s="773"/>
      <c r="GL61" s="773"/>
      <c r="GM61" s="773"/>
      <c r="GN61" s="773"/>
      <c r="GO61" s="773"/>
      <c r="GP61" s="773"/>
      <c r="GQ61" s="773"/>
      <c r="GR61" s="773"/>
      <c r="GS61" s="773"/>
      <c r="GT61" s="773"/>
      <c r="GU61" s="773"/>
      <c r="GV61" s="773"/>
      <c r="GW61" s="773"/>
      <c r="GX61" s="773"/>
      <c r="GY61" s="773"/>
      <c r="GZ61" s="773"/>
    </row>
    <row r="62" spans="1:208" s="11" customFormat="1">
      <c r="A62" s="774"/>
      <c r="B62" s="3761" t="s">
        <v>1350</v>
      </c>
      <c r="C62" s="197">
        <v>205578</v>
      </c>
      <c r="D62" s="801" t="s">
        <v>3653</v>
      </c>
      <c r="E62" s="809">
        <f>IFERROR(VLOOKUP(C62,'AJE 12 - INC'!$D$168:$F$345,3,0),0)</f>
        <v>0</v>
      </c>
      <c r="F62" s="1325">
        <f>SUMIF('AJE 12 - INC'!B:B,'New TB INC'!C62,'AJE 12 - INC'!D:D)</f>
        <v>0</v>
      </c>
      <c r="G62" s="1326"/>
      <c r="H62" s="1326"/>
      <c r="I62" s="1326"/>
      <c r="J62" s="796">
        <f>SUM(E62:I62)</f>
        <v>0</v>
      </c>
      <c r="K62" s="779"/>
      <c r="L62" s="434"/>
      <c r="M62" s="2679"/>
      <c r="N62" s="772"/>
      <c r="O62" s="772"/>
      <c r="P62" s="772"/>
      <c r="Q62" s="772"/>
      <c r="R62" s="772"/>
      <c r="S62" s="772"/>
      <c r="T62" s="773"/>
      <c r="AW62" s="2514"/>
      <c r="AX62" s="820"/>
      <c r="AY62" s="820"/>
      <c r="AZ62" s="820"/>
      <c r="BA62" s="30"/>
      <c r="BB62" s="30"/>
      <c r="BC62" s="2514"/>
      <c r="BD62" s="2514"/>
      <c r="BE62" s="2514"/>
      <c r="BF62" s="2514"/>
      <c r="BH62" s="2514"/>
      <c r="BI62" s="30"/>
      <c r="BJ62" s="30"/>
      <c r="BK62" s="30"/>
      <c r="BL62" s="30"/>
      <c r="BM62" s="30"/>
      <c r="BN62" s="30"/>
      <c r="BO62" s="209"/>
      <c r="BP62" s="209"/>
      <c r="BQ62" s="785"/>
      <c r="BR62" s="820"/>
      <c r="BS62" s="820"/>
      <c r="BT62" s="30"/>
      <c r="BU62" s="800"/>
      <c r="BV62" s="800"/>
      <c r="BW62" s="209"/>
      <c r="CA62" s="787"/>
      <c r="DB62" s="773"/>
      <c r="DC62" s="773"/>
      <c r="DD62" s="773"/>
      <c r="DE62" s="773"/>
      <c r="DF62" s="773"/>
      <c r="DG62" s="773"/>
      <c r="DH62" s="773"/>
      <c r="DI62" s="773"/>
      <c r="DJ62" s="773"/>
      <c r="DK62" s="773"/>
      <c r="DL62" s="773"/>
      <c r="DM62" s="773"/>
      <c r="DN62" s="773"/>
      <c r="DO62" s="773"/>
      <c r="DP62" s="773"/>
      <c r="DQ62" s="773"/>
      <c r="DR62" s="773"/>
      <c r="DS62" s="773"/>
      <c r="DT62" s="773"/>
      <c r="DU62" s="773"/>
      <c r="DV62" s="773"/>
      <c r="DW62" s="773"/>
      <c r="DX62" s="773"/>
      <c r="DY62" s="773"/>
      <c r="DZ62" s="773"/>
      <c r="EA62" s="773"/>
      <c r="EB62" s="773"/>
      <c r="EC62" s="773"/>
      <c r="ED62" s="773"/>
      <c r="EE62" s="773"/>
      <c r="EF62" s="773"/>
      <c r="EG62" s="773"/>
      <c r="EH62" s="773"/>
      <c r="EI62" s="773"/>
      <c r="EJ62" s="773"/>
      <c r="EK62" s="773"/>
      <c r="EL62" s="773"/>
      <c r="EM62" s="773"/>
      <c r="EN62" s="773"/>
      <c r="EO62" s="773"/>
      <c r="EP62" s="773"/>
      <c r="EQ62" s="773"/>
      <c r="ER62" s="773"/>
      <c r="ES62" s="773"/>
      <c r="ET62" s="773"/>
      <c r="EU62" s="773"/>
      <c r="EV62" s="773"/>
      <c r="EW62" s="773"/>
      <c r="EX62" s="773"/>
      <c r="EY62" s="773"/>
      <c r="EZ62" s="773"/>
      <c r="FA62" s="773"/>
      <c r="FB62" s="773"/>
      <c r="FC62" s="773"/>
      <c r="FD62" s="773"/>
      <c r="FE62" s="773"/>
      <c r="FF62" s="773"/>
      <c r="FG62" s="773"/>
      <c r="FH62" s="773"/>
      <c r="FI62" s="773"/>
      <c r="FJ62" s="773"/>
      <c r="FK62" s="773"/>
      <c r="FL62" s="773"/>
      <c r="FM62" s="773"/>
      <c r="FN62" s="773"/>
      <c r="FO62" s="773"/>
      <c r="FP62" s="773"/>
      <c r="FQ62" s="773"/>
      <c r="FR62" s="773"/>
      <c r="FS62" s="773"/>
      <c r="FT62" s="773"/>
      <c r="FU62" s="773"/>
      <c r="FV62" s="773"/>
      <c r="FW62" s="773"/>
      <c r="FX62" s="773"/>
      <c r="FY62" s="773"/>
      <c r="FZ62" s="773"/>
      <c r="GA62" s="773"/>
      <c r="GB62" s="773"/>
      <c r="GC62" s="773"/>
      <c r="GD62" s="773"/>
      <c r="GE62" s="773"/>
      <c r="GF62" s="773"/>
      <c r="GG62" s="773"/>
      <c r="GH62" s="773"/>
      <c r="GI62" s="773"/>
      <c r="GJ62" s="773"/>
      <c r="GK62" s="773"/>
      <c r="GL62" s="773"/>
      <c r="GM62" s="773"/>
      <c r="GN62" s="773"/>
      <c r="GO62" s="773"/>
      <c r="GP62" s="773"/>
      <c r="GQ62" s="773"/>
      <c r="GR62" s="773"/>
      <c r="GS62" s="773"/>
      <c r="GT62" s="773"/>
      <c r="GU62" s="773"/>
      <c r="GV62" s="773"/>
      <c r="GW62" s="773"/>
      <c r="GX62" s="773"/>
      <c r="GY62" s="773"/>
      <c r="GZ62" s="773"/>
    </row>
    <row r="63" spans="1:208" s="11" customFormat="1">
      <c r="A63" s="774"/>
      <c r="B63" s="3761" t="s">
        <v>1350</v>
      </c>
      <c r="C63" s="197">
        <v>222383</v>
      </c>
      <c r="D63" s="801" t="s">
        <v>3654</v>
      </c>
      <c r="E63" s="809">
        <f>IFERROR(VLOOKUP(C63,'AJE 12 - INC'!$D$168:$F$345,3,0),0)</f>
        <v>0</v>
      </c>
      <c r="F63" s="1325">
        <f>SUMIF('AJE 12 - INC'!B:B,'New TB INC'!C63,'AJE 12 - INC'!D:D)</f>
        <v>0</v>
      </c>
      <c r="G63" s="1326"/>
      <c r="H63" s="1326"/>
      <c r="I63" s="1326"/>
      <c r="J63" s="796">
        <f>SUM(E63:I63)</f>
        <v>0</v>
      </c>
      <c r="K63" s="779"/>
      <c r="L63" s="434"/>
      <c r="M63" s="2679"/>
      <c r="N63" s="772"/>
      <c r="O63" s="772"/>
      <c r="P63" s="772"/>
      <c r="Q63" s="772"/>
      <c r="R63" s="772"/>
      <c r="S63" s="772"/>
      <c r="T63" s="773"/>
      <c r="AW63" s="2514"/>
      <c r="AX63" s="820"/>
      <c r="AY63" s="820"/>
      <c r="AZ63" s="820"/>
      <c r="BA63" s="30"/>
      <c r="BB63" s="30"/>
      <c r="BC63" s="2514"/>
      <c r="BD63" s="2514"/>
      <c r="BE63" s="2514"/>
      <c r="BF63" s="2514"/>
      <c r="BH63" s="2514"/>
      <c r="BI63" s="30"/>
      <c r="BJ63" s="30"/>
      <c r="BK63" s="30"/>
      <c r="BL63" s="30"/>
      <c r="BM63" s="30"/>
      <c r="BN63" s="30"/>
      <c r="BO63" s="209"/>
      <c r="BP63" s="209"/>
      <c r="BQ63" s="785"/>
      <c r="BR63" s="820"/>
      <c r="BS63" s="820"/>
      <c r="BT63" s="30"/>
      <c r="BU63" s="800"/>
      <c r="BV63" s="800"/>
      <c r="BW63" s="209"/>
      <c r="CA63" s="787"/>
      <c r="DB63" s="773"/>
      <c r="DC63" s="773"/>
      <c r="DD63" s="773"/>
      <c r="DE63" s="773"/>
      <c r="DF63" s="773"/>
      <c r="DG63" s="773"/>
      <c r="DH63" s="773"/>
      <c r="DI63" s="773"/>
      <c r="DJ63" s="773"/>
      <c r="DK63" s="773"/>
      <c r="DL63" s="773"/>
      <c r="DM63" s="773"/>
      <c r="DN63" s="773"/>
      <c r="DO63" s="773"/>
      <c r="DP63" s="773"/>
      <c r="DQ63" s="773"/>
      <c r="DR63" s="773"/>
      <c r="DS63" s="773"/>
      <c r="DT63" s="773"/>
      <c r="DU63" s="773"/>
      <c r="DV63" s="773"/>
      <c r="DW63" s="773"/>
      <c r="DX63" s="773"/>
      <c r="DY63" s="773"/>
      <c r="DZ63" s="773"/>
      <c r="EA63" s="773"/>
      <c r="EB63" s="773"/>
      <c r="EC63" s="773"/>
      <c r="ED63" s="773"/>
      <c r="EE63" s="773"/>
      <c r="EF63" s="773"/>
      <c r="EG63" s="773"/>
      <c r="EH63" s="773"/>
      <c r="EI63" s="773"/>
      <c r="EJ63" s="773"/>
      <c r="EK63" s="773"/>
      <c r="EL63" s="773"/>
      <c r="EM63" s="773"/>
      <c r="EN63" s="773"/>
      <c r="EO63" s="773"/>
      <c r="EP63" s="773"/>
      <c r="EQ63" s="773"/>
      <c r="ER63" s="773"/>
      <c r="ES63" s="773"/>
      <c r="ET63" s="773"/>
      <c r="EU63" s="773"/>
      <c r="EV63" s="773"/>
      <c r="EW63" s="773"/>
      <c r="EX63" s="773"/>
      <c r="EY63" s="773"/>
      <c r="EZ63" s="773"/>
      <c r="FA63" s="773"/>
      <c r="FB63" s="773"/>
      <c r="FC63" s="773"/>
      <c r="FD63" s="773"/>
      <c r="FE63" s="773"/>
      <c r="FF63" s="773"/>
      <c r="FG63" s="773"/>
      <c r="FH63" s="773"/>
      <c r="FI63" s="773"/>
      <c r="FJ63" s="773"/>
      <c r="FK63" s="773"/>
      <c r="FL63" s="773"/>
      <c r="FM63" s="773"/>
      <c r="FN63" s="773"/>
      <c r="FO63" s="773"/>
      <c r="FP63" s="773"/>
      <c r="FQ63" s="773"/>
      <c r="FR63" s="773"/>
      <c r="FS63" s="773"/>
      <c r="FT63" s="773"/>
      <c r="FU63" s="773"/>
      <c r="FV63" s="773"/>
      <c r="FW63" s="773"/>
      <c r="FX63" s="773"/>
      <c r="FY63" s="773"/>
      <c r="FZ63" s="773"/>
      <c r="GA63" s="773"/>
      <c r="GB63" s="773"/>
      <c r="GC63" s="773"/>
      <c r="GD63" s="773"/>
      <c r="GE63" s="773"/>
      <c r="GF63" s="773"/>
      <c r="GG63" s="773"/>
      <c r="GH63" s="773"/>
      <c r="GI63" s="773"/>
      <c r="GJ63" s="773"/>
      <c r="GK63" s="773"/>
      <c r="GL63" s="773"/>
      <c r="GM63" s="773"/>
      <c r="GN63" s="773"/>
      <c r="GO63" s="773"/>
      <c r="GP63" s="773"/>
      <c r="GQ63" s="773"/>
      <c r="GR63" s="773"/>
      <c r="GS63" s="773"/>
      <c r="GT63" s="773"/>
      <c r="GU63" s="773"/>
      <c r="GV63" s="773"/>
      <c r="GW63" s="773"/>
      <c r="GX63" s="773"/>
      <c r="GY63" s="773"/>
      <c r="GZ63" s="773"/>
    </row>
    <row r="64" spans="1:208" s="11" customFormat="1">
      <c r="A64" s="774"/>
      <c r="B64" s="3761" t="s">
        <v>1350</v>
      </c>
      <c r="C64" s="197">
        <v>225474</v>
      </c>
      <c r="D64" s="801" t="s">
        <v>3655</v>
      </c>
      <c r="E64" s="809">
        <f>IFERROR(VLOOKUP(C64,'AJE 12 - INC'!$D$168:$F$345,3,0),0)</f>
        <v>0</v>
      </c>
      <c r="F64" s="1325">
        <f>SUMIF('AJE 12 - INC'!B:B,'New TB INC'!C64,'AJE 12 - INC'!D:D)</f>
        <v>0</v>
      </c>
      <c r="G64" s="1326"/>
      <c r="H64" s="1326"/>
      <c r="I64" s="1326"/>
      <c r="J64" s="796">
        <f>SUM(E64:I64)</f>
        <v>0</v>
      </c>
      <c r="K64" s="779"/>
      <c r="L64" s="434"/>
      <c r="M64" s="2679"/>
      <c r="N64" s="772"/>
      <c r="O64" s="772"/>
      <c r="P64" s="772"/>
      <c r="Q64" s="772"/>
      <c r="R64" s="772"/>
      <c r="S64" s="772"/>
      <c r="T64" s="773"/>
      <c r="AW64" s="2514"/>
      <c r="AX64" s="820"/>
      <c r="AY64" s="820"/>
      <c r="AZ64" s="820"/>
      <c r="BA64" s="30"/>
      <c r="BB64" s="30"/>
      <c r="BC64" s="2514"/>
      <c r="BD64" s="2514"/>
      <c r="BE64" s="2514"/>
      <c r="BF64" s="2514"/>
      <c r="BH64" s="2514"/>
      <c r="BI64" s="30"/>
      <c r="BJ64" s="30"/>
      <c r="BK64" s="30"/>
      <c r="BL64" s="30"/>
      <c r="BM64" s="30"/>
      <c r="BN64" s="30"/>
      <c r="BO64" s="209"/>
      <c r="BP64" s="209"/>
      <c r="BQ64" s="785"/>
      <c r="BR64" s="820"/>
      <c r="BS64" s="820"/>
      <c r="BT64" s="30"/>
      <c r="BU64" s="800"/>
      <c r="BV64" s="800"/>
      <c r="BW64" s="209"/>
      <c r="CA64" s="787"/>
      <c r="DB64" s="773"/>
      <c r="DC64" s="773"/>
      <c r="DD64" s="773"/>
      <c r="DE64" s="773"/>
      <c r="DF64" s="773"/>
      <c r="DG64" s="773"/>
      <c r="DH64" s="773"/>
      <c r="DI64" s="773"/>
      <c r="DJ64" s="773"/>
      <c r="DK64" s="773"/>
      <c r="DL64" s="773"/>
      <c r="DM64" s="773"/>
      <c r="DN64" s="773"/>
      <c r="DO64" s="773"/>
      <c r="DP64" s="773"/>
      <c r="DQ64" s="773"/>
      <c r="DR64" s="773"/>
      <c r="DS64" s="773"/>
      <c r="DT64" s="773"/>
      <c r="DU64" s="773"/>
      <c r="DV64" s="773"/>
      <c r="DW64" s="773"/>
      <c r="DX64" s="773"/>
      <c r="DY64" s="773"/>
      <c r="DZ64" s="773"/>
      <c r="EA64" s="773"/>
      <c r="EB64" s="773"/>
      <c r="EC64" s="773"/>
      <c r="ED64" s="773"/>
      <c r="EE64" s="773"/>
      <c r="EF64" s="773"/>
      <c r="EG64" s="773"/>
      <c r="EH64" s="773"/>
      <c r="EI64" s="773"/>
      <c r="EJ64" s="773"/>
      <c r="EK64" s="773"/>
      <c r="EL64" s="773"/>
      <c r="EM64" s="773"/>
      <c r="EN64" s="773"/>
      <c r="EO64" s="773"/>
      <c r="EP64" s="773"/>
      <c r="EQ64" s="773"/>
      <c r="ER64" s="773"/>
      <c r="ES64" s="773"/>
      <c r="ET64" s="773"/>
      <c r="EU64" s="773"/>
      <c r="EV64" s="773"/>
      <c r="EW64" s="773"/>
      <c r="EX64" s="773"/>
      <c r="EY64" s="773"/>
      <c r="EZ64" s="773"/>
      <c r="FA64" s="773"/>
      <c r="FB64" s="773"/>
      <c r="FC64" s="773"/>
      <c r="FD64" s="773"/>
      <c r="FE64" s="773"/>
      <c r="FF64" s="773"/>
      <c r="FG64" s="773"/>
      <c r="FH64" s="773"/>
      <c r="FI64" s="773"/>
      <c r="FJ64" s="773"/>
      <c r="FK64" s="773"/>
      <c r="FL64" s="773"/>
      <c r="FM64" s="773"/>
      <c r="FN64" s="773"/>
      <c r="FO64" s="773"/>
      <c r="FP64" s="773"/>
      <c r="FQ64" s="773"/>
      <c r="FR64" s="773"/>
      <c r="FS64" s="773"/>
      <c r="FT64" s="773"/>
      <c r="FU64" s="773"/>
      <c r="FV64" s="773"/>
      <c r="FW64" s="773"/>
      <c r="FX64" s="773"/>
      <c r="FY64" s="773"/>
      <c r="FZ64" s="773"/>
      <c r="GA64" s="773"/>
      <c r="GB64" s="773"/>
      <c r="GC64" s="773"/>
      <c r="GD64" s="773"/>
      <c r="GE64" s="773"/>
      <c r="GF64" s="773"/>
      <c r="GG64" s="773"/>
      <c r="GH64" s="773"/>
      <c r="GI64" s="773"/>
      <c r="GJ64" s="773"/>
      <c r="GK64" s="773"/>
      <c r="GL64" s="773"/>
      <c r="GM64" s="773"/>
      <c r="GN64" s="773"/>
      <c r="GO64" s="773"/>
      <c r="GP64" s="773"/>
      <c r="GQ64" s="773"/>
      <c r="GR64" s="773"/>
      <c r="GS64" s="773"/>
      <c r="GT64" s="773"/>
      <c r="GU64" s="773"/>
      <c r="GV64" s="773"/>
      <c r="GW64" s="773"/>
      <c r="GX64" s="773"/>
      <c r="GY64" s="773"/>
      <c r="GZ64" s="773"/>
    </row>
    <row r="65" spans="1:208" s="11" customFormat="1">
      <c r="A65" s="774"/>
      <c r="B65" s="3761" t="s">
        <v>1350</v>
      </c>
      <c r="C65" s="197">
        <v>213687</v>
      </c>
      <c r="D65" s="801" t="s">
        <v>3796</v>
      </c>
      <c r="E65" s="809">
        <f>IFERROR(VLOOKUP(C65,'AJE 12 - INC'!$D$168:$F$345,3,0),0)</f>
        <v>156245.76000000001</v>
      </c>
      <c r="F65" s="1325">
        <f>SUMIF('AJE 12 - INC'!B:B,'New TB INC'!C65,'AJE 12 - INC'!D:D)</f>
        <v>0</v>
      </c>
      <c r="G65" s="1326"/>
      <c r="H65" s="1326"/>
      <c r="I65" s="1326"/>
      <c r="J65" s="796">
        <f>SUM(E65:I65)</f>
        <v>156245.76000000001</v>
      </c>
      <c r="K65" s="779"/>
      <c r="L65" s="434"/>
      <c r="M65" s="2679"/>
      <c r="N65" s="772"/>
      <c r="O65" s="772"/>
      <c r="P65" s="772"/>
      <c r="Q65" s="772"/>
      <c r="R65" s="772"/>
      <c r="S65" s="772"/>
      <c r="T65" s="773"/>
      <c r="AW65" s="2514"/>
      <c r="AX65" s="820"/>
      <c r="AY65" s="820"/>
      <c r="AZ65" s="820"/>
      <c r="BA65" s="30"/>
      <c r="BB65" s="30"/>
      <c r="BC65" s="2514"/>
      <c r="BD65" s="2514"/>
      <c r="BE65" s="2514"/>
      <c r="BF65" s="2514"/>
      <c r="BH65" s="2514"/>
      <c r="BI65" s="30"/>
      <c r="BJ65" s="30"/>
      <c r="BK65" s="30"/>
      <c r="BL65" s="30"/>
      <c r="BM65" s="30"/>
      <c r="BN65" s="30"/>
      <c r="BO65" s="209"/>
      <c r="BP65" s="209"/>
      <c r="BQ65" s="785"/>
      <c r="BR65" s="820"/>
      <c r="BS65" s="820"/>
      <c r="BT65" s="30"/>
      <c r="BU65" s="800"/>
      <c r="BV65" s="800"/>
      <c r="BW65" s="209"/>
      <c r="CA65" s="787"/>
      <c r="DB65" s="773"/>
      <c r="DC65" s="773"/>
      <c r="DD65" s="773"/>
      <c r="DE65" s="773"/>
      <c r="DF65" s="773"/>
      <c r="DG65" s="773"/>
      <c r="DH65" s="773"/>
      <c r="DI65" s="773"/>
      <c r="DJ65" s="773"/>
      <c r="DK65" s="773"/>
      <c r="DL65" s="773"/>
      <c r="DM65" s="773"/>
      <c r="DN65" s="773"/>
      <c r="DO65" s="773"/>
      <c r="DP65" s="773"/>
      <c r="DQ65" s="773"/>
      <c r="DR65" s="773"/>
      <c r="DS65" s="773"/>
      <c r="DT65" s="773"/>
      <c r="DU65" s="773"/>
      <c r="DV65" s="773"/>
      <c r="DW65" s="773"/>
      <c r="DX65" s="773"/>
      <c r="DY65" s="773"/>
      <c r="DZ65" s="773"/>
      <c r="EA65" s="773"/>
      <c r="EB65" s="773"/>
      <c r="EC65" s="773"/>
      <c r="ED65" s="773"/>
      <c r="EE65" s="773"/>
      <c r="EF65" s="773"/>
      <c r="EG65" s="773"/>
      <c r="EH65" s="773"/>
      <c r="EI65" s="773"/>
      <c r="EJ65" s="773"/>
      <c r="EK65" s="773"/>
      <c r="EL65" s="773"/>
      <c r="EM65" s="773"/>
      <c r="EN65" s="773"/>
      <c r="EO65" s="773"/>
      <c r="EP65" s="773"/>
      <c r="EQ65" s="773"/>
      <c r="ER65" s="773"/>
      <c r="ES65" s="773"/>
      <c r="ET65" s="773"/>
      <c r="EU65" s="773"/>
      <c r="EV65" s="773"/>
      <c r="EW65" s="773"/>
      <c r="EX65" s="773"/>
      <c r="EY65" s="773"/>
      <c r="EZ65" s="773"/>
      <c r="FA65" s="773"/>
      <c r="FB65" s="773"/>
      <c r="FC65" s="773"/>
      <c r="FD65" s="773"/>
      <c r="FE65" s="773"/>
      <c r="FF65" s="773"/>
      <c r="FG65" s="773"/>
      <c r="FH65" s="773"/>
      <c r="FI65" s="773"/>
      <c r="FJ65" s="773"/>
      <c r="FK65" s="773"/>
      <c r="FL65" s="773"/>
      <c r="FM65" s="773"/>
      <c r="FN65" s="773"/>
      <c r="FO65" s="773"/>
      <c r="FP65" s="773"/>
      <c r="FQ65" s="773"/>
      <c r="FR65" s="773"/>
      <c r="FS65" s="773"/>
      <c r="FT65" s="773"/>
      <c r="FU65" s="773"/>
      <c r="FV65" s="773"/>
      <c r="FW65" s="773"/>
      <c r="FX65" s="773"/>
      <c r="FY65" s="773"/>
      <c r="FZ65" s="773"/>
      <c r="GA65" s="773"/>
      <c r="GB65" s="773"/>
      <c r="GC65" s="773"/>
      <c r="GD65" s="773"/>
      <c r="GE65" s="773"/>
      <c r="GF65" s="773"/>
      <c r="GG65" s="773"/>
      <c r="GH65" s="773"/>
      <c r="GI65" s="773"/>
      <c r="GJ65" s="773"/>
      <c r="GK65" s="773"/>
      <c r="GL65" s="773"/>
      <c r="GM65" s="773"/>
      <c r="GN65" s="773"/>
      <c r="GO65" s="773"/>
      <c r="GP65" s="773"/>
      <c r="GQ65" s="773"/>
      <c r="GR65" s="773"/>
      <c r="GS65" s="773"/>
      <c r="GT65" s="773"/>
      <c r="GU65" s="773"/>
      <c r="GV65" s="773"/>
      <c r="GW65" s="773"/>
      <c r="GX65" s="773"/>
      <c r="GY65" s="773"/>
      <c r="GZ65" s="773"/>
    </row>
    <row r="66" spans="1:208" s="11" customFormat="1">
      <c r="A66" s="774"/>
      <c r="B66" s="3761" t="s">
        <v>2350</v>
      </c>
      <c r="C66" s="197">
        <v>2120039</v>
      </c>
      <c r="D66" s="801" t="s">
        <v>3656</v>
      </c>
      <c r="E66" s="809">
        <f>IFERROR(VLOOKUP(C66,'AJE 12 - INC'!$D$168:$F$345,3,0),0)</f>
        <v>0</v>
      </c>
      <c r="F66" s="1325">
        <f>SUMIF('AJE 12 - INC'!B:B,'New TB INC'!C66,'AJE 12 - INC'!D:D)</f>
        <v>0</v>
      </c>
      <c r="G66" s="1326"/>
      <c r="H66" s="1326"/>
      <c r="I66" s="1326"/>
      <c r="J66" s="796">
        <f>SUM(E66:I66)</f>
        <v>0</v>
      </c>
      <c r="K66" s="779"/>
      <c r="L66" s="434"/>
      <c r="M66" s="2679"/>
      <c r="N66" s="772"/>
      <c r="O66" s="772"/>
      <c r="P66" s="772"/>
      <c r="Q66" s="772"/>
      <c r="R66" s="772"/>
      <c r="S66" s="772"/>
      <c r="T66" s="773"/>
      <c r="AW66" s="2514"/>
      <c r="AX66" s="820"/>
      <c r="AY66" s="820"/>
      <c r="AZ66" s="820"/>
      <c r="BA66" s="30"/>
      <c r="BB66" s="30"/>
      <c r="BC66" s="2514"/>
      <c r="BD66" s="2514"/>
      <c r="BE66" s="2514"/>
      <c r="BF66" s="2514"/>
      <c r="BH66" s="2514"/>
      <c r="BI66" s="30"/>
      <c r="BJ66" s="30"/>
      <c r="BK66" s="30"/>
      <c r="BL66" s="30"/>
      <c r="BM66" s="30"/>
      <c r="BN66" s="30"/>
      <c r="BO66" s="209"/>
      <c r="BP66" s="209"/>
      <c r="BQ66" s="785"/>
      <c r="BR66" s="820"/>
      <c r="BS66" s="820"/>
      <c r="BT66" s="30"/>
      <c r="BU66" s="800"/>
      <c r="BV66" s="800"/>
      <c r="BW66" s="209"/>
      <c r="CA66" s="787"/>
      <c r="DB66" s="773"/>
      <c r="DC66" s="773"/>
      <c r="DD66" s="773"/>
      <c r="DE66" s="773"/>
      <c r="DF66" s="773"/>
      <c r="DG66" s="773"/>
      <c r="DH66" s="773"/>
      <c r="DI66" s="773"/>
      <c r="DJ66" s="773"/>
      <c r="DK66" s="773"/>
      <c r="DL66" s="773"/>
      <c r="DM66" s="773"/>
      <c r="DN66" s="773"/>
      <c r="DO66" s="773"/>
      <c r="DP66" s="773"/>
      <c r="DQ66" s="773"/>
      <c r="DR66" s="773"/>
      <c r="DS66" s="773"/>
      <c r="DT66" s="773"/>
      <c r="DU66" s="773"/>
      <c r="DV66" s="773"/>
      <c r="DW66" s="773"/>
      <c r="DX66" s="773"/>
      <c r="DY66" s="773"/>
      <c r="DZ66" s="773"/>
      <c r="EA66" s="773"/>
      <c r="EB66" s="773"/>
      <c r="EC66" s="773"/>
      <c r="ED66" s="773"/>
      <c r="EE66" s="773"/>
      <c r="EF66" s="773"/>
      <c r="EG66" s="773"/>
      <c r="EH66" s="773"/>
      <c r="EI66" s="773"/>
      <c r="EJ66" s="773"/>
      <c r="EK66" s="773"/>
      <c r="EL66" s="773"/>
      <c r="EM66" s="773"/>
      <c r="EN66" s="773"/>
      <c r="EO66" s="773"/>
      <c r="EP66" s="773"/>
      <c r="EQ66" s="773"/>
      <c r="ER66" s="773"/>
      <c r="ES66" s="773"/>
      <c r="ET66" s="773"/>
      <c r="EU66" s="773"/>
      <c r="EV66" s="773"/>
      <c r="EW66" s="773"/>
      <c r="EX66" s="773"/>
      <c r="EY66" s="773"/>
      <c r="EZ66" s="773"/>
      <c r="FA66" s="773"/>
      <c r="FB66" s="773"/>
      <c r="FC66" s="773"/>
      <c r="FD66" s="773"/>
      <c r="FE66" s="773"/>
      <c r="FF66" s="773"/>
      <c r="FG66" s="773"/>
      <c r="FH66" s="773"/>
      <c r="FI66" s="773"/>
      <c r="FJ66" s="773"/>
      <c r="FK66" s="773"/>
      <c r="FL66" s="773"/>
      <c r="FM66" s="773"/>
      <c r="FN66" s="773"/>
      <c r="FO66" s="773"/>
      <c r="FP66" s="773"/>
      <c r="FQ66" s="773"/>
      <c r="FR66" s="773"/>
      <c r="FS66" s="773"/>
      <c r="FT66" s="773"/>
      <c r="FU66" s="773"/>
      <c r="FV66" s="773"/>
      <c r="FW66" s="773"/>
      <c r="FX66" s="773"/>
      <c r="FY66" s="773"/>
      <c r="FZ66" s="773"/>
      <c r="GA66" s="773"/>
      <c r="GB66" s="773"/>
      <c r="GC66" s="773"/>
      <c r="GD66" s="773"/>
      <c r="GE66" s="773"/>
      <c r="GF66" s="773"/>
      <c r="GG66" s="773"/>
      <c r="GH66" s="773"/>
      <c r="GI66" s="773"/>
      <c r="GJ66" s="773"/>
      <c r="GK66" s="773"/>
      <c r="GL66" s="773"/>
      <c r="GM66" s="773"/>
      <c r="GN66" s="773"/>
      <c r="GO66" s="773"/>
      <c r="GP66" s="773"/>
      <c r="GQ66" s="773"/>
      <c r="GR66" s="773"/>
      <c r="GS66" s="773"/>
      <c r="GT66" s="773"/>
      <c r="GU66" s="773"/>
      <c r="GV66" s="773"/>
      <c r="GW66" s="773"/>
      <c r="GX66" s="773"/>
      <c r="GY66" s="773"/>
      <c r="GZ66" s="773"/>
    </row>
    <row r="67" spans="1:208" s="11" customFormat="1">
      <c r="A67" s="774"/>
      <c r="B67" s="3761" t="s">
        <v>1350</v>
      </c>
      <c r="C67" s="197">
        <v>213335</v>
      </c>
      <c r="D67" s="801" t="s">
        <v>3581</v>
      </c>
      <c r="E67" s="809">
        <f>IFERROR(VLOOKUP(C67,'AJE 12 - INC'!$D$168:$F$345,3,0),0)</f>
        <v>0</v>
      </c>
      <c r="F67" s="1325">
        <f>SUMIF('AJE 12 - INC'!B:B,'New TB INC'!C67,'AJE 12 - INC'!D:D)</f>
        <v>0</v>
      </c>
      <c r="G67" s="1326"/>
      <c r="H67" s="1326"/>
      <c r="I67" s="1326"/>
      <c r="J67" s="796">
        <f t="shared" ref="J67:J73" si="7">SUM(E67:I67)</f>
        <v>0</v>
      </c>
      <c r="K67" s="779"/>
      <c r="L67" s="434"/>
      <c r="M67" s="2679"/>
      <c r="N67" s="772"/>
      <c r="O67" s="772"/>
      <c r="P67" s="772"/>
      <c r="Q67" s="772"/>
      <c r="R67" s="772"/>
      <c r="S67" s="772"/>
      <c r="T67" s="773"/>
      <c r="AW67" s="2514"/>
      <c r="AX67" s="820"/>
      <c r="AY67" s="820"/>
      <c r="AZ67" s="820"/>
      <c r="BA67" s="30"/>
      <c r="BB67" s="30"/>
      <c r="BC67" s="2514"/>
      <c r="BD67" s="2514"/>
      <c r="BE67" s="2514"/>
      <c r="BF67" s="2514"/>
      <c r="BH67" s="2514"/>
      <c r="BI67" s="30"/>
      <c r="BJ67" s="30"/>
      <c r="BK67" s="30"/>
      <c r="BL67" s="30"/>
      <c r="BM67" s="30"/>
      <c r="BN67" s="30"/>
      <c r="BO67" s="209"/>
      <c r="BP67" s="209"/>
      <c r="BQ67" s="785"/>
      <c r="BR67" s="820"/>
      <c r="BS67" s="820"/>
      <c r="BT67" s="30"/>
      <c r="BU67" s="800"/>
      <c r="BV67" s="800"/>
      <c r="BW67" s="209"/>
      <c r="CA67" s="787"/>
      <c r="DB67" s="773"/>
      <c r="DC67" s="773"/>
      <c r="DD67" s="773"/>
      <c r="DE67" s="773"/>
      <c r="DF67" s="773"/>
      <c r="DG67" s="773"/>
      <c r="DH67" s="773"/>
      <c r="DI67" s="773"/>
      <c r="DJ67" s="773"/>
      <c r="DK67" s="773"/>
      <c r="DL67" s="773"/>
      <c r="DM67" s="773"/>
      <c r="DN67" s="773"/>
      <c r="DO67" s="773"/>
      <c r="DP67" s="773"/>
      <c r="DQ67" s="773"/>
      <c r="DR67" s="773"/>
      <c r="DS67" s="773"/>
      <c r="DT67" s="773"/>
      <c r="DU67" s="773"/>
      <c r="DV67" s="773"/>
      <c r="DW67" s="773"/>
      <c r="DX67" s="773"/>
      <c r="DY67" s="773"/>
      <c r="DZ67" s="773"/>
      <c r="EA67" s="773"/>
      <c r="EB67" s="773"/>
      <c r="EC67" s="773"/>
      <c r="ED67" s="773"/>
      <c r="EE67" s="773"/>
      <c r="EF67" s="773"/>
      <c r="EG67" s="773"/>
      <c r="EH67" s="773"/>
      <c r="EI67" s="773"/>
      <c r="EJ67" s="773"/>
      <c r="EK67" s="773"/>
      <c r="EL67" s="773"/>
      <c r="EM67" s="773"/>
      <c r="EN67" s="773"/>
      <c r="EO67" s="773"/>
      <c r="EP67" s="773"/>
      <c r="EQ67" s="773"/>
      <c r="ER67" s="773"/>
      <c r="ES67" s="773"/>
      <c r="ET67" s="773"/>
      <c r="EU67" s="773"/>
      <c r="EV67" s="773"/>
      <c r="EW67" s="773"/>
      <c r="EX67" s="773"/>
      <c r="EY67" s="773"/>
      <c r="EZ67" s="773"/>
      <c r="FA67" s="773"/>
      <c r="FB67" s="773"/>
      <c r="FC67" s="773"/>
      <c r="FD67" s="773"/>
      <c r="FE67" s="773"/>
      <c r="FF67" s="773"/>
      <c r="FG67" s="773"/>
      <c r="FH67" s="773"/>
      <c r="FI67" s="773"/>
      <c r="FJ67" s="773"/>
      <c r="FK67" s="773"/>
      <c r="FL67" s="773"/>
      <c r="FM67" s="773"/>
      <c r="FN67" s="773"/>
      <c r="FO67" s="773"/>
      <c r="FP67" s="773"/>
      <c r="FQ67" s="773"/>
      <c r="FR67" s="773"/>
      <c r="FS67" s="773"/>
      <c r="FT67" s="773"/>
      <c r="FU67" s="773"/>
      <c r="FV67" s="773"/>
      <c r="FW67" s="773"/>
      <c r="FX67" s="773"/>
      <c r="FY67" s="773"/>
      <c r="FZ67" s="773"/>
      <c r="GA67" s="773"/>
      <c r="GB67" s="773"/>
      <c r="GC67" s="773"/>
      <c r="GD67" s="773"/>
      <c r="GE67" s="773"/>
      <c r="GF67" s="773"/>
      <c r="GG67" s="773"/>
      <c r="GH67" s="773"/>
      <c r="GI67" s="773"/>
      <c r="GJ67" s="773"/>
      <c r="GK67" s="773"/>
      <c r="GL67" s="773"/>
      <c r="GM67" s="773"/>
      <c r="GN67" s="773"/>
      <c r="GO67" s="773"/>
      <c r="GP67" s="773"/>
      <c r="GQ67" s="773"/>
      <c r="GR67" s="773"/>
      <c r="GS67" s="773"/>
      <c r="GT67" s="773"/>
      <c r="GU67" s="773"/>
      <c r="GV67" s="773"/>
      <c r="GW67" s="773"/>
      <c r="GX67" s="773"/>
      <c r="GY67" s="773"/>
      <c r="GZ67" s="773"/>
    </row>
    <row r="68" spans="1:208" s="11" customFormat="1">
      <c r="A68" s="774"/>
      <c r="B68" s="3761" t="s">
        <v>1350</v>
      </c>
      <c r="C68" s="197">
        <v>213666</v>
      </c>
      <c r="D68" s="801" t="s">
        <v>3582</v>
      </c>
      <c r="E68" s="809">
        <f>IFERROR(VLOOKUP(C68,'AJE 12 - INC'!$D$168:$F$345,3,0),0)</f>
        <v>0</v>
      </c>
      <c r="F68" s="1325">
        <f>SUMIF('AJE 12 - INC'!B:B,'New TB INC'!C68,'AJE 12 - INC'!D:D)</f>
        <v>0</v>
      </c>
      <c r="G68" s="1326"/>
      <c r="H68" s="1326"/>
      <c r="I68" s="1326"/>
      <c r="J68" s="796">
        <f t="shared" si="7"/>
        <v>0</v>
      </c>
      <c r="K68" s="779"/>
      <c r="L68" s="434"/>
      <c r="M68" s="2679"/>
      <c r="N68" s="772"/>
      <c r="O68" s="772"/>
      <c r="P68" s="772"/>
      <c r="Q68" s="772"/>
      <c r="R68" s="772"/>
      <c r="S68" s="772"/>
      <c r="T68" s="773"/>
      <c r="AW68" s="2514"/>
      <c r="AX68" s="820"/>
      <c r="AY68" s="820"/>
      <c r="AZ68" s="820"/>
      <c r="BA68" s="30"/>
      <c r="BB68" s="30"/>
      <c r="BC68" s="2514"/>
      <c r="BD68" s="2514"/>
      <c r="BE68" s="2514"/>
      <c r="BF68" s="2514"/>
      <c r="BH68" s="2514"/>
      <c r="BI68" s="30"/>
      <c r="BJ68" s="30"/>
      <c r="BK68" s="30"/>
      <c r="BL68" s="30"/>
      <c r="BM68" s="30"/>
      <c r="BN68" s="30"/>
      <c r="BO68" s="209"/>
      <c r="BP68" s="209"/>
      <c r="BQ68" s="785"/>
      <c r="BR68" s="820"/>
      <c r="BS68" s="820"/>
      <c r="BT68" s="30"/>
      <c r="BU68" s="800"/>
      <c r="BV68" s="800"/>
      <c r="BW68" s="209"/>
      <c r="CA68" s="787"/>
      <c r="DB68" s="773"/>
      <c r="DC68" s="773"/>
      <c r="DD68" s="773"/>
      <c r="DE68" s="773"/>
      <c r="DF68" s="773"/>
      <c r="DG68" s="773"/>
      <c r="DH68" s="773"/>
      <c r="DI68" s="773"/>
      <c r="DJ68" s="773"/>
      <c r="DK68" s="773"/>
      <c r="DL68" s="773"/>
      <c r="DM68" s="773"/>
      <c r="DN68" s="773"/>
      <c r="DO68" s="773"/>
      <c r="DP68" s="773"/>
      <c r="DQ68" s="773"/>
      <c r="DR68" s="773"/>
      <c r="DS68" s="773"/>
      <c r="DT68" s="773"/>
      <c r="DU68" s="773"/>
      <c r="DV68" s="773"/>
      <c r="DW68" s="773"/>
      <c r="DX68" s="773"/>
      <c r="DY68" s="773"/>
      <c r="DZ68" s="773"/>
      <c r="EA68" s="773"/>
      <c r="EB68" s="773"/>
      <c r="EC68" s="773"/>
      <c r="ED68" s="773"/>
      <c r="EE68" s="773"/>
      <c r="EF68" s="773"/>
      <c r="EG68" s="773"/>
      <c r="EH68" s="773"/>
      <c r="EI68" s="773"/>
      <c r="EJ68" s="773"/>
      <c r="EK68" s="773"/>
      <c r="EL68" s="773"/>
      <c r="EM68" s="773"/>
      <c r="EN68" s="773"/>
      <c r="EO68" s="773"/>
      <c r="EP68" s="773"/>
      <c r="EQ68" s="773"/>
      <c r="ER68" s="773"/>
      <c r="ES68" s="773"/>
      <c r="ET68" s="773"/>
      <c r="EU68" s="773"/>
      <c r="EV68" s="773"/>
      <c r="EW68" s="773"/>
      <c r="EX68" s="773"/>
      <c r="EY68" s="773"/>
      <c r="EZ68" s="773"/>
      <c r="FA68" s="773"/>
      <c r="FB68" s="773"/>
      <c r="FC68" s="773"/>
      <c r="FD68" s="773"/>
      <c r="FE68" s="773"/>
      <c r="FF68" s="773"/>
      <c r="FG68" s="773"/>
      <c r="FH68" s="773"/>
      <c r="FI68" s="773"/>
      <c r="FJ68" s="773"/>
      <c r="FK68" s="773"/>
      <c r="FL68" s="773"/>
      <c r="FM68" s="773"/>
      <c r="FN68" s="773"/>
      <c r="FO68" s="773"/>
      <c r="FP68" s="773"/>
      <c r="FQ68" s="773"/>
      <c r="FR68" s="773"/>
      <c r="FS68" s="773"/>
      <c r="FT68" s="773"/>
      <c r="FU68" s="773"/>
      <c r="FV68" s="773"/>
      <c r="FW68" s="773"/>
      <c r="FX68" s="773"/>
      <c r="FY68" s="773"/>
      <c r="FZ68" s="773"/>
      <c r="GA68" s="773"/>
      <c r="GB68" s="773"/>
      <c r="GC68" s="773"/>
      <c r="GD68" s="773"/>
      <c r="GE68" s="773"/>
      <c r="GF68" s="773"/>
      <c r="GG68" s="773"/>
      <c r="GH68" s="773"/>
      <c r="GI68" s="773"/>
      <c r="GJ68" s="773"/>
      <c r="GK68" s="773"/>
      <c r="GL68" s="773"/>
      <c r="GM68" s="773"/>
      <c r="GN68" s="773"/>
      <c r="GO68" s="773"/>
      <c r="GP68" s="773"/>
      <c r="GQ68" s="773"/>
      <c r="GR68" s="773"/>
      <c r="GS68" s="773"/>
      <c r="GT68" s="773"/>
      <c r="GU68" s="773"/>
      <c r="GV68" s="773"/>
      <c r="GW68" s="773"/>
      <c r="GX68" s="773"/>
      <c r="GY68" s="773"/>
      <c r="GZ68" s="773"/>
    </row>
    <row r="69" spans="1:208" s="11" customFormat="1">
      <c r="A69" s="774"/>
      <c r="B69" s="3761" t="s">
        <v>1350</v>
      </c>
      <c r="C69" s="197">
        <v>213795</v>
      </c>
      <c r="D69" s="801" t="s">
        <v>3583</v>
      </c>
      <c r="E69" s="809">
        <f>IFERROR(VLOOKUP(C69,'AJE 12 - INC'!$D$168:$F$345,3,0),0)</f>
        <v>422824.04</v>
      </c>
      <c r="F69" s="1325">
        <f>SUMIF('AJE 12 - INC'!B:B,'New TB INC'!C69,'AJE 12 - INC'!D:D)</f>
        <v>0</v>
      </c>
      <c r="G69" s="1326"/>
      <c r="H69" s="1326"/>
      <c r="I69" s="1326"/>
      <c r="J69" s="796">
        <f t="shared" si="7"/>
        <v>422824.04</v>
      </c>
      <c r="K69" s="779"/>
      <c r="L69" s="434"/>
      <c r="M69" s="2679"/>
      <c r="N69" s="772"/>
      <c r="O69" s="772"/>
      <c r="P69" s="772"/>
      <c r="Q69" s="772"/>
      <c r="R69" s="772"/>
      <c r="S69" s="772"/>
      <c r="T69" s="773"/>
      <c r="AW69" s="2514"/>
      <c r="AX69" s="820"/>
      <c r="AY69" s="820"/>
      <c r="AZ69" s="820"/>
      <c r="BA69" s="30"/>
      <c r="BB69" s="30"/>
      <c r="BC69" s="2514"/>
      <c r="BD69" s="2514"/>
      <c r="BE69" s="2514"/>
      <c r="BF69" s="2514"/>
      <c r="BH69" s="2514"/>
      <c r="BI69" s="30"/>
      <c r="BJ69" s="30"/>
      <c r="BK69" s="30"/>
      <c r="BL69" s="30"/>
      <c r="BM69" s="30"/>
      <c r="BN69" s="30"/>
      <c r="BO69" s="209"/>
      <c r="BP69" s="209"/>
      <c r="BQ69" s="785"/>
      <c r="BR69" s="820"/>
      <c r="BS69" s="820"/>
      <c r="BT69" s="30"/>
      <c r="BU69" s="800"/>
      <c r="BV69" s="800"/>
      <c r="BW69" s="209"/>
      <c r="CA69" s="787"/>
      <c r="DB69" s="773"/>
      <c r="DC69" s="773"/>
      <c r="DD69" s="773"/>
      <c r="DE69" s="773"/>
      <c r="DF69" s="773"/>
      <c r="DG69" s="773"/>
      <c r="DH69" s="773"/>
      <c r="DI69" s="773"/>
      <c r="DJ69" s="773"/>
      <c r="DK69" s="773"/>
      <c r="DL69" s="773"/>
      <c r="DM69" s="773"/>
      <c r="DN69" s="773"/>
      <c r="DO69" s="773"/>
      <c r="DP69" s="773"/>
      <c r="DQ69" s="773"/>
      <c r="DR69" s="773"/>
      <c r="DS69" s="773"/>
      <c r="DT69" s="773"/>
      <c r="DU69" s="773"/>
      <c r="DV69" s="773"/>
      <c r="DW69" s="773"/>
      <c r="DX69" s="773"/>
      <c r="DY69" s="773"/>
      <c r="DZ69" s="773"/>
      <c r="EA69" s="773"/>
      <c r="EB69" s="773"/>
      <c r="EC69" s="773"/>
      <c r="ED69" s="773"/>
      <c r="EE69" s="773"/>
      <c r="EF69" s="773"/>
      <c r="EG69" s="773"/>
      <c r="EH69" s="773"/>
      <c r="EI69" s="773"/>
      <c r="EJ69" s="773"/>
      <c r="EK69" s="773"/>
      <c r="EL69" s="773"/>
      <c r="EM69" s="773"/>
      <c r="EN69" s="773"/>
      <c r="EO69" s="773"/>
      <c r="EP69" s="773"/>
      <c r="EQ69" s="773"/>
      <c r="ER69" s="773"/>
      <c r="ES69" s="773"/>
      <c r="ET69" s="773"/>
      <c r="EU69" s="773"/>
      <c r="EV69" s="773"/>
      <c r="EW69" s="773"/>
      <c r="EX69" s="773"/>
      <c r="EY69" s="773"/>
      <c r="EZ69" s="773"/>
      <c r="FA69" s="773"/>
      <c r="FB69" s="773"/>
      <c r="FC69" s="773"/>
      <c r="FD69" s="773"/>
      <c r="FE69" s="773"/>
      <c r="FF69" s="773"/>
      <c r="FG69" s="773"/>
      <c r="FH69" s="773"/>
      <c r="FI69" s="773"/>
      <c r="FJ69" s="773"/>
      <c r="FK69" s="773"/>
      <c r="FL69" s="773"/>
      <c r="FM69" s="773"/>
      <c r="FN69" s="773"/>
      <c r="FO69" s="773"/>
      <c r="FP69" s="773"/>
      <c r="FQ69" s="773"/>
      <c r="FR69" s="773"/>
      <c r="FS69" s="773"/>
      <c r="FT69" s="773"/>
      <c r="FU69" s="773"/>
      <c r="FV69" s="773"/>
      <c r="FW69" s="773"/>
      <c r="FX69" s="773"/>
      <c r="FY69" s="773"/>
      <c r="FZ69" s="773"/>
      <c r="GA69" s="773"/>
      <c r="GB69" s="773"/>
      <c r="GC69" s="773"/>
      <c r="GD69" s="773"/>
      <c r="GE69" s="773"/>
      <c r="GF69" s="773"/>
      <c r="GG69" s="773"/>
      <c r="GH69" s="773"/>
      <c r="GI69" s="773"/>
      <c r="GJ69" s="773"/>
      <c r="GK69" s="773"/>
      <c r="GL69" s="773"/>
      <c r="GM69" s="773"/>
      <c r="GN69" s="773"/>
      <c r="GO69" s="773"/>
      <c r="GP69" s="773"/>
      <c r="GQ69" s="773"/>
      <c r="GR69" s="773"/>
      <c r="GS69" s="773"/>
      <c r="GT69" s="773"/>
      <c r="GU69" s="773"/>
      <c r="GV69" s="773"/>
      <c r="GW69" s="773"/>
      <c r="GX69" s="773"/>
      <c r="GY69" s="773"/>
      <c r="GZ69" s="773"/>
    </row>
    <row r="70" spans="1:208" s="11" customFormat="1">
      <c r="A70" s="774"/>
      <c r="B70" s="3761" t="s">
        <v>1350</v>
      </c>
      <c r="C70" s="197">
        <v>215397</v>
      </c>
      <c r="D70" s="801" t="s">
        <v>3584</v>
      </c>
      <c r="E70" s="809">
        <f>IFERROR(VLOOKUP(C70,'AJE 12 - INC'!$D$168:$F$345,3,0),0)</f>
        <v>0</v>
      </c>
      <c r="F70" s="1325">
        <f>SUMIF('AJE 12 - INC'!B:B,'New TB INC'!C70,'AJE 12 - INC'!D:D)</f>
        <v>0</v>
      </c>
      <c r="G70" s="1326"/>
      <c r="H70" s="1326"/>
      <c r="I70" s="1326"/>
      <c r="J70" s="796">
        <f t="shared" si="7"/>
        <v>0</v>
      </c>
      <c r="K70" s="779"/>
      <c r="L70" s="434"/>
      <c r="M70" s="2679"/>
      <c r="N70" s="772"/>
      <c r="O70" s="772"/>
      <c r="P70" s="772"/>
      <c r="Q70" s="772"/>
      <c r="R70" s="772"/>
      <c r="S70" s="772"/>
      <c r="T70" s="773"/>
      <c r="AW70" s="2514"/>
      <c r="AX70" s="820"/>
      <c r="AY70" s="820"/>
      <c r="AZ70" s="820"/>
      <c r="BA70" s="30"/>
      <c r="BB70" s="30"/>
      <c r="BC70" s="2514"/>
      <c r="BD70" s="2514"/>
      <c r="BE70" s="2514"/>
      <c r="BF70" s="2514"/>
      <c r="BH70" s="2514"/>
      <c r="BI70" s="30"/>
      <c r="BJ70" s="30"/>
      <c r="BK70" s="30"/>
      <c r="BL70" s="30"/>
      <c r="BM70" s="30"/>
      <c r="BN70" s="30"/>
      <c r="BO70" s="209"/>
      <c r="BP70" s="209"/>
      <c r="BQ70" s="785"/>
      <c r="BR70" s="820"/>
      <c r="BS70" s="820"/>
      <c r="BT70" s="30"/>
      <c r="BU70" s="800"/>
      <c r="BV70" s="800"/>
      <c r="BW70" s="209"/>
      <c r="CA70" s="787"/>
      <c r="DB70" s="773"/>
      <c r="DC70" s="773"/>
      <c r="DD70" s="773"/>
      <c r="DE70" s="773"/>
      <c r="DF70" s="773"/>
      <c r="DG70" s="773"/>
      <c r="DH70" s="773"/>
      <c r="DI70" s="773"/>
      <c r="DJ70" s="773"/>
      <c r="DK70" s="773"/>
      <c r="DL70" s="773"/>
      <c r="DM70" s="773"/>
      <c r="DN70" s="773"/>
      <c r="DO70" s="773"/>
      <c r="DP70" s="773"/>
      <c r="DQ70" s="773"/>
      <c r="DR70" s="773"/>
      <c r="DS70" s="773"/>
      <c r="DT70" s="773"/>
      <c r="DU70" s="773"/>
      <c r="DV70" s="773"/>
      <c r="DW70" s="773"/>
      <c r="DX70" s="773"/>
      <c r="DY70" s="773"/>
      <c r="DZ70" s="773"/>
      <c r="EA70" s="773"/>
      <c r="EB70" s="773"/>
      <c r="EC70" s="773"/>
      <c r="ED70" s="773"/>
      <c r="EE70" s="773"/>
      <c r="EF70" s="773"/>
      <c r="EG70" s="773"/>
      <c r="EH70" s="773"/>
      <c r="EI70" s="773"/>
      <c r="EJ70" s="773"/>
      <c r="EK70" s="773"/>
      <c r="EL70" s="773"/>
      <c r="EM70" s="773"/>
      <c r="EN70" s="773"/>
      <c r="EO70" s="773"/>
      <c r="EP70" s="773"/>
      <c r="EQ70" s="773"/>
      <c r="ER70" s="773"/>
      <c r="ES70" s="773"/>
      <c r="ET70" s="773"/>
      <c r="EU70" s="773"/>
      <c r="EV70" s="773"/>
      <c r="EW70" s="773"/>
      <c r="EX70" s="773"/>
      <c r="EY70" s="773"/>
      <c r="EZ70" s="773"/>
      <c r="FA70" s="773"/>
      <c r="FB70" s="773"/>
      <c r="FC70" s="773"/>
      <c r="FD70" s="773"/>
      <c r="FE70" s="773"/>
      <c r="FF70" s="773"/>
      <c r="FG70" s="773"/>
      <c r="FH70" s="773"/>
      <c r="FI70" s="773"/>
      <c r="FJ70" s="773"/>
      <c r="FK70" s="773"/>
      <c r="FL70" s="773"/>
      <c r="FM70" s="773"/>
      <c r="FN70" s="773"/>
      <c r="FO70" s="773"/>
      <c r="FP70" s="773"/>
      <c r="FQ70" s="773"/>
      <c r="FR70" s="773"/>
      <c r="FS70" s="773"/>
      <c r="FT70" s="773"/>
      <c r="FU70" s="773"/>
      <c r="FV70" s="773"/>
      <c r="FW70" s="773"/>
      <c r="FX70" s="773"/>
      <c r="FY70" s="773"/>
      <c r="FZ70" s="773"/>
      <c r="GA70" s="773"/>
      <c r="GB70" s="773"/>
      <c r="GC70" s="773"/>
      <c r="GD70" s="773"/>
      <c r="GE70" s="773"/>
      <c r="GF70" s="773"/>
      <c r="GG70" s="773"/>
      <c r="GH70" s="773"/>
      <c r="GI70" s="773"/>
      <c r="GJ70" s="773"/>
      <c r="GK70" s="773"/>
      <c r="GL70" s="773"/>
      <c r="GM70" s="773"/>
      <c r="GN70" s="773"/>
      <c r="GO70" s="773"/>
      <c r="GP70" s="773"/>
      <c r="GQ70" s="773"/>
      <c r="GR70" s="773"/>
      <c r="GS70" s="773"/>
      <c r="GT70" s="773"/>
      <c r="GU70" s="773"/>
      <c r="GV70" s="773"/>
      <c r="GW70" s="773"/>
      <c r="GX70" s="773"/>
      <c r="GY70" s="773"/>
      <c r="GZ70" s="773"/>
    </row>
    <row r="71" spans="1:208" s="11" customFormat="1">
      <c r="A71" s="774"/>
      <c r="B71" s="3761" t="s">
        <v>1350</v>
      </c>
      <c r="C71" s="197">
        <v>215773</v>
      </c>
      <c r="D71" s="801" t="s">
        <v>3585</v>
      </c>
      <c r="E71" s="809">
        <f>IFERROR(VLOOKUP(C71,'AJE 12 - INC'!$D$168:$F$345,3,0),0)</f>
        <v>0</v>
      </c>
      <c r="F71" s="1325">
        <f>SUMIF('AJE 12 - INC'!B:B,'New TB INC'!C71,'AJE 12 - INC'!D:D)</f>
        <v>0</v>
      </c>
      <c r="G71" s="1326"/>
      <c r="H71" s="1326"/>
      <c r="I71" s="1326"/>
      <c r="J71" s="796">
        <f t="shared" si="7"/>
        <v>0</v>
      </c>
      <c r="K71" s="779"/>
      <c r="L71" s="434"/>
      <c r="M71" s="2679"/>
      <c r="N71" s="772"/>
      <c r="O71" s="772"/>
      <c r="P71" s="772"/>
      <c r="Q71" s="772"/>
      <c r="R71" s="772"/>
      <c r="S71" s="772"/>
      <c r="T71" s="773"/>
      <c r="AW71" s="2514"/>
      <c r="AX71" s="820"/>
      <c r="AY71" s="820"/>
      <c r="AZ71" s="820"/>
      <c r="BA71" s="30"/>
      <c r="BB71" s="30"/>
      <c r="BC71" s="2514"/>
      <c r="BD71" s="2514"/>
      <c r="BE71" s="2514"/>
      <c r="BF71" s="2514"/>
      <c r="BH71" s="2514"/>
      <c r="BI71" s="30"/>
      <c r="BJ71" s="30"/>
      <c r="BK71" s="30"/>
      <c r="BL71" s="30"/>
      <c r="BM71" s="30"/>
      <c r="BN71" s="30"/>
      <c r="BO71" s="209"/>
      <c r="BP71" s="209"/>
      <c r="BQ71" s="785"/>
      <c r="BR71" s="820"/>
      <c r="BS71" s="820"/>
      <c r="BT71" s="30"/>
      <c r="BU71" s="800"/>
      <c r="BV71" s="800"/>
      <c r="BW71" s="209"/>
      <c r="CA71" s="787"/>
      <c r="DB71" s="773"/>
      <c r="DC71" s="773"/>
      <c r="DD71" s="773"/>
      <c r="DE71" s="773"/>
      <c r="DF71" s="773"/>
      <c r="DG71" s="773"/>
      <c r="DH71" s="773"/>
      <c r="DI71" s="773"/>
      <c r="DJ71" s="773"/>
      <c r="DK71" s="773"/>
      <c r="DL71" s="773"/>
      <c r="DM71" s="773"/>
      <c r="DN71" s="773"/>
      <c r="DO71" s="773"/>
      <c r="DP71" s="773"/>
      <c r="DQ71" s="773"/>
      <c r="DR71" s="773"/>
      <c r="DS71" s="773"/>
      <c r="DT71" s="773"/>
      <c r="DU71" s="773"/>
      <c r="DV71" s="773"/>
      <c r="DW71" s="773"/>
      <c r="DX71" s="773"/>
      <c r="DY71" s="773"/>
      <c r="DZ71" s="773"/>
      <c r="EA71" s="773"/>
      <c r="EB71" s="773"/>
      <c r="EC71" s="773"/>
      <c r="ED71" s="773"/>
      <c r="EE71" s="773"/>
      <c r="EF71" s="773"/>
      <c r="EG71" s="773"/>
      <c r="EH71" s="773"/>
      <c r="EI71" s="773"/>
      <c r="EJ71" s="773"/>
      <c r="EK71" s="773"/>
      <c r="EL71" s="773"/>
      <c r="EM71" s="773"/>
      <c r="EN71" s="773"/>
      <c r="EO71" s="773"/>
      <c r="EP71" s="773"/>
      <c r="EQ71" s="773"/>
      <c r="ER71" s="773"/>
      <c r="ES71" s="773"/>
      <c r="ET71" s="773"/>
      <c r="EU71" s="773"/>
      <c r="EV71" s="773"/>
      <c r="EW71" s="773"/>
      <c r="EX71" s="773"/>
      <c r="EY71" s="773"/>
      <c r="EZ71" s="773"/>
      <c r="FA71" s="773"/>
      <c r="FB71" s="773"/>
      <c r="FC71" s="773"/>
      <c r="FD71" s="773"/>
      <c r="FE71" s="773"/>
      <c r="FF71" s="773"/>
      <c r="FG71" s="773"/>
      <c r="FH71" s="773"/>
      <c r="FI71" s="773"/>
      <c r="FJ71" s="773"/>
      <c r="FK71" s="773"/>
      <c r="FL71" s="773"/>
      <c r="FM71" s="773"/>
      <c r="FN71" s="773"/>
      <c r="FO71" s="773"/>
      <c r="FP71" s="773"/>
      <c r="FQ71" s="773"/>
      <c r="FR71" s="773"/>
      <c r="FS71" s="773"/>
      <c r="FT71" s="773"/>
      <c r="FU71" s="773"/>
      <c r="FV71" s="773"/>
      <c r="FW71" s="773"/>
      <c r="FX71" s="773"/>
      <c r="FY71" s="773"/>
      <c r="FZ71" s="773"/>
      <c r="GA71" s="773"/>
      <c r="GB71" s="773"/>
      <c r="GC71" s="773"/>
      <c r="GD71" s="773"/>
      <c r="GE71" s="773"/>
      <c r="GF71" s="773"/>
      <c r="GG71" s="773"/>
      <c r="GH71" s="773"/>
      <c r="GI71" s="773"/>
      <c r="GJ71" s="773"/>
      <c r="GK71" s="773"/>
      <c r="GL71" s="773"/>
      <c r="GM71" s="773"/>
      <c r="GN71" s="773"/>
      <c r="GO71" s="773"/>
      <c r="GP71" s="773"/>
      <c r="GQ71" s="773"/>
      <c r="GR71" s="773"/>
      <c r="GS71" s="773"/>
      <c r="GT71" s="773"/>
      <c r="GU71" s="773"/>
      <c r="GV71" s="773"/>
      <c r="GW71" s="773"/>
      <c r="GX71" s="773"/>
      <c r="GY71" s="773"/>
      <c r="GZ71" s="773"/>
    </row>
    <row r="72" spans="1:208" s="11" customFormat="1">
      <c r="A72" s="774"/>
      <c r="B72" s="3761" t="s">
        <v>1350</v>
      </c>
      <c r="C72" s="197">
        <v>221725</v>
      </c>
      <c r="D72" s="801" t="s">
        <v>3586</v>
      </c>
      <c r="E72" s="809">
        <f>IFERROR(VLOOKUP(C72,'AJE 12 - INC'!$D$168:$F$345,3,0),0)</f>
        <v>7303.84</v>
      </c>
      <c r="F72" s="1325">
        <f>SUMIF('AJE 12 - INC'!B:B,'New TB INC'!C72,'AJE 12 - INC'!D:D)</f>
        <v>0</v>
      </c>
      <c r="G72" s="1326"/>
      <c r="H72" s="1326"/>
      <c r="I72" s="1326"/>
      <c r="J72" s="796">
        <f t="shared" si="7"/>
        <v>7303.84</v>
      </c>
      <c r="K72" s="779"/>
      <c r="L72" s="434"/>
      <c r="M72" s="2679"/>
      <c r="N72" s="772"/>
      <c r="O72" s="772"/>
      <c r="P72" s="772"/>
      <c r="Q72" s="772"/>
      <c r="R72" s="772"/>
      <c r="S72" s="772"/>
      <c r="T72" s="773"/>
      <c r="AW72" s="2514"/>
      <c r="AX72" s="820"/>
      <c r="AY72" s="820"/>
      <c r="AZ72" s="820"/>
      <c r="BA72" s="30"/>
      <c r="BB72" s="30"/>
      <c r="BC72" s="2514"/>
      <c r="BD72" s="2514"/>
      <c r="BE72" s="2514"/>
      <c r="BF72" s="2514"/>
      <c r="BH72" s="2514"/>
      <c r="BI72" s="30"/>
      <c r="BJ72" s="30"/>
      <c r="BK72" s="30"/>
      <c r="BL72" s="30"/>
      <c r="BM72" s="30"/>
      <c r="BN72" s="30"/>
      <c r="BO72" s="209"/>
      <c r="BP72" s="209"/>
      <c r="BQ72" s="785"/>
      <c r="BR72" s="820"/>
      <c r="BS72" s="820"/>
      <c r="BT72" s="30"/>
      <c r="BU72" s="800"/>
      <c r="BV72" s="800"/>
      <c r="BW72" s="209"/>
      <c r="CA72" s="787"/>
      <c r="DB72" s="773"/>
      <c r="DC72" s="773"/>
      <c r="DD72" s="773"/>
      <c r="DE72" s="773"/>
      <c r="DF72" s="773"/>
      <c r="DG72" s="773"/>
      <c r="DH72" s="773"/>
      <c r="DI72" s="773"/>
      <c r="DJ72" s="773"/>
      <c r="DK72" s="773"/>
      <c r="DL72" s="773"/>
      <c r="DM72" s="773"/>
      <c r="DN72" s="773"/>
      <c r="DO72" s="773"/>
      <c r="DP72" s="773"/>
      <c r="DQ72" s="773"/>
      <c r="DR72" s="773"/>
      <c r="DS72" s="773"/>
      <c r="DT72" s="773"/>
      <c r="DU72" s="773"/>
      <c r="DV72" s="773"/>
      <c r="DW72" s="773"/>
      <c r="DX72" s="773"/>
      <c r="DY72" s="773"/>
      <c r="DZ72" s="773"/>
      <c r="EA72" s="773"/>
      <c r="EB72" s="773"/>
      <c r="EC72" s="773"/>
      <c r="ED72" s="773"/>
      <c r="EE72" s="773"/>
      <c r="EF72" s="773"/>
      <c r="EG72" s="773"/>
      <c r="EH72" s="773"/>
      <c r="EI72" s="773"/>
      <c r="EJ72" s="773"/>
      <c r="EK72" s="773"/>
      <c r="EL72" s="773"/>
      <c r="EM72" s="773"/>
      <c r="EN72" s="773"/>
      <c r="EO72" s="773"/>
      <c r="EP72" s="773"/>
      <c r="EQ72" s="773"/>
      <c r="ER72" s="773"/>
      <c r="ES72" s="773"/>
      <c r="ET72" s="773"/>
      <c r="EU72" s="773"/>
      <c r="EV72" s="773"/>
      <c r="EW72" s="773"/>
      <c r="EX72" s="773"/>
      <c r="EY72" s="773"/>
      <c r="EZ72" s="773"/>
      <c r="FA72" s="773"/>
      <c r="FB72" s="773"/>
      <c r="FC72" s="773"/>
      <c r="FD72" s="773"/>
      <c r="FE72" s="773"/>
      <c r="FF72" s="773"/>
      <c r="FG72" s="773"/>
      <c r="FH72" s="773"/>
      <c r="FI72" s="773"/>
      <c r="FJ72" s="773"/>
      <c r="FK72" s="773"/>
      <c r="FL72" s="773"/>
      <c r="FM72" s="773"/>
      <c r="FN72" s="773"/>
      <c r="FO72" s="773"/>
      <c r="FP72" s="773"/>
      <c r="FQ72" s="773"/>
      <c r="FR72" s="773"/>
      <c r="FS72" s="773"/>
      <c r="FT72" s="773"/>
      <c r="FU72" s="773"/>
      <c r="FV72" s="773"/>
      <c r="FW72" s="773"/>
      <c r="FX72" s="773"/>
      <c r="FY72" s="773"/>
      <c r="FZ72" s="773"/>
      <c r="GA72" s="773"/>
      <c r="GB72" s="773"/>
      <c r="GC72" s="773"/>
      <c r="GD72" s="773"/>
      <c r="GE72" s="773"/>
      <c r="GF72" s="773"/>
      <c r="GG72" s="773"/>
      <c r="GH72" s="773"/>
      <c r="GI72" s="773"/>
      <c r="GJ72" s="773"/>
      <c r="GK72" s="773"/>
      <c r="GL72" s="773"/>
      <c r="GM72" s="773"/>
      <c r="GN72" s="773"/>
      <c r="GO72" s="773"/>
      <c r="GP72" s="773"/>
      <c r="GQ72" s="773"/>
      <c r="GR72" s="773"/>
      <c r="GS72" s="773"/>
      <c r="GT72" s="773"/>
      <c r="GU72" s="773"/>
      <c r="GV72" s="773"/>
      <c r="GW72" s="773"/>
      <c r="GX72" s="773"/>
      <c r="GY72" s="773"/>
      <c r="GZ72" s="773"/>
    </row>
    <row r="73" spans="1:208" s="11" customFormat="1">
      <c r="A73" s="774"/>
      <c r="B73" s="3761" t="s">
        <v>1350</v>
      </c>
      <c r="C73" s="197">
        <v>227271</v>
      </c>
      <c r="D73" s="801" t="s">
        <v>3587</v>
      </c>
      <c r="E73" s="809">
        <f>IFERROR(VLOOKUP(C73,'AJE 12 - INC'!$D$168:$F$345,3,0),0)</f>
        <v>0</v>
      </c>
      <c r="F73" s="1325">
        <f>SUMIF('AJE 12 - INC'!B:B,'New TB INC'!C73,'AJE 12 - INC'!D:D)</f>
        <v>0</v>
      </c>
      <c r="G73" s="1326"/>
      <c r="H73" s="1326"/>
      <c r="I73" s="1326"/>
      <c r="J73" s="796">
        <f t="shared" si="7"/>
        <v>0</v>
      </c>
      <c r="K73" s="779"/>
      <c r="L73" s="434"/>
      <c r="M73" s="2679"/>
      <c r="N73" s="772"/>
      <c r="O73" s="772"/>
      <c r="P73" s="772"/>
      <c r="Q73" s="772"/>
      <c r="R73" s="772"/>
      <c r="S73" s="772"/>
      <c r="T73" s="773"/>
      <c r="AW73" s="2514"/>
      <c r="AX73" s="820"/>
      <c r="AY73" s="820"/>
      <c r="AZ73" s="820"/>
      <c r="BA73" s="30"/>
      <c r="BB73" s="30"/>
      <c r="BC73" s="2514"/>
      <c r="BD73" s="2514"/>
      <c r="BE73" s="2514"/>
      <c r="BF73" s="2514"/>
      <c r="BH73" s="2514"/>
      <c r="BI73" s="30"/>
      <c r="BJ73" s="30"/>
      <c r="BK73" s="30"/>
      <c r="BL73" s="30"/>
      <c r="BM73" s="30"/>
      <c r="BN73" s="30"/>
      <c r="BO73" s="209"/>
      <c r="BP73" s="209"/>
      <c r="BQ73" s="785"/>
      <c r="BR73" s="820"/>
      <c r="BS73" s="820"/>
      <c r="BT73" s="30"/>
      <c r="BU73" s="800"/>
      <c r="BV73" s="800"/>
      <c r="BW73" s="209"/>
      <c r="CA73" s="787"/>
      <c r="DB73" s="773"/>
      <c r="DC73" s="773"/>
      <c r="DD73" s="773"/>
      <c r="DE73" s="773"/>
      <c r="DF73" s="773"/>
      <c r="DG73" s="773"/>
      <c r="DH73" s="773"/>
      <c r="DI73" s="773"/>
      <c r="DJ73" s="773"/>
      <c r="DK73" s="773"/>
      <c r="DL73" s="773"/>
      <c r="DM73" s="773"/>
      <c r="DN73" s="773"/>
      <c r="DO73" s="773"/>
      <c r="DP73" s="773"/>
      <c r="DQ73" s="773"/>
      <c r="DR73" s="773"/>
      <c r="DS73" s="773"/>
      <c r="DT73" s="773"/>
      <c r="DU73" s="773"/>
      <c r="DV73" s="773"/>
      <c r="DW73" s="773"/>
      <c r="DX73" s="773"/>
      <c r="DY73" s="773"/>
      <c r="DZ73" s="773"/>
      <c r="EA73" s="773"/>
      <c r="EB73" s="773"/>
      <c r="EC73" s="773"/>
      <c r="ED73" s="773"/>
      <c r="EE73" s="773"/>
      <c r="EF73" s="773"/>
      <c r="EG73" s="773"/>
      <c r="EH73" s="773"/>
      <c r="EI73" s="773"/>
      <c r="EJ73" s="773"/>
      <c r="EK73" s="773"/>
      <c r="EL73" s="773"/>
      <c r="EM73" s="773"/>
      <c r="EN73" s="773"/>
      <c r="EO73" s="773"/>
      <c r="EP73" s="773"/>
      <c r="EQ73" s="773"/>
      <c r="ER73" s="773"/>
      <c r="ES73" s="773"/>
      <c r="ET73" s="773"/>
      <c r="EU73" s="773"/>
      <c r="EV73" s="773"/>
      <c r="EW73" s="773"/>
      <c r="EX73" s="773"/>
      <c r="EY73" s="773"/>
      <c r="EZ73" s="773"/>
      <c r="FA73" s="773"/>
      <c r="FB73" s="773"/>
      <c r="FC73" s="773"/>
      <c r="FD73" s="773"/>
      <c r="FE73" s="773"/>
      <c r="FF73" s="773"/>
      <c r="FG73" s="773"/>
      <c r="FH73" s="773"/>
      <c r="FI73" s="773"/>
      <c r="FJ73" s="773"/>
      <c r="FK73" s="773"/>
      <c r="FL73" s="773"/>
      <c r="FM73" s="773"/>
      <c r="FN73" s="773"/>
      <c r="FO73" s="773"/>
      <c r="FP73" s="773"/>
      <c r="FQ73" s="773"/>
      <c r="FR73" s="773"/>
      <c r="FS73" s="773"/>
      <c r="FT73" s="773"/>
      <c r="FU73" s="773"/>
      <c r="FV73" s="773"/>
      <c r="FW73" s="773"/>
      <c r="FX73" s="773"/>
      <c r="FY73" s="773"/>
      <c r="FZ73" s="773"/>
      <c r="GA73" s="773"/>
      <c r="GB73" s="773"/>
      <c r="GC73" s="773"/>
      <c r="GD73" s="773"/>
      <c r="GE73" s="773"/>
      <c r="GF73" s="773"/>
      <c r="GG73" s="773"/>
      <c r="GH73" s="773"/>
      <c r="GI73" s="773"/>
      <c r="GJ73" s="773"/>
      <c r="GK73" s="773"/>
      <c r="GL73" s="773"/>
      <c r="GM73" s="773"/>
      <c r="GN73" s="773"/>
      <c r="GO73" s="773"/>
      <c r="GP73" s="773"/>
      <c r="GQ73" s="773"/>
      <c r="GR73" s="773"/>
      <c r="GS73" s="773"/>
      <c r="GT73" s="773"/>
      <c r="GU73" s="773"/>
      <c r="GV73" s="773"/>
      <c r="GW73" s="773"/>
      <c r="GX73" s="773"/>
      <c r="GY73" s="773"/>
      <c r="GZ73" s="773"/>
    </row>
    <row r="74" spans="1:208" s="11" customFormat="1">
      <c r="A74" s="774"/>
      <c r="B74" s="3761" t="s">
        <v>1350</v>
      </c>
      <c r="C74" s="197">
        <v>200420</v>
      </c>
      <c r="D74" s="801" t="s">
        <v>3402</v>
      </c>
      <c r="E74" s="809">
        <f>IFERROR(VLOOKUP(C74,'AJE 12 - INC'!$D$168:$F$345,3,0),0)</f>
        <v>0</v>
      </c>
      <c r="F74" s="1325">
        <f>SUMIF('AJE 12 - INC'!B:B,'New TB INC'!C74,'AJE 12 - INC'!D:D)</f>
        <v>0</v>
      </c>
      <c r="G74" s="1326"/>
      <c r="H74" s="1326"/>
      <c r="I74" s="1326"/>
      <c r="J74" s="796">
        <f t="shared" ref="J74:J83" si="8">SUM(E74:I74)</f>
        <v>0</v>
      </c>
      <c r="K74" s="779"/>
      <c r="L74" s="434"/>
      <c r="M74" s="2679"/>
      <c r="N74" s="772"/>
      <c r="O74" s="772"/>
      <c r="P74" s="772"/>
      <c r="Q74" s="772"/>
      <c r="R74" s="772"/>
      <c r="S74" s="772"/>
      <c r="T74" s="773"/>
      <c r="AW74" s="2514"/>
      <c r="AX74" s="820"/>
      <c r="AY74" s="820"/>
      <c r="AZ74" s="820"/>
      <c r="BA74" s="30"/>
      <c r="BB74" s="30"/>
      <c r="BC74" s="2514"/>
      <c r="BD74" s="2514"/>
      <c r="BE74" s="2514"/>
      <c r="BF74" s="2514"/>
      <c r="BH74" s="2514"/>
      <c r="BI74" s="30"/>
      <c r="BJ74" s="30"/>
      <c r="BK74" s="30"/>
      <c r="BL74" s="30"/>
      <c r="BM74" s="30"/>
      <c r="BN74" s="30"/>
      <c r="BO74" s="209"/>
      <c r="BP74" s="209"/>
      <c r="BQ74" s="785"/>
      <c r="BR74" s="820"/>
      <c r="BS74" s="820"/>
      <c r="BT74" s="30"/>
      <c r="BU74" s="800"/>
      <c r="BV74" s="800"/>
      <c r="BW74" s="209"/>
      <c r="CA74" s="787"/>
      <c r="DB74" s="773"/>
      <c r="DC74" s="773"/>
      <c r="DD74" s="773"/>
      <c r="DE74" s="773"/>
      <c r="DF74" s="773"/>
      <c r="DG74" s="773"/>
      <c r="DH74" s="773"/>
      <c r="DI74" s="773"/>
      <c r="DJ74" s="773"/>
      <c r="DK74" s="773"/>
      <c r="DL74" s="773"/>
      <c r="DM74" s="773"/>
      <c r="DN74" s="773"/>
      <c r="DO74" s="773"/>
      <c r="DP74" s="773"/>
      <c r="DQ74" s="773"/>
      <c r="DR74" s="773"/>
      <c r="DS74" s="773"/>
      <c r="DT74" s="773"/>
      <c r="DU74" s="773"/>
      <c r="DV74" s="773"/>
      <c r="DW74" s="773"/>
      <c r="DX74" s="773"/>
      <c r="DY74" s="773"/>
      <c r="DZ74" s="773"/>
      <c r="EA74" s="773"/>
      <c r="EB74" s="773"/>
      <c r="EC74" s="773"/>
      <c r="ED74" s="773"/>
      <c r="EE74" s="773"/>
      <c r="EF74" s="773"/>
      <c r="EG74" s="773"/>
      <c r="EH74" s="773"/>
      <c r="EI74" s="773"/>
      <c r="EJ74" s="773"/>
      <c r="EK74" s="773"/>
      <c r="EL74" s="773"/>
      <c r="EM74" s="773"/>
      <c r="EN74" s="773"/>
      <c r="EO74" s="773"/>
      <c r="EP74" s="773"/>
      <c r="EQ74" s="773"/>
      <c r="ER74" s="773"/>
      <c r="ES74" s="773"/>
      <c r="ET74" s="773"/>
      <c r="EU74" s="773"/>
      <c r="EV74" s="773"/>
      <c r="EW74" s="773"/>
      <c r="EX74" s="773"/>
      <c r="EY74" s="773"/>
      <c r="EZ74" s="773"/>
      <c r="FA74" s="773"/>
      <c r="FB74" s="773"/>
      <c r="FC74" s="773"/>
      <c r="FD74" s="773"/>
      <c r="FE74" s="773"/>
      <c r="FF74" s="773"/>
      <c r="FG74" s="773"/>
      <c r="FH74" s="773"/>
      <c r="FI74" s="773"/>
      <c r="FJ74" s="773"/>
      <c r="FK74" s="773"/>
      <c r="FL74" s="773"/>
      <c r="FM74" s="773"/>
      <c r="FN74" s="773"/>
      <c r="FO74" s="773"/>
      <c r="FP74" s="773"/>
      <c r="FQ74" s="773"/>
      <c r="FR74" s="773"/>
      <c r="FS74" s="773"/>
      <c r="FT74" s="773"/>
      <c r="FU74" s="773"/>
      <c r="FV74" s="773"/>
      <c r="FW74" s="773"/>
      <c r="FX74" s="773"/>
      <c r="FY74" s="773"/>
      <c r="FZ74" s="773"/>
      <c r="GA74" s="773"/>
      <c r="GB74" s="773"/>
      <c r="GC74" s="773"/>
      <c r="GD74" s="773"/>
      <c r="GE74" s="773"/>
      <c r="GF74" s="773"/>
      <c r="GG74" s="773"/>
      <c r="GH74" s="773"/>
      <c r="GI74" s="773"/>
      <c r="GJ74" s="773"/>
      <c r="GK74" s="773"/>
      <c r="GL74" s="773"/>
      <c r="GM74" s="773"/>
      <c r="GN74" s="773"/>
      <c r="GO74" s="773"/>
      <c r="GP74" s="773"/>
      <c r="GQ74" s="773"/>
      <c r="GR74" s="773"/>
      <c r="GS74" s="773"/>
      <c r="GT74" s="773"/>
      <c r="GU74" s="773"/>
      <c r="GV74" s="773"/>
      <c r="GW74" s="773"/>
      <c r="GX74" s="773"/>
      <c r="GY74" s="773"/>
      <c r="GZ74" s="773"/>
    </row>
    <row r="75" spans="1:208" s="11" customFormat="1">
      <c r="A75" s="774"/>
      <c r="B75" s="3761" t="s">
        <v>1350</v>
      </c>
      <c r="C75" s="197">
        <v>200908</v>
      </c>
      <c r="D75" s="801" t="s">
        <v>3403</v>
      </c>
      <c r="E75" s="809">
        <f>IFERROR(VLOOKUP(C75,'AJE 12 - INC'!$D$168:$F$345,3,0),0)</f>
        <v>0</v>
      </c>
      <c r="F75" s="1325">
        <f>SUMIF('AJE 12 - INC'!B:B,'New TB INC'!C75,'AJE 12 - INC'!D:D)</f>
        <v>0</v>
      </c>
      <c r="G75" s="1326"/>
      <c r="H75" s="1326"/>
      <c r="I75" s="1326"/>
      <c r="J75" s="796">
        <f>SUM(E75:I75)</f>
        <v>0</v>
      </c>
      <c r="K75" s="779"/>
      <c r="L75" s="434"/>
      <c r="M75" s="2679"/>
      <c r="N75" s="772"/>
      <c r="O75" s="772"/>
      <c r="P75" s="772"/>
      <c r="Q75" s="772"/>
      <c r="R75" s="772"/>
      <c r="S75" s="772"/>
      <c r="T75" s="773"/>
      <c r="AW75" s="2514"/>
      <c r="AX75" s="820"/>
      <c r="AY75" s="820"/>
      <c r="AZ75" s="820"/>
      <c r="BA75" s="30"/>
      <c r="BB75" s="30"/>
      <c r="BC75" s="2514"/>
      <c r="BD75" s="2514"/>
      <c r="BE75" s="2514"/>
      <c r="BF75" s="2514"/>
      <c r="BH75" s="2514"/>
      <c r="BI75" s="30"/>
      <c r="BJ75" s="30"/>
      <c r="BK75" s="30"/>
      <c r="BL75" s="30"/>
      <c r="BM75" s="30"/>
      <c r="BN75" s="30"/>
      <c r="BO75" s="209"/>
      <c r="BP75" s="209"/>
      <c r="BQ75" s="785"/>
      <c r="BR75" s="820"/>
      <c r="BS75" s="820"/>
      <c r="BT75" s="30"/>
      <c r="BU75" s="800"/>
      <c r="BV75" s="800"/>
      <c r="BW75" s="209"/>
      <c r="CA75" s="787"/>
      <c r="DB75" s="773"/>
      <c r="DC75" s="773"/>
      <c r="DD75" s="773"/>
      <c r="DE75" s="773"/>
      <c r="DF75" s="773"/>
      <c r="DG75" s="773"/>
      <c r="DH75" s="773"/>
      <c r="DI75" s="773"/>
      <c r="DJ75" s="773"/>
      <c r="DK75" s="773"/>
      <c r="DL75" s="773"/>
      <c r="DM75" s="773"/>
      <c r="DN75" s="773"/>
      <c r="DO75" s="773"/>
      <c r="DP75" s="773"/>
      <c r="DQ75" s="773"/>
      <c r="DR75" s="773"/>
      <c r="DS75" s="773"/>
      <c r="DT75" s="773"/>
      <c r="DU75" s="773"/>
      <c r="DV75" s="773"/>
      <c r="DW75" s="773"/>
      <c r="DX75" s="773"/>
      <c r="DY75" s="773"/>
      <c r="DZ75" s="773"/>
      <c r="EA75" s="773"/>
      <c r="EB75" s="773"/>
      <c r="EC75" s="773"/>
      <c r="ED75" s="773"/>
      <c r="EE75" s="773"/>
      <c r="EF75" s="773"/>
      <c r="EG75" s="773"/>
      <c r="EH75" s="773"/>
      <c r="EI75" s="773"/>
      <c r="EJ75" s="773"/>
      <c r="EK75" s="773"/>
      <c r="EL75" s="773"/>
      <c r="EM75" s="773"/>
      <c r="EN75" s="773"/>
      <c r="EO75" s="773"/>
      <c r="EP75" s="773"/>
      <c r="EQ75" s="773"/>
      <c r="ER75" s="773"/>
      <c r="ES75" s="773"/>
      <c r="ET75" s="773"/>
      <c r="EU75" s="773"/>
      <c r="EV75" s="773"/>
      <c r="EW75" s="773"/>
      <c r="EX75" s="773"/>
      <c r="EY75" s="773"/>
      <c r="EZ75" s="773"/>
      <c r="FA75" s="773"/>
      <c r="FB75" s="773"/>
      <c r="FC75" s="773"/>
      <c r="FD75" s="773"/>
      <c r="FE75" s="773"/>
      <c r="FF75" s="773"/>
      <c r="FG75" s="773"/>
      <c r="FH75" s="773"/>
      <c r="FI75" s="773"/>
      <c r="FJ75" s="773"/>
      <c r="FK75" s="773"/>
      <c r="FL75" s="773"/>
      <c r="FM75" s="773"/>
      <c r="FN75" s="773"/>
      <c r="FO75" s="773"/>
      <c r="FP75" s="773"/>
      <c r="FQ75" s="773"/>
      <c r="FR75" s="773"/>
      <c r="FS75" s="773"/>
      <c r="FT75" s="773"/>
      <c r="FU75" s="773"/>
      <c r="FV75" s="773"/>
      <c r="FW75" s="773"/>
      <c r="FX75" s="773"/>
      <c r="FY75" s="773"/>
      <c r="FZ75" s="773"/>
      <c r="GA75" s="773"/>
      <c r="GB75" s="773"/>
      <c r="GC75" s="773"/>
      <c r="GD75" s="773"/>
      <c r="GE75" s="773"/>
      <c r="GF75" s="773"/>
      <c r="GG75" s="773"/>
      <c r="GH75" s="773"/>
      <c r="GI75" s="773"/>
      <c r="GJ75" s="773"/>
      <c r="GK75" s="773"/>
      <c r="GL75" s="773"/>
      <c r="GM75" s="773"/>
      <c r="GN75" s="773"/>
      <c r="GO75" s="773"/>
      <c r="GP75" s="773"/>
      <c r="GQ75" s="773"/>
      <c r="GR75" s="773"/>
      <c r="GS75" s="773"/>
      <c r="GT75" s="773"/>
      <c r="GU75" s="773"/>
      <c r="GV75" s="773"/>
      <c r="GW75" s="773"/>
      <c r="GX75" s="773"/>
      <c r="GY75" s="773"/>
      <c r="GZ75" s="773"/>
    </row>
    <row r="76" spans="1:208" s="11" customFormat="1">
      <c r="A76" s="774"/>
      <c r="B76" s="3761" t="s">
        <v>1350</v>
      </c>
      <c r="C76" s="197">
        <v>208674</v>
      </c>
      <c r="D76" s="801" t="s">
        <v>3404</v>
      </c>
      <c r="E76" s="809">
        <f>IFERROR(VLOOKUP(C76,'AJE 12 - INC'!$D$168:$F$345,3,0),0)</f>
        <v>0</v>
      </c>
      <c r="F76" s="1325">
        <f>SUMIF('AJE 12 - INC'!B:B,'New TB INC'!C76,'AJE 12 - INC'!D:D)</f>
        <v>0</v>
      </c>
      <c r="G76" s="1326"/>
      <c r="H76" s="1326"/>
      <c r="I76" s="1326"/>
      <c r="J76" s="796">
        <f>SUM(E76:I76)</f>
        <v>0</v>
      </c>
      <c r="K76" s="779"/>
      <c r="L76" s="434"/>
      <c r="M76" s="2679"/>
      <c r="N76" s="772"/>
      <c r="O76" s="772"/>
      <c r="P76" s="772"/>
      <c r="Q76" s="772"/>
      <c r="R76" s="772"/>
      <c r="S76" s="772"/>
      <c r="T76" s="773"/>
      <c r="AW76" s="2514"/>
      <c r="AX76" s="820"/>
      <c r="AY76" s="820"/>
      <c r="AZ76" s="820"/>
      <c r="BA76" s="30"/>
      <c r="BB76" s="30"/>
      <c r="BC76" s="2514"/>
      <c r="BD76" s="2514"/>
      <c r="BE76" s="2514"/>
      <c r="BF76" s="2514"/>
      <c r="BH76" s="2514"/>
      <c r="BI76" s="30"/>
      <c r="BJ76" s="30"/>
      <c r="BK76" s="30"/>
      <c r="BL76" s="30"/>
      <c r="BM76" s="30"/>
      <c r="BN76" s="30"/>
      <c r="BO76" s="209"/>
      <c r="BP76" s="209"/>
      <c r="BQ76" s="785"/>
      <c r="BR76" s="820"/>
      <c r="BS76" s="820"/>
      <c r="BT76" s="30"/>
      <c r="BU76" s="800"/>
      <c r="BV76" s="800"/>
      <c r="BW76" s="209"/>
      <c r="CA76" s="787"/>
      <c r="DB76" s="773"/>
      <c r="DC76" s="773"/>
      <c r="DD76" s="773"/>
      <c r="DE76" s="773"/>
      <c r="DF76" s="773"/>
      <c r="DG76" s="773"/>
      <c r="DH76" s="773"/>
      <c r="DI76" s="773"/>
      <c r="DJ76" s="773"/>
      <c r="DK76" s="773"/>
      <c r="DL76" s="773"/>
      <c r="DM76" s="773"/>
      <c r="DN76" s="773"/>
      <c r="DO76" s="773"/>
      <c r="DP76" s="773"/>
      <c r="DQ76" s="773"/>
      <c r="DR76" s="773"/>
      <c r="DS76" s="773"/>
      <c r="DT76" s="773"/>
      <c r="DU76" s="773"/>
      <c r="DV76" s="773"/>
      <c r="DW76" s="773"/>
      <c r="DX76" s="773"/>
      <c r="DY76" s="773"/>
      <c r="DZ76" s="773"/>
      <c r="EA76" s="773"/>
      <c r="EB76" s="773"/>
      <c r="EC76" s="773"/>
      <c r="ED76" s="773"/>
      <c r="EE76" s="773"/>
      <c r="EF76" s="773"/>
      <c r="EG76" s="773"/>
      <c r="EH76" s="773"/>
      <c r="EI76" s="773"/>
      <c r="EJ76" s="773"/>
      <c r="EK76" s="773"/>
      <c r="EL76" s="773"/>
      <c r="EM76" s="773"/>
      <c r="EN76" s="773"/>
      <c r="EO76" s="773"/>
      <c r="EP76" s="773"/>
      <c r="EQ76" s="773"/>
      <c r="ER76" s="773"/>
      <c r="ES76" s="773"/>
      <c r="ET76" s="773"/>
      <c r="EU76" s="773"/>
      <c r="EV76" s="773"/>
      <c r="EW76" s="773"/>
      <c r="EX76" s="773"/>
      <c r="EY76" s="773"/>
      <c r="EZ76" s="773"/>
      <c r="FA76" s="773"/>
      <c r="FB76" s="773"/>
      <c r="FC76" s="773"/>
      <c r="FD76" s="773"/>
      <c r="FE76" s="773"/>
      <c r="FF76" s="773"/>
      <c r="FG76" s="773"/>
      <c r="FH76" s="773"/>
      <c r="FI76" s="773"/>
      <c r="FJ76" s="773"/>
      <c r="FK76" s="773"/>
      <c r="FL76" s="773"/>
      <c r="FM76" s="773"/>
      <c r="FN76" s="773"/>
      <c r="FO76" s="773"/>
      <c r="FP76" s="773"/>
      <c r="FQ76" s="773"/>
      <c r="FR76" s="773"/>
      <c r="FS76" s="773"/>
      <c r="FT76" s="773"/>
      <c r="FU76" s="773"/>
      <c r="FV76" s="773"/>
      <c r="FW76" s="773"/>
      <c r="FX76" s="773"/>
      <c r="FY76" s="773"/>
      <c r="FZ76" s="773"/>
      <c r="GA76" s="773"/>
      <c r="GB76" s="773"/>
      <c r="GC76" s="773"/>
      <c r="GD76" s="773"/>
      <c r="GE76" s="773"/>
      <c r="GF76" s="773"/>
      <c r="GG76" s="773"/>
      <c r="GH76" s="773"/>
      <c r="GI76" s="773"/>
      <c r="GJ76" s="773"/>
      <c r="GK76" s="773"/>
      <c r="GL76" s="773"/>
      <c r="GM76" s="773"/>
      <c r="GN76" s="773"/>
      <c r="GO76" s="773"/>
      <c r="GP76" s="773"/>
      <c r="GQ76" s="773"/>
      <c r="GR76" s="773"/>
      <c r="GS76" s="773"/>
      <c r="GT76" s="773"/>
      <c r="GU76" s="773"/>
      <c r="GV76" s="773"/>
      <c r="GW76" s="773"/>
      <c r="GX76" s="773"/>
      <c r="GY76" s="773"/>
      <c r="GZ76" s="773"/>
    </row>
    <row r="77" spans="1:208" s="11" customFormat="1">
      <c r="A77" s="774"/>
      <c r="B77" s="3761" t="s">
        <v>1350</v>
      </c>
      <c r="C77" s="197">
        <v>215248</v>
      </c>
      <c r="D77" s="801" t="s">
        <v>3405</v>
      </c>
      <c r="E77" s="809">
        <f>IFERROR(VLOOKUP(C77,'AJE 12 - INC'!$D$168:$F$345,3,0),0)</f>
        <v>0</v>
      </c>
      <c r="F77" s="1325">
        <f>SUMIF('AJE 12 - INC'!B:B,'New TB INC'!C77,'AJE 12 - INC'!D:D)</f>
        <v>0</v>
      </c>
      <c r="G77" s="1326"/>
      <c r="H77" s="1326"/>
      <c r="I77" s="1326"/>
      <c r="J77" s="796">
        <f t="shared" si="8"/>
        <v>0</v>
      </c>
      <c r="K77" s="779"/>
      <c r="L77" s="434"/>
      <c r="M77" s="2679"/>
      <c r="N77" s="772"/>
      <c r="O77" s="772"/>
      <c r="P77" s="772"/>
      <c r="Q77" s="772"/>
      <c r="R77" s="772"/>
      <c r="S77" s="772"/>
      <c r="T77" s="773"/>
      <c r="AW77" s="2514"/>
      <c r="AX77" s="820"/>
      <c r="AY77" s="820"/>
      <c r="AZ77" s="820"/>
      <c r="BA77" s="30"/>
      <c r="BB77" s="30"/>
      <c r="BC77" s="2514"/>
      <c r="BD77" s="2514"/>
      <c r="BE77" s="2514"/>
      <c r="BF77" s="2514"/>
      <c r="BH77" s="2514"/>
      <c r="BI77" s="30"/>
      <c r="BJ77" s="30"/>
      <c r="BK77" s="30"/>
      <c r="BL77" s="30"/>
      <c r="BM77" s="30"/>
      <c r="BN77" s="30"/>
      <c r="BO77" s="209"/>
      <c r="BP77" s="209"/>
      <c r="BQ77" s="785"/>
      <c r="BR77" s="820"/>
      <c r="BS77" s="820"/>
      <c r="BT77" s="30"/>
      <c r="BU77" s="800"/>
      <c r="BV77" s="800"/>
      <c r="BW77" s="209"/>
      <c r="CA77" s="787"/>
      <c r="DB77" s="773"/>
      <c r="DC77" s="773"/>
      <c r="DD77" s="773"/>
      <c r="DE77" s="773"/>
      <c r="DF77" s="773"/>
      <c r="DG77" s="773"/>
      <c r="DH77" s="773"/>
      <c r="DI77" s="773"/>
      <c r="DJ77" s="773"/>
      <c r="DK77" s="773"/>
      <c r="DL77" s="773"/>
      <c r="DM77" s="773"/>
      <c r="DN77" s="773"/>
      <c r="DO77" s="773"/>
      <c r="DP77" s="773"/>
      <c r="DQ77" s="773"/>
      <c r="DR77" s="773"/>
      <c r="DS77" s="773"/>
      <c r="DT77" s="773"/>
      <c r="DU77" s="773"/>
      <c r="DV77" s="773"/>
      <c r="DW77" s="773"/>
      <c r="DX77" s="773"/>
      <c r="DY77" s="773"/>
      <c r="DZ77" s="773"/>
      <c r="EA77" s="773"/>
      <c r="EB77" s="773"/>
      <c r="EC77" s="773"/>
      <c r="ED77" s="773"/>
      <c r="EE77" s="773"/>
      <c r="EF77" s="773"/>
      <c r="EG77" s="773"/>
      <c r="EH77" s="773"/>
      <c r="EI77" s="773"/>
      <c r="EJ77" s="773"/>
      <c r="EK77" s="773"/>
      <c r="EL77" s="773"/>
      <c r="EM77" s="773"/>
      <c r="EN77" s="773"/>
      <c r="EO77" s="773"/>
      <c r="EP77" s="773"/>
      <c r="EQ77" s="773"/>
      <c r="ER77" s="773"/>
      <c r="ES77" s="773"/>
      <c r="ET77" s="773"/>
      <c r="EU77" s="773"/>
      <c r="EV77" s="773"/>
      <c r="EW77" s="773"/>
      <c r="EX77" s="773"/>
      <c r="EY77" s="773"/>
      <c r="EZ77" s="773"/>
      <c r="FA77" s="773"/>
      <c r="FB77" s="773"/>
      <c r="FC77" s="773"/>
      <c r="FD77" s="773"/>
      <c r="FE77" s="773"/>
      <c r="FF77" s="773"/>
      <c r="FG77" s="773"/>
      <c r="FH77" s="773"/>
      <c r="FI77" s="773"/>
      <c r="FJ77" s="773"/>
      <c r="FK77" s="773"/>
      <c r="FL77" s="773"/>
      <c r="FM77" s="773"/>
      <c r="FN77" s="773"/>
      <c r="FO77" s="773"/>
      <c r="FP77" s="773"/>
      <c r="FQ77" s="773"/>
      <c r="FR77" s="773"/>
      <c r="FS77" s="773"/>
      <c r="FT77" s="773"/>
      <c r="FU77" s="773"/>
      <c r="FV77" s="773"/>
      <c r="FW77" s="773"/>
      <c r="FX77" s="773"/>
      <c r="FY77" s="773"/>
      <c r="FZ77" s="773"/>
      <c r="GA77" s="773"/>
      <c r="GB77" s="773"/>
      <c r="GC77" s="773"/>
      <c r="GD77" s="773"/>
      <c r="GE77" s="773"/>
      <c r="GF77" s="773"/>
      <c r="GG77" s="773"/>
      <c r="GH77" s="773"/>
      <c r="GI77" s="773"/>
      <c r="GJ77" s="773"/>
      <c r="GK77" s="773"/>
      <c r="GL77" s="773"/>
      <c r="GM77" s="773"/>
      <c r="GN77" s="773"/>
      <c r="GO77" s="773"/>
      <c r="GP77" s="773"/>
      <c r="GQ77" s="773"/>
      <c r="GR77" s="773"/>
      <c r="GS77" s="773"/>
      <c r="GT77" s="773"/>
      <c r="GU77" s="773"/>
      <c r="GV77" s="773"/>
      <c r="GW77" s="773"/>
      <c r="GX77" s="773"/>
      <c r="GY77" s="773"/>
      <c r="GZ77" s="773"/>
    </row>
    <row r="78" spans="1:208" s="11" customFormat="1">
      <c r="A78" s="774"/>
      <c r="B78" s="3761" t="s">
        <v>1350</v>
      </c>
      <c r="C78" s="197">
        <v>216041</v>
      </c>
      <c r="D78" s="801" t="s">
        <v>3406</v>
      </c>
      <c r="E78" s="809">
        <f>IFERROR(VLOOKUP(C78,'AJE 12 - INC'!$D$168:$F$345,3,0),0)</f>
        <v>0</v>
      </c>
      <c r="F78" s="1325">
        <f>SUMIF('AJE 12 - INC'!B:B,'New TB INC'!C78,'AJE 12 - INC'!D:D)</f>
        <v>0</v>
      </c>
      <c r="G78" s="1326"/>
      <c r="H78" s="1326"/>
      <c r="I78" s="1326"/>
      <c r="J78" s="796">
        <f t="shared" si="8"/>
        <v>0</v>
      </c>
      <c r="K78" s="779"/>
      <c r="L78" s="434"/>
      <c r="M78" s="2679"/>
      <c r="N78" s="772"/>
      <c r="O78" s="772"/>
      <c r="P78" s="772"/>
      <c r="Q78" s="772"/>
      <c r="R78" s="772"/>
      <c r="S78" s="772"/>
      <c r="T78" s="773"/>
      <c r="AW78" s="2514"/>
      <c r="AX78" s="820"/>
      <c r="AY78" s="820"/>
      <c r="AZ78" s="820"/>
      <c r="BA78" s="30"/>
      <c r="BB78" s="30"/>
      <c r="BC78" s="2514"/>
      <c r="BD78" s="2514"/>
      <c r="BE78" s="2514"/>
      <c r="BF78" s="2514"/>
      <c r="BH78" s="2514"/>
      <c r="BI78" s="30"/>
      <c r="BJ78" s="30"/>
      <c r="BK78" s="30"/>
      <c r="BL78" s="30"/>
      <c r="BM78" s="30"/>
      <c r="BN78" s="30"/>
      <c r="BO78" s="209"/>
      <c r="BP78" s="209"/>
      <c r="BQ78" s="785"/>
      <c r="BR78" s="820"/>
      <c r="BS78" s="820"/>
      <c r="BT78" s="30"/>
      <c r="BU78" s="800"/>
      <c r="BV78" s="800"/>
      <c r="BW78" s="209"/>
      <c r="CA78" s="787"/>
      <c r="DB78" s="773"/>
      <c r="DC78" s="773"/>
      <c r="DD78" s="773"/>
      <c r="DE78" s="773"/>
      <c r="DF78" s="773"/>
      <c r="DG78" s="773"/>
      <c r="DH78" s="773"/>
      <c r="DI78" s="773"/>
      <c r="DJ78" s="773"/>
      <c r="DK78" s="773"/>
      <c r="DL78" s="773"/>
      <c r="DM78" s="773"/>
      <c r="DN78" s="773"/>
      <c r="DO78" s="773"/>
      <c r="DP78" s="773"/>
      <c r="DQ78" s="773"/>
      <c r="DR78" s="773"/>
      <c r="DS78" s="773"/>
      <c r="DT78" s="773"/>
      <c r="DU78" s="773"/>
      <c r="DV78" s="773"/>
      <c r="DW78" s="773"/>
      <c r="DX78" s="773"/>
      <c r="DY78" s="773"/>
      <c r="DZ78" s="773"/>
      <c r="EA78" s="773"/>
      <c r="EB78" s="773"/>
      <c r="EC78" s="773"/>
      <c r="ED78" s="773"/>
      <c r="EE78" s="773"/>
      <c r="EF78" s="773"/>
      <c r="EG78" s="773"/>
      <c r="EH78" s="773"/>
      <c r="EI78" s="773"/>
      <c r="EJ78" s="773"/>
      <c r="EK78" s="773"/>
      <c r="EL78" s="773"/>
      <c r="EM78" s="773"/>
      <c r="EN78" s="773"/>
      <c r="EO78" s="773"/>
      <c r="EP78" s="773"/>
      <c r="EQ78" s="773"/>
      <c r="ER78" s="773"/>
      <c r="ES78" s="773"/>
      <c r="ET78" s="773"/>
      <c r="EU78" s="773"/>
      <c r="EV78" s="773"/>
      <c r="EW78" s="773"/>
      <c r="EX78" s="773"/>
      <c r="EY78" s="773"/>
      <c r="EZ78" s="773"/>
      <c r="FA78" s="773"/>
      <c r="FB78" s="773"/>
      <c r="FC78" s="773"/>
      <c r="FD78" s="773"/>
      <c r="FE78" s="773"/>
      <c r="FF78" s="773"/>
      <c r="FG78" s="773"/>
      <c r="FH78" s="773"/>
      <c r="FI78" s="773"/>
      <c r="FJ78" s="773"/>
      <c r="FK78" s="773"/>
      <c r="FL78" s="773"/>
      <c r="FM78" s="773"/>
      <c r="FN78" s="773"/>
      <c r="FO78" s="773"/>
      <c r="FP78" s="773"/>
      <c r="FQ78" s="773"/>
      <c r="FR78" s="773"/>
      <c r="FS78" s="773"/>
      <c r="FT78" s="773"/>
      <c r="FU78" s="773"/>
      <c r="FV78" s="773"/>
      <c r="FW78" s="773"/>
      <c r="FX78" s="773"/>
      <c r="FY78" s="773"/>
      <c r="FZ78" s="773"/>
      <c r="GA78" s="773"/>
      <c r="GB78" s="773"/>
      <c r="GC78" s="773"/>
      <c r="GD78" s="773"/>
      <c r="GE78" s="773"/>
      <c r="GF78" s="773"/>
      <c r="GG78" s="773"/>
      <c r="GH78" s="773"/>
      <c r="GI78" s="773"/>
      <c r="GJ78" s="773"/>
      <c r="GK78" s="773"/>
      <c r="GL78" s="773"/>
      <c r="GM78" s="773"/>
      <c r="GN78" s="773"/>
      <c r="GO78" s="773"/>
      <c r="GP78" s="773"/>
      <c r="GQ78" s="773"/>
      <c r="GR78" s="773"/>
      <c r="GS78" s="773"/>
      <c r="GT78" s="773"/>
      <c r="GU78" s="773"/>
      <c r="GV78" s="773"/>
      <c r="GW78" s="773"/>
      <c r="GX78" s="773"/>
      <c r="GY78" s="773"/>
      <c r="GZ78" s="773"/>
    </row>
    <row r="79" spans="1:208" s="11" customFormat="1">
      <c r="A79" s="774"/>
      <c r="B79" s="3761" t="s">
        <v>1350</v>
      </c>
      <c r="C79" s="197">
        <v>217966</v>
      </c>
      <c r="D79" s="801" t="s">
        <v>3407</v>
      </c>
      <c r="E79" s="809">
        <f>IFERROR(VLOOKUP(C79,'AJE 12 - INC'!$D$168:$F$345,3,0),0)</f>
        <v>10319.4</v>
      </c>
      <c r="F79" s="1325">
        <f>SUMIF('AJE 12 - INC'!B:B,'New TB INC'!C79,'AJE 12 - INC'!D:D)</f>
        <v>0</v>
      </c>
      <c r="G79" s="1326"/>
      <c r="H79" s="1326"/>
      <c r="I79" s="1326"/>
      <c r="J79" s="796">
        <f t="shared" si="8"/>
        <v>10319.4</v>
      </c>
      <c r="K79" s="779"/>
      <c r="L79" s="434"/>
      <c r="M79" s="2679"/>
      <c r="N79" s="772"/>
      <c r="O79" s="772"/>
      <c r="P79" s="772"/>
      <c r="Q79" s="772"/>
      <c r="R79" s="772"/>
      <c r="S79" s="772"/>
      <c r="T79" s="773"/>
      <c r="AW79" s="2514"/>
      <c r="AX79" s="820"/>
      <c r="AY79" s="820"/>
      <c r="AZ79" s="820"/>
      <c r="BA79" s="30"/>
      <c r="BB79" s="30"/>
      <c r="BC79" s="2514"/>
      <c r="BD79" s="2514"/>
      <c r="BE79" s="2514"/>
      <c r="BF79" s="2514"/>
      <c r="BH79" s="2514"/>
      <c r="BI79" s="30"/>
      <c r="BJ79" s="30"/>
      <c r="BK79" s="30"/>
      <c r="BL79" s="30"/>
      <c r="BM79" s="30"/>
      <c r="BN79" s="30"/>
      <c r="BO79" s="209"/>
      <c r="BP79" s="209"/>
      <c r="BQ79" s="785"/>
      <c r="BR79" s="820"/>
      <c r="BS79" s="820"/>
      <c r="BT79" s="30"/>
      <c r="BU79" s="800"/>
      <c r="BV79" s="800"/>
      <c r="BW79" s="209"/>
      <c r="CA79" s="787"/>
      <c r="DB79" s="773"/>
      <c r="DC79" s="773"/>
      <c r="DD79" s="773"/>
      <c r="DE79" s="773"/>
      <c r="DF79" s="773"/>
      <c r="DG79" s="773"/>
      <c r="DH79" s="773"/>
      <c r="DI79" s="773"/>
      <c r="DJ79" s="773"/>
      <c r="DK79" s="773"/>
      <c r="DL79" s="773"/>
      <c r="DM79" s="773"/>
      <c r="DN79" s="773"/>
      <c r="DO79" s="773"/>
      <c r="DP79" s="773"/>
      <c r="DQ79" s="773"/>
      <c r="DR79" s="773"/>
      <c r="DS79" s="773"/>
      <c r="DT79" s="773"/>
      <c r="DU79" s="773"/>
      <c r="DV79" s="773"/>
      <c r="DW79" s="773"/>
      <c r="DX79" s="773"/>
      <c r="DY79" s="773"/>
      <c r="DZ79" s="773"/>
      <c r="EA79" s="773"/>
      <c r="EB79" s="773"/>
      <c r="EC79" s="773"/>
      <c r="ED79" s="773"/>
      <c r="EE79" s="773"/>
      <c r="EF79" s="773"/>
      <c r="EG79" s="773"/>
      <c r="EH79" s="773"/>
      <c r="EI79" s="773"/>
      <c r="EJ79" s="773"/>
      <c r="EK79" s="773"/>
      <c r="EL79" s="773"/>
      <c r="EM79" s="773"/>
      <c r="EN79" s="773"/>
      <c r="EO79" s="773"/>
      <c r="EP79" s="773"/>
      <c r="EQ79" s="773"/>
      <c r="ER79" s="773"/>
      <c r="ES79" s="773"/>
      <c r="ET79" s="773"/>
      <c r="EU79" s="773"/>
      <c r="EV79" s="773"/>
      <c r="EW79" s="773"/>
      <c r="EX79" s="773"/>
      <c r="EY79" s="773"/>
      <c r="EZ79" s="773"/>
      <c r="FA79" s="773"/>
      <c r="FB79" s="773"/>
      <c r="FC79" s="773"/>
      <c r="FD79" s="773"/>
      <c r="FE79" s="773"/>
      <c r="FF79" s="773"/>
      <c r="FG79" s="773"/>
      <c r="FH79" s="773"/>
      <c r="FI79" s="773"/>
      <c r="FJ79" s="773"/>
      <c r="FK79" s="773"/>
      <c r="FL79" s="773"/>
      <c r="FM79" s="773"/>
      <c r="FN79" s="773"/>
      <c r="FO79" s="773"/>
      <c r="FP79" s="773"/>
      <c r="FQ79" s="773"/>
      <c r="FR79" s="773"/>
      <c r="FS79" s="773"/>
      <c r="FT79" s="773"/>
      <c r="FU79" s="773"/>
      <c r="FV79" s="773"/>
      <c r="FW79" s="773"/>
      <c r="FX79" s="773"/>
      <c r="FY79" s="773"/>
      <c r="FZ79" s="773"/>
      <c r="GA79" s="773"/>
      <c r="GB79" s="773"/>
      <c r="GC79" s="773"/>
      <c r="GD79" s="773"/>
      <c r="GE79" s="773"/>
      <c r="GF79" s="773"/>
      <c r="GG79" s="773"/>
      <c r="GH79" s="773"/>
      <c r="GI79" s="773"/>
      <c r="GJ79" s="773"/>
      <c r="GK79" s="773"/>
      <c r="GL79" s="773"/>
      <c r="GM79" s="773"/>
      <c r="GN79" s="773"/>
      <c r="GO79" s="773"/>
      <c r="GP79" s="773"/>
      <c r="GQ79" s="773"/>
      <c r="GR79" s="773"/>
      <c r="GS79" s="773"/>
      <c r="GT79" s="773"/>
      <c r="GU79" s="773"/>
      <c r="GV79" s="773"/>
      <c r="GW79" s="773"/>
      <c r="GX79" s="773"/>
      <c r="GY79" s="773"/>
      <c r="GZ79" s="773"/>
    </row>
    <row r="80" spans="1:208" s="11" customFormat="1">
      <c r="A80" s="774"/>
      <c r="B80" s="3761" t="s">
        <v>1350</v>
      </c>
      <c r="C80" s="197">
        <v>221097</v>
      </c>
      <c r="D80" s="801" t="s">
        <v>3408</v>
      </c>
      <c r="E80" s="809">
        <f>IFERROR(VLOOKUP(C80,'AJE 12 - INC'!$D$168:$F$345,3,0),0)</f>
        <v>0</v>
      </c>
      <c r="F80" s="1325">
        <f>SUMIF('AJE 12 - INC'!B:B,'New TB INC'!C80,'AJE 12 - INC'!D:D)</f>
        <v>0</v>
      </c>
      <c r="G80" s="1326"/>
      <c r="H80" s="1326"/>
      <c r="I80" s="1326"/>
      <c r="J80" s="796">
        <f t="shared" si="8"/>
        <v>0</v>
      </c>
      <c r="K80" s="779"/>
      <c r="L80" s="434"/>
      <c r="M80" s="2679"/>
      <c r="N80" s="772"/>
      <c r="O80" s="772"/>
      <c r="P80" s="772"/>
      <c r="Q80" s="772"/>
      <c r="R80" s="772"/>
      <c r="S80" s="772"/>
      <c r="T80" s="773"/>
      <c r="AW80" s="2514"/>
      <c r="AX80" s="820"/>
      <c r="AY80" s="820"/>
      <c r="AZ80" s="820"/>
      <c r="BA80" s="30"/>
      <c r="BB80" s="30"/>
      <c r="BC80" s="2514"/>
      <c r="BD80" s="2514"/>
      <c r="BE80" s="2514"/>
      <c r="BF80" s="2514"/>
      <c r="BH80" s="2514"/>
      <c r="BI80" s="30"/>
      <c r="BJ80" s="30"/>
      <c r="BK80" s="30"/>
      <c r="BL80" s="30"/>
      <c r="BM80" s="30"/>
      <c r="BN80" s="30"/>
      <c r="BO80" s="209"/>
      <c r="BP80" s="209"/>
      <c r="BQ80" s="785"/>
      <c r="BR80" s="820"/>
      <c r="BS80" s="820"/>
      <c r="BT80" s="30"/>
      <c r="BU80" s="800"/>
      <c r="BV80" s="800"/>
      <c r="BW80" s="209"/>
      <c r="CA80" s="787"/>
      <c r="DB80" s="773"/>
      <c r="DC80" s="773"/>
      <c r="DD80" s="773"/>
      <c r="DE80" s="773"/>
      <c r="DF80" s="773"/>
      <c r="DG80" s="773"/>
      <c r="DH80" s="773"/>
      <c r="DI80" s="773"/>
      <c r="DJ80" s="773"/>
      <c r="DK80" s="773"/>
      <c r="DL80" s="773"/>
      <c r="DM80" s="773"/>
      <c r="DN80" s="773"/>
      <c r="DO80" s="773"/>
      <c r="DP80" s="773"/>
      <c r="DQ80" s="773"/>
      <c r="DR80" s="773"/>
      <c r="DS80" s="773"/>
      <c r="DT80" s="773"/>
      <c r="DU80" s="773"/>
      <c r="DV80" s="773"/>
      <c r="DW80" s="773"/>
      <c r="DX80" s="773"/>
      <c r="DY80" s="773"/>
      <c r="DZ80" s="773"/>
      <c r="EA80" s="773"/>
      <c r="EB80" s="773"/>
      <c r="EC80" s="773"/>
      <c r="ED80" s="773"/>
      <c r="EE80" s="773"/>
      <c r="EF80" s="773"/>
      <c r="EG80" s="773"/>
      <c r="EH80" s="773"/>
      <c r="EI80" s="773"/>
      <c r="EJ80" s="773"/>
      <c r="EK80" s="773"/>
      <c r="EL80" s="773"/>
      <c r="EM80" s="773"/>
      <c r="EN80" s="773"/>
      <c r="EO80" s="773"/>
      <c r="EP80" s="773"/>
      <c r="EQ80" s="773"/>
      <c r="ER80" s="773"/>
      <c r="ES80" s="773"/>
      <c r="ET80" s="773"/>
      <c r="EU80" s="773"/>
      <c r="EV80" s="773"/>
      <c r="EW80" s="773"/>
      <c r="EX80" s="773"/>
      <c r="EY80" s="773"/>
      <c r="EZ80" s="773"/>
      <c r="FA80" s="773"/>
      <c r="FB80" s="773"/>
      <c r="FC80" s="773"/>
      <c r="FD80" s="773"/>
      <c r="FE80" s="773"/>
      <c r="FF80" s="773"/>
      <c r="FG80" s="773"/>
      <c r="FH80" s="773"/>
      <c r="FI80" s="773"/>
      <c r="FJ80" s="773"/>
      <c r="FK80" s="773"/>
      <c r="FL80" s="773"/>
      <c r="FM80" s="773"/>
      <c r="FN80" s="773"/>
      <c r="FO80" s="773"/>
      <c r="FP80" s="773"/>
      <c r="FQ80" s="773"/>
      <c r="FR80" s="773"/>
      <c r="FS80" s="773"/>
      <c r="FT80" s="773"/>
      <c r="FU80" s="773"/>
      <c r="FV80" s="773"/>
      <c r="FW80" s="773"/>
      <c r="FX80" s="773"/>
      <c r="FY80" s="773"/>
      <c r="FZ80" s="773"/>
      <c r="GA80" s="773"/>
      <c r="GB80" s="773"/>
      <c r="GC80" s="773"/>
      <c r="GD80" s="773"/>
      <c r="GE80" s="773"/>
      <c r="GF80" s="773"/>
      <c r="GG80" s="773"/>
      <c r="GH80" s="773"/>
      <c r="GI80" s="773"/>
      <c r="GJ80" s="773"/>
      <c r="GK80" s="773"/>
      <c r="GL80" s="773"/>
      <c r="GM80" s="773"/>
      <c r="GN80" s="773"/>
      <c r="GO80" s="773"/>
      <c r="GP80" s="773"/>
      <c r="GQ80" s="773"/>
      <c r="GR80" s="773"/>
      <c r="GS80" s="773"/>
      <c r="GT80" s="773"/>
      <c r="GU80" s="773"/>
      <c r="GV80" s="773"/>
      <c r="GW80" s="773"/>
      <c r="GX80" s="773"/>
      <c r="GY80" s="773"/>
      <c r="GZ80" s="773"/>
    </row>
    <row r="81" spans="1:208" s="11" customFormat="1">
      <c r="A81" s="774"/>
      <c r="B81" s="3761" t="s">
        <v>1350</v>
      </c>
      <c r="C81" s="197">
        <v>222213</v>
      </c>
      <c r="D81" s="801" t="s">
        <v>3409</v>
      </c>
      <c r="E81" s="809">
        <f>IFERROR(VLOOKUP(C81,'AJE 12 - INC'!$D$168:$F$345,3,0),0)</f>
        <v>0</v>
      </c>
      <c r="F81" s="1325">
        <f>SUMIF('AJE 12 - INC'!B:B,'New TB INC'!C81,'AJE 12 - INC'!D:D)</f>
        <v>0</v>
      </c>
      <c r="G81" s="1326"/>
      <c r="H81" s="1326"/>
      <c r="I81" s="1326"/>
      <c r="J81" s="796">
        <f t="shared" si="8"/>
        <v>0</v>
      </c>
      <c r="K81" s="779"/>
      <c r="L81" s="434"/>
      <c r="M81" s="2679"/>
      <c r="N81" s="772"/>
      <c r="O81" s="772"/>
      <c r="P81" s="772"/>
      <c r="Q81" s="772"/>
      <c r="R81" s="772"/>
      <c r="S81" s="772"/>
      <c r="T81" s="773"/>
      <c r="AW81" s="2514"/>
      <c r="AX81" s="820"/>
      <c r="AY81" s="820"/>
      <c r="AZ81" s="820"/>
      <c r="BA81" s="30"/>
      <c r="BB81" s="30"/>
      <c r="BC81" s="2514"/>
      <c r="BD81" s="2514"/>
      <c r="BE81" s="2514"/>
      <c r="BF81" s="2514"/>
      <c r="BH81" s="2514"/>
      <c r="BI81" s="30"/>
      <c r="BJ81" s="30"/>
      <c r="BK81" s="30"/>
      <c r="BL81" s="30"/>
      <c r="BM81" s="30"/>
      <c r="BN81" s="30"/>
      <c r="BO81" s="209"/>
      <c r="BP81" s="209"/>
      <c r="BQ81" s="785"/>
      <c r="BR81" s="820"/>
      <c r="BS81" s="820"/>
      <c r="BT81" s="30"/>
      <c r="BU81" s="800"/>
      <c r="BV81" s="800"/>
      <c r="BW81" s="209"/>
      <c r="CA81" s="787"/>
      <c r="DB81" s="773"/>
      <c r="DC81" s="773"/>
      <c r="DD81" s="773"/>
      <c r="DE81" s="773"/>
      <c r="DF81" s="773"/>
      <c r="DG81" s="773"/>
      <c r="DH81" s="773"/>
      <c r="DI81" s="773"/>
      <c r="DJ81" s="773"/>
      <c r="DK81" s="773"/>
      <c r="DL81" s="773"/>
      <c r="DM81" s="773"/>
      <c r="DN81" s="773"/>
      <c r="DO81" s="773"/>
      <c r="DP81" s="773"/>
      <c r="DQ81" s="773"/>
      <c r="DR81" s="773"/>
      <c r="DS81" s="773"/>
      <c r="DT81" s="773"/>
      <c r="DU81" s="773"/>
      <c r="DV81" s="773"/>
      <c r="DW81" s="773"/>
      <c r="DX81" s="773"/>
      <c r="DY81" s="773"/>
      <c r="DZ81" s="773"/>
      <c r="EA81" s="773"/>
      <c r="EB81" s="773"/>
      <c r="EC81" s="773"/>
      <c r="ED81" s="773"/>
      <c r="EE81" s="773"/>
      <c r="EF81" s="773"/>
      <c r="EG81" s="773"/>
      <c r="EH81" s="773"/>
      <c r="EI81" s="773"/>
      <c r="EJ81" s="773"/>
      <c r="EK81" s="773"/>
      <c r="EL81" s="773"/>
      <c r="EM81" s="773"/>
      <c r="EN81" s="773"/>
      <c r="EO81" s="773"/>
      <c r="EP81" s="773"/>
      <c r="EQ81" s="773"/>
      <c r="ER81" s="773"/>
      <c r="ES81" s="773"/>
      <c r="ET81" s="773"/>
      <c r="EU81" s="773"/>
      <c r="EV81" s="773"/>
      <c r="EW81" s="773"/>
      <c r="EX81" s="773"/>
      <c r="EY81" s="773"/>
      <c r="EZ81" s="773"/>
      <c r="FA81" s="773"/>
      <c r="FB81" s="773"/>
      <c r="FC81" s="773"/>
      <c r="FD81" s="773"/>
      <c r="FE81" s="773"/>
      <c r="FF81" s="773"/>
      <c r="FG81" s="773"/>
      <c r="FH81" s="773"/>
      <c r="FI81" s="773"/>
      <c r="FJ81" s="773"/>
      <c r="FK81" s="773"/>
      <c r="FL81" s="773"/>
      <c r="FM81" s="773"/>
      <c r="FN81" s="773"/>
      <c r="FO81" s="773"/>
      <c r="FP81" s="773"/>
      <c r="FQ81" s="773"/>
      <c r="FR81" s="773"/>
      <c r="FS81" s="773"/>
      <c r="FT81" s="773"/>
      <c r="FU81" s="773"/>
      <c r="FV81" s="773"/>
      <c r="FW81" s="773"/>
      <c r="FX81" s="773"/>
      <c r="FY81" s="773"/>
      <c r="FZ81" s="773"/>
      <c r="GA81" s="773"/>
      <c r="GB81" s="773"/>
      <c r="GC81" s="773"/>
      <c r="GD81" s="773"/>
      <c r="GE81" s="773"/>
      <c r="GF81" s="773"/>
      <c r="GG81" s="773"/>
      <c r="GH81" s="773"/>
      <c r="GI81" s="773"/>
      <c r="GJ81" s="773"/>
      <c r="GK81" s="773"/>
      <c r="GL81" s="773"/>
      <c r="GM81" s="773"/>
      <c r="GN81" s="773"/>
      <c r="GO81" s="773"/>
      <c r="GP81" s="773"/>
      <c r="GQ81" s="773"/>
      <c r="GR81" s="773"/>
      <c r="GS81" s="773"/>
      <c r="GT81" s="773"/>
      <c r="GU81" s="773"/>
      <c r="GV81" s="773"/>
      <c r="GW81" s="773"/>
      <c r="GX81" s="773"/>
      <c r="GY81" s="773"/>
      <c r="GZ81" s="773"/>
    </row>
    <row r="82" spans="1:208" s="11" customFormat="1">
      <c r="A82" s="774"/>
      <c r="B82" s="3761" t="s">
        <v>1350</v>
      </c>
      <c r="C82" s="197">
        <v>230017</v>
      </c>
      <c r="D82" s="801" t="s">
        <v>3410</v>
      </c>
      <c r="E82" s="809">
        <f>IFERROR(VLOOKUP(C82,'AJE 12 - INC'!$D$168:$F$345,3,0),0)</f>
        <v>0</v>
      </c>
      <c r="F82" s="1325">
        <f>SUMIF('AJE 12 - INC'!B:B,'New TB INC'!C82,'AJE 12 - INC'!D:D)</f>
        <v>0</v>
      </c>
      <c r="G82" s="1326"/>
      <c r="H82" s="1326"/>
      <c r="I82" s="1326"/>
      <c r="J82" s="796">
        <f t="shared" si="8"/>
        <v>0</v>
      </c>
      <c r="K82" s="779"/>
      <c r="L82" s="434"/>
      <c r="M82" s="2679"/>
      <c r="N82" s="772"/>
      <c r="O82" s="772"/>
      <c r="P82" s="772"/>
      <c r="Q82" s="772"/>
      <c r="R82" s="772"/>
      <c r="S82" s="772"/>
      <c r="T82" s="773"/>
      <c r="AW82" s="2514"/>
      <c r="AX82" s="820"/>
      <c r="AY82" s="820"/>
      <c r="AZ82" s="820"/>
      <c r="BA82" s="30"/>
      <c r="BB82" s="30"/>
      <c r="BC82" s="2514"/>
      <c r="BD82" s="2514"/>
      <c r="BE82" s="2514"/>
      <c r="BF82" s="2514"/>
      <c r="BH82" s="2514"/>
      <c r="BI82" s="30"/>
      <c r="BJ82" s="30"/>
      <c r="BK82" s="30"/>
      <c r="BL82" s="30"/>
      <c r="BM82" s="30"/>
      <c r="BN82" s="30"/>
      <c r="BO82" s="209"/>
      <c r="BP82" s="209"/>
      <c r="BQ82" s="785"/>
      <c r="BR82" s="820"/>
      <c r="BS82" s="820"/>
      <c r="BT82" s="30"/>
      <c r="BU82" s="800"/>
      <c r="BV82" s="800"/>
      <c r="BW82" s="209"/>
      <c r="CA82" s="787"/>
      <c r="DB82" s="773"/>
      <c r="DC82" s="773"/>
      <c r="DD82" s="773"/>
      <c r="DE82" s="773"/>
      <c r="DF82" s="773"/>
      <c r="DG82" s="773"/>
      <c r="DH82" s="773"/>
      <c r="DI82" s="773"/>
      <c r="DJ82" s="773"/>
      <c r="DK82" s="773"/>
      <c r="DL82" s="773"/>
      <c r="DM82" s="773"/>
      <c r="DN82" s="773"/>
      <c r="DO82" s="773"/>
      <c r="DP82" s="773"/>
      <c r="DQ82" s="773"/>
      <c r="DR82" s="773"/>
      <c r="DS82" s="773"/>
      <c r="DT82" s="773"/>
      <c r="DU82" s="773"/>
      <c r="DV82" s="773"/>
      <c r="DW82" s="773"/>
      <c r="DX82" s="773"/>
      <c r="DY82" s="773"/>
      <c r="DZ82" s="773"/>
      <c r="EA82" s="773"/>
      <c r="EB82" s="773"/>
      <c r="EC82" s="773"/>
      <c r="ED82" s="773"/>
      <c r="EE82" s="773"/>
      <c r="EF82" s="773"/>
      <c r="EG82" s="773"/>
      <c r="EH82" s="773"/>
      <c r="EI82" s="773"/>
      <c r="EJ82" s="773"/>
      <c r="EK82" s="773"/>
      <c r="EL82" s="773"/>
      <c r="EM82" s="773"/>
      <c r="EN82" s="773"/>
      <c r="EO82" s="773"/>
      <c r="EP82" s="773"/>
      <c r="EQ82" s="773"/>
      <c r="ER82" s="773"/>
      <c r="ES82" s="773"/>
      <c r="ET82" s="773"/>
      <c r="EU82" s="773"/>
      <c r="EV82" s="773"/>
      <c r="EW82" s="773"/>
      <c r="EX82" s="773"/>
      <c r="EY82" s="773"/>
      <c r="EZ82" s="773"/>
      <c r="FA82" s="773"/>
      <c r="FB82" s="773"/>
      <c r="FC82" s="773"/>
      <c r="FD82" s="773"/>
      <c r="FE82" s="773"/>
      <c r="FF82" s="773"/>
      <c r="FG82" s="773"/>
      <c r="FH82" s="773"/>
      <c r="FI82" s="773"/>
      <c r="FJ82" s="773"/>
      <c r="FK82" s="773"/>
      <c r="FL82" s="773"/>
      <c r="FM82" s="773"/>
      <c r="FN82" s="773"/>
      <c r="FO82" s="773"/>
      <c r="FP82" s="773"/>
      <c r="FQ82" s="773"/>
      <c r="FR82" s="773"/>
      <c r="FS82" s="773"/>
      <c r="FT82" s="773"/>
      <c r="FU82" s="773"/>
      <c r="FV82" s="773"/>
      <c r="FW82" s="773"/>
      <c r="FX82" s="773"/>
      <c r="FY82" s="773"/>
      <c r="FZ82" s="773"/>
      <c r="GA82" s="773"/>
      <c r="GB82" s="773"/>
      <c r="GC82" s="773"/>
      <c r="GD82" s="773"/>
      <c r="GE82" s="773"/>
      <c r="GF82" s="773"/>
      <c r="GG82" s="773"/>
      <c r="GH82" s="773"/>
      <c r="GI82" s="773"/>
      <c r="GJ82" s="773"/>
      <c r="GK82" s="773"/>
      <c r="GL82" s="773"/>
      <c r="GM82" s="773"/>
      <c r="GN82" s="773"/>
      <c r="GO82" s="773"/>
      <c r="GP82" s="773"/>
      <c r="GQ82" s="773"/>
      <c r="GR82" s="773"/>
      <c r="GS82" s="773"/>
      <c r="GT82" s="773"/>
      <c r="GU82" s="773"/>
      <c r="GV82" s="773"/>
      <c r="GW82" s="773"/>
      <c r="GX82" s="773"/>
      <c r="GY82" s="773"/>
      <c r="GZ82" s="773"/>
    </row>
    <row r="83" spans="1:208" s="11" customFormat="1">
      <c r="A83" s="774"/>
      <c r="B83" s="3761" t="s">
        <v>1350</v>
      </c>
      <c r="C83" s="197">
        <v>230919</v>
      </c>
      <c r="D83" s="801" t="s">
        <v>3411</v>
      </c>
      <c r="E83" s="809">
        <f>IFERROR(VLOOKUP(C83,'AJE 12 - INC'!$D$168:$F$345,3,0),0)</f>
        <v>0</v>
      </c>
      <c r="F83" s="1325">
        <f>SUMIF('AJE 12 - INC'!B:B,'New TB INC'!C83,'AJE 12 - INC'!D:D)</f>
        <v>0</v>
      </c>
      <c r="G83" s="1326"/>
      <c r="H83" s="1326"/>
      <c r="I83" s="1326"/>
      <c r="J83" s="796">
        <f t="shared" si="8"/>
        <v>0</v>
      </c>
      <c r="K83" s="779"/>
      <c r="L83" s="434"/>
      <c r="M83" s="2679"/>
      <c r="N83" s="772"/>
      <c r="O83" s="772"/>
      <c r="P83" s="772"/>
      <c r="Q83" s="772"/>
      <c r="R83" s="772"/>
      <c r="S83" s="772"/>
      <c r="T83" s="773"/>
      <c r="AW83" s="2514"/>
      <c r="AX83" s="820"/>
      <c r="AY83" s="820"/>
      <c r="AZ83" s="820"/>
      <c r="BA83" s="30"/>
      <c r="BB83" s="30"/>
      <c r="BC83" s="2514"/>
      <c r="BD83" s="2514"/>
      <c r="BE83" s="2514"/>
      <c r="BF83" s="2514"/>
      <c r="BH83" s="2514"/>
      <c r="BI83" s="30"/>
      <c r="BJ83" s="30"/>
      <c r="BK83" s="30"/>
      <c r="BL83" s="30"/>
      <c r="BM83" s="30"/>
      <c r="BN83" s="30"/>
      <c r="BO83" s="209"/>
      <c r="BP83" s="209"/>
      <c r="BQ83" s="785"/>
      <c r="BR83" s="820"/>
      <c r="BS83" s="820"/>
      <c r="BT83" s="30"/>
      <c r="BU83" s="800"/>
      <c r="BV83" s="800"/>
      <c r="BW83" s="209"/>
      <c r="CA83" s="787"/>
      <c r="DB83" s="773"/>
      <c r="DC83" s="773"/>
      <c r="DD83" s="773"/>
      <c r="DE83" s="773"/>
      <c r="DF83" s="773"/>
      <c r="DG83" s="773"/>
      <c r="DH83" s="773"/>
      <c r="DI83" s="773"/>
      <c r="DJ83" s="773"/>
      <c r="DK83" s="773"/>
      <c r="DL83" s="773"/>
      <c r="DM83" s="773"/>
      <c r="DN83" s="773"/>
      <c r="DO83" s="773"/>
      <c r="DP83" s="773"/>
      <c r="DQ83" s="773"/>
      <c r="DR83" s="773"/>
      <c r="DS83" s="773"/>
      <c r="DT83" s="773"/>
      <c r="DU83" s="773"/>
      <c r="DV83" s="773"/>
      <c r="DW83" s="773"/>
      <c r="DX83" s="773"/>
      <c r="DY83" s="773"/>
      <c r="DZ83" s="773"/>
      <c r="EA83" s="773"/>
      <c r="EB83" s="773"/>
      <c r="EC83" s="773"/>
      <c r="ED83" s="773"/>
      <c r="EE83" s="773"/>
      <c r="EF83" s="773"/>
      <c r="EG83" s="773"/>
      <c r="EH83" s="773"/>
      <c r="EI83" s="773"/>
      <c r="EJ83" s="773"/>
      <c r="EK83" s="773"/>
      <c r="EL83" s="773"/>
      <c r="EM83" s="773"/>
      <c r="EN83" s="773"/>
      <c r="EO83" s="773"/>
      <c r="EP83" s="773"/>
      <c r="EQ83" s="773"/>
      <c r="ER83" s="773"/>
      <c r="ES83" s="773"/>
      <c r="ET83" s="773"/>
      <c r="EU83" s="773"/>
      <c r="EV83" s="773"/>
      <c r="EW83" s="773"/>
      <c r="EX83" s="773"/>
      <c r="EY83" s="773"/>
      <c r="EZ83" s="773"/>
      <c r="FA83" s="773"/>
      <c r="FB83" s="773"/>
      <c r="FC83" s="773"/>
      <c r="FD83" s="773"/>
      <c r="FE83" s="773"/>
      <c r="FF83" s="773"/>
      <c r="FG83" s="773"/>
      <c r="FH83" s="773"/>
      <c r="FI83" s="773"/>
      <c r="FJ83" s="773"/>
      <c r="FK83" s="773"/>
      <c r="FL83" s="773"/>
      <c r="FM83" s="773"/>
      <c r="FN83" s="773"/>
      <c r="FO83" s="773"/>
      <c r="FP83" s="773"/>
      <c r="FQ83" s="773"/>
      <c r="FR83" s="773"/>
      <c r="FS83" s="773"/>
      <c r="FT83" s="773"/>
      <c r="FU83" s="773"/>
      <c r="FV83" s="773"/>
      <c r="FW83" s="773"/>
      <c r="FX83" s="773"/>
      <c r="FY83" s="773"/>
      <c r="FZ83" s="773"/>
      <c r="GA83" s="773"/>
      <c r="GB83" s="773"/>
      <c r="GC83" s="773"/>
      <c r="GD83" s="773"/>
      <c r="GE83" s="773"/>
      <c r="GF83" s="773"/>
      <c r="GG83" s="773"/>
      <c r="GH83" s="773"/>
      <c r="GI83" s="773"/>
      <c r="GJ83" s="773"/>
      <c r="GK83" s="773"/>
      <c r="GL83" s="773"/>
      <c r="GM83" s="773"/>
      <c r="GN83" s="773"/>
      <c r="GO83" s="773"/>
      <c r="GP83" s="773"/>
      <c r="GQ83" s="773"/>
      <c r="GR83" s="773"/>
      <c r="GS83" s="773"/>
      <c r="GT83" s="773"/>
      <c r="GU83" s="773"/>
      <c r="GV83" s="773"/>
      <c r="GW83" s="773"/>
      <c r="GX83" s="773"/>
      <c r="GY83" s="773"/>
      <c r="GZ83" s="773"/>
    </row>
    <row r="84" spans="1:208" s="11" customFormat="1">
      <c r="A84" s="774"/>
      <c r="B84" s="3761" t="s">
        <v>1350</v>
      </c>
      <c r="C84" s="197">
        <v>230643</v>
      </c>
      <c r="D84" s="801" t="s">
        <v>3329</v>
      </c>
      <c r="E84" s="809">
        <f>IFERROR(VLOOKUP(C84,'AJE 12 - INC'!$D$168:$F$345,3,0),0)</f>
        <v>0</v>
      </c>
      <c r="F84" s="1325">
        <f>SUMIF('AJE 12 - INC'!B:B,'New TB INC'!C84,'AJE 12 - INC'!D:D)</f>
        <v>0</v>
      </c>
      <c r="G84" s="1326"/>
      <c r="H84" s="1326"/>
      <c r="I84" s="1326"/>
      <c r="J84" s="796">
        <f t="shared" ref="J84:J114" si="9">SUM(E84:I84)</f>
        <v>0</v>
      </c>
      <c r="K84" s="779"/>
      <c r="L84" s="434"/>
      <c r="M84" s="2679"/>
      <c r="N84" s="772"/>
      <c r="O84" s="772"/>
      <c r="P84" s="772"/>
      <c r="Q84" s="772"/>
      <c r="R84" s="772"/>
      <c r="S84" s="772"/>
      <c r="T84" s="773"/>
      <c r="AW84" s="2514"/>
      <c r="AX84" s="820"/>
      <c r="AY84" s="820"/>
      <c r="AZ84" s="820"/>
      <c r="BA84" s="30"/>
      <c r="BB84" s="30"/>
      <c r="BC84" s="2514"/>
      <c r="BD84" s="2514"/>
      <c r="BE84" s="2514"/>
      <c r="BF84" s="2514"/>
      <c r="BH84" s="2514"/>
      <c r="BI84" s="30"/>
      <c r="BJ84" s="30"/>
      <c r="BK84" s="30"/>
      <c r="BL84" s="30"/>
      <c r="BM84" s="30"/>
      <c r="BN84" s="30"/>
      <c r="BO84" s="209"/>
      <c r="BP84" s="209"/>
      <c r="BQ84" s="785"/>
      <c r="BR84" s="820"/>
      <c r="BS84" s="820"/>
      <c r="BT84" s="30"/>
      <c r="BU84" s="800"/>
      <c r="BV84" s="800"/>
      <c r="BW84" s="209"/>
      <c r="CA84" s="787"/>
      <c r="DB84" s="773"/>
      <c r="DC84" s="773"/>
      <c r="DD84" s="773"/>
      <c r="DE84" s="773"/>
      <c r="DF84" s="773"/>
      <c r="DG84" s="773"/>
      <c r="DH84" s="773"/>
      <c r="DI84" s="773"/>
      <c r="DJ84" s="773"/>
      <c r="DK84" s="773"/>
      <c r="DL84" s="773"/>
      <c r="DM84" s="773"/>
      <c r="DN84" s="773"/>
      <c r="DO84" s="773"/>
      <c r="DP84" s="773"/>
      <c r="DQ84" s="773"/>
      <c r="DR84" s="773"/>
      <c r="DS84" s="773"/>
      <c r="DT84" s="773"/>
      <c r="DU84" s="773"/>
      <c r="DV84" s="773"/>
      <c r="DW84" s="773"/>
      <c r="DX84" s="773"/>
      <c r="DY84" s="773"/>
      <c r="DZ84" s="773"/>
      <c r="EA84" s="773"/>
      <c r="EB84" s="773"/>
      <c r="EC84" s="773"/>
      <c r="ED84" s="773"/>
      <c r="EE84" s="773"/>
      <c r="EF84" s="773"/>
      <c r="EG84" s="773"/>
      <c r="EH84" s="773"/>
      <c r="EI84" s="773"/>
      <c r="EJ84" s="773"/>
      <c r="EK84" s="773"/>
      <c r="EL84" s="773"/>
      <c r="EM84" s="773"/>
      <c r="EN84" s="773"/>
      <c r="EO84" s="773"/>
      <c r="EP84" s="773"/>
      <c r="EQ84" s="773"/>
      <c r="ER84" s="773"/>
      <c r="ES84" s="773"/>
      <c r="ET84" s="773"/>
      <c r="EU84" s="773"/>
      <c r="EV84" s="773"/>
      <c r="EW84" s="773"/>
      <c r="EX84" s="773"/>
      <c r="EY84" s="773"/>
      <c r="EZ84" s="773"/>
      <c r="FA84" s="773"/>
      <c r="FB84" s="773"/>
      <c r="FC84" s="773"/>
      <c r="FD84" s="773"/>
      <c r="FE84" s="773"/>
      <c r="FF84" s="773"/>
      <c r="FG84" s="773"/>
      <c r="FH84" s="773"/>
      <c r="FI84" s="773"/>
      <c r="FJ84" s="773"/>
      <c r="FK84" s="773"/>
      <c r="FL84" s="773"/>
      <c r="FM84" s="773"/>
      <c r="FN84" s="773"/>
      <c r="FO84" s="773"/>
      <c r="FP84" s="773"/>
      <c r="FQ84" s="773"/>
      <c r="FR84" s="773"/>
      <c r="FS84" s="773"/>
      <c r="FT84" s="773"/>
      <c r="FU84" s="773"/>
      <c r="FV84" s="773"/>
      <c r="FW84" s="773"/>
      <c r="FX84" s="773"/>
      <c r="FY84" s="773"/>
      <c r="FZ84" s="773"/>
      <c r="GA84" s="773"/>
      <c r="GB84" s="773"/>
      <c r="GC84" s="773"/>
      <c r="GD84" s="773"/>
      <c r="GE84" s="773"/>
      <c r="GF84" s="773"/>
      <c r="GG84" s="773"/>
      <c r="GH84" s="773"/>
      <c r="GI84" s="773"/>
      <c r="GJ84" s="773"/>
      <c r="GK84" s="773"/>
      <c r="GL84" s="773"/>
      <c r="GM84" s="773"/>
      <c r="GN84" s="773"/>
      <c r="GO84" s="773"/>
      <c r="GP84" s="773"/>
      <c r="GQ84" s="773"/>
      <c r="GR84" s="773"/>
      <c r="GS84" s="773"/>
      <c r="GT84" s="773"/>
      <c r="GU84" s="773"/>
      <c r="GV84" s="773"/>
      <c r="GW84" s="773"/>
      <c r="GX84" s="773"/>
      <c r="GY84" s="773"/>
      <c r="GZ84" s="773"/>
    </row>
    <row r="85" spans="1:208" s="11" customFormat="1">
      <c r="A85" s="774"/>
      <c r="B85" s="3761" t="s">
        <v>1350</v>
      </c>
      <c r="C85" s="197">
        <v>221096</v>
      </c>
      <c r="D85" s="801" t="s">
        <v>3328</v>
      </c>
      <c r="E85" s="809">
        <f>IFERROR(VLOOKUP(C85,'AJE 12 - INC'!$D$168:$F$345,3,0),0)</f>
        <v>0</v>
      </c>
      <c r="F85" s="1325">
        <f>SUMIF('AJE 12 - INC'!B:B,'New TB INC'!C85,'AJE 12 - INC'!D:D)</f>
        <v>0</v>
      </c>
      <c r="G85" s="1326"/>
      <c r="H85" s="1326"/>
      <c r="I85" s="1326"/>
      <c r="J85" s="796">
        <f t="shared" si="9"/>
        <v>0</v>
      </c>
      <c r="K85" s="779"/>
      <c r="L85" s="434"/>
      <c r="M85" s="2679"/>
      <c r="N85" s="772"/>
      <c r="O85" s="772"/>
      <c r="P85" s="772"/>
      <c r="Q85" s="772"/>
      <c r="R85" s="772"/>
      <c r="S85" s="772"/>
      <c r="T85" s="773"/>
      <c r="AW85" s="2514"/>
      <c r="AX85" s="820"/>
      <c r="AY85" s="820"/>
      <c r="AZ85" s="820"/>
      <c r="BA85" s="30"/>
      <c r="BB85" s="30"/>
      <c r="BC85" s="2514"/>
      <c r="BD85" s="2514"/>
      <c r="BE85" s="2514"/>
      <c r="BF85" s="2514"/>
      <c r="BH85" s="2514"/>
      <c r="BI85" s="30"/>
      <c r="BJ85" s="30"/>
      <c r="BK85" s="30"/>
      <c r="BL85" s="30"/>
      <c r="BM85" s="30"/>
      <c r="BN85" s="30"/>
      <c r="BO85" s="209"/>
      <c r="BP85" s="209"/>
      <c r="BQ85" s="785"/>
      <c r="BR85" s="820"/>
      <c r="BS85" s="820"/>
      <c r="BT85" s="30"/>
      <c r="BU85" s="800"/>
      <c r="BV85" s="800"/>
      <c r="BW85" s="209"/>
      <c r="CA85" s="787"/>
      <c r="DB85" s="773"/>
      <c r="DC85" s="773"/>
      <c r="DD85" s="773"/>
      <c r="DE85" s="773"/>
      <c r="DF85" s="773"/>
      <c r="DG85" s="773"/>
      <c r="DH85" s="773"/>
      <c r="DI85" s="773"/>
      <c r="DJ85" s="773"/>
      <c r="DK85" s="773"/>
      <c r="DL85" s="773"/>
      <c r="DM85" s="773"/>
      <c r="DN85" s="773"/>
      <c r="DO85" s="773"/>
      <c r="DP85" s="773"/>
      <c r="DQ85" s="773"/>
      <c r="DR85" s="773"/>
      <c r="DS85" s="773"/>
      <c r="DT85" s="773"/>
      <c r="DU85" s="773"/>
      <c r="DV85" s="773"/>
      <c r="DW85" s="773"/>
      <c r="DX85" s="773"/>
      <c r="DY85" s="773"/>
      <c r="DZ85" s="773"/>
      <c r="EA85" s="773"/>
      <c r="EB85" s="773"/>
      <c r="EC85" s="773"/>
      <c r="ED85" s="773"/>
      <c r="EE85" s="773"/>
      <c r="EF85" s="773"/>
      <c r="EG85" s="773"/>
      <c r="EH85" s="773"/>
      <c r="EI85" s="773"/>
      <c r="EJ85" s="773"/>
      <c r="EK85" s="773"/>
      <c r="EL85" s="773"/>
      <c r="EM85" s="773"/>
      <c r="EN85" s="773"/>
      <c r="EO85" s="773"/>
      <c r="EP85" s="773"/>
      <c r="EQ85" s="773"/>
      <c r="ER85" s="773"/>
      <c r="ES85" s="773"/>
      <c r="ET85" s="773"/>
      <c r="EU85" s="773"/>
      <c r="EV85" s="773"/>
      <c r="EW85" s="773"/>
      <c r="EX85" s="773"/>
      <c r="EY85" s="773"/>
      <c r="EZ85" s="773"/>
      <c r="FA85" s="773"/>
      <c r="FB85" s="773"/>
      <c r="FC85" s="773"/>
      <c r="FD85" s="773"/>
      <c r="FE85" s="773"/>
      <c r="FF85" s="773"/>
      <c r="FG85" s="773"/>
      <c r="FH85" s="773"/>
      <c r="FI85" s="773"/>
      <c r="FJ85" s="773"/>
      <c r="FK85" s="773"/>
      <c r="FL85" s="773"/>
      <c r="FM85" s="773"/>
      <c r="FN85" s="773"/>
      <c r="FO85" s="773"/>
      <c r="FP85" s="773"/>
      <c r="FQ85" s="773"/>
      <c r="FR85" s="773"/>
      <c r="FS85" s="773"/>
      <c r="FT85" s="773"/>
      <c r="FU85" s="773"/>
      <c r="FV85" s="773"/>
      <c r="FW85" s="773"/>
      <c r="FX85" s="773"/>
      <c r="FY85" s="773"/>
      <c r="FZ85" s="773"/>
      <c r="GA85" s="773"/>
      <c r="GB85" s="773"/>
      <c r="GC85" s="773"/>
      <c r="GD85" s="773"/>
      <c r="GE85" s="773"/>
      <c r="GF85" s="773"/>
      <c r="GG85" s="773"/>
      <c r="GH85" s="773"/>
      <c r="GI85" s="773"/>
      <c r="GJ85" s="773"/>
      <c r="GK85" s="773"/>
      <c r="GL85" s="773"/>
      <c r="GM85" s="773"/>
      <c r="GN85" s="773"/>
      <c r="GO85" s="773"/>
      <c r="GP85" s="773"/>
      <c r="GQ85" s="773"/>
      <c r="GR85" s="773"/>
      <c r="GS85" s="773"/>
      <c r="GT85" s="773"/>
      <c r="GU85" s="773"/>
      <c r="GV85" s="773"/>
      <c r="GW85" s="773"/>
      <c r="GX85" s="773"/>
      <c r="GY85" s="773"/>
      <c r="GZ85" s="773"/>
    </row>
    <row r="86" spans="1:208" s="11" customFormat="1">
      <c r="A86" s="774"/>
      <c r="B86" s="3761" t="s">
        <v>1350</v>
      </c>
      <c r="C86" s="197">
        <v>229795</v>
      </c>
      <c r="D86" s="801" t="s">
        <v>3475</v>
      </c>
      <c r="E86" s="809">
        <f>IFERROR(VLOOKUP(C86,'AJE 12 - INC'!$D$168:$F$345,3,0),0)</f>
        <v>0</v>
      </c>
      <c r="F86" s="1325">
        <f>SUMIF('AJE 12 - INC'!B:B,'New TB INC'!C86,'AJE 12 - INC'!D:D)</f>
        <v>0</v>
      </c>
      <c r="G86" s="1326"/>
      <c r="H86" s="1326"/>
      <c r="I86" s="1326"/>
      <c r="J86" s="796">
        <f t="shared" si="9"/>
        <v>0</v>
      </c>
      <c r="K86" s="779"/>
      <c r="L86" s="434"/>
      <c r="M86" s="2679"/>
      <c r="N86" s="772"/>
      <c r="O86" s="772"/>
      <c r="P86" s="772"/>
      <c r="Q86" s="772"/>
      <c r="R86" s="772"/>
      <c r="S86" s="772"/>
      <c r="T86" s="773"/>
      <c r="AW86" s="2514"/>
      <c r="AX86" s="820"/>
      <c r="AY86" s="820"/>
      <c r="AZ86" s="820"/>
      <c r="BA86" s="30"/>
      <c r="BB86" s="30"/>
      <c r="BC86" s="2514"/>
      <c r="BD86" s="2514"/>
      <c r="BE86" s="2514"/>
      <c r="BF86" s="2514"/>
      <c r="BH86" s="2514"/>
      <c r="BI86" s="30"/>
      <c r="BJ86" s="30"/>
      <c r="BK86" s="30"/>
      <c r="BL86" s="30"/>
      <c r="BM86" s="30"/>
      <c r="BN86" s="30"/>
      <c r="BO86" s="209"/>
      <c r="BP86" s="209"/>
      <c r="BQ86" s="785"/>
      <c r="BR86" s="820"/>
      <c r="BS86" s="820"/>
      <c r="BT86" s="30"/>
      <c r="BU86" s="800"/>
      <c r="BV86" s="800"/>
      <c r="BW86" s="209"/>
      <c r="CA86" s="787"/>
      <c r="DB86" s="773"/>
      <c r="DC86" s="773"/>
      <c r="DD86" s="773"/>
      <c r="DE86" s="773"/>
      <c r="DF86" s="773"/>
      <c r="DG86" s="773"/>
      <c r="DH86" s="773"/>
      <c r="DI86" s="773"/>
      <c r="DJ86" s="773"/>
      <c r="DK86" s="773"/>
      <c r="DL86" s="773"/>
      <c r="DM86" s="773"/>
      <c r="DN86" s="773"/>
      <c r="DO86" s="773"/>
      <c r="DP86" s="773"/>
      <c r="DQ86" s="773"/>
      <c r="DR86" s="773"/>
      <c r="DS86" s="773"/>
      <c r="DT86" s="773"/>
      <c r="DU86" s="773"/>
      <c r="DV86" s="773"/>
      <c r="DW86" s="773"/>
      <c r="DX86" s="773"/>
      <c r="DY86" s="773"/>
      <c r="DZ86" s="773"/>
      <c r="EA86" s="773"/>
      <c r="EB86" s="773"/>
      <c r="EC86" s="773"/>
      <c r="ED86" s="773"/>
      <c r="EE86" s="773"/>
      <c r="EF86" s="773"/>
      <c r="EG86" s="773"/>
      <c r="EH86" s="773"/>
      <c r="EI86" s="773"/>
      <c r="EJ86" s="773"/>
      <c r="EK86" s="773"/>
      <c r="EL86" s="773"/>
      <c r="EM86" s="773"/>
      <c r="EN86" s="773"/>
      <c r="EO86" s="773"/>
      <c r="EP86" s="773"/>
      <c r="EQ86" s="773"/>
      <c r="ER86" s="773"/>
      <c r="ES86" s="773"/>
      <c r="ET86" s="773"/>
      <c r="EU86" s="773"/>
      <c r="EV86" s="773"/>
      <c r="EW86" s="773"/>
      <c r="EX86" s="773"/>
      <c r="EY86" s="773"/>
      <c r="EZ86" s="773"/>
      <c r="FA86" s="773"/>
      <c r="FB86" s="773"/>
      <c r="FC86" s="773"/>
      <c r="FD86" s="773"/>
      <c r="FE86" s="773"/>
      <c r="FF86" s="773"/>
      <c r="FG86" s="773"/>
      <c r="FH86" s="773"/>
      <c r="FI86" s="773"/>
      <c r="FJ86" s="773"/>
      <c r="FK86" s="773"/>
      <c r="FL86" s="773"/>
      <c r="FM86" s="773"/>
      <c r="FN86" s="773"/>
      <c r="FO86" s="773"/>
      <c r="FP86" s="773"/>
      <c r="FQ86" s="773"/>
      <c r="FR86" s="773"/>
      <c r="FS86" s="773"/>
      <c r="FT86" s="773"/>
      <c r="FU86" s="773"/>
      <c r="FV86" s="773"/>
      <c r="FW86" s="773"/>
      <c r="FX86" s="773"/>
      <c r="FY86" s="773"/>
      <c r="FZ86" s="773"/>
      <c r="GA86" s="773"/>
      <c r="GB86" s="773"/>
      <c r="GC86" s="773"/>
      <c r="GD86" s="773"/>
      <c r="GE86" s="773"/>
      <c r="GF86" s="773"/>
      <c r="GG86" s="773"/>
      <c r="GH86" s="773"/>
      <c r="GI86" s="773"/>
      <c r="GJ86" s="773"/>
      <c r="GK86" s="773"/>
      <c r="GL86" s="773"/>
      <c r="GM86" s="773"/>
      <c r="GN86" s="773"/>
      <c r="GO86" s="773"/>
      <c r="GP86" s="773"/>
      <c r="GQ86" s="773"/>
      <c r="GR86" s="773"/>
      <c r="GS86" s="773"/>
      <c r="GT86" s="773"/>
      <c r="GU86" s="773"/>
      <c r="GV86" s="773"/>
      <c r="GW86" s="773"/>
      <c r="GX86" s="773"/>
      <c r="GY86" s="773"/>
      <c r="GZ86" s="773"/>
    </row>
    <row r="87" spans="1:208" s="11" customFormat="1">
      <c r="A87" s="774"/>
      <c r="B87" s="3761" t="s">
        <v>1350</v>
      </c>
      <c r="C87" s="197">
        <v>220541</v>
      </c>
      <c r="D87" s="801" t="s">
        <v>3327</v>
      </c>
      <c r="E87" s="809">
        <f>IFERROR(VLOOKUP(C87,'AJE 12 - INC'!$D$168:$F$345,3,0),0)</f>
        <v>0</v>
      </c>
      <c r="F87" s="1325">
        <f>SUMIF('AJE 12 - INC'!B:B,'New TB INC'!C87,'AJE 12 - INC'!D:D)</f>
        <v>0</v>
      </c>
      <c r="G87" s="1326"/>
      <c r="H87" s="1326"/>
      <c r="I87" s="1326"/>
      <c r="J87" s="796">
        <f t="shared" si="9"/>
        <v>0</v>
      </c>
      <c r="K87" s="779"/>
      <c r="L87" s="434"/>
      <c r="M87" s="2679"/>
      <c r="N87" s="772"/>
      <c r="O87" s="772"/>
      <c r="P87" s="772"/>
      <c r="Q87" s="772"/>
      <c r="R87" s="772"/>
      <c r="S87" s="772"/>
      <c r="T87" s="773"/>
      <c r="AW87" s="2514"/>
      <c r="AX87" s="820"/>
      <c r="AY87" s="820"/>
      <c r="AZ87" s="820"/>
      <c r="BA87" s="30"/>
      <c r="BB87" s="30"/>
      <c r="BC87" s="2514"/>
      <c r="BD87" s="2514"/>
      <c r="BE87" s="2514"/>
      <c r="BF87" s="2514"/>
      <c r="BH87" s="2514"/>
      <c r="BI87" s="30"/>
      <c r="BJ87" s="30"/>
      <c r="BK87" s="30"/>
      <c r="BL87" s="30"/>
      <c r="BM87" s="30"/>
      <c r="BN87" s="30"/>
      <c r="BO87" s="209"/>
      <c r="BP87" s="209"/>
      <c r="BQ87" s="785"/>
      <c r="BR87" s="820"/>
      <c r="BS87" s="820"/>
      <c r="BT87" s="30"/>
      <c r="BU87" s="800"/>
      <c r="BV87" s="800"/>
      <c r="BW87" s="209"/>
      <c r="CA87" s="787"/>
      <c r="DB87" s="773"/>
      <c r="DC87" s="773"/>
      <c r="DD87" s="773"/>
      <c r="DE87" s="773"/>
      <c r="DF87" s="773"/>
      <c r="DG87" s="773"/>
      <c r="DH87" s="773"/>
      <c r="DI87" s="773"/>
      <c r="DJ87" s="773"/>
      <c r="DK87" s="773"/>
      <c r="DL87" s="773"/>
      <c r="DM87" s="773"/>
      <c r="DN87" s="773"/>
      <c r="DO87" s="773"/>
      <c r="DP87" s="773"/>
      <c r="DQ87" s="773"/>
      <c r="DR87" s="773"/>
      <c r="DS87" s="773"/>
      <c r="DT87" s="773"/>
      <c r="DU87" s="773"/>
      <c r="DV87" s="773"/>
      <c r="DW87" s="773"/>
      <c r="DX87" s="773"/>
      <c r="DY87" s="773"/>
      <c r="DZ87" s="773"/>
      <c r="EA87" s="773"/>
      <c r="EB87" s="773"/>
      <c r="EC87" s="773"/>
      <c r="ED87" s="773"/>
      <c r="EE87" s="773"/>
      <c r="EF87" s="773"/>
      <c r="EG87" s="773"/>
      <c r="EH87" s="773"/>
      <c r="EI87" s="773"/>
      <c r="EJ87" s="773"/>
      <c r="EK87" s="773"/>
      <c r="EL87" s="773"/>
      <c r="EM87" s="773"/>
      <c r="EN87" s="773"/>
      <c r="EO87" s="773"/>
      <c r="EP87" s="773"/>
      <c r="EQ87" s="773"/>
      <c r="ER87" s="773"/>
      <c r="ES87" s="773"/>
      <c r="ET87" s="773"/>
      <c r="EU87" s="773"/>
      <c r="EV87" s="773"/>
      <c r="EW87" s="773"/>
      <c r="EX87" s="773"/>
      <c r="EY87" s="773"/>
      <c r="EZ87" s="773"/>
      <c r="FA87" s="773"/>
      <c r="FB87" s="773"/>
      <c r="FC87" s="773"/>
      <c r="FD87" s="773"/>
      <c r="FE87" s="773"/>
      <c r="FF87" s="773"/>
      <c r="FG87" s="773"/>
      <c r="FH87" s="773"/>
      <c r="FI87" s="773"/>
      <c r="FJ87" s="773"/>
      <c r="FK87" s="773"/>
      <c r="FL87" s="773"/>
      <c r="FM87" s="773"/>
      <c r="FN87" s="773"/>
      <c r="FO87" s="773"/>
      <c r="FP87" s="773"/>
      <c r="FQ87" s="773"/>
      <c r="FR87" s="773"/>
      <c r="FS87" s="773"/>
      <c r="FT87" s="773"/>
      <c r="FU87" s="773"/>
      <c r="FV87" s="773"/>
      <c r="FW87" s="773"/>
      <c r="FX87" s="773"/>
      <c r="FY87" s="773"/>
      <c r="FZ87" s="773"/>
      <c r="GA87" s="773"/>
      <c r="GB87" s="773"/>
      <c r="GC87" s="773"/>
      <c r="GD87" s="773"/>
      <c r="GE87" s="773"/>
      <c r="GF87" s="773"/>
      <c r="GG87" s="773"/>
      <c r="GH87" s="773"/>
      <c r="GI87" s="773"/>
      <c r="GJ87" s="773"/>
      <c r="GK87" s="773"/>
      <c r="GL87" s="773"/>
      <c r="GM87" s="773"/>
      <c r="GN87" s="773"/>
      <c r="GO87" s="773"/>
      <c r="GP87" s="773"/>
      <c r="GQ87" s="773"/>
      <c r="GR87" s="773"/>
      <c r="GS87" s="773"/>
      <c r="GT87" s="773"/>
      <c r="GU87" s="773"/>
      <c r="GV87" s="773"/>
      <c r="GW87" s="773"/>
      <c r="GX87" s="773"/>
      <c r="GY87" s="773"/>
      <c r="GZ87" s="773"/>
    </row>
    <row r="88" spans="1:208" s="11" customFormat="1">
      <c r="A88" s="774"/>
      <c r="B88" s="3761" t="s">
        <v>1350</v>
      </c>
      <c r="C88" s="197">
        <v>203871</v>
      </c>
      <c r="D88" s="801" t="s">
        <v>3325</v>
      </c>
      <c r="E88" s="809">
        <f>IFERROR(VLOOKUP(C88,'AJE 12 - INC'!$D$168:$F$345,3,0),0)</f>
        <v>0</v>
      </c>
      <c r="F88" s="1325">
        <f>SUMIF('AJE 12 - INC'!B:B,'New TB INC'!C88,'AJE 12 - INC'!D:D)</f>
        <v>0</v>
      </c>
      <c r="G88" s="1326"/>
      <c r="H88" s="1326"/>
      <c r="I88" s="1326"/>
      <c r="J88" s="796">
        <f t="shared" si="9"/>
        <v>0</v>
      </c>
      <c r="K88" s="779"/>
      <c r="L88" s="434"/>
      <c r="M88" s="2679"/>
      <c r="N88" s="772"/>
      <c r="O88" s="772"/>
      <c r="P88" s="772"/>
      <c r="Q88" s="772"/>
      <c r="R88" s="772"/>
      <c r="S88" s="772"/>
      <c r="T88" s="773"/>
      <c r="AW88" s="2514"/>
      <c r="AX88" s="820"/>
      <c r="AY88" s="820"/>
      <c r="AZ88" s="820"/>
      <c r="BA88" s="30"/>
      <c r="BB88" s="30"/>
      <c r="BC88" s="2514"/>
      <c r="BD88" s="2514"/>
      <c r="BE88" s="2514"/>
      <c r="BF88" s="2514"/>
      <c r="BH88" s="2514"/>
      <c r="BI88" s="30"/>
      <c r="BJ88" s="30"/>
      <c r="BK88" s="30"/>
      <c r="BL88" s="30"/>
      <c r="BM88" s="30"/>
      <c r="BN88" s="30"/>
      <c r="BO88" s="209"/>
      <c r="BP88" s="209"/>
      <c r="BQ88" s="785"/>
      <c r="BR88" s="820"/>
      <c r="BS88" s="820"/>
      <c r="BT88" s="30"/>
      <c r="BU88" s="800"/>
      <c r="BV88" s="800"/>
      <c r="BW88" s="209"/>
      <c r="CA88" s="787"/>
      <c r="DB88" s="773"/>
      <c r="DC88" s="773"/>
      <c r="DD88" s="773"/>
      <c r="DE88" s="773"/>
      <c r="DF88" s="773"/>
      <c r="DG88" s="773"/>
      <c r="DH88" s="773"/>
      <c r="DI88" s="773"/>
      <c r="DJ88" s="773"/>
      <c r="DK88" s="773"/>
      <c r="DL88" s="773"/>
      <c r="DM88" s="773"/>
      <c r="DN88" s="773"/>
      <c r="DO88" s="773"/>
      <c r="DP88" s="773"/>
      <c r="DQ88" s="773"/>
      <c r="DR88" s="773"/>
      <c r="DS88" s="773"/>
      <c r="DT88" s="773"/>
      <c r="DU88" s="773"/>
      <c r="DV88" s="773"/>
      <c r="DW88" s="773"/>
      <c r="DX88" s="773"/>
      <c r="DY88" s="773"/>
      <c r="DZ88" s="773"/>
      <c r="EA88" s="773"/>
      <c r="EB88" s="773"/>
      <c r="EC88" s="773"/>
      <c r="ED88" s="773"/>
      <c r="EE88" s="773"/>
      <c r="EF88" s="773"/>
      <c r="EG88" s="773"/>
      <c r="EH88" s="773"/>
      <c r="EI88" s="773"/>
      <c r="EJ88" s="773"/>
      <c r="EK88" s="773"/>
      <c r="EL88" s="773"/>
      <c r="EM88" s="773"/>
      <c r="EN88" s="773"/>
      <c r="EO88" s="773"/>
      <c r="EP88" s="773"/>
      <c r="EQ88" s="773"/>
      <c r="ER88" s="773"/>
      <c r="ES88" s="773"/>
      <c r="ET88" s="773"/>
      <c r="EU88" s="773"/>
      <c r="EV88" s="773"/>
      <c r="EW88" s="773"/>
      <c r="EX88" s="773"/>
      <c r="EY88" s="773"/>
      <c r="EZ88" s="773"/>
      <c r="FA88" s="773"/>
      <c r="FB88" s="773"/>
      <c r="FC88" s="773"/>
      <c r="FD88" s="773"/>
      <c r="FE88" s="773"/>
      <c r="FF88" s="773"/>
      <c r="FG88" s="773"/>
      <c r="FH88" s="773"/>
      <c r="FI88" s="773"/>
      <c r="FJ88" s="773"/>
      <c r="FK88" s="773"/>
      <c r="FL88" s="773"/>
      <c r="FM88" s="773"/>
      <c r="FN88" s="773"/>
      <c r="FO88" s="773"/>
      <c r="FP88" s="773"/>
      <c r="FQ88" s="773"/>
      <c r="FR88" s="773"/>
      <c r="FS88" s="773"/>
      <c r="FT88" s="773"/>
      <c r="FU88" s="773"/>
      <c r="FV88" s="773"/>
      <c r="FW88" s="773"/>
      <c r="FX88" s="773"/>
      <c r="FY88" s="773"/>
      <c r="FZ88" s="773"/>
      <c r="GA88" s="773"/>
      <c r="GB88" s="773"/>
      <c r="GC88" s="773"/>
      <c r="GD88" s="773"/>
      <c r="GE88" s="773"/>
      <c r="GF88" s="773"/>
      <c r="GG88" s="773"/>
      <c r="GH88" s="773"/>
      <c r="GI88" s="773"/>
      <c r="GJ88" s="773"/>
      <c r="GK88" s="773"/>
      <c r="GL88" s="773"/>
      <c r="GM88" s="773"/>
      <c r="GN88" s="773"/>
      <c r="GO88" s="773"/>
      <c r="GP88" s="773"/>
      <c r="GQ88" s="773"/>
      <c r="GR88" s="773"/>
      <c r="GS88" s="773"/>
      <c r="GT88" s="773"/>
      <c r="GU88" s="773"/>
      <c r="GV88" s="773"/>
      <c r="GW88" s="773"/>
      <c r="GX88" s="773"/>
      <c r="GY88" s="773"/>
      <c r="GZ88" s="773"/>
    </row>
    <row r="89" spans="1:208" s="11" customFormat="1">
      <c r="A89" s="774"/>
      <c r="B89" s="3761" t="s">
        <v>1350</v>
      </c>
      <c r="C89" s="197">
        <v>206054</v>
      </c>
      <c r="D89" s="801" t="s">
        <v>3326</v>
      </c>
      <c r="E89" s="809">
        <f>IFERROR(VLOOKUP(C89,'AJE 12 - INC'!$D$168:$F$345,3,0),0)</f>
        <v>0</v>
      </c>
      <c r="F89" s="1325">
        <f>SUMIF('AJE 12 - INC'!B:B,'New TB INC'!C89,'AJE 12 - INC'!D:D)</f>
        <v>0</v>
      </c>
      <c r="G89" s="1326"/>
      <c r="H89" s="1326"/>
      <c r="I89" s="1326"/>
      <c r="J89" s="796">
        <f t="shared" si="9"/>
        <v>0</v>
      </c>
      <c r="K89" s="779"/>
      <c r="L89" s="434"/>
      <c r="M89" s="2679"/>
      <c r="N89" s="772"/>
      <c r="O89" s="772"/>
      <c r="P89" s="772"/>
      <c r="Q89" s="772"/>
      <c r="R89" s="772"/>
      <c r="S89" s="772"/>
      <c r="T89" s="773"/>
      <c r="AW89" s="2514"/>
      <c r="AX89" s="820"/>
      <c r="AY89" s="820"/>
      <c r="AZ89" s="820"/>
      <c r="BA89" s="30"/>
      <c r="BB89" s="30"/>
      <c r="BC89" s="2514"/>
      <c r="BD89" s="2514"/>
      <c r="BE89" s="2514"/>
      <c r="BF89" s="2514"/>
      <c r="BH89" s="2514"/>
      <c r="BI89" s="30"/>
      <c r="BJ89" s="30"/>
      <c r="BK89" s="30"/>
      <c r="BL89" s="30"/>
      <c r="BM89" s="30"/>
      <c r="BN89" s="30"/>
      <c r="BO89" s="209"/>
      <c r="BP89" s="209"/>
      <c r="BQ89" s="785"/>
      <c r="BR89" s="820"/>
      <c r="BS89" s="820"/>
      <c r="BT89" s="30"/>
      <c r="BU89" s="800"/>
      <c r="BV89" s="800"/>
      <c r="BW89" s="209"/>
      <c r="CA89" s="787"/>
      <c r="DB89" s="773"/>
      <c r="DC89" s="773"/>
      <c r="DD89" s="773"/>
      <c r="DE89" s="773"/>
      <c r="DF89" s="773"/>
      <c r="DG89" s="773"/>
      <c r="DH89" s="773"/>
      <c r="DI89" s="773"/>
      <c r="DJ89" s="773"/>
      <c r="DK89" s="773"/>
      <c r="DL89" s="773"/>
      <c r="DM89" s="773"/>
      <c r="DN89" s="773"/>
      <c r="DO89" s="773"/>
      <c r="DP89" s="773"/>
      <c r="DQ89" s="773"/>
      <c r="DR89" s="773"/>
      <c r="DS89" s="773"/>
      <c r="DT89" s="773"/>
      <c r="DU89" s="773"/>
      <c r="DV89" s="773"/>
      <c r="DW89" s="773"/>
      <c r="DX89" s="773"/>
      <c r="DY89" s="773"/>
      <c r="DZ89" s="773"/>
      <c r="EA89" s="773"/>
      <c r="EB89" s="773"/>
      <c r="EC89" s="773"/>
      <c r="ED89" s="773"/>
      <c r="EE89" s="773"/>
      <c r="EF89" s="773"/>
      <c r="EG89" s="773"/>
      <c r="EH89" s="773"/>
      <c r="EI89" s="773"/>
      <c r="EJ89" s="773"/>
      <c r="EK89" s="773"/>
      <c r="EL89" s="773"/>
      <c r="EM89" s="773"/>
      <c r="EN89" s="773"/>
      <c r="EO89" s="773"/>
      <c r="EP89" s="773"/>
      <c r="EQ89" s="773"/>
      <c r="ER89" s="773"/>
      <c r="ES89" s="773"/>
      <c r="ET89" s="773"/>
      <c r="EU89" s="773"/>
      <c r="EV89" s="773"/>
      <c r="EW89" s="773"/>
      <c r="EX89" s="773"/>
      <c r="EY89" s="773"/>
      <c r="EZ89" s="773"/>
      <c r="FA89" s="773"/>
      <c r="FB89" s="773"/>
      <c r="FC89" s="773"/>
      <c r="FD89" s="773"/>
      <c r="FE89" s="773"/>
      <c r="FF89" s="773"/>
      <c r="FG89" s="773"/>
      <c r="FH89" s="773"/>
      <c r="FI89" s="773"/>
      <c r="FJ89" s="773"/>
      <c r="FK89" s="773"/>
      <c r="FL89" s="773"/>
      <c r="FM89" s="773"/>
      <c r="FN89" s="773"/>
      <c r="FO89" s="773"/>
      <c r="FP89" s="773"/>
      <c r="FQ89" s="773"/>
      <c r="FR89" s="773"/>
      <c r="FS89" s="773"/>
      <c r="FT89" s="773"/>
      <c r="FU89" s="773"/>
      <c r="FV89" s="773"/>
      <c r="FW89" s="773"/>
      <c r="FX89" s="773"/>
      <c r="FY89" s="773"/>
      <c r="FZ89" s="773"/>
      <c r="GA89" s="773"/>
      <c r="GB89" s="773"/>
      <c r="GC89" s="773"/>
      <c r="GD89" s="773"/>
      <c r="GE89" s="773"/>
      <c r="GF89" s="773"/>
      <c r="GG89" s="773"/>
      <c r="GH89" s="773"/>
      <c r="GI89" s="773"/>
      <c r="GJ89" s="773"/>
      <c r="GK89" s="773"/>
      <c r="GL89" s="773"/>
      <c r="GM89" s="773"/>
      <c r="GN89" s="773"/>
      <c r="GO89" s="773"/>
      <c r="GP89" s="773"/>
      <c r="GQ89" s="773"/>
      <c r="GR89" s="773"/>
      <c r="GS89" s="773"/>
      <c r="GT89" s="773"/>
      <c r="GU89" s="773"/>
      <c r="GV89" s="773"/>
      <c r="GW89" s="773"/>
      <c r="GX89" s="773"/>
      <c r="GY89" s="773"/>
      <c r="GZ89" s="773"/>
    </row>
    <row r="90" spans="1:208" s="11" customFormat="1">
      <c r="A90" s="774"/>
      <c r="B90" s="3761" t="s">
        <v>1350</v>
      </c>
      <c r="C90" s="197">
        <v>205749</v>
      </c>
      <c r="D90" s="801" t="s">
        <v>3243</v>
      </c>
      <c r="E90" s="809">
        <f>IFERROR(VLOOKUP(C90,'AJE 12 - INC'!$D$168:$F$345,3,0),0)</f>
        <v>0</v>
      </c>
      <c r="F90" s="1325">
        <f>SUMIF('AJE 12 - INC'!B:B,'New TB INC'!C90,'AJE 12 - INC'!D:D)</f>
        <v>0</v>
      </c>
      <c r="G90" s="1326"/>
      <c r="H90" s="1326"/>
      <c r="I90" s="1326"/>
      <c r="J90" s="796">
        <f t="shared" si="9"/>
        <v>0</v>
      </c>
      <c r="K90" s="779"/>
      <c r="L90" s="434"/>
      <c r="M90" s="2679"/>
      <c r="N90" s="772"/>
      <c r="O90" s="772"/>
      <c r="P90" s="772"/>
      <c r="Q90" s="772"/>
      <c r="R90" s="772"/>
      <c r="S90" s="772"/>
      <c r="T90" s="773"/>
      <c r="AW90" s="2514"/>
      <c r="AX90" s="820"/>
      <c r="AY90" s="820"/>
      <c r="AZ90" s="820"/>
      <c r="BA90" s="30"/>
      <c r="BB90" s="30"/>
      <c r="BC90" s="2514"/>
      <c r="BD90" s="2514"/>
      <c r="BE90" s="2514"/>
      <c r="BF90" s="2514"/>
      <c r="BH90" s="2514"/>
      <c r="BI90" s="30"/>
      <c r="BJ90" s="30"/>
      <c r="BK90" s="30"/>
      <c r="BL90" s="30"/>
      <c r="BM90" s="30"/>
      <c r="BN90" s="30"/>
      <c r="BO90" s="209"/>
      <c r="BP90" s="209"/>
      <c r="BQ90" s="785"/>
      <c r="BR90" s="820"/>
      <c r="BS90" s="820"/>
      <c r="BT90" s="30"/>
      <c r="BU90" s="800"/>
      <c r="BV90" s="800"/>
      <c r="BW90" s="209"/>
      <c r="CA90" s="787"/>
      <c r="DB90" s="773"/>
      <c r="DC90" s="773"/>
      <c r="DD90" s="773"/>
      <c r="DE90" s="773"/>
      <c r="DF90" s="773"/>
      <c r="DG90" s="773"/>
      <c r="DH90" s="773"/>
      <c r="DI90" s="773"/>
      <c r="DJ90" s="773"/>
      <c r="DK90" s="773"/>
      <c r="DL90" s="773"/>
      <c r="DM90" s="773"/>
      <c r="DN90" s="773"/>
      <c r="DO90" s="773"/>
      <c r="DP90" s="773"/>
      <c r="DQ90" s="773"/>
      <c r="DR90" s="773"/>
      <c r="DS90" s="773"/>
      <c r="DT90" s="773"/>
      <c r="DU90" s="773"/>
      <c r="DV90" s="773"/>
      <c r="DW90" s="773"/>
      <c r="DX90" s="773"/>
      <c r="DY90" s="773"/>
      <c r="DZ90" s="773"/>
      <c r="EA90" s="773"/>
      <c r="EB90" s="773"/>
      <c r="EC90" s="773"/>
      <c r="ED90" s="773"/>
      <c r="EE90" s="773"/>
      <c r="EF90" s="773"/>
      <c r="EG90" s="773"/>
      <c r="EH90" s="773"/>
      <c r="EI90" s="773"/>
      <c r="EJ90" s="773"/>
      <c r="EK90" s="773"/>
      <c r="EL90" s="773"/>
      <c r="EM90" s="773"/>
      <c r="EN90" s="773"/>
      <c r="EO90" s="773"/>
      <c r="EP90" s="773"/>
      <c r="EQ90" s="773"/>
      <c r="ER90" s="773"/>
      <c r="ES90" s="773"/>
      <c r="ET90" s="773"/>
      <c r="EU90" s="773"/>
      <c r="EV90" s="773"/>
      <c r="EW90" s="773"/>
      <c r="EX90" s="773"/>
      <c r="EY90" s="773"/>
      <c r="EZ90" s="773"/>
      <c r="FA90" s="773"/>
      <c r="FB90" s="773"/>
      <c r="FC90" s="773"/>
      <c r="FD90" s="773"/>
      <c r="FE90" s="773"/>
      <c r="FF90" s="773"/>
      <c r="FG90" s="773"/>
      <c r="FH90" s="773"/>
      <c r="FI90" s="773"/>
      <c r="FJ90" s="773"/>
      <c r="FK90" s="773"/>
      <c r="FL90" s="773"/>
      <c r="FM90" s="773"/>
      <c r="FN90" s="773"/>
      <c r="FO90" s="773"/>
      <c r="FP90" s="773"/>
      <c r="FQ90" s="773"/>
      <c r="FR90" s="773"/>
      <c r="FS90" s="773"/>
      <c r="FT90" s="773"/>
      <c r="FU90" s="773"/>
      <c r="FV90" s="773"/>
      <c r="FW90" s="773"/>
      <c r="FX90" s="773"/>
      <c r="FY90" s="773"/>
      <c r="FZ90" s="773"/>
      <c r="GA90" s="773"/>
      <c r="GB90" s="773"/>
      <c r="GC90" s="773"/>
      <c r="GD90" s="773"/>
      <c r="GE90" s="773"/>
      <c r="GF90" s="773"/>
      <c r="GG90" s="773"/>
      <c r="GH90" s="773"/>
      <c r="GI90" s="773"/>
      <c r="GJ90" s="773"/>
      <c r="GK90" s="773"/>
      <c r="GL90" s="773"/>
      <c r="GM90" s="773"/>
      <c r="GN90" s="773"/>
      <c r="GO90" s="773"/>
      <c r="GP90" s="773"/>
      <c r="GQ90" s="773"/>
      <c r="GR90" s="773"/>
      <c r="GS90" s="773"/>
      <c r="GT90" s="773"/>
      <c r="GU90" s="773"/>
      <c r="GV90" s="773"/>
      <c r="GW90" s="773"/>
      <c r="GX90" s="773"/>
      <c r="GY90" s="773"/>
      <c r="GZ90" s="773"/>
    </row>
    <row r="91" spans="1:208" s="11" customFormat="1">
      <c r="A91" s="774"/>
      <c r="B91" s="3761" t="s">
        <v>1350</v>
      </c>
      <c r="C91" s="197">
        <v>206090</v>
      </c>
      <c r="D91" s="801" t="s">
        <v>3244</v>
      </c>
      <c r="E91" s="809">
        <f>IFERROR(VLOOKUP(C91,'AJE 12 - INC'!$D$168:$F$345,3,0),0)</f>
        <v>0</v>
      </c>
      <c r="F91" s="1325">
        <f>SUMIF('AJE 12 - INC'!B:B,'New TB INC'!C91,'AJE 12 - INC'!D:D)</f>
        <v>0</v>
      </c>
      <c r="G91" s="1326"/>
      <c r="H91" s="1326"/>
      <c r="I91" s="1326"/>
      <c r="J91" s="796">
        <f t="shared" si="9"/>
        <v>0</v>
      </c>
      <c r="K91" s="779"/>
      <c r="L91" s="434"/>
      <c r="M91" s="2679"/>
      <c r="N91" s="772"/>
      <c r="O91" s="772"/>
      <c r="P91" s="772"/>
      <c r="Q91" s="772"/>
      <c r="R91" s="772"/>
      <c r="S91" s="772"/>
      <c r="T91" s="773"/>
      <c r="AW91" s="2514"/>
      <c r="AX91" s="820"/>
      <c r="AY91" s="820"/>
      <c r="AZ91" s="820"/>
      <c r="BA91" s="30"/>
      <c r="BB91" s="30"/>
      <c r="BC91" s="2514"/>
      <c r="BD91" s="2514"/>
      <c r="BE91" s="2514"/>
      <c r="BF91" s="2514"/>
      <c r="BH91" s="2514"/>
      <c r="BI91" s="30"/>
      <c r="BJ91" s="30"/>
      <c r="BK91" s="30"/>
      <c r="BL91" s="30"/>
      <c r="BM91" s="30"/>
      <c r="BN91" s="30"/>
      <c r="BO91" s="209"/>
      <c r="BP91" s="209"/>
      <c r="BQ91" s="785"/>
      <c r="BR91" s="820"/>
      <c r="BS91" s="820"/>
      <c r="BT91" s="30"/>
      <c r="BU91" s="800"/>
      <c r="BV91" s="800"/>
      <c r="BW91" s="209"/>
      <c r="CA91" s="787"/>
      <c r="DB91" s="773"/>
      <c r="DC91" s="773"/>
      <c r="DD91" s="773"/>
      <c r="DE91" s="773"/>
      <c r="DF91" s="773"/>
      <c r="DG91" s="773"/>
      <c r="DH91" s="773"/>
      <c r="DI91" s="773"/>
      <c r="DJ91" s="773"/>
      <c r="DK91" s="773"/>
      <c r="DL91" s="773"/>
      <c r="DM91" s="773"/>
      <c r="DN91" s="773"/>
      <c r="DO91" s="773"/>
      <c r="DP91" s="773"/>
      <c r="DQ91" s="773"/>
      <c r="DR91" s="773"/>
      <c r="DS91" s="773"/>
      <c r="DT91" s="773"/>
      <c r="DU91" s="773"/>
      <c r="DV91" s="773"/>
      <c r="DW91" s="773"/>
      <c r="DX91" s="773"/>
      <c r="DY91" s="773"/>
      <c r="DZ91" s="773"/>
      <c r="EA91" s="773"/>
      <c r="EB91" s="773"/>
      <c r="EC91" s="773"/>
      <c r="ED91" s="773"/>
      <c r="EE91" s="773"/>
      <c r="EF91" s="773"/>
      <c r="EG91" s="773"/>
      <c r="EH91" s="773"/>
      <c r="EI91" s="773"/>
      <c r="EJ91" s="773"/>
      <c r="EK91" s="773"/>
      <c r="EL91" s="773"/>
      <c r="EM91" s="773"/>
      <c r="EN91" s="773"/>
      <c r="EO91" s="773"/>
      <c r="EP91" s="773"/>
      <c r="EQ91" s="773"/>
      <c r="ER91" s="773"/>
      <c r="ES91" s="773"/>
      <c r="ET91" s="773"/>
      <c r="EU91" s="773"/>
      <c r="EV91" s="773"/>
      <c r="EW91" s="773"/>
      <c r="EX91" s="773"/>
      <c r="EY91" s="773"/>
      <c r="EZ91" s="773"/>
      <c r="FA91" s="773"/>
      <c r="FB91" s="773"/>
      <c r="FC91" s="773"/>
      <c r="FD91" s="773"/>
      <c r="FE91" s="773"/>
      <c r="FF91" s="773"/>
      <c r="FG91" s="773"/>
      <c r="FH91" s="773"/>
      <c r="FI91" s="773"/>
      <c r="FJ91" s="773"/>
      <c r="FK91" s="773"/>
      <c r="FL91" s="773"/>
      <c r="FM91" s="773"/>
      <c r="FN91" s="773"/>
      <c r="FO91" s="773"/>
      <c r="FP91" s="773"/>
      <c r="FQ91" s="773"/>
      <c r="FR91" s="773"/>
      <c r="FS91" s="773"/>
      <c r="FT91" s="773"/>
      <c r="FU91" s="773"/>
      <c r="FV91" s="773"/>
      <c r="FW91" s="773"/>
      <c r="FX91" s="773"/>
      <c r="FY91" s="773"/>
      <c r="FZ91" s="773"/>
      <c r="GA91" s="773"/>
      <c r="GB91" s="773"/>
      <c r="GC91" s="773"/>
      <c r="GD91" s="773"/>
      <c r="GE91" s="773"/>
      <c r="GF91" s="773"/>
      <c r="GG91" s="773"/>
      <c r="GH91" s="773"/>
      <c r="GI91" s="773"/>
      <c r="GJ91" s="773"/>
      <c r="GK91" s="773"/>
      <c r="GL91" s="773"/>
      <c r="GM91" s="773"/>
      <c r="GN91" s="773"/>
      <c r="GO91" s="773"/>
      <c r="GP91" s="773"/>
      <c r="GQ91" s="773"/>
      <c r="GR91" s="773"/>
      <c r="GS91" s="773"/>
      <c r="GT91" s="773"/>
      <c r="GU91" s="773"/>
      <c r="GV91" s="773"/>
      <c r="GW91" s="773"/>
      <c r="GX91" s="773"/>
      <c r="GY91" s="773"/>
      <c r="GZ91" s="773"/>
    </row>
    <row r="92" spans="1:208" s="11" customFormat="1">
      <c r="A92" s="774"/>
      <c r="B92" s="3761" t="s">
        <v>1350</v>
      </c>
      <c r="C92" s="197">
        <v>210054</v>
      </c>
      <c r="D92" s="801" t="s">
        <v>3245</v>
      </c>
      <c r="E92" s="809">
        <f>IFERROR(VLOOKUP(C92,'AJE 12 - INC'!$D$168:$F$345,3,0),0)</f>
        <v>0</v>
      </c>
      <c r="F92" s="1325">
        <f>SUMIF('AJE 12 - INC'!B:B,'New TB INC'!C92,'AJE 12 - INC'!D:D)</f>
        <v>0</v>
      </c>
      <c r="G92" s="1326"/>
      <c r="H92" s="1326"/>
      <c r="I92" s="1326"/>
      <c r="J92" s="796">
        <f t="shared" si="9"/>
        <v>0</v>
      </c>
      <c r="K92" s="779"/>
      <c r="L92" s="434"/>
      <c r="M92" s="2679"/>
      <c r="N92" s="772"/>
      <c r="O92" s="772"/>
      <c r="P92" s="772"/>
      <c r="Q92" s="772"/>
      <c r="R92" s="772"/>
      <c r="S92" s="772"/>
      <c r="T92" s="773"/>
      <c r="AW92" s="2514"/>
      <c r="AX92" s="820"/>
      <c r="AY92" s="820"/>
      <c r="AZ92" s="820"/>
      <c r="BA92" s="30"/>
      <c r="BB92" s="30"/>
      <c r="BC92" s="2514"/>
      <c r="BD92" s="2514"/>
      <c r="BE92" s="2514"/>
      <c r="BF92" s="2514"/>
      <c r="BH92" s="2514"/>
      <c r="BI92" s="30"/>
      <c r="BJ92" s="30"/>
      <c r="BK92" s="30"/>
      <c r="BL92" s="30"/>
      <c r="BM92" s="30"/>
      <c r="BN92" s="30"/>
      <c r="BO92" s="209"/>
      <c r="BP92" s="209"/>
      <c r="BQ92" s="785"/>
      <c r="BR92" s="820"/>
      <c r="BS92" s="820"/>
      <c r="BT92" s="30"/>
      <c r="BU92" s="800"/>
      <c r="BV92" s="800"/>
      <c r="BW92" s="209"/>
      <c r="CA92" s="787"/>
      <c r="DB92" s="773"/>
      <c r="DC92" s="773"/>
      <c r="DD92" s="773"/>
      <c r="DE92" s="773"/>
      <c r="DF92" s="773"/>
      <c r="DG92" s="773"/>
      <c r="DH92" s="773"/>
      <c r="DI92" s="773"/>
      <c r="DJ92" s="773"/>
      <c r="DK92" s="773"/>
      <c r="DL92" s="773"/>
      <c r="DM92" s="773"/>
      <c r="DN92" s="773"/>
      <c r="DO92" s="773"/>
      <c r="DP92" s="773"/>
      <c r="DQ92" s="773"/>
      <c r="DR92" s="773"/>
      <c r="DS92" s="773"/>
      <c r="DT92" s="773"/>
      <c r="DU92" s="773"/>
      <c r="DV92" s="773"/>
      <c r="DW92" s="773"/>
      <c r="DX92" s="773"/>
      <c r="DY92" s="773"/>
      <c r="DZ92" s="773"/>
      <c r="EA92" s="773"/>
      <c r="EB92" s="773"/>
      <c r="EC92" s="773"/>
      <c r="ED92" s="773"/>
      <c r="EE92" s="773"/>
      <c r="EF92" s="773"/>
      <c r="EG92" s="773"/>
      <c r="EH92" s="773"/>
      <c r="EI92" s="773"/>
      <c r="EJ92" s="773"/>
      <c r="EK92" s="773"/>
      <c r="EL92" s="773"/>
      <c r="EM92" s="773"/>
      <c r="EN92" s="773"/>
      <c r="EO92" s="773"/>
      <c r="EP92" s="773"/>
      <c r="EQ92" s="773"/>
      <c r="ER92" s="773"/>
      <c r="ES92" s="773"/>
      <c r="ET92" s="773"/>
      <c r="EU92" s="773"/>
      <c r="EV92" s="773"/>
      <c r="EW92" s="773"/>
      <c r="EX92" s="773"/>
      <c r="EY92" s="773"/>
      <c r="EZ92" s="773"/>
      <c r="FA92" s="773"/>
      <c r="FB92" s="773"/>
      <c r="FC92" s="773"/>
      <c r="FD92" s="773"/>
      <c r="FE92" s="773"/>
      <c r="FF92" s="773"/>
      <c r="FG92" s="773"/>
      <c r="FH92" s="773"/>
      <c r="FI92" s="773"/>
      <c r="FJ92" s="773"/>
      <c r="FK92" s="773"/>
      <c r="FL92" s="773"/>
      <c r="FM92" s="773"/>
      <c r="FN92" s="773"/>
      <c r="FO92" s="773"/>
      <c r="FP92" s="773"/>
      <c r="FQ92" s="773"/>
      <c r="FR92" s="773"/>
      <c r="FS92" s="773"/>
      <c r="FT92" s="773"/>
      <c r="FU92" s="773"/>
      <c r="FV92" s="773"/>
      <c r="FW92" s="773"/>
      <c r="FX92" s="773"/>
      <c r="FY92" s="773"/>
      <c r="FZ92" s="773"/>
      <c r="GA92" s="773"/>
      <c r="GB92" s="773"/>
      <c r="GC92" s="773"/>
      <c r="GD92" s="773"/>
      <c r="GE92" s="773"/>
      <c r="GF92" s="773"/>
      <c r="GG92" s="773"/>
      <c r="GH92" s="773"/>
      <c r="GI92" s="773"/>
      <c r="GJ92" s="773"/>
      <c r="GK92" s="773"/>
      <c r="GL92" s="773"/>
      <c r="GM92" s="773"/>
      <c r="GN92" s="773"/>
      <c r="GO92" s="773"/>
      <c r="GP92" s="773"/>
      <c r="GQ92" s="773"/>
      <c r="GR92" s="773"/>
      <c r="GS92" s="773"/>
      <c r="GT92" s="773"/>
      <c r="GU92" s="773"/>
      <c r="GV92" s="773"/>
      <c r="GW92" s="773"/>
      <c r="GX92" s="773"/>
      <c r="GY92" s="773"/>
      <c r="GZ92" s="773"/>
    </row>
    <row r="93" spans="1:208" s="11" customFormat="1">
      <c r="A93" s="774"/>
      <c r="B93" s="3761" t="s">
        <v>1350</v>
      </c>
      <c r="C93" s="197">
        <v>212940</v>
      </c>
      <c r="D93" s="801" t="s">
        <v>3246</v>
      </c>
      <c r="E93" s="809">
        <f>IFERROR(VLOOKUP(C93,'AJE 12 - INC'!$D$168:$F$345,3,0),0)</f>
        <v>0</v>
      </c>
      <c r="F93" s="1325">
        <f>SUMIF('AJE 12 - INC'!B:B,'New TB INC'!C93,'AJE 12 - INC'!D:D)</f>
        <v>0</v>
      </c>
      <c r="G93" s="1326"/>
      <c r="H93" s="1326"/>
      <c r="I93" s="1326"/>
      <c r="J93" s="796">
        <f t="shared" si="9"/>
        <v>0</v>
      </c>
      <c r="K93" s="779"/>
      <c r="L93" s="434"/>
      <c r="M93" s="2679"/>
      <c r="N93" s="772"/>
      <c r="O93" s="772"/>
      <c r="P93" s="772"/>
      <c r="Q93" s="772"/>
      <c r="R93" s="772"/>
      <c r="S93" s="772"/>
      <c r="T93" s="773"/>
      <c r="AW93" s="2514"/>
      <c r="AX93" s="820"/>
      <c r="AY93" s="820"/>
      <c r="AZ93" s="820"/>
      <c r="BA93" s="30"/>
      <c r="BB93" s="30"/>
      <c r="BC93" s="2514"/>
      <c r="BD93" s="2514"/>
      <c r="BE93" s="2514"/>
      <c r="BF93" s="2514"/>
      <c r="BH93" s="2514"/>
      <c r="BI93" s="30"/>
      <c r="BJ93" s="30"/>
      <c r="BK93" s="30"/>
      <c r="BL93" s="30"/>
      <c r="BM93" s="30"/>
      <c r="BN93" s="30"/>
      <c r="BO93" s="209"/>
      <c r="BP93" s="209"/>
      <c r="BQ93" s="785"/>
      <c r="BR93" s="820"/>
      <c r="BS93" s="820"/>
      <c r="BT93" s="30"/>
      <c r="BU93" s="800"/>
      <c r="BV93" s="800"/>
      <c r="BW93" s="209"/>
      <c r="CA93" s="787"/>
      <c r="DB93" s="773"/>
      <c r="DC93" s="773"/>
      <c r="DD93" s="773"/>
      <c r="DE93" s="773"/>
      <c r="DF93" s="773"/>
      <c r="DG93" s="773"/>
      <c r="DH93" s="773"/>
      <c r="DI93" s="773"/>
      <c r="DJ93" s="773"/>
      <c r="DK93" s="773"/>
      <c r="DL93" s="773"/>
      <c r="DM93" s="773"/>
      <c r="DN93" s="773"/>
      <c r="DO93" s="773"/>
      <c r="DP93" s="773"/>
      <c r="DQ93" s="773"/>
      <c r="DR93" s="773"/>
      <c r="DS93" s="773"/>
      <c r="DT93" s="773"/>
      <c r="DU93" s="773"/>
      <c r="DV93" s="773"/>
      <c r="DW93" s="773"/>
      <c r="DX93" s="773"/>
      <c r="DY93" s="773"/>
      <c r="DZ93" s="773"/>
      <c r="EA93" s="773"/>
      <c r="EB93" s="773"/>
      <c r="EC93" s="773"/>
      <c r="ED93" s="773"/>
      <c r="EE93" s="773"/>
      <c r="EF93" s="773"/>
      <c r="EG93" s="773"/>
      <c r="EH93" s="773"/>
      <c r="EI93" s="773"/>
      <c r="EJ93" s="773"/>
      <c r="EK93" s="773"/>
      <c r="EL93" s="773"/>
      <c r="EM93" s="773"/>
      <c r="EN93" s="773"/>
      <c r="EO93" s="773"/>
      <c r="EP93" s="773"/>
      <c r="EQ93" s="773"/>
      <c r="ER93" s="773"/>
      <c r="ES93" s="773"/>
      <c r="ET93" s="773"/>
      <c r="EU93" s="773"/>
      <c r="EV93" s="773"/>
      <c r="EW93" s="773"/>
      <c r="EX93" s="773"/>
      <c r="EY93" s="773"/>
      <c r="EZ93" s="773"/>
      <c r="FA93" s="773"/>
      <c r="FB93" s="773"/>
      <c r="FC93" s="773"/>
      <c r="FD93" s="773"/>
      <c r="FE93" s="773"/>
      <c r="FF93" s="773"/>
      <c r="FG93" s="773"/>
      <c r="FH93" s="773"/>
      <c r="FI93" s="773"/>
      <c r="FJ93" s="773"/>
      <c r="FK93" s="773"/>
      <c r="FL93" s="773"/>
      <c r="FM93" s="773"/>
      <c r="FN93" s="773"/>
      <c r="FO93" s="773"/>
      <c r="FP93" s="773"/>
      <c r="FQ93" s="773"/>
      <c r="FR93" s="773"/>
      <c r="FS93" s="773"/>
      <c r="FT93" s="773"/>
      <c r="FU93" s="773"/>
      <c r="FV93" s="773"/>
      <c r="FW93" s="773"/>
      <c r="FX93" s="773"/>
      <c r="FY93" s="773"/>
      <c r="FZ93" s="773"/>
      <c r="GA93" s="773"/>
      <c r="GB93" s="773"/>
      <c r="GC93" s="773"/>
      <c r="GD93" s="773"/>
      <c r="GE93" s="773"/>
      <c r="GF93" s="773"/>
      <c r="GG93" s="773"/>
      <c r="GH93" s="773"/>
      <c r="GI93" s="773"/>
      <c r="GJ93" s="773"/>
      <c r="GK93" s="773"/>
      <c r="GL93" s="773"/>
      <c r="GM93" s="773"/>
      <c r="GN93" s="773"/>
      <c r="GO93" s="773"/>
      <c r="GP93" s="773"/>
      <c r="GQ93" s="773"/>
      <c r="GR93" s="773"/>
      <c r="GS93" s="773"/>
      <c r="GT93" s="773"/>
      <c r="GU93" s="773"/>
      <c r="GV93" s="773"/>
      <c r="GW93" s="773"/>
      <c r="GX93" s="773"/>
      <c r="GY93" s="773"/>
      <c r="GZ93" s="773"/>
    </row>
    <row r="94" spans="1:208" s="11" customFormat="1">
      <c r="A94" s="774"/>
      <c r="B94" s="3761" t="s">
        <v>1350</v>
      </c>
      <c r="C94" s="197">
        <v>219777</v>
      </c>
      <c r="D94" s="801" t="s">
        <v>3247</v>
      </c>
      <c r="E94" s="809">
        <f>IFERROR(VLOOKUP(C94,'AJE 12 - INC'!$D$168:$F$345,3,0),0)</f>
        <v>0</v>
      </c>
      <c r="F94" s="1325">
        <f>SUMIF('AJE 12 - INC'!B:B,'New TB INC'!C94,'AJE 12 - INC'!D:D)</f>
        <v>0</v>
      </c>
      <c r="G94" s="1326"/>
      <c r="H94" s="1326"/>
      <c r="I94" s="1326"/>
      <c r="J94" s="796">
        <f t="shared" si="9"/>
        <v>0</v>
      </c>
      <c r="K94" s="779"/>
      <c r="L94" s="434"/>
      <c r="M94" s="2679"/>
      <c r="N94" s="772"/>
      <c r="O94" s="772"/>
      <c r="P94" s="772"/>
      <c r="Q94" s="772"/>
      <c r="R94" s="772"/>
      <c r="S94" s="772"/>
      <c r="T94" s="773"/>
      <c r="AW94" s="2514"/>
      <c r="AX94" s="820"/>
      <c r="AY94" s="820"/>
      <c r="AZ94" s="820"/>
      <c r="BA94" s="30"/>
      <c r="BB94" s="30"/>
      <c r="BC94" s="2514"/>
      <c r="BD94" s="2514"/>
      <c r="BE94" s="2514"/>
      <c r="BF94" s="2514"/>
      <c r="BH94" s="2514"/>
      <c r="BI94" s="30"/>
      <c r="BJ94" s="30"/>
      <c r="BK94" s="30"/>
      <c r="BL94" s="30"/>
      <c r="BM94" s="30"/>
      <c r="BN94" s="30"/>
      <c r="BO94" s="209"/>
      <c r="BP94" s="209"/>
      <c r="BQ94" s="785"/>
      <c r="BR94" s="820"/>
      <c r="BS94" s="820"/>
      <c r="BT94" s="30"/>
      <c r="BU94" s="800"/>
      <c r="BV94" s="800"/>
      <c r="BW94" s="209"/>
      <c r="CA94" s="787"/>
      <c r="DB94" s="773"/>
      <c r="DC94" s="773"/>
      <c r="DD94" s="773"/>
      <c r="DE94" s="773"/>
      <c r="DF94" s="773"/>
      <c r="DG94" s="773"/>
      <c r="DH94" s="773"/>
      <c r="DI94" s="773"/>
      <c r="DJ94" s="773"/>
      <c r="DK94" s="773"/>
      <c r="DL94" s="773"/>
      <c r="DM94" s="773"/>
      <c r="DN94" s="773"/>
      <c r="DO94" s="773"/>
      <c r="DP94" s="773"/>
      <c r="DQ94" s="773"/>
      <c r="DR94" s="773"/>
      <c r="DS94" s="773"/>
      <c r="DT94" s="773"/>
      <c r="DU94" s="773"/>
      <c r="DV94" s="773"/>
      <c r="DW94" s="773"/>
      <c r="DX94" s="773"/>
      <c r="DY94" s="773"/>
      <c r="DZ94" s="773"/>
      <c r="EA94" s="773"/>
      <c r="EB94" s="773"/>
      <c r="EC94" s="773"/>
      <c r="ED94" s="773"/>
      <c r="EE94" s="773"/>
      <c r="EF94" s="773"/>
      <c r="EG94" s="773"/>
      <c r="EH94" s="773"/>
      <c r="EI94" s="773"/>
      <c r="EJ94" s="773"/>
      <c r="EK94" s="773"/>
      <c r="EL94" s="773"/>
      <c r="EM94" s="773"/>
      <c r="EN94" s="773"/>
      <c r="EO94" s="773"/>
      <c r="EP94" s="773"/>
      <c r="EQ94" s="773"/>
      <c r="ER94" s="773"/>
      <c r="ES94" s="773"/>
      <c r="ET94" s="773"/>
      <c r="EU94" s="773"/>
      <c r="EV94" s="773"/>
      <c r="EW94" s="773"/>
      <c r="EX94" s="773"/>
      <c r="EY94" s="773"/>
      <c r="EZ94" s="773"/>
      <c r="FA94" s="773"/>
      <c r="FB94" s="773"/>
      <c r="FC94" s="773"/>
      <c r="FD94" s="773"/>
      <c r="FE94" s="773"/>
      <c r="FF94" s="773"/>
      <c r="FG94" s="773"/>
      <c r="FH94" s="773"/>
      <c r="FI94" s="773"/>
      <c r="FJ94" s="773"/>
      <c r="FK94" s="773"/>
      <c r="FL94" s="773"/>
      <c r="FM94" s="773"/>
      <c r="FN94" s="773"/>
      <c r="FO94" s="773"/>
      <c r="FP94" s="773"/>
      <c r="FQ94" s="773"/>
      <c r="FR94" s="773"/>
      <c r="FS94" s="773"/>
      <c r="FT94" s="773"/>
      <c r="FU94" s="773"/>
      <c r="FV94" s="773"/>
      <c r="FW94" s="773"/>
      <c r="FX94" s="773"/>
      <c r="FY94" s="773"/>
      <c r="FZ94" s="773"/>
      <c r="GA94" s="773"/>
      <c r="GB94" s="773"/>
      <c r="GC94" s="773"/>
      <c r="GD94" s="773"/>
      <c r="GE94" s="773"/>
      <c r="GF94" s="773"/>
      <c r="GG94" s="773"/>
      <c r="GH94" s="773"/>
      <c r="GI94" s="773"/>
      <c r="GJ94" s="773"/>
      <c r="GK94" s="773"/>
      <c r="GL94" s="773"/>
      <c r="GM94" s="773"/>
      <c r="GN94" s="773"/>
      <c r="GO94" s="773"/>
      <c r="GP94" s="773"/>
      <c r="GQ94" s="773"/>
      <c r="GR94" s="773"/>
      <c r="GS94" s="773"/>
      <c r="GT94" s="773"/>
      <c r="GU94" s="773"/>
      <c r="GV94" s="773"/>
      <c r="GW94" s="773"/>
      <c r="GX94" s="773"/>
      <c r="GY94" s="773"/>
      <c r="GZ94" s="773"/>
    </row>
    <row r="95" spans="1:208" s="11" customFormat="1">
      <c r="A95" s="774"/>
      <c r="B95" s="3761" t="s">
        <v>1350</v>
      </c>
      <c r="C95" s="197">
        <v>221016</v>
      </c>
      <c r="D95" s="801" t="s">
        <v>3248</v>
      </c>
      <c r="E95" s="809">
        <f>IFERROR(VLOOKUP(C95,'AJE 12 - INC'!$D$168:$F$345,3,0),0)</f>
        <v>0</v>
      </c>
      <c r="F95" s="1325">
        <f>SUMIF('AJE 12 - INC'!B:B,'New TB INC'!C95,'AJE 12 - INC'!D:D)</f>
        <v>0</v>
      </c>
      <c r="G95" s="1326"/>
      <c r="H95" s="1326"/>
      <c r="I95" s="1326"/>
      <c r="J95" s="796">
        <f t="shared" si="9"/>
        <v>0</v>
      </c>
      <c r="K95" s="779"/>
      <c r="L95" s="434"/>
      <c r="M95" s="2679"/>
      <c r="N95" s="772"/>
      <c r="O95" s="772"/>
      <c r="P95" s="772"/>
      <c r="Q95" s="772"/>
      <c r="R95" s="772"/>
      <c r="S95" s="772"/>
      <c r="T95" s="773"/>
      <c r="AW95" s="2514"/>
      <c r="AX95" s="820"/>
      <c r="AY95" s="820"/>
      <c r="AZ95" s="820"/>
      <c r="BA95" s="30"/>
      <c r="BB95" s="30"/>
      <c r="BC95" s="2514"/>
      <c r="BD95" s="2514"/>
      <c r="BE95" s="2514"/>
      <c r="BF95" s="2514"/>
      <c r="BH95" s="2514"/>
      <c r="BI95" s="30"/>
      <c r="BJ95" s="30"/>
      <c r="BK95" s="30"/>
      <c r="BL95" s="30"/>
      <c r="BM95" s="30"/>
      <c r="BN95" s="30"/>
      <c r="BO95" s="209"/>
      <c r="BP95" s="209"/>
      <c r="BQ95" s="785"/>
      <c r="BR95" s="820"/>
      <c r="BS95" s="820"/>
      <c r="BT95" s="30"/>
      <c r="BU95" s="800"/>
      <c r="BV95" s="800"/>
      <c r="BW95" s="209"/>
      <c r="CA95" s="787"/>
      <c r="DB95" s="773"/>
      <c r="DC95" s="773"/>
      <c r="DD95" s="773"/>
      <c r="DE95" s="773"/>
      <c r="DF95" s="773"/>
      <c r="DG95" s="773"/>
      <c r="DH95" s="773"/>
      <c r="DI95" s="773"/>
      <c r="DJ95" s="773"/>
      <c r="DK95" s="773"/>
      <c r="DL95" s="773"/>
      <c r="DM95" s="773"/>
      <c r="DN95" s="773"/>
      <c r="DO95" s="773"/>
      <c r="DP95" s="773"/>
      <c r="DQ95" s="773"/>
      <c r="DR95" s="773"/>
      <c r="DS95" s="773"/>
      <c r="DT95" s="773"/>
      <c r="DU95" s="773"/>
      <c r="DV95" s="773"/>
      <c r="DW95" s="773"/>
      <c r="DX95" s="773"/>
      <c r="DY95" s="773"/>
      <c r="DZ95" s="773"/>
      <c r="EA95" s="773"/>
      <c r="EB95" s="773"/>
      <c r="EC95" s="773"/>
      <c r="ED95" s="773"/>
      <c r="EE95" s="773"/>
      <c r="EF95" s="773"/>
      <c r="EG95" s="773"/>
      <c r="EH95" s="773"/>
      <c r="EI95" s="773"/>
      <c r="EJ95" s="773"/>
      <c r="EK95" s="773"/>
      <c r="EL95" s="773"/>
      <c r="EM95" s="773"/>
      <c r="EN95" s="773"/>
      <c r="EO95" s="773"/>
      <c r="EP95" s="773"/>
      <c r="EQ95" s="773"/>
      <c r="ER95" s="773"/>
      <c r="ES95" s="773"/>
      <c r="ET95" s="773"/>
      <c r="EU95" s="773"/>
      <c r="EV95" s="773"/>
      <c r="EW95" s="773"/>
      <c r="EX95" s="773"/>
      <c r="EY95" s="773"/>
      <c r="EZ95" s="773"/>
      <c r="FA95" s="773"/>
      <c r="FB95" s="773"/>
      <c r="FC95" s="773"/>
      <c r="FD95" s="773"/>
      <c r="FE95" s="773"/>
      <c r="FF95" s="773"/>
      <c r="FG95" s="773"/>
      <c r="FH95" s="773"/>
      <c r="FI95" s="773"/>
      <c r="FJ95" s="773"/>
      <c r="FK95" s="773"/>
      <c r="FL95" s="773"/>
      <c r="FM95" s="773"/>
      <c r="FN95" s="773"/>
      <c r="FO95" s="773"/>
      <c r="FP95" s="773"/>
      <c r="FQ95" s="773"/>
      <c r="FR95" s="773"/>
      <c r="FS95" s="773"/>
      <c r="FT95" s="773"/>
      <c r="FU95" s="773"/>
      <c r="FV95" s="773"/>
      <c r="FW95" s="773"/>
      <c r="FX95" s="773"/>
      <c r="FY95" s="773"/>
      <c r="FZ95" s="773"/>
      <c r="GA95" s="773"/>
      <c r="GB95" s="773"/>
      <c r="GC95" s="773"/>
      <c r="GD95" s="773"/>
      <c r="GE95" s="773"/>
      <c r="GF95" s="773"/>
      <c r="GG95" s="773"/>
      <c r="GH95" s="773"/>
      <c r="GI95" s="773"/>
      <c r="GJ95" s="773"/>
      <c r="GK95" s="773"/>
      <c r="GL95" s="773"/>
      <c r="GM95" s="773"/>
      <c r="GN95" s="773"/>
      <c r="GO95" s="773"/>
      <c r="GP95" s="773"/>
      <c r="GQ95" s="773"/>
      <c r="GR95" s="773"/>
      <c r="GS95" s="773"/>
      <c r="GT95" s="773"/>
      <c r="GU95" s="773"/>
      <c r="GV95" s="773"/>
      <c r="GW95" s="773"/>
      <c r="GX95" s="773"/>
      <c r="GY95" s="773"/>
      <c r="GZ95" s="773"/>
    </row>
    <row r="96" spans="1:208" s="11" customFormat="1">
      <c r="A96" s="774"/>
      <c r="B96" s="3761" t="s">
        <v>1350</v>
      </c>
      <c r="C96" s="197">
        <v>221994</v>
      </c>
      <c r="D96" s="801" t="s">
        <v>3249</v>
      </c>
      <c r="E96" s="809">
        <f>IFERROR(VLOOKUP(C96,'AJE 12 - INC'!$D$168:$F$345,3,0),0)</f>
        <v>0</v>
      </c>
      <c r="F96" s="1325">
        <f>SUMIF('AJE 12 - INC'!B:B,'New TB INC'!C96,'AJE 12 - INC'!D:D)</f>
        <v>0</v>
      </c>
      <c r="G96" s="1326"/>
      <c r="H96" s="1326"/>
      <c r="I96" s="1326"/>
      <c r="J96" s="796">
        <f t="shared" si="9"/>
        <v>0</v>
      </c>
      <c r="K96" s="779"/>
      <c r="L96" s="434"/>
      <c r="M96" s="2679"/>
      <c r="N96" s="772"/>
      <c r="O96" s="772"/>
      <c r="P96" s="772"/>
      <c r="Q96" s="772"/>
      <c r="R96" s="772"/>
      <c r="S96" s="772"/>
      <c r="T96" s="773"/>
      <c r="AW96" s="2514"/>
      <c r="AX96" s="820"/>
      <c r="AY96" s="820"/>
      <c r="AZ96" s="820"/>
      <c r="BA96" s="30"/>
      <c r="BB96" s="30"/>
      <c r="BC96" s="2514"/>
      <c r="BD96" s="2514"/>
      <c r="BE96" s="2514"/>
      <c r="BF96" s="2514"/>
      <c r="BH96" s="2514"/>
      <c r="BI96" s="30"/>
      <c r="BJ96" s="30"/>
      <c r="BK96" s="30"/>
      <c r="BL96" s="30"/>
      <c r="BM96" s="30"/>
      <c r="BN96" s="30"/>
      <c r="BO96" s="209"/>
      <c r="BP96" s="209"/>
      <c r="BQ96" s="785"/>
      <c r="BR96" s="820"/>
      <c r="BS96" s="820"/>
      <c r="BT96" s="30"/>
      <c r="BU96" s="800"/>
      <c r="BV96" s="800"/>
      <c r="BW96" s="209"/>
      <c r="CA96" s="787"/>
      <c r="DB96" s="773"/>
      <c r="DC96" s="773"/>
      <c r="DD96" s="773"/>
      <c r="DE96" s="773"/>
      <c r="DF96" s="773"/>
      <c r="DG96" s="773"/>
      <c r="DH96" s="773"/>
      <c r="DI96" s="773"/>
      <c r="DJ96" s="773"/>
      <c r="DK96" s="773"/>
      <c r="DL96" s="773"/>
      <c r="DM96" s="773"/>
      <c r="DN96" s="773"/>
      <c r="DO96" s="773"/>
      <c r="DP96" s="773"/>
      <c r="DQ96" s="773"/>
      <c r="DR96" s="773"/>
      <c r="DS96" s="773"/>
      <c r="DT96" s="773"/>
      <c r="DU96" s="773"/>
      <c r="DV96" s="773"/>
      <c r="DW96" s="773"/>
      <c r="DX96" s="773"/>
      <c r="DY96" s="773"/>
      <c r="DZ96" s="773"/>
      <c r="EA96" s="773"/>
      <c r="EB96" s="773"/>
      <c r="EC96" s="773"/>
      <c r="ED96" s="773"/>
      <c r="EE96" s="773"/>
      <c r="EF96" s="773"/>
      <c r="EG96" s="773"/>
      <c r="EH96" s="773"/>
      <c r="EI96" s="773"/>
      <c r="EJ96" s="773"/>
      <c r="EK96" s="773"/>
      <c r="EL96" s="773"/>
      <c r="EM96" s="773"/>
      <c r="EN96" s="773"/>
      <c r="EO96" s="773"/>
      <c r="EP96" s="773"/>
      <c r="EQ96" s="773"/>
      <c r="ER96" s="773"/>
      <c r="ES96" s="773"/>
      <c r="ET96" s="773"/>
      <c r="EU96" s="773"/>
      <c r="EV96" s="773"/>
      <c r="EW96" s="773"/>
      <c r="EX96" s="773"/>
      <c r="EY96" s="773"/>
      <c r="EZ96" s="773"/>
      <c r="FA96" s="773"/>
      <c r="FB96" s="773"/>
      <c r="FC96" s="773"/>
      <c r="FD96" s="773"/>
      <c r="FE96" s="773"/>
      <c r="FF96" s="773"/>
      <c r="FG96" s="773"/>
      <c r="FH96" s="773"/>
      <c r="FI96" s="773"/>
      <c r="FJ96" s="773"/>
      <c r="FK96" s="773"/>
      <c r="FL96" s="773"/>
      <c r="FM96" s="773"/>
      <c r="FN96" s="773"/>
      <c r="FO96" s="773"/>
      <c r="FP96" s="773"/>
      <c r="FQ96" s="773"/>
      <c r="FR96" s="773"/>
      <c r="FS96" s="773"/>
      <c r="FT96" s="773"/>
      <c r="FU96" s="773"/>
      <c r="FV96" s="773"/>
      <c r="FW96" s="773"/>
      <c r="FX96" s="773"/>
      <c r="FY96" s="773"/>
      <c r="FZ96" s="773"/>
      <c r="GA96" s="773"/>
      <c r="GB96" s="773"/>
      <c r="GC96" s="773"/>
      <c r="GD96" s="773"/>
      <c r="GE96" s="773"/>
      <c r="GF96" s="773"/>
      <c r="GG96" s="773"/>
      <c r="GH96" s="773"/>
      <c r="GI96" s="773"/>
      <c r="GJ96" s="773"/>
      <c r="GK96" s="773"/>
      <c r="GL96" s="773"/>
      <c r="GM96" s="773"/>
      <c r="GN96" s="773"/>
      <c r="GO96" s="773"/>
      <c r="GP96" s="773"/>
      <c r="GQ96" s="773"/>
      <c r="GR96" s="773"/>
      <c r="GS96" s="773"/>
      <c r="GT96" s="773"/>
      <c r="GU96" s="773"/>
      <c r="GV96" s="773"/>
      <c r="GW96" s="773"/>
      <c r="GX96" s="773"/>
      <c r="GY96" s="773"/>
      <c r="GZ96" s="773"/>
    </row>
    <row r="97" spans="1:208" s="11" customFormat="1">
      <c r="A97" s="774"/>
      <c r="B97" s="3761" t="s">
        <v>1350</v>
      </c>
      <c r="C97" s="197">
        <v>224691</v>
      </c>
      <c r="D97" s="801" t="s">
        <v>3250</v>
      </c>
      <c r="E97" s="809">
        <f>IFERROR(VLOOKUP(C97,'AJE 12 - INC'!$D$168:$F$345,3,0),0)</f>
        <v>6780</v>
      </c>
      <c r="F97" s="1325">
        <f>SUMIF('AJE 12 - INC'!B:B,'New TB INC'!C97,'AJE 12 - INC'!D:D)</f>
        <v>0</v>
      </c>
      <c r="G97" s="1326"/>
      <c r="H97" s="1326"/>
      <c r="I97" s="1326"/>
      <c r="J97" s="796">
        <f t="shared" si="9"/>
        <v>6780</v>
      </c>
      <c r="K97" s="779"/>
      <c r="L97" s="434"/>
      <c r="M97" s="2679"/>
      <c r="N97" s="772"/>
      <c r="O97" s="772"/>
      <c r="P97" s="772"/>
      <c r="Q97" s="772"/>
      <c r="R97" s="772"/>
      <c r="S97" s="772"/>
      <c r="T97" s="773"/>
      <c r="AW97" s="2514"/>
      <c r="AX97" s="820"/>
      <c r="AY97" s="820"/>
      <c r="AZ97" s="820"/>
      <c r="BA97" s="30"/>
      <c r="BB97" s="30"/>
      <c r="BC97" s="2514"/>
      <c r="BD97" s="2514"/>
      <c r="BE97" s="2514"/>
      <c r="BF97" s="2514"/>
      <c r="BH97" s="2514"/>
      <c r="BI97" s="30"/>
      <c r="BJ97" s="30"/>
      <c r="BK97" s="30"/>
      <c r="BL97" s="30"/>
      <c r="BM97" s="30"/>
      <c r="BN97" s="30"/>
      <c r="BO97" s="209"/>
      <c r="BP97" s="209"/>
      <c r="BQ97" s="785"/>
      <c r="BR97" s="820"/>
      <c r="BS97" s="820"/>
      <c r="BT97" s="30"/>
      <c r="BU97" s="800"/>
      <c r="BV97" s="800"/>
      <c r="BW97" s="209"/>
      <c r="CA97" s="787"/>
      <c r="DB97" s="773"/>
      <c r="DC97" s="773"/>
      <c r="DD97" s="773"/>
      <c r="DE97" s="773"/>
      <c r="DF97" s="773"/>
      <c r="DG97" s="773"/>
      <c r="DH97" s="773"/>
      <c r="DI97" s="773"/>
      <c r="DJ97" s="773"/>
      <c r="DK97" s="773"/>
      <c r="DL97" s="773"/>
      <c r="DM97" s="773"/>
      <c r="DN97" s="773"/>
      <c r="DO97" s="773"/>
      <c r="DP97" s="773"/>
      <c r="DQ97" s="773"/>
      <c r="DR97" s="773"/>
      <c r="DS97" s="773"/>
      <c r="DT97" s="773"/>
      <c r="DU97" s="773"/>
      <c r="DV97" s="773"/>
      <c r="DW97" s="773"/>
      <c r="DX97" s="773"/>
      <c r="DY97" s="773"/>
      <c r="DZ97" s="773"/>
      <c r="EA97" s="773"/>
      <c r="EB97" s="773"/>
      <c r="EC97" s="773"/>
      <c r="ED97" s="773"/>
      <c r="EE97" s="773"/>
      <c r="EF97" s="773"/>
      <c r="EG97" s="773"/>
      <c r="EH97" s="773"/>
      <c r="EI97" s="773"/>
      <c r="EJ97" s="773"/>
      <c r="EK97" s="773"/>
      <c r="EL97" s="773"/>
      <c r="EM97" s="773"/>
      <c r="EN97" s="773"/>
      <c r="EO97" s="773"/>
      <c r="EP97" s="773"/>
      <c r="EQ97" s="773"/>
      <c r="ER97" s="773"/>
      <c r="ES97" s="773"/>
      <c r="ET97" s="773"/>
      <c r="EU97" s="773"/>
      <c r="EV97" s="773"/>
      <c r="EW97" s="773"/>
      <c r="EX97" s="773"/>
      <c r="EY97" s="773"/>
      <c r="EZ97" s="773"/>
      <c r="FA97" s="773"/>
      <c r="FB97" s="773"/>
      <c r="FC97" s="773"/>
      <c r="FD97" s="773"/>
      <c r="FE97" s="773"/>
      <c r="FF97" s="773"/>
      <c r="FG97" s="773"/>
      <c r="FH97" s="773"/>
      <c r="FI97" s="773"/>
      <c r="FJ97" s="773"/>
      <c r="FK97" s="773"/>
      <c r="FL97" s="773"/>
      <c r="FM97" s="773"/>
      <c r="FN97" s="773"/>
      <c r="FO97" s="773"/>
      <c r="FP97" s="773"/>
      <c r="FQ97" s="773"/>
      <c r="FR97" s="773"/>
      <c r="FS97" s="773"/>
      <c r="FT97" s="773"/>
      <c r="FU97" s="773"/>
      <c r="FV97" s="773"/>
      <c r="FW97" s="773"/>
      <c r="FX97" s="773"/>
      <c r="FY97" s="773"/>
      <c r="FZ97" s="773"/>
      <c r="GA97" s="773"/>
      <c r="GB97" s="773"/>
      <c r="GC97" s="773"/>
      <c r="GD97" s="773"/>
      <c r="GE97" s="773"/>
      <c r="GF97" s="773"/>
      <c r="GG97" s="773"/>
      <c r="GH97" s="773"/>
      <c r="GI97" s="773"/>
      <c r="GJ97" s="773"/>
      <c r="GK97" s="773"/>
      <c r="GL97" s="773"/>
      <c r="GM97" s="773"/>
      <c r="GN97" s="773"/>
      <c r="GO97" s="773"/>
      <c r="GP97" s="773"/>
      <c r="GQ97" s="773"/>
      <c r="GR97" s="773"/>
      <c r="GS97" s="773"/>
      <c r="GT97" s="773"/>
      <c r="GU97" s="773"/>
      <c r="GV97" s="773"/>
      <c r="GW97" s="773"/>
      <c r="GX97" s="773"/>
      <c r="GY97" s="773"/>
      <c r="GZ97" s="773"/>
    </row>
    <row r="98" spans="1:208" s="11" customFormat="1">
      <c r="A98" s="774"/>
      <c r="B98" s="3761" t="s">
        <v>1350</v>
      </c>
      <c r="C98" s="197">
        <v>227239</v>
      </c>
      <c r="D98" s="801" t="s">
        <v>3251</v>
      </c>
      <c r="E98" s="809">
        <f>IFERROR(VLOOKUP(C98,'AJE 12 - INC'!$D$168:$F$345,3,0),0)</f>
        <v>0</v>
      </c>
      <c r="F98" s="1325">
        <f>SUMIF('AJE 12 - INC'!B:B,'New TB INC'!C98,'AJE 12 - INC'!D:D)</f>
        <v>0</v>
      </c>
      <c r="G98" s="1326"/>
      <c r="H98" s="1326"/>
      <c r="I98" s="1326"/>
      <c r="J98" s="796">
        <f t="shared" si="9"/>
        <v>0</v>
      </c>
      <c r="K98" s="779"/>
      <c r="L98" s="434"/>
      <c r="M98" s="2679"/>
      <c r="N98" s="772"/>
      <c r="O98" s="772"/>
      <c r="P98" s="772"/>
      <c r="Q98" s="772"/>
      <c r="R98" s="772"/>
      <c r="S98" s="772"/>
      <c r="T98" s="773"/>
      <c r="AW98" s="2514"/>
      <c r="AX98" s="820"/>
      <c r="AY98" s="820"/>
      <c r="AZ98" s="820"/>
      <c r="BA98" s="30"/>
      <c r="BB98" s="30"/>
      <c r="BC98" s="2514"/>
      <c r="BD98" s="2514"/>
      <c r="BE98" s="2514"/>
      <c r="BF98" s="2514"/>
      <c r="BH98" s="2514"/>
      <c r="BI98" s="30"/>
      <c r="BJ98" s="30"/>
      <c r="BK98" s="30"/>
      <c r="BL98" s="30"/>
      <c r="BM98" s="30"/>
      <c r="BN98" s="30"/>
      <c r="BO98" s="209"/>
      <c r="BP98" s="209"/>
      <c r="BQ98" s="785"/>
      <c r="BR98" s="820"/>
      <c r="BS98" s="820"/>
      <c r="BT98" s="30"/>
      <c r="BU98" s="800"/>
      <c r="BV98" s="800"/>
      <c r="BW98" s="209"/>
      <c r="CA98" s="787"/>
      <c r="DB98" s="773"/>
      <c r="DC98" s="773"/>
      <c r="DD98" s="773"/>
      <c r="DE98" s="773"/>
      <c r="DF98" s="773"/>
      <c r="DG98" s="773"/>
      <c r="DH98" s="773"/>
      <c r="DI98" s="773"/>
      <c r="DJ98" s="773"/>
      <c r="DK98" s="773"/>
      <c r="DL98" s="773"/>
      <c r="DM98" s="773"/>
      <c r="DN98" s="773"/>
      <c r="DO98" s="773"/>
      <c r="DP98" s="773"/>
      <c r="DQ98" s="773"/>
      <c r="DR98" s="773"/>
      <c r="DS98" s="773"/>
      <c r="DT98" s="773"/>
      <c r="DU98" s="773"/>
      <c r="DV98" s="773"/>
      <c r="DW98" s="773"/>
      <c r="DX98" s="773"/>
      <c r="DY98" s="773"/>
      <c r="DZ98" s="773"/>
      <c r="EA98" s="773"/>
      <c r="EB98" s="773"/>
      <c r="EC98" s="773"/>
      <c r="ED98" s="773"/>
      <c r="EE98" s="773"/>
      <c r="EF98" s="773"/>
      <c r="EG98" s="773"/>
      <c r="EH98" s="773"/>
      <c r="EI98" s="773"/>
      <c r="EJ98" s="773"/>
      <c r="EK98" s="773"/>
      <c r="EL98" s="773"/>
      <c r="EM98" s="773"/>
      <c r="EN98" s="773"/>
      <c r="EO98" s="773"/>
      <c r="EP98" s="773"/>
      <c r="EQ98" s="773"/>
      <c r="ER98" s="773"/>
      <c r="ES98" s="773"/>
      <c r="ET98" s="773"/>
      <c r="EU98" s="773"/>
      <c r="EV98" s="773"/>
      <c r="EW98" s="773"/>
      <c r="EX98" s="773"/>
      <c r="EY98" s="773"/>
      <c r="EZ98" s="773"/>
      <c r="FA98" s="773"/>
      <c r="FB98" s="773"/>
      <c r="FC98" s="773"/>
      <c r="FD98" s="773"/>
      <c r="FE98" s="773"/>
      <c r="FF98" s="773"/>
      <c r="FG98" s="773"/>
      <c r="FH98" s="773"/>
      <c r="FI98" s="773"/>
      <c r="FJ98" s="773"/>
      <c r="FK98" s="773"/>
      <c r="FL98" s="773"/>
      <c r="FM98" s="773"/>
      <c r="FN98" s="773"/>
      <c r="FO98" s="773"/>
      <c r="FP98" s="773"/>
      <c r="FQ98" s="773"/>
      <c r="FR98" s="773"/>
      <c r="FS98" s="773"/>
      <c r="FT98" s="773"/>
      <c r="FU98" s="773"/>
      <c r="FV98" s="773"/>
      <c r="FW98" s="773"/>
      <c r="FX98" s="773"/>
      <c r="FY98" s="773"/>
      <c r="FZ98" s="773"/>
      <c r="GA98" s="773"/>
      <c r="GB98" s="773"/>
      <c r="GC98" s="773"/>
      <c r="GD98" s="773"/>
      <c r="GE98" s="773"/>
      <c r="GF98" s="773"/>
      <c r="GG98" s="773"/>
      <c r="GH98" s="773"/>
      <c r="GI98" s="773"/>
      <c r="GJ98" s="773"/>
      <c r="GK98" s="773"/>
      <c r="GL98" s="773"/>
      <c r="GM98" s="773"/>
      <c r="GN98" s="773"/>
      <c r="GO98" s="773"/>
      <c r="GP98" s="773"/>
      <c r="GQ98" s="773"/>
      <c r="GR98" s="773"/>
      <c r="GS98" s="773"/>
      <c r="GT98" s="773"/>
      <c r="GU98" s="773"/>
      <c r="GV98" s="773"/>
      <c r="GW98" s="773"/>
      <c r="GX98" s="773"/>
      <c r="GY98" s="773"/>
      <c r="GZ98" s="773"/>
    </row>
    <row r="99" spans="1:208" s="11" customFormat="1">
      <c r="A99" s="774"/>
      <c r="B99" s="3761" t="s">
        <v>1350</v>
      </c>
      <c r="C99" s="197">
        <v>228338</v>
      </c>
      <c r="D99" s="801" t="s">
        <v>3252</v>
      </c>
      <c r="E99" s="809">
        <f>IFERROR(VLOOKUP(C99,'AJE 12 - INC'!$D$168:$F$345,3,0),0)</f>
        <v>0</v>
      </c>
      <c r="F99" s="1325">
        <f>SUMIF('AJE 12 - INC'!B:B,'New TB INC'!C99,'AJE 12 - INC'!D:D)</f>
        <v>0</v>
      </c>
      <c r="G99" s="1326"/>
      <c r="H99" s="1326"/>
      <c r="I99" s="1326"/>
      <c r="J99" s="796">
        <f t="shared" si="9"/>
        <v>0</v>
      </c>
      <c r="K99" s="779"/>
      <c r="L99" s="434"/>
      <c r="M99" s="2679"/>
      <c r="N99" s="772"/>
      <c r="O99" s="772"/>
      <c r="P99" s="772"/>
      <c r="Q99" s="772"/>
      <c r="R99" s="772"/>
      <c r="S99" s="772"/>
      <c r="T99" s="773"/>
      <c r="AW99" s="2514"/>
      <c r="AX99" s="820"/>
      <c r="AY99" s="820"/>
      <c r="AZ99" s="820"/>
      <c r="BA99" s="30"/>
      <c r="BB99" s="30"/>
      <c r="BC99" s="2514"/>
      <c r="BD99" s="2514"/>
      <c r="BE99" s="2514"/>
      <c r="BF99" s="2514"/>
      <c r="BH99" s="2514"/>
      <c r="BI99" s="30"/>
      <c r="BJ99" s="30"/>
      <c r="BK99" s="30"/>
      <c r="BL99" s="30"/>
      <c r="BM99" s="30"/>
      <c r="BN99" s="30"/>
      <c r="BO99" s="209"/>
      <c r="BP99" s="209"/>
      <c r="BQ99" s="785"/>
      <c r="BR99" s="820"/>
      <c r="BS99" s="820"/>
      <c r="BT99" s="30"/>
      <c r="BU99" s="800"/>
      <c r="BV99" s="800"/>
      <c r="BW99" s="209"/>
      <c r="CA99" s="787"/>
      <c r="DB99" s="773"/>
      <c r="DC99" s="773"/>
      <c r="DD99" s="773"/>
      <c r="DE99" s="773"/>
      <c r="DF99" s="773"/>
      <c r="DG99" s="773"/>
      <c r="DH99" s="773"/>
      <c r="DI99" s="773"/>
      <c r="DJ99" s="773"/>
      <c r="DK99" s="773"/>
      <c r="DL99" s="773"/>
      <c r="DM99" s="773"/>
      <c r="DN99" s="773"/>
      <c r="DO99" s="773"/>
      <c r="DP99" s="773"/>
      <c r="DQ99" s="773"/>
      <c r="DR99" s="773"/>
      <c r="DS99" s="773"/>
      <c r="DT99" s="773"/>
      <c r="DU99" s="773"/>
      <c r="DV99" s="773"/>
      <c r="DW99" s="773"/>
      <c r="DX99" s="773"/>
      <c r="DY99" s="773"/>
      <c r="DZ99" s="773"/>
      <c r="EA99" s="773"/>
      <c r="EB99" s="773"/>
      <c r="EC99" s="773"/>
      <c r="ED99" s="773"/>
      <c r="EE99" s="773"/>
      <c r="EF99" s="773"/>
      <c r="EG99" s="773"/>
      <c r="EH99" s="773"/>
      <c r="EI99" s="773"/>
      <c r="EJ99" s="773"/>
      <c r="EK99" s="773"/>
      <c r="EL99" s="773"/>
      <c r="EM99" s="773"/>
      <c r="EN99" s="773"/>
      <c r="EO99" s="773"/>
      <c r="EP99" s="773"/>
      <c r="EQ99" s="773"/>
      <c r="ER99" s="773"/>
      <c r="ES99" s="773"/>
      <c r="ET99" s="773"/>
      <c r="EU99" s="773"/>
      <c r="EV99" s="773"/>
      <c r="EW99" s="773"/>
      <c r="EX99" s="773"/>
      <c r="EY99" s="773"/>
      <c r="EZ99" s="773"/>
      <c r="FA99" s="773"/>
      <c r="FB99" s="773"/>
      <c r="FC99" s="773"/>
      <c r="FD99" s="773"/>
      <c r="FE99" s="773"/>
      <c r="FF99" s="773"/>
      <c r="FG99" s="773"/>
      <c r="FH99" s="773"/>
      <c r="FI99" s="773"/>
      <c r="FJ99" s="773"/>
      <c r="FK99" s="773"/>
      <c r="FL99" s="773"/>
      <c r="FM99" s="773"/>
      <c r="FN99" s="773"/>
      <c r="FO99" s="773"/>
      <c r="FP99" s="773"/>
      <c r="FQ99" s="773"/>
      <c r="FR99" s="773"/>
      <c r="FS99" s="773"/>
      <c r="FT99" s="773"/>
      <c r="FU99" s="773"/>
      <c r="FV99" s="773"/>
      <c r="FW99" s="773"/>
      <c r="FX99" s="773"/>
      <c r="FY99" s="773"/>
      <c r="FZ99" s="773"/>
      <c r="GA99" s="773"/>
      <c r="GB99" s="773"/>
      <c r="GC99" s="773"/>
      <c r="GD99" s="773"/>
      <c r="GE99" s="773"/>
      <c r="GF99" s="773"/>
      <c r="GG99" s="773"/>
      <c r="GH99" s="773"/>
      <c r="GI99" s="773"/>
      <c r="GJ99" s="773"/>
      <c r="GK99" s="773"/>
      <c r="GL99" s="773"/>
      <c r="GM99" s="773"/>
      <c r="GN99" s="773"/>
      <c r="GO99" s="773"/>
      <c r="GP99" s="773"/>
      <c r="GQ99" s="773"/>
      <c r="GR99" s="773"/>
      <c r="GS99" s="773"/>
      <c r="GT99" s="773"/>
      <c r="GU99" s="773"/>
      <c r="GV99" s="773"/>
      <c r="GW99" s="773"/>
      <c r="GX99" s="773"/>
      <c r="GY99" s="773"/>
      <c r="GZ99" s="773"/>
    </row>
    <row r="100" spans="1:208" s="11" customFormat="1">
      <c r="A100" s="774"/>
      <c r="B100" s="3761" t="s">
        <v>1350</v>
      </c>
      <c r="C100" s="197">
        <v>203131</v>
      </c>
      <c r="D100" s="801" t="s">
        <v>3084</v>
      </c>
      <c r="E100" s="809">
        <f>IFERROR(VLOOKUP(C100,'AJE 12 - INC'!$D$168:$F$345,3,0),0)</f>
        <v>0</v>
      </c>
      <c r="F100" s="1325">
        <f>SUMIF('AJE 12 - INC'!B:B,'New TB INC'!C100,'AJE 12 - INC'!D:D)</f>
        <v>0</v>
      </c>
      <c r="G100" s="1326"/>
      <c r="H100" s="1326"/>
      <c r="I100" s="1326"/>
      <c r="J100" s="796">
        <f t="shared" si="9"/>
        <v>0</v>
      </c>
      <c r="K100" s="779"/>
      <c r="L100" s="434"/>
      <c r="M100" s="2679"/>
      <c r="N100" s="772"/>
      <c r="O100" s="772"/>
      <c r="P100" s="772"/>
      <c r="Q100" s="772"/>
      <c r="R100" s="772"/>
      <c r="S100" s="772"/>
      <c r="T100" s="773"/>
      <c r="AW100" s="2514"/>
      <c r="AX100" s="820"/>
      <c r="AY100" s="820"/>
      <c r="AZ100" s="820"/>
      <c r="BA100" s="30"/>
      <c r="BB100" s="30"/>
      <c r="BC100" s="2514"/>
      <c r="BD100" s="2514"/>
      <c r="BE100" s="2514"/>
      <c r="BF100" s="2514"/>
      <c r="BH100" s="2514"/>
      <c r="BI100" s="30"/>
      <c r="BJ100" s="30"/>
      <c r="BK100" s="30"/>
      <c r="BL100" s="30"/>
      <c r="BM100" s="30"/>
      <c r="BN100" s="30"/>
      <c r="BO100" s="209"/>
      <c r="BP100" s="209"/>
      <c r="BQ100" s="785"/>
      <c r="BR100" s="820"/>
      <c r="BS100" s="820"/>
      <c r="BT100" s="30"/>
      <c r="BU100" s="800"/>
      <c r="BV100" s="800"/>
      <c r="BW100" s="209"/>
      <c r="CA100" s="787"/>
      <c r="DB100" s="773"/>
      <c r="DC100" s="773"/>
      <c r="DD100" s="773"/>
      <c r="DE100" s="773"/>
      <c r="DF100" s="773"/>
      <c r="DG100" s="773"/>
      <c r="DH100" s="773"/>
      <c r="DI100" s="773"/>
      <c r="DJ100" s="773"/>
      <c r="DK100" s="773"/>
      <c r="DL100" s="773"/>
      <c r="DM100" s="773"/>
      <c r="DN100" s="773"/>
      <c r="DO100" s="773"/>
      <c r="DP100" s="773"/>
      <c r="DQ100" s="773"/>
      <c r="DR100" s="773"/>
      <c r="DS100" s="773"/>
      <c r="DT100" s="773"/>
      <c r="DU100" s="773"/>
      <c r="DV100" s="773"/>
      <c r="DW100" s="773"/>
      <c r="DX100" s="773"/>
      <c r="DY100" s="773"/>
      <c r="DZ100" s="773"/>
      <c r="EA100" s="773"/>
      <c r="EB100" s="773"/>
      <c r="EC100" s="773"/>
      <c r="ED100" s="773"/>
      <c r="EE100" s="773"/>
      <c r="EF100" s="773"/>
      <c r="EG100" s="773"/>
      <c r="EH100" s="773"/>
      <c r="EI100" s="773"/>
      <c r="EJ100" s="773"/>
      <c r="EK100" s="773"/>
      <c r="EL100" s="773"/>
      <c r="EM100" s="773"/>
      <c r="EN100" s="773"/>
      <c r="EO100" s="773"/>
      <c r="EP100" s="773"/>
      <c r="EQ100" s="773"/>
      <c r="ER100" s="773"/>
      <c r="ES100" s="773"/>
      <c r="ET100" s="773"/>
      <c r="EU100" s="773"/>
      <c r="EV100" s="773"/>
      <c r="EW100" s="773"/>
      <c r="EX100" s="773"/>
      <c r="EY100" s="773"/>
      <c r="EZ100" s="773"/>
      <c r="FA100" s="773"/>
      <c r="FB100" s="773"/>
      <c r="FC100" s="773"/>
      <c r="FD100" s="773"/>
      <c r="FE100" s="773"/>
      <c r="FF100" s="773"/>
      <c r="FG100" s="773"/>
      <c r="FH100" s="773"/>
      <c r="FI100" s="773"/>
      <c r="FJ100" s="773"/>
      <c r="FK100" s="773"/>
      <c r="FL100" s="773"/>
      <c r="FM100" s="773"/>
      <c r="FN100" s="773"/>
      <c r="FO100" s="773"/>
      <c r="FP100" s="773"/>
      <c r="FQ100" s="773"/>
      <c r="FR100" s="773"/>
      <c r="FS100" s="773"/>
      <c r="FT100" s="773"/>
      <c r="FU100" s="773"/>
      <c r="FV100" s="773"/>
      <c r="FW100" s="773"/>
      <c r="FX100" s="773"/>
      <c r="FY100" s="773"/>
      <c r="FZ100" s="773"/>
      <c r="GA100" s="773"/>
      <c r="GB100" s="773"/>
      <c r="GC100" s="773"/>
      <c r="GD100" s="773"/>
      <c r="GE100" s="773"/>
      <c r="GF100" s="773"/>
      <c r="GG100" s="773"/>
      <c r="GH100" s="773"/>
      <c r="GI100" s="773"/>
      <c r="GJ100" s="773"/>
      <c r="GK100" s="773"/>
      <c r="GL100" s="773"/>
      <c r="GM100" s="773"/>
      <c r="GN100" s="773"/>
      <c r="GO100" s="773"/>
      <c r="GP100" s="773"/>
      <c r="GQ100" s="773"/>
      <c r="GR100" s="773"/>
      <c r="GS100" s="773"/>
      <c r="GT100" s="773"/>
      <c r="GU100" s="773"/>
      <c r="GV100" s="773"/>
      <c r="GW100" s="773"/>
      <c r="GX100" s="773"/>
      <c r="GY100" s="773"/>
      <c r="GZ100" s="773"/>
    </row>
    <row r="101" spans="1:208" s="11" customFormat="1">
      <c r="A101" s="774"/>
      <c r="B101" s="3761" t="s">
        <v>1350</v>
      </c>
      <c r="C101" s="197">
        <v>203861</v>
      </c>
      <c r="D101" s="801" t="s">
        <v>3085</v>
      </c>
      <c r="E101" s="809">
        <f>IFERROR(VLOOKUP(C101,'AJE 12 - INC'!$D$168:$F$345,3,0),0)</f>
        <v>418059.22</v>
      </c>
      <c r="F101" s="1325">
        <f>SUMIF('AJE 12 - INC'!B:B,'New TB INC'!C101,'AJE 12 - INC'!D:D)</f>
        <v>0</v>
      </c>
      <c r="G101" s="1326"/>
      <c r="H101" s="1326"/>
      <c r="I101" s="1326"/>
      <c r="J101" s="796">
        <f t="shared" si="9"/>
        <v>418059.22</v>
      </c>
      <c r="K101" s="779"/>
      <c r="L101" s="434"/>
      <c r="M101" s="2679"/>
      <c r="N101" s="772"/>
      <c r="O101" s="772"/>
      <c r="P101" s="772"/>
      <c r="Q101" s="772"/>
      <c r="R101" s="772"/>
      <c r="S101" s="772"/>
      <c r="T101" s="773"/>
      <c r="AW101" s="2514"/>
      <c r="AX101" s="820"/>
      <c r="AY101" s="820"/>
      <c r="AZ101" s="820"/>
      <c r="BA101" s="30"/>
      <c r="BB101" s="30"/>
      <c r="BC101" s="2514"/>
      <c r="BD101" s="2514"/>
      <c r="BE101" s="2514"/>
      <c r="BF101" s="2514"/>
      <c r="BH101" s="2514"/>
      <c r="BI101" s="30"/>
      <c r="BJ101" s="30"/>
      <c r="BK101" s="30"/>
      <c r="BL101" s="30"/>
      <c r="BM101" s="30"/>
      <c r="BN101" s="30"/>
      <c r="BO101" s="209"/>
      <c r="BP101" s="209"/>
      <c r="BQ101" s="785"/>
      <c r="BR101" s="820"/>
      <c r="BS101" s="820"/>
      <c r="BT101" s="30"/>
      <c r="BU101" s="800"/>
      <c r="BV101" s="800"/>
      <c r="BW101" s="209"/>
      <c r="CA101" s="787"/>
      <c r="DB101" s="773"/>
      <c r="DC101" s="773"/>
      <c r="DD101" s="773"/>
      <c r="DE101" s="773"/>
      <c r="DF101" s="773"/>
      <c r="DG101" s="773"/>
      <c r="DH101" s="773"/>
      <c r="DI101" s="773"/>
      <c r="DJ101" s="773"/>
      <c r="DK101" s="773"/>
      <c r="DL101" s="773"/>
      <c r="DM101" s="773"/>
      <c r="DN101" s="773"/>
      <c r="DO101" s="773"/>
      <c r="DP101" s="773"/>
      <c r="DQ101" s="773"/>
      <c r="DR101" s="773"/>
      <c r="DS101" s="773"/>
      <c r="DT101" s="773"/>
      <c r="DU101" s="773"/>
      <c r="DV101" s="773"/>
      <c r="DW101" s="773"/>
      <c r="DX101" s="773"/>
      <c r="DY101" s="773"/>
      <c r="DZ101" s="773"/>
      <c r="EA101" s="773"/>
      <c r="EB101" s="773"/>
      <c r="EC101" s="773"/>
      <c r="ED101" s="773"/>
      <c r="EE101" s="773"/>
      <c r="EF101" s="773"/>
      <c r="EG101" s="773"/>
      <c r="EH101" s="773"/>
      <c r="EI101" s="773"/>
      <c r="EJ101" s="773"/>
      <c r="EK101" s="773"/>
      <c r="EL101" s="773"/>
      <c r="EM101" s="773"/>
      <c r="EN101" s="773"/>
      <c r="EO101" s="773"/>
      <c r="EP101" s="773"/>
      <c r="EQ101" s="773"/>
      <c r="ER101" s="773"/>
      <c r="ES101" s="773"/>
      <c r="ET101" s="773"/>
      <c r="EU101" s="773"/>
      <c r="EV101" s="773"/>
      <c r="EW101" s="773"/>
      <c r="EX101" s="773"/>
      <c r="EY101" s="773"/>
      <c r="EZ101" s="773"/>
      <c r="FA101" s="773"/>
      <c r="FB101" s="773"/>
      <c r="FC101" s="773"/>
      <c r="FD101" s="773"/>
      <c r="FE101" s="773"/>
      <c r="FF101" s="773"/>
      <c r="FG101" s="773"/>
      <c r="FH101" s="773"/>
      <c r="FI101" s="773"/>
      <c r="FJ101" s="773"/>
      <c r="FK101" s="773"/>
      <c r="FL101" s="773"/>
      <c r="FM101" s="773"/>
      <c r="FN101" s="773"/>
      <c r="FO101" s="773"/>
      <c r="FP101" s="773"/>
      <c r="FQ101" s="773"/>
      <c r="FR101" s="773"/>
      <c r="FS101" s="773"/>
      <c r="FT101" s="773"/>
      <c r="FU101" s="773"/>
      <c r="FV101" s="773"/>
      <c r="FW101" s="773"/>
      <c r="FX101" s="773"/>
      <c r="FY101" s="773"/>
      <c r="FZ101" s="773"/>
      <c r="GA101" s="773"/>
      <c r="GB101" s="773"/>
      <c r="GC101" s="773"/>
      <c r="GD101" s="773"/>
      <c r="GE101" s="773"/>
      <c r="GF101" s="773"/>
      <c r="GG101" s="773"/>
      <c r="GH101" s="773"/>
      <c r="GI101" s="773"/>
      <c r="GJ101" s="773"/>
      <c r="GK101" s="773"/>
      <c r="GL101" s="773"/>
      <c r="GM101" s="773"/>
      <c r="GN101" s="773"/>
      <c r="GO101" s="773"/>
      <c r="GP101" s="773"/>
      <c r="GQ101" s="773"/>
      <c r="GR101" s="773"/>
      <c r="GS101" s="773"/>
      <c r="GT101" s="773"/>
      <c r="GU101" s="773"/>
      <c r="GV101" s="773"/>
      <c r="GW101" s="773"/>
      <c r="GX101" s="773"/>
      <c r="GY101" s="773"/>
      <c r="GZ101" s="773"/>
    </row>
    <row r="102" spans="1:208" s="11" customFormat="1">
      <c r="A102" s="774"/>
      <c r="B102" s="3761" t="s">
        <v>1350</v>
      </c>
      <c r="C102" s="197">
        <v>206593</v>
      </c>
      <c r="D102" s="801" t="s">
        <v>3086</v>
      </c>
      <c r="E102" s="809">
        <f>IFERROR(VLOOKUP(C102,'AJE 12 - INC'!$D$168:$F$345,3,0),0)</f>
        <v>59823</v>
      </c>
      <c r="F102" s="1325">
        <f>SUMIF('AJE 12 - INC'!B:B,'New TB INC'!C102,'AJE 12 - INC'!D:D)</f>
        <v>0</v>
      </c>
      <c r="G102" s="1326"/>
      <c r="H102" s="1326"/>
      <c r="I102" s="1326"/>
      <c r="J102" s="796">
        <f t="shared" si="9"/>
        <v>59823</v>
      </c>
      <c r="K102" s="779"/>
      <c r="L102" s="434"/>
      <c r="M102" s="2679"/>
      <c r="N102" s="772"/>
      <c r="O102" s="772"/>
      <c r="P102" s="772"/>
      <c r="Q102" s="772"/>
      <c r="R102" s="772"/>
      <c r="S102" s="772"/>
      <c r="T102" s="773"/>
      <c r="AW102" s="2514"/>
      <c r="AX102" s="820"/>
      <c r="AY102" s="820"/>
      <c r="AZ102" s="820"/>
      <c r="BA102" s="30"/>
      <c r="BB102" s="30"/>
      <c r="BC102" s="2514"/>
      <c r="BD102" s="2514"/>
      <c r="BE102" s="2514"/>
      <c r="BF102" s="2514"/>
      <c r="BH102" s="2514"/>
      <c r="BI102" s="30"/>
      <c r="BJ102" s="30"/>
      <c r="BK102" s="30"/>
      <c r="BL102" s="30"/>
      <c r="BM102" s="30"/>
      <c r="BN102" s="30"/>
      <c r="BO102" s="209"/>
      <c r="BP102" s="209"/>
      <c r="BQ102" s="785"/>
      <c r="BR102" s="820"/>
      <c r="BS102" s="820"/>
      <c r="BT102" s="30"/>
      <c r="BU102" s="800"/>
      <c r="BV102" s="800"/>
      <c r="BW102" s="209"/>
      <c r="CA102" s="787"/>
      <c r="DB102" s="773"/>
      <c r="DC102" s="773"/>
      <c r="DD102" s="773"/>
      <c r="DE102" s="773"/>
      <c r="DF102" s="773"/>
      <c r="DG102" s="773"/>
      <c r="DH102" s="773"/>
      <c r="DI102" s="773"/>
      <c r="DJ102" s="773"/>
      <c r="DK102" s="773"/>
      <c r="DL102" s="773"/>
      <c r="DM102" s="773"/>
      <c r="DN102" s="773"/>
      <c r="DO102" s="773"/>
      <c r="DP102" s="773"/>
      <c r="DQ102" s="773"/>
      <c r="DR102" s="773"/>
      <c r="DS102" s="773"/>
      <c r="DT102" s="773"/>
      <c r="DU102" s="773"/>
      <c r="DV102" s="773"/>
      <c r="DW102" s="773"/>
      <c r="DX102" s="773"/>
      <c r="DY102" s="773"/>
      <c r="DZ102" s="773"/>
      <c r="EA102" s="773"/>
      <c r="EB102" s="773"/>
      <c r="EC102" s="773"/>
      <c r="ED102" s="773"/>
      <c r="EE102" s="773"/>
      <c r="EF102" s="773"/>
      <c r="EG102" s="773"/>
      <c r="EH102" s="773"/>
      <c r="EI102" s="773"/>
      <c r="EJ102" s="773"/>
      <c r="EK102" s="773"/>
      <c r="EL102" s="773"/>
      <c r="EM102" s="773"/>
      <c r="EN102" s="773"/>
      <c r="EO102" s="773"/>
      <c r="EP102" s="773"/>
      <c r="EQ102" s="773"/>
      <c r="ER102" s="773"/>
      <c r="ES102" s="773"/>
      <c r="ET102" s="773"/>
      <c r="EU102" s="773"/>
      <c r="EV102" s="773"/>
      <c r="EW102" s="773"/>
      <c r="EX102" s="773"/>
      <c r="EY102" s="773"/>
      <c r="EZ102" s="773"/>
      <c r="FA102" s="773"/>
      <c r="FB102" s="773"/>
      <c r="FC102" s="773"/>
      <c r="FD102" s="773"/>
      <c r="FE102" s="773"/>
      <c r="FF102" s="773"/>
      <c r="FG102" s="773"/>
      <c r="FH102" s="773"/>
      <c r="FI102" s="773"/>
      <c r="FJ102" s="773"/>
      <c r="FK102" s="773"/>
      <c r="FL102" s="773"/>
      <c r="FM102" s="773"/>
      <c r="FN102" s="773"/>
      <c r="FO102" s="773"/>
      <c r="FP102" s="773"/>
      <c r="FQ102" s="773"/>
      <c r="FR102" s="773"/>
      <c r="FS102" s="773"/>
      <c r="FT102" s="773"/>
      <c r="FU102" s="773"/>
      <c r="FV102" s="773"/>
      <c r="FW102" s="773"/>
      <c r="FX102" s="773"/>
      <c r="FY102" s="773"/>
      <c r="FZ102" s="773"/>
      <c r="GA102" s="773"/>
      <c r="GB102" s="773"/>
      <c r="GC102" s="773"/>
      <c r="GD102" s="773"/>
      <c r="GE102" s="773"/>
      <c r="GF102" s="773"/>
      <c r="GG102" s="773"/>
      <c r="GH102" s="773"/>
      <c r="GI102" s="773"/>
      <c r="GJ102" s="773"/>
      <c r="GK102" s="773"/>
      <c r="GL102" s="773"/>
      <c r="GM102" s="773"/>
      <c r="GN102" s="773"/>
      <c r="GO102" s="773"/>
      <c r="GP102" s="773"/>
      <c r="GQ102" s="773"/>
      <c r="GR102" s="773"/>
      <c r="GS102" s="773"/>
      <c r="GT102" s="773"/>
      <c r="GU102" s="773"/>
      <c r="GV102" s="773"/>
      <c r="GW102" s="773"/>
      <c r="GX102" s="773"/>
      <c r="GY102" s="773"/>
      <c r="GZ102" s="773"/>
    </row>
    <row r="103" spans="1:208" s="11" customFormat="1">
      <c r="A103" s="774"/>
      <c r="B103" s="3761" t="s">
        <v>1350</v>
      </c>
      <c r="C103" s="197">
        <v>206962</v>
      </c>
      <c r="D103" s="801" t="s">
        <v>3087</v>
      </c>
      <c r="E103" s="809">
        <f>IFERROR(VLOOKUP(C103,'AJE 12 - INC'!$D$168:$F$345,3,0),0)</f>
        <v>0</v>
      </c>
      <c r="F103" s="1325">
        <f>SUMIF('AJE 12 - INC'!B:B,'New TB INC'!C103,'AJE 12 - INC'!D:D)</f>
        <v>0</v>
      </c>
      <c r="G103" s="1326"/>
      <c r="H103" s="1326"/>
      <c r="I103" s="1326"/>
      <c r="J103" s="796">
        <f t="shared" si="9"/>
        <v>0</v>
      </c>
      <c r="K103" s="779"/>
      <c r="L103" s="434"/>
      <c r="M103" s="3393"/>
      <c r="N103" s="772"/>
      <c r="O103" s="772"/>
      <c r="P103" s="772"/>
      <c r="Q103" s="772"/>
      <c r="R103" s="772"/>
      <c r="S103" s="772"/>
      <c r="T103" s="773"/>
      <c r="AW103" s="2514"/>
      <c r="AX103" s="820"/>
      <c r="AY103" s="820"/>
      <c r="AZ103" s="820"/>
      <c r="BA103" s="30"/>
      <c r="BB103" s="30"/>
      <c r="BC103" s="2514"/>
      <c r="BD103" s="2514"/>
      <c r="BE103" s="2514"/>
      <c r="BF103" s="2514"/>
      <c r="BH103" s="2514"/>
      <c r="BI103" s="30"/>
      <c r="BJ103" s="30"/>
      <c r="BK103" s="30"/>
      <c r="BL103" s="30"/>
      <c r="BM103" s="30"/>
      <c r="BN103" s="30"/>
      <c r="BO103" s="209"/>
      <c r="BP103" s="209"/>
      <c r="BQ103" s="785"/>
      <c r="BR103" s="820"/>
      <c r="BS103" s="820"/>
      <c r="BT103" s="30"/>
      <c r="BU103" s="800"/>
      <c r="BV103" s="800"/>
      <c r="BW103" s="209"/>
      <c r="CA103" s="787"/>
      <c r="DB103" s="773"/>
      <c r="DC103" s="773"/>
      <c r="DD103" s="773"/>
      <c r="DE103" s="773"/>
      <c r="DF103" s="773"/>
      <c r="DG103" s="773"/>
      <c r="DH103" s="773"/>
      <c r="DI103" s="773"/>
      <c r="DJ103" s="773"/>
      <c r="DK103" s="773"/>
      <c r="DL103" s="773"/>
      <c r="DM103" s="773"/>
      <c r="DN103" s="773"/>
      <c r="DO103" s="773"/>
      <c r="DP103" s="773"/>
      <c r="DQ103" s="773"/>
      <c r="DR103" s="773"/>
      <c r="DS103" s="773"/>
      <c r="DT103" s="773"/>
      <c r="DU103" s="773"/>
      <c r="DV103" s="773"/>
      <c r="DW103" s="773"/>
      <c r="DX103" s="773"/>
      <c r="DY103" s="773"/>
      <c r="DZ103" s="773"/>
      <c r="EA103" s="773"/>
      <c r="EB103" s="773"/>
      <c r="EC103" s="773"/>
      <c r="ED103" s="773"/>
      <c r="EE103" s="773"/>
      <c r="EF103" s="773"/>
      <c r="EG103" s="773"/>
      <c r="EH103" s="773"/>
      <c r="EI103" s="773"/>
      <c r="EJ103" s="773"/>
      <c r="EK103" s="773"/>
      <c r="EL103" s="773"/>
      <c r="EM103" s="773"/>
      <c r="EN103" s="773"/>
      <c r="EO103" s="773"/>
      <c r="EP103" s="773"/>
      <c r="EQ103" s="773"/>
      <c r="ER103" s="773"/>
      <c r="ES103" s="773"/>
      <c r="ET103" s="773"/>
      <c r="EU103" s="773"/>
      <c r="EV103" s="773"/>
      <c r="EW103" s="773"/>
      <c r="EX103" s="773"/>
      <c r="EY103" s="773"/>
      <c r="EZ103" s="773"/>
      <c r="FA103" s="773"/>
      <c r="FB103" s="773"/>
      <c r="FC103" s="773"/>
      <c r="FD103" s="773"/>
      <c r="FE103" s="773"/>
      <c r="FF103" s="773"/>
      <c r="FG103" s="773"/>
      <c r="FH103" s="773"/>
      <c r="FI103" s="773"/>
      <c r="FJ103" s="773"/>
      <c r="FK103" s="773"/>
      <c r="FL103" s="773"/>
      <c r="FM103" s="773"/>
      <c r="FN103" s="773"/>
      <c r="FO103" s="773"/>
      <c r="FP103" s="773"/>
      <c r="FQ103" s="773"/>
      <c r="FR103" s="773"/>
      <c r="FS103" s="773"/>
      <c r="FT103" s="773"/>
      <c r="FU103" s="773"/>
      <c r="FV103" s="773"/>
      <c r="FW103" s="773"/>
      <c r="FX103" s="773"/>
      <c r="FY103" s="773"/>
      <c r="FZ103" s="773"/>
      <c r="GA103" s="773"/>
      <c r="GB103" s="773"/>
      <c r="GC103" s="773"/>
      <c r="GD103" s="773"/>
      <c r="GE103" s="773"/>
      <c r="GF103" s="773"/>
      <c r="GG103" s="773"/>
      <c r="GH103" s="773"/>
      <c r="GI103" s="773"/>
      <c r="GJ103" s="773"/>
      <c r="GK103" s="773"/>
      <c r="GL103" s="773"/>
      <c r="GM103" s="773"/>
      <c r="GN103" s="773"/>
      <c r="GO103" s="773"/>
      <c r="GP103" s="773"/>
      <c r="GQ103" s="773"/>
      <c r="GR103" s="773"/>
      <c r="GS103" s="773"/>
      <c r="GT103" s="773"/>
      <c r="GU103" s="773"/>
      <c r="GV103" s="773"/>
      <c r="GW103" s="773"/>
      <c r="GX103" s="773"/>
      <c r="GY103" s="773"/>
      <c r="GZ103" s="773"/>
    </row>
    <row r="104" spans="1:208" s="11" customFormat="1">
      <c r="A104" s="774"/>
      <c r="B104" s="3761" t="s">
        <v>1350</v>
      </c>
      <c r="C104" s="197">
        <v>208791</v>
      </c>
      <c r="D104" s="801" t="s">
        <v>3088</v>
      </c>
      <c r="E104" s="809">
        <f>IFERROR(VLOOKUP(C104,'AJE 12 - INC'!$D$168:$F$345,3,0),0)</f>
        <v>3180.49</v>
      </c>
      <c r="F104" s="1325">
        <f>SUMIF('AJE 12 - INC'!B:B,'New TB INC'!C104,'AJE 12 - INC'!D:D)</f>
        <v>0</v>
      </c>
      <c r="G104" s="1326"/>
      <c r="H104" s="1326"/>
      <c r="I104" s="1326"/>
      <c r="J104" s="796">
        <f t="shared" si="9"/>
        <v>3180.49</v>
      </c>
      <c r="K104" s="779"/>
      <c r="L104" s="434"/>
      <c r="M104" s="2679"/>
      <c r="N104" s="772"/>
      <c r="O104" s="772"/>
      <c r="P104" s="772"/>
      <c r="Q104" s="772"/>
      <c r="R104" s="772"/>
      <c r="S104" s="772"/>
      <c r="T104" s="773"/>
      <c r="AW104" s="2514"/>
      <c r="AX104" s="820"/>
      <c r="AY104" s="820"/>
      <c r="AZ104" s="820"/>
      <c r="BA104" s="30"/>
      <c r="BB104" s="30"/>
      <c r="BC104" s="2514"/>
      <c r="BD104" s="2514"/>
      <c r="BE104" s="2514"/>
      <c r="BF104" s="2514"/>
      <c r="BH104" s="2514"/>
      <c r="BI104" s="30"/>
      <c r="BJ104" s="30"/>
      <c r="BK104" s="30"/>
      <c r="BL104" s="30"/>
      <c r="BM104" s="30"/>
      <c r="BN104" s="30"/>
      <c r="BO104" s="209"/>
      <c r="BP104" s="209"/>
      <c r="BQ104" s="785"/>
      <c r="BR104" s="820"/>
      <c r="BS104" s="820"/>
      <c r="BT104" s="30"/>
      <c r="BU104" s="800"/>
      <c r="BV104" s="800"/>
      <c r="BW104" s="209"/>
      <c r="CA104" s="787"/>
      <c r="DB104" s="773"/>
      <c r="DC104" s="773"/>
      <c r="DD104" s="773"/>
      <c r="DE104" s="773"/>
      <c r="DF104" s="773"/>
      <c r="DG104" s="773"/>
      <c r="DH104" s="773"/>
      <c r="DI104" s="773"/>
      <c r="DJ104" s="773"/>
      <c r="DK104" s="773"/>
      <c r="DL104" s="773"/>
      <c r="DM104" s="773"/>
      <c r="DN104" s="773"/>
      <c r="DO104" s="773"/>
      <c r="DP104" s="773"/>
      <c r="DQ104" s="773"/>
      <c r="DR104" s="773"/>
      <c r="DS104" s="773"/>
      <c r="DT104" s="773"/>
      <c r="DU104" s="773"/>
      <c r="DV104" s="773"/>
      <c r="DW104" s="773"/>
      <c r="DX104" s="773"/>
      <c r="DY104" s="773"/>
      <c r="DZ104" s="773"/>
      <c r="EA104" s="773"/>
      <c r="EB104" s="773"/>
      <c r="EC104" s="773"/>
      <c r="ED104" s="773"/>
      <c r="EE104" s="773"/>
      <c r="EF104" s="773"/>
      <c r="EG104" s="773"/>
      <c r="EH104" s="773"/>
      <c r="EI104" s="773"/>
      <c r="EJ104" s="773"/>
      <c r="EK104" s="773"/>
      <c r="EL104" s="773"/>
      <c r="EM104" s="773"/>
      <c r="EN104" s="773"/>
      <c r="EO104" s="773"/>
      <c r="EP104" s="773"/>
      <c r="EQ104" s="773"/>
      <c r="ER104" s="773"/>
      <c r="ES104" s="773"/>
      <c r="ET104" s="773"/>
      <c r="EU104" s="773"/>
      <c r="EV104" s="773"/>
      <c r="EW104" s="773"/>
      <c r="EX104" s="773"/>
      <c r="EY104" s="773"/>
      <c r="EZ104" s="773"/>
      <c r="FA104" s="773"/>
      <c r="FB104" s="773"/>
      <c r="FC104" s="773"/>
      <c r="FD104" s="773"/>
      <c r="FE104" s="773"/>
      <c r="FF104" s="773"/>
      <c r="FG104" s="773"/>
      <c r="FH104" s="773"/>
      <c r="FI104" s="773"/>
      <c r="FJ104" s="773"/>
      <c r="FK104" s="773"/>
      <c r="FL104" s="773"/>
      <c r="FM104" s="773"/>
      <c r="FN104" s="773"/>
      <c r="FO104" s="773"/>
      <c r="FP104" s="773"/>
      <c r="FQ104" s="773"/>
      <c r="FR104" s="773"/>
      <c r="FS104" s="773"/>
      <c r="FT104" s="773"/>
      <c r="FU104" s="773"/>
      <c r="FV104" s="773"/>
      <c r="FW104" s="773"/>
      <c r="FX104" s="773"/>
      <c r="FY104" s="773"/>
      <c r="FZ104" s="773"/>
      <c r="GA104" s="773"/>
      <c r="GB104" s="773"/>
      <c r="GC104" s="773"/>
      <c r="GD104" s="773"/>
      <c r="GE104" s="773"/>
      <c r="GF104" s="773"/>
      <c r="GG104" s="773"/>
      <c r="GH104" s="773"/>
      <c r="GI104" s="773"/>
      <c r="GJ104" s="773"/>
      <c r="GK104" s="773"/>
      <c r="GL104" s="773"/>
      <c r="GM104" s="773"/>
      <c r="GN104" s="773"/>
      <c r="GO104" s="773"/>
      <c r="GP104" s="773"/>
      <c r="GQ104" s="773"/>
      <c r="GR104" s="773"/>
      <c r="GS104" s="773"/>
      <c r="GT104" s="773"/>
      <c r="GU104" s="773"/>
      <c r="GV104" s="773"/>
      <c r="GW104" s="773"/>
      <c r="GX104" s="773"/>
      <c r="GY104" s="773"/>
      <c r="GZ104" s="773"/>
    </row>
    <row r="105" spans="1:208" s="11" customFormat="1">
      <c r="A105" s="774"/>
      <c r="B105" s="3761" t="s">
        <v>1350</v>
      </c>
      <c r="C105" s="197">
        <v>213789</v>
      </c>
      <c r="D105" s="801" t="s">
        <v>3089</v>
      </c>
      <c r="E105" s="809">
        <f>IFERROR(VLOOKUP(C105,'AJE 12 - INC'!$D$168:$F$345,3,0),0)</f>
        <v>0</v>
      </c>
      <c r="F105" s="1325">
        <f>SUMIF('AJE 12 - INC'!B:B,'New TB INC'!C105,'AJE 12 - INC'!D:D)</f>
        <v>0</v>
      </c>
      <c r="G105" s="1326"/>
      <c r="H105" s="1326"/>
      <c r="I105" s="1326"/>
      <c r="J105" s="796">
        <f t="shared" si="9"/>
        <v>0</v>
      </c>
      <c r="K105" s="779"/>
      <c r="L105" s="434"/>
      <c r="M105" s="2679"/>
      <c r="N105" s="772"/>
      <c r="O105" s="772"/>
      <c r="P105" s="772"/>
      <c r="Q105" s="772"/>
      <c r="R105" s="772"/>
      <c r="S105" s="772"/>
      <c r="T105" s="773"/>
      <c r="AW105" s="2514"/>
      <c r="AX105" s="820"/>
      <c r="AY105" s="820"/>
      <c r="AZ105" s="820"/>
      <c r="BA105" s="30"/>
      <c r="BB105" s="30"/>
      <c r="BC105" s="2514"/>
      <c r="BD105" s="2514"/>
      <c r="BE105" s="2514"/>
      <c r="BF105" s="2514"/>
      <c r="BH105" s="2514"/>
      <c r="BI105" s="30"/>
      <c r="BJ105" s="30"/>
      <c r="BK105" s="30"/>
      <c r="BL105" s="30"/>
      <c r="BM105" s="30"/>
      <c r="BN105" s="30"/>
      <c r="BO105" s="209"/>
      <c r="BP105" s="209"/>
      <c r="BQ105" s="785"/>
      <c r="BR105" s="820"/>
      <c r="BS105" s="820"/>
      <c r="BT105" s="30"/>
      <c r="BU105" s="800"/>
      <c r="BV105" s="800"/>
      <c r="BW105" s="209"/>
      <c r="CA105" s="787"/>
      <c r="DB105" s="773"/>
      <c r="DC105" s="773"/>
      <c r="DD105" s="773"/>
      <c r="DE105" s="773"/>
      <c r="DF105" s="773"/>
      <c r="DG105" s="773"/>
      <c r="DH105" s="773"/>
      <c r="DI105" s="773"/>
      <c r="DJ105" s="773"/>
      <c r="DK105" s="773"/>
      <c r="DL105" s="773"/>
      <c r="DM105" s="773"/>
      <c r="DN105" s="773"/>
      <c r="DO105" s="773"/>
      <c r="DP105" s="773"/>
      <c r="DQ105" s="773"/>
      <c r="DR105" s="773"/>
      <c r="DS105" s="773"/>
      <c r="DT105" s="773"/>
      <c r="DU105" s="773"/>
      <c r="DV105" s="773"/>
      <c r="DW105" s="773"/>
      <c r="DX105" s="773"/>
      <c r="DY105" s="773"/>
      <c r="DZ105" s="773"/>
      <c r="EA105" s="773"/>
      <c r="EB105" s="773"/>
      <c r="EC105" s="773"/>
      <c r="ED105" s="773"/>
      <c r="EE105" s="773"/>
      <c r="EF105" s="773"/>
      <c r="EG105" s="773"/>
      <c r="EH105" s="773"/>
      <c r="EI105" s="773"/>
      <c r="EJ105" s="773"/>
      <c r="EK105" s="773"/>
      <c r="EL105" s="773"/>
      <c r="EM105" s="773"/>
      <c r="EN105" s="773"/>
      <c r="EO105" s="773"/>
      <c r="EP105" s="773"/>
      <c r="EQ105" s="773"/>
      <c r="ER105" s="773"/>
      <c r="ES105" s="773"/>
      <c r="ET105" s="773"/>
      <c r="EU105" s="773"/>
      <c r="EV105" s="773"/>
      <c r="EW105" s="773"/>
      <c r="EX105" s="773"/>
      <c r="EY105" s="773"/>
      <c r="EZ105" s="773"/>
      <c r="FA105" s="773"/>
      <c r="FB105" s="773"/>
      <c r="FC105" s="773"/>
      <c r="FD105" s="773"/>
      <c r="FE105" s="773"/>
      <c r="FF105" s="773"/>
      <c r="FG105" s="773"/>
      <c r="FH105" s="773"/>
      <c r="FI105" s="773"/>
      <c r="FJ105" s="773"/>
      <c r="FK105" s="773"/>
      <c r="FL105" s="773"/>
      <c r="FM105" s="773"/>
      <c r="FN105" s="773"/>
      <c r="FO105" s="773"/>
      <c r="FP105" s="773"/>
      <c r="FQ105" s="773"/>
      <c r="FR105" s="773"/>
      <c r="FS105" s="773"/>
      <c r="FT105" s="773"/>
      <c r="FU105" s="773"/>
      <c r="FV105" s="773"/>
      <c r="FW105" s="773"/>
      <c r="FX105" s="773"/>
      <c r="FY105" s="773"/>
      <c r="FZ105" s="773"/>
      <c r="GA105" s="773"/>
      <c r="GB105" s="773"/>
      <c r="GC105" s="773"/>
      <c r="GD105" s="773"/>
      <c r="GE105" s="773"/>
      <c r="GF105" s="773"/>
      <c r="GG105" s="773"/>
      <c r="GH105" s="773"/>
      <c r="GI105" s="773"/>
      <c r="GJ105" s="773"/>
      <c r="GK105" s="773"/>
      <c r="GL105" s="773"/>
      <c r="GM105" s="773"/>
      <c r="GN105" s="773"/>
      <c r="GO105" s="773"/>
      <c r="GP105" s="773"/>
      <c r="GQ105" s="773"/>
      <c r="GR105" s="773"/>
      <c r="GS105" s="773"/>
      <c r="GT105" s="773"/>
      <c r="GU105" s="773"/>
      <c r="GV105" s="773"/>
      <c r="GW105" s="773"/>
      <c r="GX105" s="773"/>
      <c r="GY105" s="773"/>
      <c r="GZ105" s="773"/>
    </row>
    <row r="106" spans="1:208" s="11" customFormat="1">
      <c r="A106" s="774"/>
      <c r="B106" s="3761" t="s">
        <v>1350</v>
      </c>
      <c r="C106" s="197">
        <v>215664</v>
      </c>
      <c r="D106" s="801" t="s">
        <v>3090</v>
      </c>
      <c r="E106" s="809">
        <f>IFERROR(VLOOKUP(C106,'AJE 12 - INC'!$D$168:$F$345,3,0),0)</f>
        <v>0</v>
      </c>
      <c r="F106" s="1325">
        <f>SUMIF('AJE 12 - INC'!B:B,'New TB INC'!C106,'AJE 12 - INC'!D:D)</f>
        <v>0</v>
      </c>
      <c r="G106" s="1326"/>
      <c r="H106" s="1326"/>
      <c r="I106" s="1326"/>
      <c r="J106" s="796">
        <f t="shared" si="9"/>
        <v>0</v>
      </c>
      <c r="K106" s="779"/>
      <c r="L106" s="434"/>
      <c r="M106" s="2679"/>
      <c r="N106" s="772"/>
      <c r="O106" s="772"/>
      <c r="P106" s="772"/>
      <c r="Q106" s="772"/>
      <c r="R106" s="772"/>
      <c r="S106" s="772"/>
      <c r="T106" s="773"/>
      <c r="AW106" s="2514"/>
      <c r="AX106" s="820"/>
      <c r="AY106" s="820"/>
      <c r="AZ106" s="820"/>
      <c r="BA106" s="30"/>
      <c r="BB106" s="30"/>
      <c r="BC106" s="2514"/>
      <c r="BD106" s="2514"/>
      <c r="BE106" s="2514"/>
      <c r="BF106" s="2514"/>
      <c r="BH106" s="2514"/>
      <c r="BI106" s="30"/>
      <c r="BJ106" s="30"/>
      <c r="BK106" s="30"/>
      <c r="BL106" s="30"/>
      <c r="BM106" s="30"/>
      <c r="BN106" s="30"/>
      <c r="BO106" s="209"/>
      <c r="BP106" s="209"/>
      <c r="BQ106" s="785"/>
      <c r="BR106" s="820"/>
      <c r="BS106" s="820"/>
      <c r="BT106" s="30"/>
      <c r="BU106" s="800"/>
      <c r="BV106" s="800"/>
      <c r="BW106" s="209"/>
      <c r="CA106" s="787"/>
      <c r="DB106" s="773"/>
      <c r="DC106" s="773"/>
      <c r="DD106" s="773"/>
      <c r="DE106" s="773"/>
      <c r="DF106" s="773"/>
      <c r="DG106" s="773"/>
      <c r="DH106" s="773"/>
      <c r="DI106" s="773"/>
      <c r="DJ106" s="773"/>
      <c r="DK106" s="773"/>
      <c r="DL106" s="773"/>
      <c r="DM106" s="773"/>
      <c r="DN106" s="773"/>
      <c r="DO106" s="773"/>
      <c r="DP106" s="773"/>
      <c r="DQ106" s="773"/>
      <c r="DR106" s="773"/>
      <c r="DS106" s="773"/>
      <c r="DT106" s="773"/>
      <c r="DU106" s="773"/>
      <c r="DV106" s="773"/>
      <c r="DW106" s="773"/>
      <c r="DX106" s="773"/>
      <c r="DY106" s="773"/>
      <c r="DZ106" s="773"/>
      <c r="EA106" s="773"/>
      <c r="EB106" s="773"/>
      <c r="EC106" s="773"/>
      <c r="ED106" s="773"/>
      <c r="EE106" s="773"/>
      <c r="EF106" s="773"/>
      <c r="EG106" s="773"/>
      <c r="EH106" s="773"/>
      <c r="EI106" s="773"/>
      <c r="EJ106" s="773"/>
      <c r="EK106" s="773"/>
      <c r="EL106" s="773"/>
      <c r="EM106" s="773"/>
      <c r="EN106" s="773"/>
      <c r="EO106" s="773"/>
      <c r="EP106" s="773"/>
      <c r="EQ106" s="773"/>
      <c r="ER106" s="773"/>
      <c r="ES106" s="773"/>
      <c r="ET106" s="773"/>
      <c r="EU106" s="773"/>
      <c r="EV106" s="773"/>
      <c r="EW106" s="773"/>
      <c r="EX106" s="773"/>
      <c r="EY106" s="773"/>
      <c r="EZ106" s="773"/>
      <c r="FA106" s="773"/>
      <c r="FB106" s="773"/>
      <c r="FC106" s="773"/>
      <c r="FD106" s="773"/>
      <c r="FE106" s="773"/>
      <c r="FF106" s="773"/>
      <c r="FG106" s="773"/>
      <c r="FH106" s="773"/>
      <c r="FI106" s="773"/>
      <c r="FJ106" s="773"/>
      <c r="FK106" s="773"/>
      <c r="FL106" s="773"/>
      <c r="FM106" s="773"/>
      <c r="FN106" s="773"/>
      <c r="FO106" s="773"/>
      <c r="FP106" s="773"/>
      <c r="FQ106" s="773"/>
      <c r="FR106" s="773"/>
      <c r="FS106" s="773"/>
      <c r="FT106" s="773"/>
      <c r="FU106" s="773"/>
      <c r="FV106" s="773"/>
      <c r="FW106" s="773"/>
      <c r="FX106" s="773"/>
      <c r="FY106" s="773"/>
      <c r="FZ106" s="773"/>
      <c r="GA106" s="773"/>
      <c r="GB106" s="773"/>
      <c r="GC106" s="773"/>
      <c r="GD106" s="773"/>
      <c r="GE106" s="773"/>
      <c r="GF106" s="773"/>
      <c r="GG106" s="773"/>
      <c r="GH106" s="773"/>
      <c r="GI106" s="773"/>
      <c r="GJ106" s="773"/>
      <c r="GK106" s="773"/>
      <c r="GL106" s="773"/>
      <c r="GM106" s="773"/>
      <c r="GN106" s="773"/>
      <c r="GO106" s="773"/>
      <c r="GP106" s="773"/>
      <c r="GQ106" s="773"/>
      <c r="GR106" s="773"/>
      <c r="GS106" s="773"/>
      <c r="GT106" s="773"/>
      <c r="GU106" s="773"/>
      <c r="GV106" s="773"/>
      <c r="GW106" s="773"/>
      <c r="GX106" s="773"/>
      <c r="GY106" s="773"/>
      <c r="GZ106" s="773"/>
    </row>
    <row r="107" spans="1:208" s="11" customFormat="1">
      <c r="A107" s="774"/>
      <c r="B107" s="3761" t="s">
        <v>1350</v>
      </c>
      <c r="C107" s="197">
        <v>217660</v>
      </c>
      <c r="D107" s="801" t="s">
        <v>3091</v>
      </c>
      <c r="E107" s="809">
        <f>IFERROR(VLOOKUP(C107,'AJE 12 - INC'!$D$168:$F$345,3,0),0)</f>
        <v>0</v>
      </c>
      <c r="F107" s="1325">
        <f>SUMIF('AJE 12 - INC'!B:B,'New TB INC'!C107,'AJE 12 - INC'!D:D)</f>
        <v>0</v>
      </c>
      <c r="G107" s="1326"/>
      <c r="H107" s="1326"/>
      <c r="I107" s="1326"/>
      <c r="J107" s="796">
        <f t="shared" si="9"/>
        <v>0</v>
      </c>
      <c r="K107" s="779"/>
      <c r="L107" s="434"/>
      <c r="M107" s="2679"/>
      <c r="N107" s="772"/>
      <c r="O107" s="772"/>
      <c r="P107" s="772"/>
      <c r="Q107" s="772"/>
      <c r="R107" s="772"/>
      <c r="S107" s="772"/>
      <c r="T107" s="773"/>
      <c r="AW107" s="2514"/>
      <c r="AX107" s="820"/>
      <c r="AY107" s="820"/>
      <c r="AZ107" s="820"/>
      <c r="BA107" s="30"/>
      <c r="BB107" s="30"/>
      <c r="BC107" s="2514"/>
      <c r="BD107" s="2514"/>
      <c r="BE107" s="2514"/>
      <c r="BF107" s="2514"/>
      <c r="BH107" s="2514"/>
      <c r="BI107" s="30"/>
      <c r="BJ107" s="30"/>
      <c r="BK107" s="30"/>
      <c r="BL107" s="30"/>
      <c r="BM107" s="30"/>
      <c r="BN107" s="30"/>
      <c r="BO107" s="209"/>
      <c r="BP107" s="209"/>
      <c r="BQ107" s="785"/>
      <c r="BR107" s="820"/>
      <c r="BS107" s="820"/>
      <c r="BT107" s="30"/>
      <c r="BU107" s="800"/>
      <c r="BV107" s="800"/>
      <c r="BW107" s="209"/>
      <c r="CA107" s="787"/>
      <c r="DB107" s="773"/>
      <c r="DC107" s="773"/>
      <c r="DD107" s="773"/>
      <c r="DE107" s="773"/>
      <c r="DF107" s="773"/>
      <c r="DG107" s="773"/>
      <c r="DH107" s="773"/>
      <c r="DI107" s="773"/>
      <c r="DJ107" s="773"/>
      <c r="DK107" s="773"/>
      <c r="DL107" s="773"/>
      <c r="DM107" s="773"/>
      <c r="DN107" s="773"/>
      <c r="DO107" s="773"/>
      <c r="DP107" s="773"/>
      <c r="DQ107" s="773"/>
      <c r="DR107" s="773"/>
      <c r="DS107" s="773"/>
      <c r="DT107" s="773"/>
      <c r="DU107" s="773"/>
      <c r="DV107" s="773"/>
      <c r="DW107" s="773"/>
      <c r="DX107" s="773"/>
      <c r="DY107" s="773"/>
      <c r="DZ107" s="773"/>
      <c r="EA107" s="773"/>
      <c r="EB107" s="773"/>
      <c r="EC107" s="773"/>
      <c r="ED107" s="773"/>
      <c r="EE107" s="773"/>
      <c r="EF107" s="773"/>
      <c r="EG107" s="773"/>
      <c r="EH107" s="773"/>
      <c r="EI107" s="773"/>
      <c r="EJ107" s="773"/>
      <c r="EK107" s="773"/>
      <c r="EL107" s="773"/>
      <c r="EM107" s="773"/>
      <c r="EN107" s="773"/>
      <c r="EO107" s="773"/>
      <c r="EP107" s="773"/>
      <c r="EQ107" s="773"/>
      <c r="ER107" s="773"/>
      <c r="ES107" s="773"/>
      <c r="ET107" s="773"/>
      <c r="EU107" s="773"/>
      <c r="EV107" s="773"/>
      <c r="EW107" s="773"/>
      <c r="EX107" s="773"/>
      <c r="EY107" s="773"/>
      <c r="EZ107" s="773"/>
      <c r="FA107" s="773"/>
      <c r="FB107" s="773"/>
      <c r="FC107" s="773"/>
      <c r="FD107" s="773"/>
      <c r="FE107" s="773"/>
      <c r="FF107" s="773"/>
      <c r="FG107" s="773"/>
      <c r="FH107" s="773"/>
      <c r="FI107" s="773"/>
      <c r="FJ107" s="773"/>
      <c r="FK107" s="773"/>
      <c r="FL107" s="773"/>
      <c r="FM107" s="773"/>
      <c r="FN107" s="773"/>
      <c r="FO107" s="773"/>
      <c r="FP107" s="773"/>
      <c r="FQ107" s="773"/>
      <c r="FR107" s="773"/>
      <c r="FS107" s="773"/>
      <c r="FT107" s="773"/>
      <c r="FU107" s="773"/>
      <c r="FV107" s="773"/>
      <c r="FW107" s="773"/>
      <c r="FX107" s="773"/>
      <c r="FY107" s="773"/>
      <c r="FZ107" s="773"/>
      <c r="GA107" s="773"/>
      <c r="GB107" s="773"/>
      <c r="GC107" s="773"/>
      <c r="GD107" s="773"/>
      <c r="GE107" s="773"/>
      <c r="GF107" s="773"/>
      <c r="GG107" s="773"/>
      <c r="GH107" s="773"/>
      <c r="GI107" s="773"/>
      <c r="GJ107" s="773"/>
      <c r="GK107" s="773"/>
      <c r="GL107" s="773"/>
      <c r="GM107" s="773"/>
      <c r="GN107" s="773"/>
      <c r="GO107" s="773"/>
      <c r="GP107" s="773"/>
      <c r="GQ107" s="773"/>
      <c r="GR107" s="773"/>
      <c r="GS107" s="773"/>
      <c r="GT107" s="773"/>
      <c r="GU107" s="773"/>
      <c r="GV107" s="773"/>
      <c r="GW107" s="773"/>
      <c r="GX107" s="773"/>
      <c r="GY107" s="773"/>
      <c r="GZ107" s="773"/>
    </row>
    <row r="108" spans="1:208" s="11" customFormat="1">
      <c r="A108" s="774"/>
      <c r="B108" s="3761" t="s">
        <v>1350</v>
      </c>
      <c r="C108" s="197">
        <v>220626</v>
      </c>
      <c r="D108" s="801" t="s">
        <v>3092</v>
      </c>
      <c r="E108" s="809">
        <f>IFERROR(VLOOKUP(C108,'AJE 12 - INC'!$D$168:$F$345,3,0),0)</f>
        <v>580584.25</v>
      </c>
      <c r="F108" s="1325">
        <f>SUMIF('AJE 12 - INC'!B:B,'New TB INC'!C108,'AJE 12 - INC'!D:D)</f>
        <v>0</v>
      </c>
      <c r="G108" s="1326"/>
      <c r="H108" s="1326"/>
      <c r="I108" s="1326"/>
      <c r="J108" s="796">
        <f t="shared" si="9"/>
        <v>580584.25</v>
      </c>
      <c r="K108" s="779"/>
      <c r="L108" s="434"/>
      <c r="M108" s="2679" t="s">
        <v>4721</v>
      </c>
      <c r="N108" s="772"/>
      <c r="O108" s="772"/>
      <c r="P108" s="772"/>
      <c r="Q108" s="772"/>
      <c r="R108" s="772"/>
      <c r="S108" s="772"/>
      <c r="T108" s="773"/>
      <c r="AW108" s="2514"/>
      <c r="AX108" s="820"/>
      <c r="AY108" s="820"/>
      <c r="AZ108" s="820"/>
      <c r="BA108" s="30"/>
      <c r="BB108" s="30"/>
      <c r="BC108" s="2514"/>
      <c r="BD108" s="2514"/>
      <c r="BE108" s="2514"/>
      <c r="BF108" s="2514"/>
      <c r="BH108" s="2514"/>
      <c r="BI108" s="30"/>
      <c r="BJ108" s="30"/>
      <c r="BK108" s="30"/>
      <c r="BL108" s="30"/>
      <c r="BM108" s="30"/>
      <c r="BN108" s="30"/>
      <c r="BO108" s="209"/>
      <c r="BP108" s="209"/>
      <c r="BQ108" s="785"/>
      <c r="BR108" s="820"/>
      <c r="BS108" s="820"/>
      <c r="BT108" s="30"/>
      <c r="BU108" s="800"/>
      <c r="BV108" s="800"/>
      <c r="BW108" s="209"/>
      <c r="CA108" s="787"/>
      <c r="DB108" s="773"/>
      <c r="DC108" s="773"/>
      <c r="DD108" s="773"/>
      <c r="DE108" s="773"/>
      <c r="DF108" s="773"/>
      <c r="DG108" s="773"/>
      <c r="DH108" s="773"/>
      <c r="DI108" s="773"/>
      <c r="DJ108" s="773"/>
      <c r="DK108" s="773"/>
      <c r="DL108" s="773"/>
      <c r="DM108" s="773"/>
      <c r="DN108" s="773"/>
      <c r="DO108" s="773"/>
      <c r="DP108" s="773"/>
      <c r="DQ108" s="773"/>
      <c r="DR108" s="773"/>
      <c r="DS108" s="773"/>
      <c r="DT108" s="773"/>
      <c r="DU108" s="773"/>
      <c r="DV108" s="773"/>
      <c r="DW108" s="773"/>
      <c r="DX108" s="773"/>
      <c r="DY108" s="773"/>
      <c r="DZ108" s="773"/>
      <c r="EA108" s="773"/>
      <c r="EB108" s="773"/>
      <c r="EC108" s="773"/>
      <c r="ED108" s="773"/>
      <c r="EE108" s="773"/>
      <c r="EF108" s="773"/>
      <c r="EG108" s="773"/>
      <c r="EH108" s="773"/>
      <c r="EI108" s="773"/>
      <c r="EJ108" s="773"/>
      <c r="EK108" s="773"/>
      <c r="EL108" s="773"/>
      <c r="EM108" s="773"/>
      <c r="EN108" s="773"/>
      <c r="EO108" s="773"/>
      <c r="EP108" s="773"/>
      <c r="EQ108" s="773"/>
      <c r="ER108" s="773"/>
      <c r="ES108" s="773"/>
      <c r="ET108" s="773"/>
      <c r="EU108" s="773"/>
      <c r="EV108" s="773"/>
      <c r="EW108" s="773"/>
      <c r="EX108" s="773"/>
      <c r="EY108" s="773"/>
      <c r="EZ108" s="773"/>
      <c r="FA108" s="773"/>
      <c r="FB108" s="773"/>
      <c r="FC108" s="773"/>
      <c r="FD108" s="773"/>
      <c r="FE108" s="773"/>
      <c r="FF108" s="773"/>
      <c r="FG108" s="773"/>
      <c r="FH108" s="773"/>
      <c r="FI108" s="773"/>
      <c r="FJ108" s="773"/>
      <c r="FK108" s="773"/>
      <c r="FL108" s="773"/>
      <c r="FM108" s="773"/>
      <c r="FN108" s="773"/>
      <c r="FO108" s="773"/>
      <c r="FP108" s="773"/>
      <c r="FQ108" s="773"/>
      <c r="FR108" s="773"/>
      <c r="FS108" s="773"/>
      <c r="FT108" s="773"/>
      <c r="FU108" s="773"/>
      <c r="FV108" s="773"/>
      <c r="FW108" s="773"/>
      <c r="FX108" s="773"/>
      <c r="FY108" s="773"/>
      <c r="FZ108" s="773"/>
      <c r="GA108" s="773"/>
      <c r="GB108" s="773"/>
      <c r="GC108" s="773"/>
      <c r="GD108" s="773"/>
      <c r="GE108" s="773"/>
      <c r="GF108" s="773"/>
      <c r="GG108" s="773"/>
      <c r="GH108" s="773"/>
      <c r="GI108" s="773"/>
      <c r="GJ108" s="773"/>
      <c r="GK108" s="773"/>
      <c r="GL108" s="773"/>
      <c r="GM108" s="773"/>
      <c r="GN108" s="773"/>
      <c r="GO108" s="773"/>
      <c r="GP108" s="773"/>
      <c r="GQ108" s="773"/>
      <c r="GR108" s="773"/>
      <c r="GS108" s="773"/>
      <c r="GT108" s="773"/>
      <c r="GU108" s="773"/>
      <c r="GV108" s="773"/>
      <c r="GW108" s="773"/>
      <c r="GX108" s="773"/>
      <c r="GY108" s="773"/>
      <c r="GZ108" s="773"/>
    </row>
    <row r="109" spans="1:208" s="11" customFormat="1">
      <c r="A109" s="774"/>
      <c r="B109" s="3761" t="s">
        <v>1350</v>
      </c>
      <c r="C109" s="197">
        <v>225601</v>
      </c>
      <c r="D109" s="801" t="s">
        <v>3093</v>
      </c>
      <c r="E109" s="809">
        <f>IFERROR(VLOOKUP(C109,'AJE 12 - INC'!$D$168:$F$345,3,0),0)</f>
        <v>0</v>
      </c>
      <c r="F109" s="1325">
        <f>SUMIF('AJE 12 - INC'!B:B,'New TB INC'!C109,'AJE 12 - INC'!D:D)</f>
        <v>0</v>
      </c>
      <c r="G109" s="1326"/>
      <c r="H109" s="1326"/>
      <c r="I109" s="1326"/>
      <c r="J109" s="796">
        <f t="shared" si="9"/>
        <v>0</v>
      </c>
      <c r="K109" s="779"/>
      <c r="L109" s="434"/>
      <c r="M109" s="2679"/>
      <c r="N109" s="772"/>
      <c r="O109" s="772"/>
      <c r="P109" s="772"/>
      <c r="Q109" s="772"/>
      <c r="R109" s="772"/>
      <c r="S109" s="772"/>
      <c r="T109" s="773"/>
      <c r="AW109" s="2514"/>
      <c r="AX109" s="820"/>
      <c r="AY109" s="820"/>
      <c r="AZ109" s="820"/>
      <c r="BA109" s="30"/>
      <c r="BB109" s="30"/>
      <c r="BC109" s="2514"/>
      <c r="BD109" s="2514"/>
      <c r="BE109" s="2514"/>
      <c r="BF109" s="2514"/>
      <c r="BH109" s="2514"/>
      <c r="BI109" s="30"/>
      <c r="BJ109" s="30"/>
      <c r="BK109" s="30"/>
      <c r="BL109" s="30"/>
      <c r="BM109" s="30"/>
      <c r="BN109" s="30"/>
      <c r="BO109" s="209"/>
      <c r="BP109" s="209"/>
      <c r="BQ109" s="785"/>
      <c r="BR109" s="820"/>
      <c r="BS109" s="820"/>
      <c r="BT109" s="30"/>
      <c r="BU109" s="800"/>
      <c r="BV109" s="800"/>
      <c r="BW109" s="209"/>
      <c r="CA109" s="787"/>
      <c r="DB109" s="773"/>
      <c r="DC109" s="773"/>
      <c r="DD109" s="773"/>
      <c r="DE109" s="773"/>
      <c r="DF109" s="773"/>
      <c r="DG109" s="773"/>
      <c r="DH109" s="773"/>
      <c r="DI109" s="773"/>
      <c r="DJ109" s="773"/>
      <c r="DK109" s="773"/>
      <c r="DL109" s="773"/>
      <c r="DM109" s="773"/>
      <c r="DN109" s="773"/>
      <c r="DO109" s="773"/>
      <c r="DP109" s="773"/>
      <c r="DQ109" s="773"/>
      <c r="DR109" s="773"/>
      <c r="DS109" s="773"/>
      <c r="DT109" s="773"/>
      <c r="DU109" s="773"/>
      <c r="DV109" s="773"/>
      <c r="DW109" s="773"/>
      <c r="DX109" s="773"/>
      <c r="DY109" s="773"/>
      <c r="DZ109" s="773"/>
      <c r="EA109" s="773"/>
      <c r="EB109" s="773"/>
      <c r="EC109" s="773"/>
      <c r="ED109" s="773"/>
      <c r="EE109" s="773"/>
      <c r="EF109" s="773"/>
      <c r="EG109" s="773"/>
      <c r="EH109" s="773"/>
      <c r="EI109" s="773"/>
      <c r="EJ109" s="773"/>
      <c r="EK109" s="773"/>
      <c r="EL109" s="773"/>
      <c r="EM109" s="773"/>
      <c r="EN109" s="773"/>
      <c r="EO109" s="773"/>
      <c r="EP109" s="773"/>
      <c r="EQ109" s="773"/>
      <c r="ER109" s="773"/>
      <c r="ES109" s="773"/>
      <c r="ET109" s="773"/>
      <c r="EU109" s="773"/>
      <c r="EV109" s="773"/>
      <c r="EW109" s="773"/>
      <c r="EX109" s="773"/>
      <c r="EY109" s="773"/>
      <c r="EZ109" s="773"/>
      <c r="FA109" s="773"/>
      <c r="FB109" s="773"/>
      <c r="FC109" s="773"/>
      <c r="FD109" s="773"/>
      <c r="FE109" s="773"/>
      <c r="FF109" s="773"/>
      <c r="FG109" s="773"/>
      <c r="FH109" s="773"/>
      <c r="FI109" s="773"/>
      <c r="FJ109" s="773"/>
      <c r="FK109" s="773"/>
      <c r="FL109" s="773"/>
      <c r="FM109" s="773"/>
      <c r="FN109" s="773"/>
      <c r="FO109" s="773"/>
      <c r="FP109" s="773"/>
      <c r="FQ109" s="773"/>
      <c r="FR109" s="773"/>
      <c r="FS109" s="773"/>
      <c r="FT109" s="773"/>
      <c r="FU109" s="773"/>
      <c r="FV109" s="773"/>
      <c r="FW109" s="773"/>
      <c r="FX109" s="773"/>
      <c r="FY109" s="773"/>
      <c r="FZ109" s="773"/>
      <c r="GA109" s="773"/>
      <c r="GB109" s="773"/>
      <c r="GC109" s="773"/>
      <c r="GD109" s="773"/>
      <c r="GE109" s="773"/>
      <c r="GF109" s="773"/>
      <c r="GG109" s="773"/>
      <c r="GH109" s="773"/>
      <c r="GI109" s="773"/>
      <c r="GJ109" s="773"/>
      <c r="GK109" s="773"/>
      <c r="GL109" s="773"/>
      <c r="GM109" s="773"/>
      <c r="GN109" s="773"/>
      <c r="GO109" s="773"/>
      <c r="GP109" s="773"/>
      <c r="GQ109" s="773"/>
      <c r="GR109" s="773"/>
      <c r="GS109" s="773"/>
      <c r="GT109" s="773"/>
      <c r="GU109" s="773"/>
      <c r="GV109" s="773"/>
      <c r="GW109" s="773"/>
      <c r="GX109" s="773"/>
      <c r="GY109" s="773"/>
      <c r="GZ109" s="773"/>
    </row>
    <row r="110" spans="1:208" s="11" customFormat="1">
      <c r="A110" s="774"/>
      <c r="B110" s="3761" t="s">
        <v>1350</v>
      </c>
      <c r="C110" s="197">
        <v>226497</v>
      </c>
      <c r="D110" s="801" t="s">
        <v>3094</v>
      </c>
      <c r="E110" s="809">
        <f>IFERROR(VLOOKUP(C110,'AJE 12 - INC'!$D$168:$F$345,3,0),0)</f>
        <v>0</v>
      </c>
      <c r="F110" s="1325">
        <f>SUMIF('AJE 12 - INC'!B:B,'New TB INC'!C110,'AJE 12 - INC'!D:D)</f>
        <v>0</v>
      </c>
      <c r="G110" s="1326"/>
      <c r="H110" s="1326"/>
      <c r="I110" s="1326"/>
      <c r="J110" s="796">
        <f t="shared" si="9"/>
        <v>0</v>
      </c>
      <c r="K110" s="779"/>
      <c r="L110" s="434"/>
      <c r="M110" s="2679"/>
      <c r="N110" s="772"/>
      <c r="O110" s="772"/>
      <c r="P110" s="772"/>
      <c r="Q110" s="772"/>
      <c r="R110" s="772"/>
      <c r="S110" s="772"/>
      <c r="T110" s="773"/>
      <c r="AW110" s="2514"/>
      <c r="AX110" s="820"/>
      <c r="AY110" s="820"/>
      <c r="AZ110" s="820"/>
      <c r="BA110" s="30"/>
      <c r="BB110" s="30"/>
      <c r="BC110" s="2514"/>
      <c r="BD110" s="2514"/>
      <c r="BE110" s="2514"/>
      <c r="BF110" s="2514"/>
      <c r="BH110" s="2514"/>
      <c r="BI110" s="30"/>
      <c r="BJ110" s="30"/>
      <c r="BK110" s="30"/>
      <c r="BL110" s="30"/>
      <c r="BM110" s="30"/>
      <c r="BN110" s="30"/>
      <c r="BO110" s="209"/>
      <c r="BP110" s="209"/>
      <c r="BQ110" s="785"/>
      <c r="BR110" s="820"/>
      <c r="BS110" s="820"/>
      <c r="BT110" s="30"/>
      <c r="BU110" s="800"/>
      <c r="BV110" s="800"/>
      <c r="BW110" s="209"/>
      <c r="CA110" s="787"/>
      <c r="DB110" s="773"/>
      <c r="DC110" s="773"/>
      <c r="DD110" s="773"/>
      <c r="DE110" s="773"/>
      <c r="DF110" s="773"/>
      <c r="DG110" s="773"/>
      <c r="DH110" s="773"/>
      <c r="DI110" s="773"/>
      <c r="DJ110" s="773"/>
      <c r="DK110" s="773"/>
      <c r="DL110" s="773"/>
      <c r="DM110" s="773"/>
      <c r="DN110" s="773"/>
      <c r="DO110" s="773"/>
      <c r="DP110" s="773"/>
      <c r="DQ110" s="773"/>
      <c r="DR110" s="773"/>
      <c r="DS110" s="773"/>
      <c r="DT110" s="773"/>
      <c r="DU110" s="773"/>
      <c r="DV110" s="773"/>
      <c r="DW110" s="773"/>
      <c r="DX110" s="773"/>
      <c r="DY110" s="773"/>
      <c r="DZ110" s="773"/>
      <c r="EA110" s="773"/>
      <c r="EB110" s="773"/>
      <c r="EC110" s="773"/>
      <c r="ED110" s="773"/>
      <c r="EE110" s="773"/>
      <c r="EF110" s="773"/>
      <c r="EG110" s="773"/>
      <c r="EH110" s="773"/>
      <c r="EI110" s="773"/>
      <c r="EJ110" s="773"/>
      <c r="EK110" s="773"/>
      <c r="EL110" s="773"/>
      <c r="EM110" s="773"/>
      <c r="EN110" s="773"/>
      <c r="EO110" s="773"/>
      <c r="EP110" s="773"/>
      <c r="EQ110" s="773"/>
      <c r="ER110" s="773"/>
      <c r="ES110" s="773"/>
      <c r="ET110" s="773"/>
      <c r="EU110" s="773"/>
      <c r="EV110" s="773"/>
      <c r="EW110" s="773"/>
      <c r="EX110" s="773"/>
      <c r="EY110" s="773"/>
      <c r="EZ110" s="773"/>
      <c r="FA110" s="773"/>
      <c r="FB110" s="773"/>
      <c r="FC110" s="773"/>
      <c r="FD110" s="773"/>
      <c r="FE110" s="773"/>
      <c r="FF110" s="773"/>
      <c r="FG110" s="773"/>
      <c r="FH110" s="773"/>
      <c r="FI110" s="773"/>
      <c r="FJ110" s="773"/>
      <c r="FK110" s="773"/>
      <c r="FL110" s="773"/>
      <c r="FM110" s="773"/>
      <c r="FN110" s="773"/>
      <c r="FO110" s="773"/>
      <c r="FP110" s="773"/>
      <c r="FQ110" s="773"/>
      <c r="FR110" s="773"/>
      <c r="FS110" s="773"/>
      <c r="FT110" s="773"/>
      <c r="FU110" s="773"/>
      <c r="FV110" s="773"/>
      <c r="FW110" s="773"/>
      <c r="FX110" s="773"/>
      <c r="FY110" s="773"/>
      <c r="FZ110" s="773"/>
      <c r="GA110" s="773"/>
      <c r="GB110" s="773"/>
      <c r="GC110" s="773"/>
      <c r="GD110" s="773"/>
      <c r="GE110" s="773"/>
      <c r="GF110" s="773"/>
      <c r="GG110" s="773"/>
      <c r="GH110" s="773"/>
      <c r="GI110" s="773"/>
      <c r="GJ110" s="773"/>
      <c r="GK110" s="773"/>
      <c r="GL110" s="773"/>
      <c r="GM110" s="773"/>
      <c r="GN110" s="773"/>
      <c r="GO110" s="773"/>
      <c r="GP110" s="773"/>
      <c r="GQ110" s="773"/>
      <c r="GR110" s="773"/>
      <c r="GS110" s="773"/>
      <c r="GT110" s="773"/>
      <c r="GU110" s="773"/>
      <c r="GV110" s="773"/>
      <c r="GW110" s="773"/>
      <c r="GX110" s="773"/>
      <c r="GY110" s="773"/>
      <c r="GZ110" s="773"/>
    </row>
    <row r="111" spans="1:208" s="11" customFormat="1">
      <c r="A111" s="774"/>
      <c r="B111" s="3761" t="s">
        <v>1350</v>
      </c>
      <c r="C111" s="197">
        <v>226928</v>
      </c>
      <c r="D111" s="801" t="s">
        <v>2183</v>
      </c>
      <c r="E111" s="809">
        <f>IFERROR(VLOOKUP(C111,'AJE 12 - INC'!$D$168:$F$345,3,0),0)</f>
        <v>-1.68</v>
      </c>
      <c r="F111" s="1325">
        <f>SUMIF('AJE 12 - INC'!B:B,'New TB INC'!C111,'AJE 12 - INC'!D:D)</f>
        <v>0</v>
      </c>
      <c r="G111" s="1326"/>
      <c r="H111" s="1326"/>
      <c r="I111" s="1326"/>
      <c r="J111" s="796">
        <f t="shared" si="9"/>
        <v>-1.68</v>
      </c>
      <c r="K111" s="779"/>
      <c r="L111" s="434"/>
      <c r="M111" s="2679"/>
      <c r="N111" s="772"/>
      <c r="O111" s="772"/>
      <c r="P111" s="772"/>
      <c r="Q111" s="772"/>
      <c r="R111" s="772"/>
      <c r="S111" s="772"/>
      <c r="T111" s="773"/>
      <c r="AW111" s="2514"/>
      <c r="AX111" s="820"/>
      <c r="AY111" s="820"/>
      <c r="AZ111" s="820"/>
      <c r="BA111" s="30"/>
      <c r="BB111" s="30"/>
      <c r="BC111" s="2514"/>
      <c r="BD111" s="2514"/>
      <c r="BE111" s="2514"/>
      <c r="BF111" s="2514"/>
      <c r="BH111" s="2514"/>
      <c r="BI111" s="30"/>
      <c r="BJ111" s="30"/>
      <c r="BK111" s="30"/>
      <c r="BL111" s="30"/>
      <c r="BM111" s="30"/>
      <c r="BN111" s="30"/>
      <c r="BO111" s="209"/>
      <c r="BP111" s="209"/>
      <c r="BQ111" s="785"/>
      <c r="BR111" s="820"/>
      <c r="BS111" s="820"/>
      <c r="BT111" s="30"/>
      <c r="BU111" s="800"/>
      <c r="BV111" s="800"/>
      <c r="BW111" s="209"/>
      <c r="CA111" s="787"/>
      <c r="DB111" s="773"/>
      <c r="DC111" s="773"/>
      <c r="DD111" s="773"/>
      <c r="DE111" s="773"/>
      <c r="DF111" s="773"/>
      <c r="DG111" s="773"/>
      <c r="DH111" s="773"/>
      <c r="DI111" s="773"/>
      <c r="DJ111" s="773"/>
      <c r="DK111" s="773"/>
      <c r="DL111" s="773"/>
      <c r="DM111" s="773"/>
      <c r="DN111" s="773"/>
      <c r="DO111" s="773"/>
      <c r="DP111" s="773"/>
      <c r="DQ111" s="773"/>
      <c r="DR111" s="773"/>
      <c r="DS111" s="773"/>
      <c r="DT111" s="773"/>
      <c r="DU111" s="773"/>
      <c r="DV111" s="773"/>
      <c r="DW111" s="773"/>
      <c r="DX111" s="773"/>
      <c r="DY111" s="773"/>
      <c r="DZ111" s="773"/>
      <c r="EA111" s="773"/>
      <c r="EB111" s="773"/>
      <c r="EC111" s="773"/>
      <c r="ED111" s="773"/>
      <c r="EE111" s="773"/>
      <c r="EF111" s="773"/>
      <c r="EG111" s="773"/>
      <c r="EH111" s="773"/>
      <c r="EI111" s="773"/>
      <c r="EJ111" s="773"/>
      <c r="EK111" s="773"/>
      <c r="EL111" s="773"/>
      <c r="EM111" s="773"/>
      <c r="EN111" s="773"/>
      <c r="EO111" s="773"/>
      <c r="EP111" s="773"/>
      <c r="EQ111" s="773"/>
      <c r="ER111" s="773"/>
      <c r="ES111" s="773"/>
      <c r="ET111" s="773"/>
      <c r="EU111" s="773"/>
      <c r="EV111" s="773"/>
      <c r="EW111" s="773"/>
      <c r="EX111" s="773"/>
      <c r="EY111" s="773"/>
      <c r="EZ111" s="773"/>
      <c r="FA111" s="773"/>
      <c r="FB111" s="773"/>
      <c r="FC111" s="773"/>
      <c r="FD111" s="773"/>
      <c r="FE111" s="773"/>
      <c r="FF111" s="773"/>
      <c r="FG111" s="773"/>
      <c r="FH111" s="773"/>
      <c r="FI111" s="773"/>
      <c r="FJ111" s="773"/>
      <c r="FK111" s="773"/>
      <c r="FL111" s="773"/>
      <c r="FM111" s="773"/>
      <c r="FN111" s="773"/>
      <c r="FO111" s="773"/>
      <c r="FP111" s="773"/>
      <c r="FQ111" s="773"/>
      <c r="FR111" s="773"/>
      <c r="FS111" s="773"/>
      <c r="FT111" s="773"/>
      <c r="FU111" s="773"/>
      <c r="FV111" s="773"/>
      <c r="FW111" s="773"/>
      <c r="FX111" s="773"/>
      <c r="FY111" s="773"/>
      <c r="FZ111" s="773"/>
      <c r="GA111" s="773"/>
      <c r="GB111" s="773"/>
      <c r="GC111" s="773"/>
      <c r="GD111" s="773"/>
      <c r="GE111" s="773"/>
      <c r="GF111" s="773"/>
      <c r="GG111" s="773"/>
      <c r="GH111" s="773"/>
      <c r="GI111" s="773"/>
      <c r="GJ111" s="773"/>
      <c r="GK111" s="773"/>
      <c r="GL111" s="773"/>
      <c r="GM111" s="773"/>
      <c r="GN111" s="773"/>
      <c r="GO111" s="773"/>
      <c r="GP111" s="773"/>
      <c r="GQ111" s="773"/>
      <c r="GR111" s="773"/>
      <c r="GS111" s="773"/>
      <c r="GT111" s="773"/>
      <c r="GU111" s="773"/>
      <c r="GV111" s="773"/>
      <c r="GW111" s="773"/>
      <c r="GX111" s="773"/>
      <c r="GY111" s="773"/>
      <c r="GZ111" s="773"/>
    </row>
    <row r="112" spans="1:208" s="11" customFormat="1">
      <c r="A112" s="774"/>
      <c r="B112" s="3761" t="s">
        <v>1350</v>
      </c>
      <c r="C112" s="197">
        <v>227369</v>
      </c>
      <c r="D112" s="801" t="s">
        <v>3095</v>
      </c>
      <c r="E112" s="809">
        <f>IFERROR(VLOOKUP(C112,'AJE 12 - INC'!$D$168:$F$345,3,0),0)</f>
        <v>0</v>
      </c>
      <c r="F112" s="1325">
        <f>SUMIF('AJE 12 - INC'!B:B,'New TB INC'!C112,'AJE 12 - INC'!D:D)</f>
        <v>0</v>
      </c>
      <c r="G112" s="1326"/>
      <c r="H112" s="1326"/>
      <c r="I112" s="1326"/>
      <c r="J112" s="796">
        <f t="shared" si="9"/>
        <v>0</v>
      </c>
      <c r="K112" s="779"/>
      <c r="L112" s="434"/>
      <c r="M112" s="2679"/>
      <c r="N112" s="772"/>
      <c r="O112" s="772"/>
      <c r="P112" s="772"/>
      <c r="Q112" s="772"/>
      <c r="R112" s="772"/>
      <c r="S112" s="772"/>
      <c r="T112" s="773"/>
      <c r="AW112" s="2514"/>
      <c r="AX112" s="820"/>
      <c r="AY112" s="820"/>
      <c r="AZ112" s="820"/>
      <c r="BA112" s="30"/>
      <c r="BB112" s="30"/>
      <c r="BC112" s="2514"/>
      <c r="BD112" s="2514"/>
      <c r="BE112" s="2514"/>
      <c r="BF112" s="2514"/>
      <c r="BH112" s="2514"/>
      <c r="BI112" s="30"/>
      <c r="BJ112" s="30"/>
      <c r="BK112" s="30"/>
      <c r="BL112" s="30"/>
      <c r="BM112" s="30"/>
      <c r="BN112" s="30"/>
      <c r="BO112" s="209"/>
      <c r="BP112" s="209"/>
      <c r="BQ112" s="785"/>
      <c r="BR112" s="820"/>
      <c r="BS112" s="820"/>
      <c r="BT112" s="30"/>
      <c r="BU112" s="800"/>
      <c r="BV112" s="800"/>
      <c r="BW112" s="209"/>
      <c r="CA112" s="787"/>
      <c r="DB112" s="773"/>
      <c r="DC112" s="773"/>
      <c r="DD112" s="773"/>
      <c r="DE112" s="773"/>
      <c r="DF112" s="773"/>
      <c r="DG112" s="773"/>
      <c r="DH112" s="773"/>
      <c r="DI112" s="773"/>
      <c r="DJ112" s="773"/>
      <c r="DK112" s="773"/>
      <c r="DL112" s="773"/>
      <c r="DM112" s="773"/>
      <c r="DN112" s="773"/>
      <c r="DO112" s="773"/>
      <c r="DP112" s="773"/>
      <c r="DQ112" s="773"/>
      <c r="DR112" s="773"/>
      <c r="DS112" s="773"/>
      <c r="DT112" s="773"/>
      <c r="DU112" s="773"/>
      <c r="DV112" s="773"/>
      <c r="DW112" s="773"/>
      <c r="DX112" s="773"/>
      <c r="DY112" s="773"/>
      <c r="DZ112" s="773"/>
      <c r="EA112" s="773"/>
      <c r="EB112" s="773"/>
      <c r="EC112" s="773"/>
      <c r="ED112" s="773"/>
      <c r="EE112" s="773"/>
      <c r="EF112" s="773"/>
      <c r="EG112" s="773"/>
      <c r="EH112" s="773"/>
      <c r="EI112" s="773"/>
      <c r="EJ112" s="773"/>
      <c r="EK112" s="773"/>
      <c r="EL112" s="773"/>
      <c r="EM112" s="773"/>
      <c r="EN112" s="773"/>
      <c r="EO112" s="773"/>
      <c r="EP112" s="773"/>
      <c r="EQ112" s="773"/>
      <c r="ER112" s="773"/>
      <c r="ES112" s="773"/>
      <c r="ET112" s="773"/>
      <c r="EU112" s="773"/>
      <c r="EV112" s="773"/>
      <c r="EW112" s="773"/>
      <c r="EX112" s="773"/>
      <c r="EY112" s="773"/>
      <c r="EZ112" s="773"/>
      <c r="FA112" s="773"/>
      <c r="FB112" s="773"/>
      <c r="FC112" s="773"/>
      <c r="FD112" s="773"/>
      <c r="FE112" s="773"/>
      <c r="FF112" s="773"/>
      <c r="FG112" s="773"/>
      <c r="FH112" s="773"/>
      <c r="FI112" s="773"/>
      <c r="FJ112" s="773"/>
      <c r="FK112" s="773"/>
      <c r="FL112" s="773"/>
      <c r="FM112" s="773"/>
      <c r="FN112" s="773"/>
      <c r="FO112" s="773"/>
      <c r="FP112" s="773"/>
      <c r="FQ112" s="773"/>
      <c r="FR112" s="773"/>
      <c r="FS112" s="773"/>
      <c r="FT112" s="773"/>
      <c r="FU112" s="773"/>
      <c r="FV112" s="773"/>
      <c r="FW112" s="773"/>
      <c r="FX112" s="773"/>
      <c r="FY112" s="773"/>
      <c r="FZ112" s="773"/>
      <c r="GA112" s="773"/>
      <c r="GB112" s="773"/>
      <c r="GC112" s="773"/>
      <c r="GD112" s="773"/>
      <c r="GE112" s="773"/>
      <c r="GF112" s="773"/>
      <c r="GG112" s="773"/>
      <c r="GH112" s="773"/>
      <c r="GI112" s="773"/>
      <c r="GJ112" s="773"/>
      <c r="GK112" s="773"/>
      <c r="GL112" s="773"/>
      <c r="GM112" s="773"/>
      <c r="GN112" s="773"/>
      <c r="GO112" s="773"/>
      <c r="GP112" s="773"/>
      <c r="GQ112" s="773"/>
      <c r="GR112" s="773"/>
      <c r="GS112" s="773"/>
      <c r="GT112" s="773"/>
      <c r="GU112" s="773"/>
      <c r="GV112" s="773"/>
      <c r="GW112" s="773"/>
      <c r="GX112" s="773"/>
      <c r="GY112" s="773"/>
      <c r="GZ112" s="773"/>
    </row>
    <row r="113" spans="1:208" s="11" customFormat="1">
      <c r="A113" s="774"/>
      <c r="B113" s="3761" t="s">
        <v>1350</v>
      </c>
      <c r="C113" s="197">
        <v>228911</v>
      </c>
      <c r="D113" s="801" t="s">
        <v>3096</v>
      </c>
      <c r="E113" s="809">
        <f>IFERROR(VLOOKUP(C113,'AJE 12 - INC'!$D$168:$F$345,3,0),0)</f>
        <v>10000.5</v>
      </c>
      <c r="F113" s="1325">
        <f>SUMIF('AJE 12 - INC'!B:B,'New TB INC'!C113,'AJE 12 - INC'!D:D)</f>
        <v>0</v>
      </c>
      <c r="G113" s="1326"/>
      <c r="H113" s="1326"/>
      <c r="I113" s="1326"/>
      <c r="J113" s="796">
        <f t="shared" si="9"/>
        <v>10000.5</v>
      </c>
      <c r="K113" s="779"/>
      <c r="L113" s="434"/>
      <c r="M113" s="2679"/>
      <c r="N113" s="772"/>
      <c r="O113" s="772"/>
      <c r="P113" s="772"/>
      <c r="Q113" s="772"/>
      <c r="R113" s="772"/>
      <c r="S113" s="772"/>
      <c r="T113" s="773"/>
      <c r="AW113" s="2514"/>
      <c r="AX113" s="820"/>
      <c r="AY113" s="820"/>
      <c r="AZ113" s="820"/>
      <c r="BA113" s="30"/>
      <c r="BB113" s="30"/>
      <c r="BC113" s="2514"/>
      <c r="BD113" s="2514"/>
      <c r="BE113" s="2514"/>
      <c r="BF113" s="2514"/>
      <c r="BH113" s="2514"/>
      <c r="BI113" s="30"/>
      <c r="BJ113" s="30"/>
      <c r="BK113" s="30"/>
      <c r="BL113" s="30"/>
      <c r="BM113" s="30"/>
      <c r="BN113" s="30"/>
      <c r="BO113" s="209"/>
      <c r="BP113" s="209"/>
      <c r="BQ113" s="785"/>
      <c r="BR113" s="820"/>
      <c r="BS113" s="820"/>
      <c r="BT113" s="30"/>
      <c r="BU113" s="800"/>
      <c r="BV113" s="800"/>
      <c r="BW113" s="209"/>
      <c r="CA113" s="787"/>
      <c r="DB113" s="773"/>
      <c r="DC113" s="773"/>
      <c r="DD113" s="773"/>
      <c r="DE113" s="773"/>
      <c r="DF113" s="773"/>
      <c r="DG113" s="773"/>
      <c r="DH113" s="773"/>
      <c r="DI113" s="773"/>
      <c r="DJ113" s="773"/>
      <c r="DK113" s="773"/>
      <c r="DL113" s="773"/>
      <c r="DM113" s="773"/>
      <c r="DN113" s="773"/>
      <c r="DO113" s="773"/>
      <c r="DP113" s="773"/>
      <c r="DQ113" s="773"/>
      <c r="DR113" s="773"/>
      <c r="DS113" s="773"/>
      <c r="DT113" s="773"/>
      <c r="DU113" s="773"/>
      <c r="DV113" s="773"/>
      <c r="DW113" s="773"/>
      <c r="DX113" s="773"/>
      <c r="DY113" s="773"/>
      <c r="DZ113" s="773"/>
      <c r="EA113" s="773"/>
      <c r="EB113" s="773"/>
      <c r="EC113" s="773"/>
      <c r="ED113" s="773"/>
      <c r="EE113" s="773"/>
      <c r="EF113" s="773"/>
      <c r="EG113" s="773"/>
      <c r="EH113" s="773"/>
      <c r="EI113" s="773"/>
      <c r="EJ113" s="773"/>
      <c r="EK113" s="773"/>
      <c r="EL113" s="773"/>
      <c r="EM113" s="773"/>
      <c r="EN113" s="773"/>
      <c r="EO113" s="773"/>
      <c r="EP113" s="773"/>
      <c r="EQ113" s="773"/>
      <c r="ER113" s="773"/>
      <c r="ES113" s="773"/>
      <c r="ET113" s="773"/>
      <c r="EU113" s="773"/>
      <c r="EV113" s="773"/>
      <c r="EW113" s="773"/>
      <c r="EX113" s="773"/>
      <c r="EY113" s="773"/>
      <c r="EZ113" s="773"/>
      <c r="FA113" s="773"/>
      <c r="FB113" s="773"/>
      <c r="FC113" s="773"/>
      <c r="FD113" s="773"/>
      <c r="FE113" s="773"/>
      <c r="FF113" s="773"/>
      <c r="FG113" s="773"/>
      <c r="FH113" s="773"/>
      <c r="FI113" s="773"/>
      <c r="FJ113" s="773"/>
      <c r="FK113" s="773"/>
      <c r="FL113" s="773"/>
      <c r="FM113" s="773"/>
      <c r="FN113" s="773"/>
      <c r="FO113" s="773"/>
      <c r="FP113" s="773"/>
      <c r="FQ113" s="773"/>
      <c r="FR113" s="773"/>
      <c r="FS113" s="773"/>
      <c r="FT113" s="773"/>
      <c r="FU113" s="773"/>
      <c r="FV113" s="773"/>
      <c r="FW113" s="773"/>
      <c r="FX113" s="773"/>
      <c r="FY113" s="773"/>
      <c r="FZ113" s="773"/>
      <c r="GA113" s="773"/>
      <c r="GB113" s="773"/>
      <c r="GC113" s="773"/>
      <c r="GD113" s="773"/>
      <c r="GE113" s="773"/>
      <c r="GF113" s="773"/>
      <c r="GG113" s="773"/>
      <c r="GH113" s="773"/>
      <c r="GI113" s="773"/>
      <c r="GJ113" s="773"/>
      <c r="GK113" s="773"/>
      <c r="GL113" s="773"/>
      <c r="GM113" s="773"/>
      <c r="GN113" s="773"/>
      <c r="GO113" s="773"/>
      <c r="GP113" s="773"/>
      <c r="GQ113" s="773"/>
      <c r="GR113" s="773"/>
      <c r="GS113" s="773"/>
      <c r="GT113" s="773"/>
      <c r="GU113" s="773"/>
      <c r="GV113" s="773"/>
      <c r="GW113" s="773"/>
      <c r="GX113" s="773"/>
      <c r="GY113" s="773"/>
      <c r="GZ113" s="773"/>
    </row>
    <row r="114" spans="1:208" s="11" customFormat="1">
      <c r="A114" s="774"/>
      <c r="B114" s="3761" t="s">
        <v>1350</v>
      </c>
      <c r="C114" s="197">
        <v>229789</v>
      </c>
      <c r="D114" s="801" t="s">
        <v>3097</v>
      </c>
      <c r="E114" s="809">
        <f>IFERROR(VLOOKUP(C114,'AJE 12 - INC'!$D$168:$F$345,3,0),0)</f>
        <v>0</v>
      </c>
      <c r="F114" s="1325">
        <f>SUMIF('AJE 12 - INC'!B:B,'New TB INC'!C114,'AJE 12 - INC'!D:D)</f>
        <v>0</v>
      </c>
      <c r="G114" s="1326"/>
      <c r="H114" s="1326"/>
      <c r="I114" s="1326"/>
      <c r="J114" s="796">
        <f t="shared" si="9"/>
        <v>0</v>
      </c>
      <c r="K114" s="779"/>
      <c r="L114" s="434"/>
      <c r="M114" s="2679"/>
      <c r="N114" s="772"/>
      <c r="O114" s="772"/>
      <c r="P114" s="772"/>
      <c r="Q114" s="772"/>
      <c r="R114" s="772"/>
      <c r="S114" s="772"/>
      <c r="T114" s="773"/>
      <c r="AW114" s="2514"/>
      <c r="AX114" s="820"/>
      <c r="AY114" s="820"/>
      <c r="AZ114" s="820"/>
      <c r="BA114" s="30"/>
      <c r="BB114" s="30"/>
      <c r="BC114" s="2514"/>
      <c r="BD114" s="2514"/>
      <c r="BE114" s="2514"/>
      <c r="BF114" s="2514"/>
      <c r="BH114" s="2514"/>
      <c r="BI114" s="30"/>
      <c r="BJ114" s="30"/>
      <c r="BK114" s="30"/>
      <c r="BL114" s="30"/>
      <c r="BM114" s="30"/>
      <c r="BN114" s="30"/>
      <c r="BO114" s="209"/>
      <c r="BP114" s="209"/>
      <c r="BQ114" s="785"/>
      <c r="BR114" s="820"/>
      <c r="BS114" s="820"/>
      <c r="BT114" s="30"/>
      <c r="BU114" s="800"/>
      <c r="BV114" s="800"/>
      <c r="BW114" s="209"/>
      <c r="CA114" s="787"/>
      <c r="DB114" s="773"/>
      <c r="DC114" s="773"/>
      <c r="DD114" s="773"/>
      <c r="DE114" s="773"/>
      <c r="DF114" s="773"/>
      <c r="DG114" s="773"/>
      <c r="DH114" s="773"/>
      <c r="DI114" s="773"/>
      <c r="DJ114" s="773"/>
      <c r="DK114" s="773"/>
      <c r="DL114" s="773"/>
      <c r="DM114" s="773"/>
      <c r="DN114" s="773"/>
      <c r="DO114" s="773"/>
      <c r="DP114" s="773"/>
      <c r="DQ114" s="773"/>
      <c r="DR114" s="773"/>
      <c r="DS114" s="773"/>
      <c r="DT114" s="773"/>
      <c r="DU114" s="773"/>
      <c r="DV114" s="773"/>
      <c r="DW114" s="773"/>
      <c r="DX114" s="773"/>
      <c r="DY114" s="773"/>
      <c r="DZ114" s="773"/>
      <c r="EA114" s="773"/>
      <c r="EB114" s="773"/>
      <c r="EC114" s="773"/>
      <c r="ED114" s="773"/>
      <c r="EE114" s="773"/>
      <c r="EF114" s="773"/>
      <c r="EG114" s="773"/>
      <c r="EH114" s="773"/>
      <c r="EI114" s="773"/>
      <c r="EJ114" s="773"/>
      <c r="EK114" s="773"/>
      <c r="EL114" s="773"/>
      <c r="EM114" s="773"/>
      <c r="EN114" s="773"/>
      <c r="EO114" s="773"/>
      <c r="EP114" s="773"/>
      <c r="EQ114" s="773"/>
      <c r="ER114" s="773"/>
      <c r="ES114" s="773"/>
      <c r="ET114" s="773"/>
      <c r="EU114" s="773"/>
      <c r="EV114" s="773"/>
      <c r="EW114" s="773"/>
      <c r="EX114" s="773"/>
      <c r="EY114" s="773"/>
      <c r="EZ114" s="773"/>
      <c r="FA114" s="773"/>
      <c r="FB114" s="773"/>
      <c r="FC114" s="773"/>
      <c r="FD114" s="773"/>
      <c r="FE114" s="773"/>
      <c r="FF114" s="773"/>
      <c r="FG114" s="773"/>
      <c r="FH114" s="773"/>
      <c r="FI114" s="773"/>
      <c r="FJ114" s="773"/>
      <c r="FK114" s="773"/>
      <c r="FL114" s="773"/>
      <c r="FM114" s="773"/>
      <c r="FN114" s="773"/>
      <c r="FO114" s="773"/>
      <c r="FP114" s="773"/>
      <c r="FQ114" s="773"/>
      <c r="FR114" s="773"/>
      <c r="FS114" s="773"/>
      <c r="FT114" s="773"/>
      <c r="FU114" s="773"/>
      <c r="FV114" s="773"/>
      <c r="FW114" s="773"/>
      <c r="FX114" s="773"/>
      <c r="FY114" s="773"/>
      <c r="FZ114" s="773"/>
      <c r="GA114" s="773"/>
      <c r="GB114" s="773"/>
      <c r="GC114" s="773"/>
      <c r="GD114" s="773"/>
      <c r="GE114" s="773"/>
      <c r="GF114" s="773"/>
      <c r="GG114" s="773"/>
      <c r="GH114" s="773"/>
      <c r="GI114" s="773"/>
      <c r="GJ114" s="773"/>
      <c r="GK114" s="773"/>
      <c r="GL114" s="773"/>
      <c r="GM114" s="773"/>
      <c r="GN114" s="773"/>
      <c r="GO114" s="773"/>
      <c r="GP114" s="773"/>
      <c r="GQ114" s="773"/>
      <c r="GR114" s="773"/>
      <c r="GS114" s="773"/>
      <c r="GT114" s="773"/>
      <c r="GU114" s="773"/>
      <c r="GV114" s="773"/>
      <c r="GW114" s="773"/>
      <c r="GX114" s="773"/>
      <c r="GY114" s="773"/>
      <c r="GZ114" s="773"/>
    </row>
    <row r="115" spans="1:208" s="11" customFormat="1">
      <c r="A115" s="774"/>
      <c r="B115" s="3761" t="s">
        <v>1350</v>
      </c>
      <c r="C115" s="197">
        <v>229820</v>
      </c>
      <c r="D115" s="801" t="s">
        <v>3098</v>
      </c>
      <c r="E115" s="809">
        <f>IFERROR(VLOOKUP(C115,'AJE 12 - INC'!$D$168:$F$345,3,0),0)</f>
        <v>0</v>
      </c>
      <c r="F115" s="1325">
        <f>SUMIF('AJE 12 - INC'!B:B,'New TB INC'!C115,'AJE 12 - INC'!D:D)</f>
        <v>0</v>
      </c>
      <c r="G115" s="1326"/>
      <c r="H115" s="1326"/>
      <c r="I115" s="1326"/>
      <c r="J115" s="796">
        <f t="shared" ref="J115:J146" si="10">SUM(E115:I115)</f>
        <v>0</v>
      </c>
      <c r="K115" s="779"/>
      <c r="L115" s="434"/>
      <c r="M115" s="2679"/>
      <c r="N115" s="772"/>
      <c r="O115" s="772"/>
      <c r="P115" s="772"/>
      <c r="Q115" s="772"/>
      <c r="R115" s="772"/>
      <c r="S115" s="772"/>
      <c r="T115" s="773"/>
      <c r="AW115" s="2514"/>
      <c r="AX115" s="820"/>
      <c r="AY115" s="820"/>
      <c r="AZ115" s="820"/>
      <c r="BA115" s="30"/>
      <c r="BB115" s="30"/>
      <c r="BC115" s="2514"/>
      <c r="BD115" s="2514"/>
      <c r="BE115" s="2514"/>
      <c r="BF115" s="2514"/>
      <c r="BH115" s="2514"/>
      <c r="BI115" s="30"/>
      <c r="BJ115" s="30"/>
      <c r="BK115" s="30"/>
      <c r="BL115" s="30"/>
      <c r="BM115" s="30"/>
      <c r="BN115" s="30"/>
      <c r="BO115" s="209"/>
      <c r="BP115" s="209"/>
      <c r="BQ115" s="785"/>
      <c r="BR115" s="820"/>
      <c r="BS115" s="820"/>
      <c r="BT115" s="30"/>
      <c r="BU115" s="800"/>
      <c r="BV115" s="800"/>
      <c r="BW115" s="209"/>
      <c r="CA115" s="787"/>
      <c r="DB115" s="773"/>
      <c r="DC115" s="773"/>
      <c r="DD115" s="773"/>
      <c r="DE115" s="773"/>
      <c r="DF115" s="773"/>
      <c r="DG115" s="773"/>
      <c r="DH115" s="773"/>
      <c r="DI115" s="773"/>
      <c r="DJ115" s="773"/>
      <c r="DK115" s="773"/>
      <c r="DL115" s="773"/>
      <c r="DM115" s="773"/>
      <c r="DN115" s="773"/>
      <c r="DO115" s="773"/>
      <c r="DP115" s="773"/>
      <c r="DQ115" s="773"/>
      <c r="DR115" s="773"/>
      <c r="DS115" s="773"/>
      <c r="DT115" s="773"/>
      <c r="DU115" s="773"/>
      <c r="DV115" s="773"/>
      <c r="DW115" s="773"/>
      <c r="DX115" s="773"/>
      <c r="DY115" s="773"/>
      <c r="DZ115" s="773"/>
      <c r="EA115" s="773"/>
      <c r="EB115" s="773"/>
      <c r="EC115" s="773"/>
      <c r="ED115" s="773"/>
      <c r="EE115" s="773"/>
      <c r="EF115" s="773"/>
      <c r="EG115" s="773"/>
      <c r="EH115" s="773"/>
      <c r="EI115" s="773"/>
      <c r="EJ115" s="773"/>
      <c r="EK115" s="773"/>
      <c r="EL115" s="773"/>
      <c r="EM115" s="773"/>
      <c r="EN115" s="773"/>
      <c r="EO115" s="773"/>
      <c r="EP115" s="773"/>
      <c r="EQ115" s="773"/>
      <c r="ER115" s="773"/>
      <c r="ES115" s="773"/>
      <c r="ET115" s="773"/>
      <c r="EU115" s="773"/>
      <c r="EV115" s="773"/>
      <c r="EW115" s="773"/>
      <c r="EX115" s="773"/>
      <c r="EY115" s="773"/>
      <c r="EZ115" s="773"/>
      <c r="FA115" s="773"/>
      <c r="FB115" s="773"/>
      <c r="FC115" s="773"/>
      <c r="FD115" s="773"/>
      <c r="FE115" s="773"/>
      <c r="FF115" s="773"/>
      <c r="FG115" s="773"/>
      <c r="FH115" s="773"/>
      <c r="FI115" s="773"/>
      <c r="FJ115" s="773"/>
      <c r="FK115" s="773"/>
      <c r="FL115" s="773"/>
      <c r="FM115" s="773"/>
      <c r="FN115" s="773"/>
      <c r="FO115" s="773"/>
      <c r="FP115" s="773"/>
      <c r="FQ115" s="773"/>
      <c r="FR115" s="773"/>
      <c r="FS115" s="773"/>
      <c r="FT115" s="773"/>
      <c r="FU115" s="773"/>
      <c r="FV115" s="773"/>
      <c r="FW115" s="773"/>
      <c r="FX115" s="773"/>
      <c r="FY115" s="773"/>
      <c r="FZ115" s="773"/>
      <c r="GA115" s="773"/>
      <c r="GB115" s="773"/>
      <c r="GC115" s="773"/>
      <c r="GD115" s="773"/>
      <c r="GE115" s="773"/>
      <c r="GF115" s="773"/>
      <c r="GG115" s="773"/>
      <c r="GH115" s="773"/>
      <c r="GI115" s="773"/>
      <c r="GJ115" s="773"/>
      <c r="GK115" s="773"/>
      <c r="GL115" s="773"/>
      <c r="GM115" s="773"/>
      <c r="GN115" s="773"/>
      <c r="GO115" s="773"/>
      <c r="GP115" s="773"/>
      <c r="GQ115" s="773"/>
      <c r="GR115" s="773"/>
      <c r="GS115" s="773"/>
      <c r="GT115" s="773"/>
      <c r="GU115" s="773"/>
      <c r="GV115" s="773"/>
      <c r="GW115" s="773"/>
      <c r="GX115" s="773"/>
      <c r="GY115" s="773"/>
      <c r="GZ115" s="773"/>
    </row>
    <row r="116" spans="1:208" s="11" customFormat="1">
      <c r="A116" s="774"/>
      <c r="B116" s="3761" t="s">
        <v>1350</v>
      </c>
      <c r="C116" s="197">
        <v>230024</v>
      </c>
      <c r="D116" s="801" t="s">
        <v>3099</v>
      </c>
      <c r="E116" s="809">
        <f>IFERROR(VLOOKUP(C116,'AJE 12 - INC'!$D$168:$F$345,3,0),0)</f>
        <v>10920</v>
      </c>
      <c r="F116" s="1325">
        <f>SUMIF('AJE 12 - INC'!B:B,'New TB INC'!C116,'AJE 12 - INC'!D:D)</f>
        <v>0</v>
      </c>
      <c r="G116" s="1326"/>
      <c r="H116" s="1326"/>
      <c r="I116" s="1326"/>
      <c r="J116" s="796">
        <f t="shared" si="10"/>
        <v>10920</v>
      </c>
      <c r="K116" s="779"/>
      <c r="L116" s="434"/>
      <c r="M116" s="2679"/>
      <c r="N116" s="772"/>
      <c r="O116" s="772"/>
      <c r="P116" s="772"/>
      <c r="Q116" s="772"/>
      <c r="R116" s="772"/>
      <c r="S116" s="772"/>
      <c r="T116" s="773"/>
      <c r="AW116" s="2514"/>
      <c r="AX116" s="820"/>
      <c r="AY116" s="820"/>
      <c r="AZ116" s="820"/>
      <c r="BA116" s="30"/>
      <c r="BB116" s="30"/>
      <c r="BC116" s="2514"/>
      <c r="BD116" s="2514"/>
      <c r="BE116" s="2514"/>
      <c r="BF116" s="2514"/>
      <c r="BH116" s="2514"/>
      <c r="BI116" s="30"/>
      <c r="BJ116" s="30"/>
      <c r="BK116" s="30"/>
      <c r="BL116" s="30"/>
      <c r="BM116" s="30"/>
      <c r="BN116" s="30"/>
      <c r="BO116" s="209"/>
      <c r="BP116" s="209"/>
      <c r="BQ116" s="785"/>
      <c r="BR116" s="820"/>
      <c r="BS116" s="820"/>
      <c r="BT116" s="30"/>
      <c r="BU116" s="800"/>
      <c r="BV116" s="800"/>
      <c r="BW116" s="209"/>
      <c r="CA116" s="787"/>
      <c r="DB116" s="773"/>
      <c r="DC116" s="773"/>
      <c r="DD116" s="773"/>
      <c r="DE116" s="773"/>
      <c r="DF116" s="773"/>
      <c r="DG116" s="773"/>
      <c r="DH116" s="773"/>
      <c r="DI116" s="773"/>
      <c r="DJ116" s="773"/>
      <c r="DK116" s="773"/>
      <c r="DL116" s="773"/>
      <c r="DM116" s="773"/>
      <c r="DN116" s="773"/>
      <c r="DO116" s="773"/>
      <c r="DP116" s="773"/>
      <c r="DQ116" s="773"/>
      <c r="DR116" s="773"/>
      <c r="DS116" s="773"/>
      <c r="DT116" s="773"/>
      <c r="DU116" s="773"/>
      <c r="DV116" s="773"/>
      <c r="DW116" s="773"/>
      <c r="DX116" s="773"/>
      <c r="DY116" s="773"/>
      <c r="DZ116" s="773"/>
      <c r="EA116" s="773"/>
      <c r="EB116" s="773"/>
      <c r="EC116" s="773"/>
      <c r="ED116" s="773"/>
      <c r="EE116" s="773"/>
      <c r="EF116" s="773"/>
      <c r="EG116" s="773"/>
      <c r="EH116" s="773"/>
      <c r="EI116" s="773"/>
      <c r="EJ116" s="773"/>
      <c r="EK116" s="773"/>
      <c r="EL116" s="773"/>
      <c r="EM116" s="773"/>
      <c r="EN116" s="773"/>
      <c r="EO116" s="773"/>
      <c r="EP116" s="773"/>
      <c r="EQ116" s="773"/>
      <c r="ER116" s="773"/>
      <c r="ES116" s="773"/>
      <c r="ET116" s="773"/>
      <c r="EU116" s="773"/>
      <c r="EV116" s="773"/>
      <c r="EW116" s="773"/>
      <c r="EX116" s="773"/>
      <c r="EY116" s="773"/>
      <c r="EZ116" s="773"/>
      <c r="FA116" s="773"/>
      <c r="FB116" s="773"/>
      <c r="FC116" s="773"/>
      <c r="FD116" s="773"/>
      <c r="FE116" s="773"/>
      <c r="FF116" s="773"/>
      <c r="FG116" s="773"/>
      <c r="FH116" s="773"/>
      <c r="FI116" s="773"/>
      <c r="FJ116" s="773"/>
      <c r="FK116" s="773"/>
      <c r="FL116" s="773"/>
      <c r="FM116" s="773"/>
      <c r="FN116" s="773"/>
      <c r="FO116" s="773"/>
      <c r="FP116" s="773"/>
      <c r="FQ116" s="773"/>
      <c r="FR116" s="773"/>
      <c r="FS116" s="773"/>
      <c r="FT116" s="773"/>
      <c r="FU116" s="773"/>
      <c r="FV116" s="773"/>
      <c r="FW116" s="773"/>
      <c r="FX116" s="773"/>
      <c r="FY116" s="773"/>
      <c r="FZ116" s="773"/>
      <c r="GA116" s="773"/>
      <c r="GB116" s="773"/>
      <c r="GC116" s="773"/>
      <c r="GD116" s="773"/>
      <c r="GE116" s="773"/>
      <c r="GF116" s="773"/>
      <c r="GG116" s="773"/>
      <c r="GH116" s="773"/>
      <c r="GI116" s="773"/>
      <c r="GJ116" s="773"/>
      <c r="GK116" s="773"/>
      <c r="GL116" s="773"/>
      <c r="GM116" s="773"/>
      <c r="GN116" s="773"/>
      <c r="GO116" s="773"/>
      <c r="GP116" s="773"/>
      <c r="GQ116" s="773"/>
      <c r="GR116" s="773"/>
      <c r="GS116" s="773"/>
      <c r="GT116" s="773"/>
      <c r="GU116" s="773"/>
      <c r="GV116" s="773"/>
      <c r="GW116" s="773"/>
      <c r="GX116" s="773"/>
      <c r="GY116" s="773"/>
      <c r="GZ116" s="773"/>
    </row>
    <row r="117" spans="1:208" s="11" customFormat="1">
      <c r="A117" s="774"/>
      <c r="B117" s="3761" t="s">
        <v>1350</v>
      </c>
      <c r="C117" s="197">
        <v>200144</v>
      </c>
      <c r="D117" s="801" t="s">
        <v>2980</v>
      </c>
      <c r="E117" s="809">
        <f>IFERROR(VLOOKUP(C117,'AJE 12 - INC'!$D$168:$F$345,3,0),0)</f>
        <v>0</v>
      </c>
      <c r="F117" s="1325">
        <f>SUMIF('AJE 12 - INC'!B:B,'New TB INC'!C117,'AJE 12 - INC'!D:D)</f>
        <v>0</v>
      </c>
      <c r="G117" s="1326"/>
      <c r="H117" s="1326"/>
      <c r="I117" s="1326"/>
      <c r="J117" s="796">
        <f t="shared" si="10"/>
        <v>0</v>
      </c>
      <c r="K117" s="779"/>
      <c r="L117" s="434"/>
      <c r="M117" s="2679"/>
      <c r="N117" s="772"/>
      <c r="O117" s="772"/>
      <c r="P117" s="772"/>
      <c r="Q117" s="772"/>
      <c r="R117" s="772"/>
      <c r="S117" s="772"/>
      <c r="T117" s="773"/>
      <c r="AW117" s="2514"/>
      <c r="AX117" s="820"/>
      <c r="AY117" s="820"/>
      <c r="AZ117" s="820"/>
      <c r="BA117" s="30"/>
      <c r="BB117" s="30"/>
      <c r="BC117" s="2514"/>
      <c r="BD117" s="2514"/>
      <c r="BE117" s="2514"/>
      <c r="BF117" s="2514"/>
      <c r="BH117" s="2514"/>
      <c r="BI117" s="30"/>
      <c r="BJ117" s="30"/>
      <c r="BK117" s="30"/>
      <c r="BL117" s="30"/>
      <c r="BM117" s="30"/>
      <c r="BN117" s="30"/>
      <c r="BO117" s="209"/>
      <c r="BP117" s="209"/>
      <c r="BQ117" s="785"/>
      <c r="BR117" s="820"/>
      <c r="BS117" s="820"/>
      <c r="BT117" s="30"/>
      <c r="BU117" s="800"/>
      <c r="BV117" s="800"/>
      <c r="BW117" s="209"/>
      <c r="CA117" s="787"/>
      <c r="DB117" s="773"/>
      <c r="DC117" s="773"/>
      <c r="DD117" s="773"/>
      <c r="DE117" s="773"/>
      <c r="DF117" s="773"/>
      <c r="DG117" s="773"/>
      <c r="DH117" s="773"/>
      <c r="DI117" s="773"/>
      <c r="DJ117" s="773"/>
      <c r="DK117" s="773"/>
      <c r="DL117" s="773"/>
      <c r="DM117" s="773"/>
      <c r="DN117" s="773"/>
      <c r="DO117" s="773"/>
      <c r="DP117" s="773"/>
      <c r="DQ117" s="773"/>
      <c r="DR117" s="773"/>
      <c r="DS117" s="773"/>
      <c r="DT117" s="773"/>
      <c r="DU117" s="773"/>
      <c r="DV117" s="773"/>
      <c r="DW117" s="773"/>
      <c r="DX117" s="773"/>
      <c r="DY117" s="773"/>
      <c r="DZ117" s="773"/>
      <c r="EA117" s="773"/>
      <c r="EB117" s="773"/>
      <c r="EC117" s="773"/>
      <c r="ED117" s="773"/>
      <c r="EE117" s="773"/>
      <c r="EF117" s="773"/>
      <c r="EG117" s="773"/>
      <c r="EH117" s="773"/>
      <c r="EI117" s="773"/>
      <c r="EJ117" s="773"/>
      <c r="EK117" s="773"/>
      <c r="EL117" s="773"/>
      <c r="EM117" s="773"/>
      <c r="EN117" s="773"/>
      <c r="EO117" s="773"/>
      <c r="EP117" s="773"/>
      <c r="EQ117" s="773"/>
      <c r="ER117" s="773"/>
      <c r="ES117" s="773"/>
      <c r="ET117" s="773"/>
      <c r="EU117" s="773"/>
      <c r="EV117" s="773"/>
      <c r="EW117" s="773"/>
      <c r="EX117" s="773"/>
      <c r="EY117" s="773"/>
      <c r="EZ117" s="773"/>
      <c r="FA117" s="773"/>
      <c r="FB117" s="773"/>
      <c r="FC117" s="773"/>
      <c r="FD117" s="773"/>
      <c r="FE117" s="773"/>
      <c r="FF117" s="773"/>
      <c r="FG117" s="773"/>
      <c r="FH117" s="773"/>
      <c r="FI117" s="773"/>
      <c r="FJ117" s="773"/>
      <c r="FK117" s="773"/>
      <c r="FL117" s="773"/>
      <c r="FM117" s="773"/>
      <c r="FN117" s="773"/>
      <c r="FO117" s="773"/>
      <c r="FP117" s="773"/>
      <c r="FQ117" s="773"/>
      <c r="FR117" s="773"/>
      <c r="FS117" s="773"/>
      <c r="FT117" s="773"/>
      <c r="FU117" s="773"/>
      <c r="FV117" s="773"/>
      <c r="FW117" s="773"/>
      <c r="FX117" s="773"/>
      <c r="FY117" s="773"/>
      <c r="FZ117" s="773"/>
      <c r="GA117" s="773"/>
      <c r="GB117" s="773"/>
      <c r="GC117" s="773"/>
      <c r="GD117" s="773"/>
      <c r="GE117" s="773"/>
      <c r="GF117" s="773"/>
      <c r="GG117" s="773"/>
      <c r="GH117" s="773"/>
      <c r="GI117" s="773"/>
      <c r="GJ117" s="773"/>
      <c r="GK117" s="773"/>
      <c r="GL117" s="773"/>
      <c r="GM117" s="773"/>
      <c r="GN117" s="773"/>
      <c r="GO117" s="773"/>
      <c r="GP117" s="773"/>
      <c r="GQ117" s="773"/>
      <c r="GR117" s="773"/>
      <c r="GS117" s="773"/>
      <c r="GT117" s="773"/>
      <c r="GU117" s="773"/>
      <c r="GV117" s="773"/>
      <c r="GW117" s="773"/>
      <c r="GX117" s="773"/>
      <c r="GY117" s="773"/>
      <c r="GZ117" s="773"/>
    </row>
    <row r="118" spans="1:208" s="11" customFormat="1">
      <c r="A118" s="774"/>
      <c r="B118" s="3761" t="s">
        <v>1350</v>
      </c>
      <c r="C118" s="197">
        <v>201352</v>
      </c>
      <c r="D118" s="801" t="s">
        <v>2981</v>
      </c>
      <c r="E118" s="809">
        <f>IFERROR(VLOOKUP(C118,'AJE 12 - INC'!$D$168:$F$345,3,0),0)</f>
        <v>0</v>
      </c>
      <c r="F118" s="1325">
        <f>SUMIF('AJE 12 - INC'!B:B,'New TB INC'!C118,'AJE 12 - INC'!D:D)</f>
        <v>0</v>
      </c>
      <c r="G118" s="1326"/>
      <c r="H118" s="1326"/>
      <c r="I118" s="1326"/>
      <c r="J118" s="796">
        <f t="shared" si="10"/>
        <v>0</v>
      </c>
      <c r="K118" s="779"/>
      <c r="L118" s="434"/>
      <c r="M118" s="2679"/>
      <c r="N118" s="772"/>
      <c r="O118" s="772"/>
      <c r="P118" s="772"/>
      <c r="Q118" s="772"/>
      <c r="R118" s="772"/>
      <c r="S118" s="772"/>
      <c r="T118" s="773"/>
      <c r="AW118" s="2514"/>
      <c r="AX118" s="820"/>
      <c r="AY118" s="820"/>
      <c r="AZ118" s="820"/>
      <c r="BA118" s="30"/>
      <c r="BB118" s="30"/>
      <c r="BC118" s="2514"/>
      <c r="BD118" s="2514"/>
      <c r="BE118" s="2514"/>
      <c r="BF118" s="2514"/>
      <c r="BH118" s="2514"/>
      <c r="BI118" s="30"/>
      <c r="BJ118" s="30"/>
      <c r="BK118" s="30"/>
      <c r="BL118" s="30"/>
      <c r="BM118" s="30"/>
      <c r="BN118" s="30"/>
      <c r="BO118" s="209"/>
      <c r="BP118" s="209"/>
      <c r="BQ118" s="785"/>
      <c r="BR118" s="820"/>
      <c r="BS118" s="820"/>
      <c r="BT118" s="30"/>
      <c r="BU118" s="800"/>
      <c r="BV118" s="800"/>
      <c r="BW118" s="209"/>
      <c r="CA118" s="787"/>
      <c r="DB118" s="773"/>
      <c r="DC118" s="773"/>
      <c r="DD118" s="773"/>
      <c r="DE118" s="773"/>
      <c r="DF118" s="773"/>
      <c r="DG118" s="773"/>
      <c r="DH118" s="773"/>
      <c r="DI118" s="773"/>
      <c r="DJ118" s="773"/>
      <c r="DK118" s="773"/>
      <c r="DL118" s="773"/>
      <c r="DM118" s="773"/>
      <c r="DN118" s="773"/>
      <c r="DO118" s="773"/>
      <c r="DP118" s="773"/>
      <c r="DQ118" s="773"/>
      <c r="DR118" s="773"/>
      <c r="DS118" s="773"/>
      <c r="DT118" s="773"/>
      <c r="DU118" s="773"/>
      <c r="DV118" s="773"/>
      <c r="DW118" s="773"/>
      <c r="DX118" s="773"/>
      <c r="DY118" s="773"/>
      <c r="DZ118" s="773"/>
      <c r="EA118" s="773"/>
      <c r="EB118" s="773"/>
      <c r="EC118" s="773"/>
      <c r="ED118" s="773"/>
      <c r="EE118" s="773"/>
      <c r="EF118" s="773"/>
      <c r="EG118" s="773"/>
      <c r="EH118" s="773"/>
      <c r="EI118" s="773"/>
      <c r="EJ118" s="773"/>
      <c r="EK118" s="773"/>
      <c r="EL118" s="773"/>
      <c r="EM118" s="773"/>
      <c r="EN118" s="773"/>
      <c r="EO118" s="773"/>
      <c r="EP118" s="773"/>
      <c r="EQ118" s="773"/>
      <c r="ER118" s="773"/>
      <c r="ES118" s="773"/>
      <c r="ET118" s="773"/>
      <c r="EU118" s="773"/>
      <c r="EV118" s="773"/>
      <c r="EW118" s="773"/>
      <c r="EX118" s="773"/>
      <c r="EY118" s="773"/>
      <c r="EZ118" s="773"/>
      <c r="FA118" s="773"/>
      <c r="FB118" s="773"/>
      <c r="FC118" s="773"/>
      <c r="FD118" s="773"/>
      <c r="FE118" s="773"/>
      <c r="FF118" s="773"/>
      <c r="FG118" s="773"/>
      <c r="FH118" s="773"/>
      <c r="FI118" s="773"/>
      <c r="FJ118" s="773"/>
      <c r="FK118" s="773"/>
      <c r="FL118" s="773"/>
      <c r="FM118" s="773"/>
      <c r="FN118" s="773"/>
      <c r="FO118" s="773"/>
      <c r="FP118" s="773"/>
      <c r="FQ118" s="773"/>
      <c r="FR118" s="773"/>
      <c r="FS118" s="773"/>
      <c r="FT118" s="773"/>
      <c r="FU118" s="773"/>
      <c r="FV118" s="773"/>
      <c r="FW118" s="773"/>
      <c r="FX118" s="773"/>
      <c r="FY118" s="773"/>
      <c r="FZ118" s="773"/>
      <c r="GA118" s="773"/>
      <c r="GB118" s="773"/>
      <c r="GC118" s="773"/>
      <c r="GD118" s="773"/>
      <c r="GE118" s="773"/>
      <c r="GF118" s="773"/>
      <c r="GG118" s="773"/>
      <c r="GH118" s="773"/>
      <c r="GI118" s="773"/>
      <c r="GJ118" s="773"/>
      <c r="GK118" s="773"/>
      <c r="GL118" s="773"/>
      <c r="GM118" s="773"/>
      <c r="GN118" s="773"/>
      <c r="GO118" s="773"/>
      <c r="GP118" s="773"/>
      <c r="GQ118" s="773"/>
      <c r="GR118" s="773"/>
      <c r="GS118" s="773"/>
      <c r="GT118" s="773"/>
      <c r="GU118" s="773"/>
      <c r="GV118" s="773"/>
      <c r="GW118" s="773"/>
      <c r="GX118" s="773"/>
      <c r="GY118" s="773"/>
      <c r="GZ118" s="773"/>
    </row>
    <row r="119" spans="1:208" s="11" customFormat="1">
      <c r="A119" s="774"/>
      <c r="B119" s="3761" t="s">
        <v>1350</v>
      </c>
      <c r="C119" s="197">
        <v>202322</v>
      </c>
      <c r="D119" s="801" t="s">
        <v>2982</v>
      </c>
      <c r="E119" s="809">
        <f>IFERROR(VLOOKUP(C119,'AJE 12 - INC'!$D$168:$F$345,3,0),0)</f>
        <v>0</v>
      </c>
      <c r="F119" s="1325">
        <f>SUMIF('AJE 12 - INC'!B:B,'New TB INC'!C119,'AJE 12 - INC'!D:D)</f>
        <v>0</v>
      </c>
      <c r="G119" s="1326"/>
      <c r="H119" s="1326"/>
      <c r="I119" s="1326"/>
      <c r="J119" s="796">
        <f t="shared" si="10"/>
        <v>0</v>
      </c>
      <c r="K119" s="779"/>
      <c r="L119" s="434"/>
      <c r="M119" s="2679"/>
      <c r="N119" s="772"/>
      <c r="O119" s="772"/>
      <c r="P119" s="772"/>
      <c r="Q119" s="772"/>
      <c r="R119" s="772"/>
      <c r="S119" s="772"/>
      <c r="T119" s="773"/>
      <c r="AW119" s="2514"/>
      <c r="AX119" s="820"/>
      <c r="AY119" s="820"/>
      <c r="AZ119" s="820"/>
      <c r="BA119" s="30"/>
      <c r="BB119" s="30"/>
      <c r="BC119" s="2514"/>
      <c r="BD119" s="2514"/>
      <c r="BE119" s="2514"/>
      <c r="BF119" s="2514"/>
      <c r="BH119" s="2514"/>
      <c r="BI119" s="30"/>
      <c r="BJ119" s="30"/>
      <c r="BK119" s="30"/>
      <c r="BL119" s="30"/>
      <c r="BM119" s="30"/>
      <c r="BN119" s="30"/>
      <c r="BO119" s="209"/>
      <c r="BP119" s="209"/>
      <c r="BQ119" s="785"/>
      <c r="BR119" s="820"/>
      <c r="BS119" s="820"/>
      <c r="BT119" s="30"/>
      <c r="BU119" s="800"/>
      <c r="BV119" s="800"/>
      <c r="BW119" s="209"/>
      <c r="CA119" s="787"/>
      <c r="DB119" s="773"/>
      <c r="DC119" s="773"/>
      <c r="DD119" s="773"/>
      <c r="DE119" s="773"/>
      <c r="DF119" s="773"/>
      <c r="DG119" s="773"/>
      <c r="DH119" s="773"/>
      <c r="DI119" s="773"/>
      <c r="DJ119" s="773"/>
      <c r="DK119" s="773"/>
      <c r="DL119" s="773"/>
      <c r="DM119" s="773"/>
      <c r="DN119" s="773"/>
      <c r="DO119" s="773"/>
      <c r="DP119" s="773"/>
      <c r="DQ119" s="773"/>
      <c r="DR119" s="773"/>
      <c r="DS119" s="773"/>
      <c r="DT119" s="773"/>
      <c r="DU119" s="773"/>
      <c r="DV119" s="773"/>
      <c r="DW119" s="773"/>
      <c r="DX119" s="773"/>
      <c r="DY119" s="773"/>
      <c r="DZ119" s="773"/>
      <c r="EA119" s="773"/>
      <c r="EB119" s="773"/>
      <c r="EC119" s="773"/>
      <c r="ED119" s="773"/>
      <c r="EE119" s="773"/>
      <c r="EF119" s="773"/>
      <c r="EG119" s="773"/>
      <c r="EH119" s="773"/>
      <c r="EI119" s="773"/>
      <c r="EJ119" s="773"/>
      <c r="EK119" s="773"/>
      <c r="EL119" s="773"/>
      <c r="EM119" s="773"/>
      <c r="EN119" s="773"/>
      <c r="EO119" s="773"/>
      <c r="EP119" s="773"/>
      <c r="EQ119" s="773"/>
      <c r="ER119" s="773"/>
      <c r="ES119" s="773"/>
      <c r="ET119" s="773"/>
      <c r="EU119" s="773"/>
      <c r="EV119" s="773"/>
      <c r="EW119" s="773"/>
      <c r="EX119" s="773"/>
      <c r="EY119" s="773"/>
      <c r="EZ119" s="773"/>
      <c r="FA119" s="773"/>
      <c r="FB119" s="773"/>
      <c r="FC119" s="773"/>
      <c r="FD119" s="773"/>
      <c r="FE119" s="773"/>
      <c r="FF119" s="773"/>
      <c r="FG119" s="773"/>
      <c r="FH119" s="773"/>
      <c r="FI119" s="773"/>
      <c r="FJ119" s="773"/>
      <c r="FK119" s="773"/>
      <c r="FL119" s="773"/>
      <c r="FM119" s="773"/>
      <c r="FN119" s="773"/>
      <c r="FO119" s="773"/>
      <c r="FP119" s="773"/>
      <c r="FQ119" s="773"/>
      <c r="FR119" s="773"/>
      <c r="FS119" s="773"/>
      <c r="FT119" s="773"/>
      <c r="FU119" s="773"/>
      <c r="FV119" s="773"/>
      <c r="FW119" s="773"/>
      <c r="FX119" s="773"/>
      <c r="FY119" s="773"/>
      <c r="FZ119" s="773"/>
      <c r="GA119" s="773"/>
      <c r="GB119" s="773"/>
      <c r="GC119" s="773"/>
      <c r="GD119" s="773"/>
      <c r="GE119" s="773"/>
      <c r="GF119" s="773"/>
      <c r="GG119" s="773"/>
      <c r="GH119" s="773"/>
      <c r="GI119" s="773"/>
      <c r="GJ119" s="773"/>
      <c r="GK119" s="773"/>
      <c r="GL119" s="773"/>
      <c r="GM119" s="773"/>
      <c r="GN119" s="773"/>
      <c r="GO119" s="773"/>
      <c r="GP119" s="773"/>
      <c r="GQ119" s="773"/>
      <c r="GR119" s="773"/>
      <c r="GS119" s="773"/>
      <c r="GT119" s="773"/>
      <c r="GU119" s="773"/>
      <c r="GV119" s="773"/>
      <c r="GW119" s="773"/>
      <c r="GX119" s="773"/>
      <c r="GY119" s="773"/>
      <c r="GZ119" s="773"/>
    </row>
    <row r="120" spans="1:208" s="11" customFormat="1">
      <c r="A120" s="774"/>
      <c r="B120" s="3761" t="s">
        <v>1350</v>
      </c>
      <c r="C120" s="197">
        <v>203764</v>
      </c>
      <c r="D120" s="801" t="s">
        <v>2983</v>
      </c>
      <c r="E120" s="809">
        <f>IFERROR(VLOOKUP(C120,'AJE 12 - INC'!$D$168:$F$345,3,0),0)</f>
        <v>0</v>
      </c>
      <c r="F120" s="1325">
        <f>SUMIF('AJE 12 - INC'!B:B,'New TB INC'!C120,'AJE 12 - INC'!D:D)</f>
        <v>0</v>
      </c>
      <c r="G120" s="1326"/>
      <c r="H120" s="1326"/>
      <c r="I120" s="1326"/>
      <c r="J120" s="796">
        <f t="shared" si="10"/>
        <v>0</v>
      </c>
      <c r="K120" s="779"/>
      <c r="L120" s="434"/>
      <c r="M120" s="2679"/>
      <c r="N120" s="772"/>
      <c r="O120" s="772"/>
      <c r="P120" s="772"/>
      <c r="Q120" s="772"/>
      <c r="R120" s="772"/>
      <c r="S120" s="772"/>
      <c r="T120" s="773"/>
      <c r="AW120" s="2514"/>
      <c r="AX120" s="820"/>
      <c r="AY120" s="820"/>
      <c r="AZ120" s="820"/>
      <c r="BA120" s="30"/>
      <c r="BB120" s="30"/>
      <c r="BC120" s="2514"/>
      <c r="BD120" s="2514"/>
      <c r="BE120" s="2514"/>
      <c r="BF120" s="2514"/>
      <c r="BH120" s="2514"/>
      <c r="BI120" s="30"/>
      <c r="BJ120" s="30"/>
      <c r="BK120" s="30"/>
      <c r="BL120" s="30"/>
      <c r="BM120" s="30"/>
      <c r="BN120" s="30"/>
      <c r="BO120" s="209"/>
      <c r="BP120" s="209"/>
      <c r="BQ120" s="785"/>
      <c r="BR120" s="820"/>
      <c r="BS120" s="820"/>
      <c r="BT120" s="30"/>
      <c r="BU120" s="800"/>
      <c r="BV120" s="800"/>
      <c r="BW120" s="209"/>
      <c r="CA120" s="787"/>
      <c r="DB120" s="773"/>
      <c r="DC120" s="773"/>
      <c r="DD120" s="773"/>
      <c r="DE120" s="773"/>
      <c r="DF120" s="773"/>
      <c r="DG120" s="773"/>
      <c r="DH120" s="773"/>
      <c r="DI120" s="773"/>
      <c r="DJ120" s="773"/>
      <c r="DK120" s="773"/>
      <c r="DL120" s="773"/>
      <c r="DM120" s="773"/>
      <c r="DN120" s="773"/>
      <c r="DO120" s="773"/>
      <c r="DP120" s="773"/>
      <c r="DQ120" s="773"/>
      <c r="DR120" s="773"/>
      <c r="DS120" s="773"/>
      <c r="DT120" s="773"/>
      <c r="DU120" s="773"/>
      <c r="DV120" s="773"/>
      <c r="DW120" s="773"/>
      <c r="DX120" s="773"/>
      <c r="DY120" s="773"/>
      <c r="DZ120" s="773"/>
      <c r="EA120" s="773"/>
      <c r="EB120" s="773"/>
      <c r="EC120" s="773"/>
      <c r="ED120" s="773"/>
      <c r="EE120" s="773"/>
      <c r="EF120" s="773"/>
      <c r="EG120" s="773"/>
      <c r="EH120" s="773"/>
      <c r="EI120" s="773"/>
      <c r="EJ120" s="773"/>
      <c r="EK120" s="773"/>
      <c r="EL120" s="773"/>
      <c r="EM120" s="773"/>
      <c r="EN120" s="773"/>
      <c r="EO120" s="773"/>
      <c r="EP120" s="773"/>
      <c r="EQ120" s="773"/>
      <c r="ER120" s="773"/>
      <c r="ES120" s="773"/>
      <c r="ET120" s="773"/>
      <c r="EU120" s="773"/>
      <c r="EV120" s="773"/>
      <c r="EW120" s="773"/>
      <c r="EX120" s="773"/>
      <c r="EY120" s="773"/>
      <c r="EZ120" s="773"/>
      <c r="FA120" s="773"/>
      <c r="FB120" s="773"/>
      <c r="FC120" s="773"/>
      <c r="FD120" s="773"/>
      <c r="FE120" s="773"/>
      <c r="FF120" s="773"/>
      <c r="FG120" s="773"/>
      <c r="FH120" s="773"/>
      <c r="FI120" s="773"/>
      <c r="FJ120" s="773"/>
      <c r="FK120" s="773"/>
      <c r="FL120" s="773"/>
      <c r="FM120" s="773"/>
      <c r="FN120" s="773"/>
      <c r="FO120" s="773"/>
      <c r="FP120" s="773"/>
      <c r="FQ120" s="773"/>
      <c r="FR120" s="773"/>
      <c r="FS120" s="773"/>
      <c r="FT120" s="773"/>
      <c r="FU120" s="773"/>
      <c r="FV120" s="773"/>
      <c r="FW120" s="773"/>
      <c r="FX120" s="773"/>
      <c r="FY120" s="773"/>
      <c r="FZ120" s="773"/>
      <c r="GA120" s="773"/>
      <c r="GB120" s="773"/>
      <c r="GC120" s="773"/>
      <c r="GD120" s="773"/>
      <c r="GE120" s="773"/>
      <c r="GF120" s="773"/>
      <c r="GG120" s="773"/>
      <c r="GH120" s="773"/>
      <c r="GI120" s="773"/>
      <c r="GJ120" s="773"/>
      <c r="GK120" s="773"/>
      <c r="GL120" s="773"/>
      <c r="GM120" s="773"/>
      <c r="GN120" s="773"/>
      <c r="GO120" s="773"/>
      <c r="GP120" s="773"/>
      <c r="GQ120" s="773"/>
      <c r="GR120" s="773"/>
      <c r="GS120" s="773"/>
      <c r="GT120" s="773"/>
      <c r="GU120" s="773"/>
      <c r="GV120" s="773"/>
      <c r="GW120" s="773"/>
      <c r="GX120" s="773"/>
      <c r="GY120" s="773"/>
      <c r="GZ120" s="773"/>
    </row>
    <row r="121" spans="1:208" s="11" customFormat="1">
      <c r="A121" s="774"/>
      <c r="B121" s="3761" t="s">
        <v>1350</v>
      </c>
      <c r="C121" s="197">
        <v>203916</v>
      </c>
      <c r="D121" s="801" t="s">
        <v>2984</v>
      </c>
      <c r="E121" s="809">
        <f>IFERROR(VLOOKUP(C121,'AJE 12 - INC'!$D$168:$F$345,3,0),0)</f>
        <v>0</v>
      </c>
      <c r="F121" s="1325">
        <f>SUMIF('AJE 12 - INC'!B:B,'New TB INC'!C121,'AJE 12 - INC'!D:D)</f>
        <v>0</v>
      </c>
      <c r="G121" s="1326"/>
      <c r="H121" s="1326"/>
      <c r="I121" s="1326"/>
      <c r="J121" s="796">
        <f t="shared" si="10"/>
        <v>0</v>
      </c>
      <c r="K121" s="779"/>
      <c r="L121" s="434"/>
      <c r="M121" s="2679"/>
      <c r="N121" s="772"/>
      <c r="O121" s="772"/>
      <c r="P121" s="772"/>
      <c r="Q121" s="772"/>
      <c r="R121" s="772"/>
      <c r="S121" s="772"/>
      <c r="T121" s="773"/>
      <c r="AW121" s="2514"/>
      <c r="AX121" s="820"/>
      <c r="AY121" s="820"/>
      <c r="AZ121" s="820"/>
      <c r="BA121" s="30"/>
      <c r="BB121" s="30"/>
      <c r="BC121" s="2514"/>
      <c r="BD121" s="2514"/>
      <c r="BE121" s="2514"/>
      <c r="BF121" s="2514"/>
      <c r="BH121" s="2514"/>
      <c r="BI121" s="30"/>
      <c r="BJ121" s="30"/>
      <c r="BK121" s="30"/>
      <c r="BL121" s="30"/>
      <c r="BM121" s="30"/>
      <c r="BN121" s="30"/>
      <c r="BO121" s="209"/>
      <c r="BP121" s="209"/>
      <c r="BQ121" s="785"/>
      <c r="BR121" s="820"/>
      <c r="BS121" s="820"/>
      <c r="BT121" s="30"/>
      <c r="BU121" s="800"/>
      <c r="BV121" s="800"/>
      <c r="BW121" s="209"/>
      <c r="CA121" s="787"/>
      <c r="DB121" s="773"/>
      <c r="DC121" s="773"/>
      <c r="DD121" s="773"/>
      <c r="DE121" s="773"/>
      <c r="DF121" s="773"/>
      <c r="DG121" s="773"/>
      <c r="DH121" s="773"/>
      <c r="DI121" s="773"/>
      <c r="DJ121" s="773"/>
      <c r="DK121" s="773"/>
      <c r="DL121" s="773"/>
      <c r="DM121" s="773"/>
      <c r="DN121" s="773"/>
      <c r="DO121" s="773"/>
      <c r="DP121" s="773"/>
      <c r="DQ121" s="773"/>
      <c r="DR121" s="773"/>
      <c r="DS121" s="773"/>
      <c r="DT121" s="773"/>
      <c r="DU121" s="773"/>
      <c r="DV121" s="773"/>
      <c r="DW121" s="773"/>
      <c r="DX121" s="773"/>
      <c r="DY121" s="773"/>
      <c r="DZ121" s="773"/>
      <c r="EA121" s="773"/>
      <c r="EB121" s="773"/>
      <c r="EC121" s="773"/>
      <c r="ED121" s="773"/>
      <c r="EE121" s="773"/>
      <c r="EF121" s="773"/>
      <c r="EG121" s="773"/>
      <c r="EH121" s="773"/>
      <c r="EI121" s="773"/>
      <c r="EJ121" s="773"/>
      <c r="EK121" s="773"/>
      <c r="EL121" s="773"/>
      <c r="EM121" s="773"/>
      <c r="EN121" s="773"/>
      <c r="EO121" s="773"/>
      <c r="EP121" s="773"/>
      <c r="EQ121" s="773"/>
      <c r="ER121" s="773"/>
      <c r="ES121" s="773"/>
      <c r="ET121" s="773"/>
      <c r="EU121" s="773"/>
      <c r="EV121" s="773"/>
      <c r="EW121" s="773"/>
      <c r="EX121" s="773"/>
      <c r="EY121" s="773"/>
      <c r="EZ121" s="773"/>
      <c r="FA121" s="773"/>
      <c r="FB121" s="773"/>
      <c r="FC121" s="773"/>
      <c r="FD121" s="773"/>
      <c r="FE121" s="773"/>
      <c r="FF121" s="773"/>
      <c r="FG121" s="773"/>
      <c r="FH121" s="773"/>
      <c r="FI121" s="773"/>
      <c r="FJ121" s="773"/>
      <c r="FK121" s="773"/>
      <c r="FL121" s="773"/>
      <c r="FM121" s="773"/>
      <c r="FN121" s="773"/>
      <c r="FO121" s="773"/>
      <c r="FP121" s="773"/>
      <c r="FQ121" s="773"/>
      <c r="FR121" s="773"/>
      <c r="FS121" s="773"/>
      <c r="FT121" s="773"/>
      <c r="FU121" s="773"/>
      <c r="FV121" s="773"/>
      <c r="FW121" s="773"/>
      <c r="FX121" s="773"/>
      <c r="FY121" s="773"/>
      <c r="FZ121" s="773"/>
      <c r="GA121" s="773"/>
      <c r="GB121" s="773"/>
      <c r="GC121" s="773"/>
      <c r="GD121" s="773"/>
      <c r="GE121" s="773"/>
      <c r="GF121" s="773"/>
      <c r="GG121" s="773"/>
      <c r="GH121" s="773"/>
      <c r="GI121" s="773"/>
      <c r="GJ121" s="773"/>
      <c r="GK121" s="773"/>
      <c r="GL121" s="773"/>
      <c r="GM121" s="773"/>
      <c r="GN121" s="773"/>
      <c r="GO121" s="773"/>
      <c r="GP121" s="773"/>
      <c r="GQ121" s="773"/>
      <c r="GR121" s="773"/>
      <c r="GS121" s="773"/>
      <c r="GT121" s="773"/>
      <c r="GU121" s="773"/>
      <c r="GV121" s="773"/>
      <c r="GW121" s="773"/>
      <c r="GX121" s="773"/>
      <c r="GY121" s="773"/>
      <c r="GZ121" s="773"/>
    </row>
    <row r="122" spans="1:208" s="11" customFormat="1">
      <c r="A122" s="774"/>
      <c r="B122" s="3761" t="s">
        <v>1350</v>
      </c>
      <c r="C122" s="197">
        <v>204469</v>
      </c>
      <c r="D122" s="801" t="s">
        <v>2985</v>
      </c>
      <c r="E122" s="809">
        <f>IFERROR(VLOOKUP(C122,'AJE 12 - INC'!$D$168:$F$345,3,0),0)</f>
        <v>457065.95</v>
      </c>
      <c r="F122" s="1325">
        <f>SUMIF('AJE 12 - INC'!B:B,'New TB INC'!C122,'AJE 12 - INC'!D:D)</f>
        <v>0</v>
      </c>
      <c r="G122" s="1326"/>
      <c r="H122" s="1326"/>
      <c r="I122" s="1326"/>
      <c r="J122" s="796">
        <f t="shared" si="10"/>
        <v>457065.95</v>
      </c>
      <c r="K122" s="779"/>
      <c r="L122" s="434"/>
      <c r="M122" s="2679"/>
      <c r="N122" s="772"/>
      <c r="O122" s="772"/>
      <c r="P122" s="772"/>
      <c r="Q122" s="772"/>
      <c r="R122" s="772"/>
      <c r="S122" s="772"/>
      <c r="T122" s="773"/>
      <c r="AW122" s="2514"/>
      <c r="AX122" s="820"/>
      <c r="AY122" s="820"/>
      <c r="AZ122" s="820"/>
      <c r="BA122" s="30"/>
      <c r="BB122" s="30"/>
      <c r="BC122" s="2514"/>
      <c r="BD122" s="2514"/>
      <c r="BE122" s="2514"/>
      <c r="BF122" s="2514"/>
      <c r="BH122" s="2514"/>
      <c r="BI122" s="30"/>
      <c r="BJ122" s="30"/>
      <c r="BK122" s="30"/>
      <c r="BL122" s="30"/>
      <c r="BM122" s="30"/>
      <c r="BN122" s="30"/>
      <c r="BO122" s="209"/>
      <c r="BP122" s="209"/>
      <c r="BQ122" s="785"/>
      <c r="BR122" s="820"/>
      <c r="BS122" s="820"/>
      <c r="BT122" s="30"/>
      <c r="BU122" s="800"/>
      <c r="BV122" s="800"/>
      <c r="BW122" s="209"/>
      <c r="CA122" s="787"/>
      <c r="DB122" s="773"/>
      <c r="DC122" s="773"/>
      <c r="DD122" s="773"/>
      <c r="DE122" s="773"/>
      <c r="DF122" s="773"/>
      <c r="DG122" s="773"/>
      <c r="DH122" s="773"/>
      <c r="DI122" s="773"/>
      <c r="DJ122" s="773"/>
      <c r="DK122" s="773"/>
      <c r="DL122" s="773"/>
      <c r="DM122" s="773"/>
      <c r="DN122" s="773"/>
      <c r="DO122" s="773"/>
      <c r="DP122" s="773"/>
      <c r="DQ122" s="773"/>
      <c r="DR122" s="773"/>
      <c r="DS122" s="773"/>
      <c r="DT122" s="773"/>
      <c r="DU122" s="773"/>
      <c r="DV122" s="773"/>
      <c r="DW122" s="773"/>
      <c r="DX122" s="773"/>
      <c r="DY122" s="773"/>
      <c r="DZ122" s="773"/>
      <c r="EA122" s="773"/>
      <c r="EB122" s="773"/>
      <c r="EC122" s="773"/>
      <c r="ED122" s="773"/>
      <c r="EE122" s="773"/>
      <c r="EF122" s="773"/>
      <c r="EG122" s="773"/>
      <c r="EH122" s="773"/>
      <c r="EI122" s="773"/>
      <c r="EJ122" s="773"/>
      <c r="EK122" s="773"/>
      <c r="EL122" s="773"/>
      <c r="EM122" s="773"/>
      <c r="EN122" s="773"/>
      <c r="EO122" s="773"/>
      <c r="EP122" s="773"/>
      <c r="EQ122" s="773"/>
      <c r="ER122" s="773"/>
      <c r="ES122" s="773"/>
      <c r="ET122" s="773"/>
      <c r="EU122" s="773"/>
      <c r="EV122" s="773"/>
      <c r="EW122" s="773"/>
      <c r="EX122" s="773"/>
      <c r="EY122" s="773"/>
      <c r="EZ122" s="773"/>
      <c r="FA122" s="773"/>
      <c r="FB122" s="773"/>
      <c r="FC122" s="773"/>
      <c r="FD122" s="773"/>
      <c r="FE122" s="773"/>
      <c r="FF122" s="773"/>
      <c r="FG122" s="773"/>
      <c r="FH122" s="773"/>
      <c r="FI122" s="773"/>
      <c r="FJ122" s="773"/>
      <c r="FK122" s="773"/>
      <c r="FL122" s="773"/>
      <c r="FM122" s="773"/>
      <c r="FN122" s="773"/>
      <c r="FO122" s="773"/>
      <c r="FP122" s="773"/>
      <c r="FQ122" s="773"/>
      <c r="FR122" s="773"/>
      <c r="FS122" s="773"/>
      <c r="FT122" s="773"/>
      <c r="FU122" s="773"/>
      <c r="FV122" s="773"/>
      <c r="FW122" s="773"/>
      <c r="FX122" s="773"/>
      <c r="FY122" s="773"/>
      <c r="FZ122" s="773"/>
      <c r="GA122" s="773"/>
      <c r="GB122" s="773"/>
      <c r="GC122" s="773"/>
      <c r="GD122" s="773"/>
      <c r="GE122" s="773"/>
      <c r="GF122" s="773"/>
      <c r="GG122" s="773"/>
      <c r="GH122" s="773"/>
      <c r="GI122" s="773"/>
      <c r="GJ122" s="773"/>
      <c r="GK122" s="773"/>
      <c r="GL122" s="773"/>
      <c r="GM122" s="773"/>
      <c r="GN122" s="773"/>
      <c r="GO122" s="773"/>
      <c r="GP122" s="773"/>
      <c r="GQ122" s="773"/>
      <c r="GR122" s="773"/>
      <c r="GS122" s="773"/>
      <c r="GT122" s="773"/>
      <c r="GU122" s="773"/>
      <c r="GV122" s="773"/>
      <c r="GW122" s="773"/>
      <c r="GX122" s="773"/>
      <c r="GY122" s="773"/>
      <c r="GZ122" s="773"/>
    </row>
    <row r="123" spans="1:208" s="11" customFormat="1">
      <c r="A123" s="774"/>
      <c r="B123" s="3761" t="s">
        <v>1350</v>
      </c>
      <c r="C123" s="197">
        <v>204689</v>
      </c>
      <c r="D123" s="801" t="s">
        <v>2986</v>
      </c>
      <c r="E123" s="809">
        <f>IFERROR(VLOOKUP(C123,'AJE 12 - INC'!$D$168:$F$345,3,0),0)</f>
        <v>0</v>
      </c>
      <c r="F123" s="1325">
        <f>SUMIF('AJE 12 - INC'!B:B,'New TB INC'!C123,'AJE 12 - INC'!D:D)</f>
        <v>0</v>
      </c>
      <c r="G123" s="1326"/>
      <c r="H123" s="1326"/>
      <c r="I123" s="1326"/>
      <c r="J123" s="796">
        <f t="shared" si="10"/>
        <v>0</v>
      </c>
      <c r="K123" s="779"/>
      <c r="L123" s="434"/>
      <c r="M123" s="2679"/>
      <c r="N123" s="772"/>
      <c r="O123" s="772"/>
      <c r="P123" s="772"/>
      <c r="Q123" s="772"/>
      <c r="R123" s="772"/>
      <c r="S123" s="772"/>
      <c r="T123" s="773"/>
      <c r="AW123" s="2514"/>
      <c r="AX123" s="820"/>
      <c r="AY123" s="820"/>
      <c r="AZ123" s="820"/>
      <c r="BA123" s="30"/>
      <c r="BB123" s="30"/>
      <c r="BC123" s="2514"/>
      <c r="BD123" s="2514"/>
      <c r="BE123" s="2514"/>
      <c r="BF123" s="2514"/>
      <c r="BH123" s="2514"/>
      <c r="BI123" s="30"/>
      <c r="BJ123" s="30"/>
      <c r="BK123" s="30"/>
      <c r="BL123" s="30"/>
      <c r="BM123" s="30"/>
      <c r="BN123" s="30"/>
      <c r="BO123" s="209"/>
      <c r="BP123" s="209"/>
      <c r="BQ123" s="785"/>
      <c r="BR123" s="820"/>
      <c r="BS123" s="820"/>
      <c r="BT123" s="30"/>
      <c r="BU123" s="800"/>
      <c r="BV123" s="800"/>
      <c r="BW123" s="209"/>
      <c r="CA123" s="787"/>
      <c r="DB123" s="773"/>
      <c r="DC123" s="773"/>
      <c r="DD123" s="773"/>
      <c r="DE123" s="773"/>
      <c r="DF123" s="773"/>
      <c r="DG123" s="773"/>
      <c r="DH123" s="773"/>
      <c r="DI123" s="773"/>
      <c r="DJ123" s="773"/>
      <c r="DK123" s="773"/>
      <c r="DL123" s="773"/>
      <c r="DM123" s="773"/>
      <c r="DN123" s="773"/>
      <c r="DO123" s="773"/>
      <c r="DP123" s="773"/>
      <c r="DQ123" s="773"/>
      <c r="DR123" s="773"/>
      <c r="DS123" s="773"/>
      <c r="DT123" s="773"/>
      <c r="DU123" s="773"/>
      <c r="DV123" s="773"/>
      <c r="DW123" s="773"/>
      <c r="DX123" s="773"/>
      <c r="DY123" s="773"/>
      <c r="DZ123" s="773"/>
      <c r="EA123" s="773"/>
      <c r="EB123" s="773"/>
      <c r="EC123" s="773"/>
      <c r="ED123" s="773"/>
      <c r="EE123" s="773"/>
      <c r="EF123" s="773"/>
      <c r="EG123" s="773"/>
      <c r="EH123" s="773"/>
      <c r="EI123" s="773"/>
      <c r="EJ123" s="773"/>
      <c r="EK123" s="773"/>
      <c r="EL123" s="773"/>
      <c r="EM123" s="773"/>
      <c r="EN123" s="773"/>
      <c r="EO123" s="773"/>
      <c r="EP123" s="773"/>
      <c r="EQ123" s="773"/>
      <c r="ER123" s="773"/>
      <c r="ES123" s="773"/>
      <c r="ET123" s="773"/>
      <c r="EU123" s="773"/>
      <c r="EV123" s="773"/>
      <c r="EW123" s="773"/>
      <c r="EX123" s="773"/>
      <c r="EY123" s="773"/>
      <c r="EZ123" s="773"/>
      <c r="FA123" s="773"/>
      <c r="FB123" s="773"/>
      <c r="FC123" s="773"/>
      <c r="FD123" s="773"/>
      <c r="FE123" s="773"/>
      <c r="FF123" s="773"/>
      <c r="FG123" s="773"/>
      <c r="FH123" s="773"/>
      <c r="FI123" s="773"/>
      <c r="FJ123" s="773"/>
      <c r="FK123" s="773"/>
      <c r="FL123" s="773"/>
      <c r="FM123" s="773"/>
      <c r="FN123" s="773"/>
      <c r="FO123" s="773"/>
      <c r="FP123" s="773"/>
      <c r="FQ123" s="773"/>
      <c r="FR123" s="773"/>
      <c r="FS123" s="773"/>
      <c r="FT123" s="773"/>
      <c r="FU123" s="773"/>
      <c r="FV123" s="773"/>
      <c r="FW123" s="773"/>
      <c r="FX123" s="773"/>
      <c r="FY123" s="773"/>
      <c r="FZ123" s="773"/>
      <c r="GA123" s="773"/>
      <c r="GB123" s="773"/>
      <c r="GC123" s="773"/>
      <c r="GD123" s="773"/>
      <c r="GE123" s="773"/>
      <c r="GF123" s="773"/>
      <c r="GG123" s="773"/>
      <c r="GH123" s="773"/>
      <c r="GI123" s="773"/>
      <c r="GJ123" s="773"/>
      <c r="GK123" s="773"/>
      <c r="GL123" s="773"/>
      <c r="GM123" s="773"/>
      <c r="GN123" s="773"/>
      <c r="GO123" s="773"/>
      <c r="GP123" s="773"/>
      <c r="GQ123" s="773"/>
      <c r="GR123" s="773"/>
      <c r="GS123" s="773"/>
      <c r="GT123" s="773"/>
      <c r="GU123" s="773"/>
      <c r="GV123" s="773"/>
      <c r="GW123" s="773"/>
      <c r="GX123" s="773"/>
      <c r="GY123" s="773"/>
      <c r="GZ123" s="773"/>
    </row>
    <row r="124" spans="1:208" s="11" customFormat="1">
      <c r="A124" s="774"/>
      <c r="B124" s="3761" t="s">
        <v>1350</v>
      </c>
      <c r="C124" s="197">
        <v>204727</v>
      </c>
      <c r="D124" s="801" t="s">
        <v>2987</v>
      </c>
      <c r="E124" s="809">
        <f>IFERROR(VLOOKUP(C124,'AJE 12 - INC'!$D$168:$F$345,3,0),0)</f>
        <v>6000.06</v>
      </c>
      <c r="F124" s="1325">
        <f>SUMIF('AJE 12 - INC'!B:B,'New TB INC'!C124,'AJE 12 - INC'!D:D)</f>
        <v>0</v>
      </c>
      <c r="G124" s="1326"/>
      <c r="H124" s="1326"/>
      <c r="I124" s="1326"/>
      <c r="J124" s="796">
        <f t="shared" si="10"/>
        <v>6000.06</v>
      </c>
      <c r="K124" s="779"/>
      <c r="L124" s="434"/>
      <c r="M124" s="2679"/>
      <c r="N124" s="772"/>
      <c r="O124" s="772"/>
      <c r="P124" s="772"/>
      <c r="Q124" s="772"/>
      <c r="R124" s="772"/>
      <c r="S124" s="772"/>
      <c r="T124" s="773"/>
      <c r="AW124" s="2514"/>
      <c r="AX124" s="820"/>
      <c r="AY124" s="820"/>
      <c r="AZ124" s="820"/>
      <c r="BA124" s="30"/>
      <c r="BB124" s="30"/>
      <c r="BC124" s="2514"/>
      <c r="BD124" s="2514"/>
      <c r="BE124" s="2514"/>
      <c r="BF124" s="2514"/>
      <c r="BH124" s="2514"/>
      <c r="BI124" s="30"/>
      <c r="BJ124" s="30"/>
      <c r="BK124" s="30"/>
      <c r="BL124" s="30"/>
      <c r="BM124" s="30"/>
      <c r="BN124" s="30"/>
      <c r="BO124" s="209"/>
      <c r="BP124" s="209"/>
      <c r="BQ124" s="785"/>
      <c r="BR124" s="820"/>
      <c r="BS124" s="820"/>
      <c r="BT124" s="30"/>
      <c r="BU124" s="800"/>
      <c r="BV124" s="800"/>
      <c r="BW124" s="209"/>
      <c r="CA124" s="787"/>
      <c r="DB124" s="773"/>
      <c r="DC124" s="773"/>
      <c r="DD124" s="773"/>
      <c r="DE124" s="773"/>
      <c r="DF124" s="773"/>
      <c r="DG124" s="773"/>
      <c r="DH124" s="773"/>
      <c r="DI124" s="773"/>
      <c r="DJ124" s="773"/>
      <c r="DK124" s="773"/>
      <c r="DL124" s="773"/>
      <c r="DM124" s="773"/>
      <c r="DN124" s="773"/>
      <c r="DO124" s="773"/>
      <c r="DP124" s="773"/>
      <c r="DQ124" s="773"/>
      <c r="DR124" s="773"/>
      <c r="DS124" s="773"/>
      <c r="DT124" s="773"/>
      <c r="DU124" s="773"/>
      <c r="DV124" s="773"/>
      <c r="DW124" s="773"/>
      <c r="DX124" s="773"/>
      <c r="DY124" s="773"/>
      <c r="DZ124" s="773"/>
      <c r="EA124" s="773"/>
      <c r="EB124" s="773"/>
      <c r="EC124" s="773"/>
      <c r="ED124" s="773"/>
      <c r="EE124" s="773"/>
      <c r="EF124" s="773"/>
      <c r="EG124" s="773"/>
      <c r="EH124" s="773"/>
      <c r="EI124" s="773"/>
      <c r="EJ124" s="773"/>
      <c r="EK124" s="773"/>
      <c r="EL124" s="773"/>
      <c r="EM124" s="773"/>
      <c r="EN124" s="773"/>
      <c r="EO124" s="773"/>
      <c r="EP124" s="773"/>
      <c r="EQ124" s="773"/>
      <c r="ER124" s="773"/>
      <c r="ES124" s="773"/>
      <c r="ET124" s="773"/>
      <c r="EU124" s="773"/>
      <c r="EV124" s="773"/>
      <c r="EW124" s="773"/>
      <c r="EX124" s="773"/>
      <c r="EY124" s="773"/>
      <c r="EZ124" s="773"/>
      <c r="FA124" s="773"/>
      <c r="FB124" s="773"/>
      <c r="FC124" s="773"/>
      <c r="FD124" s="773"/>
      <c r="FE124" s="773"/>
      <c r="FF124" s="773"/>
      <c r="FG124" s="773"/>
      <c r="FH124" s="773"/>
      <c r="FI124" s="773"/>
      <c r="FJ124" s="773"/>
      <c r="FK124" s="773"/>
      <c r="FL124" s="773"/>
      <c r="FM124" s="773"/>
      <c r="FN124" s="773"/>
      <c r="FO124" s="773"/>
      <c r="FP124" s="773"/>
      <c r="FQ124" s="773"/>
      <c r="FR124" s="773"/>
      <c r="FS124" s="773"/>
      <c r="FT124" s="773"/>
      <c r="FU124" s="773"/>
      <c r="FV124" s="773"/>
      <c r="FW124" s="773"/>
      <c r="FX124" s="773"/>
      <c r="FY124" s="773"/>
      <c r="FZ124" s="773"/>
      <c r="GA124" s="773"/>
      <c r="GB124" s="773"/>
      <c r="GC124" s="773"/>
      <c r="GD124" s="773"/>
      <c r="GE124" s="773"/>
      <c r="GF124" s="773"/>
      <c r="GG124" s="773"/>
      <c r="GH124" s="773"/>
      <c r="GI124" s="773"/>
      <c r="GJ124" s="773"/>
      <c r="GK124" s="773"/>
      <c r="GL124" s="773"/>
      <c r="GM124" s="773"/>
      <c r="GN124" s="773"/>
      <c r="GO124" s="773"/>
      <c r="GP124" s="773"/>
      <c r="GQ124" s="773"/>
      <c r="GR124" s="773"/>
      <c r="GS124" s="773"/>
      <c r="GT124" s="773"/>
      <c r="GU124" s="773"/>
      <c r="GV124" s="773"/>
      <c r="GW124" s="773"/>
      <c r="GX124" s="773"/>
      <c r="GY124" s="773"/>
      <c r="GZ124" s="773"/>
    </row>
    <row r="125" spans="1:208" s="11" customFormat="1">
      <c r="A125" s="774"/>
      <c r="B125" s="3761" t="s">
        <v>1350</v>
      </c>
      <c r="C125" s="197">
        <v>209199</v>
      </c>
      <c r="D125" s="801" t="s">
        <v>2988</v>
      </c>
      <c r="E125" s="809">
        <f>IFERROR(VLOOKUP(C125,'AJE 12 - INC'!$D$168:$F$345,3,0),0)</f>
        <v>0</v>
      </c>
      <c r="F125" s="1325">
        <f>SUMIF('AJE 12 - INC'!B:B,'New TB INC'!C125,'AJE 12 - INC'!D:D)</f>
        <v>0</v>
      </c>
      <c r="G125" s="1326"/>
      <c r="H125" s="1326"/>
      <c r="I125" s="1326"/>
      <c r="J125" s="796">
        <f t="shared" si="10"/>
        <v>0</v>
      </c>
      <c r="K125" s="779"/>
      <c r="L125" s="434"/>
      <c r="M125" s="2679"/>
      <c r="N125" s="772"/>
      <c r="O125" s="772"/>
      <c r="P125" s="772"/>
      <c r="Q125" s="772"/>
      <c r="R125" s="772"/>
      <c r="S125" s="772"/>
      <c r="T125" s="773"/>
      <c r="AW125" s="2514"/>
      <c r="AX125" s="820"/>
      <c r="AY125" s="820"/>
      <c r="AZ125" s="820"/>
      <c r="BA125" s="30"/>
      <c r="BB125" s="30"/>
      <c r="BC125" s="2514"/>
      <c r="BD125" s="2514"/>
      <c r="BE125" s="2514"/>
      <c r="BF125" s="2514"/>
      <c r="BH125" s="2514"/>
      <c r="BI125" s="30"/>
      <c r="BJ125" s="30"/>
      <c r="BK125" s="30"/>
      <c r="BL125" s="30"/>
      <c r="BM125" s="30"/>
      <c r="BN125" s="30"/>
      <c r="BO125" s="209"/>
      <c r="BP125" s="209"/>
      <c r="BQ125" s="785"/>
      <c r="BR125" s="820"/>
      <c r="BS125" s="820"/>
      <c r="BT125" s="30"/>
      <c r="BU125" s="800"/>
      <c r="BV125" s="800"/>
      <c r="BW125" s="209"/>
      <c r="CA125" s="787"/>
      <c r="DB125" s="773"/>
      <c r="DC125" s="773"/>
      <c r="DD125" s="773"/>
      <c r="DE125" s="773"/>
      <c r="DF125" s="773"/>
      <c r="DG125" s="773"/>
      <c r="DH125" s="773"/>
      <c r="DI125" s="773"/>
      <c r="DJ125" s="773"/>
      <c r="DK125" s="773"/>
      <c r="DL125" s="773"/>
      <c r="DM125" s="773"/>
      <c r="DN125" s="773"/>
      <c r="DO125" s="773"/>
      <c r="DP125" s="773"/>
      <c r="DQ125" s="773"/>
      <c r="DR125" s="773"/>
      <c r="DS125" s="773"/>
      <c r="DT125" s="773"/>
      <c r="DU125" s="773"/>
      <c r="DV125" s="773"/>
      <c r="DW125" s="773"/>
      <c r="DX125" s="773"/>
      <c r="DY125" s="773"/>
      <c r="DZ125" s="773"/>
      <c r="EA125" s="773"/>
      <c r="EB125" s="773"/>
      <c r="EC125" s="773"/>
      <c r="ED125" s="773"/>
      <c r="EE125" s="773"/>
      <c r="EF125" s="773"/>
      <c r="EG125" s="773"/>
      <c r="EH125" s="773"/>
      <c r="EI125" s="773"/>
      <c r="EJ125" s="773"/>
      <c r="EK125" s="773"/>
      <c r="EL125" s="773"/>
      <c r="EM125" s="773"/>
      <c r="EN125" s="773"/>
      <c r="EO125" s="773"/>
      <c r="EP125" s="773"/>
      <c r="EQ125" s="773"/>
      <c r="ER125" s="773"/>
      <c r="ES125" s="773"/>
      <c r="ET125" s="773"/>
      <c r="EU125" s="773"/>
      <c r="EV125" s="773"/>
      <c r="EW125" s="773"/>
      <c r="EX125" s="773"/>
      <c r="EY125" s="773"/>
      <c r="EZ125" s="773"/>
      <c r="FA125" s="773"/>
      <c r="FB125" s="773"/>
      <c r="FC125" s="773"/>
      <c r="FD125" s="773"/>
      <c r="FE125" s="773"/>
      <c r="FF125" s="773"/>
      <c r="FG125" s="773"/>
      <c r="FH125" s="773"/>
      <c r="FI125" s="773"/>
      <c r="FJ125" s="773"/>
      <c r="FK125" s="773"/>
      <c r="FL125" s="773"/>
      <c r="FM125" s="773"/>
      <c r="FN125" s="773"/>
      <c r="FO125" s="773"/>
      <c r="FP125" s="773"/>
      <c r="FQ125" s="773"/>
      <c r="FR125" s="773"/>
      <c r="FS125" s="773"/>
      <c r="FT125" s="773"/>
      <c r="FU125" s="773"/>
      <c r="FV125" s="773"/>
      <c r="FW125" s="773"/>
      <c r="FX125" s="773"/>
      <c r="FY125" s="773"/>
      <c r="FZ125" s="773"/>
      <c r="GA125" s="773"/>
      <c r="GB125" s="773"/>
      <c r="GC125" s="773"/>
      <c r="GD125" s="773"/>
      <c r="GE125" s="773"/>
      <c r="GF125" s="773"/>
      <c r="GG125" s="773"/>
      <c r="GH125" s="773"/>
      <c r="GI125" s="773"/>
      <c r="GJ125" s="773"/>
      <c r="GK125" s="773"/>
      <c r="GL125" s="773"/>
      <c r="GM125" s="773"/>
      <c r="GN125" s="773"/>
      <c r="GO125" s="773"/>
      <c r="GP125" s="773"/>
      <c r="GQ125" s="773"/>
      <c r="GR125" s="773"/>
      <c r="GS125" s="773"/>
      <c r="GT125" s="773"/>
      <c r="GU125" s="773"/>
      <c r="GV125" s="773"/>
      <c r="GW125" s="773"/>
      <c r="GX125" s="773"/>
      <c r="GY125" s="773"/>
      <c r="GZ125" s="773"/>
    </row>
    <row r="126" spans="1:208" s="11" customFormat="1">
      <c r="A126" s="774"/>
      <c r="B126" s="3761" t="s">
        <v>1350</v>
      </c>
      <c r="C126" s="197">
        <v>210041</v>
      </c>
      <c r="D126" s="801" t="s">
        <v>2989</v>
      </c>
      <c r="E126" s="809">
        <f>IFERROR(VLOOKUP(C126,'AJE 12 - INC'!$D$168:$F$345,3,0),0)</f>
        <v>0</v>
      </c>
      <c r="F126" s="1325">
        <f>SUMIF('AJE 12 - INC'!B:B,'New TB INC'!C126,'AJE 12 - INC'!D:D)</f>
        <v>0</v>
      </c>
      <c r="G126" s="1326"/>
      <c r="H126" s="1326"/>
      <c r="I126" s="1326"/>
      <c r="J126" s="796">
        <f t="shared" si="10"/>
        <v>0</v>
      </c>
      <c r="K126" s="779"/>
      <c r="L126" s="434"/>
      <c r="M126" s="2679"/>
      <c r="N126" s="772"/>
      <c r="O126" s="772"/>
      <c r="P126" s="772"/>
      <c r="Q126" s="772"/>
      <c r="R126" s="772"/>
      <c r="S126" s="772"/>
      <c r="T126" s="773"/>
      <c r="AW126" s="2514"/>
      <c r="AX126" s="820"/>
      <c r="AY126" s="820"/>
      <c r="AZ126" s="820"/>
      <c r="BA126" s="30"/>
      <c r="BB126" s="30"/>
      <c r="BC126" s="2514"/>
      <c r="BD126" s="2514"/>
      <c r="BE126" s="2514"/>
      <c r="BF126" s="2514"/>
      <c r="BH126" s="2514"/>
      <c r="BI126" s="30"/>
      <c r="BJ126" s="30"/>
      <c r="BK126" s="30"/>
      <c r="BL126" s="30"/>
      <c r="BM126" s="30"/>
      <c r="BN126" s="30"/>
      <c r="BO126" s="209"/>
      <c r="BP126" s="209"/>
      <c r="BQ126" s="785"/>
      <c r="BR126" s="820"/>
      <c r="BS126" s="820"/>
      <c r="BT126" s="30"/>
      <c r="BU126" s="800"/>
      <c r="BV126" s="800"/>
      <c r="BW126" s="209"/>
      <c r="CA126" s="787"/>
      <c r="DB126" s="773"/>
      <c r="DC126" s="773"/>
      <c r="DD126" s="773"/>
      <c r="DE126" s="773"/>
      <c r="DF126" s="773"/>
      <c r="DG126" s="773"/>
      <c r="DH126" s="773"/>
      <c r="DI126" s="773"/>
      <c r="DJ126" s="773"/>
      <c r="DK126" s="773"/>
      <c r="DL126" s="773"/>
      <c r="DM126" s="773"/>
      <c r="DN126" s="773"/>
      <c r="DO126" s="773"/>
      <c r="DP126" s="773"/>
      <c r="DQ126" s="773"/>
      <c r="DR126" s="773"/>
      <c r="DS126" s="773"/>
      <c r="DT126" s="773"/>
      <c r="DU126" s="773"/>
      <c r="DV126" s="773"/>
      <c r="DW126" s="773"/>
      <c r="DX126" s="773"/>
      <c r="DY126" s="773"/>
      <c r="DZ126" s="773"/>
      <c r="EA126" s="773"/>
      <c r="EB126" s="773"/>
      <c r="EC126" s="773"/>
      <c r="ED126" s="773"/>
      <c r="EE126" s="773"/>
      <c r="EF126" s="773"/>
      <c r="EG126" s="773"/>
      <c r="EH126" s="773"/>
      <c r="EI126" s="773"/>
      <c r="EJ126" s="773"/>
      <c r="EK126" s="773"/>
      <c r="EL126" s="773"/>
      <c r="EM126" s="773"/>
      <c r="EN126" s="773"/>
      <c r="EO126" s="773"/>
      <c r="EP126" s="773"/>
      <c r="EQ126" s="773"/>
      <c r="ER126" s="773"/>
      <c r="ES126" s="773"/>
      <c r="ET126" s="773"/>
      <c r="EU126" s="773"/>
      <c r="EV126" s="773"/>
      <c r="EW126" s="773"/>
      <c r="EX126" s="773"/>
      <c r="EY126" s="773"/>
      <c r="EZ126" s="773"/>
      <c r="FA126" s="773"/>
      <c r="FB126" s="773"/>
      <c r="FC126" s="773"/>
      <c r="FD126" s="773"/>
      <c r="FE126" s="773"/>
      <c r="FF126" s="773"/>
      <c r="FG126" s="773"/>
      <c r="FH126" s="773"/>
      <c r="FI126" s="773"/>
      <c r="FJ126" s="773"/>
      <c r="FK126" s="773"/>
      <c r="FL126" s="773"/>
      <c r="FM126" s="773"/>
      <c r="FN126" s="773"/>
      <c r="FO126" s="773"/>
      <c r="FP126" s="773"/>
      <c r="FQ126" s="773"/>
      <c r="FR126" s="773"/>
      <c r="FS126" s="773"/>
      <c r="FT126" s="773"/>
      <c r="FU126" s="773"/>
      <c r="FV126" s="773"/>
      <c r="FW126" s="773"/>
      <c r="FX126" s="773"/>
      <c r="FY126" s="773"/>
      <c r="FZ126" s="773"/>
      <c r="GA126" s="773"/>
      <c r="GB126" s="773"/>
      <c r="GC126" s="773"/>
      <c r="GD126" s="773"/>
      <c r="GE126" s="773"/>
      <c r="GF126" s="773"/>
      <c r="GG126" s="773"/>
      <c r="GH126" s="773"/>
      <c r="GI126" s="773"/>
      <c r="GJ126" s="773"/>
      <c r="GK126" s="773"/>
      <c r="GL126" s="773"/>
      <c r="GM126" s="773"/>
      <c r="GN126" s="773"/>
      <c r="GO126" s="773"/>
      <c r="GP126" s="773"/>
      <c r="GQ126" s="773"/>
      <c r="GR126" s="773"/>
      <c r="GS126" s="773"/>
      <c r="GT126" s="773"/>
      <c r="GU126" s="773"/>
      <c r="GV126" s="773"/>
      <c r="GW126" s="773"/>
      <c r="GX126" s="773"/>
      <c r="GY126" s="773"/>
      <c r="GZ126" s="773"/>
    </row>
    <row r="127" spans="1:208" s="11" customFormat="1">
      <c r="A127" s="774"/>
      <c r="B127" s="3761" t="s">
        <v>1350</v>
      </c>
      <c r="C127" s="197">
        <v>213009</v>
      </c>
      <c r="D127" s="801" t="s">
        <v>2990</v>
      </c>
      <c r="E127" s="809">
        <f>IFERROR(VLOOKUP(C127,'AJE 12 - INC'!$D$168:$F$345,3,0),0)</f>
        <v>0</v>
      </c>
      <c r="F127" s="1325">
        <f>SUMIF('AJE 12 - INC'!B:B,'New TB INC'!C127,'AJE 12 - INC'!D:D)</f>
        <v>0</v>
      </c>
      <c r="G127" s="1326"/>
      <c r="H127" s="1326"/>
      <c r="I127" s="1326"/>
      <c r="J127" s="796">
        <f t="shared" si="10"/>
        <v>0</v>
      </c>
      <c r="K127" s="779"/>
      <c r="L127" s="434"/>
      <c r="M127" s="2679"/>
      <c r="N127" s="772"/>
      <c r="O127" s="772"/>
      <c r="P127" s="772"/>
      <c r="Q127" s="772"/>
      <c r="R127" s="772"/>
      <c r="S127" s="772"/>
      <c r="T127" s="773"/>
      <c r="AW127" s="2514"/>
      <c r="AX127" s="820"/>
      <c r="AY127" s="820"/>
      <c r="AZ127" s="820"/>
      <c r="BA127" s="30"/>
      <c r="BB127" s="30"/>
      <c r="BC127" s="2514"/>
      <c r="BD127" s="2514"/>
      <c r="BE127" s="2514"/>
      <c r="BF127" s="2514"/>
      <c r="BH127" s="2514"/>
      <c r="BI127" s="30"/>
      <c r="BJ127" s="30"/>
      <c r="BK127" s="30"/>
      <c r="BL127" s="30"/>
      <c r="BM127" s="30"/>
      <c r="BN127" s="30"/>
      <c r="BO127" s="209"/>
      <c r="BP127" s="209"/>
      <c r="BQ127" s="785"/>
      <c r="BR127" s="820"/>
      <c r="BS127" s="820"/>
      <c r="BT127" s="30"/>
      <c r="BU127" s="800"/>
      <c r="BV127" s="800"/>
      <c r="BW127" s="209"/>
      <c r="CA127" s="787"/>
      <c r="DB127" s="773"/>
      <c r="DC127" s="773"/>
      <c r="DD127" s="773"/>
      <c r="DE127" s="773"/>
      <c r="DF127" s="773"/>
      <c r="DG127" s="773"/>
      <c r="DH127" s="773"/>
      <c r="DI127" s="773"/>
      <c r="DJ127" s="773"/>
      <c r="DK127" s="773"/>
      <c r="DL127" s="773"/>
      <c r="DM127" s="773"/>
      <c r="DN127" s="773"/>
      <c r="DO127" s="773"/>
      <c r="DP127" s="773"/>
      <c r="DQ127" s="773"/>
      <c r="DR127" s="773"/>
      <c r="DS127" s="773"/>
      <c r="DT127" s="773"/>
      <c r="DU127" s="773"/>
      <c r="DV127" s="773"/>
      <c r="DW127" s="773"/>
      <c r="DX127" s="773"/>
      <c r="DY127" s="773"/>
      <c r="DZ127" s="773"/>
      <c r="EA127" s="773"/>
      <c r="EB127" s="773"/>
      <c r="EC127" s="773"/>
      <c r="ED127" s="773"/>
      <c r="EE127" s="773"/>
      <c r="EF127" s="773"/>
      <c r="EG127" s="773"/>
      <c r="EH127" s="773"/>
      <c r="EI127" s="773"/>
      <c r="EJ127" s="773"/>
      <c r="EK127" s="773"/>
      <c r="EL127" s="773"/>
      <c r="EM127" s="773"/>
      <c r="EN127" s="773"/>
      <c r="EO127" s="773"/>
      <c r="EP127" s="773"/>
      <c r="EQ127" s="773"/>
      <c r="ER127" s="773"/>
      <c r="ES127" s="773"/>
      <c r="ET127" s="773"/>
      <c r="EU127" s="773"/>
      <c r="EV127" s="773"/>
      <c r="EW127" s="773"/>
      <c r="EX127" s="773"/>
      <c r="EY127" s="773"/>
      <c r="EZ127" s="773"/>
      <c r="FA127" s="773"/>
      <c r="FB127" s="773"/>
      <c r="FC127" s="773"/>
      <c r="FD127" s="773"/>
      <c r="FE127" s="773"/>
      <c r="FF127" s="773"/>
      <c r="FG127" s="773"/>
      <c r="FH127" s="773"/>
      <c r="FI127" s="773"/>
      <c r="FJ127" s="773"/>
      <c r="FK127" s="773"/>
      <c r="FL127" s="773"/>
      <c r="FM127" s="773"/>
      <c r="FN127" s="773"/>
      <c r="FO127" s="773"/>
      <c r="FP127" s="773"/>
      <c r="FQ127" s="773"/>
      <c r="FR127" s="773"/>
      <c r="FS127" s="773"/>
      <c r="FT127" s="773"/>
      <c r="FU127" s="773"/>
      <c r="FV127" s="773"/>
      <c r="FW127" s="773"/>
      <c r="FX127" s="773"/>
      <c r="FY127" s="773"/>
      <c r="FZ127" s="773"/>
      <c r="GA127" s="773"/>
      <c r="GB127" s="773"/>
      <c r="GC127" s="773"/>
      <c r="GD127" s="773"/>
      <c r="GE127" s="773"/>
      <c r="GF127" s="773"/>
      <c r="GG127" s="773"/>
      <c r="GH127" s="773"/>
      <c r="GI127" s="773"/>
      <c r="GJ127" s="773"/>
      <c r="GK127" s="773"/>
      <c r="GL127" s="773"/>
      <c r="GM127" s="773"/>
      <c r="GN127" s="773"/>
      <c r="GO127" s="773"/>
      <c r="GP127" s="773"/>
      <c r="GQ127" s="773"/>
      <c r="GR127" s="773"/>
      <c r="GS127" s="773"/>
      <c r="GT127" s="773"/>
      <c r="GU127" s="773"/>
      <c r="GV127" s="773"/>
      <c r="GW127" s="773"/>
      <c r="GX127" s="773"/>
      <c r="GY127" s="773"/>
      <c r="GZ127" s="773"/>
    </row>
    <row r="128" spans="1:208" s="11" customFormat="1">
      <c r="A128" s="774"/>
      <c r="B128" s="3761" t="s">
        <v>1350</v>
      </c>
      <c r="C128" s="197">
        <v>215223</v>
      </c>
      <c r="D128" s="801" t="s">
        <v>2991</v>
      </c>
      <c r="E128" s="809">
        <f>IFERROR(VLOOKUP(C128,'AJE 12 - INC'!$D$168:$F$345,3,0),0)</f>
        <v>0</v>
      </c>
      <c r="F128" s="1325">
        <f>SUMIF('AJE 12 - INC'!B:B,'New TB INC'!C128,'AJE 12 - INC'!D:D)</f>
        <v>0</v>
      </c>
      <c r="G128" s="1326"/>
      <c r="H128" s="1326"/>
      <c r="I128" s="1326"/>
      <c r="J128" s="796">
        <f t="shared" si="10"/>
        <v>0</v>
      </c>
      <c r="K128" s="779"/>
      <c r="L128" s="434"/>
      <c r="M128" s="2679"/>
      <c r="N128" s="772"/>
      <c r="O128" s="772"/>
      <c r="P128" s="772"/>
      <c r="Q128" s="772"/>
      <c r="R128" s="772"/>
      <c r="S128" s="772"/>
      <c r="T128" s="773"/>
      <c r="AW128" s="2514"/>
      <c r="AX128" s="820"/>
      <c r="AY128" s="820"/>
      <c r="AZ128" s="820"/>
      <c r="BA128" s="30"/>
      <c r="BB128" s="30"/>
      <c r="BC128" s="2514"/>
      <c r="BD128" s="2514"/>
      <c r="BE128" s="2514"/>
      <c r="BF128" s="2514"/>
      <c r="BH128" s="2514"/>
      <c r="BI128" s="30"/>
      <c r="BJ128" s="30"/>
      <c r="BK128" s="30"/>
      <c r="BL128" s="30"/>
      <c r="BM128" s="30"/>
      <c r="BN128" s="30"/>
      <c r="BO128" s="209"/>
      <c r="BP128" s="209"/>
      <c r="BQ128" s="785"/>
      <c r="BR128" s="820"/>
      <c r="BS128" s="820"/>
      <c r="BT128" s="30"/>
      <c r="BU128" s="800"/>
      <c r="BV128" s="800"/>
      <c r="BW128" s="209"/>
      <c r="CA128" s="787"/>
      <c r="DB128" s="773"/>
      <c r="DC128" s="773"/>
      <c r="DD128" s="773"/>
      <c r="DE128" s="773"/>
      <c r="DF128" s="773"/>
      <c r="DG128" s="773"/>
      <c r="DH128" s="773"/>
      <c r="DI128" s="773"/>
      <c r="DJ128" s="773"/>
      <c r="DK128" s="773"/>
      <c r="DL128" s="773"/>
      <c r="DM128" s="773"/>
      <c r="DN128" s="773"/>
      <c r="DO128" s="773"/>
      <c r="DP128" s="773"/>
      <c r="DQ128" s="773"/>
      <c r="DR128" s="773"/>
      <c r="DS128" s="773"/>
      <c r="DT128" s="773"/>
      <c r="DU128" s="773"/>
      <c r="DV128" s="773"/>
      <c r="DW128" s="773"/>
      <c r="DX128" s="773"/>
      <c r="DY128" s="773"/>
      <c r="DZ128" s="773"/>
      <c r="EA128" s="773"/>
      <c r="EB128" s="773"/>
      <c r="EC128" s="773"/>
      <c r="ED128" s="773"/>
      <c r="EE128" s="773"/>
      <c r="EF128" s="773"/>
      <c r="EG128" s="773"/>
      <c r="EH128" s="773"/>
      <c r="EI128" s="773"/>
      <c r="EJ128" s="773"/>
      <c r="EK128" s="773"/>
      <c r="EL128" s="773"/>
      <c r="EM128" s="773"/>
      <c r="EN128" s="773"/>
      <c r="EO128" s="773"/>
      <c r="EP128" s="773"/>
      <c r="EQ128" s="773"/>
      <c r="ER128" s="773"/>
      <c r="ES128" s="773"/>
      <c r="ET128" s="773"/>
      <c r="EU128" s="773"/>
      <c r="EV128" s="773"/>
      <c r="EW128" s="773"/>
      <c r="EX128" s="773"/>
      <c r="EY128" s="773"/>
      <c r="EZ128" s="773"/>
      <c r="FA128" s="773"/>
      <c r="FB128" s="773"/>
      <c r="FC128" s="773"/>
      <c r="FD128" s="773"/>
      <c r="FE128" s="773"/>
      <c r="FF128" s="773"/>
      <c r="FG128" s="773"/>
      <c r="FH128" s="773"/>
      <c r="FI128" s="773"/>
      <c r="FJ128" s="773"/>
      <c r="FK128" s="773"/>
      <c r="FL128" s="773"/>
      <c r="FM128" s="773"/>
      <c r="FN128" s="773"/>
      <c r="FO128" s="773"/>
      <c r="FP128" s="773"/>
      <c r="FQ128" s="773"/>
      <c r="FR128" s="773"/>
      <c r="FS128" s="773"/>
      <c r="FT128" s="773"/>
      <c r="FU128" s="773"/>
      <c r="FV128" s="773"/>
      <c r="FW128" s="773"/>
      <c r="FX128" s="773"/>
      <c r="FY128" s="773"/>
      <c r="FZ128" s="773"/>
      <c r="GA128" s="773"/>
      <c r="GB128" s="773"/>
      <c r="GC128" s="773"/>
      <c r="GD128" s="773"/>
      <c r="GE128" s="773"/>
      <c r="GF128" s="773"/>
      <c r="GG128" s="773"/>
      <c r="GH128" s="773"/>
      <c r="GI128" s="773"/>
      <c r="GJ128" s="773"/>
      <c r="GK128" s="773"/>
      <c r="GL128" s="773"/>
      <c r="GM128" s="773"/>
      <c r="GN128" s="773"/>
      <c r="GO128" s="773"/>
      <c r="GP128" s="773"/>
      <c r="GQ128" s="773"/>
      <c r="GR128" s="773"/>
      <c r="GS128" s="773"/>
      <c r="GT128" s="773"/>
      <c r="GU128" s="773"/>
      <c r="GV128" s="773"/>
      <c r="GW128" s="773"/>
      <c r="GX128" s="773"/>
      <c r="GY128" s="773"/>
      <c r="GZ128" s="773"/>
    </row>
    <row r="129" spans="1:208" s="11" customFormat="1">
      <c r="A129" s="774"/>
      <c r="B129" s="3761" t="s">
        <v>1350</v>
      </c>
      <c r="C129" s="197">
        <v>216010</v>
      </c>
      <c r="D129" s="801" t="s">
        <v>2992</v>
      </c>
      <c r="E129" s="809">
        <f>IFERROR(VLOOKUP(C129,'AJE 12 - INC'!$D$168:$F$345,3,0),0)</f>
        <v>0</v>
      </c>
      <c r="F129" s="1325">
        <f>SUMIF('AJE 12 - INC'!B:B,'New TB INC'!C129,'AJE 12 - INC'!D:D)</f>
        <v>0</v>
      </c>
      <c r="G129" s="1326"/>
      <c r="H129" s="1326"/>
      <c r="I129" s="1326"/>
      <c r="J129" s="796">
        <f t="shared" si="10"/>
        <v>0</v>
      </c>
      <c r="K129" s="779"/>
      <c r="L129" s="434"/>
      <c r="M129" s="2679"/>
      <c r="N129" s="772"/>
      <c r="O129" s="772"/>
      <c r="P129" s="772"/>
      <c r="Q129" s="772"/>
      <c r="R129" s="772"/>
      <c r="S129" s="772"/>
      <c r="T129" s="773"/>
      <c r="AW129" s="2514"/>
      <c r="AX129" s="820"/>
      <c r="AY129" s="820"/>
      <c r="AZ129" s="820"/>
      <c r="BA129" s="30"/>
      <c r="BB129" s="30"/>
      <c r="BC129" s="2514"/>
      <c r="BD129" s="2514"/>
      <c r="BE129" s="2514"/>
      <c r="BF129" s="2514"/>
      <c r="BH129" s="2514"/>
      <c r="BI129" s="30"/>
      <c r="BJ129" s="30"/>
      <c r="BK129" s="30"/>
      <c r="BL129" s="30"/>
      <c r="BM129" s="30"/>
      <c r="BN129" s="30"/>
      <c r="BO129" s="209"/>
      <c r="BP129" s="209"/>
      <c r="BQ129" s="785"/>
      <c r="BR129" s="820"/>
      <c r="BS129" s="820"/>
      <c r="BT129" s="30"/>
      <c r="BU129" s="800"/>
      <c r="BV129" s="800"/>
      <c r="BW129" s="209"/>
      <c r="CA129" s="787"/>
      <c r="DB129" s="773"/>
      <c r="DC129" s="773"/>
      <c r="DD129" s="773"/>
      <c r="DE129" s="773"/>
      <c r="DF129" s="773"/>
      <c r="DG129" s="773"/>
      <c r="DH129" s="773"/>
      <c r="DI129" s="773"/>
      <c r="DJ129" s="773"/>
      <c r="DK129" s="773"/>
      <c r="DL129" s="773"/>
      <c r="DM129" s="773"/>
      <c r="DN129" s="773"/>
      <c r="DO129" s="773"/>
      <c r="DP129" s="773"/>
      <c r="DQ129" s="773"/>
      <c r="DR129" s="773"/>
      <c r="DS129" s="773"/>
      <c r="DT129" s="773"/>
      <c r="DU129" s="773"/>
      <c r="DV129" s="773"/>
      <c r="DW129" s="773"/>
      <c r="DX129" s="773"/>
      <c r="DY129" s="773"/>
      <c r="DZ129" s="773"/>
      <c r="EA129" s="773"/>
      <c r="EB129" s="773"/>
      <c r="EC129" s="773"/>
      <c r="ED129" s="773"/>
      <c r="EE129" s="773"/>
      <c r="EF129" s="773"/>
      <c r="EG129" s="773"/>
      <c r="EH129" s="773"/>
      <c r="EI129" s="773"/>
      <c r="EJ129" s="773"/>
      <c r="EK129" s="773"/>
      <c r="EL129" s="773"/>
      <c r="EM129" s="773"/>
      <c r="EN129" s="773"/>
      <c r="EO129" s="773"/>
      <c r="EP129" s="773"/>
      <c r="EQ129" s="773"/>
      <c r="ER129" s="773"/>
      <c r="ES129" s="773"/>
      <c r="ET129" s="773"/>
      <c r="EU129" s="773"/>
      <c r="EV129" s="773"/>
      <c r="EW129" s="773"/>
      <c r="EX129" s="773"/>
      <c r="EY129" s="773"/>
      <c r="EZ129" s="773"/>
      <c r="FA129" s="773"/>
      <c r="FB129" s="773"/>
      <c r="FC129" s="773"/>
      <c r="FD129" s="773"/>
      <c r="FE129" s="773"/>
      <c r="FF129" s="773"/>
      <c r="FG129" s="773"/>
      <c r="FH129" s="773"/>
      <c r="FI129" s="773"/>
      <c r="FJ129" s="773"/>
      <c r="FK129" s="773"/>
      <c r="FL129" s="773"/>
      <c r="FM129" s="773"/>
      <c r="FN129" s="773"/>
      <c r="FO129" s="773"/>
      <c r="FP129" s="773"/>
      <c r="FQ129" s="773"/>
      <c r="FR129" s="773"/>
      <c r="FS129" s="773"/>
      <c r="FT129" s="773"/>
      <c r="FU129" s="773"/>
      <c r="FV129" s="773"/>
      <c r="FW129" s="773"/>
      <c r="FX129" s="773"/>
      <c r="FY129" s="773"/>
      <c r="FZ129" s="773"/>
      <c r="GA129" s="773"/>
      <c r="GB129" s="773"/>
      <c r="GC129" s="773"/>
      <c r="GD129" s="773"/>
      <c r="GE129" s="773"/>
      <c r="GF129" s="773"/>
      <c r="GG129" s="773"/>
      <c r="GH129" s="773"/>
      <c r="GI129" s="773"/>
      <c r="GJ129" s="773"/>
      <c r="GK129" s="773"/>
      <c r="GL129" s="773"/>
      <c r="GM129" s="773"/>
      <c r="GN129" s="773"/>
      <c r="GO129" s="773"/>
      <c r="GP129" s="773"/>
      <c r="GQ129" s="773"/>
      <c r="GR129" s="773"/>
      <c r="GS129" s="773"/>
      <c r="GT129" s="773"/>
      <c r="GU129" s="773"/>
      <c r="GV129" s="773"/>
      <c r="GW129" s="773"/>
      <c r="GX129" s="773"/>
      <c r="GY129" s="773"/>
      <c r="GZ129" s="773"/>
    </row>
    <row r="130" spans="1:208" s="11" customFormat="1">
      <c r="A130" s="774"/>
      <c r="B130" s="3761" t="s">
        <v>1350</v>
      </c>
      <c r="C130" s="197">
        <v>221191</v>
      </c>
      <c r="D130" s="801" t="s">
        <v>2993</v>
      </c>
      <c r="E130" s="809">
        <f>IFERROR(VLOOKUP(C130,'AJE 12 - INC'!$D$168:$F$345,3,0),0)</f>
        <v>0</v>
      </c>
      <c r="F130" s="1325">
        <f>SUMIF('AJE 12 - INC'!B:B,'New TB INC'!C130,'AJE 12 - INC'!D:D)</f>
        <v>0</v>
      </c>
      <c r="G130" s="1326"/>
      <c r="H130" s="1326"/>
      <c r="I130" s="1326"/>
      <c r="J130" s="796">
        <f t="shared" si="10"/>
        <v>0</v>
      </c>
      <c r="K130" s="779"/>
      <c r="L130" s="434"/>
      <c r="M130" s="2175"/>
      <c r="N130" s="772"/>
      <c r="O130" s="772"/>
      <c r="P130" s="772"/>
      <c r="Q130" s="772"/>
      <c r="R130" s="772"/>
      <c r="S130" s="772"/>
      <c r="T130" s="773"/>
      <c r="AW130" s="2514"/>
      <c r="AX130" s="820"/>
      <c r="AY130" s="820"/>
      <c r="AZ130" s="820"/>
      <c r="BA130" s="30"/>
      <c r="BB130" s="30"/>
      <c r="BC130" s="2514"/>
      <c r="BD130" s="2514"/>
      <c r="BE130" s="2514"/>
      <c r="BF130" s="2514"/>
      <c r="BH130" s="2514"/>
      <c r="BI130" s="30"/>
      <c r="BJ130" s="30"/>
      <c r="BK130" s="30"/>
      <c r="BL130" s="30"/>
      <c r="BM130" s="30"/>
      <c r="BN130" s="30"/>
      <c r="BO130" s="209"/>
      <c r="BP130" s="209"/>
      <c r="BQ130" s="785"/>
      <c r="BR130" s="820"/>
      <c r="BS130" s="820"/>
      <c r="BT130" s="30"/>
      <c r="BU130" s="800"/>
      <c r="BV130" s="800"/>
      <c r="BW130" s="209"/>
      <c r="CA130" s="787"/>
      <c r="DB130" s="773"/>
      <c r="DC130" s="773"/>
      <c r="DD130" s="773"/>
      <c r="DE130" s="773"/>
      <c r="DF130" s="773"/>
      <c r="DG130" s="773"/>
      <c r="DH130" s="773"/>
      <c r="DI130" s="773"/>
      <c r="DJ130" s="773"/>
      <c r="DK130" s="773"/>
      <c r="DL130" s="773"/>
      <c r="DM130" s="773"/>
      <c r="DN130" s="773"/>
      <c r="DO130" s="773"/>
      <c r="DP130" s="773"/>
      <c r="DQ130" s="773"/>
      <c r="DR130" s="773"/>
      <c r="DS130" s="773"/>
      <c r="DT130" s="773"/>
      <c r="DU130" s="773"/>
      <c r="DV130" s="773"/>
      <c r="DW130" s="773"/>
      <c r="DX130" s="773"/>
      <c r="DY130" s="773"/>
      <c r="DZ130" s="773"/>
      <c r="EA130" s="773"/>
      <c r="EB130" s="773"/>
      <c r="EC130" s="773"/>
      <c r="ED130" s="773"/>
      <c r="EE130" s="773"/>
      <c r="EF130" s="773"/>
      <c r="EG130" s="773"/>
      <c r="EH130" s="773"/>
      <c r="EI130" s="773"/>
      <c r="EJ130" s="773"/>
      <c r="EK130" s="773"/>
      <c r="EL130" s="773"/>
      <c r="EM130" s="773"/>
      <c r="EN130" s="773"/>
      <c r="EO130" s="773"/>
      <c r="EP130" s="773"/>
      <c r="EQ130" s="773"/>
      <c r="ER130" s="773"/>
      <c r="ES130" s="773"/>
      <c r="ET130" s="773"/>
      <c r="EU130" s="773"/>
      <c r="EV130" s="773"/>
      <c r="EW130" s="773"/>
      <c r="EX130" s="773"/>
      <c r="EY130" s="773"/>
      <c r="EZ130" s="773"/>
      <c r="FA130" s="773"/>
      <c r="FB130" s="773"/>
      <c r="FC130" s="773"/>
      <c r="FD130" s="773"/>
      <c r="FE130" s="773"/>
      <c r="FF130" s="773"/>
      <c r="FG130" s="773"/>
      <c r="FH130" s="773"/>
      <c r="FI130" s="773"/>
      <c r="FJ130" s="773"/>
      <c r="FK130" s="773"/>
      <c r="FL130" s="773"/>
      <c r="FM130" s="773"/>
      <c r="FN130" s="773"/>
      <c r="FO130" s="773"/>
      <c r="FP130" s="773"/>
      <c r="FQ130" s="773"/>
      <c r="FR130" s="773"/>
      <c r="FS130" s="773"/>
      <c r="FT130" s="773"/>
      <c r="FU130" s="773"/>
      <c r="FV130" s="773"/>
      <c r="FW130" s="773"/>
      <c r="FX130" s="773"/>
      <c r="FY130" s="773"/>
      <c r="FZ130" s="773"/>
      <c r="GA130" s="773"/>
      <c r="GB130" s="773"/>
      <c r="GC130" s="773"/>
      <c r="GD130" s="773"/>
      <c r="GE130" s="773"/>
      <c r="GF130" s="773"/>
      <c r="GG130" s="773"/>
      <c r="GH130" s="773"/>
      <c r="GI130" s="773"/>
      <c r="GJ130" s="773"/>
      <c r="GK130" s="773"/>
      <c r="GL130" s="773"/>
      <c r="GM130" s="773"/>
      <c r="GN130" s="773"/>
      <c r="GO130" s="773"/>
      <c r="GP130" s="773"/>
      <c r="GQ130" s="773"/>
      <c r="GR130" s="773"/>
      <c r="GS130" s="773"/>
      <c r="GT130" s="773"/>
      <c r="GU130" s="773"/>
      <c r="GV130" s="773"/>
      <c r="GW130" s="773"/>
      <c r="GX130" s="773"/>
      <c r="GY130" s="773"/>
      <c r="GZ130" s="773"/>
    </row>
    <row r="131" spans="1:208" s="11" customFormat="1">
      <c r="A131" s="774"/>
      <c r="B131" s="3761" t="s">
        <v>1350</v>
      </c>
      <c r="C131" s="197">
        <v>223613</v>
      </c>
      <c r="D131" s="801" t="s">
        <v>2994</v>
      </c>
      <c r="E131" s="809">
        <f>IFERROR(VLOOKUP(C131,'AJE 12 - INC'!$D$168:$F$345,3,0),0)</f>
        <v>43312.5</v>
      </c>
      <c r="F131" s="1325">
        <f>SUMIF('AJE 12 - INC'!B:B,'New TB INC'!C131,'AJE 12 - INC'!D:D)</f>
        <v>0</v>
      </c>
      <c r="G131" s="1326"/>
      <c r="H131" s="1326"/>
      <c r="I131" s="1326"/>
      <c r="J131" s="796">
        <f t="shared" si="10"/>
        <v>43312.5</v>
      </c>
      <c r="K131" s="779"/>
      <c r="L131" s="434"/>
      <c r="M131" s="2679"/>
      <c r="N131" s="772"/>
      <c r="O131" s="772"/>
      <c r="P131" s="772"/>
      <c r="Q131" s="772"/>
      <c r="R131" s="772"/>
      <c r="S131" s="772"/>
      <c r="T131" s="773"/>
      <c r="AW131" s="2514"/>
      <c r="AX131" s="820"/>
      <c r="AY131" s="820"/>
      <c r="AZ131" s="820"/>
      <c r="BA131" s="30"/>
      <c r="BB131" s="30"/>
      <c r="BC131" s="2514"/>
      <c r="BD131" s="2514"/>
      <c r="BE131" s="2514"/>
      <c r="BF131" s="2514"/>
      <c r="BH131" s="2514"/>
      <c r="BI131" s="30"/>
      <c r="BJ131" s="30"/>
      <c r="BK131" s="30"/>
      <c r="BL131" s="30"/>
      <c r="BM131" s="30"/>
      <c r="BN131" s="30"/>
      <c r="BO131" s="209"/>
      <c r="BP131" s="209"/>
      <c r="BQ131" s="785"/>
      <c r="BR131" s="820"/>
      <c r="BS131" s="820"/>
      <c r="BT131" s="30"/>
      <c r="BU131" s="800"/>
      <c r="BV131" s="800"/>
      <c r="BW131" s="209"/>
      <c r="CA131" s="787"/>
      <c r="DB131" s="773"/>
      <c r="DC131" s="773"/>
      <c r="DD131" s="773"/>
      <c r="DE131" s="773"/>
      <c r="DF131" s="773"/>
      <c r="DG131" s="773"/>
      <c r="DH131" s="773"/>
      <c r="DI131" s="773"/>
      <c r="DJ131" s="773"/>
      <c r="DK131" s="773"/>
      <c r="DL131" s="773"/>
      <c r="DM131" s="773"/>
      <c r="DN131" s="773"/>
      <c r="DO131" s="773"/>
      <c r="DP131" s="773"/>
      <c r="DQ131" s="773"/>
      <c r="DR131" s="773"/>
      <c r="DS131" s="773"/>
      <c r="DT131" s="773"/>
      <c r="DU131" s="773"/>
      <c r="DV131" s="773"/>
      <c r="DW131" s="773"/>
      <c r="DX131" s="773"/>
      <c r="DY131" s="773"/>
      <c r="DZ131" s="773"/>
      <c r="EA131" s="773"/>
      <c r="EB131" s="773"/>
      <c r="EC131" s="773"/>
      <c r="ED131" s="773"/>
      <c r="EE131" s="773"/>
      <c r="EF131" s="773"/>
      <c r="EG131" s="773"/>
      <c r="EH131" s="773"/>
      <c r="EI131" s="773"/>
      <c r="EJ131" s="773"/>
      <c r="EK131" s="773"/>
      <c r="EL131" s="773"/>
      <c r="EM131" s="773"/>
      <c r="EN131" s="773"/>
      <c r="EO131" s="773"/>
      <c r="EP131" s="773"/>
      <c r="EQ131" s="773"/>
      <c r="ER131" s="773"/>
      <c r="ES131" s="773"/>
      <c r="ET131" s="773"/>
      <c r="EU131" s="773"/>
      <c r="EV131" s="773"/>
      <c r="EW131" s="773"/>
      <c r="EX131" s="773"/>
      <c r="EY131" s="773"/>
      <c r="EZ131" s="773"/>
      <c r="FA131" s="773"/>
      <c r="FB131" s="773"/>
      <c r="FC131" s="773"/>
      <c r="FD131" s="773"/>
      <c r="FE131" s="773"/>
      <c r="FF131" s="773"/>
      <c r="FG131" s="773"/>
      <c r="FH131" s="773"/>
      <c r="FI131" s="773"/>
      <c r="FJ131" s="773"/>
      <c r="FK131" s="773"/>
      <c r="FL131" s="773"/>
      <c r="FM131" s="773"/>
      <c r="FN131" s="773"/>
      <c r="FO131" s="773"/>
      <c r="FP131" s="773"/>
      <c r="FQ131" s="773"/>
      <c r="FR131" s="773"/>
      <c r="FS131" s="773"/>
      <c r="FT131" s="773"/>
      <c r="FU131" s="773"/>
      <c r="FV131" s="773"/>
      <c r="FW131" s="773"/>
      <c r="FX131" s="773"/>
      <c r="FY131" s="773"/>
      <c r="FZ131" s="773"/>
      <c r="GA131" s="773"/>
      <c r="GB131" s="773"/>
      <c r="GC131" s="773"/>
      <c r="GD131" s="773"/>
      <c r="GE131" s="773"/>
      <c r="GF131" s="773"/>
      <c r="GG131" s="773"/>
      <c r="GH131" s="773"/>
      <c r="GI131" s="773"/>
      <c r="GJ131" s="773"/>
      <c r="GK131" s="773"/>
      <c r="GL131" s="773"/>
      <c r="GM131" s="773"/>
      <c r="GN131" s="773"/>
      <c r="GO131" s="773"/>
      <c r="GP131" s="773"/>
      <c r="GQ131" s="773"/>
      <c r="GR131" s="773"/>
      <c r="GS131" s="773"/>
      <c r="GT131" s="773"/>
      <c r="GU131" s="773"/>
      <c r="GV131" s="773"/>
      <c r="GW131" s="773"/>
      <c r="GX131" s="773"/>
      <c r="GY131" s="773"/>
      <c r="GZ131" s="773"/>
    </row>
    <row r="132" spans="1:208" s="11" customFormat="1">
      <c r="A132" s="774"/>
      <c r="B132" s="3761" t="s">
        <v>1350</v>
      </c>
      <c r="C132" s="197">
        <v>224122</v>
      </c>
      <c r="D132" s="801" t="s">
        <v>2995</v>
      </c>
      <c r="E132" s="809">
        <f>IFERROR(VLOOKUP(C132,'AJE 12 - INC'!$D$168:$F$345,3,0),0)</f>
        <v>9324</v>
      </c>
      <c r="F132" s="1325">
        <f>SUMIF('AJE 12 - INC'!B:B,'New TB INC'!C132,'AJE 12 - INC'!D:D)</f>
        <v>0</v>
      </c>
      <c r="G132" s="1326"/>
      <c r="H132" s="1326"/>
      <c r="I132" s="1326"/>
      <c r="J132" s="796">
        <f t="shared" si="10"/>
        <v>9324</v>
      </c>
      <c r="K132" s="779"/>
      <c r="L132" s="434"/>
      <c r="M132" s="2679"/>
      <c r="N132" s="772"/>
      <c r="O132" s="772"/>
      <c r="P132" s="772"/>
      <c r="Q132" s="772"/>
      <c r="R132" s="772"/>
      <c r="S132" s="772"/>
      <c r="T132" s="773"/>
      <c r="AW132" s="2514"/>
      <c r="AX132" s="820"/>
      <c r="AY132" s="820"/>
      <c r="AZ132" s="820"/>
      <c r="BA132" s="30"/>
      <c r="BB132" s="30"/>
      <c r="BC132" s="2514"/>
      <c r="BD132" s="2514"/>
      <c r="BE132" s="2514"/>
      <c r="BF132" s="2514"/>
      <c r="BH132" s="2514"/>
      <c r="BI132" s="30"/>
      <c r="BJ132" s="30"/>
      <c r="BK132" s="30"/>
      <c r="BL132" s="30"/>
      <c r="BM132" s="30"/>
      <c r="BN132" s="30"/>
      <c r="BO132" s="209"/>
      <c r="BP132" s="209"/>
      <c r="BQ132" s="785"/>
      <c r="BR132" s="820"/>
      <c r="BS132" s="820"/>
      <c r="BT132" s="30"/>
      <c r="BU132" s="800"/>
      <c r="BV132" s="800"/>
      <c r="BW132" s="209"/>
      <c r="CA132" s="787"/>
      <c r="DB132" s="773"/>
      <c r="DC132" s="773"/>
      <c r="DD132" s="773"/>
      <c r="DE132" s="773"/>
      <c r="DF132" s="773"/>
      <c r="DG132" s="773"/>
      <c r="DH132" s="773"/>
      <c r="DI132" s="773"/>
      <c r="DJ132" s="773"/>
      <c r="DK132" s="773"/>
      <c r="DL132" s="773"/>
      <c r="DM132" s="773"/>
      <c r="DN132" s="773"/>
      <c r="DO132" s="773"/>
      <c r="DP132" s="773"/>
      <c r="DQ132" s="773"/>
      <c r="DR132" s="773"/>
      <c r="DS132" s="773"/>
      <c r="DT132" s="773"/>
      <c r="DU132" s="773"/>
      <c r="DV132" s="773"/>
      <c r="DW132" s="773"/>
      <c r="DX132" s="773"/>
      <c r="DY132" s="773"/>
      <c r="DZ132" s="773"/>
      <c r="EA132" s="773"/>
      <c r="EB132" s="773"/>
      <c r="EC132" s="773"/>
      <c r="ED132" s="773"/>
      <c r="EE132" s="773"/>
      <c r="EF132" s="773"/>
      <c r="EG132" s="773"/>
      <c r="EH132" s="773"/>
      <c r="EI132" s="773"/>
      <c r="EJ132" s="773"/>
      <c r="EK132" s="773"/>
      <c r="EL132" s="773"/>
      <c r="EM132" s="773"/>
      <c r="EN132" s="773"/>
      <c r="EO132" s="773"/>
      <c r="EP132" s="773"/>
      <c r="EQ132" s="773"/>
      <c r="ER132" s="773"/>
      <c r="ES132" s="773"/>
      <c r="ET132" s="773"/>
      <c r="EU132" s="773"/>
      <c r="EV132" s="773"/>
      <c r="EW132" s="773"/>
      <c r="EX132" s="773"/>
      <c r="EY132" s="773"/>
      <c r="EZ132" s="773"/>
      <c r="FA132" s="773"/>
      <c r="FB132" s="773"/>
      <c r="FC132" s="773"/>
      <c r="FD132" s="773"/>
      <c r="FE132" s="773"/>
      <c r="FF132" s="773"/>
      <c r="FG132" s="773"/>
      <c r="FH132" s="773"/>
      <c r="FI132" s="773"/>
      <c r="FJ132" s="773"/>
      <c r="FK132" s="773"/>
      <c r="FL132" s="773"/>
      <c r="FM132" s="773"/>
      <c r="FN132" s="773"/>
      <c r="FO132" s="773"/>
      <c r="FP132" s="773"/>
      <c r="FQ132" s="773"/>
      <c r="FR132" s="773"/>
      <c r="FS132" s="773"/>
      <c r="FT132" s="773"/>
      <c r="FU132" s="773"/>
      <c r="FV132" s="773"/>
      <c r="FW132" s="773"/>
      <c r="FX132" s="773"/>
      <c r="FY132" s="773"/>
      <c r="FZ132" s="773"/>
      <c r="GA132" s="773"/>
      <c r="GB132" s="773"/>
      <c r="GC132" s="773"/>
      <c r="GD132" s="773"/>
      <c r="GE132" s="773"/>
      <c r="GF132" s="773"/>
      <c r="GG132" s="773"/>
      <c r="GH132" s="773"/>
      <c r="GI132" s="773"/>
      <c r="GJ132" s="773"/>
      <c r="GK132" s="773"/>
      <c r="GL132" s="773"/>
      <c r="GM132" s="773"/>
      <c r="GN132" s="773"/>
      <c r="GO132" s="773"/>
      <c r="GP132" s="773"/>
      <c r="GQ132" s="773"/>
      <c r="GR132" s="773"/>
      <c r="GS132" s="773"/>
      <c r="GT132" s="773"/>
      <c r="GU132" s="773"/>
      <c r="GV132" s="773"/>
      <c r="GW132" s="773"/>
      <c r="GX132" s="773"/>
      <c r="GY132" s="773"/>
      <c r="GZ132" s="773"/>
    </row>
    <row r="133" spans="1:208" s="11" customFormat="1">
      <c r="A133" s="774"/>
      <c r="B133" s="3761" t="s">
        <v>1350</v>
      </c>
      <c r="C133" s="197">
        <v>229423</v>
      </c>
      <c r="D133" s="801" t="s">
        <v>2996</v>
      </c>
      <c r="E133" s="809">
        <f>IFERROR(VLOOKUP(C133,'AJE 12 - INC'!$D$168:$F$345,3,0),0)</f>
        <v>0</v>
      </c>
      <c r="F133" s="1325">
        <f>SUMIF('AJE 12 - INC'!B:B,'New TB INC'!C133,'AJE 12 - INC'!D:D)</f>
        <v>0</v>
      </c>
      <c r="G133" s="1326"/>
      <c r="H133" s="1326"/>
      <c r="I133" s="1326"/>
      <c r="J133" s="796">
        <f t="shared" si="10"/>
        <v>0</v>
      </c>
      <c r="K133" s="779"/>
      <c r="L133" s="434"/>
      <c r="M133" s="2679"/>
      <c r="N133" s="772"/>
      <c r="O133" s="772"/>
      <c r="P133" s="772"/>
      <c r="Q133" s="772"/>
      <c r="R133" s="772"/>
      <c r="S133" s="772"/>
      <c r="T133" s="773"/>
      <c r="AW133" s="2514"/>
      <c r="AX133" s="820"/>
      <c r="AY133" s="820"/>
      <c r="AZ133" s="820"/>
      <c r="BA133" s="30"/>
      <c r="BB133" s="30"/>
      <c r="BC133" s="2514"/>
      <c r="BD133" s="2514"/>
      <c r="BE133" s="2514"/>
      <c r="BF133" s="2514"/>
      <c r="BH133" s="2514"/>
      <c r="BI133" s="30"/>
      <c r="BJ133" s="30"/>
      <c r="BK133" s="30"/>
      <c r="BL133" s="30"/>
      <c r="BM133" s="30"/>
      <c r="BN133" s="30"/>
      <c r="BO133" s="209"/>
      <c r="BP133" s="209"/>
      <c r="BQ133" s="785"/>
      <c r="BR133" s="820"/>
      <c r="BS133" s="820"/>
      <c r="BT133" s="30"/>
      <c r="BU133" s="800"/>
      <c r="BV133" s="800"/>
      <c r="BW133" s="209"/>
      <c r="CA133" s="787"/>
      <c r="DB133" s="773"/>
      <c r="DC133" s="773"/>
      <c r="DD133" s="773"/>
      <c r="DE133" s="773"/>
      <c r="DF133" s="773"/>
      <c r="DG133" s="773"/>
      <c r="DH133" s="773"/>
      <c r="DI133" s="773"/>
      <c r="DJ133" s="773"/>
      <c r="DK133" s="773"/>
      <c r="DL133" s="773"/>
      <c r="DM133" s="773"/>
      <c r="DN133" s="773"/>
      <c r="DO133" s="773"/>
      <c r="DP133" s="773"/>
      <c r="DQ133" s="773"/>
      <c r="DR133" s="773"/>
      <c r="DS133" s="773"/>
      <c r="DT133" s="773"/>
      <c r="DU133" s="773"/>
      <c r="DV133" s="773"/>
      <c r="DW133" s="773"/>
      <c r="DX133" s="773"/>
      <c r="DY133" s="773"/>
      <c r="DZ133" s="773"/>
      <c r="EA133" s="773"/>
      <c r="EB133" s="773"/>
      <c r="EC133" s="773"/>
      <c r="ED133" s="773"/>
      <c r="EE133" s="773"/>
      <c r="EF133" s="773"/>
      <c r="EG133" s="773"/>
      <c r="EH133" s="773"/>
      <c r="EI133" s="773"/>
      <c r="EJ133" s="773"/>
      <c r="EK133" s="773"/>
      <c r="EL133" s="773"/>
      <c r="EM133" s="773"/>
      <c r="EN133" s="773"/>
      <c r="EO133" s="773"/>
      <c r="EP133" s="773"/>
      <c r="EQ133" s="773"/>
      <c r="ER133" s="773"/>
      <c r="ES133" s="773"/>
      <c r="ET133" s="773"/>
      <c r="EU133" s="773"/>
      <c r="EV133" s="773"/>
      <c r="EW133" s="773"/>
      <c r="EX133" s="773"/>
      <c r="EY133" s="773"/>
      <c r="EZ133" s="773"/>
      <c r="FA133" s="773"/>
      <c r="FB133" s="773"/>
      <c r="FC133" s="773"/>
      <c r="FD133" s="773"/>
      <c r="FE133" s="773"/>
      <c r="FF133" s="773"/>
      <c r="FG133" s="773"/>
      <c r="FH133" s="773"/>
      <c r="FI133" s="773"/>
      <c r="FJ133" s="773"/>
      <c r="FK133" s="773"/>
      <c r="FL133" s="773"/>
      <c r="FM133" s="773"/>
      <c r="FN133" s="773"/>
      <c r="FO133" s="773"/>
      <c r="FP133" s="773"/>
      <c r="FQ133" s="773"/>
      <c r="FR133" s="773"/>
      <c r="FS133" s="773"/>
      <c r="FT133" s="773"/>
      <c r="FU133" s="773"/>
      <c r="FV133" s="773"/>
      <c r="FW133" s="773"/>
      <c r="FX133" s="773"/>
      <c r="FY133" s="773"/>
      <c r="FZ133" s="773"/>
      <c r="GA133" s="773"/>
      <c r="GB133" s="773"/>
      <c r="GC133" s="773"/>
      <c r="GD133" s="773"/>
      <c r="GE133" s="773"/>
      <c r="GF133" s="773"/>
      <c r="GG133" s="773"/>
      <c r="GH133" s="773"/>
      <c r="GI133" s="773"/>
      <c r="GJ133" s="773"/>
      <c r="GK133" s="773"/>
      <c r="GL133" s="773"/>
      <c r="GM133" s="773"/>
      <c r="GN133" s="773"/>
      <c r="GO133" s="773"/>
      <c r="GP133" s="773"/>
      <c r="GQ133" s="773"/>
      <c r="GR133" s="773"/>
      <c r="GS133" s="773"/>
      <c r="GT133" s="773"/>
      <c r="GU133" s="773"/>
      <c r="GV133" s="773"/>
      <c r="GW133" s="773"/>
      <c r="GX133" s="773"/>
      <c r="GY133" s="773"/>
      <c r="GZ133" s="773"/>
    </row>
    <row r="134" spans="1:208" s="11" customFormat="1">
      <c r="A134" s="774"/>
      <c r="B134" s="3761" t="s">
        <v>1350</v>
      </c>
      <c r="C134" s="197">
        <v>209104</v>
      </c>
      <c r="D134" s="801" t="s">
        <v>2862</v>
      </c>
      <c r="E134" s="809">
        <f>IFERROR(VLOOKUP(C134,'AJE 12 - INC'!$D$168:$F$345,3,0),0)</f>
        <v>0</v>
      </c>
      <c r="F134" s="1325">
        <f>SUMIF('AJE 12 - INC'!B:B,'New TB INC'!C134,'AJE 12 - INC'!D:D)</f>
        <v>0</v>
      </c>
      <c r="G134" s="1326"/>
      <c r="H134" s="1326"/>
      <c r="I134" s="1326"/>
      <c r="J134" s="796">
        <f t="shared" si="10"/>
        <v>0</v>
      </c>
      <c r="K134" s="779"/>
      <c r="L134" s="434"/>
      <c r="M134" s="2679"/>
      <c r="N134" s="772"/>
      <c r="O134" s="772"/>
      <c r="P134" s="772"/>
      <c r="Q134" s="772"/>
      <c r="R134" s="772"/>
      <c r="S134" s="772"/>
      <c r="T134" s="773"/>
      <c r="AW134" s="2514"/>
      <c r="AX134" s="820"/>
      <c r="AY134" s="820"/>
      <c r="AZ134" s="820"/>
      <c r="BA134" s="30"/>
      <c r="BB134" s="30"/>
      <c r="BC134" s="2514"/>
      <c r="BD134" s="2514"/>
      <c r="BE134" s="2514"/>
      <c r="BF134" s="2514"/>
      <c r="BH134" s="2514"/>
      <c r="BI134" s="30"/>
      <c r="BJ134" s="30"/>
      <c r="BK134" s="30"/>
      <c r="BL134" s="30"/>
      <c r="BM134" s="30"/>
      <c r="BN134" s="30"/>
      <c r="BO134" s="209"/>
      <c r="BP134" s="209"/>
      <c r="BQ134" s="785"/>
      <c r="BR134" s="820"/>
      <c r="BS134" s="820"/>
      <c r="BT134" s="30"/>
      <c r="BU134" s="800"/>
      <c r="BV134" s="800"/>
      <c r="BW134" s="209"/>
      <c r="CA134" s="787"/>
      <c r="DB134" s="773"/>
      <c r="DC134" s="773"/>
      <c r="DD134" s="773"/>
      <c r="DE134" s="773"/>
      <c r="DF134" s="773"/>
      <c r="DG134" s="773"/>
      <c r="DH134" s="773"/>
      <c r="DI134" s="773"/>
      <c r="DJ134" s="773"/>
      <c r="DK134" s="773"/>
      <c r="DL134" s="773"/>
      <c r="DM134" s="773"/>
      <c r="DN134" s="773"/>
      <c r="DO134" s="773"/>
      <c r="DP134" s="773"/>
      <c r="DQ134" s="773"/>
      <c r="DR134" s="773"/>
      <c r="DS134" s="773"/>
      <c r="DT134" s="773"/>
      <c r="DU134" s="773"/>
      <c r="DV134" s="773"/>
      <c r="DW134" s="773"/>
      <c r="DX134" s="773"/>
      <c r="DY134" s="773"/>
      <c r="DZ134" s="773"/>
      <c r="EA134" s="773"/>
      <c r="EB134" s="773"/>
      <c r="EC134" s="773"/>
      <c r="ED134" s="773"/>
      <c r="EE134" s="773"/>
      <c r="EF134" s="773"/>
      <c r="EG134" s="773"/>
      <c r="EH134" s="773"/>
      <c r="EI134" s="773"/>
      <c r="EJ134" s="773"/>
      <c r="EK134" s="773"/>
      <c r="EL134" s="773"/>
      <c r="EM134" s="773"/>
      <c r="EN134" s="773"/>
      <c r="EO134" s="773"/>
      <c r="EP134" s="773"/>
      <c r="EQ134" s="773"/>
      <c r="ER134" s="773"/>
      <c r="ES134" s="773"/>
      <c r="ET134" s="773"/>
      <c r="EU134" s="773"/>
      <c r="EV134" s="773"/>
      <c r="EW134" s="773"/>
      <c r="EX134" s="773"/>
      <c r="EY134" s="773"/>
      <c r="EZ134" s="773"/>
      <c r="FA134" s="773"/>
      <c r="FB134" s="773"/>
      <c r="FC134" s="773"/>
      <c r="FD134" s="773"/>
      <c r="FE134" s="773"/>
      <c r="FF134" s="773"/>
      <c r="FG134" s="773"/>
      <c r="FH134" s="773"/>
      <c r="FI134" s="773"/>
      <c r="FJ134" s="773"/>
      <c r="FK134" s="773"/>
      <c r="FL134" s="773"/>
      <c r="FM134" s="773"/>
      <c r="FN134" s="773"/>
      <c r="FO134" s="773"/>
      <c r="FP134" s="773"/>
      <c r="FQ134" s="773"/>
      <c r="FR134" s="773"/>
      <c r="FS134" s="773"/>
      <c r="FT134" s="773"/>
      <c r="FU134" s="773"/>
      <c r="FV134" s="773"/>
      <c r="FW134" s="773"/>
      <c r="FX134" s="773"/>
      <c r="FY134" s="773"/>
      <c r="FZ134" s="773"/>
      <c r="GA134" s="773"/>
      <c r="GB134" s="773"/>
      <c r="GC134" s="773"/>
      <c r="GD134" s="773"/>
      <c r="GE134" s="773"/>
      <c r="GF134" s="773"/>
      <c r="GG134" s="773"/>
      <c r="GH134" s="773"/>
      <c r="GI134" s="773"/>
      <c r="GJ134" s="773"/>
      <c r="GK134" s="773"/>
      <c r="GL134" s="773"/>
      <c r="GM134" s="773"/>
      <c r="GN134" s="773"/>
      <c r="GO134" s="773"/>
      <c r="GP134" s="773"/>
      <c r="GQ134" s="773"/>
      <c r="GR134" s="773"/>
      <c r="GS134" s="773"/>
      <c r="GT134" s="773"/>
      <c r="GU134" s="773"/>
      <c r="GV134" s="773"/>
      <c r="GW134" s="773"/>
      <c r="GX134" s="773"/>
      <c r="GY134" s="773"/>
      <c r="GZ134" s="773"/>
    </row>
    <row r="135" spans="1:208" s="11" customFormat="1">
      <c r="A135" s="774"/>
      <c r="B135" s="3761" t="s">
        <v>1350</v>
      </c>
      <c r="C135" s="197">
        <v>212002</v>
      </c>
      <c r="D135" s="801" t="s">
        <v>2863</v>
      </c>
      <c r="E135" s="809">
        <f>IFERROR(VLOOKUP(C135,'AJE 12 - INC'!$D$168:$F$345,3,0),0)</f>
        <v>1534176.74</v>
      </c>
      <c r="F135" s="1325">
        <f>SUMIF('AJE 12 - INC'!B:B,'New TB INC'!C135,'AJE 12 - INC'!D:D)</f>
        <v>0</v>
      </c>
      <c r="G135" s="1326"/>
      <c r="H135" s="1326"/>
      <c r="I135" s="1326"/>
      <c r="J135" s="796">
        <f t="shared" si="10"/>
        <v>1534176.74</v>
      </c>
      <c r="K135" s="779"/>
      <c r="L135" s="434"/>
      <c r="M135" s="2679"/>
      <c r="N135" s="772"/>
      <c r="O135" s="772"/>
      <c r="P135" s="772"/>
      <c r="Q135" s="772"/>
      <c r="R135" s="772"/>
      <c r="S135" s="772"/>
      <c r="T135" s="773"/>
      <c r="AW135" s="2514"/>
      <c r="AX135" s="820"/>
      <c r="AY135" s="820"/>
      <c r="AZ135" s="820"/>
      <c r="BA135" s="30"/>
      <c r="BB135" s="30"/>
      <c r="BC135" s="2514"/>
      <c r="BD135" s="2514"/>
      <c r="BE135" s="2514"/>
      <c r="BF135" s="2514"/>
      <c r="BH135" s="2514"/>
      <c r="BI135" s="30"/>
      <c r="BJ135" s="30"/>
      <c r="BK135" s="30"/>
      <c r="BL135" s="30"/>
      <c r="BM135" s="30"/>
      <c r="BN135" s="30"/>
      <c r="BO135" s="209"/>
      <c r="BP135" s="209"/>
      <c r="BQ135" s="785"/>
      <c r="BR135" s="820"/>
      <c r="BS135" s="820"/>
      <c r="BT135" s="30"/>
      <c r="BU135" s="800"/>
      <c r="BV135" s="800"/>
      <c r="BW135" s="209"/>
      <c r="CA135" s="787"/>
      <c r="DB135" s="773"/>
      <c r="DC135" s="773"/>
      <c r="DD135" s="773"/>
      <c r="DE135" s="773"/>
      <c r="DF135" s="773"/>
      <c r="DG135" s="773"/>
      <c r="DH135" s="773"/>
      <c r="DI135" s="773"/>
      <c r="DJ135" s="773"/>
      <c r="DK135" s="773"/>
      <c r="DL135" s="773"/>
      <c r="DM135" s="773"/>
      <c r="DN135" s="773"/>
      <c r="DO135" s="773"/>
      <c r="DP135" s="773"/>
      <c r="DQ135" s="773"/>
      <c r="DR135" s="773"/>
      <c r="DS135" s="773"/>
      <c r="DT135" s="773"/>
      <c r="DU135" s="773"/>
      <c r="DV135" s="773"/>
      <c r="DW135" s="773"/>
      <c r="DX135" s="773"/>
      <c r="DY135" s="773"/>
      <c r="DZ135" s="773"/>
      <c r="EA135" s="773"/>
      <c r="EB135" s="773"/>
      <c r="EC135" s="773"/>
      <c r="ED135" s="773"/>
      <c r="EE135" s="773"/>
      <c r="EF135" s="773"/>
      <c r="EG135" s="773"/>
      <c r="EH135" s="773"/>
      <c r="EI135" s="773"/>
      <c r="EJ135" s="773"/>
      <c r="EK135" s="773"/>
      <c r="EL135" s="773"/>
      <c r="EM135" s="773"/>
      <c r="EN135" s="773"/>
      <c r="EO135" s="773"/>
      <c r="EP135" s="773"/>
      <c r="EQ135" s="773"/>
      <c r="ER135" s="773"/>
      <c r="ES135" s="773"/>
      <c r="ET135" s="773"/>
      <c r="EU135" s="773"/>
      <c r="EV135" s="773"/>
      <c r="EW135" s="773"/>
      <c r="EX135" s="773"/>
      <c r="EY135" s="773"/>
      <c r="EZ135" s="773"/>
      <c r="FA135" s="773"/>
      <c r="FB135" s="773"/>
      <c r="FC135" s="773"/>
      <c r="FD135" s="773"/>
      <c r="FE135" s="773"/>
      <c r="FF135" s="773"/>
      <c r="FG135" s="773"/>
      <c r="FH135" s="773"/>
      <c r="FI135" s="773"/>
      <c r="FJ135" s="773"/>
      <c r="FK135" s="773"/>
      <c r="FL135" s="773"/>
      <c r="FM135" s="773"/>
      <c r="FN135" s="773"/>
      <c r="FO135" s="773"/>
      <c r="FP135" s="773"/>
      <c r="FQ135" s="773"/>
      <c r="FR135" s="773"/>
      <c r="FS135" s="773"/>
      <c r="FT135" s="773"/>
      <c r="FU135" s="773"/>
      <c r="FV135" s="773"/>
      <c r="FW135" s="773"/>
      <c r="FX135" s="773"/>
      <c r="FY135" s="773"/>
      <c r="FZ135" s="773"/>
      <c r="GA135" s="773"/>
      <c r="GB135" s="773"/>
      <c r="GC135" s="773"/>
      <c r="GD135" s="773"/>
      <c r="GE135" s="773"/>
      <c r="GF135" s="773"/>
      <c r="GG135" s="773"/>
      <c r="GH135" s="773"/>
      <c r="GI135" s="773"/>
      <c r="GJ135" s="773"/>
      <c r="GK135" s="773"/>
      <c r="GL135" s="773"/>
      <c r="GM135" s="773"/>
      <c r="GN135" s="773"/>
      <c r="GO135" s="773"/>
      <c r="GP135" s="773"/>
      <c r="GQ135" s="773"/>
      <c r="GR135" s="773"/>
      <c r="GS135" s="773"/>
      <c r="GT135" s="773"/>
      <c r="GU135" s="773"/>
      <c r="GV135" s="773"/>
      <c r="GW135" s="773"/>
      <c r="GX135" s="773"/>
      <c r="GY135" s="773"/>
      <c r="GZ135" s="773"/>
    </row>
    <row r="136" spans="1:208" s="11" customFormat="1">
      <c r="A136" s="774"/>
      <c r="B136" s="3761" t="s">
        <v>1350</v>
      </c>
      <c r="C136" s="197">
        <v>201986</v>
      </c>
      <c r="D136" s="801" t="s">
        <v>2858</v>
      </c>
      <c r="E136" s="809">
        <f>IFERROR(VLOOKUP(C136,'AJE 12 - INC'!$D$168:$F$345,3,0),0)</f>
        <v>405102.91</v>
      </c>
      <c r="F136" s="1325">
        <f>SUMIF('AJE 12 - INC'!B:B,'New TB INC'!C136,'AJE 12 - INC'!D:D)</f>
        <v>0</v>
      </c>
      <c r="G136" s="1326"/>
      <c r="H136" s="1326"/>
      <c r="I136" s="1326"/>
      <c r="J136" s="796">
        <f t="shared" si="10"/>
        <v>405102.91</v>
      </c>
      <c r="K136" s="779"/>
      <c r="L136" s="434"/>
      <c r="M136" s="2679"/>
      <c r="N136" s="772"/>
      <c r="O136" s="772"/>
      <c r="P136" s="772"/>
      <c r="Q136" s="772"/>
      <c r="R136" s="772"/>
      <c r="S136" s="772"/>
      <c r="T136" s="773"/>
      <c r="AW136" s="2514"/>
      <c r="AX136" s="820"/>
      <c r="AY136" s="820"/>
      <c r="AZ136" s="820"/>
      <c r="BA136" s="30"/>
      <c r="BB136" s="30"/>
      <c r="BC136" s="2514"/>
      <c r="BD136" s="2514"/>
      <c r="BE136" s="2514"/>
      <c r="BF136" s="2514"/>
      <c r="BH136" s="2514"/>
      <c r="BI136" s="30"/>
      <c r="BJ136" s="30"/>
      <c r="BK136" s="30"/>
      <c r="BL136" s="30"/>
      <c r="BM136" s="30"/>
      <c r="BN136" s="30"/>
      <c r="BO136" s="209"/>
      <c r="BP136" s="209"/>
      <c r="BQ136" s="785"/>
      <c r="BR136" s="820"/>
      <c r="BS136" s="820"/>
      <c r="BT136" s="30"/>
      <c r="BU136" s="800"/>
      <c r="BV136" s="800"/>
      <c r="BW136" s="209"/>
      <c r="CA136" s="787"/>
      <c r="DB136" s="773"/>
      <c r="DC136" s="773"/>
      <c r="DD136" s="773"/>
      <c r="DE136" s="773"/>
      <c r="DF136" s="773"/>
      <c r="DG136" s="773"/>
      <c r="DH136" s="773"/>
      <c r="DI136" s="773"/>
      <c r="DJ136" s="773"/>
      <c r="DK136" s="773"/>
      <c r="DL136" s="773"/>
      <c r="DM136" s="773"/>
      <c r="DN136" s="773"/>
      <c r="DO136" s="773"/>
      <c r="DP136" s="773"/>
      <c r="DQ136" s="773"/>
      <c r="DR136" s="773"/>
      <c r="DS136" s="773"/>
      <c r="DT136" s="773"/>
      <c r="DU136" s="773"/>
      <c r="DV136" s="773"/>
      <c r="DW136" s="773"/>
      <c r="DX136" s="773"/>
      <c r="DY136" s="773"/>
      <c r="DZ136" s="773"/>
      <c r="EA136" s="773"/>
      <c r="EB136" s="773"/>
      <c r="EC136" s="773"/>
      <c r="ED136" s="773"/>
      <c r="EE136" s="773"/>
      <c r="EF136" s="773"/>
      <c r="EG136" s="773"/>
      <c r="EH136" s="773"/>
      <c r="EI136" s="773"/>
      <c r="EJ136" s="773"/>
      <c r="EK136" s="773"/>
      <c r="EL136" s="773"/>
      <c r="EM136" s="773"/>
      <c r="EN136" s="773"/>
      <c r="EO136" s="773"/>
      <c r="EP136" s="773"/>
      <c r="EQ136" s="773"/>
      <c r="ER136" s="773"/>
      <c r="ES136" s="773"/>
      <c r="ET136" s="773"/>
      <c r="EU136" s="773"/>
      <c r="EV136" s="773"/>
      <c r="EW136" s="773"/>
      <c r="EX136" s="773"/>
      <c r="EY136" s="773"/>
      <c r="EZ136" s="773"/>
      <c r="FA136" s="773"/>
      <c r="FB136" s="773"/>
      <c r="FC136" s="773"/>
      <c r="FD136" s="773"/>
      <c r="FE136" s="773"/>
      <c r="FF136" s="773"/>
      <c r="FG136" s="773"/>
      <c r="FH136" s="773"/>
      <c r="FI136" s="773"/>
      <c r="FJ136" s="773"/>
      <c r="FK136" s="773"/>
      <c r="FL136" s="773"/>
      <c r="FM136" s="773"/>
      <c r="FN136" s="773"/>
      <c r="FO136" s="773"/>
      <c r="FP136" s="773"/>
      <c r="FQ136" s="773"/>
      <c r="FR136" s="773"/>
      <c r="FS136" s="773"/>
      <c r="FT136" s="773"/>
      <c r="FU136" s="773"/>
      <c r="FV136" s="773"/>
      <c r="FW136" s="773"/>
      <c r="FX136" s="773"/>
      <c r="FY136" s="773"/>
      <c r="FZ136" s="773"/>
      <c r="GA136" s="773"/>
      <c r="GB136" s="773"/>
      <c r="GC136" s="773"/>
      <c r="GD136" s="773"/>
      <c r="GE136" s="773"/>
      <c r="GF136" s="773"/>
      <c r="GG136" s="773"/>
      <c r="GH136" s="773"/>
      <c r="GI136" s="773"/>
      <c r="GJ136" s="773"/>
      <c r="GK136" s="773"/>
      <c r="GL136" s="773"/>
      <c r="GM136" s="773"/>
      <c r="GN136" s="773"/>
      <c r="GO136" s="773"/>
      <c r="GP136" s="773"/>
      <c r="GQ136" s="773"/>
      <c r="GR136" s="773"/>
      <c r="GS136" s="773"/>
      <c r="GT136" s="773"/>
      <c r="GU136" s="773"/>
      <c r="GV136" s="773"/>
      <c r="GW136" s="773"/>
      <c r="GX136" s="773"/>
      <c r="GY136" s="773"/>
      <c r="GZ136" s="773"/>
    </row>
    <row r="137" spans="1:208" s="11" customFormat="1">
      <c r="A137" s="774"/>
      <c r="B137" s="3761" t="s">
        <v>1350</v>
      </c>
      <c r="C137" s="197">
        <v>204043</v>
      </c>
      <c r="D137" s="801" t="s">
        <v>2859</v>
      </c>
      <c r="E137" s="809">
        <f>IFERROR(VLOOKUP(C137,'AJE 12 - INC'!$D$168:$F$345,3,0),0)</f>
        <v>0</v>
      </c>
      <c r="F137" s="1325">
        <f>SUMIF('AJE 12 - INC'!B:B,'New TB INC'!C137,'AJE 12 - INC'!D:D)</f>
        <v>0</v>
      </c>
      <c r="G137" s="1326"/>
      <c r="H137" s="1326"/>
      <c r="I137" s="1326"/>
      <c r="J137" s="796">
        <f t="shared" si="10"/>
        <v>0</v>
      </c>
      <c r="K137" s="779"/>
      <c r="L137" s="434"/>
      <c r="M137" s="2679"/>
      <c r="N137" s="772"/>
      <c r="O137" s="772"/>
      <c r="P137" s="772"/>
      <c r="Q137" s="772"/>
      <c r="R137" s="772"/>
      <c r="S137" s="772"/>
      <c r="T137" s="773"/>
      <c r="AW137" s="2514"/>
      <c r="AX137" s="820"/>
      <c r="AY137" s="820"/>
      <c r="AZ137" s="820"/>
      <c r="BA137" s="30"/>
      <c r="BB137" s="30"/>
      <c r="BC137" s="2514"/>
      <c r="BD137" s="2514"/>
      <c r="BE137" s="2514"/>
      <c r="BF137" s="2514"/>
      <c r="BH137" s="2514"/>
      <c r="BI137" s="30"/>
      <c r="BJ137" s="30"/>
      <c r="BK137" s="30"/>
      <c r="BL137" s="30"/>
      <c r="BM137" s="30"/>
      <c r="BN137" s="30"/>
      <c r="BO137" s="209"/>
      <c r="BP137" s="209"/>
      <c r="BQ137" s="785"/>
      <c r="BR137" s="820"/>
      <c r="BS137" s="820"/>
      <c r="BT137" s="30"/>
      <c r="BU137" s="800"/>
      <c r="BV137" s="800"/>
      <c r="BW137" s="209"/>
      <c r="CA137" s="787"/>
      <c r="DB137" s="773"/>
      <c r="DC137" s="773"/>
      <c r="DD137" s="773"/>
      <c r="DE137" s="773"/>
      <c r="DF137" s="773"/>
      <c r="DG137" s="773"/>
      <c r="DH137" s="773"/>
      <c r="DI137" s="773"/>
      <c r="DJ137" s="773"/>
      <c r="DK137" s="773"/>
      <c r="DL137" s="773"/>
      <c r="DM137" s="773"/>
      <c r="DN137" s="773"/>
      <c r="DO137" s="773"/>
      <c r="DP137" s="773"/>
      <c r="DQ137" s="773"/>
      <c r="DR137" s="773"/>
      <c r="DS137" s="773"/>
      <c r="DT137" s="773"/>
      <c r="DU137" s="773"/>
      <c r="DV137" s="773"/>
      <c r="DW137" s="773"/>
      <c r="DX137" s="773"/>
      <c r="DY137" s="773"/>
      <c r="DZ137" s="773"/>
      <c r="EA137" s="773"/>
      <c r="EB137" s="773"/>
      <c r="EC137" s="773"/>
      <c r="ED137" s="773"/>
      <c r="EE137" s="773"/>
      <c r="EF137" s="773"/>
      <c r="EG137" s="773"/>
      <c r="EH137" s="773"/>
      <c r="EI137" s="773"/>
      <c r="EJ137" s="773"/>
      <c r="EK137" s="773"/>
      <c r="EL137" s="773"/>
      <c r="EM137" s="773"/>
      <c r="EN137" s="773"/>
      <c r="EO137" s="773"/>
      <c r="EP137" s="773"/>
      <c r="EQ137" s="773"/>
      <c r="ER137" s="773"/>
      <c r="ES137" s="773"/>
      <c r="ET137" s="773"/>
      <c r="EU137" s="773"/>
      <c r="EV137" s="773"/>
      <c r="EW137" s="773"/>
      <c r="EX137" s="773"/>
      <c r="EY137" s="773"/>
      <c r="EZ137" s="773"/>
      <c r="FA137" s="773"/>
      <c r="FB137" s="773"/>
      <c r="FC137" s="773"/>
      <c r="FD137" s="773"/>
      <c r="FE137" s="773"/>
      <c r="FF137" s="773"/>
      <c r="FG137" s="773"/>
      <c r="FH137" s="773"/>
      <c r="FI137" s="773"/>
      <c r="FJ137" s="773"/>
      <c r="FK137" s="773"/>
      <c r="FL137" s="773"/>
      <c r="FM137" s="773"/>
      <c r="FN137" s="773"/>
      <c r="FO137" s="773"/>
      <c r="FP137" s="773"/>
      <c r="FQ137" s="773"/>
      <c r="FR137" s="773"/>
      <c r="FS137" s="773"/>
      <c r="FT137" s="773"/>
      <c r="FU137" s="773"/>
      <c r="FV137" s="773"/>
      <c r="FW137" s="773"/>
      <c r="FX137" s="773"/>
      <c r="FY137" s="773"/>
      <c r="FZ137" s="773"/>
      <c r="GA137" s="773"/>
      <c r="GB137" s="773"/>
      <c r="GC137" s="773"/>
      <c r="GD137" s="773"/>
      <c r="GE137" s="773"/>
      <c r="GF137" s="773"/>
      <c r="GG137" s="773"/>
      <c r="GH137" s="773"/>
      <c r="GI137" s="773"/>
      <c r="GJ137" s="773"/>
      <c r="GK137" s="773"/>
      <c r="GL137" s="773"/>
      <c r="GM137" s="773"/>
      <c r="GN137" s="773"/>
      <c r="GO137" s="773"/>
      <c r="GP137" s="773"/>
      <c r="GQ137" s="773"/>
      <c r="GR137" s="773"/>
      <c r="GS137" s="773"/>
      <c r="GT137" s="773"/>
      <c r="GU137" s="773"/>
      <c r="GV137" s="773"/>
      <c r="GW137" s="773"/>
      <c r="GX137" s="773"/>
      <c r="GY137" s="773"/>
      <c r="GZ137" s="773"/>
    </row>
    <row r="138" spans="1:208" s="11" customFormat="1">
      <c r="A138" s="774"/>
      <c r="B138" s="3761" t="s">
        <v>1350</v>
      </c>
      <c r="C138" s="197">
        <v>206788</v>
      </c>
      <c r="D138" s="801" t="s">
        <v>2860</v>
      </c>
      <c r="E138" s="809">
        <f>IFERROR(VLOOKUP(C138,'AJE 12 - INC'!$D$168:$F$345,3,0),0)</f>
        <v>0</v>
      </c>
      <c r="F138" s="1325">
        <f>SUMIF('AJE 12 - INC'!B:B,'New TB INC'!C138,'AJE 12 - INC'!D:D)</f>
        <v>0</v>
      </c>
      <c r="G138" s="1326"/>
      <c r="H138" s="1326"/>
      <c r="I138" s="1326"/>
      <c r="J138" s="796">
        <f t="shared" si="10"/>
        <v>0</v>
      </c>
      <c r="K138" s="779"/>
      <c r="L138" s="434"/>
      <c r="M138" s="2679"/>
      <c r="N138" s="772"/>
      <c r="O138" s="772"/>
      <c r="P138" s="772"/>
      <c r="Q138" s="772"/>
      <c r="R138" s="772"/>
      <c r="S138" s="772"/>
      <c r="T138" s="773"/>
      <c r="AW138" s="2514"/>
      <c r="AX138" s="820"/>
      <c r="AY138" s="820"/>
      <c r="AZ138" s="820"/>
      <c r="BA138" s="30"/>
      <c r="BB138" s="30"/>
      <c r="BC138" s="2514"/>
      <c r="BD138" s="2514"/>
      <c r="BE138" s="2514"/>
      <c r="BF138" s="2514"/>
      <c r="BH138" s="2514"/>
      <c r="BI138" s="30"/>
      <c r="BJ138" s="30"/>
      <c r="BK138" s="30"/>
      <c r="BL138" s="30"/>
      <c r="BM138" s="30"/>
      <c r="BN138" s="30"/>
      <c r="BO138" s="209"/>
      <c r="BP138" s="209"/>
      <c r="BQ138" s="785"/>
      <c r="BR138" s="820"/>
      <c r="BS138" s="820"/>
      <c r="BT138" s="30"/>
      <c r="BU138" s="800"/>
      <c r="BV138" s="800"/>
      <c r="BW138" s="209"/>
      <c r="CA138" s="787"/>
      <c r="DB138" s="773"/>
      <c r="DC138" s="773"/>
      <c r="DD138" s="773"/>
      <c r="DE138" s="773"/>
      <c r="DF138" s="773"/>
      <c r="DG138" s="773"/>
      <c r="DH138" s="773"/>
      <c r="DI138" s="773"/>
      <c r="DJ138" s="773"/>
      <c r="DK138" s="773"/>
      <c r="DL138" s="773"/>
      <c r="DM138" s="773"/>
      <c r="DN138" s="773"/>
      <c r="DO138" s="773"/>
      <c r="DP138" s="773"/>
      <c r="DQ138" s="773"/>
      <c r="DR138" s="773"/>
      <c r="DS138" s="773"/>
      <c r="DT138" s="773"/>
      <c r="DU138" s="773"/>
      <c r="DV138" s="773"/>
      <c r="DW138" s="773"/>
      <c r="DX138" s="773"/>
      <c r="DY138" s="773"/>
      <c r="DZ138" s="773"/>
      <c r="EA138" s="773"/>
      <c r="EB138" s="773"/>
      <c r="EC138" s="773"/>
      <c r="ED138" s="773"/>
      <c r="EE138" s="773"/>
      <c r="EF138" s="773"/>
      <c r="EG138" s="773"/>
      <c r="EH138" s="773"/>
      <c r="EI138" s="773"/>
      <c r="EJ138" s="773"/>
      <c r="EK138" s="773"/>
      <c r="EL138" s="773"/>
      <c r="EM138" s="773"/>
      <c r="EN138" s="773"/>
      <c r="EO138" s="773"/>
      <c r="EP138" s="773"/>
      <c r="EQ138" s="773"/>
      <c r="ER138" s="773"/>
      <c r="ES138" s="773"/>
      <c r="ET138" s="773"/>
      <c r="EU138" s="773"/>
      <c r="EV138" s="773"/>
      <c r="EW138" s="773"/>
      <c r="EX138" s="773"/>
      <c r="EY138" s="773"/>
      <c r="EZ138" s="773"/>
      <c r="FA138" s="773"/>
      <c r="FB138" s="773"/>
      <c r="FC138" s="773"/>
      <c r="FD138" s="773"/>
      <c r="FE138" s="773"/>
      <c r="FF138" s="773"/>
      <c r="FG138" s="773"/>
      <c r="FH138" s="773"/>
      <c r="FI138" s="773"/>
      <c r="FJ138" s="773"/>
      <c r="FK138" s="773"/>
      <c r="FL138" s="773"/>
      <c r="FM138" s="773"/>
      <c r="FN138" s="773"/>
      <c r="FO138" s="773"/>
      <c r="FP138" s="773"/>
      <c r="FQ138" s="773"/>
      <c r="FR138" s="773"/>
      <c r="FS138" s="773"/>
      <c r="FT138" s="773"/>
      <c r="FU138" s="773"/>
      <c r="FV138" s="773"/>
      <c r="FW138" s="773"/>
      <c r="FX138" s="773"/>
      <c r="FY138" s="773"/>
      <c r="FZ138" s="773"/>
      <c r="GA138" s="773"/>
      <c r="GB138" s="773"/>
      <c r="GC138" s="773"/>
      <c r="GD138" s="773"/>
      <c r="GE138" s="773"/>
      <c r="GF138" s="773"/>
      <c r="GG138" s="773"/>
      <c r="GH138" s="773"/>
      <c r="GI138" s="773"/>
      <c r="GJ138" s="773"/>
      <c r="GK138" s="773"/>
      <c r="GL138" s="773"/>
      <c r="GM138" s="773"/>
      <c r="GN138" s="773"/>
      <c r="GO138" s="773"/>
      <c r="GP138" s="773"/>
      <c r="GQ138" s="773"/>
      <c r="GR138" s="773"/>
      <c r="GS138" s="773"/>
      <c r="GT138" s="773"/>
      <c r="GU138" s="773"/>
      <c r="GV138" s="773"/>
      <c r="GW138" s="773"/>
      <c r="GX138" s="773"/>
      <c r="GY138" s="773"/>
      <c r="GZ138" s="773"/>
    </row>
    <row r="139" spans="1:208" s="11" customFormat="1">
      <c r="A139" s="774"/>
      <c r="B139" s="3761" t="s">
        <v>1350</v>
      </c>
      <c r="C139" s="197">
        <v>208991</v>
      </c>
      <c r="D139" s="801" t="s">
        <v>2861</v>
      </c>
      <c r="E139" s="809">
        <f>IFERROR(VLOOKUP(C139,'AJE 12 - INC'!$D$168:$F$345,3,0),0)</f>
        <v>0</v>
      </c>
      <c r="F139" s="1325">
        <f>SUMIF('AJE 12 - INC'!B:B,'New TB INC'!C139,'AJE 12 - INC'!D:D)</f>
        <v>0</v>
      </c>
      <c r="G139" s="1326"/>
      <c r="H139" s="1326"/>
      <c r="I139" s="1326"/>
      <c r="J139" s="796">
        <f t="shared" si="10"/>
        <v>0</v>
      </c>
      <c r="K139" s="779"/>
      <c r="L139" s="434"/>
      <c r="M139" s="2679"/>
      <c r="N139" s="772"/>
      <c r="O139" s="772"/>
      <c r="P139" s="772"/>
      <c r="Q139" s="772"/>
      <c r="R139" s="772"/>
      <c r="S139" s="772"/>
      <c r="T139" s="773"/>
      <c r="AW139" s="2514"/>
      <c r="AX139" s="820"/>
      <c r="AY139" s="820"/>
      <c r="AZ139" s="820"/>
      <c r="BA139" s="30"/>
      <c r="BB139" s="30"/>
      <c r="BC139" s="2514"/>
      <c r="BD139" s="2514"/>
      <c r="BE139" s="2514"/>
      <c r="BF139" s="2514"/>
      <c r="BH139" s="2514"/>
      <c r="BI139" s="30"/>
      <c r="BJ139" s="30"/>
      <c r="BK139" s="30"/>
      <c r="BL139" s="30"/>
      <c r="BM139" s="30"/>
      <c r="BN139" s="30"/>
      <c r="BO139" s="209"/>
      <c r="BP139" s="209"/>
      <c r="BQ139" s="785"/>
      <c r="BR139" s="820"/>
      <c r="BS139" s="820"/>
      <c r="BT139" s="30"/>
      <c r="BU139" s="800"/>
      <c r="BV139" s="800"/>
      <c r="BW139" s="209"/>
      <c r="CA139" s="787"/>
      <c r="DB139" s="773"/>
      <c r="DC139" s="773"/>
      <c r="DD139" s="773"/>
      <c r="DE139" s="773"/>
      <c r="DF139" s="773"/>
      <c r="DG139" s="773"/>
      <c r="DH139" s="773"/>
      <c r="DI139" s="773"/>
      <c r="DJ139" s="773"/>
      <c r="DK139" s="773"/>
      <c r="DL139" s="773"/>
      <c r="DM139" s="773"/>
      <c r="DN139" s="773"/>
      <c r="DO139" s="773"/>
      <c r="DP139" s="773"/>
      <c r="DQ139" s="773"/>
      <c r="DR139" s="773"/>
      <c r="DS139" s="773"/>
      <c r="DT139" s="773"/>
      <c r="DU139" s="773"/>
      <c r="DV139" s="773"/>
      <c r="DW139" s="773"/>
      <c r="DX139" s="773"/>
      <c r="DY139" s="773"/>
      <c r="DZ139" s="773"/>
      <c r="EA139" s="773"/>
      <c r="EB139" s="773"/>
      <c r="EC139" s="773"/>
      <c r="ED139" s="773"/>
      <c r="EE139" s="773"/>
      <c r="EF139" s="773"/>
      <c r="EG139" s="773"/>
      <c r="EH139" s="773"/>
      <c r="EI139" s="773"/>
      <c r="EJ139" s="773"/>
      <c r="EK139" s="773"/>
      <c r="EL139" s="773"/>
      <c r="EM139" s="773"/>
      <c r="EN139" s="773"/>
      <c r="EO139" s="773"/>
      <c r="EP139" s="773"/>
      <c r="EQ139" s="773"/>
      <c r="ER139" s="773"/>
      <c r="ES139" s="773"/>
      <c r="ET139" s="773"/>
      <c r="EU139" s="773"/>
      <c r="EV139" s="773"/>
      <c r="EW139" s="773"/>
      <c r="EX139" s="773"/>
      <c r="EY139" s="773"/>
      <c r="EZ139" s="773"/>
      <c r="FA139" s="773"/>
      <c r="FB139" s="773"/>
      <c r="FC139" s="773"/>
      <c r="FD139" s="773"/>
      <c r="FE139" s="773"/>
      <c r="FF139" s="773"/>
      <c r="FG139" s="773"/>
      <c r="FH139" s="773"/>
      <c r="FI139" s="773"/>
      <c r="FJ139" s="773"/>
      <c r="FK139" s="773"/>
      <c r="FL139" s="773"/>
      <c r="FM139" s="773"/>
      <c r="FN139" s="773"/>
      <c r="FO139" s="773"/>
      <c r="FP139" s="773"/>
      <c r="FQ139" s="773"/>
      <c r="FR139" s="773"/>
      <c r="FS139" s="773"/>
      <c r="FT139" s="773"/>
      <c r="FU139" s="773"/>
      <c r="FV139" s="773"/>
      <c r="FW139" s="773"/>
      <c r="FX139" s="773"/>
      <c r="FY139" s="773"/>
      <c r="FZ139" s="773"/>
      <c r="GA139" s="773"/>
      <c r="GB139" s="773"/>
      <c r="GC139" s="773"/>
      <c r="GD139" s="773"/>
      <c r="GE139" s="773"/>
      <c r="GF139" s="773"/>
      <c r="GG139" s="773"/>
      <c r="GH139" s="773"/>
      <c r="GI139" s="773"/>
      <c r="GJ139" s="773"/>
      <c r="GK139" s="773"/>
      <c r="GL139" s="773"/>
      <c r="GM139" s="773"/>
      <c r="GN139" s="773"/>
      <c r="GO139" s="773"/>
      <c r="GP139" s="773"/>
      <c r="GQ139" s="773"/>
      <c r="GR139" s="773"/>
      <c r="GS139" s="773"/>
      <c r="GT139" s="773"/>
      <c r="GU139" s="773"/>
      <c r="GV139" s="773"/>
      <c r="GW139" s="773"/>
      <c r="GX139" s="773"/>
      <c r="GY139" s="773"/>
      <c r="GZ139" s="773"/>
    </row>
    <row r="140" spans="1:208" s="11" customFormat="1">
      <c r="A140" s="774"/>
      <c r="B140" s="3761" t="s">
        <v>1350</v>
      </c>
      <c r="C140" s="197">
        <v>215329</v>
      </c>
      <c r="D140" s="801" t="s">
        <v>2864</v>
      </c>
      <c r="E140" s="809">
        <f>IFERROR(VLOOKUP(C140,'AJE 12 - INC'!$D$168:$F$345,3,0),0)</f>
        <v>0</v>
      </c>
      <c r="F140" s="1325">
        <f>SUMIF('AJE 12 - INC'!B:B,'New TB INC'!C140,'AJE 12 - INC'!D:D)</f>
        <v>0</v>
      </c>
      <c r="G140" s="1326"/>
      <c r="H140" s="1326"/>
      <c r="I140" s="1326"/>
      <c r="J140" s="796">
        <f t="shared" si="10"/>
        <v>0</v>
      </c>
      <c r="K140" s="779"/>
      <c r="L140" s="434"/>
      <c r="M140" s="2679"/>
      <c r="N140" s="772"/>
      <c r="O140" s="772"/>
      <c r="P140" s="772"/>
      <c r="Q140" s="772"/>
      <c r="R140" s="772"/>
      <c r="S140" s="772"/>
      <c r="T140" s="773"/>
      <c r="AW140" s="2514"/>
      <c r="AX140" s="820"/>
      <c r="AY140" s="820"/>
      <c r="AZ140" s="820"/>
      <c r="BA140" s="30"/>
      <c r="BB140" s="30"/>
      <c r="BC140" s="2514"/>
      <c r="BD140" s="2514"/>
      <c r="BE140" s="2514"/>
      <c r="BF140" s="2514"/>
      <c r="BH140" s="2514"/>
      <c r="BI140" s="30"/>
      <c r="BJ140" s="30"/>
      <c r="BK140" s="30"/>
      <c r="BL140" s="30"/>
      <c r="BM140" s="30"/>
      <c r="BN140" s="30"/>
      <c r="BO140" s="209"/>
      <c r="BP140" s="209"/>
      <c r="BQ140" s="785"/>
      <c r="BR140" s="820"/>
      <c r="BS140" s="820"/>
      <c r="BT140" s="30"/>
      <c r="BU140" s="800"/>
      <c r="BV140" s="800"/>
      <c r="BW140" s="209"/>
      <c r="CA140" s="787"/>
      <c r="DB140" s="773"/>
      <c r="DC140" s="773"/>
      <c r="DD140" s="773"/>
      <c r="DE140" s="773"/>
      <c r="DF140" s="773"/>
      <c r="DG140" s="773"/>
      <c r="DH140" s="773"/>
      <c r="DI140" s="773"/>
      <c r="DJ140" s="773"/>
      <c r="DK140" s="773"/>
      <c r="DL140" s="773"/>
      <c r="DM140" s="773"/>
      <c r="DN140" s="773"/>
      <c r="DO140" s="773"/>
      <c r="DP140" s="773"/>
      <c r="DQ140" s="773"/>
      <c r="DR140" s="773"/>
      <c r="DS140" s="773"/>
      <c r="DT140" s="773"/>
      <c r="DU140" s="773"/>
      <c r="DV140" s="773"/>
      <c r="DW140" s="773"/>
      <c r="DX140" s="773"/>
      <c r="DY140" s="773"/>
      <c r="DZ140" s="773"/>
      <c r="EA140" s="773"/>
      <c r="EB140" s="773"/>
      <c r="EC140" s="773"/>
      <c r="ED140" s="773"/>
      <c r="EE140" s="773"/>
      <c r="EF140" s="773"/>
      <c r="EG140" s="773"/>
      <c r="EH140" s="773"/>
      <c r="EI140" s="773"/>
      <c r="EJ140" s="773"/>
      <c r="EK140" s="773"/>
      <c r="EL140" s="773"/>
      <c r="EM140" s="773"/>
      <c r="EN140" s="773"/>
      <c r="EO140" s="773"/>
      <c r="EP140" s="773"/>
      <c r="EQ140" s="773"/>
      <c r="ER140" s="773"/>
      <c r="ES140" s="773"/>
      <c r="ET140" s="773"/>
      <c r="EU140" s="773"/>
      <c r="EV140" s="773"/>
      <c r="EW140" s="773"/>
      <c r="EX140" s="773"/>
      <c r="EY140" s="773"/>
      <c r="EZ140" s="773"/>
      <c r="FA140" s="773"/>
      <c r="FB140" s="773"/>
      <c r="FC140" s="773"/>
      <c r="FD140" s="773"/>
      <c r="FE140" s="773"/>
      <c r="FF140" s="773"/>
      <c r="FG140" s="773"/>
      <c r="FH140" s="773"/>
      <c r="FI140" s="773"/>
      <c r="FJ140" s="773"/>
      <c r="FK140" s="773"/>
      <c r="FL140" s="773"/>
      <c r="FM140" s="773"/>
      <c r="FN140" s="773"/>
      <c r="FO140" s="773"/>
      <c r="FP140" s="773"/>
      <c r="FQ140" s="773"/>
      <c r="FR140" s="773"/>
      <c r="FS140" s="773"/>
      <c r="FT140" s="773"/>
      <c r="FU140" s="773"/>
      <c r="FV140" s="773"/>
      <c r="FW140" s="773"/>
      <c r="FX140" s="773"/>
      <c r="FY140" s="773"/>
      <c r="FZ140" s="773"/>
      <c r="GA140" s="773"/>
      <c r="GB140" s="773"/>
      <c r="GC140" s="773"/>
      <c r="GD140" s="773"/>
      <c r="GE140" s="773"/>
      <c r="GF140" s="773"/>
      <c r="GG140" s="773"/>
      <c r="GH140" s="773"/>
      <c r="GI140" s="773"/>
      <c r="GJ140" s="773"/>
      <c r="GK140" s="773"/>
      <c r="GL140" s="773"/>
      <c r="GM140" s="773"/>
      <c r="GN140" s="773"/>
      <c r="GO140" s="773"/>
      <c r="GP140" s="773"/>
      <c r="GQ140" s="773"/>
      <c r="GR140" s="773"/>
      <c r="GS140" s="773"/>
      <c r="GT140" s="773"/>
      <c r="GU140" s="773"/>
      <c r="GV140" s="773"/>
      <c r="GW140" s="773"/>
      <c r="GX140" s="773"/>
      <c r="GY140" s="773"/>
      <c r="GZ140" s="773"/>
    </row>
    <row r="141" spans="1:208" s="11" customFormat="1">
      <c r="A141" s="774"/>
      <c r="B141" s="3761" t="s">
        <v>1350</v>
      </c>
      <c r="C141" s="197">
        <v>215508</v>
      </c>
      <c r="D141" s="801" t="s">
        <v>2865</v>
      </c>
      <c r="E141" s="809">
        <f>IFERROR(VLOOKUP(C141,'AJE 12 - INC'!$D$168:$F$345,3,0),0)</f>
        <v>0</v>
      </c>
      <c r="F141" s="1325">
        <f>SUMIF('AJE 12 - INC'!B:B,'New TB INC'!C141,'AJE 12 - INC'!D:D)</f>
        <v>0</v>
      </c>
      <c r="G141" s="1326"/>
      <c r="H141" s="1326"/>
      <c r="I141" s="1326"/>
      <c r="J141" s="796">
        <f t="shared" si="10"/>
        <v>0</v>
      </c>
      <c r="K141" s="779"/>
      <c r="L141" s="434"/>
      <c r="M141" s="2679"/>
      <c r="N141" s="772"/>
      <c r="O141" s="772"/>
      <c r="P141" s="772"/>
      <c r="Q141" s="772"/>
      <c r="R141" s="772"/>
      <c r="S141" s="772"/>
      <c r="T141" s="773"/>
      <c r="AW141" s="2514"/>
      <c r="AX141" s="820"/>
      <c r="AY141" s="820"/>
      <c r="AZ141" s="820"/>
      <c r="BA141" s="30"/>
      <c r="BB141" s="30"/>
      <c r="BC141" s="2514"/>
      <c r="BD141" s="2514"/>
      <c r="BE141" s="2514"/>
      <c r="BF141" s="2514"/>
      <c r="BH141" s="2514"/>
      <c r="BI141" s="30"/>
      <c r="BJ141" s="30"/>
      <c r="BK141" s="30"/>
      <c r="BL141" s="30"/>
      <c r="BM141" s="30"/>
      <c r="BN141" s="30"/>
      <c r="BO141" s="209"/>
      <c r="BP141" s="209"/>
      <c r="BQ141" s="785"/>
      <c r="BR141" s="820"/>
      <c r="BS141" s="820"/>
      <c r="BT141" s="30"/>
      <c r="BU141" s="800"/>
      <c r="BV141" s="800"/>
      <c r="BW141" s="209"/>
      <c r="CA141" s="787"/>
      <c r="DB141" s="773"/>
      <c r="DC141" s="773"/>
      <c r="DD141" s="773"/>
      <c r="DE141" s="773"/>
      <c r="DF141" s="773"/>
      <c r="DG141" s="773"/>
      <c r="DH141" s="773"/>
      <c r="DI141" s="773"/>
      <c r="DJ141" s="773"/>
      <c r="DK141" s="773"/>
      <c r="DL141" s="773"/>
      <c r="DM141" s="773"/>
      <c r="DN141" s="773"/>
      <c r="DO141" s="773"/>
      <c r="DP141" s="773"/>
      <c r="DQ141" s="773"/>
      <c r="DR141" s="773"/>
      <c r="DS141" s="773"/>
      <c r="DT141" s="773"/>
      <c r="DU141" s="773"/>
      <c r="DV141" s="773"/>
      <c r="DW141" s="773"/>
      <c r="DX141" s="773"/>
      <c r="DY141" s="773"/>
      <c r="DZ141" s="773"/>
      <c r="EA141" s="773"/>
      <c r="EB141" s="773"/>
      <c r="EC141" s="773"/>
      <c r="ED141" s="773"/>
      <c r="EE141" s="773"/>
      <c r="EF141" s="773"/>
      <c r="EG141" s="773"/>
      <c r="EH141" s="773"/>
      <c r="EI141" s="773"/>
      <c r="EJ141" s="773"/>
      <c r="EK141" s="773"/>
      <c r="EL141" s="773"/>
      <c r="EM141" s="773"/>
      <c r="EN141" s="773"/>
      <c r="EO141" s="773"/>
      <c r="EP141" s="773"/>
      <c r="EQ141" s="773"/>
      <c r="ER141" s="773"/>
      <c r="ES141" s="773"/>
      <c r="ET141" s="773"/>
      <c r="EU141" s="773"/>
      <c r="EV141" s="773"/>
      <c r="EW141" s="773"/>
      <c r="EX141" s="773"/>
      <c r="EY141" s="773"/>
      <c r="EZ141" s="773"/>
      <c r="FA141" s="773"/>
      <c r="FB141" s="773"/>
      <c r="FC141" s="773"/>
      <c r="FD141" s="773"/>
      <c r="FE141" s="773"/>
      <c r="FF141" s="773"/>
      <c r="FG141" s="773"/>
      <c r="FH141" s="773"/>
      <c r="FI141" s="773"/>
      <c r="FJ141" s="773"/>
      <c r="FK141" s="773"/>
      <c r="FL141" s="773"/>
      <c r="FM141" s="773"/>
      <c r="FN141" s="773"/>
      <c r="FO141" s="773"/>
      <c r="FP141" s="773"/>
      <c r="FQ141" s="773"/>
      <c r="FR141" s="773"/>
      <c r="FS141" s="773"/>
      <c r="FT141" s="773"/>
      <c r="FU141" s="773"/>
      <c r="FV141" s="773"/>
      <c r="FW141" s="773"/>
      <c r="FX141" s="773"/>
      <c r="FY141" s="773"/>
      <c r="FZ141" s="773"/>
      <c r="GA141" s="773"/>
      <c r="GB141" s="773"/>
      <c r="GC141" s="773"/>
      <c r="GD141" s="773"/>
      <c r="GE141" s="773"/>
      <c r="GF141" s="773"/>
      <c r="GG141" s="773"/>
      <c r="GH141" s="773"/>
      <c r="GI141" s="773"/>
      <c r="GJ141" s="773"/>
      <c r="GK141" s="773"/>
      <c r="GL141" s="773"/>
      <c r="GM141" s="773"/>
      <c r="GN141" s="773"/>
      <c r="GO141" s="773"/>
      <c r="GP141" s="773"/>
      <c r="GQ141" s="773"/>
      <c r="GR141" s="773"/>
      <c r="GS141" s="773"/>
      <c r="GT141" s="773"/>
      <c r="GU141" s="773"/>
      <c r="GV141" s="773"/>
      <c r="GW141" s="773"/>
      <c r="GX141" s="773"/>
      <c r="GY141" s="773"/>
      <c r="GZ141" s="773"/>
    </row>
    <row r="142" spans="1:208" s="11" customFormat="1">
      <c r="A142" s="774"/>
      <c r="B142" s="3761" t="s">
        <v>1350</v>
      </c>
      <c r="C142" s="197">
        <v>215586</v>
      </c>
      <c r="D142" s="801" t="s">
        <v>2866</v>
      </c>
      <c r="E142" s="809">
        <f>IFERROR(VLOOKUP(C142,'AJE 12 - INC'!$D$168:$F$345,3,0),0)</f>
        <v>34617.160000000003</v>
      </c>
      <c r="F142" s="1325">
        <f>SUMIF('AJE 12 - INC'!B:B,'New TB INC'!C142,'AJE 12 - INC'!D:D)</f>
        <v>0</v>
      </c>
      <c r="G142" s="1326"/>
      <c r="H142" s="1326"/>
      <c r="I142" s="1326"/>
      <c r="J142" s="796">
        <f t="shared" si="10"/>
        <v>34617.160000000003</v>
      </c>
      <c r="K142" s="779"/>
      <c r="L142" s="434"/>
      <c r="M142" s="2679"/>
      <c r="N142" s="772"/>
      <c r="O142" s="772"/>
      <c r="P142" s="772"/>
      <c r="Q142" s="772"/>
      <c r="R142" s="772"/>
      <c r="S142" s="772"/>
      <c r="T142" s="773"/>
      <c r="AW142" s="2514"/>
      <c r="AX142" s="820"/>
      <c r="AY142" s="820"/>
      <c r="AZ142" s="820"/>
      <c r="BA142" s="30"/>
      <c r="BB142" s="30"/>
      <c r="BC142" s="2514"/>
      <c r="BD142" s="2514"/>
      <c r="BE142" s="2514"/>
      <c r="BF142" s="2514"/>
      <c r="BH142" s="2514"/>
      <c r="BI142" s="30"/>
      <c r="BJ142" s="30"/>
      <c r="BK142" s="30"/>
      <c r="BL142" s="30"/>
      <c r="BM142" s="30"/>
      <c r="BN142" s="30"/>
      <c r="BO142" s="209"/>
      <c r="BP142" s="209"/>
      <c r="BQ142" s="785"/>
      <c r="BR142" s="820"/>
      <c r="BS142" s="820"/>
      <c r="BT142" s="30"/>
      <c r="BU142" s="800"/>
      <c r="BV142" s="800"/>
      <c r="BW142" s="209"/>
      <c r="CA142" s="787"/>
      <c r="DB142" s="773"/>
      <c r="DC142" s="773"/>
      <c r="DD142" s="773"/>
      <c r="DE142" s="773"/>
      <c r="DF142" s="773"/>
      <c r="DG142" s="773"/>
      <c r="DH142" s="773"/>
      <c r="DI142" s="773"/>
      <c r="DJ142" s="773"/>
      <c r="DK142" s="773"/>
      <c r="DL142" s="773"/>
      <c r="DM142" s="773"/>
      <c r="DN142" s="773"/>
      <c r="DO142" s="773"/>
      <c r="DP142" s="773"/>
      <c r="DQ142" s="773"/>
      <c r="DR142" s="773"/>
      <c r="DS142" s="773"/>
      <c r="DT142" s="773"/>
      <c r="DU142" s="773"/>
      <c r="DV142" s="773"/>
      <c r="DW142" s="773"/>
      <c r="DX142" s="773"/>
      <c r="DY142" s="773"/>
      <c r="DZ142" s="773"/>
      <c r="EA142" s="773"/>
      <c r="EB142" s="773"/>
      <c r="EC142" s="773"/>
      <c r="ED142" s="773"/>
      <c r="EE142" s="773"/>
      <c r="EF142" s="773"/>
      <c r="EG142" s="773"/>
      <c r="EH142" s="773"/>
      <c r="EI142" s="773"/>
      <c r="EJ142" s="773"/>
      <c r="EK142" s="773"/>
      <c r="EL142" s="773"/>
      <c r="EM142" s="773"/>
      <c r="EN142" s="773"/>
      <c r="EO142" s="773"/>
      <c r="EP142" s="773"/>
      <c r="EQ142" s="773"/>
      <c r="ER142" s="773"/>
      <c r="ES142" s="773"/>
      <c r="ET142" s="773"/>
      <c r="EU142" s="773"/>
      <c r="EV142" s="773"/>
      <c r="EW142" s="773"/>
      <c r="EX142" s="773"/>
      <c r="EY142" s="773"/>
      <c r="EZ142" s="773"/>
      <c r="FA142" s="773"/>
      <c r="FB142" s="773"/>
      <c r="FC142" s="773"/>
      <c r="FD142" s="773"/>
      <c r="FE142" s="773"/>
      <c r="FF142" s="773"/>
      <c r="FG142" s="773"/>
      <c r="FH142" s="773"/>
      <c r="FI142" s="773"/>
      <c r="FJ142" s="773"/>
      <c r="FK142" s="773"/>
      <c r="FL142" s="773"/>
      <c r="FM142" s="773"/>
      <c r="FN142" s="773"/>
      <c r="FO142" s="773"/>
      <c r="FP142" s="773"/>
      <c r="FQ142" s="773"/>
      <c r="FR142" s="773"/>
      <c r="FS142" s="773"/>
      <c r="FT142" s="773"/>
      <c r="FU142" s="773"/>
      <c r="FV142" s="773"/>
      <c r="FW142" s="773"/>
      <c r="FX142" s="773"/>
      <c r="FY142" s="773"/>
      <c r="FZ142" s="773"/>
      <c r="GA142" s="773"/>
      <c r="GB142" s="773"/>
      <c r="GC142" s="773"/>
      <c r="GD142" s="773"/>
      <c r="GE142" s="773"/>
      <c r="GF142" s="773"/>
      <c r="GG142" s="773"/>
      <c r="GH142" s="773"/>
      <c r="GI142" s="773"/>
      <c r="GJ142" s="773"/>
      <c r="GK142" s="773"/>
      <c r="GL142" s="773"/>
      <c r="GM142" s="773"/>
      <c r="GN142" s="773"/>
      <c r="GO142" s="773"/>
      <c r="GP142" s="773"/>
      <c r="GQ142" s="773"/>
      <c r="GR142" s="773"/>
      <c r="GS142" s="773"/>
      <c r="GT142" s="773"/>
      <c r="GU142" s="773"/>
      <c r="GV142" s="773"/>
      <c r="GW142" s="773"/>
      <c r="GX142" s="773"/>
      <c r="GY142" s="773"/>
      <c r="GZ142" s="773"/>
    </row>
    <row r="143" spans="1:208" s="11" customFormat="1">
      <c r="A143" s="774"/>
      <c r="B143" s="3761" t="s">
        <v>1350</v>
      </c>
      <c r="C143" s="197">
        <v>221137</v>
      </c>
      <c r="D143" s="801" t="s">
        <v>2867</v>
      </c>
      <c r="E143" s="809">
        <f>IFERROR(VLOOKUP(C143,'AJE 12 - INC'!$D$168:$F$345,3,0),0)</f>
        <v>0</v>
      </c>
      <c r="F143" s="1325">
        <f>SUMIF('AJE 12 - INC'!B:B,'New TB INC'!C143,'AJE 12 - INC'!D:D)</f>
        <v>0</v>
      </c>
      <c r="G143" s="1326"/>
      <c r="H143" s="1326"/>
      <c r="I143" s="1326"/>
      <c r="J143" s="796">
        <f t="shared" si="10"/>
        <v>0</v>
      </c>
      <c r="K143" s="779"/>
      <c r="L143" s="434"/>
      <c r="M143" s="2679"/>
      <c r="N143" s="772"/>
      <c r="O143" s="772"/>
      <c r="P143" s="772"/>
      <c r="Q143" s="772"/>
      <c r="R143" s="772"/>
      <c r="S143" s="772"/>
      <c r="T143" s="773"/>
      <c r="AW143" s="2514"/>
      <c r="AX143" s="820"/>
      <c r="AY143" s="820"/>
      <c r="AZ143" s="820"/>
      <c r="BA143" s="30"/>
      <c r="BB143" s="30"/>
      <c r="BC143" s="2514"/>
      <c r="BD143" s="2514"/>
      <c r="BE143" s="2514"/>
      <c r="BF143" s="2514"/>
      <c r="BH143" s="2514"/>
      <c r="BI143" s="30"/>
      <c r="BJ143" s="30"/>
      <c r="BK143" s="30"/>
      <c r="BL143" s="30"/>
      <c r="BM143" s="30"/>
      <c r="BN143" s="30"/>
      <c r="BO143" s="209"/>
      <c r="BP143" s="209"/>
      <c r="BQ143" s="785"/>
      <c r="BR143" s="820"/>
      <c r="BS143" s="820"/>
      <c r="BT143" s="30"/>
      <c r="BU143" s="800"/>
      <c r="BV143" s="800"/>
      <c r="BW143" s="209"/>
      <c r="CA143" s="787"/>
      <c r="DB143" s="773"/>
      <c r="DC143" s="773"/>
      <c r="DD143" s="773"/>
      <c r="DE143" s="773"/>
      <c r="DF143" s="773"/>
      <c r="DG143" s="773"/>
      <c r="DH143" s="773"/>
      <c r="DI143" s="773"/>
      <c r="DJ143" s="773"/>
      <c r="DK143" s="773"/>
      <c r="DL143" s="773"/>
      <c r="DM143" s="773"/>
      <c r="DN143" s="773"/>
      <c r="DO143" s="773"/>
      <c r="DP143" s="773"/>
      <c r="DQ143" s="773"/>
      <c r="DR143" s="773"/>
      <c r="DS143" s="773"/>
      <c r="DT143" s="773"/>
      <c r="DU143" s="773"/>
      <c r="DV143" s="773"/>
      <c r="DW143" s="773"/>
      <c r="DX143" s="773"/>
      <c r="DY143" s="773"/>
      <c r="DZ143" s="773"/>
      <c r="EA143" s="773"/>
      <c r="EB143" s="773"/>
      <c r="EC143" s="773"/>
      <c r="ED143" s="773"/>
      <c r="EE143" s="773"/>
      <c r="EF143" s="773"/>
      <c r="EG143" s="773"/>
      <c r="EH143" s="773"/>
      <c r="EI143" s="773"/>
      <c r="EJ143" s="773"/>
      <c r="EK143" s="773"/>
      <c r="EL143" s="773"/>
      <c r="EM143" s="773"/>
      <c r="EN143" s="773"/>
      <c r="EO143" s="773"/>
      <c r="EP143" s="773"/>
      <c r="EQ143" s="773"/>
      <c r="ER143" s="773"/>
      <c r="ES143" s="773"/>
      <c r="ET143" s="773"/>
      <c r="EU143" s="773"/>
      <c r="EV143" s="773"/>
      <c r="EW143" s="773"/>
      <c r="EX143" s="773"/>
      <c r="EY143" s="773"/>
      <c r="EZ143" s="773"/>
      <c r="FA143" s="773"/>
      <c r="FB143" s="773"/>
      <c r="FC143" s="773"/>
      <c r="FD143" s="773"/>
      <c r="FE143" s="773"/>
      <c r="FF143" s="773"/>
      <c r="FG143" s="773"/>
      <c r="FH143" s="773"/>
      <c r="FI143" s="773"/>
      <c r="FJ143" s="773"/>
      <c r="FK143" s="773"/>
      <c r="FL143" s="773"/>
      <c r="FM143" s="773"/>
      <c r="FN143" s="773"/>
      <c r="FO143" s="773"/>
      <c r="FP143" s="773"/>
      <c r="FQ143" s="773"/>
      <c r="FR143" s="773"/>
      <c r="FS143" s="773"/>
      <c r="FT143" s="773"/>
      <c r="FU143" s="773"/>
      <c r="FV143" s="773"/>
      <c r="FW143" s="773"/>
      <c r="FX143" s="773"/>
      <c r="FY143" s="773"/>
      <c r="FZ143" s="773"/>
      <c r="GA143" s="773"/>
      <c r="GB143" s="773"/>
      <c r="GC143" s="773"/>
      <c r="GD143" s="773"/>
      <c r="GE143" s="773"/>
      <c r="GF143" s="773"/>
      <c r="GG143" s="773"/>
      <c r="GH143" s="773"/>
      <c r="GI143" s="773"/>
      <c r="GJ143" s="773"/>
      <c r="GK143" s="773"/>
      <c r="GL143" s="773"/>
      <c r="GM143" s="773"/>
      <c r="GN143" s="773"/>
      <c r="GO143" s="773"/>
      <c r="GP143" s="773"/>
      <c r="GQ143" s="773"/>
      <c r="GR143" s="773"/>
      <c r="GS143" s="773"/>
      <c r="GT143" s="773"/>
      <c r="GU143" s="773"/>
      <c r="GV143" s="773"/>
      <c r="GW143" s="773"/>
      <c r="GX143" s="773"/>
      <c r="GY143" s="773"/>
      <c r="GZ143" s="773"/>
    </row>
    <row r="144" spans="1:208" s="11" customFormat="1">
      <c r="A144" s="774"/>
      <c r="B144" s="3761" t="s">
        <v>1350</v>
      </c>
      <c r="C144" s="197">
        <v>226911</v>
      </c>
      <c r="D144" s="801" t="s">
        <v>2868</v>
      </c>
      <c r="E144" s="809">
        <f>IFERROR(VLOOKUP(C144,'AJE 12 - INC'!$D$168:$F$345,3,0),0)</f>
        <v>0</v>
      </c>
      <c r="F144" s="1325">
        <f>SUMIF('AJE 12 - INC'!B:B,'New TB INC'!C144,'AJE 12 - INC'!D:D)</f>
        <v>0</v>
      </c>
      <c r="G144" s="1326"/>
      <c r="H144" s="1326"/>
      <c r="I144" s="1326"/>
      <c r="J144" s="796">
        <f t="shared" si="10"/>
        <v>0</v>
      </c>
      <c r="K144" s="779"/>
      <c r="L144" s="434"/>
      <c r="M144" s="2679"/>
      <c r="N144" s="772"/>
      <c r="O144" s="772"/>
      <c r="P144" s="772"/>
      <c r="Q144" s="772"/>
      <c r="R144" s="772"/>
      <c r="S144" s="772"/>
      <c r="T144" s="773"/>
      <c r="AW144" s="2514"/>
      <c r="AX144" s="820"/>
      <c r="AY144" s="820"/>
      <c r="AZ144" s="820"/>
      <c r="BA144" s="30"/>
      <c r="BB144" s="30"/>
      <c r="BC144" s="2514"/>
      <c r="BD144" s="2514"/>
      <c r="BE144" s="2514"/>
      <c r="BF144" s="2514"/>
      <c r="BH144" s="2514"/>
      <c r="BI144" s="30"/>
      <c r="BJ144" s="30"/>
      <c r="BK144" s="30"/>
      <c r="BL144" s="30"/>
      <c r="BM144" s="30"/>
      <c r="BN144" s="30"/>
      <c r="BO144" s="209"/>
      <c r="BP144" s="209"/>
      <c r="BQ144" s="785"/>
      <c r="BR144" s="820"/>
      <c r="BS144" s="820"/>
      <c r="BT144" s="30"/>
      <c r="BU144" s="800"/>
      <c r="BV144" s="800"/>
      <c r="BW144" s="209"/>
      <c r="CA144" s="787"/>
      <c r="DB144" s="773"/>
      <c r="DC144" s="773"/>
      <c r="DD144" s="773"/>
      <c r="DE144" s="773"/>
      <c r="DF144" s="773"/>
      <c r="DG144" s="773"/>
      <c r="DH144" s="773"/>
      <c r="DI144" s="773"/>
      <c r="DJ144" s="773"/>
      <c r="DK144" s="773"/>
      <c r="DL144" s="773"/>
      <c r="DM144" s="773"/>
      <c r="DN144" s="773"/>
      <c r="DO144" s="773"/>
      <c r="DP144" s="773"/>
      <c r="DQ144" s="773"/>
      <c r="DR144" s="773"/>
      <c r="DS144" s="773"/>
      <c r="DT144" s="773"/>
      <c r="DU144" s="773"/>
      <c r="DV144" s="773"/>
      <c r="DW144" s="773"/>
      <c r="DX144" s="773"/>
      <c r="DY144" s="773"/>
      <c r="DZ144" s="773"/>
      <c r="EA144" s="773"/>
      <c r="EB144" s="773"/>
      <c r="EC144" s="773"/>
      <c r="ED144" s="773"/>
      <c r="EE144" s="773"/>
      <c r="EF144" s="773"/>
      <c r="EG144" s="773"/>
      <c r="EH144" s="773"/>
      <c r="EI144" s="773"/>
      <c r="EJ144" s="773"/>
      <c r="EK144" s="773"/>
      <c r="EL144" s="773"/>
      <c r="EM144" s="773"/>
      <c r="EN144" s="773"/>
      <c r="EO144" s="773"/>
      <c r="EP144" s="773"/>
      <c r="EQ144" s="773"/>
      <c r="ER144" s="773"/>
      <c r="ES144" s="773"/>
      <c r="ET144" s="773"/>
      <c r="EU144" s="773"/>
      <c r="EV144" s="773"/>
      <c r="EW144" s="773"/>
      <c r="EX144" s="773"/>
      <c r="EY144" s="773"/>
      <c r="EZ144" s="773"/>
      <c r="FA144" s="773"/>
      <c r="FB144" s="773"/>
      <c r="FC144" s="773"/>
      <c r="FD144" s="773"/>
      <c r="FE144" s="773"/>
      <c r="FF144" s="773"/>
      <c r="FG144" s="773"/>
      <c r="FH144" s="773"/>
      <c r="FI144" s="773"/>
      <c r="FJ144" s="773"/>
      <c r="FK144" s="773"/>
      <c r="FL144" s="773"/>
      <c r="FM144" s="773"/>
      <c r="FN144" s="773"/>
      <c r="FO144" s="773"/>
      <c r="FP144" s="773"/>
      <c r="FQ144" s="773"/>
      <c r="FR144" s="773"/>
      <c r="FS144" s="773"/>
      <c r="FT144" s="773"/>
      <c r="FU144" s="773"/>
      <c r="FV144" s="773"/>
      <c r="FW144" s="773"/>
      <c r="FX144" s="773"/>
      <c r="FY144" s="773"/>
      <c r="FZ144" s="773"/>
      <c r="GA144" s="773"/>
      <c r="GB144" s="773"/>
      <c r="GC144" s="773"/>
      <c r="GD144" s="773"/>
      <c r="GE144" s="773"/>
      <c r="GF144" s="773"/>
      <c r="GG144" s="773"/>
      <c r="GH144" s="773"/>
      <c r="GI144" s="773"/>
      <c r="GJ144" s="773"/>
      <c r="GK144" s="773"/>
      <c r="GL144" s="773"/>
      <c r="GM144" s="773"/>
      <c r="GN144" s="773"/>
      <c r="GO144" s="773"/>
      <c r="GP144" s="773"/>
      <c r="GQ144" s="773"/>
      <c r="GR144" s="773"/>
      <c r="GS144" s="773"/>
      <c r="GT144" s="773"/>
      <c r="GU144" s="773"/>
      <c r="GV144" s="773"/>
      <c r="GW144" s="773"/>
      <c r="GX144" s="773"/>
      <c r="GY144" s="773"/>
      <c r="GZ144" s="773"/>
    </row>
    <row r="145" spans="1:208" s="11" customFormat="1">
      <c r="A145" s="774"/>
      <c r="B145" s="3761" t="s">
        <v>1350</v>
      </c>
      <c r="C145" s="197">
        <v>201624</v>
      </c>
      <c r="D145" s="801" t="s">
        <v>2643</v>
      </c>
      <c r="E145" s="809">
        <f>IFERROR(VLOOKUP(C145,'AJE 12 - INC'!$D$168:$F$345,3,0),0)</f>
        <v>0</v>
      </c>
      <c r="F145" s="1325">
        <f>SUMIF('AJE 12 - INC'!B:B,'New TB INC'!C145,'AJE 12 - INC'!D:D)</f>
        <v>0</v>
      </c>
      <c r="G145" s="1326"/>
      <c r="H145" s="1326"/>
      <c r="I145" s="1326"/>
      <c r="J145" s="796">
        <f t="shared" si="10"/>
        <v>0</v>
      </c>
      <c r="K145" s="779"/>
      <c r="L145" s="434"/>
      <c r="M145" s="2679"/>
      <c r="N145" s="772"/>
      <c r="O145" s="772"/>
      <c r="P145" s="772"/>
      <c r="Q145" s="772"/>
      <c r="R145" s="772"/>
      <c r="S145" s="772"/>
      <c r="T145" s="773"/>
      <c r="AW145" s="2514"/>
      <c r="AX145" s="820"/>
      <c r="AY145" s="820"/>
      <c r="AZ145" s="820"/>
      <c r="BA145" s="30"/>
      <c r="BB145" s="30"/>
      <c r="BC145" s="2514"/>
      <c r="BD145" s="2514"/>
      <c r="BE145" s="2514"/>
      <c r="BF145" s="2514"/>
      <c r="BH145" s="2514"/>
      <c r="BI145" s="30"/>
      <c r="BJ145" s="30"/>
      <c r="BK145" s="30"/>
      <c r="BL145" s="30"/>
      <c r="BM145" s="30"/>
      <c r="BN145" s="30"/>
      <c r="BO145" s="209"/>
      <c r="BP145" s="209"/>
      <c r="BQ145" s="785"/>
      <c r="BR145" s="820"/>
      <c r="BS145" s="820"/>
      <c r="BT145" s="30"/>
      <c r="BU145" s="800"/>
      <c r="BV145" s="800"/>
      <c r="BW145" s="209"/>
      <c r="CA145" s="787"/>
      <c r="DB145" s="773"/>
      <c r="DC145" s="773"/>
      <c r="DD145" s="773"/>
      <c r="DE145" s="773"/>
      <c r="DF145" s="773"/>
      <c r="DG145" s="773"/>
      <c r="DH145" s="773"/>
      <c r="DI145" s="773"/>
      <c r="DJ145" s="773"/>
      <c r="DK145" s="773"/>
      <c r="DL145" s="773"/>
      <c r="DM145" s="773"/>
      <c r="DN145" s="773"/>
      <c r="DO145" s="773"/>
      <c r="DP145" s="773"/>
      <c r="DQ145" s="773"/>
      <c r="DR145" s="773"/>
      <c r="DS145" s="773"/>
      <c r="DT145" s="773"/>
      <c r="DU145" s="773"/>
      <c r="DV145" s="773"/>
      <c r="DW145" s="773"/>
      <c r="DX145" s="773"/>
      <c r="DY145" s="773"/>
      <c r="DZ145" s="773"/>
      <c r="EA145" s="773"/>
      <c r="EB145" s="773"/>
      <c r="EC145" s="773"/>
      <c r="ED145" s="773"/>
      <c r="EE145" s="773"/>
      <c r="EF145" s="773"/>
      <c r="EG145" s="773"/>
      <c r="EH145" s="773"/>
      <c r="EI145" s="773"/>
      <c r="EJ145" s="773"/>
      <c r="EK145" s="773"/>
      <c r="EL145" s="773"/>
      <c r="EM145" s="773"/>
      <c r="EN145" s="773"/>
      <c r="EO145" s="773"/>
      <c r="EP145" s="773"/>
      <c r="EQ145" s="773"/>
      <c r="ER145" s="773"/>
      <c r="ES145" s="773"/>
      <c r="ET145" s="773"/>
      <c r="EU145" s="773"/>
      <c r="EV145" s="773"/>
      <c r="EW145" s="773"/>
      <c r="EX145" s="773"/>
      <c r="EY145" s="773"/>
      <c r="EZ145" s="773"/>
      <c r="FA145" s="773"/>
      <c r="FB145" s="773"/>
      <c r="FC145" s="773"/>
      <c r="FD145" s="773"/>
      <c r="FE145" s="773"/>
      <c r="FF145" s="773"/>
      <c r="FG145" s="773"/>
      <c r="FH145" s="773"/>
      <c r="FI145" s="773"/>
      <c r="FJ145" s="773"/>
      <c r="FK145" s="773"/>
      <c r="FL145" s="773"/>
      <c r="FM145" s="773"/>
      <c r="FN145" s="773"/>
      <c r="FO145" s="773"/>
      <c r="FP145" s="773"/>
      <c r="FQ145" s="773"/>
      <c r="FR145" s="773"/>
      <c r="FS145" s="773"/>
      <c r="FT145" s="773"/>
      <c r="FU145" s="773"/>
      <c r="FV145" s="773"/>
      <c r="FW145" s="773"/>
      <c r="FX145" s="773"/>
      <c r="FY145" s="773"/>
      <c r="FZ145" s="773"/>
      <c r="GA145" s="773"/>
      <c r="GB145" s="773"/>
      <c r="GC145" s="773"/>
      <c r="GD145" s="773"/>
      <c r="GE145" s="773"/>
      <c r="GF145" s="773"/>
      <c r="GG145" s="773"/>
      <c r="GH145" s="773"/>
      <c r="GI145" s="773"/>
      <c r="GJ145" s="773"/>
      <c r="GK145" s="773"/>
      <c r="GL145" s="773"/>
      <c r="GM145" s="773"/>
      <c r="GN145" s="773"/>
      <c r="GO145" s="773"/>
      <c r="GP145" s="773"/>
      <c r="GQ145" s="773"/>
      <c r="GR145" s="773"/>
      <c r="GS145" s="773"/>
      <c r="GT145" s="773"/>
      <c r="GU145" s="773"/>
      <c r="GV145" s="773"/>
      <c r="GW145" s="773"/>
      <c r="GX145" s="773"/>
      <c r="GY145" s="773"/>
      <c r="GZ145" s="773"/>
    </row>
    <row r="146" spans="1:208" s="11" customFormat="1">
      <c r="A146" s="774"/>
      <c r="B146" s="3761" t="s">
        <v>1350</v>
      </c>
      <c r="C146" s="197">
        <v>202419</v>
      </c>
      <c r="D146" s="801" t="s">
        <v>2644</v>
      </c>
      <c r="E146" s="809">
        <f>IFERROR(VLOOKUP(C146,'AJE 12 - INC'!$D$168:$F$345,3,0),0)</f>
        <v>0</v>
      </c>
      <c r="F146" s="1325">
        <f>SUMIF('AJE 12 - INC'!B:B,'New TB INC'!C146,'AJE 12 - INC'!D:D)</f>
        <v>0</v>
      </c>
      <c r="G146" s="1326"/>
      <c r="H146" s="1326"/>
      <c r="I146" s="1326"/>
      <c r="J146" s="796">
        <f t="shared" si="10"/>
        <v>0</v>
      </c>
      <c r="K146" s="209"/>
      <c r="L146" s="434"/>
      <c r="M146" s="2679"/>
      <c r="N146" s="772"/>
      <c r="O146" s="772"/>
      <c r="P146" s="772"/>
      <c r="Q146" s="772"/>
      <c r="R146" s="772"/>
      <c r="S146" s="772"/>
      <c r="T146" s="773"/>
      <c r="AW146" s="2514"/>
      <c r="AX146" s="820"/>
      <c r="AY146" s="820"/>
      <c r="AZ146" s="820"/>
      <c r="BA146" s="30"/>
      <c r="BB146" s="30"/>
      <c r="BC146" s="2514"/>
      <c r="BD146" s="2514"/>
      <c r="BE146" s="2514"/>
      <c r="BF146" s="2514"/>
      <c r="BH146" s="2514"/>
      <c r="BI146" s="30"/>
      <c r="BJ146" s="30"/>
      <c r="BK146" s="30"/>
      <c r="BL146" s="30"/>
      <c r="BM146" s="30"/>
      <c r="BN146" s="30"/>
      <c r="BO146" s="209"/>
      <c r="BP146" s="209"/>
      <c r="BQ146" s="785"/>
      <c r="BR146" s="820"/>
      <c r="BS146" s="820"/>
      <c r="BT146" s="30"/>
      <c r="BU146" s="800"/>
      <c r="BV146" s="800"/>
      <c r="BW146" s="209"/>
      <c r="CA146" s="787"/>
      <c r="DB146" s="773"/>
      <c r="DC146" s="773"/>
      <c r="DD146" s="773"/>
      <c r="DE146" s="773"/>
      <c r="DF146" s="773"/>
      <c r="DG146" s="773"/>
      <c r="DH146" s="773"/>
      <c r="DI146" s="773"/>
      <c r="DJ146" s="773"/>
      <c r="DK146" s="773"/>
      <c r="DL146" s="773"/>
      <c r="DM146" s="773"/>
      <c r="DN146" s="773"/>
      <c r="DO146" s="773"/>
      <c r="DP146" s="773"/>
      <c r="DQ146" s="773"/>
      <c r="DR146" s="773"/>
      <c r="DS146" s="773"/>
      <c r="DT146" s="773"/>
      <c r="DU146" s="773"/>
      <c r="DV146" s="773"/>
      <c r="DW146" s="773"/>
      <c r="DX146" s="773"/>
      <c r="DY146" s="773"/>
      <c r="DZ146" s="773"/>
      <c r="EA146" s="773"/>
      <c r="EB146" s="773"/>
      <c r="EC146" s="773"/>
      <c r="ED146" s="773"/>
      <c r="EE146" s="773"/>
      <c r="EF146" s="773"/>
      <c r="EG146" s="773"/>
      <c r="EH146" s="773"/>
      <c r="EI146" s="773"/>
      <c r="EJ146" s="773"/>
      <c r="EK146" s="773"/>
      <c r="EL146" s="773"/>
      <c r="EM146" s="773"/>
      <c r="EN146" s="773"/>
      <c r="EO146" s="773"/>
      <c r="EP146" s="773"/>
      <c r="EQ146" s="773"/>
      <c r="ER146" s="773"/>
      <c r="ES146" s="773"/>
      <c r="ET146" s="773"/>
      <c r="EU146" s="773"/>
      <c r="EV146" s="773"/>
      <c r="EW146" s="773"/>
      <c r="EX146" s="773"/>
      <c r="EY146" s="773"/>
      <c r="EZ146" s="773"/>
      <c r="FA146" s="773"/>
      <c r="FB146" s="773"/>
      <c r="FC146" s="773"/>
      <c r="FD146" s="773"/>
      <c r="FE146" s="773"/>
      <c r="FF146" s="773"/>
      <c r="FG146" s="773"/>
      <c r="FH146" s="773"/>
      <c r="FI146" s="773"/>
      <c r="FJ146" s="773"/>
      <c r="FK146" s="773"/>
      <c r="FL146" s="773"/>
      <c r="FM146" s="773"/>
      <c r="FN146" s="773"/>
      <c r="FO146" s="773"/>
      <c r="FP146" s="773"/>
      <c r="FQ146" s="773"/>
      <c r="FR146" s="773"/>
      <c r="FS146" s="773"/>
      <c r="FT146" s="773"/>
      <c r="FU146" s="773"/>
      <c r="FV146" s="773"/>
      <c r="FW146" s="773"/>
      <c r="FX146" s="773"/>
      <c r="FY146" s="773"/>
      <c r="FZ146" s="773"/>
      <c r="GA146" s="773"/>
      <c r="GB146" s="773"/>
      <c r="GC146" s="773"/>
      <c r="GD146" s="773"/>
      <c r="GE146" s="773"/>
      <c r="GF146" s="773"/>
      <c r="GG146" s="773"/>
      <c r="GH146" s="773"/>
      <c r="GI146" s="773"/>
      <c r="GJ146" s="773"/>
      <c r="GK146" s="773"/>
      <c r="GL146" s="773"/>
      <c r="GM146" s="773"/>
      <c r="GN146" s="773"/>
      <c r="GO146" s="773"/>
      <c r="GP146" s="773"/>
      <c r="GQ146" s="773"/>
      <c r="GR146" s="773"/>
      <c r="GS146" s="773"/>
      <c r="GT146" s="773"/>
      <c r="GU146" s="773"/>
      <c r="GV146" s="773"/>
      <c r="GW146" s="773"/>
      <c r="GX146" s="773"/>
      <c r="GY146" s="773"/>
      <c r="GZ146" s="773"/>
    </row>
    <row r="147" spans="1:208" s="11" customFormat="1">
      <c r="A147" s="774"/>
      <c r="B147" s="3761" t="s">
        <v>1350</v>
      </c>
      <c r="C147" s="197">
        <v>204864</v>
      </c>
      <c r="D147" s="801" t="s">
        <v>2645</v>
      </c>
      <c r="E147" s="809">
        <f>IFERROR(VLOOKUP(C147,'AJE 12 - INC'!$D$168:$F$345,3,0),0)</f>
        <v>27129.49</v>
      </c>
      <c r="F147" s="1325">
        <f>SUMIF('AJE 12 - INC'!B:B,'New TB INC'!C147,'AJE 12 - INC'!D:D)</f>
        <v>0</v>
      </c>
      <c r="G147" s="1326"/>
      <c r="H147" s="1326"/>
      <c r="I147" s="1326"/>
      <c r="J147" s="796">
        <f t="shared" ref="J147:J178" si="11">SUM(E147:I147)</f>
        <v>27129.49</v>
      </c>
      <c r="K147" s="209"/>
      <c r="L147" s="434"/>
      <c r="M147" s="2679"/>
      <c r="N147" s="772"/>
      <c r="O147" s="772"/>
      <c r="P147" s="772"/>
      <c r="Q147" s="772"/>
      <c r="R147" s="772"/>
      <c r="S147" s="772"/>
      <c r="T147" s="773"/>
      <c r="AW147" s="2514"/>
      <c r="AX147" s="820"/>
      <c r="AY147" s="820"/>
      <c r="AZ147" s="820"/>
      <c r="BA147" s="30"/>
      <c r="BB147" s="30"/>
      <c r="BC147" s="2514"/>
      <c r="BD147" s="2514"/>
      <c r="BE147" s="2514"/>
      <c r="BF147" s="2514"/>
      <c r="BH147" s="2514"/>
      <c r="BI147" s="30"/>
      <c r="BJ147" s="30"/>
      <c r="BK147" s="30"/>
      <c r="BL147" s="30"/>
      <c r="BM147" s="30"/>
      <c r="BN147" s="30"/>
      <c r="BO147" s="209"/>
      <c r="BP147" s="209"/>
      <c r="BQ147" s="785"/>
      <c r="BR147" s="820"/>
      <c r="BS147" s="820"/>
      <c r="BT147" s="30"/>
      <c r="BU147" s="800"/>
      <c r="BV147" s="800"/>
      <c r="BW147" s="209"/>
      <c r="CA147" s="787"/>
      <c r="DB147" s="773"/>
      <c r="DC147" s="773"/>
      <c r="DD147" s="773"/>
      <c r="DE147" s="773"/>
      <c r="DF147" s="773"/>
      <c r="DG147" s="773"/>
      <c r="DH147" s="773"/>
      <c r="DI147" s="773"/>
      <c r="DJ147" s="773"/>
      <c r="DK147" s="773"/>
      <c r="DL147" s="773"/>
      <c r="DM147" s="773"/>
      <c r="DN147" s="773"/>
      <c r="DO147" s="773"/>
      <c r="DP147" s="773"/>
      <c r="DQ147" s="773"/>
      <c r="DR147" s="773"/>
      <c r="DS147" s="773"/>
      <c r="DT147" s="773"/>
      <c r="DU147" s="773"/>
      <c r="DV147" s="773"/>
      <c r="DW147" s="773"/>
      <c r="DX147" s="773"/>
      <c r="DY147" s="773"/>
      <c r="DZ147" s="773"/>
      <c r="EA147" s="773"/>
      <c r="EB147" s="773"/>
      <c r="EC147" s="773"/>
      <c r="ED147" s="773"/>
      <c r="EE147" s="773"/>
      <c r="EF147" s="773"/>
      <c r="EG147" s="773"/>
      <c r="EH147" s="773"/>
      <c r="EI147" s="773"/>
      <c r="EJ147" s="773"/>
      <c r="EK147" s="773"/>
      <c r="EL147" s="773"/>
      <c r="EM147" s="773"/>
      <c r="EN147" s="773"/>
      <c r="EO147" s="773"/>
      <c r="EP147" s="773"/>
      <c r="EQ147" s="773"/>
      <c r="ER147" s="773"/>
      <c r="ES147" s="773"/>
      <c r="ET147" s="773"/>
      <c r="EU147" s="773"/>
      <c r="EV147" s="773"/>
      <c r="EW147" s="773"/>
      <c r="EX147" s="773"/>
      <c r="EY147" s="773"/>
      <c r="EZ147" s="773"/>
      <c r="FA147" s="773"/>
      <c r="FB147" s="773"/>
      <c r="FC147" s="773"/>
      <c r="FD147" s="773"/>
      <c r="FE147" s="773"/>
      <c r="FF147" s="773"/>
      <c r="FG147" s="773"/>
      <c r="FH147" s="773"/>
      <c r="FI147" s="773"/>
      <c r="FJ147" s="773"/>
      <c r="FK147" s="773"/>
      <c r="FL147" s="773"/>
      <c r="FM147" s="773"/>
      <c r="FN147" s="773"/>
      <c r="FO147" s="773"/>
      <c r="FP147" s="773"/>
      <c r="FQ147" s="773"/>
      <c r="FR147" s="773"/>
      <c r="FS147" s="773"/>
      <c r="FT147" s="773"/>
      <c r="FU147" s="773"/>
      <c r="FV147" s="773"/>
      <c r="FW147" s="773"/>
      <c r="FX147" s="773"/>
      <c r="FY147" s="773"/>
      <c r="FZ147" s="773"/>
      <c r="GA147" s="773"/>
      <c r="GB147" s="773"/>
      <c r="GC147" s="773"/>
      <c r="GD147" s="773"/>
      <c r="GE147" s="773"/>
      <c r="GF147" s="773"/>
      <c r="GG147" s="773"/>
      <c r="GH147" s="773"/>
      <c r="GI147" s="773"/>
      <c r="GJ147" s="773"/>
      <c r="GK147" s="773"/>
      <c r="GL147" s="773"/>
      <c r="GM147" s="773"/>
      <c r="GN147" s="773"/>
      <c r="GO147" s="773"/>
      <c r="GP147" s="773"/>
      <c r="GQ147" s="773"/>
      <c r="GR147" s="773"/>
      <c r="GS147" s="773"/>
      <c r="GT147" s="773"/>
      <c r="GU147" s="773"/>
      <c r="GV147" s="773"/>
      <c r="GW147" s="773"/>
      <c r="GX147" s="773"/>
      <c r="GY147" s="773"/>
      <c r="GZ147" s="773"/>
    </row>
    <row r="148" spans="1:208" s="11" customFormat="1">
      <c r="A148" s="774"/>
      <c r="B148" s="3761" t="s">
        <v>1350</v>
      </c>
      <c r="C148" s="197">
        <v>206980</v>
      </c>
      <c r="D148" s="801" t="s">
        <v>2646</v>
      </c>
      <c r="E148" s="809">
        <f>IFERROR(VLOOKUP(C148,'AJE 12 - INC'!$D$168:$F$345,3,0),0)</f>
        <v>0</v>
      </c>
      <c r="F148" s="1325">
        <f>SUMIF('AJE 12 - INC'!B:B,'New TB INC'!C148,'AJE 12 - INC'!D:D)</f>
        <v>0</v>
      </c>
      <c r="G148" s="1326"/>
      <c r="H148" s="1326"/>
      <c r="I148" s="1326"/>
      <c r="J148" s="796">
        <f t="shared" si="11"/>
        <v>0</v>
      </c>
      <c r="K148" s="209"/>
      <c r="L148" s="434"/>
      <c r="M148" s="2679"/>
      <c r="N148" s="772"/>
      <c r="O148" s="772"/>
      <c r="P148" s="772"/>
      <c r="Q148" s="772"/>
      <c r="R148" s="772"/>
      <c r="S148" s="772"/>
      <c r="T148" s="773"/>
      <c r="AW148" s="2514"/>
      <c r="AX148" s="820"/>
      <c r="AY148" s="820"/>
      <c r="AZ148" s="820"/>
      <c r="BA148" s="30"/>
      <c r="BB148" s="30"/>
      <c r="BC148" s="2514"/>
      <c r="BD148" s="2514"/>
      <c r="BE148" s="2514"/>
      <c r="BF148" s="2514"/>
      <c r="BH148" s="2514"/>
      <c r="BI148" s="30"/>
      <c r="BJ148" s="30"/>
      <c r="BK148" s="30"/>
      <c r="BL148" s="30"/>
      <c r="BM148" s="30"/>
      <c r="BN148" s="30"/>
      <c r="BO148" s="209"/>
      <c r="BP148" s="209"/>
      <c r="BQ148" s="785"/>
      <c r="BR148" s="820"/>
      <c r="BS148" s="820"/>
      <c r="BT148" s="30"/>
      <c r="BU148" s="800"/>
      <c r="BV148" s="800"/>
      <c r="BW148" s="209"/>
      <c r="CA148" s="787"/>
      <c r="DB148" s="773"/>
      <c r="DC148" s="773"/>
      <c r="DD148" s="773"/>
      <c r="DE148" s="773"/>
      <c r="DF148" s="773"/>
      <c r="DG148" s="773"/>
      <c r="DH148" s="773"/>
      <c r="DI148" s="773"/>
      <c r="DJ148" s="773"/>
      <c r="DK148" s="773"/>
      <c r="DL148" s="773"/>
      <c r="DM148" s="773"/>
      <c r="DN148" s="773"/>
      <c r="DO148" s="773"/>
      <c r="DP148" s="773"/>
      <c r="DQ148" s="773"/>
      <c r="DR148" s="773"/>
      <c r="DS148" s="773"/>
      <c r="DT148" s="773"/>
      <c r="DU148" s="773"/>
      <c r="DV148" s="773"/>
      <c r="DW148" s="773"/>
      <c r="DX148" s="773"/>
      <c r="DY148" s="773"/>
      <c r="DZ148" s="773"/>
      <c r="EA148" s="773"/>
      <c r="EB148" s="773"/>
      <c r="EC148" s="773"/>
      <c r="ED148" s="773"/>
      <c r="EE148" s="773"/>
      <c r="EF148" s="773"/>
      <c r="EG148" s="773"/>
      <c r="EH148" s="773"/>
      <c r="EI148" s="773"/>
      <c r="EJ148" s="773"/>
      <c r="EK148" s="773"/>
      <c r="EL148" s="773"/>
      <c r="EM148" s="773"/>
      <c r="EN148" s="773"/>
      <c r="EO148" s="773"/>
      <c r="EP148" s="773"/>
      <c r="EQ148" s="773"/>
      <c r="ER148" s="773"/>
      <c r="ES148" s="773"/>
      <c r="ET148" s="773"/>
      <c r="EU148" s="773"/>
      <c r="EV148" s="773"/>
      <c r="EW148" s="773"/>
      <c r="EX148" s="773"/>
      <c r="EY148" s="773"/>
      <c r="EZ148" s="773"/>
      <c r="FA148" s="773"/>
      <c r="FB148" s="773"/>
      <c r="FC148" s="773"/>
      <c r="FD148" s="773"/>
      <c r="FE148" s="773"/>
      <c r="FF148" s="773"/>
      <c r="FG148" s="773"/>
      <c r="FH148" s="773"/>
      <c r="FI148" s="773"/>
      <c r="FJ148" s="773"/>
      <c r="FK148" s="773"/>
      <c r="FL148" s="773"/>
      <c r="FM148" s="773"/>
      <c r="FN148" s="773"/>
      <c r="FO148" s="773"/>
      <c r="FP148" s="773"/>
      <c r="FQ148" s="773"/>
      <c r="FR148" s="773"/>
      <c r="FS148" s="773"/>
      <c r="FT148" s="773"/>
      <c r="FU148" s="773"/>
      <c r="FV148" s="773"/>
      <c r="FW148" s="773"/>
      <c r="FX148" s="773"/>
      <c r="FY148" s="773"/>
      <c r="FZ148" s="773"/>
      <c r="GA148" s="773"/>
      <c r="GB148" s="773"/>
      <c r="GC148" s="773"/>
      <c r="GD148" s="773"/>
      <c r="GE148" s="773"/>
      <c r="GF148" s="773"/>
      <c r="GG148" s="773"/>
      <c r="GH148" s="773"/>
      <c r="GI148" s="773"/>
      <c r="GJ148" s="773"/>
      <c r="GK148" s="773"/>
      <c r="GL148" s="773"/>
      <c r="GM148" s="773"/>
      <c r="GN148" s="773"/>
      <c r="GO148" s="773"/>
      <c r="GP148" s="773"/>
      <c r="GQ148" s="773"/>
      <c r="GR148" s="773"/>
      <c r="GS148" s="773"/>
      <c r="GT148" s="773"/>
      <c r="GU148" s="773"/>
      <c r="GV148" s="773"/>
      <c r="GW148" s="773"/>
      <c r="GX148" s="773"/>
      <c r="GY148" s="773"/>
      <c r="GZ148" s="773"/>
    </row>
    <row r="149" spans="1:208" s="11" customFormat="1">
      <c r="A149" s="774"/>
      <c r="B149" s="3761" t="s">
        <v>1350</v>
      </c>
      <c r="C149" s="197">
        <v>208315</v>
      </c>
      <c r="D149" s="801" t="s">
        <v>2647</v>
      </c>
      <c r="E149" s="809">
        <f>IFERROR(VLOOKUP(C149,'AJE 12 - INC'!$D$168:$F$345,3,0),0)</f>
        <v>0</v>
      </c>
      <c r="F149" s="1325">
        <f>SUMIF('AJE 12 - INC'!B:B,'New TB INC'!C149,'AJE 12 - INC'!D:D)</f>
        <v>0</v>
      </c>
      <c r="G149" s="1326"/>
      <c r="H149" s="1326"/>
      <c r="I149" s="1326"/>
      <c r="J149" s="796">
        <f t="shared" si="11"/>
        <v>0</v>
      </c>
      <c r="K149" s="209"/>
      <c r="L149" s="434"/>
      <c r="M149" s="2679"/>
      <c r="N149" s="772"/>
      <c r="O149" s="772"/>
      <c r="P149" s="772"/>
      <c r="Q149" s="772"/>
      <c r="R149" s="772"/>
      <c r="S149" s="772"/>
      <c r="T149" s="773"/>
      <c r="AW149" s="2514"/>
      <c r="AX149" s="820"/>
      <c r="AY149" s="820"/>
      <c r="AZ149" s="820"/>
      <c r="BA149" s="30"/>
      <c r="BB149" s="30"/>
      <c r="BC149" s="2514"/>
      <c r="BD149" s="2514"/>
      <c r="BE149" s="2514"/>
      <c r="BF149" s="2514"/>
      <c r="BH149" s="2514"/>
      <c r="BI149" s="30"/>
      <c r="BJ149" s="30"/>
      <c r="BK149" s="30"/>
      <c r="BL149" s="30"/>
      <c r="BM149" s="30"/>
      <c r="BN149" s="30"/>
      <c r="BO149" s="209"/>
      <c r="BP149" s="209"/>
      <c r="BQ149" s="785"/>
      <c r="BR149" s="820"/>
      <c r="BS149" s="820"/>
      <c r="BT149" s="30"/>
      <c r="BU149" s="800"/>
      <c r="BV149" s="800"/>
      <c r="BW149" s="209"/>
      <c r="CA149" s="787"/>
      <c r="DB149" s="773"/>
      <c r="DC149" s="773"/>
      <c r="DD149" s="773"/>
      <c r="DE149" s="773"/>
      <c r="DF149" s="773"/>
      <c r="DG149" s="773"/>
      <c r="DH149" s="773"/>
      <c r="DI149" s="773"/>
      <c r="DJ149" s="773"/>
      <c r="DK149" s="773"/>
      <c r="DL149" s="773"/>
      <c r="DM149" s="773"/>
      <c r="DN149" s="773"/>
      <c r="DO149" s="773"/>
      <c r="DP149" s="773"/>
      <c r="DQ149" s="773"/>
      <c r="DR149" s="773"/>
      <c r="DS149" s="773"/>
      <c r="DT149" s="773"/>
      <c r="DU149" s="773"/>
      <c r="DV149" s="773"/>
      <c r="DW149" s="773"/>
      <c r="DX149" s="773"/>
      <c r="DY149" s="773"/>
      <c r="DZ149" s="773"/>
      <c r="EA149" s="773"/>
      <c r="EB149" s="773"/>
      <c r="EC149" s="773"/>
      <c r="ED149" s="773"/>
      <c r="EE149" s="773"/>
      <c r="EF149" s="773"/>
      <c r="EG149" s="773"/>
      <c r="EH149" s="773"/>
      <c r="EI149" s="773"/>
      <c r="EJ149" s="773"/>
      <c r="EK149" s="773"/>
      <c r="EL149" s="773"/>
      <c r="EM149" s="773"/>
      <c r="EN149" s="773"/>
      <c r="EO149" s="773"/>
      <c r="EP149" s="773"/>
      <c r="EQ149" s="773"/>
      <c r="ER149" s="773"/>
      <c r="ES149" s="773"/>
      <c r="ET149" s="773"/>
      <c r="EU149" s="773"/>
      <c r="EV149" s="773"/>
      <c r="EW149" s="773"/>
      <c r="EX149" s="773"/>
      <c r="EY149" s="773"/>
      <c r="EZ149" s="773"/>
      <c r="FA149" s="773"/>
      <c r="FB149" s="773"/>
      <c r="FC149" s="773"/>
      <c r="FD149" s="773"/>
      <c r="FE149" s="773"/>
      <c r="FF149" s="773"/>
      <c r="FG149" s="773"/>
      <c r="FH149" s="773"/>
      <c r="FI149" s="773"/>
      <c r="FJ149" s="773"/>
      <c r="FK149" s="773"/>
      <c r="FL149" s="773"/>
      <c r="FM149" s="773"/>
      <c r="FN149" s="773"/>
      <c r="FO149" s="773"/>
      <c r="FP149" s="773"/>
      <c r="FQ149" s="773"/>
      <c r="FR149" s="773"/>
      <c r="FS149" s="773"/>
      <c r="FT149" s="773"/>
      <c r="FU149" s="773"/>
      <c r="FV149" s="773"/>
      <c r="FW149" s="773"/>
      <c r="FX149" s="773"/>
      <c r="FY149" s="773"/>
      <c r="FZ149" s="773"/>
      <c r="GA149" s="773"/>
      <c r="GB149" s="773"/>
      <c r="GC149" s="773"/>
      <c r="GD149" s="773"/>
      <c r="GE149" s="773"/>
      <c r="GF149" s="773"/>
      <c r="GG149" s="773"/>
      <c r="GH149" s="773"/>
      <c r="GI149" s="773"/>
      <c r="GJ149" s="773"/>
      <c r="GK149" s="773"/>
      <c r="GL149" s="773"/>
      <c r="GM149" s="773"/>
      <c r="GN149" s="773"/>
      <c r="GO149" s="773"/>
      <c r="GP149" s="773"/>
      <c r="GQ149" s="773"/>
      <c r="GR149" s="773"/>
      <c r="GS149" s="773"/>
      <c r="GT149" s="773"/>
      <c r="GU149" s="773"/>
      <c r="GV149" s="773"/>
      <c r="GW149" s="773"/>
      <c r="GX149" s="773"/>
      <c r="GY149" s="773"/>
      <c r="GZ149" s="773"/>
    </row>
    <row r="150" spans="1:208" s="11" customFormat="1">
      <c r="A150" s="774"/>
      <c r="B150" s="3761" t="s">
        <v>1350</v>
      </c>
      <c r="C150" s="197">
        <v>208952</v>
      </c>
      <c r="D150" s="801" t="s">
        <v>2648</v>
      </c>
      <c r="E150" s="809">
        <f>IFERROR(VLOOKUP(C150,'AJE 12 - INC'!$D$168:$F$345,3,0),0)</f>
        <v>0</v>
      </c>
      <c r="F150" s="1325">
        <f>SUMIF('AJE 12 - INC'!B:B,'New TB INC'!C150,'AJE 12 - INC'!D:D)</f>
        <v>0</v>
      </c>
      <c r="G150" s="1326"/>
      <c r="H150" s="1326"/>
      <c r="I150" s="1326"/>
      <c r="J150" s="796">
        <f t="shared" si="11"/>
        <v>0</v>
      </c>
      <c r="K150" s="209"/>
      <c r="L150" s="434"/>
      <c r="M150" s="2679"/>
      <c r="N150" s="772"/>
      <c r="O150" s="772"/>
      <c r="P150" s="772"/>
      <c r="Q150" s="772"/>
      <c r="R150" s="772"/>
      <c r="S150" s="772"/>
      <c r="T150" s="773"/>
      <c r="AW150" s="2514"/>
      <c r="AX150" s="820"/>
      <c r="AY150" s="820"/>
      <c r="AZ150" s="820"/>
      <c r="BA150" s="30"/>
      <c r="BB150" s="30"/>
      <c r="BC150" s="2514"/>
      <c r="BD150" s="2514"/>
      <c r="BE150" s="2514"/>
      <c r="BF150" s="2514"/>
      <c r="BH150" s="2514"/>
      <c r="BI150" s="30"/>
      <c r="BJ150" s="30"/>
      <c r="BK150" s="30"/>
      <c r="BL150" s="30"/>
      <c r="BM150" s="30"/>
      <c r="BN150" s="30"/>
      <c r="BO150" s="209"/>
      <c r="BP150" s="209"/>
      <c r="BQ150" s="785"/>
      <c r="BR150" s="820"/>
      <c r="BS150" s="820"/>
      <c r="BT150" s="30"/>
      <c r="BU150" s="800"/>
      <c r="BV150" s="800"/>
      <c r="BW150" s="209"/>
      <c r="CA150" s="787"/>
      <c r="DB150" s="773"/>
      <c r="DC150" s="773"/>
      <c r="DD150" s="773"/>
      <c r="DE150" s="773"/>
      <c r="DF150" s="773"/>
      <c r="DG150" s="773"/>
      <c r="DH150" s="773"/>
      <c r="DI150" s="773"/>
      <c r="DJ150" s="773"/>
      <c r="DK150" s="773"/>
      <c r="DL150" s="773"/>
      <c r="DM150" s="773"/>
      <c r="DN150" s="773"/>
      <c r="DO150" s="773"/>
      <c r="DP150" s="773"/>
      <c r="DQ150" s="773"/>
      <c r="DR150" s="773"/>
      <c r="DS150" s="773"/>
      <c r="DT150" s="773"/>
      <c r="DU150" s="773"/>
      <c r="DV150" s="773"/>
      <c r="DW150" s="773"/>
      <c r="DX150" s="773"/>
      <c r="DY150" s="773"/>
      <c r="DZ150" s="773"/>
      <c r="EA150" s="773"/>
      <c r="EB150" s="773"/>
      <c r="EC150" s="773"/>
      <c r="ED150" s="773"/>
      <c r="EE150" s="773"/>
      <c r="EF150" s="773"/>
      <c r="EG150" s="773"/>
      <c r="EH150" s="773"/>
      <c r="EI150" s="773"/>
      <c r="EJ150" s="773"/>
      <c r="EK150" s="773"/>
      <c r="EL150" s="773"/>
      <c r="EM150" s="773"/>
      <c r="EN150" s="773"/>
      <c r="EO150" s="773"/>
      <c r="EP150" s="773"/>
      <c r="EQ150" s="773"/>
      <c r="ER150" s="773"/>
      <c r="ES150" s="773"/>
      <c r="ET150" s="773"/>
      <c r="EU150" s="773"/>
      <c r="EV150" s="773"/>
      <c r="EW150" s="773"/>
      <c r="EX150" s="773"/>
      <c r="EY150" s="773"/>
      <c r="EZ150" s="773"/>
      <c r="FA150" s="773"/>
      <c r="FB150" s="773"/>
      <c r="FC150" s="773"/>
      <c r="FD150" s="773"/>
      <c r="FE150" s="773"/>
      <c r="FF150" s="773"/>
      <c r="FG150" s="773"/>
      <c r="FH150" s="773"/>
      <c r="FI150" s="773"/>
      <c r="FJ150" s="773"/>
      <c r="FK150" s="773"/>
      <c r="FL150" s="773"/>
      <c r="FM150" s="773"/>
      <c r="FN150" s="773"/>
      <c r="FO150" s="773"/>
      <c r="FP150" s="773"/>
      <c r="FQ150" s="773"/>
      <c r="FR150" s="773"/>
      <c r="FS150" s="773"/>
      <c r="FT150" s="773"/>
      <c r="FU150" s="773"/>
      <c r="FV150" s="773"/>
      <c r="FW150" s="773"/>
      <c r="FX150" s="773"/>
      <c r="FY150" s="773"/>
      <c r="FZ150" s="773"/>
      <c r="GA150" s="773"/>
      <c r="GB150" s="773"/>
      <c r="GC150" s="773"/>
      <c r="GD150" s="773"/>
      <c r="GE150" s="773"/>
      <c r="GF150" s="773"/>
      <c r="GG150" s="773"/>
      <c r="GH150" s="773"/>
      <c r="GI150" s="773"/>
      <c r="GJ150" s="773"/>
      <c r="GK150" s="773"/>
      <c r="GL150" s="773"/>
      <c r="GM150" s="773"/>
      <c r="GN150" s="773"/>
      <c r="GO150" s="773"/>
      <c r="GP150" s="773"/>
      <c r="GQ150" s="773"/>
      <c r="GR150" s="773"/>
      <c r="GS150" s="773"/>
      <c r="GT150" s="773"/>
      <c r="GU150" s="773"/>
      <c r="GV150" s="773"/>
      <c r="GW150" s="773"/>
      <c r="GX150" s="773"/>
      <c r="GY150" s="773"/>
      <c r="GZ150" s="773"/>
    </row>
    <row r="151" spans="1:208" s="11" customFormat="1">
      <c r="A151" s="774"/>
      <c r="B151" s="3761" t="s">
        <v>1350</v>
      </c>
      <c r="C151" s="197">
        <v>209052</v>
      </c>
      <c r="D151" s="801" t="s">
        <v>2649</v>
      </c>
      <c r="E151" s="809">
        <f>IFERROR(VLOOKUP(C151,'AJE 12 - INC'!$D$168:$F$345,3,0),0)</f>
        <v>922301.65</v>
      </c>
      <c r="F151" s="1325">
        <f>SUMIF('AJE 12 - INC'!B:B,'New TB INC'!C151,'AJE 12 - INC'!D:D)</f>
        <v>0</v>
      </c>
      <c r="G151" s="1326"/>
      <c r="H151" s="1326"/>
      <c r="I151" s="1326"/>
      <c r="J151" s="796">
        <f t="shared" si="11"/>
        <v>922301.65</v>
      </c>
      <c r="K151" s="209"/>
      <c r="L151" s="434"/>
      <c r="M151" s="2679"/>
      <c r="N151" s="772"/>
      <c r="O151" s="772"/>
      <c r="P151" s="772"/>
      <c r="Q151" s="772"/>
      <c r="R151" s="772"/>
      <c r="S151" s="772"/>
      <c r="T151" s="773"/>
      <c r="AW151" s="2514"/>
      <c r="AX151" s="820"/>
      <c r="AY151" s="820"/>
      <c r="AZ151" s="820"/>
      <c r="BA151" s="30"/>
      <c r="BB151" s="30"/>
      <c r="BC151" s="2514"/>
      <c r="BD151" s="2514"/>
      <c r="BE151" s="2514"/>
      <c r="BF151" s="2514"/>
      <c r="BH151" s="2514"/>
      <c r="BI151" s="30"/>
      <c r="BJ151" s="30"/>
      <c r="BK151" s="30"/>
      <c r="BL151" s="30"/>
      <c r="BM151" s="30"/>
      <c r="BN151" s="30"/>
      <c r="BO151" s="209"/>
      <c r="BP151" s="209"/>
      <c r="BQ151" s="785"/>
      <c r="BR151" s="820"/>
      <c r="BS151" s="820"/>
      <c r="BT151" s="30"/>
      <c r="BU151" s="800"/>
      <c r="BV151" s="800"/>
      <c r="BW151" s="209"/>
      <c r="CA151" s="787"/>
      <c r="DB151" s="773"/>
      <c r="DC151" s="773"/>
      <c r="DD151" s="773"/>
      <c r="DE151" s="773"/>
      <c r="DF151" s="773"/>
      <c r="DG151" s="773"/>
      <c r="DH151" s="773"/>
      <c r="DI151" s="773"/>
      <c r="DJ151" s="773"/>
      <c r="DK151" s="773"/>
      <c r="DL151" s="773"/>
      <c r="DM151" s="773"/>
      <c r="DN151" s="773"/>
      <c r="DO151" s="773"/>
      <c r="DP151" s="773"/>
      <c r="DQ151" s="773"/>
      <c r="DR151" s="773"/>
      <c r="DS151" s="773"/>
      <c r="DT151" s="773"/>
      <c r="DU151" s="773"/>
      <c r="DV151" s="773"/>
      <c r="DW151" s="773"/>
      <c r="DX151" s="773"/>
      <c r="DY151" s="773"/>
      <c r="DZ151" s="773"/>
      <c r="EA151" s="773"/>
      <c r="EB151" s="773"/>
      <c r="EC151" s="773"/>
      <c r="ED151" s="773"/>
      <c r="EE151" s="773"/>
      <c r="EF151" s="773"/>
      <c r="EG151" s="773"/>
      <c r="EH151" s="773"/>
      <c r="EI151" s="773"/>
      <c r="EJ151" s="773"/>
      <c r="EK151" s="773"/>
      <c r="EL151" s="773"/>
      <c r="EM151" s="773"/>
      <c r="EN151" s="773"/>
      <c r="EO151" s="773"/>
      <c r="EP151" s="773"/>
      <c r="EQ151" s="773"/>
      <c r="ER151" s="773"/>
      <c r="ES151" s="773"/>
      <c r="ET151" s="773"/>
      <c r="EU151" s="773"/>
      <c r="EV151" s="773"/>
      <c r="EW151" s="773"/>
      <c r="EX151" s="773"/>
      <c r="EY151" s="773"/>
      <c r="EZ151" s="773"/>
      <c r="FA151" s="773"/>
      <c r="FB151" s="773"/>
      <c r="FC151" s="773"/>
      <c r="FD151" s="773"/>
      <c r="FE151" s="773"/>
      <c r="FF151" s="773"/>
      <c r="FG151" s="773"/>
      <c r="FH151" s="773"/>
      <c r="FI151" s="773"/>
      <c r="FJ151" s="773"/>
      <c r="FK151" s="773"/>
      <c r="FL151" s="773"/>
      <c r="FM151" s="773"/>
      <c r="FN151" s="773"/>
      <c r="FO151" s="773"/>
      <c r="FP151" s="773"/>
      <c r="FQ151" s="773"/>
      <c r="FR151" s="773"/>
      <c r="FS151" s="773"/>
      <c r="FT151" s="773"/>
      <c r="FU151" s="773"/>
      <c r="FV151" s="773"/>
      <c r="FW151" s="773"/>
      <c r="FX151" s="773"/>
      <c r="FY151" s="773"/>
      <c r="FZ151" s="773"/>
      <c r="GA151" s="773"/>
      <c r="GB151" s="773"/>
      <c r="GC151" s="773"/>
      <c r="GD151" s="773"/>
      <c r="GE151" s="773"/>
      <c r="GF151" s="773"/>
      <c r="GG151" s="773"/>
      <c r="GH151" s="773"/>
      <c r="GI151" s="773"/>
      <c r="GJ151" s="773"/>
      <c r="GK151" s="773"/>
      <c r="GL151" s="773"/>
      <c r="GM151" s="773"/>
      <c r="GN151" s="773"/>
      <c r="GO151" s="773"/>
      <c r="GP151" s="773"/>
      <c r="GQ151" s="773"/>
      <c r="GR151" s="773"/>
      <c r="GS151" s="773"/>
      <c r="GT151" s="773"/>
      <c r="GU151" s="773"/>
      <c r="GV151" s="773"/>
      <c r="GW151" s="773"/>
      <c r="GX151" s="773"/>
      <c r="GY151" s="773"/>
      <c r="GZ151" s="773"/>
    </row>
    <row r="152" spans="1:208" s="11" customFormat="1" ht="16.5">
      <c r="A152" s="774"/>
      <c r="B152" s="3761" t="s">
        <v>1350</v>
      </c>
      <c r="C152" s="197">
        <v>211839</v>
      </c>
      <c r="D152" s="801" t="s">
        <v>2650</v>
      </c>
      <c r="E152" s="809">
        <f>IFERROR(VLOOKUP(C152,'AJE 12 - INC'!$D$168:$F$345,3,0),0)</f>
        <v>0</v>
      </c>
      <c r="F152" s="1325">
        <f>SUMIF('AJE 12 - INC'!B:B,'New TB INC'!C152,'AJE 12 - INC'!D:D)</f>
        <v>0</v>
      </c>
      <c r="G152" s="1326"/>
      <c r="H152" s="1326"/>
      <c r="I152" s="1326"/>
      <c r="J152" s="796">
        <f t="shared" si="11"/>
        <v>0</v>
      </c>
      <c r="K152" s="779"/>
      <c r="L152" s="434"/>
      <c r="M152" s="3473"/>
      <c r="N152" s="772"/>
      <c r="O152" s="772"/>
      <c r="P152" s="772"/>
      <c r="Q152" s="772"/>
      <c r="R152" s="772"/>
      <c r="S152" s="772"/>
      <c r="T152" s="773"/>
      <c r="AW152" s="2514"/>
      <c r="AX152" s="820"/>
      <c r="AY152" s="820"/>
      <c r="AZ152" s="820"/>
      <c r="BA152" s="30"/>
      <c r="BB152" s="30"/>
      <c r="BC152" s="2514"/>
      <c r="BD152" s="2514"/>
      <c r="BE152" s="2514"/>
      <c r="BF152" s="2514"/>
      <c r="BH152" s="2514"/>
      <c r="BI152" s="30"/>
      <c r="BJ152" s="30"/>
      <c r="BK152" s="30"/>
      <c r="BL152" s="30"/>
      <c r="BM152" s="30"/>
      <c r="BN152" s="30"/>
      <c r="BO152" s="209"/>
      <c r="BP152" s="209"/>
      <c r="BQ152" s="785"/>
      <c r="BR152" s="820"/>
      <c r="BS152" s="820"/>
      <c r="BT152" s="30"/>
      <c r="BU152" s="800"/>
      <c r="BV152" s="800"/>
      <c r="BW152" s="209"/>
      <c r="CA152" s="787"/>
      <c r="DB152" s="773"/>
      <c r="DC152" s="773"/>
      <c r="DD152" s="773"/>
      <c r="DE152" s="773"/>
      <c r="DF152" s="773"/>
      <c r="DG152" s="773"/>
      <c r="DH152" s="773"/>
      <c r="DI152" s="773"/>
      <c r="DJ152" s="773"/>
      <c r="DK152" s="773"/>
      <c r="DL152" s="773"/>
      <c r="DM152" s="773"/>
      <c r="DN152" s="773"/>
      <c r="DO152" s="773"/>
      <c r="DP152" s="773"/>
      <c r="DQ152" s="773"/>
      <c r="DR152" s="773"/>
      <c r="DS152" s="773"/>
      <c r="DT152" s="773"/>
      <c r="DU152" s="773"/>
      <c r="DV152" s="773"/>
      <c r="DW152" s="773"/>
      <c r="DX152" s="773"/>
      <c r="DY152" s="773"/>
      <c r="DZ152" s="773"/>
      <c r="EA152" s="773"/>
      <c r="EB152" s="773"/>
      <c r="EC152" s="773"/>
      <c r="ED152" s="773"/>
      <c r="EE152" s="773"/>
      <c r="EF152" s="773"/>
      <c r="EG152" s="773"/>
      <c r="EH152" s="773"/>
      <c r="EI152" s="773"/>
      <c r="EJ152" s="773"/>
      <c r="EK152" s="773"/>
      <c r="EL152" s="773"/>
      <c r="EM152" s="773"/>
      <c r="EN152" s="773"/>
      <c r="EO152" s="773"/>
      <c r="EP152" s="773"/>
      <c r="EQ152" s="773"/>
      <c r="ER152" s="773"/>
      <c r="ES152" s="773"/>
      <c r="ET152" s="773"/>
      <c r="EU152" s="773"/>
      <c r="EV152" s="773"/>
      <c r="EW152" s="773"/>
      <c r="EX152" s="773"/>
      <c r="EY152" s="773"/>
      <c r="EZ152" s="773"/>
      <c r="FA152" s="773"/>
      <c r="FB152" s="773"/>
      <c r="FC152" s="773"/>
      <c r="FD152" s="773"/>
      <c r="FE152" s="773"/>
      <c r="FF152" s="773"/>
      <c r="FG152" s="773"/>
      <c r="FH152" s="773"/>
      <c r="FI152" s="773"/>
      <c r="FJ152" s="773"/>
      <c r="FK152" s="773"/>
      <c r="FL152" s="773"/>
      <c r="FM152" s="773"/>
      <c r="FN152" s="773"/>
      <c r="FO152" s="773"/>
      <c r="FP152" s="773"/>
      <c r="FQ152" s="773"/>
      <c r="FR152" s="773"/>
      <c r="FS152" s="773"/>
      <c r="FT152" s="773"/>
      <c r="FU152" s="773"/>
      <c r="FV152" s="773"/>
      <c r="FW152" s="773"/>
      <c r="FX152" s="773"/>
      <c r="FY152" s="773"/>
      <c r="FZ152" s="773"/>
      <c r="GA152" s="773"/>
      <c r="GB152" s="773"/>
      <c r="GC152" s="773"/>
      <c r="GD152" s="773"/>
      <c r="GE152" s="773"/>
      <c r="GF152" s="773"/>
      <c r="GG152" s="773"/>
      <c r="GH152" s="773"/>
      <c r="GI152" s="773"/>
      <c r="GJ152" s="773"/>
      <c r="GK152" s="773"/>
      <c r="GL152" s="773"/>
      <c r="GM152" s="773"/>
      <c r="GN152" s="773"/>
      <c r="GO152" s="773"/>
      <c r="GP152" s="773"/>
      <c r="GQ152" s="773"/>
      <c r="GR152" s="773"/>
      <c r="GS152" s="773"/>
      <c r="GT152" s="773"/>
      <c r="GU152" s="773"/>
      <c r="GV152" s="773"/>
      <c r="GW152" s="773"/>
      <c r="GX152" s="773"/>
      <c r="GY152" s="773"/>
      <c r="GZ152" s="773"/>
    </row>
    <row r="153" spans="1:208" s="11" customFormat="1">
      <c r="A153" s="774"/>
      <c r="B153" s="3761" t="s">
        <v>1350</v>
      </c>
      <c r="C153" s="197">
        <v>218746</v>
      </c>
      <c r="D153" s="801" t="s">
        <v>2651</v>
      </c>
      <c r="E153" s="809">
        <f>IFERROR(VLOOKUP(C153,'AJE 12 - INC'!$D$168:$F$345,3,0),0)</f>
        <v>0</v>
      </c>
      <c r="F153" s="1325">
        <f>SUMIF('AJE 12 - INC'!B:B,'New TB INC'!C153,'AJE 12 - INC'!D:D)</f>
        <v>0</v>
      </c>
      <c r="G153" s="1326"/>
      <c r="H153" s="1326"/>
      <c r="I153" s="1326"/>
      <c r="J153" s="796">
        <f t="shared" si="11"/>
        <v>0</v>
      </c>
      <c r="K153" s="209"/>
      <c r="L153" s="434"/>
      <c r="M153" s="2679"/>
      <c r="N153" s="772"/>
      <c r="O153" s="772"/>
      <c r="P153" s="772"/>
      <c r="Q153" s="772"/>
      <c r="R153" s="772"/>
      <c r="S153" s="772"/>
      <c r="T153" s="773"/>
      <c r="AW153" s="2514"/>
      <c r="AX153" s="820"/>
      <c r="AY153" s="820"/>
      <c r="AZ153" s="820"/>
      <c r="BA153" s="30"/>
      <c r="BB153" s="30"/>
      <c r="BC153" s="2514"/>
      <c r="BD153" s="2514"/>
      <c r="BE153" s="2514"/>
      <c r="BF153" s="2514"/>
      <c r="BH153" s="2514"/>
      <c r="BI153" s="30"/>
      <c r="BJ153" s="30"/>
      <c r="BK153" s="30"/>
      <c r="BL153" s="30"/>
      <c r="BM153" s="30"/>
      <c r="BN153" s="30"/>
      <c r="BO153" s="209"/>
      <c r="BP153" s="209"/>
      <c r="BQ153" s="785"/>
      <c r="BR153" s="820"/>
      <c r="BS153" s="820"/>
      <c r="BT153" s="30"/>
      <c r="BU153" s="800"/>
      <c r="BV153" s="800"/>
      <c r="BW153" s="209"/>
      <c r="CA153" s="787"/>
      <c r="DB153" s="773"/>
      <c r="DC153" s="773"/>
      <c r="DD153" s="773"/>
      <c r="DE153" s="773"/>
      <c r="DF153" s="773"/>
      <c r="DG153" s="773"/>
      <c r="DH153" s="773"/>
      <c r="DI153" s="773"/>
      <c r="DJ153" s="773"/>
      <c r="DK153" s="773"/>
      <c r="DL153" s="773"/>
      <c r="DM153" s="773"/>
      <c r="DN153" s="773"/>
      <c r="DO153" s="773"/>
      <c r="DP153" s="773"/>
      <c r="DQ153" s="773"/>
      <c r="DR153" s="773"/>
      <c r="DS153" s="773"/>
      <c r="DT153" s="773"/>
      <c r="DU153" s="773"/>
      <c r="DV153" s="773"/>
      <c r="DW153" s="773"/>
      <c r="DX153" s="773"/>
      <c r="DY153" s="773"/>
      <c r="DZ153" s="773"/>
      <c r="EA153" s="773"/>
      <c r="EB153" s="773"/>
      <c r="EC153" s="773"/>
      <c r="ED153" s="773"/>
      <c r="EE153" s="773"/>
      <c r="EF153" s="773"/>
      <c r="EG153" s="773"/>
      <c r="EH153" s="773"/>
      <c r="EI153" s="773"/>
      <c r="EJ153" s="773"/>
      <c r="EK153" s="773"/>
      <c r="EL153" s="773"/>
      <c r="EM153" s="773"/>
      <c r="EN153" s="773"/>
      <c r="EO153" s="773"/>
      <c r="EP153" s="773"/>
      <c r="EQ153" s="773"/>
      <c r="ER153" s="773"/>
      <c r="ES153" s="773"/>
      <c r="ET153" s="773"/>
      <c r="EU153" s="773"/>
      <c r="EV153" s="773"/>
      <c r="EW153" s="773"/>
      <c r="EX153" s="773"/>
      <c r="EY153" s="773"/>
      <c r="EZ153" s="773"/>
      <c r="FA153" s="773"/>
      <c r="FB153" s="773"/>
      <c r="FC153" s="773"/>
      <c r="FD153" s="773"/>
      <c r="FE153" s="773"/>
      <c r="FF153" s="773"/>
      <c r="FG153" s="773"/>
      <c r="FH153" s="773"/>
      <c r="FI153" s="773"/>
      <c r="FJ153" s="773"/>
      <c r="FK153" s="773"/>
      <c r="FL153" s="773"/>
      <c r="FM153" s="773"/>
      <c r="FN153" s="773"/>
      <c r="FO153" s="773"/>
      <c r="FP153" s="773"/>
      <c r="FQ153" s="773"/>
      <c r="FR153" s="773"/>
      <c r="FS153" s="773"/>
      <c r="FT153" s="773"/>
      <c r="FU153" s="773"/>
      <c r="FV153" s="773"/>
      <c r="FW153" s="773"/>
      <c r="FX153" s="773"/>
      <c r="FY153" s="773"/>
      <c r="FZ153" s="773"/>
      <c r="GA153" s="773"/>
      <c r="GB153" s="773"/>
      <c r="GC153" s="773"/>
      <c r="GD153" s="773"/>
      <c r="GE153" s="773"/>
      <c r="GF153" s="773"/>
      <c r="GG153" s="773"/>
      <c r="GH153" s="773"/>
      <c r="GI153" s="773"/>
      <c r="GJ153" s="773"/>
      <c r="GK153" s="773"/>
      <c r="GL153" s="773"/>
      <c r="GM153" s="773"/>
      <c r="GN153" s="773"/>
      <c r="GO153" s="773"/>
      <c r="GP153" s="773"/>
      <c r="GQ153" s="773"/>
      <c r="GR153" s="773"/>
      <c r="GS153" s="773"/>
      <c r="GT153" s="773"/>
      <c r="GU153" s="773"/>
      <c r="GV153" s="773"/>
      <c r="GW153" s="773"/>
      <c r="GX153" s="773"/>
      <c r="GY153" s="773"/>
      <c r="GZ153" s="773"/>
    </row>
    <row r="154" spans="1:208" s="11" customFormat="1">
      <c r="A154" s="774"/>
      <c r="B154" s="3761" t="s">
        <v>1350</v>
      </c>
      <c r="C154" s="197">
        <v>219173</v>
      </c>
      <c r="D154" s="801" t="s">
        <v>2652</v>
      </c>
      <c r="E154" s="809">
        <f>IFERROR(VLOOKUP(C154,'AJE 12 - INC'!$D$168:$F$345,3,0),0)</f>
        <v>23452.74</v>
      </c>
      <c r="F154" s="1325">
        <f>SUMIF('AJE 12 - INC'!B:B,'New TB INC'!C154,'AJE 12 - INC'!D:D)</f>
        <v>0</v>
      </c>
      <c r="G154" s="1326"/>
      <c r="H154" s="1326"/>
      <c r="I154" s="1326"/>
      <c r="J154" s="796">
        <f t="shared" si="11"/>
        <v>23452.74</v>
      </c>
      <c r="K154" s="209"/>
      <c r="L154" s="434"/>
      <c r="M154" s="2679"/>
      <c r="N154" s="772"/>
      <c r="O154" s="772"/>
      <c r="P154" s="772"/>
      <c r="Q154" s="772"/>
      <c r="R154" s="772"/>
      <c r="S154" s="772"/>
      <c r="T154" s="773"/>
      <c r="AW154" s="2514"/>
      <c r="AX154" s="820"/>
      <c r="AY154" s="820"/>
      <c r="AZ154" s="820"/>
      <c r="BA154" s="30"/>
      <c r="BB154" s="30"/>
      <c r="BC154" s="2514"/>
      <c r="BD154" s="2514"/>
      <c r="BE154" s="2514"/>
      <c r="BF154" s="2514"/>
      <c r="BH154" s="2514"/>
      <c r="BI154" s="30"/>
      <c r="BJ154" s="30"/>
      <c r="BK154" s="30"/>
      <c r="BL154" s="30"/>
      <c r="BM154" s="30"/>
      <c r="BN154" s="30"/>
      <c r="BO154" s="209"/>
      <c r="BP154" s="209"/>
      <c r="BQ154" s="785"/>
      <c r="BR154" s="820"/>
      <c r="BS154" s="820"/>
      <c r="BT154" s="30"/>
      <c r="BU154" s="800"/>
      <c r="BV154" s="800"/>
      <c r="BW154" s="209"/>
      <c r="CA154" s="787"/>
      <c r="DB154" s="773"/>
      <c r="DC154" s="773"/>
      <c r="DD154" s="773"/>
      <c r="DE154" s="773"/>
      <c r="DF154" s="773"/>
      <c r="DG154" s="773"/>
      <c r="DH154" s="773"/>
      <c r="DI154" s="773"/>
      <c r="DJ154" s="773"/>
      <c r="DK154" s="773"/>
      <c r="DL154" s="773"/>
      <c r="DM154" s="773"/>
      <c r="DN154" s="773"/>
      <c r="DO154" s="773"/>
      <c r="DP154" s="773"/>
      <c r="DQ154" s="773"/>
      <c r="DR154" s="773"/>
      <c r="DS154" s="773"/>
      <c r="DT154" s="773"/>
      <c r="DU154" s="773"/>
      <c r="DV154" s="773"/>
      <c r="DW154" s="773"/>
      <c r="DX154" s="773"/>
      <c r="DY154" s="773"/>
      <c r="DZ154" s="773"/>
      <c r="EA154" s="773"/>
      <c r="EB154" s="773"/>
      <c r="EC154" s="773"/>
      <c r="ED154" s="773"/>
      <c r="EE154" s="773"/>
      <c r="EF154" s="773"/>
      <c r="EG154" s="773"/>
      <c r="EH154" s="773"/>
      <c r="EI154" s="773"/>
      <c r="EJ154" s="773"/>
      <c r="EK154" s="773"/>
      <c r="EL154" s="773"/>
      <c r="EM154" s="773"/>
      <c r="EN154" s="773"/>
      <c r="EO154" s="773"/>
      <c r="EP154" s="773"/>
      <c r="EQ154" s="773"/>
      <c r="ER154" s="773"/>
      <c r="ES154" s="773"/>
      <c r="ET154" s="773"/>
      <c r="EU154" s="773"/>
      <c r="EV154" s="773"/>
      <c r="EW154" s="773"/>
      <c r="EX154" s="773"/>
      <c r="EY154" s="773"/>
      <c r="EZ154" s="773"/>
      <c r="FA154" s="773"/>
      <c r="FB154" s="773"/>
      <c r="FC154" s="773"/>
      <c r="FD154" s="773"/>
      <c r="FE154" s="773"/>
      <c r="FF154" s="773"/>
      <c r="FG154" s="773"/>
      <c r="FH154" s="773"/>
      <c r="FI154" s="773"/>
      <c r="FJ154" s="773"/>
      <c r="FK154" s="773"/>
      <c r="FL154" s="773"/>
      <c r="FM154" s="773"/>
      <c r="FN154" s="773"/>
      <c r="FO154" s="773"/>
      <c r="FP154" s="773"/>
      <c r="FQ154" s="773"/>
      <c r="FR154" s="773"/>
      <c r="FS154" s="773"/>
      <c r="FT154" s="773"/>
      <c r="FU154" s="773"/>
      <c r="FV154" s="773"/>
      <c r="FW154" s="773"/>
      <c r="FX154" s="773"/>
      <c r="FY154" s="773"/>
      <c r="FZ154" s="773"/>
      <c r="GA154" s="773"/>
      <c r="GB154" s="773"/>
      <c r="GC154" s="773"/>
      <c r="GD154" s="773"/>
      <c r="GE154" s="773"/>
      <c r="GF154" s="773"/>
      <c r="GG154" s="773"/>
      <c r="GH154" s="773"/>
      <c r="GI154" s="773"/>
      <c r="GJ154" s="773"/>
      <c r="GK154" s="773"/>
      <c r="GL154" s="773"/>
      <c r="GM154" s="773"/>
      <c r="GN154" s="773"/>
      <c r="GO154" s="773"/>
      <c r="GP154" s="773"/>
      <c r="GQ154" s="773"/>
      <c r="GR154" s="773"/>
      <c r="GS154" s="773"/>
      <c r="GT154" s="773"/>
      <c r="GU154" s="773"/>
      <c r="GV154" s="773"/>
      <c r="GW154" s="773"/>
      <c r="GX154" s="773"/>
      <c r="GY154" s="773"/>
      <c r="GZ154" s="773"/>
    </row>
    <row r="155" spans="1:208" s="11" customFormat="1">
      <c r="A155" s="774"/>
      <c r="B155" s="3761" t="s">
        <v>1350</v>
      </c>
      <c r="C155" s="197">
        <v>219203</v>
      </c>
      <c r="D155" s="801" t="s">
        <v>2653</v>
      </c>
      <c r="E155" s="809">
        <f>IFERROR(VLOOKUP(C155,'AJE 12 - INC'!$D$168:$F$345,3,0),0)</f>
        <v>101323.56</v>
      </c>
      <c r="F155" s="1325">
        <f>SUMIF('AJE 12 - INC'!B:B,'New TB INC'!C155,'AJE 12 - INC'!D:D)</f>
        <v>0</v>
      </c>
      <c r="G155" s="1326"/>
      <c r="H155" s="1326"/>
      <c r="I155" s="1326"/>
      <c r="J155" s="796">
        <f t="shared" si="11"/>
        <v>101323.56</v>
      </c>
      <c r="K155" s="209"/>
      <c r="L155" s="434"/>
      <c r="M155" s="2679" t="s">
        <v>4720</v>
      </c>
      <c r="N155" s="772"/>
      <c r="O155" s="772"/>
      <c r="P155" s="772"/>
      <c r="Q155" s="772"/>
      <c r="R155" s="772"/>
      <c r="S155" s="772"/>
      <c r="T155" s="773"/>
      <c r="AW155" s="2514"/>
      <c r="AX155" s="820"/>
      <c r="AY155" s="820"/>
      <c r="AZ155" s="820"/>
      <c r="BA155" s="30"/>
      <c r="BB155" s="30"/>
      <c r="BC155" s="2514"/>
      <c r="BD155" s="2514"/>
      <c r="BE155" s="2514"/>
      <c r="BF155" s="2514"/>
      <c r="BH155" s="2514"/>
      <c r="BI155" s="30"/>
      <c r="BJ155" s="30"/>
      <c r="BK155" s="30"/>
      <c r="BL155" s="30"/>
      <c r="BM155" s="30"/>
      <c r="BN155" s="30"/>
      <c r="BO155" s="209"/>
      <c r="BP155" s="209"/>
      <c r="BQ155" s="785"/>
      <c r="BR155" s="820"/>
      <c r="BS155" s="820"/>
      <c r="BT155" s="30"/>
      <c r="BU155" s="800"/>
      <c r="BV155" s="800"/>
      <c r="BW155" s="209"/>
      <c r="CA155" s="787"/>
      <c r="DB155" s="773"/>
      <c r="DC155" s="773"/>
      <c r="DD155" s="773"/>
      <c r="DE155" s="773"/>
      <c r="DF155" s="773"/>
      <c r="DG155" s="773"/>
      <c r="DH155" s="773"/>
      <c r="DI155" s="773"/>
      <c r="DJ155" s="773"/>
      <c r="DK155" s="773"/>
      <c r="DL155" s="773"/>
      <c r="DM155" s="773"/>
      <c r="DN155" s="773"/>
      <c r="DO155" s="773"/>
      <c r="DP155" s="773"/>
      <c r="DQ155" s="773"/>
      <c r="DR155" s="773"/>
      <c r="DS155" s="773"/>
      <c r="DT155" s="773"/>
      <c r="DU155" s="773"/>
      <c r="DV155" s="773"/>
      <c r="DW155" s="773"/>
      <c r="DX155" s="773"/>
      <c r="DY155" s="773"/>
      <c r="DZ155" s="773"/>
      <c r="EA155" s="773"/>
      <c r="EB155" s="773"/>
      <c r="EC155" s="773"/>
      <c r="ED155" s="773"/>
      <c r="EE155" s="773"/>
      <c r="EF155" s="773"/>
      <c r="EG155" s="773"/>
      <c r="EH155" s="773"/>
      <c r="EI155" s="773"/>
      <c r="EJ155" s="773"/>
      <c r="EK155" s="773"/>
      <c r="EL155" s="773"/>
      <c r="EM155" s="773"/>
      <c r="EN155" s="773"/>
      <c r="EO155" s="773"/>
      <c r="EP155" s="773"/>
      <c r="EQ155" s="773"/>
      <c r="ER155" s="773"/>
      <c r="ES155" s="773"/>
      <c r="ET155" s="773"/>
      <c r="EU155" s="773"/>
      <c r="EV155" s="773"/>
      <c r="EW155" s="773"/>
      <c r="EX155" s="773"/>
      <c r="EY155" s="773"/>
      <c r="EZ155" s="773"/>
      <c r="FA155" s="773"/>
      <c r="FB155" s="773"/>
      <c r="FC155" s="773"/>
      <c r="FD155" s="773"/>
      <c r="FE155" s="773"/>
      <c r="FF155" s="773"/>
      <c r="FG155" s="773"/>
      <c r="FH155" s="773"/>
      <c r="FI155" s="773"/>
      <c r="FJ155" s="773"/>
      <c r="FK155" s="773"/>
      <c r="FL155" s="773"/>
      <c r="FM155" s="773"/>
      <c r="FN155" s="773"/>
      <c r="FO155" s="773"/>
      <c r="FP155" s="773"/>
      <c r="FQ155" s="773"/>
      <c r="FR155" s="773"/>
      <c r="FS155" s="773"/>
      <c r="FT155" s="773"/>
      <c r="FU155" s="773"/>
      <c r="FV155" s="773"/>
      <c r="FW155" s="773"/>
      <c r="FX155" s="773"/>
      <c r="FY155" s="773"/>
      <c r="FZ155" s="773"/>
      <c r="GA155" s="773"/>
      <c r="GB155" s="773"/>
      <c r="GC155" s="773"/>
      <c r="GD155" s="773"/>
      <c r="GE155" s="773"/>
      <c r="GF155" s="773"/>
      <c r="GG155" s="773"/>
      <c r="GH155" s="773"/>
      <c r="GI155" s="773"/>
      <c r="GJ155" s="773"/>
      <c r="GK155" s="773"/>
      <c r="GL155" s="773"/>
      <c r="GM155" s="773"/>
      <c r="GN155" s="773"/>
      <c r="GO155" s="773"/>
      <c r="GP155" s="773"/>
      <c r="GQ155" s="773"/>
      <c r="GR155" s="773"/>
      <c r="GS155" s="773"/>
      <c r="GT155" s="773"/>
      <c r="GU155" s="773"/>
      <c r="GV155" s="773"/>
      <c r="GW155" s="773"/>
      <c r="GX155" s="773"/>
      <c r="GY155" s="773"/>
      <c r="GZ155" s="773"/>
    </row>
    <row r="156" spans="1:208" s="11" customFormat="1">
      <c r="A156" s="774"/>
      <c r="B156" s="3761" t="s">
        <v>1350</v>
      </c>
      <c r="C156" s="197">
        <v>219350</v>
      </c>
      <c r="D156" s="801" t="s">
        <v>2654</v>
      </c>
      <c r="E156" s="809">
        <f>IFERROR(VLOOKUP(C156,'AJE 12 - INC'!$D$168:$F$345,3,0),0)</f>
        <v>9772.18</v>
      </c>
      <c r="F156" s="1325">
        <f>SUMIF('AJE 12 - INC'!B:B,'New TB INC'!C156,'AJE 12 - INC'!D:D)</f>
        <v>0</v>
      </c>
      <c r="G156" s="1326"/>
      <c r="H156" s="1326"/>
      <c r="I156" s="1326"/>
      <c r="J156" s="796">
        <f t="shared" si="11"/>
        <v>9772.18</v>
      </c>
      <c r="K156" s="209"/>
      <c r="L156" s="434"/>
      <c r="M156" s="2679"/>
      <c r="N156" s="772"/>
      <c r="O156" s="772"/>
      <c r="P156" s="772"/>
      <c r="Q156" s="772"/>
      <c r="R156" s="772"/>
      <c r="S156" s="772"/>
      <c r="T156" s="773"/>
      <c r="AW156" s="2514"/>
      <c r="AX156" s="820"/>
      <c r="AY156" s="820"/>
      <c r="AZ156" s="820"/>
      <c r="BA156" s="30"/>
      <c r="BB156" s="30"/>
      <c r="BC156" s="2514"/>
      <c r="BD156" s="2514"/>
      <c r="BE156" s="2514"/>
      <c r="BF156" s="2514"/>
      <c r="BH156" s="2514"/>
      <c r="BI156" s="30"/>
      <c r="BJ156" s="30"/>
      <c r="BK156" s="30"/>
      <c r="BL156" s="30"/>
      <c r="BM156" s="30"/>
      <c r="BN156" s="30"/>
      <c r="BO156" s="209"/>
      <c r="BP156" s="209"/>
      <c r="BQ156" s="785"/>
      <c r="BR156" s="820"/>
      <c r="BS156" s="820"/>
      <c r="BT156" s="30"/>
      <c r="BU156" s="800"/>
      <c r="BV156" s="800"/>
      <c r="BW156" s="209"/>
      <c r="CA156" s="787"/>
      <c r="DB156" s="773"/>
      <c r="DC156" s="773"/>
      <c r="DD156" s="773"/>
      <c r="DE156" s="773"/>
      <c r="DF156" s="773"/>
      <c r="DG156" s="773"/>
      <c r="DH156" s="773"/>
      <c r="DI156" s="773"/>
      <c r="DJ156" s="773"/>
      <c r="DK156" s="773"/>
      <c r="DL156" s="773"/>
      <c r="DM156" s="773"/>
      <c r="DN156" s="773"/>
      <c r="DO156" s="773"/>
      <c r="DP156" s="773"/>
      <c r="DQ156" s="773"/>
      <c r="DR156" s="773"/>
      <c r="DS156" s="773"/>
      <c r="DT156" s="773"/>
      <c r="DU156" s="773"/>
      <c r="DV156" s="773"/>
      <c r="DW156" s="773"/>
      <c r="DX156" s="773"/>
      <c r="DY156" s="773"/>
      <c r="DZ156" s="773"/>
      <c r="EA156" s="773"/>
      <c r="EB156" s="773"/>
      <c r="EC156" s="773"/>
      <c r="ED156" s="773"/>
      <c r="EE156" s="773"/>
      <c r="EF156" s="773"/>
      <c r="EG156" s="773"/>
      <c r="EH156" s="773"/>
      <c r="EI156" s="773"/>
      <c r="EJ156" s="773"/>
      <c r="EK156" s="773"/>
      <c r="EL156" s="773"/>
      <c r="EM156" s="773"/>
      <c r="EN156" s="773"/>
      <c r="EO156" s="773"/>
      <c r="EP156" s="773"/>
      <c r="EQ156" s="773"/>
      <c r="ER156" s="773"/>
      <c r="ES156" s="773"/>
      <c r="ET156" s="773"/>
      <c r="EU156" s="773"/>
      <c r="EV156" s="773"/>
      <c r="EW156" s="773"/>
      <c r="EX156" s="773"/>
      <c r="EY156" s="773"/>
      <c r="EZ156" s="773"/>
      <c r="FA156" s="773"/>
      <c r="FB156" s="773"/>
      <c r="FC156" s="773"/>
      <c r="FD156" s="773"/>
      <c r="FE156" s="773"/>
      <c r="FF156" s="773"/>
      <c r="FG156" s="773"/>
      <c r="FH156" s="773"/>
      <c r="FI156" s="773"/>
      <c r="FJ156" s="773"/>
      <c r="FK156" s="773"/>
      <c r="FL156" s="773"/>
      <c r="FM156" s="773"/>
      <c r="FN156" s="773"/>
      <c r="FO156" s="773"/>
      <c r="FP156" s="773"/>
      <c r="FQ156" s="773"/>
      <c r="FR156" s="773"/>
      <c r="FS156" s="773"/>
      <c r="FT156" s="773"/>
      <c r="FU156" s="773"/>
      <c r="FV156" s="773"/>
      <c r="FW156" s="773"/>
      <c r="FX156" s="773"/>
      <c r="FY156" s="773"/>
      <c r="FZ156" s="773"/>
      <c r="GA156" s="773"/>
      <c r="GB156" s="773"/>
      <c r="GC156" s="773"/>
      <c r="GD156" s="773"/>
      <c r="GE156" s="773"/>
      <c r="GF156" s="773"/>
      <c r="GG156" s="773"/>
      <c r="GH156" s="773"/>
      <c r="GI156" s="773"/>
      <c r="GJ156" s="773"/>
      <c r="GK156" s="773"/>
      <c r="GL156" s="773"/>
      <c r="GM156" s="773"/>
      <c r="GN156" s="773"/>
      <c r="GO156" s="773"/>
      <c r="GP156" s="773"/>
      <c r="GQ156" s="773"/>
      <c r="GR156" s="773"/>
      <c r="GS156" s="773"/>
      <c r="GT156" s="773"/>
      <c r="GU156" s="773"/>
      <c r="GV156" s="773"/>
      <c r="GW156" s="773"/>
      <c r="GX156" s="773"/>
      <c r="GY156" s="773"/>
      <c r="GZ156" s="773"/>
    </row>
    <row r="157" spans="1:208" s="11" customFormat="1">
      <c r="A157" s="774"/>
      <c r="B157" s="3761" t="s">
        <v>1350</v>
      </c>
      <c r="C157" s="197">
        <v>219768</v>
      </c>
      <c r="D157" s="801" t="s">
        <v>2655</v>
      </c>
      <c r="E157" s="809">
        <f>IFERROR(VLOOKUP(C157,'AJE 12 - INC'!$D$168:$F$345,3,0),0)</f>
        <v>0</v>
      </c>
      <c r="F157" s="1325">
        <f>SUMIF('AJE 12 - INC'!B:B,'New TB INC'!C157,'AJE 12 - INC'!D:D)</f>
        <v>0</v>
      </c>
      <c r="G157" s="1326"/>
      <c r="H157" s="1326"/>
      <c r="I157" s="1326"/>
      <c r="J157" s="796">
        <f t="shared" si="11"/>
        <v>0</v>
      </c>
      <c r="K157" s="209"/>
      <c r="L157" s="434"/>
      <c r="M157" s="2679"/>
      <c r="N157" s="772"/>
      <c r="O157" s="772"/>
      <c r="P157" s="772"/>
      <c r="Q157" s="772"/>
      <c r="R157" s="772"/>
      <c r="S157" s="772"/>
      <c r="T157" s="773"/>
      <c r="AW157" s="2514"/>
      <c r="AX157" s="820"/>
      <c r="AY157" s="820"/>
      <c r="AZ157" s="820"/>
      <c r="BA157" s="30"/>
      <c r="BB157" s="30"/>
      <c r="BC157" s="2514"/>
      <c r="BD157" s="2514"/>
      <c r="BE157" s="2514"/>
      <c r="BF157" s="2514"/>
      <c r="BH157" s="2514"/>
      <c r="BI157" s="30"/>
      <c r="BJ157" s="30"/>
      <c r="BK157" s="30"/>
      <c r="BL157" s="30"/>
      <c r="BM157" s="30"/>
      <c r="BN157" s="30"/>
      <c r="BO157" s="209"/>
      <c r="BP157" s="209"/>
      <c r="BQ157" s="785"/>
      <c r="BR157" s="820"/>
      <c r="BS157" s="820"/>
      <c r="BT157" s="30"/>
      <c r="BU157" s="800"/>
      <c r="BV157" s="800"/>
      <c r="BW157" s="209"/>
      <c r="CA157" s="787"/>
      <c r="DB157" s="773"/>
      <c r="DC157" s="773"/>
      <c r="DD157" s="773"/>
      <c r="DE157" s="773"/>
      <c r="DF157" s="773"/>
      <c r="DG157" s="773"/>
      <c r="DH157" s="773"/>
      <c r="DI157" s="773"/>
      <c r="DJ157" s="773"/>
      <c r="DK157" s="773"/>
      <c r="DL157" s="773"/>
      <c r="DM157" s="773"/>
      <c r="DN157" s="773"/>
      <c r="DO157" s="773"/>
      <c r="DP157" s="773"/>
      <c r="DQ157" s="773"/>
      <c r="DR157" s="773"/>
      <c r="DS157" s="773"/>
      <c r="DT157" s="773"/>
      <c r="DU157" s="773"/>
      <c r="DV157" s="773"/>
      <c r="DW157" s="773"/>
      <c r="DX157" s="773"/>
      <c r="DY157" s="773"/>
      <c r="DZ157" s="773"/>
      <c r="EA157" s="773"/>
      <c r="EB157" s="773"/>
      <c r="EC157" s="773"/>
      <c r="ED157" s="773"/>
      <c r="EE157" s="773"/>
      <c r="EF157" s="773"/>
      <c r="EG157" s="773"/>
      <c r="EH157" s="773"/>
      <c r="EI157" s="773"/>
      <c r="EJ157" s="773"/>
      <c r="EK157" s="773"/>
      <c r="EL157" s="773"/>
      <c r="EM157" s="773"/>
      <c r="EN157" s="773"/>
      <c r="EO157" s="773"/>
      <c r="EP157" s="773"/>
      <c r="EQ157" s="773"/>
      <c r="ER157" s="773"/>
      <c r="ES157" s="773"/>
      <c r="ET157" s="773"/>
      <c r="EU157" s="773"/>
      <c r="EV157" s="773"/>
      <c r="EW157" s="773"/>
      <c r="EX157" s="773"/>
      <c r="EY157" s="773"/>
      <c r="EZ157" s="773"/>
      <c r="FA157" s="773"/>
      <c r="FB157" s="773"/>
      <c r="FC157" s="773"/>
      <c r="FD157" s="773"/>
      <c r="FE157" s="773"/>
      <c r="FF157" s="773"/>
      <c r="FG157" s="773"/>
      <c r="FH157" s="773"/>
      <c r="FI157" s="773"/>
      <c r="FJ157" s="773"/>
      <c r="FK157" s="773"/>
      <c r="FL157" s="773"/>
      <c r="FM157" s="773"/>
      <c r="FN157" s="773"/>
      <c r="FO157" s="773"/>
      <c r="FP157" s="773"/>
      <c r="FQ157" s="773"/>
      <c r="FR157" s="773"/>
      <c r="FS157" s="773"/>
      <c r="FT157" s="773"/>
      <c r="FU157" s="773"/>
      <c r="FV157" s="773"/>
      <c r="FW157" s="773"/>
      <c r="FX157" s="773"/>
      <c r="FY157" s="773"/>
      <c r="FZ157" s="773"/>
      <c r="GA157" s="773"/>
      <c r="GB157" s="773"/>
      <c r="GC157" s="773"/>
      <c r="GD157" s="773"/>
      <c r="GE157" s="773"/>
      <c r="GF157" s="773"/>
      <c r="GG157" s="773"/>
      <c r="GH157" s="773"/>
      <c r="GI157" s="773"/>
      <c r="GJ157" s="773"/>
      <c r="GK157" s="773"/>
      <c r="GL157" s="773"/>
      <c r="GM157" s="773"/>
      <c r="GN157" s="773"/>
      <c r="GO157" s="773"/>
      <c r="GP157" s="773"/>
      <c r="GQ157" s="773"/>
      <c r="GR157" s="773"/>
      <c r="GS157" s="773"/>
      <c r="GT157" s="773"/>
      <c r="GU157" s="773"/>
      <c r="GV157" s="773"/>
      <c r="GW157" s="773"/>
      <c r="GX157" s="773"/>
      <c r="GY157" s="773"/>
      <c r="GZ157" s="773"/>
    </row>
    <row r="158" spans="1:208" s="11" customFormat="1">
      <c r="A158" s="774"/>
      <c r="B158" s="3761" t="s">
        <v>1350</v>
      </c>
      <c r="C158" s="197">
        <v>229462</v>
      </c>
      <c r="D158" s="801" t="s">
        <v>2656</v>
      </c>
      <c r="E158" s="809">
        <f>IFERROR(VLOOKUP(C158,'AJE 12 - INC'!$D$168:$F$345,3,0),0)</f>
        <v>0</v>
      </c>
      <c r="F158" s="1325">
        <f>SUMIF('AJE 12 - INC'!B:B,'New TB INC'!C158,'AJE 12 - INC'!D:D)</f>
        <v>0</v>
      </c>
      <c r="G158" s="1326"/>
      <c r="H158" s="1326"/>
      <c r="I158" s="1326"/>
      <c r="J158" s="796">
        <f t="shared" si="11"/>
        <v>0</v>
      </c>
      <c r="K158" s="209"/>
      <c r="L158" s="434"/>
      <c r="M158" s="2679"/>
      <c r="N158" s="772"/>
      <c r="O158" s="772"/>
      <c r="P158" s="772"/>
      <c r="Q158" s="772"/>
      <c r="R158" s="772"/>
      <c r="S158" s="772"/>
      <c r="T158" s="773"/>
      <c r="AW158" s="2514"/>
      <c r="AX158" s="820"/>
      <c r="AY158" s="820"/>
      <c r="AZ158" s="820"/>
      <c r="BA158" s="30"/>
      <c r="BB158" s="30"/>
      <c r="BC158" s="2514"/>
      <c r="BD158" s="2514"/>
      <c r="BE158" s="2514"/>
      <c r="BF158" s="2514"/>
      <c r="BH158" s="2514"/>
      <c r="BI158" s="30"/>
      <c r="BJ158" s="30"/>
      <c r="BK158" s="30"/>
      <c r="BL158" s="30"/>
      <c r="BM158" s="30"/>
      <c r="BN158" s="30"/>
      <c r="BO158" s="209"/>
      <c r="BP158" s="209"/>
      <c r="BQ158" s="785"/>
      <c r="BR158" s="820"/>
      <c r="BS158" s="820"/>
      <c r="BT158" s="30"/>
      <c r="BU158" s="800"/>
      <c r="BV158" s="800"/>
      <c r="BW158" s="209"/>
      <c r="CA158" s="787"/>
      <c r="DB158" s="773"/>
      <c r="DC158" s="773"/>
      <c r="DD158" s="773"/>
      <c r="DE158" s="773"/>
      <c r="DF158" s="773"/>
      <c r="DG158" s="773"/>
      <c r="DH158" s="773"/>
      <c r="DI158" s="773"/>
      <c r="DJ158" s="773"/>
      <c r="DK158" s="773"/>
      <c r="DL158" s="773"/>
      <c r="DM158" s="773"/>
      <c r="DN158" s="773"/>
      <c r="DO158" s="773"/>
      <c r="DP158" s="773"/>
      <c r="DQ158" s="773"/>
      <c r="DR158" s="773"/>
      <c r="DS158" s="773"/>
      <c r="DT158" s="773"/>
      <c r="DU158" s="773"/>
      <c r="DV158" s="773"/>
      <c r="DW158" s="773"/>
      <c r="DX158" s="773"/>
      <c r="DY158" s="773"/>
      <c r="DZ158" s="773"/>
      <c r="EA158" s="773"/>
      <c r="EB158" s="773"/>
      <c r="EC158" s="773"/>
      <c r="ED158" s="773"/>
      <c r="EE158" s="773"/>
      <c r="EF158" s="773"/>
      <c r="EG158" s="773"/>
      <c r="EH158" s="773"/>
      <c r="EI158" s="773"/>
      <c r="EJ158" s="773"/>
      <c r="EK158" s="773"/>
      <c r="EL158" s="773"/>
      <c r="EM158" s="773"/>
      <c r="EN158" s="773"/>
      <c r="EO158" s="773"/>
      <c r="EP158" s="773"/>
      <c r="EQ158" s="773"/>
      <c r="ER158" s="773"/>
      <c r="ES158" s="773"/>
      <c r="ET158" s="773"/>
      <c r="EU158" s="773"/>
      <c r="EV158" s="773"/>
      <c r="EW158" s="773"/>
      <c r="EX158" s="773"/>
      <c r="EY158" s="773"/>
      <c r="EZ158" s="773"/>
      <c r="FA158" s="773"/>
      <c r="FB158" s="773"/>
      <c r="FC158" s="773"/>
      <c r="FD158" s="773"/>
      <c r="FE158" s="773"/>
      <c r="FF158" s="773"/>
      <c r="FG158" s="773"/>
      <c r="FH158" s="773"/>
      <c r="FI158" s="773"/>
      <c r="FJ158" s="773"/>
      <c r="FK158" s="773"/>
      <c r="FL158" s="773"/>
      <c r="FM158" s="773"/>
      <c r="FN158" s="773"/>
      <c r="FO158" s="773"/>
      <c r="FP158" s="773"/>
      <c r="FQ158" s="773"/>
      <c r="FR158" s="773"/>
      <c r="FS158" s="773"/>
      <c r="FT158" s="773"/>
      <c r="FU158" s="773"/>
      <c r="FV158" s="773"/>
      <c r="FW158" s="773"/>
      <c r="FX158" s="773"/>
      <c r="FY158" s="773"/>
      <c r="FZ158" s="773"/>
      <c r="GA158" s="773"/>
      <c r="GB158" s="773"/>
      <c r="GC158" s="773"/>
      <c r="GD158" s="773"/>
      <c r="GE158" s="773"/>
      <c r="GF158" s="773"/>
      <c r="GG158" s="773"/>
      <c r="GH158" s="773"/>
      <c r="GI158" s="773"/>
      <c r="GJ158" s="773"/>
      <c r="GK158" s="773"/>
      <c r="GL158" s="773"/>
      <c r="GM158" s="773"/>
      <c r="GN158" s="773"/>
      <c r="GO158" s="773"/>
      <c r="GP158" s="773"/>
      <c r="GQ158" s="773"/>
      <c r="GR158" s="773"/>
      <c r="GS158" s="773"/>
      <c r="GT158" s="773"/>
      <c r="GU158" s="773"/>
      <c r="GV158" s="773"/>
      <c r="GW158" s="773"/>
      <c r="GX158" s="773"/>
      <c r="GY158" s="773"/>
      <c r="GZ158" s="773"/>
    </row>
    <row r="159" spans="1:208" s="11" customFormat="1">
      <c r="A159" s="774"/>
      <c r="B159" s="3761" t="s">
        <v>1350</v>
      </c>
      <c r="C159" s="197">
        <v>229551</v>
      </c>
      <c r="D159" s="801" t="s">
        <v>2657</v>
      </c>
      <c r="E159" s="809">
        <f>IFERROR(VLOOKUP(C159,'AJE 12 - INC'!$D$168:$F$345,3,0),0)</f>
        <v>0</v>
      </c>
      <c r="F159" s="1325">
        <f>SUMIF('AJE 12 - INC'!B:B,'New TB INC'!C159,'AJE 12 - INC'!D:D)</f>
        <v>0</v>
      </c>
      <c r="G159" s="1326"/>
      <c r="H159" s="1326"/>
      <c r="I159" s="1326"/>
      <c r="J159" s="796">
        <f t="shared" si="11"/>
        <v>0</v>
      </c>
      <c r="K159" s="209"/>
      <c r="L159" s="434"/>
      <c r="M159" s="2679"/>
      <c r="N159" s="772"/>
      <c r="O159" s="772"/>
      <c r="P159" s="772"/>
      <c r="Q159" s="772"/>
      <c r="R159" s="772"/>
      <c r="S159" s="772"/>
      <c r="T159" s="773"/>
      <c r="AW159" s="2514"/>
      <c r="AX159" s="820"/>
      <c r="AY159" s="820"/>
      <c r="AZ159" s="820"/>
      <c r="BA159" s="30"/>
      <c r="BB159" s="30"/>
      <c r="BC159" s="2514"/>
      <c r="BD159" s="2514"/>
      <c r="BE159" s="2514"/>
      <c r="BF159" s="2514"/>
      <c r="BH159" s="2514"/>
      <c r="BI159" s="30"/>
      <c r="BJ159" s="30"/>
      <c r="BK159" s="30"/>
      <c r="BL159" s="30"/>
      <c r="BM159" s="30"/>
      <c r="BN159" s="30"/>
      <c r="BO159" s="209"/>
      <c r="BP159" s="209"/>
      <c r="BQ159" s="785"/>
      <c r="BR159" s="820"/>
      <c r="BS159" s="820"/>
      <c r="BT159" s="30"/>
      <c r="BU159" s="800"/>
      <c r="BV159" s="800"/>
      <c r="BW159" s="209"/>
      <c r="CA159" s="787"/>
      <c r="DB159" s="773"/>
      <c r="DC159" s="773"/>
      <c r="DD159" s="773"/>
      <c r="DE159" s="773"/>
      <c r="DF159" s="773"/>
      <c r="DG159" s="773"/>
      <c r="DH159" s="773"/>
      <c r="DI159" s="773"/>
      <c r="DJ159" s="773"/>
      <c r="DK159" s="773"/>
      <c r="DL159" s="773"/>
      <c r="DM159" s="773"/>
      <c r="DN159" s="773"/>
      <c r="DO159" s="773"/>
      <c r="DP159" s="773"/>
      <c r="DQ159" s="773"/>
      <c r="DR159" s="773"/>
      <c r="DS159" s="773"/>
      <c r="DT159" s="773"/>
      <c r="DU159" s="773"/>
      <c r="DV159" s="773"/>
      <c r="DW159" s="773"/>
      <c r="DX159" s="773"/>
      <c r="DY159" s="773"/>
      <c r="DZ159" s="773"/>
      <c r="EA159" s="773"/>
      <c r="EB159" s="773"/>
      <c r="EC159" s="773"/>
      <c r="ED159" s="773"/>
      <c r="EE159" s="773"/>
      <c r="EF159" s="773"/>
      <c r="EG159" s="773"/>
      <c r="EH159" s="773"/>
      <c r="EI159" s="773"/>
      <c r="EJ159" s="773"/>
      <c r="EK159" s="773"/>
      <c r="EL159" s="773"/>
      <c r="EM159" s="773"/>
      <c r="EN159" s="773"/>
      <c r="EO159" s="773"/>
      <c r="EP159" s="773"/>
      <c r="EQ159" s="773"/>
      <c r="ER159" s="773"/>
      <c r="ES159" s="773"/>
      <c r="ET159" s="773"/>
      <c r="EU159" s="773"/>
      <c r="EV159" s="773"/>
      <c r="EW159" s="773"/>
      <c r="EX159" s="773"/>
      <c r="EY159" s="773"/>
      <c r="EZ159" s="773"/>
      <c r="FA159" s="773"/>
      <c r="FB159" s="773"/>
      <c r="FC159" s="773"/>
      <c r="FD159" s="773"/>
      <c r="FE159" s="773"/>
      <c r="FF159" s="773"/>
      <c r="FG159" s="773"/>
      <c r="FH159" s="773"/>
      <c r="FI159" s="773"/>
      <c r="FJ159" s="773"/>
      <c r="FK159" s="773"/>
      <c r="FL159" s="773"/>
      <c r="FM159" s="773"/>
      <c r="FN159" s="773"/>
      <c r="FO159" s="773"/>
      <c r="FP159" s="773"/>
      <c r="FQ159" s="773"/>
      <c r="FR159" s="773"/>
      <c r="FS159" s="773"/>
      <c r="FT159" s="773"/>
      <c r="FU159" s="773"/>
      <c r="FV159" s="773"/>
      <c r="FW159" s="773"/>
      <c r="FX159" s="773"/>
      <c r="FY159" s="773"/>
      <c r="FZ159" s="773"/>
      <c r="GA159" s="773"/>
      <c r="GB159" s="773"/>
      <c r="GC159" s="773"/>
      <c r="GD159" s="773"/>
      <c r="GE159" s="773"/>
      <c r="GF159" s="773"/>
      <c r="GG159" s="773"/>
      <c r="GH159" s="773"/>
      <c r="GI159" s="773"/>
      <c r="GJ159" s="773"/>
      <c r="GK159" s="773"/>
      <c r="GL159" s="773"/>
      <c r="GM159" s="773"/>
      <c r="GN159" s="773"/>
      <c r="GO159" s="773"/>
      <c r="GP159" s="773"/>
      <c r="GQ159" s="773"/>
      <c r="GR159" s="773"/>
      <c r="GS159" s="773"/>
      <c r="GT159" s="773"/>
      <c r="GU159" s="773"/>
      <c r="GV159" s="773"/>
      <c r="GW159" s="773"/>
      <c r="GX159" s="773"/>
      <c r="GY159" s="773"/>
      <c r="GZ159" s="773"/>
    </row>
    <row r="160" spans="1:208" s="11" customFormat="1">
      <c r="A160" s="774"/>
      <c r="B160" s="3761" t="s">
        <v>1350</v>
      </c>
      <c r="C160" s="197">
        <v>200446</v>
      </c>
      <c r="D160" s="801" t="s">
        <v>2262</v>
      </c>
      <c r="E160" s="809">
        <f>IFERROR(VLOOKUP(C160,'AJE 12 - INC'!$D$168:$F$345,3,0),0)</f>
        <v>0</v>
      </c>
      <c r="F160" s="1325">
        <f>SUMIF('AJE 12 - INC'!B:B,'New TB INC'!C160,'AJE 12 - INC'!D:D)</f>
        <v>0</v>
      </c>
      <c r="G160" s="1326"/>
      <c r="H160" s="1326"/>
      <c r="I160" s="1326"/>
      <c r="J160" s="796">
        <f t="shared" si="11"/>
        <v>0</v>
      </c>
      <c r="K160" s="209"/>
      <c r="L160" s="434"/>
      <c r="M160" s="2679"/>
      <c r="N160" s="772"/>
      <c r="O160" s="772"/>
      <c r="P160" s="772"/>
      <c r="Q160" s="772"/>
      <c r="R160" s="772"/>
      <c r="S160" s="772"/>
      <c r="T160" s="773"/>
      <c r="AW160" s="2514"/>
      <c r="AX160" s="820"/>
      <c r="AY160" s="820"/>
      <c r="AZ160" s="820"/>
      <c r="BA160" s="30"/>
      <c r="BB160" s="30"/>
      <c r="BC160" s="2514"/>
      <c r="BD160" s="2514"/>
      <c r="BE160" s="2514"/>
      <c r="BF160" s="2514"/>
      <c r="BH160" s="2514"/>
      <c r="BI160" s="30"/>
      <c r="BJ160" s="30"/>
      <c r="BK160" s="30"/>
      <c r="BL160" s="30"/>
      <c r="BM160" s="30"/>
      <c r="BN160" s="30"/>
      <c r="BO160" s="209"/>
      <c r="BP160" s="209"/>
      <c r="BQ160" s="785"/>
      <c r="BR160" s="820"/>
      <c r="BS160" s="820"/>
      <c r="BT160" s="30"/>
      <c r="BU160" s="800"/>
      <c r="BV160" s="800"/>
      <c r="BW160" s="209"/>
      <c r="CA160" s="787"/>
      <c r="DB160" s="773"/>
      <c r="DC160" s="773"/>
      <c r="DD160" s="773"/>
      <c r="DE160" s="773"/>
      <c r="DF160" s="773"/>
      <c r="DG160" s="773"/>
      <c r="DH160" s="773"/>
      <c r="DI160" s="773"/>
      <c r="DJ160" s="773"/>
      <c r="DK160" s="773"/>
      <c r="DL160" s="773"/>
      <c r="DM160" s="773"/>
      <c r="DN160" s="773"/>
      <c r="DO160" s="773"/>
      <c r="DP160" s="773"/>
      <c r="DQ160" s="773"/>
      <c r="DR160" s="773"/>
      <c r="DS160" s="773"/>
      <c r="DT160" s="773"/>
      <c r="DU160" s="773"/>
      <c r="DV160" s="773"/>
      <c r="DW160" s="773"/>
      <c r="DX160" s="773"/>
      <c r="DY160" s="773"/>
      <c r="DZ160" s="773"/>
      <c r="EA160" s="773"/>
      <c r="EB160" s="773"/>
      <c r="EC160" s="773"/>
      <c r="ED160" s="773"/>
      <c r="EE160" s="773"/>
      <c r="EF160" s="773"/>
      <c r="EG160" s="773"/>
      <c r="EH160" s="773"/>
      <c r="EI160" s="773"/>
      <c r="EJ160" s="773"/>
      <c r="EK160" s="773"/>
      <c r="EL160" s="773"/>
      <c r="EM160" s="773"/>
      <c r="EN160" s="773"/>
      <c r="EO160" s="773"/>
      <c r="EP160" s="773"/>
      <c r="EQ160" s="773"/>
      <c r="ER160" s="773"/>
      <c r="ES160" s="773"/>
      <c r="ET160" s="773"/>
      <c r="EU160" s="773"/>
      <c r="EV160" s="773"/>
      <c r="EW160" s="773"/>
      <c r="EX160" s="773"/>
      <c r="EY160" s="773"/>
      <c r="EZ160" s="773"/>
      <c r="FA160" s="773"/>
      <c r="FB160" s="773"/>
      <c r="FC160" s="773"/>
      <c r="FD160" s="773"/>
      <c r="FE160" s="773"/>
      <c r="FF160" s="773"/>
      <c r="FG160" s="773"/>
      <c r="FH160" s="773"/>
      <c r="FI160" s="773"/>
      <c r="FJ160" s="773"/>
      <c r="FK160" s="773"/>
      <c r="FL160" s="773"/>
      <c r="FM160" s="773"/>
      <c r="FN160" s="773"/>
      <c r="FO160" s="773"/>
      <c r="FP160" s="773"/>
      <c r="FQ160" s="773"/>
      <c r="FR160" s="773"/>
      <c r="FS160" s="773"/>
      <c r="FT160" s="773"/>
      <c r="FU160" s="773"/>
      <c r="FV160" s="773"/>
      <c r="FW160" s="773"/>
      <c r="FX160" s="773"/>
      <c r="FY160" s="773"/>
      <c r="FZ160" s="773"/>
      <c r="GA160" s="773"/>
      <c r="GB160" s="773"/>
      <c r="GC160" s="773"/>
      <c r="GD160" s="773"/>
      <c r="GE160" s="773"/>
      <c r="GF160" s="773"/>
      <c r="GG160" s="773"/>
      <c r="GH160" s="773"/>
      <c r="GI160" s="773"/>
      <c r="GJ160" s="773"/>
      <c r="GK160" s="773"/>
      <c r="GL160" s="773"/>
      <c r="GM160" s="773"/>
      <c r="GN160" s="773"/>
      <c r="GO160" s="773"/>
      <c r="GP160" s="773"/>
      <c r="GQ160" s="773"/>
      <c r="GR160" s="773"/>
      <c r="GS160" s="773"/>
      <c r="GT160" s="773"/>
      <c r="GU160" s="773"/>
      <c r="GV160" s="773"/>
      <c r="GW160" s="773"/>
      <c r="GX160" s="773"/>
      <c r="GY160" s="773"/>
      <c r="GZ160" s="773"/>
    </row>
    <row r="161" spans="1:208" s="11" customFormat="1">
      <c r="A161" s="774"/>
      <c r="B161" s="3761" t="s">
        <v>1350</v>
      </c>
      <c r="C161" s="197">
        <v>201238</v>
      </c>
      <c r="D161" s="801" t="s">
        <v>2263</v>
      </c>
      <c r="E161" s="809">
        <f>IFERROR(VLOOKUP(C161,'AJE 12 - INC'!$D$168:$F$345,3,0),0)</f>
        <v>385824.22</v>
      </c>
      <c r="F161" s="1325">
        <f>SUMIF('AJE 12 - INC'!B:B,'New TB INC'!C161,'AJE 12 - INC'!D:D)</f>
        <v>0</v>
      </c>
      <c r="G161" s="1326"/>
      <c r="H161" s="1326"/>
      <c r="I161" s="1326"/>
      <c r="J161" s="796">
        <f t="shared" si="11"/>
        <v>385824.22</v>
      </c>
      <c r="K161" s="209"/>
      <c r="L161" s="434"/>
      <c r="M161" s="2679"/>
      <c r="N161" s="772"/>
      <c r="O161" s="772"/>
      <c r="P161" s="772"/>
      <c r="Q161" s="772"/>
      <c r="R161" s="772"/>
      <c r="S161" s="772"/>
      <c r="T161" s="773"/>
      <c r="AW161" s="2514"/>
      <c r="AX161" s="820"/>
      <c r="AY161" s="820"/>
      <c r="AZ161" s="820"/>
      <c r="BA161" s="30"/>
      <c r="BB161" s="30"/>
      <c r="BC161" s="2514"/>
      <c r="BD161" s="2514"/>
      <c r="BE161" s="2514"/>
      <c r="BF161" s="2514"/>
      <c r="BH161" s="2514"/>
      <c r="BI161" s="30"/>
      <c r="BJ161" s="30"/>
      <c r="BK161" s="30"/>
      <c r="BL161" s="30"/>
      <c r="BM161" s="30"/>
      <c r="BN161" s="30"/>
      <c r="BO161" s="209"/>
      <c r="BP161" s="209"/>
      <c r="BQ161" s="785"/>
      <c r="BR161" s="820"/>
      <c r="BS161" s="820"/>
      <c r="BT161" s="30"/>
      <c r="BU161" s="800"/>
      <c r="BV161" s="800"/>
      <c r="BW161" s="209"/>
      <c r="CA161" s="787"/>
      <c r="DB161" s="773"/>
      <c r="DC161" s="773"/>
      <c r="DD161" s="773"/>
      <c r="DE161" s="773"/>
      <c r="DF161" s="773"/>
      <c r="DG161" s="773"/>
      <c r="DH161" s="773"/>
      <c r="DI161" s="773"/>
      <c r="DJ161" s="773"/>
      <c r="DK161" s="773"/>
      <c r="DL161" s="773"/>
      <c r="DM161" s="773"/>
      <c r="DN161" s="773"/>
      <c r="DO161" s="773"/>
      <c r="DP161" s="773"/>
      <c r="DQ161" s="773"/>
      <c r="DR161" s="773"/>
      <c r="DS161" s="773"/>
      <c r="DT161" s="773"/>
      <c r="DU161" s="773"/>
      <c r="DV161" s="773"/>
      <c r="DW161" s="773"/>
      <c r="DX161" s="773"/>
      <c r="DY161" s="773"/>
      <c r="DZ161" s="773"/>
      <c r="EA161" s="773"/>
      <c r="EB161" s="773"/>
      <c r="EC161" s="773"/>
      <c r="ED161" s="773"/>
      <c r="EE161" s="773"/>
      <c r="EF161" s="773"/>
      <c r="EG161" s="773"/>
      <c r="EH161" s="773"/>
      <c r="EI161" s="773"/>
      <c r="EJ161" s="773"/>
      <c r="EK161" s="773"/>
      <c r="EL161" s="773"/>
      <c r="EM161" s="773"/>
      <c r="EN161" s="773"/>
      <c r="EO161" s="773"/>
      <c r="EP161" s="773"/>
      <c r="EQ161" s="773"/>
      <c r="ER161" s="773"/>
      <c r="ES161" s="773"/>
      <c r="ET161" s="773"/>
      <c r="EU161" s="773"/>
      <c r="EV161" s="773"/>
      <c r="EW161" s="773"/>
      <c r="EX161" s="773"/>
      <c r="EY161" s="773"/>
      <c r="EZ161" s="773"/>
      <c r="FA161" s="773"/>
      <c r="FB161" s="773"/>
      <c r="FC161" s="773"/>
      <c r="FD161" s="773"/>
      <c r="FE161" s="773"/>
      <c r="FF161" s="773"/>
      <c r="FG161" s="773"/>
      <c r="FH161" s="773"/>
      <c r="FI161" s="773"/>
      <c r="FJ161" s="773"/>
      <c r="FK161" s="773"/>
      <c r="FL161" s="773"/>
      <c r="FM161" s="773"/>
      <c r="FN161" s="773"/>
      <c r="FO161" s="773"/>
      <c r="FP161" s="773"/>
      <c r="FQ161" s="773"/>
      <c r="FR161" s="773"/>
      <c r="FS161" s="773"/>
      <c r="FT161" s="773"/>
      <c r="FU161" s="773"/>
      <c r="FV161" s="773"/>
      <c r="FW161" s="773"/>
      <c r="FX161" s="773"/>
      <c r="FY161" s="773"/>
      <c r="FZ161" s="773"/>
      <c r="GA161" s="773"/>
      <c r="GB161" s="773"/>
      <c r="GC161" s="773"/>
      <c r="GD161" s="773"/>
      <c r="GE161" s="773"/>
      <c r="GF161" s="773"/>
      <c r="GG161" s="773"/>
      <c r="GH161" s="773"/>
      <c r="GI161" s="773"/>
      <c r="GJ161" s="773"/>
      <c r="GK161" s="773"/>
      <c r="GL161" s="773"/>
      <c r="GM161" s="773"/>
      <c r="GN161" s="773"/>
      <c r="GO161" s="773"/>
      <c r="GP161" s="773"/>
      <c r="GQ161" s="773"/>
      <c r="GR161" s="773"/>
      <c r="GS161" s="773"/>
      <c r="GT161" s="773"/>
      <c r="GU161" s="773"/>
      <c r="GV161" s="773"/>
      <c r="GW161" s="773"/>
      <c r="GX161" s="773"/>
      <c r="GY161" s="773"/>
      <c r="GZ161" s="773"/>
    </row>
    <row r="162" spans="1:208" s="11" customFormat="1">
      <c r="A162" s="774"/>
      <c r="B162" s="3761" t="s">
        <v>1350</v>
      </c>
      <c r="C162" s="197">
        <v>202053</v>
      </c>
      <c r="D162" s="801" t="s">
        <v>2264</v>
      </c>
      <c r="E162" s="809">
        <f>IFERROR(VLOOKUP(C162,'AJE 12 - INC'!$D$168:$F$345,3,0),0)</f>
        <v>1349484.07</v>
      </c>
      <c r="F162" s="1325">
        <f>SUMIF('AJE 12 - INC'!B:B,'New TB INC'!C162,'AJE 12 - INC'!D:D)</f>
        <v>0</v>
      </c>
      <c r="G162" s="1326"/>
      <c r="H162" s="1326"/>
      <c r="I162" s="1326"/>
      <c r="J162" s="796">
        <f t="shared" si="11"/>
        <v>1349484.07</v>
      </c>
      <c r="K162" s="209"/>
      <c r="L162" s="434"/>
      <c r="M162" s="2948"/>
      <c r="N162" s="772"/>
      <c r="O162" s="772"/>
      <c r="P162" s="772"/>
      <c r="Q162" s="772"/>
      <c r="R162" s="772"/>
      <c r="S162" s="772"/>
      <c r="T162" s="773"/>
      <c r="AW162" s="2514"/>
      <c r="AX162" s="820"/>
      <c r="AY162" s="820"/>
      <c r="AZ162" s="820"/>
      <c r="BA162" s="30"/>
      <c r="BB162" s="30"/>
      <c r="BC162" s="2514"/>
      <c r="BD162" s="2514"/>
      <c r="BE162" s="2514"/>
      <c r="BF162" s="2514"/>
      <c r="BH162" s="2514"/>
      <c r="BI162" s="30"/>
      <c r="BJ162" s="30"/>
      <c r="BK162" s="30"/>
      <c r="BL162" s="30"/>
      <c r="BM162" s="30"/>
      <c r="BN162" s="30"/>
      <c r="BO162" s="209"/>
      <c r="BP162" s="209"/>
      <c r="BQ162" s="785"/>
      <c r="BR162" s="820"/>
      <c r="BS162" s="820"/>
      <c r="BT162" s="30"/>
      <c r="BU162" s="800"/>
      <c r="BV162" s="800"/>
      <c r="BW162" s="209"/>
      <c r="CA162" s="787"/>
      <c r="DB162" s="773"/>
      <c r="DC162" s="773"/>
      <c r="DD162" s="773"/>
      <c r="DE162" s="773"/>
      <c r="DF162" s="773"/>
      <c r="DG162" s="773"/>
      <c r="DH162" s="773"/>
      <c r="DI162" s="773"/>
      <c r="DJ162" s="773"/>
      <c r="DK162" s="773"/>
      <c r="DL162" s="773"/>
      <c r="DM162" s="773"/>
      <c r="DN162" s="773"/>
      <c r="DO162" s="773"/>
      <c r="DP162" s="773"/>
      <c r="DQ162" s="773"/>
      <c r="DR162" s="773"/>
      <c r="DS162" s="773"/>
      <c r="DT162" s="773"/>
      <c r="DU162" s="773"/>
      <c r="DV162" s="773"/>
      <c r="DW162" s="773"/>
      <c r="DX162" s="773"/>
      <c r="DY162" s="773"/>
      <c r="DZ162" s="773"/>
      <c r="EA162" s="773"/>
      <c r="EB162" s="773"/>
      <c r="EC162" s="773"/>
      <c r="ED162" s="773"/>
      <c r="EE162" s="773"/>
      <c r="EF162" s="773"/>
      <c r="EG162" s="773"/>
      <c r="EH162" s="773"/>
      <c r="EI162" s="773"/>
      <c r="EJ162" s="773"/>
      <c r="EK162" s="773"/>
      <c r="EL162" s="773"/>
      <c r="EM162" s="773"/>
      <c r="EN162" s="773"/>
      <c r="EO162" s="773"/>
      <c r="EP162" s="773"/>
      <c r="EQ162" s="773"/>
      <c r="ER162" s="773"/>
      <c r="ES162" s="773"/>
      <c r="ET162" s="773"/>
      <c r="EU162" s="773"/>
      <c r="EV162" s="773"/>
      <c r="EW162" s="773"/>
      <c r="EX162" s="773"/>
      <c r="EY162" s="773"/>
      <c r="EZ162" s="773"/>
      <c r="FA162" s="773"/>
      <c r="FB162" s="773"/>
      <c r="FC162" s="773"/>
      <c r="FD162" s="773"/>
      <c r="FE162" s="773"/>
      <c r="FF162" s="773"/>
      <c r="FG162" s="773"/>
      <c r="FH162" s="773"/>
      <c r="FI162" s="773"/>
      <c r="FJ162" s="773"/>
      <c r="FK162" s="773"/>
      <c r="FL162" s="773"/>
      <c r="FM162" s="773"/>
      <c r="FN162" s="773"/>
      <c r="FO162" s="773"/>
      <c r="FP162" s="773"/>
      <c r="FQ162" s="773"/>
      <c r="FR162" s="773"/>
      <c r="FS162" s="773"/>
      <c r="FT162" s="773"/>
      <c r="FU162" s="773"/>
      <c r="FV162" s="773"/>
      <c r="FW162" s="773"/>
      <c r="FX162" s="773"/>
      <c r="FY162" s="773"/>
      <c r="FZ162" s="773"/>
      <c r="GA162" s="773"/>
      <c r="GB162" s="773"/>
      <c r="GC162" s="773"/>
      <c r="GD162" s="773"/>
      <c r="GE162" s="773"/>
      <c r="GF162" s="773"/>
      <c r="GG162" s="773"/>
      <c r="GH162" s="773"/>
      <c r="GI162" s="773"/>
      <c r="GJ162" s="773"/>
      <c r="GK162" s="773"/>
      <c r="GL162" s="773"/>
      <c r="GM162" s="773"/>
      <c r="GN162" s="773"/>
      <c r="GO162" s="773"/>
      <c r="GP162" s="773"/>
      <c r="GQ162" s="773"/>
      <c r="GR162" s="773"/>
      <c r="GS162" s="773"/>
      <c r="GT162" s="773"/>
      <c r="GU162" s="773"/>
      <c r="GV162" s="773"/>
      <c r="GW162" s="773"/>
      <c r="GX162" s="773"/>
      <c r="GY162" s="773"/>
      <c r="GZ162" s="773"/>
    </row>
    <row r="163" spans="1:208" s="11" customFormat="1">
      <c r="A163" s="774"/>
      <c r="B163" s="3761" t="s">
        <v>1350</v>
      </c>
      <c r="C163" s="197">
        <v>203261</v>
      </c>
      <c r="D163" s="801" t="s">
        <v>2265</v>
      </c>
      <c r="E163" s="809">
        <f>IFERROR(VLOOKUP(C163,'AJE 12 - INC'!$D$168:$F$345,3,0),0)</f>
        <v>40252.449999999997</v>
      </c>
      <c r="F163" s="1325">
        <f>SUMIF('AJE 12 - INC'!B:B,'New TB INC'!C163,'AJE 12 - INC'!D:D)</f>
        <v>0</v>
      </c>
      <c r="G163" s="1326"/>
      <c r="H163" s="1326"/>
      <c r="I163" s="1326"/>
      <c r="J163" s="796">
        <f t="shared" si="11"/>
        <v>40252.449999999997</v>
      </c>
      <c r="K163" s="209"/>
      <c r="L163" s="434"/>
      <c r="M163" s="2679"/>
      <c r="N163" s="772"/>
      <c r="O163" s="772"/>
      <c r="P163" s="772"/>
      <c r="Q163" s="772"/>
      <c r="R163" s="772"/>
      <c r="S163" s="772"/>
      <c r="T163" s="773"/>
      <c r="AW163" s="2514"/>
      <c r="AX163" s="820"/>
      <c r="AY163" s="820"/>
      <c r="AZ163" s="820"/>
      <c r="BA163" s="30"/>
      <c r="BB163" s="30"/>
      <c r="BC163" s="2514"/>
      <c r="BD163" s="2514"/>
      <c r="BE163" s="2514"/>
      <c r="BF163" s="2514"/>
      <c r="BH163" s="2514"/>
      <c r="BI163" s="30"/>
      <c r="BJ163" s="30"/>
      <c r="BK163" s="30"/>
      <c r="BL163" s="30"/>
      <c r="BM163" s="30"/>
      <c r="BN163" s="30"/>
      <c r="BO163" s="209"/>
      <c r="BP163" s="209"/>
      <c r="BQ163" s="785"/>
      <c r="BR163" s="820"/>
      <c r="BS163" s="820"/>
      <c r="BT163" s="30"/>
      <c r="BU163" s="800"/>
      <c r="BV163" s="800"/>
      <c r="BW163" s="209"/>
      <c r="CA163" s="787"/>
      <c r="DB163" s="773"/>
      <c r="DC163" s="773"/>
      <c r="DD163" s="773"/>
      <c r="DE163" s="773"/>
      <c r="DF163" s="773"/>
      <c r="DG163" s="773"/>
      <c r="DH163" s="773"/>
      <c r="DI163" s="773"/>
      <c r="DJ163" s="773"/>
      <c r="DK163" s="773"/>
      <c r="DL163" s="773"/>
      <c r="DM163" s="773"/>
      <c r="DN163" s="773"/>
      <c r="DO163" s="773"/>
      <c r="DP163" s="773"/>
      <c r="DQ163" s="773"/>
      <c r="DR163" s="773"/>
      <c r="DS163" s="773"/>
      <c r="DT163" s="773"/>
      <c r="DU163" s="773"/>
      <c r="DV163" s="773"/>
      <c r="DW163" s="773"/>
      <c r="DX163" s="773"/>
      <c r="DY163" s="773"/>
      <c r="DZ163" s="773"/>
      <c r="EA163" s="773"/>
      <c r="EB163" s="773"/>
      <c r="EC163" s="773"/>
      <c r="ED163" s="773"/>
      <c r="EE163" s="773"/>
      <c r="EF163" s="773"/>
      <c r="EG163" s="773"/>
      <c r="EH163" s="773"/>
      <c r="EI163" s="773"/>
      <c r="EJ163" s="773"/>
      <c r="EK163" s="773"/>
      <c r="EL163" s="773"/>
      <c r="EM163" s="773"/>
      <c r="EN163" s="773"/>
      <c r="EO163" s="773"/>
      <c r="EP163" s="773"/>
      <c r="EQ163" s="773"/>
      <c r="ER163" s="773"/>
      <c r="ES163" s="773"/>
      <c r="ET163" s="773"/>
      <c r="EU163" s="773"/>
      <c r="EV163" s="773"/>
      <c r="EW163" s="773"/>
      <c r="EX163" s="773"/>
      <c r="EY163" s="773"/>
      <c r="EZ163" s="773"/>
      <c r="FA163" s="773"/>
      <c r="FB163" s="773"/>
      <c r="FC163" s="773"/>
      <c r="FD163" s="773"/>
      <c r="FE163" s="773"/>
      <c r="FF163" s="773"/>
      <c r="FG163" s="773"/>
      <c r="FH163" s="773"/>
      <c r="FI163" s="773"/>
      <c r="FJ163" s="773"/>
      <c r="FK163" s="773"/>
      <c r="FL163" s="773"/>
      <c r="FM163" s="773"/>
      <c r="FN163" s="773"/>
      <c r="FO163" s="773"/>
      <c r="FP163" s="773"/>
      <c r="FQ163" s="773"/>
      <c r="FR163" s="773"/>
      <c r="FS163" s="773"/>
      <c r="FT163" s="773"/>
      <c r="FU163" s="773"/>
      <c r="FV163" s="773"/>
      <c r="FW163" s="773"/>
      <c r="FX163" s="773"/>
      <c r="FY163" s="773"/>
      <c r="FZ163" s="773"/>
      <c r="GA163" s="773"/>
      <c r="GB163" s="773"/>
      <c r="GC163" s="773"/>
      <c r="GD163" s="773"/>
      <c r="GE163" s="773"/>
      <c r="GF163" s="773"/>
      <c r="GG163" s="773"/>
      <c r="GH163" s="773"/>
      <c r="GI163" s="773"/>
      <c r="GJ163" s="773"/>
      <c r="GK163" s="773"/>
      <c r="GL163" s="773"/>
      <c r="GM163" s="773"/>
      <c r="GN163" s="773"/>
      <c r="GO163" s="773"/>
      <c r="GP163" s="773"/>
      <c r="GQ163" s="773"/>
      <c r="GR163" s="773"/>
      <c r="GS163" s="773"/>
      <c r="GT163" s="773"/>
      <c r="GU163" s="773"/>
      <c r="GV163" s="773"/>
      <c r="GW163" s="773"/>
      <c r="GX163" s="773"/>
      <c r="GY163" s="773"/>
      <c r="GZ163" s="773"/>
    </row>
    <row r="164" spans="1:208" s="11" customFormat="1">
      <c r="A164" s="774"/>
      <c r="B164" s="3761" t="s">
        <v>1350</v>
      </c>
      <c r="C164" s="197">
        <v>203572</v>
      </c>
      <c r="D164" s="801" t="s">
        <v>2266</v>
      </c>
      <c r="E164" s="809">
        <f>IFERROR(VLOOKUP(C164,'AJE 12 - INC'!$D$168:$F$345,3,0),0)</f>
        <v>0</v>
      </c>
      <c r="F164" s="1325">
        <f>SUMIF('AJE 12 - INC'!B:B,'New TB INC'!C164,'AJE 12 - INC'!D:D)</f>
        <v>0</v>
      </c>
      <c r="G164" s="1326"/>
      <c r="H164" s="1326"/>
      <c r="I164" s="1326"/>
      <c r="J164" s="796">
        <f t="shared" si="11"/>
        <v>0</v>
      </c>
      <c r="K164" s="209"/>
      <c r="L164" s="434"/>
      <c r="M164" s="2679"/>
      <c r="N164" s="772"/>
      <c r="O164" s="772"/>
      <c r="P164" s="772"/>
      <c r="Q164" s="772"/>
      <c r="R164" s="772"/>
      <c r="S164" s="772"/>
      <c r="T164" s="773"/>
      <c r="AW164" s="2514"/>
      <c r="AX164" s="820"/>
      <c r="AY164" s="820"/>
      <c r="AZ164" s="820"/>
      <c r="BA164" s="30"/>
      <c r="BB164" s="30"/>
      <c r="BC164" s="2514"/>
      <c r="BD164" s="2514"/>
      <c r="BE164" s="2514"/>
      <c r="BF164" s="2514"/>
      <c r="BH164" s="2514"/>
      <c r="BI164" s="30"/>
      <c r="BJ164" s="30"/>
      <c r="BK164" s="30"/>
      <c r="BL164" s="30"/>
      <c r="BM164" s="30"/>
      <c r="BN164" s="30"/>
      <c r="BO164" s="209"/>
      <c r="BP164" s="209"/>
      <c r="BQ164" s="785"/>
      <c r="BR164" s="820"/>
      <c r="BS164" s="820"/>
      <c r="BT164" s="30"/>
      <c r="BU164" s="800"/>
      <c r="BV164" s="800"/>
      <c r="BW164" s="209"/>
      <c r="CA164" s="787"/>
      <c r="DB164" s="773"/>
      <c r="DC164" s="773"/>
      <c r="DD164" s="773"/>
      <c r="DE164" s="773"/>
      <c r="DF164" s="773"/>
      <c r="DG164" s="773"/>
      <c r="DH164" s="773"/>
      <c r="DI164" s="773"/>
      <c r="DJ164" s="773"/>
      <c r="DK164" s="773"/>
      <c r="DL164" s="773"/>
      <c r="DM164" s="773"/>
      <c r="DN164" s="773"/>
      <c r="DO164" s="773"/>
      <c r="DP164" s="773"/>
      <c r="DQ164" s="773"/>
      <c r="DR164" s="773"/>
      <c r="DS164" s="773"/>
      <c r="DT164" s="773"/>
      <c r="DU164" s="773"/>
      <c r="DV164" s="773"/>
      <c r="DW164" s="773"/>
      <c r="DX164" s="773"/>
      <c r="DY164" s="773"/>
      <c r="DZ164" s="773"/>
      <c r="EA164" s="773"/>
      <c r="EB164" s="773"/>
      <c r="EC164" s="773"/>
      <c r="ED164" s="773"/>
      <c r="EE164" s="773"/>
      <c r="EF164" s="773"/>
      <c r="EG164" s="773"/>
      <c r="EH164" s="773"/>
      <c r="EI164" s="773"/>
      <c r="EJ164" s="773"/>
      <c r="EK164" s="773"/>
      <c r="EL164" s="773"/>
      <c r="EM164" s="773"/>
      <c r="EN164" s="773"/>
      <c r="EO164" s="773"/>
      <c r="EP164" s="773"/>
      <c r="EQ164" s="773"/>
      <c r="ER164" s="773"/>
      <c r="ES164" s="773"/>
      <c r="ET164" s="773"/>
      <c r="EU164" s="773"/>
      <c r="EV164" s="773"/>
      <c r="EW164" s="773"/>
      <c r="EX164" s="773"/>
      <c r="EY164" s="773"/>
      <c r="EZ164" s="773"/>
      <c r="FA164" s="773"/>
      <c r="FB164" s="773"/>
      <c r="FC164" s="773"/>
      <c r="FD164" s="773"/>
      <c r="FE164" s="773"/>
      <c r="FF164" s="773"/>
      <c r="FG164" s="773"/>
      <c r="FH164" s="773"/>
      <c r="FI164" s="773"/>
      <c r="FJ164" s="773"/>
      <c r="FK164" s="773"/>
      <c r="FL164" s="773"/>
      <c r="FM164" s="773"/>
      <c r="FN164" s="773"/>
      <c r="FO164" s="773"/>
      <c r="FP164" s="773"/>
      <c r="FQ164" s="773"/>
      <c r="FR164" s="773"/>
      <c r="FS164" s="773"/>
      <c r="FT164" s="773"/>
      <c r="FU164" s="773"/>
      <c r="FV164" s="773"/>
      <c r="FW164" s="773"/>
      <c r="FX164" s="773"/>
      <c r="FY164" s="773"/>
      <c r="FZ164" s="773"/>
      <c r="GA164" s="773"/>
      <c r="GB164" s="773"/>
      <c r="GC164" s="773"/>
      <c r="GD164" s="773"/>
      <c r="GE164" s="773"/>
      <c r="GF164" s="773"/>
      <c r="GG164" s="773"/>
      <c r="GH164" s="773"/>
      <c r="GI164" s="773"/>
      <c r="GJ164" s="773"/>
      <c r="GK164" s="773"/>
      <c r="GL164" s="773"/>
      <c r="GM164" s="773"/>
      <c r="GN164" s="773"/>
      <c r="GO164" s="773"/>
      <c r="GP164" s="773"/>
      <c r="GQ164" s="773"/>
      <c r="GR164" s="773"/>
      <c r="GS164" s="773"/>
      <c r="GT164" s="773"/>
      <c r="GU164" s="773"/>
      <c r="GV164" s="773"/>
      <c r="GW164" s="773"/>
      <c r="GX164" s="773"/>
      <c r="GY164" s="773"/>
      <c r="GZ164" s="773"/>
    </row>
    <row r="165" spans="1:208" s="11" customFormat="1">
      <c r="A165" s="774"/>
      <c r="B165" s="3761" t="s">
        <v>1350</v>
      </c>
      <c r="C165" s="197">
        <v>203585</v>
      </c>
      <c r="D165" s="801" t="s">
        <v>2267</v>
      </c>
      <c r="E165" s="809">
        <f>IFERROR(VLOOKUP(C165,'AJE 12 - INC'!$D$168:$F$345,3,0),0)</f>
        <v>0</v>
      </c>
      <c r="F165" s="1325">
        <f>SUMIF('AJE 12 - INC'!B:B,'New TB INC'!C165,'AJE 12 - INC'!D:D)</f>
        <v>0</v>
      </c>
      <c r="G165" s="1326"/>
      <c r="H165" s="1326"/>
      <c r="I165" s="1326"/>
      <c r="J165" s="796">
        <f t="shared" si="11"/>
        <v>0</v>
      </c>
      <c r="K165" s="209"/>
      <c r="L165" s="434"/>
      <c r="M165" s="2679"/>
      <c r="N165" s="772"/>
      <c r="O165" s="772"/>
      <c r="P165" s="772"/>
      <c r="Q165" s="772"/>
      <c r="R165" s="772"/>
      <c r="S165" s="772"/>
      <c r="T165" s="773"/>
      <c r="AW165" s="2514"/>
      <c r="AX165" s="820"/>
      <c r="AY165" s="820"/>
      <c r="AZ165" s="820"/>
      <c r="BA165" s="30"/>
      <c r="BB165" s="30"/>
      <c r="BC165" s="2514"/>
      <c r="BD165" s="2514"/>
      <c r="BE165" s="2514"/>
      <c r="BF165" s="2514"/>
      <c r="BH165" s="2514"/>
      <c r="BI165" s="30"/>
      <c r="BJ165" s="30"/>
      <c r="BK165" s="30"/>
      <c r="BL165" s="30"/>
      <c r="BM165" s="30"/>
      <c r="BN165" s="30"/>
      <c r="BO165" s="209"/>
      <c r="BP165" s="209"/>
      <c r="BQ165" s="785"/>
      <c r="BR165" s="820"/>
      <c r="BS165" s="820"/>
      <c r="BT165" s="30"/>
      <c r="BU165" s="800"/>
      <c r="BV165" s="800"/>
      <c r="BW165" s="209"/>
      <c r="CA165" s="787"/>
      <c r="DB165" s="773"/>
      <c r="DC165" s="773"/>
      <c r="DD165" s="773"/>
      <c r="DE165" s="773"/>
      <c r="DF165" s="773"/>
      <c r="DG165" s="773"/>
      <c r="DH165" s="773"/>
      <c r="DI165" s="773"/>
      <c r="DJ165" s="773"/>
      <c r="DK165" s="773"/>
      <c r="DL165" s="773"/>
      <c r="DM165" s="773"/>
      <c r="DN165" s="773"/>
      <c r="DO165" s="773"/>
      <c r="DP165" s="773"/>
      <c r="DQ165" s="773"/>
      <c r="DR165" s="773"/>
      <c r="DS165" s="773"/>
      <c r="DT165" s="773"/>
      <c r="DU165" s="773"/>
      <c r="DV165" s="773"/>
      <c r="DW165" s="773"/>
      <c r="DX165" s="773"/>
      <c r="DY165" s="773"/>
      <c r="DZ165" s="773"/>
      <c r="EA165" s="773"/>
      <c r="EB165" s="773"/>
      <c r="EC165" s="773"/>
      <c r="ED165" s="773"/>
      <c r="EE165" s="773"/>
      <c r="EF165" s="773"/>
      <c r="EG165" s="773"/>
      <c r="EH165" s="773"/>
      <c r="EI165" s="773"/>
      <c r="EJ165" s="773"/>
      <c r="EK165" s="773"/>
      <c r="EL165" s="773"/>
      <c r="EM165" s="773"/>
      <c r="EN165" s="773"/>
      <c r="EO165" s="773"/>
      <c r="EP165" s="773"/>
      <c r="EQ165" s="773"/>
      <c r="ER165" s="773"/>
      <c r="ES165" s="773"/>
      <c r="ET165" s="773"/>
      <c r="EU165" s="773"/>
      <c r="EV165" s="773"/>
      <c r="EW165" s="773"/>
      <c r="EX165" s="773"/>
      <c r="EY165" s="773"/>
      <c r="EZ165" s="773"/>
      <c r="FA165" s="773"/>
      <c r="FB165" s="773"/>
      <c r="FC165" s="773"/>
      <c r="FD165" s="773"/>
      <c r="FE165" s="773"/>
      <c r="FF165" s="773"/>
      <c r="FG165" s="773"/>
      <c r="FH165" s="773"/>
      <c r="FI165" s="773"/>
      <c r="FJ165" s="773"/>
      <c r="FK165" s="773"/>
      <c r="FL165" s="773"/>
      <c r="FM165" s="773"/>
      <c r="FN165" s="773"/>
      <c r="FO165" s="773"/>
      <c r="FP165" s="773"/>
      <c r="FQ165" s="773"/>
      <c r="FR165" s="773"/>
      <c r="FS165" s="773"/>
      <c r="FT165" s="773"/>
      <c r="FU165" s="773"/>
      <c r="FV165" s="773"/>
      <c r="FW165" s="773"/>
      <c r="FX165" s="773"/>
      <c r="FY165" s="773"/>
      <c r="FZ165" s="773"/>
      <c r="GA165" s="773"/>
      <c r="GB165" s="773"/>
      <c r="GC165" s="773"/>
      <c r="GD165" s="773"/>
      <c r="GE165" s="773"/>
      <c r="GF165" s="773"/>
      <c r="GG165" s="773"/>
      <c r="GH165" s="773"/>
      <c r="GI165" s="773"/>
      <c r="GJ165" s="773"/>
      <c r="GK165" s="773"/>
      <c r="GL165" s="773"/>
      <c r="GM165" s="773"/>
      <c r="GN165" s="773"/>
      <c r="GO165" s="773"/>
      <c r="GP165" s="773"/>
      <c r="GQ165" s="773"/>
      <c r="GR165" s="773"/>
      <c r="GS165" s="773"/>
      <c r="GT165" s="773"/>
      <c r="GU165" s="773"/>
      <c r="GV165" s="773"/>
      <c r="GW165" s="773"/>
      <c r="GX165" s="773"/>
      <c r="GY165" s="773"/>
      <c r="GZ165" s="773"/>
    </row>
    <row r="166" spans="1:208" s="11" customFormat="1">
      <c r="A166" s="774"/>
      <c r="B166" s="3761" t="s">
        <v>1350</v>
      </c>
      <c r="C166" s="197">
        <v>203644</v>
      </c>
      <c r="D166" s="801" t="s">
        <v>2268</v>
      </c>
      <c r="E166" s="809">
        <f>IFERROR(VLOOKUP(C166,'AJE 12 - INC'!$D$168:$F$345,3,0),0)</f>
        <v>0</v>
      </c>
      <c r="F166" s="1325">
        <f>SUMIF('AJE 12 - INC'!B:B,'New TB INC'!C166,'AJE 12 - INC'!D:D)</f>
        <v>0</v>
      </c>
      <c r="G166" s="1326"/>
      <c r="H166" s="1326"/>
      <c r="I166" s="1326"/>
      <c r="J166" s="796">
        <f t="shared" si="11"/>
        <v>0</v>
      </c>
      <c r="K166" s="209"/>
      <c r="L166" s="434"/>
      <c r="M166" s="2679"/>
      <c r="N166" s="772"/>
      <c r="O166" s="772"/>
      <c r="P166" s="772"/>
      <c r="Q166" s="772"/>
      <c r="R166" s="772"/>
      <c r="S166" s="772"/>
      <c r="T166" s="773"/>
      <c r="AW166" s="2514"/>
      <c r="AX166" s="820"/>
      <c r="AY166" s="820"/>
      <c r="AZ166" s="820"/>
      <c r="BA166" s="30"/>
      <c r="BB166" s="30"/>
      <c r="BC166" s="2514"/>
      <c r="BD166" s="2514"/>
      <c r="BE166" s="2514"/>
      <c r="BF166" s="2514"/>
      <c r="BH166" s="2514"/>
      <c r="BI166" s="30"/>
      <c r="BJ166" s="30"/>
      <c r="BK166" s="30"/>
      <c r="BL166" s="30"/>
      <c r="BM166" s="30"/>
      <c r="BN166" s="30"/>
      <c r="BO166" s="209"/>
      <c r="BP166" s="209"/>
      <c r="BQ166" s="785"/>
      <c r="BR166" s="820"/>
      <c r="BS166" s="820"/>
      <c r="BT166" s="30"/>
      <c r="BU166" s="800"/>
      <c r="BV166" s="800"/>
      <c r="BW166" s="209"/>
      <c r="CA166" s="787"/>
      <c r="DB166" s="773"/>
      <c r="DC166" s="773"/>
      <c r="DD166" s="773"/>
      <c r="DE166" s="773"/>
      <c r="DF166" s="773"/>
      <c r="DG166" s="773"/>
      <c r="DH166" s="773"/>
      <c r="DI166" s="773"/>
      <c r="DJ166" s="773"/>
      <c r="DK166" s="773"/>
      <c r="DL166" s="773"/>
      <c r="DM166" s="773"/>
      <c r="DN166" s="773"/>
      <c r="DO166" s="773"/>
      <c r="DP166" s="773"/>
      <c r="DQ166" s="773"/>
      <c r="DR166" s="773"/>
      <c r="DS166" s="773"/>
      <c r="DT166" s="773"/>
      <c r="DU166" s="773"/>
      <c r="DV166" s="773"/>
      <c r="DW166" s="773"/>
      <c r="DX166" s="773"/>
      <c r="DY166" s="773"/>
      <c r="DZ166" s="773"/>
      <c r="EA166" s="773"/>
      <c r="EB166" s="773"/>
      <c r="EC166" s="773"/>
      <c r="ED166" s="773"/>
      <c r="EE166" s="773"/>
      <c r="EF166" s="773"/>
      <c r="EG166" s="773"/>
      <c r="EH166" s="773"/>
      <c r="EI166" s="773"/>
      <c r="EJ166" s="773"/>
      <c r="EK166" s="773"/>
      <c r="EL166" s="773"/>
      <c r="EM166" s="773"/>
      <c r="EN166" s="773"/>
      <c r="EO166" s="773"/>
      <c r="EP166" s="773"/>
      <c r="EQ166" s="773"/>
      <c r="ER166" s="773"/>
      <c r="ES166" s="773"/>
      <c r="ET166" s="773"/>
      <c r="EU166" s="773"/>
      <c r="EV166" s="773"/>
      <c r="EW166" s="773"/>
      <c r="EX166" s="773"/>
      <c r="EY166" s="773"/>
      <c r="EZ166" s="773"/>
      <c r="FA166" s="773"/>
      <c r="FB166" s="773"/>
      <c r="FC166" s="773"/>
      <c r="FD166" s="773"/>
      <c r="FE166" s="773"/>
      <c r="FF166" s="773"/>
      <c r="FG166" s="773"/>
      <c r="FH166" s="773"/>
      <c r="FI166" s="773"/>
      <c r="FJ166" s="773"/>
      <c r="FK166" s="773"/>
      <c r="FL166" s="773"/>
      <c r="FM166" s="773"/>
      <c r="FN166" s="773"/>
      <c r="FO166" s="773"/>
      <c r="FP166" s="773"/>
      <c r="FQ166" s="773"/>
      <c r="FR166" s="773"/>
      <c r="FS166" s="773"/>
      <c r="FT166" s="773"/>
      <c r="FU166" s="773"/>
      <c r="FV166" s="773"/>
      <c r="FW166" s="773"/>
      <c r="FX166" s="773"/>
      <c r="FY166" s="773"/>
      <c r="FZ166" s="773"/>
      <c r="GA166" s="773"/>
      <c r="GB166" s="773"/>
      <c r="GC166" s="773"/>
      <c r="GD166" s="773"/>
      <c r="GE166" s="773"/>
      <c r="GF166" s="773"/>
      <c r="GG166" s="773"/>
      <c r="GH166" s="773"/>
      <c r="GI166" s="773"/>
      <c r="GJ166" s="773"/>
      <c r="GK166" s="773"/>
      <c r="GL166" s="773"/>
      <c r="GM166" s="773"/>
      <c r="GN166" s="773"/>
      <c r="GO166" s="773"/>
      <c r="GP166" s="773"/>
      <c r="GQ166" s="773"/>
      <c r="GR166" s="773"/>
      <c r="GS166" s="773"/>
      <c r="GT166" s="773"/>
      <c r="GU166" s="773"/>
      <c r="GV166" s="773"/>
      <c r="GW166" s="773"/>
      <c r="GX166" s="773"/>
      <c r="GY166" s="773"/>
      <c r="GZ166" s="773"/>
    </row>
    <row r="167" spans="1:208" s="11" customFormat="1">
      <c r="A167" s="774"/>
      <c r="B167" s="3761" t="s">
        <v>1350</v>
      </c>
      <c r="C167" s="197">
        <v>203994</v>
      </c>
      <c r="D167" s="801" t="s">
        <v>2269</v>
      </c>
      <c r="E167" s="809">
        <f>IFERROR(VLOOKUP(C167,'AJE 12 - INC'!$D$168:$F$345,3,0),0)</f>
        <v>0</v>
      </c>
      <c r="F167" s="1325">
        <f>SUMIF('AJE 12 - INC'!B:B,'New TB INC'!C167,'AJE 12 - INC'!D:D)</f>
        <v>0</v>
      </c>
      <c r="G167" s="1326"/>
      <c r="H167" s="1326"/>
      <c r="I167" s="1326"/>
      <c r="J167" s="796">
        <f t="shared" si="11"/>
        <v>0</v>
      </c>
      <c r="K167" s="209"/>
      <c r="L167" s="434"/>
      <c r="M167" s="2679"/>
      <c r="N167" s="772"/>
      <c r="O167" s="772"/>
      <c r="P167" s="772"/>
      <c r="Q167" s="772"/>
      <c r="R167" s="772"/>
      <c r="S167" s="772"/>
      <c r="T167" s="773"/>
      <c r="AW167" s="2514"/>
      <c r="AX167" s="820"/>
      <c r="AY167" s="820"/>
      <c r="AZ167" s="820"/>
      <c r="BA167" s="30"/>
      <c r="BB167" s="30"/>
      <c r="BC167" s="2514"/>
      <c r="BD167" s="2514"/>
      <c r="BE167" s="2514"/>
      <c r="BF167" s="2514"/>
      <c r="BH167" s="2514"/>
      <c r="BI167" s="30"/>
      <c r="BJ167" s="30"/>
      <c r="BK167" s="30"/>
      <c r="BL167" s="30"/>
      <c r="BM167" s="30"/>
      <c r="BN167" s="30"/>
      <c r="BO167" s="209"/>
      <c r="BP167" s="209"/>
      <c r="BQ167" s="785"/>
      <c r="BR167" s="820"/>
      <c r="BS167" s="820"/>
      <c r="BT167" s="30"/>
      <c r="BU167" s="800"/>
      <c r="BV167" s="800"/>
      <c r="BW167" s="209"/>
      <c r="CA167" s="787"/>
      <c r="DB167" s="773"/>
      <c r="DC167" s="773"/>
      <c r="DD167" s="773"/>
      <c r="DE167" s="773"/>
      <c r="DF167" s="773"/>
      <c r="DG167" s="773"/>
      <c r="DH167" s="773"/>
      <c r="DI167" s="773"/>
      <c r="DJ167" s="773"/>
      <c r="DK167" s="773"/>
      <c r="DL167" s="773"/>
      <c r="DM167" s="773"/>
      <c r="DN167" s="773"/>
      <c r="DO167" s="773"/>
      <c r="DP167" s="773"/>
      <c r="DQ167" s="773"/>
      <c r="DR167" s="773"/>
      <c r="DS167" s="773"/>
      <c r="DT167" s="773"/>
      <c r="DU167" s="773"/>
      <c r="DV167" s="773"/>
      <c r="DW167" s="773"/>
      <c r="DX167" s="773"/>
      <c r="DY167" s="773"/>
      <c r="DZ167" s="773"/>
      <c r="EA167" s="773"/>
      <c r="EB167" s="773"/>
      <c r="EC167" s="773"/>
      <c r="ED167" s="773"/>
      <c r="EE167" s="773"/>
      <c r="EF167" s="773"/>
      <c r="EG167" s="773"/>
      <c r="EH167" s="773"/>
      <c r="EI167" s="773"/>
      <c r="EJ167" s="773"/>
      <c r="EK167" s="773"/>
      <c r="EL167" s="773"/>
      <c r="EM167" s="773"/>
      <c r="EN167" s="773"/>
      <c r="EO167" s="773"/>
      <c r="EP167" s="773"/>
      <c r="EQ167" s="773"/>
      <c r="ER167" s="773"/>
      <c r="ES167" s="773"/>
      <c r="ET167" s="773"/>
      <c r="EU167" s="773"/>
      <c r="EV167" s="773"/>
      <c r="EW167" s="773"/>
      <c r="EX167" s="773"/>
      <c r="EY167" s="773"/>
      <c r="EZ167" s="773"/>
      <c r="FA167" s="773"/>
      <c r="FB167" s="773"/>
      <c r="FC167" s="773"/>
      <c r="FD167" s="773"/>
      <c r="FE167" s="773"/>
      <c r="FF167" s="773"/>
      <c r="FG167" s="773"/>
      <c r="FH167" s="773"/>
      <c r="FI167" s="773"/>
      <c r="FJ167" s="773"/>
      <c r="FK167" s="773"/>
      <c r="FL167" s="773"/>
      <c r="FM167" s="773"/>
      <c r="FN167" s="773"/>
      <c r="FO167" s="773"/>
      <c r="FP167" s="773"/>
      <c r="FQ167" s="773"/>
      <c r="FR167" s="773"/>
      <c r="FS167" s="773"/>
      <c r="FT167" s="773"/>
      <c r="FU167" s="773"/>
      <c r="FV167" s="773"/>
      <c r="FW167" s="773"/>
      <c r="FX167" s="773"/>
      <c r="FY167" s="773"/>
      <c r="FZ167" s="773"/>
      <c r="GA167" s="773"/>
      <c r="GB167" s="773"/>
      <c r="GC167" s="773"/>
      <c r="GD167" s="773"/>
      <c r="GE167" s="773"/>
      <c r="GF167" s="773"/>
      <c r="GG167" s="773"/>
      <c r="GH167" s="773"/>
      <c r="GI167" s="773"/>
      <c r="GJ167" s="773"/>
      <c r="GK167" s="773"/>
      <c r="GL167" s="773"/>
      <c r="GM167" s="773"/>
      <c r="GN167" s="773"/>
      <c r="GO167" s="773"/>
      <c r="GP167" s="773"/>
      <c r="GQ167" s="773"/>
      <c r="GR167" s="773"/>
      <c r="GS167" s="773"/>
      <c r="GT167" s="773"/>
      <c r="GU167" s="773"/>
      <c r="GV167" s="773"/>
      <c r="GW167" s="773"/>
      <c r="GX167" s="773"/>
      <c r="GY167" s="773"/>
      <c r="GZ167" s="773"/>
    </row>
    <row r="168" spans="1:208" s="11" customFormat="1">
      <c r="A168" s="774"/>
      <c r="B168" s="3761" t="s">
        <v>1350</v>
      </c>
      <c r="C168" s="197">
        <v>209054</v>
      </c>
      <c r="D168" s="801" t="s">
        <v>2270</v>
      </c>
      <c r="E168" s="809">
        <f>IFERROR(VLOOKUP(C168,'AJE 12 - INC'!$D$168:$F$345,3,0),0)</f>
        <v>0</v>
      </c>
      <c r="F168" s="1325">
        <f>SUMIF('AJE 12 - INC'!B:B,'New TB INC'!C168,'AJE 12 - INC'!D:D)</f>
        <v>0</v>
      </c>
      <c r="G168" s="1326"/>
      <c r="H168" s="1326"/>
      <c r="I168" s="1326"/>
      <c r="J168" s="796">
        <f t="shared" si="11"/>
        <v>0</v>
      </c>
      <c r="K168" s="209"/>
      <c r="L168" s="434"/>
      <c r="M168" s="2679"/>
      <c r="N168" s="772"/>
      <c r="O168" s="772"/>
      <c r="P168" s="772"/>
      <c r="Q168" s="772"/>
      <c r="R168" s="772"/>
      <c r="S168" s="772"/>
      <c r="T168" s="773"/>
      <c r="AW168" s="2514"/>
      <c r="AX168" s="820"/>
      <c r="AY168" s="820"/>
      <c r="AZ168" s="820"/>
      <c r="BA168" s="30"/>
      <c r="BB168" s="30"/>
      <c r="BC168" s="2514"/>
      <c r="BD168" s="2514"/>
      <c r="BE168" s="2514"/>
      <c r="BF168" s="2514"/>
      <c r="BH168" s="2514"/>
      <c r="BI168" s="30"/>
      <c r="BJ168" s="30"/>
      <c r="BK168" s="30"/>
      <c r="BL168" s="30"/>
      <c r="BM168" s="30"/>
      <c r="BN168" s="30"/>
      <c r="BO168" s="209"/>
      <c r="BP168" s="209"/>
      <c r="BQ168" s="785"/>
      <c r="BR168" s="820"/>
      <c r="BS168" s="820"/>
      <c r="BT168" s="30"/>
      <c r="BU168" s="800"/>
      <c r="BV168" s="800"/>
      <c r="BW168" s="209"/>
      <c r="CA168" s="787"/>
      <c r="DB168" s="773"/>
      <c r="DC168" s="773"/>
      <c r="DD168" s="773"/>
      <c r="DE168" s="773"/>
      <c r="DF168" s="773"/>
      <c r="DG168" s="773"/>
      <c r="DH168" s="773"/>
      <c r="DI168" s="773"/>
      <c r="DJ168" s="773"/>
      <c r="DK168" s="773"/>
      <c r="DL168" s="773"/>
      <c r="DM168" s="773"/>
      <c r="DN168" s="773"/>
      <c r="DO168" s="773"/>
      <c r="DP168" s="773"/>
      <c r="DQ168" s="773"/>
      <c r="DR168" s="773"/>
      <c r="DS168" s="773"/>
      <c r="DT168" s="773"/>
      <c r="DU168" s="773"/>
      <c r="DV168" s="773"/>
      <c r="DW168" s="773"/>
      <c r="DX168" s="773"/>
      <c r="DY168" s="773"/>
      <c r="DZ168" s="773"/>
      <c r="EA168" s="773"/>
      <c r="EB168" s="773"/>
      <c r="EC168" s="773"/>
      <c r="ED168" s="773"/>
      <c r="EE168" s="773"/>
      <c r="EF168" s="773"/>
      <c r="EG168" s="773"/>
      <c r="EH168" s="773"/>
      <c r="EI168" s="773"/>
      <c r="EJ168" s="773"/>
      <c r="EK168" s="773"/>
      <c r="EL168" s="773"/>
      <c r="EM168" s="773"/>
      <c r="EN168" s="773"/>
      <c r="EO168" s="773"/>
      <c r="EP168" s="773"/>
      <c r="EQ168" s="773"/>
      <c r="ER168" s="773"/>
      <c r="ES168" s="773"/>
      <c r="ET168" s="773"/>
      <c r="EU168" s="773"/>
      <c r="EV168" s="773"/>
      <c r="EW168" s="773"/>
      <c r="EX168" s="773"/>
      <c r="EY168" s="773"/>
      <c r="EZ168" s="773"/>
      <c r="FA168" s="773"/>
      <c r="FB168" s="773"/>
      <c r="FC168" s="773"/>
      <c r="FD168" s="773"/>
      <c r="FE168" s="773"/>
      <c r="FF168" s="773"/>
      <c r="FG168" s="773"/>
      <c r="FH168" s="773"/>
      <c r="FI168" s="773"/>
      <c r="FJ168" s="773"/>
      <c r="FK168" s="773"/>
      <c r="FL168" s="773"/>
      <c r="FM168" s="773"/>
      <c r="FN168" s="773"/>
      <c r="FO168" s="773"/>
      <c r="FP168" s="773"/>
      <c r="FQ168" s="773"/>
      <c r="FR168" s="773"/>
      <c r="FS168" s="773"/>
      <c r="FT168" s="773"/>
      <c r="FU168" s="773"/>
      <c r="FV168" s="773"/>
      <c r="FW168" s="773"/>
      <c r="FX168" s="773"/>
      <c r="FY168" s="773"/>
      <c r="FZ168" s="773"/>
      <c r="GA168" s="773"/>
      <c r="GB168" s="773"/>
      <c r="GC168" s="773"/>
      <c r="GD168" s="773"/>
      <c r="GE168" s="773"/>
      <c r="GF168" s="773"/>
      <c r="GG168" s="773"/>
      <c r="GH168" s="773"/>
      <c r="GI168" s="773"/>
      <c r="GJ168" s="773"/>
      <c r="GK168" s="773"/>
      <c r="GL168" s="773"/>
      <c r="GM168" s="773"/>
      <c r="GN168" s="773"/>
      <c r="GO168" s="773"/>
      <c r="GP168" s="773"/>
      <c r="GQ168" s="773"/>
      <c r="GR168" s="773"/>
      <c r="GS168" s="773"/>
      <c r="GT168" s="773"/>
      <c r="GU168" s="773"/>
      <c r="GV168" s="773"/>
      <c r="GW168" s="773"/>
      <c r="GX168" s="773"/>
      <c r="GY168" s="773"/>
      <c r="GZ168" s="773"/>
    </row>
    <row r="169" spans="1:208" s="11" customFormat="1">
      <c r="A169" s="774"/>
      <c r="B169" s="3761" t="s">
        <v>1350</v>
      </c>
      <c r="C169" s="197">
        <v>221720</v>
      </c>
      <c r="D169" s="801" t="s">
        <v>2271</v>
      </c>
      <c r="E169" s="809">
        <f>IFERROR(VLOOKUP(C169,'AJE 12 - INC'!$D$168:$F$345,3,0),0)</f>
        <v>0</v>
      </c>
      <c r="F169" s="1325">
        <f>SUMIF('AJE 12 - INC'!B:B,'New TB INC'!C169,'AJE 12 - INC'!D:D)</f>
        <v>0</v>
      </c>
      <c r="G169" s="1326"/>
      <c r="H169" s="1326"/>
      <c r="I169" s="1326"/>
      <c r="J169" s="796">
        <f t="shared" si="11"/>
        <v>0</v>
      </c>
      <c r="K169" s="209"/>
      <c r="L169" s="434"/>
      <c r="M169" s="2679"/>
      <c r="N169" s="772"/>
      <c r="O169" s="772"/>
      <c r="P169" s="772"/>
      <c r="Q169" s="772"/>
      <c r="R169" s="772"/>
      <c r="S169" s="772"/>
      <c r="T169" s="773"/>
      <c r="AW169" s="2514"/>
      <c r="AX169" s="820"/>
      <c r="AY169" s="820"/>
      <c r="AZ169" s="820"/>
      <c r="BA169" s="30"/>
      <c r="BB169" s="30"/>
      <c r="BC169" s="2514"/>
      <c r="BD169" s="2514"/>
      <c r="BE169" s="2514"/>
      <c r="BF169" s="2514"/>
      <c r="BH169" s="2514"/>
      <c r="BI169" s="30"/>
      <c r="BJ169" s="30"/>
      <c r="BK169" s="30"/>
      <c r="BL169" s="30"/>
      <c r="BM169" s="30"/>
      <c r="BN169" s="30"/>
      <c r="BO169" s="209"/>
      <c r="BP169" s="209"/>
      <c r="BQ169" s="785"/>
      <c r="BR169" s="820"/>
      <c r="BS169" s="820"/>
      <c r="BT169" s="30"/>
      <c r="BU169" s="800"/>
      <c r="BV169" s="800"/>
      <c r="BW169" s="209"/>
      <c r="CA169" s="787"/>
      <c r="DB169" s="773"/>
      <c r="DC169" s="773"/>
      <c r="DD169" s="773"/>
      <c r="DE169" s="773"/>
      <c r="DF169" s="773"/>
      <c r="DG169" s="773"/>
      <c r="DH169" s="773"/>
      <c r="DI169" s="773"/>
      <c r="DJ169" s="773"/>
      <c r="DK169" s="773"/>
      <c r="DL169" s="773"/>
      <c r="DM169" s="773"/>
      <c r="DN169" s="773"/>
      <c r="DO169" s="773"/>
      <c r="DP169" s="773"/>
      <c r="DQ169" s="773"/>
      <c r="DR169" s="773"/>
      <c r="DS169" s="773"/>
      <c r="DT169" s="773"/>
      <c r="DU169" s="773"/>
      <c r="DV169" s="773"/>
      <c r="DW169" s="773"/>
      <c r="DX169" s="773"/>
      <c r="DY169" s="773"/>
      <c r="DZ169" s="773"/>
      <c r="EA169" s="773"/>
      <c r="EB169" s="773"/>
      <c r="EC169" s="773"/>
      <c r="ED169" s="773"/>
      <c r="EE169" s="773"/>
      <c r="EF169" s="773"/>
      <c r="EG169" s="773"/>
      <c r="EH169" s="773"/>
      <c r="EI169" s="773"/>
      <c r="EJ169" s="773"/>
      <c r="EK169" s="773"/>
      <c r="EL169" s="773"/>
      <c r="EM169" s="773"/>
      <c r="EN169" s="773"/>
      <c r="EO169" s="773"/>
      <c r="EP169" s="773"/>
      <c r="EQ169" s="773"/>
      <c r="ER169" s="773"/>
      <c r="ES169" s="773"/>
      <c r="ET169" s="773"/>
      <c r="EU169" s="773"/>
      <c r="EV169" s="773"/>
      <c r="EW169" s="773"/>
      <c r="EX169" s="773"/>
      <c r="EY169" s="773"/>
      <c r="EZ169" s="773"/>
      <c r="FA169" s="773"/>
      <c r="FB169" s="773"/>
      <c r="FC169" s="773"/>
      <c r="FD169" s="773"/>
      <c r="FE169" s="773"/>
      <c r="FF169" s="773"/>
      <c r="FG169" s="773"/>
      <c r="FH169" s="773"/>
      <c r="FI169" s="773"/>
      <c r="FJ169" s="773"/>
      <c r="FK169" s="773"/>
      <c r="FL169" s="773"/>
      <c r="FM169" s="773"/>
      <c r="FN169" s="773"/>
      <c r="FO169" s="773"/>
      <c r="FP169" s="773"/>
      <c r="FQ169" s="773"/>
      <c r="FR169" s="773"/>
      <c r="FS169" s="773"/>
      <c r="FT169" s="773"/>
      <c r="FU169" s="773"/>
      <c r="FV169" s="773"/>
      <c r="FW169" s="773"/>
      <c r="FX169" s="773"/>
      <c r="FY169" s="773"/>
      <c r="FZ169" s="773"/>
      <c r="GA169" s="773"/>
      <c r="GB169" s="773"/>
      <c r="GC169" s="773"/>
      <c r="GD169" s="773"/>
      <c r="GE169" s="773"/>
      <c r="GF169" s="773"/>
      <c r="GG169" s="773"/>
      <c r="GH169" s="773"/>
      <c r="GI169" s="773"/>
      <c r="GJ169" s="773"/>
      <c r="GK169" s="773"/>
      <c r="GL169" s="773"/>
      <c r="GM169" s="773"/>
      <c r="GN169" s="773"/>
      <c r="GO169" s="773"/>
      <c r="GP169" s="773"/>
      <c r="GQ169" s="773"/>
      <c r="GR169" s="773"/>
      <c r="GS169" s="773"/>
      <c r="GT169" s="773"/>
      <c r="GU169" s="773"/>
      <c r="GV169" s="773"/>
      <c r="GW169" s="773"/>
      <c r="GX169" s="773"/>
      <c r="GY169" s="773"/>
      <c r="GZ169" s="773"/>
    </row>
    <row r="170" spans="1:208" s="11" customFormat="1">
      <c r="A170" s="774"/>
      <c r="B170" s="3761" t="s">
        <v>1350</v>
      </c>
      <c r="C170" s="197">
        <v>221858</v>
      </c>
      <c r="D170" s="801" t="s">
        <v>1895</v>
      </c>
      <c r="E170" s="809">
        <f>IFERROR(VLOOKUP(C170,'AJE 12 - INC'!$D$168:$F$345,3,0),0)</f>
        <v>0</v>
      </c>
      <c r="F170" s="1325">
        <f>SUMIF('AJE 12 - INC'!B:B,'New TB INC'!C170,'AJE 12 - INC'!D:D)</f>
        <v>0</v>
      </c>
      <c r="G170" s="1326"/>
      <c r="H170" s="1326"/>
      <c r="I170" s="1326"/>
      <c r="J170" s="796">
        <f t="shared" si="11"/>
        <v>0</v>
      </c>
      <c r="K170" s="209"/>
      <c r="L170" s="434"/>
      <c r="M170" s="2679"/>
      <c r="N170" s="772"/>
      <c r="O170" s="772"/>
      <c r="P170" s="772"/>
      <c r="Q170" s="772"/>
      <c r="R170" s="772"/>
      <c r="S170" s="772"/>
      <c r="T170" s="773"/>
      <c r="AW170" s="2514"/>
      <c r="AX170" s="820"/>
      <c r="AY170" s="820"/>
      <c r="AZ170" s="820"/>
      <c r="BA170" s="30"/>
      <c r="BB170" s="30"/>
      <c r="BC170" s="2514"/>
      <c r="BD170" s="2514"/>
      <c r="BE170" s="2514"/>
      <c r="BF170" s="2514"/>
      <c r="BH170" s="2514"/>
      <c r="BI170" s="30"/>
      <c r="BJ170" s="30"/>
      <c r="BK170" s="30"/>
      <c r="BL170" s="30"/>
      <c r="BM170" s="30"/>
      <c r="BN170" s="30"/>
      <c r="BO170" s="209"/>
      <c r="BP170" s="209"/>
      <c r="BQ170" s="785"/>
      <c r="BR170" s="820"/>
      <c r="BS170" s="820"/>
      <c r="BT170" s="30"/>
      <c r="BU170" s="800"/>
      <c r="BV170" s="800"/>
      <c r="BW170" s="209"/>
      <c r="CA170" s="787"/>
      <c r="DB170" s="773"/>
      <c r="DC170" s="773"/>
      <c r="DD170" s="773"/>
      <c r="DE170" s="773"/>
      <c r="DF170" s="773"/>
      <c r="DG170" s="773"/>
      <c r="DH170" s="773"/>
      <c r="DI170" s="773"/>
      <c r="DJ170" s="773"/>
      <c r="DK170" s="773"/>
      <c r="DL170" s="773"/>
      <c r="DM170" s="773"/>
      <c r="DN170" s="773"/>
      <c r="DO170" s="773"/>
      <c r="DP170" s="773"/>
      <c r="DQ170" s="773"/>
      <c r="DR170" s="773"/>
      <c r="DS170" s="773"/>
      <c r="DT170" s="773"/>
      <c r="DU170" s="773"/>
      <c r="DV170" s="773"/>
      <c r="DW170" s="773"/>
      <c r="DX170" s="773"/>
      <c r="DY170" s="773"/>
      <c r="DZ170" s="773"/>
      <c r="EA170" s="773"/>
      <c r="EB170" s="773"/>
      <c r="EC170" s="773"/>
      <c r="ED170" s="773"/>
      <c r="EE170" s="773"/>
      <c r="EF170" s="773"/>
      <c r="EG170" s="773"/>
      <c r="EH170" s="773"/>
      <c r="EI170" s="773"/>
      <c r="EJ170" s="773"/>
      <c r="EK170" s="773"/>
      <c r="EL170" s="773"/>
      <c r="EM170" s="773"/>
      <c r="EN170" s="773"/>
      <c r="EO170" s="773"/>
      <c r="EP170" s="773"/>
      <c r="EQ170" s="773"/>
      <c r="ER170" s="773"/>
      <c r="ES170" s="773"/>
      <c r="ET170" s="773"/>
      <c r="EU170" s="773"/>
      <c r="EV170" s="773"/>
      <c r="EW170" s="773"/>
      <c r="EX170" s="773"/>
      <c r="EY170" s="773"/>
      <c r="EZ170" s="773"/>
      <c r="FA170" s="773"/>
      <c r="FB170" s="773"/>
      <c r="FC170" s="773"/>
      <c r="FD170" s="773"/>
      <c r="FE170" s="773"/>
      <c r="FF170" s="773"/>
      <c r="FG170" s="773"/>
      <c r="FH170" s="773"/>
      <c r="FI170" s="773"/>
      <c r="FJ170" s="773"/>
      <c r="FK170" s="773"/>
      <c r="FL170" s="773"/>
      <c r="FM170" s="773"/>
      <c r="FN170" s="773"/>
      <c r="FO170" s="773"/>
      <c r="FP170" s="773"/>
      <c r="FQ170" s="773"/>
      <c r="FR170" s="773"/>
      <c r="FS170" s="773"/>
      <c r="FT170" s="773"/>
      <c r="FU170" s="773"/>
      <c r="FV170" s="773"/>
      <c r="FW170" s="773"/>
      <c r="FX170" s="773"/>
      <c r="FY170" s="773"/>
      <c r="FZ170" s="773"/>
      <c r="GA170" s="773"/>
      <c r="GB170" s="773"/>
      <c r="GC170" s="773"/>
      <c r="GD170" s="773"/>
      <c r="GE170" s="773"/>
      <c r="GF170" s="773"/>
      <c r="GG170" s="773"/>
      <c r="GH170" s="773"/>
      <c r="GI170" s="773"/>
      <c r="GJ170" s="773"/>
      <c r="GK170" s="773"/>
      <c r="GL170" s="773"/>
      <c r="GM170" s="773"/>
      <c r="GN170" s="773"/>
      <c r="GO170" s="773"/>
      <c r="GP170" s="773"/>
      <c r="GQ170" s="773"/>
      <c r="GR170" s="773"/>
      <c r="GS170" s="773"/>
      <c r="GT170" s="773"/>
      <c r="GU170" s="773"/>
      <c r="GV170" s="773"/>
      <c r="GW170" s="773"/>
      <c r="GX170" s="773"/>
      <c r="GY170" s="773"/>
      <c r="GZ170" s="773"/>
    </row>
    <row r="171" spans="1:208" s="11" customFormat="1">
      <c r="A171" s="774"/>
      <c r="B171" s="3761" t="s">
        <v>1350</v>
      </c>
      <c r="C171" s="197">
        <v>226864</v>
      </c>
      <c r="D171" s="801" t="s">
        <v>2272</v>
      </c>
      <c r="E171" s="809">
        <f>IFERROR(VLOOKUP(C171,'AJE 12 - INC'!$D$168:$F$345,3,0),0)</f>
        <v>0</v>
      </c>
      <c r="F171" s="1325">
        <f>SUMIF('AJE 12 - INC'!B:B,'New TB INC'!C171,'AJE 12 - INC'!D:D)</f>
        <v>0</v>
      </c>
      <c r="G171" s="1326"/>
      <c r="H171" s="1326"/>
      <c r="I171" s="1326"/>
      <c r="J171" s="796">
        <f t="shared" si="11"/>
        <v>0</v>
      </c>
      <c r="K171" s="209"/>
      <c r="L171" s="434"/>
      <c r="M171" s="2679"/>
      <c r="N171" s="772"/>
      <c r="O171" s="772"/>
      <c r="P171" s="772"/>
      <c r="Q171" s="772"/>
      <c r="R171" s="772"/>
      <c r="S171" s="772"/>
      <c r="T171" s="773"/>
      <c r="AW171" s="2514"/>
      <c r="AX171" s="820"/>
      <c r="AY171" s="820"/>
      <c r="AZ171" s="820"/>
      <c r="BA171" s="30"/>
      <c r="BB171" s="30"/>
      <c r="BC171" s="2514"/>
      <c r="BD171" s="2514"/>
      <c r="BE171" s="2514"/>
      <c r="BF171" s="2514"/>
      <c r="BH171" s="2514"/>
      <c r="BI171" s="30"/>
      <c r="BJ171" s="30"/>
      <c r="BK171" s="30"/>
      <c r="BL171" s="30"/>
      <c r="BM171" s="30"/>
      <c r="BN171" s="30"/>
      <c r="BO171" s="209"/>
      <c r="BP171" s="209"/>
      <c r="BQ171" s="785"/>
      <c r="BR171" s="820"/>
      <c r="BS171" s="820"/>
      <c r="BT171" s="30"/>
      <c r="BU171" s="800"/>
      <c r="BV171" s="800"/>
      <c r="BW171" s="209"/>
      <c r="CA171" s="787"/>
      <c r="DB171" s="773"/>
      <c r="DC171" s="773"/>
      <c r="DD171" s="773"/>
      <c r="DE171" s="773"/>
      <c r="DF171" s="773"/>
      <c r="DG171" s="773"/>
      <c r="DH171" s="773"/>
      <c r="DI171" s="773"/>
      <c r="DJ171" s="773"/>
      <c r="DK171" s="773"/>
      <c r="DL171" s="773"/>
      <c r="DM171" s="773"/>
      <c r="DN171" s="773"/>
      <c r="DO171" s="773"/>
      <c r="DP171" s="773"/>
      <c r="DQ171" s="773"/>
      <c r="DR171" s="773"/>
      <c r="DS171" s="773"/>
      <c r="DT171" s="773"/>
      <c r="DU171" s="773"/>
      <c r="DV171" s="773"/>
      <c r="DW171" s="773"/>
      <c r="DX171" s="773"/>
      <c r="DY171" s="773"/>
      <c r="DZ171" s="773"/>
      <c r="EA171" s="773"/>
      <c r="EB171" s="773"/>
      <c r="EC171" s="773"/>
      <c r="ED171" s="773"/>
      <c r="EE171" s="773"/>
      <c r="EF171" s="773"/>
      <c r="EG171" s="773"/>
      <c r="EH171" s="773"/>
      <c r="EI171" s="773"/>
      <c r="EJ171" s="773"/>
      <c r="EK171" s="773"/>
      <c r="EL171" s="773"/>
      <c r="EM171" s="773"/>
      <c r="EN171" s="773"/>
      <c r="EO171" s="773"/>
      <c r="EP171" s="773"/>
      <c r="EQ171" s="773"/>
      <c r="ER171" s="773"/>
      <c r="ES171" s="773"/>
      <c r="ET171" s="773"/>
      <c r="EU171" s="773"/>
      <c r="EV171" s="773"/>
      <c r="EW171" s="773"/>
      <c r="EX171" s="773"/>
      <c r="EY171" s="773"/>
      <c r="EZ171" s="773"/>
      <c r="FA171" s="773"/>
      <c r="FB171" s="773"/>
      <c r="FC171" s="773"/>
      <c r="FD171" s="773"/>
      <c r="FE171" s="773"/>
      <c r="FF171" s="773"/>
      <c r="FG171" s="773"/>
      <c r="FH171" s="773"/>
      <c r="FI171" s="773"/>
      <c r="FJ171" s="773"/>
      <c r="FK171" s="773"/>
      <c r="FL171" s="773"/>
      <c r="FM171" s="773"/>
      <c r="FN171" s="773"/>
      <c r="FO171" s="773"/>
      <c r="FP171" s="773"/>
      <c r="FQ171" s="773"/>
      <c r="FR171" s="773"/>
      <c r="FS171" s="773"/>
      <c r="FT171" s="773"/>
      <c r="FU171" s="773"/>
      <c r="FV171" s="773"/>
      <c r="FW171" s="773"/>
      <c r="FX171" s="773"/>
      <c r="FY171" s="773"/>
      <c r="FZ171" s="773"/>
      <c r="GA171" s="773"/>
      <c r="GB171" s="773"/>
      <c r="GC171" s="773"/>
      <c r="GD171" s="773"/>
      <c r="GE171" s="773"/>
      <c r="GF171" s="773"/>
      <c r="GG171" s="773"/>
      <c r="GH171" s="773"/>
      <c r="GI171" s="773"/>
      <c r="GJ171" s="773"/>
      <c r="GK171" s="773"/>
      <c r="GL171" s="773"/>
      <c r="GM171" s="773"/>
      <c r="GN171" s="773"/>
      <c r="GO171" s="773"/>
      <c r="GP171" s="773"/>
      <c r="GQ171" s="773"/>
      <c r="GR171" s="773"/>
      <c r="GS171" s="773"/>
      <c r="GT171" s="773"/>
      <c r="GU171" s="773"/>
      <c r="GV171" s="773"/>
      <c r="GW171" s="773"/>
      <c r="GX171" s="773"/>
      <c r="GY171" s="773"/>
      <c r="GZ171" s="773"/>
    </row>
    <row r="172" spans="1:208" s="11" customFormat="1">
      <c r="A172" s="774"/>
      <c r="B172" s="3761" t="s">
        <v>1350</v>
      </c>
      <c r="C172" s="197">
        <v>227587</v>
      </c>
      <c r="D172" s="801" t="s">
        <v>2273</v>
      </c>
      <c r="E172" s="809">
        <f>IFERROR(VLOOKUP(C172,'AJE 12 - INC'!$D$168:$F$345,3,0),0)</f>
        <v>0</v>
      </c>
      <c r="F172" s="1325">
        <f>SUMIF('AJE 12 - INC'!B:B,'New TB INC'!C172,'AJE 12 - INC'!D:D)</f>
        <v>0</v>
      </c>
      <c r="G172" s="1326"/>
      <c r="H172" s="1326"/>
      <c r="I172" s="1326"/>
      <c r="J172" s="796">
        <f t="shared" si="11"/>
        <v>0</v>
      </c>
      <c r="K172" s="209"/>
      <c r="L172" s="434"/>
      <c r="M172" s="2679"/>
      <c r="N172" s="772"/>
      <c r="O172" s="772"/>
      <c r="P172" s="772"/>
      <c r="Q172" s="772"/>
      <c r="R172" s="772"/>
      <c r="S172" s="772"/>
      <c r="T172" s="773"/>
      <c r="AW172" s="2514"/>
      <c r="AX172" s="820"/>
      <c r="AY172" s="820"/>
      <c r="AZ172" s="820"/>
      <c r="BA172" s="30"/>
      <c r="BB172" s="30"/>
      <c r="BC172" s="2514"/>
      <c r="BD172" s="2514"/>
      <c r="BE172" s="2514"/>
      <c r="BF172" s="2514"/>
      <c r="BH172" s="2514"/>
      <c r="BI172" s="30"/>
      <c r="BJ172" s="30"/>
      <c r="BK172" s="30"/>
      <c r="BL172" s="30"/>
      <c r="BM172" s="30"/>
      <c r="BN172" s="30"/>
      <c r="BO172" s="209"/>
      <c r="BP172" s="209"/>
      <c r="BQ172" s="785"/>
      <c r="BR172" s="820"/>
      <c r="BS172" s="820"/>
      <c r="BT172" s="30"/>
      <c r="BU172" s="800"/>
      <c r="BV172" s="800"/>
      <c r="BW172" s="209"/>
      <c r="CA172" s="787"/>
      <c r="DB172" s="773"/>
      <c r="DC172" s="773"/>
      <c r="DD172" s="773"/>
      <c r="DE172" s="773"/>
      <c r="DF172" s="773"/>
      <c r="DG172" s="773"/>
      <c r="DH172" s="773"/>
      <c r="DI172" s="773"/>
      <c r="DJ172" s="773"/>
      <c r="DK172" s="773"/>
      <c r="DL172" s="773"/>
      <c r="DM172" s="773"/>
      <c r="DN172" s="773"/>
      <c r="DO172" s="773"/>
      <c r="DP172" s="773"/>
      <c r="DQ172" s="773"/>
      <c r="DR172" s="773"/>
      <c r="DS172" s="773"/>
      <c r="DT172" s="773"/>
      <c r="DU172" s="773"/>
      <c r="DV172" s="773"/>
      <c r="DW172" s="773"/>
      <c r="DX172" s="773"/>
      <c r="DY172" s="773"/>
      <c r="DZ172" s="773"/>
      <c r="EA172" s="773"/>
      <c r="EB172" s="773"/>
      <c r="EC172" s="773"/>
      <c r="ED172" s="773"/>
      <c r="EE172" s="773"/>
      <c r="EF172" s="773"/>
      <c r="EG172" s="773"/>
      <c r="EH172" s="773"/>
      <c r="EI172" s="773"/>
      <c r="EJ172" s="773"/>
      <c r="EK172" s="773"/>
      <c r="EL172" s="773"/>
      <c r="EM172" s="773"/>
      <c r="EN172" s="773"/>
      <c r="EO172" s="773"/>
      <c r="EP172" s="773"/>
      <c r="EQ172" s="773"/>
      <c r="ER172" s="773"/>
      <c r="ES172" s="773"/>
      <c r="ET172" s="773"/>
      <c r="EU172" s="773"/>
      <c r="EV172" s="773"/>
      <c r="EW172" s="773"/>
      <c r="EX172" s="773"/>
      <c r="EY172" s="773"/>
      <c r="EZ172" s="773"/>
      <c r="FA172" s="773"/>
      <c r="FB172" s="773"/>
      <c r="FC172" s="773"/>
      <c r="FD172" s="773"/>
      <c r="FE172" s="773"/>
      <c r="FF172" s="773"/>
      <c r="FG172" s="773"/>
      <c r="FH172" s="773"/>
      <c r="FI172" s="773"/>
      <c r="FJ172" s="773"/>
      <c r="FK172" s="773"/>
      <c r="FL172" s="773"/>
      <c r="FM172" s="773"/>
      <c r="FN172" s="773"/>
      <c r="FO172" s="773"/>
      <c r="FP172" s="773"/>
      <c r="FQ172" s="773"/>
      <c r="FR172" s="773"/>
      <c r="FS172" s="773"/>
      <c r="FT172" s="773"/>
      <c r="FU172" s="773"/>
      <c r="FV172" s="773"/>
      <c r="FW172" s="773"/>
      <c r="FX172" s="773"/>
      <c r="FY172" s="773"/>
      <c r="FZ172" s="773"/>
      <c r="GA172" s="773"/>
      <c r="GB172" s="773"/>
      <c r="GC172" s="773"/>
      <c r="GD172" s="773"/>
      <c r="GE172" s="773"/>
      <c r="GF172" s="773"/>
      <c r="GG172" s="773"/>
      <c r="GH172" s="773"/>
      <c r="GI172" s="773"/>
      <c r="GJ172" s="773"/>
      <c r="GK172" s="773"/>
      <c r="GL172" s="773"/>
      <c r="GM172" s="773"/>
      <c r="GN172" s="773"/>
      <c r="GO172" s="773"/>
      <c r="GP172" s="773"/>
      <c r="GQ172" s="773"/>
      <c r="GR172" s="773"/>
      <c r="GS172" s="773"/>
      <c r="GT172" s="773"/>
      <c r="GU172" s="773"/>
      <c r="GV172" s="773"/>
      <c r="GW172" s="773"/>
      <c r="GX172" s="773"/>
      <c r="GY172" s="773"/>
      <c r="GZ172" s="773"/>
    </row>
    <row r="173" spans="1:208" s="11" customFormat="1">
      <c r="A173" s="774"/>
      <c r="B173" s="3761" t="s">
        <v>1350</v>
      </c>
      <c r="C173" s="197">
        <v>226635</v>
      </c>
      <c r="D173" s="801" t="s">
        <v>2127</v>
      </c>
      <c r="E173" s="809">
        <f>IFERROR(VLOOKUP(C173,'AJE 12 - INC'!$D$168:$F$345,3,0),0)</f>
        <v>0</v>
      </c>
      <c r="F173" s="1325">
        <f>SUMIF('AJE 12 - INC'!B:B,'New TB INC'!C173,'AJE 12 - INC'!D:D)</f>
        <v>0</v>
      </c>
      <c r="G173" s="1326"/>
      <c r="H173" s="1326"/>
      <c r="I173" s="1326"/>
      <c r="J173" s="796">
        <f t="shared" si="11"/>
        <v>0</v>
      </c>
      <c r="K173" s="209"/>
      <c r="L173" s="434"/>
      <c r="M173" s="2679"/>
      <c r="N173" s="772"/>
      <c r="O173" s="772"/>
      <c r="P173" s="772"/>
      <c r="Q173" s="772"/>
      <c r="R173" s="772"/>
      <c r="S173" s="772"/>
      <c r="T173" s="773"/>
      <c r="AW173" s="2514"/>
      <c r="AX173" s="820"/>
      <c r="AY173" s="820"/>
      <c r="AZ173" s="820"/>
      <c r="BA173" s="30"/>
      <c r="BB173" s="30"/>
      <c r="BC173" s="2514"/>
      <c r="BD173" s="2514"/>
      <c r="BE173" s="2514"/>
      <c r="BF173" s="2514"/>
      <c r="BH173" s="2514"/>
      <c r="BI173" s="30"/>
      <c r="BJ173" s="30"/>
      <c r="BK173" s="30"/>
      <c r="BL173" s="30"/>
      <c r="BM173" s="30"/>
      <c r="BN173" s="30"/>
      <c r="BO173" s="209"/>
      <c r="BP173" s="209"/>
      <c r="BQ173" s="785"/>
      <c r="BR173" s="820"/>
      <c r="BS173" s="820"/>
      <c r="BT173" s="30"/>
      <c r="BU173" s="800"/>
      <c r="BV173" s="800"/>
      <c r="BW173" s="209"/>
      <c r="CA173" s="787"/>
      <c r="DB173" s="773"/>
      <c r="DC173" s="773"/>
      <c r="DD173" s="773"/>
      <c r="DE173" s="773"/>
      <c r="DF173" s="773"/>
      <c r="DG173" s="773"/>
      <c r="DH173" s="773"/>
      <c r="DI173" s="773"/>
      <c r="DJ173" s="773"/>
      <c r="DK173" s="773"/>
      <c r="DL173" s="773"/>
      <c r="DM173" s="773"/>
      <c r="DN173" s="773"/>
      <c r="DO173" s="773"/>
      <c r="DP173" s="773"/>
      <c r="DQ173" s="773"/>
      <c r="DR173" s="773"/>
      <c r="DS173" s="773"/>
      <c r="DT173" s="773"/>
      <c r="DU173" s="773"/>
      <c r="DV173" s="773"/>
      <c r="DW173" s="773"/>
      <c r="DX173" s="773"/>
      <c r="DY173" s="773"/>
      <c r="DZ173" s="773"/>
      <c r="EA173" s="773"/>
      <c r="EB173" s="773"/>
      <c r="EC173" s="773"/>
      <c r="ED173" s="773"/>
      <c r="EE173" s="773"/>
      <c r="EF173" s="773"/>
      <c r="EG173" s="773"/>
      <c r="EH173" s="773"/>
      <c r="EI173" s="773"/>
      <c r="EJ173" s="773"/>
      <c r="EK173" s="773"/>
      <c r="EL173" s="773"/>
      <c r="EM173" s="773"/>
      <c r="EN173" s="773"/>
      <c r="EO173" s="773"/>
      <c r="EP173" s="773"/>
      <c r="EQ173" s="773"/>
      <c r="ER173" s="773"/>
      <c r="ES173" s="773"/>
      <c r="ET173" s="773"/>
      <c r="EU173" s="773"/>
      <c r="EV173" s="773"/>
      <c r="EW173" s="773"/>
      <c r="EX173" s="773"/>
      <c r="EY173" s="773"/>
      <c r="EZ173" s="773"/>
      <c r="FA173" s="773"/>
      <c r="FB173" s="773"/>
      <c r="FC173" s="773"/>
      <c r="FD173" s="773"/>
      <c r="FE173" s="773"/>
      <c r="FF173" s="773"/>
      <c r="FG173" s="773"/>
      <c r="FH173" s="773"/>
      <c r="FI173" s="773"/>
      <c r="FJ173" s="773"/>
      <c r="FK173" s="773"/>
      <c r="FL173" s="773"/>
      <c r="FM173" s="773"/>
      <c r="FN173" s="773"/>
      <c r="FO173" s="773"/>
      <c r="FP173" s="773"/>
      <c r="FQ173" s="773"/>
      <c r="FR173" s="773"/>
      <c r="FS173" s="773"/>
      <c r="FT173" s="773"/>
      <c r="FU173" s="773"/>
      <c r="FV173" s="773"/>
      <c r="FW173" s="773"/>
      <c r="FX173" s="773"/>
      <c r="FY173" s="773"/>
      <c r="FZ173" s="773"/>
      <c r="GA173" s="773"/>
      <c r="GB173" s="773"/>
      <c r="GC173" s="773"/>
      <c r="GD173" s="773"/>
      <c r="GE173" s="773"/>
      <c r="GF173" s="773"/>
      <c r="GG173" s="773"/>
      <c r="GH173" s="773"/>
      <c r="GI173" s="773"/>
      <c r="GJ173" s="773"/>
      <c r="GK173" s="773"/>
      <c r="GL173" s="773"/>
      <c r="GM173" s="773"/>
      <c r="GN173" s="773"/>
      <c r="GO173" s="773"/>
      <c r="GP173" s="773"/>
      <c r="GQ173" s="773"/>
      <c r="GR173" s="773"/>
      <c r="GS173" s="773"/>
      <c r="GT173" s="773"/>
      <c r="GU173" s="773"/>
      <c r="GV173" s="773"/>
      <c r="GW173" s="773"/>
      <c r="GX173" s="773"/>
      <c r="GY173" s="773"/>
      <c r="GZ173" s="773"/>
    </row>
    <row r="174" spans="1:208" s="11" customFormat="1">
      <c r="A174" s="774"/>
      <c r="B174" s="3761" t="s">
        <v>1350</v>
      </c>
      <c r="C174" s="197">
        <v>200053</v>
      </c>
      <c r="D174" s="801" t="s">
        <v>2556</v>
      </c>
      <c r="E174" s="809">
        <f>IFERROR(VLOOKUP(C174,'AJE 12 - INC'!$D$168:$F$345,3,0),0)</f>
        <v>0</v>
      </c>
      <c r="F174" s="1325">
        <f>SUMIF('AJE 12 - INC'!B:B,'New TB INC'!C174,'AJE 12 - INC'!D:D)</f>
        <v>0</v>
      </c>
      <c r="G174" s="1326"/>
      <c r="H174" s="1326"/>
      <c r="I174" s="1326"/>
      <c r="J174" s="796">
        <f t="shared" si="11"/>
        <v>0</v>
      </c>
      <c r="K174" s="209"/>
      <c r="L174" s="434"/>
      <c r="M174" s="2679"/>
      <c r="N174" s="772"/>
      <c r="O174" s="772"/>
      <c r="P174" s="772"/>
      <c r="Q174" s="772"/>
      <c r="R174" s="772"/>
      <c r="S174" s="772"/>
      <c r="T174" s="773"/>
      <c r="AW174" s="2514"/>
      <c r="AX174" s="820"/>
      <c r="AY174" s="820"/>
      <c r="AZ174" s="820"/>
      <c r="BA174" s="30"/>
      <c r="BB174" s="30"/>
      <c r="BC174" s="2514"/>
      <c r="BD174" s="2514"/>
      <c r="BE174" s="2514"/>
      <c r="BF174" s="2514"/>
      <c r="BH174" s="2514"/>
      <c r="BI174" s="30"/>
      <c r="BJ174" s="30"/>
      <c r="BK174" s="30"/>
      <c r="BL174" s="30"/>
      <c r="BM174" s="30"/>
      <c r="BN174" s="30"/>
      <c r="BO174" s="209"/>
      <c r="BP174" s="209"/>
      <c r="BQ174" s="785"/>
      <c r="BR174" s="820"/>
      <c r="BS174" s="820"/>
      <c r="BT174" s="30"/>
      <c r="BU174" s="800"/>
      <c r="BV174" s="800"/>
      <c r="BW174" s="209"/>
      <c r="CA174" s="787"/>
      <c r="DB174" s="773"/>
      <c r="DC174" s="773"/>
      <c r="DD174" s="773"/>
      <c r="DE174" s="773"/>
      <c r="DF174" s="773"/>
      <c r="DG174" s="773"/>
      <c r="DH174" s="773"/>
      <c r="DI174" s="773"/>
      <c r="DJ174" s="773"/>
      <c r="DK174" s="773"/>
      <c r="DL174" s="773"/>
      <c r="DM174" s="773"/>
      <c r="DN174" s="773"/>
      <c r="DO174" s="773"/>
      <c r="DP174" s="773"/>
      <c r="DQ174" s="773"/>
      <c r="DR174" s="773"/>
      <c r="DS174" s="773"/>
      <c r="DT174" s="773"/>
      <c r="DU174" s="773"/>
      <c r="DV174" s="773"/>
      <c r="DW174" s="773"/>
      <c r="DX174" s="773"/>
      <c r="DY174" s="773"/>
      <c r="DZ174" s="773"/>
      <c r="EA174" s="773"/>
      <c r="EB174" s="773"/>
      <c r="EC174" s="773"/>
      <c r="ED174" s="773"/>
      <c r="EE174" s="773"/>
      <c r="EF174" s="773"/>
      <c r="EG174" s="773"/>
      <c r="EH174" s="773"/>
      <c r="EI174" s="773"/>
      <c r="EJ174" s="773"/>
      <c r="EK174" s="773"/>
      <c r="EL174" s="773"/>
      <c r="EM174" s="773"/>
      <c r="EN174" s="773"/>
      <c r="EO174" s="773"/>
      <c r="EP174" s="773"/>
      <c r="EQ174" s="773"/>
      <c r="ER174" s="773"/>
      <c r="ES174" s="773"/>
      <c r="ET174" s="773"/>
      <c r="EU174" s="773"/>
      <c r="EV174" s="773"/>
      <c r="EW174" s="773"/>
      <c r="EX174" s="773"/>
      <c r="EY174" s="773"/>
      <c r="EZ174" s="773"/>
      <c r="FA174" s="773"/>
      <c r="FB174" s="773"/>
      <c r="FC174" s="773"/>
      <c r="FD174" s="773"/>
      <c r="FE174" s="773"/>
      <c r="FF174" s="773"/>
      <c r="FG174" s="773"/>
      <c r="FH174" s="773"/>
      <c r="FI174" s="773"/>
      <c r="FJ174" s="773"/>
      <c r="FK174" s="773"/>
      <c r="FL174" s="773"/>
      <c r="FM174" s="773"/>
      <c r="FN174" s="773"/>
      <c r="FO174" s="773"/>
      <c r="FP174" s="773"/>
      <c r="FQ174" s="773"/>
      <c r="FR174" s="773"/>
      <c r="FS174" s="773"/>
      <c r="FT174" s="773"/>
      <c r="FU174" s="773"/>
      <c r="FV174" s="773"/>
      <c r="FW174" s="773"/>
      <c r="FX174" s="773"/>
      <c r="FY174" s="773"/>
      <c r="FZ174" s="773"/>
      <c r="GA174" s="773"/>
      <c r="GB174" s="773"/>
      <c r="GC174" s="773"/>
      <c r="GD174" s="773"/>
      <c r="GE174" s="773"/>
      <c r="GF174" s="773"/>
      <c r="GG174" s="773"/>
      <c r="GH174" s="773"/>
      <c r="GI174" s="773"/>
      <c r="GJ174" s="773"/>
      <c r="GK174" s="773"/>
      <c r="GL174" s="773"/>
      <c r="GM174" s="773"/>
      <c r="GN174" s="773"/>
      <c r="GO174" s="773"/>
      <c r="GP174" s="773"/>
      <c r="GQ174" s="773"/>
      <c r="GR174" s="773"/>
      <c r="GS174" s="773"/>
      <c r="GT174" s="773"/>
      <c r="GU174" s="773"/>
      <c r="GV174" s="773"/>
      <c r="GW174" s="773"/>
      <c r="GX174" s="773"/>
      <c r="GY174" s="773"/>
      <c r="GZ174" s="773"/>
    </row>
    <row r="175" spans="1:208" s="11" customFormat="1">
      <c r="A175" s="774"/>
      <c r="B175" s="3761" t="s">
        <v>1350</v>
      </c>
      <c r="C175" s="197">
        <v>201195</v>
      </c>
      <c r="D175" s="801" t="s">
        <v>2223</v>
      </c>
      <c r="E175" s="809">
        <f>IFERROR(VLOOKUP(C175,'AJE 12 - INC'!$D$168:$F$345,3,0),0)</f>
        <v>2507.5</v>
      </c>
      <c r="F175" s="1325">
        <f>SUMIF('AJE 12 - INC'!B:B,'New TB INC'!C175,'AJE 12 - INC'!D:D)</f>
        <v>0</v>
      </c>
      <c r="G175" s="1326"/>
      <c r="H175" s="1326"/>
      <c r="I175" s="1326"/>
      <c r="J175" s="796">
        <f t="shared" si="11"/>
        <v>2507.5</v>
      </c>
      <c r="K175" s="209"/>
      <c r="L175" s="434"/>
      <c r="M175" s="2679"/>
      <c r="N175" s="772"/>
      <c r="O175" s="772"/>
      <c r="P175" s="772"/>
      <c r="Q175" s="772"/>
      <c r="R175" s="772"/>
      <c r="S175" s="772"/>
      <c r="T175" s="773"/>
      <c r="AW175" s="2514"/>
      <c r="AX175" s="820"/>
      <c r="AY175" s="820"/>
      <c r="AZ175" s="820"/>
      <c r="BA175" s="30"/>
      <c r="BB175" s="30"/>
      <c r="BC175" s="2514"/>
      <c r="BD175" s="2514"/>
      <c r="BE175" s="2514"/>
      <c r="BF175" s="2514"/>
      <c r="BH175" s="2514"/>
      <c r="BI175" s="30"/>
      <c r="BJ175" s="30"/>
      <c r="BK175" s="30"/>
      <c r="BL175" s="30"/>
      <c r="BM175" s="30"/>
      <c r="BN175" s="30"/>
      <c r="BO175" s="209"/>
      <c r="BP175" s="209"/>
      <c r="BQ175" s="785"/>
      <c r="BR175" s="820"/>
      <c r="BS175" s="820"/>
      <c r="BT175" s="30"/>
      <c r="BU175" s="800"/>
      <c r="BV175" s="800"/>
      <c r="BW175" s="209"/>
      <c r="CA175" s="787"/>
      <c r="DB175" s="773"/>
      <c r="DC175" s="773"/>
      <c r="DD175" s="773"/>
      <c r="DE175" s="773"/>
      <c r="DF175" s="773"/>
      <c r="DG175" s="773"/>
      <c r="DH175" s="773"/>
      <c r="DI175" s="773"/>
      <c r="DJ175" s="773"/>
      <c r="DK175" s="773"/>
      <c r="DL175" s="773"/>
      <c r="DM175" s="773"/>
      <c r="DN175" s="773"/>
      <c r="DO175" s="773"/>
      <c r="DP175" s="773"/>
      <c r="DQ175" s="773"/>
      <c r="DR175" s="773"/>
      <c r="DS175" s="773"/>
      <c r="DT175" s="773"/>
      <c r="DU175" s="773"/>
      <c r="DV175" s="773"/>
      <c r="DW175" s="773"/>
      <c r="DX175" s="773"/>
      <c r="DY175" s="773"/>
      <c r="DZ175" s="773"/>
      <c r="EA175" s="773"/>
      <c r="EB175" s="773"/>
      <c r="EC175" s="773"/>
      <c r="ED175" s="773"/>
      <c r="EE175" s="773"/>
      <c r="EF175" s="773"/>
      <c r="EG175" s="773"/>
      <c r="EH175" s="773"/>
      <c r="EI175" s="773"/>
      <c r="EJ175" s="773"/>
      <c r="EK175" s="773"/>
      <c r="EL175" s="773"/>
      <c r="EM175" s="773"/>
      <c r="EN175" s="773"/>
      <c r="EO175" s="773"/>
      <c r="EP175" s="773"/>
      <c r="EQ175" s="773"/>
      <c r="ER175" s="773"/>
      <c r="ES175" s="773"/>
      <c r="ET175" s="773"/>
      <c r="EU175" s="773"/>
      <c r="EV175" s="773"/>
      <c r="EW175" s="773"/>
      <c r="EX175" s="773"/>
      <c r="EY175" s="773"/>
      <c r="EZ175" s="773"/>
      <c r="FA175" s="773"/>
      <c r="FB175" s="773"/>
      <c r="FC175" s="773"/>
      <c r="FD175" s="773"/>
      <c r="FE175" s="773"/>
      <c r="FF175" s="773"/>
      <c r="FG175" s="773"/>
      <c r="FH175" s="773"/>
      <c r="FI175" s="773"/>
      <c r="FJ175" s="773"/>
      <c r="FK175" s="773"/>
      <c r="FL175" s="773"/>
      <c r="FM175" s="773"/>
      <c r="FN175" s="773"/>
      <c r="FO175" s="773"/>
      <c r="FP175" s="773"/>
      <c r="FQ175" s="773"/>
      <c r="FR175" s="773"/>
      <c r="FS175" s="773"/>
      <c r="FT175" s="773"/>
      <c r="FU175" s="773"/>
      <c r="FV175" s="773"/>
      <c r="FW175" s="773"/>
      <c r="FX175" s="773"/>
      <c r="FY175" s="773"/>
      <c r="FZ175" s="773"/>
      <c r="GA175" s="773"/>
      <c r="GB175" s="773"/>
      <c r="GC175" s="773"/>
      <c r="GD175" s="773"/>
      <c r="GE175" s="773"/>
      <c r="GF175" s="773"/>
      <c r="GG175" s="773"/>
      <c r="GH175" s="773"/>
      <c r="GI175" s="773"/>
      <c r="GJ175" s="773"/>
      <c r="GK175" s="773"/>
      <c r="GL175" s="773"/>
      <c r="GM175" s="773"/>
      <c r="GN175" s="773"/>
      <c r="GO175" s="773"/>
      <c r="GP175" s="773"/>
      <c r="GQ175" s="773"/>
      <c r="GR175" s="773"/>
      <c r="GS175" s="773"/>
      <c r="GT175" s="773"/>
      <c r="GU175" s="773"/>
      <c r="GV175" s="773"/>
      <c r="GW175" s="773"/>
      <c r="GX175" s="773"/>
      <c r="GY175" s="773"/>
      <c r="GZ175" s="773"/>
    </row>
    <row r="176" spans="1:208" s="11" customFormat="1">
      <c r="A176" s="774"/>
      <c r="B176" s="3761" t="s">
        <v>1350</v>
      </c>
      <c r="C176" s="197">
        <v>202015</v>
      </c>
      <c r="D176" s="801" t="s">
        <v>2557</v>
      </c>
      <c r="E176" s="809">
        <f>IFERROR(VLOOKUP(C176,'AJE 12 - INC'!$D$168:$F$345,3,0),0)</f>
        <v>0</v>
      </c>
      <c r="F176" s="1325">
        <f>SUMIF('AJE 12 - INC'!B:B,'New TB INC'!C176,'AJE 12 - INC'!D:D)</f>
        <v>0</v>
      </c>
      <c r="G176" s="1326"/>
      <c r="H176" s="1326"/>
      <c r="I176" s="1326"/>
      <c r="J176" s="796">
        <f t="shared" si="11"/>
        <v>0</v>
      </c>
      <c r="K176" s="209"/>
      <c r="L176" s="434"/>
      <c r="M176" s="2679"/>
      <c r="N176" s="772"/>
      <c r="O176" s="772"/>
      <c r="P176" s="772"/>
      <c r="Q176" s="772"/>
      <c r="R176" s="772"/>
      <c r="S176" s="772"/>
      <c r="T176" s="773"/>
      <c r="AW176" s="2514"/>
      <c r="AX176" s="820"/>
      <c r="AY176" s="820"/>
      <c r="AZ176" s="820"/>
      <c r="BA176" s="30"/>
      <c r="BB176" s="30"/>
      <c r="BC176" s="2514"/>
      <c r="BD176" s="2514"/>
      <c r="BE176" s="2514"/>
      <c r="BF176" s="2514"/>
      <c r="BH176" s="2514"/>
      <c r="BI176" s="30"/>
      <c r="BJ176" s="30"/>
      <c r="BK176" s="30"/>
      <c r="BL176" s="30"/>
      <c r="BM176" s="30"/>
      <c r="BN176" s="30"/>
      <c r="BO176" s="209"/>
      <c r="BP176" s="209"/>
      <c r="BQ176" s="785"/>
      <c r="BR176" s="820"/>
      <c r="BS176" s="820"/>
      <c r="BT176" s="30"/>
      <c r="BU176" s="800"/>
      <c r="BV176" s="800"/>
      <c r="BW176" s="209"/>
      <c r="CA176" s="787"/>
      <c r="DB176" s="773"/>
      <c r="DC176" s="773"/>
      <c r="DD176" s="773"/>
      <c r="DE176" s="773"/>
      <c r="DF176" s="773"/>
      <c r="DG176" s="773"/>
      <c r="DH176" s="773"/>
      <c r="DI176" s="773"/>
      <c r="DJ176" s="773"/>
      <c r="DK176" s="773"/>
      <c r="DL176" s="773"/>
      <c r="DM176" s="773"/>
      <c r="DN176" s="773"/>
      <c r="DO176" s="773"/>
      <c r="DP176" s="773"/>
      <c r="DQ176" s="773"/>
      <c r="DR176" s="773"/>
      <c r="DS176" s="773"/>
      <c r="DT176" s="773"/>
      <c r="DU176" s="773"/>
      <c r="DV176" s="773"/>
      <c r="DW176" s="773"/>
      <c r="DX176" s="773"/>
      <c r="DY176" s="773"/>
      <c r="DZ176" s="773"/>
      <c r="EA176" s="773"/>
      <c r="EB176" s="773"/>
      <c r="EC176" s="773"/>
      <c r="ED176" s="773"/>
      <c r="EE176" s="773"/>
      <c r="EF176" s="773"/>
      <c r="EG176" s="773"/>
      <c r="EH176" s="773"/>
      <c r="EI176" s="773"/>
      <c r="EJ176" s="773"/>
      <c r="EK176" s="773"/>
      <c r="EL176" s="773"/>
      <c r="EM176" s="773"/>
      <c r="EN176" s="773"/>
      <c r="EO176" s="773"/>
      <c r="EP176" s="773"/>
      <c r="EQ176" s="773"/>
      <c r="ER176" s="773"/>
      <c r="ES176" s="773"/>
      <c r="ET176" s="773"/>
      <c r="EU176" s="773"/>
      <c r="EV176" s="773"/>
      <c r="EW176" s="773"/>
      <c r="EX176" s="773"/>
      <c r="EY176" s="773"/>
      <c r="EZ176" s="773"/>
      <c r="FA176" s="773"/>
      <c r="FB176" s="773"/>
      <c r="FC176" s="773"/>
      <c r="FD176" s="773"/>
      <c r="FE176" s="773"/>
      <c r="FF176" s="773"/>
      <c r="FG176" s="773"/>
      <c r="FH176" s="773"/>
      <c r="FI176" s="773"/>
      <c r="FJ176" s="773"/>
      <c r="FK176" s="773"/>
      <c r="FL176" s="773"/>
      <c r="FM176" s="773"/>
      <c r="FN176" s="773"/>
      <c r="FO176" s="773"/>
      <c r="FP176" s="773"/>
      <c r="FQ176" s="773"/>
      <c r="FR176" s="773"/>
      <c r="FS176" s="773"/>
      <c r="FT176" s="773"/>
      <c r="FU176" s="773"/>
      <c r="FV176" s="773"/>
      <c r="FW176" s="773"/>
      <c r="FX176" s="773"/>
      <c r="FY176" s="773"/>
      <c r="FZ176" s="773"/>
      <c r="GA176" s="773"/>
      <c r="GB176" s="773"/>
      <c r="GC176" s="773"/>
      <c r="GD176" s="773"/>
      <c r="GE176" s="773"/>
      <c r="GF176" s="773"/>
      <c r="GG176" s="773"/>
      <c r="GH176" s="773"/>
      <c r="GI176" s="773"/>
      <c r="GJ176" s="773"/>
      <c r="GK176" s="773"/>
      <c r="GL176" s="773"/>
      <c r="GM176" s="773"/>
      <c r="GN176" s="773"/>
      <c r="GO176" s="773"/>
      <c r="GP176" s="773"/>
      <c r="GQ176" s="773"/>
      <c r="GR176" s="773"/>
      <c r="GS176" s="773"/>
      <c r="GT176" s="773"/>
      <c r="GU176" s="773"/>
      <c r="GV176" s="773"/>
      <c r="GW176" s="773"/>
      <c r="GX176" s="773"/>
      <c r="GY176" s="773"/>
      <c r="GZ176" s="773"/>
    </row>
    <row r="177" spans="1:208" s="11" customFormat="1">
      <c r="A177" s="774"/>
      <c r="B177" s="3761" t="s">
        <v>1350</v>
      </c>
      <c r="C177" s="197">
        <v>210055</v>
      </c>
      <c r="D177" s="801" t="s">
        <v>2088</v>
      </c>
      <c r="E177" s="809">
        <f>IFERROR(VLOOKUP(C177,'AJE 12 - INC'!$D$168:$F$345,3,0),0)</f>
        <v>0</v>
      </c>
      <c r="F177" s="1325">
        <f>SUMIF('AJE 12 - INC'!B:B,'New TB INC'!C177,'AJE 12 - INC'!D:D)</f>
        <v>0</v>
      </c>
      <c r="G177" s="1326"/>
      <c r="H177" s="1326"/>
      <c r="I177" s="1326"/>
      <c r="J177" s="798">
        <f t="shared" si="11"/>
        <v>0</v>
      </c>
      <c r="K177" s="209"/>
      <c r="L177" s="434"/>
      <c r="M177" s="2679"/>
      <c r="N177" s="772"/>
      <c r="O177" s="772"/>
      <c r="P177" s="772"/>
      <c r="Q177" s="772"/>
      <c r="R177" s="772"/>
      <c r="S177" s="772"/>
      <c r="T177" s="773"/>
      <c r="AW177" s="2514"/>
      <c r="AX177" s="820"/>
      <c r="AY177" s="820"/>
      <c r="AZ177" s="820"/>
      <c r="BA177" s="30"/>
      <c r="BB177" s="30"/>
      <c r="BC177" s="2514"/>
      <c r="BD177" s="2514"/>
      <c r="BE177" s="2514"/>
      <c r="BF177" s="2514"/>
      <c r="BH177" s="2514"/>
      <c r="BI177" s="30"/>
      <c r="BJ177" s="30"/>
      <c r="BK177" s="30"/>
      <c r="BL177" s="30"/>
      <c r="BM177" s="30"/>
      <c r="BN177" s="30"/>
      <c r="BO177" s="209"/>
      <c r="BP177" s="209"/>
      <c r="BQ177" s="785"/>
      <c r="BR177" s="820"/>
      <c r="BS177" s="820"/>
      <c r="BT177" s="30"/>
      <c r="BU177" s="800"/>
      <c r="BV177" s="800"/>
      <c r="BW177" s="209"/>
      <c r="CA177" s="787"/>
      <c r="DB177" s="773"/>
      <c r="DC177" s="773"/>
      <c r="DD177" s="773"/>
      <c r="DE177" s="773"/>
      <c r="DF177" s="773"/>
      <c r="DG177" s="773"/>
      <c r="DH177" s="773"/>
      <c r="DI177" s="773"/>
      <c r="DJ177" s="773"/>
      <c r="DK177" s="773"/>
      <c r="DL177" s="773"/>
      <c r="DM177" s="773"/>
      <c r="DN177" s="773"/>
      <c r="DO177" s="773"/>
      <c r="DP177" s="773"/>
      <c r="DQ177" s="773"/>
      <c r="DR177" s="773"/>
      <c r="DS177" s="773"/>
      <c r="DT177" s="773"/>
      <c r="DU177" s="773"/>
      <c r="DV177" s="773"/>
      <c r="DW177" s="773"/>
      <c r="DX177" s="773"/>
      <c r="DY177" s="773"/>
      <c r="DZ177" s="773"/>
      <c r="EA177" s="773"/>
      <c r="EB177" s="773"/>
      <c r="EC177" s="773"/>
      <c r="ED177" s="773"/>
      <c r="EE177" s="773"/>
      <c r="EF177" s="773"/>
      <c r="EG177" s="773"/>
      <c r="EH177" s="773"/>
      <c r="EI177" s="773"/>
      <c r="EJ177" s="773"/>
      <c r="EK177" s="773"/>
      <c r="EL177" s="773"/>
      <c r="EM177" s="773"/>
      <c r="EN177" s="773"/>
      <c r="EO177" s="773"/>
      <c r="EP177" s="773"/>
      <c r="EQ177" s="773"/>
      <c r="ER177" s="773"/>
      <c r="ES177" s="773"/>
      <c r="ET177" s="773"/>
      <c r="EU177" s="773"/>
      <c r="EV177" s="773"/>
      <c r="EW177" s="773"/>
      <c r="EX177" s="773"/>
      <c r="EY177" s="773"/>
      <c r="EZ177" s="773"/>
      <c r="FA177" s="773"/>
      <c r="FB177" s="773"/>
      <c r="FC177" s="773"/>
      <c r="FD177" s="773"/>
      <c r="FE177" s="773"/>
      <c r="FF177" s="773"/>
      <c r="FG177" s="773"/>
      <c r="FH177" s="773"/>
      <c r="FI177" s="773"/>
      <c r="FJ177" s="773"/>
      <c r="FK177" s="773"/>
      <c r="FL177" s="773"/>
      <c r="FM177" s="773"/>
      <c r="FN177" s="773"/>
      <c r="FO177" s="773"/>
      <c r="FP177" s="773"/>
      <c r="FQ177" s="773"/>
      <c r="FR177" s="773"/>
      <c r="FS177" s="773"/>
      <c r="FT177" s="773"/>
      <c r="FU177" s="773"/>
      <c r="FV177" s="773"/>
      <c r="FW177" s="773"/>
      <c r="FX177" s="773"/>
      <c r="FY177" s="773"/>
      <c r="FZ177" s="773"/>
      <c r="GA177" s="773"/>
      <c r="GB177" s="773"/>
      <c r="GC177" s="773"/>
      <c r="GD177" s="773"/>
      <c r="GE177" s="773"/>
      <c r="GF177" s="773"/>
      <c r="GG177" s="773"/>
      <c r="GH177" s="773"/>
      <c r="GI177" s="773"/>
      <c r="GJ177" s="773"/>
      <c r="GK177" s="773"/>
      <c r="GL177" s="773"/>
      <c r="GM177" s="773"/>
      <c r="GN177" s="773"/>
      <c r="GO177" s="773"/>
      <c r="GP177" s="773"/>
      <c r="GQ177" s="773"/>
      <c r="GR177" s="773"/>
      <c r="GS177" s="773"/>
      <c r="GT177" s="773"/>
      <c r="GU177" s="773"/>
      <c r="GV177" s="773"/>
      <c r="GW177" s="773"/>
      <c r="GX177" s="773"/>
      <c r="GY177" s="773"/>
      <c r="GZ177" s="773"/>
    </row>
    <row r="178" spans="1:208" s="11" customFormat="1">
      <c r="A178" s="774"/>
      <c r="B178" s="3761" t="s">
        <v>1350</v>
      </c>
      <c r="C178" s="197">
        <v>206363</v>
      </c>
      <c r="D178" s="801" t="s">
        <v>2558</v>
      </c>
      <c r="E178" s="809">
        <f>IFERROR(VLOOKUP(C178,'AJE 12 - INC'!$D$168:$F$345,3,0),0)</f>
        <v>0</v>
      </c>
      <c r="F178" s="1325">
        <f>SUMIF('AJE 12 - INC'!B:B,'New TB INC'!C178,'AJE 12 - INC'!D:D)</f>
        <v>0</v>
      </c>
      <c r="G178" s="1326"/>
      <c r="H178" s="1326"/>
      <c r="I178" s="1326"/>
      <c r="J178" s="796">
        <f t="shared" si="11"/>
        <v>0</v>
      </c>
      <c r="K178" s="209"/>
      <c r="L178" s="434"/>
      <c r="M178" s="2679"/>
      <c r="N178" s="772"/>
      <c r="O178" s="772"/>
      <c r="P178" s="772"/>
      <c r="Q178" s="772"/>
      <c r="R178" s="772"/>
      <c r="S178" s="772"/>
      <c r="T178" s="773"/>
      <c r="AW178" s="2514"/>
      <c r="AX178" s="820"/>
      <c r="AY178" s="820"/>
      <c r="AZ178" s="820"/>
      <c r="BA178" s="30"/>
      <c r="BB178" s="30"/>
      <c r="BC178" s="2514"/>
      <c r="BD178" s="2514"/>
      <c r="BE178" s="2514"/>
      <c r="BF178" s="2514"/>
      <c r="BH178" s="2514"/>
      <c r="BI178" s="30"/>
      <c r="BJ178" s="30"/>
      <c r="BK178" s="30"/>
      <c r="BL178" s="30"/>
      <c r="BM178" s="30"/>
      <c r="BN178" s="30"/>
      <c r="BO178" s="209"/>
      <c r="BP178" s="209"/>
      <c r="BQ178" s="785"/>
      <c r="BR178" s="820"/>
      <c r="BS178" s="820"/>
      <c r="BT178" s="30"/>
      <c r="BU178" s="800"/>
      <c r="BV178" s="800"/>
      <c r="BW178" s="209"/>
      <c r="CA178" s="787"/>
      <c r="DB178" s="773"/>
      <c r="DC178" s="773"/>
      <c r="DD178" s="773"/>
      <c r="DE178" s="773"/>
      <c r="DF178" s="773"/>
      <c r="DG178" s="773"/>
      <c r="DH178" s="773"/>
      <c r="DI178" s="773"/>
      <c r="DJ178" s="773"/>
      <c r="DK178" s="773"/>
      <c r="DL178" s="773"/>
      <c r="DM178" s="773"/>
      <c r="DN178" s="773"/>
      <c r="DO178" s="773"/>
      <c r="DP178" s="773"/>
      <c r="DQ178" s="773"/>
      <c r="DR178" s="773"/>
      <c r="DS178" s="773"/>
      <c r="DT178" s="773"/>
      <c r="DU178" s="773"/>
      <c r="DV178" s="773"/>
      <c r="DW178" s="773"/>
      <c r="DX178" s="773"/>
      <c r="DY178" s="773"/>
      <c r="DZ178" s="773"/>
      <c r="EA178" s="773"/>
      <c r="EB178" s="773"/>
      <c r="EC178" s="773"/>
      <c r="ED178" s="773"/>
      <c r="EE178" s="773"/>
      <c r="EF178" s="773"/>
      <c r="EG178" s="773"/>
      <c r="EH178" s="773"/>
      <c r="EI178" s="773"/>
      <c r="EJ178" s="773"/>
      <c r="EK178" s="773"/>
      <c r="EL178" s="773"/>
      <c r="EM178" s="773"/>
      <c r="EN178" s="773"/>
      <c r="EO178" s="773"/>
      <c r="EP178" s="773"/>
      <c r="EQ178" s="773"/>
      <c r="ER178" s="773"/>
      <c r="ES178" s="773"/>
      <c r="ET178" s="773"/>
      <c r="EU178" s="773"/>
      <c r="EV178" s="773"/>
      <c r="EW178" s="773"/>
      <c r="EX178" s="773"/>
      <c r="EY178" s="773"/>
      <c r="EZ178" s="773"/>
      <c r="FA178" s="773"/>
      <c r="FB178" s="773"/>
      <c r="FC178" s="773"/>
      <c r="FD178" s="773"/>
      <c r="FE178" s="773"/>
      <c r="FF178" s="773"/>
      <c r="FG178" s="773"/>
      <c r="FH178" s="773"/>
      <c r="FI178" s="773"/>
      <c r="FJ178" s="773"/>
      <c r="FK178" s="773"/>
      <c r="FL178" s="773"/>
      <c r="FM178" s="773"/>
      <c r="FN178" s="773"/>
      <c r="FO178" s="773"/>
      <c r="FP178" s="773"/>
      <c r="FQ178" s="773"/>
      <c r="FR178" s="773"/>
      <c r="FS178" s="773"/>
      <c r="FT178" s="773"/>
      <c r="FU178" s="773"/>
      <c r="FV178" s="773"/>
      <c r="FW178" s="773"/>
      <c r="FX178" s="773"/>
      <c r="FY178" s="773"/>
      <c r="FZ178" s="773"/>
      <c r="GA178" s="773"/>
      <c r="GB178" s="773"/>
      <c r="GC178" s="773"/>
      <c r="GD178" s="773"/>
      <c r="GE178" s="773"/>
      <c r="GF178" s="773"/>
      <c r="GG178" s="773"/>
      <c r="GH178" s="773"/>
      <c r="GI178" s="773"/>
      <c r="GJ178" s="773"/>
      <c r="GK178" s="773"/>
      <c r="GL178" s="773"/>
      <c r="GM178" s="773"/>
      <c r="GN178" s="773"/>
      <c r="GO178" s="773"/>
      <c r="GP178" s="773"/>
      <c r="GQ178" s="773"/>
      <c r="GR178" s="773"/>
      <c r="GS178" s="773"/>
      <c r="GT178" s="773"/>
      <c r="GU178" s="773"/>
      <c r="GV178" s="773"/>
      <c r="GW178" s="773"/>
      <c r="GX178" s="773"/>
      <c r="GY178" s="773"/>
      <c r="GZ178" s="773"/>
    </row>
    <row r="179" spans="1:208" s="11" customFormat="1">
      <c r="A179" s="774"/>
      <c r="B179" s="3761" t="s">
        <v>1350</v>
      </c>
      <c r="C179" s="197">
        <v>222712</v>
      </c>
      <c r="D179" s="801" t="s">
        <v>1896</v>
      </c>
      <c r="E179" s="809">
        <f>IFERROR(VLOOKUP(C179,'AJE 12 - INC'!$D$168:$F$345,3,0),0)</f>
        <v>15131.8</v>
      </c>
      <c r="F179" s="1325">
        <f>SUMIF('AJE 12 - INC'!B:B,'New TB INC'!C179,'AJE 12 - INC'!D:D)</f>
        <v>0</v>
      </c>
      <c r="G179" s="1326"/>
      <c r="H179" s="1326"/>
      <c r="I179" s="1326"/>
      <c r="J179" s="796">
        <f t="shared" ref="J179:J205" si="12">SUM(E179:I179)</f>
        <v>15131.8</v>
      </c>
      <c r="K179" s="209"/>
      <c r="L179" s="434"/>
      <c r="M179" s="2679" t="s">
        <v>4716</v>
      </c>
      <c r="N179" s="772"/>
      <c r="O179" s="772"/>
      <c r="P179" s="772"/>
      <c r="Q179" s="772"/>
      <c r="R179" s="772"/>
      <c r="S179" s="772"/>
      <c r="T179" s="773"/>
      <c r="AW179" s="2514"/>
      <c r="AX179" s="820"/>
      <c r="AY179" s="820"/>
      <c r="AZ179" s="820"/>
      <c r="BA179" s="30"/>
      <c r="BB179" s="30"/>
      <c r="BC179" s="2514"/>
      <c r="BD179" s="2514"/>
      <c r="BE179" s="2514"/>
      <c r="BF179" s="2514"/>
      <c r="BH179" s="2514"/>
      <c r="BI179" s="30"/>
      <c r="BJ179" s="30"/>
      <c r="BK179" s="30"/>
      <c r="BL179" s="30"/>
      <c r="BM179" s="30"/>
      <c r="BN179" s="30"/>
      <c r="BO179" s="209"/>
      <c r="BP179" s="209"/>
      <c r="BQ179" s="785"/>
      <c r="BR179" s="820"/>
      <c r="BS179" s="820"/>
      <c r="BT179" s="30"/>
      <c r="BU179" s="800"/>
      <c r="BV179" s="800"/>
      <c r="BW179" s="209"/>
      <c r="CA179" s="787"/>
      <c r="DB179" s="773"/>
      <c r="DC179" s="773"/>
      <c r="DD179" s="773"/>
      <c r="DE179" s="773"/>
      <c r="DF179" s="773"/>
      <c r="DG179" s="773"/>
      <c r="DH179" s="773"/>
      <c r="DI179" s="773"/>
      <c r="DJ179" s="773"/>
      <c r="DK179" s="773"/>
      <c r="DL179" s="773"/>
      <c r="DM179" s="773"/>
      <c r="DN179" s="773"/>
      <c r="DO179" s="773"/>
      <c r="DP179" s="773"/>
      <c r="DQ179" s="773"/>
      <c r="DR179" s="773"/>
      <c r="DS179" s="773"/>
      <c r="DT179" s="773"/>
      <c r="DU179" s="773"/>
      <c r="DV179" s="773"/>
      <c r="DW179" s="773"/>
      <c r="DX179" s="773"/>
      <c r="DY179" s="773"/>
      <c r="DZ179" s="773"/>
      <c r="EA179" s="773"/>
      <c r="EB179" s="773"/>
      <c r="EC179" s="773"/>
      <c r="ED179" s="773"/>
      <c r="EE179" s="773"/>
      <c r="EF179" s="773"/>
      <c r="EG179" s="773"/>
      <c r="EH179" s="773"/>
      <c r="EI179" s="773"/>
      <c r="EJ179" s="773"/>
      <c r="EK179" s="773"/>
      <c r="EL179" s="773"/>
      <c r="EM179" s="773"/>
      <c r="EN179" s="773"/>
      <c r="EO179" s="773"/>
      <c r="EP179" s="773"/>
      <c r="EQ179" s="773"/>
      <c r="ER179" s="773"/>
      <c r="ES179" s="773"/>
      <c r="ET179" s="773"/>
      <c r="EU179" s="773"/>
      <c r="EV179" s="773"/>
      <c r="EW179" s="773"/>
      <c r="EX179" s="773"/>
      <c r="EY179" s="773"/>
      <c r="EZ179" s="773"/>
      <c r="FA179" s="773"/>
      <c r="FB179" s="773"/>
      <c r="FC179" s="773"/>
      <c r="FD179" s="773"/>
      <c r="FE179" s="773"/>
      <c r="FF179" s="773"/>
      <c r="FG179" s="773"/>
      <c r="FH179" s="773"/>
      <c r="FI179" s="773"/>
      <c r="FJ179" s="773"/>
      <c r="FK179" s="773"/>
      <c r="FL179" s="773"/>
      <c r="FM179" s="773"/>
      <c r="FN179" s="773"/>
      <c r="FO179" s="773"/>
      <c r="FP179" s="773"/>
      <c r="FQ179" s="773"/>
      <c r="FR179" s="773"/>
      <c r="FS179" s="773"/>
      <c r="FT179" s="773"/>
      <c r="FU179" s="773"/>
      <c r="FV179" s="773"/>
      <c r="FW179" s="773"/>
      <c r="FX179" s="773"/>
      <c r="FY179" s="773"/>
      <c r="FZ179" s="773"/>
      <c r="GA179" s="773"/>
      <c r="GB179" s="773"/>
      <c r="GC179" s="773"/>
      <c r="GD179" s="773"/>
      <c r="GE179" s="773"/>
      <c r="GF179" s="773"/>
      <c r="GG179" s="773"/>
      <c r="GH179" s="773"/>
      <c r="GI179" s="773"/>
      <c r="GJ179" s="773"/>
      <c r="GK179" s="773"/>
      <c r="GL179" s="773"/>
      <c r="GM179" s="773"/>
      <c r="GN179" s="773"/>
      <c r="GO179" s="773"/>
      <c r="GP179" s="773"/>
      <c r="GQ179" s="773"/>
      <c r="GR179" s="773"/>
      <c r="GS179" s="773"/>
      <c r="GT179" s="773"/>
      <c r="GU179" s="773"/>
      <c r="GV179" s="773"/>
      <c r="GW179" s="773"/>
      <c r="GX179" s="773"/>
      <c r="GY179" s="773"/>
      <c r="GZ179" s="773"/>
    </row>
    <row r="180" spans="1:208" s="11" customFormat="1">
      <c r="A180" s="774"/>
      <c r="B180" s="3761" t="s">
        <v>1350</v>
      </c>
      <c r="C180" s="197">
        <v>204411</v>
      </c>
      <c r="D180" s="801" t="s">
        <v>2224</v>
      </c>
      <c r="E180" s="809">
        <f>IFERROR(VLOOKUP(C180,'AJE 12 - INC'!$D$168:$F$345,3,0),0)</f>
        <v>0</v>
      </c>
      <c r="F180" s="1325">
        <f>SUMIF('AJE 12 - INC'!B:B,'New TB INC'!C180,'AJE 12 - INC'!D:D)</f>
        <v>0</v>
      </c>
      <c r="G180" s="1326"/>
      <c r="H180" s="1326"/>
      <c r="I180" s="1326"/>
      <c r="J180" s="798">
        <f t="shared" si="12"/>
        <v>0</v>
      </c>
      <c r="K180" s="209"/>
      <c r="L180" s="434"/>
      <c r="M180" s="2679"/>
      <c r="N180" s="772"/>
      <c r="O180" s="772"/>
      <c r="P180" s="772"/>
      <c r="Q180" s="772"/>
      <c r="R180" s="772"/>
      <c r="S180" s="772"/>
      <c r="T180" s="773"/>
      <c r="AW180" s="2514"/>
      <c r="AX180" s="820"/>
      <c r="AY180" s="820"/>
      <c r="AZ180" s="820"/>
      <c r="BA180" s="30"/>
      <c r="BB180" s="30"/>
      <c r="BC180" s="2514"/>
      <c r="BD180" s="2514"/>
      <c r="BE180" s="2514"/>
      <c r="BF180" s="2514"/>
      <c r="BH180" s="2514"/>
      <c r="BI180" s="30"/>
      <c r="BJ180" s="30"/>
      <c r="BK180" s="30"/>
      <c r="BL180" s="30"/>
      <c r="BM180" s="30"/>
      <c r="BN180" s="30"/>
      <c r="BO180" s="209"/>
      <c r="BP180" s="209"/>
      <c r="BQ180" s="785"/>
      <c r="BR180" s="820"/>
      <c r="BS180" s="820"/>
      <c r="BT180" s="30"/>
      <c r="BU180" s="800"/>
      <c r="BV180" s="800"/>
      <c r="BW180" s="209"/>
      <c r="CA180" s="787"/>
      <c r="DB180" s="773"/>
      <c r="DC180" s="773"/>
      <c r="DD180" s="773"/>
      <c r="DE180" s="773"/>
      <c r="DF180" s="773"/>
      <c r="DG180" s="773"/>
      <c r="DH180" s="773"/>
      <c r="DI180" s="773"/>
      <c r="DJ180" s="773"/>
      <c r="DK180" s="773"/>
      <c r="DL180" s="773"/>
      <c r="DM180" s="773"/>
      <c r="DN180" s="773"/>
      <c r="DO180" s="773"/>
      <c r="DP180" s="773"/>
      <c r="DQ180" s="773"/>
      <c r="DR180" s="773"/>
      <c r="DS180" s="773"/>
      <c r="DT180" s="773"/>
      <c r="DU180" s="773"/>
      <c r="DV180" s="773"/>
      <c r="DW180" s="773"/>
      <c r="DX180" s="773"/>
      <c r="DY180" s="773"/>
      <c r="DZ180" s="773"/>
      <c r="EA180" s="773"/>
      <c r="EB180" s="773"/>
      <c r="EC180" s="773"/>
      <c r="ED180" s="773"/>
      <c r="EE180" s="773"/>
      <c r="EF180" s="773"/>
      <c r="EG180" s="773"/>
      <c r="EH180" s="773"/>
      <c r="EI180" s="773"/>
      <c r="EJ180" s="773"/>
      <c r="EK180" s="773"/>
      <c r="EL180" s="773"/>
      <c r="EM180" s="773"/>
      <c r="EN180" s="773"/>
      <c r="EO180" s="773"/>
      <c r="EP180" s="773"/>
      <c r="EQ180" s="773"/>
      <c r="ER180" s="773"/>
      <c r="ES180" s="773"/>
      <c r="ET180" s="773"/>
      <c r="EU180" s="773"/>
      <c r="EV180" s="773"/>
      <c r="EW180" s="773"/>
      <c r="EX180" s="773"/>
      <c r="EY180" s="773"/>
      <c r="EZ180" s="773"/>
      <c r="FA180" s="773"/>
      <c r="FB180" s="773"/>
      <c r="FC180" s="773"/>
      <c r="FD180" s="773"/>
      <c r="FE180" s="773"/>
      <c r="FF180" s="773"/>
      <c r="FG180" s="773"/>
      <c r="FH180" s="773"/>
      <c r="FI180" s="773"/>
      <c r="FJ180" s="773"/>
      <c r="FK180" s="773"/>
      <c r="FL180" s="773"/>
      <c r="FM180" s="773"/>
      <c r="FN180" s="773"/>
      <c r="FO180" s="773"/>
      <c r="FP180" s="773"/>
      <c r="FQ180" s="773"/>
      <c r="FR180" s="773"/>
      <c r="FS180" s="773"/>
      <c r="FT180" s="773"/>
      <c r="FU180" s="773"/>
      <c r="FV180" s="773"/>
      <c r="FW180" s="773"/>
      <c r="FX180" s="773"/>
      <c r="FY180" s="773"/>
      <c r="FZ180" s="773"/>
      <c r="GA180" s="773"/>
      <c r="GB180" s="773"/>
      <c r="GC180" s="773"/>
      <c r="GD180" s="773"/>
      <c r="GE180" s="773"/>
      <c r="GF180" s="773"/>
      <c r="GG180" s="773"/>
      <c r="GH180" s="773"/>
      <c r="GI180" s="773"/>
      <c r="GJ180" s="773"/>
      <c r="GK180" s="773"/>
      <c r="GL180" s="773"/>
      <c r="GM180" s="773"/>
      <c r="GN180" s="773"/>
      <c r="GO180" s="773"/>
      <c r="GP180" s="773"/>
      <c r="GQ180" s="773"/>
      <c r="GR180" s="773"/>
      <c r="GS180" s="773"/>
      <c r="GT180" s="773"/>
      <c r="GU180" s="773"/>
      <c r="GV180" s="773"/>
      <c r="GW180" s="773"/>
      <c r="GX180" s="773"/>
      <c r="GY180" s="773"/>
      <c r="GZ180" s="773"/>
    </row>
    <row r="181" spans="1:208" s="11" customFormat="1">
      <c r="A181" s="774"/>
      <c r="B181" s="3761" t="s">
        <v>1350</v>
      </c>
      <c r="C181" s="197">
        <v>208652</v>
      </c>
      <c r="D181" s="801" t="s">
        <v>2560</v>
      </c>
      <c r="E181" s="809">
        <f>IFERROR(VLOOKUP(C181,'AJE 12 - INC'!$D$168:$F$345,3,0),0)</f>
        <v>0</v>
      </c>
      <c r="F181" s="1325">
        <f>SUMIF('AJE 12 - INC'!B:B,'New TB INC'!C181,'AJE 12 - INC'!D:D)</f>
        <v>0</v>
      </c>
      <c r="G181" s="1326"/>
      <c r="H181" s="1326"/>
      <c r="I181" s="1326"/>
      <c r="J181" s="796">
        <f t="shared" si="12"/>
        <v>0</v>
      </c>
      <c r="K181" s="209"/>
      <c r="L181" s="434"/>
      <c r="M181" s="2679"/>
      <c r="N181" s="772"/>
      <c r="O181" s="772"/>
      <c r="P181" s="772"/>
      <c r="Q181" s="772"/>
      <c r="R181" s="772"/>
      <c r="S181" s="772"/>
      <c r="T181" s="773"/>
      <c r="AW181" s="2514"/>
      <c r="AX181" s="820"/>
      <c r="AY181" s="820"/>
      <c r="AZ181" s="820"/>
      <c r="BA181" s="30"/>
      <c r="BB181" s="30"/>
      <c r="BC181" s="2514"/>
      <c r="BD181" s="2514"/>
      <c r="BE181" s="2514"/>
      <c r="BF181" s="2514"/>
      <c r="BH181" s="2514"/>
      <c r="BI181" s="30"/>
      <c r="BJ181" s="30"/>
      <c r="BK181" s="30"/>
      <c r="BL181" s="30"/>
      <c r="BM181" s="30"/>
      <c r="BN181" s="30"/>
      <c r="BO181" s="209"/>
      <c r="BP181" s="209"/>
      <c r="BQ181" s="785"/>
      <c r="BR181" s="820"/>
      <c r="BS181" s="820"/>
      <c r="BT181" s="30"/>
      <c r="BU181" s="800"/>
      <c r="BV181" s="800"/>
      <c r="BW181" s="209"/>
      <c r="CA181" s="787"/>
      <c r="DB181" s="773"/>
      <c r="DC181" s="773"/>
      <c r="DD181" s="773"/>
      <c r="DE181" s="773"/>
      <c r="DF181" s="773"/>
      <c r="DG181" s="773"/>
      <c r="DH181" s="773"/>
      <c r="DI181" s="773"/>
      <c r="DJ181" s="773"/>
      <c r="DK181" s="773"/>
      <c r="DL181" s="773"/>
      <c r="DM181" s="773"/>
      <c r="DN181" s="773"/>
      <c r="DO181" s="773"/>
      <c r="DP181" s="773"/>
      <c r="DQ181" s="773"/>
      <c r="DR181" s="773"/>
      <c r="DS181" s="773"/>
      <c r="DT181" s="773"/>
      <c r="DU181" s="773"/>
      <c r="DV181" s="773"/>
      <c r="DW181" s="773"/>
      <c r="DX181" s="773"/>
      <c r="DY181" s="773"/>
      <c r="DZ181" s="773"/>
      <c r="EA181" s="773"/>
      <c r="EB181" s="773"/>
      <c r="EC181" s="773"/>
      <c r="ED181" s="773"/>
      <c r="EE181" s="773"/>
      <c r="EF181" s="773"/>
      <c r="EG181" s="773"/>
      <c r="EH181" s="773"/>
      <c r="EI181" s="773"/>
      <c r="EJ181" s="773"/>
      <c r="EK181" s="773"/>
      <c r="EL181" s="773"/>
      <c r="EM181" s="773"/>
      <c r="EN181" s="773"/>
      <c r="EO181" s="773"/>
      <c r="EP181" s="773"/>
      <c r="EQ181" s="773"/>
      <c r="ER181" s="773"/>
      <c r="ES181" s="773"/>
      <c r="ET181" s="773"/>
      <c r="EU181" s="773"/>
      <c r="EV181" s="773"/>
      <c r="EW181" s="773"/>
      <c r="EX181" s="773"/>
      <c r="EY181" s="773"/>
      <c r="EZ181" s="773"/>
      <c r="FA181" s="773"/>
      <c r="FB181" s="773"/>
      <c r="FC181" s="773"/>
      <c r="FD181" s="773"/>
      <c r="FE181" s="773"/>
      <c r="FF181" s="773"/>
      <c r="FG181" s="773"/>
      <c r="FH181" s="773"/>
      <c r="FI181" s="773"/>
      <c r="FJ181" s="773"/>
      <c r="FK181" s="773"/>
      <c r="FL181" s="773"/>
      <c r="FM181" s="773"/>
      <c r="FN181" s="773"/>
      <c r="FO181" s="773"/>
      <c r="FP181" s="773"/>
      <c r="FQ181" s="773"/>
      <c r="FR181" s="773"/>
      <c r="FS181" s="773"/>
      <c r="FT181" s="773"/>
      <c r="FU181" s="773"/>
      <c r="FV181" s="773"/>
      <c r="FW181" s="773"/>
      <c r="FX181" s="773"/>
      <c r="FY181" s="773"/>
      <c r="FZ181" s="773"/>
      <c r="GA181" s="773"/>
      <c r="GB181" s="773"/>
      <c r="GC181" s="773"/>
      <c r="GD181" s="773"/>
      <c r="GE181" s="773"/>
      <c r="GF181" s="773"/>
      <c r="GG181" s="773"/>
      <c r="GH181" s="773"/>
      <c r="GI181" s="773"/>
      <c r="GJ181" s="773"/>
      <c r="GK181" s="773"/>
      <c r="GL181" s="773"/>
      <c r="GM181" s="773"/>
      <c r="GN181" s="773"/>
      <c r="GO181" s="773"/>
      <c r="GP181" s="773"/>
      <c r="GQ181" s="773"/>
      <c r="GR181" s="773"/>
      <c r="GS181" s="773"/>
      <c r="GT181" s="773"/>
      <c r="GU181" s="773"/>
      <c r="GV181" s="773"/>
      <c r="GW181" s="773"/>
      <c r="GX181" s="773"/>
      <c r="GY181" s="773"/>
      <c r="GZ181" s="773"/>
    </row>
    <row r="182" spans="1:208" s="11" customFormat="1">
      <c r="A182" s="774"/>
      <c r="B182" s="3761" t="s">
        <v>1350</v>
      </c>
      <c r="C182" s="197">
        <v>216447</v>
      </c>
      <c r="D182" s="801" t="s">
        <v>2561</v>
      </c>
      <c r="E182" s="809">
        <f>IFERROR(VLOOKUP(C182,'AJE 12 - INC'!$D$168:$F$345,3,0),0)</f>
        <v>0</v>
      </c>
      <c r="F182" s="1325">
        <f>SUMIF('AJE 12 - INC'!B:B,'New TB INC'!C182,'AJE 12 - INC'!D:D)</f>
        <v>0</v>
      </c>
      <c r="G182" s="1326"/>
      <c r="H182" s="1326"/>
      <c r="I182" s="1326"/>
      <c r="J182" s="796">
        <f t="shared" si="12"/>
        <v>0</v>
      </c>
      <c r="K182" s="209"/>
      <c r="L182" s="434"/>
      <c r="M182" s="2679"/>
      <c r="N182" s="772"/>
      <c r="O182" s="772"/>
      <c r="P182" s="772"/>
      <c r="Q182" s="772"/>
      <c r="R182" s="772"/>
      <c r="S182" s="772"/>
      <c r="T182" s="773"/>
      <c r="AW182" s="2514"/>
      <c r="AX182" s="820"/>
      <c r="AY182" s="820"/>
      <c r="AZ182" s="820"/>
      <c r="BA182" s="30"/>
      <c r="BB182" s="30"/>
      <c r="BC182" s="2514"/>
      <c r="BD182" s="2514"/>
      <c r="BE182" s="2514"/>
      <c r="BF182" s="2514"/>
      <c r="BH182" s="2514"/>
      <c r="BI182" s="30"/>
      <c r="BJ182" s="30"/>
      <c r="BK182" s="30"/>
      <c r="BL182" s="30"/>
      <c r="BM182" s="30"/>
      <c r="BN182" s="30"/>
      <c r="BO182" s="209"/>
      <c r="BP182" s="209"/>
      <c r="BQ182" s="785"/>
      <c r="BR182" s="820"/>
      <c r="BS182" s="820"/>
      <c r="BT182" s="30"/>
      <c r="BU182" s="800"/>
      <c r="BV182" s="800"/>
      <c r="BW182" s="209"/>
      <c r="CA182" s="787"/>
      <c r="DB182" s="773"/>
      <c r="DC182" s="773"/>
      <c r="DD182" s="773"/>
      <c r="DE182" s="773"/>
      <c r="DF182" s="773"/>
      <c r="DG182" s="773"/>
      <c r="DH182" s="773"/>
      <c r="DI182" s="773"/>
      <c r="DJ182" s="773"/>
      <c r="DK182" s="773"/>
      <c r="DL182" s="773"/>
      <c r="DM182" s="773"/>
      <c r="DN182" s="773"/>
      <c r="DO182" s="773"/>
      <c r="DP182" s="773"/>
      <c r="DQ182" s="773"/>
      <c r="DR182" s="773"/>
      <c r="DS182" s="773"/>
      <c r="DT182" s="773"/>
      <c r="DU182" s="773"/>
      <c r="DV182" s="773"/>
      <c r="DW182" s="773"/>
      <c r="DX182" s="773"/>
      <c r="DY182" s="773"/>
      <c r="DZ182" s="773"/>
      <c r="EA182" s="773"/>
      <c r="EB182" s="773"/>
      <c r="EC182" s="773"/>
      <c r="ED182" s="773"/>
      <c r="EE182" s="773"/>
      <c r="EF182" s="773"/>
      <c r="EG182" s="773"/>
      <c r="EH182" s="773"/>
      <c r="EI182" s="773"/>
      <c r="EJ182" s="773"/>
      <c r="EK182" s="773"/>
      <c r="EL182" s="773"/>
      <c r="EM182" s="773"/>
      <c r="EN182" s="773"/>
      <c r="EO182" s="773"/>
      <c r="EP182" s="773"/>
      <c r="EQ182" s="773"/>
      <c r="ER182" s="773"/>
      <c r="ES182" s="773"/>
      <c r="ET182" s="773"/>
      <c r="EU182" s="773"/>
      <c r="EV182" s="773"/>
      <c r="EW182" s="773"/>
      <c r="EX182" s="773"/>
      <c r="EY182" s="773"/>
      <c r="EZ182" s="773"/>
      <c r="FA182" s="773"/>
      <c r="FB182" s="773"/>
      <c r="FC182" s="773"/>
      <c r="FD182" s="773"/>
      <c r="FE182" s="773"/>
      <c r="FF182" s="773"/>
      <c r="FG182" s="773"/>
      <c r="FH182" s="773"/>
      <c r="FI182" s="773"/>
      <c r="FJ182" s="773"/>
      <c r="FK182" s="773"/>
      <c r="FL182" s="773"/>
      <c r="FM182" s="773"/>
      <c r="FN182" s="773"/>
      <c r="FO182" s="773"/>
      <c r="FP182" s="773"/>
      <c r="FQ182" s="773"/>
      <c r="FR182" s="773"/>
      <c r="FS182" s="773"/>
      <c r="FT182" s="773"/>
      <c r="FU182" s="773"/>
      <c r="FV182" s="773"/>
      <c r="FW182" s="773"/>
      <c r="FX182" s="773"/>
      <c r="FY182" s="773"/>
      <c r="FZ182" s="773"/>
      <c r="GA182" s="773"/>
      <c r="GB182" s="773"/>
      <c r="GC182" s="773"/>
      <c r="GD182" s="773"/>
      <c r="GE182" s="773"/>
      <c r="GF182" s="773"/>
      <c r="GG182" s="773"/>
      <c r="GH182" s="773"/>
      <c r="GI182" s="773"/>
      <c r="GJ182" s="773"/>
      <c r="GK182" s="773"/>
      <c r="GL182" s="773"/>
      <c r="GM182" s="773"/>
      <c r="GN182" s="773"/>
      <c r="GO182" s="773"/>
      <c r="GP182" s="773"/>
      <c r="GQ182" s="773"/>
      <c r="GR182" s="773"/>
      <c r="GS182" s="773"/>
      <c r="GT182" s="773"/>
      <c r="GU182" s="773"/>
      <c r="GV182" s="773"/>
      <c r="GW182" s="773"/>
      <c r="GX182" s="773"/>
      <c r="GY182" s="773"/>
      <c r="GZ182" s="773"/>
    </row>
    <row r="183" spans="1:208" s="11" customFormat="1">
      <c r="A183" s="774"/>
      <c r="B183" s="3761" t="s">
        <v>1350</v>
      </c>
      <c r="C183" s="197">
        <v>221531</v>
      </c>
      <c r="D183" s="801" t="s">
        <v>2562</v>
      </c>
      <c r="E183" s="809">
        <f>IFERROR(VLOOKUP(C183,'AJE 12 - INC'!$D$168:$F$345,3,0),0)</f>
        <v>0</v>
      </c>
      <c r="F183" s="1325">
        <f>SUMIF('AJE 12 - INC'!B:B,'New TB INC'!C183,'AJE 12 - INC'!D:D)</f>
        <v>0</v>
      </c>
      <c r="G183" s="107"/>
      <c r="H183" s="107"/>
      <c r="I183" s="107"/>
      <c r="J183" s="798">
        <f t="shared" si="12"/>
        <v>0</v>
      </c>
      <c r="K183" s="209"/>
      <c r="L183" s="434"/>
      <c r="M183" s="2679"/>
      <c r="N183" s="772"/>
      <c r="O183" s="772"/>
      <c r="P183" s="772"/>
      <c r="Q183" s="772"/>
      <c r="R183" s="772"/>
      <c r="S183" s="772"/>
      <c r="T183" s="773"/>
      <c r="AW183" s="2514"/>
      <c r="AX183" s="820"/>
      <c r="AY183" s="820"/>
      <c r="AZ183" s="820"/>
      <c r="BA183" s="30"/>
      <c r="BB183" s="30"/>
      <c r="BC183" s="2514"/>
      <c r="BD183" s="2514"/>
      <c r="BE183" s="2514"/>
      <c r="BF183" s="2514"/>
      <c r="BH183" s="2514"/>
      <c r="BI183" s="30"/>
      <c r="BJ183" s="30"/>
      <c r="BK183" s="30"/>
      <c r="BL183" s="30"/>
      <c r="BM183" s="30"/>
      <c r="BN183" s="30"/>
      <c r="BO183" s="209"/>
      <c r="BP183" s="209"/>
      <c r="BQ183" s="785"/>
      <c r="BR183" s="820"/>
      <c r="BS183" s="820"/>
      <c r="BT183" s="30"/>
      <c r="BU183" s="800"/>
      <c r="BV183" s="800"/>
      <c r="BW183" s="209"/>
      <c r="CA183" s="787"/>
      <c r="DB183" s="773"/>
      <c r="DC183" s="773"/>
      <c r="DD183" s="773"/>
      <c r="DE183" s="773"/>
      <c r="DF183" s="773"/>
      <c r="DG183" s="773"/>
      <c r="DH183" s="773"/>
      <c r="DI183" s="773"/>
      <c r="DJ183" s="773"/>
      <c r="DK183" s="773"/>
      <c r="DL183" s="773"/>
      <c r="DM183" s="773"/>
      <c r="DN183" s="773"/>
      <c r="DO183" s="773"/>
      <c r="DP183" s="773"/>
      <c r="DQ183" s="773"/>
      <c r="DR183" s="773"/>
      <c r="DS183" s="773"/>
      <c r="DT183" s="773"/>
      <c r="DU183" s="773"/>
      <c r="DV183" s="773"/>
      <c r="DW183" s="773"/>
      <c r="DX183" s="773"/>
      <c r="DY183" s="773"/>
      <c r="DZ183" s="773"/>
      <c r="EA183" s="773"/>
      <c r="EB183" s="773"/>
      <c r="EC183" s="773"/>
      <c r="ED183" s="773"/>
      <c r="EE183" s="773"/>
      <c r="EF183" s="773"/>
      <c r="EG183" s="773"/>
      <c r="EH183" s="773"/>
      <c r="EI183" s="773"/>
      <c r="EJ183" s="773"/>
      <c r="EK183" s="773"/>
      <c r="EL183" s="773"/>
      <c r="EM183" s="773"/>
      <c r="EN183" s="773"/>
      <c r="EO183" s="773"/>
      <c r="EP183" s="773"/>
      <c r="EQ183" s="773"/>
      <c r="ER183" s="773"/>
      <c r="ES183" s="773"/>
      <c r="ET183" s="773"/>
      <c r="EU183" s="773"/>
      <c r="EV183" s="773"/>
      <c r="EW183" s="773"/>
      <c r="EX183" s="773"/>
      <c r="EY183" s="773"/>
      <c r="EZ183" s="773"/>
      <c r="FA183" s="773"/>
      <c r="FB183" s="773"/>
      <c r="FC183" s="773"/>
      <c r="FD183" s="773"/>
      <c r="FE183" s="773"/>
      <c r="FF183" s="773"/>
      <c r="FG183" s="773"/>
      <c r="FH183" s="773"/>
      <c r="FI183" s="773"/>
      <c r="FJ183" s="773"/>
      <c r="FK183" s="773"/>
      <c r="FL183" s="773"/>
      <c r="FM183" s="773"/>
      <c r="FN183" s="773"/>
      <c r="FO183" s="773"/>
      <c r="FP183" s="773"/>
      <c r="FQ183" s="773"/>
      <c r="FR183" s="773"/>
      <c r="FS183" s="773"/>
      <c r="FT183" s="773"/>
      <c r="FU183" s="773"/>
      <c r="FV183" s="773"/>
      <c r="FW183" s="773"/>
      <c r="FX183" s="773"/>
      <c r="FY183" s="773"/>
      <c r="FZ183" s="773"/>
      <c r="GA183" s="773"/>
      <c r="GB183" s="773"/>
      <c r="GC183" s="773"/>
      <c r="GD183" s="773"/>
      <c r="GE183" s="773"/>
      <c r="GF183" s="773"/>
      <c r="GG183" s="773"/>
      <c r="GH183" s="773"/>
      <c r="GI183" s="773"/>
      <c r="GJ183" s="773"/>
      <c r="GK183" s="773"/>
      <c r="GL183" s="773"/>
      <c r="GM183" s="773"/>
      <c r="GN183" s="773"/>
      <c r="GO183" s="773"/>
      <c r="GP183" s="773"/>
      <c r="GQ183" s="773"/>
      <c r="GR183" s="773"/>
      <c r="GS183" s="773"/>
      <c r="GT183" s="773"/>
      <c r="GU183" s="773"/>
      <c r="GV183" s="773"/>
      <c r="GW183" s="773"/>
      <c r="GX183" s="773"/>
      <c r="GY183" s="773"/>
      <c r="GZ183" s="773"/>
    </row>
    <row r="184" spans="1:208" s="11" customFormat="1">
      <c r="A184" s="774"/>
      <c r="B184" s="3761" t="s">
        <v>1350</v>
      </c>
      <c r="C184" s="197">
        <v>203205</v>
      </c>
      <c r="D184" s="801" t="s">
        <v>2182</v>
      </c>
      <c r="E184" s="809">
        <f>IFERROR(VLOOKUP(C184,'AJE 12 - INC'!$D$168:$F$345,3,0),0)</f>
        <v>0</v>
      </c>
      <c r="F184" s="1325">
        <f>SUMIF('AJE 12 - INC'!B:B,'New TB INC'!C184,'AJE 12 - INC'!D:D)</f>
        <v>0</v>
      </c>
      <c r="G184" s="107"/>
      <c r="H184" s="107"/>
      <c r="I184" s="107"/>
      <c r="J184" s="796">
        <f t="shared" si="12"/>
        <v>0</v>
      </c>
      <c r="K184" s="209"/>
      <c r="L184" s="434"/>
      <c r="M184" s="2679"/>
      <c r="N184" s="772"/>
      <c r="O184" s="772"/>
      <c r="P184" s="772"/>
      <c r="Q184" s="772"/>
      <c r="R184" s="772"/>
      <c r="S184" s="772"/>
      <c r="T184" s="773"/>
      <c r="AW184" s="2514"/>
      <c r="AX184" s="820"/>
      <c r="AY184" s="820"/>
      <c r="AZ184" s="820"/>
      <c r="BA184" s="30"/>
      <c r="BB184" s="30"/>
      <c r="BC184" s="2514"/>
      <c r="BD184" s="2514"/>
      <c r="BE184" s="2514"/>
      <c r="BF184" s="2514"/>
      <c r="BH184" s="2514"/>
      <c r="BI184" s="30"/>
      <c r="BJ184" s="30"/>
      <c r="BK184" s="30"/>
      <c r="BL184" s="30"/>
      <c r="BM184" s="30"/>
      <c r="BN184" s="30"/>
      <c r="BO184" s="209"/>
      <c r="BP184" s="209"/>
      <c r="BQ184" s="785"/>
      <c r="BR184" s="820"/>
      <c r="BS184" s="820"/>
      <c r="BT184" s="30"/>
      <c r="BU184" s="800"/>
      <c r="BV184" s="800"/>
      <c r="BW184" s="209"/>
      <c r="CA184" s="787"/>
      <c r="DB184" s="773"/>
      <c r="DC184" s="773"/>
      <c r="DD184" s="773"/>
      <c r="DE184" s="773"/>
      <c r="DF184" s="773"/>
      <c r="DG184" s="773"/>
      <c r="DH184" s="773"/>
      <c r="DI184" s="773"/>
      <c r="DJ184" s="773"/>
      <c r="DK184" s="773"/>
      <c r="DL184" s="773"/>
      <c r="DM184" s="773"/>
      <c r="DN184" s="773"/>
      <c r="DO184" s="773"/>
      <c r="DP184" s="773"/>
      <c r="DQ184" s="773"/>
      <c r="DR184" s="773"/>
      <c r="DS184" s="773"/>
      <c r="DT184" s="773"/>
      <c r="DU184" s="773"/>
      <c r="DV184" s="773"/>
      <c r="DW184" s="773"/>
      <c r="DX184" s="773"/>
      <c r="DY184" s="773"/>
      <c r="DZ184" s="773"/>
      <c r="EA184" s="773"/>
      <c r="EB184" s="773"/>
      <c r="EC184" s="773"/>
      <c r="ED184" s="773"/>
      <c r="EE184" s="773"/>
      <c r="EF184" s="773"/>
      <c r="EG184" s="773"/>
      <c r="EH184" s="773"/>
      <c r="EI184" s="773"/>
      <c r="EJ184" s="773"/>
      <c r="EK184" s="773"/>
      <c r="EL184" s="773"/>
      <c r="EM184" s="773"/>
      <c r="EN184" s="773"/>
      <c r="EO184" s="773"/>
      <c r="EP184" s="773"/>
      <c r="EQ184" s="773"/>
      <c r="ER184" s="773"/>
      <c r="ES184" s="773"/>
      <c r="ET184" s="773"/>
      <c r="EU184" s="773"/>
      <c r="EV184" s="773"/>
      <c r="EW184" s="773"/>
      <c r="EX184" s="773"/>
      <c r="EY184" s="773"/>
      <c r="EZ184" s="773"/>
      <c r="FA184" s="773"/>
      <c r="FB184" s="773"/>
      <c r="FC184" s="773"/>
      <c r="FD184" s="773"/>
      <c r="FE184" s="773"/>
      <c r="FF184" s="773"/>
      <c r="FG184" s="773"/>
      <c r="FH184" s="773"/>
      <c r="FI184" s="773"/>
      <c r="FJ184" s="773"/>
      <c r="FK184" s="773"/>
      <c r="FL184" s="773"/>
      <c r="FM184" s="773"/>
      <c r="FN184" s="773"/>
      <c r="FO184" s="773"/>
      <c r="FP184" s="773"/>
      <c r="FQ184" s="773"/>
      <c r="FR184" s="773"/>
      <c r="FS184" s="773"/>
      <c r="FT184" s="773"/>
      <c r="FU184" s="773"/>
      <c r="FV184" s="773"/>
      <c r="FW184" s="773"/>
      <c r="FX184" s="773"/>
      <c r="FY184" s="773"/>
      <c r="FZ184" s="773"/>
      <c r="GA184" s="773"/>
      <c r="GB184" s="773"/>
      <c r="GC184" s="773"/>
      <c r="GD184" s="773"/>
      <c r="GE184" s="773"/>
      <c r="GF184" s="773"/>
      <c r="GG184" s="773"/>
      <c r="GH184" s="773"/>
      <c r="GI184" s="773"/>
      <c r="GJ184" s="773"/>
      <c r="GK184" s="773"/>
      <c r="GL184" s="773"/>
      <c r="GM184" s="773"/>
      <c r="GN184" s="773"/>
      <c r="GO184" s="773"/>
      <c r="GP184" s="773"/>
      <c r="GQ184" s="773"/>
      <c r="GR184" s="773"/>
      <c r="GS184" s="773"/>
      <c r="GT184" s="773"/>
      <c r="GU184" s="773"/>
      <c r="GV184" s="773"/>
      <c r="GW184" s="773"/>
      <c r="GX184" s="773"/>
      <c r="GY184" s="773"/>
      <c r="GZ184" s="773"/>
    </row>
    <row r="185" spans="1:208" s="11" customFormat="1">
      <c r="A185" s="774"/>
      <c r="B185" s="3761" t="s">
        <v>1350</v>
      </c>
      <c r="C185" s="197">
        <v>207946</v>
      </c>
      <c r="D185" s="801" t="s">
        <v>2559</v>
      </c>
      <c r="E185" s="809">
        <f>IFERROR(VLOOKUP(C185,'AJE 12 - INC'!$D$168:$F$345,3,0),0)</f>
        <v>4000</v>
      </c>
      <c r="F185" s="1325">
        <f>SUMIF('AJE 12 - INC'!B:B,'New TB INC'!C185,'AJE 12 - INC'!D:D)</f>
        <v>0</v>
      </c>
      <c r="G185" s="107"/>
      <c r="H185" s="107"/>
      <c r="I185" s="107"/>
      <c r="J185" s="796">
        <f t="shared" si="12"/>
        <v>4000</v>
      </c>
      <c r="K185" s="779"/>
      <c r="L185" s="434"/>
      <c r="M185" s="2175"/>
      <c r="N185" s="772"/>
      <c r="O185" s="772"/>
      <c r="P185" s="772"/>
      <c r="Q185" s="772"/>
      <c r="R185" s="772"/>
      <c r="S185" s="772"/>
      <c r="T185" s="773"/>
      <c r="AW185" s="2514"/>
      <c r="AX185" s="820"/>
      <c r="AY185" s="820"/>
      <c r="AZ185" s="820"/>
      <c r="BA185" s="30"/>
      <c r="BB185" s="30"/>
      <c r="BC185" s="2514"/>
      <c r="BD185" s="2514"/>
      <c r="BE185" s="2514"/>
      <c r="BF185" s="2514"/>
      <c r="BH185" s="2514"/>
      <c r="BI185" s="30"/>
      <c r="BJ185" s="30"/>
      <c r="BK185" s="30"/>
      <c r="BL185" s="30"/>
      <c r="BM185" s="30"/>
      <c r="BN185" s="30"/>
      <c r="BO185" s="209"/>
      <c r="BP185" s="209"/>
      <c r="BQ185" s="785"/>
      <c r="BR185" s="820"/>
      <c r="BS185" s="820"/>
      <c r="BT185" s="30"/>
      <c r="BU185" s="800"/>
      <c r="BV185" s="800"/>
      <c r="BW185" s="209"/>
      <c r="CA185" s="787"/>
      <c r="DB185" s="773"/>
      <c r="DC185" s="773"/>
      <c r="DD185" s="773"/>
      <c r="DE185" s="773"/>
      <c r="DF185" s="773"/>
      <c r="DG185" s="773"/>
      <c r="DH185" s="773"/>
      <c r="DI185" s="773"/>
      <c r="DJ185" s="773"/>
      <c r="DK185" s="773"/>
      <c r="DL185" s="773"/>
      <c r="DM185" s="773"/>
      <c r="DN185" s="773"/>
      <c r="DO185" s="773"/>
      <c r="DP185" s="773"/>
      <c r="DQ185" s="773"/>
      <c r="DR185" s="773"/>
      <c r="DS185" s="773"/>
      <c r="DT185" s="773"/>
      <c r="DU185" s="773"/>
      <c r="DV185" s="773"/>
      <c r="DW185" s="773"/>
      <c r="DX185" s="773"/>
      <c r="DY185" s="773"/>
      <c r="DZ185" s="773"/>
      <c r="EA185" s="773"/>
      <c r="EB185" s="773"/>
      <c r="EC185" s="773"/>
      <c r="ED185" s="773"/>
      <c r="EE185" s="773"/>
      <c r="EF185" s="773"/>
      <c r="EG185" s="773"/>
      <c r="EH185" s="773"/>
      <c r="EI185" s="773"/>
      <c r="EJ185" s="773"/>
      <c r="EK185" s="773"/>
      <c r="EL185" s="773"/>
      <c r="EM185" s="773"/>
      <c r="EN185" s="773"/>
      <c r="EO185" s="773"/>
      <c r="EP185" s="773"/>
      <c r="EQ185" s="773"/>
      <c r="ER185" s="773"/>
      <c r="ES185" s="773"/>
      <c r="ET185" s="773"/>
      <c r="EU185" s="773"/>
      <c r="EV185" s="773"/>
      <c r="EW185" s="773"/>
      <c r="EX185" s="773"/>
      <c r="EY185" s="773"/>
      <c r="EZ185" s="773"/>
      <c r="FA185" s="773"/>
      <c r="FB185" s="773"/>
      <c r="FC185" s="773"/>
      <c r="FD185" s="773"/>
      <c r="FE185" s="773"/>
      <c r="FF185" s="773"/>
      <c r="FG185" s="773"/>
      <c r="FH185" s="773"/>
      <c r="FI185" s="773"/>
      <c r="FJ185" s="773"/>
      <c r="FK185" s="773"/>
      <c r="FL185" s="773"/>
      <c r="FM185" s="773"/>
      <c r="FN185" s="773"/>
      <c r="FO185" s="773"/>
      <c r="FP185" s="773"/>
      <c r="FQ185" s="773"/>
      <c r="FR185" s="773"/>
      <c r="FS185" s="773"/>
      <c r="FT185" s="773"/>
      <c r="FU185" s="773"/>
      <c r="FV185" s="773"/>
      <c r="FW185" s="773"/>
      <c r="FX185" s="773"/>
      <c r="FY185" s="773"/>
      <c r="FZ185" s="773"/>
      <c r="GA185" s="773"/>
      <c r="GB185" s="773"/>
      <c r="GC185" s="773"/>
      <c r="GD185" s="773"/>
      <c r="GE185" s="773"/>
      <c r="GF185" s="773"/>
      <c r="GG185" s="773"/>
      <c r="GH185" s="773"/>
      <c r="GI185" s="773"/>
      <c r="GJ185" s="773"/>
      <c r="GK185" s="773"/>
      <c r="GL185" s="773"/>
      <c r="GM185" s="773"/>
      <c r="GN185" s="773"/>
      <c r="GO185" s="773"/>
      <c r="GP185" s="773"/>
      <c r="GQ185" s="773"/>
      <c r="GR185" s="773"/>
      <c r="GS185" s="773"/>
      <c r="GT185" s="773"/>
      <c r="GU185" s="773"/>
      <c r="GV185" s="773"/>
      <c r="GW185" s="773"/>
      <c r="GX185" s="773"/>
      <c r="GY185" s="773"/>
      <c r="GZ185" s="773"/>
    </row>
    <row r="186" spans="1:208" s="11" customFormat="1">
      <c r="A186" s="774"/>
      <c r="B186" s="3761" t="s">
        <v>1350</v>
      </c>
      <c r="C186" s="197">
        <v>228323</v>
      </c>
      <c r="D186" s="801" t="s">
        <v>2201</v>
      </c>
      <c r="E186" s="809">
        <f>IFERROR(VLOOKUP(C186,'AJE 12 - INC'!$D$168:$F$345,3,0),0)</f>
        <v>0</v>
      </c>
      <c r="F186" s="1325">
        <f>SUMIF('AJE 12 - INC'!B:B,'New TB INC'!C186,'AJE 12 - INC'!D:D)</f>
        <v>0</v>
      </c>
      <c r="G186" s="107"/>
      <c r="H186" s="107"/>
      <c r="I186" s="107"/>
      <c r="J186" s="796">
        <f t="shared" si="12"/>
        <v>0</v>
      </c>
      <c r="K186" s="209"/>
      <c r="L186" s="434"/>
      <c r="M186" s="2679"/>
      <c r="N186" s="772"/>
      <c r="O186" s="772"/>
      <c r="P186" s="772"/>
      <c r="Q186" s="772"/>
      <c r="R186" s="772"/>
      <c r="S186" s="772"/>
      <c r="T186" s="773"/>
      <c r="AW186" s="2514"/>
      <c r="AX186" s="820"/>
      <c r="AY186" s="820"/>
      <c r="AZ186" s="820"/>
      <c r="BA186" s="30"/>
      <c r="BB186" s="30"/>
      <c r="BC186" s="2514"/>
      <c r="BD186" s="2514"/>
      <c r="BE186" s="2514"/>
      <c r="BF186" s="2514"/>
      <c r="BH186" s="2514"/>
      <c r="BI186" s="30"/>
      <c r="BJ186" s="30"/>
      <c r="BK186" s="30"/>
      <c r="BL186" s="30"/>
      <c r="BM186" s="30"/>
      <c r="BN186" s="30"/>
      <c r="BO186" s="209"/>
      <c r="BP186" s="209"/>
      <c r="BQ186" s="785"/>
      <c r="BR186" s="820"/>
      <c r="BS186" s="820"/>
      <c r="BT186" s="30"/>
      <c r="BU186" s="800"/>
      <c r="BV186" s="800"/>
      <c r="BW186" s="209"/>
      <c r="CA186" s="787"/>
      <c r="DB186" s="773"/>
      <c r="DC186" s="773"/>
      <c r="DD186" s="773"/>
      <c r="DE186" s="773"/>
      <c r="DF186" s="773"/>
      <c r="DG186" s="773"/>
      <c r="DH186" s="773"/>
      <c r="DI186" s="773"/>
      <c r="DJ186" s="773"/>
      <c r="DK186" s="773"/>
      <c r="DL186" s="773"/>
      <c r="DM186" s="773"/>
      <c r="DN186" s="773"/>
      <c r="DO186" s="773"/>
      <c r="DP186" s="773"/>
      <c r="DQ186" s="773"/>
      <c r="DR186" s="773"/>
      <c r="DS186" s="773"/>
      <c r="DT186" s="773"/>
      <c r="DU186" s="773"/>
      <c r="DV186" s="773"/>
      <c r="DW186" s="773"/>
      <c r="DX186" s="773"/>
      <c r="DY186" s="773"/>
      <c r="DZ186" s="773"/>
      <c r="EA186" s="773"/>
      <c r="EB186" s="773"/>
      <c r="EC186" s="773"/>
      <c r="ED186" s="773"/>
      <c r="EE186" s="773"/>
      <c r="EF186" s="773"/>
      <c r="EG186" s="773"/>
      <c r="EH186" s="773"/>
      <c r="EI186" s="773"/>
      <c r="EJ186" s="773"/>
      <c r="EK186" s="773"/>
      <c r="EL186" s="773"/>
      <c r="EM186" s="773"/>
      <c r="EN186" s="773"/>
      <c r="EO186" s="773"/>
      <c r="EP186" s="773"/>
      <c r="EQ186" s="773"/>
      <c r="ER186" s="773"/>
      <c r="ES186" s="773"/>
      <c r="ET186" s="773"/>
      <c r="EU186" s="773"/>
      <c r="EV186" s="773"/>
      <c r="EW186" s="773"/>
      <c r="EX186" s="773"/>
      <c r="EY186" s="773"/>
      <c r="EZ186" s="773"/>
      <c r="FA186" s="773"/>
      <c r="FB186" s="773"/>
      <c r="FC186" s="773"/>
      <c r="FD186" s="773"/>
      <c r="FE186" s="773"/>
      <c r="FF186" s="773"/>
      <c r="FG186" s="773"/>
      <c r="FH186" s="773"/>
      <c r="FI186" s="773"/>
      <c r="FJ186" s="773"/>
      <c r="FK186" s="773"/>
      <c r="FL186" s="773"/>
      <c r="FM186" s="773"/>
      <c r="FN186" s="773"/>
      <c r="FO186" s="773"/>
      <c r="FP186" s="773"/>
      <c r="FQ186" s="773"/>
      <c r="FR186" s="773"/>
      <c r="FS186" s="773"/>
      <c r="FT186" s="773"/>
      <c r="FU186" s="773"/>
      <c r="FV186" s="773"/>
      <c r="FW186" s="773"/>
      <c r="FX186" s="773"/>
      <c r="FY186" s="773"/>
      <c r="FZ186" s="773"/>
      <c r="GA186" s="773"/>
      <c r="GB186" s="773"/>
      <c r="GC186" s="773"/>
      <c r="GD186" s="773"/>
      <c r="GE186" s="773"/>
      <c r="GF186" s="773"/>
      <c r="GG186" s="773"/>
      <c r="GH186" s="773"/>
      <c r="GI186" s="773"/>
      <c r="GJ186" s="773"/>
      <c r="GK186" s="773"/>
      <c r="GL186" s="773"/>
      <c r="GM186" s="773"/>
      <c r="GN186" s="773"/>
      <c r="GO186" s="773"/>
      <c r="GP186" s="773"/>
      <c r="GQ186" s="773"/>
      <c r="GR186" s="773"/>
      <c r="GS186" s="773"/>
      <c r="GT186" s="773"/>
      <c r="GU186" s="773"/>
      <c r="GV186" s="773"/>
      <c r="GW186" s="773"/>
      <c r="GX186" s="773"/>
      <c r="GY186" s="773"/>
      <c r="GZ186" s="773"/>
    </row>
    <row r="187" spans="1:208" s="11" customFormat="1">
      <c r="A187" s="774"/>
      <c r="B187" s="3761" t="s">
        <v>1350</v>
      </c>
      <c r="C187" s="197">
        <v>204322</v>
      </c>
      <c r="D187" s="801" t="s">
        <v>2034</v>
      </c>
      <c r="E187" s="809">
        <f>IFERROR(VLOOKUP(C187,'AJE 12 - INC'!$D$168:$F$345,3,0),0)</f>
        <v>0</v>
      </c>
      <c r="F187" s="1325">
        <f>SUMIF('AJE 12 - INC'!B:B,'New TB INC'!C187,'AJE 12 - INC'!D:D)</f>
        <v>0</v>
      </c>
      <c r="G187" s="107"/>
      <c r="H187" s="107"/>
      <c r="I187" s="107"/>
      <c r="J187" s="798">
        <f t="shared" si="12"/>
        <v>0</v>
      </c>
      <c r="K187" s="209"/>
      <c r="L187" s="434"/>
      <c r="M187" s="2679"/>
      <c r="N187" s="772"/>
      <c r="O187" s="772"/>
      <c r="P187" s="772"/>
      <c r="Q187" s="772"/>
      <c r="R187" s="772"/>
      <c r="S187" s="772"/>
      <c r="T187" s="773"/>
      <c r="AW187" s="2514"/>
      <c r="AX187" s="820"/>
      <c r="AY187" s="820"/>
      <c r="AZ187" s="820"/>
      <c r="BA187" s="30"/>
      <c r="BB187" s="30"/>
      <c r="BC187" s="2514"/>
      <c r="BD187" s="2514"/>
      <c r="BE187" s="2514"/>
      <c r="BF187" s="2514"/>
      <c r="BH187" s="2514"/>
      <c r="BI187" s="30"/>
      <c r="BJ187" s="30"/>
      <c r="BK187" s="30"/>
      <c r="BL187" s="30"/>
      <c r="BM187" s="30"/>
      <c r="BN187" s="30"/>
      <c r="BO187" s="209"/>
      <c r="BP187" s="209"/>
      <c r="BQ187" s="785"/>
      <c r="BR187" s="820"/>
      <c r="BS187" s="820"/>
      <c r="BT187" s="30"/>
      <c r="BU187" s="800"/>
      <c r="BV187" s="800"/>
      <c r="BW187" s="209"/>
      <c r="CA187" s="787"/>
      <c r="DB187" s="773"/>
      <c r="DC187" s="773"/>
      <c r="DD187" s="773"/>
      <c r="DE187" s="773"/>
      <c r="DF187" s="773"/>
      <c r="DG187" s="773"/>
      <c r="DH187" s="773"/>
      <c r="DI187" s="773"/>
      <c r="DJ187" s="773"/>
      <c r="DK187" s="773"/>
      <c r="DL187" s="773"/>
      <c r="DM187" s="773"/>
      <c r="DN187" s="773"/>
      <c r="DO187" s="773"/>
      <c r="DP187" s="773"/>
      <c r="DQ187" s="773"/>
      <c r="DR187" s="773"/>
      <c r="DS187" s="773"/>
      <c r="DT187" s="773"/>
      <c r="DU187" s="773"/>
      <c r="DV187" s="773"/>
      <c r="DW187" s="773"/>
      <c r="DX187" s="773"/>
      <c r="DY187" s="773"/>
      <c r="DZ187" s="773"/>
      <c r="EA187" s="773"/>
      <c r="EB187" s="773"/>
      <c r="EC187" s="773"/>
      <c r="ED187" s="773"/>
      <c r="EE187" s="773"/>
      <c r="EF187" s="773"/>
      <c r="EG187" s="773"/>
      <c r="EH187" s="773"/>
      <c r="EI187" s="773"/>
      <c r="EJ187" s="773"/>
      <c r="EK187" s="773"/>
      <c r="EL187" s="773"/>
      <c r="EM187" s="773"/>
      <c r="EN187" s="773"/>
      <c r="EO187" s="773"/>
      <c r="EP187" s="773"/>
      <c r="EQ187" s="773"/>
      <c r="ER187" s="773"/>
      <c r="ES187" s="773"/>
      <c r="ET187" s="773"/>
      <c r="EU187" s="773"/>
      <c r="EV187" s="773"/>
      <c r="EW187" s="773"/>
      <c r="EX187" s="773"/>
      <c r="EY187" s="773"/>
      <c r="EZ187" s="773"/>
      <c r="FA187" s="773"/>
      <c r="FB187" s="773"/>
      <c r="FC187" s="773"/>
      <c r="FD187" s="773"/>
      <c r="FE187" s="773"/>
      <c r="FF187" s="773"/>
      <c r="FG187" s="773"/>
      <c r="FH187" s="773"/>
      <c r="FI187" s="773"/>
      <c r="FJ187" s="773"/>
      <c r="FK187" s="773"/>
      <c r="FL187" s="773"/>
      <c r="FM187" s="773"/>
      <c r="FN187" s="773"/>
      <c r="FO187" s="773"/>
      <c r="FP187" s="773"/>
      <c r="FQ187" s="773"/>
      <c r="FR187" s="773"/>
      <c r="FS187" s="773"/>
      <c r="FT187" s="773"/>
      <c r="FU187" s="773"/>
      <c r="FV187" s="773"/>
      <c r="FW187" s="773"/>
      <c r="FX187" s="773"/>
      <c r="FY187" s="773"/>
      <c r="FZ187" s="773"/>
      <c r="GA187" s="773"/>
      <c r="GB187" s="773"/>
      <c r="GC187" s="773"/>
      <c r="GD187" s="773"/>
      <c r="GE187" s="773"/>
      <c r="GF187" s="773"/>
      <c r="GG187" s="773"/>
      <c r="GH187" s="773"/>
      <c r="GI187" s="773"/>
      <c r="GJ187" s="773"/>
      <c r="GK187" s="773"/>
      <c r="GL187" s="773"/>
      <c r="GM187" s="773"/>
      <c r="GN187" s="773"/>
      <c r="GO187" s="773"/>
      <c r="GP187" s="773"/>
      <c r="GQ187" s="773"/>
      <c r="GR187" s="773"/>
      <c r="GS187" s="773"/>
      <c r="GT187" s="773"/>
      <c r="GU187" s="773"/>
      <c r="GV187" s="773"/>
      <c r="GW187" s="773"/>
      <c r="GX187" s="773"/>
      <c r="GY187" s="773"/>
      <c r="GZ187" s="773"/>
    </row>
    <row r="188" spans="1:208" s="11" customFormat="1">
      <c r="A188" s="774"/>
      <c r="B188" s="3761" t="s">
        <v>1350</v>
      </c>
      <c r="C188" s="197">
        <v>229415</v>
      </c>
      <c r="D188" s="801" t="s">
        <v>2565</v>
      </c>
      <c r="E188" s="809">
        <f>IFERROR(VLOOKUP(C188,'AJE 12 - INC'!$D$168:$F$345,3,0),0)</f>
        <v>0</v>
      </c>
      <c r="F188" s="1325">
        <f>SUMIF('AJE 12 - INC'!B:B,'New TB INC'!C188,'AJE 12 - INC'!D:D)</f>
        <v>0</v>
      </c>
      <c r="G188" s="107"/>
      <c r="H188" s="107"/>
      <c r="I188" s="107"/>
      <c r="J188" s="796">
        <f t="shared" si="12"/>
        <v>0</v>
      </c>
      <c r="K188" s="209"/>
      <c r="L188" s="434"/>
      <c r="M188" s="2679"/>
      <c r="N188" s="772"/>
      <c r="O188" s="772"/>
      <c r="P188" s="772"/>
      <c r="Q188" s="772"/>
      <c r="R188" s="772"/>
      <c r="S188" s="772"/>
      <c r="T188" s="773"/>
      <c r="AW188" s="2514"/>
      <c r="AX188" s="820"/>
      <c r="AY188" s="820"/>
      <c r="AZ188" s="820"/>
      <c r="BA188" s="30"/>
      <c r="BB188" s="30"/>
      <c r="BC188" s="2514"/>
      <c r="BD188" s="2514"/>
      <c r="BE188" s="2514"/>
      <c r="BF188" s="2514"/>
      <c r="BH188" s="2514"/>
      <c r="BI188" s="30"/>
      <c r="BJ188" s="30"/>
      <c r="BK188" s="30"/>
      <c r="BL188" s="30"/>
      <c r="BM188" s="30"/>
      <c r="BN188" s="30"/>
      <c r="BO188" s="209"/>
      <c r="BP188" s="209"/>
      <c r="BQ188" s="785"/>
      <c r="BR188" s="820"/>
      <c r="BS188" s="820"/>
      <c r="BT188" s="30"/>
      <c r="BU188" s="800"/>
      <c r="BV188" s="800"/>
      <c r="BW188" s="209"/>
      <c r="CA188" s="787"/>
      <c r="DB188" s="773"/>
      <c r="DC188" s="773"/>
      <c r="DD188" s="773"/>
      <c r="DE188" s="773"/>
      <c r="DF188" s="773"/>
      <c r="DG188" s="773"/>
      <c r="DH188" s="773"/>
      <c r="DI188" s="773"/>
      <c r="DJ188" s="773"/>
      <c r="DK188" s="773"/>
      <c r="DL188" s="773"/>
      <c r="DM188" s="773"/>
      <c r="DN188" s="773"/>
      <c r="DO188" s="773"/>
      <c r="DP188" s="773"/>
      <c r="DQ188" s="773"/>
      <c r="DR188" s="773"/>
      <c r="DS188" s="773"/>
      <c r="DT188" s="773"/>
      <c r="DU188" s="773"/>
      <c r="DV188" s="773"/>
      <c r="DW188" s="773"/>
      <c r="DX188" s="773"/>
      <c r="DY188" s="773"/>
      <c r="DZ188" s="773"/>
      <c r="EA188" s="773"/>
      <c r="EB188" s="773"/>
      <c r="EC188" s="773"/>
      <c r="ED188" s="773"/>
      <c r="EE188" s="773"/>
      <c r="EF188" s="773"/>
      <c r="EG188" s="773"/>
      <c r="EH188" s="773"/>
      <c r="EI188" s="773"/>
      <c r="EJ188" s="773"/>
      <c r="EK188" s="773"/>
      <c r="EL188" s="773"/>
      <c r="EM188" s="773"/>
      <c r="EN188" s="773"/>
      <c r="EO188" s="773"/>
      <c r="EP188" s="773"/>
      <c r="EQ188" s="773"/>
      <c r="ER188" s="773"/>
      <c r="ES188" s="773"/>
      <c r="ET188" s="773"/>
      <c r="EU188" s="773"/>
      <c r="EV188" s="773"/>
      <c r="EW188" s="773"/>
      <c r="EX188" s="773"/>
      <c r="EY188" s="773"/>
      <c r="EZ188" s="773"/>
      <c r="FA188" s="773"/>
      <c r="FB188" s="773"/>
      <c r="FC188" s="773"/>
      <c r="FD188" s="773"/>
      <c r="FE188" s="773"/>
      <c r="FF188" s="773"/>
      <c r="FG188" s="773"/>
      <c r="FH188" s="773"/>
      <c r="FI188" s="773"/>
      <c r="FJ188" s="773"/>
      <c r="FK188" s="773"/>
      <c r="FL188" s="773"/>
      <c r="FM188" s="773"/>
      <c r="FN188" s="773"/>
      <c r="FO188" s="773"/>
      <c r="FP188" s="773"/>
      <c r="FQ188" s="773"/>
      <c r="FR188" s="773"/>
      <c r="FS188" s="773"/>
      <c r="FT188" s="773"/>
      <c r="FU188" s="773"/>
      <c r="FV188" s="773"/>
      <c r="FW188" s="773"/>
      <c r="FX188" s="773"/>
      <c r="FY188" s="773"/>
      <c r="FZ188" s="773"/>
      <c r="GA188" s="773"/>
      <c r="GB188" s="773"/>
      <c r="GC188" s="773"/>
      <c r="GD188" s="773"/>
      <c r="GE188" s="773"/>
      <c r="GF188" s="773"/>
      <c r="GG188" s="773"/>
      <c r="GH188" s="773"/>
      <c r="GI188" s="773"/>
      <c r="GJ188" s="773"/>
      <c r="GK188" s="773"/>
      <c r="GL188" s="773"/>
      <c r="GM188" s="773"/>
      <c r="GN188" s="773"/>
      <c r="GO188" s="773"/>
      <c r="GP188" s="773"/>
      <c r="GQ188" s="773"/>
      <c r="GR188" s="773"/>
      <c r="GS188" s="773"/>
      <c r="GT188" s="773"/>
      <c r="GU188" s="773"/>
      <c r="GV188" s="773"/>
      <c r="GW188" s="773"/>
      <c r="GX188" s="773"/>
      <c r="GY188" s="773"/>
      <c r="GZ188" s="773"/>
    </row>
    <row r="189" spans="1:208" s="11" customFormat="1">
      <c r="A189" s="774"/>
      <c r="B189" s="3761" t="s">
        <v>1350</v>
      </c>
      <c r="C189" s="197">
        <v>213781</v>
      </c>
      <c r="D189" s="801" t="s">
        <v>1769</v>
      </c>
      <c r="E189" s="809">
        <f>IFERROR(VLOOKUP(C189,'AJE 12 - INC'!$D$168:$F$345,3,0),0)</f>
        <v>8591.0300000000007</v>
      </c>
      <c r="F189" s="1325">
        <f>SUMIF('AJE 12 - INC'!B:B,'New TB INC'!C189,'AJE 12 - INC'!D:D)</f>
        <v>0</v>
      </c>
      <c r="G189" s="107"/>
      <c r="H189" s="107"/>
      <c r="I189" s="107"/>
      <c r="J189" s="796">
        <f t="shared" si="12"/>
        <v>8591.0300000000007</v>
      </c>
      <c r="K189" s="209"/>
      <c r="L189" s="434"/>
      <c r="M189" s="2679"/>
      <c r="N189" s="772"/>
      <c r="O189" s="772"/>
      <c r="P189" s="772"/>
      <c r="Q189" s="772"/>
      <c r="R189" s="772"/>
      <c r="S189" s="772"/>
      <c r="T189" s="773"/>
      <c r="AW189" s="2514"/>
      <c r="AX189" s="820"/>
      <c r="AY189" s="820"/>
      <c r="AZ189" s="820"/>
      <c r="BA189" s="30"/>
      <c r="BB189" s="30"/>
      <c r="BC189" s="2514"/>
      <c r="BD189" s="2514"/>
      <c r="BE189" s="2514"/>
      <c r="BF189" s="2514"/>
      <c r="BH189" s="2514"/>
      <c r="BI189" s="30"/>
      <c r="BJ189" s="30"/>
      <c r="BK189" s="30"/>
      <c r="BL189" s="30"/>
      <c r="BM189" s="30"/>
      <c r="BN189" s="30"/>
      <c r="BO189" s="209"/>
      <c r="BP189" s="209"/>
      <c r="BQ189" s="785"/>
      <c r="BR189" s="820"/>
      <c r="BS189" s="820"/>
      <c r="BT189" s="30"/>
      <c r="BU189" s="800"/>
      <c r="BV189" s="800"/>
      <c r="BW189" s="209"/>
      <c r="CA189" s="787"/>
      <c r="DB189" s="773"/>
      <c r="DC189" s="773"/>
      <c r="DD189" s="773"/>
      <c r="DE189" s="773"/>
      <c r="DF189" s="773"/>
      <c r="DG189" s="773"/>
      <c r="DH189" s="773"/>
      <c r="DI189" s="773"/>
      <c r="DJ189" s="773"/>
      <c r="DK189" s="773"/>
      <c r="DL189" s="773"/>
      <c r="DM189" s="773"/>
      <c r="DN189" s="773"/>
      <c r="DO189" s="773"/>
      <c r="DP189" s="773"/>
      <c r="DQ189" s="773"/>
      <c r="DR189" s="773"/>
      <c r="DS189" s="773"/>
      <c r="DT189" s="773"/>
      <c r="DU189" s="773"/>
      <c r="DV189" s="773"/>
      <c r="DW189" s="773"/>
      <c r="DX189" s="773"/>
      <c r="DY189" s="773"/>
      <c r="DZ189" s="773"/>
      <c r="EA189" s="773"/>
      <c r="EB189" s="773"/>
      <c r="EC189" s="773"/>
      <c r="ED189" s="773"/>
      <c r="EE189" s="773"/>
      <c r="EF189" s="773"/>
      <c r="EG189" s="773"/>
      <c r="EH189" s="773"/>
      <c r="EI189" s="773"/>
      <c r="EJ189" s="773"/>
      <c r="EK189" s="773"/>
      <c r="EL189" s="773"/>
      <c r="EM189" s="773"/>
      <c r="EN189" s="773"/>
      <c r="EO189" s="773"/>
      <c r="EP189" s="773"/>
      <c r="EQ189" s="773"/>
      <c r="ER189" s="773"/>
      <c r="ES189" s="773"/>
      <c r="ET189" s="773"/>
      <c r="EU189" s="773"/>
      <c r="EV189" s="773"/>
      <c r="EW189" s="773"/>
      <c r="EX189" s="773"/>
      <c r="EY189" s="773"/>
      <c r="EZ189" s="773"/>
      <c r="FA189" s="773"/>
      <c r="FB189" s="773"/>
      <c r="FC189" s="773"/>
      <c r="FD189" s="773"/>
      <c r="FE189" s="773"/>
      <c r="FF189" s="773"/>
      <c r="FG189" s="773"/>
      <c r="FH189" s="773"/>
      <c r="FI189" s="773"/>
      <c r="FJ189" s="773"/>
      <c r="FK189" s="773"/>
      <c r="FL189" s="773"/>
      <c r="FM189" s="773"/>
      <c r="FN189" s="773"/>
      <c r="FO189" s="773"/>
      <c r="FP189" s="773"/>
      <c r="FQ189" s="773"/>
      <c r="FR189" s="773"/>
      <c r="FS189" s="773"/>
      <c r="FT189" s="773"/>
      <c r="FU189" s="773"/>
      <c r="FV189" s="773"/>
      <c r="FW189" s="773"/>
      <c r="FX189" s="773"/>
      <c r="FY189" s="773"/>
      <c r="FZ189" s="773"/>
      <c r="GA189" s="773"/>
      <c r="GB189" s="773"/>
      <c r="GC189" s="773"/>
      <c r="GD189" s="773"/>
      <c r="GE189" s="773"/>
      <c r="GF189" s="773"/>
      <c r="GG189" s="773"/>
      <c r="GH189" s="773"/>
      <c r="GI189" s="773"/>
      <c r="GJ189" s="773"/>
      <c r="GK189" s="773"/>
      <c r="GL189" s="773"/>
      <c r="GM189" s="773"/>
      <c r="GN189" s="773"/>
      <c r="GO189" s="773"/>
      <c r="GP189" s="773"/>
      <c r="GQ189" s="773"/>
      <c r="GR189" s="773"/>
      <c r="GS189" s="773"/>
      <c r="GT189" s="773"/>
      <c r="GU189" s="773"/>
      <c r="GV189" s="773"/>
      <c r="GW189" s="773"/>
      <c r="GX189" s="773"/>
      <c r="GY189" s="773"/>
      <c r="GZ189" s="773"/>
    </row>
    <row r="190" spans="1:208" s="11" customFormat="1">
      <c r="A190" s="774"/>
      <c r="B190" s="3761" t="s">
        <v>1350</v>
      </c>
      <c r="C190" s="197">
        <v>203053</v>
      </c>
      <c r="D190" s="801" t="s">
        <v>1950</v>
      </c>
      <c r="E190" s="809">
        <f>IFERROR(VLOOKUP(C190,'AJE 12 - INC'!$D$168:$F$345,3,0),0)</f>
        <v>0</v>
      </c>
      <c r="F190" s="1325">
        <f>SUMIF('AJE 12 - INC'!B:B,'New TB INC'!C190,'AJE 12 - INC'!D:D)</f>
        <v>0</v>
      </c>
      <c r="G190" s="107"/>
      <c r="H190" s="107"/>
      <c r="I190" s="107"/>
      <c r="J190" s="796">
        <f t="shared" si="12"/>
        <v>0</v>
      </c>
      <c r="K190" s="209"/>
      <c r="L190" s="434"/>
      <c r="M190" s="2679"/>
      <c r="N190" s="772"/>
      <c r="O190" s="772"/>
      <c r="P190" s="772"/>
      <c r="Q190" s="772"/>
      <c r="R190" s="772"/>
      <c r="S190" s="772"/>
      <c r="T190" s="773"/>
      <c r="AW190" s="2514"/>
      <c r="AX190" s="820"/>
      <c r="AY190" s="820"/>
      <c r="AZ190" s="820"/>
      <c r="BA190" s="30"/>
      <c r="BB190" s="30"/>
      <c r="BC190" s="2514"/>
      <c r="BD190" s="2514"/>
      <c r="BE190" s="2514"/>
      <c r="BF190" s="2514"/>
      <c r="BH190" s="2514"/>
      <c r="BI190" s="30"/>
      <c r="BJ190" s="30"/>
      <c r="BK190" s="30"/>
      <c r="BL190" s="30"/>
      <c r="BM190" s="30"/>
      <c r="BN190" s="30"/>
      <c r="BO190" s="209"/>
      <c r="BP190" s="209"/>
      <c r="BQ190" s="785"/>
      <c r="BR190" s="820"/>
      <c r="BS190" s="820"/>
      <c r="BT190" s="30"/>
      <c r="BU190" s="800"/>
      <c r="BV190" s="800"/>
      <c r="BW190" s="209"/>
      <c r="CA190" s="787"/>
      <c r="DB190" s="773"/>
      <c r="DC190" s="773"/>
      <c r="DD190" s="773"/>
      <c r="DE190" s="773"/>
      <c r="DF190" s="773"/>
      <c r="DG190" s="773"/>
      <c r="DH190" s="773"/>
      <c r="DI190" s="773"/>
      <c r="DJ190" s="773"/>
      <c r="DK190" s="773"/>
      <c r="DL190" s="773"/>
      <c r="DM190" s="773"/>
      <c r="DN190" s="773"/>
      <c r="DO190" s="773"/>
      <c r="DP190" s="773"/>
      <c r="DQ190" s="773"/>
      <c r="DR190" s="773"/>
      <c r="DS190" s="773"/>
      <c r="DT190" s="773"/>
      <c r="DU190" s="773"/>
      <c r="DV190" s="773"/>
      <c r="DW190" s="773"/>
      <c r="DX190" s="773"/>
      <c r="DY190" s="773"/>
      <c r="DZ190" s="773"/>
      <c r="EA190" s="773"/>
      <c r="EB190" s="773"/>
      <c r="EC190" s="773"/>
      <c r="ED190" s="773"/>
      <c r="EE190" s="773"/>
      <c r="EF190" s="773"/>
      <c r="EG190" s="773"/>
      <c r="EH190" s="773"/>
      <c r="EI190" s="773"/>
      <c r="EJ190" s="773"/>
      <c r="EK190" s="773"/>
      <c r="EL190" s="773"/>
      <c r="EM190" s="773"/>
      <c r="EN190" s="773"/>
      <c r="EO190" s="773"/>
      <c r="EP190" s="773"/>
      <c r="EQ190" s="773"/>
      <c r="ER190" s="773"/>
      <c r="ES190" s="773"/>
      <c r="ET190" s="773"/>
      <c r="EU190" s="773"/>
      <c r="EV190" s="773"/>
      <c r="EW190" s="773"/>
      <c r="EX190" s="773"/>
      <c r="EY190" s="773"/>
      <c r="EZ190" s="773"/>
      <c r="FA190" s="773"/>
      <c r="FB190" s="773"/>
      <c r="FC190" s="773"/>
      <c r="FD190" s="773"/>
      <c r="FE190" s="773"/>
      <c r="FF190" s="773"/>
      <c r="FG190" s="773"/>
      <c r="FH190" s="773"/>
      <c r="FI190" s="773"/>
      <c r="FJ190" s="773"/>
      <c r="FK190" s="773"/>
      <c r="FL190" s="773"/>
      <c r="FM190" s="773"/>
      <c r="FN190" s="773"/>
      <c r="FO190" s="773"/>
      <c r="FP190" s="773"/>
      <c r="FQ190" s="773"/>
      <c r="FR190" s="773"/>
      <c r="FS190" s="773"/>
      <c r="FT190" s="773"/>
      <c r="FU190" s="773"/>
      <c r="FV190" s="773"/>
      <c r="FW190" s="773"/>
      <c r="FX190" s="773"/>
      <c r="FY190" s="773"/>
      <c r="FZ190" s="773"/>
      <c r="GA190" s="773"/>
      <c r="GB190" s="773"/>
      <c r="GC190" s="773"/>
      <c r="GD190" s="773"/>
      <c r="GE190" s="773"/>
      <c r="GF190" s="773"/>
      <c r="GG190" s="773"/>
      <c r="GH190" s="773"/>
      <c r="GI190" s="773"/>
      <c r="GJ190" s="773"/>
      <c r="GK190" s="773"/>
      <c r="GL190" s="773"/>
      <c r="GM190" s="773"/>
      <c r="GN190" s="773"/>
      <c r="GO190" s="773"/>
      <c r="GP190" s="773"/>
      <c r="GQ190" s="773"/>
      <c r="GR190" s="773"/>
      <c r="GS190" s="773"/>
      <c r="GT190" s="773"/>
      <c r="GU190" s="773"/>
      <c r="GV190" s="773"/>
      <c r="GW190" s="773"/>
      <c r="GX190" s="773"/>
      <c r="GY190" s="773"/>
      <c r="GZ190" s="773"/>
    </row>
    <row r="191" spans="1:208" s="11" customFormat="1">
      <c r="A191" s="774"/>
      <c r="B191" s="3761" t="s">
        <v>1350</v>
      </c>
      <c r="C191" s="197">
        <v>222426</v>
      </c>
      <c r="D191" s="801" t="s">
        <v>2563</v>
      </c>
      <c r="E191" s="809">
        <f>IFERROR(VLOOKUP(C191,'AJE 12 - INC'!$D$168:$F$345,3,0),0)</f>
        <v>0</v>
      </c>
      <c r="F191" s="1325">
        <f>SUMIF('AJE 12 - INC'!B:B,'New TB INC'!C191,'AJE 12 - INC'!D:D)</f>
        <v>0</v>
      </c>
      <c r="G191" s="107"/>
      <c r="H191" s="107"/>
      <c r="I191" s="107"/>
      <c r="J191" s="796">
        <f t="shared" si="12"/>
        <v>0</v>
      </c>
      <c r="K191" s="209"/>
      <c r="L191" s="434"/>
      <c r="M191" s="2679"/>
      <c r="N191" s="772"/>
      <c r="O191" s="772"/>
      <c r="P191" s="772"/>
      <c r="Q191" s="772"/>
      <c r="R191" s="772"/>
      <c r="S191" s="772"/>
      <c r="T191" s="773"/>
      <c r="AW191" s="2514"/>
      <c r="AX191" s="820"/>
      <c r="AY191" s="820"/>
      <c r="AZ191" s="820"/>
      <c r="BA191" s="30"/>
      <c r="BB191" s="30"/>
      <c r="BC191" s="2514"/>
      <c r="BD191" s="2514"/>
      <c r="BE191" s="2514"/>
      <c r="BF191" s="2514"/>
      <c r="BH191" s="2514"/>
      <c r="BI191" s="30"/>
      <c r="BJ191" s="30"/>
      <c r="BK191" s="30"/>
      <c r="BL191" s="30"/>
      <c r="BM191" s="30"/>
      <c r="BN191" s="30"/>
      <c r="BO191" s="209"/>
      <c r="BP191" s="209"/>
      <c r="BQ191" s="785"/>
      <c r="BR191" s="820"/>
      <c r="BS191" s="820"/>
      <c r="BT191" s="30"/>
      <c r="BU191" s="800"/>
      <c r="BV191" s="800"/>
      <c r="BW191" s="209"/>
      <c r="CA191" s="787"/>
      <c r="DB191" s="773"/>
      <c r="DC191" s="773"/>
      <c r="DD191" s="773"/>
      <c r="DE191" s="773"/>
      <c r="DF191" s="773"/>
      <c r="DG191" s="773"/>
      <c r="DH191" s="773"/>
      <c r="DI191" s="773"/>
      <c r="DJ191" s="773"/>
      <c r="DK191" s="773"/>
      <c r="DL191" s="773"/>
      <c r="DM191" s="773"/>
      <c r="DN191" s="773"/>
      <c r="DO191" s="773"/>
      <c r="DP191" s="773"/>
      <c r="DQ191" s="773"/>
      <c r="DR191" s="773"/>
      <c r="DS191" s="773"/>
      <c r="DT191" s="773"/>
      <c r="DU191" s="773"/>
      <c r="DV191" s="773"/>
      <c r="DW191" s="773"/>
      <c r="DX191" s="773"/>
      <c r="DY191" s="773"/>
      <c r="DZ191" s="773"/>
      <c r="EA191" s="773"/>
      <c r="EB191" s="773"/>
      <c r="EC191" s="773"/>
      <c r="ED191" s="773"/>
      <c r="EE191" s="773"/>
      <c r="EF191" s="773"/>
      <c r="EG191" s="773"/>
      <c r="EH191" s="773"/>
      <c r="EI191" s="773"/>
      <c r="EJ191" s="773"/>
      <c r="EK191" s="773"/>
      <c r="EL191" s="773"/>
      <c r="EM191" s="773"/>
      <c r="EN191" s="773"/>
      <c r="EO191" s="773"/>
      <c r="EP191" s="773"/>
      <c r="EQ191" s="773"/>
      <c r="ER191" s="773"/>
      <c r="ES191" s="773"/>
      <c r="ET191" s="773"/>
      <c r="EU191" s="773"/>
      <c r="EV191" s="773"/>
      <c r="EW191" s="773"/>
      <c r="EX191" s="773"/>
      <c r="EY191" s="773"/>
      <c r="EZ191" s="773"/>
      <c r="FA191" s="773"/>
      <c r="FB191" s="773"/>
      <c r="FC191" s="773"/>
      <c r="FD191" s="773"/>
      <c r="FE191" s="773"/>
      <c r="FF191" s="773"/>
      <c r="FG191" s="773"/>
      <c r="FH191" s="773"/>
      <c r="FI191" s="773"/>
      <c r="FJ191" s="773"/>
      <c r="FK191" s="773"/>
      <c r="FL191" s="773"/>
      <c r="FM191" s="773"/>
      <c r="FN191" s="773"/>
      <c r="FO191" s="773"/>
      <c r="FP191" s="773"/>
      <c r="FQ191" s="773"/>
      <c r="FR191" s="773"/>
      <c r="FS191" s="773"/>
      <c r="FT191" s="773"/>
      <c r="FU191" s="773"/>
      <c r="FV191" s="773"/>
      <c r="FW191" s="773"/>
      <c r="FX191" s="773"/>
      <c r="FY191" s="773"/>
      <c r="FZ191" s="773"/>
      <c r="GA191" s="773"/>
      <c r="GB191" s="773"/>
      <c r="GC191" s="773"/>
      <c r="GD191" s="773"/>
      <c r="GE191" s="773"/>
      <c r="GF191" s="773"/>
      <c r="GG191" s="773"/>
      <c r="GH191" s="773"/>
      <c r="GI191" s="773"/>
      <c r="GJ191" s="773"/>
      <c r="GK191" s="773"/>
      <c r="GL191" s="773"/>
      <c r="GM191" s="773"/>
      <c r="GN191" s="773"/>
      <c r="GO191" s="773"/>
      <c r="GP191" s="773"/>
      <c r="GQ191" s="773"/>
      <c r="GR191" s="773"/>
      <c r="GS191" s="773"/>
      <c r="GT191" s="773"/>
      <c r="GU191" s="773"/>
      <c r="GV191" s="773"/>
      <c r="GW191" s="773"/>
      <c r="GX191" s="773"/>
      <c r="GY191" s="773"/>
      <c r="GZ191" s="773"/>
    </row>
    <row r="192" spans="1:208" s="11" customFormat="1">
      <c r="A192" s="774"/>
      <c r="B192" s="3761" t="s">
        <v>1350</v>
      </c>
      <c r="C192" s="197">
        <v>225617</v>
      </c>
      <c r="D192" s="801" t="s">
        <v>2564</v>
      </c>
      <c r="E192" s="809">
        <f>IFERROR(VLOOKUP(C192,'AJE 12 - INC'!$D$168:$F$345,3,0),0)</f>
        <v>0</v>
      </c>
      <c r="F192" s="1325">
        <f>SUMIF('AJE 12 - INC'!B:B,'New TB INC'!C192,'AJE 12 - INC'!D:D)</f>
        <v>0</v>
      </c>
      <c r="G192" s="107"/>
      <c r="H192" s="107"/>
      <c r="I192" s="107"/>
      <c r="J192" s="796">
        <f t="shared" si="12"/>
        <v>0</v>
      </c>
      <c r="K192" s="209"/>
      <c r="L192" s="434"/>
      <c r="M192" s="2679"/>
      <c r="N192" s="772"/>
      <c r="O192" s="772"/>
      <c r="P192" s="772"/>
      <c r="Q192" s="772"/>
      <c r="R192" s="772"/>
      <c r="S192" s="772"/>
      <c r="T192" s="773"/>
      <c r="AW192" s="2514"/>
      <c r="AX192" s="820"/>
      <c r="AY192" s="820"/>
      <c r="AZ192" s="820"/>
      <c r="BA192" s="30"/>
      <c r="BB192" s="30"/>
      <c r="BC192" s="2514"/>
      <c r="BD192" s="2514"/>
      <c r="BE192" s="2514"/>
      <c r="BF192" s="2514"/>
      <c r="BH192" s="2514"/>
      <c r="BI192" s="30"/>
      <c r="BJ192" s="30"/>
      <c r="BK192" s="30"/>
      <c r="BL192" s="30"/>
      <c r="BM192" s="30"/>
      <c r="BN192" s="30"/>
      <c r="BO192" s="209"/>
      <c r="BP192" s="209"/>
      <c r="BQ192" s="785"/>
      <c r="BR192" s="820"/>
      <c r="BS192" s="820"/>
      <c r="BT192" s="30"/>
      <c r="BU192" s="800"/>
      <c r="BV192" s="800"/>
      <c r="BW192" s="209"/>
      <c r="CA192" s="787"/>
      <c r="DB192" s="773"/>
      <c r="DC192" s="773"/>
      <c r="DD192" s="773"/>
      <c r="DE192" s="773"/>
      <c r="DF192" s="773"/>
      <c r="DG192" s="773"/>
      <c r="DH192" s="773"/>
      <c r="DI192" s="773"/>
      <c r="DJ192" s="773"/>
      <c r="DK192" s="773"/>
      <c r="DL192" s="773"/>
      <c r="DM192" s="773"/>
      <c r="DN192" s="773"/>
      <c r="DO192" s="773"/>
      <c r="DP192" s="773"/>
      <c r="DQ192" s="773"/>
      <c r="DR192" s="773"/>
      <c r="DS192" s="773"/>
      <c r="DT192" s="773"/>
      <c r="DU192" s="773"/>
      <c r="DV192" s="773"/>
      <c r="DW192" s="773"/>
      <c r="DX192" s="773"/>
      <c r="DY192" s="773"/>
      <c r="DZ192" s="773"/>
      <c r="EA192" s="773"/>
      <c r="EB192" s="773"/>
      <c r="EC192" s="773"/>
      <c r="ED192" s="773"/>
      <c r="EE192" s="773"/>
      <c r="EF192" s="773"/>
      <c r="EG192" s="773"/>
      <c r="EH192" s="773"/>
      <c r="EI192" s="773"/>
      <c r="EJ192" s="773"/>
      <c r="EK192" s="773"/>
      <c r="EL192" s="773"/>
      <c r="EM192" s="773"/>
      <c r="EN192" s="773"/>
      <c r="EO192" s="773"/>
      <c r="EP192" s="773"/>
      <c r="EQ192" s="773"/>
      <c r="ER192" s="773"/>
      <c r="ES192" s="773"/>
      <c r="ET192" s="773"/>
      <c r="EU192" s="773"/>
      <c r="EV192" s="773"/>
      <c r="EW192" s="773"/>
      <c r="EX192" s="773"/>
      <c r="EY192" s="773"/>
      <c r="EZ192" s="773"/>
      <c r="FA192" s="773"/>
      <c r="FB192" s="773"/>
      <c r="FC192" s="773"/>
      <c r="FD192" s="773"/>
      <c r="FE192" s="773"/>
      <c r="FF192" s="773"/>
      <c r="FG192" s="773"/>
      <c r="FH192" s="773"/>
      <c r="FI192" s="773"/>
      <c r="FJ192" s="773"/>
      <c r="FK192" s="773"/>
      <c r="FL192" s="773"/>
      <c r="FM192" s="773"/>
      <c r="FN192" s="773"/>
      <c r="FO192" s="773"/>
      <c r="FP192" s="773"/>
      <c r="FQ192" s="773"/>
      <c r="FR192" s="773"/>
      <c r="FS192" s="773"/>
      <c r="FT192" s="773"/>
      <c r="FU192" s="773"/>
      <c r="FV192" s="773"/>
      <c r="FW192" s="773"/>
      <c r="FX192" s="773"/>
      <c r="FY192" s="773"/>
      <c r="FZ192" s="773"/>
      <c r="GA192" s="773"/>
      <c r="GB192" s="773"/>
      <c r="GC192" s="773"/>
      <c r="GD192" s="773"/>
      <c r="GE192" s="773"/>
      <c r="GF192" s="773"/>
      <c r="GG192" s="773"/>
      <c r="GH192" s="773"/>
      <c r="GI192" s="773"/>
      <c r="GJ192" s="773"/>
      <c r="GK192" s="773"/>
      <c r="GL192" s="773"/>
      <c r="GM192" s="773"/>
      <c r="GN192" s="773"/>
      <c r="GO192" s="773"/>
      <c r="GP192" s="773"/>
      <c r="GQ192" s="773"/>
      <c r="GR192" s="773"/>
      <c r="GS192" s="773"/>
      <c r="GT192" s="773"/>
      <c r="GU192" s="773"/>
      <c r="GV192" s="773"/>
      <c r="GW192" s="773"/>
      <c r="GX192" s="773"/>
      <c r="GY192" s="773"/>
      <c r="GZ192" s="773"/>
    </row>
    <row r="193" spans="1:208" s="11" customFormat="1">
      <c r="A193" s="774"/>
      <c r="B193" s="3761" t="s">
        <v>1350</v>
      </c>
      <c r="C193" s="197">
        <v>200121</v>
      </c>
      <c r="D193" s="801" t="s">
        <v>2198</v>
      </c>
      <c r="E193" s="809">
        <f>IFERROR(VLOOKUP(C193,'AJE 12 - INC'!$D$168:$F$345,3,0),0)</f>
        <v>0</v>
      </c>
      <c r="F193" s="1325">
        <f>SUMIF('AJE 12 - INC'!B:B,'New TB INC'!C193,'AJE 12 - INC'!D:D)</f>
        <v>0</v>
      </c>
      <c r="G193" s="107"/>
      <c r="H193" s="107"/>
      <c r="I193" s="107"/>
      <c r="J193" s="796">
        <f t="shared" si="12"/>
        <v>0</v>
      </c>
      <c r="K193" s="209"/>
      <c r="L193" s="434"/>
      <c r="M193" s="2679"/>
      <c r="N193" s="772"/>
      <c r="O193" s="772"/>
      <c r="P193" s="772"/>
      <c r="Q193" s="772"/>
      <c r="R193" s="772"/>
      <c r="S193" s="772"/>
      <c r="T193" s="773"/>
      <c r="AW193" s="2514"/>
      <c r="AX193" s="820"/>
      <c r="AY193" s="820"/>
      <c r="AZ193" s="820"/>
      <c r="BA193" s="30"/>
      <c r="BB193" s="30"/>
      <c r="BC193" s="2514"/>
      <c r="BD193" s="2514"/>
      <c r="BE193" s="2514"/>
      <c r="BF193" s="2514"/>
      <c r="BH193" s="2514"/>
      <c r="BI193" s="30"/>
      <c r="BJ193" s="30"/>
      <c r="BK193" s="30"/>
      <c r="BL193" s="30"/>
      <c r="BM193" s="30"/>
      <c r="BN193" s="30"/>
      <c r="BO193" s="209"/>
      <c r="BP193" s="209"/>
      <c r="BQ193" s="785"/>
      <c r="BR193" s="820"/>
      <c r="BS193" s="820"/>
      <c r="BT193" s="30"/>
      <c r="BU193" s="800"/>
      <c r="BV193" s="800"/>
      <c r="BW193" s="209"/>
      <c r="CA193" s="787"/>
      <c r="DB193" s="773"/>
      <c r="DC193" s="773"/>
      <c r="DD193" s="773"/>
      <c r="DE193" s="773"/>
      <c r="DF193" s="773"/>
      <c r="DG193" s="773"/>
      <c r="DH193" s="773"/>
      <c r="DI193" s="773"/>
      <c r="DJ193" s="773"/>
      <c r="DK193" s="773"/>
      <c r="DL193" s="773"/>
      <c r="DM193" s="773"/>
      <c r="DN193" s="773"/>
      <c r="DO193" s="773"/>
      <c r="DP193" s="773"/>
      <c r="DQ193" s="773"/>
      <c r="DR193" s="773"/>
      <c r="DS193" s="773"/>
      <c r="DT193" s="773"/>
      <c r="DU193" s="773"/>
      <c r="DV193" s="773"/>
      <c r="DW193" s="773"/>
      <c r="DX193" s="773"/>
      <c r="DY193" s="773"/>
      <c r="DZ193" s="773"/>
      <c r="EA193" s="773"/>
      <c r="EB193" s="773"/>
      <c r="EC193" s="773"/>
      <c r="ED193" s="773"/>
      <c r="EE193" s="773"/>
      <c r="EF193" s="773"/>
      <c r="EG193" s="773"/>
      <c r="EH193" s="773"/>
      <c r="EI193" s="773"/>
      <c r="EJ193" s="773"/>
      <c r="EK193" s="773"/>
      <c r="EL193" s="773"/>
      <c r="EM193" s="773"/>
      <c r="EN193" s="773"/>
      <c r="EO193" s="773"/>
      <c r="EP193" s="773"/>
      <c r="EQ193" s="773"/>
      <c r="ER193" s="773"/>
      <c r="ES193" s="773"/>
      <c r="ET193" s="773"/>
      <c r="EU193" s="773"/>
      <c r="EV193" s="773"/>
      <c r="EW193" s="773"/>
      <c r="EX193" s="773"/>
      <c r="EY193" s="773"/>
      <c r="EZ193" s="773"/>
      <c r="FA193" s="773"/>
      <c r="FB193" s="773"/>
      <c r="FC193" s="773"/>
      <c r="FD193" s="773"/>
      <c r="FE193" s="773"/>
      <c r="FF193" s="773"/>
      <c r="FG193" s="773"/>
      <c r="FH193" s="773"/>
      <c r="FI193" s="773"/>
      <c r="FJ193" s="773"/>
      <c r="FK193" s="773"/>
      <c r="FL193" s="773"/>
      <c r="FM193" s="773"/>
      <c r="FN193" s="773"/>
      <c r="FO193" s="773"/>
      <c r="FP193" s="773"/>
      <c r="FQ193" s="773"/>
      <c r="FR193" s="773"/>
      <c r="FS193" s="773"/>
      <c r="FT193" s="773"/>
      <c r="FU193" s="773"/>
      <c r="FV193" s="773"/>
      <c r="FW193" s="773"/>
      <c r="FX193" s="773"/>
      <c r="FY193" s="773"/>
      <c r="FZ193" s="773"/>
      <c r="GA193" s="773"/>
      <c r="GB193" s="773"/>
      <c r="GC193" s="773"/>
      <c r="GD193" s="773"/>
      <c r="GE193" s="773"/>
      <c r="GF193" s="773"/>
      <c r="GG193" s="773"/>
      <c r="GH193" s="773"/>
      <c r="GI193" s="773"/>
      <c r="GJ193" s="773"/>
      <c r="GK193" s="773"/>
      <c r="GL193" s="773"/>
      <c r="GM193" s="773"/>
      <c r="GN193" s="773"/>
      <c r="GO193" s="773"/>
      <c r="GP193" s="773"/>
      <c r="GQ193" s="773"/>
      <c r="GR193" s="773"/>
      <c r="GS193" s="773"/>
      <c r="GT193" s="773"/>
      <c r="GU193" s="773"/>
      <c r="GV193" s="773"/>
      <c r="GW193" s="773"/>
      <c r="GX193" s="773"/>
      <c r="GY193" s="773"/>
      <c r="GZ193" s="773"/>
    </row>
    <row r="194" spans="1:208" s="11" customFormat="1">
      <c r="A194" s="774"/>
      <c r="B194" s="3761" t="s">
        <v>1350</v>
      </c>
      <c r="C194" s="197">
        <v>201918</v>
      </c>
      <c r="D194" s="801" t="s">
        <v>2199</v>
      </c>
      <c r="E194" s="809">
        <f>IFERROR(VLOOKUP(C194,'AJE 12 - INC'!$D$168:$F$345,3,0),0)</f>
        <v>0</v>
      </c>
      <c r="F194" s="1325">
        <f>SUMIF('AJE 12 - INC'!B:B,'New TB INC'!C194,'AJE 12 - INC'!D:D)</f>
        <v>0</v>
      </c>
      <c r="G194" s="107"/>
      <c r="H194" s="107"/>
      <c r="I194" s="107"/>
      <c r="J194" s="796">
        <f t="shared" si="12"/>
        <v>0</v>
      </c>
      <c r="K194" s="209"/>
      <c r="L194" s="434"/>
      <c r="M194" s="2679"/>
      <c r="N194" s="772"/>
      <c r="O194" s="772"/>
      <c r="P194" s="772"/>
      <c r="Q194" s="772"/>
      <c r="R194" s="772"/>
      <c r="S194" s="772"/>
      <c r="T194" s="773"/>
      <c r="AW194" s="2514"/>
      <c r="AX194" s="820"/>
      <c r="AY194" s="820"/>
      <c r="AZ194" s="820"/>
      <c r="BA194" s="30"/>
      <c r="BB194" s="30"/>
      <c r="BC194" s="2514"/>
      <c r="BD194" s="2514"/>
      <c r="BE194" s="2514"/>
      <c r="BF194" s="2514"/>
      <c r="BH194" s="2514"/>
      <c r="BI194" s="30"/>
      <c r="BJ194" s="30"/>
      <c r="BK194" s="30"/>
      <c r="BL194" s="30"/>
      <c r="BM194" s="30"/>
      <c r="BN194" s="30"/>
      <c r="BO194" s="209"/>
      <c r="BP194" s="209"/>
      <c r="BQ194" s="785"/>
      <c r="BR194" s="820"/>
      <c r="BS194" s="820"/>
      <c r="BT194" s="30"/>
      <c r="BU194" s="800"/>
      <c r="BV194" s="800"/>
      <c r="BW194" s="209"/>
      <c r="CA194" s="787"/>
      <c r="DB194" s="773"/>
      <c r="DC194" s="773"/>
      <c r="DD194" s="773"/>
      <c r="DE194" s="773"/>
      <c r="DF194" s="773"/>
      <c r="DG194" s="773"/>
      <c r="DH194" s="773"/>
      <c r="DI194" s="773"/>
      <c r="DJ194" s="773"/>
      <c r="DK194" s="773"/>
      <c r="DL194" s="773"/>
      <c r="DM194" s="773"/>
      <c r="DN194" s="773"/>
      <c r="DO194" s="773"/>
      <c r="DP194" s="773"/>
      <c r="DQ194" s="773"/>
      <c r="DR194" s="773"/>
      <c r="DS194" s="773"/>
      <c r="DT194" s="773"/>
      <c r="DU194" s="773"/>
      <c r="DV194" s="773"/>
      <c r="DW194" s="773"/>
      <c r="DX194" s="773"/>
      <c r="DY194" s="773"/>
      <c r="DZ194" s="773"/>
      <c r="EA194" s="773"/>
      <c r="EB194" s="773"/>
      <c r="EC194" s="773"/>
      <c r="ED194" s="773"/>
      <c r="EE194" s="773"/>
      <c r="EF194" s="773"/>
      <c r="EG194" s="773"/>
      <c r="EH194" s="773"/>
      <c r="EI194" s="773"/>
      <c r="EJ194" s="773"/>
      <c r="EK194" s="773"/>
      <c r="EL194" s="773"/>
      <c r="EM194" s="773"/>
      <c r="EN194" s="773"/>
      <c r="EO194" s="773"/>
      <c r="EP194" s="773"/>
      <c r="EQ194" s="773"/>
      <c r="ER194" s="773"/>
      <c r="ES194" s="773"/>
      <c r="ET194" s="773"/>
      <c r="EU194" s="773"/>
      <c r="EV194" s="773"/>
      <c r="EW194" s="773"/>
      <c r="EX194" s="773"/>
      <c r="EY194" s="773"/>
      <c r="EZ194" s="773"/>
      <c r="FA194" s="773"/>
      <c r="FB194" s="773"/>
      <c r="FC194" s="773"/>
      <c r="FD194" s="773"/>
      <c r="FE194" s="773"/>
      <c r="FF194" s="773"/>
      <c r="FG194" s="773"/>
      <c r="FH194" s="773"/>
      <c r="FI194" s="773"/>
      <c r="FJ194" s="773"/>
      <c r="FK194" s="773"/>
      <c r="FL194" s="773"/>
      <c r="FM194" s="773"/>
      <c r="FN194" s="773"/>
      <c r="FO194" s="773"/>
      <c r="FP194" s="773"/>
      <c r="FQ194" s="773"/>
      <c r="FR194" s="773"/>
      <c r="FS194" s="773"/>
      <c r="FT194" s="773"/>
      <c r="FU194" s="773"/>
      <c r="FV194" s="773"/>
      <c r="FW194" s="773"/>
      <c r="FX194" s="773"/>
      <c r="FY194" s="773"/>
      <c r="FZ194" s="773"/>
      <c r="GA194" s="773"/>
      <c r="GB194" s="773"/>
      <c r="GC194" s="773"/>
      <c r="GD194" s="773"/>
      <c r="GE194" s="773"/>
      <c r="GF194" s="773"/>
      <c r="GG194" s="773"/>
      <c r="GH194" s="773"/>
      <c r="GI194" s="773"/>
      <c r="GJ194" s="773"/>
      <c r="GK194" s="773"/>
      <c r="GL194" s="773"/>
      <c r="GM194" s="773"/>
      <c r="GN194" s="773"/>
      <c r="GO194" s="773"/>
      <c r="GP194" s="773"/>
      <c r="GQ194" s="773"/>
      <c r="GR194" s="773"/>
      <c r="GS194" s="773"/>
      <c r="GT194" s="773"/>
      <c r="GU194" s="773"/>
      <c r="GV194" s="773"/>
      <c r="GW194" s="773"/>
      <c r="GX194" s="773"/>
      <c r="GY194" s="773"/>
      <c r="GZ194" s="773"/>
    </row>
    <row r="195" spans="1:208" s="11" customFormat="1">
      <c r="A195" s="774"/>
      <c r="B195" s="3761" t="s">
        <v>1350</v>
      </c>
      <c r="C195" s="197">
        <v>202014</v>
      </c>
      <c r="D195" s="801" t="s">
        <v>2200</v>
      </c>
      <c r="E195" s="809">
        <f>IFERROR(VLOOKUP(C195,'AJE 12 - INC'!$D$168:$F$345,3,0),0)</f>
        <v>0</v>
      </c>
      <c r="F195" s="1325">
        <f>SUMIF('AJE 12 - INC'!B:B,'New TB INC'!C195,'AJE 12 - INC'!D:D)</f>
        <v>0</v>
      </c>
      <c r="G195" s="107"/>
      <c r="H195" s="107"/>
      <c r="I195" s="107"/>
      <c r="J195" s="796">
        <f t="shared" si="12"/>
        <v>0</v>
      </c>
      <c r="K195" s="209"/>
      <c r="L195" s="434"/>
      <c r="M195" s="2679"/>
      <c r="N195" s="772"/>
      <c r="O195" s="772"/>
      <c r="P195" s="772"/>
      <c r="Q195" s="772"/>
      <c r="R195" s="772"/>
      <c r="S195" s="772"/>
      <c r="T195" s="773"/>
      <c r="AW195" s="2514"/>
      <c r="AX195" s="820"/>
      <c r="AY195" s="820"/>
      <c r="AZ195" s="820"/>
      <c r="BA195" s="30"/>
      <c r="BB195" s="30"/>
      <c r="BC195" s="2514"/>
      <c r="BD195" s="2514"/>
      <c r="BE195" s="2514"/>
      <c r="BF195" s="2514"/>
      <c r="BH195" s="2514"/>
      <c r="BI195" s="30"/>
      <c r="BJ195" s="30"/>
      <c r="BK195" s="30"/>
      <c r="BL195" s="30"/>
      <c r="BM195" s="30"/>
      <c r="BN195" s="30"/>
      <c r="BO195" s="209"/>
      <c r="BP195" s="209"/>
      <c r="BQ195" s="785"/>
      <c r="BR195" s="820"/>
      <c r="BS195" s="820"/>
      <c r="BT195" s="30"/>
      <c r="BU195" s="800"/>
      <c r="BV195" s="800"/>
      <c r="BW195" s="209"/>
      <c r="CA195" s="787"/>
      <c r="DB195" s="773"/>
      <c r="DC195" s="773"/>
      <c r="DD195" s="773"/>
      <c r="DE195" s="773"/>
      <c r="DF195" s="773"/>
      <c r="DG195" s="773"/>
      <c r="DH195" s="773"/>
      <c r="DI195" s="773"/>
      <c r="DJ195" s="773"/>
      <c r="DK195" s="773"/>
      <c r="DL195" s="773"/>
      <c r="DM195" s="773"/>
      <c r="DN195" s="773"/>
      <c r="DO195" s="773"/>
      <c r="DP195" s="773"/>
      <c r="DQ195" s="773"/>
      <c r="DR195" s="773"/>
      <c r="DS195" s="773"/>
      <c r="DT195" s="773"/>
      <c r="DU195" s="773"/>
      <c r="DV195" s="773"/>
      <c r="DW195" s="773"/>
      <c r="DX195" s="773"/>
      <c r="DY195" s="773"/>
      <c r="DZ195" s="773"/>
      <c r="EA195" s="773"/>
      <c r="EB195" s="773"/>
      <c r="EC195" s="773"/>
      <c r="ED195" s="773"/>
      <c r="EE195" s="773"/>
      <c r="EF195" s="773"/>
      <c r="EG195" s="773"/>
      <c r="EH195" s="773"/>
      <c r="EI195" s="773"/>
      <c r="EJ195" s="773"/>
      <c r="EK195" s="773"/>
      <c r="EL195" s="773"/>
      <c r="EM195" s="773"/>
      <c r="EN195" s="773"/>
      <c r="EO195" s="773"/>
      <c r="EP195" s="773"/>
      <c r="EQ195" s="773"/>
      <c r="ER195" s="773"/>
      <c r="ES195" s="773"/>
      <c r="ET195" s="773"/>
      <c r="EU195" s="773"/>
      <c r="EV195" s="773"/>
      <c r="EW195" s="773"/>
      <c r="EX195" s="773"/>
      <c r="EY195" s="773"/>
      <c r="EZ195" s="773"/>
      <c r="FA195" s="773"/>
      <c r="FB195" s="773"/>
      <c r="FC195" s="773"/>
      <c r="FD195" s="773"/>
      <c r="FE195" s="773"/>
      <c r="FF195" s="773"/>
      <c r="FG195" s="773"/>
      <c r="FH195" s="773"/>
      <c r="FI195" s="773"/>
      <c r="FJ195" s="773"/>
      <c r="FK195" s="773"/>
      <c r="FL195" s="773"/>
      <c r="FM195" s="773"/>
      <c r="FN195" s="773"/>
      <c r="FO195" s="773"/>
      <c r="FP195" s="773"/>
      <c r="FQ195" s="773"/>
      <c r="FR195" s="773"/>
      <c r="FS195" s="773"/>
      <c r="FT195" s="773"/>
      <c r="FU195" s="773"/>
      <c r="FV195" s="773"/>
      <c r="FW195" s="773"/>
      <c r="FX195" s="773"/>
      <c r="FY195" s="773"/>
      <c r="FZ195" s="773"/>
      <c r="GA195" s="773"/>
      <c r="GB195" s="773"/>
      <c r="GC195" s="773"/>
      <c r="GD195" s="773"/>
      <c r="GE195" s="773"/>
      <c r="GF195" s="773"/>
      <c r="GG195" s="773"/>
      <c r="GH195" s="773"/>
      <c r="GI195" s="773"/>
      <c r="GJ195" s="773"/>
      <c r="GK195" s="773"/>
      <c r="GL195" s="773"/>
      <c r="GM195" s="773"/>
      <c r="GN195" s="773"/>
      <c r="GO195" s="773"/>
      <c r="GP195" s="773"/>
      <c r="GQ195" s="773"/>
      <c r="GR195" s="773"/>
      <c r="GS195" s="773"/>
      <c r="GT195" s="773"/>
      <c r="GU195" s="773"/>
      <c r="GV195" s="773"/>
      <c r="GW195" s="773"/>
      <c r="GX195" s="773"/>
      <c r="GY195" s="773"/>
      <c r="GZ195" s="773"/>
    </row>
    <row r="196" spans="1:208" s="11" customFormat="1">
      <c r="A196" s="774"/>
      <c r="B196" s="3761" t="s">
        <v>1350</v>
      </c>
      <c r="C196" s="197">
        <v>207464</v>
      </c>
      <c r="D196" s="801" t="s">
        <v>2227</v>
      </c>
      <c r="E196" s="809">
        <f>IFERROR(VLOOKUP(C196,'AJE 12 - INC'!$D$168:$F$345,3,0),0)</f>
        <v>329534.90999999997</v>
      </c>
      <c r="F196" s="1325">
        <f>SUMIF('AJE 12 - INC'!B:B,'New TB INC'!C196,'AJE 12 - INC'!D:D)</f>
        <v>0</v>
      </c>
      <c r="G196" s="107"/>
      <c r="H196" s="107"/>
      <c r="I196" s="107"/>
      <c r="J196" s="796">
        <f t="shared" si="12"/>
        <v>329534.90999999997</v>
      </c>
      <c r="K196" s="209"/>
      <c r="L196" s="434"/>
      <c r="M196" s="2679" t="s">
        <v>4720</v>
      </c>
      <c r="N196" s="772"/>
      <c r="O196" s="772"/>
      <c r="P196" s="772"/>
      <c r="Q196" s="772"/>
      <c r="R196" s="772"/>
      <c r="S196" s="772"/>
      <c r="T196" s="773"/>
      <c r="AW196" s="2514"/>
      <c r="AX196" s="820"/>
      <c r="AY196" s="820"/>
      <c r="AZ196" s="820"/>
      <c r="BA196" s="30"/>
      <c r="BB196" s="30"/>
      <c r="BC196" s="2514"/>
      <c r="BD196" s="2514"/>
      <c r="BE196" s="2514"/>
      <c r="BF196" s="2514"/>
      <c r="BH196" s="2514"/>
      <c r="BI196" s="30"/>
      <c r="BJ196" s="30"/>
      <c r="BK196" s="30"/>
      <c r="BL196" s="30"/>
      <c r="BM196" s="30"/>
      <c r="BN196" s="30"/>
      <c r="BO196" s="209"/>
      <c r="BP196" s="209"/>
      <c r="BQ196" s="785"/>
      <c r="BR196" s="820"/>
      <c r="BS196" s="820"/>
      <c r="BT196" s="30"/>
      <c r="BU196" s="800"/>
      <c r="BV196" s="800"/>
      <c r="BW196" s="209"/>
      <c r="CA196" s="787"/>
      <c r="DB196" s="773"/>
      <c r="DC196" s="773"/>
      <c r="DD196" s="773"/>
      <c r="DE196" s="773"/>
      <c r="DF196" s="773"/>
      <c r="DG196" s="773"/>
      <c r="DH196" s="773"/>
      <c r="DI196" s="773"/>
      <c r="DJ196" s="773"/>
      <c r="DK196" s="773"/>
      <c r="DL196" s="773"/>
      <c r="DM196" s="773"/>
      <c r="DN196" s="773"/>
      <c r="DO196" s="773"/>
      <c r="DP196" s="773"/>
      <c r="DQ196" s="773"/>
      <c r="DR196" s="773"/>
      <c r="DS196" s="773"/>
      <c r="DT196" s="773"/>
      <c r="DU196" s="773"/>
      <c r="DV196" s="773"/>
      <c r="DW196" s="773"/>
      <c r="DX196" s="773"/>
      <c r="DY196" s="773"/>
      <c r="DZ196" s="773"/>
      <c r="EA196" s="773"/>
      <c r="EB196" s="773"/>
      <c r="EC196" s="773"/>
      <c r="ED196" s="773"/>
      <c r="EE196" s="773"/>
      <c r="EF196" s="773"/>
      <c r="EG196" s="773"/>
      <c r="EH196" s="773"/>
      <c r="EI196" s="773"/>
      <c r="EJ196" s="773"/>
      <c r="EK196" s="773"/>
      <c r="EL196" s="773"/>
      <c r="EM196" s="773"/>
      <c r="EN196" s="773"/>
      <c r="EO196" s="773"/>
      <c r="EP196" s="773"/>
      <c r="EQ196" s="773"/>
      <c r="ER196" s="773"/>
      <c r="ES196" s="773"/>
      <c r="ET196" s="773"/>
      <c r="EU196" s="773"/>
      <c r="EV196" s="773"/>
      <c r="EW196" s="773"/>
      <c r="EX196" s="773"/>
      <c r="EY196" s="773"/>
      <c r="EZ196" s="773"/>
      <c r="FA196" s="773"/>
      <c r="FB196" s="773"/>
      <c r="FC196" s="773"/>
      <c r="FD196" s="773"/>
      <c r="FE196" s="773"/>
      <c r="FF196" s="773"/>
      <c r="FG196" s="773"/>
      <c r="FH196" s="773"/>
      <c r="FI196" s="773"/>
      <c r="FJ196" s="773"/>
      <c r="FK196" s="773"/>
      <c r="FL196" s="773"/>
      <c r="FM196" s="773"/>
      <c r="FN196" s="773"/>
      <c r="FO196" s="773"/>
      <c r="FP196" s="773"/>
      <c r="FQ196" s="773"/>
      <c r="FR196" s="773"/>
      <c r="FS196" s="773"/>
      <c r="FT196" s="773"/>
      <c r="FU196" s="773"/>
      <c r="FV196" s="773"/>
      <c r="FW196" s="773"/>
      <c r="FX196" s="773"/>
      <c r="FY196" s="773"/>
      <c r="FZ196" s="773"/>
      <c r="GA196" s="773"/>
      <c r="GB196" s="773"/>
      <c r="GC196" s="773"/>
      <c r="GD196" s="773"/>
      <c r="GE196" s="773"/>
      <c r="GF196" s="773"/>
      <c r="GG196" s="773"/>
      <c r="GH196" s="773"/>
      <c r="GI196" s="773"/>
      <c r="GJ196" s="773"/>
      <c r="GK196" s="773"/>
      <c r="GL196" s="773"/>
      <c r="GM196" s="773"/>
      <c r="GN196" s="773"/>
      <c r="GO196" s="773"/>
      <c r="GP196" s="773"/>
      <c r="GQ196" s="773"/>
      <c r="GR196" s="773"/>
      <c r="GS196" s="773"/>
      <c r="GT196" s="773"/>
      <c r="GU196" s="773"/>
      <c r="GV196" s="773"/>
      <c r="GW196" s="773"/>
      <c r="GX196" s="773"/>
      <c r="GY196" s="773"/>
      <c r="GZ196" s="773"/>
    </row>
    <row r="197" spans="1:208" s="11" customFormat="1">
      <c r="A197" s="774"/>
      <c r="B197" s="3761" t="s">
        <v>1350</v>
      </c>
      <c r="C197" s="197">
        <v>202025</v>
      </c>
      <c r="D197" s="801" t="s">
        <v>1893</v>
      </c>
      <c r="E197" s="809">
        <f>IFERROR(VLOOKUP(C197,'AJE 12 - INC'!$D$168:$F$345,3,0),0)</f>
        <v>0</v>
      </c>
      <c r="F197" s="1325">
        <f>SUMIF('AJE 12 - INC'!B:B,'New TB INC'!C197,'AJE 12 - INC'!D:D)</f>
        <v>0</v>
      </c>
      <c r="G197" s="107"/>
      <c r="H197" s="107"/>
      <c r="I197" s="107"/>
      <c r="J197" s="796">
        <f t="shared" si="12"/>
        <v>0</v>
      </c>
      <c r="K197" s="209"/>
      <c r="L197" s="434"/>
      <c r="M197" s="2679"/>
      <c r="N197" s="772"/>
      <c r="O197" s="772"/>
      <c r="P197" s="772"/>
      <c r="Q197" s="772"/>
      <c r="R197" s="772"/>
      <c r="S197" s="772"/>
      <c r="T197" s="773"/>
      <c r="AW197" s="2514"/>
      <c r="AX197" s="820"/>
      <c r="AY197" s="820"/>
      <c r="AZ197" s="820"/>
      <c r="BA197" s="30"/>
      <c r="BB197" s="30"/>
      <c r="BC197" s="2514"/>
      <c r="BD197" s="2514"/>
      <c r="BE197" s="2514"/>
      <c r="BF197" s="2514"/>
      <c r="BH197" s="2514"/>
      <c r="BI197" s="30"/>
      <c r="BJ197" s="30"/>
      <c r="BK197" s="30"/>
      <c r="BL197" s="30"/>
      <c r="BM197" s="30"/>
      <c r="BN197" s="30"/>
      <c r="BO197" s="209"/>
      <c r="BP197" s="209"/>
      <c r="BQ197" s="785"/>
      <c r="BR197" s="820"/>
      <c r="BS197" s="820"/>
      <c r="BT197" s="30"/>
      <c r="BU197" s="800"/>
      <c r="BV197" s="800"/>
      <c r="BW197" s="209"/>
      <c r="CA197" s="787"/>
      <c r="DB197" s="773"/>
      <c r="DC197" s="773"/>
      <c r="DD197" s="773"/>
      <c r="DE197" s="773"/>
      <c r="DF197" s="773"/>
      <c r="DG197" s="773"/>
      <c r="DH197" s="773"/>
      <c r="DI197" s="773"/>
      <c r="DJ197" s="773"/>
      <c r="DK197" s="773"/>
      <c r="DL197" s="773"/>
      <c r="DM197" s="773"/>
      <c r="DN197" s="773"/>
      <c r="DO197" s="773"/>
      <c r="DP197" s="773"/>
      <c r="DQ197" s="773"/>
      <c r="DR197" s="773"/>
      <c r="DS197" s="773"/>
      <c r="DT197" s="773"/>
      <c r="DU197" s="773"/>
      <c r="DV197" s="773"/>
      <c r="DW197" s="773"/>
      <c r="DX197" s="773"/>
      <c r="DY197" s="773"/>
      <c r="DZ197" s="773"/>
      <c r="EA197" s="773"/>
      <c r="EB197" s="773"/>
      <c r="EC197" s="773"/>
      <c r="ED197" s="773"/>
      <c r="EE197" s="773"/>
      <c r="EF197" s="773"/>
      <c r="EG197" s="773"/>
      <c r="EH197" s="773"/>
      <c r="EI197" s="773"/>
      <c r="EJ197" s="773"/>
      <c r="EK197" s="773"/>
      <c r="EL197" s="773"/>
      <c r="EM197" s="773"/>
      <c r="EN197" s="773"/>
      <c r="EO197" s="773"/>
      <c r="EP197" s="773"/>
      <c r="EQ197" s="773"/>
      <c r="ER197" s="773"/>
      <c r="ES197" s="773"/>
      <c r="ET197" s="773"/>
      <c r="EU197" s="773"/>
      <c r="EV197" s="773"/>
      <c r="EW197" s="773"/>
      <c r="EX197" s="773"/>
      <c r="EY197" s="773"/>
      <c r="EZ197" s="773"/>
      <c r="FA197" s="773"/>
      <c r="FB197" s="773"/>
      <c r="FC197" s="773"/>
      <c r="FD197" s="773"/>
      <c r="FE197" s="773"/>
      <c r="FF197" s="773"/>
      <c r="FG197" s="773"/>
      <c r="FH197" s="773"/>
      <c r="FI197" s="773"/>
      <c r="FJ197" s="773"/>
      <c r="FK197" s="773"/>
      <c r="FL197" s="773"/>
      <c r="FM197" s="773"/>
      <c r="FN197" s="773"/>
      <c r="FO197" s="773"/>
      <c r="FP197" s="773"/>
      <c r="FQ197" s="773"/>
      <c r="FR197" s="773"/>
      <c r="FS197" s="773"/>
      <c r="FT197" s="773"/>
      <c r="FU197" s="773"/>
      <c r="FV197" s="773"/>
      <c r="FW197" s="773"/>
      <c r="FX197" s="773"/>
      <c r="FY197" s="773"/>
      <c r="FZ197" s="773"/>
      <c r="GA197" s="773"/>
      <c r="GB197" s="773"/>
      <c r="GC197" s="773"/>
      <c r="GD197" s="773"/>
      <c r="GE197" s="773"/>
      <c r="GF197" s="773"/>
      <c r="GG197" s="773"/>
      <c r="GH197" s="773"/>
      <c r="GI197" s="773"/>
      <c r="GJ197" s="773"/>
      <c r="GK197" s="773"/>
      <c r="GL197" s="773"/>
      <c r="GM197" s="773"/>
      <c r="GN197" s="773"/>
      <c r="GO197" s="773"/>
      <c r="GP197" s="773"/>
      <c r="GQ197" s="773"/>
      <c r="GR197" s="773"/>
      <c r="GS197" s="773"/>
      <c r="GT197" s="773"/>
      <c r="GU197" s="773"/>
      <c r="GV197" s="773"/>
      <c r="GW197" s="773"/>
      <c r="GX197" s="773"/>
      <c r="GY197" s="773"/>
      <c r="GZ197" s="773"/>
    </row>
    <row r="198" spans="1:208" s="11" customFormat="1">
      <c r="A198" s="774"/>
      <c r="B198" s="3761" t="s">
        <v>1350</v>
      </c>
      <c r="C198" s="197">
        <v>203724</v>
      </c>
      <c r="D198" s="801" t="s">
        <v>1894</v>
      </c>
      <c r="E198" s="809">
        <f>IFERROR(VLOOKUP(C198,'AJE 12 - INC'!$D$168:$F$345,3,0),0)</f>
        <v>0</v>
      </c>
      <c r="F198" s="1325">
        <f>SUMIF('AJE 12 - INC'!B:B,'New TB INC'!C198,'AJE 12 - INC'!D:D)</f>
        <v>0</v>
      </c>
      <c r="G198" s="107"/>
      <c r="H198" s="107"/>
      <c r="I198" s="107"/>
      <c r="J198" s="796">
        <f t="shared" si="12"/>
        <v>0</v>
      </c>
      <c r="K198" s="209"/>
      <c r="L198" s="434"/>
      <c r="M198" s="2679"/>
      <c r="N198" s="772"/>
      <c r="O198" s="772"/>
      <c r="P198" s="772"/>
      <c r="Q198" s="772"/>
      <c r="R198" s="772"/>
      <c r="S198" s="772"/>
      <c r="T198" s="773"/>
      <c r="AW198" s="2514"/>
      <c r="AX198" s="820"/>
      <c r="AY198" s="820"/>
      <c r="AZ198" s="820"/>
      <c r="BA198" s="30"/>
      <c r="BB198" s="30"/>
      <c r="BC198" s="2514"/>
      <c r="BD198" s="2514"/>
      <c r="BE198" s="2514"/>
      <c r="BF198" s="2514"/>
      <c r="BH198" s="2514"/>
      <c r="BI198" s="30"/>
      <c r="BJ198" s="30"/>
      <c r="BK198" s="30"/>
      <c r="BL198" s="30"/>
      <c r="BM198" s="30"/>
      <c r="BN198" s="30"/>
      <c r="BO198" s="209"/>
      <c r="BP198" s="209"/>
      <c r="BQ198" s="785"/>
      <c r="BR198" s="820"/>
      <c r="BS198" s="820"/>
      <c r="BT198" s="30"/>
      <c r="BU198" s="800"/>
      <c r="BV198" s="800"/>
      <c r="BW198" s="209"/>
      <c r="CA198" s="787"/>
      <c r="DB198" s="773"/>
      <c r="DC198" s="773"/>
      <c r="DD198" s="773"/>
      <c r="DE198" s="773"/>
      <c r="DF198" s="773"/>
      <c r="DG198" s="773"/>
      <c r="DH198" s="773"/>
      <c r="DI198" s="773"/>
      <c r="DJ198" s="773"/>
      <c r="DK198" s="773"/>
      <c r="DL198" s="773"/>
      <c r="DM198" s="773"/>
      <c r="DN198" s="773"/>
      <c r="DO198" s="773"/>
      <c r="DP198" s="773"/>
      <c r="DQ198" s="773"/>
      <c r="DR198" s="773"/>
      <c r="DS198" s="773"/>
      <c r="DT198" s="773"/>
      <c r="DU198" s="773"/>
      <c r="DV198" s="773"/>
      <c r="DW198" s="773"/>
      <c r="DX198" s="773"/>
      <c r="DY198" s="773"/>
      <c r="DZ198" s="773"/>
      <c r="EA198" s="773"/>
      <c r="EB198" s="773"/>
      <c r="EC198" s="773"/>
      <c r="ED198" s="773"/>
      <c r="EE198" s="773"/>
      <c r="EF198" s="773"/>
      <c r="EG198" s="773"/>
      <c r="EH198" s="773"/>
      <c r="EI198" s="773"/>
      <c r="EJ198" s="773"/>
      <c r="EK198" s="773"/>
      <c r="EL198" s="773"/>
      <c r="EM198" s="773"/>
      <c r="EN198" s="773"/>
      <c r="EO198" s="773"/>
      <c r="EP198" s="773"/>
      <c r="EQ198" s="773"/>
      <c r="ER198" s="773"/>
      <c r="ES198" s="773"/>
      <c r="ET198" s="773"/>
      <c r="EU198" s="773"/>
      <c r="EV198" s="773"/>
      <c r="EW198" s="773"/>
      <c r="EX198" s="773"/>
      <c r="EY198" s="773"/>
      <c r="EZ198" s="773"/>
      <c r="FA198" s="773"/>
      <c r="FB198" s="773"/>
      <c r="FC198" s="773"/>
      <c r="FD198" s="773"/>
      <c r="FE198" s="773"/>
      <c r="FF198" s="773"/>
      <c r="FG198" s="773"/>
      <c r="FH198" s="773"/>
      <c r="FI198" s="773"/>
      <c r="FJ198" s="773"/>
      <c r="FK198" s="773"/>
      <c r="FL198" s="773"/>
      <c r="FM198" s="773"/>
      <c r="FN198" s="773"/>
      <c r="FO198" s="773"/>
      <c r="FP198" s="773"/>
      <c r="FQ198" s="773"/>
      <c r="FR198" s="773"/>
      <c r="FS198" s="773"/>
      <c r="FT198" s="773"/>
      <c r="FU198" s="773"/>
      <c r="FV198" s="773"/>
      <c r="FW198" s="773"/>
      <c r="FX198" s="773"/>
      <c r="FY198" s="773"/>
      <c r="FZ198" s="773"/>
      <c r="GA198" s="773"/>
      <c r="GB198" s="773"/>
      <c r="GC198" s="773"/>
      <c r="GD198" s="773"/>
      <c r="GE198" s="773"/>
      <c r="GF198" s="773"/>
      <c r="GG198" s="773"/>
      <c r="GH198" s="773"/>
      <c r="GI198" s="773"/>
      <c r="GJ198" s="773"/>
      <c r="GK198" s="773"/>
      <c r="GL198" s="773"/>
      <c r="GM198" s="773"/>
      <c r="GN198" s="773"/>
      <c r="GO198" s="773"/>
      <c r="GP198" s="773"/>
      <c r="GQ198" s="773"/>
      <c r="GR198" s="773"/>
      <c r="GS198" s="773"/>
      <c r="GT198" s="773"/>
      <c r="GU198" s="773"/>
      <c r="GV198" s="773"/>
      <c r="GW198" s="773"/>
      <c r="GX198" s="773"/>
      <c r="GY198" s="773"/>
      <c r="GZ198" s="773"/>
    </row>
    <row r="199" spans="1:208" s="11" customFormat="1">
      <c r="A199" s="774"/>
      <c r="B199" s="3761" t="s">
        <v>1350</v>
      </c>
      <c r="C199" s="197">
        <v>206106</v>
      </c>
      <c r="D199" s="801" t="s">
        <v>2225</v>
      </c>
      <c r="E199" s="809">
        <f>IFERROR(VLOOKUP(C199,'AJE 12 - INC'!$D$168:$F$345,3,0),0)</f>
        <v>0</v>
      </c>
      <c r="F199" s="1325">
        <f>SUMIF('AJE 12 - INC'!B:B,'New TB INC'!C199,'AJE 12 - INC'!D:D)</f>
        <v>0</v>
      </c>
      <c r="G199" s="107"/>
      <c r="H199" s="107"/>
      <c r="I199" s="107"/>
      <c r="J199" s="796">
        <f t="shared" si="12"/>
        <v>0</v>
      </c>
      <c r="K199" s="209"/>
      <c r="L199" s="434"/>
      <c r="M199" s="2679"/>
      <c r="N199" s="772"/>
      <c r="O199" s="772"/>
      <c r="P199" s="772"/>
      <c r="Q199" s="772"/>
      <c r="R199" s="772"/>
      <c r="S199" s="772"/>
      <c r="T199" s="773"/>
      <c r="AW199" s="2514"/>
      <c r="AX199" s="820"/>
      <c r="AY199" s="820"/>
      <c r="AZ199" s="820"/>
      <c r="BA199" s="30"/>
      <c r="BB199" s="30"/>
      <c r="BC199" s="2514"/>
      <c r="BD199" s="2514"/>
      <c r="BE199" s="2514"/>
      <c r="BF199" s="2514"/>
      <c r="BH199" s="2514"/>
      <c r="BI199" s="30"/>
      <c r="BJ199" s="30"/>
      <c r="BK199" s="30"/>
      <c r="BL199" s="30"/>
      <c r="BM199" s="30"/>
      <c r="BN199" s="30"/>
      <c r="BO199" s="209"/>
      <c r="BP199" s="209"/>
      <c r="BQ199" s="785"/>
      <c r="BR199" s="820"/>
      <c r="BS199" s="820"/>
      <c r="BT199" s="30"/>
      <c r="BU199" s="800"/>
      <c r="BV199" s="800"/>
      <c r="BW199" s="209"/>
      <c r="CA199" s="787"/>
      <c r="DB199" s="773"/>
      <c r="DC199" s="773"/>
      <c r="DD199" s="773"/>
      <c r="DE199" s="773"/>
      <c r="DF199" s="773"/>
      <c r="DG199" s="773"/>
      <c r="DH199" s="773"/>
      <c r="DI199" s="773"/>
      <c r="DJ199" s="773"/>
      <c r="DK199" s="773"/>
      <c r="DL199" s="773"/>
      <c r="DM199" s="773"/>
      <c r="DN199" s="773"/>
      <c r="DO199" s="773"/>
      <c r="DP199" s="773"/>
      <c r="DQ199" s="773"/>
      <c r="DR199" s="773"/>
      <c r="DS199" s="773"/>
      <c r="DT199" s="773"/>
      <c r="DU199" s="773"/>
      <c r="DV199" s="773"/>
      <c r="DW199" s="773"/>
      <c r="DX199" s="773"/>
      <c r="DY199" s="773"/>
      <c r="DZ199" s="773"/>
      <c r="EA199" s="773"/>
      <c r="EB199" s="773"/>
      <c r="EC199" s="773"/>
      <c r="ED199" s="773"/>
      <c r="EE199" s="773"/>
      <c r="EF199" s="773"/>
      <c r="EG199" s="773"/>
      <c r="EH199" s="773"/>
      <c r="EI199" s="773"/>
      <c r="EJ199" s="773"/>
      <c r="EK199" s="773"/>
      <c r="EL199" s="773"/>
      <c r="EM199" s="773"/>
      <c r="EN199" s="773"/>
      <c r="EO199" s="773"/>
      <c r="EP199" s="773"/>
      <c r="EQ199" s="773"/>
      <c r="ER199" s="773"/>
      <c r="ES199" s="773"/>
      <c r="ET199" s="773"/>
      <c r="EU199" s="773"/>
      <c r="EV199" s="773"/>
      <c r="EW199" s="773"/>
      <c r="EX199" s="773"/>
      <c r="EY199" s="773"/>
      <c r="EZ199" s="773"/>
      <c r="FA199" s="773"/>
      <c r="FB199" s="773"/>
      <c r="FC199" s="773"/>
      <c r="FD199" s="773"/>
      <c r="FE199" s="773"/>
      <c r="FF199" s="773"/>
      <c r="FG199" s="773"/>
      <c r="FH199" s="773"/>
      <c r="FI199" s="773"/>
      <c r="FJ199" s="773"/>
      <c r="FK199" s="773"/>
      <c r="FL199" s="773"/>
      <c r="FM199" s="773"/>
      <c r="FN199" s="773"/>
      <c r="FO199" s="773"/>
      <c r="FP199" s="773"/>
      <c r="FQ199" s="773"/>
      <c r="FR199" s="773"/>
      <c r="FS199" s="773"/>
      <c r="FT199" s="773"/>
      <c r="FU199" s="773"/>
      <c r="FV199" s="773"/>
      <c r="FW199" s="773"/>
      <c r="FX199" s="773"/>
      <c r="FY199" s="773"/>
      <c r="FZ199" s="773"/>
      <c r="GA199" s="773"/>
      <c r="GB199" s="773"/>
      <c r="GC199" s="773"/>
      <c r="GD199" s="773"/>
      <c r="GE199" s="773"/>
      <c r="GF199" s="773"/>
      <c r="GG199" s="773"/>
      <c r="GH199" s="773"/>
      <c r="GI199" s="773"/>
      <c r="GJ199" s="773"/>
      <c r="GK199" s="773"/>
      <c r="GL199" s="773"/>
      <c r="GM199" s="773"/>
      <c r="GN199" s="773"/>
      <c r="GO199" s="773"/>
      <c r="GP199" s="773"/>
      <c r="GQ199" s="773"/>
      <c r="GR199" s="773"/>
      <c r="GS199" s="773"/>
      <c r="GT199" s="773"/>
      <c r="GU199" s="773"/>
      <c r="GV199" s="773"/>
      <c r="GW199" s="773"/>
      <c r="GX199" s="773"/>
      <c r="GY199" s="773"/>
      <c r="GZ199" s="773"/>
    </row>
    <row r="200" spans="1:208" s="11" customFormat="1">
      <c r="A200" s="774"/>
      <c r="B200" s="3761" t="s">
        <v>1350</v>
      </c>
      <c r="C200" s="197">
        <v>206378</v>
      </c>
      <c r="D200" s="801" t="s">
        <v>2226</v>
      </c>
      <c r="E200" s="809">
        <f>IFERROR(VLOOKUP(C200,'AJE 12 - INC'!$D$168:$F$345,3,0),0)</f>
        <v>0</v>
      </c>
      <c r="F200" s="1325">
        <f>SUMIF('AJE 12 - INC'!B:B,'New TB INC'!C200,'AJE 12 - INC'!D:D)</f>
        <v>0</v>
      </c>
      <c r="G200" s="107"/>
      <c r="H200" s="107"/>
      <c r="I200" s="107"/>
      <c r="J200" s="796">
        <f t="shared" si="12"/>
        <v>0</v>
      </c>
      <c r="K200" s="209"/>
      <c r="L200" s="434"/>
      <c r="M200" s="2679"/>
      <c r="N200" s="772"/>
      <c r="O200" s="772"/>
      <c r="P200" s="772"/>
      <c r="Q200" s="772"/>
      <c r="R200" s="772"/>
      <c r="S200" s="772"/>
      <c r="T200" s="773"/>
      <c r="AW200" s="2514"/>
      <c r="AX200" s="820"/>
      <c r="AY200" s="820"/>
      <c r="AZ200" s="820"/>
      <c r="BA200" s="30"/>
      <c r="BB200" s="30"/>
      <c r="BC200" s="2514"/>
      <c r="BD200" s="2514"/>
      <c r="BE200" s="2514"/>
      <c r="BF200" s="2514"/>
      <c r="BH200" s="2514"/>
      <c r="BI200" s="30"/>
      <c r="BJ200" s="30"/>
      <c r="BK200" s="30"/>
      <c r="BL200" s="30"/>
      <c r="BM200" s="30"/>
      <c r="BN200" s="30"/>
      <c r="BO200" s="209"/>
      <c r="BP200" s="209"/>
      <c r="BQ200" s="785"/>
      <c r="BR200" s="820"/>
      <c r="BS200" s="820"/>
      <c r="BT200" s="30"/>
      <c r="BU200" s="800"/>
      <c r="BV200" s="800"/>
      <c r="BW200" s="209"/>
      <c r="CA200" s="787"/>
      <c r="DB200" s="773"/>
      <c r="DC200" s="773"/>
      <c r="DD200" s="773"/>
      <c r="DE200" s="773"/>
      <c r="DF200" s="773"/>
      <c r="DG200" s="773"/>
      <c r="DH200" s="773"/>
      <c r="DI200" s="773"/>
      <c r="DJ200" s="773"/>
      <c r="DK200" s="773"/>
      <c r="DL200" s="773"/>
      <c r="DM200" s="773"/>
      <c r="DN200" s="773"/>
      <c r="DO200" s="773"/>
      <c r="DP200" s="773"/>
      <c r="DQ200" s="773"/>
      <c r="DR200" s="773"/>
      <c r="DS200" s="773"/>
      <c r="DT200" s="773"/>
      <c r="DU200" s="773"/>
      <c r="DV200" s="773"/>
      <c r="DW200" s="773"/>
      <c r="DX200" s="773"/>
      <c r="DY200" s="773"/>
      <c r="DZ200" s="773"/>
      <c r="EA200" s="773"/>
      <c r="EB200" s="773"/>
      <c r="EC200" s="773"/>
      <c r="ED200" s="773"/>
      <c r="EE200" s="773"/>
      <c r="EF200" s="773"/>
      <c r="EG200" s="773"/>
      <c r="EH200" s="773"/>
      <c r="EI200" s="773"/>
      <c r="EJ200" s="773"/>
      <c r="EK200" s="773"/>
      <c r="EL200" s="773"/>
      <c r="EM200" s="773"/>
      <c r="EN200" s="773"/>
      <c r="EO200" s="773"/>
      <c r="EP200" s="773"/>
      <c r="EQ200" s="773"/>
      <c r="ER200" s="773"/>
      <c r="ES200" s="773"/>
      <c r="ET200" s="773"/>
      <c r="EU200" s="773"/>
      <c r="EV200" s="773"/>
      <c r="EW200" s="773"/>
      <c r="EX200" s="773"/>
      <c r="EY200" s="773"/>
      <c r="EZ200" s="773"/>
      <c r="FA200" s="773"/>
      <c r="FB200" s="773"/>
      <c r="FC200" s="773"/>
      <c r="FD200" s="773"/>
      <c r="FE200" s="773"/>
      <c r="FF200" s="773"/>
      <c r="FG200" s="773"/>
      <c r="FH200" s="773"/>
      <c r="FI200" s="773"/>
      <c r="FJ200" s="773"/>
      <c r="FK200" s="773"/>
      <c r="FL200" s="773"/>
      <c r="FM200" s="773"/>
      <c r="FN200" s="773"/>
      <c r="FO200" s="773"/>
      <c r="FP200" s="773"/>
      <c r="FQ200" s="773"/>
      <c r="FR200" s="773"/>
      <c r="FS200" s="773"/>
      <c r="FT200" s="773"/>
      <c r="FU200" s="773"/>
      <c r="FV200" s="773"/>
      <c r="FW200" s="773"/>
      <c r="FX200" s="773"/>
      <c r="FY200" s="773"/>
      <c r="FZ200" s="773"/>
      <c r="GA200" s="773"/>
      <c r="GB200" s="773"/>
      <c r="GC200" s="773"/>
      <c r="GD200" s="773"/>
      <c r="GE200" s="773"/>
      <c r="GF200" s="773"/>
      <c r="GG200" s="773"/>
      <c r="GH200" s="773"/>
      <c r="GI200" s="773"/>
      <c r="GJ200" s="773"/>
      <c r="GK200" s="773"/>
      <c r="GL200" s="773"/>
      <c r="GM200" s="773"/>
      <c r="GN200" s="773"/>
      <c r="GO200" s="773"/>
      <c r="GP200" s="773"/>
      <c r="GQ200" s="773"/>
      <c r="GR200" s="773"/>
      <c r="GS200" s="773"/>
      <c r="GT200" s="773"/>
      <c r="GU200" s="773"/>
      <c r="GV200" s="773"/>
      <c r="GW200" s="773"/>
      <c r="GX200" s="773"/>
      <c r="GY200" s="773"/>
      <c r="GZ200" s="773"/>
    </row>
    <row r="201" spans="1:208" s="11" customFormat="1">
      <c r="A201" s="774"/>
      <c r="B201" s="3761" t="s">
        <v>1350</v>
      </c>
      <c r="C201" s="197">
        <v>215671</v>
      </c>
      <c r="D201" s="801" t="s">
        <v>2049</v>
      </c>
      <c r="E201" s="809">
        <f>IFERROR(VLOOKUP(C201,'AJE 12 - INC'!$D$168:$F$345,3,0),0)</f>
        <v>0</v>
      </c>
      <c r="F201" s="1325">
        <f>SUMIF('AJE 12 - INC'!B:B,'New TB INC'!C201,'AJE 12 - INC'!D:D)</f>
        <v>0</v>
      </c>
      <c r="G201" s="107"/>
      <c r="H201" s="107"/>
      <c r="I201" s="107"/>
      <c r="J201" s="796">
        <f t="shared" si="12"/>
        <v>0</v>
      </c>
      <c r="K201" s="209"/>
      <c r="L201" s="434"/>
      <c r="M201" s="2679"/>
      <c r="N201" s="772"/>
      <c r="O201" s="772"/>
      <c r="P201" s="772"/>
      <c r="Q201" s="772"/>
      <c r="R201" s="772"/>
      <c r="S201" s="772"/>
      <c r="T201" s="773"/>
      <c r="AW201" s="2514"/>
      <c r="AX201" s="820"/>
      <c r="AY201" s="820"/>
      <c r="AZ201" s="820"/>
      <c r="BA201" s="30"/>
      <c r="BB201" s="30"/>
      <c r="BC201" s="2514"/>
      <c r="BD201" s="2514"/>
      <c r="BE201" s="2514"/>
      <c r="BF201" s="2514"/>
      <c r="BH201" s="2514"/>
      <c r="BI201" s="30"/>
      <c r="BJ201" s="30"/>
      <c r="BK201" s="30"/>
      <c r="BL201" s="30"/>
      <c r="BM201" s="30"/>
      <c r="BN201" s="30"/>
      <c r="BO201" s="209"/>
      <c r="BP201" s="209"/>
      <c r="BQ201" s="785"/>
      <c r="BR201" s="820"/>
      <c r="BS201" s="820"/>
      <c r="BT201" s="30"/>
      <c r="BU201" s="800"/>
      <c r="BV201" s="800"/>
      <c r="BW201" s="209"/>
      <c r="CA201" s="787"/>
      <c r="DB201" s="773"/>
      <c r="DC201" s="773"/>
      <c r="DD201" s="773"/>
      <c r="DE201" s="773"/>
      <c r="DF201" s="773"/>
      <c r="DG201" s="773"/>
      <c r="DH201" s="773"/>
      <c r="DI201" s="773"/>
      <c r="DJ201" s="773"/>
      <c r="DK201" s="773"/>
      <c r="DL201" s="773"/>
      <c r="DM201" s="773"/>
      <c r="DN201" s="773"/>
      <c r="DO201" s="773"/>
      <c r="DP201" s="773"/>
      <c r="DQ201" s="773"/>
      <c r="DR201" s="773"/>
      <c r="DS201" s="773"/>
      <c r="DT201" s="773"/>
      <c r="DU201" s="773"/>
      <c r="DV201" s="773"/>
      <c r="DW201" s="773"/>
      <c r="DX201" s="773"/>
      <c r="DY201" s="773"/>
      <c r="DZ201" s="773"/>
      <c r="EA201" s="773"/>
      <c r="EB201" s="773"/>
      <c r="EC201" s="773"/>
      <c r="ED201" s="773"/>
      <c r="EE201" s="773"/>
      <c r="EF201" s="773"/>
      <c r="EG201" s="773"/>
      <c r="EH201" s="773"/>
      <c r="EI201" s="773"/>
      <c r="EJ201" s="773"/>
      <c r="EK201" s="773"/>
      <c r="EL201" s="773"/>
      <c r="EM201" s="773"/>
      <c r="EN201" s="773"/>
      <c r="EO201" s="773"/>
      <c r="EP201" s="773"/>
      <c r="EQ201" s="773"/>
      <c r="ER201" s="773"/>
      <c r="ES201" s="773"/>
      <c r="ET201" s="773"/>
      <c r="EU201" s="773"/>
      <c r="EV201" s="773"/>
      <c r="EW201" s="773"/>
      <c r="EX201" s="773"/>
      <c r="EY201" s="773"/>
      <c r="EZ201" s="773"/>
      <c r="FA201" s="773"/>
      <c r="FB201" s="773"/>
      <c r="FC201" s="773"/>
      <c r="FD201" s="773"/>
      <c r="FE201" s="773"/>
      <c r="FF201" s="773"/>
      <c r="FG201" s="773"/>
      <c r="FH201" s="773"/>
      <c r="FI201" s="773"/>
      <c r="FJ201" s="773"/>
      <c r="FK201" s="773"/>
      <c r="FL201" s="773"/>
      <c r="FM201" s="773"/>
      <c r="FN201" s="773"/>
      <c r="FO201" s="773"/>
      <c r="FP201" s="773"/>
      <c r="FQ201" s="773"/>
      <c r="FR201" s="773"/>
      <c r="FS201" s="773"/>
      <c r="FT201" s="773"/>
      <c r="FU201" s="773"/>
      <c r="FV201" s="773"/>
      <c r="FW201" s="773"/>
      <c r="FX201" s="773"/>
      <c r="FY201" s="773"/>
      <c r="FZ201" s="773"/>
      <c r="GA201" s="773"/>
      <c r="GB201" s="773"/>
      <c r="GC201" s="773"/>
      <c r="GD201" s="773"/>
      <c r="GE201" s="773"/>
      <c r="GF201" s="773"/>
      <c r="GG201" s="773"/>
      <c r="GH201" s="773"/>
      <c r="GI201" s="773"/>
      <c r="GJ201" s="773"/>
      <c r="GK201" s="773"/>
      <c r="GL201" s="773"/>
      <c r="GM201" s="773"/>
      <c r="GN201" s="773"/>
      <c r="GO201" s="773"/>
      <c r="GP201" s="773"/>
      <c r="GQ201" s="773"/>
      <c r="GR201" s="773"/>
      <c r="GS201" s="773"/>
      <c r="GT201" s="773"/>
      <c r="GU201" s="773"/>
      <c r="GV201" s="773"/>
      <c r="GW201" s="773"/>
      <c r="GX201" s="773"/>
      <c r="GY201" s="773"/>
      <c r="GZ201" s="773"/>
    </row>
    <row r="202" spans="1:208" s="11" customFormat="1">
      <c r="A202" s="774"/>
      <c r="B202" s="3761" t="s">
        <v>1350</v>
      </c>
      <c r="C202" s="197">
        <v>205985</v>
      </c>
      <c r="D202" s="801" t="s">
        <v>523</v>
      </c>
      <c r="E202" s="809">
        <f>IFERROR(VLOOKUP(C202,'AJE 12 - INC'!$D$168:$F$345,3,0),0)</f>
        <v>15549.86</v>
      </c>
      <c r="F202" s="1325">
        <f>SUMIF('AJE 12 - INC'!B:B,'New TB INC'!C202,'AJE 12 - INC'!D:D)</f>
        <v>0</v>
      </c>
      <c r="G202" s="107"/>
      <c r="H202" s="107"/>
      <c r="I202" s="107"/>
      <c r="J202" s="796">
        <f t="shared" si="12"/>
        <v>15549.86</v>
      </c>
      <c r="K202" s="209"/>
      <c r="L202" s="434"/>
      <c r="M202" s="2679"/>
      <c r="N202" s="772"/>
      <c r="O202" s="772"/>
      <c r="P202" s="772"/>
      <c r="Q202" s="772"/>
      <c r="R202" s="772"/>
      <c r="S202" s="772"/>
      <c r="T202" s="773"/>
      <c r="AW202" s="2514"/>
      <c r="AX202" s="820"/>
      <c r="AY202" s="820"/>
      <c r="AZ202" s="820"/>
      <c r="BA202" s="30"/>
      <c r="BB202" s="30"/>
      <c r="BC202" s="2514"/>
      <c r="BD202" s="2514"/>
      <c r="BE202" s="2514"/>
      <c r="BF202" s="2514"/>
      <c r="BH202" s="2514"/>
      <c r="BI202" s="30"/>
      <c r="BJ202" s="30"/>
      <c r="BK202" s="30"/>
      <c r="BL202" s="30"/>
      <c r="BM202" s="30"/>
      <c r="BN202" s="30"/>
      <c r="BO202" s="209"/>
      <c r="BP202" s="209"/>
      <c r="BQ202" s="785"/>
      <c r="BR202" s="820"/>
      <c r="BS202" s="820"/>
      <c r="BT202" s="30"/>
      <c r="BU202" s="800"/>
      <c r="BV202" s="800"/>
      <c r="BW202" s="209"/>
      <c r="CA202" s="787"/>
      <c r="DB202" s="773"/>
      <c r="DC202" s="773"/>
      <c r="DD202" s="773"/>
      <c r="DE202" s="773"/>
      <c r="DF202" s="773"/>
      <c r="DG202" s="773"/>
      <c r="DH202" s="773"/>
      <c r="DI202" s="773"/>
      <c r="DJ202" s="773"/>
      <c r="DK202" s="773"/>
      <c r="DL202" s="773"/>
      <c r="DM202" s="773"/>
      <c r="DN202" s="773"/>
      <c r="DO202" s="773"/>
      <c r="DP202" s="773"/>
      <c r="DQ202" s="773"/>
      <c r="DR202" s="773"/>
      <c r="DS202" s="773"/>
      <c r="DT202" s="773"/>
      <c r="DU202" s="773"/>
      <c r="DV202" s="773"/>
      <c r="DW202" s="773"/>
      <c r="DX202" s="773"/>
      <c r="DY202" s="773"/>
      <c r="DZ202" s="773"/>
      <c r="EA202" s="773"/>
      <c r="EB202" s="773"/>
      <c r="EC202" s="773"/>
      <c r="ED202" s="773"/>
      <c r="EE202" s="773"/>
      <c r="EF202" s="773"/>
      <c r="EG202" s="773"/>
      <c r="EH202" s="773"/>
      <c r="EI202" s="773"/>
      <c r="EJ202" s="773"/>
      <c r="EK202" s="773"/>
      <c r="EL202" s="773"/>
      <c r="EM202" s="773"/>
      <c r="EN202" s="773"/>
      <c r="EO202" s="773"/>
      <c r="EP202" s="773"/>
      <c r="EQ202" s="773"/>
      <c r="ER202" s="773"/>
      <c r="ES202" s="773"/>
      <c r="ET202" s="773"/>
      <c r="EU202" s="773"/>
      <c r="EV202" s="773"/>
      <c r="EW202" s="773"/>
      <c r="EX202" s="773"/>
      <c r="EY202" s="773"/>
      <c r="EZ202" s="773"/>
      <c r="FA202" s="773"/>
      <c r="FB202" s="773"/>
      <c r="FC202" s="773"/>
      <c r="FD202" s="773"/>
      <c r="FE202" s="773"/>
      <c r="FF202" s="773"/>
      <c r="FG202" s="773"/>
      <c r="FH202" s="773"/>
      <c r="FI202" s="773"/>
      <c r="FJ202" s="773"/>
      <c r="FK202" s="773"/>
      <c r="FL202" s="773"/>
      <c r="FM202" s="773"/>
      <c r="FN202" s="773"/>
      <c r="FO202" s="773"/>
      <c r="FP202" s="773"/>
      <c r="FQ202" s="773"/>
      <c r="FR202" s="773"/>
      <c r="FS202" s="773"/>
      <c r="FT202" s="773"/>
      <c r="FU202" s="773"/>
      <c r="FV202" s="773"/>
      <c r="FW202" s="773"/>
      <c r="FX202" s="773"/>
      <c r="FY202" s="773"/>
      <c r="FZ202" s="773"/>
      <c r="GA202" s="773"/>
      <c r="GB202" s="773"/>
      <c r="GC202" s="773"/>
      <c r="GD202" s="773"/>
      <c r="GE202" s="773"/>
      <c r="GF202" s="773"/>
      <c r="GG202" s="773"/>
      <c r="GH202" s="773"/>
      <c r="GI202" s="773"/>
      <c r="GJ202" s="773"/>
      <c r="GK202" s="773"/>
      <c r="GL202" s="773"/>
      <c r="GM202" s="773"/>
      <c r="GN202" s="773"/>
      <c r="GO202" s="773"/>
      <c r="GP202" s="773"/>
      <c r="GQ202" s="773"/>
      <c r="GR202" s="773"/>
      <c r="GS202" s="773"/>
      <c r="GT202" s="773"/>
      <c r="GU202" s="773"/>
      <c r="GV202" s="773"/>
      <c r="GW202" s="773"/>
      <c r="GX202" s="773"/>
      <c r="GY202" s="773"/>
      <c r="GZ202" s="773"/>
    </row>
    <row r="203" spans="1:208" s="11" customFormat="1">
      <c r="A203" s="774"/>
      <c r="B203" s="3761" t="s">
        <v>1350</v>
      </c>
      <c r="C203" s="197">
        <v>221758</v>
      </c>
      <c r="D203" s="801" t="s">
        <v>1969</v>
      </c>
      <c r="E203" s="809">
        <f>IFERROR(VLOOKUP(C203,'AJE 12 - INC'!$D$168:$F$345,3,0),0)</f>
        <v>9617.4500000000007</v>
      </c>
      <c r="F203" s="1325">
        <f>SUMIF('AJE 12 - INC'!B:B,'New TB INC'!C203,'AJE 12 - INC'!D:D)</f>
        <v>0</v>
      </c>
      <c r="G203" s="107"/>
      <c r="H203" s="107"/>
      <c r="I203" s="107"/>
      <c r="J203" s="796">
        <f t="shared" si="12"/>
        <v>9617.4500000000007</v>
      </c>
      <c r="K203" s="209"/>
      <c r="L203" s="434"/>
      <c r="M203" s="2679"/>
      <c r="N203" s="772"/>
      <c r="O203" s="772"/>
      <c r="P203" s="772"/>
      <c r="Q203" s="772"/>
      <c r="R203" s="772"/>
      <c r="S203" s="772"/>
      <c r="T203" s="773"/>
      <c r="AW203" s="2514"/>
      <c r="AX203" s="820"/>
      <c r="AY203" s="820"/>
      <c r="AZ203" s="820"/>
      <c r="BA203" s="30"/>
      <c r="BB203" s="30"/>
      <c r="BC203" s="2514"/>
      <c r="BD203" s="2514"/>
      <c r="BE203" s="2514"/>
      <c r="BF203" s="2514"/>
      <c r="BH203" s="2514"/>
      <c r="BI203" s="30"/>
      <c r="BJ203" s="30"/>
      <c r="BK203" s="30"/>
      <c r="BL203" s="30"/>
      <c r="BM203" s="30"/>
      <c r="BN203" s="30"/>
      <c r="BO203" s="209"/>
      <c r="BP203" s="209"/>
      <c r="BQ203" s="785"/>
      <c r="BR203" s="820"/>
      <c r="BS203" s="820"/>
      <c r="BT203" s="30"/>
      <c r="BU203" s="800"/>
      <c r="BV203" s="800"/>
      <c r="BW203" s="209"/>
      <c r="CA203" s="787"/>
      <c r="DB203" s="773"/>
      <c r="DC203" s="773"/>
      <c r="DD203" s="773"/>
      <c r="DE203" s="773"/>
      <c r="DF203" s="773"/>
      <c r="DG203" s="773"/>
      <c r="DH203" s="773"/>
      <c r="DI203" s="773"/>
      <c r="DJ203" s="773"/>
      <c r="DK203" s="773"/>
      <c r="DL203" s="773"/>
      <c r="DM203" s="773"/>
      <c r="DN203" s="773"/>
      <c r="DO203" s="773"/>
      <c r="DP203" s="773"/>
      <c r="DQ203" s="773"/>
      <c r="DR203" s="773"/>
      <c r="DS203" s="773"/>
      <c r="DT203" s="773"/>
      <c r="DU203" s="773"/>
      <c r="DV203" s="773"/>
      <c r="DW203" s="773"/>
      <c r="DX203" s="773"/>
      <c r="DY203" s="773"/>
      <c r="DZ203" s="773"/>
      <c r="EA203" s="773"/>
      <c r="EB203" s="773"/>
      <c r="EC203" s="773"/>
      <c r="ED203" s="773"/>
      <c r="EE203" s="773"/>
      <c r="EF203" s="773"/>
      <c r="EG203" s="773"/>
      <c r="EH203" s="773"/>
      <c r="EI203" s="773"/>
      <c r="EJ203" s="773"/>
      <c r="EK203" s="773"/>
      <c r="EL203" s="773"/>
      <c r="EM203" s="773"/>
      <c r="EN203" s="773"/>
      <c r="EO203" s="773"/>
      <c r="EP203" s="773"/>
      <c r="EQ203" s="773"/>
      <c r="ER203" s="773"/>
      <c r="ES203" s="773"/>
      <c r="ET203" s="773"/>
      <c r="EU203" s="773"/>
      <c r="EV203" s="773"/>
      <c r="EW203" s="773"/>
      <c r="EX203" s="773"/>
      <c r="EY203" s="773"/>
      <c r="EZ203" s="773"/>
      <c r="FA203" s="773"/>
      <c r="FB203" s="773"/>
      <c r="FC203" s="773"/>
      <c r="FD203" s="773"/>
      <c r="FE203" s="773"/>
      <c r="FF203" s="773"/>
      <c r="FG203" s="773"/>
      <c r="FH203" s="773"/>
      <c r="FI203" s="773"/>
      <c r="FJ203" s="773"/>
      <c r="FK203" s="773"/>
      <c r="FL203" s="773"/>
      <c r="FM203" s="773"/>
      <c r="FN203" s="773"/>
      <c r="FO203" s="773"/>
      <c r="FP203" s="773"/>
      <c r="FQ203" s="773"/>
      <c r="FR203" s="773"/>
      <c r="FS203" s="773"/>
      <c r="FT203" s="773"/>
      <c r="FU203" s="773"/>
      <c r="FV203" s="773"/>
      <c r="FW203" s="773"/>
      <c r="FX203" s="773"/>
      <c r="FY203" s="773"/>
      <c r="FZ203" s="773"/>
      <c r="GA203" s="773"/>
      <c r="GB203" s="773"/>
      <c r="GC203" s="773"/>
      <c r="GD203" s="773"/>
      <c r="GE203" s="773"/>
      <c r="GF203" s="773"/>
      <c r="GG203" s="773"/>
      <c r="GH203" s="773"/>
      <c r="GI203" s="773"/>
      <c r="GJ203" s="773"/>
      <c r="GK203" s="773"/>
      <c r="GL203" s="773"/>
      <c r="GM203" s="773"/>
      <c r="GN203" s="773"/>
      <c r="GO203" s="773"/>
      <c r="GP203" s="773"/>
      <c r="GQ203" s="773"/>
      <c r="GR203" s="773"/>
      <c r="GS203" s="773"/>
      <c r="GT203" s="773"/>
      <c r="GU203" s="773"/>
      <c r="GV203" s="773"/>
      <c r="GW203" s="773"/>
      <c r="GX203" s="773"/>
      <c r="GY203" s="773"/>
      <c r="GZ203" s="773"/>
    </row>
    <row r="204" spans="1:208" s="11" customFormat="1">
      <c r="A204" s="774"/>
      <c r="B204" s="3761" t="s">
        <v>1350</v>
      </c>
      <c r="C204" s="197">
        <v>208332</v>
      </c>
      <c r="D204" s="801" t="s">
        <v>2228</v>
      </c>
      <c r="E204" s="809">
        <f>IFERROR(VLOOKUP(C204,'AJE 12 - INC'!$D$168:$F$345,3,0),0)</f>
        <v>0</v>
      </c>
      <c r="F204" s="1325">
        <f>SUMIF('AJE 12 - INC'!B:B,'New TB INC'!C204,'AJE 12 - INC'!D:D)</f>
        <v>0</v>
      </c>
      <c r="G204" s="107"/>
      <c r="H204" s="107"/>
      <c r="I204" s="107"/>
      <c r="J204" s="796">
        <f t="shared" si="12"/>
        <v>0</v>
      </c>
      <c r="K204" s="209"/>
      <c r="L204" s="434"/>
      <c r="M204" s="2679"/>
      <c r="N204" s="772"/>
      <c r="O204" s="772"/>
      <c r="P204" s="772"/>
      <c r="Q204" s="772"/>
      <c r="R204" s="772"/>
      <c r="S204" s="772"/>
      <c r="T204" s="773"/>
      <c r="AW204" s="2514"/>
      <c r="AX204" s="820"/>
      <c r="AY204" s="820"/>
      <c r="AZ204" s="820"/>
      <c r="BA204" s="30"/>
      <c r="BB204" s="30"/>
      <c r="BC204" s="2514"/>
      <c r="BD204" s="2514"/>
      <c r="BE204" s="2514"/>
      <c r="BF204" s="2514"/>
      <c r="BH204" s="2514"/>
      <c r="BI204" s="30"/>
      <c r="BJ204" s="30"/>
      <c r="BK204" s="30"/>
      <c r="BL204" s="30"/>
      <c r="BM204" s="30"/>
      <c r="BN204" s="30"/>
      <c r="BO204" s="209"/>
      <c r="BP204" s="209"/>
      <c r="BQ204" s="785"/>
      <c r="BR204" s="820"/>
      <c r="BS204" s="820"/>
      <c r="BT204" s="30"/>
      <c r="BU204" s="800"/>
      <c r="BV204" s="800"/>
      <c r="BW204" s="209"/>
      <c r="CA204" s="787"/>
      <c r="DB204" s="773"/>
      <c r="DC204" s="773"/>
      <c r="DD204" s="773"/>
      <c r="DE204" s="773"/>
      <c r="DF204" s="773"/>
      <c r="DG204" s="773"/>
      <c r="DH204" s="773"/>
      <c r="DI204" s="773"/>
      <c r="DJ204" s="773"/>
      <c r="DK204" s="773"/>
      <c r="DL204" s="773"/>
      <c r="DM204" s="773"/>
      <c r="DN204" s="773"/>
      <c r="DO204" s="773"/>
      <c r="DP204" s="773"/>
      <c r="DQ204" s="773"/>
      <c r="DR204" s="773"/>
      <c r="DS204" s="773"/>
      <c r="DT204" s="773"/>
      <c r="DU204" s="773"/>
      <c r="DV204" s="773"/>
      <c r="DW204" s="773"/>
      <c r="DX204" s="773"/>
      <c r="DY204" s="773"/>
      <c r="DZ204" s="773"/>
      <c r="EA204" s="773"/>
      <c r="EB204" s="773"/>
      <c r="EC204" s="773"/>
      <c r="ED204" s="773"/>
      <c r="EE204" s="773"/>
      <c r="EF204" s="773"/>
      <c r="EG204" s="773"/>
      <c r="EH204" s="773"/>
      <c r="EI204" s="773"/>
      <c r="EJ204" s="773"/>
      <c r="EK204" s="773"/>
      <c r="EL204" s="773"/>
      <c r="EM204" s="773"/>
      <c r="EN204" s="773"/>
      <c r="EO204" s="773"/>
      <c r="EP204" s="773"/>
      <c r="EQ204" s="773"/>
      <c r="ER204" s="773"/>
      <c r="ES204" s="773"/>
      <c r="ET204" s="773"/>
      <c r="EU204" s="773"/>
      <c r="EV204" s="773"/>
      <c r="EW204" s="773"/>
      <c r="EX204" s="773"/>
      <c r="EY204" s="773"/>
      <c r="EZ204" s="773"/>
      <c r="FA204" s="773"/>
      <c r="FB204" s="773"/>
      <c r="FC204" s="773"/>
      <c r="FD204" s="773"/>
      <c r="FE204" s="773"/>
      <c r="FF204" s="773"/>
      <c r="FG204" s="773"/>
      <c r="FH204" s="773"/>
      <c r="FI204" s="773"/>
      <c r="FJ204" s="773"/>
      <c r="FK204" s="773"/>
      <c r="FL204" s="773"/>
      <c r="FM204" s="773"/>
      <c r="FN204" s="773"/>
      <c r="FO204" s="773"/>
      <c r="FP204" s="773"/>
      <c r="FQ204" s="773"/>
      <c r="FR204" s="773"/>
      <c r="FS204" s="773"/>
      <c r="FT204" s="773"/>
      <c r="FU204" s="773"/>
      <c r="FV204" s="773"/>
      <c r="FW204" s="773"/>
      <c r="FX204" s="773"/>
      <c r="FY204" s="773"/>
      <c r="FZ204" s="773"/>
      <c r="GA204" s="773"/>
      <c r="GB204" s="773"/>
      <c r="GC204" s="773"/>
      <c r="GD204" s="773"/>
      <c r="GE204" s="773"/>
      <c r="GF204" s="773"/>
      <c r="GG204" s="773"/>
      <c r="GH204" s="773"/>
      <c r="GI204" s="773"/>
      <c r="GJ204" s="773"/>
      <c r="GK204" s="773"/>
      <c r="GL204" s="773"/>
      <c r="GM204" s="773"/>
      <c r="GN204" s="773"/>
      <c r="GO204" s="773"/>
      <c r="GP204" s="773"/>
      <c r="GQ204" s="773"/>
      <c r="GR204" s="773"/>
      <c r="GS204" s="773"/>
      <c r="GT204" s="773"/>
      <c r="GU204" s="773"/>
      <c r="GV204" s="773"/>
      <c r="GW204" s="773"/>
      <c r="GX204" s="773"/>
      <c r="GY204" s="773"/>
      <c r="GZ204" s="773"/>
    </row>
    <row r="205" spans="1:208" s="11" customFormat="1" ht="16.5">
      <c r="A205" s="774"/>
      <c r="B205" s="3761" t="s">
        <v>1350</v>
      </c>
      <c r="C205" s="197">
        <v>208386</v>
      </c>
      <c r="D205" s="801" t="s">
        <v>2150</v>
      </c>
      <c r="E205" s="809">
        <f>IFERROR(VLOOKUP(C205,'AJE 12 - INC'!$D$168:$F$345,3,0),0)</f>
        <v>0</v>
      </c>
      <c r="F205" s="1325">
        <f>SUMIF('AJE 12 - INC'!B:B,'New TB INC'!C205,'AJE 12 - INC'!D:D)</f>
        <v>0</v>
      </c>
      <c r="G205" s="1326"/>
      <c r="H205" s="1326"/>
      <c r="I205" s="1326"/>
      <c r="J205" s="796">
        <f t="shared" si="12"/>
        <v>0</v>
      </c>
      <c r="K205" s="779"/>
      <c r="L205" s="434"/>
      <c r="M205" s="3473"/>
      <c r="N205" s="772"/>
      <c r="O205" s="772"/>
      <c r="P205" s="772"/>
      <c r="Q205" s="772"/>
      <c r="R205" s="772"/>
      <c r="S205" s="772"/>
      <c r="T205" s="773"/>
      <c r="AW205" s="2514"/>
      <c r="AX205" s="820"/>
      <c r="AY205" s="820"/>
      <c r="AZ205" s="820"/>
      <c r="BA205" s="30"/>
      <c r="BB205" s="30"/>
      <c r="BC205" s="2514"/>
      <c r="BD205" s="2514"/>
      <c r="BE205" s="2514"/>
      <c r="BF205" s="2514"/>
      <c r="BH205" s="2514"/>
      <c r="BI205" s="30"/>
      <c r="BJ205" s="30"/>
      <c r="BK205" s="30"/>
      <c r="BL205" s="30"/>
      <c r="BM205" s="30"/>
      <c r="BN205" s="30"/>
      <c r="BO205" s="209"/>
      <c r="BP205" s="209"/>
      <c r="BQ205" s="785"/>
      <c r="BR205" s="820"/>
      <c r="BS205" s="820"/>
      <c r="BT205" s="30"/>
      <c r="BU205" s="800"/>
      <c r="BV205" s="800"/>
      <c r="BW205" s="209"/>
      <c r="CA205" s="787"/>
      <c r="DB205" s="773"/>
      <c r="DC205" s="773"/>
      <c r="DD205" s="773"/>
      <c r="DE205" s="773"/>
      <c r="DF205" s="773"/>
      <c r="DG205" s="773"/>
      <c r="DH205" s="773"/>
      <c r="DI205" s="773"/>
      <c r="DJ205" s="773"/>
      <c r="DK205" s="773"/>
      <c r="DL205" s="773"/>
      <c r="DM205" s="773"/>
      <c r="DN205" s="773"/>
      <c r="DO205" s="773"/>
      <c r="DP205" s="773"/>
      <c r="DQ205" s="773"/>
      <c r="DR205" s="773"/>
      <c r="DS205" s="773"/>
      <c r="DT205" s="773"/>
      <c r="DU205" s="773"/>
      <c r="DV205" s="773"/>
      <c r="DW205" s="773"/>
      <c r="DX205" s="773"/>
      <c r="DY205" s="773"/>
      <c r="DZ205" s="773"/>
      <c r="EA205" s="773"/>
      <c r="EB205" s="773"/>
      <c r="EC205" s="773"/>
      <c r="ED205" s="773"/>
      <c r="EE205" s="773"/>
      <c r="EF205" s="773"/>
      <c r="EG205" s="773"/>
      <c r="EH205" s="773"/>
      <c r="EI205" s="773"/>
      <c r="EJ205" s="773"/>
      <c r="EK205" s="773"/>
      <c r="EL205" s="773"/>
      <c r="EM205" s="773"/>
      <c r="EN205" s="773"/>
      <c r="EO205" s="773"/>
      <c r="EP205" s="773"/>
      <c r="EQ205" s="773"/>
      <c r="ER205" s="773"/>
      <c r="ES205" s="773"/>
      <c r="ET205" s="773"/>
      <c r="EU205" s="773"/>
      <c r="EV205" s="773"/>
      <c r="EW205" s="773"/>
      <c r="EX205" s="773"/>
      <c r="EY205" s="773"/>
      <c r="EZ205" s="773"/>
      <c r="FA205" s="773"/>
      <c r="FB205" s="773"/>
      <c r="FC205" s="773"/>
      <c r="FD205" s="773"/>
      <c r="FE205" s="773"/>
      <c r="FF205" s="773"/>
      <c r="FG205" s="773"/>
      <c r="FH205" s="773"/>
      <c r="FI205" s="773"/>
      <c r="FJ205" s="773"/>
      <c r="FK205" s="773"/>
      <c r="FL205" s="773"/>
      <c r="FM205" s="773"/>
      <c r="FN205" s="773"/>
      <c r="FO205" s="773"/>
      <c r="FP205" s="773"/>
      <c r="FQ205" s="773"/>
      <c r="FR205" s="773"/>
      <c r="FS205" s="773"/>
      <c r="FT205" s="773"/>
      <c r="FU205" s="773"/>
      <c r="FV205" s="773"/>
      <c r="FW205" s="773"/>
      <c r="FX205" s="773"/>
      <c r="FY205" s="773"/>
      <c r="FZ205" s="773"/>
      <c r="GA205" s="773"/>
      <c r="GB205" s="773"/>
      <c r="GC205" s="773"/>
      <c r="GD205" s="773"/>
      <c r="GE205" s="773"/>
      <c r="GF205" s="773"/>
      <c r="GG205" s="773"/>
      <c r="GH205" s="773"/>
      <c r="GI205" s="773"/>
      <c r="GJ205" s="773"/>
      <c r="GK205" s="773"/>
      <c r="GL205" s="773"/>
      <c r="GM205" s="773"/>
      <c r="GN205" s="773"/>
      <c r="GO205" s="773"/>
      <c r="GP205" s="773"/>
      <c r="GQ205" s="773"/>
      <c r="GR205" s="773"/>
      <c r="GS205" s="773"/>
      <c r="GT205" s="773"/>
      <c r="GU205" s="773"/>
      <c r="GV205" s="773"/>
      <c r="GW205" s="773"/>
      <c r="GX205" s="773"/>
      <c r="GY205" s="773"/>
      <c r="GZ205" s="773"/>
    </row>
    <row r="206" spans="1:208" s="11" customFormat="1">
      <c r="A206" s="774"/>
      <c r="B206" s="3761" t="s">
        <v>1350</v>
      </c>
      <c r="C206" s="197">
        <v>208111</v>
      </c>
      <c r="D206" s="801" t="s">
        <v>524</v>
      </c>
      <c r="E206" s="809">
        <f>IFERROR(VLOOKUP(C206,'AJE 12 - INC'!$D$168:$F$345,3,0),0)</f>
        <v>1150712.7</v>
      </c>
      <c r="F206" s="1325">
        <f>SUMIF('AJE 12 - INC'!B:B,'New TB INC'!C206,'AJE 12 - INC'!D:D)</f>
        <v>0</v>
      </c>
      <c r="G206" s="1326"/>
      <c r="H206" s="1326"/>
      <c r="I206" s="1326"/>
      <c r="J206" s="798">
        <f t="shared" ref="J206:J211" si="13">SUM(E206:I206)</f>
        <v>1150712.7</v>
      </c>
      <c r="K206" s="779"/>
      <c r="L206" s="434"/>
      <c r="M206" s="810"/>
      <c r="N206" s="772"/>
      <c r="O206" s="772"/>
      <c r="P206" s="772"/>
      <c r="Q206" s="772"/>
      <c r="R206" s="772"/>
      <c r="S206" s="772"/>
      <c r="T206" s="773"/>
      <c r="AW206" s="2514"/>
      <c r="AX206" s="820"/>
      <c r="AY206" s="820"/>
      <c r="AZ206" s="820"/>
      <c r="BA206" s="30"/>
      <c r="BB206" s="30"/>
      <c r="BC206" s="2514"/>
      <c r="BD206" s="2514"/>
      <c r="BE206" s="2514"/>
      <c r="BF206" s="2514"/>
      <c r="BH206" s="2514"/>
      <c r="BI206" s="30"/>
      <c r="BJ206" s="30"/>
      <c r="BK206" s="30"/>
      <c r="BL206" s="30"/>
      <c r="BM206" s="30"/>
      <c r="BN206" s="30"/>
      <c r="BO206" s="209"/>
      <c r="BP206" s="209"/>
      <c r="BQ206" s="785"/>
      <c r="BR206" s="820"/>
      <c r="BS206" s="820"/>
      <c r="BT206" s="30"/>
      <c r="BU206" s="800"/>
      <c r="BV206" s="800"/>
      <c r="BW206" s="209"/>
      <c r="CA206" s="787"/>
      <c r="DB206" s="773"/>
      <c r="DC206" s="773"/>
      <c r="DD206" s="773"/>
      <c r="DE206" s="773"/>
      <c r="DF206" s="773"/>
      <c r="DG206" s="773"/>
      <c r="DH206" s="773"/>
      <c r="DI206" s="773"/>
      <c r="DJ206" s="773"/>
      <c r="DK206" s="773"/>
      <c r="DL206" s="773"/>
      <c r="DM206" s="773"/>
      <c r="DN206" s="773"/>
      <c r="DO206" s="773"/>
      <c r="DP206" s="773"/>
      <c r="DQ206" s="773"/>
      <c r="DR206" s="773"/>
      <c r="DS206" s="773"/>
      <c r="DT206" s="773"/>
      <c r="DU206" s="773"/>
      <c r="DV206" s="773"/>
      <c r="DW206" s="773"/>
      <c r="DX206" s="773"/>
      <c r="DY206" s="773"/>
      <c r="DZ206" s="773"/>
      <c r="EA206" s="773"/>
      <c r="EB206" s="773"/>
      <c r="EC206" s="773"/>
      <c r="ED206" s="773"/>
      <c r="EE206" s="773"/>
      <c r="EF206" s="773"/>
      <c r="EG206" s="773"/>
      <c r="EH206" s="773"/>
      <c r="EI206" s="773"/>
      <c r="EJ206" s="773"/>
      <c r="EK206" s="773"/>
      <c r="EL206" s="773"/>
      <c r="EM206" s="773"/>
      <c r="EN206" s="773"/>
      <c r="EO206" s="773"/>
      <c r="EP206" s="773"/>
      <c r="EQ206" s="773"/>
      <c r="ER206" s="773"/>
      <c r="ES206" s="773"/>
      <c r="ET206" s="773"/>
      <c r="EU206" s="773"/>
      <c r="EV206" s="773"/>
      <c r="EW206" s="773"/>
      <c r="EX206" s="773"/>
      <c r="EY206" s="773"/>
      <c r="EZ206" s="773"/>
      <c r="FA206" s="773"/>
      <c r="FB206" s="773"/>
      <c r="FC206" s="773"/>
      <c r="FD206" s="773"/>
      <c r="FE206" s="773"/>
      <c r="FF206" s="773"/>
      <c r="FG206" s="773"/>
      <c r="FH206" s="773"/>
      <c r="FI206" s="773"/>
      <c r="FJ206" s="773"/>
      <c r="FK206" s="773"/>
      <c r="FL206" s="773"/>
      <c r="FM206" s="773"/>
      <c r="FN206" s="773"/>
      <c r="FO206" s="773"/>
      <c r="FP206" s="773"/>
      <c r="FQ206" s="773"/>
      <c r="FR206" s="773"/>
      <c r="FS206" s="773"/>
      <c r="FT206" s="773"/>
      <c r="FU206" s="773"/>
      <c r="FV206" s="773"/>
      <c r="FW206" s="773"/>
      <c r="FX206" s="773"/>
      <c r="FY206" s="773"/>
      <c r="FZ206" s="773"/>
      <c r="GA206" s="773"/>
      <c r="GB206" s="773"/>
      <c r="GC206" s="773"/>
      <c r="GD206" s="773"/>
      <c r="GE206" s="773"/>
      <c r="GF206" s="773"/>
      <c r="GG206" s="773"/>
      <c r="GH206" s="773"/>
      <c r="GI206" s="773"/>
      <c r="GJ206" s="773"/>
      <c r="GK206" s="773"/>
      <c r="GL206" s="773"/>
      <c r="GM206" s="773"/>
      <c r="GN206" s="773"/>
      <c r="GO206" s="773"/>
      <c r="GP206" s="773"/>
      <c r="GQ206" s="773"/>
      <c r="GR206" s="773"/>
      <c r="GS206" s="773"/>
      <c r="GT206" s="773"/>
      <c r="GU206" s="773"/>
      <c r="GV206" s="773"/>
      <c r="GW206" s="773"/>
      <c r="GX206" s="773"/>
      <c r="GY206" s="773"/>
      <c r="GZ206" s="773"/>
    </row>
    <row r="207" spans="1:208" s="11" customFormat="1">
      <c r="A207" s="774"/>
      <c r="B207" s="3761" t="s">
        <v>1350</v>
      </c>
      <c r="C207" s="197">
        <v>207555</v>
      </c>
      <c r="D207" s="801" t="s">
        <v>2149</v>
      </c>
      <c r="E207" s="809">
        <f>IFERROR(VLOOKUP(C207,'AJE 12 - INC'!$D$168:$F$345,3,0),0)</f>
        <v>12908.89</v>
      </c>
      <c r="F207" s="1325">
        <f>SUMIF('AJE 12 - INC'!B:B,'New TB INC'!C207,'AJE 12 - INC'!D:D)</f>
        <v>0</v>
      </c>
      <c r="G207" s="1326"/>
      <c r="H207" s="1326"/>
      <c r="I207" s="1326"/>
      <c r="J207" s="796">
        <f t="shared" si="13"/>
        <v>12908.89</v>
      </c>
      <c r="K207" s="209"/>
      <c r="L207" s="434"/>
      <c r="M207" s="811"/>
      <c r="N207" s="772"/>
      <c r="O207" s="772"/>
      <c r="P207" s="772"/>
      <c r="Q207" s="772"/>
      <c r="R207" s="772"/>
      <c r="S207" s="772"/>
      <c r="T207" s="773"/>
      <c r="AW207" s="2514"/>
      <c r="AX207" s="820"/>
      <c r="AY207" s="820"/>
      <c r="AZ207" s="820"/>
      <c r="BA207" s="30"/>
      <c r="BB207" s="30"/>
      <c r="BC207" s="2514"/>
      <c r="BD207" s="2514"/>
      <c r="BE207" s="2514"/>
      <c r="BF207" s="2514"/>
      <c r="BH207" s="2514"/>
      <c r="BI207" s="30"/>
      <c r="BJ207" s="30"/>
      <c r="BK207" s="30"/>
      <c r="BL207" s="30"/>
      <c r="BM207" s="30"/>
      <c r="BN207" s="30"/>
      <c r="BO207" s="209"/>
      <c r="BP207" s="209"/>
      <c r="BQ207" s="785"/>
      <c r="BR207" s="820"/>
      <c r="BS207" s="820"/>
      <c r="BT207" s="30"/>
      <c r="BU207" s="800"/>
      <c r="BV207" s="800"/>
      <c r="BW207" s="209"/>
      <c r="CA207" s="787"/>
      <c r="DB207" s="773"/>
      <c r="DC207" s="773"/>
      <c r="DD207" s="773"/>
      <c r="DE207" s="773"/>
      <c r="DF207" s="773"/>
      <c r="DG207" s="773"/>
      <c r="DH207" s="773"/>
      <c r="DI207" s="773"/>
      <c r="DJ207" s="773"/>
      <c r="DK207" s="773"/>
      <c r="DL207" s="773"/>
      <c r="DM207" s="773"/>
      <c r="DN207" s="773"/>
      <c r="DO207" s="773"/>
      <c r="DP207" s="773"/>
      <c r="DQ207" s="773"/>
      <c r="DR207" s="773"/>
      <c r="DS207" s="773"/>
      <c r="DT207" s="773"/>
      <c r="DU207" s="773"/>
      <c r="DV207" s="773"/>
      <c r="DW207" s="773"/>
      <c r="DX207" s="773"/>
      <c r="DY207" s="773"/>
      <c r="DZ207" s="773"/>
      <c r="EA207" s="773"/>
      <c r="EB207" s="773"/>
      <c r="EC207" s="773"/>
      <c r="ED207" s="773"/>
      <c r="EE207" s="773"/>
      <c r="EF207" s="773"/>
      <c r="EG207" s="773"/>
      <c r="EH207" s="773"/>
      <c r="EI207" s="773"/>
      <c r="EJ207" s="773"/>
      <c r="EK207" s="773"/>
      <c r="EL207" s="773"/>
      <c r="EM207" s="773"/>
      <c r="EN207" s="773"/>
      <c r="EO207" s="773"/>
      <c r="EP207" s="773"/>
      <c r="EQ207" s="773"/>
      <c r="ER207" s="773"/>
      <c r="ES207" s="773"/>
      <c r="ET207" s="773"/>
      <c r="EU207" s="773"/>
      <c r="EV207" s="773"/>
      <c r="EW207" s="773"/>
      <c r="EX207" s="773"/>
      <c r="EY207" s="773"/>
      <c r="EZ207" s="773"/>
      <c r="FA207" s="773"/>
      <c r="FB207" s="773"/>
      <c r="FC207" s="773"/>
      <c r="FD207" s="773"/>
      <c r="FE207" s="773"/>
      <c r="FF207" s="773"/>
      <c r="FG207" s="773"/>
      <c r="FH207" s="773"/>
      <c r="FI207" s="773"/>
      <c r="FJ207" s="773"/>
      <c r="FK207" s="773"/>
      <c r="FL207" s="773"/>
      <c r="FM207" s="773"/>
      <c r="FN207" s="773"/>
      <c r="FO207" s="773"/>
      <c r="FP207" s="773"/>
      <c r="FQ207" s="773"/>
      <c r="FR207" s="773"/>
      <c r="FS207" s="773"/>
      <c r="FT207" s="773"/>
      <c r="FU207" s="773"/>
      <c r="FV207" s="773"/>
      <c r="FW207" s="773"/>
      <c r="FX207" s="773"/>
      <c r="FY207" s="773"/>
      <c r="FZ207" s="773"/>
      <c r="GA207" s="773"/>
      <c r="GB207" s="773"/>
      <c r="GC207" s="773"/>
      <c r="GD207" s="773"/>
      <c r="GE207" s="773"/>
      <c r="GF207" s="773"/>
      <c r="GG207" s="773"/>
      <c r="GH207" s="773"/>
      <c r="GI207" s="773"/>
      <c r="GJ207" s="773"/>
      <c r="GK207" s="773"/>
      <c r="GL207" s="773"/>
      <c r="GM207" s="773"/>
      <c r="GN207" s="773"/>
      <c r="GO207" s="773"/>
      <c r="GP207" s="773"/>
      <c r="GQ207" s="773"/>
      <c r="GR207" s="773"/>
      <c r="GS207" s="773"/>
      <c r="GT207" s="773"/>
      <c r="GU207" s="773"/>
      <c r="GV207" s="773"/>
      <c r="GW207" s="773"/>
      <c r="GX207" s="773"/>
      <c r="GY207" s="773"/>
      <c r="GZ207" s="773"/>
    </row>
    <row r="208" spans="1:208" s="11" customFormat="1" ht="13.5" thickBot="1">
      <c r="A208" s="774"/>
      <c r="B208" s="3761"/>
      <c r="C208" s="197"/>
      <c r="D208" s="801"/>
      <c r="E208" s="809"/>
      <c r="F208" s="1213">
        <f>SUMIF('AJE 12 - INC'!B:B,'New TB INC'!C208,'AJE 12 - INC'!D:D)</f>
        <v>0</v>
      </c>
      <c r="G208" s="1326"/>
      <c r="H208" s="1326"/>
      <c r="I208" s="1326"/>
      <c r="J208" s="796"/>
      <c r="K208" s="209"/>
      <c r="L208" s="434"/>
      <c r="M208" s="813"/>
      <c r="N208" s="772"/>
      <c r="O208" s="772"/>
      <c r="P208" s="772"/>
      <c r="Q208" s="772"/>
      <c r="R208" s="772"/>
      <c r="S208" s="772"/>
      <c r="T208" s="773"/>
      <c r="AW208" s="2514"/>
      <c r="AX208" s="820"/>
      <c r="AY208" s="820"/>
      <c r="AZ208" s="820"/>
      <c r="BA208" s="30"/>
      <c r="BB208" s="30"/>
      <c r="BC208" s="2514"/>
      <c r="BD208" s="2514"/>
      <c r="BE208" s="2514"/>
      <c r="BF208" s="2514"/>
      <c r="BH208" s="2514"/>
      <c r="BI208" s="30"/>
      <c r="BJ208" s="30"/>
      <c r="BK208" s="30"/>
      <c r="BL208" s="30"/>
      <c r="BM208" s="30"/>
      <c r="BN208" s="30"/>
      <c r="BO208" s="209"/>
      <c r="BP208" s="209"/>
      <c r="BQ208" s="785"/>
      <c r="BR208" s="820"/>
      <c r="BS208" s="820"/>
      <c r="BT208" s="30"/>
      <c r="BU208" s="800"/>
      <c r="BV208" s="800"/>
      <c r="BW208" s="209"/>
      <c r="CA208" s="787"/>
      <c r="DB208" s="773"/>
      <c r="DC208" s="773"/>
      <c r="DD208" s="773"/>
      <c r="DE208" s="773"/>
      <c r="DF208" s="773"/>
      <c r="DG208" s="773"/>
      <c r="DH208" s="773"/>
      <c r="DI208" s="773"/>
      <c r="DJ208" s="773"/>
      <c r="DK208" s="773"/>
      <c r="DL208" s="773"/>
      <c r="DM208" s="773"/>
      <c r="DN208" s="773"/>
      <c r="DO208" s="773"/>
      <c r="DP208" s="773"/>
      <c r="DQ208" s="773"/>
      <c r="DR208" s="773"/>
      <c r="DS208" s="773"/>
      <c r="DT208" s="773"/>
      <c r="DU208" s="773"/>
      <c r="DV208" s="773"/>
      <c r="DW208" s="773"/>
      <c r="DX208" s="773"/>
      <c r="DY208" s="773"/>
      <c r="DZ208" s="773"/>
      <c r="EA208" s="773"/>
      <c r="EB208" s="773"/>
      <c r="EC208" s="773"/>
      <c r="ED208" s="773"/>
      <c r="EE208" s="773"/>
      <c r="EF208" s="773"/>
      <c r="EG208" s="773"/>
      <c r="EH208" s="773"/>
      <c r="EI208" s="773"/>
      <c r="EJ208" s="773"/>
      <c r="EK208" s="773"/>
      <c r="EL208" s="773"/>
      <c r="EM208" s="773"/>
      <c r="EN208" s="773"/>
      <c r="EO208" s="773"/>
      <c r="EP208" s="773"/>
      <c r="EQ208" s="773"/>
      <c r="ER208" s="773"/>
      <c r="ES208" s="773"/>
      <c r="ET208" s="773"/>
      <c r="EU208" s="773"/>
      <c r="EV208" s="773"/>
      <c r="EW208" s="773"/>
      <c r="EX208" s="773"/>
      <c r="EY208" s="773"/>
      <c r="EZ208" s="773"/>
      <c r="FA208" s="773"/>
      <c r="FB208" s="773"/>
      <c r="FC208" s="773"/>
      <c r="FD208" s="773"/>
      <c r="FE208" s="773"/>
      <c r="FF208" s="773"/>
      <c r="FG208" s="773"/>
      <c r="FH208" s="773"/>
      <c r="FI208" s="773"/>
      <c r="FJ208" s="773"/>
      <c r="FK208" s="773"/>
      <c r="FL208" s="773"/>
      <c r="FM208" s="773"/>
      <c r="FN208" s="773"/>
      <c r="FO208" s="773"/>
      <c r="FP208" s="773"/>
      <c r="FQ208" s="773"/>
      <c r="FR208" s="773"/>
      <c r="FS208" s="773"/>
      <c r="FT208" s="773"/>
      <c r="FU208" s="773"/>
      <c r="FV208" s="773"/>
      <c r="FW208" s="773"/>
      <c r="FX208" s="773"/>
      <c r="FY208" s="773"/>
      <c r="FZ208" s="773"/>
      <c r="GA208" s="773"/>
      <c r="GB208" s="773"/>
      <c r="GC208" s="773"/>
      <c r="GD208" s="773"/>
      <c r="GE208" s="773"/>
      <c r="GF208" s="773"/>
      <c r="GG208" s="773"/>
      <c r="GH208" s="773"/>
      <c r="GI208" s="773"/>
      <c r="GJ208" s="773"/>
      <c r="GK208" s="773"/>
      <c r="GL208" s="773"/>
      <c r="GM208" s="773"/>
      <c r="GN208" s="773"/>
      <c r="GO208" s="773"/>
      <c r="GP208" s="773"/>
      <c r="GQ208" s="773"/>
      <c r="GR208" s="773"/>
      <c r="GS208" s="773"/>
      <c r="GT208" s="773"/>
      <c r="GU208" s="773"/>
      <c r="GV208" s="773"/>
      <c r="GW208" s="773"/>
      <c r="GX208" s="773"/>
      <c r="GY208" s="773"/>
      <c r="GZ208" s="773"/>
    </row>
    <row r="209" spans="1:208" s="11" customFormat="1" ht="13.5" thickBot="1">
      <c r="A209" s="774"/>
      <c r="B209" s="3761" t="s">
        <v>1350</v>
      </c>
      <c r="C209" s="197">
        <v>2090001</v>
      </c>
      <c r="D209" s="801" t="s">
        <v>1509</v>
      </c>
      <c r="E209" s="809">
        <f>IFERROR(VLOOKUP(C209,'AJE 12 - INC'!$D$168:$F$345,3,0),0)</f>
        <v>27945</v>
      </c>
      <c r="F209" s="803">
        <f>SUMIF('AJE 12 - INC'!B:B,'New TB INC'!C209,'AJE 12 - INC'!D:D)</f>
        <v>0</v>
      </c>
      <c r="G209" s="1326"/>
      <c r="H209" s="1326"/>
      <c r="I209" s="1326"/>
      <c r="J209" s="859">
        <f t="shared" si="13"/>
        <v>27945</v>
      </c>
      <c r="K209" s="956">
        <f>J209+J40</f>
        <v>0</v>
      </c>
      <c r="L209" s="434"/>
      <c r="M209" s="933"/>
      <c r="N209" s="772"/>
      <c r="O209" s="772"/>
      <c r="P209" s="772"/>
      <c r="Q209" s="772"/>
      <c r="R209" s="772"/>
      <c r="S209" s="772"/>
      <c r="T209" s="773"/>
      <c r="AW209" s="2514"/>
      <c r="AX209" s="820"/>
      <c r="AY209" s="820"/>
      <c r="AZ209" s="820"/>
      <c r="BA209" s="30"/>
      <c r="BB209" s="30"/>
      <c r="BC209" s="2514"/>
      <c r="BD209" s="2514"/>
      <c r="BE209" s="2514"/>
      <c r="BF209" s="2514"/>
      <c r="BH209" s="2514"/>
      <c r="BI209" s="30"/>
      <c r="BJ209" s="30"/>
      <c r="BK209" s="30"/>
      <c r="BL209" s="30"/>
      <c r="BM209" s="30"/>
      <c r="BN209" s="30"/>
      <c r="BO209" s="209"/>
      <c r="BP209" s="209"/>
      <c r="BQ209" s="785"/>
      <c r="BR209" s="820"/>
      <c r="BS209" s="820"/>
      <c r="BT209" s="30"/>
      <c r="BU209" s="800"/>
      <c r="BV209" s="800"/>
      <c r="BW209" s="209"/>
      <c r="CA209" s="787"/>
      <c r="DB209" s="773"/>
      <c r="DC209" s="773"/>
      <c r="DD209" s="773"/>
      <c r="DE209" s="773"/>
      <c r="DF209" s="773"/>
      <c r="DG209" s="773"/>
      <c r="DH209" s="773"/>
      <c r="DI209" s="773"/>
      <c r="DJ209" s="773"/>
      <c r="DK209" s="773"/>
      <c r="DL209" s="773"/>
      <c r="DM209" s="773"/>
      <c r="DN209" s="773"/>
      <c r="DO209" s="773"/>
      <c r="DP209" s="773"/>
      <c r="DQ209" s="773"/>
      <c r="DR209" s="773"/>
      <c r="DS209" s="773"/>
      <c r="DT209" s="773"/>
      <c r="DU209" s="773"/>
      <c r="DV209" s="773"/>
      <c r="DW209" s="773"/>
      <c r="DX209" s="773"/>
      <c r="DY209" s="773"/>
      <c r="DZ209" s="773"/>
      <c r="EA209" s="773"/>
      <c r="EB209" s="773"/>
      <c r="EC209" s="773"/>
      <c r="ED209" s="773"/>
      <c r="EE209" s="773"/>
      <c r="EF209" s="773"/>
      <c r="EG209" s="773"/>
      <c r="EH209" s="773"/>
      <c r="EI209" s="773"/>
      <c r="EJ209" s="773"/>
      <c r="EK209" s="773"/>
      <c r="EL209" s="773"/>
      <c r="EM209" s="773"/>
      <c r="EN209" s="773"/>
      <c r="EO209" s="773"/>
      <c r="EP209" s="773"/>
      <c r="EQ209" s="773"/>
      <c r="ER209" s="773"/>
      <c r="ES209" s="773"/>
      <c r="ET209" s="773"/>
      <c r="EU209" s="773"/>
      <c r="EV209" s="773"/>
      <c r="EW209" s="773"/>
      <c r="EX209" s="773"/>
      <c r="EY209" s="773"/>
      <c r="EZ209" s="773"/>
      <c r="FA209" s="773"/>
      <c r="FB209" s="773"/>
      <c r="FC209" s="773"/>
      <c r="FD209" s="773"/>
      <c r="FE209" s="773"/>
      <c r="FF209" s="773"/>
      <c r="FG209" s="773"/>
      <c r="FH209" s="773"/>
      <c r="FI209" s="773"/>
      <c r="FJ209" s="773"/>
      <c r="FK209" s="773"/>
      <c r="FL209" s="773"/>
      <c r="FM209" s="773"/>
      <c r="FN209" s="773"/>
      <c r="FO209" s="773"/>
      <c r="FP209" s="773"/>
      <c r="FQ209" s="773"/>
      <c r="FR209" s="773"/>
      <c r="FS209" s="773"/>
      <c r="FT209" s="773"/>
      <c r="FU209" s="773"/>
      <c r="FV209" s="773"/>
      <c r="FW209" s="773"/>
      <c r="FX209" s="773"/>
      <c r="FY209" s="773"/>
      <c r="FZ209" s="773"/>
      <c r="GA209" s="773"/>
      <c r="GB209" s="773"/>
      <c r="GC209" s="773"/>
      <c r="GD209" s="773"/>
      <c r="GE209" s="773"/>
      <c r="GF209" s="773"/>
      <c r="GG209" s="773"/>
      <c r="GH209" s="773"/>
      <c r="GI209" s="773"/>
      <c r="GJ209" s="773"/>
      <c r="GK209" s="773"/>
      <c r="GL209" s="773"/>
      <c r="GM209" s="773"/>
      <c r="GN209" s="773"/>
      <c r="GO209" s="773"/>
      <c r="GP209" s="773"/>
      <c r="GQ209" s="773"/>
      <c r="GR209" s="773"/>
      <c r="GS209" s="773"/>
      <c r="GT209" s="773"/>
      <c r="GU209" s="773"/>
      <c r="GV209" s="773"/>
      <c r="GW209" s="773"/>
      <c r="GX209" s="773"/>
      <c r="GY209" s="773"/>
      <c r="GZ209" s="773"/>
    </row>
    <row r="210" spans="1:208" s="11" customFormat="1">
      <c r="A210" s="774"/>
      <c r="B210" s="3761" t="s">
        <v>1350</v>
      </c>
      <c r="C210" s="197">
        <v>2500204</v>
      </c>
      <c r="D210" s="801" t="s">
        <v>1412</v>
      </c>
      <c r="E210" s="809">
        <f>IFERROR(VLOOKUP(C210,'AJE 12 - INC'!$D$168:$F$345,3,0),0)</f>
        <v>0</v>
      </c>
      <c r="F210" s="517">
        <f>SUMIF('AJE 12 - INC'!B:B,'New TB INC'!C210,'AJE 12 - INC'!D:D)</f>
        <v>0</v>
      </c>
      <c r="G210" s="1326"/>
      <c r="H210" s="1326"/>
      <c r="I210" s="1326"/>
      <c r="J210" s="798">
        <f t="shared" si="13"/>
        <v>0</v>
      </c>
      <c r="K210" s="209"/>
      <c r="L210" s="434"/>
      <c r="M210" s="960"/>
      <c r="N210" s="772"/>
      <c r="O210" s="772"/>
      <c r="P210" s="772"/>
      <c r="Q210" s="772"/>
      <c r="R210" s="772"/>
      <c r="S210" s="772"/>
      <c r="T210" s="773"/>
      <c r="AW210" s="2514"/>
      <c r="AX210" s="820"/>
      <c r="AY210" s="820"/>
      <c r="AZ210" s="820"/>
      <c r="BA210" s="30"/>
      <c r="BB210" s="30"/>
      <c r="BC210" s="2514"/>
      <c r="BD210" s="2514"/>
      <c r="BE210" s="2514"/>
      <c r="BF210" s="2514"/>
      <c r="BH210" s="2514"/>
      <c r="BI210" s="30"/>
      <c r="BJ210" s="30"/>
      <c r="BK210" s="30"/>
      <c r="BL210" s="30"/>
      <c r="BM210" s="30"/>
      <c r="BN210" s="30"/>
      <c r="BO210" s="209"/>
      <c r="BP210" s="209"/>
      <c r="BQ210" s="785"/>
      <c r="BR210" s="820"/>
      <c r="BS210" s="820"/>
      <c r="BT210" s="30"/>
      <c r="BU210" s="800"/>
      <c r="BV210" s="800"/>
      <c r="BW210" s="209"/>
      <c r="CA210" s="787"/>
      <c r="DB210" s="773"/>
      <c r="DC210" s="773"/>
      <c r="DD210" s="773"/>
      <c r="DE210" s="773"/>
      <c r="DF210" s="773"/>
      <c r="DG210" s="773"/>
      <c r="DH210" s="773"/>
      <c r="DI210" s="773"/>
      <c r="DJ210" s="773"/>
      <c r="DK210" s="773"/>
      <c r="DL210" s="773"/>
      <c r="DM210" s="773"/>
      <c r="DN210" s="773"/>
      <c r="DO210" s="773"/>
      <c r="DP210" s="773"/>
      <c r="DQ210" s="773"/>
      <c r="DR210" s="773"/>
      <c r="DS210" s="773"/>
      <c r="DT210" s="773"/>
      <c r="DU210" s="773"/>
      <c r="DV210" s="773"/>
      <c r="DW210" s="773"/>
      <c r="DX210" s="773"/>
      <c r="DY210" s="773"/>
      <c r="DZ210" s="773"/>
      <c r="EA210" s="773"/>
      <c r="EB210" s="773"/>
      <c r="EC210" s="773"/>
      <c r="ED210" s="773"/>
      <c r="EE210" s="773"/>
      <c r="EF210" s="773"/>
      <c r="EG210" s="773"/>
      <c r="EH210" s="773"/>
      <c r="EI210" s="773"/>
      <c r="EJ210" s="773"/>
      <c r="EK210" s="773"/>
      <c r="EL210" s="773"/>
      <c r="EM210" s="773"/>
      <c r="EN210" s="773"/>
      <c r="EO210" s="773"/>
      <c r="EP210" s="773"/>
      <c r="EQ210" s="773"/>
      <c r="ER210" s="773"/>
      <c r="ES210" s="773"/>
      <c r="ET210" s="773"/>
      <c r="EU210" s="773"/>
      <c r="EV210" s="773"/>
      <c r="EW210" s="773"/>
      <c r="EX210" s="773"/>
      <c r="EY210" s="773"/>
      <c r="EZ210" s="773"/>
      <c r="FA210" s="773"/>
      <c r="FB210" s="773"/>
      <c r="FC210" s="773"/>
      <c r="FD210" s="773"/>
      <c r="FE210" s="773"/>
      <c r="FF210" s="773"/>
      <c r="FG210" s="773"/>
      <c r="FH210" s="773"/>
      <c r="FI210" s="773"/>
      <c r="FJ210" s="773"/>
      <c r="FK210" s="773"/>
      <c r="FL210" s="773"/>
      <c r="FM210" s="773"/>
      <c r="FN210" s="773"/>
      <c r="FO210" s="773"/>
      <c r="FP210" s="773"/>
      <c r="FQ210" s="773"/>
      <c r="FR210" s="773"/>
      <c r="FS210" s="773"/>
      <c r="FT210" s="773"/>
      <c r="FU210" s="773"/>
      <c r="FV210" s="773"/>
      <c r="FW210" s="773"/>
      <c r="FX210" s="773"/>
      <c r="FY210" s="773"/>
      <c r="FZ210" s="773"/>
      <c r="GA210" s="773"/>
      <c r="GB210" s="773"/>
      <c r="GC210" s="773"/>
      <c r="GD210" s="773"/>
      <c r="GE210" s="773"/>
      <c r="GF210" s="773"/>
      <c r="GG210" s="773"/>
      <c r="GH210" s="773"/>
      <c r="GI210" s="773"/>
      <c r="GJ210" s="773"/>
      <c r="GK210" s="773"/>
      <c r="GL210" s="773"/>
      <c r="GM210" s="773"/>
      <c r="GN210" s="773"/>
      <c r="GO210" s="773"/>
      <c r="GP210" s="773"/>
      <c r="GQ210" s="773"/>
      <c r="GR210" s="773"/>
      <c r="GS210" s="773"/>
      <c r="GT210" s="773"/>
      <c r="GU210" s="773"/>
      <c r="GV210" s="773"/>
      <c r="GW210" s="773"/>
      <c r="GX210" s="773"/>
      <c r="GY210" s="773"/>
      <c r="GZ210" s="773"/>
    </row>
    <row r="211" spans="1:208" s="11" customFormat="1">
      <c r="A211" s="774"/>
      <c r="B211" s="3761" t="s">
        <v>1350</v>
      </c>
      <c r="C211" s="814">
        <v>53500</v>
      </c>
      <c r="D211" s="801" t="s">
        <v>500</v>
      </c>
      <c r="E211" s="809">
        <f>IFERROR(VLOOKUP(C211,'AJE 12 - INC'!$D$168:$F$345,3,0),0)</f>
        <v>0</v>
      </c>
      <c r="F211" s="796">
        <f>SUMIF('AJE 12 - INC'!B:B,'New TB INC'!C211,'AJE 12 - INC'!D:D)</f>
        <v>0</v>
      </c>
      <c r="G211" s="1326"/>
      <c r="H211" s="1326"/>
      <c r="I211" s="1326"/>
      <c r="J211" s="796">
        <f t="shared" si="13"/>
        <v>0</v>
      </c>
      <c r="K211" s="209"/>
      <c r="L211" s="434"/>
      <c r="M211" s="2177"/>
      <c r="N211" s="772"/>
      <c r="O211" s="772"/>
      <c r="P211" s="772"/>
      <c r="Q211" s="772"/>
      <c r="R211" s="772"/>
      <c r="S211" s="772"/>
      <c r="T211" s="773"/>
      <c r="AW211" s="2514"/>
      <c r="AX211" s="820"/>
      <c r="AY211" s="820"/>
      <c r="AZ211" s="820"/>
      <c r="BA211" s="30"/>
      <c r="BB211" s="30"/>
      <c r="BC211" s="2514"/>
      <c r="BD211" s="2514"/>
      <c r="BE211" s="2514"/>
      <c r="BF211" s="2514"/>
      <c r="BH211" s="2514"/>
      <c r="BI211" s="30"/>
      <c r="BJ211" s="30"/>
      <c r="BK211" s="30"/>
      <c r="BL211" s="30"/>
      <c r="BM211" s="30"/>
      <c r="BN211" s="30"/>
      <c r="BO211" s="209"/>
      <c r="BP211" s="209"/>
      <c r="BQ211" s="785"/>
      <c r="BR211" s="820"/>
      <c r="BS211" s="820"/>
      <c r="BT211" s="30"/>
      <c r="BU211" s="800"/>
      <c r="BV211" s="800"/>
      <c r="BW211" s="209"/>
      <c r="CA211" s="787"/>
      <c r="DB211" s="773"/>
      <c r="DC211" s="773"/>
      <c r="DD211" s="773"/>
      <c r="DE211" s="773"/>
      <c r="DF211" s="773"/>
      <c r="DG211" s="773"/>
      <c r="DH211" s="773"/>
      <c r="DI211" s="773"/>
      <c r="DJ211" s="773"/>
      <c r="DK211" s="773"/>
      <c r="DL211" s="773"/>
      <c r="DM211" s="773"/>
      <c r="DN211" s="773"/>
      <c r="DO211" s="773"/>
      <c r="DP211" s="773"/>
      <c r="DQ211" s="773"/>
      <c r="DR211" s="773"/>
      <c r="DS211" s="773"/>
      <c r="DT211" s="773"/>
      <c r="DU211" s="773"/>
      <c r="DV211" s="773"/>
      <c r="DW211" s="773"/>
      <c r="DX211" s="773"/>
      <c r="DY211" s="773"/>
      <c r="DZ211" s="773"/>
      <c r="EA211" s="773"/>
      <c r="EB211" s="773"/>
      <c r="EC211" s="773"/>
      <c r="ED211" s="773"/>
      <c r="EE211" s="773"/>
      <c r="EF211" s="773"/>
      <c r="EG211" s="773"/>
      <c r="EH211" s="773"/>
      <c r="EI211" s="773"/>
      <c r="EJ211" s="773"/>
      <c r="EK211" s="773"/>
      <c r="EL211" s="773"/>
      <c r="EM211" s="773"/>
      <c r="EN211" s="773"/>
      <c r="EO211" s="773"/>
      <c r="EP211" s="773"/>
      <c r="EQ211" s="773"/>
      <c r="ER211" s="773"/>
      <c r="ES211" s="773"/>
      <c r="ET211" s="773"/>
      <c r="EU211" s="773"/>
      <c r="EV211" s="773"/>
      <c r="EW211" s="773"/>
      <c r="EX211" s="773"/>
      <c r="EY211" s="773"/>
      <c r="EZ211" s="773"/>
      <c r="FA211" s="773"/>
      <c r="FB211" s="773"/>
      <c r="FC211" s="773"/>
      <c r="FD211" s="773"/>
      <c r="FE211" s="773"/>
      <c r="FF211" s="773"/>
      <c r="FG211" s="773"/>
      <c r="FH211" s="773"/>
      <c r="FI211" s="773"/>
      <c r="FJ211" s="773"/>
      <c r="FK211" s="773"/>
      <c r="FL211" s="773"/>
      <c r="FM211" s="773"/>
      <c r="FN211" s="773"/>
      <c r="FO211" s="773"/>
      <c r="FP211" s="773"/>
      <c r="FQ211" s="773"/>
      <c r="FR211" s="773"/>
      <c r="FS211" s="773"/>
      <c r="FT211" s="773"/>
      <c r="FU211" s="773"/>
      <c r="FV211" s="773"/>
      <c r="FW211" s="773"/>
      <c r="FX211" s="773"/>
      <c r="FY211" s="773"/>
      <c r="FZ211" s="773"/>
      <c r="GA211" s="773"/>
      <c r="GB211" s="773"/>
      <c r="GC211" s="773"/>
      <c r="GD211" s="773"/>
      <c r="GE211" s="773"/>
      <c r="GF211" s="773"/>
      <c r="GG211" s="773"/>
      <c r="GH211" s="773"/>
      <c r="GI211" s="773"/>
      <c r="GJ211" s="773"/>
      <c r="GK211" s="773"/>
      <c r="GL211" s="773"/>
      <c r="GM211" s="773"/>
      <c r="GN211" s="773"/>
      <c r="GO211" s="773"/>
      <c r="GP211" s="773"/>
      <c r="GQ211" s="773"/>
      <c r="GR211" s="773"/>
      <c r="GS211" s="773"/>
      <c r="GT211" s="773"/>
      <c r="GU211" s="773"/>
      <c r="GV211" s="773"/>
      <c r="GW211" s="773"/>
      <c r="GX211" s="773"/>
      <c r="GY211" s="773"/>
      <c r="GZ211" s="773"/>
    </row>
    <row r="212" spans="1:208" s="11" customFormat="1">
      <c r="A212" s="774"/>
      <c r="B212" s="3761"/>
      <c r="C212" s="157"/>
      <c r="D212" s="199"/>
      <c r="E212" s="809"/>
      <c r="F212" s="1918"/>
      <c r="G212" s="1326"/>
      <c r="H212" s="1326"/>
      <c r="I212" s="1326"/>
      <c r="J212" s="796"/>
      <c r="K212" s="209"/>
      <c r="L212" s="434"/>
      <c r="M212" s="810"/>
      <c r="N212" s="772"/>
      <c r="O212" s="772"/>
      <c r="P212" s="772"/>
      <c r="Q212" s="772"/>
      <c r="R212" s="772"/>
      <c r="S212" s="772"/>
      <c r="T212" s="773"/>
      <c r="AW212" s="2514"/>
      <c r="AX212" s="820"/>
      <c r="AY212" s="820"/>
      <c r="AZ212" s="820"/>
      <c r="BA212" s="30"/>
      <c r="BB212" s="30"/>
      <c r="BC212" s="2514"/>
      <c r="BD212" s="2514"/>
      <c r="BE212" s="2514"/>
      <c r="BF212" s="2514"/>
      <c r="BH212" s="2514"/>
      <c r="BI212" s="30"/>
      <c r="BJ212" s="30"/>
      <c r="BK212" s="30"/>
      <c r="BL212" s="30"/>
      <c r="BM212" s="30"/>
      <c r="BN212" s="30"/>
      <c r="BO212" s="209"/>
      <c r="BP212" s="209"/>
      <c r="BQ212" s="785"/>
      <c r="BR212" s="820"/>
      <c r="BS212" s="820"/>
      <c r="BT212" s="30"/>
      <c r="BU212" s="800"/>
      <c r="BV212" s="800"/>
      <c r="BW212" s="209"/>
      <c r="CA212" s="787"/>
      <c r="DB212" s="773"/>
      <c r="DC212" s="773"/>
      <c r="DD212" s="773"/>
      <c r="DE212" s="773"/>
      <c r="DF212" s="773"/>
      <c r="DG212" s="773"/>
      <c r="DH212" s="773"/>
      <c r="DI212" s="773"/>
      <c r="DJ212" s="773"/>
      <c r="DK212" s="773"/>
      <c r="DL212" s="773"/>
      <c r="DM212" s="773"/>
      <c r="DN212" s="773"/>
      <c r="DO212" s="773"/>
      <c r="DP212" s="773"/>
      <c r="DQ212" s="773"/>
      <c r="DR212" s="773"/>
      <c r="DS212" s="773"/>
      <c r="DT212" s="773"/>
      <c r="DU212" s="773"/>
      <c r="DV212" s="773"/>
      <c r="DW212" s="773"/>
      <c r="DX212" s="773"/>
      <c r="DY212" s="773"/>
      <c r="DZ212" s="773"/>
      <c r="EA212" s="773"/>
      <c r="EB212" s="773"/>
      <c r="EC212" s="773"/>
      <c r="ED212" s="773"/>
      <c r="EE212" s="773"/>
      <c r="EF212" s="773"/>
      <c r="EG212" s="773"/>
      <c r="EH212" s="773"/>
      <c r="EI212" s="773"/>
      <c r="EJ212" s="773"/>
      <c r="EK212" s="773"/>
      <c r="EL212" s="773"/>
      <c r="EM212" s="773"/>
      <c r="EN212" s="773"/>
      <c r="EO212" s="773"/>
      <c r="EP212" s="773"/>
      <c r="EQ212" s="773"/>
      <c r="ER212" s="773"/>
      <c r="ES212" s="773"/>
      <c r="ET212" s="773"/>
      <c r="EU212" s="773"/>
      <c r="EV212" s="773"/>
      <c r="EW212" s="773"/>
      <c r="EX212" s="773"/>
      <c r="EY212" s="773"/>
      <c r="EZ212" s="773"/>
      <c r="FA212" s="773"/>
      <c r="FB212" s="773"/>
      <c r="FC212" s="773"/>
      <c r="FD212" s="773"/>
      <c r="FE212" s="773"/>
      <c r="FF212" s="773"/>
      <c r="FG212" s="773"/>
      <c r="FH212" s="773"/>
      <c r="FI212" s="773"/>
      <c r="FJ212" s="773"/>
      <c r="FK212" s="773"/>
      <c r="FL212" s="773"/>
      <c r="FM212" s="773"/>
      <c r="FN212" s="773"/>
      <c r="FO212" s="773"/>
      <c r="FP212" s="773"/>
      <c r="FQ212" s="773"/>
      <c r="FR212" s="773"/>
      <c r="FS212" s="773"/>
      <c r="FT212" s="773"/>
      <c r="FU212" s="773"/>
      <c r="FV212" s="773"/>
      <c r="FW212" s="773"/>
      <c r="FX212" s="773"/>
      <c r="FY212" s="773"/>
      <c r="FZ212" s="773"/>
      <c r="GA212" s="773"/>
      <c r="GB212" s="773"/>
      <c r="GC212" s="773"/>
      <c r="GD212" s="773"/>
      <c r="GE212" s="773"/>
      <c r="GF212" s="773"/>
      <c r="GG212" s="773"/>
      <c r="GH212" s="773"/>
      <c r="GI212" s="773"/>
      <c r="GJ212" s="773"/>
      <c r="GK212" s="773"/>
      <c r="GL212" s="773"/>
      <c r="GM212" s="773"/>
      <c r="GN212" s="773"/>
      <c r="GO212" s="773"/>
      <c r="GP212" s="773"/>
      <c r="GQ212" s="773"/>
      <c r="GR212" s="773"/>
      <c r="GS212" s="773"/>
      <c r="GT212" s="773"/>
      <c r="GU212" s="773"/>
      <c r="GV212" s="773"/>
      <c r="GW212" s="773"/>
      <c r="GX212" s="773"/>
      <c r="GY212" s="773"/>
      <c r="GZ212" s="773"/>
    </row>
    <row r="213" spans="1:208" s="11" customFormat="1">
      <c r="A213" s="774"/>
      <c r="B213" s="3761"/>
      <c r="C213" s="934"/>
      <c r="D213" s="935" t="s">
        <v>150</v>
      </c>
      <c r="E213" s="1963">
        <f t="shared" ref="E213:J213" si="14">SUM(E17:E212)</f>
        <v>12278442.84</v>
      </c>
      <c r="F213" s="1964">
        <f t="shared" si="14"/>
        <v>0</v>
      </c>
      <c r="G213" s="1964">
        <f t="shared" si="14"/>
        <v>0</v>
      </c>
      <c r="H213" s="1964">
        <f t="shared" si="14"/>
        <v>0</v>
      </c>
      <c r="I213" s="1964">
        <f t="shared" si="14"/>
        <v>0</v>
      </c>
      <c r="J213" s="1963">
        <f t="shared" si="14"/>
        <v>12278442.84</v>
      </c>
      <c r="K213" s="209"/>
      <c r="L213" s="434"/>
      <c r="M213" s="813"/>
      <c r="N213" s="772"/>
      <c r="O213" s="772"/>
      <c r="P213" s="772"/>
      <c r="Q213" s="772"/>
      <c r="R213" s="772"/>
      <c r="S213" s="772"/>
      <c r="T213" s="773"/>
      <c r="AW213" s="2514"/>
      <c r="AX213" s="820"/>
      <c r="AY213" s="820"/>
      <c r="AZ213" s="820"/>
      <c r="BA213" s="30"/>
      <c r="BB213" s="30"/>
      <c r="BC213" s="2514"/>
      <c r="BD213" s="2514"/>
      <c r="BE213" s="2514"/>
      <c r="BF213" s="2514"/>
      <c r="BH213" s="2514"/>
      <c r="BI213" s="30"/>
      <c r="BJ213" s="30"/>
      <c r="BK213" s="30"/>
      <c r="BL213" s="30"/>
      <c r="BM213" s="30"/>
      <c r="BN213" s="30"/>
      <c r="BO213" s="800"/>
      <c r="BP213" s="209"/>
      <c r="BQ213" s="785"/>
      <c r="BR213" s="820"/>
      <c r="BS213" s="936"/>
      <c r="BT213" s="937"/>
      <c r="BU213" s="800"/>
      <c r="BV213" s="800"/>
      <c r="BW213" s="209"/>
      <c r="CA213" s="787"/>
      <c r="DB213" s="773"/>
      <c r="DC213" s="773"/>
      <c r="DD213" s="773"/>
      <c r="DE213" s="773"/>
      <c r="DF213" s="773"/>
      <c r="DG213" s="773"/>
      <c r="DH213" s="773"/>
      <c r="DI213" s="773"/>
      <c r="DJ213" s="773"/>
      <c r="DK213" s="773"/>
      <c r="DL213" s="773"/>
      <c r="DM213" s="773"/>
      <c r="DN213" s="773"/>
      <c r="DO213" s="773"/>
      <c r="DP213" s="773"/>
      <c r="DQ213" s="773"/>
      <c r="DR213" s="773"/>
      <c r="DS213" s="773"/>
      <c r="DT213" s="773"/>
      <c r="DU213" s="773"/>
      <c r="DV213" s="773"/>
      <c r="DW213" s="773"/>
      <c r="DX213" s="773"/>
      <c r="DY213" s="773"/>
      <c r="DZ213" s="773"/>
      <c r="EA213" s="773"/>
      <c r="EB213" s="773"/>
      <c r="EC213" s="773"/>
      <c r="ED213" s="773"/>
      <c r="EE213" s="773"/>
      <c r="EF213" s="773"/>
      <c r="EG213" s="773"/>
      <c r="EH213" s="773"/>
      <c r="EI213" s="773"/>
      <c r="EJ213" s="773"/>
      <c r="EK213" s="773"/>
      <c r="EL213" s="773"/>
      <c r="EM213" s="773"/>
      <c r="EN213" s="773"/>
      <c r="EO213" s="773"/>
      <c r="EP213" s="773"/>
      <c r="EQ213" s="773"/>
      <c r="ER213" s="773"/>
      <c r="ES213" s="773"/>
      <c r="ET213" s="773"/>
      <c r="EU213" s="773"/>
      <c r="EV213" s="773"/>
      <c r="EW213" s="773"/>
      <c r="EX213" s="773"/>
      <c r="EY213" s="773"/>
      <c r="EZ213" s="773"/>
      <c r="FA213" s="773"/>
      <c r="FB213" s="773"/>
      <c r="FC213" s="773"/>
      <c r="FD213" s="773"/>
      <c r="FE213" s="773"/>
      <c r="FF213" s="773"/>
      <c r="FG213" s="773"/>
      <c r="FH213" s="773"/>
      <c r="FI213" s="773"/>
      <c r="FJ213" s="773"/>
      <c r="FK213" s="773"/>
      <c r="FL213" s="773"/>
      <c r="FM213" s="773"/>
      <c r="FN213" s="773"/>
      <c r="FO213" s="773"/>
      <c r="FP213" s="773"/>
      <c r="FQ213" s="773"/>
      <c r="FR213" s="773"/>
      <c r="FS213" s="773"/>
      <c r="FT213" s="773"/>
      <c r="FU213" s="773"/>
      <c r="FV213" s="773"/>
      <c r="FW213" s="773"/>
      <c r="FX213" s="773"/>
      <c r="FY213" s="773"/>
      <c r="FZ213" s="773"/>
      <c r="GA213" s="773"/>
      <c r="GB213" s="773"/>
      <c r="GC213" s="773"/>
      <c r="GD213" s="773"/>
      <c r="GE213" s="773"/>
      <c r="GF213" s="773"/>
      <c r="GG213" s="773"/>
      <c r="GH213" s="773"/>
      <c r="GI213" s="773"/>
      <c r="GJ213" s="773"/>
      <c r="GK213" s="773"/>
      <c r="GL213" s="773"/>
      <c r="GM213" s="773"/>
      <c r="GN213" s="773"/>
      <c r="GO213" s="773"/>
      <c r="GP213" s="773"/>
      <c r="GQ213" s="773"/>
      <c r="GR213" s="773"/>
      <c r="GS213" s="773"/>
      <c r="GT213" s="773"/>
      <c r="GU213" s="773"/>
      <c r="GV213" s="773"/>
      <c r="GW213" s="773"/>
      <c r="GX213" s="773"/>
      <c r="GY213" s="773"/>
      <c r="GZ213" s="773"/>
    </row>
    <row r="214" spans="1:208" s="11" customFormat="1" ht="13.5" thickBot="1">
      <c r="A214" s="774"/>
      <c r="B214" s="3761"/>
      <c r="C214" s="848"/>
      <c r="D214" s="938"/>
      <c r="E214" s="107"/>
      <c r="F214" s="107"/>
      <c r="G214" s="107"/>
      <c r="H214" s="107"/>
      <c r="I214" s="107"/>
      <c r="J214" s="107"/>
      <c r="K214" s="209"/>
      <c r="L214" s="434"/>
      <c r="M214" s="815"/>
      <c r="N214" s="772"/>
      <c r="O214" s="772"/>
      <c r="P214" s="772"/>
      <c r="Q214" s="772"/>
      <c r="R214" s="772"/>
      <c r="S214" s="772"/>
      <c r="T214" s="773"/>
      <c r="AW214" s="2514"/>
      <c r="AX214" s="820"/>
      <c r="AY214" s="820"/>
      <c r="AZ214" s="820"/>
      <c r="BA214" s="30"/>
      <c r="BB214" s="30"/>
      <c r="BC214" s="2514"/>
      <c r="BD214" s="2514"/>
      <c r="BE214" s="2514"/>
      <c r="BF214" s="2514"/>
      <c r="BH214" s="2514"/>
      <c r="BI214" s="30"/>
      <c r="BJ214" s="30"/>
      <c r="BK214" s="30"/>
      <c r="BL214" s="30"/>
      <c r="BM214" s="30"/>
      <c r="BN214" s="30"/>
      <c r="BO214" s="800"/>
      <c r="BP214" s="209"/>
      <c r="BQ214" s="785"/>
      <c r="BR214" s="820"/>
      <c r="BS214" s="936"/>
      <c r="BT214" s="937"/>
      <c r="BU214" s="800"/>
      <c r="BV214" s="800"/>
      <c r="BW214" s="209"/>
      <c r="CA214" s="787"/>
      <c r="DB214" s="773"/>
      <c r="DC214" s="773"/>
      <c r="DD214" s="773"/>
      <c r="DE214" s="773"/>
      <c r="DF214" s="773"/>
      <c r="DG214" s="773"/>
      <c r="DH214" s="773"/>
      <c r="DI214" s="773"/>
      <c r="DJ214" s="773"/>
      <c r="DK214" s="773"/>
      <c r="DL214" s="773"/>
      <c r="DM214" s="773"/>
      <c r="DN214" s="773"/>
      <c r="DO214" s="773"/>
      <c r="DP214" s="773"/>
      <c r="DQ214" s="773"/>
      <c r="DR214" s="773"/>
      <c r="DS214" s="773"/>
      <c r="DT214" s="773"/>
      <c r="DU214" s="773"/>
      <c r="DV214" s="773"/>
      <c r="DW214" s="773"/>
      <c r="DX214" s="773"/>
      <c r="DY214" s="773"/>
      <c r="DZ214" s="773"/>
      <c r="EA214" s="773"/>
      <c r="EB214" s="773"/>
      <c r="EC214" s="773"/>
      <c r="ED214" s="773"/>
      <c r="EE214" s="773"/>
      <c r="EF214" s="773"/>
      <c r="EG214" s="773"/>
      <c r="EH214" s="773"/>
      <c r="EI214" s="773"/>
      <c r="EJ214" s="773"/>
      <c r="EK214" s="773"/>
      <c r="EL214" s="773"/>
      <c r="EM214" s="773"/>
      <c r="EN214" s="773"/>
      <c r="EO214" s="773"/>
      <c r="EP214" s="773"/>
      <c r="EQ214" s="773"/>
      <c r="ER214" s="773"/>
      <c r="ES214" s="773"/>
      <c r="ET214" s="773"/>
      <c r="EU214" s="773"/>
      <c r="EV214" s="773"/>
      <c r="EW214" s="773"/>
      <c r="EX214" s="773"/>
      <c r="EY214" s="773"/>
      <c r="EZ214" s="773"/>
      <c r="FA214" s="773"/>
      <c r="FB214" s="773"/>
      <c r="FC214" s="773"/>
      <c r="FD214" s="773"/>
      <c r="FE214" s="773"/>
      <c r="FF214" s="773"/>
      <c r="FG214" s="773"/>
      <c r="FH214" s="773"/>
      <c r="FI214" s="773"/>
      <c r="FJ214" s="773"/>
      <c r="FK214" s="773"/>
      <c r="FL214" s="773"/>
      <c r="FM214" s="773"/>
      <c r="FN214" s="773"/>
      <c r="FO214" s="773"/>
      <c r="FP214" s="773"/>
      <c r="FQ214" s="773"/>
      <c r="FR214" s="773"/>
      <c r="FS214" s="773"/>
      <c r="FT214" s="773"/>
      <c r="FU214" s="773"/>
      <c r="FV214" s="773"/>
      <c r="FW214" s="773"/>
      <c r="FX214" s="773"/>
      <c r="FY214" s="773"/>
      <c r="FZ214" s="773"/>
      <c r="GA214" s="773"/>
      <c r="GB214" s="773"/>
      <c r="GC214" s="773"/>
      <c r="GD214" s="773"/>
      <c r="GE214" s="773"/>
      <c r="GF214" s="773"/>
      <c r="GG214" s="773"/>
      <c r="GH214" s="773"/>
      <c r="GI214" s="773"/>
      <c r="GJ214" s="773"/>
      <c r="GK214" s="773"/>
      <c r="GL214" s="773"/>
      <c r="GM214" s="773"/>
      <c r="GN214" s="773"/>
      <c r="GO214" s="773"/>
      <c r="GP214" s="773"/>
      <c r="GQ214" s="773"/>
      <c r="GR214" s="773"/>
      <c r="GS214" s="773"/>
      <c r="GT214" s="773"/>
      <c r="GU214" s="773"/>
      <c r="GV214" s="773"/>
      <c r="GW214" s="773"/>
      <c r="GX214" s="773"/>
      <c r="GY214" s="773"/>
      <c r="GZ214" s="773"/>
    </row>
    <row r="215" spans="1:208" s="11" customFormat="1" ht="13.5" thickBot="1">
      <c r="A215" s="774"/>
      <c r="B215" s="3761"/>
      <c r="C215" s="848"/>
      <c r="D215" s="932" t="s">
        <v>65</v>
      </c>
      <c r="E215" s="107"/>
      <c r="F215" s="107"/>
      <c r="G215" s="107"/>
      <c r="H215" s="107"/>
      <c r="I215" s="107"/>
      <c r="J215" s="107"/>
      <c r="K215" s="209"/>
      <c r="L215" s="434"/>
      <c r="M215" s="815"/>
      <c r="N215" s="772"/>
      <c r="O215" s="772"/>
      <c r="P215" s="772"/>
      <c r="Q215" s="772"/>
      <c r="R215" s="772"/>
      <c r="S215" s="772"/>
      <c r="T215" s="773"/>
      <c r="AW215" s="2514"/>
      <c r="AX215" s="820"/>
      <c r="AY215" s="820"/>
      <c r="AZ215" s="820"/>
      <c r="BA215" s="30"/>
      <c r="BB215" s="30"/>
      <c r="BC215" s="2514"/>
      <c r="BD215" s="2514"/>
      <c r="BE215" s="2514"/>
      <c r="BF215" s="2514"/>
      <c r="BH215" s="2514"/>
      <c r="BI215" s="30"/>
      <c r="BJ215" s="30"/>
      <c r="BK215" s="30"/>
      <c r="BL215" s="30"/>
      <c r="BM215" s="30"/>
      <c r="BN215" s="30"/>
      <c r="BO215" s="800"/>
      <c r="BP215" s="209"/>
      <c r="BQ215" s="785"/>
      <c r="BR215" s="820"/>
      <c r="BS215" s="936"/>
      <c r="BT215" s="937"/>
      <c r="BU215" s="800"/>
      <c r="BV215" s="800"/>
      <c r="BW215" s="209"/>
      <c r="CA215" s="787"/>
      <c r="DB215" s="773"/>
      <c r="DC215" s="773"/>
      <c r="DD215" s="773"/>
      <c r="DE215" s="773"/>
      <c r="DF215" s="773"/>
      <c r="DG215" s="773"/>
      <c r="DH215" s="773"/>
      <c r="DI215" s="773"/>
      <c r="DJ215" s="773"/>
      <c r="DK215" s="773"/>
      <c r="DL215" s="773"/>
      <c r="DM215" s="773"/>
      <c r="DN215" s="773"/>
      <c r="DO215" s="773"/>
      <c r="DP215" s="773"/>
      <c r="DQ215" s="773"/>
      <c r="DR215" s="773"/>
      <c r="DS215" s="773"/>
      <c r="DT215" s="773"/>
      <c r="DU215" s="773"/>
      <c r="DV215" s="773"/>
      <c r="DW215" s="773"/>
      <c r="DX215" s="773"/>
      <c r="DY215" s="773"/>
      <c r="DZ215" s="773"/>
      <c r="EA215" s="773"/>
      <c r="EB215" s="773"/>
      <c r="EC215" s="773"/>
      <c r="ED215" s="773"/>
      <c r="EE215" s="773"/>
      <c r="EF215" s="773"/>
      <c r="EG215" s="773"/>
      <c r="EH215" s="773"/>
      <c r="EI215" s="773"/>
      <c r="EJ215" s="773"/>
      <c r="EK215" s="773"/>
      <c r="EL215" s="773"/>
      <c r="EM215" s="773"/>
      <c r="EN215" s="773"/>
      <c r="EO215" s="773"/>
      <c r="EP215" s="773"/>
      <c r="EQ215" s="773"/>
      <c r="ER215" s="773"/>
      <c r="ES215" s="773"/>
      <c r="ET215" s="773"/>
      <c r="EU215" s="773"/>
      <c r="EV215" s="773"/>
      <c r="EW215" s="773"/>
      <c r="EX215" s="773"/>
      <c r="EY215" s="773"/>
      <c r="EZ215" s="773"/>
      <c r="FA215" s="773"/>
      <c r="FB215" s="773"/>
      <c r="FC215" s="773"/>
      <c r="FD215" s="773"/>
      <c r="FE215" s="773"/>
      <c r="FF215" s="773"/>
      <c r="FG215" s="773"/>
      <c r="FH215" s="773"/>
      <c r="FI215" s="773"/>
      <c r="FJ215" s="773"/>
      <c r="FK215" s="773"/>
      <c r="FL215" s="773"/>
      <c r="FM215" s="773"/>
      <c r="FN215" s="773"/>
      <c r="FO215" s="773"/>
      <c r="FP215" s="773"/>
      <c r="FQ215" s="773"/>
      <c r="FR215" s="773"/>
      <c r="FS215" s="773"/>
      <c r="FT215" s="773"/>
      <c r="FU215" s="773"/>
      <c r="FV215" s="773"/>
      <c r="FW215" s="773"/>
      <c r="FX215" s="773"/>
      <c r="FY215" s="773"/>
      <c r="FZ215" s="773"/>
      <c r="GA215" s="773"/>
      <c r="GB215" s="773"/>
      <c r="GC215" s="773"/>
      <c r="GD215" s="773"/>
      <c r="GE215" s="773"/>
      <c r="GF215" s="773"/>
      <c r="GG215" s="773"/>
      <c r="GH215" s="773"/>
      <c r="GI215" s="773"/>
      <c r="GJ215" s="773"/>
      <c r="GK215" s="773"/>
      <c r="GL215" s="773"/>
      <c r="GM215" s="773"/>
      <c r="GN215" s="773"/>
      <c r="GO215" s="773"/>
      <c r="GP215" s="773"/>
      <c r="GQ215" s="773"/>
      <c r="GR215" s="773"/>
      <c r="GS215" s="773"/>
      <c r="GT215" s="773"/>
      <c r="GU215" s="773"/>
      <c r="GV215" s="773"/>
      <c r="GW215" s="773"/>
      <c r="GX215" s="773"/>
      <c r="GY215" s="773"/>
      <c r="GZ215" s="773"/>
    </row>
    <row r="216" spans="1:208" s="11" customFormat="1">
      <c r="A216" s="816"/>
      <c r="B216" s="3761"/>
      <c r="C216" s="781"/>
      <c r="D216" s="174" t="s">
        <v>66</v>
      </c>
      <c r="E216" s="796"/>
      <c r="F216" s="817"/>
      <c r="G216" s="769"/>
      <c r="H216" s="817"/>
      <c r="I216" s="796"/>
      <c r="J216" s="818"/>
      <c r="K216" s="209"/>
      <c r="L216" s="434"/>
      <c r="M216" s="819"/>
      <c r="N216" s="772"/>
      <c r="O216" s="772"/>
      <c r="P216" s="772"/>
      <c r="Q216" s="772"/>
      <c r="R216" s="772"/>
      <c r="S216" s="772"/>
      <c r="T216" s="773"/>
      <c r="AW216" s="2514"/>
      <c r="AX216" s="820"/>
      <c r="AY216" s="820"/>
      <c r="AZ216" s="820"/>
      <c r="BA216" s="30"/>
      <c r="BB216" s="30"/>
      <c r="BC216" s="2514"/>
      <c r="BD216" s="2514"/>
      <c r="BE216" s="2514"/>
      <c r="BF216" s="2514"/>
      <c r="BH216" s="2514"/>
      <c r="BI216" s="30"/>
      <c r="BJ216" s="30"/>
      <c r="BK216" s="30"/>
      <c r="BL216" s="30"/>
      <c r="BM216" s="30"/>
      <c r="BN216" s="30"/>
      <c r="BO216" s="800"/>
      <c r="BP216" s="209"/>
      <c r="BQ216" s="785"/>
      <c r="BR216" s="820"/>
      <c r="BS216" s="936"/>
      <c r="BT216" s="937"/>
      <c r="BU216" s="800"/>
      <c r="BV216" s="800"/>
      <c r="BW216" s="209"/>
      <c r="CA216" s="787"/>
      <c r="DB216" s="773"/>
      <c r="DC216" s="773"/>
      <c r="DD216" s="773"/>
      <c r="DE216" s="773"/>
      <c r="DF216" s="773"/>
      <c r="DG216" s="773"/>
      <c r="DH216" s="773"/>
      <c r="DI216" s="773"/>
      <c r="DJ216" s="773"/>
      <c r="DK216" s="773"/>
      <c r="DL216" s="773"/>
      <c r="DM216" s="773"/>
      <c r="DN216" s="773"/>
      <c r="DO216" s="773"/>
      <c r="DP216" s="773"/>
      <c r="DQ216" s="773"/>
      <c r="DR216" s="773"/>
      <c r="DS216" s="773"/>
      <c r="DT216" s="773"/>
      <c r="DU216" s="773"/>
      <c r="DV216" s="773"/>
      <c r="DW216" s="773"/>
      <c r="DX216" s="773"/>
      <c r="DY216" s="773"/>
      <c r="DZ216" s="773"/>
      <c r="EA216" s="773"/>
      <c r="EB216" s="773"/>
      <c r="EC216" s="773"/>
      <c r="ED216" s="773"/>
      <c r="EE216" s="773"/>
      <c r="EF216" s="773"/>
      <c r="EG216" s="773"/>
      <c r="EH216" s="773"/>
      <c r="EI216" s="773"/>
      <c r="EJ216" s="773"/>
      <c r="EK216" s="773"/>
      <c r="EL216" s="773"/>
      <c r="EM216" s="773"/>
      <c r="EN216" s="773"/>
      <c r="EO216" s="773"/>
      <c r="EP216" s="773"/>
      <c r="EQ216" s="773"/>
      <c r="ER216" s="773"/>
      <c r="ES216" s="773"/>
      <c r="ET216" s="773"/>
      <c r="EU216" s="773"/>
      <c r="EV216" s="773"/>
      <c r="EW216" s="773"/>
      <c r="EX216" s="773"/>
      <c r="EY216" s="773"/>
      <c r="EZ216" s="773"/>
      <c r="FA216" s="773"/>
      <c r="FB216" s="773"/>
      <c r="FC216" s="773"/>
      <c r="FD216" s="773"/>
      <c r="FE216" s="773"/>
      <c r="FF216" s="773"/>
      <c r="FG216" s="773"/>
      <c r="FH216" s="773"/>
      <c r="FI216" s="773"/>
      <c r="FJ216" s="773"/>
      <c r="FK216" s="773"/>
      <c r="FL216" s="773"/>
      <c r="FM216" s="773"/>
      <c r="FN216" s="773"/>
      <c r="FO216" s="773"/>
      <c r="FP216" s="773"/>
      <c r="FQ216" s="773"/>
      <c r="FR216" s="773"/>
      <c r="FS216" s="773"/>
      <c r="FT216" s="773"/>
      <c r="FU216" s="773"/>
      <c r="FV216" s="773"/>
      <c r="FW216" s="773"/>
      <c r="FX216" s="773"/>
      <c r="FY216" s="773"/>
      <c r="FZ216" s="773"/>
      <c r="GA216" s="773"/>
      <c r="GB216" s="773"/>
      <c r="GC216" s="773"/>
      <c r="GD216" s="773"/>
      <c r="GE216" s="773"/>
      <c r="GF216" s="773"/>
      <c r="GG216" s="773"/>
      <c r="GH216" s="773"/>
      <c r="GI216" s="773"/>
      <c r="GJ216" s="773"/>
      <c r="GK216" s="773"/>
      <c r="GL216" s="773"/>
      <c r="GM216" s="773"/>
      <c r="GN216" s="773"/>
      <c r="GO216" s="773"/>
      <c r="GP216" s="773"/>
      <c r="GQ216" s="773"/>
      <c r="GR216" s="773"/>
      <c r="GS216" s="773"/>
      <c r="GT216" s="773"/>
      <c r="GU216" s="773"/>
      <c r="GV216" s="773"/>
      <c r="GW216" s="773"/>
      <c r="GX216" s="773"/>
      <c r="GY216" s="773"/>
      <c r="GZ216" s="773"/>
    </row>
    <row r="217" spans="1:208" s="11" customFormat="1">
      <c r="A217" s="774"/>
      <c r="B217" s="3761"/>
      <c r="C217" s="157"/>
      <c r="D217" s="199"/>
      <c r="E217" s="809"/>
      <c r="F217" s="809"/>
      <c r="G217" s="107"/>
      <c r="H217" s="107"/>
      <c r="I217" s="107"/>
      <c r="J217" s="796">
        <f>SUM(E217:I217)</f>
        <v>0</v>
      </c>
      <c r="K217" s="209"/>
      <c r="L217" s="434"/>
      <c r="M217" s="810"/>
      <c r="N217" s="772"/>
      <c r="O217" s="772"/>
      <c r="P217" s="772"/>
      <c r="Q217" s="772"/>
      <c r="R217" s="772"/>
      <c r="S217" s="772"/>
      <c r="T217" s="773"/>
      <c r="AW217" s="2514"/>
      <c r="AX217" s="820"/>
      <c r="AY217" s="820"/>
      <c r="AZ217" s="820"/>
      <c r="BA217" s="30"/>
      <c r="BB217" s="30"/>
      <c r="BC217" s="2514"/>
      <c r="BD217" s="2514"/>
      <c r="BE217" s="2514"/>
      <c r="BF217" s="2514"/>
      <c r="BH217" s="2514"/>
      <c r="BI217" s="30"/>
      <c r="BJ217" s="30"/>
      <c r="BK217" s="30"/>
      <c r="BL217" s="30"/>
      <c r="BM217" s="30"/>
      <c r="BN217" s="30"/>
      <c r="BO217" s="800"/>
      <c r="BP217" s="800"/>
      <c r="BQ217" s="785"/>
      <c r="BR217" s="820"/>
      <c r="BS217" s="823"/>
      <c r="BT217" s="30"/>
      <c r="BU217" s="800"/>
      <c r="BV217" s="800"/>
      <c r="BW217" s="30"/>
      <c r="CA217" s="787"/>
      <c r="DB217" s="773"/>
      <c r="DC217" s="773"/>
      <c r="DD217" s="773"/>
      <c r="DE217" s="773"/>
      <c r="DF217" s="773"/>
      <c r="DG217" s="773"/>
      <c r="DH217" s="773"/>
      <c r="DI217" s="773"/>
      <c r="DJ217" s="773"/>
      <c r="DK217" s="773"/>
      <c r="DL217" s="773"/>
      <c r="DM217" s="773"/>
      <c r="DN217" s="773"/>
      <c r="DO217" s="773"/>
      <c r="DP217" s="773"/>
      <c r="DQ217" s="773"/>
      <c r="DR217" s="773"/>
      <c r="DS217" s="773"/>
      <c r="DT217" s="773"/>
      <c r="DU217" s="773"/>
      <c r="DV217" s="773"/>
      <c r="DW217" s="773"/>
      <c r="DX217" s="773"/>
      <c r="DY217" s="773"/>
      <c r="DZ217" s="773"/>
      <c r="EA217" s="773"/>
      <c r="EB217" s="773"/>
      <c r="EC217" s="773"/>
      <c r="ED217" s="773"/>
      <c r="EE217" s="773"/>
      <c r="EF217" s="773"/>
      <c r="EG217" s="773"/>
      <c r="EH217" s="773"/>
      <c r="EI217" s="773"/>
      <c r="EJ217" s="773"/>
      <c r="EK217" s="773"/>
      <c r="EL217" s="773"/>
      <c r="EM217" s="773"/>
      <c r="EN217" s="773"/>
      <c r="EO217" s="773"/>
      <c r="EP217" s="773"/>
      <c r="EQ217" s="773"/>
      <c r="ER217" s="773"/>
      <c r="ES217" s="773"/>
      <c r="ET217" s="773"/>
      <c r="EU217" s="773"/>
      <c r="EV217" s="773"/>
      <c r="EW217" s="773"/>
      <c r="EX217" s="773"/>
      <c r="EY217" s="773"/>
      <c r="EZ217" s="773"/>
      <c r="FA217" s="773"/>
      <c r="FB217" s="773"/>
      <c r="FC217" s="773"/>
      <c r="FD217" s="773"/>
      <c r="FE217" s="773"/>
      <c r="FF217" s="773"/>
      <c r="FG217" s="773"/>
      <c r="FH217" s="773"/>
      <c r="FI217" s="773"/>
      <c r="FJ217" s="773"/>
      <c r="FK217" s="773"/>
      <c r="FL217" s="773"/>
      <c r="FM217" s="773"/>
      <c r="FN217" s="773"/>
      <c r="FO217" s="773"/>
      <c r="FP217" s="773"/>
      <c r="FQ217" s="773"/>
      <c r="FR217" s="773"/>
      <c r="FS217" s="773"/>
      <c r="FT217" s="773"/>
      <c r="FU217" s="773"/>
      <c r="FV217" s="773"/>
      <c r="FW217" s="773"/>
      <c r="FX217" s="773"/>
      <c r="FY217" s="773"/>
      <c r="FZ217" s="773"/>
      <c r="GA217" s="773"/>
      <c r="GB217" s="773"/>
      <c r="GC217" s="773"/>
      <c r="GD217" s="773"/>
      <c r="GE217" s="773"/>
      <c r="GF217" s="773"/>
      <c r="GG217" s="773"/>
      <c r="GH217" s="773"/>
      <c r="GI217" s="773"/>
      <c r="GJ217" s="773"/>
      <c r="GK217" s="773"/>
      <c r="GL217" s="773"/>
      <c r="GM217" s="773"/>
      <c r="GN217" s="773"/>
      <c r="GO217" s="773"/>
      <c r="GP217" s="773"/>
      <c r="GQ217" s="773"/>
      <c r="GR217" s="773"/>
      <c r="GS217" s="773"/>
      <c r="GT217" s="773"/>
      <c r="GU217" s="773"/>
      <c r="GV217" s="773"/>
      <c r="GW217" s="773"/>
      <c r="GX217" s="773"/>
      <c r="GY217" s="773"/>
      <c r="GZ217" s="773"/>
    </row>
    <row r="218" spans="1:208" s="11" customFormat="1">
      <c r="A218" s="780"/>
      <c r="B218" s="3587" t="s">
        <v>705</v>
      </c>
      <c r="C218" s="814">
        <v>2500200</v>
      </c>
      <c r="D218" s="199" t="s">
        <v>529</v>
      </c>
      <c r="E218" s="42">
        <f>IFERROR(VLOOKUP(C218,'AJE 12 - INC'!$D$168:$F$345,3,0),0)</f>
        <v>147391</v>
      </c>
      <c r="F218" s="108">
        <f>SUMIF('AJE 12 - INC'!B:B,'New TB INC'!C218,'AJE 12 - INC'!D:D)</f>
        <v>0</v>
      </c>
      <c r="G218" s="108"/>
      <c r="H218" s="108"/>
      <c r="I218" s="108"/>
      <c r="J218" s="798">
        <f>SUM(E218:I218)</f>
        <v>147391</v>
      </c>
      <c r="K218" s="209"/>
      <c r="L218" s="434"/>
      <c r="M218" s="802"/>
      <c r="N218" s="772"/>
      <c r="O218" s="772"/>
      <c r="P218" s="772"/>
      <c r="Q218" s="613"/>
      <c r="R218" s="613"/>
      <c r="S218" s="613"/>
      <c r="T218" s="613"/>
      <c r="U218" s="613"/>
      <c r="V218" s="613"/>
      <c r="W218" s="613"/>
      <c r="X218" s="613"/>
      <c r="Y218" s="613"/>
      <c r="Z218" s="613"/>
      <c r="AA218" s="613"/>
      <c r="AB218" s="613"/>
      <c r="AC218" s="613"/>
      <c r="AD218" s="613"/>
      <c r="AE218" s="613"/>
      <c r="AF218" s="613"/>
      <c r="AG218" s="613"/>
      <c r="AH218" s="613"/>
      <c r="AI218" s="613"/>
      <c r="AJ218" s="613"/>
      <c r="AK218" s="613"/>
      <c r="AL218" s="613"/>
      <c r="AM218" s="613"/>
      <c r="AN218" s="613"/>
      <c r="AO218" s="613"/>
      <c r="AP218" s="613"/>
      <c r="AQ218" s="613"/>
      <c r="AR218" s="613"/>
      <c r="AS218" s="613"/>
      <c r="AT218" s="613"/>
      <c r="AU218" s="613"/>
      <c r="AV218" s="613"/>
      <c r="AW218" s="2515"/>
      <c r="AX218" s="613"/>
      <c r="AY218" s="820"/>
      <c r="AZ218" s="820"/>
      <c r="BA218" s="937"/>
      <c r="BB218" s="937"/>
      <c r="BC218" s="2515"/>
      <c r="BD218" s="2515"/>
      <c r="BE218" s="2515"/>
      <c r="BF218" s="2515"/>
      <c r="BH218" s="2515"/>
      <c r="BI218" s="937"/>
      <c r="BJ218" s="937"/>
      <c r="BK218" s="937"/>
      <c r="BL218" s="937"/>
      <c r="BM218" s="937"/>
      <c r="BN218" s="209"/>
      <c r="BO218" s="209"/>
      <c r="BP218" s="209"/>
      <c r="BQ218" s="209"/>
      <c r="BR218" s="209"/>
      <c r="BS218" s="209"/>
      <c r="BT218" s="209"/>
      <c r="BU218" s="820"/>
      <c r="BV218" s="209"/>
      <c r="BW218" s="209"/>
      <c r="BX218" s="799"/>
      <c r="DB218" s="773"/>
      <c r="DC218" s="773"/>
      <c r="DD218" s="773"/>
      <c r="DE218" s="773"/>
      <c r="DF218" s="773"/>
      <c r="DG218" s="773"/>
      <c r="DH218" s="773"/>
      <c r="DI218" s="773"/>
      <c r="DJ218" s="773"/>
      <c r="DK218" s="773"/>
      <c r="DL218" s="773"/>
      <c r="DM218" s="773"/>
      <c r="DN218" s="773"/>
      <c r="DO218" s="773"/>
      <c r="DP218" s="773"/>
      <c r="DQ218" s="773"/>
      <c r="DR218" s="773"/>
      <c r="DS218" s="773"/>
      <c r="DT218" s="773"/>
      <c r="DU218" s="773"/>
      <c r="DV218" s="773"/>
      <c r="DW218" s="773"/>
      <c r="DX218" s="773"/>
      <c r="DY218" s="773"/>
      <c r="DZ218" s="773"/>
      <c r="EA218" s="773"/>
      <c r="EB218" s="773"/>
      <c r="EC218" s="773"/>
      <c r="ED218" s="773"/>
      <c r="EE218" s="773"/>
      <c r="EF218" s="773"/>
      <c r="EG218" s="773"/>
      <c r="EH218" s="773"/>
      <c r="EI218" s="773"/>
      <c r="EJ218" s="773"/>
      <c r="EK218" s="773"/>
      <c r="EL218" s="773"/>
      <c r="EM218" s="773"/>
      <c r="EN218" s="773"/>
      <c r="EO218" s="773"/>
      <c r="EP218" s="773"/>
      <c r="EQ218" s="773"/>
      <c r="ER218" s="773"/>
      <c r="ES218" s="773"/>
      <c r="ET218" s="773"/>
      <c r="EU218" s="773"/>
      <c r="EV218" s="773"/>
      <c r="EW218" s="773"/>
      <c r="EX218" s="773"/>
      <c r="EY218" s="773"/>
      <c r="EZ218" s="773"/>
      <c r="FA218" s="773"/>
      <c r="FB218" s="773"/>
      <c r="FC218" s="773"/>
      <c r="FD218" s="773"/>
      <c r="FE218" s="773"/>
      <c r="FF218" s="773"/>
      <c r="FG218" s="773"/>
      <c r="FH218" s="773"/>
      <c r="FI218" s="773"/>
      <c r="FJ218" s="773"/>
      <c r="FK218" s="773"/>
      <c r="FL218" s="773"/>
      <c r="FM218" s="773"/>
      <c r="FN218" s="773"/>
      <c r="FO218" s="773"/>
      <c r="FP218" s="773"/>
      <c r="FQ218" s="773"/>
      <c r="FR218" s="773"/>
      <c r="FS218" s="773"/>
      <c r="FT218" s="773"/>
      <c r="FU218" s="773"/>
      <c r="FV218" s="773"/>
      <c r="FW218" s="773"/>
      <c r="FX218" s="773"/>
      <c r="FY218" s="773"/>
      <c r="FZ218" s="773"/>
      <c r="GA218" s="773"/>
      <c r="GB218" s="773"/>
      <c r="GC218" s="773"/>
      <c r="GD218" s="773"/>
      <c r="GE218" s="773"/>
      <c r="GF218" s="773"/>
      <c r="GG218" s="773"/>
      <c r="GH218" s="773"/>
      <c r="GI218" s="773"/>
      <c r="GJ218" s="773"/>
      <c r="GK218" s="773"/>
      <c r="GL218" s="773"/>
      <c r="GM218" s="773"/>
      <c r="GN218" s="773"/>
      <c r="GO218" s="773"/>
      <c r="GP218" s="773"/>
      <c r="GQ218" s="773"/>
      <c r="GR218" s="773"/>
      <c r="GS218" s="773"/>
      <c r="GT218" s="773"/>
      <c r="GU218" s="773"/>
      <c r="GV218" s="773"/>
      <c r="GW218" s="773"/>
      <c r="GX218" s="773"/>
      <c r="GY218" s="773"/>
      <c r="GZ218" s="773"/>
    </row>
    <row r="219" spans="1:208" s="11" customFormat="1">
      <c r="A219" s="774"/>
      <c r="B219" s="3761"/>
      <c r="C219" s="157"/>
      <c r="D219" s="199"/>
      <c r="E219" s="809"/>
      <c r="F219" s="809"/>
      <c r="G219" s="107"/>
      <c r="H219" s="107"/>
      <c r="I219" s="107"/>
      <c r="J219" s="796">
        <f>SUM(E219:I219)</f>
        <v>0</v>
      </c>
      <c r="K219" s="209"/>
      <c r="L219" s="434"/>
      <c r="M219" s="819"/>
      <c r="N219" s="772"/>
      <c r="O219" s="772"/>
      <c r="P219" s="772"/>
      <c r="Q219" s="772"/>
      <c r="R219" s="772"/>
      <c r="S219" s="772"/>
      <c r="T219" s="773"/>
      <c r="AW219" s="2514"/>
      <c r="AX219" s="820"/>
      <c r="AY219" s="820"/>
      <c r="AZ219" s="820"/>
      <c r="BA219" s="30"/>
      <c r="BB219" s="30"/>
      <c r="BC219" s="2514"/>
      <c r="BD219" s="2514"/>
      <c r="BE219" s="2514"/>
      <c r="BF219" s="2514"/>
      <c r="BH219" s="2514"/>
      <c r="BI219" s="30"/>
      <c r="BJ219" s="30"/>
      <c r="BK219" s="30"/>
      <c r="BL219" s="30"/>
      <c r="BM219" s="30"/>
      <c r="BN219" s="30"/>
      <c r="BO219" s="800"/>
      <c r="BP219" s="800"/>
      <c r="BQ219" s="785"/>
      <c r="BR219" s="820"/>
      <c r="BS219" s="823"/>
      <c r="BT219" s="30"/>
      <c r="BU219" s="800"/>
      <c r="BV219" s="800"/>
      <c r="BW219" s="30"/>
      <c r="CA219" s="787"/>
      <c r="DB219" s="773"/>
      <c r="DC219" s="773"/>
      <c r="DD219" s="773"/>
      <c r="DE219" s="773"/>
      <c r="DF219" s="773"/>
      <c r="DG219" s="773"/>
      <c r="DH219" s="773"/>
      <c r="DI219" s="773"/>
      <c r="DJ219" s="773"/>
      <c r="DK219" s="773"/>
      <c r="DL219" s="773"/>
      <c r="DM219" s="773"/>
      <c r="DN219" s="773"/>
      <c r="DO219" s="773"/>
      <c r="DP219" s="773"/>
      <c r="DQ219" s="773"/>
      <c r="DR219" s="773"/>
      <c r="DS219" s="773"/>
      <c r="DT219" s="773"/>
      <c r="DU219" s="773"/>
      <c r="DV219" s="773"/>
      <c r="DW219" s="773"/>
      <c r="DX219" s="773"/>
      <c r="DY219" s="773"/>
      <c r="DZ219" s="773"/>
      <c r="EA219" s="773"/>
      <c r="EB219" s="773"/>
      <c r="EC219" s="773"/>
      <c r="ED219" s="773"/>
      <c r="EE219" s="773"/>
      <c r="EF219" s="773"/>
      <c r="EG219" s="773"/>
      <c r="EH219" s="773"/>
      <c r="EI219" s="773"/>
      <c r="EJ219" s="773"/>
      <c r="EK219" s="773"/>
      <c r="EL219" s="773"/>
      <c r="EM219" s="773"/>
      <c r="EN219" s="773"/>
      <c r="EO219" s="773"/>
      <c r="EP219" s="773"/>
      <c r="EQ219" s="773"/>
      <c r="ER219" s="773"/>
      <c r="ES219" s="773"/>
      <c r="ET219" s="773"/>
      <c r="EU219" s="773"/>
      <c r="EV219" s="773"/>
      <c r="EW219" s="773"/>
      <c r="EX219" s="773"/>
      <c r="EY219" s="773"/>
      <c r="EZ219" s="773"/>
      <c r="FA219" s="773"/>
      <c r="FB219" s="773"/>
      <c r="FC219" s="773"/>
      <c r="FD219" s="773"/>
      <c r="FE219" s="773"/>
      <c r="FF219" s="773"/>
      <c r="FG219" s="773"/>
      <c r="FH219" s="773"/>
      <c r="FI219" s="773"/>
      <c r="FJ219" s="773"/>
      <c r="FK219" s="773"/>
      <c r="FL219" s="773"/>
      <c r="FM219" s="773"/>
      <c r="FN219" s="773"/>
      <c r="FO219" s="773"/>
      <c r="FP219" s="773"/>
      <c r="FQ219" s="773"/>
      <c r="FR219" s="773"/>
      <c r="FS219" s="773"/>
      <c r="FT219" s="773"/>
      <c r="FU219" s="773"/>
      <c r="FV219" s="773"/>
      <c r="FW219" s="773"/>
      <c r="FX219" s="773"/>
      <c r="FY219" s="773"/>
      <c r="FZ219" s="773"/>
      <c r="GA219" s="773"/>
      <c r="GB219" s="773"/>
      <c r="GC219" s="773"/>
      <c r="GD219" s="773"/>
      <c r="GE219" s="773"/>
      <c r="GF219" s="773"/>
      <c r="GG219" s="773"/>
      <c r="GH219" s="773"/>
      <c r="GI219" s="773"/>
      <c r="GJ219" s="773"/>
      <c r="GK219" s="773"/>
      <c r="GL219" s="773"/>
      <c r="GM219" s="773"/>
      <c r="GN219" s="773"/>
      <c r="GO219" s="773"/>
      <c r="GP219" s="773"/>
      <c r="GQ219" s="773"/>
      <c r="GR219" s="773"/>
      <c r="GS219" s="773"/>
      <c r="GT219" s="773"/>
      <c r="GU219" s="773"/>
      <c r="GV219" s="773"/>
      <c r="GW219" s="773"/>
      <c r="GX219" s="773"/>
      <c r="GY219" s="773"/>
      <c r="GZ219" s="773"/>
    </row>
    <row r="220" spans="1:208" s="11" customFormat="1">
      <c r="A220" s="816"/>
      <c r="B220" s="3761"/>
      <c r="C220" s="157"/>
      <c r="D220" s="167"/>
      <c r="E220" s="42"/>
      <c r="F220" s="804"/>
      <c r="G220" s="769"/>
      <c r="H220" s="769"/>
      <c r="I220" s="817"/>
      <c r="J220" s="796"/>
      <c r="K220" s="209"/>
      <c r="L220" s="434"/>
      <c r="M220" s="819"/>
      <c r="N220" s="772"/>
      <c r="O220" s="772"/>
      <c r="P220" s="772"/>
      <c r="Q220" s="772"/>
      <c r="R220" s="772"/>
      <c r="S220" s="772"/>
      <c r="T220" s="773"/>
      <c r="AW220" s="2514"/>
      <c r="AX220" s="820"/>
      <c r="AY220" s="820"/>
      <c r="AZ220" s="820"/>
      <c r="BA220" s="30"/>
      <c r="BB220" s="30"/>
      <c r="BC220" s="2514"/>
      <c r="BD220" s="2514"/>
      <c r="BE220" s="2514"/>
      <c r="BF220" s="2514"/>
      <c r="BH220" s="2514"/>
      <c r="BI220" s="30"/>
      <c r="BJ220" s="30"/>
      <c r="BK220" s="30"/>
      <c r="BL220" s="30"/>
      <c r="BM220" s="30"/>
      <c r="BN220" s="30"/>
      <c r="BO220" s="800"/>
      <c r="BP220" s="800"/>
      <c r="BQ220" s="785"/>
      <c r="BR220" s="820"/>
      <c r="BS220" s="823"/>
      <c r="BT220" s="30"/>
      <c r="BU220" s="800"/>
      <c r="BV220" s="800"/>
      <c r="BW220" s="30"/>
      <c r="CA220" s="787"/>
      <c r="DB220" s="773"/>
      <c r="DC220" s="773"/>
      <c r="DD220" s="773"/>
      <c r="DE220" s="773"/>
      <c r="DF220" s="773"/>
      <c r="DG220" s="773"/>
      <c r="DH220" s="773"/>
      <c r="DI220" s="773"/>
      <c r="DJ220" s="773"/>
      <c r="DK220" s="773"/>
      <c r="DL220" s="773"/>
      <c r="DM220" s="773"/>
      <c r="DN220" s="773"/>
      <c r="DO220" s="773"/>
      <c r="DP220" s="773"/>
      <c r="DQ220" s="773"/>
      <c r="DR220" s="773"/>
      <c r="DS220" s="773"/>
      <c r="DT220" s="773"/>
      <c r="DU220" s="773"/>
      <c r="DV220" s="773"/>
      <c r="DW220" s="773"/>
      <c r="DX220" s="773"/>
      <c r="DY220" s="773"/>
      <c r="DZ220" s="773"/>
      <c r="EA220" s="773"/>
      <c r="EB220" s="773"/>
      <c r="EC220" s="773"/>
      <c r="ED220" s="773"/>
      <c r="EE220" s="773"/>
      <c r="EF220" s="773"/>
      <c r="EG220" s="773"/>
      <c r="EH220" s="773"/>
      <c r="EI220" s="773"/>
      <c r="EJ220" s="773"/>
      <c r="EK220" s="773"/>
      <c r="EL220" s="773"/>
      <c r="EM220" s="773"/>
      <c r="EN220" s="773"/>
      <c r="EO220" s="773"/>
      <c r="EP220" s="773"/>
      <c r="EQ220" s="773"/>
      <c r="ER220" s="773"/>
      <c r="ES220" s="773"/>
      <c r="ET220" s="773"/>
      <c r="EU220" s="773"/>
      <c r="EV220" s="773"/>
      <c r="EW220" s="773"/>
      <c r="EX220" s="773"/>
      <c r="EY220" s="773"/>
      <c r="EZ220" s="773"/>
      <c r="FA220" s="773"/>
      <c r="FB220" s="773"/>
      <c r="FC220" s="773"/>
      <c r="FD220" s="773"/>
      <c r="FE220" s="773"/>
      <c r="FF220" s="773"/>
      <c r="FG220" s="773"/>
      <c r="FH220" s="773"/>
      <c r="FI220" s="773"/>
      <c r="FJ220" s="773"/>
      <c r="FK220" s="773"/>
      <c r="FL220" s="773"/>
      <c r="FM220" s="773"/>
      <c r="FN220" s="773"/>
      <c r="FO220" s="773"/>
      <c r="FP220" s="773"/>
      <c r="FQ220" s="773"/>
      <c r="FR220" s="773"/>
      <c r="FS220" s="773"/>
      <c r="FT220" s="773"/>
      <c r="FU220" s="773"/>
      <c r="FV220" s="773"/>
      <c r="FW220" s="773"/>
      <c r="FX220" s="773"/>
      <c r="FY220" s="773"/>
      <c r="FZ220" s="773"/>
      <c r="GA220" s="773"/>
      <c r="GB220" s="773"/>
      <c r="GC220" s="773"/>
      <c r="GD220" s="773"/>
      <c r="GE220" s="773"/>
      <c r="GF220" s="773"/>
      <c r="GG220" s="773"/>
      <c r="GH220" s="773"/>
      <c r="GI220" s="773"/>
      <c r="GJ220" s="773"/>
      <c r="GK220" s="773"/>
      <c r="GL220" s="773"/>
      <c r="GM220" s="773"/>
      <c r="GN220" s="773"/>
      <c r="GO220" s="773"/>
      <c r="GP220" s="773"/>
      <c r="GQ220" s="773"/>
      <c r="GR220" s="773"/>
      <c r="GS220" s="773"/>
      <c r="GT220" s="773"/>
      <c r="GU220" s="773"/>
      <c r="GV220" s="773"/>
      <c r="GW220" s="773"/>
      <c r="GX220" s="773"/>
      <c r="GY220" s="773"/>
      <c r="GZ220" s="773"/>
    </row>
    <row r="221" spans="1:208" s="11" customFormat="1">
      <c r="A221" s="774"/>
      <c r="B221" s="3761"/>
      <c r="C221" s="942"/>
      <c r="D221" s="935"/>
      <c r="E221" s="1963">
        <f t="shared" ref="E221:J221" si="15">SUM(E217:E220)</f>
        <v>147391</v>
      </c>
      <c r="F221" s="1963">
        <f t="shared" si="15"/>
        <v>0</v>
      </c>
      <c r="G221" s="1963">
        <f t="shared" si="15"/>
        <v>0</v>
      </c>
      <c r="H221" s="1963">
        <f t="shared" si="15"/>
        <v>0</v>
      </c>
      <c r="I221" s="1963">
        <f t="shared" si="15"/>
        <v>0</v>
      </c>
      <c r="J221" s="1963">
        <f t="shared" si="15"/>
        <v>147391</v>
      </c>
      <c r="K221" s="209"/>
      <c r="L221" s="434"/>
      <c r="M221" s="819"/>
      <c r="N221" s="772"/>
      <c r="O221" s="772"/>
      <c r="P221" s="772"/>
      <c r="Q221" s="772"/>
      <c r="R221" s="772"/>
      <c r="S221" s="772"/>
      <c r="T221" s="773"/>
      <c r="AW221" s="2514"/>
      <c r="AX221" s="820"/>
      <c r="AY221" s="820"/>
      <c r="AZ221" s="820"/>
      <c r="BA221" s="30"/>
      <c r="BB221" s="30"/>
      <c r="BC221" s="2514"/>
      <c r="BD221" s="2514"/>
      <c r="BE221" s="2514"/>
      <c r="BF221" s="2514"/>
      <c r="BH221" s="2514"/>
      <c r="BI221" s="30"/>
      <c r="BJ221" s="30"/>
      <c r="BK221" s="30"/>
      <c r="BL221" s="30"/>
      <c r="BM221" s="30"/>
      <c r="BN221" s="30"/>
      <c r="BO221" s="800"/>
      <c r="BP221" s="800"/>
      <c r="BQ221" s="785"/>
      <c r="BR221" s="820"/>
      <c r="BS221" s="823"/>
      <c r="BT221" s="30"/>
      <c r="BU221" s="800"/>
      <c r="BV221" s="800"/>
      <c r="BW221" s="30"/>
      <c r="CA221" s="787"/>
      <c r="DB221" s="773"/>
      <c r="DC221" s="773"/>
      <c r="DD221" s="773"/>
      <c r="DE221" s="773"/>
      <c r="DF221" s="773"/>
      <c r="DG221" s="773"/>
      <c r="DH221" s="773"/>
      <c r="DI221" s="773"/>
      <c r="DJ221" s="773"/>
      <c r="DK221" s="773"/>
      <c r="DL221" s="773"/>
      <c r="DM221" s="773"/>
      <c r="DN221" s="773"/>
      <c r="DO221" s="773"/>
      <c r="DP221" s="773"/>
      <c r="DQ221" s="773"/>
      <c r="DR221" s="773"/>
      <c r="DS221" s="773"/>
      <c r="DT221" s="773"/>
      <c r="DU221" s="773"/>
      <c r="DV221" s="773"/>
      <c r="DW221" s="773"/>
      <c r="DX221" s="773"/>
      <c r="DY221" s="773"/>
      <c r="DZ221" s="773"/>
      <c r="EA221" s="773"/>
      <c r="EB221" s="773"/>
      <c r="EC221" s="773"/>
      <c r="ED221" s="773"/>
      <c r="EE221" s="773"/>
      <c r="EF221" s="773"/>
      <c r="EG221" s="773"/>
      <c r="EH221" s="773"/>
      <c r="EI221" s="773"/>
      <c r="EJ221" s="773"/>
      <c r="EK221" s="773"/>
      <c r="EL221" s="773"/>
      <c r="EM221" s="773"/>
      <c r="EN221" s="773"/>
      <c r="EO221" s="773"/>
      <c r="EP221" s="773"/>
      <c r="EQ221" s="773"/>
      <c r="ER221" s="773"/>
      <c r="ES221" s="773"/>
      <c r="ET221" s="773"/>
      <c r="EU221" s="773"/>
      <c r="EV221" s="773"/>
      <c r="EW221" s="773"/>
      <c r="EX221" s="773"/>
      <c r="EY221" s="773"/>
      <c r="EZ221" s="773"/>
      <c r="FA221" s="773"/>
      <c r="FB221" s="773"/>
      <c r="FC221" s="773"/>
      <c r="FD221" s="773"/>
      <c r="FE221" s="773"/>
      <c r="FF221" s="773"/>
      <c r="FG221" s="773"/>
      <c r="FH221" s="773"/>
      <c r="FI221" s="773"/>
      <c r="FJ221" s="773"/>
      <c r="FK221" s="773"/>
      <c r="FL221" s="773"/>
      <c r="FM221" s="773"/>
      <c r="FN221" s="773"/>
      <c r="FO221" s="773"/>
      <c r="FP221" s="773"/>
      <c r="FQ221" s="773"/>
      <c r="FR221" s="773"/>
      <c r="FS221" s="773"/>
      <c r="FT221" s="773"/>
      <c r="FU221" s="773"/>
      <c r="FV221" s="773"/>
      <c r="FW221" s="773"/>
      <c r="FX221" s="773"/>
      <c r="FY221" s="773"/>
      <c r="FZ221" s="773"/>
      <c r="GA221" s="773"/>
      <c r="GB221" s="773"/>
      <c r="GC221" s="773"/>
      <c r="GD221" s="773"/>
      <c r="GE221" s="773"/>
      <c r="GF221" s="773"/>
      <c r="GG221" s="773"/>
      <c r="GH221" s="773"/>
      <c r="GI221" s="773"/>
      <c r="GJ221" s="773"/>
      <c r="GK221" s="773"/>
      <c r="GL221" s="773"/>
      <c r="GM221" s="773"/>
      <c r="GN221" s="773"/>
      <c r="GO221" s="773"/>
      <c r="GP221" s="773"/>
      <c r="GQ221" s="773"/>
      <c r="GR221" s="773"/>
      <c r="GS221" s="773"/>
      <c r="GT221" s="773"/>
      <c r="GU221" s="773"/>
      <c r="GV221" s="773"/>
      <c r="GW221" s="773"/>
      <c r="GX221" s="773"/>
      <c r="GY221" s="773"/>
      <c r="GZ221" s="773"/>
    </row>
    <row r="222" spans="1:208" s="11" customFormat="1">
      <c r="A222" s="774"/>
      <c r="B222" s="3761"/>
      <c r="C222" s="438"/>
      <c r="D222" s="849" t="s">
        <v>228</v>
      </c>
      <c r="E222" s="809"/>
      <c r="F222" s="821"/>
      <c r="G222" s="821"/>
      <c r="H222" s="821"/>
      <c r="I222" s="821"/>
      <c r="J222" s="796">
        <f>SUM(E222:I222)</f>
        <v>0</v>
      </c>
      <c r="K222" s="209"/>
      <c r="L222" s="434"/>
      <c r="M222" s="834"/>
      <c r="N222" s="772"/>
      <c r="O222" s="772"/>
      <c r="P222" s="772"/>
      <c r="Q222" s="772"/>
      <c r="R222" s="772"/>
      <c r="S222" s="772"/>
      <c r="T222" s="773"/>
      <c r="AW222" s="2514"/>
      <c r="AX222" s="820"/>
      <c r="AY222" s="820"/>
      <c r="AZ222" s="820"/>
      <c r="BA222" s="30"/>
      <c r="BB222" s="30"/>
      <c r="BC222" s="2514"/>
      <c r="BD222" s="2514"/>
      <c r="BE222" s="2514"/>
      <c r="BF222" s="2514"/>
      <c r="BH222" s="2514"/>
      <c r="BI222" s="30"/>
      <c r="BJ222" s="30"/>
      <c r="BK222" s="30"/>
      <c r="BL222" s="30"/>
      <c r="BM222" s="30"/>
      <c r="BN222" s="822"/>
      <c r="BO222" s="800"/>
      <c r="BP222" s="800"/>
      <c r="BQ222" s="785"/>
      <c r="BR222" s="822"/>
      <c r="BS222" s="823"/>
      <c r="BT222" s="937"/>
      <c r="BU222" s="824"/>
      <c r="BV222" s="209"/>
      <c r="BW222" s="209"/>
      <c r="CA222" s="787"/>
      <c r="DB222" s="773"/>
      <c r="DC222" s="773"/>
      <c r="DD222" s="773"/>
      <c r="DE222" s="773"/>
      <c r="DF222" s="773"/>
      <c r="DG222" s="773"/>
      <c r="DH222" s="773"/>
      <c r="DI222" s="773"/>
      <c r="DJ222" s="773"/>
      <c r="DK222" s="773"/>
      <c r="DL222" s="773"/>
      <c r="DM222" s="773"/>
      <c r="DN222" s="773"/>
      <c r="DO222" s="773"/>
      <c r="DP222" s="773"/>
      <c r="DQ222" s="773"/>
      <c r="DR222" s="773"/>
      <c r="DS222" s="773"/>
      <c r="DT222" s="773"/>
      <c r="DU222" s="773"/>
      <c r="DV222" s="773"/>
      <c r="DW222" s="773"/>
      <c r="DX222" s="773"/>
      <c r="DY222" s="773"/>
      <c r="DZ222" s="773"/>
      <c r="EA222" s="773"/>
      <c r="EB222" s="773"/>
      <c r="EC222" s="773"/>
      <c r="ED222" s="773"/>
      <c r="EE222" s="773"/>
      <c r="EF222" s="773"/>
      <c r="EG222" s="773"/>
      <c r="EH222" s="773"/>
      <c r="EI222" s="773"/>
      <c r="EJ222" s="773"/>
      <c r="EK222" s="773"/>
      <c r="EL222" s="773"/>
      <c r="EM222" s="773"/>
      <c r="EN222" s="773"/>
      <c r="EO222" s="773"/>
      <c r="EP222" s="773"/>
      <c r="EQ222" s="773"/>
      <c r="ER222" s="773"/>
      <c r="ES222" s="773"/>
      <c r="ET222" s="773"/>
      <c r="EU222" s="773"/>
      <c r="EV222" s="773"/>
      <c r="EW222" s="773"/>
      <c r="EX222" s="773"/>
      <c r="EY222" s="773"/>
      <c r="EZ222" s="773"/>
      <c r="FA222" s="773"/>
      <c r="FB222" s="773"/>
      <c r="FC222" s="773"/>
      <c r="FD222" s="773"/>
      <c r="FE222" s="773"/>
      <c r="FF222" s="773"/>
      <c r="FG222" s="773"/>
      <c r="FH222" s="773"/>
      <c r="FI222" s="773"/>
      <c r="FJ222" s="773"/>
      <c r="FK222" s="773"/>
      <c r="FL222" s="773"/>
      <c r="FM222" s="773"/>
      <c r="FN222" s="773"/>
      <c r="FO222" s="773"/>
      <c r="FP222" s="773"/>
      <c r="FQ222" s="773"/>
      <c r="FR222" s="773"/>
      <c r="FS222" s="773"/>
      <c r="FT222" s="773"/>
      <c r="FU222" s="773"/>
      <c r="FV222" s="773"/>
      <c r="FW222" s="773"/>
      <c r="FX222" s="773"/>
      <c r="FY222" s="773"/>
      <c r="FZ222" s="773"/>
      <c r="GA222" s="773"/>
      <c r="GB222" s="773"/>
      <c r="GC222" s="773"/>
      <c r="GD222" s="773"/>
      <c r="GE222" s="773"/>
      <c r="GF222" s="773"/>
      <c r="GG222" s="773"/>
      <c r="GH222" s="773"/>
      <c r="GI222" s="773"/>
      <c r="GJ222" s="773"/>
      <c r="GK222" s="773"/>
      <c r="GL222" s="773"/>
      <c r="GM222" s="773"/>
      <c r="GN222" s="773"/>
      <c r="GO222" s="773"/>
      <c r="GP222" s="773"/>
      <c r="GQ222" s="773"/>
      <c r="GR222" s="773"/>
      <c r="GS222" s="773"/>
      <c r="GT222" s="773"/>
      <c r="GU222" s="773"/>
      <c r="GV222" s="773"/>
      <c r="GW222" s="773"/>
      <c r="GX222" s="773"/>
      <c r="GY222" s="773"/>
      <c r="GZ222" s="773"/>
    </row>
    <row r="223" spans="1:208" s="11" customFormat="1">
      <c r="A223" s="774"/>
      <c r="B223" s="3761"/>
      <c r="C223" s="157"/>
      <c r="D223" s="199"/>
      <c r="E223" s="809"/>
      <c r="F223" s="809"/>
      <c r="G223" s="107"/>
      <c r="H223" s="107"/>
      <c r="I223" s="107"/>
      <c r="J223" s="796">
        <f>SUM(E223:I223)</f>
        <v>0</v>
      </c>
      <c r="K223" s="209"/>
      <c r="L223" s="434"/>
      <c r="M223" s="834"/>
      <c r="N223" s="772"/>
      <c r="O223" s="772"/>
      <c r="P223" s="772"/>
      <c r="Q223" s="772"/>
      <c r="R223" s="772"/>
      <c r="S223" s="772"/>
      <c r="T223" s="773"/>
      <c r="AW223" s="2514"/>
      <c r="AX223" s="820"/>
      <c r="AY223" s="820"/>
      <c r="AZ223" s="820"/>
      <c r="BA223" s="30"/>
      <c r="BB223" s="30"/>
      <c r="BC223" s="2514"/>
      <c r="BD223" s="2514"/>
      <c r="BE223" s="2514"/>
      <c r="BF223" s="2514"/>
      <c r="BH223" s="2514"/>
      <c r="BI223" s="30"/>
      <c r="BJ223" s="30"/>
      <c r="BK223" s="30"/>
      <c r="BL223" s="30"/>
      <c r="BM223" s="30"/>
      <c r="BN223" s="30"/>
      <c r="BO223" s="800"/>
      <c r="BP223" s="800"/>
      <c r="BQ223" s="785"/>
      <c r="BR223" s="820"/>
      <c r="BS223" s="823"/>
      <c r="BT223" s="30"/>
      <c r="BU223" s="800"/>
      <c r="BV223" s="800"/>
      <c r="BW223" s="30"/>
      <c r="CA223" s="787"/>
      <c r="DB223" s="773"/>
      <c r="DC223" s="773"/>
      <c r="DD223" s="773"/>
      <c r="DE223" s="773"/>
      <c r="DF223" s="773"/>
      <c r="DG223" s="773"/>
      <c r="DH223" s="773"/>
      <c r="DI223" s="773"/>
      <c r="DJ223" s="773"/>
      <c r="DK223" s="773"/>
      <c r="DL223" s="773"/>
      <c r="DM223" s="773"/>
      <c r="DN223" s="773"/>
      <c r="DO223" s="773"/>
      <c r="DP223" s="773"/>
      <c r="DQ223" s="773"/>
      <c r="DR223" s="773"/>
      <c r="DS223" s="773"/>
      <c r="DT223" s="773"/>
      <c r="DU223" s="773"/>
      <c r="DV223" s="773"/>
      <c r="DW223" s="773"/>
      <c r="DX223" s="773"/>
      <c r="DY223" s="773"/>
      <c r="DZ223" s="773"/>
      <c r="EA223" s="773"/>
      <c r="EB223" s="773"/>
      <c r="EC223" s="773"/>
      <c r="ED223" s="773"/>
      <c r="EE223" s="773"/>
      <c r="EF223" s="773"/>
      <c r="EG223" s="773"/>
      <c r="EH223" s="773"/>
      <c r="EI223" s="773"/>
      <c r="EJ223" s="773"/>
      <c r="EK223" s="773"/>
      <c r="EL223" s="773"/>
      <c r="EM223" s="773"/>
      <c r="EN223" s="773"/>
      <c r="EO223" s="773"/>
      <c r="EP223" s="773"/>
      <c r="EQ223" s="773"/>
      <c r="ER223" s="773"/>
      <c r="ES223" s="773"/>
      <c r="ET223" s="773"/>
      <c r="EU223" s="773"/>
      <c r="EV223" s="773"/>
      <c r="EW223" s="773"/>
      <c r="EX223" s="773"/>
      <c r="EY223" s="773"/>
      <c r="EZ223" s="773"/>
      <c r="FA223" s="773"/>
      <c r="FB223" s="773"/>
      <c r="FC223" s="773"/>
      <c r="FD223" s="773"/>
      <c r="FE223" s="773"/>
      <c r="FF223" s="773"/>
      <c r="FG223" s="773"/>
      <c r="FH223" s="773"/>
      <c r="FI223" s="773"/>
      <c r="FJ223" s="773"/>
      <c r="FK223" s="773"/>
      <c r="FL223" s="773"/>
      <c r="FM223" s="773"/>
      <c r="FN223" s="773"/>
      <c r="FO223" s="773"/>
      <c r="FP223" s="773"/>
      <c r="FQ223" s="773"/>
      <c r="FR223" s="773"/>
      <c r="FS223" s="773"/>
      <c r="FT223" s="773"/>
      <c r="FU223" s="773"/>
      <c r="FV223" s="773"/>
      <c r="FW223" s="773"/>
      <c r="FX223" s="773"/>
      <c r="FY223" s="773"/>
      <c r="FZ223" s="773"/>
      <c r="GA223" s="773"/>
      <c r="GB223" s="773"/>
      <c r="GC223" s="773"/>
      <c r="GD223" s="773"/>
      <c r="GE223" s="773"/>
      <c r="GF223" s="773"/>
      <c r="GG223" s="773"/>
      <c r="GH223" s="773"/>
      <c r="GI223" s="773"/>
      <c r="GJ223" s="773"/>
      <c r="GK223" s="773"/>
      <c r="GL223" s="773"/>
      <c r="GM223" s="773"/>
      <c r="GN223" s="773"/>
      <c r="GO223" s="773"/>
      <c r="GP223" s="773"/>
      <c r="GQ223" s="773"/>
      <c r="GR223" s="773"/>
      <c r="GS223" s="773"/>
      <c r="GT223" s="773"/>
      <c r="GU223" s="773"/>
      <c r="GV223" s="773"/>
      <c r="GW223" s="773"/>
      <c r="GX223" s="773"/>
      <c r="GY223" s="773"/>
      <c r="GZ223" s="773"/>
    </row>
    <row r="224" spans="1:208" s="11" customFormat="1">
      <c r="A224" s="774"/>
      <c r="B224" s="3761"/>
      <c r="C224" s="157"/>
      <c r="D224" s="167"/>
      <c r="E224" s="809"/>
      <c r="F224" s="769"/>
      <c r="G224" s="769"/>
      <c r="H224" s="769"/>
      <c r="I224" s="769"/>
      <c r="J224" s="796"/>
      <c r="K224" s="209"/>
      <c r="L224" s="434"/>
      <c r="M224" s="834"/>
      <c r="N224" s="772"/>
      <c r="O224" s="772"/>
      <c r="P224" s="772"/>
      <c r="Q224" s="772"/>
      <c r="R224" s="772"/>
      <c r="S224" s="772"/>
      <c r="T224" s="773"/>
      <c r="AW224" s="2515"/>
      <c r="AX224" s="820"/>
      <c r="AY224" s="820"/>
      <c r="AZ224" s="820"/>
      <c r="BA224" s="937"/>
      <c r="BB224" s="937"/>
      <c r="BC224" s="2515"/>
      <c r="BD224" s="2515"/>
      <c r="BE224" s="2515"/>
      <c r="BF224" s="2515"/>
      <c r="BH224" s="2515"/>
      <c r="BI224" s="937"/>
      <c r="BJ224" s="937"/>
      <c r="BK224" s="937"/>
      <c r="BL224" s="937"/>
      <c r="BM224" s="937"/>
      <c r="BN224" s="209"/>
      <c r="BO224" s="209"/>
      <c r="BP224" s="209"/>
      <c r="BQ224" s="209"/>
      <c r="BR224" s="209"/>
      <c r="BS224" s="209"/>
      <c r="BT224" s="209"/>
      <c r="BU224" s="820"/>
      <c r="BV224" s="209"/>
      <c r="BW224" s="209"/>
      <c r="BX224" s="799"/>
      <c r="BY224" s="799"/>
      <c r="DB224" s="773"/>
      <c r="DC224" s="773"/>
      <c r="DD224" s="773"/>
      <c r="DE224" s="773"/>
      <c r="DF224" s="773"/>
      <c r="DG224" s="773"/>
      <c r="DH224" s="773"/>
      <c r="DI224" s="773"/>
      <c r="DJ224" s="773"/>
      <c r="DK224" s="773"/>
      <c r="DL224" s="773"/>
      <c r="DM224" s="773"/>
      <c r="DN224" s="773"/>
      <c r="DO224" s="773"/>
      <c r="DP224" s="773"/>
      <c r="DQ224" s="773"/>
      <c r="DR224" s="773"/>
      <c r="DS224" s="773"/>
      <c r="DT224" s="773"/>
      <c r="DU224" s="773"/>
      <c r="DV224" s="773"/>
      <c r="DW224" s="773"/>
      <c r="DX224" s="773"/>
      <c r="DY224" s="773"/>
      <c r="DZ224" s="773"/>
      <c r="EA224" s="773"/>
      <c r="EB224" s="773"/>
      <c r="EC224" s="773"/>
      <c r="ED224" s="773"/>
      <c r="EE224" s="773"/>
      <c r="EF224" s="773"/>
      <c r="EG224" s="773"/>
      <c r="EH224" s="773"/>
      <c r="EI224" s="773"/>
      <c r="EJ224" s="773"/>
      <c r="EK224" s="773"/>
      <c r="EL224" s="773"/>
      <c r="EM224" s="773"/>
      <c r="EN224" s="773"/>
      <c r="EO224" s="773"/>
      <c r="EP224" s="773"/>
      <c r="EQ224" s="773"/>
      <c r="ER224" s="773"/>
      <c r="ES224" s="773"/>
      <c r="ET224" s="773"/>
      <c r="EU224" s="773"/>
      <c r="EV224" s="773"/>
      <c r="EW224" s="773"/>
      <c r="EX224" s="773"/>
      <c r="EY224" s="773"/>
      <c r="EZ224" s="773"/>
      <c r="FA224" s="773"/>
      <c r="FB224" s="773"/>
      <c r="FC224" s="773"/>
      <c r="FD224" s="773"/>
      <c r="FE224" s="773"/>
      <c r="FF224" s="773"/>
      <c r="FG224" s="773"/>
      <c r="FH224" s="773"/>
      <c r="FI224" s="773"/>
      <c r="FJ224" s="773"/>
      <c r="FK224" s="773"/>
      <c r="FL224" s="773"/>
      <c r="FM224" s="773"/>
      <c r="FN224" s="773"/>
      <c r="FO224" s="773"/>
      <c r="FP224" s="773"/>
      <c r="FQ224" s="773"/>
      <c r="FR224" s="773"/>
      <c r="FS224" s="773"/>
      <c r="FT224" s="773"/>
      <c r="FU224" s="773"/>
      <c r="FV224" s="773"/>
      <c r="FW224" s="773"/>
      <c r="FX224" s="773"/>
      <c r="FY224" s="773"/>
      <c r="FZ224" s="773"/>
      <c r="GA224" s="773"/>
      <c r="GB224" s="773"/>
      <c r="GC224" s="773"/>
      <c r="GD224" s="773"/>
      <c r="GE224" s="773"/>
      <c r="GF224" s="773"/>
      <c r="GG224" s="773"/>
      <c r="GH224" s="773"/>
      <c r="GI224" s="773"/>
      <c r="GJ224" s="773"/>
      <c r="GK224" s="773"/>
      <c r="GL224" s="773"/>
      <c r="GM224" s="773"/>
      <c r="GN224" s="773"/>
      <c r="GO224" s="773"/>
      <c r="GP224" s="773"/>
      <c r="GQ224" s="773"/>
      <c r="GR224" s="773"/>
      <c r="GS224" s="773"/>
      <c r="GT224" s="773"/>
      <c r="GU224" s="773"/>
      <c r="GV224" s="773"/>
      <c r="GW224" s="773"/>
      <c r="GX224" s="773"/>
      <c r="GY224" s="773"/>
      <c r="GZ224" s="773"/>
    </row>
    <row r="225" spans="1:208" s="11" customFormat="1">
      <c r="A225" s="774"/>
      <c r="B225" s="3761"/>
      <c r="C225" s="157"/>
      <c r="D225" s="167"/>
      <c r="E225" s="203"/>
      <c r="F225" s="769"/>
      <c r="G225" s="769"/>
      <c r="H225" s="769"/>
      <c r="I225" s="769"/>
      <c r="J225" s="796"/>
      <c r="K225" s="209"/>
      <c r="L225" s="434"/>
      <c r="M225" s="834"/>
      <c r="N225" s="772"/>
      <c r="O225" s="772"/>
      <c r="P225" s="772"/>
      <c r="Q225" s="772"/>
      <c r="R225" s="772"/>
      <c r="S225" s="772"/>
      <c r="T225" s="773"/>
      <c r="AW225" s="2515"/>
      <c r="AX225" s="820"/>
      <c r="AY225" s="820"/>
      <c r="AZ225" s="820"/>
      <c r="BA225" s="937"/>
      <c r="BB225" s="937"/>
      <c r="BC225" s="2515"/>
      <c r="BD225" s="2515"/>
      <c r="BE225" s="2515"/>
      <c r="BF225" s="2515"/>
      <c r="BH225" s="2515"/>
      <c r="BI225" s="937"/>
      <c r="BJ225" s="937"/>
      <c r="BK225" s="937"/>
      <c r="BL225" s="937"/>
      <c r="BM225" s="937"/>
      <c r="BN225" s="209"/>
      <c r="BO225" s="209"/>
      <c r="BP225" s="209"/>
      <c r="BQ225" s="209"/>
      <c r="BR225" s="209"/>
      <c r="BS225" s="209"/>
      <c r="BT225" s="209"/>
      <c r="BU225" s="820"/>
      <c r="BV225" s="209"/>
      <c r="BW225" s="209"/>
      <c r="BX225" s="799"/>
      <c r="BY225" s="799"/>
      <c r="DB225" s="773"/>
      <c r="DC225" s="773"/>
      <c r="DD225" s="773"/>
      <c r="DE225" s="773"/>
      <c r="DF225" s="773"/>
      <c r="DG225" s="773"/>
      <c r="DH225" s="773"/>
      <c r="DI225" s="773"/>
      <c r="DJ225" s="773"/>
      <c r="DK225" s="773"/>
      <c r="DL225" s="773"/>
      <c r="DM225" s="773"/>
      <c r="DN225" s="773"/>
      <c r="DO225" s="773"/>
      <c r="DP225" s="773"/>
      <c r="DQ225" s="773"/>
      <c r="DR225" s="773"/>
      <c r="DS225" s="773"/>
      <c r="DT225" s="773"/>
      <c r="DU225" s="773"/>
      <c r="DV225" s="773"/>
      <c r="DW225" s="773"/>
      <c r="DX225" s="773"/>
      <c r="DY225" s="773"/>
      <c r="DZ225" s="773"/>
      <c r="EA225" s="773"/>
      <c r="EB225" s="773"/>
      <c r="EC225" s="773"/>
      <c r="ED225" s="773"/>
      <c r="EE225" s="773"/>
      <c r="EF225" s="773"/>
      <c r="EG225" s="773"/>
      <c r="EH225" s="773"/>
      <c r="EI225" s="773"/>
      <c r="EJ225" s="773"/>
      <c r="EK225" s="773"/>
      <c r="EL225" s="773"/>
      <c r="EM225" s="773"/>
      <c r="EN225" s="773"/>
      <c r="EO225" s="773"/>
      <c r="EP225" s="773"/>
      <c r="EQ225" s="773"/>
      <c r="ER225" s="773"/>
      <c r="ES225" s="773"/>
      <c r="ET225" s="773"/>
      <c r="EU225" s="773"/>
      <c r="EV225" s="773"/>
      <c r="EW225" s="773"/>
      <c r="EX225" s="773"/>
      <c r="EY225" s="773"/>
      <c r="EZ225" s="773"/>
      <c r="FA225" s="773"/>
      <c r="FB225" s="773"/>
      <c r="FC225" s="773"/>
      <c r="FD225" s="773"/>
      <c r="FE225" s="773"/>
      <c r="FF225" s="773"/>
      <c r="FG225" s="773"/>
      <c r="FH225" s="773"/>
      <c r="FI225" s="773"/>
      <c r="FJ225" s="773"/>
      <c r="FK225" s="773"/>
      <c r="FL225" s="773"/>
      <c r="FM225" s="773"/>
      <c r="FN225" s="773"/>
      <c r="FO225" s="773"/>
      <c r="FP225" s="773"/>
      <c r="FQ225" s="773"/>
      <c r="FR225" s="773"/>
      <c r="FS225" s="773"/>
      <c r="FT225" s="773"/>
      <c r="FU225" s="773"/>
      <c r="FV225" s="773"/>
      <c r="FW225" s="773"/>
      <c r="FX225" s="773"/>
      <c r="FY225" s="773"/>
      <c r="FZ225" s="773"/>
      <c r="GA225" s="773"/>
      <c r="GB225" s="773"/>
      <c r="GC225" s="773"/>
      <c r="GD225" s="773"/>
      <c r="GE225" s="773"/>
      <c r="GF225" s="773"/>
      <c r="GG225" s="773"/>
      <c r="GH225" s="773"/>
      <c r="GI225" s="773"/>
      <c r="GJ225" s="773"/>
      <c r="GK225" s="773"/>
      <c r="GL225" s="773"/>
      <c r="GM225" s="773"/>
      <c r="GN225" s="773"/>
      <c r="GO225" s="773"/>
      <c r="GP225" s="773"/>
      <c r="GQ225" s="773"/>
      <c r="GR225" s="773"/>
      <c r="GS225" s="773"/>
      <c r="GT225" s="773"/>
      <c r="GU225" s="773"/>
      <c r="GV225" s="773"/>
      <c r="GW225" s="773"/>
      <c r="GX225" s="773"/>
      <c r="GY225" s="773"/>
      <c r="GZ225" s="773"/>
    </row>
    <row r="226" spans="1:208" s="11" customFormat="1">
      <c r="A226" s="774"/>
      <c r="B226" s="3761"/>
      <c r="C226" s="1965"/>
      <c r="D226" s="1966"/>
      <c r="E226" s="1963">
        <f t="shared" ref="E226:J226" si="16">SUM(E223:E225)</f>
        <v>0</v>
      </c>
      <c r="F226" s="1963">
        <f t="shared" si="16"/>
        <v>0</v>
      </c>
      <c r="G226" s="1963">
        <f t="shared" si="16"/>
        <v>0</v>
      </c>
      <c r="H226" s="1963">
        <f t="shared" si="16"/>
        <v>0</v>
      </c>
      <c r="I226" s="1963">
        <f t="shared" si="16"/>
        <v>0</v>
      </c>
      <c r="J226" s="1963">
        <f t="shared" si="16"/>
        <v>0</v>
      </c>
      <c r="K226" s="209"/>
      <c r="L226" s="434"/>
      <c r="M226" s="834"/>
      <c r="N226" s="772"/>
      <c r="O226" s="772"/>
      <c r="P226" s="772"/>
      <c r="Q226" s="772"/>
      <c r="R226" s="772"/>
      <c r="S226" s="772"/>
      <c r="T226" s="773"/>
      <c r="AW226" s="2514"/>
      <c r="AX226" s="820"/>
      <c r="AY226" s="820"/>
      <c r="AZ226" s="820"/>
      <c r="BA226" s="30"/>
      <c r="BB226" s="30"/>
      <c r="BC226" s="2514"/>
      <c r="BD226" s="2514"/>
      <c r="BE226" s="2514"/>
      <c r="BF226" s="2514"/>
      <c r="BH226" s="2514"/>
      <c r="BI226" s="30"/>
      <c r="BJ226" s="30"/>
      <c r="BK226" s="30"/>
      <c r="BL226" s="30"/>
      <c r="BM226" s="30"/>
      <c r="BN226" s="822"/>
      <c r="BO226" s="800"/>
      <c r="BP226" s="800"/>
      <c r="BQ226" s="785"/>
      <c r="BR226" s="822"/>
      <c r="BS226" s="823"/>
      <c r="BT226" s="937"/>
      <c r="BU226" s="824"/>
      <c r="BV226" s="209"/>
      <c r="BW226" s="209"/>
      <c r="CA226" s="787"/>
      <c r="DB226" s="773"/>
      <c r="DC226" s="773"/>
      <c r="DD226" s="773"/>
      <c r="DE226" s="773"/>
      <c r="DF226" s="773"/>
      <c r="DG226" s="773"/>
      <c r="DH226" s="773"/>
      <c r="DI226" s="773"/>
      <c r="DJ226" s="773"/>
      <c r="DK226" s="773"/>
      <c r="DL226" s="773"/>
      <c r="DM226" s="773"/>
      <c r="DN226" s="773"/>
      <c r="DO226" s="773"/>
      <c r="DP226" s="773"/>
      <c r="DQ226" s="773"/>
      <c r="DR226" s="773"/>
      <c r="DS226" s="773"/>
      <c r="DT226" s="773"/>
      <c r="DU226" s="773"/>
      <c r="DV226" s="773"/>
      <c r="DW226" s="773"/>
      <c r="DX226" s="773"/>
      <c r="DY226" s="773"/>
      <c r="DZ226" s="773"/>
      <c r="EA226" s="773"/>
      <c r="EB226" s="773"/>
      <c r="EC226" s="773"/>
      <c r="ED226" s="773"/>
      <c r="EE226" s="773"/>
      <c r="EF226" s="773"/>
      <c r="EG226" s="773"/>
      <c r="EH226" s="773"/>
      <c r="EI226" s="773"/>
      <c r="EJ226" s="773"/>
      <c r="EK226" s="773"/>
      <c r="EL226" s="773"/>
      <c r="EM226" s="773"/>
      <c r="EN226" s="773"/>
      <c r="EO226" s="773"/>
      <c r="EP226" s="773"/>
      <c r="EQ226" s="773"/>
      <c r="ER226" s="773"/>
      <c r="ES226" s="773"/>
      <c r="ET226" s="773"/>
      <c r="EU226" s="773"/>
      <c r="EV226" s="773"/>
      <c r="EW226" s="773"/>
      <c r="EX226" s="773"/>
      <c r="EY226" s="773"/>
      <c r="EZ226" s="773"/>
      <c r="FA226" s="773"/>
      <c r="FB226" s="773"/>
      <c r="FC226" s="773"/>
      <c r="FD226" s="773"/>
      <c r="FE226" s="773"/>
      <c r="FF226" s="773"/>
      <c r="FG226" s="773"/>
      <c r="FH226" s="773"/>
      <c r="FI226" s="773"/>
      <c r="FJ226" s="773"/>
      <c r="FK226" s="773"/>
      <c r="FL226" s="773"/>
      <c r="FM226" s="773"/>
      <c r="FN226" s="773"/>
      <c r="FO226" s="773"/>
      <c r="FP226" s="773"/>
      <c r="FQ226" s="773"/>
      <c r="FR226" s="773"/>
      <c r="FS226" s="773"/>
      <c r="FT226" s="773"/>
      <c r="FU226" s="773"/>
      <c r="FV226" s="773"/>
      <c r="FW226" s="773"/>
      <c r="FX226" s="773"/>
      <c r="FY226" s="773"/>
      <c r="FZ226" s="773"/>
      <c r="GA226" s="773"/>
      <c r="GB226" s="773"/>
      <c r="GC226" s="773"/>
      <c r="GD226" s="773"/>
      <c r="GE226" s="773"/>
      <c r="GF226" s="773"/>
      <c r="GG226" s="773"/>
      <c r="GH226" s="773"/>
      <c r="GI226" s="773"/>
      <c r="GJ226" s="773"/>
      <c r="GK226" s="773"/>
      <c r="GL226" s="773"/>
      <c r="GM226" s="773"/>
      <c r="GN226" s="773"/>
      <c r="GO226" s="773"/>
      <c r="GP226" s="773"/>
      <c r="GQ226" s="773"/>
      <c r="GR226" s="773"/>
      <c r="GS226" s="773"/>
      <c r="GT226" s="773"/>
      <c r="GU226" s="773"/>
      <c r="GV226" s="773"/>
      <c r="GW226" s="773"/>
      <c r="GX226" s="773"/>
      <c r="GY226" s="773"/>
      <c r="GZ226" s="773"/>
    </row>
    <row r="227" spans="1:208" s="11" customFormat="1">
      <c r="A227" s="774"/>
      <c r="B227" s="3761"/>
      <c r="C227" s="781"/>
      <c r="D227" s="849" t="s">
        <v>153</v>
      </c>
      <c r="E227" s="769"/>
      <c r="F227" s="769"/>
      <c r="G227" s="769"/>
      <c r="H227" s="769"/>
      <c r="I227" s="769"/>
      <c r="J227" s="769"/>
      <c r="K227" s="209"/>
      <c r="L227" s="434"/>
      <c r="M227" s="834"/>
      <c r="N227" s="772"/>
      <c r="O227" s="772"/>
      <c r="P227" s="772"/>
      <c r="Q227" s="772"/>
      <c r="R227" s="772"/>
      <c r="S227" s="772"/>
      <c r="T227" s="773"/>
      <c r="AW227" s="2514"/>
      <c r="AX227" s="820"/>
      <c r="AY227" s="820"/>
      <c r="AZ227" s="820"/>
      <c r="BA227" s="30"/>
      <c r="BB227" s="30"/>
      <c r="BC227" s="2514"/>
      <c r="BD227" s="2514"/>
      <c r="BE227" s="2514"/>
      <c r="BF227" s="2514"/>
      <c r="BH227" s="2514"/>
      <c r="BI227" s="30"/>
      <c r="BJ227" s="30"/>
      <c r="BK227" s="30"/>
      <c r="BL227" s="30"/>
      <c r="BM227" s="30"/>
      <c r="BN227" s="30"/>
      <c r="BO227" s="209"/>
      <c r="BP227" s="209"/>
      <c r="BQ227" s="209"/>
      <c r="BR227" s="820"/>
      <c r="BS227" s="940"/>
      <c r="BT227" s="30"/>
      <c r="BU227" s="800"/>
      <c r="BV227" s="800"/>
      <c r="BW227" s="209"/>
      <c r="DB227" s="773"/>
      <c r="DC227" s="773"/>
      <c r="DD227" s="773"/>
      <c r="DE227" s="773"/>
      <c r="DF227" s="773"/>
      <c r="DG227" s="773"/>
      <c r="DH227" s="773"/>
      <c r="DI227" s="773"/>
      <c r="DJ227" s="773"/>
      <c r="DK227" s="773"/>
      <c r="DL227" s="773"/>
      <c r="DM227" s="773"/>
      <c r="DN227" s="773"/>
      <c r="DO227" s="773"/>
      <c r="DP227" s="773"/>
      <c r="DQ227" s="773"/>
      <c r="DR227" s="773"/>
      <c r="DS227" s="773"/>
      <c r="DT227" s="773"/>
      <c r="DU227" s="773"/>
      <c r="DV227" s="773"/>
      <c r="DW227" s="773"/>
      <c r="DX227" s="773"/>
      <c r="DY227" s="773"/>
      <c r="DZ227" s="773"/>
      <c r="EA227" s="773"/>
      <c r="EB227" s="773"/>
      <c r="EC227" s="773"/>
      <c r="ED227" s="773"/>
      <c r="EE227" s="773"/>
      <c r="EF227" s="773"/>
      <c r="EG227" s="773"/>
      <c r="EH227" s="773"/>
      <c r="EI227" s="773"/>
      <c r="EJ227" s="773"/>
      <c r="EK227" s="773"/>
      <c r="EL227" s="773"/>
      <c r="EM227" s="773"/>
      <c r="EN227" s="773"/>
      <c r="EO227" s="773"/>
      <c r="EP227" s="773"/>
      <c r="EQ227" s="773"/>
      <c r="ER227" s="773"/>
      <c r="ES227" s="773"/>
      <c r="ET227" s="773"/>
      <c r="EU227" s="773"/>
      <c r="EV227" s="773"/>
      <c r="EW227" s="773"/>
      <c r="EX227" s="773"/>
      <c r="EY227" s="773"/>
      <c r="EZ227" s="773"/>
      <c r="FA227" s="773"/>
      <c r="FB227" s="773"/>
      <c r="FC227" s="773"/>
      <c r="FD227" s="773"/>
      <c r="FE227" s="773"/>
      <c r="FF227" s="773"/>
      <c r="FG227" s="773"/>
      <c r="FH227" s="773"/>
      <c r="FI227" s="773"/>
      <c r="FJ227" s="773"/>
      <c r="FK227" s="773"/>
      <c r="FL227" s="773"/>
      <c r="FM227" s="773"/>
      <c r="FN227" s="773"/>
      <c r="FO227" s="773"/>
      <c r="FP227" s="773"/>
      <c r="FQ227" s="773"/>
      <c r="FR227" s="773"/>
      <c r="FS227" s="773"/>
      <c r="FT227" s="773"/>
      <c r="FU227" s="773"/>
      <c r="FV227" s="773"/>
      <c r="FW227" s="773"/>
      <c r="FX227" s="773"/>
      <c r="FY227" s="773"/>
      <c r="FZ227" s="773"/>
      <c r="GA227" s="773"/>
      <c r="GB227" s="773"/>
      <c r="GC227" s="773"/>
      <c r="GD227" s="773"/>
      <c r="GE227" s="773"/>
      <c r="GF227" s="773"/>
      <c r="GG227" s="773"/>
      <c r="GH227" s="773"/>
      <c r="GI227" s="773"/>
      <c r="GJ227" s="773"/>
      <c r="GK227" s="773"/>
      <c r="GL227" s="773"/>
      <c r="GM227" s="773"/>
      <c r="GN227" s="773"/>
      <c r="GO227" s="773"/>
      <c r="GP227" s="773"/>
      <c r="GQ227" s="773"/>
      <c r="GR227" s="773"/>
      <c r="GS227" s="773"/>
      <c r="GT227" s="773"/>
      <c r="GU227" s="773"/>
      <c r="GV227" s="773"/>
      <c r="GW227" s="773"/>
      <c r="GX227" s="773"/>
      <c r="GY227" s="773"/>
      <c r="GZ227" s="773"/>
    </row>
    <row r="228" spans="1:208" s="11" customFormat="1">
      <c r="A228" s="774"/>
      <c r="B228" s="3762"/>
      <c r="C228" s="826"/>
      <c r="D228" s="775"/>
      <c r="E228" s="769"/>
      <c r="F228" s="809"/>
      <c r="G228" s="107"/>
      <c r="H228" s="107"/>
      <c r="I228" s="107"/>
      <c r="J228" s="796">
        <f>SUM(E228:I228)</f>
        <v>0</v>
      </c>
      <c r="K228" s="209"/>
      <c r="L228" s="434"/>
      <c r="M228" s="834"/>
      <c r="N228" s="772"/>
      <c r="O228" s="772"/>
      <c r="P228" s="772"/>
      <c r="Q228" s="772"/>
      <c r="R228" s="772"/>
      <c r="S228" s="772"/>
      <c r="T228" s="773"/>
      <c r="AW228" s="2514"/>
      <c r="AX228" s="820"/>
      <c r="AY228" s="820"/>
      <c r="AZ228" s="820"/>
      <c r="BA228" s="30"/>
      <c r="BB228" s="30"/>
      <c r="BC228" s="2514"/>
      <c r="BD228" s="2514"/>
      <c r="BE228" s="2514"/>
      <c r="BF228" s="2514"/>
      <c r="BH228" s="2514"/>
      <c r="BI228" s="30"/>
      <c r="BJ228" s="30"/>
      <c r="BK228" s="30"/>
      <c r="BL228" s="30"/>
      <c r="BM228" s="30"/>
      <c r="BN228" s="30"/>
      <c r="BO228" s="209"/>
      <c r="BP228" s="209"/>
      <c r="BQ228" s="209"/>
      <c r="BR228" s="820"/>
      <c r="BS228" s="940"/>
      <c r="BT228" s="30"/>
      <c r="BU228" s="800"/>
      <c r="BV228" s="800"/>
      <c r="BW228" s="209"/>
      <c r="DB228" s="773"/>
      <c r="DC228" s="773"/>
      <c r="DD228" s="773"/>
      <c r="DE228" s="773"/>
      <c r="DF228" s="773"/>
      <c r="DG228" s="773"/>
      <c r="DH228" s="773"/>
      <c r="DI228" s="773"/>
      <c r="DJ228" s="773"/>
      <c r="DK228" s="773"/>
      <c r="DL228" s="773"/>
      <c r="DM228" s="773"/>
      <c r="DN228" s="773"/>
      <c r="DO228" s="773"/>
      <c r="DP228" s="773"/>
      <c r="DQ228" s="773"/>
      <c r="DR228" s="773"/>
      <c r="DS228" s="773"/>
      <c r="DT228" s="773"/>
      <c r="DU228" s="773"/>
      <c r="DV228" s="773"/>
      <c r="DW228" s="773"/>
      <c r="DX228" s="773"/>
      <c r="DY228" s="773"/>
      <c r="DZ228" s="773"/>
      <c r="EA228" s="773"/>
      <c r="EB228" s="773"/>
      <c r="EC228" s="773"/>
      <c r="ED228" s="773"/>
      <c r="EE228" s="773"/>
      <c r="EF228" s="773"/>
      <c r="EG228" s="773"/>
      <c r="EH228" s="773"/>
      <c r="EI228" s="773"/>
      <c r="EJ228" s="773"/>
      <c r="EK228" s="773"/>
      <c r="EL228" s="773"/>
      <c r="EM228" s="773"/>
      <c r="EN228" s="773"/>
      <c r="EO228" s="773"/>
      <c r="EP228" s="773"/>
      <c r="EQ228" s="773"/>
      <c r="ER228" s="773"/>
      <c r="ES228" s="773"/>
      <c r="ET228" s="773"/>
      <c r="EU228" s="773"/>
      <c r="EV228" s="773"/>
      <c r="EW228" s="773"/>
      <c r="EX228" s="773"/>
      <c r="EY228" s="773"/>
      <c r="EZ228" s="773"/>
      <c r="FA228" s="773"/>
      <c r="FB228" s="773"/>
      <c r="FC228" s="773"/>
      <c r="FD228" s="773"/>
      <c r="FE228" s="773"/>
      <c r="FF228" s="773"/>
      <c r="FG228" s="773"/>
      <c r="FH228" s="773"/>
      <c r="FI228" s="773"/>
      <c r="FJ228" s="773"/>
      <c r="FK228" s="773"/>
      <c r="FL228" s="773"/>
      <c r="FM228" s="773"/>
      <c r="FN228" s="773"/>
      <c r="FO228" s="773"/>
      <c r="FP228" s="773"/>
      <c r="FQ228" s="773"/>
      <c r="FR228" s="773"/>
      <c r="FS228" s="773"/>
      <c r="FT228" s="773"/>
      <c r="FU228" s="773"/>
      <c r="FV228" s="773"/>
      <c r="FW228" s="773"/>
      <c r="FX228" s="773"/>
      <c r="FY228" s="773"/>
      <c r="FZ228" s="773"/>
      <c r="GA228" s="773"/>
      <c r="GB228" s="773"/>
      <c r="GC228" s="773"/>
      <c r="GD228" s="773"/>
      <c r="GE228" s="773"/>
      <c r="GF228" s="773"/>
      <c r="GG228" s="773"/>
      <c r="GH228" s="773"/>
      <c r="GI228" s="773"/>
      <c r="GJ228" s="773"/>
      <c r="GK228" s="773"/>
      <c r="GL228" s="773"/>
      <c r="GM228" s="773"/>
      <c r="GN228" s="773"/>
      <c r="GO228" s="773"/>
      <c r="GP228" s="773"/>
      <c r="GQ228" s="773"/>
      <c r="GR228" s="773"/>
      <c r="GS228" s="773"/>
      <c r="GT228" s="773"/>
      <c r="GU228" s="773"/>
      <c r="GV228" s="773"/>
      <c r="GW228" s="773"/>
      <c r="GX228" s="773"/>
      <c r="GY228" s="773"/>
      <c r="GZ228" s="773"/>
    </row>
    <row r="229" spans="1:208" s="11" customFormat="1">
      <c r="A229" s="774"/>
      <c r="B229" s="3762"/>
      <c r="C229" s="2682"/>
      <c r="D229" s="935"/>
      <c r="E229" s="1963">
        <f t="shared" ref="E229:J229" si="17">SUM(E228:E228)</f>
        <v>0</v>
      </c>
      <c r="F229" s="1963">
        <f t="shared" si="17"/>
        <v>0</v>
      </c>
      <c r="G229" s="1963">
        <f t="shared" si="17"/>
        <v>0</v>
      </c>
      <c r="H229" s="1963">
        <f t="shared" si="17"/>
        <v>0</v>
      </c>
      <c r="I229" s="1963">
        <f t="shared" si="17"/>
        <v>0</v>
      </c>
      <c r="J229" s="1963">
        <f t="shared" si="17"/>
        <v>0</v>
      </c>
      <c r="K229" s="209"/>
      <c r="L229" s="434"/>
      <c r="M229" s="834"/>
      <c r="N229" s="772"/>
      <c r="O229" s="772"/>
      <c r="P229" s="772"/>
      <c r="Q229" s="772"/>
      <c r="R229" s="772"/>
      <c r="S229" s="772"/>
      <c r="T229" s="773"/>
      <c r="AW229" s="2514"/>
      <c r="AX229" s="820"/>
      <c r="AY229" s="820"/>
      <c r="AZ229" s="820"/>
      <c r="BA229" s="30"/>
      <c r="BB229" s="30"/>
      <c r="BC229" s="2514"/>
      <c r="BD229" s="2514"/>
      <c r="BE229" s="2514"/>
      <c r="BF229" s="2514"/>
      <c r="BH229" s="2514"/>
      <c r="BI229" s="30"/>
      <c r="BJ229" s="30"/>
      <c r="BK229" s="30"/>
      <c r="BL229" s="30"/>
      <c r="BM229" s="30"/>
      <c r="BN229" s="30"/>
      <c r="BO229" s="209"/>
      <c r="BP229" s="209"/>
      <c r="BQ229" s="209"/>
      <c r="BR229" s="820"/>
      <c r="BS229" s="823"/>
      <c r="BT229" s="30"/>
      <c r="BU229" s="800"/>
      <c r="BV229" s="800"/>
      <c r="BW229" s="209"/>
      <c r="DB229" s="773"/>
      <c r="DC229" s="773"/>
      <c r="DD229" s="773"/>
      <c r="DE229" s="773"/>
      <c r="DF229" s="773"/>
      <c r="DG229" s="773"/>
      <c r="DH229" s="773"/>
      <c r="DI229" s="773"/>
      <c r="DJ229" s="773"/>
      <c r="DK229" s="773"/>
      <c r="DL229" s="773"/>
      <c r="DM229" s="773"/>
      <c r="DN229" s="773"/>
      <c r="DO229" s="773"/>
      <c r="DP229" s="773"/>
      <c r="DQ229" s="773"/>
      <c r="DR229" s="773"/>
      <c r="DS229" s="773"/>
      <c r="DT229" s="773"/>
      <c r="DU229" s="773"/>
      <c r="DV229" s="773"/>
      <c r="DW229" s="773"/>
      <c r="DX229" s="773"/>
      <c r="DY229" s="773"/>
      <c r="DZ229" s="773"/>
      <c r="EA229" s="773"/>
      <c r="EB229" s="773"/>
      <c r="EC229" s="773"/>
      <c r="ED229" s="773"/>
      <c r="EE229" s="773"/>
      <c r="EF229" s="773"/>
      <c r="EG229" s="773"/>
      <c r="EH229" s="773"/>
      <c r="EI229" s="773"/>
      <c r="EJ229" s="773"/>
      <c r="EK229" s="773"/>
      <c r="EL229" s="773"/>
      <c r="EM229" s="773"/>
      <c r="EN229" s="773"/>
      <c r="EO229" s="773"/>
      <c r="EP229" s="773"/>
      <c r="EQ229" s="773"/>
      <c r="ER229" s="773"/>
      <c r="ES229" s="773"/>
      <c r="ET229" s="773"/>
      <c r="EU229" s="773"/>
      <c r="EV229" s="773"/>
      <c r="EW229" s="773"/>
      <c r="EX229" s="773"/>
      <c r="EY229" s="773"/>
      <c r="EZ229" s="773"/>
      <c r="FA229" s="773"/>
      <c r="FB229" s="773"/>
      <c r="FC229" s="773"/>
      <c r="FD229" s="773"/>
      <c r="FE229" s="773"/>
      <c r="FF229" s="773"/>
      <c r="FG229" s="773"/>
      <c r="FH229" s="773"/>
      <c r="FI229" s="773"/>
      <c r="FJ229" s="773"/>
      <c r="FK229" s="773"/>
      <c r="FL229" s="773"/>
      <c r="FM229" s="773"/>
      <c r="FN229" s="773"/>
      <c r="FO229" s="773"/>
      <c r="FP229" s="773"/>
      <c r="FQ229" s="773"/>
      <c r="FR229" s="773"/>
      <c r="FS229" s="773"/>
      <c r="FT229" s="773"/>
      <c r="FU229" s="773"/>
      <c r="FV229" s="773"/>
      <c r="FW229" s="773"/>
      <c r="FX229" s="773"/>
      <c r="FY229" s="773"/>
      <c r="FZ229" s="773"/>
      <c r="GA229" s="773"/>
      <c r="GB229" s="773"/>
      <c r="GC229" s="773"/>
      <c r="GD229" s="773"/>
      <c r="GE229" s="773"/>
      <c r="GF229" s="773"/>
      <c r="GG229" s="773"/>
      <c r="GH229" s="773"/>
      <c r="GI229" s="773"/>
      <c r="GJ229" s="773"/>
      <c r="GK229" s="773"/>
      <c r="GL229" s="773"/>
      <c r="GM229" s="773"/>
      <c r="GN229" s="773"/>
      <c r="GO229" s="773"/>
      <c r="GP229" s="773"/>
      <c r="GQ229" s="773"/>
      <c r="GR229" s="773"/>
      <c r="GS229" s="773"/>
      <c r="GT229" s="773"/>
      <c r="GU229" s="773"/>
      <c r="GV229" s="773"/>
      <c r="GW229" s="773"/>
      <c r="GX229" s="773"/>
      <c r="GY229" s="773"/>
      <c r="GZ229" s="773"/>
    </row>
    <row r="230" spans="1:208" s="11" customFormat="1">
      <c r="A230" s="774"/>
      <c r="B230" s="3761"/>
      <c r="C230" s="781"/>
      <c r="D230" s="174" t="s">
        <v>227</v>
      </c>
      <c r="E230" s="827"/>
      <c r="F230" s="769"/>
      <c r="G230" s="769"/>
      <c r="H230" s="769"/>
      <c r="I230" s="769"/>
      <c r="J230" s="796"/>
      <c r="K230" s="209"/>
      <c r="L230" s="434"/>
      <c r="M230" s="834"/>
      <c r="N230" s="772"/>
      <c r="O230" s="772"/>
      <c r="P230" s="772"/>
      <c r="Q230" s="772"/>
      <c r="R230" s="772"/>
      <c r="S230" s="772"/>
      <c r="T230" s="773"/>
      <c r="AW230" s="2514"/>
      <c r="AX230" s="820"/>
      <c r="AY230" s="820"/>
      <c r="AZ230" s="820"/>
      <c r="BA230" s="30"/>
      <c r="BB230" s="30"/>
      <c r="BC230" s="2514"/>
      <c r="BD230" s="2514"/>
      <c r="BE230" s="2514"/>
      <c r="BF230" s="2514"/>
      <c r="BH230" s="2514"/>
      <c r="BI230" s="30"/>
      <c r="BJ230" s="30"/>
      <c r="BK230" s="30"/>
      <c r="BL230" s="30"/>
      <c r="BM230" s="30"/>
      <c r="BN230" s="30"/>
      <c r="BO230" s="209"/>
      <c r="BP230" s="209"/>
      <c r="BQ230" s="209"/>
      <c r="BR230" s="820"/>
      <c r="BS230" s="823"/>
      <c r="BT230" s="822"/>
      <c r="BU230" s="822"/>
      <c r="BV230" s="800"/>
      <c r="BW230" s="209"/>
      <c r="DB230" s="773"/>
      <c r="DC230" s="773"/>
      <c r="DD230" s="773"/>
      <c r="DE230" s="773"/>
      <c r="DF230" s="773"/>
      <c r="DG230" s="773"/>
      <c r="DH230" s="773"/>
      <c r="DI230" s="773"/>
      <c r="DJ230" s="773"/>
      <c r="DK230" s="773"/>
      <c r="DL230" s="773"/>
      <c r="DM230" s="773"/>
      <c r="DN230" s="773"/>
      <c r="DO230" s="773"/>
      <c r="DP230" s="773"/>
      <c r="DQ230" s="773"/>
      <c r="DR230" s="773"/>
      <c r="DS230" s="773"/>
      <c r="DT230" s="773"/>
      <c r="DU230" s="773"/>
      <c r="DV230" s="773"/>
      <c r="DW230" s="773"/>
      <c r="DX230" s="773"/>
      <c r="DY230" s="773"/>
      <c r="DZ230" s="773"/>
      <c r="EA230" s="773"/>
      <c r="EB230" s="773"/>
      <c r="EC230" s="773"/>
      <c r="ED230" s="773"/>
      <c r="EE230" s="773"/>
      <c r="EF230" s="773"/>
      <c r="EG230" s="773"/>
      <c r="EH230" s="773"/>
      <c r="EI230" s="773"/>
      <c r="EJ230" s="773"/>
      <c r="EK230" s="773"/>
      <c r="EL230" s="773"/>
      <c r="EM230" s="773"/>
      <c r="EN230" s="773"/>
      <c r="EO230" s="773"/>
      <c r="EP230" s="773"/>
      <c r="EQ230" s="773"/>
      <c r="ER230" s="773"/>
      <c r="ES230" s="773"/>
      <c r="ET230" s="773"/>
      <c r="EU230" s="773"/>
      <c r="EV230" s="773"/>
      <c r="EW230" s="773"/>
      <c r="EX230" s="773"/>
      <c r="EY230" s="773"/>
      <c r="EZ230" s="773"/>
      <c r="FA230" s="773"/>
      <c r="FB230" s="773"/>
      <c r="FC230" s="773"/>
      <c r="FD230" s="773"/>
      <c r="FE230" s="773"/>
      <c r="FF230" s="773"/>
      <c r="FG230" s="773"/>
      <c r="FH230" s="773"/>
      <c r="FI230" s="773"/>
      <c r="FJ230" s="773"/>
      <c r="FK230" s="773"/>
      <c r="FL230" s="773"/>
      <c r="FM230" s="773"/>
      <c r="FN230" s="773"/>
      <c r="FO230" s="773"/>
      <c r="FP230" s="773"/>
      <c r="FQ230" s="773"/>
      <c r="FR230" s="773"/>
      <c r="FS230" s="773"/>
      <c r="FT230" s="773"/>
      <c r="FU230" s="773"/>
      <c r="FV230" s="773"/>
      <c r="FW230" s="773"/>
      <c r="FX230" s="773"/>
      <c r="FY230" s="773"/>
      <c r="FZ230" s="773"/>
      <c r="GA230" s="773"/>
      <c r="GB230" s="773"/>
      <c r="GC230" s="773"/>
      <c r="GD230" s="773"/>
      <c r="GE230" s="773"/>
      <c r="GF230" s="773"/>
      <c r="GG230" s="773"/>
      <c r="GH230" s="773"/>
      <c r="GI230" s="773"/>
      <c r="GJ230" s="773"/>
      <c r="GK230" s="773"/>
      <c r="GL230" s="773"/>
      <c r="GM230" s="773"/>
      <c r="GN230" s="773"/>
      <c r="GO230" s="773"/>
      <c r="GP230" s="773"/>
      <c r="GQ230" s="773"/>
      <c r="GR230" s="773"/>
      <c r="GS230" s="773"/>
      <c r="GT230" s="773"/>
      <c r="GU230" s="773"/>
      <c r="GV230" s="773"/>
      <c r="GW230" s="773"/>
      <c r="GX230" s="773"/>
      <c r="GY230" s="773"/>
      <c r="GZ230" s="773"/>
    </row>
    <row r="231" spans="1:208" s="11" customFormat="1">
      <c r="A231" s="774"/>
      <c r="B231" s="3761"/>
      <c r="C231" s="157"/>
      <c r="D231" s="172"/>
      <c r="E231" s="809"/>
      <c r="F231" s="769"/>
      <c r="G231" s="769"/>
      <c r="H231" s="769"/>
      <c r="I231" s="769"/>
      <c r="J231" s="796"/>
      <c r="K231" s="209"/>
      <c r="L231" s="434"/>
      <c r="M231" s="819"/>
      <c r="N231" s="772"/>
      <c r="O231" s="772"/>
      <c r="P231" s="772"/>
      <c r="Q231" s="772"/>
      <c r="R231" s="772"/>
      <c r="S231" s="772"/>
      <c r="T231" s="773"/>
      <c r="AW231" s="2514"/>
      <c r="AX231" s="820"/>
      <c r="AY231" s="820"/>
      <c r="AZ231" s="820"/>
      <c r="BA231" s="30"/>
      <c r="BB231" s="30"/>
      <c r="BC231" s="2514"/>
      <c r="BD231" s="2514"/>
      <c r="BE231" s="2514"/>
      <c r="BF231" s="2514"/>
      <c r="BH231" s="2514"/>
      <c r="BI231" s="30"/>
      <c r="BJ231" s="30"/>
      <c r="BK231" s="30"/>
      <c r="BL231" s="30"/>
      <c r="BM231" s="30"/>
      <c r="BN231" s="30"/>
      <c r="BO231" s="209"/>
      <c r="BP231" s="209"/>
      <c r="BQ231" s="209"/>
      <c r="DB231" s="773"/>
      <c r="DC231" s="773"/>
      <c r="DD231" s="773"/>
      <c r="DE231" s="773"/>
      <c r="DF231" s="773"/>
      <c r="DG231" s="773"/>
      <c r="DH231" s="773"/>
      <c r="DI231" s="773"/>
      <c r="DJ231" s="773"/>
      <c r="DK231" s="773"/>
      <c r="DL231" s="773"/>
      <c r="DM231" s="773"/>
      <c r="DN231" s="773"/>
      <c r="DO231" s="773"/>
      <c r="DP231" s="773"/>
      <c r="DQ231" s="773"/>
      <c r="DR231" s="773"/>
      <c r="DS231" s="773"/>
      <c r="DT231" s="773"/>
      <c r="DU231" s="773"/>
      <c r="DV231" s="773"/>
      <c r="DW231" s="773"/>
      <c r="DX231" s="773"/>
      <c r="DY231" s="773"/>
      <c r="DZ231" s="773"/>
      <c r="EA231" s="773"/>
      <c r="EB231" s="773"/>
      <c r="EC231" s="773"/>
      <c r="ED231" s="773"/>
      <c r="EE231" s="773"/>
      <c r="EF231" s="773"/>
      <c r="EG231" s="773"/>
      <c r="EH231" s="773"/>
      <c r="EI231" s="773"/>
      <c r="EJ231" s="773"/>
      <c r="EK231" s="773"/>
      <c r="EL231" s="773"/>
      <c r="EM231" s="773"/>
      <c r="EN231" s="773"/>
      <c r="EO231" s="773"/>
      <c r="EP231" s="773"/>
      <c r="EQ231" s="773"/>
      <c r="ER231" s="773"/>
      <c r="ES231" s="773"/>
      <c r="ET231" s="773"/>
      <c r="EU231" s="773"/>
      <c r="EV231" s="773"/>
      <c r="EW231" s="773"/>
      <c r="EX231" s="773"/>
      <c r="EY231" s="773"/>
      <c r="EZ231" s="773"/>
      <c r="FA231" s="773"/>
      <c r="FB231" s="773"/>
      <c r="FC231" s="773"/>
      <c r="FD231" s="773"/>
      <c r="FE231" s="773"/>
      <c r="FF231" s="773"/>
      <c r="FG231" s="773"/>
      <c r="FH231" s="773"/>
      <c r="FI231" s="773"/>
      <c r="FJ231" s="773"/>
      <c r="FK231" s="773"/>
      <c r="FL231" s="773"/>
      <c r="FM231" s="773"/>
      <c r="FN231" s="773"/>
      <c r="FO231" s="773"/>
      <c r="FP231" s="773"/>
      <c r="FQ231" s="773"/>
      <c r="FR231" s="773"/>
      <c r="FS231" s="773"/>
      <c r="FT231" s="773"/>
      <c r="FU231" s="773"/>
      <c r="FV231" s="773"/>
      <c r="FW231" s="773"/>
      <c r="FX231" s="773"/>
      <c r="FY231" s="773"/>
      <c r="FZ231" s="773"/>
      <c r="GA231" s="773"/>
      <c r="GB231" s="773"/>
      <c r="GC231" s="773"/>
      <c r="GD231" s="773"/>
      <c r="GE231" s="773"/>
      <c r="GF231" s="773"/>
      <c r="GG231" s="773"/>
      <c r="GH231" s="773"/>
      <c r="GI231" s="773"/>
      <c r="GJ231" s="773"/>
      <c r="GK231" s="773"/>
      <c r="GL231" s="773"/>
      <c r="GM231" s="773"/>
      <c r="GN231" s="773"/>
      <c r="GO231" s="773"/>
      <c r="GP231" s="773"/>
      <c r="GQ231" s="773"/>
      <c r="GR231" s="773"/>
      <c r="GS231" s="773"/>
      <c r="GT231" s="773"/>
      <c r="GU231" s="773"/>
      <c r="GV231" s="773"/>
      <c r="GW231" s="773"/>
      <c r="GX231" s="773"/>
      <c r="GY231" s="773"/>
      <c r="GZ231" s="773"/>
    </row>
    <row r="232" spans="1:208" s="11" customFormat="1">
      <c r="A232" s="774"/>
      <c r="B232" s="3761"/>
      <c r="C232" s="438"/>
      <c r="D232" s="172"/>
      <c r="E232" s="809"/>
      <c r="F232" s="769"/>
      <c r="G232" s="769"/>
      <c r="H232" s="769"/>
      <c r="I232" s="769"/>
      <c r="J232" s="796"/>
      <c r="K232" s="209"/>
      <c r="L232" s="434"/>
      <c r="M232" s="819"/>
      <c r="N232" s="772"/>
      <c r="O232" s="772"/>
      <c r="P232" s="772"/>
      <c r="Q232" s="772"/>
      <c r="R232" s="772"/>
      <c r="S232" s="772"/>
      <c r="T232" s="773"/>
      <c r="AW232" s="2514"/>
      <c r="AX232" s="820"/>
      <c r="AY232" s="820"/>
      <c r="AZ232" s="820"/>
      <c r="BA232" s="30"/>
      <c r="BB232" s="30"/>
      <c r="BC232" s="2514"/>
      <c r="BD232" s="2514"/>
      <c r="BE232" s="2514"/>
      <c r="BF232" s="2514"/>
      <c r="BH232" s="2514"/>
      <c r="BI232" s="30"/>
      <c r="BJ232" s="30"/>
      <c r="BK232" s="30"/>
      <c r="BL232" s="30"/>
      <c r="BM232" s="30"/>
      <c r="BN232" s="30"/>
      <c r="BO232" s="209"/>
      <c r="BP232" s="209"/>
      <c r="BQ232" s="209"/>
      <c r="DB232" s="773"/>
      <c r="DC232" s="773"/>
      <c r="DD232" s="773"/>
      <c r="DE232" s="773"/>
      <c r="DF232" s="773"/>
      <c r="DG232" s="773"/>
      <c r="DH232" s="773"/>
      <c r="DI232" s="773"/>
      <c r="DJ232" s="773"/>
      <c r="DK232" s="773"/>
      <c r="DL232" s="773"/>
      <c r="DM232" s="773"/>
      <c r="DN232" s="773"/>
      <c r="DO232" s="773"/>
      <c r="DP232" s="773"/>
      <c r="DQ232" s="773"/>
      <c r="DR232" s="773"/>
      <c r="DS232" s="773"/>
      <c r="DT232" s="773"/>
      <c r="DU232" s="773"/>
      <c r="DV232" s="773"/>
      <c r="DW232" s="773"/>
      <c r="DX232" s="773"/>
      <c r="DY232" s="773"/>
      <c r="DZ232" s="773"/>
      <c r="EA232" s="773"/>
      <c r="EB232" s="773"/>
      <c r="EC232" s="773"/>
      <c r="ED232" s="773"/>
      <c r="EE232" s="773"/>
      <c r="EF232" s="773"/>
      <c r="EG232" s="773"/>
      <c r="EH232" s="773"/>
      <c r="EI232" s="773"/>
      <c r="EJ232" s="773"/>
      <c r="EK232" s="773"/>
      <c r="EL232" s="773"/>
      <c r="EM232" s="773"/>
      <c r="EN232" s="773"/>
      <c r="EO232" s="773"/>
      <c r="EP232" s="773"/>
      <c r="EQ232" s="773"/>
      <c r="ER232" s="773"/>
      <c r="ES232" s="773"/>
      <c r="ET232" s="773"/>
      <c r="EU232" s="773"/>
      <c r="EV232" s="773"/>
      <c r="EW232" s="773"/>
      <c r="EX232" s="773"/>
      <c r="EY232" s="773"/>
      <c r="EZ232" s="773"/>
      <c r="FA232" s="773"/>
      <c r="FB232" s="773"/>
      <c r="FC232" s="773"/>
      <c r="FD232" s="773"/>
      <c r="FE232" s="773"/>
      <c r="FF232" s="773"/>
      <c r="FG232" s="773"/>
      <c r="FH232" s="773"/>
      <c r="FI232" s="773"/>
      <c r="FJ232" s="773"/>
      <c r="FK232" s="773"/>
      <c r="FL232" s="773"/>
      <c r="FM232" s="773"/>
      <c r="FN232" s="773"/>
      <c r="FO232" s="773"/>
      <c r="FP232" s="773"/>
      <c r="FQ232" s="773"/>
      <c r="FR232" s="773"/>
      <c r="FS232" s="773"/>
      <c r="FT232" s="773"/>
      <c r="FU232" s="773"/>
      <c r="FV232" s="773"/>
      <c r="FW232" s="773"/>
      <c r="FX232" s="773"/>
      <c r="FY232" s="773"/>
      <c r="FZ232" s="773"/>
      <c r="GA232" s="773"/>
      <c r="GB232" s="773"/>
      <c r="GC232" s="773"/>
      <c r="GD232" s="773"/>
      <c r="GE232" s="773"/>
      <c r="GF232" s="773"/>
      <c r="GG232" s="773"/>
      <c r="GH232" s="773"/>
      <c r="GI232" s="773"/>
      <c r="GJ232" s="773"/>
      <c r="GK232" s="773"/>
      <c r="GL232" s="773"/>
      <c r="GM232" s="773"/>
      <c r="GN232" s="773"/>
      <c r="GO232" s="773"/>
      <c r="GP232" s="773"/>
      <c r="GQ232" s="773"/>
      <c r="GR232" s="773"/>
      <c r="GS232" s="773"/>
      <c r="GT232" s="773"/>
      <c r="GU232" s="773"/>
      <c r="GV232" s="773"/>
      <c r="GW232" s="773"/>
      <c r="GX232" s="773"/>
      <c r="GY232" s="773"/>
      <c r="GZ232" s="773"/>
    </row>
    <row r="233" spans="1:208" s="11" customFormat="1">
      <c r="A233" s="774"/>
      <c r="B233" s="3761"/>
      <c r="C233" s="438"/>
      <c r="D233" s="172"/>
      <c r="E233" s="809"/>
      <c r="F233" s="769"/>
      <c r="G233" s="769"/>
      <c r="H233" s="769"/>
      <c r="I233" s="769"/>
      <c r="J233" s="798">
        <f>SUM(E233:I233)</f>
        <v>0</v>
      </c>
      <c r="K233" s="209"/>
      <c r="L233" s="434"/>
      <c r="M233" s="819"/>
      <c r="N233" s="772"/>
      <c r="O233" s="772"/>
      <c r="P233" s="772"/>
      <c r="Q233" s="772"/>
      <c r="R233" s="772"/>
      <c r="S233" s="772"/>
      <c r="T233" s="773"/>
      <c r="AW233" s="2514"/>
      <c r="AX233" s="820"/>
      <c r="AY233" s="820"/>
      <c r="AZ233" s="820"/>
      <c r="BA233" s="30"/>
      <c r="BB233" s="30"/>
      <c r="BC233" s="2514"/>
      <c r="BD233" s="2514"/>
      <c r="BE233" s="2514"/>
      <c r="BF233" s="2514"/>
      <c r="BH233" s="2514"/>
      <c r="BI233" s="30"/>
      <c r="BJ233" s="30"/>
      <c r="BK233" s="30"/>
      <c r="BL233" s="30"/>
      <c r="BM233" s="30"/>
      <c r="BN233" s="30"/>
      <c r="BO233" s="209"/>
      <c r="BP233" s="209"/>
      <c r="BQ233" s="209"/>
      <c r="DB233" s="773"/>
      <c r="DC233" s="773"/>
      <c r="DD233" s="773"/>
      <c r="DE233" s="773"/>
      <c r="DF233" s="773"/>
      <c r="DG233" s="773"/>
      <c r="DH233" s="773"/>
      <c r="DI233" s="773"/>
      <c r="DJ233" s="773"/>
      <c r="DK233" s="773"/>
      <c r="DL233" s="773"/>
      <c r="DM233" s="773"/>
      <c r="DN233" s="773"/>
      <c r="DO233" s="773"/>
      <c r="DP233" s="773"/>
      <c r="DQ233" s="773"/>
      <c r="DR233" s="773"/>
      <c r="DS233" s="773"/>
      <c r="DT233" s="773"/>
      <c r="DU233" s="773"/>
      <c r="DV233" s="773"/>
      <c r="DW233" s="773"/>
      <c r="DX233" s="773"/>
      <c r="DY233" s="773"/>
      <c r="DZ233" s="773"/>
      <c r="EA233" s="773"/>
      <c r="EB233" s="773"/>
      <c r="EC233" s="773"/>
      <c r="ED233" s="773"/>
      <c r="EE233" s="773"/>
      <c r="EF233" s="773"/>
      <c r="EG233" s="773"/>
      <c r="EH233" s="773"/>
      <c r="EI233" s="773"/>
      <c r="EJ233" s="773"/>
      <c r="EK233" s="773"/>
      <c r="EL233" s="773"/>
      <c r="EM233" s="773"/>
      <c r="EN233" s="773"/>
      <c r="EO233" s="773"/>
      <c r="EP233" s="773"/>
      <c r="EQ233" s="773"/>
      <c r="ER233" s="773"/>
      <c r="ES233" s="773"/>
      <c r="ET233" s="773"/>
      <c r="EU233" s="773"/>
      <c r="EV233" s="773"/>
      <c r="EW233" s="773"/>
      <c r="EX233" s="773"/>
      <c r="EY233" s="773"/>
      <c r="EZ233" s="773"/>
      <c r="FA233" s="773"/>
      <c r="FB233" s="773"/>
      <c r="FC233" s="773"/>
      <c r="FD233" s="773"/>
      <c r="FE233" s="773"/>
      <c r="FF233" s="773"/>
      <c r="FG233" s="773"/>
      <c r="FH233" s="773"/>
      <c r="FI233" s="773"/>
      <c r="FJ233" s="773"/>
      <c r="FK233" s="773"/>
      <c r="FL233" s="773"/>
      <c r="FM233" s="773"/>
      <c r="FN233" s="773"/>
      <c r="FO233" s="773"/>
      <c r="FP233" s="773"/>
      <c r="FQ233" s="773"/>
      <c r="FR233" s="773"/>
      <c r="FS233" s="773"/>
      <c r="FT233" s="773"/>
      <c r="FU233" s="773"/>
      <c r="FV233" s="773"/>
      <c r="FW233" s="773"/>
      <c r="FX233" s="773"/>
      <c r="FY233" s="773"/>
      <c r="FZ233" s="773"/>
      <c r="GA233" s="773"/>
      <c r="GB233" s="773"/>
      <c r="GC233" s="773"/>
      <c r="GD233" s="773"/>
      <c r="GE233" s="773"/>
      <c r="GF233" s="773"/>
      <c r="GG233" s="773"/>
      <c r="GH233" s="773"/>
      <c r="GI233" s="773"/>
      <c r="GJ233" s="773"/>
      <c r="GK233" s="773"/>
      <c r="GL233" s="773"/>
      <c r="GM233" s="773"/>
      <c r="GN233" s="773"/>
      <c r="GO233" s="773"/>
      <c r="GP233" s="773"/>
      <c r="GQ233" s="773"/>
      <c r="GR233" s="773"/>
      <c r="GS233" s="773"/>
      <c r="GT233" s="773"/>
      <c r="GU233" s="773"/>
      <c r="GV233" s="773"/>
      <c r="GW233" s="773"/>
      <c r="GX233" s="773"/>
      <c r="GY233" s="773"/>
      <c r="GZ233" s="773"/>
    </row>
    <row r="234" spans="1:208" s="11" customFormat="1">
      <c r="A234" s="774"/>
      <c r="B234" s="3761"/>
      <c r="C234" s="942"/>
      <c r="D234" s="935"/>
      <c r="E234" s="1963">
        <f t="shared" ref="E234:J234" si="18">SUM(E231:E233)</f>
        <v>0</v>
      </c>
      <c r="F234" s="1963">
        <f t="shared" si="18"/>
        <v>0</v>
      </c>
      <c r="G234" s="1963">
        <f t="shared" si="18"/>
        <v>0</v>
      </c>
      <c r="H234" s="1963">
        <f t="shared" si="18"/>
        <v>0</v>
      </c>
      <c r="I234" s="1963">
        <f t="shared" si="18"/>
        <v>0</v>
      </c>
      <c r="J234" s="1963">
        <f t="shared" si="18"/>
        <v>0</v>
      </c>
      <c r="K234" s="209"/>
      <c r="L234" s="434"/>
      <c r="M234" s="819"/>
      <c r="N234" s="772"/>
      <c r="O234" s="772"/>
      <c r="P234" s="772"/>
      <c r="Q234" s="772"/>
      <c r="R234" s="772"/>
      <c r="S234" s="772"/>
      <c r="T234" s="773"/>
      <c r="AW234" s="2514"/>
      <c r="AX234" s="820"/>
      <c r="AY234" s="820"/>
      <c r="AZ234" s="820"/>
      <c r="BA234" s="30"/>
      <c r="BB234" s="30"/>
      <c r="BC234" s="2514"/>
      <c r="BD234" s="2514"/>
      <c r="BE234" s="2514"/>
      <c r="BF234" s="2514"/>
      <c r="BH234" s="2514"/>
      <c r="BI234" s="30"/>
      <c r="BJ234" s="30"/>
      <c r="BK234" s="30"/>
      <c r="BL234" s="30"/>
      <c r="BM234" s="30"/>
      <c r="BN234" s="786"/>
      <c r="BO234" s="209"/>
      <c r="BP234" s="209"/>
      <c r="BQ234" s="209"/>
      <c r="DB234" s="773"/>
      <c r="DC234" s="773"/>
      <c r="DD234" s="773"/>
      <c r="DE234" s="773"/>
      <c r="DF234" s="773"/>
      <c r="DG234" s="773"/>
      <c r="DH234" s="773"/>
      <c r="DI234" s="773"/>
      <c r="DJ234" s="773"/>
      <c r="DK234" s="773"/>
      <c r="DL234" s="773"/>
      <c r="DM234" s="773"/>
      <c r="DN234" s="773"/>
      <c r="DO234" s="773"/>
      <c r="DP234" s="773"/>
      <c r="DQ234" s="773"/>
      <c r="DR234" s="773"/>
      <c r="DS234" s="773"/>
      <c r="DT234" s="773"/>
      <c r="DU234" s="773"/>
      <c r="DV234" s="773"/>
      <c r="DW234" s="773"/>
      <c r="DX234" s="773"/>
      <c r="DY234" s="773"/>
      <c r="DZ234" s="773"/>
      <c r="EA234" s="773"/>
      <c r="EB234" s="773"/>
      <c r="EC234" s="773"/>
      <c r="ED234" s="773"/>
      <c r="EE234" s="773"/>
      <c r="EF234" s="773"/>
      <c r="EG234" s="773"/>
      <c r="EH234" s="773"/>
      <c r="EI234" s="773"/>
      <c r="EJ234" s="773"/>
      <c r="EK234" s="773"/>
      <c r="EL234" s="773"/>
      <c r="EM234" s="773"/>
      <c r="EN234" s="773"/>
      <c r="EO234" s="773"/>
      <c r="EP234" s="773"/>
      <c r="EQ234" s="773"/>
      <c r="ER234" s="773"/>
      <c r="ES234" s="773"/>
      <c r="ET234" s="773"/>
      <c r="EU234" s="773"/>
      <c r="EV234" s="773"/>
      <c r="EW234" s="773"/>
      <c r="EX234" s="773"/>
      <c r="EY234" s="773"/>
      <c r="EZ234" s="773"/>
      <c r="FA234" s="773"/>
      <c r="FB234" s="773"/>
      <c r="FC234" s="773"/>
      <c r="FD234" s="773"/>
      <c r="FE234" s="773"/>
      <c r="FF234" s="773"/>
      <c r="FG234" s="773"/>
      <c r="FH234" s="773"/>
      <c r="FI234" s="773"/>
      <c r="FJ234" s="773"/>
      <c r="FK234" s="773"/>
      <c r="FL234" s="773"/>
      <c r="FM234" s="773"/>
      <c r="FN234" s="773"/>
      <c r="FO234" s="773"/>
      <c r="FP234" s="773"/>
      <c r="FQ234" s="773"/>
      <c r="FR234" s="773"/>
      <c r="FS234" s="773"/>
      <c r="FT234" s="773"/>
      <c r="FU234" s="773"/>
      <c r="FV234" s="773"/>
      <c r="FW234" s="773"/>
      <c r="FX234" s="773"/>
      <c r="FY234" s="773"/>
      <c r="FZ234" s="773"/>
      <c r="GA234" s="773"/>
      <c r="GB234" s="773"/>
      <c r="GC234" s="773"/>
      <c r="GD234" s="773"/>
      <c r="GE234" s="773"/>
      <c r="GF234" s="773"/>
      <c r="GG234" s="773"/>
      <c r="GH234" s="773"/>
      <c r="GI234" s="773"/>
      <c r="GJ234" s="773"/>
      <c r="GK234" s="773"/>
      <c r="GL234" s="773"/>
      <c r="GM234" s="773"/>
      <c r="GN234" s="773"/>
      <c r="GO234" s="773"/>
      <c r="GP234" s="773"/>
      <c r="GQ234" s="773"/>
      <c r="GR234" s="773"/>
      <c r="GS234" s="773"/>
      <c r="GT234" s="773"/>
      <c r="GU234" s="773"/>
      <c r="GV234" s="773"/>
      <c r="GW234" s="773"/>
      <c r="GX234" s="773"/>
      <c r="GY234" s="773"/>
      <c r="GZ234" s="773"/>
    </row>
    <row r="235" spans="1:208" s="11" customFormat="1">
      <c r="A235" s="774"/>
      <c r="B235" s="3761"/>
      <c r="C235" s="781"/>
      <c r="D235" s="849" t="s">
        <v>280</v>
      </c>
      <c r="E235" s="827"/>
      <c r="F235" s="769"/>
      <c r="G235" s="769"/>
      <c r="H235" s="769"/>
      <c r="I235" s="769"/>
      <c r="J235" s="796"/>
      <c r="K235" s="209"/>
      <c r="L235" s="434"/>
      <c r="M235" s="819"/>
      <c r="N235" s="772"/>
      <c r="O235" s="772"/>
      <c r="P235" s="772"/>
      <c r="Q235" s="772"/>
      <c r="R235" s="772"/>
      <c r="S235" s="772"/>
      <c r="T235" s="773"/>
      <c r="AW235" s="2514"/>
      <c r="AX235" s="820"/>
      <c r="AY235" s="820"/>
      <c r="AZ235" s="820"/>
      <c r="BA235" s="30"/>
      <c r="BB235" s="30"/>
      <c r="BC235" s="2514"/>
      <c r="BD235" s="2514"/>
      <c r="BE235" s="2514"/>
      <c r="BF235" s="2514"/>
      <c r="BH235" s="2514"/>
      <c r="BI235" s="30"/>
      <c r="BJ235" s="30"/>
      <c r="BK235" s="30"/>
      <c r="BL235" s="30"/>
      <c r="BM235" s="30"/>
      <c r="BN235" s="30"/>
      <c r="BO235" s="209"/>
      <c r="BP235" s="209"/>
      <c r="BQ235" s="209"/>
      <c r="BR235" s="820"/>
      <c r="BS235" s="823"/>
      <c r="BT235" s="822"/>
      <c r="BU235" s="822"/>
      <c r="BV235" s="800"/>
      <c r="BW235" s="209"/>
      <c r="DB235" s="773"/>
      <c r="DC235" s="773"/>
      <c r="DD235" s="773"/>
      <c r="DE235" s="773"/>
      <c r="DF235" s="773"/>
      <c r="DG235" s="773"/>
      <c r="DH235" s="773"/>
      <c r="DI235" s="773"/>
      <c r="DJ235" s="773"/>
      <c r="DK235" s="773"/>
      <c r="DL235" s="773"/>
      <c r="DM235" s="773"/>
      <c r="DN235" s="773"/>
      <c r="DO235" s="773"/>
      <c r="DP235" s="773"/>
      <c r="DQ235" s="773"/>
      <c r="DR235" s="773"/>
      <c r="DS235" s="773"/>
      <c r="DT235" s="773"/>
      <c r="DU235" s="773"/>
      <c r="DV235" s="773"/>
      <c r="DW235" s="773"/>
      <c r="DX235" s="773"/>
      <c r="DY235" s="773"/>
      <c r="DZ235" s="773"/>
      <c r="EA235" s="773"/>
      <c r="EB235" s="773"/>
      <c r="EC235" s="773"/>
      <c r="ED235" s="773"/>
      <c r="EE235" s="773"/>
      <c r="EF235" s="773"/>
      <c r="EG235" s="773"/>
      <c r="EH235" s="773"/>
      <c r="EI235" s="773"/>
      <c r="EJ235" s="773"/>
      <c r="EK235" s="773"/>
      <c r="EL235" s="773"/>
      <c r="EM235" s="773"/>
      <c r="EN235" s="773"/>
      <c r="EO235" s="773"/>
      <c r="EP235" s="773"/>
      <c r="EQ235" s="773"/>
      <c r="ER235" s="773"/>
      <c r="ES235" s="773"/>
      <c r="ET235" s="773"/>
      <c r="EU235" s="773"/>
      <c r="EV235" s="773"/>
      <c r="EW235" s="773"/>
      <c r="EX235" s="773"/>
      <c r="EY235" s="773"/>
      <c r="EZ235" s="773"/>
      <c r="FA235" s="773"/>
      <c r="FB235" s="773"/>
      <c r="FC235" s="773"/>
      <c r="FD235" s="773"/>
      <c r="FE235" s="773"/>
      <c r="FF235" s="773"/>
      <c r="FG235" s="773"/>
      <c r="FH235" s="773"/>
      <c r="FI235" s="773"/>
      <c r="FJ235" s="773"/>
      <c r="FK235" s="773"/>
      <c r="FL235" s="773"/>
      <c r="FM235" s="773"/>
      <c r="FN235" s="773"/>
      <c r="FO235" s="773"/>
      <c r="FP235" s="773"/>
      <c r="FQ235" s="773"/>
      <c r="FR235" s="773"/>
      <c r="FS235" s="773"/>
      <c r="FT235" s="773"/>
      <c r="FU235" s="773"/>
      <c r="FV235" s="773"/>
      <c r="FW235" s="773"/>
      <c r="FX235" s="773"/>
      <c r="FY235" s="773"/>
      <c r="FZ235" s="773"/>
      <c r="GA235" s="773"/>
      <c r="GB235" s="773"/>
      <c r="GC235" s="773"/>
      <c r="GD235" s="773"/>
      <c r="GE235" s="773"/>
      <c r="GF235" s="773"/>
      <c r="GG235" s="773"/>
      <c r="GH235" s="773"/>
      <c r="GI235" s="773"/>
      <c r="GJ235" s="773"/>
      <c r="GK235" s="773"/>
      <c r="GL235" s="773"/>
      <c r="GM235" s="773"/>
      <c r="GN235" s="773"/>
      <c r="GO235" s="773"/>
      <c r="GP235" s="773"/>
      <c r="GQ235" s="773"/>
      <c r="GR235" s="773"/>
      <c r="GS235" s="773"/>
      <c r="GT235" s="773"/>
      <c r="GU235" s="773"/>
      <c r="GV235" s="773"/>
      <c r="GW235" s="773"/>
      <c r="GX235" s="773"/>
      <c r="GY235" s="773"/>
      <c r="GZ235" s="773"/>
    </row>
    <row r="236" spans="1:208" s="11" customFormat="1" ht="13.5" thickBot="1">
      <c r="A236" s="774"/>
      <c r="B236" s="3761"/>
      <c r="C236" s="197"/>
      <c r="D236" s="801"/>
      <c r="E236" s="42"/>
      <c r="F236" s="108"/>
      <c r="G236" s="107"/>
      <c r="H236" s="107"/>
      <c r="I236" s="107"/>
      <c r="J236" s="798"/>
      <c r="K236" s="209"/>
      <c r="L236" s="434"/>
      <c r="M236" s="771"/>
      <c r="N236" s="772"/>
      <c r="O236" s="772"/>
      <c r="P236" s="772"/>
      <c r="Q236" s="772"/>
      <c r="R236" s="772"/>
      <c r="S236" s="772"/>
      <c r="T236" s="773"/>
      <c r="AW236" s="2514"/>
      <c r="AX236" s="820"/>
      <c r="AY236" s="820"/>
      <c r="AZ236" s="820"/>
      <c r="BA236" s="30"/>
      <c r="BB236" s="30"/>
      <c r="BC236" s="2514"/>
      <c r="BD236" s="2514"/>
      <c r="BE236" s="2514"/>
      <c r="BF236" s="2514"/>
      <c r="BH236" s="2514"/>
      <c r="BI236" s="30"/>
      <c r="BJ236" s="30"/>
      <c r="BK236" s="30"/>
      <c r="BL236" s="30"/>
      <c r="BM236" s="30"/>
      <c r="BN236" s="30"/>
      <c r="BO236" s="209"/>
      <c r="BP236" s="209"/>
      <c r="BQ236" s="209"/>
      <c r="BR236" s="820"/>
      <c r="BS236" s="823"/>
      <c r="BT236" s="822"/>
      <c r="BU236" s="822"/>
      <c r="BV236" s="800"/>
      <c r="BW236" s="209"/>
      <c r="DB236" s="773"/>
      <c r="DC236" s="773"/>
      <c r="DD236" s="773"/>
      <c r="DE236" s="773"/>
      <c r="DF236" s="773"/>
      <c r="DG236" s="773"/>
      <c r="DH236" s="773"/>
      <c r="DI236" s="773"/>
      <c r="DJ236" s="773"/>
      <c r="DK236" s="773"/>
      <c r="DL236" s="773"/>
      <c r="DM236" s="773"/>
      <c r="DN236" s="773"/>
      <c r="DO236" s="773"/>
      <c r="DP236" s="773"/>
      <c r="DQ236" s="773"/>
      <c r="DR236" s="773"/>
      <c r="DS236" s="773"/>
      <c r="DT236" s="773"/>
      <c r="DU236" s="773"/>
      <c r="DV236" s="773"/>
      <c r="DW236" s="773"/>
      <c r="DX236" s="773"/>
      <c r="DY236" s="773"/>
      <c r="DZ236" s="773"/>
      <c r="EA236" s="773"/>
      <c r="EB236" s="773"/>
      <c r="EC236" s="773"/>
      <c r="ED236" s="773"/>
      <c r="EE236" s="773"/>
      <c r="EF236" s="773"/>
      <c r="EG236" s="773"/>
      <c r="EH236" s="773"/>
      <c r="EI236" s="773"/>
      <c r="EJ236" s="773"/>
      <c r="EK236" s="773"/>
      <c r="EL236" s="773"/>
      <c r="EM236" s="773"/>
      <c r="EN236" s="773"/>
      <c r="EO236" s="773"/>
      <c r="EP236" s="773"/>
      <c r="EQ236" s="773"/>
      <c r="ER236" s="773"/>
      <c r="ES236" s="773"/>
      <c r="ET236" s="773"/>
      <c r="EU236" s="773"/>
      <c r="EV236" s="773"/>
      <c r="EW236" s="773"/>
      <c r="EX236" s="773"/>
      <c r="EY236" s="773"/>
      <c r="EZ236" s="773"/>
      <c r="FA236" s="773"/>
      <c r="FB236" s="773"/>
      <c r="FC236" s="773"/>
      <c r="FD236" s="773"/>
      <c r="FE236" s="773"/>
      <c r="FF236" s="773"/>
      <c r="FG236" s="773"/>
      <c r="FH236" s="773"/>
      <c r="FI236" s="773"/>
      <c r="FJ236" s="773"/>
      <c r="FK236" s="773"/>
      <c r="FL236" s="773"/>
      <c r="FM236" s="773"/>
      <c r="FN236" s="773"/>
      <c r="FO236" s="773"/>
      <c r="FP236" s="773"/>
      <c r="FQ236" s="773"/>
      <c r="FR236" s="773"/>
      <c r="FS236" s="773"/>
      <c r="FT236" s="773"/>
      <c r="FU236" s="773"/>
      <c r="FV236" s="773"/>
      <c r="FW236" s="773"/>
      <c r="FX236" s="773"/>
      <c r="FY236" s="773"/>
      <c r="FZ236" s="773"/>
      <c r="GA236" s="773"/>
      <c r="GB236" s="773"/>
      <c r="GC236" s="773"/>
      <c r="GD236" s="773"/>
      <c r="GE236" s="773"/>
      <c r="GF236" s="773"/>
      <c r="GG236" s="773"/>
      <c r="GH236" s="773"/>
      <c r="GI236" s="773"/>
      <c r="GJ236" s="773"/>
      <c r="GK236" s="773"/>
      <c r="GL236" s="773"/>
      <c r="GM236" s="773"/>
      <c r="GN236" s="773"/>
      <c r="GO236" s="773"/>
      <c r="GP236" s="773"/>
      <c r="GQ236" s="773"/>
      <c r="GR236" s="773"/>
      <c r="GS236" s="773"/>
      <c r="GT236" s="773"/>
      <c r="GU236" s="773"/>
      <c r="GV236" s="773"/>
      <c r="GW236" s="773"/>
      <c r="GX236" s="773"/>
      <c r="GY236" s="773"/>
      <c r="GZ236" s="773"/>
    </row>
    <row r="237" spans="1:208" s="11" customFormat="1" ht="13.5" thickBot="1">
      <c r="A237" s="774"/>
      <c r="B237" s="3761" t="s">
        <v>685</v>
      </c>
      <c r="C237" s="197">
        <v>1100008</v>
      </c>
      <c r="D237" s="801" t="s">
        <v>2194</v>
      </c>
      <c r="E237" s="42">
        <f>IFERROR(VLOOKUP(C237,'AJE 12 - INC'!$D$168:$F$345,3,0),0)</f>
        <v>277680.40000000002</v>
      </c>
      <c r="F237" s="108">
        <f>SUMIF('AJE 12 - INC'!B:B,'New TB INC'!C237,'AJE 12 - INC'!D:D)</f>
        <v>0</v>
      </c>
      <c r="G237" s="107"/>
      <c r="H237" s="107"/>
      <c r="I237" s="107"/>
      <c r="J237" s="798">
        <f t="shared" ref="J237:J247" si="19">SUM(E237:I237)</f>
        <v>277680.40000000002</v>
      </c>
      <c r="K237" s="956">
        <f>SUM([79]BCG_GuidePoint!$B$8,'[125]PIVOT Q4'!$D$18,'[125]PIVOT Q4'!$D$17,117648,'[34]Income receibales'!$AA$3139)-J237</f>
        <v>-0.31662684929324314</v>
      </c>
      <c r="L237" s="434"/>
      <c r="M237" s="2504" t="s">
        <v>2880</v>
      </c>
      <c r="N237" s="772"/>
      <c r="O237" s="772"/>
      <c r="P237" s="772"/>
      <c r="Q237" s="772"/>
      <c r="R237" s="772"/>
      <c r="S237" s="772"/>
      <c r="T237" s="773"/>
      <c r="AW237" s="2514"/>
      <c r="AX237" s="820"/>
      <c r="AY237" s="820"/>
      <c r="AZ237" s="820"/>
      <c r="BA237" s="30"/>
      <c r="BB237" s="30"/>
      <c r="BC237" s="2514"/>
      <c r="BD237" s="2514"/>
      <c r="BE237" s="2514"/>
      <c r="BF237" s="2514"/>
      <c r="BH237" s="2514"/>
      <c r="BI237" s="30"/>
      <c r="BJ237" s="30"/>
      <c r="BK237" s="30"/>
      <c r="BL237" s="30"/>
      <c r="BM237" s="30"/>
      <c r="BN237" s="30"/>
      <c r="BO237" s="209"/>
      <c r="BP237" s="209"/>
      <c r="BQ237" s="209"/>
      <c r="BR237" s="820"/>
      <c r="BS237" s="823"/>
      <c r="BT237" s="822"/>
      <c r="BU237" s="822"/>
      <c r="BV237" s="800"/>
      <c r="BW237" s="209"/>
      <c r="DB237" s="773"/>
      <c r="DC237" s="773"/>
      <c r="DD237" s="773"/>
      <c r="DE237" s="773"/>
      <c r="DF237" s="773"/>
      <c r="DG237" s="773"/>
      <c r="DH237" s="773"/>
      <c r="DI237" s="773"/>
      <c r="DJ237" s="773"/>
      <c r="DK237" s="773"/>
      <c r="DL237" s="773"/>
      <c r="DM237" s="773"/>
      <c r="DN237" s="773"/>
      <c r="DO237" s="773"/>
      <c r="DP237" s="773"/>
      <c r="DQ237" s="773"/>
      <c r="DR237" s="773"/>
      <c r="DS237" s="773"/>
      <c r="DT237" s="773"/>
      <c r="DU237" s="773"/>
      <c r="DV237" s="773"/>
      <c r="DW237" s="773"/>
      <c r="DX237" s="773"/>
      <c r="DY237" s="773"/>
      <c r="DZ237" s="773"/>
      <c r="EA237" s="773"/>
      <c r="EB237" s="773"/>
      <c r="EC237" s="773"/>
      <c r="ED237" s="773"/>
      <c r="EE237" s="773"/>
      <c r="EF237" s="773"/>
      <c r="EG237" s="773"/>
      <c r="EH237" s="773"/>
      <c r="EI237" s="773"/>
      <c r="EJ237" s="773"/>
      <c r="EK237" s="773"/>
      <c r="EL237" s="773"/>
      <c r="EM237" s="773"/>
      <c r="EN237" s="773"/>
      <c r="EO237" s="773"/>
      <c r="EP237" s="773"/>
      <c r="EQ237" s="773"/>
      <c r="ER237" s="773"/>
      <c r="ES237" s="773"/>
      <c r="ET237" s="773"/>
      <c r="EU237" s="773"/>
      <c r="EV237" s="773"/>
      <c r="EW237" s="773"/>
      <c r="EX237" s="773"/>
      <c r="EY237" s="773"/>
      <c r="EZ237" s="773"/>
      <c r="FA237" s="773"/>
      <c r="FB237" s="773"/>
      <c r="FC237" s="773"/>
      <c r="FD237" s="773"/>
      <c r="FE237" s="773"/>
      <c r="FF237" s="773"/>
      <c r="FG237" s="773"/>
      <c r="FH237" s="773"/>
      <c r="FI237" s="773"/>
      <c r="FJ237" s="773"/>
      <c r="FK237" s="773"/>
      <c r="FL237" s="773"/>
      <c r="FM237" s="773"/>
      <c r="FN237" s="773"/>
      <c r="FO237" s="773"/>
      <c r="FP237" s="773"/>
      <c r="FQ237" s="773"/>
      <c r="FR237" s="773"/>
      <c r="FS237" s="773"/>
      <c r="FT237" s="773"/>
      <c r="FU237" s="773"/>
      <c r="FV237" s="773"/>
      <c r="FW237" s="773"/>
      <c r="FX237" s="773"/>
      <c r="FY237" s="773"/>
      <c r="FZ237" s="773"/>
      <c r="GA237" s="773"/>
      <c r="GB237" s="773"/>
      <c r="GC237" s="773"/>
      <c r="GD237" s="773"/>
      <c r="GE237" s="773"/>
      <c r="GF237" s="773"/>
      <c r="GG237" s="773"/>
      <c r="GH237" s="773"/>
      <c r="GI237" s="773"/>
      <c r="GJ237" s="773"/>
      <c r="GK237" s="773"/>
      <c r="GL237" s="773"/>
      <c r="GM237" s="773"/>
      <c r="GN237" s="773"/>
      <c r="GO237" s="773"/>
      <c r="GP237" s="773"/>
      <c r="GQ237" s="773"/>
      <c r="GR237" s="773"/>
      <c r="GS237" s="773"/>
      <c r="GT237" s="773"/>
      <c r="GU237" s="773"/>
      <c r="GV237" s="773"/>
      <c r="GW237" s="773"/>
      <c r="GX237" s="773"/>
      <c r="GY237" s="773"/>
      <c r="GZ237" s="773"/>
    </row>
    <row r="238" spans="1:208" s="11" customFormat="1">
      <c r="A238" s="774"/>
      <c r="B238" s="3761" t="s">
        <v>2332</v>
      </c>
      <c r="C238" s="197">
        <v>1110004</v>
      </c>
      <c r="D238" s="801" t="s">
        <v>4151</v>
      </c>
      <c r="E238" s="42">
        <f>IFERROR(VLOOKUP(C238,'AJE 12 - INC'!$D$168:$F$345,3,0),0)</f>
        <v>0</v>
      </c>
      <c r="F238" s="108">
        <f>SUMIF('AJE 12 - INC'!B:B,'New TB INC'!C238,'AJE 12 - INC'!D:D)</f>
        <v>0</v>
      </c>
      <c r="G238" s="107"/>
      <c r="H238" s="107"/>
      <c r="I238" s="107"/>
      <c r="J238" s="798">
        <f>SUM(E238:I238)</f>
        <v>0</v>
      </c>
      <c r="K238" s="209"/>
      <c r="L238" s="434"/>
      <c r="M238" s="2504"/>
      <c r="N238" s="772"/>
      <c r="O238" s="772"/>
      <c r="P238" s="772"/>
      <c r="Q238" s="772"/>
      <c r="R238" s="772"/>
      <c r="S238" s="772"/>
      <c r="T238" s="773"/>
      <c r="AW238" s="2514"/>
      <c r="AX238" s="820"/>
      <c r="AY238" s="820"/>
      <c r="AZ238" s="820"/>
      <c r="BA238" s="30"/>
      <c r="BB238" s="30"/>
      <c r="BC238" s="2514"/>
      <c r="BD238" s="2514"/>
      <c r="BE238" s="2514"/>
      <c r="BF238" s="2514"/>
      <c r="BH238" s="2514"/>
      <c r="BI238" s="30"/>
      <c r="BJ238" s="30"/>
      <c r="BK238" s="30"/>
      <c r="BL238" s="30"/>
      <c r="BM238" s="30"/>
      <c r="BN238" s="30"/>
      <c r="BO238" s="209"/>
      <c r="BP238" s="209"/>
      <c r="BQ238" s="209"/>
      <c r="BR238" s="820"/>
      <c r="BS238" s="823"/>
      <c r="BT238" s="822"/>
      <c r="BU238" s="822"/>
      <c r="BV238" s="800"/>
      <c r="BW238" s="209"/>
      <c r="DB238" s="773"/>
      <c r="DC238" s="773"/>
      <c r="DD238" s="773"/>
      <c r="DE238" s="773"/>
      <c r="DF238" s="773"/>
      <c r="DG238" s="773"/>
      <c r="DH238" s="773"/>
      <c r="DI238" s="773"/>
      <c r="DJ238" s="773"/>
      <c r="DK238" s="773"/>
      <c r="DL238" s="773"/>
      <c r="DM238" s="773"/>
      <c r="DN238" s="773"/>
      <c r="DO238" s="773"/>
      <c r="DP238" s="773"/>
      <c r="DQ238" s="773"/>
      <c r="DR238" s="773"/>
      <c r="DS238" s="773"/>
      <c r="DT238" s="773"/>
      <c r="DU238" s="773"/>
      <c r="DV238" s="773"/>
      <c r="DW238" s="773"/>
      <c r="DX238" s="773"/>
      <c r="DY238" s="773"/>
      <c r="DZ238" s="773"/>
      <c r="EA238" s="773"/>
      <c r="EB238" s="773"/>
      <c r="EC238" s="773"/>
      <c r="ED238" s="773"/>
      <c r="EE238" s="773"/>
      <c r="EF238" s="773"/>
      <c r="EG238" s="773"/>
      <c r="EH238" s="773"/>
      <c r="EI238" s="773"/>
      <c r="EJ238" s="773"/>
      <c r="EK238" s="773"/>
      <c r="EL238" s="773"/>
      <c r="EM238" s="773"/>
      <c r="EN238" s="773"/>
      <c r="EO238" s="773"/>
      <c r="EP238" s="773"/>
      <c r="EQ238" s="773"/>
      <c r="ER238" s="773"/>
      <c r="ES238" s="773"/>
      <c r="ET238" s="773"/>
      <c r="EU238" s="773"/>
      <c r="EV238" s="773"/>
      <c r="EW238" s="773"/>
      <c r="EX238" s="773"/>
      <c r="EY238" s="773"/>
      <c r="EZ238" s="773"/>
      <c r="FA238" s="773"/>
      <c r="FB238" s="773"/>
      <c r="FC238" s="773"/>
      <c r="FD238" s="773"/>
      <c r="FE238" s="773"/>
      <c r="FF238" s="773"/>
      <c r="FG238" s="773"/>
      <c r="FH238" s="773"/>
      <c r="FI238" s="773"/>
      <c r="FJ238" s="773"/>
      <c r="FK238" s="773"/>
      <c r="FL238" s="773"/>
      <c r="FM238" s="773"/>
      <c r="FN238" s="773"/>
      <c r="FO238" s="773"/>
      <c r="FP238" s="773"/>
      <c r="FQ238" s="773"/>
      <c r="FR238" s="773"/>
      <c r="FS238" s="773"/>
      <c r="FT238" s="773"/>
      <c r="FU238" s="773"/>
      <c r="FV238" s="773"/>
      <c r="FW238" s="773"/>
      <c r="FX238" s="773"/>
      <c r="FY238" s="773"/>
      <c r="FZ238" s="773"/>
      <c r="GA238" s="773"/>
      <c r="GB238" s="773"/>
      <c r="GC238" s="773"/>
      <c r="GD238" s="773"/>
      <c r="GE238" s="773"/>
      <c r="GF238" s="773"/>
      <c r="GG238" s="773"/>
      <c r="GH238" s="773"/>
      <c r="GI238" s="773"/>
      <c r="GJ238" s="773"/>
      <c r="GK238" s="773"/>
      <c r="GL238" s="773"/>
      <c r="GM238" s="773"/>
      <c r="GN238" s="773"/>
      <c r="GO238" s="773"/>
      <c r="GP238" s="773"/>
      <c r="GQ238" s="773"/>
      <c r="GR238" s="773"/>
      <c r="GS238" s="773"/>
      <c r="GT238" s="773"/>
      <c r="GU238" s="773"/>
      <c r="GV238" s="773"/>
      <c r="GW238" s="773"/>
      <c r="GX238" s="773"/>
      <c r="GY238" s="773"/>
      <c r="GZ238" s="773"/>
    </row>
    <row r="239" spans="1:208" s="11" customFormat="1" ht="13.5" thickBot="1">
      <c r="A239" s="774"/>
      <c r="B239" s="3761" t="s">
        <v>2332</v>
      </c>
      <c r="C239" s="197">
        <v>1110005</v>
      </c>
      <c r="D239" s="801" t="s">
        <v>4152</v>
      </c>
      <c r="E239" s="42">
        <f>IFERROR(VLOOKUP(C239,'AJE 12 - INC'!$D$168:$F$345,3,0),0)</f>
        <v>4191.75</v>
      </c>
      <c r="F239" s="108">
        <f>SUMIF('AJE 12 - INC'!B:B,'New TB INC'!C239,'AJE 12 - INC'!D:D)</f>
        <v>0</v>
      </c>
      <c r="G239" s="107"/>
      <c r="H239" s="107"/>
      <c r="I239" s="107"/>
      <c r="J239" s="798">
        <f>SUM(E239:I239)</f>
        <v>4191.75</v>
      </c>
      <c r="K239" s="209"/>
      <c r="L239" s="434"/>
      <c r="M239" s="2504"/>
      <c r="N239" s="772"/>
      <c r="O239" s="772"/>
      <c r="P239" s="772"/>
      <c r="Q239" s="772"/>
      <c r="R239" s="772"/>
      <c r="S239" s="772"/>
      <c r="T239" s="773"/>
      <c r="AW239" s="2514"/>
      <c r="AX239" s="820"/>
      <c r="AY239" s="820"/>
      <c r="AZ239" s="820"/>
      <c r="BA239" s="30"/>
      <c r="BB239" s="30"/>
      <c r="BC239" s="2514"/>
      <c r="BD239" s="2514"/>
      <c r="BE239" s="2514"/>
      <c r="BF239" s="2514"/>
      <c r="BH239" s="2514"/>
      <c r="BI239" s="30"/>
      <c r="BJ239" s="30"/>
      <c r="BK239" s="30"/>
      <c r="BL239" s="30"/>
      <c r="BM239" s="30"/>
      <c r="BN239" s="30"/>
      <c r="BO239" s="209"/>
      <c r="BP239" s="209"/>
      <c r="BQ239" s="209"/>
      <c r="BR239" s="820"/>
      <c r="BS239" s="823"/>
      <c r="BT239" s="822"/>
      <c r="BU239" s="822"/>
      <c r="BV239" s="800"/>
      <c r="BW239" s="209"/>
      <c r="DB239" s="773"/>
      <c r="DC239" s="773"/>
      <c r="DD239" s="773"/>
      <c r="DE239" s="773"/>
      <c r="DF239" s="773"/>
      <c r="DG239" s="773"/>
      <c r="DH239" s="773"/>
      <c r="DI239" s="773"/>
      <c r="DJ239" s="773"/>
      <c r="DK239" s="773"/>
      <c r="DL239" s="773"/>
      <c r="DM239" s="773"/>
      <c r="DN239" s="773"/>
      <c r="DO239" s="773"/>
      <c r="DP239" s="773"/>
      <c r="DQ239" s="773"/>
      <c r="DR239" s="773"/>
      <c r="DS239" s="773"/>
      <c r="DT239" s="773"/>
      <c r="DU239" s="773"/>
      <c r="DV239" s="773"/>
      <c r="DW239" s="773"/>
      <c r="DX239" s="773"/>
      <c r="DY239" s="773"/>
      <c r="DZ239" s="773"/>
      <c r="EA239" s="773"/>
      <c r="EB239" s="773"/>
      <c r="EC239" s="773"/>
      <c r="ED239" s="773"/>
      <c r="EE239" s="773"/>
      <c r="EF239" s="773"/>
      <c r="EG239" s="773"/>
      <c r="EH239" s="773"/>
      <c r="EI239" s="773"/>
      <c r="EJ239" s="773"/>
      <c r="EK239" s="773"/>
      <c r="EL239" s="773"/>
      <c r="EM239" s="773"/>
      <c r="EN239" s="773"/>
      <c r="EO239" s="773"/>
      <c r="EP239" s="773"/>
      <c r="EQ239" s="773"/>
      <c r="ER239" s="773"/>
      <c r="ES239" s="773"/>
      <c r="ET239" s="773"/>
      <c r="EU239" s="773"/>
      <c r="EV239" s="773"/>
      <c r="EW239" s="773"/>
      <c r="EX239" s="773"/>
      <c r="EY239" s="773"/>
      <c r="EZ239" s="773"/>
      <c r="FA239" s="773"/>
      <c r="FB239" s="773"/>
      <c r="FC239" s="773"/>
      <c r="FD239" s="773"/>
      <c r="FE239" s="773"/>
      <c r="FF239" s="773"/>
      <c r="FG239" s="773"/>
      <c r="FH239" s="773"/>
      <c r="FI239" s="773"/>
      <c r="FJ239" s="773"/>
      <c r="FK239" s="773"/>
      <c r="FL239" s="773"/>
      <c r="FM239" s="773"/>
      <c r="FN239" s="773"/>
      <c r="FO239" s="773"/>
      <c r="FP239" s="773"/>
      <c r="FQ239" s="773"/>
      <c r="FR239" s="773"/>
      <c r="FS239" s="773"/>
      <c r="FT239" s="773"/>
      <c r="FU239" s="773"/>
      <c r="FV239" s="773"/>
      <c r="FW239" s="773"/>
      <c r="FX239" s="773"/>
      <c r="FY239" s="773"/>
      <c r="FZ239" s="773"/>
      <c r="GA239" s="773"/>
      <c r="GB239" s="773"/>
      <c r="GC239" s="773"/>
      <c r="GD239" s="773"/>
      <c r="GE239" s="773"/>
      <c r="GF239" s="773"/>
      <c r="GG239" s="773"/>
      <c r="GH239" s="773"/>
      <c r="GI239" s="773"/>
      <c r="GJ239" s="773"/>
      <c r="GK239" s="773"/>
      <c r="GL239" s="773"/>
      <c r="GM239" s="773"/>
      <c r="GN239" s="773"/>
      <c r="GO239" s="773"/>
      <c r="GP239" s="773"/>
      <c r="GQ239" s="773"/>
      <c r="GR239" s="773"/>
      <c r="GS239" s="773"/>
      <c r="GT239" s="773"/>
      <c r="GU239" s="773"/>
      <c r="GV239" s="773"/>
      <c r="GW239" s="773"/>
      <c r="GX239" s="773"/>
      <c r="GY239" s="773"/>
      <c r="GZ239" s="773"/>
    </row>
    <row r="240" spans="1:208" s="11" customFormat="1" ht="13.5" thickBot="1">
      <c r="A240" s="774"/>
      <c r="B240" s="3761" t="s">
        <v>685</v>
      </c>
      <c r="C240" s="197">
        <v>1100089</v>
      </c>
      <c r="D240" s="801" t="s">
        <v>2180</v>
      </c>
      <c r="E240" s="42">
        <f>IFERROR(VLOOKUP(C240,'AJE 12 - INC'!$D$168:$F$345,3,0),0)</f>
        <v>0</v>
      </c>
      <c r="F240" s="108">
        <f>SUMIF('AJE 12 - INC'!B:B,'New TB INC'!C240,'AJE 12 - INC'!D:D)</f>
        <v>0</v>
      </c>
      <c r="G240" s="107"/>
      <c r="H240" s="107"/>
      <c r="I240" s="107"/>
      <c r="J240" s="798">
        <f t="shared" si="19"/>
        <v>0</v>
      </c>
      <c r="K240" s="956"/>
      <c r="L240" s="434"/>
      <c r="M240" s="2505"/>
      <c r="N240" s="772"/>
      <c r="O240" s="772"/>
      <c r="P240" s="772"/>
      <c r="Q240" s="772"/>
      <c r="R240" s="772"/>
      <c r="S240" s="772"/>
      <c r="T240" s="773"/>
      <c r="AW240" s="2514"/>
      <c r="AX240" s="820"/>
      <c r="AY240" s="820"/>
      <c r="AZ240" s="820"/>
      <c r="BA240" s="30"/>
      <c r="BB240" s="30"/>
      <c r="BC240" s="2514"/>
      <c r="BD240" s="2514"/>
      <c r="BE240" s="2514"/>
      <c r="BF240" s="2514"/>
      <c r="BH240" s="2514"/>
      <c r="BI240" s="30"/>
      <c r="BJ240" s="30"/>
      <c r="BK240" s="30"/>
      <c r="BL240" s="30"/>
      <c r="BM240" s="30"/>
      <c r="BN240" s="30"/>
      <c r="BO240" s="209"/>
      <c r="BP240" s="209"/>
      <c r="BQ240" s="209"/>
      <c r="BR240" s="820"/>
      <c r="BS240" s="823"/>
      <c r="BT240" s="822"/>
      <c r="BU240" s="822"/>
      <c r="BV240" s="800"/>
      <c r="BW240" s="209"/>
      <c r="DB240" s="773"/>
      <c r="DC240" s="773"/>
      <c r="DD240" s="773"/>
      <c r="DE240" s="773"/>
      <c r="DF240" s="773"/>
      <c r="DG240" s="773"/>
      <c r="DH240" s="773"/>
      <c r="DI240" s="773"/>
      <c r="DJ240" s="773"/>
      <c r="DK240" s="773"/>
      <c r="DL240" s="773"/>
      <c r="DM240" s="773"/>
      <c r="DN240" s="773"/>
      <c r="DO240" s="773"/>
      <c r="DP240" s="773"/>
      <c r="DQ240" s="773"/>
      <c r="DR240" s="773"/>
      <c r="DS240" s="773"/>
      <c r="DT240" s="773"/>
      <c r="DU240" s="773"/>
      <c r="DV240" s="773"/>
      <c r="DW240" s="773"/>
      <c r="DX240" s="773"/>
      <c r="DY240" s="773"/>
      <c r="DZ240" s="773"/>
      <c r="EA240" s="773"/>
      <c r="EB240" s="773"/>
      <c r="EC240" s="773"/>
      <c r="ED240" s="773"/>
      <c r="EE240" s="773"/>
      <c r="EF240" s="773"/>
      <c r="EG240" s="773"/>
      <c r="EH240" s="773"/>
      <c r="EI240" s="773"/>
      <c r="EJ240" s="773"/>
      <c r="EK240" s="773"/>
      <c r="EL240" s="773"/>
      <c r="EM240" s="773"/>
      <c r="EN240" s="773"/>
      <c r="EO240" s="773"/>
      <c r="EP240" s="773"/>
      <c r="EQ240" s="773"/>
      <c r="ER240" s="773"/>
      <c r="ES240" s="773"/>
      <c r="ET240" s="773"/>
      <c r="EU240" s="773"/>
      <c r="EV240" s="773"/>
      <c r="EW240" s="773"/>
      <c r="EX240" s="773"/>
      <c r="EY240" s="773"/>
      <c r="EZ240" s="773"/>
      <c r="FA240" s="773"/>
      <c r="FB240" s="773"/>
      <c r="FC240" s="773"/>
      <c r="FD240" s="773"/>
      <c r="FE240" s="773"/>
      <c r="FF240" s="773"/>
      <c r="FG240" s="773"/>
      <c r="FH240" s="773"/>
      <c r="FI240" s="773"/>
      <c r="FJ240" s="773"/>
      <c r="FK240" s="773"/>
      <c r="FL240" s="773"/>
      <c r="FM240" s="773"/>
      <c r="FN240" s="773"/>
      <c r="FO240" s="773"/>
      <c r="FP240" s="773"/>
      <c r="FQ240" s="773"/>
      <c r="FR240" s="773"/>
      <c r="FS240" s="773"/>
      <c r="FT240" s="773"/>
      <c r="FU240" s="773"/>
      <c r="FV240" s="773"/>
      <c r="FW240" s="773"/>
      <c r="FX240" s="773"/>
      <c r="FY240" s="773"/>
      <c r="FZ240" s="773"/>
      <c r="GA240" s="773"/>
      <c r="GB240" s="773"/>
      <c r="GC240" s="773"/>
      <c r="GD240" s="773"/>
      <c r="GE240" s="773"/>
      <c r="GF240" s="773"/>
      <c r="GG240" s="773"/>
      <c r="GH240" s="773"/>
      <c r="GI240" s="773"/>
      <c r="GJ240" s="773"/>
      <c r="GK240" s="773"/>
      <c r="GL240" s="773"/>
      <c r="GM240" s="773"/>
      <c r="GN240" s="773"/>
      <c r="GO240" s="773"/>
      <c r="GP240" s="773"/>
      <c r="GQ240" s="773"/>
      <c r="GR240" s="773"/>
      <c r="GS240" s="773"/>
      <c r="GT240" s="773"/>
      <c r="GU240" s="773"/>
      <c r="GV240" s="773"/>
      <c r="GW240" s="773"/>
      <c r="GX240" s="773"/>
      <c r="GY240" s="773"/>
      <c r="GZ240" s="773"/>
    </row>
    <row r="241" spans="1:208" s="11" customFormat="1" ht="13.5" thickBot="1">
      <c r="A241" s="774"/>
      <c r="B241" s="3761" t="s">
        <v>685</v>
      </c>
      <c r="C241" s="197">
        <v>1100001</v>
      </c>
      <c r="D241" s="801" t="s">
        <v>550</v>
      </c>
      <c r="E241" s="42">
        <f>IFERROR(VLOOKUP(C241,'AJE 12 - INC'!$D$168:$F$345,3,0),0)</f>
        <v>17360.5</v>
      </c>
      <c r="F241" s="108">
        <f>SUMIF('AJE 12 - INC'!B:B,'New TB INC'!C241,'AJE 12 - INC'!D:D)</f>
        <v>0</v>
      </c>
      <c r="G241" s="107"/>
      <c r="H241" s="107"/>
      <c r="I241" s="107"/>
      <c r="J241" s="798">
        <f t="shared" si="19"/>
        <v>17360.5</v>
      </c>
      <c r="K241" s="956">
        <f>'Prepaid expenses'!$C$19-J241</f>
        <v>-7.0099999999983993</v>
      </c>
      <c r="L241" s="434"/>
      <c r="M241" s="974" t="s">
        <v>2279</v>
      </c>
      <c r="N241" s="772"/>
      <c r="O241" s="772"/>
      <c r="P241" s="772"/>
      <c r="Q241" s="772"/>
      <c r="R241" s="772"/>
      <c r="S241" s="772"/>
      <c r="T241" s="773"/>
      <c r="AW241" s="2514"/>
      <c r="AX241" s="820"/>
      <c r="AY241" s="820"/>
      <c r="AZ241" s="820"/>
      <c r="BA241" s="30"/>
      <c r="BB241" s="30"/>
      <c r="BC241" s="2514"/>
      <c r="BD241" s="2514"/>
      <c r="BE241" s="2514"/>
      <c r="BF241" s="2514"/>
      <c r="BH241" s="2514"/>
      <c r="BI241" s="30"/>
      <c r="BJ241" s="30"/>
      <c r="BK241" s="30"/>
      <c r="BL241" s="30"/>
      <c r="BM241" s="30"/>
      <c r="BN241" s="30"/>
      <c r="BO241" s="800"/>
      <c r="BP241" s="800"/>
      <c r="BQ241" s="785"/>
      <c r="BR241" s="820"/>
      <c r="BS241" s="823"/>
      <c r="BT241" s="30"/>
      <c r="BU241" s="800"/>
      <c r="BV241" s="800"/>
      <c r="BW241" s="30"/>
      <c r="CA241" s="787"/>
      <c r="DB241" s="773"/>
      <c r="DC241" s="773"/>
      <c r="DD241" s="773"/>
      <c r="DE241" s="773"/>
      <c r="DF241" s="773"/>
      <c r="DG241" s="773"/>
      <c r="DH241" s="773"/>
      <c r="DI241" s="773"/>
      <c r="DJ241" s="773"/>
      <c r="DK241" s="773"/>
      <c r="DL241" s="773"/>
      <c r="DM241" s="773"/>
      <c r="DN241" s="773"/>
      <c r="DO241" s="773"/>
      <c r="DP241" s="773"/>
      <c r="DQ241" s="773"/>
      <c r="DR241" s="773"/>
      <c r="DS241" s="773"/>
      <c r="DT241" s="773"/>
      <c r="DU241" s="773"/>
      <c r="DV241" s="773"/>
      <c r="DW241" s="773"/>
      <c r="DX241" s="773"/>
      <c r="DY241" s="773"/>
      <c r="DZ241" s="773"/>
      <c r="EA241" s="773"/>
      <c r="EB241" s="773"/>
      <c r="EC241" s="773"/>
      <c r="ED241" s="773"/>
      <c r="EE241" s="773"/>
      <c r="EF241" s="773"/>
      <c r="EG241" s="773"/>
      <c r="EH241" s="773"/>
      <c r="EI241" s="773"/>
      <c r="EJ241" s="773"/>
      <c r="EK241" s="773"/>
      <c r="EL241" s="773"/>
      <c r="EM241" s="773"/>
      <c r="EN241" s="773"/>
      <c r="EO241" s="773"/>
      <c r="EP241" s="773"/>
      <c r="EQ241" s="773"/>
      <c r="ER241" s="773"/>
      <c r="ES241" s="773"/>
      <c r="ET241" s="773"/>
      <c r="EU241" s="773"/>
      <c r="EV241" s="773"/>
      <c r="EW241" s="773"/>
      <c r="EX241" s="773"/>
      <c r="EY241" s="773"/>
      <c r="EZ241" s="773"/>
      <c r="FA241" s="773"/>
      <c r="FB241" s="773"/>
      <c r="FC241" s="773"/>
      <c r="FD241" s="773"/>
      <c r="FE241" s="773"/>
      <c r="FF241" s="773"/>
      <c r="FG241" s="773"/>
      <c r="FH241" s="773"/>
      <c r="FI241" s="773"/>
      <c r="FJ241" s="773"/>
      <c r="FK241" s="773"/>
      <c r="FL241" s="773"/>
      <c r="FM241" s="773"/>
      <c r="FN241" s="773"/>
      <c r="FO241" s="773"/>
      <c r="FP241" s="773"/>
      <c r="FQ241" s="773"/>
      <c r="FR241" s="773"/>
      <c r="FS241" s="773"/>
      <c r="FT241" s="773"/>
      <c r="FU241" s="773"/>
      <c r="FV241" s="773"/>
      <c r="FW241" s="773"/>
      <c r="FX241" s="773"/>
      <c r="FY241" s="773"/>
      <c r="FZ241" s="773"/>
      <c r="GA241" s="773"/>
      <c r="GB241" s="773"/>
      <c r="GC241" s="773"/>
      <c r="GD241" s="773"/>
      <c r="GE241" s="773"/>
      <c r="GF241" s="773"/>
      <c r="GG241" s="773"/>
      <c r="GH241" s="773"/>
      <c r="GI241" s="773"/>
      <c r="GJ241" s="773"/>
      <c r="GK241" s="773"/>
      <c r="GL241" s="773"/>
      <c r="GM241" s="773"/>
      <c r="GN241" s="773"/>
      <c r="GO241" s="773"/>
      <c r="GP241" s="773"/>
      <c r="GQ241" s="773"/>
      <c r="GR241" s="773"/>
      <c r="GS241" s="773"/>
      <c r="GT241" s="773"/>
      <c r="GU241" s="773"/>
      <c r="GV241" s="773"/>
      <c r="GW241" s="773"/>
      <c r="GX241" s="773"/>
      <c r="GY241" s="773"/>
      <c r="GZ241" s="773"/>
    </row>
    <row r="242" spans="1:208" s="11" customFormat="1" ht="13.5" thickBot="1">
      <c r="A242" s="774"/>
      <c r="B242" s="3761" t="s">
        <v>685</v>
      </c>
      <c r="C242" s="197">
        <v>1100099</v>
      </c>
      <c r="D242" s="801" t="s">
        <v>1811</v>
      </c>
      <c r="E242" s="42">
        <f>IFERROR(VLOOKUP(C242,'AJE 12 - INC'!$D$168:$F$345,3,0),0)</f>
        <v>1010254.64</v>
      </c>
      <c r="F242" s="108">
        <f>SUMIF('AJE 12 - INC'!B:B,'New TB INC'!C242,'AJE 12 - INC'!D:D)</f>
        <v>0</v>
      </c>
      <c r="G242" s="107"/>
      <c r="H242" s="107"/>
      <c r="I242" s="107"/>
      <c r="J242" s="798">
        <f t="shared" si="19"/>
        <v>1010254.64</v>
      </c>
      <c r="K242" s="956">
        <f>-SUM('606-Prepaid Comm&amp;DR SUB'!$C$57)+'New TB INC'!J242</f>
        <v>0.86128135549370199</v>
      </c>
      <c r="L242" s="449"/>
      <c r="M242" s="771"/>
      <c r="N242" s="364"/>
      <c r="O242" s="368"/>
      <c r="P242" s="829"/>
      <c r="Q242" s="369"/>
      <c r="R242" s="772"/>
      <c r="S242" s="772"/>
      <c r="T242" s="773"/>
      <c r="AW242" s="2514"/>
      <c r="AX242" s="820"/>
      <c r="AY242" s="820"/>
      <c r="AZ242" s="820"/>
      <c r="BA242" s="30"/>
      <c r="BB242" s="30"/>
      <c r="BC242" s="2514"/>
      <c r="BD242" s="2514"/>
      <c r="BE242" s="2514"/>
      <c r="BF242" s="2514"/>
      <c r="BH242" s="2514"/>
      <c r="BI242" s="30"/>
      <c r="BJ242" s="30"/>
      <c r="BK242" s="30"/>
      <c r="BL242" s="30"/>
      <c r="BM242" s="30"/>
      <c r="BN242" s="30"/>
      <c r="BO242" s="800"/>
      <c r="BP242" s="800"/>
      <c r="BQ242" s="785"/>
      <c r="BR242" s="820"/>
      <c r="BS242" s="823"/>
      <c r="BT242" s="30"/>
      <c r="BU242" s="800"/>
      <c r="BV242" s="800"/>
      <c r="BW242" s="30"/>
      <c r="CA242" s="787"/>
      <c r="DB242" s="773"/>
      <c r="DC242" s="773"/>
      <c r="DD242" s="773"/>
      <c r="DE242" s="773"/>
      <c r="DF242" s="773"/>
      <c r="DG242" s="773"/>
      <c r="DH242" s="773"/>
      <c r="DI242" s="773"/>
      <c r="DJ242" s="773"/>
      <c r="DK242" s="773"/>
      <c r="DL242" s="773"/>
      <c r="DM242" s="773"/>
      <c r="DN242" s="773"/>
      <c r="DO242" s="773"/>
      <c r="DP242" s="773"/>
      <c r="DQ242" s="773"/>
      <c r="DR242" s="773"/>
      <c r="DS242" s="773"/>
      <c r="DT242" s="773"/>
      <c r="DU242" s="773"/>
      <c r="DV242" s="773"/>
      <c r="DW242" s="773"/>
      <c r="DX242" s="773"/>
      <c r="DY242" s="773"/>
      <c r="DZ242" s="773"/>
      <c r="EA242" s="773"/>
      <c r="EB242" s="773"/>
      <c r="EC242" s="773"/>
      <c r="ED242" s="773"/>
      <c r="EE242" s="773"/>
      <c r="EF242" s="773"/>
      <c r="EG242" s="773"/>
      <c r="EH242" s="773"/>
      <c r="EI242" s="773"/>
      <c r="EJ242" s="773"/>
      <c r="EK242" s="773"/>
      <c r="EL242" s="773"/>
      <c r="EM242" s="773"/>
      <c r="EN242" s="773"/>
      <c r="EO242" s="773"/>
      <c r="EP242" s="773"/>
      <c r="EQ242" s="773"/>
      <c r="ER242" s="773"/>
      <c r="ES242" s="773"/>
      <c r="ET242" s="773"/>
      <c r="EU242" s="773"/>
      <c r="EV242" s="773"/>
      <c r="EW242" s="773"/>
      <c r="EX242" s="773"/>
      <c r="EY242" s="773"/>
      <c r="EZ242" s="773"/>
      <c r="FA242" s="773"/>
      <c r="FB242" s="773"/>
      <c r="FC242" s="773"/>
      <c r="FD242" s="773"/>
      <c r="FE242" s="773"/>
      <c r="FF242" s="773"/>
      <c r="FG242" s="773"/>
      <c r="FH242" s="773"/>
      <c r="FI242" s="773"/>
      <c r="FJ242" s="773"/>
      <c r="FK242" s="773"/>
      <c r="FL242" s="773"/>
      <c r="FM242" s="773"/>
      <c r="FN242" s="773"/>
      <c r="FO242" s="773"/>
      <c r="FP242" s="773"/>
      <c r="FQ242" s="773"/>
      <c r="FR242" s="773"/>
      <c r="FS242" s="773"/>
      <c r="FT242" s="773"/>
      <c r="FU242" s="773"/>
      <c r="FV242" s="773"/>
      <c r="FW242" s="773"/>
      <c r="FX242" s="773"/>
      <c r="FY242" s="773"/>
      <c r="FZ242" s="773"/>
      <c r="GA242" s="773"/>
      <c r="GB242" s="773"/>
      <c r="GC242" s="773"/>
      <c r="GD242" s="773"/>
      <c r="GE242" s="773"/>
      <c r="GF242" s="773"/>
      <c r="GG242" s="773"/>
      <c r="GH242" s="773"/>
      <c r="GI242" s="773"/>
      <c r="GJ242" s="773"/>
      <c r="GK242" s="773"/>
      <c r="GL242" s="773"/>
      <c r="GM242" s="773"/>
      <c r="GN242" s="773"/>
      <c r="GO242" s="773"/>
      <c r="GP242" s="773"/>
      <c r="GQ242" s="773"/>
      <c r="GR242" s="773"/>
      <c r="GS242" s="773"/>
      <c r="GT242" s="773"/>
      <c r="GU242" s="773"/>
      <c r="GV242" s="773"/>
      <c r="GW242" s="773"/>
      <c r="GX242" s="773"/>
      <c r="GY242" s="773"/>
      <c r="GZ242" s="773"/>
    </row>
    <row r="243" spans="1:208" s="11" customFormat="1">
      <c r="A243" s="830"/>
      <c r="B243" s="3780" t="s">
        <v>797</v>
      </c>
      <c r="C243" s="197">
        <v>1110001</v>
      </c>
      <c r="D243" s="801" t="s">
        <v>798</v>
      </c>
      <c r="E243" s="42">
        <f>IFERROR(VLOOKUP(C243,'AJE 12 - INC'!$D$168:$F$345,3,0),0)</f>
        <v>0</v>
      </c>
      <c r="F243" s="108">
        <f>SUMIF('AJE 12 - INC'!B:B,'New TB INC'!C243,'AJE 12 - INC'!D:D)</f>
        <v>0</v>
      </c>
      <c r="G243" s="107"/>
      <c r="H243" s="107"/>
      <c r="I243" s="107"/>
      <c r="J243" s="798">
        <f t="shared" si="19"/>
        <v>0</v>
      </c>
      <c r="K243" s="209"/>
      <c r="L243" s="434"/>
      <c r="M243" s="805"/>
      <c r="N243" s="1244"/>
      <c r="O243" s="772"/>
      <c r="P243" s="772"/>
      <c r="Q243" s="772"/>
      <c r="R243" s="772"/>
      <c r="S243" s="772"/>
      <c r="T243" s="773"/>
      <c r="AW243" s="2514"/>
      <c r="AX243" s="820"/>
      <c r="AY243" s="820"/>
      <c r="AZ243" s="820"/>
      <c r="BA243" s="30"/>
      <c r="BB243" s="30"/>
      <c r="BC243" s="2514"/>
      <c r="BD243" s="2514"/>
      <c r="BE243" s="2514"/>
      <c r="BF243" s="2514"/>
      <c r="BH243" s="2514"/>
      <c r="BI243" s="30"/>
      <c r="BJ243" s="30"/>
      <c r="BK243" s="30"/>
      <c r="BL243" s="30"/>
      <c r="BM243" s="30"/>
      <c r="BN243" s="30"/>
      <c r="BO243" s="209"/>
      <c r="BP243" s="209"/>
      <c r="BQ243" s="209"/>
      <c r="DB243" s="773"/>
      <c r="DC243" s="773"/>
      <c r="DD243" s="773"/>
      <c r="DE243" s="773"/>
      <c r="DF243" s="773"/>
      <c r="DG243" s="773"/>
      <c r="DH243" s="773"/>
      <c r="DI243" s="773"/>
      <c r="DJ243" s="773"/>
      <c r="DK243" s="773"/>
      <c r="DL243" s="773"/>
      <c r="DM243" s="773"/>
      <c r="DN243" s="773"/>
      <c r="DO243" s="773"/>
      <c r="DP243" s="773"/>
      <c r="DQ243" s="773"/>
      <c r="DR243" s="773"/>
      <c r="DS243" s="773"/>
      <c r="DT243" s="773"/>
      <c r="DU243" s="773"/>
      <c r="DV243" s="773"/>
      <c r="DW243" s="773"/>
      <c r="DX243" s="773"/>
      <c r="DY243" s="773"/>
      <c r="DZ243" s="773"/>
      <c r="EA243" s="773"/>
      <c r="EB243" s="773"/>
      <c r="EC243" s="773"/>
      <c r="ED243" s="773"/>
      <c r="EE243" s="773"/>
      <c r="EF243" s="773"/>
      <c r="EG243" s="773"/>
      <c r="EH243" s="773"/>
      <c r="EI243" s="773"/>
      <c r="EJ243" s="773"/>
      <c r="EK243" s="773"/>
      <c r="EL243" s="773"/>
      <c r="EM243" s="773"/>
      <c r="EN243" s="773"/>
      <c r="EO243" s="773"/>
      <c r="EP243" s="773"/>
      <c r="EQ243" s="773"/>
      <c r="ER243" s="773"/>
      <c r="ES243" s="773"/>
      <c r="ET243" s="773"/>
      <c r="EU243" s="773"/>
      <c r="EV243" s="773"/>
      <c r="EW243" s="773"/>
      <c r="EX243" s="773"/>
      <c r="EY243" s="773"/>
      <c r="EZ243" s="773"/>
      <c r="FA243" s="773"/>
      <c r="FB243" s="773"/>
      <c r="FC243" s="773"/>
      <c r="FD243" s="773"/>
      <c r="FE243" s="773"/>
      <c r="FF243" s="773"/>
      <c r="FG243" s="773"/>
      <c r="FH243" s="773"/>
      <c r="FI243" s="773"/>
      <c r="FJ243" s="773"/>
      <c r="FK243" s="773"/>
      <c r="FL243" s="773"/>
      <c r="FM243" s="773"/>
      <c r="FN243" s="773"/>
      <c r="FO243" s="773"/>
      <c r="FP243" s="773"/>
      <c r="FQ243" s="773"/>
      <c r="FR243" s="773"/>
      <c r="FS243" s="773"/>
      <c r="FT243" s="773"/>
      <c r="FU243" s="773"/>
      <c r="FV243" s="773"/>
      <c r="FW243" s="773"/>
      <c r="FX243" s="773"/>
      <c r="FY243" s="773"/>
      <c r="FZ243" s="773"/>
      <c r="GA243" s="773"/>
      <c r="GB243" s="773"/>
      <c r="GC243" s="773"/>
      <c r="GD243" s="773"/>
      <c r="GE243" s="773"/>
      <c r="GF243" s="773"/>
      <c r="GG243" s="773"/>
      <c r="GH243" s="773"/>
      <c r="GI243" s="773"/>
      <c r="GJ243" s="773"/>
      <c r="GK243" s="773"/>
      <c r="GL243" s="773"/>
      <c r="GM243" s="773"/>
      <c r="GN243" s="773"/>
      <c r="GO243" s="773"/>
      <c r="GP243" s="773"/>
      <c r="GQ243" s="773"/>
      <c r="GR243" s="773"/>
      <c r="GS243" s="773"/>
      <c r="GT243" s="773"/>
      <c r="GU243" s="773"/>
      <c r="GV243" s="773"/>
      <c r="GW243" s="773"/>
      <c r="GX243" s="773"/>
      <c r="GY243" s="773"/>
      <c r="GZ243" s="773"/>
    </row>
    <row r="244" spans="1:208" s="11" customFormat="1">
      <c r="A244" s="830"/>
      <c r="B244" s="3780" t="s">
        <v>2332</v>
      </c>
      <c r="C244" s="197">
        <v>1110003</v>
      </c>
      <c r="D244" s="831" t="s">
        <v>3916</v>
      </c>
      <c r="E244" s="42">
        <f>IFERROR(VLOOKUP(C244,'AJE 12 - INC'!$D$168:$F$345,3,0),0)</f>
        <v>500</v>
      </c>
      <c r="F244" s="108">
        <f>SUMIF('AJE 12 - INC'!B:B,'New TB INC'!C244,'AJE 12 - INC'!D:D)</f>
        <v>0</v>
      </c>
      <c r="G244" s="107"/>
      <c r="H244" s="107"/>
      <c r="I244" s="107"/>
      <c r="J244" s="798">
        <f>SUM(E244:I244)</f>
        <v>500</v>
      </c>
      <c r="K244" s="209"/>
      <c r="L244" s="434"/>
      <c r="M244" s="805" t="s">
        <v>4175</v>
      </c>
      <c r="N244" s="1244"/>
      <c r="O244" s="772"/>
      <c r="P244" s="772"/>
      <c r="Q244" s="772"/>
      <c r="R244" s="772"/>
      <c r="S244" s="772"/>
      <c r="T244" s="773"/>
      <c r="AW244" s="2514"/>
      <c r="AX244" s="820"/>
      <c r="AY244" s="820"/>
      <c r="AZ244" s="820"/>
      <c r="BA244" s="30"/>
      <c r="BB244" s="30"/>
      <c r="BC244" s="2514"/>
      <c r="BD244" s="2514"/>
      <c r="BE244" s="2514"/>
      <c r="BF244" s="2514"/>
      <c r="BH244" s="2514"/>
      <c r="BI244" s="30"/>
      <c r="BJ244" s="30"/>
      <c r="BK244" s="30"/>
      <c r="BL244" s="30"/>
      <c r="BM244" s="30"/>
      <c r="BN244" s="30"/>
      <c r="BO244" s="209"/>
      <c r="BP244" s="209"/>
      <c r="BQ244" s="209"/>
      <c r="DB244" s="773"/>
      <c r="DC244" s="773"/>
      <c r="DD244" s="773"/>
      <c r="DE244" s="773"/>
      <c r="DF244" s="773"/>
      <c r="DG244" s="773"/>
      <c r="DH244" s="773"/>
      <c r="DI244" s="773"/>
      <c r="DJ244" s="773"/>
      <c r="DK244" s="773"/>
      <c r="DL244" s="773"/>
      <c r="DM244" s="773"/>
      <c r="DN244" s="773"/>
      <c r="DO244" s="773"/>
      <c r="DP244" s="773"/>
      <c r="DQ244" s="773"/>
      <c r="DR244" s="773"/>
      <c r="DS244" s="773"/>
      <c r="DT244" s="773"/>
      <c r="DU244" s="773"/>
      <c r="DV244" s="773"/>
      <c r="DW244" s="773"/>
      <c r="DX244" s="773"/>
      <c r="DY244" s="773"/>
      <c r="DZ244" s="773"/>
      <c r="EA244" s="773"/>
      <c r="EB244" s="773"/>
      <c r="EC244" s="773"/>
      <c r="ED244" s="773"/>
      <c r="EE244" s="773"/>
      <c r="EF244" s="773"/>
      <c r="EG244" s="773"/>
      <c r="EH244" s="773"/>
      <c r="EI244" s="773"/>
      <c r="EJ244" s="773"/>
      <c r="EK244" s="773"/>
      <c r="EL244" s="773"/>
      <c r="EM244" s="773"/>
      <c r="EN244" s="773"/>
      <c r="EO244" s="773"/>
      <c r="EP244" s="773"/>
      <c r="EQ244" s="773"/>
      <c r="ER244" s="773"/>
      <c r="ES244" s="773"/>
      <c r="ET244" s="773"/>
      <c r="EU244" s="773"/>
      <c r="EV244" s="773"/>
      <c r="EW244" s="773"/>
      <c r="EX244" s="773"/>
      <c r="EY244" s="773"/>
      <c r="EZ244" s="773"/>
      <c r="FA244" s="773"/>
      <c r="FB244" s="773"/>
      <c r="FC244" s="773"/>
      <c r="FD244" s="773"/>
      <c r="FE244" s="773"/>
      <c r="FF244" s="773"/>
      <c r="FG244" s="773"/>
      <c r="FH244" s="773"/>
      <c r="FI244" s="773"/>
      <c r="FJ244" s="773"/>
      <c r="FK244" s="773"/>
      <c r="FL244" s="773"/>
      <c r="FM244" s="773"/>
      <c r="FN244" s="773"/>
      <c r="FO244" s="773"/>
      <c r="FP244" s="773"/>
      <c r="FQ244" s="773"/>
      <c r="FR244" s="773"/>
      <c r="FS244" s="773"/>
      <c r="FT244" s="773"/>
      <c r="FU244" s="773"/>
      <c r="FV244" s="773"/>
      <c r="FW244" s="773"/>
      <c r="FX244" s="773"/>
      <c r="FY244" s="773"/>
      <c r="FZ244" s="773"/>
      <c r="GA244" s="773"/>
      <c r="GB244" s="773"/>
      <c r="GC244" s="773"/>
      <c r="GD244" s="773"/>
      <c r="GE244" s="773"/>
      <c r="GF244" s="773"/>
      <c r="GG244" s="773"/>
      <c r="GH244" s="773"/>
      <c r="GI244" s="773"/>
      <c r="GJ244" s="773"/>
      <c r="GK244" s="773"/>
      <c r="GL244" s="773"/>
      <c r="GM244" s="773"/>
      <c r="GN244" s="773"/>
      <c r="GO244" s="773"/>
      <c r="GP244" s="773"/>
      <c r="GQ244" s="773"/>
      <c r="GR244" s="773"/>
      <c r="GS244" s="773"/>
      <c r="GT244" s="773"/>
      <c r="GU244" s="773"/>
      <c r="GV244" s="773"/>
      <c r="GW244" s="773"/>
      <c r="GX244" s="773"/>
      <c r="GY244" s="773"/>
      <c r="GZ244" s="773"/>
    </row>
    <row r="245" spans="1:208" s="11" customFormat="1">
      <c r="A245" s="830"/>
      <c r="B245" s="3780" t="s">
        <v>797</v>
      </c>
      <c r="C245" s="197">
        <v>1110002</v>
      </c>
      <c r="D245" s="831" t="s">
        <v>1578</v>
      </c>
      <c r="E245" s="42">
        <f>IFERROR(VLOOKUP(C245,'AJE 12 - INC'!$D$168:$F$345,3,0),0)</f>
        <v>7365.59</v>
      </c>
      <c r="F245" s="108">
        <f>SUMIF('AJE 12 - INC'!B:B,'New TB INC'!C245,'AJE 12 - INC'!D:D)</f>
        <v>0</v>
      </c>
      <c r="G245" s="107"/>
      <c r="H245" s="107"/>
      <c r="I245" s="107"/>
      <c r="J245" s="798">
        <f t="shared" si="19"/>
        <v>7365.59</v>
      </c>
      <c r="K245" s="209"/>
      <c r="L245" s="434"/>
      <c r="M245" s="3085" t="s">
        <v>2325</v>
      </c>
      <c r="N245" s="1245"/>
      <c r="O245" s="772"/>
      <c r="P245" s="772"/>
      <c r="Q245" s="772"/>
      <c r="R245" s="772"/>
      <c r="S245" s="772"/>
      <c r="T245" s="773"/>
      <c r="AW245" s="2514"/>
      <c r="AX245" s="820"/>
      <c r="AY245" s="820"/>
      <c r="AZ245" s="820"/>
      <c r="BA245" s="30"/>
      <c r="BB245" s="30"/>
      <c r="BC245" s="2514"/>
      <c r="BD245" s="2514"/>
      <c r="BE245" s="2514"/>
      <c r="BF245" s="2514"/>
      <c r="BH245" s="2514"/>
      <c r="BI245" s="30"/>
      <c r="BJ245" s="30"/>
      <c r="BK245" s="30"/>
      <c r="BL245" s="30"/>
      <c r="BM245" s="30"/>
      <c r="BN245" s="30"/>
      <c r="BO245" s="209"/>
      <c r="BP245" s="209"/>
      <c r="BQ245" s="209"/>
      <c r="DB245" s="773"/>
      <c r="DC245" s="773"/>
      <c r="DD245" s="773"/>
      <c r="DE245" s="773"/>
      <c r="DF245" s="773"/>
      <c r="DG245" s="773"/>
      <c r="DH245" s="773"/>
      <c r="DI245" s="773"/>
      <c r="DJ245" s="773"/>
      <c r="DK245" s="773"/>
      <c r="DL245" s="773"/>
      <c r="DM245" s="773"/>
      <c r="DN245" s="773"/>
      <c r="DO245" s="773"/>
      <c r="DP245" s="773"/>
      <c r="DQ245" s="773"/>
      <c r="DR245" s="773"/>
      <c r="DS245" s="773"/>
      <c r="DT245" s="773"/>
      <c r="DU245" s="773"/>
      <c r="DV245" s="773"/>
      <c r="DW245" s="773"/>
      <c r="DX245" s="773"/>
      <c r="DY245" s="773"/>
      <c r="DZ245" s="773"/>
      <c r="EA245" s="773"/>
      <c r="EB245" s="773"/>
      <c r="EC245" s="773"/>
      <c r="ED245" s="773"/>
      <c r="EE245" s="773"/>
      <c r="EF245" s="773"/>
      <c r="EG245" s="773"/>
      <c r="EH245" s="773"/>
      <c r="EI245" s="773"/>
      <c r="EJ245" s="773"/>
      <c r="EK245" s="773"/>
      <c r="EL245" s="773"/>
      <c r="EM245" s="773"/>
      <c r="EN245" s="773"/>
      <c r="EO245" s="773"/>
      <c r="EP245" s="773"/>
      <c r="EQ245" s="773"/>
      <c r="ER245" s="773"/>
      <c r="ES245" s="773"/>
      <c r="ET245" s="773"/>
      <c r="EU245" s="773"/>
      <c r="EV245" s="773"/>
      <c r="EW245" s="773"/>
      <c r="EX245" s="773"/>
      <c r="EY245" s="773"/>
      <c r="EZ245" s="773"/>
      <c r="FA245" s="773"/>
      <c r="FB245" s="773"/>
      <c r="FC245" s="773"/>
      <c r="FD245" s="773"/>
      <c r="FE245" s="773"/>
      <c r="FF245" s="773"/>
      <c r="FG245" s="773"/>
      <c r="FH245" s="773"/>
      <c r="FI245" s="773"/>
      <c r="FJ245" s="773"/>
      <c r="FK245" s="773"/>
      <c r="FL245" s="773"/>
      <c r="FM245" s="773"/>
      <c r="FN245" s="773"/>
      <c r="FO245" s="773"/>
      <c r="FP245" s="773"/>
      <c r="FQ245" s="773"/>
      <c r="FR245" s="773"/>
      <c r="FS245" s="773"/>
      <c r="FT245" s="773"/>
      <c r="FU245" s="773"/>
      <c r="FV245" s="773"/>
      <c r="FW245" s="773"/>
      <c r="FX245" s="773"/>
      <c r="FY245" s="773"/>
      <c r="FZ245" s="773"/>
      <c r="GA245" s="773"/>
      <c r="GB245" s="773"/>
      <c r="GC245" s="773"/>
      <c r="GD245" s="773"/>
      <c r="GE245" s="773"/>
      <c r="GF245" s="773"/>
      <c r="GG245" s="773"/>
      <c r="GH245" s="773"/>
      <c r="GI245" s="773"/>
      <c r="GJ245" s="773"/>
      <c r="GK245" s="773"/>
      <c r="GL245" s="773"/>
      <c r="GM245" s="773"/>
      <c r="GN245" s="773"/>
      <c r="GO245" s="773"/>
      <c r="GP245" s="773"/>
      <c r="GQ245" s="773"/>
      <c r="GR245" s="773"/>
      <c r="GS245" s="773"/>
      <c r="GT245" s="773"/>
      <c r="GU245" s="773"/>
      <c r="GV245" s="773"/>
      <c r="GW245" s="773"/>
      <c r="GX245" s="773"/>
      <c r="GY245" s="773"/>
      <c r="GZ245" s="773"/>
    </row>
    <row r="246" spans="1:208" s="11" customFormat="1">
      <c r="A246" s="830"/>
      <c r="B246" s="3780" t="s">
        <v>691</v>
      </c>
      <c r="C246" s="197">
        <v>1510001</v>
      </c>
      <c r="D246" s="831" t="s">
        <v>472</v>
      </c>
      <c r="E246" s="42">
        <f>IFERROR(VLOOKUP(C246,'AJE 12 - INC'!$D$168:$F$345,3,0),0)</f>
        <v>8050</v>
      </c>
      <c r="F246" s="108">
        <f>SUMIF('AJE 12 - INC'!B:B,'New TB INC'!C246,'AJE 12 - INC'!D:D)</f>
        <v>0</v>
      </c>
      <c r="G246" s="107"/>
      <c r="H246" s="107"/>
      <c r="I246" s="107"/>
      <c r="J246" s="798">
        <f t="shared" si="19"/>
        <v>8050</v>
      </c>
      <c r="K246" s="209"/>
      <c r="L246" s="434"/>
      <c r="M246" s="805" t="s">
        <v>985</v>
      </c>
      <c r="N246" s="1244"/>
      <c r="O246" s="772"/>
      <c r="P246" s="772"/>
      <c r="Q246" s="772"/>
      <c r="R246" s="772"/>
      <c r="S246" s="772"/>
      <c r="T246" s="773"/>
      <c r="AW246" s="2514"/>
      <c r="AX246" s="820"/>
      <c r="AY246" s="820"/>
      <c r="AZ246" s="820"/>
      <c r="BA246" s="30"/>
      <c r="BB246" s="30"/>
      <c r="BC246" s="2514"/>
      <c r="BD246" s="2514"/>
      <c r="BE246" s="2514"/>
      <c r="BF246" s="2514"/>
      <c r="BH246" s="2514"/>
      <c r="BI246" s="30"/>
      <c r="BJ246" s="30"/>
      <c r="BK246" s="30"/>
      <c r="BL246" s="30"/>
      <c r="BM246" s="30"/>
      <c r="BN246" s="30"/>
      <c r="BO246" s="209"/>
      <c r="BP246" s="209"/>
      <c r="BQ246" s="209"/>
      <c r="DB246" s="773"/>
      <c r="DC246" s="773"/>
      <c r="DD246" s="773"/>
      <c r="DE246" s="773"/>
      <c r="DF246" s="773"/>
      <c r="DG246" s="773"/>
      <c r="DH246" s="773"/>
      <c r="DI246" s="773"/>
      <c r="DJ246" s="773"/>
      <c r="DK246" s="773"/>
      <c r="DL246" s="773"/>
      <c r="DM246" s="773"/>
      <c r="DN246" s="773"/>
      <c r="DO246" s="773"/>
      <c r="DP246" s="773"/>
      <c r="DQ246" s="773"/>
      <c r="DR246" s="773"/>
      <c r="DS246" s="773"/>
      <c r="DT246" s="773"/>
      <c r="DU246" s="773"/>
      <c r="DV246" s="773"/>
      <c r="DW246" s="773"/>
      <c r="DX246" s="773"/>
      <c r="DY246" s="773"/>
      <c r="DZ246" s="773"/>
      <c r="EA246" s="773"/>
      <c r="EB246" s="773"/>
      <c r="EC246" s="773"/>
      <c r="ED246" s="773"/>
      <c r="EE246" s="773"/>
      <c r="EF246" s="773"/>
      <c r="EG246" s="773"/>
      <c r="EH246" s="773"/>
      <c r="EI246" s="773"/>
      <c r="EJ246" s="773"/>
      <c r="EK246" s="773"/>
      <c r="EL246" s="773"/>
      <c r="EM246" s="773"/>
      <c r="EN246" s="773"/>
      <c r="EO246" s="773"/>
      <c r="EP246" s="773"/>
      <c r="EQ246" s="773"/>
      <c r="ER246" s="773"/>
      <c r="ES246" s="773"/>
      <c r="ET246" s="773"/>
      <c r="EU246" s="773"/>
      <c r="EV246" s="773"/>
      <c r="EW246" s="773"/>
      <c r="EX246" s="773"/>
      <c r="EY246" s="773"/>
      <c r="EZ246" s="773"/>
      <c r="FA246" s="773"/>
      <c r="FB246" s="773"/>
      <c r="FC246" s="773"/>
      <c r="FD246" s="773"/>
      <c r="FE246" s="773"/>
      <c r="FF246" s="773"/>
      <c r="FG246" s="773"/>
      <c r="FH246" s="773"/>
      <c r="FI246" s="773"/>
      <c r="FJ246" s="773"/>
      <c r="FK246" s="773"/>
      <c r="FL246" s="773"/>
      <c r="FM246" s="773"/>
      <c r="FN246" s="773"/>
      <c r="FO246" s="773"/>
      <c r="FP246" s="773"/>
      <c r="FQ246" s="773"/>
      <c r="FR246" s="773"/>
      <c r="FS246" s="773"/>
      <c r="FT246" s="773"/>
      <c r="FU246" s="773"/>
      <c r="FV246" s="773"/>
      <c r="FW246" s="773"/>
      <c r="FX246" s="773"/>
      <c r="FY246" s="773"/>
      <c r="FZ246" s="773"/>
      <c r="GA246" s="773"/>
      <c r="GB246" s="773"/>
      <c r="GC246" s="773"/>
      <c r="GD246" s="773"/>
      <c r="GE246" s="773"/>
      <c r="GF246" s="773"/>
      <c r="GG246" s="773"/>
      <c r="GH246" s="773"/>
      <c r="GI246" s="773"/>
      <c r="GJ246" s="773"/>
      <c r="GK246" s="773"/>
      <c r="GL246" s="773"/>
      <c r="GM246" s="773"/>
      <c r="GN246" s="773"/>
      <c r="GO246" s="773"/>
      <c r="GP246" s="773"/>
      <c r="GQ246" s="773"/>
      <c r="GR246" s="773"/>
      <c r="GS246" s="773"/>
      <c r="GT246" s="773"/>
      <c r="GU246" s="773"/>
      <c r="GV246" s="773"/>
      <c r="GW246" s="773"/>
      <c r="GX246" s="773"/>
      <c r="GY246" s="773"/>
      <c r="GZ246" s="773"/>
    </row>
    <row r="247" spans="1:208" s="11" customFormat="1">
      <c r="A247" s="830"/>
      <c r="B247" s="3780" t="s">
        <v>691</v>
      </c>
      <c r="C247" s="197">
        <v>1510002</v>
      </c>
      <c r="D247" s="831" t="s">
        <v>522</v>
      </c>
      <c r="E247" s="42">
        <f>IFERROR(VLOOKUP(C247,'AJE 12 - INC'!$D$168:$F$345,3,0),0)</f>
        <v>3010.08</v>
      </c>
      <c r="F247" s="108">
        <f>SUMIF('AJE 12 - INC'!B:B,'New TB INC'!C247,'AJE 12 - INC'!D:D)</f>
        <v>0</v>
      </c>
      <c r="G247" s="107"/>
      <c r="H247" s="107"/>
      <c r="I247" s="107"/>
      <c r="J247" s="798">
        <f t="shared" si="19"/>
        <v>3010.08</v>
      </c>
      <c r="K247" s="209"/>
      <c r="L247" s="434"/>
      <c r="M247" s="805" t="s">
        <v>986</v>
      </c>
      <c r="N247" s="772"/>
      <c r="O247" s="772"/>
      <c r="P247" s="772"/>
      <c r="Q247" s="772"/>
      <c r="R247" s="772"/>
      <c r="S247" s="772"/>
      <c r="T247" s="773"/>
      <c r="AW247" s="2514"/>
      <c r="AX247" s="820"/>
      <c r="AY247" s="820"/>
      <c r="AZ247" s="820"/>
      <c r="BA247" s="30"/>
      <c r="BB247" s="30"/>
      <c r="BC247" s="2514"/>
      <c r="BD247" s="2514"/>
      <c r="BE247" s="2514"/>
      <c r="BF247" s="2514"/>
      <c r="BH247" s="2514"/>
      <c r="BI247" s="30"/>
      <c r="BJ247" s="30"/>
      <c r="BK247" s="30"/>
      <c r="BL247" s="30"/>
      <c r="BM247" s="30"/>
      <c r="BN247" s="30"/>
      <c r="BO247" s="209"/>
      <c r="BP247" s="209"/>
      <c r="BQ247" s="209"/>
      <c r="DB247" s="773"/>
      <c r="DC247" s="773"/>
      <c r="DD247" s="773"/>
      <c r="DE247" s="773"/>
      <c r="DF247" s="773"/>
      <c r="DG247" s="773"/>
      <c r="DH247" s="773"/>
      <c r="DI247" s="773"/>
      <c r="DJ247" s="773"/>
      <c r="DK247" s="773"/>
      <c r="DL247" s="773"/>
      <c r="DM247" s="773"/>
      <c r="DN247" s="773"/>
      <c r="DO247" s="773"/>
      <c r="DP247" s="773"/>
      <c r="DQ247" s="773"/>
      <c r="DR247" s="773"/>
      <c r="DS247" s="773"/>
      <c r="DT247" s="773"/>
      <c r="DU247" s="773"/>
      <c r="DV247" s="773"/>
      <c r="DW247" s="773"/>
      <c r="DX247" s="773"/>
      <c r="DY247" s="773"/>
      <c r="DZ247" s="773"/>
      <c r="EA247" s="773"/>
      <c r="EB247" s="773"/>
      <c r="EC247" s="773"/>
      <c r="ED247" s="773"/>
      <c r="EE247" s="773"/>
      <c r="EF247" s="773"/>
      <c r="EG247" s="773"/>
      <c r="EH247" s="773"/>
      <c r="EI247" s="773"/>
      <c r="EJ247" s="773"/>
      <c r="EK247" s="773"/>
      <c r="EL247" s="773"/>
      <c r="EM247" s="773"/>
      <c r="EN247" s="773"/>
      <c r="EO247" s="773"/>
      <c r="EP247" s="773"/>
      <c r="EQ247" s="773"/>
      <c r="ER247" s="773"/>
      <c r="ES247" s="773"/>
      <c r="ET247" s="773"/>
      <c r="EU247" s="773"/>
      <c r="EV247" s="773"/>
      <c r="EW247" s="773"/>
      <c r="EX247" s="773"/>
      <c r="EY247" s="773"/>
      <c r="EZ247" s="773"/>
      <c r="FA247" s="773"/>
      <c r="FB247" s="773"/>
      <c r="FC247" s="773"/>
      <c r="FD247" s="773"/>
      <c r="FE247" s="773"/>
      <c r="FF247" s="773"/>
      <c r="FG247" s="773"/>
      <c r="FH247" s="773"/>
      <c r="FI247" s="773"/>
      <c r="FJ247" s="773"/>
      <c r="FK247" s="773"/>
      <c r="FL247" s="773"/>
      <c r="FM247" s="773"/>
      <c r="FN247" s="773"/>
      <c r="FO247" s="773"/>
      <c r="FP247" s="773"/>
      <c r="FQ247" s="773"/>
      <c r="FR247" s="773"/>
      <c r="FS247" s="773"/>
      <c r="FT247" s="773"/>
      <c r="FU247" s="773"/>
      <c r="FV247" s="773"/>
      <c r="FW247" s="773"/>
      <c r="FX247" s="773"/>
      <c r="FY247" s="773"/>
      <c r="FZ247" s="773"/>
      <c r="GA247" s="773"/>
      <c r="GB247" s="773"/>
      <c r="GC247" s="773"/>
      <c r="GD247" s="773"/>
      <c r="GE247" s="773"/>
      <c r="GF247" s="773"/>
      <c r="GG247" s="773"/>
      <c r="GH247" s="773"/>
      <c r="GI247" s="773"/>
      <c r="GJ247" s="773"/>
      <c r="GK247" s="773"/>
      <c r="GL247" s="773"/>
      <c r="GM247" s="773"/>
      <c r="GN247" s="773"/>
      <c r="GO247" s="773"/>
      <c r="GP247" s="773"/>
      <c r="GQ247" s="773"/>
      <c r="GR247" s="773"/>
      <c r="GS247" s="773"/>
      <c r="GT247" s="773"/>
      <c r="GU247" s="773"/>
      <c r="GV247" s="773"/>
      <c r="GW247" s="773"/>
      <c r="GX247" s="773"/>
      <c r="GY247" s="773"/>
      <c r="GZ247" s="773"/>
    </row>
    <row r="248" spans="1:208" s="11" customFormat="1">
      <c r="A248" s="830"/>
      <c r="B248" s="3780"/>
      <c r="C248" s="157"/>
      <c r="D248" s="167"/>
      <c r="E248" s="42"/>
      <c r="F248" s="42"/>
      <c r="G248" s="107"/>
      <c r="H248" s="107"/>
      <c r="I248" s="107"/>
      <c r="J248" s="798"/>
      <c r="K248" s="209"/>
      <c r="L248" s="434"/>
      <c r="M248" s="810"/>
      <c r="N248" s="772"/>
      <c r="O248" s="772"/>
      <c r="P248" s="772"/>
      <c r="Q248" s="772"/>
      <c r="R248" s="772"/>
      <c r="S248" s="772"/>
      <c r="T248" s="773"/>
      <c r="AW248" s="2514"/>
      <c r="AX248" s="820"/>
      <c r="AY248" s="820"/>
      <c r="AZ248" s="820"/>
      <c r="BA248" s="30"/>
      <c r="BB248" s="30"/>
      <c r="BC248" s="2514"/>
      <c r="BD248" s="2514"/>
      <c r="BE248" s="2514"/>
      <c r="BF248" s="2514"/>
      <c r="BH248" s="2514"/>
      <c r="BI248" s="30"/>
      <c r="BJ248" s="30"/>
      <c r="BK248" s="30"/>
      <c r="BL248" s="30"/>
      <c r="BM248" s="30"/>
      <c r="BN248" s="30"/>
      <c r="BO248" s="209"/>
      <c r="BP248" s="209"/>
      <c r="BQ248" s="209"/>
      <c r="DB248" s="773"/>
      <c r="DC248" s="773"/>
      <c r="DD248" s="773"/>
      <c r="DE248" s="773"/>
      <c r="DF248" s="773"/>
      <c r="DG248" s="773"/>
      <c r="DH248" s="773"/>
      <c r="DI248" s="773"/>
      <c r="DJ248" s="773"/>
      <c r="DK248" s="773"/>
      <c r="DL248" s="773"/>
      <c r="DM248" s="773"/>
      <c r="DN248" s="773"/>
      <c r="DO248" s="773"/>
      <c r="DP248" s="773"/>
      <c r="DQ248" s="773"/>
      <c r="DR248" s="773"/>
      <c r="DS248" s="773"/>
      <c r="DT248" s="773"/>
      <c r="DU248" s="773"/>
      <c r="DV248" s="773"/>
      <c r="DW248" s="773"/>
      <c r="DX248" s="773"/>
      <c r="DY248" s="773"/>
      <c r="DZ248" s="773"/>
      <c r="EA248" s="773"/>
      <c r="EB248" s="773"/>
      <c r="EC248" s="773"/>
      <c r="ED248" s="773"/>
      <c r="EE248" s="773"/>
      <c r="EF248" s="773"/>
      <c r="EG248" s="773"/>
      <c r="EH248" s="773"/>
      <c r="EI248" s="773"/>
      <c r="EJ248" s="773"/>
      <c r="EK248" s="773"/>
      <c r="EL248" s="773"/>
      <c r="EM248" s="773"/>
      <c r="EN248" s="773"/>
      <c r="EO248" s="773"/>
      <c r="EP248" s="773"/>
      <c r="EQ248" s="773"/>
      <c r="ER248" s="773"/>
      <c r="ES248" s="773"/>
      <c r="ET248" s="773"/>
      <c r="EU248" s="773"/>
      <c r="EV248" s="773"/>
      <c r="EW248" s="773"/>
      <c r="EX248" s="773"/>
      <c r="EY248" s="773"/>
      <c r="EZ248" s="773"/>
      <c r="FA248" s="773"/>
      <c r="FB248" s="773"/>
      <c r="FC248" s="773"/>
      <c r="FD248" s="773"/>
      <c r="FE248" s="773"/>
      <c r="FF248" s="773"/>
      <c r="FG248" s="773"/>
      <c r="FH248" s="773"/>
      <c r="FI248" s="773"/>
      <c r="FJ248" s="773"/>
      <c r="FK248" s="773"/>
      <c r="FL248" s="773"/>
      <c r="FM248" s="773"/>
      <c r="FN248" s="773"/>
      <c r="FO248" s="773"/>
      <c r="FP248" s="773"/>
      <c r="FQ248" s="773"/>
      <c r="FR248" s="773"/>
      <c r="FS248" s="773"/>
      <c r="FT248" s="773"/>
      <c r="FU248" s="773"/>
      <c r="FV248" s="773"/>
      <c r="FW248" s="773"/>
      <c r="FX248" s="773"/>
      <c r="FY248" s="773"/>
      <c r="FZ248" s="773"/>
      <c r="GA248" s="773"/>
      <c r="GB248" s="773"/>
      <c r="GC248" s="773"/>
      <c r="GD248" s="773"/>
      <c r="GE248" s="773"/>
      <c r="GF248" s="773"/>
      <c r="GG248" s="773"/>
      <c r="GH248" s="773"/>
      <c r="GI248" s="773"/>
      <c r="GJ248" s="773"/>
      <c r="GK248" s="773"/>
      <c r="GL248" s="773"/>
      <c r="GM248" s="773"/>
      <c r="GN248" s="773"/>
      <c r="GO248" s="773"/>
      <c r="GP248" s="773"/>
      <c r="GQ248" s="773"/>
      <c r="GR248" s="773"/>
      <c r="GS248" s="773"/>
      <c r="GT248" s="773"/>
      <c r="GU248" s="773"/>
      <c r="GV248" s="773"/>
      <c r="GW248" s="773"/>
      <c r="GX248" s="773"/>
      <c r="GY248" s="773"/>
      <c r="GZ248" s="773"/>
    </row>
    <row r="249" spans="1:208" s="11" customFormat="1">
      <c r="A249" s="774"/>
      <c r="B249" s="3761"/>
      <c r="C249" s="942"/>
      <c r="D249" s="935"/>
      <c r="E249" s="1963">
        <f>SUM(E236:E248)</f>
        <v>1328412.9600000002</v>
      </c>
      <c r="F249" s="1963">
        <f>SUM(F236:F248)</f>
        <v>0</v>
      </c>
      <c r="G249" s="1963">
        <f>SUM(G241:G248)</f>
        <v>0</v>
      </c>
      <c r="H249" s="1963">
        <f>SUM(H241:H248)</f>
        <v>0</v>
      </c>
      <c r="I249" s="1963">
        <f>SUM(I241:I248)</f>
        <v>0</v>
      </c>
      <c r="J249" s="1963">
        <f>SUM(J236:J248)</f>
        <v>1328412.9600000002</v>
      </c>
      <c r="K249" s="209"/>
      <c r="L249" s="434"/>
      <c r="M249" s="805"/>
      <c r="N249" s="772"/>
      <c r="O249" s="772"/>
      <c r="P249" s="772"/>
      <c r="Q249" s="772"/>
      <c r="R249" s="772"/>
      <c r="S249" s="772"/>
      <c r="T249" s="773"/>
      <c r="AW249" s="2514"/>
      <c r="AX249" s="820"/>
      <c r="AY249" s="820"/>
      <c r="AZ249" s="820"/>
      <c r="BA249" s="30"/>
      <c r="BB249" s="30"/>
      <c r="BC249" s="2514"/>
      <c r="BD249" s="2514"/>
      <c r="BE249" s="2514"/>
      <c r="BF249" s="2514"/>
      <c r="BH249" s="2514"/>
      <c r="BI249" s="30"/>
      <c r="BJ249" s="30"/>
      <c r="BK249" s="30"/>
      <c r="BL249" s="30"/>
      <c r="BM249" s="30"/>
      <c r="BN249" s="786"/>
      <c r="BO249" s="209"/>
      <c r="BP249" s="209"/>
      <c r="BQ249" s="209"/>
      <c r="DB249" s="773"/>
      <c r="DC249" s="773"/>
      <c r="DD249" s="773"/>
      <c r="DE249" s="773"/>
      <c r="DF249" s="773"/>
      <c r="DG249" s="773"/>
      <c r="DH249" s="773"/>
      <c r="DI249" s="773"/>
      <c r="DJ249" s="773"/>
      <c r="DK249" s="773"/>
      <c r="DL249" s="773"/>
      <c r="DM249" s="773"/>
      <c r="DN249" s="773"/>
      <c r="DO249" s="773"/>
      <c r="DP249" s="773"/>
      <c r="DQ249" s="773"/>
      <c r="DR249" s="773"/>
      <c r="DS249" s="773"/>
      <c r="DT249" s="773"/>
      <c r="DU249" s="773"/>
      <c r="DV249" s="773"/>
      <c r="DW249" s="773"/>
      <c r="DX249" s="773"/>
      <c r="DY249" s="773"/>
      <c r="DZ249" s="773"/>
      <c r="EA249" s="773"/>
      <c r="EB249" s="773"/>
      <c r="EC249" s="773"/>
      <c r="ED249" s="773"/>
      <c r="EE249" s="773"/>
      <c r="EF249" s="773"/>
      <c r="EG249" s="773"/>
      <c r="EH249" s="773"/>
      <c r="EI249" s="773"/>
      <c r="EJ249" s="773"/>
      <c r="EK249" s="773"/>
      <c r="EL249" s="773"/>
      <c r="EM249" s="773"/>
      <c r="EN249" s="773"/>
      <c r="EO249" s="773"/>
      <c r="EP249" s="773"/>
      <c r="EQ249" s="773"/>
      <c r="ER249" s="773"/>
      <c r="ES249" s="773"/>
      <c r="ET249" s="773"/>
      <c r="EU249" s="773"/>
      <c r="EV249" s="773"/>
      <c r="EW249" s="773"/>
      <c r="EX249" s="773"/>
      <c r="EY249" s="773"/>
      <c r="EZ249" s="773"/>
      <c r="FA249" s="773"/>
      <c r="FB249" s="773"/>
      <c r="FC249" s="773"/>
      <c r="FD249" s="773"/>
      <c r="FE249" s="773"/>
      <c r="FF249" s="773"/>
      <c r="FG249" s="773"/>
      <c r="FH249" s="773"/>
      <c r="FI249" s="773"/>
      <c r="FJ249" s="773"/>
      <c r="FK249" s="773"/>
      <c r="FL249" s="773"/>
      <c r="FM249" s="773"/>
      <c r="FN249" s="773"/>
      <c r="FO249" s="773"/>
      <c r="FP249" s="773"/>
      <c r="FQ249" s="773"/>
      <c r="FR249" s="773"/>
      <c r="FS249" s="773"/>
      <c r="FT249" s="773"/>
      <c r="FU249" s="773"/>
      <c r="FV249" s="773"/>
      <c r="FW249" s="773"/>
      <c r="FX249" s="773"/>
      <c r="FY249" s="773"/>
      <c r="FZ249" s="773"/>
      <c r="GA249" s="773"/>
      <c r="GB249" s="773"/>
      <c r="GC249" s="773"/>
      <c r="GD249" s="773"/>
      <c r="GE249" s="773"/>
      <c r="GF249" s="773"/>
      <c r="GG249" s="773"/>
      <c r="GH249" s="773"/>
      <c r="GI249" s="773"/>
      <c r="GJ249" s="773"/>
      <c r="GK249" s="773"/>
      <c r="GL249" s="773"/>
      <c r="GM249" s="773"/>
      <c r="GN249" s="773"/>
      <c r="GO249" s="773"/>
      <c r="GP249" s="773"/>
      <c r="GQ249" s="773"/>
      <c r="GR249" s="773"/>
      <c r="GS249" s="773"/>
      <c r="GT249" s="773"/>
      <c r="GU249" s="773"/>
      <c r="GV249" s="773"/>
      <c r="GW249" s="773"/>
      <c r="GX249" s="773"/>
      <c r="GY249" s="773"/>
      <c r="GZ249" s="773"/>
    </row>
    <row r="250" spans="1:208" s="11" customFormat="1">
      <c r="A250" s="774"/>
      <c r="B250" s="3761"/>
      <c r="C250" s="767"/>
      <c r="D250" s="173"/>
      <c r="E250" s="827"/>
      <c r="F250" s="769"/>
      <c r="G250" s="769"/>
      <c r="H250" s="769"/>
      <c r="I250" s="796"/>
      <c r="J250" s="796"/>
      <c r="K250" s="209"/>
      <c r="L250" s="434"/>
      <c r="M250" s="805"/>
      <c r="N250" s="772"/>
      <c r="O250" s="772"/>
      <c r="P250" s="772"/>
      <c r="Q250" s="772"/>
      <c r="R250" s="772"/>
      <c r="S250" s="772"/>
      <c r="T250" s="773"/>
      <c r="AW250" s="2514"/>
      <c r="AX250" s="820"/>
      <c r="AY250" s="820"/>
      <c r="AZ250" s="820"/>
      <c r="BA250" s="30"/>
      <c r="BB250" s="30"/>
      <c r="BC250" s="2514"/>
      <c r="BD250" s="2514"/>
      <c r="BE250" s="2514"/>
      <c r="BF250" s="2514"/>
      <c r="BH250" s="2514"/>
      <c r="BI250" s="30"/>
      <c r="BJ250" s="30"/>
      <c r="BK250" s="30"/>
      <c r="BL250" s="30"/>
      <c r="BM250" s="30"/>
      <c r="BN250" s="786"/>
      <c r="BO250" s="209"/>
      <c r="BP250" s="209"/>
      <c r="BQ250" s="209"/>
      <c r="DB250" s="773"/>
      <c r="DC250" s="773"/>
      <c r="DD250" s="773"/>
      <c r="DE250" s="773"/>
      <c r="DF250" s="773"/>
      <c r="DG250" s="773"/>
      <c r="DH250" s="773"/>
      <c r="DI250" s="773"/>
      <c r="DJ250" s="773"/>
      <c r="DK250" s="773"/>
      <c r="DL250" s="773"/>
      <c r="DM250" s="773"/>
      <c r="DN250" s="773"/>
      <c r="DO250" s="773"/>
      <c r="DP250" s="773"/>
      <c r="DQ250" s="773"/>
      <c r="DR250" s="773"/>
      <c r="DS250" s="773"/>
      <c r="DT250" s="773"/>
      <c r="DU250" s="773"/>
      <c r="DV250" s="773"/>
      <c r="DW250" s="773"/>
      <c r="DX250" s="773"/>
      <c r="DY250" s="773"/>
      <c r="DZ250" s="773"/>
      <c r="EA250" s="773"/>
      <c r="EB250" s="773"/>
      <c r="EC250" s="773"/>
      <c r="ED250" s="773"/>
      <c r="EE250" s="773"/>
      <c r="EF250" s="773"/>
      <c r="EG250" s="773"/>
      <c r="EH250" s="773"/>
      <c r="EI250" s="773"/>
      <c r="EJ250" s="773"/>
      <c r="EK250" s="773"/>
      <c r="EL250" s="773"/>
      <c r="EM250" s="773"/>
      <c r="EN250" s="773"/>
      <c r="EO250" s="773"/>
      <c r="EP250" s="773"/>
      <c r="EQ250" s="773"/>
      <c r="ER250" s="773"/>
      <c r="ES250" s="773"/>
      <c r="ET250" s="773"/>
      <c r="EU250" s="773"/>
      <c r="EV250" s="773"/>
      <c r="EW250" s="773"/>
      <c r="EX250" s="773"/>
      <c r="EY250" s="773"/>
      <c r="EZ250" s="773"/>
      <c r="FA250" s="773"/>
      <c r="FB250" s="773"/>
      <c r="FC250" s="773"/>
      <c r="FD250" s="773"/>
      <c r="FE250" s="773"/>
      <c r="FF250" s="773"/>
      <c r="FG250" s="773"/>
      <c r="FH250" s="773"/>
      <c r="FI250" s="773"/>
      <c r="FJ250" s="773"/>
      <c r="FK250" s="773"/>
      <c r="FL250" s="773"/>
      <c r="FM250" s="773"/>
      <c r="FN250" s="773"/>
      <c r="FO250" s="773"/>
      <c r="FP250" s="773"/>
      <c r="FQ250" s="773"/>
      <c r="FR250" s="773"/>
      <c r="FS250" s="773"/>
      <c r="FT250" s="773"/>
      <c r="FU250" s="773"/>
      <c r="FV250" s="773"/>
      <c r="FW250" s="773"/>
      <c r="FX250" s="773"/>
      <c r="FY250" s="773"/>
      <c r="FZ250" s="773"/>
      <c r="GA250" s="773"/>
      <c r="GB250" s="773"/>
      <c r="GC250" s="773"/>
      <c r="GD250" s="773"/>
      <c r="GE250" s="773"/>
      <c r="GF250" s="773"/>
      <c r="GG250" s="773"/>
      <c r="GH250" s="773"/>
      <c r="GI250" s="773"/>
      <c r="GJ250" s="773"/>
      <c r="GK250" s="773"/>
      <c r="GL250" s="773"/>
      <c r="GM250" s="773"/>
      <c r="GN250" s="773"/>
      <c r="GO250" s="773"/>
      <c r="GP250" s="773"/>
      <c r="GQ250" s="773"/>
      <c r="GR250" s="773"/>
      <c r="GS250" s="773"/>
      <c r="GT250" s="773"/>
      <c r="GU250" s="773"/>
      <c r="GV250" s="773"/>
      <c r="GW250" s="773"/>
      <c r="GX250" s="773"/>
      <c r="GY250" s="773"/>
      <c r="GZ250" s="773"/>
    </row>
    <row r="251" spans="1:208" s="11" customFormat="1">
      <c r="A251" s="774"/>
      <c r="B251" s="3761"/>
      <c r="C251" s="942"/>
      <c r="D251" s="935" t="s">
        <v>67</v>
      </c>
      <c r="E251" s="1963">
        <f>E249+E229+E221+E226+E213+E234+E13</f>
        <v>34621384.57</v>
      </c>
      <c r="F251" s="1963">
        <f>F249+F229+F221+F226+F213+F234</f>
        <v>0</v>
      </c>
      <c r="G251" s="1963">
        <f>G249+G229+G221+G226+G213+G234</f>
        <v>0</v>
      </c>
      <c r="H251" s="1963">
        <f>H249+H229+H221+H226+H213+H234</f>
        <v>0</v>
      </c>
      <c r="I251" s="1963">
        <f>I249+I229+I221+I226+I213+I234</f>
        <v>0</v>
      </c>
      <c r="J251" s="1963">
        <f>J249+J229+J221+J226+J213+J234+J13</f>
        <v>34621384.57</v>
      </c>
      <c r="K251" s="209"/>
      <c r="L251" s="434"/>
      <c r="M251" s="805"/>
      <c r="N251" s="772"/>
      <c r="O251" s="772"/>
      <c r="P251" s="772"/>
      <c r="Q251" s="772"/>
      <c r="R251" s="772"/>
      <c r="S251" s="772"/>
      <c r="T251" s="773"/>
      <c r="AW251" s="2514"/>
      <c r="AX251" s="820"/>
      <c r="AY251" s="820"/>
      <c r="AZ251" s="820"/>
      <c r="BA251" s="30"/>
      <c r="BB251" s="30"/>
      <c r="BC251" s="2514"/>
      <c r="BD251" s="2514"/>
      <c r="BE251" s="2514"/>
      <c r="BF251" s="2514"/>
      <c r="BH251" s="2514"/>
      <c r="BI251" s="30"/>
      <c r="BJ251" s="30"/>
      <c r="BK251" s="30"/>
      <c r="BL251" s="30"/>
      <c r="BM251" s="30"/>
      <c r="BN251" s="786"/>
      <c r="BO251" s="209"/>
      <c r="BP251" s="209"/>
      <c r="BQ251" s="209"/>
      <c r="DB251" s="773"/>
      <c r="DC251" s="773"/>
      <c r="DD251" s="773"/>
      <c r="DE251" s="773"/>
      <c r="DF251" s="773"/>
      <c r="DG251" s="773"/>
      <c r="DH251" s="773"/>
      <c r="DI251" s="773"/>
      <c r="DJ251" s="773"/>
      <c r="DK251" s="773"/>
      <c r="DL251" s="773"/>
      <c r="DM251" s="773"/>
      <c r="DN251" s="773"/>
      <c r="DO251" s="773"/>
      <c r="DP251" s="773"/>
      <c r="DQ251" s="773"/>
      <c r="DR251" s="773"/>
      <c r="DS251" s="773"/>
      <c r="DT251" s="773"/>
      <c r="DU251" s="773"/>
      <c r="DV251" s="773"/>
      <c r="DW251" s="773"/>
      <c r="DX251" s="773"/>
      <c r="DY251" s="773"/>
      <c r="DZ251" s="773"/>
      <c r="EA251" s="773"/>
      <c r="EB251" s="773"/>
      <c r="EC251" s="773"/>
      <c r="ED251" s="773"/>
      <c r="EE251" s="773"/>
      <c r="EF251" s="773"/>
      <c r="EG251" s="773"/>
      <c r="EH251" s="773"/>
      <c r="EI251" s="773"/>
      <c r="EJ251" s="773"/>
      <c r="EK251" s="773"/>
      <c r="EL251" s="773"/>
      <c r="EM251" s="773"/>
      <c r="EN251" s="773"/>
      <c r="EO251" s="773"/>
      <c r="EP251" s="773"/>
      <c r="EQ251" s="773"/>
      <c r="ER251" s="773"/>
      <c r="ES251" s="773"/>
      <c r="ET251" s="773"/>
      <c r="EU251" s="773"/>
      <c r="EV251" s="773"/>
      <c r="EW251" s="773"/>
      <c r="EX251" s="773"/>
      <c r="EY251" s="773"/>
      <c r="EZ251" s="773"/>
      <c r="FA251" s="773"/>
      <c r="FB251" s="773"/>
      <c r="FC251" s="773"/>
      <c r="FD251" s="773"/>
      <c r="FE251" s="773"/>
      <c r="FF251" s="773"/>
      <c r="FG251" s="773"/>
      <c r="FH251" s="773"/>
      <c r="FI251" s="773"/>
      <c r="FJ251" s="773"/>
      <c r="FK251" s="773"/>
      <c r="FL251" s="773"/>
      <c r="FM251" s="773"/>
      <c r="FN251" s="773"/>
      <c r="FO251" s="773"/>
      <c r="FP251" s="773"/>
      <c r="FQ251" s="773"/>
      <c r="FR251" s="773"/>
      <c r="FS251" s="773"/>
      <c r="FT251" s="773"/>
      <c r="FU251" s="773"/>
      <c r="FV251" s="773"/>
      <c r="FW251" s="773"/>
      <c r="FX251" s="773"/>
      <c r="FY251" s="773"/>
      <c r="FZ251" s="773"/>
      <c r="GA251" s="773"/>
      <c r="GB251" s="773"/>
      <c r="GC251" s="773"/>
      <c r="GD251" s="773"/>
      <c r="GE251" s="773"/>
      <c r="GF251" s="773"/>
      <c r="GG251" s="773"/>
      <c r="GH251" s="773"/>
      <c r="GI251" s="773"/>
      <c r="GJ251" s="773"/>
      <c r="GK251" s="773"/>
      <c r="GL251" s="773"/>
      <c r="GM251" s="773"/>
      <c r="GN251" s="773"/>
      <c r="GO251" s="773"/>
      <c r="GP251" s="773"/>
      <c r="GQ251" s="773"/>
      <c r="GR251" s="773"/>
      <c r="GS251" s="773"/>
      <c r="GT251" s="773"/>
      <c r="GU251" s="773"/>
      <c r="GV251" s="773"/>
      <c r="GW251" s="773"/>
      <c r="GX251" s="773"/>
      <c r="GY251" s="773"/>
      <c r="GZ251" s="773"/>
    </row>
    <row r="252" spans="1:208" s="11" customFormat="1" ht="13.5" thickBot="1">
      <c r="A252" s="774"/>
      <c r="B252" s="3761"/>
      <c r="C252" s="767"/>
      <c r="D252" s="173"/>
      <c r="E252" s="796"/>
      <c r="F252" s="796"/>
      <c r="G252" s="796"/>
      <c r="H252" s="796"/>
      <c r="I252" s="796"/>
      <c r="J252" s="796"/>
      <c r="K252" s="209"/>
      <c r="L252" s="434"/>
      <c r="M252" s="805"/>
      <c r="N252" s="772"/>
      <c r="O252" s="772"/>
      <c r="P252" s="772"/>
      <c r="Q252" s="772"/>
      <c r="R252" s="772"/>
      <c r="S252" s="772"/>
      <c r="T252" s="773"/>
      <c r="AW252" s="2514"/>
      <c r="AX252" s="820"/>
      <c r="AY252" s="820"/>
      <c r="AZ252" s="820"/>
      <c r="BA252" s="30"/>
      <c r="BB252" s="30"/>
      <c r="BC252" s="2514"/>
      <c r="BD252" s="2514"/>
      <c r="BE252" s="2514"/>
      <c r="BF252" s="2514"/>
      <c r="BH252" s="2514"/>
      <c r="BI252" s="30"/>
      <c r="BJ252" s="30"/>
      <c r="BK252" s="30"/>
      <c r="BL252" s="30"/>
      <c r="BM252" s="30"/>
      <c r="BN252" s="786"/>
      <c r="BO252" s="209"/>
      <c r="BP252" s="209"/>
      <c r="BQ252" s="209"/>
      <c r="DB252" s="773"/>
      <c r="DC252" s="773"/>
      <c r="DD252" s="773"/>
      <c r="DE252" s="773"/>
      <c r="DF252" s="773"/>
      <c r="DG252" s="773"/>
      <c r="DH252" s="773"/>
      <c r="DI252" s="773"/>
      <c r="DJ252" s="773"/>
      <c r="DK252" s="773"/>
      <c r="DL252" s="773"/>
      <c r="DM252" s="773"/>
      <c r="DN252" s="773"/>
      <c r="DO252" s="773"/>
      <c r="DP252" s="773"/>
      <c r="DQ252" s="773"/>
      <c r="DR252" s="773"/>
      <c r="DS252" s="773"/>
      <c r="DT252" s="773"/>
      <c r="DU252" s="773"/>
      <c r="DV252" s="773"/>
      <c r="DW252" s="773"/>
      <c r="DX252" s="773"/>
      <c r="DY252" s="773"/>
      <c r="DZ252" s="773"/>
      <c r="EA252" s="773"/>
      <c r="EB252" s="773"/>
      <c r="EC252" s="773"/>
      <c r="ED252" s="773"/>
      <c r="EE252" s="773"/>
      <c r="EF252" s="773"/>
      <c r="EG252" s="773"/>
      <c r="EH252" s="773"/>
      <c r="EI252" s="773"/>
      <c r="EJ252" s="773"/>
      <c r="EK252" s="773"/>
      <c r="EL252" s="773"/>
      <c r="EM252" s="773"/>
      <c r="EN252" s="773"/>
      <c r="EO252" s="773"/>
      <c r="EP252" s="773"/>
      <c r="EQ252" s="773"/>
      <c r="ER252" s="773"/>
      <c r="ES252" s="773"/>
      <c r="ET252" s="773"/>
      <c r="EU252" s="773"/>
      <c r="EV252" s="773"/>
      <c r="EW252" s="773"/>
      <c r="EX252" s="773"/>
      <c r="EY252" s="773"/>
      <c r="EZ252" s="773"/>
      <c r="FA252" s="773"/>
      <c r="FB252" s="773"/>
      <c r="FC252" s="773"/>
      <c r="FD252" s="773"/>
      <c r="FE252" s="773"/>
      <c r="FF252" s="773"/>
      <c r="FG252" s="773"/>
      <c r="FH252" s="773"/>
      <c r="FI252" s="773"/>
      <c r="FJ252" s="773"/>
      <c r="FK252" s="773"/>
      <c r="FL252" s="773"/>
      <c r="FM252" s="773"/>
      <c r="FN252" s="773"/>
      <c r="FO252" s="773"/>
      <c r="FP252" s="773"/>
      <c r="FQ252" s="773"/>
      <c r="FR252" s="773"/>
      <c r="FS252" s="773"/>
      <c r="FT252" s="773"/>
      <c r="FU252" s="773"/>
      <c r="FV252" s="773"/>
      <c r="FW252" s="773"/>
      <c r="FX252" s="773"/>
      <c r="FY252" s="773"/>
      <c r="FZ252" s="773"/>
      <c r="GA252" s="773"/>
      <c r="GB252" s="773"/>
      <c r="GC252" s="773"/>
      <c r="GD252" s="773"/>
      <c r="GE252" s="773"/>
      <c r="GF252" s="773"/>
      <c r="GG252" s="773"/>
      <c r="GH252" s="773"/>
      <c r="GI252" s="773"/>
      <c r="GJ252" s="773"/>
      <c r="GK252" s="773"/>
      <c r="GL252" s="773"/>
      <c r="GM252" s="773"/>
      <c r="GN252" s="773"/>
      <c r="GO252" s="773"/>
      <c r="GP252" s="773"/>
      <c r="GQ252" s="773"/>
      <c r="GR252" s="773"/>
      <c r="GS252" s="773"/>
      <c r="GT252" s="773"/>
      <c r="GU252" s="773"/>
      <c r="GV252" s="773"/>
      <c r="GW252" s="773"/>
      <c r="GX252" s="773"/>
      <c r="GY252" s="773"/>
      <c r="GZ252" s="773"/>
    </row>
    <row r="253" spans="1:208" s="11" customFormat="1" ht="13.5" thickBot="1">
      <c r="A253" s="774"/>
      <c r="B253" s="3761"/>
      <c r="C253" s="848"/>
      <c r="D253" s="927" t="s">
        <v>68</v>
      </c>
      <c r="E253" s="796"/>
      <c r="F253" s="769"/>
      <c r="G253" s="769"/>
      <c r="H253" s="769"/>
      <c r="I253" s="769"/>
      <c r="J253" s="796"/>
      <c r="K253" s="209"/>
      <c r="L253" s="434"/>
      <c r="M253" s="805"/>
      <c r="N253" s="772"/>
      <c r="O253" s="772"/>
      <c r="P253" s="772"/>
      <c r="Q253" s="772"/>
      <c r="R253" s="772"/>
      <c r="S253" s="772"/>
      <c r="T253" s="773"/>
      <c r="AW253" s="2510"/>
      <c r="AX253" s="820"/>
      <c r="AY253" s="820"/>
      <c r="AZ253" s="820"/>
      <c r="BC253" s="2510"/>
      <c r="BD253" s="2510"/>
      <c r="BE253" s="2510"/>
      <c r="BF253" s="2510"/>
      <c r="BH253" s="2510"/>
      <c r="BN253" s="30"/>
      <c r="BO253" s="209"/>
      <c r="BP253" s="209"/>
      <c r="BQ253" s="209"/>
      <c r="DB253" s="773"/>
      <c r="DC253" s="773"/>
      <c r="DD253" s="773"/>
      <c r="DE253" s="773"/>
      <c r="DF253" s="773"/>
      <c r="DG253" s="773"/>
      <c r="DH253" s="773"/>
      <c r="DI253" s="773"/>
      <c r="DJ253" s="773"/>
      <c r="DK253" s="773"/>
      <c r="DL253" s="773"/>
      <c r="DM253" s="773"/>
      <c r="DN253" s="773"/>
      <c r="DO253" s="773"/>
      <c r="DP253" s="773"/>
      <c r="DQ253" s="773"/>
      <c r="DR253" s="773"/>
      <c r="DS253" s="773"/>
      <c r="DT253" s="773"/>
      <c r="DU253" s="773"/>
      <c r="DV253" s="773"/>
      <c r="DW253" s="773"/>
      <c r="DX253" s="773"/>
      <c r="DY253" s="773"/>
      <c r="DZ253" s="773"/>
      <c r="EA253" s="773"/>
      <c r="EB253" s="773"/>
      <c r="EC253" s="773"/>
      <c r="ED253" s="773"/>
      <c r="EE253" s="773"/>
      <c r="EF253" s="773"/>
      <c r="EG253" s="773"/>
      <c r="EH253" s="773"/>
      <c r="EI253" s="773"/>
      <c r="EJ253" s="773"/>
      <c r="EK253" s="773"/>
      <c r="EL253" s="773"/>
      <c r="EM253" s="773"/>
      <c r="EN253" s="773"/>
      <c r="EO253" s="773"/>
      <c r="EP253" s="773"/>
      <c r="EQ253" s="773"/>
      <c r="ER253" s="773"/>
      <c r="ES253" s="773"/>
      <c r="ET253" s="773"/>
      <c r="EU253" s="773"/>
      <c r="EV253" s="773"/>
      <c r="EW253" s="773"/>
      <c r="EX253" s="773"/>
      <c r="EY253" s="773"/>
      <c r="EZ253" s="773"/>
      <c r="FA253" s="773"/>
      <c r="FB253" s="773"/>
      <c r="FC253" s="773"/>
      <c r="FD253" s="773"/>
      <c r="FE253" s="773"/>
      <c r="FF253" s="773"/>
      <c r="FG253" s="773"/>
      <c r="FH253" s="773"/>
      <c r="FI253" s="773"/>
      <c r="FJ253" s="773"/>
      <c r="FK253" s="773"/>
      <c r="FL253" s="773"/>
      <c r="FM253" s="773"/>
      <c r="FN253" s="773"/>
      <c r="FO253" s="773"/>
      <c r="FP253" s="773"/>
      <c r="FQ253" s="773"/>
      <c r="FR253" s="773"/>
      <c r="FS253" s="773"/>
      <c r="FT253" s="773"/>
      <c r="FU253" s="773"/>
      <c r="FV253" s="773"/>
      <c r="FW253" s="773"/>
      <c r="FX253" s="773"/>
      <c r="FY253" s="773"/>
      <c r="FZ253" s="773"/>
      <c r="GA253" s="773"/>
      <c r="GB253" s="773"/>
      <c r="GC253" s="773"/>
      <c r="GD253" s="773"/>
      <c r="GE253" s="773"/>
      <c r="GF253" s="773"/>
      <c r="GG253" s="773"/>
      <c r="GH253" s="773"/>
      <c r="GI253" s="773"/>
      <c r="GJ253" s="773"/>
      <c r="GK253" s="773"/>
      <c r="GL253" s="773"/>
      <c r="GM253" s="773"/>
      <c r="GN253" s="773"/>
      <c r="GO253" s="773"/>
      <c r="GP253" s="773"/>
      <c r="GQ253" s="773"/>
      <c r="GR253" s="773"/>
      <c r="GS253" s="773"/>
      <c r="GT253" s="773"/>
      <c r="GU253" s="773"/>
      <c r="GV253" s="773"/>
      <c r="GW253" s="773"/>
      <c r="GX253" s="773"/>
      <c r="GY253" s="773"/>
      <c r="GZ253" s="773"/>
    </row>
    <row r="254" spans="1:208" s="11" customFormat="1">
      <c r="A254" s="774"/>
      <c r="B254" s="3761"/>
      <c r="C254" s="781"/>
      <c r="D254" s="849" t="s">
        <v>69</v>
      </c>
      <c r="E254" s="796"/>
      <c r="F254" s="108">
        <f>SUMIF('AJE 12 - INC'!B:B,'New TB INC'!C254,'AJE 12 - INC'!D:D)</f>
        <v>0</v>
      </c>
      <c r="G254" s="769"/>
      <c r="H254" s="769"/>
      <c r="I254" s="769"/>
      <c r="J254" s="798"/>
      <c r="K254" s="209"/>
      <c r="L254" s="434"/>
      <c r="M254" s="805"/>
      <c r="N254" s="772"/>
      <c r="O254" s="772"/>
      <c r="P254" s="772"/>
      <c r="Q254" s="772"/>
      <c r="R254" s="772"/>
      <c r="S254" s="772"/>
      <c r="T254" s="773"/>
      <c r="V254" s="209"/>
      <c r="W254" s="209"/>
      <c r="X254" s="209"/>
      <c r="Y254" s="209"/>
      <c r="Z254" s="209"/>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510"/>
      <c r="AX254" s="820"/>
      <c r="AY254" s="820"/>
      <c r="AZ254" s="820"/>
      <c r="BC254" s="2510"/>
      <c r="BD254" s="2510"/>
      <c r="BE254" s="2510"/>
      <c r="BF254" s="2510"/>
      <c r="BH254" s="2510"/>
      <c r="BN254" s="30"/>
      <c r="BO254" s="209"/>
      <c r="BP254" s="209"/>
      <c r="BQ254" s="209"/>
      <c r="DB254" s="773"/>
      <c r="DC254" s="773"/>
      <c r="DD254" s="773"/>
      <c r="DE254" s="773"/>
      <c r="DF254" s="773"/>
      <c r="DG254" s="773"/>
      <c r="DH254" s="773"/>
      <c r="DI254" s="773"/>
      <c r="DJ254" s="773"/>
      <c r="DK254" s="773"/>
      <c r="DL254" s="773"/>
      <c r="DM254" s="773"/>
      <c r="DN254" s="773"/>
      <c r="DO254" s="773"/>
      <c r="DP254" s="773"/>
      <c r="DQ254" s="773"/>
      <c r="DR254" s="773"/>
      <c r="DS254" s="773"/>
      <c r="DT254" s="773"/>
      <c r="DU254" s="773"/>
      <c r="DV254" s="773"/>
      <c r="DW254" s="773"/>
      <c r="DX254" s="773"/>
      <c r="DY254" s="773"/>
      <c r="DZ254" s="773"/>
      <c r="EA254" s="773"/>
      <c r="EB254" s="773"/>
      <c r="EC254" s="773"/>
      <c r="ED254" s="773"/>
      <c r="EE254" s="773"/>
      <c r="EF254" s="773"/>
      <c r="EG254" s="773"/>
      <c r="EH254" s="773"/>
      <c r="EI254" s="773"/>
      <c r="EJ254" s="773"/>
      <c r="EK254" s="773"/>
      <c r="EL254" s="773"/>
      <c r="EM254" s="773"/>
      <c r="EN254" s="773"/>
      <c r="EO254" s="773"/>
      <c r="EP254" s="773"/>
      <c r="EQ254" s="773"/>
      <c r="ER254" s="773"/>
      <c r="ES254" s="773"/>
      <c r="ET254" s="773"/>
      <c r="EU254" s="773"/>
      <c r="EV254" s="773"/>
      <c r="EW254" s="773"/>
      <c r="EX254" s="773"/>
      <c r="EY254" s="773"/>
      <c r="EZ254" s="773"/>
      <c r="FA254" s="773"/>
      <c r="FB254" s="773"/>
      <c r="FC254" s="773"/>
      <c r="FD254" s="773"/>
      <c r="FE254" s="773"/>
      <c r="FF254" s="773"/>
      <c r="FG254" s="773"/>
      <c r="FH254" s="773"/>
      <c r="FI254" s="773"/>
      <c r="FJ254" s="773"/>
      <c r="FK254" s="773"/>
      <c r="FL254" s="773"/>
      <c r="FM254" s="773"/>
      <c r="FN254" s="773"/>
      <c r="FO254" s="773"/>
      <c r="FP254" s="773"/>
      <c r="FQ254" s="773"/>
      <c r="FR254" s="773"/>
      <c r="FS254" s="773"/>
      <c r="FT254" s="773"/>
      <c r="FU254" s="773"/>
      <c r="FV254" s="773"/>
      <c r="FW254" s="773"/>
      <c r="FX254" s="773"/>
      <c r="FY254" s="773"/>
      <c r="FZ254" s="773"/>
      <c r="GA254" s="773"/>
      <c r="GB254" s="773"/>
      <c r="GC254" s="773"/>
      <c r="GD254" s="773"/>
      <c r="GE254" s="773"/>
      <c r="GF254" s="773"/>
      <c r="GG254" s="773"/>
      <c r="GH254" s="773"/>
      <c r="GI254" s="773"/>
      <c r="GJ254" s="773"/>
      <c r="GK254" s="773"/>
      <c r="GL254" s="773"/>
      <c r="GM254" s="773"/>
      <c r="GN254" s="773"/>
      <c r="GO254" s="773"/>
      <c r="GP254" s="773"/>
      <c r="GQ254" s="773"/>
      <c r="GR254" s="773"/>
      <c r="GS254" s="773"/>
      <c r="GT254" s="773"/>
      <c r="GU254" s="773"/>
      <c r="GV254" s="773"/>
      <c r="GW254" s="773"/>
      <c r="GX254" s="773"/>
      <c r="GY254" s="773"/>
      <c r="GZ254" s="773"/>
    </row>
    <row r="255" spans="1:208" s="11" customFormat="1">
      <c r="A255" s="774"/>
      <c r="B255" s="3762" t="s">
        <v>802</v>
      </c>
      <c r="C255" s="197">
        <v>1400001</v>
      </c>
      <c r="D255" s="199" t="s">
        <v>806</v>
      </c>
      <c r="E255" s="42">
        <f>VLOOKUP(C255,'AJE 12 - INC'!$D$168:$F$345,3,0)</f>
        <v>292026.96999999997</v>
      </c>
      <c r="F255" s="108">
        <f>SUMIF('AJE 12 - INC'!B:B,'New TB INC'!C255,'AJE 12 - INC'!D:D)</f>
        <v>0</v>
      </c>
      <c r="G255" s="108"/>
      <c r="H255" s="108"/>
      <c r="I255" s="108"/>
      <c r="J255" s="798">
        <f>SUM(E255:I255)</f>
        <v>292026.96999999997</v>
      </c>
      <c r="K255" s="209"/>
      <c r="L255" s="449"/>
      <c r="M255" s="805"/>
      <c r="N255" s="772"/>
      <c r="O255" s="772"/>
      <c r="P255" s="772"/>
      <c r="Q255" s="772"/>
      <c r="R255" s="772"/>
      <c r="S255" s="772"/>
      <c r="T255" s="773"/>
      <c r="V255" s="209"/>
      <c r="W255" s="209"/>
      <c r="X255" s="209"/>
      <c r="Y255" s="209"/>
      <c r="Z255" s="209"/>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510"/>
      <c r="AX255" s="820"/>
      <c r="AY255" s="820"/>
      <c r="AZ255" s="820"/>
      <c r="BC255" s="2510"/>
      <c r="BD255" s="2510"/>
      <c r="BE255" s="2510"/>
      <c r="BF255" s="2510"/>
      <c r="BH255" s="2510"/>
      <c r="BN255" s="209"/>
      <c r="BO255" s="209"/>
      <c r="BP255" s="209"/>
      <c r="BQ255" s="209"/>
      <c r="DB255" s="773"/>
      <c r="DC255" s="773"/>
      <c r="DD255" s="773"/>
      <c r="DE255" s="773"/>
      <c r="DF255" s="773"/>
      <c r="DG255" s="773"/>
      <c r="DH255" s="773"/>
      <c r="DI255" s="773"/>
      <c r="DJ255" s="773"/>
      <c r="DK255" s="773"/>
      <c r="DL255" s="773"/>
      <c r="DM255" s="773"/>
      <c r="DN255" s="773"/>
      <c r="DO255" s="773"/>
      <c r="DP255" s="773"/>
      <c r="DQ255" s="773"/>
      <c r="DR255" s="773"/>
      <c r="DS255" s="773"/>
      <c r="DT255" s="773"/>
      <c r="DU255" s="773"/>
      <c r="DV255" s="773"/>
      <c r="DW255" s="773"/>
      <c r="DX255" s="773"/>
      <c r="DY255" s="773"/>
      <c r="DZ255" s="773"/>
      <c r="EA255" s="773"/>
      <c r="EB255" s="773"/>
      <c r="EC255" s="773"/>
      <c r="ED255" s="773"/>
      <c r="EE255" s="773"/>
      <c r="EF255" s="773"/>
      <c r="EG255" s="773"/>
      <c r="EH255" s="773"/>
      <c r="EI255" s="773"/>
      <c r="EJ255" s="773"/>
      <c r="EK255" s="773"/>
      <c r="EL255" s="773"/>
      <c r="EM255" s="773"/>
      <c r="EN255" s="773"/>
      <c r="EO255" s="773"/>
      <c r="EP255" s="773"/>
      <c r="EQ255" s="773"/>
      <c r="ER255" s="773"/>
      <c r="ES255" s="773"/>
      <c r="ET255" s="773"/>
      <c r="EU255" s="773"/>
      <c r="EV255" s="773"/>
      <c r="EW255" s="773"/>
      <c r="EX255" s="773"/>
      <c r="EY255" s="773"/>
      <c r="EZ255" s="773"/>
      <c r="FA255" s="773"/>
      <c r="FB255" s="773"/>
      <c r="FC255" s="773"/>
      <c r="FD255" s="773"/>
      <c r="FE255" s="773"/>
      <c r="FF255" s="773"/>
      <c r="FG255" s="773"/>
      <c r="FH255" s="773"/>
      <c r="FI255" s="773"/>
      <c r="FJ255" s="773"/>
      <c r="FK255" s="773"/>
      <c r="FL255" s="773"/>
      <c r="FM255" s="773"/>
      <c r="FN255" s="773"/>
      <c r="FO255" s="773"/>
      <c r="FP255" s="773"/>
      <c r="FQ255" s="773"/>
      <c r="FR255" s="773"/>
      <c r="FS255" s="773"/>
      <c r="FT255" s="773"/>
      <c r="FU255" s="773"/>
      <c r="FV255" s="773"/>
      <c r="FW255" s="773"/>
      <c r="FX255" s="773"/>
      <c r="FY255" s="773"/>
      <c r="FZ255" s="773"/>
      <c r="GA255" s="773"/>
      <c r="GB255" s="773"/>
      <c r="GC255" s="773"/>
      <c r="GD255" s="773"/>
      <c r="GE255" s="773"/>
      <c r="GF255" s="773"/>
      <c r="GG255" s="773"/>
      <c r="GH255" s="773"/>
      <c r="GI255" s="773"/>
      <c r="GJ255" s="773"/>
      <c r="GK255" s="773"/>
      <c r="GL255" s="773"/>
      <c r="GM255" s="773"/>
      <c r="GN255" s="773"/>
      <c r="GO255" s="773"/>
      <c r="GP255" s="773"/>
      <c r="GQ255" s="773"/>
      <c r="GR255" s="773"/>
      <c r="GS255" s="773"/>
      <c r="GT255" s="773"/>
      <c r="GU255" s="773"/>
      <c r="GV255" s="773"/>
      <c r="GW255" s="773"/>
      <c r="GX255" s="773"/>
      <c r="GY255" s="773"/>
      <c r="GZ255" s="773"/>
    </row>
    <row r="256" spans="1:208" s="11" customFormat="1">
      <c r="A256" s="774"/>
      <c r="B256" s="3762" t="s">
        <v>803</v>
      </c>
      <c r="C256" s="197">
        <v>1420002</v>
      </c>
      <c r="D256" s="200" t="s">
        <v>473</v>
      </c>
      <c r="E256" s="42">
        <f>VLOOKUP(C256,'AJE 12 - INC'!$D$168:$F$345,3,0)</f>
        <v>98391.38</v>
      </c>
      <c r="F256" s="108">
        <f>SUMIF('AJE 12 - INC'!B:B,'New TB INC'!C256,'AJE 12 - INC'!D:D)</f>
        <v>0</v>
      </c>
      <c r="G256" s="108"/>
      <c r="H256" s="108"/>
      <c r="I256" s="108"/>
      <c r="J256" s="798">
        <f>SUM(E256:I256)</f>
        <v>98391.38</v>
      </c>
      <c r="K256" s="209"/>
      <c r="L256" s="449"/>
      <c r="M256" s="828"/>
      <c r="N256" s="772"/>
      <c r="O256" s="772"/>
      <c r="P256" s="772"/>
      <c r="Q256" s="772"/>
      <c r="R256" s="772"/>
      <c r="S256" s="772"/>
      <c r="T256" s="773"/>
      <c r="V256" s="209"/>
      <c r="W256" s="209"/>
      <c r="X256" s="209"/>
      <c r="Y256" s="209"/>
      <c r="Z256" s="209"/>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510"/>
      <c r="AX256" s="820"/>
      <c r="AY256" s="820"/>
      <c r="AZ256" s="820"/>
      <c r="BC256" s="2510"/>
      <c r="BD256" s="2510"/>
      <c r="BE256" s="2510"/>
      <c r="BF256" s="2510"/>
      <c r="BH256" s="2510"/>
      <c r="BN256" s="209"/>
      <c r="BO256" s="209"/>
      <c r="BP256" s="209"/>
      <c r="BQ256" s="209"/>
      <c r="DB256" s="773"/>
      <c r="DC256" s="773"/>
      <c r="DD256" s="773"/>
      <c r="DE256" s="773"/>
      <c r="DF256" s="773"/>
      <c r="DG256" s="773"/>
      <c r="DH256" s="773"/>
      <c r="DI256" s="773"/>
      <c r="DJ256" s="773"/>
      <c r="DK256" s="773"/>
      <c r="DL256" s="773"/>
      <c r="DM256" s="773"/>
      <c r="DN256" s="773"/>
      <c r="DO256" s="773"/>
      <c r="DP256" s="773"/>
      <c r="DQ256" s="773"/>
      <c r="DR256" s="773"/>
      <c r="DS256" s="773"/>
      <c r="DT256" s="773"/>
      <c r="DU256" s="773"/>
      <c r="DV256" s="773"/>
      <c r="DW256" s="773"/>
      <c r="DX256" s="773"/>
      <c r="DY256" s="773"/>
      <c r="DZ256" s="773"/>
      <c r="EA256" s="773"/>
      <c r="EB256" s="773"/>
      <c r="EC256" s="773"/>
      <c r="ED256" s="773"/>
      <c r="EE256" s="773"/>
      <c r="EF256" s="773"/>
      <c r="EG256" s="773"/>
      <c r="EH256" s="773"/>
      <c r="EI256" s="773"/>
      <c r="EJ256" s="773"/>
      <c r="EK256" s="773"/>
      <c r="EL256" s="773"/>
      <c r="EM256" s="773"/>
      <c r="EN256" s="773"/>
      <c r="EO256" s="773"/>
      <c r="EP256" s="773"/>
      <c r="EQ256" s="773"/>
      <c r="ER256" s="773"/>
      <c r="ES256" s="773"/>
      <c r="ET256" s="773"/>
      <c r="EU256" s="773"/>
      <c r="EV256" s="773"/>
      <c r="EW256" s="773"/>
      <c r="EX256" s="773"/>
      <c r="EY256" s="773"/>
      <c r="EZ256" s="773"/>
      <c r="FA256" s="773"/>
      <c r="FB256" s="773"/>
      <c r="FC256" s="773"/>
      <c r="FD256" s="773"/>
      <c r="FE256" s="773"/>
      <c r="FF256" s="773"/>
      <c r="FG256" s="773"/>
      <c r="FH256" s="773"/>
      <c r="FI256" s="773"/>
      <c r="FJ256" s="773"/>
      <c r="FK256" s="773"/>
      <c r="FL256" s="773"/>
      <c r="FM256" s="773"/>
      <c r="FN256" s="773"/>
      <c r="FO256" s="773"/>
      <c r="FP256" s="773"/>
      <c r="FQ256" s="773"/>
      <c r="FR256" s="773"/>
      <c r="FS256" s="773"/>
      <c r="FT256" s="773"/>
      <c r="FU256" s="773"/>
      <c r="FV256" s="773"/>
      <c r="FW256" s="773"/>
      <c r="FX256" s="773"/>
      <c r="FY256" s="773"/>
      <c r="FZ256" s="773"/>
      <c r="GA256" s="773"/>
      <c r="GB256" s="773"/>
      <c r="GC256" s="773"/>
      <c r="GD256" s="773"/>
      <c r="GE256" s="773"/>
      <c r="GF256" s="773"/>
      <c r="GG256" s="773"/>
      <c r="GH256" s="773"/>
      <c r="GI256" s="773"/>
      <c r="GJ256" s="773"/>
      <c r="GK256" s="773"/>
      <c r="GL256" s="773"/>
      <c r="GM256" s="773"/>
      <c r="GN256" s="773"/>
      <c r="GO256" s="773"/>
      <c r="GP256" s="773"/>
      <c r="GQ256" s="773"/>
      <c r="GR256" s="773"/>
      <c r="GS256" s="773"/>
      <c r="GT256" s="773"/>
      <c r="GU256" s="773"/>
      <c r="GV256" s="773"/>
      <c r="GW256" s="773"/>
      <c r="GX256" s="773"/>
      <c r="GY256" s="773"/>
      <c r="GZ256" s="773"/>
    </row>
    <row r="257" spans="1:208" s="11" customFormat="1">
      <c r="A257" s="774"/>
      <c r="B257" s="3762" t="s">
        <v>804</v>
      </c>
      <c r="C257" s="197">
        <v>1430001</v>
      </c>
      <c r="D257" s="200" t="s">
        <v>655</v>
      </c>
      <c r="E257" s="42">
        <f>VLOOKUP(C257,'AJE 12 - INC'!$D$168:$F$345,3,0)</f>
        <v>131794.39000000001</v>
      </c>
      <c r="F257" s="108">
        <f>SUMIF('AJE 12 - INC'!B:B,'New TB INC'!C257,'AJE 12 - INC'!D:D)</f>
        <v>0</v>
      </c>
      <c r="G257" s="108"/>
      <c r="H257" s="108"/>
      <c r="I257" s="108"/>
      <c r="J257" s="798">
        <f>SUM(E257:I257)</f>
        <v>131794.39000000001</v>
      </c>
      <c r="K257" s="209"/>
      <c r="L257" s="449"/>
      <c r="M257" s="828"/>
      <c r="N257" s="772"/>
      <c r="O257" s="772"/>
      <c r="P257" s="772"/>
      <c r="Q257" s="772"/>
      <c r="R257" s="772"/>
      <c r="S257" s="772"/>
      <c r="T257" s="773"/>
      <c r="V257" s="209"/>
      <c r="W257" s="209"/>
      <c r="X257" s="209"/>
      <c r="Y257" s="209"/>
      <c r="Z257" s="209"/>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510"/>
      <c r="AX257" s="820"/>
      <c r="AY257" s="820"/>
      <c r="AZ257" s="820"/>
      <c r="BC257" s="2510"/>
      <c r="BD257" s="2510"/>
      <c r="BE257" s="2510"/>
      <c r="BF257" s="2510"/>
      <c r="BH257" s="2510"/>
      <c r="BN257" s="209"/>
      <c r="BO257" s="209"/>
      <c r="BP257" s="209"/>
      <c r="BQ257" s="209"/>
      <c r="DB257" s="773"/>
      <c r="DC257" s="773"/>
      <c r="DD257" s="773"/>
      <c r="DE257" s="773"/>
      <c r="DF257" s="773"/>
      <c r="DG257" s="773"/>
      <c r="DH257" s="773"/>
      <c r="DI257" s="773"/>
      <c r="DJ257" s="773"/>
      <c r="DK257" s="773"/>
      <c r="DL257" s="773"/>
      <c r="DM257" s="773"/>
      <c r="DN257" s="773"/>
      <c r="DO257" s="773"/>
      <c r="DP257" s="773"/>
      <c r="DQ257" s="773"/>
      <c r="DR257" s="773"/>
      <c r="DS257" s="773"/>
      <c r="DT257" s="773"/>
      <c r="DU257" s="773"/>
      <c r="DV257" s="773"/>
      <c r="DW257" s="773"/>
      <c r="DX257" s="773"/>
      <c r="DY257" s="773"/>
      <c r="DZ257" s="773"/>
      <c r="EA257" s="773"/>
      <c r="EB257" s="773"/>
      <c r="EC257" s="773"/>
      <c r="ED257" s="773"/>
      <c r="EE257" s="773"/>
      <c r="EF257" s="773"/>
      <c r="EG257" s="773"/>
      <c r="EH257" s="773"/>
      <c r="EI257" s="773"/>
      <c r="EJ257" s="773"/>
      <c r="EK257" s="773"/>
      <c r="EL257" s="773"/>
      <c r="EM257" s="773"/>
      <c r="EN257" s="773"/>
      <c r="EO257" s="773"/>
      <c r="EP257" s="773"/>
      <c r="EQ257" s="773"/>
      <c r="ER257" s="773"/>
      <c r="ES257" s="773"/>
      <c r="ET257" s="773"/>
      <c r="EU257" s="773"/>
      <c r="EV257" s="773"/>
      <c r="EW257" s="773"/>
      <c r="EX257" s="773"/>
      <c r="EY257" s="773"/>
      <c r="EZ257" s="773"/>
      <c r="FA257" s="773"/>
      <c r="FB257" s="773"/>
      <c r="FC257" s="773"/>
      <c r="FD257" s="773"/>
      <c r="FE257" s="773"/>
      <c r="FF257" s="773"/>
      <c r="FG257" s="773"/>
      <c r="FH257" s="773"/>
      <c r="FI257" s="773"/>
      <c r="FJ257" s="773"/>
      <c r="FK257" s="773"/>
      <c r="FL257" s="773"/>
      <c r="FM257" s="773"/>
      <c r="FN257" s="773"/>
      <c r="FO257" s="773"/>
      <c r="FP257" s="773"/>
      <c r="FQ257" s="773"/>
      <c r="FR257" s="773"/>
      <c r="FS257" s="773"/>
      <c r="FT257" s="773"/>
      <c r="FU257" s="773"/>
      <c r="FV257" s="773"/>
      <c r="FW257" s="773"/>
      <c r="FX257" s="773"/>
      <c r="FY257" s="773"/>
      <c r="FZ257" s="773"/>
      <c r="GA257" s="773"/>
      <c r="GB257" s="773"/>
      <c r="GC257" s="773"/>
      <c r="GD257" s="773"/>
      <c r="GE257" s="773"/>
      <c r="GF257" s="773"/>
      <c r="GG257" s="773"/>
      <c r="GH257" s="773"/>
      <c r="GI257" s="773"/>
      <c r="GJ257" s="773"/>
      <c r="GK257" s="773"/>
      <c r="GL257" s="773"/>
      <c r="GM257" s="773"/>
      <c r="GN257" s="773"/>
      <c r="GO257" s="773"/>
      <c r="GP257" s="773"/>
      <c r="GQ257" s="773"/>
      <c r="GR257" s="773"/>
      <c r="GS257" s="773"/>
      <c r="GT257" s="773"/>
      <c r="GU257" s="773"/>
      <c r="GV257" s="773"/>
      <c r="GW257" s="773"/>
      <c r="GX257" s="773"/>
      <c r="GY257" s="773"/>
      <c r="GZ257" s="773"/>
    </row>
    <row r="258" spans="1:208" s="11" customFormat="1">
      <c r="A258" s="774"/>
      <c r="B258" s="3762"/>
      <c r="C258" s="157"/>
      <c r="D258" s="167"/>
      <c r="E258" s="108"/>
      <c r="F258" s="108"/>
      <c r="G258" s="108"/>
      <c r="H258" s="108"/>
      <c r="I258" s="108"/>
      <c r="J258" s="798"/>
      <c r="K258" s="209"/>
      <c r="L258" s="449"/>
      <c r="M258" s="828"/>
      <c r="N258" s="772"/>
      <c r="O258" s="772"/>
      <c r="P258" s="772"/>
      <c r="Q258" s="772"/>
      <c r="R258" s="772"/>
      <c r="S258" s="772"/>
      <c r="T258" s="773"/>
      <c r="V258" s="941"/>
      <c r="W258" s="941"/>
      <c r="X258" s="941"/>
      <c r="Y258" s="941"/>
      <c r="Z258" s="941"/>
      <c r="AA258" s="941"/>
      <c r="AB258" s="941"/>
      <c r="AC258" s="941"/>
      <c r="AD258" s="941"/>
      <c r="AE258" s="941"/>
      <c r="AF258" s="941"/>
      <c r="AG258" s="941"/>
      <c r="AH258" s="941"/>
      <c r="AI258" s="941"/>
      <c r="AJ258" s="941"/>
      <c r="AK258" s="941"/>
      <c r="AL258" s="941"/>
      <c r="AM258" s="941"/>
      <c r="AN258" s="941"/>
      <c r="AO258" s="941"/>
      <c r="AP258" s="941"/>
      <c r="AQ258" s="941"/>
      <c r="AR258" s="941"/>
      <c r="AS258" s="941"/>
      <c r="AT258" s="941"/>
      <c r="AU258" s="941"/>
      <c r="AV258" s="941"/>
      <c r="AW258" s="2511"/>
      <c r="AX258" s="820"/>
      <c r="AY258" s="820"/>
      <c r="AZ258" s="820"/>
      <c r="BA258" s="209"/>
      <c r="BB258" s="209"/>
      <c r="BC258" s="2511"/>
      <c r="BD258" s="2511"/>
      <c r="BE258" s="2511"/>
      <c r="BF258" s="2511"/>
      <c r="BH258" s="2511"/>
      <c r="BI258" s="209"/>
      <c r="BJ258" s="209"/>
      <c r="BK258" s="209"/>
      <c r="BL258" s="209"/>
      <c r="BM258" s="209"/>
      <c r="BN258" s="209"/>
      <c r="BO258" s="209"/>
      <c r="BP258" s="209"/>
      <c r="BQ258" s="209"/>
      <c r="DB258" s="773"/>
      <c r="DC258" s="773"/>
      <c r="DD258" s="773"/>
      <c r="DE258" s="773"/>
      <c r="DF258" s="773"/>
      <c r="DG258" s="773"/>
      <c r="DH258" s="773"/>
      <c r="DI258" s="773"/>
      <c r="DJ258" s="773"/>
      <c r="DK258" s="773"/>
      <c r="DL258" s="773"/>
      <c r="DM258" s="773"/>
      <c r="DN258" s="773"/>
      <c r="DO258" s="773"/>
      <c r="DP258" s="773"/>
      <c r="DQ258" s="773"/>
      <c r="DR258" s="773"/>
      <c r="DS258" s="773"/>
      <c r="DT258" s="773"/>
      <c r="DU258" s="773"/>
      <c r="DV258" s="773"/>
      <c r="DW258" s="773"/>
      <c r="DX258" s="773"/>
      <c r="DY258" s="773"/>
      <c r="DZ258" s="773"/>
      <c r="EA258" s="773"/>
      <c r="EB258" s="773"/>
      <c r="EC258" s="773"/>
      <c r="ED258" s="773"/>
      <c r="EE258" s="773"/>
      <c r="EF258" s="773"/>
      <c r="EG258" s="773"/>
      <c r="EH258" s="773"/>
      <c r="EI258" s="773"/>
      <c r="EJ258" s="773"/>
      <c r="EK258" s="773"/>
      <c r="EL258" s="773"/>
      <c r="EM258" s="773"/>
      <c r="EN258" s="773"/>
      <c r="EO258" s="773"/>
      <c r="EP258" s="773"/>
      <c r="EQ258" s="773"/>
      <c r="ER258" s="773"/>
      <c r="ES258" s="773"/>
      <c r="ET258" s="773"/>
      <c r="EU258" s="773"/>
      <c r="EV258" s="773"/>
      <c r="EW258" s="773"/>
      <c r="EX258" s="773"/>
      <c r="EY258" s="773"/>
      <c r="EZ258" s="773"/>
      <c r="FA258" s="773"/>
      <c r="FB258" s="773"/>
      <c r="FC258" s="773"/>
      <c r="FD258" s="773"/>
      <c r="FE258" s="773"/>
      <c r="FF258" s="773"/>
      <c r="FG258" s="773"/>
      <c r="FH258" s="773"/>
      <c r="FI258" s="773"/>
      <c r="FJ258" s="773"/>
      <c r="FK258" s="773"/>
      <c r="FL258" s="773"/>
      <c r="FM258" s="773"/>
      <c r="FN258" s="773"/>
      <c r="FO258" s="773"/>
      <c r="FP258" s="773"/>
      <c r="FQ258" s="773"/>
      <c r="FR258" s="773"/>
      <c r="FS258" s="773"/>
      <c r="FT258" s="773"/>
      <c r="FU258" s="773"/>
      <c r="FV258" s="773"/>
      <c r="FW258" s="773"/>
      <c r="FX258" s="773"/>
      <c r="FY258" s="773"/>
      <c r="FZ258" s="773"/>
      <c r="GA258" s="773"/>
      <c r="GB258" s="773"/>
      <c r="GC258" s="773"/>
      <c r="GD258" s="773"/>
      <c r="GE258" s="773"/>
      <c r="GF258" s="773"/>
      <c r="GG258" s="773"/>
      <c r="GH258" s="773"/>
      <c r="GI258" s="773"/>
      <c r="GJ258" s="773"/>
      <c r="GK258" s="773"/>
      <c r="GL258" s="773"/>
      <c r="GM258" s="773"/>
      <c r="GN258" s="773"/>
      <c r="GO258" s="773"/>
      <c r="GP258" s="773"/>
      <c r="GQ258" s="773"/>
      <c r="GR258" s="773"/>
      <c r="GS258" s="773"/>
      <c r="GT258" s="773"/>
      <c r="GU258" s="773"/>
      <c r="GV258" s="773"/>
      <c r="GW258" s="773"/>
      <c r="GX258" s="773"/>
      <c r="GY258" s="773"/>
      <c r="GZ258" s="773"/>
    </row>
    <row r="259" spans="1:208" s="11" customFormat="1">
      <c r="A259" s="774"/>
      <c r="B259" s="3762"/>
      <c r="C259" s="942"/>
      <c r="D259" s="935" t="s">
        <v>70</v>
      </c>
      <c r="E259" s="392">
        <f t="shared" ref="E259:J259" si="20">SUM(E255:E258)</f>
        <v>522212.74</v>
      </c>
      <c r="F259" s="392">
        <f t="shared" si="20"/>
        <v>0</v>
      </c>
      <c r="G259" s="392">
        <f t="shared" si="20"/>
        <v>0</v>
      </c>
      <c r="H259" s="392">
        <f t="shared" si="20"/>
        <v>0</v>
      </c>
      <c r="I259" s="392">
        <f t="shared" si="20"/>
        <v>0</v>
      </c>
      <c r="J259" s="392">
        <f t="shared" si="20"/>
        <v>522212.74</v>
      </c>
      <c r="K259" s="209"/>
      <c r="L259" s="449"/>
      <c r="M259" s="805"/>
      <c r="N259" s="772"/>
      <c r="O259" s="772"/>
      <c r="P259" s="772"/>
      <c r="Q259" s="772"/>
      <c r="R259" s="772"/>
      <c r="S259" s="772"/>
      <c r="T259" s="773"/>
      <c r="V259" s="941"/>
      <c r="W259" s="941"/>
      <c r="X259" s="941"/>
      <c r="Y259" s="941"/>
      <c r="Z259" s="941"/>
      <c r="AA259" s="941"/>
      <c r="AB259" s="941"/>
      <c r="AC259" s="941"/>
      <c r="AD259" s="941"/>
      <c r="AE259" s="941"/>
      <c r="AF259" s="941"/>
      <c r="AG259" s="941"/>
      <c r="AH259" s="941"/>
      <c r="AI259" s="941"/>
      <c r="AJ259" s="941"/>
      <c r="AK259" s="941"/>
      <c r="AL259" s="941"/>
      <c r="AM259" s="941"/>
      <c r="AN259" s="941"/>
      <c r="AO259" s="941"/>
      <c r="AP259" s="941"/>
      <c r="AQ259" s="941"/>
      <c r="AR259" s="941"/>
      <c r="AS259" s="941"/>
      <c r="AT259" s="941"/>
      <c r="AU259" s="941"/>
      <c r="AV259" s="941"/>
      <c r="AW259" s="2511"/>
      <c r="AX259" s="820"/>
      <c r="AY259" s="820"/>
      <c r="AZ259" s="820"/>
      <c r="BA259" s="209"/>
      <c r="BB259" s="209"/>
      <c r="BC259" s="2511"/>
      <c r="BD259" s="2511"/>
      <c r="BE259" s="2511"/>
      <c r="BF259" s="2511"/>
      <c r="BH259" s="2511"/>
      <c r="BI259" s="209"/>
      <c r="BJ259" s="209"/>
      <c r="BK259" s="209"/>
      <c r="BL259" s="209"/>
      <c r="BM259" s="209"/>
      <c r="BN259" s="209"/>
      <c r="BO259" s="209"/>
      <c r="BP259" s="209"/>
      <c r="BQ259" s="209"/>
      <c r="DB259" s="773"/>
      <c r="DC259" s="773"/>
      <c r="DD259" s="773"/>
      <c r="DE259" s="773"/>
      <c r="DF259" s="773"/>
      <c r="DG259" s="773"/>
      <c r="DH259" s="773"/>
      <c r="DI259" s="773"/>
      <c r="DJ259" s="773"/>
      <c r="DK259" s="773"/>
      <c r="DL259" s="773"/>
      <c r="DM259" s="773"/>
      <c r="DN259" s="773"/>
      <c r="DO259" s="773"/>
      <c r="DP259" s="773"/>
      <c r="DQ259" s="773"/>
      <c r="DR259" s="773"/>
      <c r="DS259" s="773"/>
      <c r="DT259" s="773"/>
      <c r="DU259" s="773"/>
      <c r="DV259" s="773"/>
      <c r="DW259" s="773"/>
      <c r="DX259" s="773"/>
      <c r="DY259" s="773"/>
      <c r="DZ259" s="773"/>
      <c r="EA259" s="773"/>
      <c r="EB259" s="773"/>
      <c r="EC259" s="773"/>
      <c r="ED259" s="773"/>
      <c r="EE259" s="773"/>
      <c r="EF259" s="773"/>
      <c r="EG259" s="773"/>
      <c r="EH259" s="773"/>
      <c r="EI259" s="773"/>
      <c r="EJ259" s="773"/>
      <c r="EK259" s="773"/>
      <c r="EL259" s="773"/>
      <c r="EM259" s="773"/>
      <c r="EN259" s="773"/>
      <c r="EO259" s="773"/>
      <c r="EP259" s="773"/>
      <c r="EQ259" s="773"/>
      <c r="ER259" s="773"/>
      <c r="ES259" s="773"/>
      <c r="ET259" s="773"/>
      <c r="EU259" s="773"/>
      <c r="EV259" s="773"/>
      <c r="EW259" s="773"/>
      <c r="EX259" s="773"/>
      <c r="EY259" s="773"/>
      <c r="EZ259" s="773"/>
      <c r="FA259" s="773"/>
      <c r="FB259" s="773"/>
      <c r="FC259" s="773"/>
      <c r="FD259" s="773"/>
      <c r="FE259" s="773"/>
      <c r="FF259" s="773"/>
      <c r="FG259" s="773"/>
      <c r="FH259" s="773"/>
      <c r="FI259" s="773"/>
      <c r="FJ259" s="773"/>
      <c r="FK259" s="773"/>
      <c r="FL259" s="773"/>
      <c r="FM259" s="773"/>
      <c r="FN259" s="773"/>
      <c r="FO259" s="773"/>
      <c r="FP259" s="773"/>
      <c r="FQ259" s="773"/>
      <c r="FR259" s="773"/>
      <c r="FS259" s="773"/>
      <c r="FT259" s="773"/>
      <c r="FU259" s="773"/>
      <c r="FV259" s="773"/>
      <c r="FW259" s="773"/>
      <c r="FX259" s="773"/>
      <c r="FY259" s="773"/>
      <c r="FZ259" s="773"/>
      <c r="GA259" s="773"/>
      <c r="GB259" s="773"/>
      <c r="GC259" s="773"/>
      <c r="GD259" s="773"/>
      <c r="GE259" s="773"/>
      <c r="GF259" s="773"/>
      <c r="GG259" s="773"/>
      <c r="GH259" s="773"/>
      <c r="GI259" s="773"/>
      <c r="GJ259" s="773"/>
      <c r="GK259" s="773"/>
      <c r="GL259" s="773"/>
      <c r="GM259" s="773"/>
      <c r="GN259" s="773"/>
      <c r="GO259" s="773"/>
      <c r="GP259" s="773"/>
      <c r="GQ259" s="773"/>
      <c r="GR259" s="773"/>
      <c r="GS259" s="773"/>
      <c r="GT259" s="773"/>
      <c r="GU259" s="773"/>
      <c r="GV259" s="773"/>
      <c r="GW259" s="773"/>
      <c r="GX259" s="773"/>
      <c r="GY259" s="773"/>
      <c r="GZ259" s="773"/>
    </row>
    <row r="260" spans="1:208" s="11" customFormat="1">
      <c r="A260" s="774"/>
      <c r="B260" s="3761"/>
      <c r="C260" s="781"/>
      <c r="D260" s="174" t="s">
        <v>71</v>
      </c>
      <c r="E260" s="108"/>
      <c r="F260" s="108"/>
      <c r="G260" s="108"/>
      <c r="H260" s="108"/>
      <c r="I260" s="107"/>
      <c r="J260" s="108"/>
      <c r="K260" s="209"/>
      <c r="L260" s="449"/>
      <c r="M260" s="834"/>
      <c r="N260" s="772"/>
      <c r="O260" s="772"/>
      <c r="P260" s="772"/>
      <c r="Q260" s="772"/>
      <c r="R260" s="772"/>
      <c r="S260" s="772"/>
      <c r="T260" s="773"/>
      <c r="U260" s="823"/>
      <c r="V260" s="368"/>
      <c r="W260" s="368"/>
      <c r="X260" s="368"/>
      <c r="Y260" s="368"/>
      <c r="Z260" s="368"/>
      <c r="AA260" s="368"/>
      <c r="AB260" s="368"/>
      <c r="AC260" s="368"/>
      <c r="AD260" s="368"/>
      <c r="AE260" s="368"/>
      <c r="AF260" s="368"/>
      <c r="AG260" s="368"/>
      <c r="AH260" s="368"/>
      <c r="AI260" s="368"/>
      <c r="AJ260" s="368"/>
      <c r="AK260" s="368"/>
      <c r="AL260" s="368"/>
      <c r="AM260" s="368"/>
      <c r="AN260" s="368"/>
      <c r="AO260" s="368"/>
      <c r="AP260" s="368"/>
      <c r="AQ260" s="368"/>
      <c r="AR260" s="368"/>
      <c r="AS260" s="368"/>
      <c r="AT260" s="368"/>
      <c r="AU260" s="368"/>
      <c r="AV260" s="368"/>
      <c r="AW260" s="2511"/>
      <c r="AX260" s="820"/>
      <c r="AY260" s="820"/>
      <c r="AZ260" s="820"/>
      <c r="BA260" s="209"/>
      <c r="BB260" s="209"/>
      <c r="BC260" s="2511"/>
      <c r="BD260" s="2511"/>
      <c r="BE260" s="2511"/>
      <c r="BF260" s="2511"/>
      <c r="BH260" s="2511"/>
      <c r="BI260" s="209"/>
      <c r="BJ260" s="209"/>
      <c r="BK260" s="209"/>
      <c r="BL260" s="209"/>
      <c r="BM260" s="209"/>
      <c r="BN260" s="209"/>
      <c r="BO260" s="209"/>
      <c r="BP260" s="209"/>
      <c r="BQ260" s="209"/>
      <c r="DB260" s="773"/>
      <c r="DC260" s="773"/>
      <c r="DD260" s="773"/>
      <c r="DE260" s="773"/>
      <c r="DF260" s="773"/>
      <c r="DG260" s="773"/>
      <c r="DH260" s="773"/>
      <c r="DI260" s="773"/>
      <c r="DJ260" s="773"/>
      <c r="DK260" s="773"/>
      <c r="DL260" s="773"/>
      <c r="DM260" s="773"/>
      <c r="DN260" s="773"/>
      <c r="DO260" s="773"/>
      <c r="DP260" s="773"/>
      <c r="DQ260" s="773"/>
      <c r="DR260" s="773"/>
      <c r="DS260" s="773"/>
      <c r="DT260" s="773"/>
      <c r="DU260" s="773"/>
      <c r="DV260" s="773"/>
      <c r="DW260" s="773"/>
      <c r="DX260" s="773"/>
      <c r="DY260" s="773"/>
      <c r="DZ260" s="773"/>
      <c r="EA260" s="773"/>
      <c r="EB260" s="773"/>
      <c r="EC260" s="773"/>
      <c r="ED260" s="773"/>
      <c r="EE260" s="773"/>
      <c r="EF260" s="773"/>
      <c r="EG260" s="773"/>
      <c r="EH260" s="773"/>
      <c r="EI260" s="773"/>
      <c r="EJ260" s="773"/>
      <c r="EK260" s="773"/>
      <c r="EL260" s="773"/>
      <c r="EM260" s="773"/>
      <c r="EN260" s="773"/>
      <c r="EO260" s="773"/>
      <c r="EP260" s="773"/>
      <c r="EQ260" s="773"/>
      <c r="ER260" s="773"/>
      <c r="ES260" s="773"/>
      <c r="ET260" s="773"/>
      <c r="EU260" s="773"/>
      <c r="EV260" s="773"/>
      <c r="EW260" s="773"/>
      <c r="EX260" s="773"/>
      <c r="EY260" s="773"/>
      <c r="EZ260" s="773"/>
      <c r="FA260" s="773"/>
      <c r="FB260" s="773"/>
      <c r="FC260" s="773"/>
      <c r="FD260" s="773"/>
      <c r="FE260" s="773"/>
      <c r="FF260" s="773"/>
      <c r="FG260" s="773"/>
      <c r="FH260" s="773"/>
      <c r="FI260" s="773"/>
      <c r="FJ260" s="773"/>
      <c r="FK260" s="773"/>
      <c r="FL260" s="773"/>
      <c r="FM260" s="773"/>
      <c r="FN260" s="773"/>
      <c r="FO260" s="773"/>
      <c r="FP260" s="773"/>
      <c r="FQ260" s="773"/>
      <c r="FR260" s="773"/>
      <c r="FS260" s="773"/>
      <c r="FT260" s="773"/>
      <c r="FU260" s="773"/>
      <c r="FV260" s="773"/>
      <c r="FW260" s="773"/>
      <c r="FX260" s="773"/>
      <c r="FY260" s="773"/>
      <c r="FZ260" s="773"/>
      <c r="GA260" s="773"/>
      <c r="GB260" s="773"/>
      <c r="GC260" s="773"/>
      <c r="GD260" s="773"/>
      <c r="GE260" s="773"/>
      <c r="GF260" s="773"/>
      <c r="GG260" s="773"/>
      <c r="GH260" s="773"/>
      <c r="GI260" s="773"/>
      <c r="GJ260" s="773"/>
      <c r="GK260" s="773"/>
      <c r="GL260" s="773"/>
      <c r="GM260" s="773"/>
      <c r="GN260" s="773"/>
      <c r="GO260" s="773"/>
      <c r="GP260" s="773"/>
      <c r="GQ260" s="773"/>
      <c r="GR260" s="773"/>
      <c r="GS260" s="773"/>
      <c r="GT260" s="773"/>
      <c r="GU260" s="773"/>
      <c r="GV260" s="773"/>
      <c r="GW260" s="773"/>
      <c r="GX260" s="773"/>
      <c r="GY260" s="773"/>
      <c r="GZ260" s="773"/>
    </row>
    <row r="261" spans="1:208" s="11" customFormat="1">
      <c r="A261" s="774"/>
      <c r="B261" s="3761" t="s">
        <v>805</v>
      </c>
      <c r="C261" s="197">
        <v>1490006</v>
      </c>
      <c r="D261" s="200" t="s">
        <v>474</v>
      </c>
      <c r="E261" s="42">
        <f>VLOOKUP(C261,'AJE 12 - INC'!$D$168:$F$345,3,0)</f>
        <v>-401006</v>
      </c>
      <c r="F261" s="108">
        <f>SUMIF('AJE 12 - INC'!B:B,'New TB INC'!C261,'AJE 12 - INC'!D:D)</f>
        <v>0</v>
      </c>
      <c r="G261" s="108"/>
      <c r="H261" s="108"/>
      <c r="I261" s="108"/>
      <c r="J261" s="798">
        <f>SUM(E261:I261)</f>
        <v>-401006</v>
      </c>
      <c r="K261" s="209"/>
      <c r="L261" s="449"/>
      <c r="M261" s="835" t="s">
        <v>1494</v>
      </c>
      <c r="N261" s="772"/>
      <c r="O261" s="772"/>
      <c r="P261" s="772"/>
      <c r="Q261" s="772"/>
      <c r="R261" s="772"/>
      <c r="S261" s="772"/>
      <c r="T261" s="773"/>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510"/>
      <c r="AX261" s="820"/>
      <c r="AY261" s="820"/>
      <c r="AZ261" s="820"/>
      <c r="BC261" s="2510"/>
      <c r="BD261" s="2510"/>
      <c r="BE261" s="2510"/>
      <c r="BF261" s="2510"/>
      <c r="BH261" s="2510"/>
      <c r="BN261" s="209"/>
      <c r="BO261" s="209"/>
      <c r="BP261" s="209"/>
      <c r="BQ261" s="209"/>
      <c r="DB261" s="773"/>
      <c r="DC261" s="773"/>
      <c r="DD261" s="773"/>
      <c r="DE261" s="773"/>
      <c r="DF261" s="773"/>
      <c r="DG261" s="773"/>
      <c r="DH261" s="773"/>
      <c r="DI261" s="773"/>
      <c r="DJ261" s="773"/>
      <c r="DK261" s="773"/>
      <c r="DL261" s="773"/>
      <c r="DM261" s="773"/>
      <c r="DN261" s="773"/>
      <c r="DO261" s="773"/>
      <c r="DP261" s="773"/>
      <c r="DQ261" s="773"/>
      <c r="DR261" s="773"/>
      <c r="DS261" s="773"/>
      <c r="DT261" s="773"/>
      <c r="DU261" s="773"/>
      <c r="DV261" s="773"/>
      <c r="DW261" s="773"/>
      <c r="DX261" s="773"/>
      <c r="DY261" s="773"/>
      <c r="DZ261" s="773"/>
      <c r="EA261" s="773"/>
      <c r="EB261" s="773"/>
      <c r="EC261" s="773"/>
      <c r="ED261" s="773"/>
      <c r="EE261" s="773"/>
      <c r="EF261" s="773"/>
      <c r="EG261" s="773"/>
      <c r="EH261" s="773"/>
      <c r="EI261" s="773"/>
      <c r="EJ261" s="773"/>
      <c r="EK261" s="773"/>
      <c r="EL261" s="773"/>
      <c r="EM261" s="773"/>
      <c r="EN261" s="773"/>
      <c r="EO261" s="773"/>
      <c r="EP261" s="773"/>
      <c r="EQ261" s="773"/>
      <c r="ER261" s="773"/>
      <c r="ES261" s="773"/>
      <c r="ET261" s="773"/>
      <c r="EU261" s="773"/>
      <c r="EV261" s="773"/>
      <c r="EW261" s="773"/>
      <c r="EX261" s="773"/>
      <c r="EY261" s="773"/>
      <c r="EZ261" s="773"/>
      <c r="FA261" s="773"/>
      <c r="FB261" s="773"/>
      <c r="FC261" s="773"/>
      <c r="FD261" s="773"/>
      <c r="FE261" s="773"/>
      <c r="FF261" s="773"/>
      <c r="FG261" s="773"/>
      <c r="FH261" s="773"/>
      <c r="FI261" s="773"/>
      <c r="FJ261" s="773"/>
      <c r="FK261" s="773"/>
      <c r="FL261" s="773"/>
      <c r="FM261" s="773"/>
      <c r="FN261" s="773"/>
      <c r="FO261" s="773"/>
      <c r="FP261" s="773"/>
      <c r="FQ261" s="773"/>
      <c r="FR261" s="773"/>
      <c r="FS261" s="773"/>
      <c r="FT261" s="773"/>
      <c r="FU261" s="773"/>
      <c r="FV261" s="773"/>
      <c r="FW261" s="773"/>
      <c r="FX261" s="773"/>
      <c r="FY261" s="773"/>
      <c r="FZ261" s="773"/>
      <c r="GA261" s="773"/>
      <c r="GB261" s="773"/>
      <c r="GC261" s="773"/>
      <c r="GD261" s="773"/>
      <c r="GE261" s="773"/>
      <c r="GF261" s="773"/>
      <c r="GG261" s="773"/>
      <c r="GH261" s="773"/>
      <c r="GI261" s="773"/>
      <c r="GJ261" s="773"/>
      <c r="GK261" s="773"/>
      <c r="GL261" s="773"/>
      <c r="GM261" s="773"/>
      <c r="GN261" s="773"/>
      <c r="GO261" s="773"/>
      <c r="GP261" s="773"/>
      <c r="GQ261" s="773"/>
      <c r="GR261" s="773"/>
      <c r="GS261" s="773"/>
      <c r="GT261" s="773"/>
      <c r="GU261" s="773"/>
      <c r="GV261" s="773"/>
      <c r="GW261" s="773"/>
      <c r="GX261" s="773"/>
      <c r="GY261" s="773"/>
      <c r="GZ261" s="773"/>
    </row>
    <row r="262" spans="1:208" s="11" customFormat="1">
      <c r="A262" s="774"/>
      <c r="B262" s="3761"/>
      <c r="C262" s="157"/>
      <c r="D262" s="167"/>
      <c r="E262" s="42"/>
      <c r="F262" s="108"/>
      <c r="G262" s="108"/>
      <c r="H262" s="108"/>
      <c r="I262" s="107"/>
      <c r="J262" s="798"/>
      <c r="K262" s="209"/>
      <c r="L262" s="449"/>
      <c r="M262" s="828"/>
      <c r="N262" s="772"/>
      <c r="O262" s="772"/>
      <c r="P262" s="772"/>
      <c r="Q262" s="772"/>
      <c r="R262" s="772"/>
      <c r="S262" s="772"/>
      <c r="T262" s="773"/>
      <c r="U262" s="941"/>
      <c r="V262" s="368"/>
      <c r="W262" s="368"/>
      <c r="X262" s="368"/>
      <c r="Y262" s="368"/>
      <c r="Z262" s="368"/>
      <c r="AA262" s="368"/>
      <c r="AB262" s="368"/>
      <c r="AC262" s="368"/>
      <c r="AD262" s="368"/>
      <c r="AE262" s="368"/>
      <c r="AF262" s="368"/>
      <c r="AG262" s="368"/>
      <c r="AH262" s="368"/>
      <c r="AI262" s="368"/>
      <c r="AJ262" s="368"/>
      <c r="AK262" s="368"/>
      <c r="AL262" s="368"/>
      <c r="AM262" s="368"/>
      <c r="AN262" s="368"/>
      <c r="AO262" s="368"/>
      <c r="AP262" s="368"/>
      <c r="AQ262" s="368"/>
      <c r="AR262" s="368"/>
      <c r="AS262" s="368"/>
      <c r="AT262" s="368"/>
      <c r="AU262" s="368"/>
      <c r="AV262" s="368"/>
      <c r="AW262" s="2511"/>
      <c r="AX262" s="820"/>
      <c r="AY262" s="820"/>
      <c r="AZ262" s="820"/>
      <c r="BA262" s="209"/>
      <c r="BB262" s="209"/>
      <c r="BC262" s="2511"/>
      <c r="BD262" s="2511"/>
      <c r="BE262" s="2511"/>
      <c r="BF262" s="2511"/>
      <c r="BH262" s="2511"/>
      <c r="BI262" s="209"/>
      <c r="BJ262" s="209"/>
      <c r="BK262" s="209"/>
      <c r="BL262" s="209"/>
      <c r="BM262" s="209"/>
      <c r="BN262" s="209"/>
      <c r="BO262" s="209"/>
      <c r="BP262" s="209"/>
      <c r="BQ262" s="209"/>
      <c r="DB262" s="773"/>
      <c r="DC262" s="773"/>
      <c r="DD262" s="773"/>
      <c r="DE262" s="773"/>
      <c r="DF262" s="773"/>
      <c r="DG262" s="773"/>
      <c r="DH262" s="773"/>
      <c r="DI262" s="773"/>
      <c r="DJ262" s="773"/>
      <c r="DK262" s="773"/>
      <c r="DL262" s="773"/>
      <c r="DM262" s="773"/>
      <c r="DN262" s="773"/>
      <c r="DO262" s="773"/>
      <c r="DP262" s="773"/>
      <c r="DQ262" s="773"/>
      <c r="DR262" s="773"/>
      <c r="DS262" s="773"/>
      <c r="DT262" s="773"/>
      <c r="DU262" s="773"/>
      <c r="DV262" s="773"/>
      <c r="DW262" s="773"/>
      <c r="DX262" s="773"/>
      <c r="DY262" s="773"/>
      <c r="DZ262" s="773"/>
      <c r="EA262" s="773"/>
      <c r="EB262" s="773"/>
      <c r="EC262" s="773"/>
      <c r="ED262" s="773"/>
      <c r="EE262" s="773"/>
      <c r="EF262" s="773"/>
      <c r="EG262" s="773"/>
      <c r="EH262" s="773"/>
      <c r="EI262" s="773"/>
      <c r="EJ262" s="773"/>
      <c r="EK262" s="773"/>
      <c r="EL262" s="773"/>
      <c r="EM262" s="773"/>
      <c r="EN262" s="773"/>
      <c r="EO262" s="773"/>
      <c r="EP262" s="773"/>
      <c r="EQ262" s="773"/>
      <c r="ER262" s="773"/>
      <c r="ES262" s="773"/>
      <c r="ET262" s="773"/>
      <c r="EU262" s="773"/>
      <c r="EV262" s="773"/>
      <c r="EW262" s="773"/>
      <c r="EX262" s="773"/>
      <c r="EY262" s="773"/>
      <c r="EZ262" s="773"/>
      <c r="FA262" s="773"/>
      <c r="FB262" s="773"/>
      <c r="FC262" s="773"/>
      <c r="FD262" s="773"/>
      <c r="FE262" s="773"/>
      <c r="FF262" s="773"/>
      <c r="FG262" s="773"/>
      <c r="FH262" s="773"/>
      <c r="FI262" s="773"/>
      <c r="FJ262" s="773"/>
      <c r="FK262" s="773"/>
      <c r="FL262" s="773"/>
      <c r="FM262" s="773"/>
      <c r="FN262" s="773"/>
      <c r="FO262" s="773"/>
      <c r="FP262" s="773"/>
      <c r="FQ262" s="773"/>
      <c r="FR262" s="773"/>
      <c r="FS262" s="773"/>
      <c r="FT262" s="773"/>
      <c r="FU262" s="773"/>
      <c r="FV262" s="773"/>
      <c r="FW262" s="773"/>
      <c r="FX262" s="773"/>
      <c r="FY262" s="773"/>
      <c r="FZ262" s="773"/>
      <c r="GA262" s="773"/>
      <c r="GB262" s="773"/>
      <c r="GC262" s="773"/>
      <c r="GD262" s="773"/>
      <c r="GE262" s="773"/>
      <c r="GF262" s="773"/>
      <c r="GG262" s="773"/>
      <c r="GH262" s="773"/>
      <c r="GI262" s="773"/>
      <c r="GJ262" s="773"/>
      <c r="GK262" s="773"/>
      <c r="GL262" s="773"/>
      <c r="GM262" s="773"/>
      <c r="GN262" s="773"/>
      <c r="GO262" s="773"/>
      <c r="GP262" s="773"/>
      <c r="GQ262" s="773"/>
      <c r="GR262" s="773"/>
      <c r="GS262" s="773"/>
      <c r="GT262" s="773"/>
      <c r="GU262" s="773"/>
      <c r="GV262" s="773"/>
      <c r="GW262" s="773"/>
      <c r="GX262" s="773"/>
      <c r="GY262" s="773"/>
      <c r="GZ262" s="773"/>
    </row>
    <row r="263" spans="1:208" s="11" customFormat="1">
      <c r="A263" s="774"/>
      <c r="B263" s="3761"/>
      <c r="C263" s="942"/>
      <c r="D263" s="935" t="s">
        <v>72</v>
      </c>
      <c r="E263" s="392">
        <f t="shared" ref="E263:J263" si="21">SUM(E261:E262)</f>
        <v>-401006</v>
      </c>
      <c r="F263" s="392">
        <f t="shared" si="21"/>
        <v>0</v>
      </c>
      <c r="G263" s="392">
        <f t="shared" si="21"/>
        <v>0</v>
      </c>
      <c r="H263" s="392">
        <f t="shared" si="21"/>
        <v>0</v>
      </c>
      <c r="I263" s="392">
        <f t="shared" si="21"/>
        <v>0</v>
      </c>
      <c r="J263" s="392">
        <f t="shared" si="21"/>
        <v>-401006</v>
      </c>
      <c r="K263" s="209"/>
      <c r="L263" s="449"/>
      <c r="M263" s="828"/>
      <c r="N263" s="772"/>
      <c r="O263" s="772"/>
      <c r="P263" s="772"/>
      <c r="Q263" s="772"/>
      <c r="R263" s="772"/>
      <c r="S263" s="772"/>
      <c r="T263" s="773"/>
      <c r="U263" s="941"/>
      <c r="V263" s="368"/>
      <c r="W263" s="368"/>
      <c r="X263" s="368"/>
      <c r="Y263" s="368"/>
      <c r="Z263" s="368"/>
      <c r="AA263" s="368"/>
      <c r="AB263" s="368"/>
      <c r="AC263" s="368"/>
      <c r="AD263" s="368"/>
      <c r="AE263" s="368"/>
      <c r="AF263" s="368"/>
      <c r="AG263" s="368"/>
      <c r="AH263" s="368"/>
      <c r="AI263" s="368"/>
      <c r="AJ263" s="368"/>
      <c r="AK263" s="368"/>
      <c r="AL263" s="368"/>
      <c r="AM263" s="368"/>
      <c r="AN263" s="368"/>
      <c r="AO263" s="368"/>
      <c r="AP263" s="368"/>
      <c r="AQ263" s="368"/>
      <c r="AR263" s="368"/>
      <c r="AS263" s="368"/>
      <c r="AT263" s="368"/>
      <c r="AU263" s="368"/>
      <c r="AV263" s="368"/>
      <c r="AW263" s="2511"/>
      <c r="AX263" s="820"/>
      <c r="AY263" s="820"/>
      <c r="AZ263" s="820"/>
      <c r="BA263" s="209"/>
      <c r="BB263" s="209"/>
      <c r="BC263" s="2511"/>
      <c r="BD263" s="2511"/>
      <c r="BE263" s="2511"/>
      <c r="BF263" s="2511"/>
      <c r="BH263" s="2511"/>
      <c r="BI263" s="209"/>
      <c r="BJ263" s="209"/>
      <c r="BK263" s="209"/>
      <c r="BL263" s="209"/>
      <c r="BM263" s="209"/>
      <c r="BN263" s="209"/>
      <c r="BO263" s="209"/>
      <c r="BP263" s="209"/>
      <c r="BQ263" s="209"/>
      <c r="DB263" s="773"/>
      <c r="DC263" s="773"/>
      <c r="DD263" s="773"/>
      <c r="DE263" s="773"/>
      <c r="DF263" s="773"/>
      <c r="DG263" s="773"/>
      <c r="DH263" s="773"/>
      <c r="DI263" s="773"/>
      <c r="DJ263" s="773"/>
      <c r="DK263" s="773"/>
      <c r="DL263" s="773"/>
      <c r="DM263" s="773"/>
      <c r="DN263" s="773"/>
      <c r="DO263" s="773"/>
      <c r="DP263" s="773"/>
      <c r="DQ263" s="773"/>
      <c r="DR263" s="773"/>
      <c r="DS263" s="773"/>
      <c r="DT263" s="773"/>
      <c r="DU263" s="773"/>
      <c r="DV263" s="773"/>
      <c r="DW263" s="773"/>
      <c r="DX263" s="773"/>
      <c r="DY263" s="773"/>
      <c r="DZ263" s="773"/>
      <c r="EA263" s="773"/>
      <c r="EB263" s="773"/>
      <c r="EC263" s="773"/>
      <c r="ED263" s="773"/>
      <c r="EE263" s="773"/>
      <c r="EF263" s="773"/>
      <c r="EG263" s="773"/>
      <c r="EH263" s="773"/>
      <c r="EI263" s="773"/>
      <c r="EJ263" s="773"/>
      <c r="EK263" s="773"/>
      <c r="EL263" s="773"/>
      <c r="EM263" s="773"/>
      <c r="EN263" s="773"/>
      <c r="EO263" s="773"/>
      <c r="EP263" s="773"/>
      <c r="EQ263" s="773"/>
      <c r="ER263" s="773"/>
      <c r="ES263" s="773"/>
      <c r="ET263" s="773"/>
      <c r="EU263" s="773"/>
      <c r="EV263" s="773"/>
      <c r="EW263" s="773"/>
      <c r="EX263" s="773"/>
      <c r="EY263" s="773"/>
      <c r="EZ263" s="773"/>
      <c r="FA263" s="773"/>
      <c r="FB263" s="773"/>
      <c r="FC263" s="773"/>
      <c r="FD263" s="773"/>
      <c r="FE263" s="773"/>
      <c r="FF263" s="773"/>
      <c r="FG263" s="773"/>
      <c r="FH263" s="773"/>
      <c r="FI263" s="773"/>
      <c r="FJ263" s="773"/>
      <c r="FK263" s="773"/>
      <c r="FL263" s="773"/>
      <c r="FM263" s="773"/>
      <c r="FN263" s="773"/>
      <c r="FO263" s="773"/>
      <c r="FP263" s="773"/>
      <c r="FQ263" s="773"/>
      <c r="FR263" s="773"/>
      <c r="FS263" s="773"/>
      <c r="FT263" s="773"/>
      <c r="FU263" s="773"/>
      <c r="FV263" s="773"/>
      <c r="FW263" s="773"/>
      <c r="FX263" s="773"/>
      <c r="FY263" s="773"/>
      <c r="FZ263" s="773"/>
      <c r="GA263" s="773"/>
      <c r="GB263" s="773"/>
      <c r="GC263" s="773"/>
      <c r="GD263" s="773"/>
      <c r="GE263" s="773"/>
      <c r="GF263" s="773"/>
      <c r="GG263" s="773"/>
      <c r="GH263" s="773"/>
      <c r="GI263" s="773"/>
      <c r="GJ263" s="773"/>
      <c r="GK263" s="773"/>
      <c r="GL263" s="773"/>
      <c r="GM263" s="773"/>
      <c r="GN263" s="773"/>
      <c r="GO263" s="773"/>
      <c r="GP263" s="773"/>
      <c r="GQ263" s="773"/>
      <c r="GR263" s="773"/>
      <c r="GS263" s="773"/>
      <c r="GT263" s="773"/>
      <c r="GU263" s="773"/>
      <c r="GV263" s="773"/>
      <c r="GW263" s="773"/>
      <c r="GX263" s="773"/>
      <c r="GY263" s="773"/>
      <c r="GZ263" s="773"/>
    </row>
    <row r="264" spans="1:208" s="11" customFormat="1">
      <c r="A264" s="774"/>
      <c r="B264" s="3761"/>
      <c r="C264" s="781"/>
      <c r="D264" s="111"/>
      <c r="E264" s="827"/>
      <c r="F264" s="769"/>
      <c r="G264" s="769"/>
      <c r="H264" s="769"/>
      <c r="I264" s="769"/>
      <c r="J264" s="796"/>
      <c r="K264" s="209"/>
      <c r="L264" s="434"/>
      <c r="M264" s="810"/>
      <c r="N264" s="772"/>
      <c r="O264" s="772"/>
      <c r="P264" s="772"/>
      <c r="Q264" s="772"/>
      <c r="R264" s="772"/>
      <c r="S264" s="772"/>
      <c r="T264" s="773"/>
      <c r="U264" s="941"/>
      <c r="V264" s="368"/>
      <c r="W264" s="368"/>
      <c r="X264" s="368"/>
      <c r="Y264" s="368"/>
      <c r="Z264" s="368"/>
      <c r="AA264" s="368"/>
      <c r="AB264" s="368"/>
      <c r="AC264" s="368"/>
      <c r="AD264" s="368"/>
      <c r="AE264" s="368"/>
      <c r="AF264" s="368"/>
      <c r="AG264" s="368"/>
      <c r="AH264" s="368"/>
      <c r="AI264" s="368"/>
      <c r="AJ264" s="368"/>
      <c r="AK264" s="368"/>
      <c r="AL264" s="368"/>
      <c r="AM264" s="368"/>
      <c r="AN264" s="368"/>
      <c r="AO264" s="368"/>
      <c r="AP264" s="368"/>
      <c r="AQ264" s="368"/>
      <c r="AR264" s="368"/>
      <c r="AS264" s="368"/>
      <c r="AT264" s="368"/>
      <c r="AU264" s="368"/>
      <c r="AV264" s="368"/>
      <c r="AW264" s="2511"/>
      <c r="AX264" s="820"/>
      <c r="AY264" s="820"/>
      <c r="AZ264" s="820"/>
      <c r="BA264" s="209"/>
      <c r="BB264" s="209"/>
      <c r="BC264" s="2511"/>
      <c r="BD264" s="2511"/>
      <c r="BE264" s="2511"/>
      <c r="BF264" s="2511"/>
      <c r="BH264" s="2511"/>
      <c r="BI264" s="209"/>
      <c r="BJ264" s="209"/>
      <c r="BK264" s="209"/>
      <c r="BL264" s="209"/>
      <c r="BM264" s="209"/>
      <c r="BN264" s="209"/>
      <c r="BO264" s="209"/>
      <c r="BP264" s="209"/>
      <c r="BQ264" s="209"/>
      <c r="DB264" s="773"/>
      <c r="DC264" s="773"/>
      <c r="DD264" s="773"/>
      <c r="DE264" s="773"/>
      <c r="DF264" s="773"/>
      <c r="DG264" s="773"/>
      <c r="DH264" s="773"/>
      <c r="DI264" s="773"/>
      <c r="DJ264" s="773"/>
      <c r="DK264" s="773"/>
      <c r="DL264" s="773"/>
      <c r="DM264" s="773"/>
      <c r="DN264" s="773"/>
      <c r="DO264" s="773"/>
      <c r="DP264" s="773"/>
      <c r="DQ264" s="773"/>
      <c r="DR264" s="773"/>
      <c r="DS264" s="773"/>
      <c r="DT264" s="773"/>
      <c r="DU264" s="773"/>
      <c r="DV264" s="773"/>
      <c r="DW264" s="773"/>
      <c r="DX264" s="773"/>
      <c r="DY264" s="773"/>
      <c r="DZ264" s="773"/>
      <c r="EA264" s="773"/>
      <c r="EB264" s="773"/>
      <c r="EC264" s="773"/>
      <c r="ED264" s="773"/>
      <c r="EE264" s="773"/>
      <c r="EF264" s="773"/>
      <c r="EG264" s="773"/>
      <c r="EH264" s="773"/>
      <c r="EI264" s="773"/>
      <c r="EJ264" s="773"/>
      <c r="EK264" s="773"/>
      <c r="EL264" s="773"/>
      <c r="EM264" s="773"/>
      <c r="EN264" s="773"/>
      <c r="EO264" s="773"/>
      <c r="EP264" s="773"/>
      <c r="EQ264" s="773"/>
      <c r="ER264" s="773"/>
      <c r="ES264" s="773"/>
      <c r="ET264" s="773"/>
      <c r="EU264" s="773"/>
      <c r="EV264" s="773"/>
      <c r="EW264" s="773"/>
      <c r="EX264" s="773"/>
      <c r="EY264" s="773"/>
      <c r="EZ264" s="773"/>
      <c r="FA264" s="773"/>
      <c r="FB264" s="773"/>
      <c r="FC264" s="773"/>
      <c r="FD264" s="773"/>
      <c r="FE264" s="773"/>
      <c r="FF264" s="773"/>
      <c r="FG264" s="773"/>
      <c r="FH264" s="773"/>
      <c r="FI264" s="773"/>
      <c r="FJ264" s="773"/>
      <c r="FK264" s="773"/>
      <c r="FL264" s="773"/>
      <c r="FM264" s="773"/>
      <c r="FN264" s="773"/>
      <c r="FO264" s="773"/>
      <c r="FP264" s="773"/>
      <c r="FQ264" s="773"/>
      <c r="FR264" s="773"/>
      <c r="FS264" s="773"/>
      <c r="FT264" s="773"/>
      <c r="FU264" s="773"/>
      <c r="FV264" s="773"/>
      <c r="FW264" s="773"/>
      <c r="FX264" s="773"/>
      <c r="FY264" s="773"/>
      <c r="FZ264" s="773"/>
      <c r="GA264" s="773"/>
      <c r="GB264" s="773"/>
      <c r="GC264" s="773"/>
      <c r="GD264" s="773"/>
      <c r="GE264" s="773"/>
      <c r="GF264" s="773"/>
      <c r="GG264" s="773"/>
      <c r="GH264" s="773"/>
      <c r="GI264" s="773"/>
      <c r="GJ264" s="773"/>
      <c r="GK264" s="773"/>
      <c r="GL264" s="773"/>
      <c r="GM264" s="773"/>
      <c r="GN264" s="773"/>
      <c r="GO264" s="773"/>
      <c r="GP264" s="773"/>
      <c r="GQ264" s="773"/>
      <c r="GR264" s="773"/>
      <c r="GS264" s="773"/>
      <c r="GT264" s="773"/>
      <c r="GU264" s="773"/>
      <c r="GV264" s="773"/>
      <c r="GW264" s="773"/>
      <c r="GX264" s="773"/>
      <c r="GY264" s="773"/>
      <c r="GZ264" s="773"/>
    </row>
    <row r="265" spans="1:208" s="11" customFormat="1">
      <c r="A265" s="774"/>
      <c r="B265" s="3761"/>
      <c r="C265" s="847"/>
      <c r="D265" s="939" t="s">
        <v>73</v>
      </c>
      <c r="E265" s="836">
        <f t="shared" ref="E265:J265" si="22">E259+E263</f>
        <v>121206.73999999999</v>
      </c>
      <c r="F265" s="836">
        <f t="shared" si="22"/>
        <v>0</v>
      </c>
      <c r="G265" s="836">
        <f t="shared" si="22"/>
        <v>0</v>
      </c>
      <c r="H265" s="837">
        <f t="shared" si="22"/>
        <v>0</v>
      </c>
      <c r="I265" s="837">
        <f t="shared" si="22"/>
        <v>0</v>
      </c>
      <c r="J265" s="837">
        <f t="shared" si="22"/>
        <v>121206.73999999999</v>
      </c>
      <c r="K265" s="209"/>
      <c r="L265" s="434"/>
      <c r="M265" s="810"/>
      <c r="N265" s="772"/>
      <c r="O265" s="772"/>
      <c r="P265" s="772"/>
      <c r="Q265" s="772"/>
      <c r="R265" s="772"/>
      <c r="S265" s="772"/>
      <c r="T265" s="773"/>
      <c r="U265" s="941"/>
      <c r="V265" s="368"/>
      <c r="W265" s="368"/>
      <c r="X265" s="368"/>
      <c r="Y265" s="368"/>
      <c r="Z265" s="368"/>
      <c r="AA265" s="368"/>
      <c r="AB265" s="368"/>
      <c r="AC265" s="368"/>
      <c r="AD265" s="368"/>
      <c r="AE265" s="368"/>
      <c r="AF265" s="368"/>
      <c r="AG265" s="368"/>
      <c r="AH265" s="368"/>
      <c r="AI265" s="368"/>
      <c r="AJ265" s="368"/>
      <c r="AK265" s="368"/>
      <c r="AL265" s="368"/>
      <c r="AM265" s="368"/>
      <c r="AN265" s="368"/>
      <c r="AO265" s="368"/>
      <c r="AP265" s="368"/>
      <c r="AQ265" s="368"/>
      <c r="AR265" s="368"/>
      <c r="AS265" s="368"/>
      <c r="AT265" s="368"/>
      <c r="AU265" s="368"/>
      <c r="AV265" s="368"/>
      <c r="AW265" s="2511"/>
      <c r="AX265" s="820"/>
      <c r="AY265" s="820"/>
      <c r="AZ265" s="820"/>
      <c r="BA265" s="209"/>
      <c r="BB265" s="209"/>
      <c r="BC265" s="2511"/>
      <c r="BD265" s="2511"/>
      <c r="BE265" s="2511"/>
      <c r="BF265" s="2511"/>
      <c r="BH265" s="2511"/>
      <c r="BI265" s="209"/>
      <c r="BJ265" s="209"/>
      <c r="BK265" s="209"/>
      <c r="BL265" s="209"/>
      <c r="BM265" s="209"/>
      <c r="BN265" s="209"/>
      <c r="BO265" s="209"/>
      <c r="BP265" s="209"/>
      <c r="BQ265" s="209"/>
      <c r="DB265" s="773"/>
      <c r="DC265" s="773"/>
      <c r="DD265" s="773"/>
      <c r="DE265" s="773"/>
      <c r="DF265" s="773"/>
      <c r="DG265" s="773"/>
      <c r="DH265" s="773"/>
      <c r="DI265" s="773"/>
      <c r="DJ265" s="773"/>
      <c r="DK265" s="773"/>
      <c r="DL265" s="773"/>
      <c r="DM265" s="773"/>
      <c r="DN265" s="773"/>
      <c r="DO265" s="773"/>
      <c r="DP265" s="773"/>
      <c r="DQ265" s="773"/>
      <c r="DR265" s="773"/>
      <c r="DS265" s="773"/>
      <c r="DT265" s="773"/>
      <c r="DU265" s="773"/>
      <c r="DV265" s="773"/>
      <c r="DW265" s="773"/>
      <c r="DX265" s="773"/>
      <c r="DY265" s="773"/>
      <c r="DZ265" s="773"/>
      <c r="EA265" s="773"/>
      <c r="EB265" s="773"/>
      <c r="EC265" s="773"/>
      <c r="ED265" s="773"/>
      <c r="EE265" s="773"/>
      <c r="EF265" s="773"/>
      <c r="EG265" s="773"/>
      <c r="EH265" s="773"/>
      <c r="EI265" s="773"/>
      <c r="EJ265" s="773"/>
      <c r="EK265" s="773"/>
      <c r="EL265" s="773"/>
      <c r="EM265" s="773"/>
      <c r="EN265" s="773"/>
      <c r="EO265" s="773"/>
      <c r="EP265" s="773"/>
      <c r="EQ265" s="773"/>
      <c r="ER265" s="773"/>
      <c r="ES265" s="773"/>
      <c r="ET265" s="773"/>
      <c r="EU265" s="773"/>
      <c r="EV265" s="773"/>
      <c r="EW265" s="773"/>
      <c r="EX265" s="773"/>
      <c r="EY265" s="773"/>
      <c r="EZ265" s="773"/>
      <c r="FA265" s="773"/>
      <c r="FB265" s="773"/>
      <c r="FC265" s="773"/>
      <c r="FD265" s="773"/>
      <c r="FE265" s="773"/>
      <c r="FF265" s="773"/>
      <c r="FG265" s="773"/>
      <c r="FH265" s="773"/>
      <c r="FI265" s="773"/>
      <c r="FJ265" s="773"/>
      <c r="FK265" s="773"/>
      <c r="FL265" s="773"/>
      <c r="FM265" s="773"/>
      <c r="FN265" s="773"/>
      <c r="FO265" s="773"/>
      <c r="FP265" s="773"/>
      <c r="FQ265" s="773"/>
      <c r="FR265" s="773"/>
      <c r="FS265" s="773"/>
      <c r="FT265" s="773"/>
      <c r="FU265" s="773"/>
      <c r="FV265" s="773"/>
      <c r="FW265" s="773"/>
      <c r="FX265" s="773"/>
      <c r="FY265" s="773"/>
      <c r="FZ265" s="773"/>
      <c r="GA265" s="773"/>
      <c r="GB265" s="773"/>
      <c r="GC265" s="773"/>
      <c r="GD265" s="773"/>
      <c r="GE265" s="773"/>
      <c r="GF265" s="773"/>
      <c r="GG265" s="773"/>
      <c r="GH265" s="773"/>
      <c r="GI265" s="773"/>
      <c r="GJ265" s="773"/>
      <c r="GK265" s="773"/>
      <c r="GL265" s="773"/>
      <c r="GM265" s="773"/>
      <c r="GN265" s="773"/>
      <c r="GO265" s="773"/>
      <c r="GP265" s="773"/>
      <c r="GQ265" s="773"/>
      <c r="GR265" s="773"/>
      <c r="GS265" s="773"/>
      <c r="GT265" s="773"/>
      <c r="GU265" s="773"/>
      <c r="GV265" s="773"/>
      <c r="GW265" s="773"/>
      <c r="GX265" s="773"/>
      <c r="GY265" s="773"/>
      <c r="GZ265" s="773"/>
    </row>
    <row r="266" spans="1:208" s="11" customFormat="1" ht="13.5" thickBot="1">
      <c r="A266" s="774"/>
      <c r="B266" s="3761"/>
      <c r="C266" s="838"/>
      <c r="D266" s="390"/>
      <c r="E266" s="839"/>
      <c r="F266" s="839"/>
      <c r="G266" s="839"/>
      <c r="H266" s="769"/>
      <c r="I266" s="769"/>
      <c r="J266" s="839"/>
      <c r="K266" s="209"/>
      <c r="L266" s="434"/>
      <c r="M266" s="840"/>
      <c r="N266" s="772"/>
      <c r="O266" s="772"/>
      <c r="P266" s="772"/>
      <c r="Q266" s="772"/>
      <c r="R266" s="772"/>
      <c r="S266" s="772"/>
      <c r="T266" s="773"/>
      <c r="U266" s="941"/>
      <c r="V266" s="368"/>
      <c r="W266" s="368"/>
      <c r="X266" s="368"/>
      <c r="Y266" s="368"/>
      <c r="Z266" s="368"/>
      <c r="AA266" s="368"/>
      <c r="AB266" s="368"/>
      <c r="AC266" s="368"/>
      <c r="AD266" s="368"/>
      <c r="AE266" s="368"/>
      <c r="AF266" s="368"/>
      <c r="AG266" s="368"/>
      <c r="AH266" s="368"/>
      <c r="AI266" s="368"/>
      <c r="AJ266" s="368"/>
      <c r="AK266" s="368"/>
      <c r="AL266" s="368"/>
      <c r="AM266" s="368"/>
      <c r="AN266" s="368"/>
      <c r="AO266" s="368"/>
      <c r="AP266" s="368"/>
      <c r="AQ266" s="368"/>
      <c r="AR266" s="368"/>
      <c r="AS266" s="368"/>
      <c r="AT266" s="368"/>
      <c r="AU266" s="368"/>
      <c r="AV266" s="368"/>
      <c r="AW266" s="2510"/>
      <c r="AX266" s="820"/>
      <c r="AY266" s="820"/>
      <c r="AZ266" s="820"/>
      <c r="BC266" s="2510"/>
      <c r="BD266" s="2510"/>
      <c r="BE266" s="2510"/>
      <c r="BF266" s="2510"/>
      <c r="BH266" s="2510"/>
      <c r="BN266" s="209"/>
      <c r="BO266" s="209"/>
      <c r="BP266" s="209"/>
      <c r="BQ266" s="209"/>
      <c r="DB266" s="773"/>
      <c r="DC266" s="773"/>
      <c r="DD266" s="773"/>
      <c r="DE266" s="773"/>
      <c r="DF266" s="773"/>
      <c r="DG266" s="773"/>
      <c r="DH266" s="773"/>
      <c r="DI266" s="773"/>
      <c r="DJ266" s="773"/>
      <c r="DK266" s="773"/>
      <c r="DL266" s="773"/>
      <c r="DM266" s="773"/>
      <c r="DN266" s="773"/>
      <c r="DO266" s="773"/>
      <c r="DP266" s="773"/>
      <c r="DQ266" s="773"/>
      <c r="DR266" s="773"/>
      <c r="DS266" s="773"/>
      <c r="DT266" s="773"/>
      <c r="DU266" s="773"/>
      <c r="DV266" s="773"/>
      <c r="DW266" s="773"/>
      <c r="DX266" s="773"/>
      <c r="DY266" s="773"/>
      <c r="DZ266" s="773"/>
      <c r="EA266" s="773"/>
      <c r="EB266" s="773"/>
      <c r="EC266" s="773"/>
      <c r="ED266" s="773"/>
      <c r="EE266" s="773"/>
      <c r="EF266" s="773"/>
      <c r="EG266" s="773"/>
      <c r="EH266" s="773"/>
      <c r="EI266" s="773"/>
      <c r="EJ266" s="773"/>
      <c r="EK266" s="773"/>
      <c r="EL266" s="773"/>
      <c r="EM266" s="773"/>
      <c r="EN266" s="773"/>
      <c r="EO266" s="773"/>
      <c r="EP266" s="773"/>
      <c r="EQ266" s="773"/>
      <c r="ER266" s="773"/>
      <c r="ES266" s="773"/>
      <c r="ET266" s="773"/>
      <c r="EU266" s="773"/>
      <c r="EV266" s="773"/>
      <c r="EW266" s="773"/>
      <c r="EX266" s="773"/>
      <c r="EY266" s="773"/>
      <c r="EZ266" s="773"/>
      <c r="FA266" s="773"/>
      <c r="FB266" s="773"/>
      <c r="FC266" s="773"/>
      <c r="FD266" s="773"/>
      <c r="FE266" s="773"/>
      <c r="FF266" s="773"/>
      <c r="FG266" s="773"/>
      <c r="FH266" s="773"/>
      <c r="FI266" s="773"/>
      <c r="FJ266" s="773"/>
      <c r="FK266" s="773"/>
      <c r="FL266" s="773"/>
      <c r="FM266" s="773"/>
      <c r="FN266" s="773"/>
      <c r="FO266" s="773"/>
      <c r="FP266" s="773"/>
      <c r="FQ266" s="773"/>
      <c r="FR266" s="773"/>
      <c r="FS266" s="773"/>
      <c r="FT266" s="773"/>
      <c r="FU266" s="773"/>
      <c r="FV266" s="773"/>
      <c r="FW266" s="773"/>
      <c r="FX266" s="773"/>
      <c r="FY266" s="773"/>
      <c r="FZ266" s="773"/>
      <c r="GA266" s="773"/>
      <c r="GB266" s="773"/>
      <c r="GC266" s="773"/>
      <c r="GD266" s="773"/>
      <c r="GE266" s="773"/>
      <c r="GF266" s="773"/>
      <c r="GG266" s="773"/>
      <c r="GH266" s="773"/>
      <c r="GI266" s="773"/>
      <c r="GJ266" s="773"/>
      <c r="GK266" s="773"/>
      <c r="GL266" s="773"/>
      <c r="GM266" s="773"/>
      <c r="GN266" s="773"/>
      <c r="GO266" s="773"/>
      <c r="GP266" s="773"/>
      <c r="GQ266" s="773"/>
      <c r="GR266" s="773"/>
      <c r="GS266" s="773"/>
      <c r="GT266" s="773"/>
      <c r="GU266" s="773"/>
      <c r="GV266" s="773"/>
      <c r="GW266" s="773"/>
      <c r="GX266" s="773"/>
      <c r="GY266" s="773"/>
      <c r="GZ266" s="773"/>
    </row>
    <row r="267" spans="1:208" s="11" customFormat="1" ht="13.5" thickBot="1">
      <c r="A267" s="774"/>
      <c r="B267" s="3761"/>
      <c r="C267" s="841"/>
      <c r="D267" s="932" t="s">
        <v>38</v>
      </c>
      <c r="E267" s="796"/>
      <c r="F267" s="769"/>
      <c r="G267" s="769"/>
      <c r="H267" s="769"/>
      <c r="I267" s="769"/>
      <c r="J267" s="796"/>
      <c r="K267" s="209"/>
      <c r="L267" s="434"/>
      <c r="M267" s="810"/>
      <c r="N267" s="772"/>
      <c r="O267" s="772"/>
      <c r="P267" s="772"/>
      <c r="Q267" s="772"/>
      <c r="R267" s="772"/>
      <c r="S267" s="772"/>
      <c r="T267" s="773"/>
      <c r="U267" s="941"/>
      <c r="V267" s="209"/>
      <c r="W267" s="209"/>
      <c r="X267" s="209"/>
      <c r="Y267" s="209"/>
      <c r="Z267" s="209"/>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511"/>
      <c r="AX267" s="820"/>
      <c r="AY267" s="820"/>
      <c r="AZ267" s="820"/>
      <c r="BA267" s="209"/>
      <c r="BB267" s="209"/>
      <c r="BC267" s="2511"/>
      <c r="BD267" s="2511"/>
      <c r="BE267" s="2511"/>
      <c r="BF267" s="2511"/>
      <c r="BH267" s="2511"/>
      <c r="BI267" s="209"/>
      <c r="BJ267" s="209"/>
      <c r="BK267" s="209"/>
      <c r="BL267" s="209"/>
      <c r="BM267" s="209"/>
      <c r="BN267" s="209"/>
      <c r="BO267" s="209"/>
      <c r="BP267" s="209"/>
      <c r="BQ267" s="209"/>
      <c r="DB267" s="773"/>
      <c r="DC267" s="773"/>
      <c r="DD267" s="773"/>
      <c r="DE267" s="773"/>
      <c r="DF267" s="773"/>
      <c r="DG267" s="773"/>
      <c r="DH267" s="773"/>
      <c r="DI267" s="773"/>
      <c r="DJ267" s="773"/>
      <c r="DK267" s="773"/>
      <c r="DL267" s="773"/>
      <c r="DM267" s="773"/>
      <c r="DN267" s="773"/>
      <c r="DO267" s="773"/>
      <c r="DP267" s="773"/>
      <c r="DQ267" s="773"/>
      <c r="DR267" s="773"/>
      <c r="DS267" s="773"/>
      <c r="DT267" s="773"/>
      <c r="DU267" s="773"/>
      <c r="DV267" s="773"/>
      <c r="DW267" s="773"/>
      <c r="DX267" s="773"/>
      <c r="DY267" s="773"/>
      <c r="DZ267" s="773"/>
      <c r="EA267" s="773"/>
      <c r="EB267" s="773"/>
      <c r="EC267" s="773"/>
      <c r="ED267" s="773"/>
      <c r="EE267" s="773"/>
      <c r="EF267" s="773"/>
      <c r="EG267" s="773"/>
      <c r="EH267" s="773"/>
      <c r="EI267" s="773"/>
      <c r="EJ267" s="773"/>
      <c r="EK267" s="773"/>
      <c r="EL267" s="773"/>
      <c r="EM267" s="773"/>
      <c r="EN267" s="773"/>
      <c r="EO267" s="773"/>
      <c r="EP267" s="773"/>
      <c r="EQ267" s="773"/>
      <c r="ER267" s="773"/>
      <c r="ES267" s="773"/>
      <c r="ET267" s="773"/>
      <c r="EU267" s="773"/>
      <c r="EV267" s="773"/>
      <c r="EW267" s="773"/>
      <c r="EX267" s="773"/>
      <c r="EY267" s="773"/>
      <c r="EZ267" s="773"/>
      <c r="FA267" s="773"/>
      <c r="FB267" s="773"/>
      <c r="FC267" s="773"/>
      <c r="FD267" s="773"/>
      <c r="FE267" s="773"/>
      <c r="FF267" s="773"/>
      <c r="FG267" s="773"/>
      <c r="FH267" s="773"/>
      <c r="FI267" s="773"/>
      <c r="FJ267" s="773"/>
      <c r="FK267" s="773"/>
      <c r="FL267" s="773"/>
      <c r="FM267" s="773"/>
      <c r="FN267" s="773"/>
      <c r="FO267" s="773"/>
      <c r="FP267" s="773"/>
      <c r="FQ267" s="773"/>
      <c r="FR267" s="773"/>
      <c r="FS267" s="773"/>
      <c r="FT267" s="773"/>
      <c r="FU267" s="773"/>
      <c r="FV267" s="773"/>
      <c r="FW267" s="773"/>
      <c r="FX267" s="773"/>
      <c r="FY267" s="773"/>
      <c r="FZ267" s="773"/>
      <c r="GA267" s="773"/>
      <c r="GB267" s="773"/>
      <c r="GC267" s="773"/>
      <c r="GD267" s="773"/>
      <c r="GE267" s="773"/>
      <c r="GF267" s="773"/>
      <c r="GG267" s="773"/>
      <c r="GH267" s="773"/>
      <c r="GI267" s="773"/>
      <c r="GJ267" s="773"/>
      <c r="GK267" s="773"/>
      <c r="GL267" s="773"/>
      <c r="GM267" s="773"/>
      <c r="GN267" s="773"/>
      <c r="GO267" s="773"/>
      <c r="GP267" s="773"/>
      <c r="GQ267" s="773"/>
      <c r="GR267" s="773"/>
      <c r="GS267" s="773"/>
      <c r="GT267" s="773"/>
      <c r="GU267" s="773"/>
      <c r="GV267" s="773"/>
      <c r="GW267" s="773"/>
      <c r="GX267" s="773"/>
      <c r="GY267" s="773"/>
      <c r="GZ267" s="773"/>
    </row>
    <row r="268" spans="1:208" s="11" customFormat="1" ht="13.5" thickBot="1">
      <c r="A268" s="774"/>
      <c r="B268" s="3784" t="s">
        <v>799</v>
      </c>
      <c r="C268" s="603">
        <v>1120001</v>
      </c>
      <c r="D268" s="200" t="s">
        <v>800</v>
      </c>
      <c r="E268" s="42">
        <f>VLOOKUP(C268,'AJE 12 - INC'!$D$168:$F$345,3,0)</f>
        <v>0.24</v>
      </c>
      <c r="F268" s="108">
        <f>SUMIF('AJE 12 - INC'!B:B,'New TB INC'!C268,'AJE 12 - INC'!D:D)</f>
        <v>0</v>
      </c>
      <c r="G268" s="107"/>
      <c r="H268" s="107"/>
      <c r="I268" s="107"/>
      <c r="J268" s="798">
        <f t="shared" ref="J268:J275" si="23">SUM(E268:I268)</f>
        <v>0.24</v>
      </c>
      <c r="K268" s="209"/>
      <c r="L268" s="449"/>
      <c r="M268" s="803" t="s">
        <v>602</v>
      </c>
      <c r="N268" s="772"/>
      <c r="O268" s="772"/>
      <c r="P268" s="772"/>
      <c r="Q268" s="772"/>
      <c r="R268" s="772"/>
      <c r="S268" s="772"/>
      <c r="T268" s="773"/>
      <c r="U268" s="368"/>
      <c r="V268" s="209"/>
      <c r="W268" s="209"/>
      <c r="X268" s="209"/>
      <c r="Y268" s="209"/>
      <c r="Z268" s="209"/>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511"/>
      <c r="AX268" s="820"/>
      <c r="AY268" s="820"/>
      <c r="AZ268" s="820"/>
      <c r="BA268" s="209"/>
      <c r="BB268" s="209"/>
      <c r="BC268" s="2511"/>
      <c r="BD268" s="2511"/>
      <c r="BE268" s="2511"/>
      <c r="BF268" s="2511"/>
      <c r="BH268" s="2511"/>
      <c r="BI268" s="209"/>
      <c r="BJ268" s="209"/>
      <c r="BK268" s="209"/>
      <c r="BL268" s="209"/>
      <c r="BM268" s="209"/>
      <c r="BN268" s="209"/>
      <c r="BO268" s="209"/>
      <c r="BP268" s="209"/>
      <c r="BQ268" s="209"/>
      <c r="BR268" s="209"/>
      <c r="BS268" s="209"/>
      <c r="BT268" s="209"/>
      <c r="DB268" s="773"/>
      <c r="DC268" s="773"/>
      <c r="DD268" s="773"/>
      <c r="DE268" s="773"/>
      <c r="DF268" s="773"/>
      <c r="DG268" s="773"/>
      <c r="DH268" s="773"/>
      <c r="DI268" s="773"/>
      <c r="DJ268" s="773"/>
      <c r="DK268" s="773"/>
      <c r="DL268" s="773"/>
      <c r="DM268" s="773"/>
      <c r="DN268" s="773"/>
      <c r="DO268" s="773"/>
      <c r="DP268" s="773"/>
      <c r="DQ268" s="773"/>
      <c r="DR268" s="773"/>
      <c r="DS268" s="773"/>
      <c r="DT268" s="773"/>
      <c r="DU268" s="773"/>
      <c r="DV268" s="773"/>
      <c r="DW268" s="773"/>
      <c r="DX268" s="773"/>
      <c r="DY268" s="773"/>
      <c r="DZ268" s="773"/>
      <c r="EA268" s="773"/>
      <c r="EB268" s="773"/>
      <c r="EC268" s="773"/>
      <c r="ED268" s="773"/>
      <c r="EE268" s="773"/>
      <c r="EF268" s="773"/>
      <c r="EG268" s="773"/>
      <c r="EH268" s="773"/>
      <c r="EI268" s="773"/>
      <c r="EJ268" s="773"/>
      <c r="EK268" s="773"/>
      <c r="EL268" s="773"/>
      <c r="EM268" s="773"/>
      <c r="EN268" s="773"/>
      <c r="EO268" s="773"/>
      <c r="EP268" s="773"/>
      <c r="EQ268" s="773"/>
      <c r="ER268" s="773"/>
      <c r="ES268" s="773"/>
      <c r="ET268" s="773"/>
      <c r="EU268" s="773"/>
      <c r="EV268" s="773"/>
      <c r="EW268" s="773"/>
      <c r="EX268" s="773"/>
      <c r="EY268" s="773"/>
      <c r="EZ268" s="773"/>
      <c r="FA268" s="773"/>
      <c r="FB268" s="773"/>
      <c r="FC268" s="773"/>
      <c r="FD268" s="773"/>
      <c r="FE268" s="773"/>
      <c r="FF268" s="773"/>
      <c r="FG268" s="773"/>
      <c r="FH268" s="773"/>
      <c r="FI268" s="773"/>
      <c r="FJ268" s="773"/>
      <c r="FK268" s="773"/>
      <c r="FL268" s="773"/>
      <c r="FM268" s="773"/>
      <c r="FN268" s="773"/>
      <c r="FO268" s="773"/>
      <c r="FP268" s="773"/>
      <c r="FQ268" s="773"/>
      <c r="FR268" s="773"/>
      <c r="FS268" s="773"/>
      <c r="FT268" s="773"/>
      <c r="FU268" s="773"/>
      <c r="FV268" s="773"/>
      <c r="FW268" s="773"/>
      <c r="FX268" s="773"/>
      <c r="FY268" s="773"/>
      <c r="FZ268" s="773"/>
      <c r="GA268" s="773"/>
      <c r="GB268" s="773"/>
      <c r="GC268" s="773"/>
      <c r="GD268" s="773"/>
      <c r="GE268" s="773"/>
      <c r="GF268" s="773"/>
      <c r="GG268" s="773"/>
      <c r="GH268" s="773"/>
      <c r="GI268" s="773"/>
      <c r="GJ268" s="773"/>
      <c r="GK268" s="773"/>
      <c r="GL268" s="773"/>
      <c r="GM268" s="773"/>
      <c r="GN268" s="773"/>
      <c r="GO268" s="773"/>
      <c r="GP268" s="773"/>
      <c r="GQ268" s="773"/>
      <c r="GR268" s="773"/>
      <c r="GS268" s="773"/>
      <c r="GT268" s="773"/>
      <c r="GU268" s="773"/>
      <c r="GV268" s="773"/>
      <c r="GW268" s="773"/>
      <c r="GX268" s="773"/>
      <c r="GY268" s="773"/>
      <c r="GZ268" s="773"/>
    </row>
    <row r="269" spans="1:208" s="11" customFormat="1" ht="13.5" thickBot="1">
      <c r="A269" s="774"/>
      <c r="B269" s="3784" t="s">
        <v>807</v>
      </c>
      <c r="C269" s="603">
        <v>1620001</v>
      </c>
      <c r="D269" s="200" t="s">
        <v>808</v>
      </c>
      <c r="E269" s="42">
        <f>VLOOKUP(C269,'AJE 12 - INC'!$D$168:$F$345,3,0)</f>
        <v>45550.53</v>
      </c>
      <c r="F269" s="108">
        <f>SUMIF('AJE 12 - INC'!B:B,'New TB INC'!C269,'AJE 12 - INC'!D:D)</f>
        <v>0</v>
      </c>
      <c r="G269" s="107"/>
      <c r="H269" s="107"/>
      <c r="I269" s="107"/>
      <c r="J269" s="798">
        <f t="shared" si="23"/>
        <v>45550.53</v>
      </c>
      <c r="K269" s="956">
        <f>J269-'[145]מסים נדחים INC'!$C$14</f>
        <v>0.18758664771303302</v>
      </c>
      <c r="L269" s="449"/>
      <c r="M269" s="803" t="s">
        <v>2881</v>
      </c>
      <c r="N269" s="772"/>
      <c r="O269" s="772"/>
      <c r="P269" s="772"/>
      <c r="Q269" s="772"/>
      <c r="R269" s="772"/>
      <c r="S269" s="772"/>
      <c r="T269" s="773"/>
      <c r="U269" s="368"/>
      <c r="V269" s="209"/>
      <c r="W269" s="209"/>
      <c r="X269" s="209"/>
      <c r="Y269" s="209"/>
      <c r="Z269" s="209"/>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511"/>
      <c r="AX269" s="820"/>
      <c r="AY269" s="820"/>
      <c r="AZ269" s="820"/>
      <c r="BA269" s="209"/>
      <c r="BB269" s="209"/>
      <c r="BC269" s="2511"/>
      <c r="BD269" s="2511"/>
      <c r="BE269" s="2511"/>
      <c r="BF269" s="2511"/>
      <c r="BH269" s="2511"/>
      <c r="BI269" s="209"/>
      <c r="BJ269" s="209"/>
      <c r="BK269" s="209"/>
      <c r="BL269" s="209"/>
      <c r="BM269" s="209"/>
      <c r="BN269" s="209"/>
      <c r="BO269" s="209"/>
      <c r="BP269" s="209"/>
      <c r="BQ269" s="209"/>
      <c r="BR269" s="209"/>
      <c r="BS269" s="209"/>
      <c r="BT269" s="209"/>
      <c r="DB269" s="773"/>
      <c r="DC269" s="773"/>
      <c r="DD269" s="773"/>
      <c r="DE269" s="773"/>
      <c r="DF269" s="773"/>
      <c r="DG269" s="773"/>
      <c r="DH269" s="773"/>
      <c r="DI269" s="773"/>
      <c r="DJ269" s="773"/>
      <c r="DK269" s="773"/>
      <c r="DL269" s="773"/>
      <c r="DM269" s="773"/>
      <c r="DN269" s="773"/>
      <c r="DO269" s="773"/>
      <c r="DP269" s="773"/>
      <c r="DQ269" s="773"/>
      <c r="DR269" s="773"/>
      <c r="DS269" s="773"/>
      <c r="DT269" s="773"/>
      <c r="DU269" s="773"/>
      <c r="DV269" s="773"/>
      <c r="DW269" s="773"/>
      <c r="DX269" s="773"/>
      <c r="DY269" s="773"/>
      <c r="DZ269" s="773"/>
      <c r="EA269" s="773"/>
      <c r="EB269" s="773"/>
      <c r="EC269" s="773"/>
      <c r="ED269" s="773"/>
      <c r="EE269" s="773"/>
      <c r="EF269" s="773"/>
      <c r="EG269" s="773"/>
      <c r="EH269" s="773"/>
      <c r="EI269" s="773"/>
      <c r="EJ269" s="773"/>
      <c r="EK269" s="773"/>
      <c r="EL269" s="773"/>
      <c r="EM269" s="773"/>
      <c r="EN269" s="773"/>
      <c r="EO269" s="773"/>
      <c r="EP269" s="773"/>
      <c r="EQ269" s="773"/>
      <c r="ER269" s="773"/>
      <c r="ES269" s="773"/>
      <c r="ET269" s="773"/>
      <c r="EU269" s="773"/>
      <c r="EV269" s="773"/>
      <c r="EW269" s="773"/>
      <c r="EX269" s="773"/>
      <c r="EY269" s="773"/>
      <c r="EZ269" s="773"/>
      <c r="FA269" s="773"/>
      <c r="FB269" s="773"/>
      <c r="FC269" s="773"/>
      <c r="FD269" s="773"/>
      <c r="FE269" s="773"/>
      <c r="FF269" s="773"/>
      <c r="FG269" s="773"/>
      <c r="FH269" s="773"/>
      <c r="FI269" s="773"/>
      <c r="FJ269" s="773"/>
      <c r="FK269" s="773"/>
      <c r="FL269" s="773"/>
      <c r="FM269" s="773"/>
      <c r="FN269" s="773"/>
      <c r="FO269" s="773"/>
      <c r="FP269" s="773"/>
      <c r="FQ269" s="773"/>
      <c r="FR269" s="773"/>
      <c r="FS269" s="773"/>
      <c r="FT269" s="773"/>
      <c r="FU269" s="773"/>
      <c r="FV269" s="773"/>
      <c r="FW269" s="773"/>
      <c r="FX269" s="773"/>
      <c r="FY269" s="773"/>
      <c r="FZ269" s="773"/>
      <c r="GA269" s="773"/>
      <c r="GB269" s="773"/>
      <c r="GC269" s="773"/>
      <c r="GD269" s="773"/>
      <c r="GE269" s="773"/>
      <c r="GF269" s="773"/>
      <c r="GG269" s="773"/>
      <c r="GH269" s="773"/>
      <c r="GI269" s="773"/>
      <c r="GJ269" s="773"/>
      <c r="GK269" s="773"/>
      <c r="GL269" s="773"/>
      <c r="GM269" s="773"/>
      <c r="GN269" s="773"/>
      <c r="GO269" s="773"/>
      <c r="GP269" s="773"/>
      <c r="GQ269" s="773"/>
      <c r="GR269" s="773"/>
      <c r="GS269" s="773"/>
      <c r="GT269" s="773"/>
      <c r="GU269" s="773"/>
      <c r="GV269" s="773"/>
      <c r="GW269" s="773"/>
      <c r="GX269" s="773"/>
      <c r="GY269" s="773"/>
      <c r="GZ269" s="773"/>
    </row>
    <row r="270" spans="1:208" s="11" customFormat="1" ht="13.5" thickBot="1">
      <c r="A270" s="774"/>
      <c r="B270" s="3784" t="s">
        <v>2344</v>
      </c>
      <c r="C270" s="603">
        <v>1610005</v>
      </c>
      <c r="D270" s="200" t="s">
        <v>1887</v>
      </c>
      <c r="E270" s="42">
        <f>VLOOKUP(C270,'AJE 12 - INC'!$D$168:$F$345,3,0)</f>
        <v>1152543.54</v>
      </c>
      <c r="F270" s="108">
        <f>SUMIF('AJE 12 - INC'!B:B,'New TB INC'!C270,'AJE 12 - INC'!D:D)</f>
        <v>0</v>
      </c>
      <c r="G270" s="107"/>
      <c r="H270" s="107"/>
      <c r="I270" s="107"/>
      <c r="J270" s="859">
        <f t="shared" si="23"/>
        <v>1152543.54</v>
      </c>
      <c r="K270" s="956">
        <f>-SUM('606-Prepaid Comm&amp;DR SUB'!$C$58)+'New TB INC'!$J$270</f>
        <v>-0.37059996253810823</v>
      </c>
      <c r="L270" s="449"/>
      <c r="M270" s="854" t="s">
        <v>1908</v>
      </c>
      <c r="N270" s="772"/>
      <c r="O270" s="772"/>
      <c r="P270" s="772"/>
      <c r="Q270" s="772"/>
      <c r="R270" s="772"/>
      <c r="S270" s="772"/>
      <c r="T270" s="773"/>
      <c r="U270" s="368"/>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511"/>
      <c r="AX270" s="820"/>
      <c r="AY270" s="820"/>
      <c r="AZ270" s="820"/>
      <c r="BA270" s="209"/>
      <c r="BB270" s="209"/>
      <c r="BC270" s="2511"/>
      <c r="BD270" s="2511"/>
      <c r="BE270" s="2511"/>
      <c r="BF270" s="2511"/>
      <c r="BH270" s="2511"/>
      <c r="BI270" s="209"/>
      <c r="BJ270" s="209"/>
      <c r="BK270" s="209"/>
      <c r="BL270" s="209"/>
      <c r="BM270" s="209"/>
      <c r="BN270" s="209"/>
      <c r="BO270" s="209"/>
      <c r="BP270" s="209"/>
      <c r="BQ270" s="209"/>
      <c r="BR270" s="209"/>
      <c r="BS270" s="209"/>
      <c r="BT270" s="209"/>
      <c r="DB270" s="773"/>
      <c r="DC270" s="773"/>
      <c r="DD270" s="773"/>
      <c r="DE270" s="773"/>
      <c r="DF270" s="773"/>
      <c r="DG270" s="773"/>
      <c r="DH270" s="773"/>
      <c r="DI270" s="773"/>
      <c r="DJ270" s="773"/>
      <c r="DK270" s="773"/>
      <c r="DL270" s="773"/>
      <c r="DM270" s="773"/>
      <c r="DN270" s="773"/>
      <c r="DO270" s="773"/>
      <c r="DP270" s="773"/>
      <c r="DQ270" s="773"/>
      <c r="DR270" s="773"/>
      <c r="DS270" s="773"/>
      <c r="DT270" s="773"/>
      <c r="DU270" s="773"/>
      <c r="DV270" s="773"/>
      <c r="DW270" s="773"/>
      <c r="DX270" s="773"/>
      <c r="DY270" s="773"/>
      <c r="DZ270" s="773"/>
      <c r="EA270" s="773"/>
      <c r="EB270" s="773"/>
      <c r="EC270" s="773"/>
      <c r="ED270" s="773"/>
      <c r="EE270" s="773"/>
      <c r="EF270" s="773"/>
      <c r="EG270" s="773"/>
      <c r="EH270" s="773"/>
      <c r="EI270" s="773"/>
      <c r="EJ270" s="773"/>
      <c r="EK270" s="773"/>
      <c r="EL270" s="773"/>
      <c r="EM270" s="773"/>
      <c r="EN270" s="773"/>
      <c r="EO270" s="773"/>
      <c r="EP270" s="773"/>
      <c r="EQ270" s="773"/>
      <c r="ER270" s="773"/>
      <c r="ES270" s="773"/>
      <c r="ET270" s="773"/>
      <c r="EU270" s="773"/>
      <c r="EV270" s="773"/>
      <c r="EW270" s="773"/>
      <c r="EX270" s="773"/>
      <c r="EY270" s="773"/>
      <c r="EZ270" s="773"/>
      <c r="FA270" s="773"/>
      <c r="FB270" s="773"/>
      <c r="FC270" s="773"/>
      <c r="FD270" s="773"/>
      <c r="FE270" s="773"/>
      <c r="FF270" s="773"/>
      <c r="FG270" s="773"/>
      <c r="FH270" s="773"/>
      <c r="FI270" s="773"/>
      <c r="FJ270" s="773"/>
      <c r="FK270" s="773"/>
      <c r="FL270" s="773"/>
      <c r="FM270" s="773"/>
      <c r="FN270" s="773"/>
      <c r="FO270" s="773"/>
      <c r="FP270" s="773"/>
      <c r="FQ270" s="773"/>
      <c r="FR270" s="773"/>
      <c r="FS270" s="773"/>
      <c r="FT270" s="773"/>
      <c r="FU270" s="773"/>
      <c r="FV270" s="773"/>
      <c r="FW270" s="773"/>
      <c r="FX270" s="773"/>
      <c r="FY270" s="773"/>
      <c r="FZ270" s="773"/>
      <c r="GA270" s="773"/>
      <c r="GB270" s="773"/>
      <c r="GC270" s="773"/>
      <c r="GD270" s="773"/>
      <c r="GE270" s="773"/>
      <c r="GF270" s="773"/>
      <c r="GG270" s="773"/>
      <c r="GH270" s="773"/>
      <c r="GI270" s="773"/>
      <c r="GJ270" s="773"/>
      <c r="GK270" s="773"/>
      <c r="GL270" s="773"/>
      <c r="GM270" s="773"/>
      <c r="GN270" s="773"/>
      <c r="GO270" s="773"/>
      <c r="GP270" s="773"/>
      <c r="GQ270" s="773"/>
      <c r="GR270" s="773"/>
      <c r="GS270" s="773"/>
      <c r="GT270" s="773"/>
      <c r="GU270" s="773"/>
      <c r="GV270" s="773"/>
      <c r="GW270" s="773"/>
      <c r="GX270" s="773"/>
      <c r="GY270" s="773"/>
      <c r="GZ270" s="773"/>
    </row>
    <row r="271" spans="1:208" s="11" customFormat="1" ht="13.5" thickBot="1">
      <c r="A271" s="774"/>
      <c r="B271" s="3784" t="s">
        <v>687</v>
      </c>
      <c r="C271" s="603">
        <v>1130001</v>
      </c>
      <c r="D271" s="200" t="s">
        <v>801</v>
      </c>
      <c r="E271" s="42">
        <f>VLOOKUP(C271,'AJE 12 - INC'!$D$168:$F$345,3,0)</f>
        <v>5158528.63</v>
      </c>
      <c r="F271" s="108">
        <f>SUMIF('AJE 12 - INC'!B:B,'New TB INC'!C271,'AJE 12 - INC'!D:D)</f>
        <v>0</v>
      </c>
      <c r="G271" s="107"/>
      <c r="H271" s="107"/>
      <c r="I271" s="107"/>
      <c r="J271" s="798">
        <f t="shared" si="23"/>
        <v>5158528.63</v>
      </c>
      <c r="K271" s="956">
        <f>+'מאזן בוחן'!$K$501+J271</f>
        <v>4.9999999813735485E-2</v>
      </c>
      <c r="L271" s="434"/>
      <c r="M271" s="842"/>
      <c r="N271" s="772"/>
      <c r="O271" s="772"/>
      <c r="P271" s="772"/>
      <c r="Q271" s="772"/>
      <c r="R271" s="772"/>
      <c r="S271" s="772"/>
      <c r="T271" s="773"/>
      <c r="U271" s="368"/>
      <c r="V271" s="209"/>
      <c r="W271" s="209"/>
      <c r="X271" s="209"/>
      <c r="Y271" s="209"/>
      <c r="Z271" s="209"/>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511"/>
      <c r="AX271" s="820"/>
      <c r="AY271" s="820"/>
      <c r="AZ271" s="820"/>
      <c r="BA271" s="209"/>
      <c r="BB271" s="209"/>
      <c r="BC271" s="2511"/>
      <c r="BD271" s="2511"/>
      <c r="BE271" s="2511"/>
      <c r="BF271" s="2511"/>
      <c r="BH271" s="2511"/>
      <c r="BI271" s="209"/>
      <c r="BJ271" s="209"/>
      <c r="BK271" s="209"/>
      <c r="BL271" s="209"/>
      <c r="BM271" s="209"/>
      <c r="BN271" s="209"/>
      <c r="BO271" s="209"/>
      <c r="BP271" s="209"/>
      <c r="BQ271" s="209"/>
      <c r="BR271" s="209"/>
      <c r="BS271" s="209"/>
      <c r="BT271" s="209"/>
      <c r="DB271" s="773"/>
      <c r="DC271" s="773"/>
      <c r="DD271" s="773"/>
      <c r="DE271" s="773"/>
      <c r="DF271" s="773"/>
      <c r="DG271" s="773"/>
      <c r="DH271" s="773"/>
      <c r="DI271" s="773"/>
      <c r="DJ271" s="773"/>
      <c r="DK271" s="773"/>
      <c r="DL271" s="773"/>
      <c r="DM271" s="773"/>
      <c r="DN271" s="773"/>
      <c r="DO271" s="773"/>
      <c r="DP271" s="773"/>
      <c r="DQ271" s="773"/>
      <c r="DR271" s="773"/>
      <c r="DS271" s="773"/>
      <c r="DT271" s="773"/>
      <c r="DU271" s="773"/>
      <c r="DV271" s="773"/>
      <c r="DW271" s="773"/>
      <c r="DX271" s="773"/>
      <c r="DY271" s="773"/>
      <c r="DZ271" s="773"/>
      <c r="EA271" s="773"/>
      <c r="EB271" s="773"/>
      <c r="EC271" s="773"/>
      <c r="ED271" s="773"/>
      <c r="EE271" s="773"/>
      <c r="EF271" s="773"/>
      <c r="EG271" s="773"/>
      <c r="EH271" s="773"/>
      <c r="EI271" s="773"/>
      <c r="EJ271" s="773"/>
      <c r="EK271" s="773"/>
      <c r="EL271" s="773"/>
      <c r="EM271" s="773"/>
      <c r="EN271" s="773"/>
      <c r="EO271" s="773"/>
      <c r="EP271" s="773"/>
      <c r="EQ271" s="773"/>
      <c r="ER271" s="773"/>
      <c r="ES271" s="773"/>
      <c r="ET271" s="773"/>
      <c r="EU271" s="773"/>
      <c r="EV271" s="773"/>
      <c r="EW271" s="773"/>
      <c r="EX271" s="773"/>
      <c r="EY271" s="773"/>
      <c r="EZ271" s="773"/>
      <c r="FA271" s="773"/>
      <c r="FB271" s="773"/>
      <c r="FC271" s="773"/>
      <c r="FD271" s="773"/>
      <c r="FE271" s="773"/>
      <c r="FF271" s="773"/>
      <c r="FG271" s="773"/>
      <c r="FH271" s="773"/>
      <c r="FI271" s="773"/>
      <c r="FJ271" s="773"/>
      <c r="FK271" s="773"/>
      <c r="FL271" s="773"/>
      <c r="FM271" s="773"/>
      <c r="FN271" s="773"/>
      <c r="FO271" s="773"/>
      <c r="FP271" s="773"/>
      <c r="FQ271" s="773"/>
      <c r="FR271" s="773"/>
      <c r="FS271" s="773"/>
      <c r="FT271" s="773"/>
      <c r="FU271" s="773"/>
      <c r="FV271" s="773"/>
      <c r="FW271" s="773"/>
      <c r="FX271" s="773"/>
      <c r="FY271" s="773"/>
      <c r="FZ271" s="773"/>
      <c r="GA271" s="773"/>
      <c r="GB271" s="773"/>
      <c r="GC271" s="773"/>
      <c r="GD271" s="773"/>
      <c r="GE271" s="773"/>
      <c r="GF271" s="773"/>
      <c r="GG271" s="773"/>
      <c r="GH271" s="773"/>
      <c r="GI271" s="773"/>
      <c r="GJ271" s="773"/>
      <c r="GK271" s="773"/>
      <c r="GL271" s="773"/>
      <c r="GM271" s="773"/>
      <c r="GN271" s="773"/>
      <c r="GO271" s="773"/>
      <c r="GP271" s="773"/>
      <c r="GQ271" s="773"/>
      <c r="GR271" s="773"/>
      <c r="GS271" s="773"/>
      <c r="GT271" s="773"/>
      <c r="GU271" s="773"/>
      <c r="GV271" s="773"/>
      <c r="GW271" s="773"/>
      <c r="GX271" s="773"/>
      <c r="GY271" s="773"/>
      <c r="GZ271" s="773"/>
    </row>
    <row r="272" spans="1:208" s="11" customFormat="1" ht="13.5" thickBot="1">
      <c r="A272" s="774"/>
      <c r="B272" s="3784" t="s">
        <v>687</v>
      </c>
      <c r="C272" s="603">
        <v>1130003</v>
      </c>
      <c r="D272" s="200" t="s">
        <v>405</v>
      </c>
      <c r="E272" s="809">
        <f>IFERROR(VLOOKUP(C272,'AJE 12 - INC'!$D$168:$F$345,3,0),0)</f>
        <v>0</v>
      </c>
      <c r="F272" s="1325">
        <f>SUMIF('AJE 12 - INC'!B:B,'New TB INC'!C272,'AJE 12 - INC'!D:D)</f>
        <v>0</v>
      </c>
      <c r="G272" s="1326"/>
      <c r="H272" s="1326"/>
      <c r="I272" s="1326"/>
      <c r="J272" s="796">
        <f t="shared" si="23"/>
        <v>0</v>
      </c>
      <c r="K272" s="956">
        <f>'מאזן בוחן EUROPE'!K172+J272</f>
        <v>0</v>
      </c>
      <c r="L272" s="434"/>
      <c r="M272" s="842"/>
      <c r="N272" s="772"/>
      <c r="O272" s="772"/>
      <c r="P272" s="772"/>
      <c r="Q272" s="772"/>
      <c r="R272" s="772"/>
      <c r="S272" s="772"/>
      <c r="T272" s="773"/>
      <c r="U272" s="368"/>
      <c r="V272" s="209"/>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511"/>
      <c r="AX272" s="820"/>
      <c r="AY272" s="820"/>
      <c r="AZ272" s="820"/>
      <c r="BA272" s="209"/>
      <c r="BB272" s="209"/>
      <c r="BC272" s="2511"/>
      <c r="BD272" s="2511"/>
      <c r="BE272" s="2511"/>
      <c r="BF272" s="2511"/>
      <c r="BH272" s="2511"/>
      <c r="BI272" s="209"/>
      <c r="BJ272" s="209"/>
      <c r="BK272" s="209"/>
      <c r="BL272" s="209"/>
      <c r="BM272" s="209"/>
      <c r="BN272" s="209"/>
      <c r="BO272" s="209"/>
      <c r="BP272" s="209"/>
      <c r="BQ272" s="209"/>
      <c r="BR272" s="209"/>
      <c r="BS272" s="209"/>
      <c r="BT272" s="209"/>
      <c r="DB272" s="773"/>
      <c r="DC272" s="773"/>
      <c r="DD272" s="773"/>
      <c r="DE272" s="773"/>
      <c r="DF272" s="773"/>
      <c r="DG272" s="773"/>
      <c r="DH272" s="773"/>
      <c r="DI272" s="773"/>
      <c r="DJ272" s="773"/>
      <c r="DK272" s="773"/>
      <c r="DL272" s="773"/>
      <c r="DM272" s="773"/>
      <c r="DN272" s="773"/>
      <c r="DO272" s="773"/>
      <c r="DP272" s="773"/>
      <c r="DQ272" s="773"/>
      <c r="DR272" s="773"/>
      <c r="DS272" s="773"/>
      <c r="DT272" s="773"/>
      <c r="DU272" s="773"/>
      <c r="DV272" s="773"/>
      <c r="DW272" s="773"/>
      <c r="DX272" s="773"/>
      <c r="DY272" s="773"/>
      <c r="DZ272" s="773"/>
      <c r="EA272" s="773"/>
      <c r="EB272" s="773"/>
      <c r="EC272" s="773"/>
      <c r="ED272" s="773"/>
      <c r="EE272" s="773"/>
      <c r="EF272" s="773"/>
      <c r="EG272" s="773"/>
      <c r="EH272" s="773"/>
      <c r="EI272" s="773"/>
      <c r="EJ272" s="773"/>
      <c r="EK272" s="773"/>
      <c r="EL272" s="773"/>
      <c r="EM272" s="773"/>
      <c r="EN272" s="773"/>
      <c r="EO272" s="773"/>
      <c r="EP272" s="773"/>
      <c r="EQ272" s="773"/>
      <c r="ER272" s="773"/>
      <c r="ES272" s="773"/>
      <c r="ET272" s="773"/>
      <c r="EU272" s="773"/>
      <c r="EV272" s="773"/>
      <c r="EW272" s="773"/>
      <c r="EX272" s="773"/>
      <c r="EY272" s="773"/>
      <c r="EZ272" s="773"/>
      <c r="FA272" s="773"/>
      <c r="FB272" s="773"/>
      <c r="FC272" s="773"/>
      <c r="FD272" s="773"/>
      <c r="FE272" s="773"/>
      <c r="FF272" s="773"/>
      <c r="FG272" s="773"/>
      <c r="FH272" s="773"/>
      <c r="FI272" s="773"/>
      <c r="FJ272" s="773"/>
      <c r="FK272" s="773"/>
      <c r="FL272" s="773"/>
      <c r="FM272" s="773"/>
      <c r="FN272" s="773"/>
      <c r="FO272" s="773"/>
      <c r="FP272" s="773"/>
      <c r="FQ272" s="773"/>
      <c r="FR272" s="773"/>
      <c r="FS272" s="773"/>
      <c r="FT272" s="773"/>
      <c r="FU272" s="773"/>
      <c r="FV272" s="773"/>
      <c r="FW272" s="773"/>
      <c r="FX272" s="773"/>
      <c r="FY272" s="773"/>
      <c r="FZ272" s="773"/>
      <c r="GA272" s="773"/>
      <c r="GB272" s="773"/>
      <c r="GC272" s="773"/>
      <c r="GD272" s="773"/>
      <c r="GE272" s="773"/>
      <c r="GF272" s="773"/>
      <c r="GG272" s="773"/>
      <c r="GH272" s="773"/>
      <c r="GI272" s="773"/>
      <c r="GJ272" s="773"/>
      <c r="GK272" s="773"/>
      <c r="GL272" s="773"/>
      <c r="GM272" s="773"/>
      <c r="GN272" s="773"/>
      <c r="GO272" s="773"/>
      <c r="GP272" s="773"/>
      <c r="GQ272" s="773"/>
      <c r="GR272" s="773"/>
      <c r="GS272" s="773"/>
      <c r="GT272" s="773"/>
      <c r="GU272" s="773"/>
      <c r="GV272" s="773"/>
      <c r="GW272" s="773"/>
      <c r="GX272" s="773"/>
      <c r="GY272" s="773"/>
      <c r="GZ272" s="773"/>
    </row>
    <row r="273" spans="1:208" s="11" customFormat="1" ht="13.5" thickBot="1">
      <c r="A273" s="774"/>
      <c r="B273" s="3784" t="s">
        <v>687</v>
      </c>
      <c r="C273" s="603">
        <v>1130012</v>
      </c>
      <c r="D273" s="200" t="s">
        <v>2487</v>
      </c>
      <c r="E273" s="42">
        <f>IFERROR(VLOOKUP(C273,'AJE 12 - INC'!$D$168:$F$345,3,0),0)</f>
        <v>40926.910000000003</v>
      </c>
      <c r="F273" s="108">
        <f>SUMIF('AJE 12 - INC'!B:B,'New TB INC'!C273,'AJE 12 - INC'!D:D)</f>
        <v>0</v>
      </c>
      <c r="G273" s="107"/>
      <c r="H273" s="107"/>
      <c r="I273" s="107"/>
      <c r="J273" s="798">
        <f t="shared" si="23"/>
        <v>40926.910000000003</v>
      </c>
      <c r="K273" s="956">
        <f>+'מאזן בוחן הודו'!K159+J273</f>
        <v>4.0000000000873115E-2</v>
      </c>
      <c r="L273" s="434"/>
      <c r="M273" s="842"/>
      <c r="N273" s="772"/>
      <c r="O273" s="772"/>
      <c r="P273" s="772"/>
      <c r="Q273" s="772"/>
      <c r="R273" s="772"/>
      <c r="S273" s="772"/>
      <c r="T273" s="773"/>
      <c r="U273" s="368"/>
      <c r="V273" s="209"/>
      <c r="W273" s="209"/>
      <c r="X273" s="209"/>
      <c r="Y273" s="209"/>
      <c r="Z273" s="209"/>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511"/>
      <c r="AX273" s="820"/>
      <c r="AY273" s="820"/>
      <c r="AZ273" s="820"/>
      <c r="BA273" s="209"/>
      <c r="BB273" s="209"/>
      <c r="BC273" s="2511"/>
      <c r="BD273" s="2511"/>
      <c r="BE273" s="2511"/>
      <c r="BF273" s="2511"/>
      <c r="BH273" s="2511"/>
      <c r="BI273" s="209"/>
      <c r="BJ273" s="209"/>
      <c r="BK273" s="209"/>
      <c r="BL273" s="209"/>
      <c r="BM273" s="209"/>
      <c r="BN273" s="209"/>
      <c r="BO273" s="209"/>
      <c r="BP273" s="209"/>
      <c r="BQ273" s="209"/>
      <c r="BR273" s="209"/>
      <c r="BS273" s="209"/>
      <c r="BT273" s="209"/>
      <c r="DB273" s="773"/>
      <c r="DC273" s="773"/>
      <c r="DD273" s="773"/>
      <c r="DE273" s="773"/>
      <c r="DF273" s="773"/>
      <c r="DG273" s="773"/>
      <c r="DH273" s="773"/>
      <c r="DI273" s="773"/>
      <c r="DJ273" s="773"/>
      <c r="DK273" s="773"/>
      <c r="DL273" s="773"/>
      <c r="DM273" s="773"/>
      <c r="DN273" s="773"/>
      <c r="DO273" s="773"/>
      <c r="DP273" s="773"/>
      <c r="DQ273" s="773"/>
      <c r="DR273" s="773"/>
      <c r="DS273" s="773"/>
      <c r="DT273" s="773"/>
      <c r="DU273" s="773"/>
      <c r="DV273" s="773"/>
      <c r="DW273" s="773"/>
      <c r="DX273" s="773"/>
      <c r="DY273" s="773"/>
      <c r="DZ273" s="773"/>
      <c r="EA273" s="773"/>
      <c r="EB273" s="773"/>
      <c r="EC273" s="773"/>
      <c r="ED273" s="773"/>
      <c r="EE273" s="773"/>
      <c r="EF273" s="773"/>
      <c r="EG273" s="773"/>
      <c r="EH273" s="773"/>
      <c r="EI273" s="773"/>
      <c r="EJ273" s="773"/>
      <c r="EK273" s="773"/>
      <c r="EL273" s="773"/>
      <c r="EM273" s="773"/>
      <c r="EN273" s="773"/>
      <c r="EO273" s="773"/>
      <c r="EP273" s="773"/>
      <c r="EQ273" s="773"/>
      <c r="ER273" s="773"/>
      <c r="ES273" s="773"/>
      <c r="ET273" s="773"/>
      <c r="EU273" s="773"/>
      <c r="EV273" s="773"/>
      <c r="EW273" s="773"/>
      <c r="EX273" s="773"/>
      <c r="EY273" s="773"/>
      <c r="EZ273" s="773"/>
      <c r="FA273" s="773"/>
      <c r="FB273" s="773"/>
      <c r="FC273" s="773"/>
      <c r="FD273" s="773"/>
      <c r="FE273" s="773"/>
      <c r="FF273" s="773"/>
      <c r="FG273" s="773"/>
      <c r="FH273" s="773"/>
      <c r="FI273" s="773"/>
      <c r="FJ273" s="773"/>
      <c r="FK273" s="773"/>
      <c r="FL273" s="773"/>
      <c r="FM273" s="773"/>
      <c r="FN273" s="773"/>
      <c r="FO273" s="773"/>
      <c r="FP273" s="773"/>
      <c r="FQ273" s="773"/>
      <c r="FR273" s="773"/>
      <c r="FS273" s="773"/>
      <c r="FT273" s="773"/>
      <c r="FU273" s="773"/>
      <c r="FV273" s="773"/>
      <c r="FW273" s="773"/>
      <c r="FX273" s="773"/>
      <c r="FY273" s="773"/>
      <c r="FZ273" s="773"/>
      <c r="GA273" s="773"/>
      <c r="GB273" s="773"/>
      <c r="GC273" s="773"/>
      <c r="GD273" s="773"/>
      <c r="GE273" s="773"/>
      <c r="GF273" s="773"/>
      <c r="GG273" s="773"/>
      <c r="GH273" s="773"/>
      <c r="GI273" s="773"/>
      <c r="GJ273" s="773"/>
      <c r="GK273" s="773"/>
      <c r="GL273" s="773"/>
      <c r="GM273" s="773"/>
      <c r="GN273" s="773"/>
      <c r="GO273" s="773"/>
      <c r="GP273" s="773"/>
      <c r="GQ273" s="773"/>
      <c r="GR273" s="773"/>
      <c r="GS273" s="773"/>
      <c r="GT273" s="773"/>
      <c r="GU273" s="773"/>
      <c r="GV273" s="773"/>
      <c r="GW273" s="773"/>
      <c r="GX273" s="773"/>
      <c r="GY273" s="773"/>
      <c r="GZ273" s="773"/>
    </row>
    <row r="274" spans="1:208" s="11" customFormat="1" ht="13.5" thickBot="1">
      <c r="A274" s="774"/>
      <c r="B274" s="3784" t="s">
        <v>687</v>
      </c>
      <c r="C274" s="603">
        <v>1130013</v>
      </c>
      <c r="D274" s="200" t="s">
        <v>2259</v>
      </c>
      <c r="E274" s="42">
        <f>IFERROR(VLOOKUP(C274,'AJE 12 - INC'!$D$168:$F$345,3,0),0)</f>
        <v>6292.12</v>
      </c>
      <c r="F274" s="108">
        <f>SUMIF('AJE 12 - INC'!B:B,'New TB INC'!C274,'AJE 12 - INC'!D:D)</f>
        <v>0</v>
      </c>
      <c r="G274" s="107"/>
      <c r="H274" s="107"/>
      <c r="I274" s="107"/>
      <c r="J274" s="798">
        <f t="shared" si="23"/>
        <v>6292.12</v>
      </c>
      <c r="K274" s="956">
        <f>J274+'מאזן בוחן צרפת'!K165</f>
        <v>-1.0000000000218279E-2</v>
      </c>
      <c r="L274" s="434"/>
      <c r="M274" s="842"/>
      <c r="N274" s="772"/>
      <c r="O274" s="772"/>
      <c r="P274" s="772"/>
      <c r="Q274" s="772"/>
      <c r="R274" s="772"/>
      <c r="S274" s="772"/>
      <c r="T274" s="773"/>
      <c r="U274" s="368"/>
      <c r="V274" s="209"/>
      <c r="W274" s="209"/>
      <c r="X274" s="209"/>
      <c r="Y274" s="209"/>
      <c r="Z274" s="209"/>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511"/>
      <c r="AX274" s="820"/>
      <c r="AY274" s="820"/>
      <c r="AZ274" s="820"/>
      <c r="BA274" s="209"/>
      <c r="BB274" s="209"/>
      <c r="BC274" s="2511"/>
      <c r="BD274" s="2511"/>
      <c r="BE274" s="2511"/>
      <c r="BF274" s="2511"/>
      <c r="BH274" s="2511"/>
      <c r="BI274" s="209"/>
      <c r="BJ274" s="209"/>
      <c r="BK274" s="209"/>
      <c r="BL274" s="209"/>
      <c r="BM274" s="209"/>
      <c r="BN274" s="209"/>
      <c r="BO274" s="209"/>
      <c r="BP274" s="209"/>
      <c r="BQ274" s="209"/>
      <c r="BR274" s="209"/>
      <c r="BS274" s="209"/>
      <c r="BT274" s="209"/>
      <c r="DB274" s="773"/>
      <c r="DC274" s="773"/>
      <c r="DD274" s="773"/>
      <c r="DE274" s="773"/>
      <c r="DF274" s="773"/>
      <c r="DG274" s="773"/>
      <c r="DH274" s="773"/>
      <c r="DI274" s="773"/>
      <c r="DJ274" s="773"/>
      <c r="DK274" s="773"/>
      <c r="DL274" s="773"/>
      <c r="DM274" s="773"/>
      <c r="DN274" s="773"/>
      <c r="DO274" s="773"/>
      <c r="DP274" s="773"/>
      <c r="DQ274" s="773"/>
      <c r="DR274" s="773"/>
      <c r="DS274" s="773"/>
      <c r="DT274" s="773"/>
      <c r="DU274" s="773"/>
      <c r="DV274" s="773"/>
      <c r="DW274" s="773"/>
      <c r="DX274" s="773"/>
      <c r="DY274" s="773"/>
      <c r="DZ274" s="773"/>
      <c r="EA274" s="773"/>
      <c r="EB274" s="773"/>
      <c r="EC274" s="773"/>
      <c r="ED274" s="773"/>
      <c r="EE274" s="773"/>
      <c r="EF274" s="773"/>
      <c r="EG274" s="773"/>
      <c r="EH274" s="773"/>
      <c r="EI274" s="773"/>
      <c r="EJ274" s="773"/>
      <c r="EK274" s="773"/>
      <c r="EL274" s="773"/>
      <c r="EM274" s="773"/>
      <c r="EN274" s="773"/>
      <c r="EO274" s="773"/>
      <c r="EP274" s="773"/>
      <c r="EQ274" s="773"/>
      <c r="ER274" s="773"/>
      <c r="ES274" s="773"/>
      <c r="ET274" s="773"/>
      <c r="EU274" s="773"/>
      <c r="EV274" s="773"/>
      <c r="EW274" s="773"/>
      <c r="EX274" s="773"/>
      <c r="EY274" s="773"/>
      <c r="EZ274" s="773"/>
      <c r="FA274" s="773"/>
      <c r="FB274" s="773"/>
      <c r="FC274" s="773"/>
      <c r="FD274" s="773"/>
      <c r="FE274" s="773"/>
      <c r="FF274" s="773"/>
      <c r="FG274" s="773"/>
      <c r="FH274" s="773"/>
      <c r="FI274" s="773"/>
      <c r="FJ274" s="773"/>
      <c r="FK274" s="773"/>
      <c r="FL274" s="773"/>
      <c r="FM274" s="773"/>
      <c r="FN274" s="773"/>
      <c r="FO274" s="773"/>
      <c r="FP274" s="773"/>
      <c r="FQ274" s="773"/>
      <c r="FR274" s="773"/>
      <c r="FS274" s="773"/>
      <c r="FT274" s="773"/>
      <c r="FU274" s="773"/>
      <c r="FV274" s="773"/>
      <c r="FW274" s="773"/>
      <c r="FX274" s="773"/>
      <c r="FY274" s="773"/>
      <c r="FZ274" s="773"/>
      <c r="GA274" s="773"/>
      <c r="GB274" s="773"/>
      <c r="GC274" s="773"/>
      <c r="GD274" s="773"/>
      <c r="GE274" s="773"/>
      <c r="GF274" s="773"/>
      <c r="GG274" s="773"/>
      <c r="GH274" s="773"/>
      <c r="GI274" s="773"/>
      <c r="GJ274" s="773"/>
      <c r="GK274" s="773"/>
      <c r="GL274" s="773"/>
      <c r="GM274" s="773"/>
      <c r="GN274" s="773"/>
      <c r="GO274" s="773"/>
      <c r="GP274" s="773"/>
      <c r="GQ274" s="773"/>
      <c r="GR274" s="773"/>
      <c r="GS274" s="773"/>
      <c r="GT274" s="773"/>
      <c r="GU274" s="773"/>
      <c r="GV274" s="773"/>
      <c r="GW274" s="773"/>
      <c r="GX274" s="773"/>
      <c r="GY274" s="773"/>
      <c r="GZ274" s="773"/>
    </row>
    <row r="275" spans="1:208" s="11" customFormat="1" ht="13.5" thickBot="1">
      <c r="A275" s="774"/>
      <c r="B275" s="3784" t="s">
        <v>687</v>
      </c>
      <c r="C275" s="603">
        <v>1130006</v>
      </c>
      <c r="D275" s="200" t="s">
        <v>690</v>
      </c>
      <c r="E275" s="42">
        <f>VLOOKUP(C275,'AJE 12 - INC'!$D$168:$F$345,3,0)</f>
        <v>14383.75</v>
      </c>
      <c r="F275" s="108">
        <f>SUMIF('AJE 12 - INC'!B:B,'New TB INC'!C275,'AJE 12 - INC'!D:D)</f>
        <v>0</v>
      </c>
      <c r="G275" s="107"/>
      <c r="H275" s="107"/>
      <c r="I275" s="107"/>
      <c r="J275" s="798">
        <f t="shared" si="23"/>
        <v>14383.75</v>
      </c>
      <c r="K275" s="956">
        <f>+'מאזן בוחן Australia'!K116+J275</f>
        <v>-0.62999999999919964</v>
      </c>
      <c r="L275" s="434"/>
      <c r="M275" s="802" t="s">
        <v>4362</v>
      </c>
      <c r="N275" s="772"/>
      <c r="O275" s="772"/>
      <c r="P275" s="772"/>
      <c r="Q275" s="772"/>
      <c r="R275" s="772"/>
      <c r="S275" s="772"/>
      <c r="T275" s="773"/>
      <c r="U275" s="368"/>
      <c r="V275" s="209"/>
      <c r="W275" s="209"/>
      <c r="X275" s="209"/>
      <c r="Y275" s="209"/>
      <c r="Z275" s="209"/>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511"/>
      <c r="AX275" s="820"/>
      <c r="AY275" s="820"/>
      <c r="AZ275" s="820"/>
      <c r="BA275" s="209"/>
      <c r="BB275" s="209"/>
      <c r="BC275" s="2511"/>
      <c r="BD275" s="2511"/>
      <c r="BE275" s="2511"/>
      <c r="BF275" s="2511"/>
      <c r="BH275" s="2511"/>
      <c r="BI275" s="209"/>
      <c r="BJ275" s="209"/>
      <c r="BK275" s="209"/>
      <c r="BL275" s="209"/>
      <c r="BM275" s="209"/>
      <c r="BN275" s="209"/>
      <c r="BO275" s="209"/>
      <c r="BP275" s="209"/>
      <c r="BQ275" s="209"/>
      <c r="BR275" s="209"/>
      <c r="BS275" s="209"/>
      <c r="BT275" s="209"/>
      <c r="DB275" s="773"/>
      <c r="DC275" s="773"/>
      <c r="DD275" s="773"/>
      <c r="DE275" s="773"/>
      <c r="DF275" s="773"/>
      <c r="DG275" s="773"/>
      <c r="DH275" s="773"/>
      <c r="DI275" s="773"/>
      <c r="DJ275" s="773"/>
      <c r="DK275" s="773"/>
      <c r="DL275" s="773"/>
      <c r="DM275" s="773"/>
      <c r="DN275" s="773"/>
      <c r="DO275" s="773"/>
      <c r="DP275" s="773"/>
      <c r="DQ275" s="773"/>
      <c r="DR275" s="773"/>
      <c r="DS275" s="773"/>
      <c r="DT275" s="773"/>
      <c r="DU275" s="773"/>
      <c r="DV275" s="773"/>
      <c r="DW275" s="773"/>
      <c r="DX275" s="773"/>
      <c r="DY275" s="773"/>
      <c r="DZ275" s="773"/>
      <c r="EA275" s="773"/>
      <c r="EB275" s="773"/>
      <c r="EC275" s="773"/>
      <c r="ED275" s="773"/>
      <c r="EE275" s="773"/>
      <c r="EF275" s="773"/>
      <c r="EG275" s="773"/>
      <c r="EH275" s="773"/>
      <c r="EI275" s="773"/>
      <c r="EJ275" s="773"/>
      <c r="EK275" s="773"/>
      <c r="EL275" s="773"/>
      <c r="EM275" s="773"/>
      <c r="EN275" s="773"/>
      <c r="EO275" s="773"/>
      <c r="EP275" s="773"/>
      <c r="EQ275" s="773"/>
      <c r="ER275" s="773"/>
      <c r="ES275" s="773"/>
      <c r="ET275" s="773"/>
      <c r="EU275" s="773"/>
      <c r="EV275" s="773"/>
      <c r="EW275" s="773"/>
      <c r="EX275" s="773"/>
      <c r="EY275" s="773"/>
      <c r="EZ275" s="773"/>
      <c r="FA275" s="773"/>
      <c r="FB275" s="773"/>
      <c r="FC275" s="773"/>
      <c r="FD275" s="773"/>
      <c r="FE275" s="773"/>
      <c r="FF275" s="773"/>
      <c r="FG275" s="773"/>
      <c r="FH275" s="773"/>
      <c r="FI275" s="773"/>
      <c r="FJ275" s="773"/>
      <c r="FK275" s="773"/>
      <c r="FL275" s="773"/>
      <c r="FM275" s="773"/>
      <c r="FN275" s="773"/>
      <c r="FO275" s="773"/>
      <c r="FP275" s="773"/>
      <c r="FQ275" s="773"/>
      <c r="FR275" s="773"/>
      <c r="FS275" s="773"/>
      <c r="FT275" s="773"/>
      <c r="FU275" s="773"/>
      <c r="FV275" s="773"/>
      <c r="FW275" s="773"/>
      <c r="FX275" s="773"/>
      <c r="FY275" s="773"/>
      <c r="FZ275" s="773"/>
      <c r="GA275" s="773"/>
      <c r="GB275" s="773"/>
      <c r="GC275" s="773"/>
      <c r="GD275" s="773"/>
      <c r="GE275" s="773"/>
      <c r="GF275" s="773"/>
      <c r="GG275" s="773"/>
      <c r="GH275" s="773"/>
      <c r="GI275" s="773"/>
      <c r="GJ275" s="773"/>
      <c r="GK275" s="773"/>
      <c r="GL275" s="773"/>
      <c r="GM275" s="773"/>
      <c r="GN275" s="773"/>
      <c r="GO275" s="773"/>
      <c r="GP275" s="773"/>
      <c r="GQ275" s="773"/>
      <c r="GR275" s="773"/>
      <c r="GS275" s="773"/>
      <c r="GT275" s="773"/>
      <c r="GU275" s="773"/>
      <c r="GV275" s="773"/>
      <c r="GW275" s="773"/>
      <c r="GX275" s="773"/>
      <c r="GY275" s="773"/>
      <c r="GZ275" s="773"/>
    </row>
    <row r="276" spans="1:208" s="773" customFormat="1">
      <c r="A276" s="774"/>
      <c r="B276" s="3784"/>
      <c r="C276" s="843"/>
      <c r="D276" s="200"/>
      <c r="E276" s="42"/>
      <c r="F276" s="108"/>
      <c r="G276" s="107"/>
      <c r="H276" s="107"/>
      <c r="I276" s="107"/>
      <c r="J276" s="798"/>
      <c r="K276" s="209"/>
      <c r="L276" s="449"/>
      <c r="M276" s="802"/>
      <c r="N276" s="772"/>
      <c r="O276" s="772"/>
      <c r="P276" s="772"/>
      <c r="Q276" s="772"/>
      <c r="R276" s="772"/>
      <c r="S276" s="772"/>
      <c r="U276" s="368"/>
      <c r="V276" s="209"/>
      <c r="W276" s="209"/>
      <c r="X276" s="209"/>
      <c r="Y276" s="209"/>
      <c r="Z276" s="209"/>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511"/>
      <c r="AX276" s="820"/>
      <c r="AY276" s="820"/>
      <c r="AZ276" s="820"/>
      <c r="BA276" s="209"/>
      <c r="BB276" s="209"/>
      <c r="BC276" s="2511"/>
      <c r="BD276" s="2511"/>
      <c r="BE276" s="2511"/>
      <c r="BF276" s="2511"/>
      <c r="BH276" s="2511"/>
      <c r="BI276" s="209"/>
      <c r="BJ276" s="209"/>
      <c r="BK276" s="209"/>
      <c r="BL276" s="209"/>
      <c r="BM276" s="209"/>
      <c r="BN276" s="209"/>
      <c r="BO276" s="209"/>
      <c r="BP276" s="209"/>
      <c r="BQ276" s="209"/>
      <c r="BR276" s="209"/>
      <c r="BS276" s="209"/>
      <c r="BT276" s="209"/>
    </row>
    <row r="277" spans="1:208" s="11" customFormat="1">
      <c r="A277" s="774"/>
      <c r="B277" s="3784"/>
      <c r="C277" s="847"/>
      <c r="D277" s="943" t="s">
        <v>74</v>
      </c>
      <c r="E277" s="806">
        <f t="shared" ref="E277:J277" si="24">SUM(E268:E276)</f>
        <v>6418225.7199999997</v>
      </c>
      <c r="F277" s="806">
        <f t="shared" si="24"/>
        <v>0</v>
      </c>
      <c r="G277" s="806">
        <f t="shared" si="24"/>
        <v>0</v>
      </c>
      <c r="H277" s="806">
        <f t="shared" si="24"/>
        <v>0</v>
      </c>
      <c r="I277" s="806">
        <f t="shared" si="24"/>
        <v>0</v>
      </c>
      <c r="J277" s="806">
        <f t="shared" si="24"/>
        <v>6418225.7199999997</v>
      </c>
      <c r="K277" s="209"/>
      <c r="L277" s="434"/>
      <c r="M277" s="802"/>
      <c r="N277" s="772"/>
      <c r="O277" s="772"/>
      <c r="P277" s="772"/>
      <c r="Q277" s="772"/>
      <c r="R277" s="772"/>
      <c r="S277" s="772"/>
      <c r="T277" s="773"/>
      <c r="U277" s="368"/>
      <c r="V277" s="209"/>
      <c r="W277" s="209"/>
      <c r="X277" s="209"/>
      <c r="Y277" s="209"/>
      <c r="Z277" s="209"/>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511"/>
      <c r="AX277" s="820"/>
      <c r="AY277" s="820"/>
      <c r="AZ277" s="820"/>
      <c r="BA277" s="209"/>
      <c r="BB277" s="209"/>
      <c r="BC277" s="2511"/>
      <c r="BD277" s="2511"/>
      <c r="BE277" s="2511"/>
      <c r="BF277" s="2511"/>
      <c r="BH277" s="2511"/>
      <c r="BI277" s="209"/>
      <c r="BJ277" s="209"/>
      <c r="BK277" s="209"/>
      <c r="BL277" s="209"/>
      <c r="BM277" s="209"/>
      <c r="BN277" s="209"/>
      <c r="BO277" s="209"/>
      <c r="BP277" s="209"/>
      <c r="BQ277" s="209"/>
      <c r="BR277" s="209"/>
      <c r="BS277" s="209"/>
      <c r="BT277" s="209"/>
      <c r="DB277" s="773"/>
      <c r="DC277" s="773"/>
      <c r="DD277" s="773"/>
      <c r="DE277" s="773"/>
      <c r="DF277" s="773"/>
      <c r="DG277" s="773"/>
      <c r="DH277" s="773"/>
      <c r="DI277" s="773"/>
      <c r="DJ277" s="773"/>
      <c r="DK277" s="773"/>
      <c r="DL277" s="773"/>
      <c r="DM277" s="773"/>
      <c r="DN277" s="773"/>
      <c r="DO277" s="773"/>
      <c r="DP277" s="773"/>
      <c r="DQ277" s="773"/>
      <c r="DR277" s="773"/>
      <c r="DS277" s="773"/>
      <c r="DT277" s="773"/>
      <c r="DU277" s="773"/>
      <c r="DV277" s="773"/>
      <c r="DW277" s="773"/>
      <c r="DX277" s="773"/>
      <c r="DY277" s="773"/>
      <c r="DZ277" s="773"/>
      <c r="EA277" s="773"/>
      <c r="EB277" s="773"/>
      <c r="EC277" s="773"/>
      <c r="ED277" s="773"/>
      <c r="EE277" s="773"/>
      <c r="EF277" s="773"/>
      <c r="EG277" s="773"/>
      <c r="EH277" s="773"/>
      <c r="EI277" s="773"/>
      <c r="EJ277" s="773"/>
      <c r="EK277" s="773"/>
      <c r="EL277" s="773"/>
      <c r="EM277" s="773"/>
      <c r="EN277" s="773"/>
      <c r="EO277" s="773"/>
      <c r="EP277" s="773"/>
      <c r="EQ277" s="773"/>
      <c r="ER277" s="773"/>
      <c r="ES277" s="773"/>
      <c r="ET277" s="773"/>
      <c r="EU277" s="773"/>
      <c r="EV277" s="773"/>
      <c r="EW277" s="773"/>
      <c r="EX277" s="773"/>
      <c r="EY277" s="773"/>
      <c r="EZ277" s="773"/>
      <c r="FA277" s="773"/>
      <c r="FB277" s="773"/>
      <c r="FC277" s="773"/>
      <c r="FD277" s="773"/>
      <c r="FE277" s="773"/>
      <c r="FF277" s="773"/>
      <c r="FG277" s="773"/>
      <c r="FH277" s="773"/>
      <c r="FI277" s="773"/>
      <c r="FJ277" s="773"/>
      <c r="FK277" s="773"/>
      <c r="FL277" s="773"/>
      <c r="FM277" s="773"/>
      <c r="FN277" s="773"/>
      <c r="FO277" s="773"/>
      <c r="FP277" s="773"/>
      <c r="FQ277" s="773"/>
      <c r="FR277" s="773"/>
      <c r="FS277" s="773"/>
      <c r="FT277" s="773"/>
      <c r="FU277" s="773"/>
      <c r="FV277" s="773"/>
      <c r="FW277" s="773"/>
      <c r="FX277" s="773"/>
      <c r="FY277" s="773"/>
      <c r="FZ277" s="773"/>
      <c r="GA277" s="773"/>
      <c r="GB277" s="773"/>
      <c r="GC277" s="773"/>
      <c r="GD277" s="773"/>
      <c r="GE277" s="773"/>
      <c r="GF277" s="773"/>
      <c r="GG277" s="773"/>
      <c r="GH277" s="773"/>
      <c r="GI277" s="773"/>
      <c r="GJ277" s="773"/>
      <c r="GK277" s="773"/>
      <c r="GL277" s="773"/>
      <c r="GM277" s="773"/>
      <c r="GN277" s="773"/>
      <c r="GO277" s="773"/>
      <c r="GP277" s="773"/>
      <c r="GQ277" s="773"/>
      <c r="GR277" s="773"/>
      <c r="GS277" s="773"/>
      <c r="GT277" s="773"/>
      <c r="GU277" s="773"/>
      <c r="GV277" s="773"/>
      <c r="GW277" s="773"/>
      <c r="GX277" s="773"/>
      <c r="GY277" s="773"/>
      <c r="GZ277" s="773"/>
    </row>
    <row r="278" spans="1:208" s="773" customFormat="1" ht="13.5" thickBot="1">
      <c r="A278" s="774"/>
      <c r="B278" s="3784"/>
      <c r="C278" s="848"/>
      <c r="D278" s="944"/>
      <c r="E278" s="821"/>
      <c r="F278" s="821"/>
      <c r="G278" s="821"/>
      <c r="H278" s="821"/>
      <c r="I278" s="821"/>
      <c r="J278" s="821"/>
      <c r="K278" s="209"/>
      <c r="L278" s="449"/>
      <c r="M278" s="802"/>
      <c r="N278" s="772"/>
      <c r="O278" s="772"/>
      <c r="P278" s="772"/>
      <c r="Q278" s="772"/>
      <c r="R278" s="772"/>
      <c r="S278" s="772"/>
      <c r="U278" s="368"/>
      <c r="V278" s="209"/>
      <c r="W278" s="209"/>
      <c r="X278" s="209"/>
      <c r="Y278" s="209"/>
      <c r="Z278" s="209"/>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511"/>
      <c r="AX278" s="820"/>
      <c r="AY278" s="820"/>
      <c r="AZ278" s="820"/>
      <c r="BA278" s="209"/>
      <c r="BB278" s="209"/>
      <c r="BC278" s="2511"/>
      <c r="BD278" s="2511"/>
      <c r="BE278" s="2511"/>
      <c r="BF278" s="2511"/>
      <c r="BH278" s="2511"/>
      <c r="BI278" s="209"/>
      <c r="BJ278" s="209"/>
      <c r="BK278" s="209"/>
      <c r="BL278" s="209"/>
      <c r="BM278" s="209"/>
      <c r="BN278" s="209"/>
      <c r="BO278" s="209"/>
      <c r="BP278" s="209"/>
      <c r="BQ278" s="209"/>
      <c r="BR278" s="209"/>
      <c r="BS278" s="209"/>
      <c r="BT278" s="209"/>
      <c r="BY278" s="11"/>
      <c r="BZ278" s="11"/>
    </row>
    <row r="279" spans="1:208" s="11" customFormat="1" ht="13.5" thickBot="1">
      <c r="A279" s="774"/>
      <c r="B279" s="3784"/>
      <c r="C279" s="844"/>
      <c r="D279" s="932" t="s">
        <v>33</v>
      </c>
      <c r="E279" s="827"/>
      <c r="F279" s="769"/>
      <c r="G279" s="769"/>
      <c r="H279" s="769"/>
      <c r="I279" s="769"/>
      <c r="J279" s="796"/>
      <c r="K279" s="209"/>
      <c r="L279" s="434"/>
      <c r="M279" s="802"/>
      <c r="N279" s="772"/>
      <c r="O279" s="772"/>
      <c r="P279" s="772"/>
      <c r="Q279" s="772"/>
      <c r="R279" s="772"/>
      <c r="S279" s="772"/>
      <c r="T279" s="773"/>
      <c r="U279" s="368"/>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511"/>
      <c r="AX279" s="820"/>
      <c r="AY279" s="820"/>
      <c r="AZ279" s="820"/>
      <c r="BA279" s="209"/>
      <c r="BB279" s="209"/>
      <c r="BC279" s="2511"/>
      <c r="BD279" s="2511"/>
      <c r="BE279" s="2511"/>
      <c r="BF279" s="2511"/>
      <c r="BH279" s="2511"/>
      <c r="BI279" s="209"/>
      <c r="BJ279" s="209"/>
      <c r="BK279" s="209"/>
      <c r="BL279" s="209"/>
      <c r="BM279" s="209"/>
      <c r="BN279" s="209"/>
      <c r="BO279" s="209"/>
      <c r="BP279" s="209"/>
      <c r="BQ279" s="209"/>
      <c r="BR279" s="209"/>
      <c r="BS279" s="209"/>
      <c r="BT279" s="209"/>
      <c r="DB279" s="773"/>
      <c r="DC279" s="773"/>
      <c r="DD279" s="773"/>
      <c r="DE279" s="773"/>
      <c r="DF279" s="773"/>
      <c r="DG279" s="773"/>
      <c r="DH279" s="773"/>
      <c r="DI279" s="773"/>
      <c r="DJ279" s="773"/>
      <c r="DK279" s="773"/>
      <c r="DL279" s="773"/>
      <c r="DM279" s="773"/>
      <c r="DN279" s="773"/>
      <c r="DO279" s="773"/>
      <c r="DP279" s="773"/>
      <c r="DQ279" s="773"/>
      <c r="DR279" s="773"/>
      <c r="DS279" s="773"/>
      <c r="DT279" s="773"/>
      <c r="DU279" s="773"/>
      <c r="DV279" s="773"/>
      <c r="DW279" s="773"/>
      <c r="DX279" s="773"/>
      <c r="DY279" s="773"/>
      <c r="DZ279" s="773"/>
      <c r="EA279" s="773"/>
      <c r="EB279" s="773"/>
      <c r="EC279" s="773"/>
      <c r="ED279" s="773"/>
      <c r="EE279" s="773"/>
      <c r="EF279" s="773"/>
      <c r="EG279" s="773"/>
      <c r="EH279" s="773"/>
      <c r="EI279" s="773"/>
      <c r="EJ279" s="773"/>
      <c r="EK279" s="773"/>
      <c r="EL279" s="773"/>
      <c r="EM279" s="773"/>
      <c r="EN279" s="773"/>
      <c r="EO279" s="773"/>
      <c r="EP279" s="773"/>
      <c r="EQ279" s="773"/>
      <c r="ER279" s="773"/>
      <c r="ES279" s="773"/>
      <c r="ET279" s="773"/>
      <c r="EU279" s="773"/>
      <c r="EV279" s="773"/>
      <c r="EW279" s="773"/>
      <c r="EX279" s="773"/>
      <c r="EY279" s="773"/>
      <c r="EZ279" s="773"/>
      <c r="FA279" s="773"/>
      <c r="FB279" s="773"/>
      <c r="FC279" s="773"/>
      <c r="FD279" s="773"/>
      <c r="FE279" s="773"/>
      <c r="FF279" s="773"/>
      <c r="FG279" s="773"/>
      <c r="FH279" s="773"/>
      <c r="FI279" s="773"/>
      <c r="FJ279" s="773"/>
      <c r="FK279" s="773"/>
      <c r="FL279" s="773"/>
      <c r="FM279" s="773"/>
      <c r="FN279" s="773"/>
      <c r="FO279" s="773"/>
      <c r="FP279" s="773"/>
      <c r="FQ279" s="773"/>
      <c r="FR279" s="773"/>
      <c r="FS279" s="773"/>
      <c r="FT279" s="773"/>
      <c r="FU279" s="773"/>
      <c r="FV279" s="773"/>
      <c r="FW279" s="773"/>
      <c r="FX279" s="773"/>
      <c r="FY279" s="773"/>
      <c r="FZ279" s="773"/>
      <c r="GA279" s="773"/>
      <c r="GB279" s="773"/>
      <c r="GC279" s="773"/>
      <c r="GD279" s="773"/>
      <c r="GE279" s="773"/>
      <c r="GF279" s="773"/>
      <c r="GG279" s="773"/>
      <c r="GH279" s="773"/>
      <c r="GI279" s="773"/>
      <c r="GJ279" s="773"/>
      <c r="GK279" s="773"/>
      <c r="GL279" s="773"/>
      <c r="GM279" s="773"/>
      <c r="GN279" s="773"/>
      <c r="GO279" s="773"/>
      <c r="GP279" s="773"/>
      <c r="GQ279" s="773"/>
      <c r="GR279" s="773"/>
      <c r="GS279" s="773"/>
      <c r="GT279" s="773"/>
      <c r="GU279" s="773"/>
      <c r="GV279" s="773"/>
      <c r="GW279" s="773"/>
      <c r="GX279" s="773"/>
      <c r="GY279" s="773"/>
      <c r="GZ279" s="773"/>
    </row>
    <row r="280" spans="1:208" s="11" customFormat="1" ht="25.5">
      <c r="A280" s="780"/>
      <c r="B280" s="3762" t="s">
        <v>819</v>
      </c>
      <c r="C280" s="197">
        <v>2520020</v>
      </c>
      <c r="D280" s="199" t="s">
        <v>821</v>
      </c>
      <c r="E280" s="42">
        <f>VLOOKUP(C280,'AJE 12 - INC'!$D$168:$F$771,3,0)</f>
        <v>7898.27</v>
      </c>
      <c r="F280" s="108">
        <f>SUMIF('AJE 12 - INC'!B:B,'New TB INC'!C280,'AJE 12 - INC'!D:D)</f>
        <v>0</v>
      </c>
      <c r="G280" s="108"/>
      <c r="H280" s="108"/>
      <c r="I280" s="108"/>
      <c r="J280" s="798">
        <f>SUM(E280:I280)</f>
        <v>7898.27</v>
      </c>
      <c r="K280" s="209"/>
      <c r="L280" s="434"/>
      <c r="M280" s="1007" t="s">
        <v>2280</v>
      </c>
      <c r="N280" s="772"/>
      <c r="O280" s="772"/>
      <c r="P280" s="772"/>
      <c r="Q280" s="772"/>
      <c r="R280" s="772"/>
      <c r="S280" s="772"/>
      <c r="T280" s="773"/>
      <c r="V280" s="613"/>
      <c r="W280" s="613"/>
      <c r="X280" s="613"/>
      <c r="Y280" s="613"/>
      <c r="Z280" s="613"/>
      <c r="AA280" s="613"/>
      <c r="AB280" s="613"/>
      <c r="AC280" s="613"/>
      <c r="AD280" s="613"/>
      <c r="AE280" s="613"/>
      <c r="AF280" s="613"/>
      <c r="AG280" s="613"/>
      <c r="AH280" s="613"/>
      <c r="AI280" s="613"/>
      <c r="AJ280" s="613"/>
      <c r="AK280" s="613"/>
      <c r="AL280" s="613"/>
      <c r="AM280" s="613"/>
      <c r="AN280" s="613"/>
      <c r="AO280" s="613"/>
      <c r="AP280" s="613"/>
      <c r="AQ280" s="613"/>
      <c r="AR280" s="613"/>
      <c r="AS280" s="613"/>
      <c r="AT280" s="613"/>
      <c r="AU280" s="613"/>
      <c r="AV280" s="613"/>
      <c r="AW280" s="2509"/>
      <c r="AX280" s="773"/>
      <c r="BA280" s="773"/>
      <c r="BB280" s="773"/>
      <c r="BC280" s="2509"/>
      <c r="BD280" s="2509"/>
      <c r="BE280" s="2509"/>
      <c r="BF280" s="2509"/>
      <c r="BH280" s="2509"/>
      <c r="BI280" s="773"/>
      <c r="BJ280" s="773"/>
      <c r="BK280" s="773"/>
      <c r="BL280" s="773"/>
      <c r="BM280" s="860"/>
      <c r="BO280" s="209"/>
      <c r="BP280" s="209"/>
      <c r="BQ280" s="209"/>
      <c r="BR280" s="209"/>
      <c r="BS280" s="209"/>
      <c r="BT280" s="209"/>
      <c r="BU280" s="820"/>
      <c r="BV280" s="209"/>
      <c r="BW280" s="209"/>
      <c r="BX280" s="799"/>
      <c r="DB280" s="773"/>
      <c r="DC280" s="773"/>
      <c r="DD280" s="773"/>
      <c r="DE280" s="773"/>
      <c r="DF280" s="773"/>
      <c r="DG280" s="773"/>
      <c r="DH280" s="773"/>
      <c r="DI280" s="773"/>
      <c r="DJ280" s="773"/>
      <c r="DK280" s="773"/>
      <c r="DL280" s="773"/>
      <c r="DM280" s="773"/>
      <c r="DN280" s="773"/>
      <c r="DO280" s="773"/>
      <c r="DP280" s="773"/>
      <c r="DQ280" s="773"/>
      <c r="DR280" s="773"/>
      <c r="DS280" s="773"/>
      <c r="DT280" s="773"/>
      <c r="DU280" s="773"/>
      <c r="DV280" s="773"/>
      <c r="DW280" s="773"/>
      <c r="DX280" s="773"/>
      <c r="DY280" s="773"/>
      <c r="DZ280" s="773"/>
      <c r="EA280" s="773"/>
      <c r="EB280" s="773"/>
      <c r="EC280" s="773"/>
      <c r="ED280" s="773"/>
      <c r="EE280" s="773"/>
      <c r="EF280" s="773"/>
      <c r="EG280" s="773"/>
      <c r="EH280" s="773"/>
      <c r="EI280" s="773"/>
      <c r="EJ280" s="773"/>
      <c r="EK280" s="773"/>
      <c r="EL280" s="773"/>
      <c r="EM280" s="773"/>
      <c r="EN280" s="773"/>
      <c r="EO280" s="773"/>
      <c r="EP280" s="773"/>
      <c r="EQ280" s="773"/>
      <c r="ER280" s="773"/>
      <c r="ES280" s="773"/>
      <c r="ET280" s="773"/>
      <c r="EU280" s="773"/>
      <c r="EV280" s="773"/>
      <c r="EW280" s="773"/>
      <c r="EX280" s="773"/>
      <c r="EY280" s="773"/>
      <c r="EZ280" s="773"/>
      <c r="FA280" s="773"/>
      <c r="FB280" s="773"/>
      <c r="FC280" s="773"/>
      <c r="FD280" s="773"/>
      <c r="FE280" s="773"/>
      <c r="FF280" s="773"/>
      <c r="FG280" s="773"/>
      <c r="FH280" s="773"/>
      <c r="FI280" s="773"/>
      <c r="FJ280" s="773"/>
      <c r="FK280" s="773"/>
      <c r="FL280" s="773"/>
      <c r="FM280" s="773"/>
      <c r="FN280" s="773"/>
      <c r="FO280" s="773"/>
      <c r="FP280" s="773"/>
      <c r="FQ280" s="773"/>
      <c r="FR280" s="773"/>
      <c r="FS280" s="773"/>
      <c r="FT280" s="773"/>
      <c r="FU280" s="773"/>
      <c r="FV280" s="773"/>
      <c r="FW280" s="773"/>
      <c r="FX280" s="773"/>
      <c r="FY280" s="773"/>
      <c r="FZ280" s="773"/>
      <c r="GA280" s="773"/>
      <c r="GB280" s="773"/>
      <c r="GC280" s="773"/>
      <c r="GD280" s="773"/>
      <c r="GE280" s="773"/>
      <c r="GF280" s="773"/>
      <c r="GG280" s="773"/>
      <c r="GH280" s="773"/>
      <c r="GI280" s="773"/>
      <c r="GJ280" s="773"/>
      <c r="GK280" s="773"/>
      <c r="GL280" s="773"/>
      <c r="GM280" s="773"/>
      <c r="GN280" s="773"/>
      <c r="GO280" s="773"/>
      <c r="GP280" s="773"/>
      <c r="GQ280" s="773"/>
      <c r="GR280" s="773"/>
      <c r="GS280" s="773"/>
      <c r="GT280" s="773"/>
      <c r="GU280" s="773"/>
      <c r="GV280" s="773"/>
      <c r="GW280" s="773"/>
      <c r="GX280" s="773"/>
      <c r="GY280" s="773"/>
      <c r="GZ280" s="773"/>
    </row>
    <row r="281" spans="1:208" s="11" customFormat="1">
      <c r="A281" s="774"/>
      <c r="B281" s="3784"/>
      <c r="C281" s="767"/>
      <c r="D281" s="173"/>
      <c r="E281" s="796"/>
      <c r="F281" s="769"/>
      <c r="G281" s="769"/>
      <c r="H281" s="769"/>
      <c r="I281" s="769"/>
      <c r="J281" s="796"/>
      <c r="K281" s="209"/>
      <c r="L281" s="434"/>
      <c r="M281" s="802"/>
      <c r="N281" s="772"/>
      <c r="O281" s="772"/>
      <c r="P281" s="772"/>
      <c r="Q281" s="772"/>
      <c r="R281" s="772"/>
      <c r="S281" s="772"/>
      <c r="T281" s="773"/>
      <c r="U281" s="368"/>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511"/>
      <c r="AX281" s="820"/>
      <c r="AY281" s="820"/>
      <c r="AZ281" s="820"/>
      <c r="BA281" s="209"/>
      <c r="BB281" s="209"/>
      <c r="BC281" s="2511"/>
      <c r="BD281" s="2511"/>
      <c r="BE281" s="2511"/>
      <c r="BF281" s="2511"/>
      <c r="BH281" s="2511"/>
      <c r="BI281" s="209"/>
      <c r="BJ281" s="209"/>
      <c r="BK281" s="209"/>
      <c r="BL281" s="209"/>
      <c r="BM281" s="209"/>
      <c r="BN281" s="209"/>
      <c r="BO281" s="209"/>
      <c r="BP281" s="209"/>
      <c r="BQ281" s="209"/>
      <c r="BR281" s="209"/>
      <c r="BS281" s="209"/>
      <c r="BT281" s="209"/>
      <c r="DB281" s="773"/>
      <c r="DC281" s="773"/>
      <c r="DD281" s="773"/>
      <c r="DE281" s="773"/>
      <c r="DF281" s="773"/>
      <c r="DG281" s="773"/>
      <c r="DH281" s="773"/>
      <c r="DI281" s="773"/>
      <c r="DJ281" s="773"/>
      <c r="DK281" s="773"/>
      <c r="DL281" s="773"/>
      <c r="DM281" s="773"/>
      <c r="DN281" s="773"/>
      <c r="DO281" s="773"/>
      <c r="DP281" s="773"/>
      <c r="DQ281" s="773"/>
      <c r="DR281" s="773"/>
      <c r="DS281" s="773"/>
      <c r="DT281" s="773"/>
      <c r="DU281" s="773"/>
      <c r="DV281" s="773"/>
      <c r="DW281" s="773"/>
      <c r="DX281" s="773"/>
      <c r="DY281" s="773"/>
      <c r="DZ281" s="773"/>
      <c r="EA281" s="773"/>
      <c r="EB281" s="773"/>
      <c r="EC281" s="773"/>
      <c r="ED281" s="773"/>
      <c r="EE281" s="773"/>
      <c r="EF281" s="773"/>
      <c r="EG281" s="773"/>
      <c r="EH281" s="773"/>
      <c r="EI281" s="773"/>
      <c r="EJ281" s="773"/>
      <c r="EK281" s="773"/>
      <c r="EL281" s="773"/>
      <c r="EM281" s="773"/>
      <c r="EN281" s="773"/>
      <c r="EO281" s="773"/>
      <c r="EP281" s="773"/>
      <c r="EQ281" s="773"/>
      <c r="ER281" s="773"/>
      <c r="ES281" s="773"/>
      <c r="ET281" s="773"/>
      <c r="EU281" s="773"/>
      <c r="EV281" s="773"/>
      <c r="EW281" s="773"/>
      <c r="EX281" s="773"/>
      <c r="EY281" s="773"/>
      <c r="EZ281" s="773"/>
      <c r="FA281" s="773"/>
      <c r="FB281" s="773"/>
      <c r="FC281" s="773"/>
      <c r="FD281" s="773"/>
      <c r="FE281" s="773"/>
      <c r="FF281" s="773"/>
      <c r="FG281" s="773"/>
      <c r="FH281" s="773"/>
      <c r="FI281" s="773"/>
      <c r="FJ281" s="773"/>
      <c r="FK281" s="773"/>
      <c r="FL281" s="773"/>
      <c r="FM281" s="773"/>
      <c r="FN281" s="773"/>
      <c r="FO281" s="773"/>
      <c r="FP281" s="773"/>
      <c r="FQ281" s="773"/>
      <c r="FR281" s="773"/>
      <c r="FS281" s="773"/>
      <c r="FT281" s="773"/>
      <c r="FU281" s="773"/>
      <c r="FV281" s="773"/>
      <c r="FW281" s="773"/>
      <c r="FX281" s="773"/>
      <c r="FY281" s="773"/>
      <c r="FZ281" s="773"/>
      <c r="GA281" s="773"/>
      <c r="GB281" s="773"/>
      <c r="GC281" s="773"/>
      <c r="GD281" s="773"/>
      <c r="GE281" s="773"/>
      <c r="GF281" s="773"/>
      <c r="GG281" s="773"/>
      <c r="GH281" s="773"/>
      <c r="GI281" s="773"/>
      <c r="GJ281" s="773"/>
      <c r="GK281" s="773"/>
      <c r="GL281" s="773"/>
      <c r="GM281" s="773"/>
      <c r="GN281" s="773"/>
      <c r="GO281" s="773"/>
      <c r="GP281" s="773"/>
      <c r="GQ281" s="773"/>
      <c r="GR281" s="773"/>
      <c r="GS281" s="773"/>
      <c r="GT281" s="773"/>
      <c r="GU281" s="773"/>
      <c r="GV281" s="773"/>
      <c r="GW281" s="773"/>
      <c r="GX281" s="773"/>
      <c r="GY281" s="773"/>
      <c r="GZ281" s="773"/>
    </row>
    <row r="282" spans="1:208" s="11" customFormat="1">
      <c r="A282" s="774"/>
      <c r="B282" s="3784"/>
      <c r="C282" s="847"/>
      <c r="D282" s="939" t="s">
        <v>810</v>
      </c>
      <c r="E282" s="832">
        <f t="shared" ref="E282:J282" si="25">SUM(E280:E281)</f>
        <v>7898.27</v>
      </c>
      <c r="F282" s="832">
        <f t="shared" si="25"/>
        <v>0</v>
      </c>
      <c r="G282" s="832">
        <f t="shared" si="25"/>
        <v>0</v>
      </c>
      <c r="H282" s="832">
        <f t="shared" si="25"/>
        <v>0</v>
      </c>
      <c r="I282" s="832">
        <f t="shared" si="25"/>
        <v>0</v>
      </c>
      <c r="J282" s="832">
        <f t="shared" si="25"/>
        <v>7898.27</v>
      </c>
      <c r="K282" s="209"/>
      <c r="L282" s="434"/>
      <c r="M282" s="802"/>
      <c r="N282" s="772"/>
      <c r="O282" s="772"/>
      <c r="P282" s="772"/>
      <c r="Q282" s="772"/>
      <c r="R282" s="772"/>
      <c r="S282" s="772"/>
      <c r="T282" s="773"/>
      <c r="AW282" s="2511"/>
      <c r="AX282" s="820"/>
      <c r="AY282" s="820"/>
      <c r="AZ282" s="820"/>
      <c r="BA282" s="209"/>
      <c r="BB282" s="209"/>
      <c r="BC282" s="2511"/>
      <c r="BD282" s="2511"/>
      <c r="BE282" s="2511"/>
      <c r="BF282" s="2511"/>
      <c r="BH282" s="2511"/>
      <c r="BI282" s="209"/>
      <c r="BJ282" s="209"/>
      <c r="BK282" s="209"/>
      <c r="BL282" s="209"/>
      <c r="BM282" s="209"/>
      <c r="BN282" s="30"/>
      <c r="BO282" s="209"/>
      <c r="BP282" s="209"/>
      <c r="BQ282" s="209"/>
      <c r="BR282" s="209"/>
      <c r="BS282" s="209"/>
      <c r="BT282" s="209"/>
      <c r="DB282" s="773"/>
      <c r="DC282" s="773"/>
      <c r="DD282" s="773"/>
      <c r="DE282" s="773"/>
      <c r="DF282" s="773"/>
      <c r="DG282" s="773"/>
      <c r="DH282" s="773"/>
      <c r="DI282" s="773"/>
      <c r="DJ282" s="773"/>
      <c r="DK282" s="773"/>
      <c r="DL282" s="773"/>
      <c r="DM282" s="773"/>
      <c r="DN282" s="773"/>
      <c r="DO282" s="773"/>
      <c r="DP282" s="773"/>
      <c r="DQ282" s="773"/>
      <c r="DR282" s="773"/>
      <c r="DS282" s="773"/>
      <c r="DT282" s="773"/>
      <c r="DU282" s="773"/>
      <c r="DV282" s="773"/>
      <c r="DW282" s="773"/>
      <c r="DX282" s="773"/>
      <c r="DY282" s="773"/>
      <c r="DZ282" s="773"/>
      <c r="EA282" s="773"/>
      <c r="EB282" s="773"/>
      <c r="EC282" s="773"/>
      <c r="ED282" s="773"/>
      <c r="EE282" s="773"/>
      <c r="EF282" s="773"/>
      <c r="EG282" s="773"/>
      <c r="EH282" s="773"/>
      <c r="EI282" s="773"/>
      <c r="EJ282" s="773"/>
      <c r="EK282" s="773"/>
      <c r="EL282" s="773"/>
      <c r="EM282" s="773"/>
      <c r="EN282" s="773"/>
      <c r="EO282" s="773"/>
      <c r="EP282" s="773"/>
      <c r="EQ282" s="773"/>
      <c r="ER282" s="773"/>
      <c r="ES282" s="773"/>
      <c r="ET282" s="773"/>
      <c r="EU282" s="773"/>
      <c r="EV282" s="773"/>
      <c r="EW282" s="773"/>
      <c r="EX282" s="773"/>
      <c r="EY282" s="773"/>
      <c r="EZ282" s="773"/>
      <c r="FA282" s="773"/>
      <c r="FB282" s="773"/>
      <c r="FC282" s="773"/>
      <c r="FD282" s="773"/>
      <c r="FE282" s="773"/>
      <c r="FF282" s="773"/>
      <c r="FG282" s="773"/>
      <c r="FH282" s="773"/>
      <c r="FI282" s="773"/>
      <c r="FJ282" s="773"/>
      <c r="FK282" s="773"/>
      <c r="FL282" s="773"/>
      <c r="FM282" s="773"/>
      <c r="FN282" s="773"/>
      <c r="FO282" s="773"/>
      <c r="FP282" s="773"/>
      <c r="FQ282" s="773"/>
      <c r="FR282" s="773"/>
      <c r="FS282" s="773"/>
      <c r="FT282" s="773"/>
      <c r="FU282" s="773"/>
      <c r="FV282" s="773"/>
      <c r="FW282" s="773"/>
      <c r="FX282" s="773"/>
      <c r="FY282" s="773"/>
      <c r="FZ282" s="773"/>
      <c r="GA282" s="773"/>
      <c r="GB282" s="773"/>
      <c r="GC282" s="773"/>
      <c r="GD282" s="773"/>
      <c r="GE282" s="773"/>
      <c r="GF282" s="773"/>
      <c r="GG282" s="773"/>
      <c r="GH282" s="773"/>
      <c r="GI282" s="773"/>
      <c r="GJ282" s="773"/>
      <c r="GK282" s="773"/>
      <c r="GL282" s="773"/>
      <c r="GM282" s="773"/>
      <c r="GN282" s="773"/>
      <c r="GO282" s="773"/>
      <c r="GP282" s="773"/>
      <c r="GQ282" s="773"/>
      <c r="GR282" s="773"/>
      <c r="GS282" s="773"/>
      <c r="GT282" s="773"/>
      <c r="GU282" s="773"/>
      <c r="GV282" s="773"/>
      <c r="GW282" s="773"/>
      <c r="GX282" s="773"/>
      <c r="GY282" s="773"/>
      <c r="GZ282" s="773"/>
    </row>
    <row r="283" spans="1:208" s="11" customFormat="1">
      <c r="A283" s="774"/>
      <c r="B283" s="3784"/>
      <c r="C283" s="781"/>
      <c r="D283" s="173"/>
      <c r="E283" s="769"/>
      <c r="F283" s="769"/>
      <c r="G283" s="769"/>
      <c r="H283" s="769"/>
      <c r="I283" s="769"/>
      <c r="J283" s="769"/>
      <c r="K283" s="209"/>
      <c r="L283" s="434"/>
      <c r="M283" s="802"/>
      <c r="N283" s="772"/>
      <c r="O283" s="772"/>
      <c r="P283" s="772"/>
      <c r="Q283" s="772"/>
      <c r="R283" s="772"/>
      <c r="S283" s="772"/>
      <c r="T283" s="773"/>
      <c r="U283" s="368"/>
      <c r="V283" s="209"/>
      <c r="W283" s="209"/>
      <c r="X283" s="209"/>
      <c r="Y283" s="209"/>
      <c r="Z283" s="209"/>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511"/>
      <c r="AX283" s="820"/>
      <c r="AY283" s="820"/>
      <c r="AZ283" s="820"/>
      <c r="BA283" s="209"/>
      <c r="BB283" s="209"/>
      <c r="BC283" s="2511"/>
      <c r="BD283" s="2511"/>
      <c r="BE283" s="2511"/>
      <c r="BF283" s="2511"/>
      <c r="BH283" s="2511"/>
      <c r="BI283" s="209"/>
      <c r="BJ283" s="209"/>
      <c r="BK283" s="209"/>
      <c r="BL283" s="209"/>
      <c r="BM283" s="209"/>
      <c r="BN283" s="209"/>
      <c r="BO283" s="209"/>
      <c r="BP283" s="209"/>
      <c r="BQ283" s="209"/>
      <c r="BR283" s="209"/>
      <c r="BS283" s="209"/>
      <c r="BT283" s="209"/>
      <c r="DB283" s="773"/>
      <c r="DC283" s="773"/>
      <c r="DD283" s="773"/>
      <c r="DE283" s="773"/>
      <c r="DF283" s="773"/>
      <c r="DG283" s="773"/>
      <c r="DH283" s="773"/>
      <c r="DI283" s="773"/>
      <c r="DJ283" s="773"/>
      <c r="DK283" s="773"/>
      <c r="DL283" s="773"/>
      <c r="DM283" s="773"/>
      <c r="DN283" s="773"/>
      <c r="DO283" s="773"/>
      <c r="DP283" s="773"/>
      <c r="DQ283" s="773"/>
      <c r="DR283" s="773"/>
      <c r="DS283" s="773"/>
      <c r="DT283" s="773"/>
      <c r="DU283" s="773"/>
      <c r="DV283" s="773"/>
      <c r="DW283" s="773"/>
      <c r="DX283" s="773"/>
      <c r="DY283" s="773"/>
      <c r="DZ283" s="773"/>
      <c r="EA283" s="773"/>
      <c r="EB283" s="773"/>
      <c r="EC283" s="773"/>
      <c r="ED283" s="773"/>
      <c r="EE283" s="773"/>
      <c r="EF283" s="773"/>
      <c r="EG283" s="773"/>
      <c r="EH283" s="773"/>
      <c r="EI283" s="773"/>
      <c r="EJ283" s="773"/>
      <c r="EK283" s="773"/>
      <c r="EL283" s="773"/>
      <c r="EM283" s="773"/>
      <c r="EN283" s="773"/>
      <c r="EO283" s="773"/>
      <c r="EP283" s="773"/>
      <c r="EQ283" s="773"/>
      <c r="ER283" s="773"/>
      <c r="ES283" s="773"/>
      <c r="ET283" s="773"/>
      <c r="EU283" s="773"/>
      <c r="EV283" s="773"/>
      <c r="EW283" s="773"/>
      <c r="EX283" s="773"/>
      <c r="EY283" s="773"/>
      <c r="EZ283" s="773"/>
      <c r="FA283" s="773"/>
      <c r="FB283" s="773"/>
      <c r="FC283" s="773"/>
      <c r="FD283" s="773"/>
      <c r="FE283" s="773"/>
      <c r="FF283" s="773"/>
      <c r="FG283" s="773"/>
      <c r="FH283" s="773"/>
      <c r="FI283" s="773"/>
      <c r="FJ283" s="773"/>
      <c r="FK283" s="773"/>
      <c r="FL283" s="773"/>
      <c r="FM283" s="773"/>
      <c r="FN283" s="773"/>
      <c r="FO283" s="773"/>
      <c r="FP283" s="773"/>
      <c r="FQ283" s="773"/>
      <c r="FR283" s="773"/>
      <c r="FS283" s="773"/>
      <c r="FT283" s="773"/>
      <c r="FU283" s="773"/>
      <c r="FV283" s="773"/>
      <c r="FW283" s="773"/>
      <c r="FX283" s="773"/>
      <c r="FY283" s="773"/>
      <c r="FZ283" s="773"/>
      <c r="GA283" s="773"/>
      <c r="GB283" s="773"/>
      <c r="GC283" s="773"/>
      <c r="GD283" s="773"/>
      <c r="GE283" s="773"/>
      <c r="GF283" s="773"/>
      <c r="GG283" s="773"/>
      <c r="GH283" s="773"/>
      <c r="GI283" s="773"/>
      <c r="GJ283" s="773"/>
      <c r="GK283" s="773"/>
      <c r="GL283" s="773"/>
      <c r="GM283" s="773"/>
      <c r="GN283" s="773"/>
      <c r="GO283" s="773"/>
      <c r="GP283" s="773"/>
      <c r="GQ283" s="773"/>
      <c r="GR283" s="773"/>
      <c r="GS283" s="773"/>
      <c r="GT283" s="773"/>
      <c r="GU283" s="773"/>
      <c r="GV283" s="773"/>
      <c r="GW283" s="773"/>
      <c r="GX283" s="773"/>
      <c r="GY283" s="773"/>
      <c r="GZ283" s="773"/>
    </row>
    <row r="284" spans="1:208" s="11" customFormat="1">
      <c r="A284" s="774"/>
      <c r="B284" s="3784"/>
      <c r="C284" s="942"/>
      <c r="D284" s="1967" t="s">
        <v>451</v>
      </c>
      <c r="E284" s="1970">
        <f>E277+E265+E251+E282</f>
        <v>41168715.300000004</v>
      </c>
      <c r="F284" s="1970">
        <f>F277+F265+F251+F282+F13</f>
        <v>0</v>
      </c>
      <c r="G284" s="1970">
        <f>G277+G265+G251+G282</f>
        <v>0</v>
      </c>
      <c r="H284" s="1970">
        <f>H277+H265+H251+H282</f>
        <v>0</v>
      </c>
      <c r="I284" s="1970">
        <f>I277+I265+I251+I282</f>
        <v>0</v>
      </c>
      <c r="J284" s="1970">
        <f>J277+J265+J251+J282</f>
        <v>41168715.300000004</v>
      </c>
      <c r="K284" s="209"/>
      <c r="L284" s="434"/>
      <c r="M284" s="802"/>
      <c r="N284" s="772"/>
      <c r="O284" s="772"/>
      <c r="P284" s="772"/>
      <c r="Q284" s="772"/>
      <c r="R284" s="772"/>
      <c r="S284" s="772"/>
      <c r="T284" s="773"/>
      <c r="U284" s="368"/>
      <c r="V284" s="209"/>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511"/>
      <c r="AX284" s="820"/>
      <c r="AY284" s="820"/>
      <c r="AZ284" s="820"/>
      <c r="BA284" s="209"/>
      <c r="BB284" s="209"/>
      <c r="BC284" s="2511"/>
      <c r="BD284" s="2511"/>
      <c r="BE284" s="2511"/>
      <c r="BF284" s="2511"/>
      <c r="BH284" s="2511"/>
      <c r="BI284" s="209"/>
      <c r="BJ284" s="209"/>
      <c r="BK284" s="209"/>
      <c r="BL284" s="209"/>
      <c r="BM284" s="209"/>
      <c r="BN284" s="209"/>
      <c r="BO284" s="209"/>
      <c r="BP284" s="209"/>
      <c r="BQ284" s="209"/>
      <c r="BR284" s="209"/>
      <c r="BS284" s="209"/>
      <c r="BT284" s="209"/>
      <c r="DB284" s="773"/>
      <c r="DC284" s="773"/>
      <c r="DD284" s="773"/>
      <c r="DE284" s="773"/>
      <c r="DF284" s="773"/>
      <c r="DG284" s="773"/>
      <c r="DH284" s="773"/>
      <c r="DI284" s="773"/>
      <c r="DJ284" s="773"/>
      <c r="DK284" s="773"/>
      <c r="DL284" s="773"/>
      <c r="DM284" s="773"/>
      <c r="DN284" s="773"/>
      <c r="DO284" s="773"/>
      <c r="DP284" s="773"/>
      <c r="DQ284" s="773"/>
      <c r="DR284" s="773"/>
      <c r="DS284" s="773"/>
      <c r="DT284" s="773"/>
      <c r="DU284" s="773"/>
      <c r="DV284" s="773"/>
      <c r="DW284" s="773"/>
      <c r="DX284" s="773"/>
      <c r="DY284" s="773"/>
      <c r="DZ284" s="773"/>
      <c r="EA284" s="773"/>
      <c r="EB284" s="773"/>
      <c r="EC284" s="773"/>
      <c r="ED284" s="773"/>
      <c r="EE284" s="773"/>
      <c r="EF284" s="773"/>
      <c r="EG284" s="773"/>
      <c r="EH284" s="773"/>
      <c r="EI284" s="773"/>
      <c r="EJ284" s="773"/>
      <c r="EK284" s="773"/>
      <c r="EL284" s="773"/>
      <c r="EM284" s="773"/>
      <c r="EN284" s="773"/>
      <c r="EO284" s="773"/>
      <c r="EP284" s="773"/>
      <c r="EQ284" s="773"/>
      <c r="ER284" s="773"/>
      <c r="ES284" s="773"/>
      <c r="ET284" s="773"/>
      <c r="EU284" s="773"/>
      <c r="EV284" s="773"/>
      <c r="EW284" s="773"/>
      <c r="EX284" s="773"/>
      <c r="EY284" s="773"/>
      <c r="EZ284" s="773"/>
      <c r="FA284" s="773"/>
      <c r="FB284" s="773"/>
      <c r="FC284" s="773"/>
      <c r="FD284" s="773"/>
      <c r="FE284" s="773"/>
      <c r="FF284" s="773"/>
      <c r="FG284" s="773"/>
      <c r="FH284" s="773"/>
      <c r="FI284" s="773"/>
      <c r="FJ284" s="773"/>
      <c r="FK284" s="773"/>
      <c r="FL284" s="773"/>
      <c r="FM284" s="773"/>
      <c r="FN284" s="773"/>
      <c r="FO284" s="773"/>
      <c r="FP284" s="773"/>
      <c r="FQ284" s="773"/>
      <c r="FR284" s="773"/>
      <c r="FS284" s="773"/>
      <c r="FT284" s="773"/>
      <c r="FU284" s="773"/>
      <c r="FV284" s="773"/>
      <c r="FW284" s="773"/>
      <c r="FX284" s="773"/>
      <c r="FY284" s="773"/>
      <c r="FZ284" s="773"/>
      <c r="GA284" s="773"/>
      <c r="GB284" s="773"/>
      <c r="GC284" s="773"/>
      <c r="GD284" s="773"/>
      <c r="GE284" s="773"/>
      <c r="GF284" s="773"/>
      <c r="GG284" s="773"/>
      <c r="GH284" s="773"/>
      <c r="GI284" s="773"/>
      <c r="GJ284" s="773"/>
      <c r="GK284" s="773"/>
      <c r="GL284" s="773"/>
      <c r="GM284" s="773"/>
      <c r="GN284" s="773"/>
      <c r="GO284" s="773"/>
      <c r="GP284" s="773"/>
      <c r="GQ284" s="773"/>
      <c r="GR284" s="773"/>
      <c r="GS284" s="773"/>
      <c r="GT284" s="773"/>
      <c r="GU284" s="773"/>
      <c r="GV284" s="773"/>
      <c r="GW284" s="773"/>
      <c r="GX284" s="773"/>
      <c r="GY284" s="773"/>
      <c r="GZ284" s="773"/>
    </row>
    <row r="285" spans="1:208" s="11" customFormat="1">
      <c r="A285" s="774"/>
      <c r="B285" s="3784"/>
      <c r="C285" s="848"/>
      <c r="D285" s="173"/>
      <c r="E285" s="796"/>
      <c r="F285" s="796"/>
      <c r="G285" s="769"/>
      <c r="H285" s="769"/>
      <c r="I285" s="769"/>
      <c r="J285" s="796"/>
      <c r="K285" s="209"/>
      <c r="L285" s="434"/>
      <c r="M285" s="802"/>
      <c r="N285" s="772"/>
      <c r="O285" s="772"/>
      <c r="P285" s="772"/>
      <c r="Q285" s="772"/>
      <c r="R285" s="772"/>
      <c r="S285" s="772"/>
      <c r="T285" s="773"/>
      <c r="U285" s="368"/>
      <c r="V285" s="209"/>
      <c r="W285" s="209"/>
      <c r="X285" s="209"/>
      <c r="Y285" s="209"/>
      <c r="Z285" s="209"/>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511"/>
      <c r="AX285" s="820"/>
      <c r="AY285" s="820"/>
      <c r="AZ285" s="820"/>
      <c r="BA285" s="209"/>
      <c r="BB285" s="209"/>
      <c r="BC285" s="2511"/>
      <c r="BD285" s="2511"/>
      <c r="BE285" s="2511"/>
      <c r="BF285" s="2511"/>
      <c r="BH285" s="2511"/>
      <c r="BI285" s="209"/>
      <c r="BJ285" s="209"/>
      <c r="BK285" s="209"/>
      <c r="BL285" s="209"/>
      <c r="BM285" s="209"/>
      <c r="BN285" s="209"/>
      <c r="BO285" s="209"/>
      <c r="BP285" s="209"/>
      <c r="BQ285" s="209"/>
      <c r="BR285" s="209"/>
      <c r="BS285" s="209"/>
      <c r="BT285" s="209"/>
      <c r="DB285" s="773"/>
      <c r="DC285" s="773"/>
      <c r="DD285" s="773"/>
      <c r="DE285" s="773"/>
      <c r="DF285" s="773"/>
      <c r="DG285" s="773"/>
      <c r="DH285" s="773"/>
      <c r="DI285" s="773"/>
      <c r="DJ285" s="773"/>
      <c r="DK285" s="773"/>
      <c r="DL285" s="773"/>
      <c r="DM285" s="773"/>
      <c r="DN285" s="773"/>
      <c r="DO285" s="773"/>
      <c r="DP285" s="773"/>
      <c r="DQ285" s="773"/>
      <c r="DR285" s="773"/>
      <c r="DS285" s="773"/>
      <c r="DT285" s="773"/>
      <c r="DU285" s="773"/>
      <c r="DV285" s="773"/>
      <c r="DW285" s="773"/>
      <c r="DX285" s="773"/>
      <c r="DY285" s="773"/>
      <c r="DZ285" s="773"/>
      <c r="EA285" s="773"/>
      <c r="EB285" s="773"/>
      <c r="EC285" s="773"/>
      <c r="ED285" s="773"/>
      <c r="EE285" s="773"/>
      <c r="EF285" s="773"/>
      <c r="EG285" s="773"/>
      <c r="EH285" s="773"/>
      <c r="EI285" s="773"/>
      <c r="EJ285" s="773"/>
      <c r="EK285" s="773"/>
      <c r="EL285" s="773"/>
      <c r="EM285" s="773"/>
      <c r="EN285" s="773"/>
      <c r="EO285" s="773"/>
      <c r="EP285" s="773"/>
      <c r="EQ285" s="773"/>
      <c r="ER285" s="773"/>
      <c r="ES285" s="773"/>
      <c r="ET285" s="773"/>
      <c r="EU285" s="773"/>
      <c r="EV285" s="773"/>
      <c r="EW285" s="773"/>
      <c r="EX285" s="773"/>
      <c r="EY285" s="773"/>
      <c r="EZ285" s="773"/>
      <c r="FA285" s="773"/>
      <c r="FB285" s="773"/>
      <c r="FC285" s="773"/>
      <c r="FD285" s="773"/>
      <c r="FE285" s="773"/>
      <c r="FF285" s="773"/>
      <c r="FG285" s="773"/>
      <c r="FH285" s="773"/>
      <c r="FI285" s="773"/>
      <c r="FJ285" s="773"/>
      <c r="FK285" s="773"/>
      <c r="FL285" s="773"/>
      <c r="FM285" s="773"/>
      <c r="FN285" s="773"/>
      <c r="FO285" s="773"/>
      <c r="FP285" s="773"/>
      <c r="FQ285" s="773"/>
      <c r="FR285" s="773"/>
      <c r="FS285" s="773"/>
      <c r="FT285" s="773"/>
      <c r="FU285" s="773"/>
      <c r="FV285" s="773"/>
      <c r="FW285" s="773"/>
      <c r="FX285" s="773"/>
      <c r="FY285" s="773"/>
      <c r="FZ285" s="773"/>
      <c r="GA285" s="773"/>
      <c r="GB285" s="773"/>
      <c r="GC285" s="773"/>
      <c r="GD285" s="773"/>
      <c r="GE285" s="773"/>
      <c r="GF285" s="773"/>
      <c r="GG285" s="773"/>
      <c r="GH285" s="773"/>
      <c r="GI285" s="773"/>
      <c r="GJ285" s="773"/>
      <c r="GK285" s="773"/>
      <c r="GL285" s="773"/>
      <c r="GM285" s="773"/>
      <c r="GN285" s="773"/>
      <c r="GO285" s="773"/>
      <c r="GP285" s="773"/>
      <c r="GQ285" s="773"/>
      <c r="GR285" s="773"/>
      <c r="GS285" s="773"/>
      <c r="GT285" s="773"/>
      <c r="GU285" s="773"/>
      <c r="GV285" s="773"/>
      <c r="GW285" s="773"/>
      <c r="GX285" s="773"/>
      <c r="GY285" s="773"/>
      <c r="GZ285" s="773"/>
    </row>
    <row r="286" spans="1:208" s="11" customFormat="1" ht="13.5" thickBot="1">
      <c r="A286" s="774"/>
      <c r="B286" s="3784"/>
      <c r="C286" s="781"/>
      <c r="D286" s="173"/>
      <c r="E286" s="769"/>
      <c r="F286" s="769"/>
      <c r="G286" s="769"/>
      <c r="H286" s="769"/>
      <c r="I286" s="769"/>
      <c r="J286" s="769"/>
      <c r="K286" s="209"/>
      <c r="L286" s="434"/>
      <c r="M286" s="802"/>
      <c r="N286" s="772"/>
      <c r="O286" s="772"/>
      <c r="P286" s="772"/>
      <c r="Q286" s="772"/>
      <c r="R286" s="772"/>
      <c r="S286" s="772"/>
      <c r="T286" s="773"/>
      <c r="AW286" s="2511"/>
      <c r="AX286" s="820"/>
      <c r="AY286" s="820"/>
      <c r="AZ286" s="820"/>
      <c r="BA286" s="209"/>
      <c r="BB286" s="209"/>
      <c r="BC286" s="2511"/>
      <c r="BD286" s="2511"/>
      <c r="BE286" s="2511"/>
      <c r="BF286" s="2511"/>
      <c r="BH286" s="2511"/>
      <c r="BI286" s="209"/>
      <c r="BJ286" s="209"/>
      <c r="BK286" s="209"/>
      <c r="BL286" s="209"/>
      <c r="BM286" s="209"/>
      <c r="BN286" s="30"/>
      <c r="BO286" s="209"/>
      <c r="BP286" s="209"/>
      <c r="BQ286" s="209"/>
      <c r="BR286" s="209"/>
      <c r="BS286" s="209"/>
      <c r="BT286" s="209"/>
      <c r="DB286" s="773"/>
      <c r="DC286" s="773"/>
      <c r="DD286" s="773"/>
      <c r="DE286" s="773"/>
      <c r="DF286" s="773"/>
      <c r="DG286" s="773"/>
      <c r="DH286" s="773"/>
      <c r="DI286" s="773"/>
      <c r="DJ286" s="773"/>
      <c r="DK286" s="773"/>
      <c r="DL286" s="773"/>
      <c r="DM286" s="773"/>
      <c r="DN286" s="773"/>
      <c r="DO286" s="773"/>
      <c r="DP286" s="773"/>
      <c r="DQ286" s="773"/>
      <c r="DR286" s="773"/>
      <c r="DS286" s="773"/>
      <c r="DT286" s="773"/>
      <c r="DU286" s="773"/>
      <c r="DV286" s="773"/>
      <c r="DW286" s="773"/>
      <c r="DX286" s="773"/>
      <c r="DY286" s="773"/>
      <c r="DZ286" s="773"/>
      <c r="EA286" s="773"/>
      <c r="EB286" s="773"/>
      <c r="EC286" s="773"/>
      <c r="ED286" s="773"/>
      <c r="EE286" s="773"/>
      <c r="EF286" s="773"/>
      <c r="EG286" s="773"/>
      <c r="EH286" s="773"/>
      <c r="EI286" s="773"/>
      <c r="EJ286" s="773"/>
      <c r="EK286" s="773"/>
      <c r="EL286" s="773"/>
      <c r="EM286" s="773"/>
      <c r="EN286" s="773"/>
      <c r="EO286" s="773"/>
      <c r="EP286" s="773"/>
      <c r="EQ286" s="773"/>
      <c r="ER286" s="773"/>
      <c r="ES286" s="773"/>
      <c r="ET286" s="773"/>
      <c r="EU286" s="773"/>
      <c r="EV286" s="773"/>
      <c r="EW286" s="773"/>
      <c r="EX286" s="773"/>
      <c r="EY286" s="773"/>
      <c r="EZ286" s="773"/>
      <c r="FA286" s="773"/>
      <c r="FB286" s="773"/>
      <c r="FC286" s="773"/>
      <c r="FD286" s="773"/>
      <c r="FE286" s="773"/>
      <c r="FF286" s="773"/>
      <c r="FG286" s="773"/>
      <c r="FH286" s="773"/>
      <c r="FI286" s="773"/>
      <c r="FJ286" s="773"/>
      <c r="FK286" s="773"/>
      <c r="FL286" s="773"/>
      <c r="FM286" s="773"/>
      <c r="FN286" s="773"/>
      <c r="FO286" s="773"/>
      <c r="FP286" s="773"/>
      <c r="FQ286" s="773"/>
      <c r="FR286" s="773"/>
      <c r="FS286" s="773"/>
      <c r="FT286" s="773"/>
      <c r="FU286" s="773"/>
      <c r="FV286" s="773"/>
      <c r="FW286" s="773"/>
      <c r="FX286" s="773"/>
      <c r="FY286" s="773"/>
      <c r="FZ286" s="773"/>
      <c r="GA286" s="773"/>
      <c r="GB286" s="773"/>
      <c r="GC286" s="773"/>
      <c r="GD286" s="773"/>
      <c r="GE286" s="773"/>
      <c r="GF286" s="773"/>
      <c r="GG286" s="773"/>
      <c r="GH286" s="773"/>
      <c r="GI286" s="773"/>
      <c r="GJ286" s="773"/>
      <c r="GK286" s="773"/>
      <c r="GL286" s="773"/>
      <c r="GM286" s="773"/>
      <c r="GN286" s="773"/>
      <c r="GO286" s="773"/>
      <c r="GP286" s="773"/>
      <c r="GQ286" s="773"/>
      <c r="GR286" s="773"/>
      <c r="GS286" s="773"/>
      <c r="GT286" s="773"/>
      <c r="GU286" s="773"/>
      <c r="GV286" s="773"/>
      <c r="GW286" s="773"/>
      <c r="GX286" s="773"/>
      <c r="GY286" s="773"/>
      <c r="GZ286" s="773"/>
    </row>
    <row r="287" spans="1:208" s="11" customFormat="1" ht="13.5" thickBot="1">
      <c r="A287" s="774"/>
      <c r="B287" s="3784"/>
      <c r="C287" s="848"/>
      <c r="D287" s="927" t="s">
        <v>184</v>
      </c>
      <c r="E287" s="827"/>
      <c r="F287" s="769"/>
      <c r="G287" s="769"/>
      <c r="H287" s="769"/>
      <c r="I287" s="769"/>
      <c r="J287" s="796"/>
      <c r="K287" s="209"/>
      <c r="L287" s="434"/>
      <c r="M287" s="802"/>
      <c r="N287" s="772"/>
      <c r="O287" s="772"/>
      <c r="P287" s="772"/>
      <c r="Q287" s="772"/>
      <c r="R287" s="772"/>
      <c r="S287" s="772"/>
      <c r="T287" s="773"/>
      <c r="AW287" s="2511"/>
      <c r="AX287" s="820"/>
      <c r="AY287" s="820"/>
      <c r="AZ287" s="820"/>
      <c r="BA287" s="209"/>
      <c r="BB287" s="209"/>
      <c r="BC287" s="2511"/>
      <c r="BD287" s="2511"/>
      <c r="BE287" s="2511"/>
      <c r="BF287" s="2511"/>
      <c r="BH287" s="2511"/>
      <c r="BI287" s="209"/>
      <c r="BJ287" s="209"/>
      <c r="BK287" s="209"/>
      <c r="BL287" s="209"/>
      <c r="BM287" s="209"/>
      <c r="BN287" s="30"/>
      <c r="BO287" s="209"/>
      <c r="BP287" s="209"/>
      <c r="BQ287" s="209"/>
      <c r="BR287" s="209"/>
      <c r="BS287" s="209"/>
      <c r="BT287" s="209"/>
      <c r="DB287" s="773"/>
      <c r="DC287" s="773"/>
      <c r="DD287" s="773"/>
      <c r="DE287" s="773"/>
      <c r="DF287" s="773"/>
      <c r="DG287" s="773"/>
      <c r="DH287" s="773"/>
      <c r="DI287" s="773"/>
      <c r="DJ287" s="773"/>
      <c r="DK287" s="773"/>
      <c r="DL287" s="773"/>
      <c r="DM287" s="773"/>
      <c r="DN287" s="773"/>
      <c r="DO287" s="773"/>
      <c r="DP287" s="773"/>
      <c r="DQ287" s="773"/>
      <c r="DR287" s="773"/>
      <c r="DS287" s="773"/>
      <c r="DT287" s="773"/>
      <c r="DU287" s="773"/>
      <c r="DV287" s="773"/>
      <c r="DW287" s="773"/>
      <c r="DX287" s="773"/>
      <c r="DY287" s="773"/>
      <c r="DZ287" s="773"/>
      <c r="EA287" s="773"/>
      <c r="EB287" s="773"/>
      <c r="EC287" s="773"/>
      <c r="ED287" s="773"/>
      <c r="EE287" s="773"/>
      <c r="EF287" s="773"/>
      <c r="EG287" s="773"/>
      <c r="EH287" s="773"/>
      <c r="EI287" s="773"/>
      <c r="EJ287" s="773"/>
      <c r="EK287" s="773"/>
      <c r="EL287" s="773"/>
      <c r="EM287" s="773"/>
      <c r="EN287" s="773"/>
      <c r="EO287" s="773"/>
      <c r="EP287" s="773"/>
      <c r="EQ287" s="773"/>
      <c r="ER287" s="773"/>
      <c r="ES287" s="773"/>
      <c r="ET287" s="773"/>
      <c r="EU287" s="773"/>
      <c r="EV287" s="773"/>
      <c r="EW287" s="773"/>
      <c r="EX287" s="773"/>
      <c r="EY287" s="773"/>
      <c r="EZ287" s="773"/>
      <c r="FA287" s="773"/>
      <c r="FB287" s="773"/>
      <c r="FC287" s="773"/>
      <c r="FD287" s="773"/>
      <c r="FE287" s="773"/>
      <c r="FF287" s="773"/>
      <c r="FG287" s="773"/>
      <c r="FH287" s="773"/>
      <c r="FI287" s="773"/>
      <c r="FJ287" s="773"/>
      <c r="FK287" s="773"/>
      <c r="FL287" s="773"/>
      <c r="FM287" s="773"/>
      <c r="FN287" s="773"/>
      <c r="FO287" s="773"/>
      <c r="FP287" s="773"/>
      <c r="FQ287" s="773"/>
      <c r="FR287" s="773"/>
      <c r="FS287" s="773"/>
      <c r="FT287" s="773"/>
      <c r="FU287" s="773"/>
      <c r="FV287" s="773"/>
      <c r="FW287" s="773"/>
      <c r="FX287" s="773"/>
      <c r="FY287" s="773"/>
      <c r="FZ287" s="773"/>
      <c r="GA287" s="773"/>
      <c r="GB287" s="773"/>
      <c r="GC287" s="773"/>
      <c r="GD287" s="773"/>
      <c r="GE287" s="773"/>
      <c r="GF287" s="773"/>
      <c r="GG287" s="773"/>
      <c r="GH287" s="773"/>
      <c r="GI287" s="773"/>
      <c r="GJ287" s="773"/>
      <c r="GK287" s="773"/>
      <c r="GL287" s="773"/>
      <c r="GM287" s="773"/>
      <c r="GN287" s="773"/>
      <c r="GO287" s="773"/>
      <c r="GP287" s="773"/>
      <c r="GQ287" s="773"/>
      <c r="GR287" s="773"/>
      <c r="GS287" s="773"/>
      <c r="GT287" s="773"/>
      <c r="GU287" s="773"/>
      <c r="GV287" s="773"/>
      <c r="GW287" s="773"/>
      <c r="GX287" s="773"/>
      <c r="GY287" s="773"/>
      <c r="GZ287" s="773"/>
    </row>
    <row r="288" spans="1:208" s="11" customFormat="1">
      <c r="A288" s="780"/>
      <c r="B288" s="3784"/>
      <c r="C288" s="157"/>
      <c r="D288" s="167"/>
      <c r="E288" s="809"/>
      <c r="F288" s="769"/>
      <c r="G288" s="108"/>
      <c r="H288" s="108"/>
      <c r="I288" s="108"/>
      <c r="J288" s="796"/>
      <c r="K288" s="209"/>
      <c r="L288" s="434"/>
      <c r="M288" s="802"/>
      <c r="N288" s="772"/>
      <c r="O288" s="772"/>
      <c r="P288" s="772"/>
      <c r="Q288" s="772"/>
      <c r="R288" s="772"/>
      <c r="S288" s="772"/>
      <c r="T288" s="773"/>
      <c r="AW288" s="2511"/>
      <c r="AX288" s="820"/>
      <c r="AY288" s="820"/>
      <c r="AZ288" s="820"/>
      <c r="BA288" s="209"/>
      <c r="BB288" s="209"/>
      <c r="BC288" s="2511"/>
      <c r="BD288" s="2511"/>
      <c r="BE288" s="2511"/>
      <c r="BF288" s="2511"/>
      <c r="BH288" s="2511"/>
      <c r="BI288" s="209"/>
      <c r="BJ288" s="209"/>
      <c r="BK288" s="209"/>
      <c r="BL288" s="209"/>
      <c r="BM288" s="209"/>
      <c r="BN288" s="30"/>
      <c r="BO288" s="209"/>
      <c r="BP288" s="209"/>
      <c r="BQ288" s="209"/>
      <c r="BR288" s="209"/>
      <c r="DB288" s="773"/>
      <c r="DC288" s="773"/>
      <c r="DD288" s="773"/>
      <c r="DE288" s="773"/>
      <c r="DF288" s="773"/>
      <c r="DG288" s="773"/>
      <c r="DH288" s="773"/>
      <c r="DI288" s="773"/>
      <c r="DJ288" s="773"/>
      <c r="DK288" s="773"/>
      <c r="DL288" s="773"/>
      <c r="DM288" s="773"/>
      <c r="DN288" s="773"/>
      <c r="DO288" s="773"/>
      <c r="DP288" s="773"/>
      <c r="DQ288" s="773"/>
      <c r="DR288" s="773"/>
      <c r="DS288" s="773"/>
      <c r="DT288" s="773"/>
      <c r="DU288" s="773"/>
      <c r="DV288" s="773"/>
      <c r="DW288" s="773"/>
      <c r="DX288" s="773"/>
      <c r="DY288" s="773"/>
      <c r="DZ288" s="773"/>
      <c r="EA288" s="773"/>
      <c r="EB288" s="773"/>
      <c r="EC288" s="773"/>
      <c r="ED288" s="773"/>
      <c r="EE288" s="773"/>
      <c r="EF288" s="773"/>
      <c r="EG288" s="773"/>
      <c r="EH288" s="773"/>
      <c r="EI288" s="773"/>
      <c r="EJ288" s="773"/>
      <c r="EK288" s="773"/>
      <c r="EL288" s="773"/>
      <c r="EM288" s="773"/>
      <c r="EN288" s="773"/>
      <c r="EO288" s="773"/>
      <c r="EP288" s="773"/>
      <c r="EQ288" s="773"/>
      <c r="ER288" s="773"/>
      <c r="ES288" s="773"/>
      <c r="ET288" s="773"/>
      <c r="EU288" s="773"/>
      <c r="EV288" s="773"/>
      <c r="EW288" s="773"/>
      <c r="EX288" s="773"/>
      <c r="EY288" s="773"/>
      <c r="EZ288" s="773"/>
      <c r="FA288" s="773"/>
      <c r="FB288" s="773"/>
      <c r="FC288" s="773"/>
      <c r="FD288" s="773"/>
      <c r="FE288" s="773"/>
      <c r="FF288" s="773"/>
      <c r="FG288" s="773"/>
      <c r="FH288" s="773"/>
      <c r="FI288" s="773"/>
      <c r="FJ288" s="773"/>
      <c r="FK288" s="773"/>
      <c r="FL288" s="773"/>
      <c r="FM288" s="773"/>
      <c r="FN288" s="773"/>
      <c r="FO288" s="773"/>
      <c r="FP288" s="773"/>
      <c r="FQ288" s="773"/>
      <c r="FR288" s="773"/>
      <c r="FS288" s="773"/>
      <c r="FT288" s="773"/>
      <c r="FU288" s="773"/>
      <c r="FV288" s="773"/>
      <c r="FW288" s="773"/>
      <c r="FX288" s="773"/>
      <c r="FY288" s="773"/>
      <c r="FZ288" s="773"/>
      <c r="GA288" s="773"/>
      <c r="GB288" s="773"/>
      <c r="GC288" s="773"/>
      <c r="GD288" s="773"/>
      <c r="GE288" s="773"/>
      <c r="GF288" s="773"/>
      <c r="GG288" s="773"/>
      <c r="GH288" s="773"/>
      <c r="GI288" s="773"/>
      <c r="GJ288" s="773"/>
      <c r="GK288" s="773"/>
      <c r="GL288" s="773"/>
      <c r="GM288" s="773"/>
      <c r="GN288" s="773"/>
      <c r="GO288" s="773"/>
      <c r="GP288" s="773"/>
      <c r="GQ288" s="773"/>
      <c r="GR288" s="773"/>
      <c r="GS288" s="773"/>
      <c r="GT288" s="773"/>
      <c r="GU288" s="773"/>
      <c r="GV288" s="773"/>
      <c r="GW288" s="773"/>
      <c r="GX288" s="773"/>
      <c r="GY288" s="773"/>
      <c r="GZ288" s="773"/>
    </row>
    <row r="289" spans="1:208" s="11" customFormat="1">
      <c r="A289" s="780"/>
      <c r="B289" s="3784"/>
      <c r="C289" s="157"/>
      <c r="D289" s="174" t="s">
        <v>475</v>
      </c>
      <c r="E289" s="42"/>
      <c r="F289" s="769"/>
      <c r="G289" s="108"/>
      <c r="H289" s="108"/>
      <c r="I289" s="108"/>
      <c r="J289" s="796"/>
      <c r="K289" s="209"/>
      <c r="L289" s="434"/>
      <c r="M289" s="803"/>
      <c r="N289" s="772"/>
      <c r="O289" s="772"/>
      <c r="P289" s="772"/>
      <c r="Q289" s="772"/>
      <c r="R289" s="772"/>
      <c r="S289" s="772"/>
      <c r="T289" s="773"/>
      <c r="AW289" s="2511"/>
      <c r="AX289" s="820"/>
      <c r="AY289" s="820"/>
      <c r="AZ289" s="820"/>
      <c r="BA289" s="209"/>
      <c r="BB289" s="209"/>
      <c r="BC289" s="2511"/>
      <c r="BD289" s="2511"/>
      <c r="BE289" s="2511"/>
      <c r="BF289" s="2511"/>
      <c r="BH289" s="2511"/>
      <c r="BI289" s="209"/>
      <c r="BJ289" s="209"/>
      <c r="BK289" s="209"/>
      <c r="BL289" s="209"/>
      <c r="BM289" s="209"/>
      <c r="BN289" s="30"/>
      <c r="BO289" s="209"/>
      <c r="BP289" s="209"/>
      <c r="BQ289" s="209"/>
      <c r="BR289" s="209"/>
      <c r="DB289" s="773"/>
      <c r="DC289" s="773"/>
      <c r="DD289" s="773"/>
      <c r="DE289" s="773"/>
      <c r="DF289" s="773"/>
      <c r="DG289" s="773"/>
      <c r="DH289" s="773"/>
      <c r="DI289" s="773"/>
      <c r="DJ289" s="773"/>
      <c r="DK289" s="773"/>
      <c r="DL289" s="773"/>
      <c r="DM289" s="773"/>
      <c r="DN289" s="773"/>
      <c r="DO289" s="773"/>
      <c r="DP289" s="773"/>
      <c r="DQ289" s="773"/>
      <c r="DR289" s="773"/>
      <c r="DS289" s="773"/>
      <c r="DT289" s="773"/>
      <c r="DU289" s="773"/>
      <c r="DV289" s="773"/>
      <c r="DW289" s="773"/>
      <c r="DX289" s="773"/>
      <c r="DY289" s="773"/>
      <c r="DZ289" s="773"/>
      <c r="EA289" s="773"/>
      <c r="EB289" s="773"/>
      <c r="EC289" s="773"/>
      <c r="ED289" s="773"/>
      <c r="EE289" s="773"/>
      <c r="EF289" s="773"/>
      <c r="EG289" s="773"/>
      <c r="EH289" s="773"/>
      <c r="EI289" s="773"/>
      <c r="EJ289" s="773"/>
      <c r="EK289" s="773"/>
      <c r="EL289" s="773"/>
      <c r="EM289" s="773"/>
      <c r="EN289" s="773"/>
      <c r="EO289" s="773"/>
      <c r="EP289" s="773"/>
      <c r="EQ289" s="773"/>
      <c r="ER289" s="773"/>
      <c r="ES289" s="773"/>
      <c r="ET289" s="773"/>
      <c r="EU289" s="773"/>
      <c r="EV289" s="773"/>
      <c r="EW289" s="773"/>
      <c r="EX289" s="773"/>
      <c r="EY289" s="773"/>
      <c r="EZ289" s="773"/>
      <c r="FA289" s="773"/>
      <c r="FB289" s="773"/>
      <c r="FC289" s="773"/>
      <c r="FD289" s="773"/>
      <c r="FE289" s="773"/>
      <c r="FF289" s="773"/>
      <c r="FG289" s="773"/>
      <c r="FH289" s="773"/>
      <c r="FI289" s="773"/>
      <c r="FJ289" s="773"/>
      <c r="FK289" s="773"/>
      <c r="FL289" s="773"/>
      <c r="FM289" s="773"/>
      <c r="FN289" s="773"/>
      <c r="FO289" s="773"/>
      <c r="FP289" s="773"/>
      <c r="FQ289" s="773"/>
      <c r="FR289" s="773"/>
      <c r="FS289" s="773"/>
      <c r="FT289" s="773"/>
      <c r="FU289" s="773"/>
      <c r="FV289" s="773"/>
      <c r="FW289" s="773"/>
      <c r="FX289" s="773"/>
      <c r="FY289" s="773"/>
      <c r="FZ289" s="773"/>
      <c r="GA289" s="773"/>
      <c r="GB289" s="773"/>
      <c r="GC289" s="773"/>
      <c r="GD289" s="773"/>
      <c r="GE289" s="773"/>
      <c r="GF289" s="773"/>
      <c r="GG289" s="773"/>
      <c r="GH289" s="773"/>
      <c r="GI289" s="773"/>
      <c r="GJ289" s="773"/>
      <c r="GK289" s="773"/>
      <c r="GL289" s="773"/>
      <c r="GM289" s="773"/>
      <c r="GN289" s="773"/>
      <c r="GO289" s="773"/>
      <c r="GP289" s="773"/>
      <c r="GQ289" s="773"/>
      <c r="GR289" s="773"/>
      <c r="GS289" s="773"/>
      <c r="GT289" s="773"/>
      <c r="GU289" s="773"/>
      <c r="GV289" s="773"/>
      <c r="GW289" s="773"/>
      <c r="GX289" s="773"/>
      <c r="GY289" s="773"/>
      <c r="GZ289" s="773"/>
    </row>
    <row r="290" spans="1:208" s="773" customFormat="1">
      <c r="A290" s="774"/>
      <c r="B290" s="3761" t="s">
        <v>2350</v>
      </c>
      <c r="C290" s="814">
        <v>2120100</v>
      </c>
      <c r="D290" s="199" t="s">
        <v>2566</v>
      </c>
      <c r="E290" s="42">
        <f>IFERROR(VLOOKUP(C290,'AJE 12 - INC'!$D$168:$F$345,3,0),0)</f>
        <v>-604.79999999999995</v>
      </c>
      <c r="F290" s="108">
        <f>SUMIF('AJE 12 - INC'!B:B,'New TB INC'!C290,'AJE 12 - INC'!D:D)</f>
        <v>0</v>
      </c>
      <c r="G290" s="108"/>
      <c r="H290" s="108"/>
      <c r="I290" s="108"/>
      <c r="J290" s="798">
        <f t="shared" ref="J290:J327" si="26">SUM(E290:I290)</f>
        <v>-604.79999999999995</v>
      </c>
      <c r="K290" s="209"/>
      <c r="L290" s="449"/>
      <c r="M290" s="803"/>
      <c r="N290" s="772"/>
      <c r="O290" s="772"/>
      <c r="P290" s="772"/>
      <c r="Q290" s="772"/>
      <c r="R290" s="772"/>
      <c r="S290" s="772"/>
      <c r="AW290" s="2511"/>
      <c r="AX290" s="820"/>
      <c r="AY290" s="820"/>
      <c r="AZ290" s="820"/>
      <c r="BA290" s="209"/>
      <c r="BB290" s="209"/>
      <c r="BC290" s="2511"/>
      <c r="BD290" s="2511"/>
      <c r="BE290" s="2511"/>
      <c r="BF290" s="2511"/>
      <c r="BH290" s="2511"/>
      <c r="BI290" s="209"/>
      <c r="BJ290" s="209"/>
      <c r="BK290" s="209"/>
      <c r="BL290" s="209"/>
      <c r="BM290" s="209"/>
      <c r="BN290" s="30"/>
      <c r="BO290" s="209"/>
      <c r="BP290" s="209"/>
      <c r="BQ290" s="209"/>
      <c r="BR290" s="209"/>
      <c r="BY290" s="11"/>
      <c r="BZ290" s="11"/>
    </row>
    <row r="291" spans="1:208" s="773" customFormat="1">
      <c r="A291" s="774"/>
      <c r="B291" s="3761" t="s">
        <v>2350</v>
      </c>
      <c r="C291" s="814">
        <v>2170387</v>
      </c>
      <c r="D291" s="199" t="s">
        <v>4698</v>
      </c>
      <c r="E291" s="42">
        <f>IFERROR(VLOOKUP(C291,'AJE 12 - INC'!$D$168:$F$345,3,0),0)</f>
        <v>-9000</v>
      </c>
      <c r="F291" s="108">
        <f>SUMIF('AJE 12 - INC'!B:B,'New TB INC'!C291,'AJE 12 - INC'!D:D)</f>
        <v>0</v>
      </c>
      <c r="G291" s="108"/>
      <c r="H291" s="108"/>
      <c r="I291" s="108"/>
      <c r="J291" s="798">
        <f t="shared" ref="J291" si="27">SUM(E291:I291)</f>
        <v>-9000</v>
      </c>
      <c r="K291" s="209"/>
      <c r="L291" s="449"/>
      <c r="M291" s="803"/>
      <c r="N291" s="772"/>
      <c r="O291" s="772"/>
      <c r="P291" s="772"/>
      <c r="Q291" s="772"/>
      <c r="R291" s="772"/>
      <c r="S291" s="772"/>
      <c r="AW291" s="2511"/>
      <c r="AX291" s="820"/>
      <c r="AY291" s="820"/>
      <c r="AZ291" s="820"/>
      <c r="BA291" s="209"/>
      <c r="BB291" s="209"/>
      <c r="BC291" s="2511"/>
      <c r="BD291" s="2511"/>
      <c r="BE291" s="2511"/>
      <c r="BF291" s="2511"/>
      <c r="BH291" s="2511"/>
      <c r="BI291" s="209"/>
      <c r="BJ291" s="209"/>
      <c r="BK291" s="209"/>
      <c r="BL291" s="209"/>
      <c r="BM291" s="209"/>
      <c r="BN291" s="30"/>
      <c r="BO291" s="209"/>
      <c r="BP291" s="209"/>
      <c r="BQ291" s="209"/>
      <c r="BR291" s="209"/>
      <c r="BY291" s="11"/>
      <c r="BZ291" s="11"/>
    </row>
    <row r="292" spans="1:208" s="773" customFormat="1">
      <c r="A292" s="774"/>
      <c r="B292" s="3761" t="s">
        <v>2350</v>
      </c>
      <c r="C292" s="814">
        <v>2120251</v>
      </c>
      <c r="D292" s="199" t="s">
        <v>2061</v>
      </c>
      <c r="E292" s="42">
        <f>IFERROR(VLOOKUP(C292,'AJE 12 - INC'!$D$168:$F$345,3,0),0)</f>
        <v>0.3</v>
      </c>
      <c r="F292" s="108">
        <f>SUMIF('AJE 12 - INC'!B:B,'New TB INC'!C292,'AJE 12 - INC'!D:D)</f>
        <v>0</v>
      </c>
      <c r="G292" s="108"/>
      <c r="H292" s="108"/>
      <c r="I292" s="108"/>
      <c r="J292" s="798">
        <f t="shared" ref="J292:J294" si="28">SUM(E292:I292)</f>
        <v>0.3</v>
      </c>
      <c r="K292" s="209"/>
      <c r="L292" s="449"/>
      <c r="M292" s="803"/>
      <c r="N292" s="772"/>
      <c r="O292" s="772"/>
      <c r="P292" s="772"/>
      <c r="Q292" s="772"/>
      <c r="R292" s="772"/>
      <c r="S292" s="772"/>
      <c r="AW292" s="2511"/>
      <c r="AX292" s="820"/>
      <c r="AY292" s="820"/>
      <c r="AZ292" s="820"/>
      <c r="BA292" s="209"/>
      <c r="BB292" s="209"/>
      <c r="BC292" s="2511"/>
      <c r="BD292" s="2511"/>
      <c r="BE292" s="2511"/>
      <c r="BF292" s="2511"/>
      <c r="BH292" s="2511"/>
      <c r="BI292" s="209"/>
      <c r="BJ292" s="209"/>
      <c r="BK292" s="209"/>
      <c r="BL292" s="209"/>
      <c r="BM292" s="209"/>
      <c r="BN292" s="30"/>
      <c r="BO292" s="209"/>
      <c r="BP292" s="209"/>
      <c r="BQ292" s="209"/>
      <c r="BR292" s="209"/>
      <c r="BY292" s="11"/>
      <c r="BZ292" s="11"/>
    </row>
    <row r="293" spans="1:208" s="773" customFormat="1">
      <c r="A293" s="774"/>
      <c r="B293" s="3761" t="s">
        <v>2350</v>
      </c>
      <c r="C293" s="814">
        <v>2120264</v>
      </c>
      <c r="D293" s="199" t="s">
        <v>4506</v>
      </c>
      <c r="E293" s="42">
        <f>IFERROR(VLOOKUP(C293,'AJE 12 - INC'!$D$168:$F$345,3,0),0)</f>
        <v>0</v>
      </c>
      <c r="F293" s="108">
        <f>SUMIF('AJE 12 - INC'!B:B,'New TB INC'!C293,'AJE 12 - INC'!D:D)</f>
        <v>0</v>
      </c>
      <c r="G293" s="108"/>
      <c r="H293" s="108"/>
      <c r="I293" s="108"/>
      <c r="J293" s="798">
        <f t="shared" si="28"/>
        <v>0</v>
      </c>
      <c r="K293" s="209"/>
      <c r="L293" s="449"/>
      <c r="M293" s="803"/>
      <c r="N293" s="772"/>
      <c r="O293" s="772"/>
      <c r="P293" s="772"/>
      <c r="Q293" s="772"/>
      <c r="R293" s="772"/>
      <c r="S293" s="772"/>
      <c r="AW293" s="2511"/>
      <c r="AX293" s="820"/>
      <c r="AY293" s="820"/>
      <c r="AZ293" s="820"/>
      <c r="BA293" s="209"/>
      <c r="BB293" s="209"/>
      <c r="BC293" s="2511"/>
      <c r="BD293" s="2511"/>
      <c r="BE293" s="2511"/>
      <c r="BF293" s="2511"/>
      <c r="BH293" s="2511"/>
      <c r="BI293" s="209"/>
      <c r="BJ293" s="209"/>
      <c r="BK293" s="209"/>
      <c r="BL293" s="209"/>
      <c r="BM293" s="209"/>
      <c r="BN293" s="30"/>
      <c r="BO293" s="209"/>
      <c r="BP293" s="209"/>
      <c r="BQ293" s="209"/>
      <c r="BR293" s="209"/>
      <c r="BY293" s="11"/>
      <c r="BZ293" s="11"/>
    </row>
    <row r="294" spans="1:208" s="773" customFormat="1">
      <c r="A294" s="774"/>
      <c r="B294" s="3761" t="s">
        <v>2350</v>
      </c>
      <c r="C294" s="814">
        <v>2170385</v>
      </c>
      <c r="D294" s="199" t="s">
        <v>4154</v>
      </c>
      <c r="E294" s="42">
        <f>IFERROR(VLOOKUP(C294,'AJE 12 - INC'!$D$168:$F$345,3,0),0)</f>
        <v>-5500</v>
      </c>
      <c r="F294" s="108">
        <f>SUMIF('AJE 12 - INC'!B:B,'New TB INC'!C294,'AJE 12 - INC'!D:D)</f>
        <v>0</v>
      </c>
      <c r="G294" s="108"/>
      <c r="H294" s="108"/>
      <c r="I294" s="108"/>
      <c r="J294" s="798">
        <f t="shared" si="28"/>
        <v>-5500</v>
      </c>
      <c r="K294" s="209"/>
      <c r="L294" s="449"/>
      <c r="M294" s="803"/>
      <c r="N294" s="772"/>
      <c r="O294" s="772"/>
      <c r="P294" s="772"/>
      <c r="Q294" s="772"/>
      <c r="R294" s="772"/>
      <c r="S294" s="772"/>
      <c r="AW294" s="2511"/>
      <c r="AX294" s="820"/>
      <c r="AY294" s="820"/>
      <c r="AZ294" s="820"/>
      <c r="BA294" s="209"/>
      <c r="BB294" s="209"/>
      <c r="BC294" s="2511"/>
      <c r="BD294" s="2511"/>
      <c r="BE294" s="2511"/>
      <c r="BF294" s="2511"/>
      <c r="BH294" s="2511"/>
      <c r="BI294" s="209"/>
      <c r="BJ294" s="209"/>
      <c r="BK294" s="209"/>
      <c r="BL294" s="209"/>
      <c r="BM294" s="209"/>
      <c r="BN294" s="30"/>
      <c r="BO294" s="209"/>
      <c r="BP294" s="209"/>
      <c r="BQ294" s="209"/>
      <c r="BR294" s="209"/>
      <c r="BY294" s="11"/>
      <c r="BZ294" s="11"/>
    </row>
    <row r="295" spans="1:208" s="773" customFormat="1">
      <c r="A295" s="774"/>
      <c r="B295" s="3761" t="s">
        <v>2350</v>
      </c>
      <c r="C295" s="814">
        <v>2120238</v>
      </c>
      <c r="D295" s="199" t="s">
        <v>4292</v>
      </c>
      <c r="E295" s="42">
        <f>IFERROR(VLOOKUP(C295,'AJE 12 - INC'!$D$168:$F$345,3,0),0)</f>
        <v>0</v>
      </c>
      <c r="F295" s="108">
        <f>SUMIF('AJE 12 - INC'!B:B,'New TB INC'!C295,'AJE 12 - INC'!D:D)</f>
        <v>0</v>
      </c>
      <c r="G295" s="108"/>
      <c r="H295" s="108"/>
      <c r="I295" s="108"/>
      <c r="J295" s="798">
        <f t="shared" ref="J295:J301" si="29">SUM(E295:I295)</f>
        <v>0</v>
      </c>
      <c r="K295" s="209"/>
      <c r="L295" s="449"/>
      <c r="M295" s="803"/>
      <c r="N295" s="772"/>
      <c r="O295" s="772"/>
      <c r="P295" s="772"/>
      <c r="Q295" s="772"/>
      <c r="R295" s="772"/>
      <c r="S295" s="772"/>
      <c r="AW295" s="2511"/>
      <c r="AX295" s="820"/>
      <c r="AY295" s="820"/>
      <c r="AZ295" s="820"/>
      <c r="BA295" s="209"/>
      <c r="BB295" s="209"/>
      <c r="BC295" s="2511"/>
      <c r="BD295" s="2511"/>
      <c r="BE295" s="2511"/>
      <c r="BF295" s="2511"/>
      <c r="BH295" s="2511"/>
      <c r="BI295" s="209"/>
      <c r="BJ295" s="209"/>
      <c r="BK295" s="209"/>
      <c r="BL295" s="209"/>
      <c r="BM295" s="209"/>
      <c r="BN295" s="30"/>
      <c r="BO295" s="209"/>
      <c r="BP295" s="209"/>
      <c r="BQ295" s="209"/>
      <c r="BR295" s="209"/>
      <c r="BY295" s="11"/>
      <c r="BZ295" s="11"/>
    </row>
    <row r="296" spans="1:208" s="773" customFormat="1">
      <c r="A296" s="774"/>
      <c r="B296" s="3761" t="s">
        <v>2350</v>
      </c>
      <c r="C296" s="814">
        <v>2170382</v>
      </c>
      <c r="D296" s="199" t="s">
        <v>4293</v>
      </c>
      <c r="E296" s="42">
        <f>IFERROR(VLOOKUP(C296,'AJE 12 - INC'!$D$168:$F$345,3,0),0)</f>
        <v>0</v>
      </c>
      <c r="F296" s="108">
        <f>SUMIF('AJE 12 - INC'!B:B,'New TB INC'!C296,'AJE 12 - INC'!D:D)</f>
        <v>0</v>
      </c>
      <c r="G296" s="108"/>
      <c r="H296" s="108"/>
      <c r="I296" s="108"/>
      <c r="J296" s="798">
        <f t="shared" si="29"/>
        <v>0</v>
      </c>
      <c r="K296" s="209"/>
      <c r="L296" s="449"/>
      <c r="M296" s="803"/>
      <c r="N296" s="772"/>
      <c r="O296" s="772"/>
      <c r="P296" s="772"/>
      <c r="Q296" s="772"/>
      <c r="R296" s="772"/>
      <c r="S296" s="772"/>
      <c r="AW296" s="2511"/>
      <c r="AX296" s="820"/>
      <c r="AY296" s="820"/>
      <c r="AZ296" s="820"/>
      <c r="BA296" s="209"/>
      <c r="BB296" s="209"/>
      <c r="BC296" s="2511"/>
      <c r="BD296" s="2511"/>
      <c r="BE296" s="2511"/>
      <c r="BF296" s="2511"/>
      <c r="BH296" s="2511"/>
      <c r="BI296" s="209"/>
      <c r="BJ296" s="209"/>
      <c r="BK296" s="209"/>
      <c r="BL296" s="209"/>
      <c r="BM296" s="209"/>
      <c r="BN296" s="30"/>
      <c r="BO296" s="209"/>
      <c r="BP296" s="209"/>
      <c r="BQ296" s="209"/>
      <c r="BR296" s="209"/>
      <c r="BY296" s="11"/>
      <c r="BZ296" s="11"/>
    </row>
    <row r="297" spans="1:208" s="773" customFormat="1">
      <c r="A297" s="774"/>
      <c r="B297" s="3761" t="s">
        <v>2350</v>
      </c>
      <c r="C297" s="814">
        <v>2170383</v>
      </c>
      <c r="D297" s="199" t="s">
        <v>4294</v>
      </c>
      <c r="E297" s="42">
        <f>IFERROR(VLOOKUP(C297,'AJE 12 - INC'!$D$168:$F$345,3,0),0)</f>
        <v>0</v>
      </c>
      <c r="F297" s="108">
        <f>SUMIF('AJE 12 - INC'!B:B,'New TB INC'!C297,'AJE 12 - INC'!D:D)</f>
        <v>0</v>
      </c>
      <c r="G297" s="108"/>
      <c r="H297" s="108"/>
      <c r="I297" s="108"/>
      <c r="J297" s="798">
        <f t="shared" si="29"/>
        <v>0</v>
      </c>
      <c r="K297" s="209"/>
      <c r="L297" s="449"/>
      <c r="M297" s="803"/>
      <c r="N297" s="772"/>
      <c r="O297" s="772"/>
      <c r="P297" s="772"/>
      <c r="Q297" s="772"/>
      <c r="R297" s="772"/>
      <c r="S297" s="772"/>
      <c r="AW297" s="2511"/>
      <c r="AX297" s="820"/>
      <c r="AY297" s="820"/>
      <c r="AZ297" s="820"/>
      <c r="BA297" s="209"/>
      <c r="BB297" s="209"/>
      <c r="BC297" s="2511"/>
      <c r="BD297" s="2511"/>
      <c r="BE297" s="2511"/>
      <c r="BF297" s="2511"/>
      <c r="BH297" s="2511"/>
      <c r="BI297" s="209"/>
      <c r="BJ297" s="209"/>
      <c r="BK297" s="209"/>
      <c r="BL297" s="209"/>
      <c r="BM297" s="209"/>
      <c r="BN297" s="30"/>
      <c r="BO297" s="209"/>
      <c r="BP297" s="209"/>
      <c r="BQ297" s="209"/>
      <c r="BR297" s="209"/>
      <c r="BY297" s="11"/>
      <c r="BZ297" s="11"/>
    </row>
    <row r="298" spans="1:208" s="773" customFormat="1">
      <c r="A298" s="774"/>
      <c r="B298" s="3761" t="s">
        <v>2350</v>
      </c>
      <c r="C298" s="814">
        <v>2120182</v>
      </c>
      <c r="D298" s="199" t="s">
        <v>4158</v>
      </c>
      <c r="E298" s="42">
        <f>IFERROR(VLOOKUP(C298,'AJE 12 - INC'!$D$168:$F$345,3,0),0)</f>
        <v>0</v>
      </c>
      <c r="F298" s="108">
        <f>SUMIF('AJE 12 - INC'!B:B,'New TB INC'!C298,'AJE 12 - INC'!D:D)</f>
        <v>0</v>
      </c>
      <c r="G298" s="108"/>
      <c r="H298" s="108"/>
      <c r="I298" s="108"/>
      <c r="J298" s="798">
        <f t="shared" si="29"/>
        <v>0</v>
      </c>
      <c r="K298" s="209"/>
      <c r="L298" s="449"/>
      <c r="M298" s="803"/>
      <c r="N298" s="772"/>
      <c r="O298" s="772"/>
      <c r="P298" s="772"/>
      <c r="Q298" s="772"/>
      <c r="R298" s="772"/>
      <c r="S298" s="772"/>
      <c r="AW298" s="2511"/>
      <c r="AX298" s="820"/>
      <c r="AY298" s="820"/>
      <c r="AZ298" s="820"/>
      <c r="BA298" s="209"/>
      <c r="BB298" s="209"/>
      <c r="BC298" s="2511"/>
      <c r="BD298" s="2511"/>
      <c r="BE298" s="2511"/>
      <c r="BF298" s="2511"/>
      <c r="BH298" s="2511"/>
      <c r="BI298" s="209"/>
      <c r="BJ298" s="209"/>
      <c r="BK298" s="209"/>
      <c r="BL298" s="209"/>
      <c r="BM298" s="209"/>
      <c r="BN298" s="30"/>
      <c r="BO298" s="209"/>
      <c r="BP298" s="209"/>
      <c r="BQ298" s="209"/>
      <c r="BR298" s="209"/>
      <c r="BY298" s="11"/>
      <c r="BZ298" s="11"/>
    </row>
    <row r="299" spans="1:208" s="773" customFormat="1">
      <c r="A299" s="774"/>
      <c r="B299" s="3761" t="s">
        <v>2350</v>
      </c>
      <c r="C299" s="814">
        <v>2120241</v>
      </c>
      <c r="D299" s="199" t="s">
        <v>4159</v>
      </c>
      <c r="E299" s="42">
        <f>IFERROR(VLOOKUP(C299,'AJE 12 - INC'!$D$168:$F$345,3,0),0)</f>
        <v>0</v>
      </c>
      <c r="F299" s="108">
        <f>SUMIF('AJE 12 - INC'!B:B,'New TB INC'!C299,'AJE 12 - INC'!D:D)</f>
        <v>0</v>
      </c>
      <c r="G299" s="108"/>
      <c r="H299" s="108"/>
      <c r="I299" s="108"/>
      <c r="J299" s="798">
        <f t="shared" si="29"/>
        <v>0</v>
      </c>
      <c r="K299" s="209"/>
      <c r="L299" s="449"/>
      <c r="M299" s="803"/>
      <c r="N299" s="772"/>
      <c r="O299" s="772"/>
      <c r="P299" s="772"/>
      <c r="Q299" s="772"/>
      <c r="R299" s="772"/>
      <c r="S299" s="772"/>
      <c r="AW299" s="2511"/>
      <c r="AX299" s="820"/>
      <c r="AY299" s="820"/>
      <c r="AZ299" s="820"/>
      <c r="BA299" s="209"/>
      <c r="BB299" s="209"/>
      <c r="BC299" s="2511"/>
      <c r="BD299" s="2511"/>
      <c r="BE299" s="2511"/>
      <c r="BF299" s="2511"/>
      <c r="BH299" s="2511"/>
      <c r="BI299" s="209"/>
      <c r="BJ299" s="209"/>
      <c r="BK299" s="209"/>
      <c r="BL299" s="209"/>
      <c r="BM299" s="209"/>
      <c r="BN299" s="30"/>
      <c r="BO299" s="209"/>
      <c r="BP299" s="209"/>
      <c r="BQ299" s="209"/>
      <c r="BR299" s="209"/>
      <c r="BY299" s="11"/>
      <c r="BZ299" s="11"/>
    </row>
    <row r="300" spans="1:208" s="773" customFormat="1">
      <c r="A300" s="774"/>
      <c r="B300" s="3761" t="s">
        <v>2350</v>
      </c>
      <c r="C300" s="814">
        <v>2170372</v>
      </c>
      <c r="D300" s="199" t="s">
        <v>4160</v>
      </c>
      <c r="E300" s="42">
        <f>IFERROR(VLOOKUP(C300,'AJE 12 - INC'!$D$168:$F$345,3,0),0)</f>
        <v>0</v>
      </c>
      <c r="F300" s="108">
        <f>SUMIF('AJE 12 - INC'!B:B,'New TB INC'!C300,'AJE 12 - INC'!D:D)</f>
        <v>0</v>
      </c>
      <c r="G300" s="108"/>
      <c r="H300" s="108"/>
      <c r="I300" s="108"/>
      <c r="J300" s="798">
        <f t="shared" si="29"/>
        <v>0</v>
      </c>
      <c r="K300" s="209"/>
      <c r="L300" s="449"/>
      <c r="M300" s="803"/>
      <c r="N300" s="772"/>
      <c r="O300" s="772"/>
      <c r="P300" s="772"/>
      <c r="Q300" s="772"/>
      <c r="R300" s="772"/>
      <c r="S300" s="772"/>
      <c r="AW300" s="2511"/>
      <c r="AX300" s="820"/>
      <c r="AY300" s="820"/>
      <c r="AZ300" s="820"/>
      <c r="BA300" s="209"/>
      <c r="BB300" s="209"/>
      <c r="BC300" s="2511"/>
      <c r="BD300" s="2511"/>
      <c r="BE300" s="2511"/>
      <c r="BF300" s="2511"/>
      <c r="BH300" s="2511"/>
      <c r="BI300" s="209"/>
      <c r="BJ300" s="209"/>
      <c r="BK300" s="209"/>
      <c r="BL300" s="209"/>
      <c r="BM300" s="209"/>
      <c r="BN300" s="30"/>
      <c r="BO300" s="209"/>
      <c r="BP300" s="209"/>
      <c r="BQ300" s="209"/>
      <c r="BR300" s="209"/>
      <c r="BY300" s="11"/>
      <c r="BZ300" s="11"/>
    </row>
    <row r="301" spans="1:208" s="773" customFormat="1">
      <c r="A301" s="774"/>
      <c r="B301" s="3761" t="s">
        <v>2350</v>
      </c>
      <c r="C301" s="814">
        <v>2170380</v>
      </c>
      <c r="D301" s="199" t="s">
        <v>3924</v>
      </c>
      <c r="E301" s="42">
        <f>IFERROR(VLOOKUP(C301,'AJE 12 - INC'!$D$168:$F$345,3,0),0)</f>
        <v>-25760</v>
      </c>
      <c r="F301" s="108">
        <f>SUMIF('AJE 12 - INC'!B:B,'New TB INC'!C301,'AJE 12 - INC'!D:D)</f>
        <v>0</v>
      </c>
      <c r="G301" s="108"/>
      <c r="H301" s="108"/>
      <c r="I301" s="108"/>
      <c r="J301" s="798">
        <f t="shared" si="29"/>
        <v>-25760</v>
      </c>
      <c r="K301" s="209"/>
      <c r="L301" s="449"/>
      <c r="M301" s="803"/>
      <c r="N301" s="772"/>
      <c r="O301" s="772"/>
      <c r="P301" s="772"/>
      <c r="Q301" s="772"/>
      <c r="R301" s="772"/>
      <c r="S301" s="772"/>
      <c r="AW301" s="2511"/>
      <c r="AX301" s="820"/>
      <c r="AY301" s="820"/>
      <c r="AZ301" s="820"/>
      <c r="BA301" s="209"/>
      <c r="BB301" s="209"/>
      <c r="BC301" s="2511"/>
      <c r="BD301" s="2511"/>
      <c r="BE301" s="2511"/>
      <c r="BF301" s="2511"/>
      <c r="BH301" s="2511"/>
      <c r="BI301" s="209"/>
      <c r="BJ301" s="209"/>
      <c r="BK301" s="209"/>
      <c r="BL301" s="209"/>
      <c r="BM301" s="209"/>
      <c r="BN301" s="30"/>
      <c r="BO301" s="209"/>
      <c r="BP301" s="209"/>
      <c r="BQ301" s="209"/>
      <c r="BR301" s="209"/>
      <c r="BY301" s="11"/>
      <c r="BZ301" s="11"/>
    </row>
    <row r="302" spans="1:208" s="773" customFormat="1">
      <c r="A302" s="774"/>
      <c r="B302" s="3761" t="s">
        <v>2350</v>
      </c>
      <c r="C302" s="814">
        <v>2170381</v>
      </c>
      <c r="D302" s="199" t="s">
        <v>3925</v>
      </c>
      <c r="E302" s="42">
        <f>IFERROR(VLOOKUP(C302,'AJE 12 - INC'!$D$168:$F$345,3,0),0)</f>
        <v>0</v>
      </c>
      <c r="F302" s="108">
        <f>SUMIF('AJE 12 - INC'!B:B,'New TB INC'!C302,'AJE 12 - INC'!D:D)</f>
        <v>0</v>
      </c>
      <c r="G302" s="108"/>
      <c r="H302" s="108"/>
      <c r="I302" s="108"/>
      <c r="J302" s="798">
        <f t="shared" ref="J302:J307" si="30">SUM(E302:I302)</f>
        <v>0</v>
      </c>
      <c r="K302" s="209"/>
      <c r="L302" s="449"/>
      <c r="M302" s="803"/>
      <c r="N302" s="772"/>
      <c r="O302" s="772"/>
      <c r="P302" s="772"/>
      <c r="Q302" s="772"/>
      <c r="R302" s="772"/>
      <c r="S302" s="772"/>
      <c r="AW302" s="2511"/>
      <c r="AX302" s="820"/>
      <c r="AY302" s="820"/>
      <c r="AZ302" s="820"/>
      <c r="BA302" s="209"/>
      <c r="BB302" s="209"/>
      <c r="BC302" s="2511"/>
      <c r="BD302" s="2511"/>
      <c r="BE302" s="2511"/>
      <c r="BF302" s="2511"/>
      <c r="BH302" s="2511"/>
      <c r="BI302" s="209"/>
      <c r="BJ302" s="209"/>
      <c r="BK302" s="209"/>
      <c r="BL302" s="209"/>
      <c r="BM302" s="209"/>
      <c r="BN302" s="30"/>
      <c r="BO302" s="209"/>
      <c r="BP302" s="209"/>
      <c r="BQ302" s="209"/>
      <c r="BR302" s="209"/>
      <c r="BY302" s="11"/>
      <c r="BZ302" s="11"/>
    </row>
    <row r="303" spans="1:208" s="773" customFormat="1">
      <c r="A303" s="774"/>
      <c r="B303" s="3761" t="s">
        <v>2350</v>
      </c>
      <c r="C303" s="814">
        <v>2170351</v>
      </c>
      <c r="D303" s="199" t="s">
        <v>3588</v>
      </c>
      <c r="E303" s="42">
        <f>IFERROR(VLOOKUP(C303,'AJE 12 - INC'!$D$168:$F$345,3,0),0)</f>
        <v>0</v>
      </c>
      <c r="F303" s="108">
        <f>SUMIF('AJE 12 - INC'!B:B,'New TB INC'!C303,'AJE 12 - INC'!D:D)</f>
        <v>0</v>
      </c>
      <c r="G303" s="108"/>
      <c r="H303" s="108"/>
      <c r="I303" s="108"/>
      <c r="J303" s="798">
        <f t="shared" si="30"/>
        <v>0</v>
      </c>
      <c r="K303" s="209"/>
      <c r="L303" s="449"/>
      <c r="M303" s="803"/>
      <c r="N303" s="772"/>
      <c r="O303" s="772"/>
      <c r="P303" s="772"/>
      <c r="Q303" s="772"/>
      <c r="R303" s="772"/>
      <c r="S303" s="772"/>
      <c r="AW303" s="2511"/>
      <c r="AX303" s="820"/>
      <c r="AY303" s="820"/>
      <c r="AZ303" s="820"/>
      <c r="BA303" s="209"/>
      <c r="BB303" s="209"/>
      <c r="BC303" s="2511"/>
      <c r="BD303" s="2511"/>
      <c r="BE303" s="2511"/>
      <c r="BF303" s="2511"/>
      <c r="BH303" s="2511"/>
      <c r="BI303" s="209"/>
      <c r="BJ303" s="209"/>
      <c r="BK303" s="209"/>
      <c r="BL303" s="209"/>
      <c r="BM303" s="209"/>
      <c r="BN303" s="30"/>
      <c r="BO303" s="209"/>
      <c r="BP303" s="209"/>
      <c r="BQ303" s="209"/>
      <c r="BR303" s="209"/>
      <c r="BY303" s="11"/>
      <c r="BZ303" s="11"/>
    </row>
    <row r="304" spans="1:208" s="773" customFormat="1">
      <c r="A304" s="774"/>
      <c r="B304" s="3761" t="s">
        <v>2350</v>
      </c>
      <c r="C304" s="814">
        <v>2170352</v>
      </c>
      <c r="D304" s="199" t="s">
        <v>3589</v>
      </c>
      <c r="E304" s="42">
        <f>IFERROR(VLOOKUP(C304,'AJE 12 - INC'!$D$168:$F$345,3,0),0)</f>
        <v>0</v>
      </c>
      <c r="F304" s="108">
        <f>SUMIF('AJE 12 - INC'!B:B,'New TB INC'!C304,'AJE 12 - INC'!D:D)</f>
        <v>0</v>
      </c>
      <c r="G304" s="108"/>
      <c r="H304" s="108"/>
      <c r="I304" s="108"/>
      <c r="J304" s="798">
        <f t="shared" si="30"/>
        <v>0</v>
      </c>
      <c r="K304" s="209"/>
      <c r="L304" s="449"/>
      <c r="M304" s="803"/>
      <c r="N304" s="772"/>
      <c r="O304" s="772"/>
      <c r="P304" s="772"/>
      <c r="Q304" s="772"/>
      <c r="R304" s="772"/>
      <c r="S304" s="772"/>
      <c r="AW304" s="2511"/>
      <c r="AX304" s="820"/>
      <c r="AY304" s="820"/>
      <c r="AZ304" s="820"/>
      <c r="BA304" s="209"/>
      <c r="BB304" s="209"/>
      <c r="BC304" s="2511"/>
      <c r="BD304" s="2511"/>
      <c r="BE304" s="2511"/>
      <c r="BF304" s="2511"/>
      <c r="BH304" s="2511"/>
      <c r="BI304" s="209"/>
      <c r="BJ304" s="209"/>
      <c r="BK304" s="209"/>
      <c r="BL304" s="209"/>
      <c r="BM304" s="209"/>
      <c r="BN304" s="30"/>
      <c r="BO304" s="209"/>
      <c r="BP304" s="209"/>
      <c r="BQ304" s="209"/>
      <c r="BR304" s="209"/>
      <c r="BY304" s="11"/>
      <c r="BZ304" s="11"/>
    </row>
    <row r="305" spans="1:78" s="773" customFormat="1">
      <c r="A305" s="774"/>
      <c r="B305" s="3761" t="s">
        <v>2350</v>
      </c>
      <c r="C305" s="814">
        <v>2170377</v>
      </c>
      <c r="D305" s="199" t="s">
        <v>3590</v>
      </c>
      <c r="E305" s="42">
        <f>IFERROR(VLOOKUP(C305,'AJE 12 - INC'!$D$168:$F$345,3,0),0)</f>
        <v>0</v>
      </c>
      <c r="F305" s="108">
        <f>SUMIF('AJE 12 - INC'!B:B,'New TB INC'!C305,'AJE 12 - INC'!D:D)</f>
        <v>0</v>
      </c>
      <c r="G305" s="108"/>
      <c r="H305" s="108"/>
      <c r="I305" s="108"/>
      <c r="J305" s="798">
        <f t="shared" si="30"/>
        <v>0</v>
      </c>
      <c r="K305" s="209"/>
      <c r="L305" s="449"/>
      <c r="M305" s="803"/>
      <c r="N305" s="772"/>
      <c r="O305" s="772"/>
      <c r="P305" s="772"/>
      <c r="Q305" s="772"/>
      <c r="R305" s="772"/>
      <c r="S305" s="772"/>
      <c r="AW305" s="2511"/>
      <c r="AX305" s="820"/>
      <c r="AY305" s="820"/>
      <c r="AZ305" s="820"/>
      <c r="BA305" s="209"/>
      <c r="BB305" s="209"/>
      <c r="BC305" s="2511"/>
      <c r="BD305" s="2511"/>
      <c r="BE305" s="2511"/>
      <c r="BF305" s="2511"/>
      <c r="BH305" s="2511"/>
      <c r="BI305" s="209"/>
      <c r="BJ305" s="209"/>
      <c r="BK305" s="209"/>
      <c r="BL305" s="209"/>
      <c r="BM305" s="209"/>
      <c r="BN305" s="30"/>
      <c r="BO305" s="209"/>
      <c r="BP305" s="209"/>
      <c r="BQ305" s="209"/>
      <c r="BR305" s="209"/>
      <c r="BY305" s="11"/>
      <c r="BZ305" s="11"/>
    </row>
    <row r="306" spans="1:78" s="773" customFormat="1">
      <c r="A306" s="774"/>
      <c r="B306" s="3761" t="s">
        <v>2350</v>
      </c>
      <c r="C306" s="814">
        <v>2120053</v>
      </c>
      <c r="D306" s="199" t="s">
        <v>3412</v>
      </c>
      <c r="E306" s="42">
        <f>IFERROR(VLOOKUP(C306,'AJE 12 - INC'!$D$168:$F$345,3,0),0)</f>
        <v>0</v>
      </c>
      <c r="F306" s="108">
        <f>SUMIF('AJE 12 - INC'!B:B,'New TB INC'!C306,'AJE 12 - INC'!D:D)</f>
        <v>0</v>
      </c>
      <c r="G306" s="108"/>
      <c r="H306" s="108"/>
      <c r="I306" s="108"/>
      <c r="J306" s="798">
        <f t="shared" si="30"/>
        <v>0</v>
      </c>
      <c r="K306" s="209"/>
      <c r="L306" s="449"/>
      <c r="M306" s="803"/>
      <c r="N306" s="772"/>
      <c r="O306" s="772"/>
      <c r="P306" s="772"/>
      <c r="Q306" s="772"/>
      <c r="R306" s="772"/>
      <c r="S306" s="772"/>
      <c r="AW306" s="2511"/>
      <c r="AX306" s="820"/>
      <c r="AY306" s="820"/>
      <c r="AZ306" s="820"/>
      <c r="BA306" s="209"/>
      <c r="BB306" s="209"/>
      <c r="BC306" s="2511"/>
      <c r="BD306" s="2511"/>
      <c r="BE306" s="2511"/>
      <c r="BF306" s="2511"/>
      <c r="BH306" s="2511"/>
      <c r="BI306" s="209"/>
      <c r="BJ306" s="209"/>
      <c r="BK306" s="209"/>
      <c r="BL306" s="209"/>
      <c r="BM306" s="209"/>
      <c r="BN306" s="30"/>
      <c r="BO306" s="209"/>
      <c r="BP306" s="209"/>
      <c r="BQ306" s="209"/>
      <c r="BR306" s="209"/>
      <c r="BY306" s="11"/>
      <c r="BZ306" s="11"/>
    </row>
    <row r="307" spans="1:78" s="773" customFormat="1">
      <c r="A307" s="774"/>
      <c r="B307" s="3761" t="s">
        <v>2350</v>
      </c>
      <c r="C307" s="814">
        <v>2170376</v>
      </c>
      <c r="D307" s="199" t="s">
        <v>3413</v>
      </c>
      <c r="E307" s="42">
        <f>IFERROR(VLOOKUP(C307,'AJE 12 - INC'!$D$168:$F$345,3,0),0)</f>
        <v>0</v>
      </c>
      <c r="F307" s="108">
        <f>SUMIF('AJE 12 - INC'!B:B,'New TB INC'!C307,'AJE 12 - INC'!D:D)</f>
        <v>0</v>
      </c>
      <c r="G307" s="108"/>
      <c r="H307" s="108"/>
      <c r="I307" s="108"/>
      <c r="J307" s="798">
        <f t="shared" si="30"/>
        <v>0</v>
      </c>
      <c r="K307" s="209"/>
      <c r="L307" s="449"/>
      <c r="M307" s="803"/>
      <c r="N307" s="772"/>
      <c r="O307" s="772"/>
      <c r="P307" s="772"/>
      <c r="Q307" s="772"/>
      <c r="R307" s="772"/>
      <c r="S307" s="772"/>
      <c r="AW307" s="2511"/>
      <c r="AX307" s="820"/>
      <c r="AY307" s="820"/>
      <c r="AZ307" s="820"/>
      <c r="BA307" s="209"/>
      <c r="BB307" s="209"/>
      <c r="BC307" s="2511"/>
      <c r="BD307" s="2511"/>
      <c r="BE307" s="2511"/>
      <c r="BF307" s="2511"/>
      <c r="BH307" s="2511"/>
      <c r="BI307" s="209"/>
      <c r="BJ307" s="209"/>
      <c r="BK307" s="209"/>
      <c r="BL307" s="209"/>
      <c r="BM307" s="209"/>
      <c r="BN307" s="30"/>
      <c r="BO307" s="209"/>
      <c r="BP307" s="209"/>
      <c r="BQ307" s="209"/>
      <c r="BR307" s="209"/>
      <c r="BY307" s="11"/>
      <c r="BZ307" s="11"/>
    </row>
    <row r="308" spans="1:78" s="773" customFormat="1">
      <c r="A308" s="774"/>
      <c r="B308" s="3761" t="s">
        <v>2350</v>
      </c>
      <c r="C308" s="814">
        <v>2120234</v>
      </c>
      <c r="D308" s="199" t="s">
        <v>1854</v>
      </c>
      <c r="E308" s="42">
        <f>IFERROR(VLOOKUP(C308,'AJE 12 - INC'!$D$168:$F$345,3,0),0)</f>
        <v>27.3</v>
      </c>
      <c r="F308" s="108">
        <f>SUMIF('AJE 12 - INC'!B:B,'New TB INC'!C308,'AJE 12 - INC'!D:D)</f>
        <v>0</v>
      </c>
      <c r="G308" s="108"/>
      <c r="H308" s="108"/>
      <c r="I308" s="108"/>
      <c r="J308" s="798">
        <f t="shared" si="26"/>
        <v>27.3</v>
      </c>
      <c r="K308" s="209"/>
      <c r="L308" s="449"/>
      <c r="M308" s="803"/>
      <c r="N308" s="772"/>
      <c r="O308" s="772"/>
      <c r="P308" s="772"/>
      <c r="Q308" s="772"/>
      <c r="R308" s="772"/>
      <c r="S308" s="772"/>
      <c r="AW308" s="2511"/>
      <c r="AX308" s="820"/>
      <c r="AY308" s="820"/>
      <c r="AZ308" s="820"/>
      <c r="BA308" s="209"/>
      <c r="BB308" s="209"/>
      <c r="BC308" s="2511"/>
      <c r="BD308" s="2511"/>
      <c r="BE308" s="2511"/>
      <c r="BF308" s="2511"/>
      <c r="BH308" s="2511"/>
      <c r="BI308" s="209"/>
      <c r="BJ308" s="209"/>
      <c r="BK308" s="209"/>
      <c r="BL308" s="209"/>
      <c r="BM308" s="209"/>
      <c r="BN308" s="30"/>
      <c r="BO308" s="209"/>
      <c r="BP308" s="209"/>
      <c r="BQ308" s="209"/>
      <c r="BR308" s="209"/>
      <c r="BY308" s="11"/>
      <c r="BZ308" s="11"/>
    </row>
    <row r="309" spans="1:78" s="773" customFormat="1">
      <c r="A309" s="774"/>
      <c r="B309" s="3761" t="s">
        <v>2350</v>
      </c>
      <c r="C309" s="814">
        <v>2120236</v>
      </c>
      <c r="D309" s="199" t="s">
        <v>3330</v>
      </c>
      <c r="E309" s="42">
        <f>IFERROR(VLOOKUP(C309,'AJE 12 - INC'!$D$168:$F$345,3,0),0)</f>
        <v>0</v>
      </c>
      <c r="F309" s="108">
        <f>SUMIF('AJE 12 - INC'!B:B,'New TB INC'!C309,'AJE 12 - INC'!D:D)</f>
        <v>0</v>
      </c>
      <c r="G309" s="108"/>
      <c r="H309" s="108"/>
      <c r="I309" s="108"/>
      <c r="J309" s="798">
        <f t="shared" si="26"/>
        <v>0</v>
      </c>
      <c r="K309" s="209"/>
      <c r="L309" s="449"/>
      <c r="M309" s="803"/>
      <c r="N309" s="772"/>
      <c r="O309" s="772"/>
      <c r="P309" s="772"/>
      <c r="Q309" s="772"/>
      <c r="R309" s="772"/>
      <c r="S309" s="772"/>
      <c r="AW309" s="2511"/>
      <c r="AX309" s="820"/>
      <c r="AY309" s="820"/>
      <c r="AZ309" s="820"/>
      <c r="BA309" s="209"/>
      <c r="BB309" s="209"/>
      <c r="BC309" s="2511"/>
      <c r="BD309" s="2511"/>
      <c r="BE309" s="2511"/>
      <c r="BF309" s="2511"/>
      <c r="BH309" s="2511"/>
      <c r="BI309" s="209"/>
      <c r="BJ309" s="209"/>
      <c r="BK309" s="209"/>
      <c r="BL309" s="209"/>
      <c r="BM309" s="209"/>
      <c r="BN309" s="30"/>
      <c r="BO309" s="209"/>
      <c r="BP309" s="209"/>
      <c r="BQ309" s="209"/>
      <c r="BR309" s="209"/>
      <c r="BY309" s="11"/>
      <c r="BZ309" s="11"/>
    </row>
    <row r="310" spans="1:78" s="773" customFormat="1">
      <c r="A310" s="774"/>
      <c r="B310" s="3761" t="s">
        <v>2350</v>
      </c>
      <c r="C310" s="814">
        <v>2120259</v>
      </c>
      <c r="D310" s="199" t="s">
        <v>3331</v>
      </c>
      <c r="E310" s="42">
        <f>IFERROR(VLOOKUP(C310,'AJE 12 - INC'!$D$168:$F$345,3,0),0)</f>
        <v>0</v>
      </c>
      <c r="F310" s="108">
        <f>SUMIF('AJE 12 - INC'!B:B,'New TB INC'!C310,'AJE 12 - INC'!D:D)</f>
        <v>0</v>
      </c>
      <c r="G310" s="108"/>
      <c r="H310" s="108"/>
      <c r="I310" s="108"/>
      <c r="J310" s="798">
        <f t="shared" si="26"/>
        <v>0</v>
      </c>
      <c r="K310" s="209"/>
      <c r="L310" s="449"/>
      <c r="M310" s="803"/>
      <c r="N310" s="772"/>
      <c r="O310" s="772"/>
      <c r="P310" s="772"/>
      <c r="Q310" s="772"/>
      <c r="R310" s="772"/>
      <c r="S310" s="772"/>
      <c r="AW310" s="2511"/>
      <c r="AX310" s="820"/>
      <c r="AY310" s="820"/>
      <c r="AZ310" s="820"/>
      <c r="BA310" s="209"/>
      <c r="BB310" s="209"/>
      <c r="BC310" s="2511"/>
      <c r="BD310" s="2511"/>
      <c r="BE310" s="2511"/>
      <c r="BF310" s="2511"/>
      <c r="BH310" s="2511"/>
      <c r="BI310" s="209"/>
      <c r="BJ310" s="209"/>
      <c r="BK310" s="209"/>
      <c r="BL310" s="209"/>
      <c r="BM310" s="209"/>
      <c r="BN310" s="30"/>
      <c r="BO310" s="209"/>
      <c r="BP310" s="209"/>
      <c r="BQ310" s="209"/>
      <c r="BR310" s="209"/>
      <c r="BY310" s="11"/>
      <c r="BZ310" s="11"/>
    </row>
    <row r="311" spans="1:78" s="773" customFormat="1">
      <c r="A311" s="774"/>
      <c r="B311" s="3761" t="s">
        <v>2350</v>
      </c>
      <c r="C311" s="814">
        <v>2170362</v>
      </c>
      <c r="D311" s="199" t="s">
        <v>3332</v>
      </c>
      <c r="E311" s="42">
        <f>IFERROR(VLOOKUP(C311,'AJE 12 - INC'!$D$168:$F$345,3,0),0)</f>
        <v>-9360</v>
      </c>
      <c r="F311" s="108">
        <f>SUMIF('AJE 12 - INC'!B:B,'New TB INC'!C311,'AJE 12 - INC'!D:D)</f>
        <v>0</v>
      </c>
      <c r="G311" s="108"/>
      <c r="H311" s="108"/>
      <c r="I311" s="108"/>
      <c r="J311" s="798">
        <f t="shared" si="26"/>
        <v>-9360</v>
      </c>
      <c r="K311" s="209"/>
      <c r="L311" s="449"/>
      <c r="M311" s="803"/>
      <c r="N311" s="772"/>
      <c r="O311" s="772"/>
      <c r="P311" s="772"/>
      <c r="Q311" s="772"/>
      <c r="R311" s="772"/>
      <c r="S311" s="772"/>
      <c r="AW311" s="2511"/>
      <c r="AX311" s="820"/>
      <c r="AY311" s="820"/>
      <c r="AZ311" s="820"/>
      <c r="BA311" s="209"/>
      <c r="BB311" s="209"/>
      <c r="BC311" s="2511"/>
      <c r="BD311" s="2511"/>
      <c r="BE311" s="2511"/>
      <c r="BF311" s="2511"/>
      <c r="BH311" s="2511"/>
      <c r="BI311" s="209"/>
      <c r="BJ311" s="209"/>
      <c r="BK311" s="209"/>
      <c r="BL311" s="209"/>
      <c r="BM311" s="209"/>
      <c r="BN311" s="30"/>
      <c r="BO311" s="209"/>
      <c r="BP311" s="209"/>
      <c r="BQ311" s="209"/>
      <c r="BR311" s="209"/>
      <c r="BY311" s="11"/>
      <c r="BZ311" s="11"/>
    </row>
    <row r="312" spans="1:78" s="773" customFormat="1">
      <c r="A312" s="774"/>
      <c r="B312" s="3761" t="s">
        <v>2350</v>
      </c>
      <c r="C312" s="814">
        <v>2120035</v>
      </c>
      <c r="D312" s="199" t="s">
        <v>3253</v>
      </c>
      <c r="E312" s="42">
        <f>IFERROR(VLOOKUP(C312,'AJE 12 - INC'!$D$168:$F$345,3,0),0)</f>
        <v>80.989999999999995</v>
      </c>
      <c r="F312" s="108">
        <f>SUMIF('AJE 12 - INC'!B:B,'New TB INC'!C312,'AJE 12 - INC'!D:D)</f>
        <v>0</v>
      </c>
      <c r="G312" s="108"/>
      <c r="H312" s="108"/>
      <c r="I312" s="108"/>
      <c r="J312" s="798">
        <f t="shared" si="26"/>
        <v>80.989999999999995</v>
      </c>
      <c r="K312" s="209"/>
      <c r="L312" s="449"/>
      <c r="M312" s="803"/>
      <c r="N312" s="772"/>
      <c r="O312" s="772"/>
      <c r="P312" s="772"/>
      <c r="Q312" s="772"/>
      <c r="R312" s="772"/>
      <c r="S312" s="772"/>
      <c r="AW312" s="2511"/>
      <c r="AX312" s="820"/>
      <c r="AY312" s="820"/>
      <c r="AZ312" s="820"/>
      <c r="BA312" s="209"/>
      <c r="BB312" s="209"/>
      <c r="BC312" s="2511"/>
      <c r="BD312" s="2511"/>
      <c r="BE312" s="2511"/>
      <c r="BF312" s="2511"/>
      <c r="BH312" s="2511"/>
      <c r="BI312" s="209"/>
      <c r="BJ312" s="209"/>
      <c r="BK312" s="209"/>
      <c r="BL312" s="209"/>
      <c r="BM312" s="209"/>
      <c r="BN312" s="30"/>
      <c r="BO312" s="209"/>
      <c r="BP312" s="209"/>
      <c r="BQ312" s="209"/>
      <c r="BR312" s="209"/>
      <c r="BY312" s="11"/>
      <c r="BZ312" s="11"/>
    </row>
    <row r="313" spans="1:78" s="773" customFormat="1">
      <c r="A313" s="774"/>
      <c r="B313" s="3761" t="s">
        <v>2350</v>
      </c>
      <c r="C313" s="814">
        <v>2120223</v>
      </c>
      <c r="D313" s="199" t="s">
        <v>3254</v>
      </c>
      <c r="E313" s="42">
        <f>IFERROR(VLOOKUP(C313,'AJE 12 - INC'!$D$168:$F$345,3,0),0)</f>
        <v>0</v>
      </c>
      <c r="F313" s="108">
        <f>SUMIF('AJE 12 - INC'!B:B,'New TB INC'!C313,'AJE 12 - INC'!D:D)</f>
        <v>0</v>
      </c>
      <c r="G313" s="108"/>
      <c r="H313" s="108"/>
      <c r="I313" s="108"/>
      <c r="J313" s="798">
        <f t="shared" si="26"/>
        <v>0</v>
      </c>
      <c r="K313" s="209"/>
      <c r="L313" s="449"/>
      <c r="M313" s="803"/>
      <c r="N313" s="772"/>
      <c r="O313" s="772"/>
      <c r="P313" s="772"/>
      <c r="Q313" s="772"/>
      <c r="R313" s="772"/>
      <c r="S313" s="772"/>
      <c r="AW313" s="2511"/>
      <c r="AX313" s="820"/>
      <c r="AY313" s="820"/>
      <c r="AZ313" s="820"/>
      <c r="BA313" s="209"/>
      <c r="BB313" s="209"/>
      <c r="BC313" s="2511"/>
      <c r="BD313" s="2511"/>
      <c r="BE313" s="2511"/>
      <c r="BF313" s="2511"/>
      <c r="BH313" s="2511"/>
      <c r="BI313" s="209"/>
      <c r="BJ313" s="209"/>
      <c r="BK313" s="209"/>
      <c r="BL313" s="209"/>
      <c r="BM313" s="209"/>
      <c r="BN313" s="30"/>
      <c r="BO313" s="209"/>
      <c r="BP313" s="209"/>
      <c r="BQ313" s="209"/>
      <c r="BR313" s="209"/>
      <c r="BY313" s="11"/>
      <c r="BZ313" s="11"/>
    </row>
    <row r="314" spans="1:78" s="773" customFormat="1">
      <c r="A314" s="774"/>
      <c r="B314" s="3761" t="s">
        <v>2350</v>
      </c>
      <c r="C314" s="814">
        <v>2120070</v>
      </c>
      <c r="D314" s="199" t="s">
        <v>4010</v>
      </c>
      <c r="E314" s="42">
        <f>IFERROR(VLOOKUP(C314,'AJE 12 - INC'!$D$168:$F$345,3,0),0)</f>
        <v>0</v>
      </c>
      <c r="F314" s="108">
        <f>SUMIF('AJE 12 - INC'!B:B,'New TB INC'!C314,'AJE 12 - INC'!D:D)</f>
        <v>0</v>
      </c>
      <c r="G314" s="108"/>
      <c r="H314" s="108"/>
      <c r="I314" s="108"/>
      <c r="J314" s="798">
        <f t="shared" si="26"/>
        <v>0</v>
      </c>
      <c r="K314" s="209"/>
      <c r="L314" s="449"/>
      <c r="M314" s="803"/>
      <c r="N314" s="772"/>
      <c r="O314" s="772"/>
      <c r="P314" s="772"/>
      <c r="Q314" s="772"/>
      <c r="R314" s="772"/>
      <c r="S314" s="772"/>
      <c r="AW314" s="2511"/>
      <c r="AX314" s="820"/>
      <c r="AY314" s="820"/>
      <c r="AZ314" s="820"/>
      <c r="BA314" s="209"/>
      <c r="BB314" s="209"/>
      <c r="BC314" s="2511"/>
      <c r="BD314" s="2511"/>
      <c r="BE314" s="2511"/>
      <c r="BF314" s="2511"/>
      <c r="BH314" s="2511"/>
      <c r="BI314" s="209"/>
      <c r="BJ314" s="209"/>
      <c r="BK314" s="209"/>
      <c r="BL314" s="209"/>
      <c r="BM314" s="209"/>
      <c r="BN314" s="30"/>
      <c r="BO314" s="209"/>
      <c r="BP314" s="209"/>
      <c r="BQ314" s="209"/>
      <c r="BR314" s="209"/>
      <c r="BY314" s="11"/>
      <c r="BZ314" s="11"/>
    </row>
    <row r="315" spans="1:78" s="773" customFormat="1">
      <c r="A315" s="774"/>
      <c r="B315" s="3761" t="s">
        <v>2350</v>
      </c>
      <c r="C315" s="814">
        <v>2120005</v>
      </c>
      <c r="D315" s="199" t="s">
        <v>3199</v>
      </c>
      <c r="E315" s="42">
        <f>IFERROR(VLOOKUP(C315,'AJE 12 - INC'!$D$168:$F$345,3,0),0)</f>
        <v>0</v>
      </c>
      <c r="F315" s="108">
        <f>SUMIF('AJE 12 - INC'!B:B,'New TB INC'!C315,'AJE 12 - INC'!D:D)</f>
        <v>0</v>
      </c>
      <c r="G315" s="108"/>
      <c r="H315" s="108"/>
      <c r="I315" s="108"/>
      <c r="J315" s="798">
        <f t="shared" si="26"/>
        <v>0</v>
      </c>
      <c r="K315" s="209"/>
      <c r="L315" s="449"/>
      <c r="M315" s="803"/>
      <c r="N315" s="772"/>
      <c r="O315" s="772"/>
      <c r="P315" s="772"/>
      <c r="Q315" s="772"/>
      <c r="R315" s="772"/>
      <c r="S315" s="772"/>
      <c r="AW315" s="2511"/>
      <c r="AX315" s="820"/>
      <c r="AY315" s="820"/>
      <c r="AZ315" s="820"/>
      <c r="BA315" s="209"/>
      <c r="BB315" s="209"/>
      <c r="BC315" s="2511"/>
      <c r="BD315" s="2511"/>
      <c r="BE315" s="2511"/>
      <c r="BF315" s="2511"/>
      <c r="BH315" s="2511"/>
      <c r="BI315" s="209"/>
      <c r="BJ315" s="209"/>
      <c r="BK315" s="209"/>
      <c r="BL315" s="209"/>
      <c r="BM315" s="209"/>
      <c r="BN315" s="30"/>
      <c r="BO315" s="209"/>
      <c r="BP315" s="209"/>
      <c r="BQ315" s="209"/>
      <c r="BR315" s="209"/>
      <c r="BY315" s="11"/>
      <c r="BZ315" s="11"/>
    </row>
    <row r="316" spans="1:78" s="773" customFormat="1">
      <c r="A316" s="774"/>
      <c r="B316" s="3761" t="s">
        <v>2350</v>
      </c>
      <c r="C316" s="814">
        <v>2120163</v>
      </c>
      <c r="D316" s="199" t="s">
        <v>3021</v>
      </c>
      <c r="E316" s="42">
        <f>IFERROR(VLOOKUP(C316,'AJE 12 - INC'!$D$168:$F$345,3,0),0)</f>
        <v>0</v>
      </c>
      <c r="F316" s="108">
        <f>SUMIF('AJE 12 - INC'!B:B,'New TB INC'!C316,'AJE 12 - INC'!D:D)</f>
        <v>0</v>
      </c>
      <c r="G316" s="108"/>
      <c r="H316" s="108"/>
      <c r="I316" s="108"/>
      <c r="J316" s="798">
        <f t="shared" si="26"/>
        <v>0</v>
      </c>
      <c r="K316" s="209"/>
      <c r="L316" s="449"/>
      <c r="M316" s="803"/>
      <c r="N316" s="772"/>
      <c r="O316" s="772"/>
      <c r="P316" s="772"/>
      <c r="Q316" s="772"/>
      <c r="R316" s="772"/>
      <c r="S316" s="772"/>
      <c r="AW316" s="2511"/>
      <c r="AX316" s="820"/>
      <c r="AY316" s="820"/>
      <c r="AZ316" s="820"/>
      <c r="BA316" s="209"/>
      <c r="BB316" s="209"/>
      <c r="BC316" s="2511"/>
      <c r="BD316" s="2511"/>
      <c r="BE316" s="2511"/>
      <c r="BF316" s="2511"/>
      <c r="BH316" s="2511"/>
      <c r="BI316" s="209"/>
      <c r="BJ316" s="209"/>
      <c r="BK316" s="209"/>
      <c r="BL316" s="209"/>
      <c r="BM316" s="209"/>
      <c r="BN316" s="30"/>
      <c r="BO316" s="209"/>
      <c r="BP316" s="209"/>
      <c r="BQ316" s="209"/>
      <c r="BR316" s="209"/>
      <c r="BY316" s="11"/>
      <c r="BZ316" s="11"/>
    </row>
    <row r="317" spans="1:78" s="773" customFormat="1">
      <c r="A317" s="774"/>
      <c r="B317" s="3761" t="s">
        <v>2350</v>
      </c>
      <c r="C317" s="814">
        <v>2170346</v>
      </c>
      <c r="D317" s="199" t="s">
        <v>3100</v>
      </c>
      <c r="E317" s="42">
        <f>IFERROR(VLOOKUP(C317,'AJE 12 - INC'!$D$168:$F$345,3,0),0)</f>
        <v>0</v>
      </c>
      <c r="F317" s="108">
        <f>SUMIF('AJE 12 - INC'!B:B,'New TB INC'!C317,'AJE 12 - INC'!D:D)</f>
        <v>0</v>
      </c>
      <c r="G317" s="108"/>
      <c r="H317" s="108"/>
      <c r="I317" s="108"/>
      <c r="J317" s="798">
        <f t="shared" si="26"/>
        <v>0</v>
      </c>
      <c r="K317" s="209"/>
      <c r="L317" s="449"/>
      <c r="M317" s="803"/>
      <c r="N317" s="772"/>
      <c r="O317" s="772"/>
      <c r="P317" s="772"/>
      <c r="Q317" s="772"/>
      <c r="R317" s="772"/>
      <c r="S317" s="772"/>
      <c r="AW317" s="2511"/>
      <c r="AX317" s="820"/>
      <c r="AY317" s="820"/>
      <c r="AZ317" s="820"/>
      <c r="BA317" s="209"/>
      <c r="BB317" s="209"/>
      <c r="BC317" s="2511"/>
      <c r="BD317" s="2511"/>
      <c r="BE317" s="2511"/>
      <c r="BF317" s="2511"/>
      <c r="BH317" s="2511"/>
      <c r="BI317" s="209"/>
      <c r="BJ317" s="209"/>
      <c r="BK317" s="209"/>
      <c r="BL317" s="209"/>
      <c r="BM317" s="209"/>
      <c r="BN317" s="30"/>
      <c r="BO317" s="209"/>
      <c r="BP317" s="209"/>
      <c r="BQ317" s="209"/>
      <c r="BR317" s="209"/>
      <c r="BY317" s="11"/>
      <c r="BZ317" s="11"/>
    </row>
    <row r="318" spans="1:78" s="773" customFormat="1">
      <c r="A318" s="774"/>
      <c r="B318" s="3761" t="s">
        <v>2350</v>
      </c>
      <c r="C318" s="814">
        <v>2170357</v>
      </c>
      <c r="D318" s="199" t="s">
        <v>3101</v>
      </c>
      <c r="E318" s="42">
        <f>IFERROR(VLOOKUP(C318,'AJE 12 - INC'!$D$168:$F$345,3,0),0)</f>
        <v>0</v>
      </c>
      <c r="F318" s="108">
        <f>SUMIF('AJE 12 - INC'!B:B,'New TB INC'!C318,'AJE 12 - INC'!D:D)</f>
        <v>0</v>
      </c>
      <c r="G318" s="108"/>
      <c r="H318" s="108"/>
      <c r="I318" s="108"/>
      <c r="J318" s="798">
        <f t="shared" si="26"/>
        <v>0</v>
      </c>
      <c r="K318" s="209"/>
      <c r="L318" s="449"/>
      <c r="M318" s="803"/>
      <c r="N318" s="772"/>
      <c r="O318" s="772"/>
      <c r="P318" s="772"/>
      <c r="Q318" s="772"/>
      <c r="R318" s="772"/>
      <c r="S318" s="772"/>
      <c r="AW318" s="2511"/>
      <c r="AX318" s="820"/>
      <c r="AY318" s="820"/>
      <c r="AZ318" s="820"/>
      <c r="BA318" s="209"/>
      <c r="BB318" s="209"/>
      <c r="BC318" s="2511"/>
      <c r="BD318" s="2511"/>
      <c r="BE318" s="2511"/>
      <c r="BF318" s="2511"/>
      <c r="BH318" s="2511"/>
      <c r="BI318" s="209"/>
      <c r="BJ318" s="209"/>
      <c r="BK318" s="209"/>
      <c r="BL318" s="209"/>
      <c r="BM318" s="209"/>
      <c r="BN318" s="30"/>
      <c r="BO318" s="209"/>
      <c r="BP318" s="209"/>
      <c r="BQ318" s="209"/>
      <c r="BR318" s="209"/>
      <c r="BY318" s="11"/>
      <c r="BZ318" s="11"/>
    </row>
    <row r="319" spans="1:78" s="773" customFormat="1">
      <c r="A319" s="774"/>
      <c r="B319" s="3761" t="s">
        <v>2350</v>
      </c>
      <c r="C319" s="814">
        <v>2170367</v>
      </c>
      <c r="D319" s="199" t="s">
        <v>3102</v>
      </c>
      <c r="E319" s="42">
        <f>IFERROR(VLOOKUP(C319,'AJE 12 - INC'!$D$168:$F$345,3,0),0)</f>
        <v>0</v>
      </c>
      <c r="F319" s="108">
        <f>SUMIF('AJE 12 - INC'!B:B,'New TB INC'!C319,'AJE 12 - INC'!D:D)</f>
        <v>0</v>
      </c>
      <c r="G319" s="108"/>
      <c r="H319" s="108"/>
      <c r="I319" s="108"/>
      <c r="J319" s="798">
        <f t="shared" si="26"/>
        <v>0</v>
      </c>
      <c r="K319" s="209"/>
      <c r="L319" s="449"/>
      <c r="M319" s="803"/>
      <c r="N319" s="772"/>
      <c r="O319" s="772"/>
      <c r="P319" s="772"/>
      <c r="Q319" s="772"/>
      <c r="R319" s="772"/>
      <c r="S319" s="772"/>
      <c r="AW319" s="2511"/>
      <c r="AX319" s="820"/>
      <c r="AY319" s="820"/>
      <c r="AZ319" s="820"/>
      <c r="BA319" s="209"/>
      <c r="BB319" s="209"/>
      <c r="BC319" s="2511"/>
      <c r="BD319" s="2511"/>
      <c r="BE319" s="2511"/>
      <c r="BF319" s="2511"/>
      <c r="BH319" s="2511"/>
      <c r="BI319" s="209"/>
      <c r="BJ319" s="209"/>
      <c r="BK319" s="209"/>
      <c r="BL319" s="209"/>
      <c r="BM319" s="209"/>
      <c r="BN319" s="30"/>
      <c r="BO319" s="209"/>
      <c r="BP319" s="209"/>
      <c r="BQ319" s="209"/>
      <c r="BR319" s="209"/>
      <c r="BY319" s="11"/>
      <c r="BZ319" s="11"/>
    </row>
    <row r="320" spans="1:78" s="773" customFormat="1">
      <c r="A320" s="774"/>
      <c r="B320" s="3761" t="s">
        <v>2350</v>
      </c>
      <c r="C320" s="814">
        <v>2170368</v>
      </c>
      <c r="D320" s="199" t="s">
        <v>3103</v>
      </c>
      <c r="E320" s="42">
        <f>IFERROR(VLOOKUP(C320,'AJE 12 - INC'!$D$168:$F$345,3,0),0)</f>
        <v>-346.85</v>
      </c>
      <c r="F320" s="108">
        <f>SUMIF('AJE 12 - INC'!B:B,'New TB INC'!C320,'AJE 12 - INC'!D:D)</f>
        <v>0</v>
      </c>
      <c r="G320" s="108"/>
      <c r="H320" s="108"/>
      <c r="I320" s="108"/>
      <c r="J320" s="798">
        <f t="shared" si="26"/>
        <v>-346.85</v>
      </c>
      <c r="K320" s="209"/>
      <c r="L320" s="449"/>
      <c r="M320" s="803"/>
      <c r="N320" s="772"/>
      <c r="O320" s="772"/>
      <c r="P320" s="772"/>
      <c r="Q320" s="772"/>
      <c r="R320" s="772"/>
      <c r="S320" s="772"/>
      <c r="AW320" s="2511"/>
      <c r="AX320" s="820"/>
      <c r="AY320" s="820"/>
      <c r="AZ320" s="820"/>
      <c r="BA320" s="209"/>
      <c r="BB320" s="209"/>
      <c r="BC320" s="2511"/>
      <c r="BD320" s="2511"/>
      <c r="BE320" s="2511"/>
      <c r="BF320" s="2511"/>
      <c r="BH320" s="2511"/>
      <c r="BI320" s="209"/>
      <c r="BJ320" s="209"/>
      <c r="BK320" s="209"/>
      <c r="BL320" s="209"/>
      <c r="BM320" s="209"/>
      <c r="BN320" s="30"/>
      <c r="BO320" s="209"/>
      <c r="BP320" s="209"/>
      <c r="BQ320" s="209"/>
      <c r="BR320" s="209"/>
      <c r="BY320" s="11"/>
      <c r="BZ320" s="11"/>
    </row>
    <row r="321" spans="1:78" s="773" customFormat="1">
      <c r="A321" s="774"/>
      <c r="B321" s="3761" t="s">
        <v>2350</v>
      </c>
      <c r="C321" s="814">
        <v>2120261</v>
      </c>
      <c r="D321" s="199" t="s">
        <v>4696</v>
      </c>
      <c r="E321" s="42">
        <f>IFERROR(VLOOKUP(C321,'AJE 12 - INC'!$D$168:$F$345,3,0),0)</f>
        <v>-140.30000000000001</v>
      </c>
      <c r="F321" s="108">
        <f>SUMIF('AJE 12 - INC'!B:B,'New TB INC'!C321,'AJE 12 - INC'!D:D)</f>
        <v>0</v>
      </c>
      <c r="G321" s="108"/>
      <c r="H321" s="108"/>
      <c r="I321" s="108"/>
      <c r="J321" s="798">
        <f t="shared" si="26"/>
        <v>-140.30000000000001</v>
      </c>
      <c r="K321" s="209"/>
      <c r="L321" s="449"/>
      <c r="M321" s="803"/>
      <c r="N321" s="772"/>
      <c r="O321" s="772"/>
      <c r="P321" s="772"/>
      <c r="Q321" s="772"/>
      <c r="R321" s="772"/>
      <c r="S321" s="772"/>
      <c r="AW321" s="2511"/>
      <c r="AX321" s="820"/>
      <c r="AY321" s="820"/>
      <c r="AZ321" s="820"/>
      <c r="BA321" s="209"/>
      <c r="BB321" s="209"/>
      <c r="BC321" s="2511"/>
      <c r="BD321" s="2511"/>
      <c r="BE321" s="2511"/>
      <c r="BF321" s="2511"/>
      <c r="BH321" s="2511"/>
      <c r="BI321" s="209"/>
      <c r="BJ321" s="209"/>
      <c r="BK321" s="209"/>
      <c r="BL321" s="209"/>
      <c r="BM321" s="209"/>
      <c r="BN321" s="30"/>
      <c r="BO321" s="209"/>
      <c r="BP321" s="209"/>
      <c r="BQ321" s="209"/>
      <c r="BR321" s="209"/>
      <c r="BY321" s="11"/>
      <c r="BZ321" s="11"/>
    </row>
    <row r="322" spans="1:78" s="773" customFormat="1">
      <c r="A322" s="774"/>
      <c r="B322" s="3761" t="s">
        <v>2350</v>
      </c>
      <c r="C322" s="814">
        <v>2170355</v>
      </c>
      <c r="D322" s="199" t="s">
        <v>4697</v>
      </c>
      <c r="E322" s="42">
        <f>IFERROR(VLOOKUP(C322,'AJE 12 - INC'!$D$168:$F$345,3,0),0)</f>
        <v>-82000</v>
      </c>
      <c r="F322" s="108">
        <f>SUMIF('AJE 12 - INC'!B:B,'New TB INC'!C322,'AJE 12 - INC'!D:D)</f>
        <v>0</v>
      </c>
      <c r="G322" s="108"/>
      <c r="H322" s="108"/>
      <c r="I322" s="108"/>
      <c r="J322" s="798">
        <f t="shared" si="26"/>
        <v>-82000</v>
      </c>
      <c r="K322" s="209"/>
      <c r="L322" s="449"/>
      <c r="M322" s="803"/>
      <c r="N322" s="772"/>
      <c r="O322" s="772"/>
      <c r="P322" s="772"/>
      <c r="Q322" s="772"/>
      <c r="R322" s="772"/>
      <c r="S322" s="772"/>
      <c r="AW322" s="2511"/>
      <c r="AX322" s="820"/>
      <c r="AY322" s="820"/>
      <c r="AZ322" s="820"/>
      <c r="BA322" s="209"/>
      <c r="BB322" s="209"/>
      <c r="BC322" s="2511"/>
      <c r="BD322" s="2511"/>
      <c r="BE322" s="2511"/>
      <c r="BF322" s="2511"/>
      <c r="BH322" s="2511"/>
      <c r="BI322" s="209"/>
      <c r="BJ322" s="209"/>
      <c r="BK322" s="209"/>
      <c r="BL322" s="209"/>
      <c r="BM322" s="209"/>
      <c r="BN322" s="30"/>
      <c r="BO322" s="209"/>
      <c r="BP322" s="209"/>
      <c r="BQ322" s="209"/>
      <c r="BR322" s="209"/>
      <c r="BY322" s="11"/>
      <c r="BZ322" s="11"/>
    </row>
    <row r="323" spans="1:78" s="773" customFormat="1">
      <c r="A323" s="774"/>
      <c r="B323" s="3761" t="s">
        <v>2350</v>
      </c>
      <c r="C323" s="814">
        <v>2170361</v>
      </c>
      <c r="D323" s="199" t="s">
        <v>2999</v>
      </c>
      <c r="E323" s="42">
        <f>IFERROR(VLOOKUP(C323,'AJE 12 - INC'!$D$168:$F$345,3,0),0)</f>
        <v>0</v>
      </c>
      <c r="F323" s="108">
        <f>SUMIF('AJE 12 - INC'!B:B,'New TB INC'!C323,'AJE 12 - INC'!D:D)</f>
        <v>0</v>
      </c>
      <c r="G323" s="108"/>
      <c r="H323" s="108"/>
      <c r="I323" s="108"/>
      <c r="J323" s="798">
        <f t="shared" si="26"/>
        <v>0</v>
      </c>
      <c r="K323" s="209"/>
      <c r="L323" s="449"/>
      <c r="M323" s="803"/>
      <c r="N323" s="772"/>
      <c r="O323" s="772"/>
      <c r="P323" s="772"/>
      <c r="Q323" s="772"/>
      <c r="R323" s="772"/>
      <c r="S323" s="772"/>
      <c r="AW323" s="2511"/>
      <c r="AX323" s="820"/>
      <c r="AY323" s="820"/>
      <c r="AZ323" s="820"/>
      <c r="BA323" s="209"/>
      <c r="BB323" s="209"/>
      <c r="BC323" s="2511"/>
      <c r="BD323" s="2511"/>
      <c r="BE323" s="2511"/>
      <c r="BF323" s="2511"/>
      <c r="BH323" s="2511"/>
      <c r="BI323" s="209"/>
      <c r="BJ323" s="209"/>
      <c r="BK323" s="209"/>
      <c r="BL323" s="209"/>
      <c r="BM323" s="209"/>
      <c r="BN323" s="30"/>
      <c r="BO323" s="209"/>
      <c r="BP323" s="209"/>
      <c r="BQ323" s="209"/>
      <c r="BR323" s="209"/>
      <c r="BY323" s="11"/>
      <c r="BZ323" s="11"/>
    </row>
    <row r="324" spans="1:78" s="773" customFormat="1">
      <c r="A324" s="774"/>
      <c r="B324" s="3761" t="s">
        <v>2350</v>
      </c>
      <c r="C324" s="814">
        <v>2170364</v>
      </c>
      <c r="D324" s="199" t="s">
        <v>3000</v>
      </c>
      <c r="E324" s="42">
        <f>IFERROR(VLOOKUP(C324,'AJE 12 - INC'!$D$168:$F$345,3,0),0)</f>
        <v>0</v>
      </c>
      <c r="F324" s="108">
        <f>SUMIF('AJE 12 - INC'!B:B,'New TB INC'!C324,'AJE 12 - INC'!D:D)</f>
        <v>0</v>
      </c>
      <c r="G324" s="108"/>
      <c r="H324" s="108"/>
      <c r="I324" s="108"/>
      <c r="J324" s="798">
        <f t="shared" si="26"/>
        <v>0</v>
      </c>
      <c r="K324" s="209"/>
      <c r="L324" s="449"/>
      <c r="M324" s="803"/>
      <c r="N324" s="772"/>
      <c r="O324" s="772"/>
      <c r="P324" s="772"/>
      <c r="Q324" s="772"/>
      <c r="R324" s="772"/>
      <c r="S324" s="772"/>
      <c r="AW324" s="2511"/>
      <c r="AX324" s="820"/>
      <c r="AY324" s="820"/>
      <c r="AZ324" s="820"/>
      <c r="BA324" s="209"/>
      <c r="BB324" s="209"/>
      <c r="BC324" s="2511"/>
      <c r="BD324" s="2511"/>
      <c r="BE324" s="2511"/>
      <c r="BF324" s="2511"/>
      <c r="BH324" s="2511"/>
      <c r="BI324" s="209"/>
      <c r="BJ324" s="209"/>
      <c r="BK324" s="209"/>
      <c r="BL324" s="209"/>
      <c r="BM324" s="209"/>
      <c r="BN324" s="30"/>
      <c r="BO324" s="209"/>
      <c r="BP324" s="209"/>
      <c r="BQ324" s="209"/>
      <c r="BR324" s="209"/>
      <c r="BY324" s="11"/>
      <c r="BZ324" s="11"/>
    </row>
    <row r="325" spans="1:78" s="773" customFormat="1">
      <c r="A325" s="774"/>
      <c r="B325" s="3761" t="s">
        <v>2350</v>
      </c>
      <c r="C325" s="814">
        <v>2170365</v>
      </c>
      <c r="D325" s="199" t="s">
        <v>3001</v>
      </c>
      <c r="E325" s="42">
        <f>IFERROR(VLOOKUP(C325,'AJE 12 - INC'!$D$168:$F$345,3,0),0)</f>
        <v>0</v>
      </c>
      <c r="F325" s="108">
        <f>SUMIF('AJE 12 - INC'!B:B,'New TB INC'!C325,'AJE 12 - INC'!D:D)</f>
        <v>0</v>
      </c>
      <c r="G325" s="108"/>
      <c r="H325" s="108"/>
      <c r="I325" s="108"/>
      <c r="J325" s="798">
        <f t="shared" si="26"/>
        <v>0</v>
      </c>
      <c r="K325" s="209"/>
      <c r="L325" s="449"/>
      <c r="M325" s="803"/>
      <c r="N325" s="772"/>
      <c r="O325" s="772"/>
      <c r="P325" s="772"/>
      <c r="Q325" s="772"/>
      <c r="R325" s="772"/>
      <c r="S325" s="772"/>
      <c r="AW325" s="2511"/>
      <c r="AX325" s="820"/>
      <c r="AY325" s="820"/>
      <c r="AZ325" s="820"/>
      <c r="BA325" s="209"/>
      <c r="BB325" s="209"/>
      <c r="BC325" s="2511"/>
      <c r="BD325" s="2511"/>
      <c r="BE325" s="2511"/>
      <c r="BF325" s="2511"/>
      <c r="BH325" s="2511"/>
      <c r="BI325" s="209"/>
      <c r="BJ325" s="209"/>
      <c r="BK325" s="209"/>
      <c r="BL325" s="209"/>
      <c r="BM325" s="209"/>
      <c r="BN325" s="30"/>
      <c r="BO325" s="209"/>
      <c r="BP325" s="209"/>
      <c r="BQ325" s="209"/>
      <c r="BR325" s="209"/>
      <c r="BY325" s="11"/>
      <c r="BZ325" s="11"/>
    </row>
    <row r="326" spans="1:78" s="773" customFormat="1">
      <c r="A326" s="774"/>
      <c r="B326" s="3761" t="s">
        <v>2350</v>
      </c>
      <c r="C326" s="814">
        <v>2170366</v>
      </c>
      <c r="D326" s="199" t="s">
        <v>3002</v>
      </c>
      <c r="E326" s="42">
        <f>IFERROR(VLOOKUP(C326,'AJE 12 - INC'!$D$168:$F$345,3,0),0)</f>
        <v>0</v>
      </c>
      <c r="F326" s="108">
        <f>SUMIF('AJE 12 - INC'!B:B,'New TB INC'!C326,'AJE 12 - INC'!D:D)</f>
        <v>0</v>
      </c>
      <c r="G326" s="108"/>
      <c r="H326" s="108"/>
      <c r="I326" s="108"/>
      <c r="J326" s="798">
        <f t="shared" si="26"/>
        <v>0</v>
      </c>
      <c r="K326" s="209"/>
      <c r="L326" s="449"/>
      <c r="M326" s="803"/>
      <c r="N326" s="772"/>
      <c r="O326" s="772"/>
      <c r="P326" s="772"/>
      <c r="Q326" s="772"/>
      <c r="R326" s="772"/>
      <c r="S326" s="772"/>
      <c r="AW326" s="2511"/>
      <c r="AX326" s="820"/>
      <c r="AY326" s="820"/>
      <c r="AZ326" s="820"/>
      <c r="BA326" s="209"/>
      <c r="BB326" s="209"/>
      <c r="BC326" s="2511"/>
      <c r="BD326" s="2511"/>
      <c r="BE326" s="2511"/>
      <c r="BF326" s="2511"/>
      <c r="BH326" s="2511"/>
      <c r="BI326" s="209"/>
      <c r="BJ326" s="209"/>
      <c r="BK326" s="209"/>
      <c r="BL326" s="209"/>
      <c r="BM326" s="209"/>
      <c r="BN326" s="30"/>
      <c r="BO326" s="209"/>
      <c r="BP326" s="209"/>
      <c r="BQ326" s="209"/>
      <c r="BR326" s="209"/>
      <c r="BY326" s="11"/>
      <c r="BZ326" s="11"/>
    </row>
    <row r="327" spans="1:78" s="773" customFormat="1">
      <c r="A327" s="774"/>
      <c r="B327" s="3761" t="s">
        <v>2350</v>
      </c>
      <c r="C327" s="814">
        <v>2120210</v>
      </c>
      <c r="D327" s="199" t="s">
        <v>2869</v>
      </c>
      <c r="E327" s="42">
        <f>IFERROR(VLOOKUP(C327,'AJE 12 - INC'!$D$168:$F$345,3,0),0)</f>
        <v>0</v>
      </c>
      <c r="F327" s="108">
        <f>SUMIF('AJE 12 - INC'!B:B,'New TB INC'!C327,'AJE 12 - INC'!D:D)</f>
        <v>0</v>
      </c>
      <c r="G327" s="108"/>
      <c r="H327" s="108"/>
      <c r="I327" s="108"/>
      <c r="J327" s="798">
        <f t="shared" si="26"/>
        <v>0</v>
      </c>
      <c r="K327" s="209"/>
      <c r="L327" s="449"/>
      <c r="M327" s="803"/>
      <c r="N327" s="772"/>
      <c r="O327" s="772"/>
      <c r="P327" s="772"/>
      <c r="Q327" s="772"/>
      <c r="R327" s="772"/>
      <c r="S327" s="772"/>
      <c r="AW327" s="2511"/>
      <c r="AX327" s="820"/>
      <c r="AY327" s="820"/>
      <c r="AZ327" s="820"/>
      <c r="BA327" s="209"/>
      <c r="BB327" s="209"/>
      <c r="BC327" s="2511"/>
      <c r="BD327" s="2511"/>
      <c r="BE327" s="2511"/>
      <c r="BF327" s="2511"/>
      <c r="BH327" s="2511"/>
      <c r="BI327" s="209"/>
      <c r="BJ327" s="209"/>
      <c r="BK327" s="209"/>
      <c r="BL327" s="209"/>
      <c r="BM327" s="209"/>
      <c r="BN327" s="30"/>
      <c r="BO327" s="209"/>
      <c r="BP327" s="209"/>
      <c r="BQ327" s="209"/>
      <c r="BR327" s="209"/>
      <c r="BY327" s="11"/>
      <c r="BZ327" s="11"/>
    </row>
    <row r="328" spans="1:78" s="773" customFormat="1">
      <c r="A328" s="774"/>
      <c r="B328" s="3761" t="s">
        <v>2350</v>
      </c>
      <c r="C328" s="197">
        <v>210223</v>
      </c>
      <c r="D328" s="199" t="s">
        <v>1671</v>
      </c>
      <c r="E328" s="42">
        <f>IFERROR(VLOOKUP(C328,'AJE 12 - INC'!$D$168:$F$345,3,0),0)</f>
        <v>-26855.08</v>
      </c>
      <c r="F328" s="108">
        <f>SUMIF('AJE 12 - INC'!B:B,'New TB INC'!C328,'AJE 12 - INC'!D:D)</f>
        <v>0</v>
      </c>
      <c r="G328" s="108"/>
      <c r="H328" s="108"/>
      <c r="I328" s="108"/>
      <c r="J328" s="798">
        <f t="shared" ref="J328:J331" si="31">SUM(E328:I328)</f>
        <v>-26855.08</v>
      </c>
      <c r="K328" s="209"/>
      <c r="L328" s="449"/>
      <c r="M328" s="803"/>
      <c r="N328" s="772"/>
      <c r="O328" s="772"/>
      <c r="P328" s="772"/>
      <c r="Q328" s="772"/>
      <c r="R328" s="772"/>
      <c r="S328" s="772"/>
      <c r="AW328" s="2511"/>
      <c r="AX328" s="820"/>
      <c r="AY328" s="820"/>
      <c r="AZ328" s="820"/>
      <c r="BA328" s="209"/>
      <c r="BB328" s="209"/>
      <c r="BC328" s="2511"/>
      <c r="BD328" s="2511"/>
      <c r="BE328" s="2511"/>
      <c r="BF328" s="2511"/>
      <c r="BH328" s="2511"/>
      <c r="BI328" s="209"/>
      <c r="BJ328" s="209"/>
      <c r="BK328" s="209"/>
      <c r="BL328" s="209"/>
      <c r="BM328" s="209"/>
      <c r="BN328" s="30"/>
      <c r="BO328" s="209"/>
      <c r="BP328" s="209"/>
      <c r="BQ328" s="209"/>
      <c r="BR328" s="209"/>
      <c r="BY328" s="11"/>
      <c r="BZ328" s="11"/>
    </row>
    <row r="329" spans="1:78" s="773" customFormat="1">
      <c r="A329" s="774"/>
      <c r="B329" s="3761" t="s">
        <v>2350</v>
      </c>
      <c r="C329" s="197">
        <v>2120120</v>
      </c>
      <c r="D329" s="199" t="s">
        <v>2021</v>
      </c>
      <c r="E329" s="3583">
        <f>IFERROR(VLOOKUP(C329,'AJE 12 - INC'!$D$168:$F$345,3,0),0)</f>
        <v>0</v>
      </c>
      <c r="F329" s="108">
        <f>SUMIF('AJE 12 - INC'!B:B,'New TB INC'!C329,'AJE 12 - INC'!D:D)</f>
        <v>0</v>
      </c>
      <c r="G329" s="108"/>
      <c r="H329" s="108"/>
      <c r="I329" s="108"/>
      <c r="J329" s="798">
        <f t="shared" si="31"/>
        <v>0</v>
      </c>
      <c r="K329" s="209"/>
      <c r="L329" s="449"/>
      <c r="M329" s="828"/>
      <c r="N329" s="772"/>
      <c r="O329" s="772"/>
      <c r="P329" s="772"/>
      <c r="Q329" s="772"/>
      <c r="R329" s="772"/>
      <c r="S329" s="772"/>
      <c r="AW329" s="2511"/>
      <c r="AX329" s="820"/>
      <c r="AY329" s="820"/>
      <c r="AZ329" s="820"/>
      <c r="BA329" s="209"/>
      <c r="BB329" s="209"/>
      <c r="BC329" s="2511"/>
      <c r="BD329" s="2511"/>
      <c r="BE329" s="2511"/>
      <c r="BF329" s="2511"/>
      <c r="BH329" s="2511"/>
      <c r="BI329" s="209"/>
      <c r="BJ329" s="209"/>
      <c r="BK329" s="209"/>
      <c r="BL329" s="209"/>
      <c r="BM329" s="209"/>
      <c r="BN329" s="30"/>
      <c r="BO329" s="209"/>
      <c r="BP329" s="209"/>
      <c r="BQ329" s="209"/>
      <c r="BR329" s="209"/>
      <c r="BY329" s="11"/>
      <c r="BZ329" s="11"/>
    </row>
    <row r="330" spans="1:78" s="773" customFormat="1">
      <c r="A330" s="774"/>
      <c r="B330" s="3761" t="s">
        <v>2350</v>
      </c>
      <c r="C330" s="197">
        <v>2120226</v>
      </c>
      <c r="D330" s="199" t="s">
        <v>1727</v>
      </c>
      <c r="E330" s="3583">
        <f>IFERROR(VLOOKUP(C330,'AJE 12 - INC'!$D$168:$F$345,3,0),0)</f>
        <v>-131.93</v>
      </c>
      <c r="F330" s="108">
        <f>SUMIF('AJE 12 - INC'!B:B,'New TB INC'!C330,'AJE 12 - INC'!D:D)</f>
        <v>0</v>
      </c>
      <c r="G330" s="108"/>
      <c r="H330" s="108"/>
      <c r="I330" s="108"/>
      <c r="J330" s="798">
        <f t="shared" si="31"/>
        <v>-131.93</v>
      </c>
      <c r="K330" s="209"/>
      <c r="L330" s="449"/>
      <c r="M330" s="828"/>
      <c r="N330" s="772"/>
      <c r="O330" s="772"/>
      <c r="P330" s="772"/>
      <c r="Q330" s="772"/>
      <c r="R330" s="772"/>
      <c r="S330" s="772"/>
      <c r="AW330" s="2511"/>
      <c r="AX330" s="820"/>
      <c r="AY330" s="820"/>
      <c r="AZ330" s="820"/>
      <c r="BA330" s="209"/>
      <c r="BB330" s="209"/>
      <c r="BC330" s="2511"/>
      <c r="BD330" s="2511"/>
      <c r="BE330" s="2511"/>
      <c r="BF330" s="2511"/>
      <c r="BH330" s="2511"/>
      <c r="BI330" s="209"/>
      <c r="BJ330" s="209"/>
      <c r="BK330" s="209"/>
      <c r="BL330" s="209"/>
      <c r="BM330" s="209"/>
      <c r="BN330" s="30"/>
      <c r="BO330" s="209"/>
      <c r="BP330" s="209"/>
      <c r="BQ330" s="209"/>
      <c r="BR330" s="209"/>
      <c r="BY330" s="11"/>
      <c r="BZ330" s="11"/>
    </row>
    <row r="331" spans="1:78" s="773" customFormat="1">
      <c r="A331" s="774"/>
      <c r="B331" s="3761" t="s">
        <v>2350</v>
      </c>
      <c r="C331" s="197">
        <v>2120073</v>
      </c>
      <c r="D331" s="199" t="s">
        <v>476</v>
      </c>
      <c r="E331" s="42">
        <f>IFERROR(VLOOKUP(C331,'AJE 12 - INC'!$D$168:$F$345,3,0),0)</f>
        <v>-9229</v>
      </c>
      <c r="F331" s="108">
        <f>SUMIF('AJE 12 - INC'!B:B,'New TB INC'!C331,'AJE 12 - INC'!D:D)</f>
        <v>0</v>
      </c>
      <c r="G331" s="108"/>
      <c r="H331" s="108"/>
      <c r="I331" s="108"/>
      <c r="J331" s="798">
        <f t="shared" si="31"/>
        <v>-9229</v>
      </c>
      <c r="K331" s="209"/>
      <c r="L331" s="449"/>
      <c r="M331" s="828"/>
      <c r="N331" s="772"/>
      <c r="O331" s="772"/>
      <c r="P331" s="772"/>
      <c r="Q331" s="772"/>
      <c r="R331" s="772"/>
      <c r="S331" s="772"/>
      <c r="AW331" s="2511"/>
      <c r="AX331" s="820"/>
      <c r="AY331" s="820"/>
      <c r="AZ331" s="820"/>
      <c r="BA331" s="209"/>
      <c r="BB331" s="209"/>
      <c r="BC331" s="2511"/>
      <c r="BD331" s="2511"/>
      <c r="BE331" s="2511"/>
      <c r="BF331" s="2511"/>
      <c r="BH331" s="2511"/>
      <c r="BI331" s="209"/>
      <c r="BJ331" s="209"/>
      <c r="BK331" s="209"/>
      <c r="BL331" s="209"/>
      <c r="BM331" s="209"/>
      <c r="BN331" s="30"/>
      <c r="BO331" s="209"/>
      <c r="BP331" s="209"/>
      <c r="BQ331" s="209"/>
      <c r="BR331" s="209"/>
      <c r="BY331" s="11"/>
      <c r="BZ331" s="11"/>
    </row>
    <row r="332" spans="1:78" s="773" customFormat="1">
      <c r="A332" s="774"/>
      <c r="B332" s="3761" t="s">
        <v>2350</v>
      </c>
      <c r="C332" s="197">
        <v>2120215</v>
      </c>
      <c r="D332" s="199" t="s">
        <v>1840</v>
      </c>
      <c r="E332" s="42">
        <f>IFERROR(VLOOKUP(C332,'AJE 12 - INC'!$D$168:$F$345,3,0),0)</f>
        <v>-107.27</v>
      </c>
      <c r="F332" s="108"/>
      <c r="G332" s="108"/>
      <c r="H332" s="108"/>
      <c r="I332" s="108"/>
      <c r="J332" s="798">
        <f>SUM(E332:I332)</f>
        <v>-107.27</v>
      </c>
      <c r="K332" s="209"/>
      <c r="L332" s="449"/>
      <c r="M332" s="828"/>
      <c r="N332" s="772"/>
      <c r="O332" s="772"/>
      <c r="P332" s="772"/>
      <c r="Q332" s="772"/>
      <c r="R332" s="772"/>
      <c r="S332" s="772"/>
      <c r="AW332" s="2511"/>
      <c r="AX332" s="820"/>
      <c r="AY332" s="820"/>
      <c r="AZ332" s="820"/>
      <c r="BA332" s="209"/>
      <c r="BB332" s="209"/>
      <c r="BC332" s="2511"/>
      <c r="BD332" s="2511"/>
      <c r="BE332" s="2511"/>
      <c r="BF332" s="2511"/>
      <c r="BH332" s="2511"/>
      <c r="BI332" s="209"/>
      <c r="BJ332" s="209"/>
      <c r="BK332" s="209"/>
      <c r="BL332" s="209"/>
      <c r="BM332" s="209"/>
      <c r="BN332" s="30"/>
      <c r="BO332" s="209"/>
      <c r="BP332" s="209"/>
      <c r="BQ332" s="209"/>
      <c r="BR332" s="209"/>
      <c r="BY332" s="11"/>
      <c r="BZ332" s="11"/>
    </row>
    <row r="333" spans="1:78" s="773" customFormat="1">
      <c r="A333" s="774"/>
      <c r="B333" s="3761" t="s">
        <v>2350</v>
      </c>
      <c r="C333" s="197">
        <v>2120216</v>
      </c>
      <c r="D333" s="199" t="s">
        <v>1841</v>
      </c>
      <c r="E333" s="42">
        <f>IFERROR(VLOOKUP(C333,'AJE 12 - INC'!$D$168:$F$345,3,0),0)</f>
        <v>-204.3</v>
      </c>
      <c r="F333" s="108">
        <f>SUMIF('AJE 12 - INC'!B:B,'New TB INC'!C333,'AJE 12 - INC'!D:D)</f>
        <v>0</v>
      </c>
      <c r="G333" s="108"/>
      <c r="H333" s="108"/>
      <c r="I333" s="108"/>
      <c r="J333" s="798">
        <f t="shared" ref="J333:J339" si="32">SUM(E333:I333)</f>
        <v>-204.3</v>
      </c>
      <c r="K333" s="209"/>
      <c r="L333" s="449"/>
      <c r="M333" s="828"/>
      <c r="N333" s="772"/>
      <c r="O333" s="772"/>
      <c r="P333" s="772"/>
      <c r="Q333" s="772"/>
      <c r="R333" s="772"/>
      <c r="S333" s="772"/>
      <c r="AW333" s="2511"/>
      <c r="AX333" s="820"/>
      <c r="AY333" s="820"/>
      <c r="AZ333" s="820"/>
      <c r="BA333" s="209"/>
      <c r="BB333" s="209"/>
      <c r="BC333" s="2511"/>
      <c r="BD333" s="2511"/>
      <c r="BE333" s="2511"/>
      <c r="BF333" s="2511"/>
      <c r="BH333" s="2511"/>
      <c r="BI333" s="209"/>
      <c r="BJ333" s="209"/>
      <c r="BK333" s="209"/>
      <c r="BL333" s="209"/>
      <c r="BM333" s="209"/>
      <c r="BN333" s="30"/>
      <c r="BO333" s="209"/>
      <c r="BP333" s="209"/>
      <c r="BQ333" s="209"/>
      <c r="BR333" s="209"/>
      <c r="BY333" s="11"/>
      <c r="BZ333" s="11"/>
    </row>
    <row r="334" spans="1:78" s="773" customFormat="1">
      <c r="A334" s="774"/>
      <c r="B334" s="3761" t="s">
        <v>2350</v>
      </c>
      <c r="C334" s="197">
        <v>2120212</v>
      </c>
      <c r="D334" s="199" t="s">
        <v>1594</v>
      </c>
      <c r="E334" s="42">
        <f>IFERROR(VLOOKUP(C334,'AJE 12 - INC'!$D$168:$F$345,3,0),0)</f>
        <v>-264</v>
      </c>
      <c r="F334" s="108">
        <f>SUMIF('AJE 12 - INC'!B:B,'New TB INC'!C334,'AJE 12 - INC'!D:D)</f>
        <v>0</v>
      </c>
      <c r="G334" s="108"/>
      <c r="H334" s="108"/>
      <c r="I334" s="108"/>
      <c r="J334" s="798">
        <f t="shared" si="32"/>
        <v>-264</v>
      </c>
      <c r="K334" s="209"/>
      <c r="L334" s="449"/>
      <c r="M334" s="828"/>
      <c r="N334" s="772"/>
      <c r="O334" s="772"/>
      <c r="P334" s="772"/>
      <c r="Q334" s="772"/>
      <c r="R334" s="772"/>
      <c r="S334" s="772"/>
      <c r="AW334" s="2511"/>
      <c r="AX334" s="820"/>
      <c r="AY334" s="820"/>
      <c r="AZ334" s="820"/>
      <c r="BA334" s="209"/>
      <c r="BB334" s="209"/>
      <c r="BC334" s="2511"/>
      <c r="BD334" s="2511"/>
      <c r="BE334" s="2511"/>
      <c r="BF334" s="2511"/>
      <c r="BH334" s="2511"/>
      <c r="BI334" s="209"/>
      <c r="BJ334" s="209"/>
      <c r="BK334" s="209"/>
      <c r="BL334" s="209"/>
      <c r="BM334" s="209"/>
      <c r="BN334" s="30"/>
      <c r="BO334" s="209"/>
      <c r="BP334" s="209"/>
      <c r="BQ334" s="209"/>
      <c r="BR334" s="209"/>
      <c r="BY334" s="11"/>
      <c r="BZ334" s="11"/>
    </row>
    <row r="335" spans="1:78" s="773" customFormat="1">
      <c r="A335" s="774"/>
      <c r="B335" s="3761" t="s">
        <v>2350</v>
      </c>
      <c r="C335" s="197">
        <v>2120221</v>
      </c>
      <c r="D335" s="199" t="s">
        <v>1853</v>
      </c>
      <c r="E335" s="42">
        <f>IFERROR(VLOOKUP(C335,'AJE 12 - INC'!$D$168:$F$345,3,0),0)</f>
        <v>-459.03</v>
      </c>
      <c r="F335" s="108">
        <f>SUMIF('AJE 12 - INC'!B:B,'New TB INC'!C335,'AJE 12 - INC'!D:D)</f>
        <v>0</v>
      </c>
      <c r="G335" s="108"/>
      <c r="H335" s="108"/>
      <c r="I335" s="108"/>
      <c r="J335" s="798">
        <f t="shared" si="32"/>
        <v>-459.03</v>
      </c>
      <c r="K335" s="209"/>
      <c r="L335" s="449"/>
      <c r="M335" s="828"/>
      <c r="N335" s="772"/>
      <c r="O335" s="772"/>
      <c r="P335" s="772"/>
      <c r="Q335" s="772"/>
      <c r="R335" s="772"/>
      <c r="S335" s="772"/>
      <c r="AW335" s="2511"/>
      <c r="AX335" s="820"/>
      <c r="AY335" s="820"/>
      <c r="AZ335" s="820"/>
      <c r="BA335" s="209"/>
      <c r="BB335" s="209"/>
      <c r="BC335" s="2511"/>
      <c r="BD335" s="2511"/>
      <c r="BE335" s="2511"/>
      <c r="BF335" s="2511"/>
      <c r="BH335" s="2511"/>
      <c r="BI335" s="209"/>
      <c r="BJ335" s="209"/>
      <c r="BK335" s="209"/>
      <c r="BL335" s="209"/>
      <c r="BM335" s="209"/>
      <c r="BN335" s="30"/>
      <c r="BO335" s="209"/>
      <c r="BP335" s="209"/>
      <c r="BQ335" s="209"/>
      <c r="BR335" s="209"/>
      <c r="BY335" s="11"/>
      <c r="BZ335" s="11"/>
    </row>
    <row r="336" spans="1:78" s="773" customFormat="1">
      <c r="A336" s="774"/>
      <c r="B336" s="3761" t="s">
        <v>2350</v>
      </c>
      <c r="C336" s="197">
        <v>2120217</v>
      </c>
      <c r="D336" s="199" t="s">
        <v>1595</v>
      </c>
      <c r="E336" s="42">
        <f>IFERROR(VLOOKUP(C336,'AJE 12 - INC'!$D$168:$F$345,3,0),0)</f>
        <v>-61.58</v>
      </c>
      <c r="F336" s="108">
        <f>SUMIF('AJE 12 - INC'!B:B,'New TB INC'!C336,'AJE 12 - INC'!D:D)</f>
        <v>0</v>
      </c>
      <c r="G336" s="108"/>
      <c r="H336" s="108"/>
      <c r="I336" s="108"/>
      <c r="J336" s="798">
        <f t="shared" si="32"/>
        <v>-61.58</v>
      </c>
      <c r="K336" s="209"/>
      <c r="L336" s="449"/>
      <c r="M336" s="828"/>
      <c r="N336" s="772"/>
      <c r="O336" s="772"/>
      <c r="P336" s="772"/>
      <c r="Q336" s="772"/>
      <c r="R336" s="772"/>
      <c r="S336" s="772"/>
      <c r="AW336" s="2511"/>
      <c r="AX336" s="820"/>
      <c r="AY336" s="820"/>
      <c r="AZ336" s="820"/>
      <c r="BA336" s="209"/>
      <c r="BB336" s="209"/>
      <c r="BC336" s="2511"/>
      <c r="BD336" s="2511"/>
      <c r="BE336" s="2511"/>
      <c r="BF336" s="2511"/>
      <c r="BH336" s="2511"/>
      <c r="BI336" s="209"/>
      <c r="BJ336" s="209"/>
      <c r="BK336" s="209"/>
      <c r="BL336" s="209"/>
      <c r="BM336" s="209"/>
      <c r="BN336" s="30"/>
      <c r="BO336" s="209"/>
      <c r="BP336" s="209"/>
      <c r="BQ336" s="209"/>
      <c r="BR336" s="209"/>
      <c r="BY336" s="11"/>
      <c r="BZ336" s="11"/>
    </row>
    <row r="337" spans="1:208" s="773" customFormat="1">
      <c r="A337" s="774"/>
      <c r="B337" s="3761" t="s">
        <v>2350</v>
      </c>
      <c r="C337" s="197">
        <v>2120230</v>
      </c>
      <c r="D337" s="199" t="s">
        <v>1770</v>
      </c>
      <c r="E337" s="42">
        <f>IFERROR(VLOOKUP(C337,'AJE 12 - INC'!$D$168:$F$345,3,0),0)</f>
        <v>-3463.99</v>
      </c>
      <c r="F337" s="108">
        <f>SUMIF('AJE 12 - INC'!B:B,'New TB INC'!C337,'AJE 12 - INC'!D:D)</f>
        <v>0</v>
      </c>
      <c r="G337" s="108"/>
      <c r="H337" s="108"/>
      <c r="I337" s="108"/>
      <c r="J337" s="798">
        <f t="shared" si="32"/>
        <v>-3463.99</v>
      </c>
      <c r="K337" s="209"/>
      <c r="L337" s="449"/>
      <c r="M337" s="828"/>
      <c r="N337" s="772"/>
      <c r="O337" s="772"/>
      <c r="P337" s="772"/>
      <c r="Q337" s="772"/>
      <c r="R337" s="772"/>
      <c r="S337" s="772"/>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W337" s="2511"/>
      <c r="AX337" s="820"/>
      <c r="AY337" s="820"/>
      <c r="AZ337" s="820"/>
      <c r="BA337" s="209"/>
      <c r="BB337" s="209"/>
      <c r="BC337" s="2511"/>
      <c r="BD337" s="2511"/>
      <c r="BE337" s="2511"/>
      <c r="BF337" s="2511"/>
      <c r="BH337" s="2511"/>
      <c r="BI337" s="209"/>
      <c r="BJ337" s="209"/>
      <c r="BK337" s="209"/>
      <c r="BL337" s="209"/>
      <c r="BM337" s="209"/>
      <c r="BN337" s="30"/>
      <c r="BO337" s="209"/>
      <c r="BP337" s="209"/>
      <c r="BQ337" s="209"/>
      <c r="BR337" s="209"/>
      <c r="BY337" s="11"/>
      <c r="BZ337" s="11"/>
    </row>
    <row r="338" spans="1:208" s="773" customFormat="1">
      <c r="A338" s="774"/>
      <c r="B338" s="3761" t="s">
        <v>2350</v>
      </c>
      <c r="C338" s="197">
        <v>2120174</v>
      </c>
      <c r="D338" s="199" t="s">
        <v>811</v>
      </c>
      <c r="E338" s="42">
        <f>IFERROR(VLOOKUP(C338,'AJE 12 - INC'!$D$168:$F$345,3,0),0)</f>
        <v>-309.39</v>
      </c>
      <c r="F338" s="108">
        <f>SUMIF('AJE 12 - INC'!B:B,'New TB INC'!C338,'AJE 12 - INC'!D:D)</f>
        <v>0</v>
      </c>
      <c r="G338" s="108"/>
      <c r="H338" s="108"/>
      <c r="I338" s="108"/>
      <c r="J338" s="798">
        <f t="shared" si="32"/>
        <v>-309.39</v>
      </c>
      <c r="K338" s="209"/>
      <c r="L338" s="449"/>
      <c r="M338" s="828"/>
      <c r="N338" s="772"/>
      <c r="O338" s="772"/>
      <c r="P338" s="772"/>
      <c r="Q338" s="772"/>
      <c r="R338" s="772"/>
      <c r="S338" s="772"/>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511"/>
      <c r="AX338" s="820"/>
      <c r="AY338" s="820"/>
      <c r="AZ338" s="820"/>
      <c r="BA338" s="209"/>
      <c r="BB338" s="209"/>
      <c r="BC338" s="2511"/>
      <c r="BD338" s="2511"/>
      <c r="BE338" s="2511"/>
      <c r="BF338" s="2511"/>
      <c r="BH338" s="2511"/>
      <c r="BI338" s="209"/>
      <c r="BJ338" s="209"/>
      <c r="BK338" s="209"/>
      <c r="BL338" s="209"/>
      <c r="BM338" s="209"/>
      <c r="BN338" s="30"/>
      <c r="BO338" s="209"/>
      <c r="BP338" s="209"/>
      <c r="BQ338" s="209"/>
      <c r="BR338" s="209"/>
      <c r="BY338" s="11"/>
      <c r="BZ338" s="11"/>
    </row>
    <row r="339" spans="1:208" s="773" customFormat="1">
      <c r="A339" s="774"/>
      <c r="B339" s="3761" t="s">
        <v>2350</v>
      </c>
      <c r="C339" s="197">
        <v>2120220</v>
      </c>
      <c r="D339" s="199" t="s">
        <v>1672</v>
      </c>
      <c r="E339" s="42">
        <f>IFERROR(VLOOKUP(C339,'AJE 12 - INC'!$D$168:$F$345,3,0),0)</f>
        <v>-5525.16</v>
      </c>
      <c r="F339" s="108">
        <f>SUMIF('AJE 12 - INC'!B:B,'New TB INC'!C339,'AJE 12 - INC'!D:D)</f>
        <v>0</v>
      </c>
      <c r="G339" s="108"/>
      <c r="H339" s="108"/>
      <c r="I339" s="108"/>
      <c r="J339" s="798">
        <f t="shared" si="32"/>
        <v>-5525.16</v>
      </c>
      <c r="K339" s="209"/>
      <c r="L339" s="449"/>
      <c r="M339" s="828"/>
      <c r="N339" s="772"/>
      <c r="O339" s="772"/>
      <c r="P339" s="772"/>
      <c r="Q339" s="772"/>
      <c r="R339" s="772"/>
      <c r="S339" s="772"/>
      <c r="X339" s="209"/>
      <c r="Y339" s="209"/>
      <c r="Z339" s="209"/>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511"/>
      <c r="AX339" s="820"/>
      <c r="AY339" s="820"/>
      <c r="AZ339" s="820"/>
      <c r="BA339" s="209"/>
      <c r="BB339" s="209"/>
      <c r="BC339" s="2511"/>
      <c r="BD339" s="2511"/>
      <c r="BE339" s="2511"/>
      <c r="BF339" s="2511"/>
      <c r="BH339" s="2511"/>
      <c r="BI339" s="209"/>
      <c r="BJ339" s="209"/>
      <c r="BK339" s="209"/>
      <c r="BL339" s="209"/>
      <c r="BM339" s="209"/>
      <c r="BN339" s="30"/>
      <c r="BO339" s="209"/>
      <c r="BP339" s="209"/>
      <c r="BQ339" s="209"/>
      <c r="BR339" s="209"/>
      <c r="BY339" s="11"/>
      <c r="BZ339" s="11"/>
    </row>
    <row r="340" spans="1:208" s="773" customFormat="1">
      <c r="A340" s="774"/>
      <c r="B340" s="3761"/>
      <c r="C340" s="197"/>
      <c r="D340" s="199"/>
      <c r="E340" s="42"/>
      <c r="F340" s="108"/>
      <c r="G340" s="108"/>
      <c r="H340" s="108"/>
      <c r="I340" s="108"/>
      <c r="J340" s="798"/>
      <c r="K340" s="209"/>
      <c r="L340" s="449"/>
      <c r="M340" s="813"/>
      <c r="N340" s="772"/>
      <c r="O340" s="772"/>
      <c r="P340" s="772"/>
      <c r="Q340" s="772"/>
      <c r="R340" s="772"/>
      <c r="S340" s="772"/>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511"/>
      <c r="AX340" s="820"/>
      <c r="AY340" s="820"/>
      <c r="AZ340" s="820"/>
      <c r="BA340" s="209"/>
      <c r="BB340" s="209"/>
      <c r="BC340" s="2511"/>
      <c r="BD340" s="2511"/>
      <c r="BE340" s="2511"/>
      <c r="BF340" s="2511"/>
      <c r="BH340" s="2511"/>
      <c r="BI340" s="209"/>
      <c r="BJ340" s="209"/>
      <c r="BK340" s="209"/>
      <c r="BL340" s="209"/>
      <c r="BM340" s="209"/>
      <c r="BN340" s="30"/>
      <c r="BO340" s="209"/>
      <c r="BP340" s="209"/>
      <c r="BQ340" s="209"/>
      <c r="BR340" s="209"/>
      <c r="BY340" s="11"/>
      <c r="BZ340" s="11"/>
    </row>
    <row r="341" spans="1:208" s="773" customFormat="1">
      <c r="A341" s="774"/>
      <c r="B341" s="3761" t="s">
        <v>1557</v>
      </c>
      <c r="C341" s="197">
        <v>53602</v>
      </c>
      <c r="D341" s="801" t="s">
        <v>3114</v>
      </c>
      <c r="E341" s="42">
        <f>IFERROR(VLOOKUP(C341,'AJE 12 - INC'!$D$168:$F$345,3,0),0)</f>
        <v>-27945</v>
      </c>
      <c r="F341" s="108">
        <f>SUMIF('AJE 12 - INC'!B:B,'New TB INC'!C341,'AJE 12 - INC'!D:D)</f>
        <v>0</v>
      </c>
      <c r="G341" s="108"/>
      <c r="H341" s="108"/>
      <c r="I341" s="108"/>
      <c r="J341" s="798">
        <f>SUM(E341:I341)</f>
        <v>-27945</v>
      </c>
      <c r="K341" s="209"/>
      <c r="L341" s="434"/>
      <c r="M341" s="377" t="s">
        <v>1990</v>
      </c>
      <c r="N341" s="772"/>
      <c r="O341" s="772"/>
      <c r="P341" s="772"/>
      <c r="Q341" s="772"/>
      <c r="R341" s="772"/>
      <c r="S341" s="772"/>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511"/>
      <c r="AX341" s="820"/>
      <c r="AY341" s="820"/>
      <c r="AZ341" s="820"/>
      <c r="BA341" s="209"/>
      <c r="BB341" s="209"/>
      <c r="BC341" s="2511"/>
      <c r="BD341" s="2511"/>
      <c r="BE341" s="2511"/>
      <c r="BF341" s="2511"/>
      <c r="BH341" s="2511"/>
      <c r="BI341" s="209"/>
      <c r="BJ341" s="209"/>
      <c r="BK341" s="209"/>
      <c r="BL341" s="209"/>
      <c r="BM341" s="209"/>
      <c r="BN341" s="30"/>
      <c r="BO341" s="209"/>
      <c r="BP341" s="209"/>
      <c r="BQ341" s="209"/>
      <c r="BR341" s="209"/>
      <c r="BY341" s="11"/>
      <c r="BZ341" s="11"/>
    </row>
    <row r="342" spans="1:208" s="11" customFormat="1">
      <c r="A342" s="780"/>
      <c r="B342" s="3761"/>
      <c r="C342" s="438"/>
      <c r="D342" s="846"/>
      <c r="E342" s="809"/>
      <c r="F342" s="769"/>
      <c r="G342" s="769"/>
      <c r="H342" s="769"/>
      <c r="I342" s="769"/>
      <c r="J342" s="796"/>
      <c r="K342" s="209"/>
      <c r="L342" s="434"/>
      <c r="M342" s="810"/>
      <c r="N342" s="772"/>
      <c r="O342" s="772"/>
      <c r="P342" s="772"/>
      <c r="Q342" s="772"/>
      <c r="R342" s="772"/>
      <c r="S342" s="772"/>
      <c r="T342" s="773"/>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2515"/>
      <c r="AX342" s="820"/>
      <c r="AY342" s="820"/>
      <c r="AZ342" s="820"/>
      <c r="BA342" s="937"/>
      <c r="BB342" s="937"/>
      <c r="BC342" s="2515"/>
      <c r="BD342" s="2515"/>
      <c r="BE342" s="2515"/>
      <c r="BF342" s="2515"/>
      <c r="BH342" s="2515"/>
      <c r="BI342" s="937"/>
      <c r="BJ342" s="937"/>
      <c r="BK342" s="937"/>
      <c r="BL342" s="937"/>
      <c r="BM342" s="937"/>
      <c r="BN342" s="209"/>
      <c r="BO342" s="209"/>
      <c r="BP342" s="209"/>
      <c r="BQ342" s="209"/>
      <c r="BR342" s="209"/>
      <c r="BS342" s="209"/>
      <c r="BT342" s="209"/>
      <c r="BU342" s="820"/>
      <c r="BV342" s="209"/>
      <c r="BW342" s="209"/>
      <c r="BX342" s="799"/>
      <c r="DB342" s="773"/>
      <c r="DC342" s="773"/>
      <c r="DD342" s="773"/>
      <c r="DE342" s="773"/>
      <c r="DF342" s="773"/>
      <c r="DG342" s="773"/>
      <c r="DH342" s="773"/>
      <c r="DI342" s="773"/>
      <c r="DJ342" s="773"/>
      <c r="DK342" s="773"/>
      <c r="DL342" s="773"/>
      <c r="DM342" s="773"/>
      <c r="DN342" s="773"/>
      <c r="DO342" s="773"/>
      <c r="DP342" s="773"/>
      <c r="DQ342" s="773"/>
      <c r="DR342" s="773"/>
      <c r="DS342" s="773"/>
      <c r="DT342" s="773"/>
      <c r="DU342" s="773"/>
      <c r="DV342" s="773"/>
      <c r="DW342" s="773"/>
      <c r="DX342" s="773"/>
      <c r="DY342" s="773"/>
      <c r="DZ342" s="773"/>
      <c r="EA342" s="773"/>
      <c r="EB342" s="773"/>
      <c r="EC342" s="773"/>
      <c r="ED342" s="773"/>
      <c r="EE342" s="773"/>
      <c r="EF342" s="773"/>
      <c r="EG342" s="773"/>
      <c r="EH342" s="773"/>
      <c r="EI342" s="773"/>
      <c r="EJ342" s="773"/>
      <c r="EK342" s="773"/>
      <c r="EL342" s="773"/>
      <c r="EM342" s="773"/>
      <c r="EN342" s="773"/>
      <c r="EO342" s="773"/>
      <c r="EP342" s="773"/>
      <c r="EQ342" s="773"/>
      <c r="ER342" s="773"/>
      <c r="ES342" s="773"/>
      <c r="ET342" s="773"/>
      <c r="EU342" s="773"/>
      <c r="EV342" s="773"/>
      <c r="EW342" s="773"/>
      <c r="EX342" s="773"/>
      <c r="EY342" s="773"/>
      <c r="EZ342" s="773"/>
      <c r="FA342" s="773"/>
      <c r="FB342" s="773"/>
      <c r="FC342" s="773"/>
      <c r="FD342" s="773"/>
      <c r="FE342" s="773"/>
      <c r="FF342" s="773"/>
      <c r="FG342" s="773"/>
      <c r="FH342" s="773"/>
      <c r="FI342" s="773"/>
      <c r="FJ342" s="773"/>
      <c r="FK342" s="773"/>
      <c r="FL342" s="773"/>
      <c r="FM342" s="773"/>
      <c r="FN342" s="773"/>
      <c r="FO342" s="773"/>
      <c r="FP342" s="773"/>
      <c r="FQ342" s="773"/>
      <c r="FR342" s="773"/>
      <c r="FS342" s="773"/>
      <c r="FT342" s="773"/>
      <c r="FU342" s="773"/>
      <c r="FV342" s="773"/>
      <c r="FW342" s="773"/>
      <c r="FX342" s="773"/>
      <c r="FY342" s="773"/>
      <c r="FZ342" s="773"/>
      <c r="GA342" s="773"/>
      <c r="GB342" s="773"/>
      <c r="GC342" s="773"/>
      <c r="GD342" s="773"/>
      <c r="GE342" s="773"/>
      <c r="GF342" s="773"/>
      <c r="GG342" s="773"/>
      <c r="GH342" s="773"/>
      <c r="GI342" s="773"/>
      <c r="GJ342" s="773"/>
      <c r="GK342" s="773"/>
      <c r="GL342" s="773"/>
      <c r="GM342" s="773"/>
      <c r="GN342" s="773"/>
      <c r="GO342" s="773"/>
      <c r="GP342" s="773"/>
      <c r="GQ342" s="773"/>
      <c r="GR342" s="773"/>
      <c r="GS342" s="773"/>
      <c r="GT342" s="773"/>
      <c r="GU342" s="773"/>
      <c r="GV342" s="773"/>
      <c r="GW342" s="773"/>
      <c r="GX342" s="773"/>
      <c r="GY342" s="773"/>
      <c r="GZ342" s="773"/>
    </row>
    <row r="343" spans="1:208" s="11" customFormat="1">
      <c r="A343" s="780"/>
      <c r="B343" s="3777"/>
      <c r="C343" s="942"/>
      <c r="D343" s="1968" t="s">
        <v>159</v>
      </c>
      <c r="E343" s="1969">
        <f t="shared" ref="E343:J343" si="33">SUM(E290:E342)</f>
        <v>-207159.08999999997</v>
      </c>
      <c r="F343" s="1969">
        <f t="shared" si="33"/>
        <v>0</v>
      </c>
      <c r="G343" s="1969">
        <f t="shared" si="33"/>
        <v>0</v>
      </c>
      <c r="H343" s="1969">
        <f t="shared" si="33"/>
        <v>0</v>
      </c>
      <c r="I343" s="1969">
        <f t="shared" si="33"/>
        <v>0</v>
      </c>
      <c r="J343" s="1969">
        <f t="shared" si="33"/>
        <v>-207159.08999999997</v>
      </c>
      <c r="K343" s="209"/>
      <c r="L343" s="434"/>
      <c r="M343" s="803"/>
      <c r="N343" s="772"/>
      <c r="O343" s="772"/>
      <c r="P343" s="772"/>
      <c r="Q343" s="772"/>
      <c r="R343" s="772"/>
      <c r="S343" s="772"/>
      <c r="T343" s="773"/>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2515"/>
      <c r="AX343" s="820"/>
      <c r="AY343" s="820"/>
      <c r="AZ343" s="820"/>
      <c r="BA343" s="937"/>
      <c r="BB343" s="937"/>
      <c r="BC343" s="2515"/>
      <c r="BD343" s="2515"/>
      <c r="BE343" s="2515"/>
      <c r="BF343" s="2515"/>
      <c r="BH343" s="2515"/>
      <c r="BI343" s="937"/>
      <c r="BJ343" s="937"/>
      <c r="BK343" s="937"/>
      <c r="BL343" s="937"/>
      <c r="BM343" s="937"/>
      <c r="BN343" s="209"/>
      <c r="BO343" s="209"/>
      <c r="BP343" s="209"/>
      <c r="BQ343" s="209"/>
      <c r="BR343" s="209"/>
      <c r="BS343" s="209"/>
      <c r="BT343" s="209"/>
      <c r="BU343" s="820"/>
      <c r="BV343" s="209"/>
      <c r="BW343" s="209"/>
      <c r="BX343" s="799"/>
      <c r="DB343" s="773"/>
      <c r="DC343" s="773"/>
      <c r="DD343" s="773"/>
      <c r="DE343" s="773"/>
      <c r="DF343" s="773"/>
      <c r="DG343" s="773"/>
      <c r="DH343" s="773"/>
      <c r="DI343" s="773"/>
      <c r="DJ343" s="773"/>
      <c r="DK343" s="773"/>
      <c r="DL343" s="773"/>
      <c r="DM343" s="773"/>
      <c r="DN343" s="773"/>
      <c r="DO343" s="773"/>
      <c r="DP343" s="773"/>
      <c r="DQ343" s="773"/>
      <c r="DR343" s="773"/>
      <c r="DS343" s="773"/>
      <c r="DT343" s="773"/>
      <c r="DU343" s="773"/>
      <c r="DV343" s="773"/>
      <c r="DW343" s="773"/>
      <c r="DX343" s="773"/>
      <c r="DY343" s="773"/>
      <c r="DZ343" s="773"/>
      <c r="EA343" s="773"/>
      <c r="EB343" s="773"/>
      <c r="EC343" s="773"/>
      <c r="ED343" s="773"/>
      <c r="EE343" s="773"/>
      <c r="EF343" s="773"/>
      <c r="EG343" s="773"/>
      <c r="EH343" s="773"/>
      <c r="EI343" s="773"/>
      <c r="EJ343" s="773"/>
      <c r="EK343" s="773"/>
      <c r="EL343" s="773"/>
      <c r="EM343" s="773"/>
      <c r="EN343" s="773"/>
      <c r="EO343" s="773"/>
      <c r="EP343" s="773"/>
      <c r="EQ343" s="773"/>
      <c r="ER343" s="773"/>
      <c r="ES343" s="773"/>
      <c r="ET343" s="773"/>
      <c r="EU343" s="773"/>
      <c r="EV343" s="773"/>
      <c r="EW343" s="773"/>
      <c r="EX343" s="773"/>
      <c r="EY343" s="773"/>
      <c r="EZ343" s="773"/>
      <c r="FA343" s="773"/>
      <c r="FB343" s="773"/>
      <c r="FC343" s="773"/>
      <c r="FD343" s="773"/>
      <c r="FE343" s="773"/>
      <c r="FF343" s="773"/>
      <c r="FG343" s="773"/>
      <c r="FH343" s="773"/>
      <c r="FI343" s="773"/>
      <c r="FJ343" s="773"/>
      <c r="FK343" s="773"/>
      <c r="FL343" s="773"/>
      <c r="FM343" s="773"/>
      <c r="FN343" s="773"/>
      <c r="FO343" s="773"/>
      <c r="FP343" s="773"/>
      <c r="FQ343" s="773"/>
      <c r="FR343" s="773"/>
      <c r="FS343" s="773"/>
      <c r="FT343" s="773"/>
      <c r="FU343" s="773"/>
      <c r="FV343" s="773"/>
      <c r="FW343" s="773"/>
      <c r="FX343" s="773"/>
      <c r="FY343" s="773"/>
      <c r="FZ343" s="773"/>
      <c r="GA343" s="773"/>
      <c r="GB343" s="773"/>
      <c r="GC343" s="773"/>
      <c r="GD343" s="773"/>
      <c r="GE343" s="773"/>
      <c r="GF343" s="773"/>
      <c r="GG343" s="773"/>
      <c r="GH343" s="773"/>
      <c r="GI343" s="773"/>
      <c r="GJ343" s="773"/>
      <c r="GK343" s="773"/>
      <c r="GL343" s="773"/>
      <c r="GM343" s="773"/>
      <c r="GN343" s="773"/>
      <c r="GO343" s="773"/>
      <c r="GP343" s="773"/>
      <c r="GQ343" s="773"/>
      <c r="GR343" s="773"/>
      <c r="GS343" s="773"/>
      <c r="GT343" s="773"/>
      <c r="GU343" s="773"/>
      <c r="GV343" s="773"/>
      <c r="GW343" s="773"/>
      <c r="GX343" s="773"/>
      <c r="GY343" s="773"/>
      <c r="GZ343" s="773"/>
    </row>
    <row r="344" spans="1:208" s="11" customFormat="1">
      <c r="A344" s="780"/>
      <c r="B344" s="3777"/>
      <c r="C344" s="848"/>
      <c r="D344" s="849" t="s">
        <v>66</v>
      </c>
      <c r="E344" s="827"/>
      <c r="F344" s="769"/>
      <c r="G344" s="769"/>
      <c r="H344" s="769"/>
      <c r="I344" s="769"/>
      <c r="J344" s="796"/>
      <c r="K344" s="209"/>
      <c r="L344" s="434"/>
      <c r="M344" s="810"/>
      <c r="N344" s="772"/>
      <c r="O344" s="772"/>
      <c r="P344" s="772"/>
      <c r="Q344" s="772"/>
      <c r="R344" s="772"/>
      <c r="S344" s="772"/>
      <c r="T344" s="773"/>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2515"/>
      <c r="AX344" s="820"/>
      <c r="AY344" s="820"/>
      <c r="AZ344" s="820"/>
      <c r="BA344" s="937"/>
      <c r="BB344" s="937"/>
      <c r="BC344" s="2515"/>
      <c r="BD344" s="2515"/>
      <c r="BE344" s="2515"/>
      <c r="BF344" s="2515"/>
      <c r="BH344" s="2515"/>
      <c r="BI344" s="937"/>
      <c r="BJ344" s="937"/>
      <c r="BK344" s="937"/>
      <c r="BL344" s="937"/>
      <c r="BM344" s="937"/>
      <c r="BN344" s="209"/>
      <c r="BO344" s="209"/>
      <c r="BP344" s="209"/>
      <c r="BQ344" s="209"/>
      <c r="BR344" s="209"/>
      <c r="BS344" s="209"/>
      <c r="BT344" s="209"/>
      <c r="BU344" s="820"/>
      <c r="BV344" s="209"/>
      <c r="BW344" s="209"/>
      <c r="BX344" s="799"/>
      <c r="DB344" s="773"/>
      <c r="DC344" s="773"/>
      <c r="DD344" s="773"/>
      <c r="DE344" s="773"/>
      <c r="DF344" s="773"/>
      <c r="DG344" s="773"/>
      <c r="DH344" s="773"/>
      <c r="DI344" s="773"/>
      <c r="DJ344" s="773"/>
      <c r="DK344" s="773"/>
      <c r="DL344" s="773"/>
      <c r="DM344" s="773"/>
      <c r="DN344" s="773"/>
      <c r="DO344" s="773"/>
      <c r="DP344" s="773"/>
      <c r="DQ344" s="773"/>
      <c r="DR344" s="773"/>
      <c r="DS344" s="773"/>
      <c r="DT344" s="773"/>
      <c r="DU344" s="773"/>
      <c r="DV344" s="773"/>
      <c r="DW344" s="773"/>
      <c r="DX344" s="773"/>
      <c r="DY344" s="773"/>
      <c r="DZ344" s="773"/>
      <c r="EA344" s="773"/>
      <c r="EB344" s="773"/>
      <c r="EC344" s="773"/>
      <c r="ED344" s="773"/>
      <c r="EE344" s="773"/>
      <c r="EF344" s="773"/>
      <c r="EG344" s="773"/>
      <c r="EH344" s="773"/>
      <c r="EI344" s="773"/>
      <c r="EJ344" s="773"/>
      <c r="EK344" s="773"/>
      <c r="EL344" s="773"/>
      <c r="EM344" s="773"/>
      <c r="EN344" s="773"/>
      <c r="EO344" s="773"/>
      <c r="EP344" s="773"/>
      <c r="EQ344" s="773"/>
      <c r="ER344" s="773"/>
      <c r="ES344" s="773"/>
      <c r="ET344" s="773"/>
      <c r="EU344" s="773"/>
      <c r="EV344" s="773"/>
      <c r="EW344" s="773"/>
      <c r="EX344" s="773"/>
      <c r="EY344" s="773"/>
      <c r="EZ344" s="773"/>
      <c r="FA344" s="773"/>
      <c r="FB344" s="773"/>
      <c r="FC344" s="773"/>
      <c r="FD344" s="773"/>
      <c r="FE344" s="773"/>
      <c r="FF344" s="773"/>
      <c r="FG344" s="773"/>
      <c r="FH344" s="773"/>
      <c r="FI344" s="773"/>
      <c r="FJ344" s="773"/>
      <c r="FK344" s="773"/>
      <c r="FL344" s="773"/>
      <c r="FM344" s="773"/>
      <c r="FN344" s="773"/>
      <c r="FO344" s="773"/>
      <c r="FP344" s="773"/>
      <c r="FQ344" s="773"/>
      <c r="FR344" s="773"/>
      <c r="FS344" s="773"/>
      <c r="FT344" s="773"/>
      <c r="FU344" s="773"/>
      <c r="FV344" s="773"/>
      <c r="FW344" s="773"/>
      <c r="FX344" s="773"/>
      <c r="FY344" s="773"/>
      <c r="FZ344" s="773"/>
      <c r="GA344" s="773"/>
      <c r="GB344" s="773"/>
      <c r="GC344" s="773"/>
      <c r="GD344" s="773"/>
      <c r="GE344" s="773"/>
      <c r="GF344" s="773"/>
      <c r="GG344" s="773"/>
      <c r="GH344" s="773"/>
      <c r="GI344" s="773"/>
      <c r="GJ344" s="773"/>
      <c r="GK344" s="773"/>
      <c r="GL344" s="773"/>
      <c r="GM344" s="773"/>
      <c r="GN344" s="773"/>
      <c r="GO344" s="773"/>
      <c r="GP344" s="773"/>
      <c r="GQ344" s="773"/>
      <c r="GR344" s="773"/>
      <c r="GS344" s="773"/>
      <c r="GT344" s="773"/>
      <c r="GU344" s="773"/>
      <c r="GV344" s="773"/>
      <c r="GW344" s="773"/>
      <c r="GX344" s="773"/>
      <c r="GY344" s="773"/>
      <c r="GZ344" s="773"/>
    </row>
    <row r="345" spans="1:208" s="11" customFormat="1">
      <c r="A345" s="780"/>
      <c r="B345" s="3777"/>
      <c r="C345" s="438"/>
      <c r="D345" s="172"/>
      <c r="E345" s="809"/>
      <c r="F345" s="769"/>
      <c r="G345" s="769"/>
      <c r="H345" s="769"/>
      <c r="I345" s="769"/>
      <c r="J345" s="796"/>
      <c r="K345" s="209"/>
      <c r="L345" s="434"/>
      <c r="M345" s="810"/>
      <c r="N345" s="772"/>
      <c r="O345" s="772"/>
      <c r="P345" s="772"/>
      <c r="Q345" s="772"/>
      <c r="R345" s="772"/>
      <c r="S345" s="772"/>
      <c r="T345" s="773"/>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2515"/>
      <c r="AX345" s="820"/>
      <c r="AY345" s="820"/>
      <c r="AZ345" s="820"/>
      <c r="BA345" s="937"/>
      <c r="BB345" s="937"/>
      <c r="BC345" s="2515"/>
      <c r="BD345" s="2515"/>
      <c r="BE345" s="2515"/>
      <c r="BF345" s="2515"/>
      <c r="BH345" s="2515"/>
      <c r="BI345" s="937"/>
      <c r="BJ345" s="937"/>
      <c r="BK345" s="937"/>
      <c r="BL345" s="937"/>
      <c r="BM345" s="937"/>
      <c r="BN345" s="30"/>
      <c r="BO345" s="209"/>
      <c r="BP345" s="209"/>
      <c r="BQ345" s="209"/>
      <c r="BR345" s="209"/>
      <c r="BS345" s="209"/>
      <c r="BT345" s="209"/>
      <c r="BU345" s="820"/>
      <c r="BV345" s="209"/>
      <c r="BW345" s="209"/>
      <c r="BX345" s="799"/>
      <c r="DB345" s="773"/>
      <c r="DC345" s="773"/>
      <c r="DD345" s="773"/>
      <c r="DE345" s="773"/>
      <c r="DF345" s="773"/>
      <c r="DG345" s="773"/>
      <c r="DH345" s="773"/>
      <c r="DI345" s="773"/>
      <c r="DJ345" s="773"/>
      <c r="DK345" s="773"/>
      <c r="DL345" s="773"/>
      <c r="DM345" s="773"/>
      <c r="DN345" s="773"/>
      <c r="DO345" s="773"/>
      <c r="DP345" s="773"/>
      <c r="DQ345" s="773"/>
      <c r="DR345" s="773"/>
      <c r="DS345" s="773"/>
      <c r="DT345" s="773"/>
      <c r="DU345" s="773"/>
      <c r="DV345" s="773"/>
      <c r="DW345" s="773"/>
      <c r="DX345" s="773"/>
      <c r="DY345" s="773"/>
      <c r="DZ345" s="773"/>
      <c r="EA345" s="773"/>
      <c r="EB345" s="773"/>
      <c r="EC345" s="773"/>
      <c r="ED345" s="773"/>
      <c r="EE345" s="773"/>
      <c r="EF345" s="773"/>
      <c r="EG345" s="773"/>
      <c r="EH345" s="773"/>
      <c r="EI345" s="773"/>
      <c r="EJ345" s="773"/>
      <c r="EK345" s="773"/>
      <c r="EL345" s="773"/>
      <c r="EM345" s="773"/>
      <c r="EN345" s="773"/>
      <c r="EO345" s="773"/>
      <c r="EP345" s="773"/>
      <c r="EQ345" s="773"/>
      <c r="ER345" s="773"/>
      <c r="ES345" s="773"/>
      <c r="ET345" s="773"/>
      <c r="EU345" s="773"/>
      <c r="EV345" s="773"/>
      <c r="EW345" s="773"/>
      <c r="EX345" s="773"/>
      <c r="EY345" s="773"/>
      <c r="EZ345" s="773"/>
      <c r="FA345" s="773"/>
      <c r="FB345" s="773"/>
      <c r="FC345" s="773"/>
      <c r="FD345" s="773"/>
      <c r="FE345" s="773"/>
      <c r="FF345" s="773"/>
      <c r="FG345" s="773"/>
      <c r="FH345" s="773"/>
      <c r="FI345" s="773"/>
      <c r="FJ345" s="773"/>
      <c r="FK345" s="773"/>
      <c r="FL345" s="773"/>
      <c r="FM345" s="773"/>
      <c r="FN345" s="773"/>
      <c r="FO345" s="773"/>
      <c r="FP345" s="773"/>
      <c r="FQ345" s="773"/>
      <c r="FR345" s="773"/>
      <c r="FS345" s="773"/>
      <c r="FT345" s="773"/>
      <c r="FU345" s="773"/>
      <c r="FV345" s="773"/>
      <c r="FW345" s="773"/>
      <c r="FX345" s="773"/>
      <c r="FY345" s="773"/>
      <c r="FZ345" s="773"/>
      <c r="GA345" s="773"/>
      <c r="GB345" s="773"/>
      <c r="GC345" s="773"/>
      <c r="GD345" s="773"/>
      <c r="GE345" s="773"/>
      <c r="GF345" s="773"/>
      <c r="GG345" s="773"/>
      <c r="GH345" s="773"/>
      <c r="GI345" s="773"/>
      <c r="GJ345" s="773"/>
      <c r="GK345" s="773"/>
      <c r="GL345" s="773"/>
      <c r="GM345" s="773"/>
      <c r="GN345" s="773"/>
      <c r="GO345" s="773"/>
      <c r="GP345" s="773"/>
      <c r="GQ345" s="773"/>
      <c r="GR345" s="773"/>
      <c r="GS345" s="773"/>
      <c r="GT345" s="773"/>
      <c r="GU345" s="773"/>
      <c r="GV345" s="773"/>
      <c r="GW345" s="773"/>
      <c r="GX345" s="773"/>
      <c r="GY345" s="773"/>
      <c r="GZ345" s="773"/>
    </row>
    <row r="346" spans="1:208" s="11" customFormat="1">
      <c r="A346" s="780"/>
      <c r="B346" s="3777"/>
      <c r="C346" s="942"/>
      <c r="D346" s="1968" t="s">
        <v>77</v>
      </c>
      <c r="E346" s="1969">
        <f t="shared" ref="E346:J346" si="34">SUM(E345:E345)</f>
        <v>0</v>
      </c>
      <c r="F346" s="1969">
        <f t="shared" si="34"/>
        <v>0</v>
      </c>
      <c r="G346" s="1969">
        <f t="shared" si="34"/>
        <v>0</v>
      </c>
      <c r="H346" s="1969">
        <f t="shared" si="34"/>
        <v>0</v>
      </c>
      <c r="I346" s="1969">
        <f t="shared" si="34"/>
        <v>0</v>
      </c>
      <c r="J346" s="1969">
        <f t="shared" si="34"/>
        <v>0</v>
      </c>
      <c r="K346" s="209"/>
      <c r="L346" s="434"/>
      <c r="M346" s="803"/>
      <c r="N346" s="772"/>
      <c r="O346" s="772"/>
      <c r="P346" s="772"/>
      <c r="Q346" s="772"/>
      <c r="R346" s="772"/>
      <c r="S346" s="772"/>
      <c r="T346" s="773"/>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2515"/>
      <c r="AX346" s="820"/>
      <c r="AY346" s="820"/>
      <c r="AZ346" s="820"/>
      <c r="BA346" s="937"/>
      <c r="BB346" s="937"/>
      <c r="BC346" s="2515"/>
      <c r="BD346" s="2515"/>
      <c r="BE346" s="2515"/>
      <c r="BF346" s="2515"/>
      <c r="BH346" s="2515"/>
      <c r="BI346" s="937"/>
      <c r="BJ346" s="937"/>
      <c r="BK346" s="937"/>
      <c r="BL346" s="937"/>
      <c r="BM346" s="937"/>
      <c r="BN346" s="209"/>
      <c r="BO346" s="209"/>
      <c r="BP346" s="209"/>
      <c r="BQ346" s="209"/>
      <c r="BR346" s="209"/>
      <c r="BS346" s="209"/>
      <c r="BT346" s="209"/>
      <c r="BU346" s="820"/>
      <c r="BV346" s="209"/>
      <c r="BW346" s="209"/>
      <c r="BX346" s="799"/>
      <c r="DB346" s="773"/>
      <c r="DC346" s="773"/>
      <c r="DD346" s="773"/>
      <c r="DE346" s="773"/>
      <c r="DF346" s="773"/>
      <c r="DG346" s="773"/>
      <c r="DH346" s="773"/>
      <c r="DI346" s="773"/>
      <c r="DJ346" s="773"/>
      <c r="DK346" s="773"/>
      <c r="DL346" s="773"/>
      <c r="DM346" s="773"/>
      <c r="DN346" s="773"/>
      <c r="DO346" s="773"/>
      <c r="DP346" s="773"/>
      <c r="DQ346" s="773"/>
      <c r="DR346" s="773"/>
      <c r="DS346" s="773"/>
      <c r="DT346" s="773"/>
      <c r="DU346" s="773"/>
      <c r="DV346" s="773"/>
      <c r="DW346" s="773"/>
      <c r="DX346" s="773"/>
      <c r="DY346" s="773"/>
      <c r="DZ346" s="773"/>
      <c r="EA346" s="773"/>
      <c r="EB346" s="773"/>
      <c r="EC346" s="773"/>
      <c r="ED346" s="773"/>
      <c r="EE346" s="773"/>
      <c r="EF346" s="773"/>
      <c r="EG346" s="773"/>
      <c r="EH346" s="773"/>
      <c r="EI346" s="773"/>
      <c r="EJ346" s="773"/>
      <c r="EK346" s="773"/>
      <c r="EL346" s="773"/>
      <c r="EM346" s="773"/>
      <c r="EN346" s="773"/>
      <c r="EO346" s="773"/>
      <c r="EP346" s="773"/>
      <c r="EQ346" s="773"/>
      <c r="ER346" s="773"/>
      <c r="ES346" s="773"/>
      <c r="ET346" s="773"/>
      <c r="EU346" s="773"/>
      <c r="EV346" s="773"/>
      <c r="EW346" s="773"/>
      <c r="EX346" s="773"/>
      <c r="EY346" s="773"/>
      <c r="EZ346" s="773"/>
      <c r="FA346" s="773"/>
      <c r="FB346" s="773"/>
      <c r="FC346" s="773"/>
      <c r="FD346" s="773"/>
      <c r="FE346" s="773"/>
      <c r="FF346" s="773"/>
      <c r="FG346" s="773"/>
      <c r="FH346" s="773"/>
      <c r="FI346" s="773"/>
      <c r="FJ346" s="773"/>
      <c r="FK346" s="773"/>
      <c r="FL346" s="773"/>
      <c r="FM346" s="773"/>
      <c r="FN346" s="773"/>
      <c r="FO346" s="773"/>
      <c r="FP346" s="773"/>
      <c r="FQ346" s="773"/>
      <c r="FR346" s="773"/>
      <c r="FS346" s="773"/>
      <c r="FT346" s="773"/>
      <c r="FU346" s="773"/>
      <c r="FV346" s="773"/>
      <c r="FW346" s="773"/>
      <c r="FX346" s="773"/>
      <c r="FY346" s="773"/>
      <c r="FZ346" s="773"/>
      <c r="GA346" s="773"/>
      <c r="GB346" s="773"/>
      <c r="GC346" s="773"/>
      <c r="GD346" s="773"/>
      <c r="GE346" s="773"/>
      <c r="GF346" s="773"/>
      <c r="GG346" s="773"/>
      <c r="GH346" s="773"/>
      <c r="GI346" s="773"/>
      <c r="GJ346" s="773"/>
      <c r="GK346" s="773"/>
      <c r="GL346" s="773"/>
      <c r="GM346" s="773"/>
      <c r="GN346" s="773"/>
      <c r="GO346" s="773"/>
      <c r="GP346" s="773"/>
      <c r="GQ346" s="773"/>
      <c r="GR346" s="773"/>
      <c r="GS346" s="773"/>
      <c r="GT346" s="773"/>
      <c r="GU346" s="773"/>
      <c r="GV346" s="773"/>
      <c r="GW346" s="773"/>
      <c r="GX346" s="773"/>
      <c r="GY346" s="773"/>
      <c r="GZ346" s="773"/>
    </row>
    <row r="347" spans="1:208" s="11" customFormat="1">
      <c r="A347" s="780"/>
      <c r="B347" s="3777"/>
      <c r="C347" s="848"/>
      <c r="D347" s="111"/>
      <c r="E347" s="769"/>
      <c r="F347" s="769"/>
      <c r="G347" s="769"/>
      <c r="H347" s="769"/>
      <c r="I347" s="769"/>
      <c r="J347" s="769"/>
      <c r="K347" s="209"/>
      <c r="L347" s="434"/>
      <c r="M347" s="825"/>
      <c r="N347" s="772"/>
      <c r="O347" s="772"/>
      <c r="P347" s="772"/>
      <c r="Q347" s="772"/>
      <c r="R347" s="772"/>
      <c r="S347" s="772"/>
      <c r="T347" s="773"/>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2515"/>
      <c r="AX347" s="820"/>
      <c r="AY347" s="820"/>
      <c r="AZ347" s="820"/>
      <c r="BA347" s="937"/>
      <c r="BB347" s="937"/>
      <c r="BC347" s="2515"/>
      <c r="BD347" s="2515"/>
      <c r="BE347" s="2515"/>
      <c r="BF347" s="2515"/>
      <c r="BH347" s="2515"/>
      <c r="BI347" s="937"/>
      <c r="BJ347" s="937"/>
      <c r="BK347" s="937"/>
      <c r="BL347" s="937"/>
      <c r="BM347" s="937"/>
      <c r="BN347" s="209"/>
      <c r="BO347" s="209"/>
      <c r="BP347" s="209"/>
      <c r="BQ347" s="209"/>
      <c r="BR347" s="209"/>
      <c r="BS347" s="209"/>
      <c r="BT347" s="209"/>
      <c r="BU347" s="820"/>
      <c r="BV347" s="209"/>
      <c r="BW347" s="209"/>
      <c r="BX347" s="799"/>
      <c r="DB347" s="773"/>
      <c r="DC347" s="773"/>
      <c r="DD347" s="773"/>
      <c r="DE347" s="773"/>
      <c r="DF347" s="773"/>
      <c r="DG347" s="773"/>
      <c r="DH347" s="773"/>
      <c r="DI347" s="773"/>
      <c r="DJ347" s="773"/>
      <c r="DK347" s="773"/>
      <c r="DL347" s="773"/>
      <c r="DM347" s="773"/>
      <c r="DN347" s="773"/>
      <c r="DO347" s="773"/>
      <c r="DP347" s="773"/>
      <c r="DQ347" s="773"/>
      <c r="DR347" s="773"/>
      <c r="DS347" s="773"/>
      <c r="DT347" s="773"/>
      <c r="DU347" s="773"/>
      <c r="DV347" s="773"/>
      <c r="DW347" s="773"/>
      <c r="DX347" s="773"/>
      <c r="DY347" s="773"/>
      <c r="DZ347" s="773"/>
      <c r="EA347" s="773"/>
      <c r="EB347" s="773"/>
      <c r="EC347" s="773"/>
      <c r="ED347" s="773"/>
      <c r="EE347" s="773"/>
      <c r="EF347" s="773"/>
      <c r="EG347" s="773"/>
      <c r="EH347" s="773"/>
      <c r="EI347" s="773"/>
      <c r="EJ347" s="773"/>
      <c r="EK347" s="773"/>
      <c r="EL347" s="773"/>
      <c r="EM347" s="773"/>
      <c r="EN347" s="773"/>
      <c r="EO347" s="773"/>
      <c r="EP347" s="773"/>
      <c r="EQ347" s="773"/>
      <c r="ER347" s="773"/>
      <c r="ES347" s="773"/>
      <c r="ET347" s="773"/>
      <c r="EU347" s="773"/>
      <c r="EV347" s="773"/>
      <c r="EW347" s="773"/>
      <c r="EX347" s="773"/>
      <c r="EY347" s="773"/>
      <c r="EZ347" s="773"/>
      <c r="FA347" s="773"/>
      <c r="FB347" s="773"/>
      <c r="FC347" s="773"/>
      <c r="FD347" s="773"/>
      <c r="FE347" s="773"/>
      <c r="FF347" s="773"/>
      <c r="FG347" s="773"/>
      <c r="FH347" s="773"/>
      <c r="FI347" s="773"/>
      <c r="FJ347" s="773"/>
      <c r="FK347" s="773"/>
      <c r="FL347" s="773"/>
      <c r="FM347" s="773"/>
      <c r="FN347" s="773"/>
      <c r="FO347" s="773"/>
      <c r="FP347" s="773"/>
      <c r="FQ347" s="773"/>
      <c r="FR347" s="773"/>
      <c r="FS347" s="773"/>
      <c r="FT347" s="773"/>
      <c r="FU347" s="773"/>
      <c r="FV347" s="773"/>
      <c r="FW347" s="773"/>
      <c r="FX347" s="773"/>
      <c r="FY347" s="773"/>
      <c r="FZ347" s="773"/>
      <c r="GA347" s="773"/>
      <c r="GB347" s="773"/>
      <c r="GC347" s="773"/>
      <c r="GD347" s="773"/>
      <c r="GE347" s="773"/>
      <c r="GF347" s="773"/>
      <c r="GG347" s="773"/>
      <c r="GH347" s="773"/>
      <c r="GI347" s="773"/>
      <c r="GJ347" s="773"/>
      <c r="GK347" s="773"/>
      <c r="GL347" s="773"/>
      <c r="GM347" s="773"/>
      <c r="GN347" s="773"/>
      <c r="GO347" s="773"/>
      <c r="GP347" s="773"/>
      <c r="GQ347" s="773"/>
      <c r="GR347" s="773"/>
      <c r="GS347" s="773"/>
      <c r="GT347" s="773"/>
      <c r="GU347" s="773"/>
      <c r="GV347" s="773"/>
      <c r="GW347" s="773"/>
      <c r="GX347" s="773"/>
      <c r="GY347" s="773"/>
      <c r="GZ347" s="773"/>
    </row>
    <row r="348" spans="1:208" s="11" customFormat="1" ht="13.5" thickBot="1">
      <c r="A348" s="830"/>
      <c r="B348" s="3785"/>
      <c r="C348" s="848"/>
      <c r="D348" s="174" t="s">
        <v>533</v>
      </c>
      <c r="E348" s="919"/>
      <c r="F348" s="108"/>
      <c r="G348" s="769"/>
      <c r="H348" s="769"/>
      <c r="I348" s="769"/>
      <c r="J348" s="771"/>
      <c r="K348" s="209"/>
      <c r="L348" s="434"/>
      <c r="M348" s="825"/>
      <c r="N348" s="772"/>
      <c r="O348" s="772"/>
      <c r="P348" s="772"/>
      <c r="Q348" s="772"/>
      <c r="R348" s="772"/>
      <c r="S348" s="772"/>
      <c r="T348" s="773"/>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510"/>
      <c r="AX348" s="820"/>
      <c r="AY348" s="820"/>
      <c r="AZ348" s="820"/>
      <c r="BC348" s="2510"/>
      <c r="BD348" s="2510"/>
      <c r="BE348" s="2510"/>
      <c r="BF348" s="2510"/>
      <c r="BH348" s="2510"/>
      <c r="BN348" s="209"/>
      <c r="BO348" s="209"/>
      <c r="BP348" s="209"/>
      <c r="BQ348" s="209"/>
      <c r="BR348" s="209"/>
      <c r="BS348" s="209"/>
      <c r="BT348" s="209"/>
      <c r="BU348" s="820"/>
      <c r="BV348" s="209"/>
      <c r="BW348" s="209"/>
      <c r="BX348" s="799"/>
      <c r="DB348" s="773"/>
      <c r="DC348" s="773"/>
      <c r="DD348" s="773"/>
      <c r="DE348" s="773"/>
      <c r="DF348" s="773"/>
      <c r="DG348" s="773"/>
      <c r="DH348" s="773"/>
      <c r="DI348" s="773"/>
      <c r="DJ348" s="773"/>
      <c r="DK348" s="773"/>
      <c r="DL348" s="773"/>
      <c r="DM348" s="773"/>
      <c r="DN348" s="773"/>
      <c r="DO348" s="773"/>
      <c r="DP348" s="773"/>
      <c r="DQ348" s="773"/>
      <c r="DR348" s="773"/>
      <c r="DS348" s="773"/>
      <c r="DT348" s="773"/>
      <c r="DU348" s="773"/>
      <c r="DV348" s="773"/>
      <c r="DW348" s="773"/>
      <c r="DX348" s="773"/>
      <c r="DY348" s="773"/>
      <c r="DZ348" s="773"/>
      <c r="EA348" s="773"/>
      <c r="EB348" s="773"/>
      <c r="EC348" s="773"/>
      <c r="ED348" s="773"/>
      <c r="EE348" s="773"/>
      <c r="EF348" s="773"/>
      <c r="EG348" s="773"/>
      <c r="EH348" s="773"/>
      <c r="EI348" s="773"/>
      <c r="EJ348" s="773"/>
      <c r="EK348" s="773"/>
      <c r="EL348" s="773"/>
      <c r="EM348" s="773"/>
      <c r="EN348" s="773"/>
      <c r="EO348" s="773"/>
      <c r="EP348" s="773"/>
      <c r="EQ348" s="773"/>
      <c r="ER348" s="773"/>
      <c r="ES348" s="773"/>
      <c r="ET348" s="773"/>
      <c r="EU348" s="773"/>
      <c r="EV348" s="773"/>
      <c r="EW348" s="773"/>
      <c r="EX348" s="773"/>
      <c r="EY348" s="773"/>
      <c r="EZ348" s="773"/>
      <c r="FA348" s="773"/>
      <c r="FB348" s="773"/>
      <c r="FC348" s="773"/>
      <c r="FD348" s="773"/>
      <c r="FE348" s="773"/>
      <c r="FF348" s="773"/>
      <c r="FG348" s="773"/>
      <c r="FH348" s="773"/>
      <c r="FI348" s="773"/>
      <c r="FJ348" s="773"/>
      <c r="FK348" s="773"/>
      <c r="FL348" s="773"/>
      <c r="FM348" s="773"/>
      <c r="FN348" s="773"/>
      <c r="FO348" s="773"/>
      <c r="FP348" s="773"/>
      <c r="FQ348" s="773"/>
      <c r="FR348" s="773"/>
      <c r="FS348" s="773"/>
      <c r="FT348" s="773"/>
      <c r="FU348" s="773"/>
      <c r="FV348" s="773"/>
      <c r="FW348" s="773"/>
      <c r="FX348" s="773"/>
      <c r="FY348" s="773"/>
      <c r="FZ348" s="773"/>
      <c r="GA348" s="773"/>
      <c r="GB348" s="773"/>
      <c r="GC348" s="773"/>
      <c r="GD348" s="773"/>
      <c r="GE348" s="773"/>
      <c r="GF348" s="773"/>
      <c r="GG348" s="773"/>
      <c r="GH348" s="773"/>
      <c r="GI348" s="773"/>
      <c r="GJ348" s="773"/>
      <c r="GK348" s="773"/>
      <c r="GL348" s="773"/>
      <c r="GM348" s="773"/>
      <c r="GN348" s="773"/>
      <c r="GO348" s="773"/>
      <c r="GP348" s="773"/>
      <c r="GQ348" s="773"/>
      <c r="GR348" s="773"/>
      <c r="GS348" s="773"/>
      <c r="GT348" s="773"/>
      <c r="GU348" s="773"/>
      <c r="GV348" s="773"/>
      <c r="GW348" s="773"/>
      <c r="GX348" s="773"/>
      <c r="GY348" s="773"/>
      <c r="GZ348" s="773"/>
    </row>
    <row r="349" spans="1:208" s="773" customFormat="1" ht="13.5" thickBot="1">
      <c r="A349" s="830"/>
      <c r="B349" s="3785" t="s">
        <v>703</v>
      </c>
      <c r="C349" s="197">
        <v>2400001</v>
      </c>
      <c r="D349" s="199" t="s">
        <v>525</v>
      </c>
      <c r="E349" s="803">
        <f>VLOOKUP(C349,'AJE 12 - INC'!$D$168:$F$771,3,0)</f>
        <v>-1534081.27</v>
      </c>
      <c r="F349" s="108">
        <f>SUMIF('AJE 12 - INC'!B:B,'New TB INC'!C349,'AJE 12 - INC'!D:D)</f>
        <v>0</v>
      </c>
      <c r="G349" s="108"/>
      <c r="H349" s="108"/>
      <c r="I349" s="108"/>
      <c r="J349" s="803">
        <f t="shared" ref="J349:J390" si="35">SUM(E349:I349)</f>
        <v>-1534081.27</v>
      </c>
      <c r="K349" s="2531">
        <f>-'Accrued expenses'!$O$136-J349</f>
        <v>614.19804674084298</v>
      </c>
      <c r="L349" s="449"/>
      <c r="M349" s="863" t="s">
        <v>2760</v>
      </c>
      <c r="N349" s="772"/>
      <c r="O349" s="772"/>
      <c r="P349" s="772"/>
      <c r="Q349" s="772"/>
      <c r="R349" s="772"/>
      <c r="X349" s="209"/>
      <c r="Y349" s="209"/>
      <c r="Z349" s="209"/>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509"/>
      <c r="AX349" s="820"/>
      <c r="AY349" s="820"/>
      <c r="AZ349" s="820"/>
      <c r="BC349" s="2509"/>
      <c r="BD349" s="2509"/>
      <c r="BE349" s="2509"/>
      <c r="BF349" s="2509"/>
      <c r="BH349" s="2509"/>
      <c r="BN349" s="209"/>
      <c r="BO349" s="209"/>
      <c r="BP349" s="209"/>
      <c r="BQ349" s="209"/>
      <c r="BR349" s="209"/>
      <c r="BS349" s="209"/>
      <c r="BT349" s="209"/>
      <c r="BU349" s="820"/>
      <c r="BV349" s="209"/>
      <c r="BW349" s="209"/>
      <c r="BX349" s="209"/>
      <c r="BY349" s="11"/>
      <c r="BZ349" s="11"/>
    </row>
    <row r="350" spans="1:208" s="773" customFormat="1">
      <c r="A350" s="830"/>
      <c r="B350" s="3785" t="s">
        <v>2354</v>
      </c>
      <c r="C350" s="197">
        <v>2400008</v>
      </c>
      <c r="D350" s="199" t="s">
        <v>4699</v>
      </c>
      <c r="E350" s="803">
        <f>VLOOKUP(C350,'AJE 12 - INC'!$D$168:$F$771,3,0)</f>
        <v>-877.23</v>
      </c>
      <c r="F350" s="108">
        <f>SUMIF('AJE 12 - INC'!B:B,'New TB INC'!C350,'AJE 12 - INC'!D:D)</f>
        <v>0</v>
      </c>
      <c r="G350" s="108"/>
      <c r="H350" s="108"/>
      <c r="I350" s="108"/>
      <c r="J350" s="803">
        <f t="shared" ref="J350:J361" si="36">SUM(E350:I350)</f>
        <v>-877.23</v>
      </c>
      <c r="K350" s="209"/>
      <c r="L350" s="449"/>
      <c r="M350" s="863"/>
      <c r="N350" s="772"/>
      <c r="O350" s="772"/>
      <c r="P350" s="772"/>
      <c r="Q350" s="772"/>
      <c r="R350" s="772"/>
      <c r="X350" s="209"/>
      <c r="Y350" s="209"/>
      <c r="Z350" s="209"/>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509"/>
      <c r="AX350" s="820"/>
      <c r="AY350" s="820"/>
      <c r="AZ350" s="820"/>
      <c r="BC350" s="2509"/>
      <c r="BD350" s="2509"/>
      <c r="BE350" s="2509"/>
      <c r="BF350" s="2509"/>
      <c r="BH350" s="2509"/>
      <c r="BN350" s="209"/>
      <c r="BO350" s="209"/>
      <c r="BP350" s="209"/>
      <c r="BQ350" s="209"/>
      <c r="BR350" s="209"/>
      <c r="BS350" s="209"/>
      <c r="BT350" s="209"/>
      <c r="BU350" s="820"/>
      <c r="BV350" s="209"/>
      <c r="BW350" s="209"/>
      <c r="BX350" s="209"/>
      <c r="BY350" s="11"/>
      <c r="BZ350" s="11"/>
    </row>
    <row r="351" spans="1:208" s="773" customFormat="1">
      <c r="A351" s="830"/>
      <c r="B351" s="3785" t="s">
        <v>2354</v>
      </c>
      <c r="C351" s="197">
        <v>2400049</v>
      </c>
      <c r="D351" s="199" t="s">
        <v>4700</v>
      </c>
      <c r="E351" s="803">
        <f>VLOOKUP(C351,'AJE 12 - INC'!$D$168:$F$771,3,0)</f>
        <v>-300</v>
      </c>
      <c r="F351" s="108">
        <f>SUMIF('AJE 12 - INC'!B:B,'New TB INC'!C351,'AJE 12 - INC'!D:D)</f>
        <v>0</v>
      </c>
      <c r="G351" s="108"/>
      <c r="H351" s="108"/>
      <c r="I351" s="108"/>
      <c r="J351" s="803">
        <f t="shared" si="36"/>
        <v>-300</v>
      </c>
      <c r="K351" s="209"/>
      <c r="L351" s="449"/>
      <c r="M351" s="863"/>
      <c r="N351" s="772"/>
      <c r="O351" s="772"/>
      <c r="P351" s="772"/>
      <c r="Q351" s="772"/>
      <c r="R351" s="772"/>
      <c r="X351" s="209"/>
      <c r="Y351" s="209"/>
      <c r="Z351" s="209"/>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509"/>
      <c r="AX351" s="820"/>
      <c r="AY351" s="820"/>
      <c r="AZ351" s="820"/>
      <c r="BC351" s="2509"/>
      <c r="BD351" s="2509"/>
      <c r="BE351" s="2509"/>
      <c r="BF351" s="2509"/>
      <c r="BH351" s="2509"/>
      <c r="BN351" s="209"/>
      <c r="BO351" s="209"/>
      <c r="BP351" s="209"/>
      <c r="BQ351" s="209"/>
      <c r="BR351" s="209"/>
      <c r="BS351" s="209"/>
      <c r="BT351" s="209"/>
      <c r="BU351" s="820"/>
      <c r="BV351" s="209"/>
      <c r="BW351" s="209"/>
      <c r="BX351" s="209"/>
      <c r="BY351" s="11"/>
      <c r="BZ351" s="11"/>
    </row>
    <row r="352" spans="1:208" s="773" customFormat="1">
      <c r="A352" s="830"/>
      <c r="B352" s="3785" t="s">
        <v>2354</v>
      </c>
      <c r="C352" s="197">
        <v>2400078</v>
      </c>
      <c r="D352" s="199" t="s">
        <v>4701</v>
      </c>
      <c r="E352" s="803">
        <f>VLOOKUP(C352,'AJE 12 - INC'!$D$168:$F$771,3,0)</f>
        <v>-304.27999999999997</v>
      </c>
      <c r="F352" s="108">
        <f>SUMIF('AJE 12 - INC'!B:B,'New TB INC'!C352,'AJE 12 - INC'!D:D)</f>
        <v>0</v>
      </c>
      <c r="G352" s="108"/>
      <c r="H352" s="108"/>
      <c r="I352" s="108"/>
      <c r="J352" s="803">
        <f t="shared" si="36"/>
        <v>-304.27999999999997</v>
      </c>
      <c r="K352" s="209"/>
      <c r="L352" s="449"/>
      <c r="M352" s="863"/>
      <c r="N352" s="772"/>
      <c r="O352" s="772"/>
      <c r="P352" s="772"/>
      <c r="Q352" s="772"/>
      <c r="R352" s="772"/>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509"/>
      <c r="AX352" s="820"/>
      <c r="AY352" s="820"/>
      <c r="AZ352" s="820"/>
      <c r="BC352" s="2509"/>
      <c r="BD352" s="2509"/>
      <c r="BE352" s="2509"/>
      <c r="BF352" s="2509"/>
      <c r="BH352" s="2509"/>
      <c r="BN352" s="209"/>
      <c r="BO352" s="209"/>
      <c r="BP352" s="209"/>
      <c r="BQ352" s="209"/>
      <c r="BR352" s="209"/>
      <c r="BS352" s="209"/>
      <c r="BT352" s="209"/>
      <c r="BU352" s="820"/>
      <c r="BV352" s="209"/>
      <c r="BW352" s="209"/>
      <c r="BX352" s="209"/>
      <c r="BY352" s="11"/>
      <c r="BZ352" s="11"/>
    </row>
    <row r="353" spans="1:78" s="773" customFormat="1">
      <c r="A353" s="830"/>
      <c r="B353" s="3785" t="s">
        <v>2354</v>
      </c>
      <c r="C353" s="197">
        <v>2400097</v>
      </c>
      <c r="D353" s="199" t="s">
        <v>4702</v>
      </c>
      <c r="E353" s="803">
        <f>VLOOKUP(C353,'AJE 12 - INC'!$D$168:$F$771,3,0)</f>
        <v>-300</v>
      </c>
      <c r="F353" s="108">
        <f>SUMIF('AJE 12 - INC'!B:B,'New TB INC'!C353,'AJE 12 - INC'!D:D)</f>
        <v>0</v>
      </c>
      <c r="G353" s="108"/>
      <c r="H353" s="108"/>
      <c r="I353" s="108"/>
      <c r="J353" s="803">
        <f t="shared" si="36"/>
        <v>-300</v>
      </c>
      <c r="K353" s="209"/>
      <c r="L353" s="449"/>
      <c r="M353" s="863"/>
      <c r="N353" s="772"/>
      <c r="O353" s="772"/>
      <c r="P353" s="772"/>
      <c r="Q353" s="772"/>
      <c r="R353" s="772"/>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509"/>
      <c r="AX353" s="820"/>
      <c r="AY353" s="820"/>
      <c r="AZ353" s="820"/>
      <c r="BC353" s="2509"/>
      <c r="BD353" s="2509"/>
      <c r="BE353" s="2509"/>
      <c r="BF353" s="2509"/>
      <c r="BH353" s="2509"/>
      <c r="BN353" s="209"/>
      <c r="BO353" s="209"/>
      <c r="BP353" s="209"/>
      <c r="BQ353" s="209"/>
      <c r="BR353" s="209"/>
      <c r="BS353" s="209"/>
      <c r="BT353" s="209"/>
      <c r="BU353" s="820"/>
      <c r="BV353" s="209"/>
      <c r="BW353" s="209"/>
      <c r="BX353" s="209"/>
      <c r="BY353" s="11"/>
      <c r="BZ353" s="11"/>
    </row>
    <row r="354" spans="1:78" s="773" customFormat="1">
      <c r="A354" s="830"/>
      <c r="B354" s="3785" t="s">
        <v>2354</v>
      </c>
      <c r="C354" s="197">
        <v>2400113</v>
      </c>
      <c r="D354" s="199" t="s">
        <v>4703</v>
      </c>
      <c r="E354" s="803">
        <f>VLOOKUP(C354,'AJE 12 - INC'!$D$168:$F$771,3,0)</f>
        <v>-266.73</v>
      </c>
      <c r="F354" s="108">
        <f>SUMIF('AJE 12 - INC'!B:B,'New TB INC'!C354,'AJE 12 - INC'!D:D)</f>
        <v>0</v>
      </c>
      <c r="G354" s="108"/>
      <c r="H354" s="108"/>
      <c r="I354" s="108"/>
      <c r="J354" s="803">
        <f t="shared" si="36"/>
        <v>-266.73</v>
      </c>
      <c r="K354" s="209"/>
      <c r="L354" s="449"/>
      <c r="M354" s="863"/>
      <c r="N354" s="772"/>
      <c r="O354" s="772"/>
      <c r="P354" s="772"/>
      <c r="Q354" s="772"/>
      <c r="R354" s="772"/>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509"/>
      <c r="AX354" s="820"/>
      <c r="AY354" s="820"/>
      <c r="AZ354" s="820"/>
      <c r="BC354" s="2509"/>
      <c r="BD354" s="2509"/>
      <c r="BE354" s="2509"/>
      <c r="BF354" s="2509"/>
      <c r="BH354" s="2509"/>
      <c r="BN354" s="209"/>
      <c r="BO354" s="209"/>
      <c r="BP354" s="209"/>
      <c r="BQ354" s="209"/>
      <c r="BR354" s="209"/>
      <c r="BS354" s="209"/>
      <c r="BT354" s="209"/>
      <c r="BU354" s="820"/>
      <c r="BV354" s="209"/>
      <c r="BW354" s="209"/>
      <c r="BX354" s="209"/>
      <c r="BY354" s="11"/>
      <c r="BZ354" s="11"/>
    </row>
    <row r="355" spans="1:78" s="773" customFormat="1">
      <c r="A355" s="830"/>
      <c r="B355" s="3785" t="s">
        <v>2354</v>
      </c>
      <c r="C355" s="197">
        <v>2400138</v>
      </c>
      <c r="D355" s="199" t="s">
        <v>4704</v>
      </c>
      <c r="E355" s="803">
        <f>VLOOKUP(C355,'AJE 12 - INC'!$D$168:$F$771,3,0)</f>
        <v>-187.51</v>
      </c>
      <c r="F355" s="108">
        <f>SUMIF('AJE 12 - INC'!B:B,'New TB INC'!C355,'AJE 12 - INC'!D:D)</f>
        <v>0</v>
      </c>
      <c r="G355" s="108"/>
      <c r="H355" s="108"/>
      <c r="I355" s="108"/>
      <c r="J355" s="803">
        <f t="shared" si="36"/>
        <v>-187.51</v>
      </c>
      <c r="K355" s="209"/>
      <c r="L355" s="449"/>
      <c r="M355" s="863"/>
      <c r="N355" s="772"/>
      <c r="O355" s="772"/>
      <c r="P355" s="772"/>
      <c r="Q355" s="772"/>
      <c r="R355" s="772"/>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509"/>
      <c r="AX355" s="820"/>
      <c r="AY355" s="820"/>
      <c r="AZ355" s="820"/>
      <c r="BC355" s="2509"/>
      <c r="BD355" s="2509"/>
      <c r="BE355" s="2509"/>
      <c r="BF355" s="2509"/>
      <c r="BH355" s="2509"/>
      <c r="BN355" s="209"/>
      <c r="BO355" s="209"/>
      <c r="BP355" s="209"/>
      <c r="BQ355" s="209"/>
      <c r="BR355" s="209"/>
      <c r="BS355" s="209"/>
      <c r="BT355" s="209"/>
      <c r="BU355" s="820"/>
      <c r="BV355" s="209"/>
      <c r="BW355" s="209"/>
      <c r="BX355" s="209"/>
      <c r="BY355" s="11"/>
      <c r="BZ355" s="11"/>
    </row>
    <row r="356" spans="1:78" s="773" customFormat="1">
      <c r="A356" s="830"/>
      <c r="B356" s="3785" t="s">
        <v>2354</v>
      </c>
      <c r="C356" s="197">
        <v>2400139</v>
      </c>
      <c r="D356" s="199" t="s">
        <v>3356</v>
      </c>
      <c r="E356" s="803">
        <f>VLOOKUP(C356,'AJE 12 - INC'!$D$168:$F$771,3,0)</f>
        <v>-0.01</v>
      </c>
      <c r="F356" s="108">
        <f>SUMIF('AJE 12 - INC'!B:B,'New TB INC'!C356,'AJE 12 - INC'!D:D)</f>
        <v>0</v>
      </c>
      <c r="G356" s="108"/>
      <c r="H356" s="108"/>
      <c r="I356" s="108"/>
      <c r="J356" s="803">
        <f t="shared" si="36"/>
        <v>-0.01</v>
      </c>
      <c r="K356" s="209"/>
      <c r="L356" s="449"/>
      <c r="M356" s="863"/>
      <c r="N356" s="772"/>
      <c r="O356" s="772"/>
      <c r="P356" s="772"/>
      <c r="Q356" s="772"/>
      <c r="R356" s="772"/>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509"/>
      <c r="AX356" s="820"/>
      <c r="AY356" s="820"/>
      <c r="AZ356" s="820"/>
      <c r="BC356" s="2509"/>
      <c r="BD356" s="2509"/>
      <c r="BE356" s="2509"/>
      <c r="BF356" s="2509"/>
      <c r="BH356" s="2509"/>
      <c r="BN356" s="209"/>
      <c r="BO356" s="209"/>
      <c r="BP356" s="209"/>
      <c r="BQ356" s="209"/>
      <c r="BR356" s="209"/>
      <c r="BS356" s="209"/>
      <c r="BT356" s="209"/>
      <c r="BU356" s="820"/>
      <c r="BV356" s="209"/>
      <c r="BW356" s="209"/>
      <c r="BX356" s="209"/>
      <c r="BY356" s="11"/>
      <c r="BZ356" s="11"/>
    </row>
    <row r="357" spans="1:78" s="773" customFormat="1">
      <c r="A357" s="830"/>
      <c r="B357" s="3785" t="s">
        <v>2354</v>
      </c>
      <c r="C357" s="197">
        <v>2400154</v>
      </c>
      <c r="D357" s="199" t="s">
        <v>4705</v>
      </c>
      <c r="E357" s="803">
        <f>VLOOKUP(C357,'AJE 12 - INC'!$D$168:$F$771,3,0)</f>
        <v>-300</v>
      </c>
      <c r="F357" s="108">
        <f>SUMIF('AJE 12 - INC'!B:B,'New TB INC'!C357,'AJE 12 - INC'!D:D)</f>
        <v>0</v>
      </c>
      <c r="G357" s="108"/>
      <c r="H357" s="108"/>
      <c r="I357" s="108"/>
      <c r="J357" s="803">
        <f t="shared" si="36"/>
        <v>-300</v>
      </c>
      <c r="K357" s="209"/>
      <c r="L357" s="449"/>
      <c r="M357" s="863"/>
      <c r="N357" s="772"/>
      <c r="O357" s="772"/>
      <c r="P357" s="772"/>
      <c r="Q357" s="772"/>
      <c r="R357" s="772"/>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509"/>
      <c r="AX357" s="820"/>
      <c r="AY357" s="820"/>
      <c r="AZ357" s="820"/>
      <c r="BC357" s="2509"/>
      <c r="BD357" s="2509"/>
      <c r="BE357" s="2509"/>
      <c r="BF357" s="2509"/>
      <c r="BH357" s="2509"/>
      <c r="BN357" s="209"/>
      <c r="BO357" s="209"/>
      <c r="BP357" s="209"/>
      <c r="BQ357" s="209"/>
      <c r="BR357" s="209"/>
      <c r="BS357" s="209"/>
      <c r="BT357" s="209"/>
      <c r="BU357" s="820"/>
      <c r="BV357" s="209"/>
      <c r="BW357" s="209"/>
      <c r="BX357" s="209"/>
      <c r="BY357" s="11"/>
      <c r="BZ357" s="11"/>
    </row>
    <row r="358" spans="1:78" s="773" customFormat="1">
      <c r="A358" s="830"/>
      <c r="B358" s="3785" t="s">
        <v>2354</v>
      </c>
      <c r="C358" s="197">
        <v>2400156</v>
      </c>
      <c r="D358" s="199" t="s">
        <v>4706</v>
      </c>
      <c r="E358" s="803">
        <f>VLOOKUP(C358,'AJE 12 - INC'!$D$168:$F$771,3,0)</f>
        <v>-1841.1</v>
      </c>
      <c r="F358" s="108">
        <f>SUMIF('AJE 12 - INC'!B:B,'New TB INC'!C358,'AJE 12 - INC'!D:D)</f>
        <v>0</v>
      </c>
      <c r="G358" s="108"/>
      <c r="H358" s="108"/>
      <c r="I358" s="108"/>
      <c r="J358" s="803">
        <f t="shared" si="36"/>
        <v>-1841.1</v>
      </c>
      <c r="K358" s="209"/>
      <c r="L358" s="449"/>
      <c r="M358" s="863"/>
      <c r="N358" s="772"/>
      <c r="O358" s="772"/>
      <c r="P358" s="772"/>
      <c r="Q358" s="772"/>
      <c r="R358" s="772"/>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509"/>
      <c r="AX358" s="820"/>
      <c r="AY358" s="820"/>
      <c r="AZ358" s="820"/>
      <c r="BC358" s="2509"/>
      <c r="BD358" s="2509"/>
      <c r="BE358" s="2509"/>
      <c r="BF358" s="2509"/>
      <c r="BH358" s="2509"/>
      <c r="BN358" s="209"/>
      <c r="BO358" s="209"/>
      <c r="BP358" s="209"/>
      <c r="BQ358" s="209"/>
      <c r="BR358" s="209"/>
      <c r="BS358" s="209"/>
      <c r="BT358" s="209"/>
      <c r="BU358" s="820"/>
      <c r="BV358" s="209"/>
      <c r="BW358" s="209"/>
      <c r="BX358" s="209"/>
      <c r="BY358" s="11"/>
      <c r="BZ358" s="11"/>
    </row>
    <row r="359" spans="1:78" s="773" customFormat="1">
      <c r="A359" s="830"/>
      <c r="B359" s="3785" t="s">
        <v>2354</v>
      </c>
      <c r="C359" s="197">
        <v>2400157</v>
      </c>
      <c r="D359" s="199" t="s">
        <v>4707</v>
      </c>
      <c r="E359" s="803">
        <f>VLOOKUP(C359,'AJE 12 - INC'!$D$168:$F$771,3,0)</f>
        <v>-250.2</v>
      </c>
      <c r="F359" s="108">
        <f>SUMIF('AJE 12 - INC'!B:B,'New TB INC'!C359,'AJE 12 - INC'!D:D)</f>
        <v>0</v>
      </c>
      <c r="G359" s="108"/>
      <c r="H359" s="108"/>
      <c r="I359" s="108"/>
      <c r="J359" s="803">
        <f t="shared" si="36"/>
        <v>-250.2</v>
      </c>
      <c r="K359" s="209"/>
      <c r="L359" s="449"/>
      <c r="M359" s="863"/>
      <c r="N359" s="772"/>
      <c r="O359" s="772"/>
      <c r="P359" s="772"/>
      <c r="Q359" s="772"/>
      <c r="R359" s="772"/>
      <c r="X359" s="209"/>
      <c r="Y359" s="209"/>
      <c r="Z359" s="209"/>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509"/>
      <c r="AX359" s="820"/>
      <c r="AY359" s="820"/>
      <c r="AZ359" s="820"/>
      <c r="BC359" s="2509"/>
      <c r="BD359" s="2509"/>
      <c r="BE359" s="2509"/>
      <c r="BF359" s="2509"/>
      <c r="BH359" s="2509"/>
      <c r="BN359" s="209"/>
      <c r="BO359" s="209"/>
      <c r="BP359" s="209"/>
      <c r="BQ359" s="209"/>
      <c r="BR359" s="209"/>
      <c r="BS359" s="209"/>
      <c r="BT359" s="209"/>
      <c r="BU359" s="820"/>
      <c r="BV359" s="209"/>
      <c r="BW359" s="209"/>
      <c r="BX359" s="209"/>
      <c r="BY359" s="11"/>
      <c r="BZ359" s="11"/>
    </row>
    <row r="360" spans="1:78" s="773" customFormat="1">
      <c r="A360" s="830"/>
      <c r="B360" s="3785" t="s">
        <v>2354</v>
      </c>
      <c r="C360" s="197">
        <v>2400159</v>
      </c>
      <c r="D360" s="199" t="s">
        <v>4708</v>
      </c>
      <c r="E360" s="803">
        <f>VLOOKUP(C360,'AJE 12 - INC'!$D$168:$F$771,3,0)</f>
        <v>-300</v>
      </c>
      <c r="F360" s="108">
        <f>SUMIF('AJE 12 - INC'!B:B,'New TB INC'!C360,'AJE 12 - INC'!D:D)</f>
        <v>0</v>
      </c>
      <c r="G360" s="108"/>
      <c r="H360" s="108"/>
      <c r="I360" s="108"/>
      <c r="J360" s="803">
        <f t="shared" si="36"/>
        <v>-300</v>
      </c>
      <c r="K360" s="209"/>
      <c r="L360" s="449"/>
      <c r="M360" s="863"/>
      <c r="N360" s="772"/>
      <c r="O360" s="772"/>
      <c r="P360" s="772"/>
      <c r="Q360" s="772"/>
      <c r="R360" s="772"/>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509"/>
      <c r="AX360" s="820"/>
      <c r="AY360" s="820"/>
      <c r="AZ360" s="820"/>
      <c r="BC360" s="2509"/>
      <c r="BD360" s="2509"/>
      <c r="BE360" s="2509"/>
      <c r="BF360" s="2509"/>
      <c r="BH360" s="2509"/>
      <c r="BN360" s="209"/>
      <c r="BO360" s="209"/>
      <c r="BP360" s="209"/>
      <c r="BQ360" s="209"/>
      <c r="BR360" s="209"/>
      <c r="BS360" s="209"/>
      <c r="BT360" s="209"/>
      <c r="BU360" s="820"/>
      <c r="BV360" s="209"/>
      <c r="BW360" s="209"/>
      <c r="BX360" s="209"/>
      <c r="BY360" s="11"/>
      <c r="BZ360" s="11"/>
    </row>
    <row r="361" spans="1:78" s="773" customFormat="1">
      <c r="A361" s="830"/>
      <c r="B361" s="3785" t="s">
        <v>2354</v>
      </c>
      <c r="C361" s="197">
        <v>2400167</v>
      </c>
      <c r="D361" s="199" t="s">
        <v>4709</v>
      </c>
      <c r="E361" s="803">
        <f>VLOOKUP(C361,'AJE 12 - INC'!$D$168:$F$771,3,0)</f>
        <v>-2643.01</v>
      </c>
      <c r="F361" s="108">
        <f>SUMIF('AJE 12 - INC'!B:B,'New TB INC'!C361,'AJE 12 - INC'!D:D)</f>
        <v>0</v>
      </c>
      <c r="G361" s="108"/>
      <c r="H361" s="108"/>
      <c r="I361" s="108"/>
      <c r="J361" s="803">
        <f t="shared" si="36"/>
        <v>-2643.01</v>
      </c>
      <c r="K361" s="209"/>
      <c r="L361" s="449"/>
      <c r="M361" s="863"/>
      <c r="N361" s="772"/>
      <c r="O361" s="772"/>
      <c r="P361" s="772"/>
      <c r="Q361" s="772"/>
      <c r="R361" s="772"/>
      <c r="X361" s="209"/>
      <c r="Y361" s="209"/>
      <c r="Z361" s="209"/>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509"/>
      <c r="AX361" s="820"/>
      <c r="AY361" s="820"/>
      <c r="AZ361" s="820"/>
      <c r="BC361" s="2509"/>
      <c r="BD361" s="2509"/>
      <c r="BE361" s="2509"/>
      <c r="BF361" s="2509"/>
      <c r="BH361" s="2509"/>
      <c r="BN361" s="209"/>
      <c r="BO361" s="209"/>
      <c r="BP361" s="209"/>
      <c r="BQ361" s="209"/>
      <c r="BR361" s="209"/>
      <c r="BS361" s="209"/>
      <c r="BT361" s="209"/>
      <c r="BU361" s="820"/>
      <c r="BV361" s="209"/>
      <c r="BW361" s="209"/>
      <c r="BX361" s="209"/>
      <c r="BY361" s="11"/>
      <c r="BZ361" s="11"/>
    </row>
    <row r="362" spans="1:78" s="773" customFormat="1">
      <c r="A362" s="830"/>
      <c r="B362" s="3785" t="s">
        <v>2354</v>
      </c>
      <c r="C362" s="197">
        <v>2400172</v>
      </c>
      <c r="D362" s="199" t="s">
        <v>4196</v>
      </c>
      <c r="E362" s="798">
        <f>VLOOKUP(C362,'AJE 12 - INC'!$D$168:$F$771,3,0)</f>
        <v>-300</v>
      </c>
      <c r="F362" s="108">
        <f>SUMIF('AJE 12 - INC'!B:B,'New TB INC'!C362,'AJE 12 - INC'!D:D)</f>
        <v>0</v>
      </c>
      <c r="G362" s="108"/>
      <c r="H362" s="108"/>
      <c r="I362" s="108"/>
      <c r="J362" s="803">
        <f>SUM(E362:I362)</f>
        <v>-300</v>
      </c>
      <c r="K362" s="209"/>
      <c r="L362" s="449"/>
      <c r="M362" s="863"/>
      <c r="N362" s="772"/>
      <c r="O362" s="772"/>
      <c r="P362" s="772"/>
      <c r="Q362" s="772"/>
      <c r="R362" s="772"/>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509"/>
      <c r="AX362" s="820"/>
      <c r="AY362" s="820"/>
      <c r="AZ362" s="820"/>
      <c r="BC362" s="2509"/>
      <c r="BD362" s="2509"/>
      <c r="BE362" s="2509"/>
      <c r="BF362" s="2509"/>
      <c r="BH362" s="2509"/>
      <c r="BN362" s="209"/>
      <c r="BO362" s="209"/>
      <c r="BP362" s="209"/>
      <c r="BQ362" s="209"/>
      <c r="BR362" s="209"/>
      <c r="BS362" s="209"/>
      <c r="BT362" s="209"/>
      <c r="BU362" s="820"/>
      <c r="BV362" s="209"/>
      <c r="BW362" s="209"/>
      <c r="BX362" s="209"/>
      <c r="BY362" s="11"/>
      <c r="BZ362" s="11"/>
    </row>
    <row r="363" spans="1:78" s="773" customFormat="1">
      <c r="A363" s="830"/>
      <c r="B363" s="3780" t="s">
        <v>703</v>
      </c>
      <c r="C363" s="197">
        <v>2400003</v>
      </c>
      <c r="D363" s="199" t="s">
        <v>521</v>
      </c>
      <c r="E363" s="798">
        <f>VLOOKUP(C363,'AJE 12 - INC'!$D$168:$F$771,3,0)</f>
        <v>-4605.7299999999996</v>
      </c>
      <c r="F363" s="108">
        <f>SUMIF('AJE 12 - INC'!B:B,'New TB INC'!C363,'AJE 12 - INC'!D:D)</f>
        <v>0</v>
      </c>
      <c r="G363" s="108"/>
      <c r="H363" s="108"/>
      <c r="I363" s="108"/>
      <c r="J363" s="798">
        <f t="shared" si="35"/>
        <v>-4605.7299999999996</v>
      </c>
      <c r="K363" s="209"/>
      <c r="L363" s="449"/>
      <c r="M363" s="2166" t="s">
        <v>2326</v>
      </c>
      <c r="N363" s="772"/>
      <c r="O363" s="772"/>
      <c r="P363" s="772"/>
      <c r="Q363" s="772"/>
      <c r="R363" s="772"/>
      <c r="X363" s="209"/>
      <c r="Y363" s="209"/>
      <c r="Z363" s="209"/>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509"/>
      <c r="AX363" s="820"/>
      <c r="AY363" s="820"/>
      <c r="AZ363" s="820"/>
      <c r="BC363" s="2509"/>
      <c r="BD363" s="2509"/>
      <c r="BE363" s="2509"/>
      <c r="BF363" s="2509"/>
      <c r="BH363" s="2509"/>
      <c r="BN363" s="209"/>
      <c r="BO363" s="209"/>
      <c r="BP363" s="209"/>
      <c r="BQ363" s="209"/>
      <c r="BR363" s="209"/>
      <c r="BS363" s="209"/>
      <c r="BT363" s="209"/>
      <c r="BU363" s="820"/>
      <c r="BV363" s="209"/>
      <c r="BW363" s="209"/>
      <c r="BX363" s="209"/>
      <c r="BY363" s="11"/>
      <c r="BZ363" s="11"/>
    </row>
    <row r="364" spans="1:78" s="773" customFormat="1">
      <c r="A364" s="830"/>
      <c r="B364" s="3649" t="s">
        <v>2354</v>
      </c>
      <c r="C364" s="197">
        <v>2400075</v>
      </c>
      <c r="D364" s="199" t="s">
        <v>3926</v>
      </c>
      <c r="E364" s="798">
        <f>IFERROR(VLOOKUP(C364,'AJE 12 - INC'!$D$168:$F$345,3,0),0)</f>
        <v>-2.2000000000000002</v>
      </c>
      <c r="F364" s="108">
        <f>SUMIF('AJE 12 - INC'!B:B,'New TB INC'!C364,'AJE 12 - INC'!D:D)</f>
        <v>0</v>
      </c>
      <c r="G364" s="108"/>
      <c r="H364" s="108"/>
      <c r="I364" s="108"/>
      <c r="J364" s="798">
        <f t="shared" si="35"/>
        <v>-2.2000000000000002</v>
      </c>
      <c r="K364" s="209"/>
      <c r="L364" s="449"/>
      <c r="M364" s="2168"/>
      <c r="N364" s="772"/>
      <c r="O364" s="772"/>
      <c r="P364" s="772"/>
      <c r="Q364" s="772"/>
      <c r="R364" s="772"/>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509"/>
      <c r="AX364" s="820"/>
      <c r="AY364" s="820"/>
      <c r="AZ364" s="820"/>
      <c r="BC364" s="2509"/>
      <c r="BD364" s="2509"/>
      <c r="BE364" s="2509"/>
      <c r="BF364" s="2509"/>
      <c r="BH364" s="2509"/>
      <c r="BN364" s="209"/>
      <c r="BO364" s="209"/>
      <c r="BP364" s="209"/>
      <c r="BQ364" s="209"/>
      <c r="BR364" s="209"/>
      <c r="BS364" s="209"/>
      <c r="BT364" s="209"/>
      <c r="BU364" s="820"/>
      <c r="BV364" s="209"/>
      <c r="BW364" s="209"/>
      <c r="BX364" s="209"/>
      <c r="BY364" s="11"/>
      <c r="BZ364" s="11"/>
    </row>
    <row r="365" spans="1:78" s="773" customFormat="1">
      <c r="A365" s="830"/>
      <c r="B365" s="3649" t="s">
        <v>2354</v>
      </c>
      <c r="C365" s="197">
        <v>2400168</v>
      </c>
      <c r="D365" s="199" t="s">
        <v>4507</v>
      </c>
      <c r="E365" s="1577">
        <f>IFERROR(VLOOKUP(C365,'AJE 12 - INC'!$D$168:$F$345,3,0),0)</f>
        <v>0</v>
      </c>
      <c r="F365" s="108">
        <f>SUMIF('AJE 12 - INC'!B:B,'New TB INC'!C365,'AJE 12 - INC'!D:D)</f>
        <v>0</v>
      </c>
      <c r="G365" s="108"/>
      <c r="H365" s="108"/>
      <c r="I365" s="108"/>
      <c r="J365" s="1577">
        <f t="shared" ref="J365" si="37">SUM(E365:I365)</f>
        <v>0</v>
      </c>
      <c r="K365" s="209"/>
      <c r="L365" s="449"/>
      <c r="M365" s="2168"/>
      <c r="N365" s="772"/>
      <c r="O365" s="772"/>
      <c r="P365" s="772"/>
      <c r="Q365" s="772"/>
      <c r="R365" s="772"/>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509"/>
      <c r="AX365" s="820"/>
      <c r="AY365" s="820"/>
      <c r="AZ365" s="820"/>
      <c r="BC365" s="2509"/>
      <c r="BD365" s="2509"/>
      <c r="BE365" s="2509"/>
      <c r="BF365" s="2509"/>
      <c r="BH365" s="2509"/>
      <c r="BN365" s="209"/>
      <c r="BO365" s="209"/>
      <c r="BP365" s="209"/>
      <c r="BQ365" s="209"/>
      <c r="BR365" s="209"/>
      <c r="BS365" s="209"/>
      <c r="BT365" s="209"/>
      <c r="BU365" s="820"/>
      <c r="BV365" s="209"/>
      <c r="BW365" s="209"/>
      <c r="BX365" s="209"/>
      <c r="BY365" s="11"/>
      <c r="BZ365" s="11"/>
    </row>
    <row r="366" spans="1:78" s="773" customFormat="1">
      <c r="A366" s="830"/>
      <c r="B366" s="3649" t="s">
        <v>2354</v>
      </c>
      <c r="C366" s="197">
        <v>2400059</v>
      </c>
      <c r="D366" s="199" t="s">
        <v>4161</v>
      </c>
      <c r="E366" s="798">
        <f>IFERROR(VLOOKUP(C366,'AJE 12 - INC'!$D$168:$F$345,3,0),0)</f>
        <v>-295.39999999999998</v>
      </c>
      <c r="F366" s="108">
        <f>SUMIF('AJE 12 - INC'!B:B,'New TB INC'!C366,'AJE 12 - INC'!D:D)</f>
        <v>0</v>
      </c>
      <c r="G366" s="108"/>
      <c r="H366" s="108"/>
      <c r="I366" s="108"/>
      <c r="J366" s="798">
        <f t="shared" ref="J366:J372" si="38">SUM(E366:I366)</f>
        <v>-295.39999999999998</v>
      </c>
      <c r="K366" s="209"/>
      <c r="L366" s="449"/>
      <c r="M366" s="2168"/>
      <c r="N366" s="772"/>
      <c r="O366" s="772"/>
      <c r="P366" s="772"/>
      <c r="Q366" s="772"/>
      <c r="R366" s="772"/>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509"/>
      <c r="AX366" s="820"/>
      <c r="AY366" s="820"/>
      <c r="AZ366" s="820"/>
      <c r="BC366" s="2509"/>
      <c r="BD366" s="2509"/>
      <c r="BE366" s="2509"/>
      <c r="BF366" s="2509"/>
      <c r="BH366" s="2509"/>
      <c r="BN366" s="209"/>
      <c r="BO366" s="209"/>
      <c r="BP366" s="209"/>
      <c r="BQ366" s="209"/>
      <c r="BR366" s="209"/>
      <c r="BS366" s="209"/>
      <c r="BT366" s="209"/>
      <c r="BU366" s="820"/>
      <c r="BV366" s="209"/>
      <c r="BW366" s="209"/>
      <c r="BX366" s="209"/>
      <c r="BY366" s="11"/>
      <c r="BZ366" s="11"/>
    </row>
    <row r="367" spans="1:78" s="773" customFormat="1">
      <c r="A367" s="830"/>
      <c r="B367" s="3649" t="s">
        <v>2354</v>
      </c>
      <c r="C367" s="197">
        <v>2400128</v>
      </c>
      <c r="D367" s="199" t="s">
        <v>4295</v>
      </c>
      <c r="E367" s="798">
        <f>IFERROR(VLOOKUP(C367,'AJE 12 - INC'!$D$168:$F$345,3,0),0)</f>
        <v>-290.79000000000002</v>
      </c>
      <c r="F367" s="108">
        <f>SUMIF('AJE 12 - INC'!B:B,'New TB INC'!C367,'AJE 12 - INC'!D:D)</f>
        <v>0</v>
      </c>
      <c r="G367" s="108"/>
      <c r="H367" s="108"/>
      <c r="I367" s="108"/>
      <c r="J367" s="798">
        <f t="shared" si="38"/>
        <v>-290.79000000000002</v>
      </c>
      <c r="K367" s="209"/>
      <c r="L367" s="449"/>
      <c r="M367" s="2168"/>
      <c r="N367" s="772"/>
      <c r="O367" s="772"/>
      <c r="P367" s="772"/>
      <c r="Q367" s="772"/>
      <c r="R367" s="772"/>
      <c r="X367" s="209"/>
      <c r="Y367" s="209"/>
      <c r="Z367" s="209"/>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509"/>
      <c r="AX367" s="820"/>
      <c r="AY367" s="820"/>
      <c r="AZ367" s="820"/>
      <c r="BC367" s="2509"/>
      <c r="BD367" s="2509"/>
      <c r="BE367" s="2509"/>
      <c r="BF367" s="2509"/>
      <c r="BH367" s="2509"/>
      <c r="BN367" s="209"/>
      <c r="BO367" s="209"/>
      <c r="BP367" s="209"/>
      <c r="BQ367" s="209"/>
      <c r="BR367" s="209"/>
      <c r="BS367" s="209"/>
      <c r="BT367" s="209"/>
      <c r="BU367" s="820"/>
      <c r="BV367" s="209"/>
      <c r="BW367" s="209"/>
      <c r="BX367" s="209"/>
      <c r="BY367" s="11"/>
      <c r="BZ367" s="11"/>
    </row>
    <row r="368" spans="1:78" s="773" customFormat="1">
      <c r="A368" s="830"/>
      <c r="B368" s="3649" t="s">
        <v>2354</v>
      </c>
      <c r="C368" s="197">
        <v>2400129</v>
      </c>
      <c r="D368" s="199" t="s">
        <v>4296</v>
      </c>
      <c r="E368" s="798">
        <f>IFERROR(VLOOKUP(C368,'AJE 12 - INC'!$D$168:$F$345,3,0),0)</f>
        <v>-379.43</v>
      </c>
      <c r="F368" s="108">
        <f>SUMIF('AJE 12 - INC'!B:B,'New TB INC'!C368,'AJE 12 - INC'!D:D)</f>
        <v>0</v>
      </c>
      <c r="G368" s="108"/>
      <c r="H368" s="108"/>
      <c r="I368" s="108"/>
      <c r="J368" s="798">
        <f t="shared" si="38"/>
        <v>-379.43</v>
      </c>
      <c r="K368" s="209"/>
      <c r="L368" s="449"/>
      <c r="M368" s="2168"/>
      <c r="N368" s="772"/>
      <c r="O368" s="772"/>
      <c r="P368" s="772"/>
      <c r="Q368" s="772"/>
      <c r="R368" s="772"/>
      <c r="X368" s="209"/>
      <c r="Y368" s="209"/>
      <c r="Z368" s="209"/>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509"/>
      <c r="AX368" s="820"/>
      <c r="AY368" s="820"/>
      <c r="AZ368" s="820"/>
      <c r="BC368" s="2509"/>
      <c r="BD368" s="2509"/>
      <c r="BE368" s="2509"/>
      <c r="BF368" s="2509"/>
      <c r="BH368" s="2509"/>
      <c r="BN368" s="209"/>
      <c r="BO368" s="209"/>
      <c r="BP368" s="209"/>
      <c r="BQ368" s="209"/>
      <c r="BR368" s="209"/>
      <c r="BS368" s="209"/>
      <c r="BT368" s="209"/>
      <c r="BU368" s="820"/>
      <c r="BV368" s="209"/>
      <c r="BW368" s="209"/>
      <c r="BX368" s="209"/>
      <c r="BY368" s="11"/>
      <c r="BZ368" s="11"/>
    </row>
    <row r="369" spans="1:78" s="773" customFormat="1">
      <c r="A369" s="830"/>
      <c r="B369" s="3649" t="s">
        <v>2354</v>
      </c>
      <c r="C369" s="197">
        <v>2400135</v>
      </c>
      <c r="D369" s="199" t="s">
        <v>4297</v>
      </c>
      <c r="E369" s="798">
        <f>IFERROR(VLOOKUP(C369,'AJE 12 - INC'!$D$168:$F$345,3,0),0)</f>
        <v>0</v>
      </c>
      <c r="F369" s="108">
        <f>SUMIF('AJE 12 - INC'!B:B,'New TB INC'!C369,'AJE 12 - INC'!D:D)</f>
        <v>0</v>
      </c>
      <c r="G369" s="108"/>
      <c r="H369" s="108"/>
      <c r="I369" s="108"/>
      <c r="J369" s="798">
        <f t="shared" si="38"/>
        <v>0</v>
      </c>
      <c r="K369" s="209"/>
      <c r="L369" s="449"/>
      <c r="M369" s="2168"/>
      <c r="N369" s="772"/>
      <c r="O369" s="772"/>
      <c r="P369" s="772"/>
      <c r="Q369" s="772"/>
      <c r="R369" s="772"/>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509"/>
      <c r="AX369" s="820"/>
      <c r="AY369" s="820"/>
      <c r="AZ369" s="820"/>
      <c r="BC369" s="2509"/>
      <c r="BD369" s="2509"/>
      <c r="BE369" s="2509"/>
      <c r="BF369" s="2509"/>
      <c r="BH369" s="2509"/>
      <c r="BN369" s="209"/>
      <c r="BO369" s="209"/>
      <c r="BP369" s="209"/>
      <c r="BQ369" s="209"/>
      <c r="BR369" s="209"/>
      <c r="BS369" s="209"/>
      <c r="BT369" s="209"/>
      <c r="BU369" s="820"/>
      <c r="BV369" s="209"/>
      <c r="BW369" s="209"/>
      <c r="BX369" s="209"/>
      <c r="BY369" s="11"/>
      <c r="BZ369" s="11"/>
    </row>
    <row r="370" spans="1:78" s="773" customFormat="1">
      <c r="A370" s="830"/>
      <c r="B370" s="3649" t="s">
        <v>2354</v>
      </c>
      <c r="C370" s="197">
        <v>2400141</v>
      </c>
      <c r="D370" s="199" t="s">
        <v>4298</v>
      </c>
      <c r="E370" s="798">
        <f>IFERROR(VLOOKUP(C370,'AJE 12 - INC'!$D$168:$F$345,3,0),0)</f>
        <v>0</v>
      </c>
      <c r="F370" s="108">
        <f>SUMIF('AJE 12 - INC'!B:B,'New TB INC'!C370,'AJE 12 - INC'!D:D)</f>
        <v>0</v>
      </c>
      <c r="G370" s="108"/>
      <c r="H370" s="108"/>
      <c r="I370" s="108"/>
      <c r="J370" s="798">
        <f t="shared" si="38"/>
        <v>0</v>
      </c>
      <c r="K370" s="209"/>
      <c r="L370" s="449"/>
      <c r="M370" s="2168"/>
      <c r="N370" s="772"/>
      <c r="O370" s="772"/>
      <c r="P370" s="772"/>
      <c r="Q370" s="772"/>
      <c r="R370" s="772"/>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509"/>
      <c r="AX370" s="820"/>
      <c r="AY370" s="820"/>
      <c r="AZ370" s="820"/>
      <c r="BC370" s="2509"/>
      <c r="BD370" s="2509"/>
      <c r="BE370" s="2509"/>
      <c r="BF370" s="2509"/>
      <c r="BH370" s="2509"/>
      <c r="BN370" s="209"/>
      <c r="BO370" s="209"/>
      <c r="BP370" s="209"/>
      <c r="BQ370" s="209"/>
      <c r="BR370" s="209"/>
      <c r="BS370" s="209"/>
      <c r="BT370" s="209"/>
      <c r="BU370" s="820"/>
      <c r="BV370" s="209"/>
      <c r="BW370" s="209"/>
      <c r="BX370" s="209"/>
      <c r="BY370" s="11"/>
      <c r="BZ370" s="11"/>
    </row>
    <row r="371" spans="1:78" s="773" customFormat="1">
      <c r="A371" s="830"/>
      <c r="B371" s="3649" t="s">
        <v>2354</v>
      </c>
      <c r="C371" s="197">
        <v>2400166</v>
      </c>
      <c r="D371" s="199" t="s">
        <v>4195</v>
      </c>
      <c r="E371" s="798">
        <f>IFERROR(VLOOKUP(C371,'AJE 12 - INC'!$D$168:$F$345,3,0),0)</f>
        <v>4.1399999999999997</v>
      </c>
      <c r="F371" s="108">
        <f>SUMIF('AJE 12 - INC'!B:B,'New TB INC'!C371,'AJE 12 - INC'!D:D)</f>
        <v>0</v>
      </c>
      <c r="G371" s="108"/>
      <c r="H371" s="108"/>
      <c r="I371" s="108"/>
      <c r="J371" s="798">
        <f t="shared" si="38"/>
        <v>4.1399999999999997</v>
      </c>
      <c r="K371" s="209"/>
      <c r="L371" s="449"/>
      <c r="M371" s="2168"/>
      <c r="N371" s="772"/>
      <c r="O371" s="772"/>
      <c r="P371" s="772"/>
      <c r="Q371" s="772"/>
      <c r="R371" s="772"/>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509"/>
      <c r="AX371" s="820"/>
      <c r="AY371" s="820"/>
      <c r="AZ371" s="820"/>
      <c r="BC371" s="2509"/>
      <c r="BD371" s="2509"/>
      <c r="BE371" s="2509"/>
      <c r="BF371" s="2509"/>
      <c r="BH371" s="2509"/>
      <c r="BN371" s="209"/>
      <c r="BO371" s="209"/>
      <c r="BP371" s="209"/>
      <c r="BQ371" s="209"/>
      <c r="BR371" s="209"/>
      <c r="BS371" s="209"/>
      <c r="BT371" s="209"/>
      <c r="BU371" s="820"/>
      <c r="BV371" s="209"/>
      <c r="BW371" s="209"/>
      <c r="BX371" s="209"/>
      <c r="BY371" s="11"/>
      <c r="BZ371" s="11"/>
    </row>
    <row r="372" spans="1:78" s="773" customFormat="1">
      <c r="A372" s="830"/>
      <c r="B372" s="3649" t="s">
        <v>2354</v>
      </c>
      <c r="C372" s="197">
        <v>2400161</v>
      </c>
      <c r="D372" s="199" t="s">
        <v>4162</v>
      </c>
      <c r="E372" s="798">
        <f>IFERROR(VLOOKUP(C372,'AJE 12 - INC'!$D$168:$F$345,3,0),0)</f>
        <v>-887.06</v>
      </c>
      <c r="F372" s="108">
        <f>SUMIF('AJE 12 - INC'!B:B,'New TB INC'!C372,'AJE 12 - INC'!D:D)</f>
        <v>0</v>
      </c>
      <c r="G372" s="108"/>
      <c r="H372" s="108"/>
      <c r="I372" s="108"/>
      <c r="J372" s="798">
        <f t="shared" si="38"/>
        <v>-887.06</v>
      </c>
      <c r="K372" s="209"/>
      <c r="L372" s="449"/>
      <c r="M372" s="2168"/>
      <c r="N372" s="772"/>
      <c r="O372" s="772"/>
      <c r="P372" s="772"/>
      <c r="Q372" s="772"/>
      <c r="R372" s="772"/>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509"/>
      <c r="AX372" s="820"/>
      <c r="AY372" s="820"/>
      <c r="AZ372" s="820"/>
      <c r="BC372" s="2509"/>
      <c r="BD372" s="2509"/>
      <c r="BE372" s="2509"/>
      <c r="BF372" s="2509"/>
      <c r="BH372" s="2509"/>
      <c r="BN372" s="209"/>
      <c r="BO372" s="209"/>
      <c r="BP372" s="209"/>
      <c r="BQ372" s="209"/>
      <c r="BR372" s="209"/>
      <c r="BS372" s="209"/>
      <c r="BT372" s="209"/>
      <c r="BU372" s="820"/>
      <c r="BV372" s="209"/>
      <c r="BW372" s="209"/>
      <c r="BX372" s="209"/>
      <c r="BY372" s="11"/>
      <c r="BZ372" s="11"/>
    </row>
    <row r="373" spans="1:78" s="773" customFormat="1">
      <c r="A373" s="830"/>
      <c r="B373" s="3649" t="s">
        <v>2354</v>
      </c>
      <c r="C373" s="197">
        <v>2400074</v>
      </c>
      <c r="D373" s="199" t="s">
        <v>2870</v>
      </c>
      <c r="E373" s="798">
        <f>IFERROR(VLOOKUP(C373,'AJE 12 - INC'!$D$168:$F$345,3,0),0)</f>
        <v>-0.01</v>
      </c>
      <c r="F373" s="108">
        <f>SUMIF('AJE 12 - INC'!B:B,'New TB INC'!C373,'AJE 12 - INC'!D:D)</f>
        <v>0</v>
      </c>
      <c r="G373" s="108"/>
      <c r="H373" s="108"/>
      <c r="I373" s="108"/>
      <c r="J373" s="798">
        <f t="shared" si="35"/>
        <v>-0.01</v>
      </c>
      <c r="K373" s="209"/>
      <c r="L373" s="449"/>
      <c r="M373" s="2168"/>
      <c r="N373" s="772"/>
      <c r="O373" s="772"/>
      <c r="P373" s="772"/>
      <c r="Q373" s="772"/>
      <c r="R373" s="772"/>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2509"/>
      <c r="AX373" s="820"/>
      <c r="AY373" s="820"/>
      <c r="AZ373" s="820"/>
      <c r="BC373" s="2509"/>
      <c r="BD373" s="2509"/>
      <c r="BE373" s="2509"/>
      <c r="BF373" s="2509"/>
      <c r="BH373" s="2509"/>
      <c r="BN373" s="209"/>
      <c r="BO373" s="209"/>
      <c r="BP373" s="209"/>
      <c r="BQ373" s="209"/>
      <c r="BR373" s="209"/>
      <c r="BS373" s="209"/>
      <c r="BT373" s="209"/>
      <c r="BU373" s="820"/>
      <c r="BV373" s="209"/>
      <c r="BW373" s="209"/>
      <c r="BX373" s="209"/>
      <c r="BY373" s="11"/>
      <c r="BZ373" s="11"/>
    </row>
    <row r="374" spans="1:78" s="773" customFormat="1">
      <c r="A374" s="830"/>
      <c r="B374" s="3649" t="s">
        <v>2354</v>
      </c>
      <c r="C374" s="197">
        <v>2400042</v>
      </c>
      <c r="D374" s="199" t="s">
        <v>813</v>
      </c>
      <c r="E374" s="798">
        <f>IFERROR(VLOOKUP(C374,'AJE 12 - INC'!$D$168:$F$345,3,0),0)</f>
        <v>0.02</v>
      </c>
      <c r="F374" s="108">
        <f>SUMIF('AJE 12 - INC'!B:B,'New TB INC'!C374,'AJE 12 - INC'!D:D)</f>
        <v>0</v>
      </c>
      <c r="G374" s="108"/>
      <c r="H374" s="108"/>
      <c r="I374" s="108"/>
      <c r="J374" s="798">
        <f t="shared" si="35"/>
        <v>0.02</v>
      </c>
      <c r="K374" s="209"/>
      <c r="L374" s="449"/>
      <c r="M374" s="2168"/>
      <c r="N374" s="772"/>
      <c r="O374" s="772"/>
      <c r="P374" s="772"/>
      <c r="Q374" s="772"/>
      <c r="R374" s="772"/>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2509"/>
      <c r="AX374" s="820"/>
      <c r="AY374" s="820"/>
      <c r="AZ374" s="820"/>
      <c r="BC374" s="2509"/>
      <c r="BD374" s="2509"/>
      <c r="BE374" s="2509"/>
      <c r="BF374" s="2509"/>
      <c r="BH374" s="2509"/>
      <c r="BN374" s="209"/>
      <c r="BO374" s="209"/>
      <c r="BP374" s="209"/>
      <c r="BQ374" s="209"/>
      <c r="BR374" s="209"/>
      <c r="BS374" s="209"/>
      <c r="BT374" s="209"/>
      <c r="BU374" s="820"/>
      <c r="BV374" s="209"/>
      <c r="BW374" s="209"/>
      <c r="BX374" s="209"/>
      <c r="BY374" s="11"/>
      <c r="BZ374" s="11"/>
    </row>
    <row r="375" spans="1:78" s="773" customFormat="1">
      <c r="A375" s="830"/>
      <c r="B375" s="3649" t="s">
        <v>2354</v>
      </c>
      <c r="C375" s="197">
        <v>2400125</v>
      </c>
      <c r="D375" s="199" t="s">
        <v>3104</v>
      </c>
      <c r="E375" s="798">
        <f>IFERROR(VLOOKUP(C375,'AJE 12 - INC'!$D$168:$F$345,3,0),0)</f>
        <v>0</v>
      </c>
      <c r="F375" s="108">
        <f>SUMIF('AJE 12 - INC'!B:B,'New TB INC'!C375,'AJE 12 - INC'!D:D)</f>
        <v>0</v>
      </c>
      <c r="G375" s="108"/>
      <c r="H375" s="108"/>
      <c r="I375" s="108"/>
      <c r="J375" s="798">
        <f t="shared" si="35"/>
        <v>0</v>
      </c>
      <c r="K375" s="209"/>
      <c r="L375" s="449"/>
      <c r="M375" s="2168"/>
      <c r="N375" s="772"/>
      <c r="O375" s="772"/>
      <c r="P375" s="772"/>
      <c r="Q375" s="772"/>
      <c r="R375" s="772"/>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2509"/>
      <c r="AX375" s="820"/>
      <c r="AY375" s="820"/>
      <c r="AZ375" s="820"/>
      <c r="BC375" s="2509"/>
      <c r="BD375" s="2509"/>
      <c r="BE375" s="2509"/>
      <c r="BF375" s="2509"/>
      <c r="BH375" s="2509"/>
      <c r="BN375" s="209"/>
      <c r="BO375" s="209"/>
      <c r="BP375" s="209"/>
      <c r="BQ375" s="209"/>
      <c r="BR375" s="209"/>
      <c r="BS375" s="209"/>
      <c r="BT375" s="209"/>
      <c r="BU375" s="820"/>
      <c r="BV375" s="209"/>
      <c r="BW375" s="209"/>
      <c r="BX375" s="209"/>
      <c r="BY375" s="11"/>
      <c r="BZ375" s="11"/>
    </row>
    <row r="376" spans="1:78" s="773" customFormat="1">
      <c r="A376" s="830"/>
      <c r="B376" s="3649" t="s">
        <v>2354</v>
      </c>
      <c r="C376" s="197">
        <v>2400143</v>
      </c>
      <c r="D376" s="199" t="s">
        <v>3105</v>
      </c>
      <c r="E376" s="798">
        <f>IFERROR(VLOOKUP(C376,'AJE 12 - INC'!$D$168:$F$345,3,0),0)</f>
        <v>-1287.18</v>
      </c>
      <c r="F376" s="108">
        <f>SUMIF('AJE 12 - INC'!B:B,'New TB INC'!C376,'AJE 12 - INC'!D:D)</f>
        <v>0</v>
      </c>
      <c r="G376" s="108"/>
      <c r="H376" s="108"/>
      <c r="I376" s="108"/>
      <c r="J376" s="798">
        <f t="shared" si="35"/>
        <v>-1287.18</v>
      </c>
      <c r="K376" s="209"/>
      <c r="L376" s="449"/>
      <c r="M376" s="2168"/>
      <c r="N376" s="772"/>
      <c r="O376" s="772"/>
      <c r="P376" s="772"/>
      <c r="Q376" s="772"/>
      <c r="R376" s="772"/>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2509"/>
      <c r="AX376" s="820"/>
      <c r="AY376" s="820"/>
      <c r="AZ376" s="820"/>
      <c r="BC376" s="2509"/>
      <c r="BD376" s="2509"/>
      <c r="BE376" s="2509"/>
      <c r="BF376" s="2509"/>
      <c r="BH376" s="2509"/>
      <c r="BN376" s="209"/>
      <c r="BO376" s="209"/>
      <c r="BP376" s="209"/>
      <c r="BQ376" s="209"/>
      <c r="BR376" s="209"/>
      <c r="BS376" s="209"/>
      <c r="BT376" s="209"/>
      <c r="BU376" s="820"/>
      <c r="BV376" s="209"/>
      <c r="BW376" s="209"/>
      <c r="BX376" s="209"/>
      <c r="BY376" s="11"/>
      <c r="BZ376" s="11"/>
    </row>
    <row r="377" spans="1:78" s="773" customFormat="1">
      <c r="A377" s="830"/>
      <c r="B377" s="3649" t="s">
        <v>2354</v>
      </c>
      <c r="C377" s="197">
        <v>2400108</v>
      </c>
      <c r="D377" s="199" t="s">
        <v>2871</v>
      </c>
      <c r="E377" s="798">
        <f>IFERROR(VLOOKUP(C377,'AJE 12 - INC'!$D$168:$F$345,3,0),0)</f>
        <v>-0.01</v>
      </c>
      <c r="F377" s="108">
        <f>SUMIF('AJE 12 - INC'!B:B,'New TB INC'!C377,'AJE 12 - INC'!D:D)</f>
        <v>0</v>
      </c>
      <c r="G377" s="108"/>
      <c r="H377" s="108"/>
      <c r="I377" s="108"/>
      <c r="J377" s="798">
        <f t="shared" si="35"/>
        <v>-0.01</v>
      </c>
      <c r="K377" s="209"/>
      <c r="L377" s="449"/>
      <c r="M377" s="2168"/>
      <c r="N377" s="772"/>
      <c r="O377" s="772"/>
      <c r="P377" s="772"/>
      <c r="Q377" s="772"/>
      <c r="R377" s="772"/>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2509"/>
      <c r="AX377" s="820"/>
      <c r="AY377" s="820"/>
      <c r="AZ377" s="820"/>
      <c r="BC377" s="2509"/>
      <c r="BD377" s="2509"/>
      <c r="BE377" s="2509"/>
      <c r="BF377" s="2509"/>
      <c r="BH377" s="2509"/>
      <c r="BN377" s="209"/>
      <c r="BO377" s="209"/>
      <c r="BP377" s="209"/>
      <c r="BQ377" s="209"/>
      <c r="BR377" s="209"/>
      <c r="BS377" s="209"/>
      <c r="BT377" s="209"/>
      <c r="BU377" s="820"/>
      <c r="BV377" s="209"/>
      <c r="BW377" s="209"/>
      <c r="BX377" s="209"/>
      <c r="BY377" s="11"/>
      <c r="BZ377" s="11"/>
    </row>
    <row r="378" spans="1:78" s="773" customFormat="1">
      <c r="A378" s="830"/>
      <c r="B378" s="3649" t="s">
        <v>2354</v>
      </c>
      <c r="C378" s="197">
        <v>2400136</v>
      </c>
      <c r="D378" s="199" t="s">
        <v>2872</v>
      </c>
      <c r="E378" s="798">
        <f>IFERROR(VLOOKUP(C378,'AJE 12 - INC'!$D$168:$F$345,3,0),0)</f>
        <v>-0.01</v>
      </c>
      <c r="F378" s="108">
        <f>SUMIF('AJE 12 - INC'!B:B,'New TB INC'!C378,'AJE 12 - INC'!D:D)</f>
        <v>0</v>
      </c>
      <c r="G378" s="108"/>
      <c r="H378" s="108"/>
      <c r="I378" s="108"/>
      <c r="J378" s="798">
        <f t="shared" si="35"/>
        <v>-0.01</v>
      </c>
      <c r="K378" s="209"/>
      <c r="L378" s="449"/>
      <c r="M378" s="2168"/>
      <c r="N378" s="772"/>
      <c r="O378" s="772"/>
      <c r="P378" s="772"/>
      <c r="Q378" s="772"/>
      <c r="R378" s="772"/>
      <c r="X378" s="209"/>
      <c r="Y378" s="209"/>
      <c r="Z378" s="209"/>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509"/>
      <c r="AX378" s="820"/>
      <c r="AY378" s="820"/>
      <c r="AZ378" s="820"/>
      <c r="BC378" s="2509"/>
      <c r="BD378" s="2509"/>
      <c r="BE378" s="2509"/>
      <c r="BF378" s="2509"/>
      <c r="BH378" s="2509"/>
      <c r="BN378" s="209"/>
      <c r="BO378" s="209"/>
      <c r="BP378" s="209"/>
      <c r="BQ378" s="209"/>
      <c r="BR378" s="209"/>
      <c r="BS378" s="209"/>
      <c r="BT378" s="209"/>
      <c r="BU378" s="820"/>
      <c r="BV378" s="209"/>
      <c r="BW378" s="209"/>
      <c r="BX378" s="209"/>
      <c r="BY378" s="11"/>
      <c r="BZ378" s="11"/>
    </row>
    <row r="379" spans="1:78" s="773" customFormat="1">
      <c r="A379" s="830"/>
      <c r="B379" s="3649" t="s">
        <v>2354</v>
      </c>
      <c r="C379" s="197">
        <v>2400051</v>
      </c>
      <c r="D379" s="199" t="s">
        <v>815</v>
      </c>
      <c r="E379" s="798">
        <f>IFERROR(VLOOKUP(C379,'AJE 12 - INC'!$D$168:$F$345,3,0),0)</f>
        <v>0.01</v>
      </c>
      <c r="F379" s="108">
        <f>SUMIF('AJE 12 - INC'!B:B,'New TB INC'!C379,'AJE 12 - INC'!D:D)</f>
        <v>0</v>
      </c>
      <c r="G379" s="108"/>
      <c r="H379" s="108"/>
      <c r="I379" s="108"/>
      <c r="J379" s="798">
        <f t="shared" si="35"/>
        <v>0.01</v>
      </c>
      <c r="K379" s="209"/>
      <c r="L379" s="449"/>
      <c r="M379" s="2168"/>
      <c r="N379" s="772"/>
      <c r="O379" s="772"/>
      <c r="P379" s="772"/>
      <c r="Q379" s="772"/>
      <c r="R379" s="772"/>
      <c r="X379" s="209"/>
      <c r="Y379" s="209"/>
      <c r="Z379" s="209"/>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509"/>
      <c r="AX379" s="820"/>
      <c r="AY379" s="820"/>
      <c r="AZ379" s="820"/>
      <c r="BC379" s="2509"/>
      <c r="BD379" s="2509"/>
      <c r="BE379" s="2509"/>
      <c r="BF379" s="2509"/>
      <c r="BH379" s="2509"/>
      <c r="BN379" s="209"/>
      <c r="BO379" s="209"/>
      <c r="BP379" s="209"/>
      <c r="BQ379" s="209"/>
      <c r="BR379" s="209"/>
      <c r="BS379" s="209"/>
      <c r="BT379" s="209"/>
      <c r="BU379" s="820"/>
      <c r="BV379" s="209"/>
      <c r="BW379" s="209"/>
      <c r="BX379" s="209"/>
      <c r="BY379" s="11"/>
      <c r="BZ379" s="11"/>
    </row>
    <row r="380" spans="1:78" s="773" customFormat="1">
      <c r="A380" s="830"/>
      <c r="B380" s="3649" t="s">
        <v>2354</v>
      </c>
      <c r="C380" s="197">
        <v>2400053</v>
      </c>
      <c r="D380" s="199" t="s">
        <v>527</v>
      </c>
      <c r="E380" s="798">
        <f>IFERROR(VLOOKUP(C380,'AJE 12 - INC'!$D$168:$F$345,3,0),0)</f>
        <v>0.15</v>
      </c>
      <c r="F380" s="108">
        <f>SUMIF('AJE 12 - INC'!B:B,'New TB INC'!C380,'AJE 12 - INC'!D:D)</f>
        <v>0</v>
      </c>
      <c r="G380" s="108"/>
      <c r="H380" s="108"/>
      <c r="I380" s="108"/>
      <c r="J380" s="798">
        <f t="shared" si="35"/>
        <v>0.15</v>
      </c>
      <c r="K380" s="209"/>
      <c r="L380" s="449"/>
      <c r="M380" s="2168"/>
      <c r="N380" s="772"/>
      <c r="O380" s="772"/>
      <c r="P380" s="772"/>
      <c r="Q380" s="772"/>
      <c r="R380" s="772"/>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509"/>
      <c r="AX380" s="820"/>
      <c r="AY380" s="820"/>
      <c r="AZ380" s="820"/>
      <c r="BC380" s="2509"/>
      <c r="BD380" s="2509"/>
      <c r="BE380" s="2509"/>
      <c r="BF380" s="2509"/>
      <c r="BH380" s="2509"/>
      <c r="BN380" s="209"/>
      <c r="BO380" s="209"/>
      <c r="BP380" s="209"/>
      <c r="BQ380" s="209"/>
      <c r="BR380" s="209"/>
      <c r="BS380" s="209"/>
      <c r="BT380" s="209"/>
      <c r="BU380" s="820"/>
      <c r="BV380" s="209"/>
      <c r="BW380" s="209"/>
      <c r="BX380" s="209"/>
      <c r="BY380" s="11"/>
      <c r="BZ380" s="11"/>
    </row>
    <row r="381" spans="1:78" s="773" customFormat="1">
      <c r="A381" s="830"/>
      <c r="B381" s="3649" t="s">
        <v>703</v>
      </c>
      <c r="C381" s="197">
        <v>2400131</v>
      </c>
      <c r="D381" s="199" t="s">
        <v>2128</v>
      </c>
      <c r="E381" s="798">
        <f>IFERROR(VLOOKUP(C381,'AJE 12 - INC'!$D$168:$F$345,3,0),0)</f>
        <v>-66.819999999999993</v>
      </c>
      <c r="F381" s="108">
        <f>SUMIF('AJE 12 - INC'!B:B,'New TB INC'!C381,'AJE 12 - INC'!D:D)</f>
        <v>0</v>
      </c>
      <c r="G381" s="108"/>
      <c r="H381" s="108"/>
      <c r="I381" s="108"/>
      <c r="J381" s="798">
        <f t="shared" si="35"/>
        <v>-66.819999999999993</v>
      </c>
      <c r="K381" s="209"/>
      <c r="L381" s="449"/>
      <c r="M381" s="2168"/>
      <c r="N381" s="772"/>
      <c r="O381" s="772"/>
      <c r="P381" s="772"/>
      <c r="Q381" s="772"/>
      <c r="R381" s="772"/>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509"/>
      <c r="AX381" s="820"/>
      <c r="AY381" s="820"/>
      <c r="AZ381" s="820"/>
      <c r="BC381" s="2509"/>
      <c r="BD381" s="2509"/>
      <c r="BE381" s="2509"/>
      <c r="BF381" s="2509"/>
      <c r="BH381" s="2509"/>
      <c r="BN381" s="209"/>
      <c r="BO381" s="209"/>
      <c r="BP381" s="209"/>
      <c r="BQ381" s="209"/>
      <c r="BR381" s="209"/>
      <c r="BS381" s="209"/>
      <c r="BT381" s="209"/>
      <c r="BU381" s="820"/>
      <c r="BV381" s="209"/>
      <c r="BW381" s="209"/>
      <c r="BX381" s="209"/>
      <c r="BY381" s="11"/>
      <c r="BZ381" s="11"/>
    </row>
    <row r="382" spans="1:78" s="773" customFormat="1">
      <c r="A382" s="830"/>
      <c r="B382" s="3649" t="s">
        <v>703</v>
      </c>
      <c r="C382" s="197">
        <v>2400021</v>
      </c>
      <c r="D382" s="199" t="s">
        <v>477</v>
      </c>
      <c r="E382" s="798">
        <f>IFERROR(VLOOKUP(C382,'AJE 12 - INC'!$D$168:$F$345,3,0),0)</f>
        <v>0.01</v>
      </c>
      <c r="F382" s="108">
        <f>SUMIF('AJE 12 - INC'!B:B,'New TB INC'!C382,'AJE 12 - INC'!D:D)</f>
        <v>0</v>
      </c>
      <c r="G382" s="108"/>
      <c r="H382" s="108"/>
      <c r="I382" s="108"/>
      <c r="J382" s="798">
        <f t="shared" si="35"/>
        <v>0.01</v>
      </c>
      <c r="K382" s="209"/>
      <c r="L382" s="449"/>
      <c r="M382" s="2168"/>
      <c r="N382" s="772"/>
      <c r="O382" s="772"/>
      <c r="P382" s="772"/>
      <c r="Q382" s="772"/>
      <c r="R382" s="772"/>
      <c r="X382" s="209"/>
      <c r="Y382" s="209"/>
      <c r="Z382" s="209"/>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509"/>
      <c r="AX382" s="820"/>
      <c r="AY382" s="820"/>
      <c r="AZ382" s="820"/>
      <c r="BC382" s="2509"/>
      <c r="BD382" s="2509"/>
      <c r="BE382" s="2509"/>
      <c r="BF382" s="2509"/>
      <c r="BH382" s="2509"/>
      <c r="BN382" s="209"/>
      <c r="BO382" s="209"/>
      <c r="BP382" s="209"/>
      <c r="BQ382" s="209"/>
      <c r="BR382" s="209"/>
      <c r="BS382" s="209"/>
      <c r="BT382" s="209"/>
      <c r="BU382" s="820"/>
      <c r="BV382" s="209"/>
      <c r="BW382" s="209"/>
      <c r="BX382" s="209"/>
      <c r="BY382" s="11"/>
      <c r="BZ382" s="11"/>
    </row>
    <row r="383" spans="1:78" s="773" customFormat="1">
      <c r="A383" s="830"/>
      <c r="B383" s="3649" t="s">
        <v>703</v>
      </c>
      <c r="C383" s="197">
        <v>2400027</v>
      </c>
      <c r="D383" s="199" t="s">
        <v>812</v>
      </c>
      <c r="E383" s="798">
        <f>IFERROR(VLOOKUP(C383,'AJE 12 - INC'!$D$168:$F$345,3,0),0)</f>
        <v>0.01</v>
      </c>
      <c r="F383" s="108">
        <f>SUMIF('AJE 12 - INC'!B:B,'New TB INC'!C383,'AJE 12 - INC'!D:D)</f>
        <v>0</v>
      </c>
      <c r="G383" s="108"/>
      <c r="H383" s="108"/>
      <c r="I383" s="108"/>
      <c r="J383" s="798">
        <f t="shared" si="35"/>
        <v>0.01</v>
      </c>
      <c r="K383" s="209"/>
      <c r="L383" s="449"/>
      <c r="M383" s="2168"/>
      <c r="N383" s="772"/>
      <c r="O383" s="772"/>
      <c r="P383" s="772"/>
      <c r="Q383" s="772"/>
      <c r="R383" s="772"/>
      <c r="X383" s="209"/>
      <c r="Y383" s="209"/>
      <c r="Z383" s="209"/>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509"/>
      <c r="AX383" s="820"/>
      <c r="AY383" s="820"/>
      <c r="AZ383" s="820"/>
      <c r="BC383" s="2509"/>
      <c r="BD383" s="2509"/>
      <c r="BE383" s="2509"/>
      <c r="BF383" s="2509"/>
      <c r="BH383" s="2509"/>
      <c r="BN383" s="209"/>
      <c r="BO383" s="209"/>
      <c r="BP383" s="209"/>
      <c r="BQ383" s="209"/>
      <c r="BR383" s="209"/>
      <c r="BS383" s="209"/>
      <c r="BT383" s="209"/>
      <c r="BU383" s="820"/>
      <c r="BV383" s="209"/>
      <c r="BW383" s="209"/>
      <c r="BX383" s="209"/>
      <c r="BY383" s="11"/>
      <c r="BZ383" s="11"/>
    </row>
    <row r="384" spans="1:78" s="773" customFormat="1">
      <c r="A384" s="830"/>
      <c r="B384" s="3649" t="s">
        <v>703</v>
      </c>
      <c r="C384" s="197">
        <v>2400037</v>
      </c>
      <c r="D384" s="199" t="s">
        <v>526</v>
      </c>
      <c r="E384" s="798">
        <f>IFERROR(VLOOKUP(C384,'AJE 12 - INC'!$D$168:$F$345,3,0),0)</f>
        <v>-0.17</v>
      </c>
      <c r="F384" s="108">
        <f>SUMIF('AJE 12 - INC'!B:B,'New TB INC'!C384,'AJE 12 - INC'!D:D)</f>
        <v>0</v>
      </c>
      <c r="G384" s="108"/>
      <c r="H384" s="108"/>
      <c r="I384" s="108"/>
      <c r="J384" s="798">
        <f t="shared" si="35"/>
        <v>-0.17</v>
      </c>
      <c r="K384" s="209"/>
      <c r="L384" s="449"/>
      <c r="M384" s="2168"/>
      <c r="N384" s="772"/>
      <c r="O384" s="772"/>
      <c r="P384" s="772"/>
      <c r="Q384" s="772"/>
      <c r="R384" s="772"/>
      <c r="S384" s="772"/>
      <c r="X384" s="209"/>
      <c r="Y384" s="209"/>
      <c r="Z384" s="209"/>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515"/>
      <c r="AX384" s="820"/>
      <c r="AY384" s="820"/>
      <c r="AZ384" s="820"/>
      <c r="BA384" s="937"/>
      <c r="BB384" s="937"/>
      <c r="BC384" s="2515"/>
      <c r="BD384" s="2515"/>
      <c r="BE384" s="2515"/>
      <c r="BF384" s="2515"/>
      <c r="BH384" s="2515"/>
      <c r="BI384" s="937"/>
      <c r="BJ384" s="937"/>
      <c r="BK384" s="937"/>
      <c r="BL384" s="937"/>
      <c r="BM384" s="937"/>
      <c r="BN384" s="209"/>
      <c r="BO384" s="209"/>
      <c r="BP384" s="209"/>
      <c r="BQ384" s="209"/>
      <c r="BR384" s="209"/>
      <c r="BS384" s="209"/>
      <c r="BT384" s="209"/>
      <c r="BU384" s="820"/>
      <c r="BV384" s="209"/>
      <c r="BW384" s="209"/>
      <c r="BX384" s="209"/>
      <c r="BY384" s="11"/>
      <c r="BZ384" s="11"/>
    </row>
    <row r="385" spans="1:208" s="773" customFormat="1">
      <c r="A385" s="830"/>
      <c r="B385" s="3649" t="s">
        <v>703</v>
      </c>
      <c r="C385" s="197">
        <v>2400050</v>
      </c>
      <c r="D385" s="199" t="s">
        <v>814</v>
      </c>
      <c r="E385" s="3399">
        <f>IFERROR(VLOOKUP(C385,'AJE 12 - INC'!$D$168:$F$345,3,0),0)</f>
        <v>0.03</v>
      </c>
      <c r="F385" s="108">
        <f>SUMIF('AJE 12 - INC'!B:B,'New TB INC'!C385,'AJE 12 - INC'!D:D)</f>
        <v>0</v>
      </c>
      <c r="G385" s="108"/>
      <c r="H385" s="108"/>
      <c r="I385" s="108"/>
      <c r="J385" s="798">
        <f t="shared" si="35"/>
        <v>0.03</v>
      </c>
      <c r="K385" s="209"/>
      <c r="L385" s="449"/>
      <c r="M385" s="2168"/>
      <c r="N385" s="772"/>
      <c r="O385" s="772"/>
      <c r="P385" s="772"/>
      <c r="Q385" s="772"/>
      <c r="R385" s="772"/>
      <c r="S385" s="772"/>
      <c r="X385" s="209"/>
      <c r="Y385" s="209"/>
      <c r="Z385" s="209"/>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515"/>
      <c r="AX385" s="820"/>
      <c r="AY385" s="820"/>
      <c r="AZ385" s="820"/>
      <c r="BA385" s="937"/>
      <c r="BB385" s="937"/>
      <c r="BC385" s="2515"/>
      <c r="BD385" s="2515"/>
      <c r="BE385" s="2515"/>
      <c r="BF385" s="2515"/>
      <c r="BH385" s="2515"/>
      <c r="BI385" s="937"/>
      <c r="BJ385" s="937"/>
      <c r="BK385" s="937"/>
      <c r="BL385" s="937"/>
      <c r="BM385" s="937"/>
      <c r="BN385" s="209"/>
      <c r="BO385" s="209"/>
      <c r="BP385" s="209"/>
      <c r="BQ385" s="209"/>
      <c r="BR385" s="209"/>
      <c r="BS385" s="209"/>
      <c r="BT385" s="209"/>
      <c r="BU385" s="820"/>
      <c r="BV385" s="209"/>
      <c r="BW385" s="209"/>
      <c r="BX385" s="209"/>
      <c r="BY385" s="11"/>
      <c r="BZ385" s="11"/>
    </row>
    <row r="386" spans="1:208" s="773" customFormat="1">
      <c r="A386" s="830"/>
      <c r="B386" s="3649" t="s">
        <v>703</v>
      </c>
      <c r="C386" s="197">
        <v>2400060</v>
      </c>
      <c r="D386" s="199" t="s">
        <v>528</v>
      </c>
      <c r="E386" s="3399">
        <f>IFERROR(VLOOKUP(C386,'AJE 12 - INC'!$D$168:$F$345,3,0),0)</f>
        <v>0.03</v>
      </c>
      <c r="F386" s="108">
        <f>SUMIF('AJE 12 - INC'!B:B,'New TB INC'!C386,'AJE 12 - INC'!D:D)</f>
        <v>0</v>
      </c>
      <c r="G386" s="108"/>
      <c r="H386" s="108"/>
      <c r="I386" s="108"/>
      <c r="J386" s="798">
        <f t="shared" si="35"/>
        <v>0.03</v>
      </c>
      <c r="K386" s="209"/>
      <c r="L386" s="449"/>
      <c r="M386" s="2168"/>
      <c r="N386" s="772"/>
      <c r="O386" s="772"/>
      <c r="P386" s="772"/>
      <c r="Q386" s="772"/>
      <c r="R386" s="772"/>
      <c r="S386" s="772"/>
      <c r="X386" s="209"/>
      <c r="Y386" s="209"/>
      <c r="Z386" s="209"/>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515"/>
      <c r="AX386" s="820"/>
      <c r="AY386" s="820"/>
      <c r="AZ386" s="820"/>
      <c r="BA386" s="937"/>
      <c r="BB386" s="937"/>
      <c r="BC386" s="2515"/>
      <c r="BD386" s="2515"/>
      <c r="BE386" s="2515"/>
      <c r="BF386" s="2515"/>
      <c r="BH386" s="2515"/>
      <c r="BI386" s="937"/>
      <c r="BJ386" s="937"/>
      <c r="BK386" s="937"/>
      <c r="BL386" s="937"/>
      <c r="BM386" s="937"/>
      <c r="BN386" s="209"/>
      <c r="BO386" s="209"/>
      <c r="BP386" s="209"/>
      <c r="BQ386" s="209"/>
      <c r="BR386" s="209"/>
      <c r="BS386" s="209"/>
      <c r="BT386" s="209"/>
      <c r="BU386" s="820"/>
      <c r="BV386" s="209"/>
      <c r="BW386" s="209"/>
      <c r="BX386" s="209"/>
      <c r="BY386" s="11"/>
      <c r="BZ386" s="11"/>
    </row>
    <row r="387" spans="1:208" s="773" customFormat="1">
      <c r="A387" s="830"/>
      <c r="B387" s="3649" t="s">
        <v>703</v>
      </c>
      <c r="C387" s="197">
        <v>2400070</v>
      </c>
      <c r="D387" s="199" t="s">
        <v>816</v>
      </c>
      <c r="E387" s="798">
        <f>IFERROR(VLOOKUP(C387,'AJE 12 - INC'!$D$168:$F$345,3,0),0)</f>
        <v>-0.01</v>
      </c>
      <c r="F387" s="108">
        <f>SUMIF('AJE 12 - INC'!B:B,'New TB INC'!C387,'AJE 12 - INC'!D:D)</f>
        <v>0</v>
      </c>
      <c r="G387" s="108"/>
      <c r="H387" s="108"/>
      <c r="I387" s="108"/>
      <c r="J387" s="798">
        <f t="shared" si="35"/>
        <v>-0.01</v>
      </c>
      <c r="K387" s="209"/>
      <c r="L387" s="449"/>
      <c r="M387" s="2168"/>
      <c r="N387" s="772"/>
      <c r="O387" s="772"/>
      <c r="P387" s="772"/>
      <c r="Q387" s="772"/>
      <c r="R387" s="772"/>
      <c r="S387" s="772"/>
      <c r="AW387" s="2515"/>
      <c r="AX387" s="820"/>
      <c r="AY387" s="820"/>
      <c r="AZ387" s="820"/>
      <c r="BA387" s="937"/>
      <c r="BB387" s="937"/>
      <c r="BC387" s="2515"/>
      <c r="BD387" s="2515"/>
      <c r="BE387" s="2515"/>
      <c r="BF387" s="2515"/>
      <c r="BH387" s="2515"/>
      <c r="BI387" s="937"/>
      <c r="BJ387" s="937"/>
      <c r="BK387" s="937"/>
      <c r="BL387" s="937"/>
      <c r="BM387" s="937"/>
      <c r="BN387" s="209"/>
      <c r="BO387" s="209"/>
      <c r="BP387" s="209"/>
      <c r="BQ387" s="209"/>
      <c r="BR387" s="209"/>
      <c r="BS387" s="209"/>
      <c r="BT387" s="209"/>
      <c r="BU387" s="820"/>
      <c r="BV387" s="209"/>
      <c r="BW387" s="209"/>
      <c r="BX387" s="209"/>
      <c r="BY387" s="11"/>
      <c r="BZ387" s="11"/>
    </row>
    <row r="388" spans="1:208" s="773" customFormat="1">
      <c r="A388" s="830"/>
      <c r="B388" s="3649" t="s">
        <v>703</v>
      </c>
      <c r="C388" s="197">
        <v>2410041</v>
      </c>
      <c r="D388" s="199" t="s">
        <v>520</v>
      </c>
      <c r="E388" s="798">
        <f>IFERROR(VLOOKUP(C388,'AJE 12 - INC'!$D$168:$F$345,3,0),0)</f>
        <v>-5694.8</v>
      </c>
      <c r="F388" s="108">
        <f>SUMIF('AJE 12 - INC'!B:B,'New TB INC'!C388,'AJE 12 - INC'!D:D)</f>
        <v>0</v>
      </c>
      <c r="G388" s="108"/>
      <c r="H388" s="108"/>
      <c r="I388" s="108"/>
      <c r="J388" s="798">
        <f t="shared" si="35"/>
        <v>-5694.8</v>
      </c>
      <c r="K388" s="209"/>
      <c r="L388" s="449"/>
      <c r="M388" s="4227" t="s">
        <v>4951</v>
      </c>
      <c r="N388" s="772"/>
      <c r="O388" s="772"/>
      <c r="P388" s="772"/>
      <c r="Q388" s="772"/>
      <c r="R388" s="772"/>
      <c r="S388" s="772"/>
      <c r="AW388" s="2515"/>
      <c r="AX388" s="820"/>
      <c r="AY388" s="820"/>
      <c r="AZ388" s="820"/>
      <c r="BA388" s="937"/>
      <c r="BB388" s="937"/>
      <c r="BC388" s="2515"/>
      <c r="BD388" s="2515"/>
      <c r="BE388" s="2515"/>
      <c r="BF388" s="2515"/>
      <c r="BH388" s="2515"/>
      <c r="BI388" s="937"/>
      <c r="BJ388" s="937"/>
      <c r="BK388" s="937"/>
      <c r="BL388" s="937"/>
      <c r="BM388" s="937"/>
      <c r="BN388" s="209"/>
      <c r="BO388" s="209"/>
      <c r="BP388" s="209"/>
      <c r="BQ388" s="209"/>
      <c r="BR388" s="209"/>
      <c r="BS388" s="209"/>
      <c r="BT388" s="209"/>
      <c r="BU388" s="820"/>
      <c r="BV388" s="209"/>
      <c r="BW388" s="209"/>
      <c r="BX388" s="209"/>
      <c r="BY388" s="11"/>
      <c r="BZ388" s="11"/>
    </row>
    <row r="389" spans="1:208" s="773" customFormat="1">
      <c r="A389" s="830"/>
      <c r="B389" s="3649" t="s">
        <v>1351</v>
      </c>
      <c r="C389" s="197">
        <v>2410042</v>
      </c>
      <c r="D389" s="199" t="s">
        <v>818</v>
      </c>
      <c r="E389" s="798">
        <f>IFERROR(VLOOKUP(C389,'AJE 12 - INC'!$D$168:$F$345,3,0),0)</f>
        <v>0.04</v>
      </c>
      <c r="F389" s="108">
        <f>SUMIF('AJE 12 - INC'!B:B,'New TB INC'!C389,'AJE 12 - INC'!D:D)</f>
        <v>0</v>
      </c>
      <c r="G389" s="108"/>
      <c r="H389" s="108"/>
      <c r="I389" s="108"/>
      <c r="J389" s="798">
        <f t="shared" si="35"/>
        <v>0.04</v>
      </c>
      <c r="K389" s="209"/>
      <c r="L389" s="449"/>
      <c r="M389" s="2168"/>
      <c r="N389" s="772"/>
      <c r="O389" s="772"/>
      <c r="P389" s="772"/>
      <c r="Q389" s="772"/>
      <c r="R389" s="772"/>
      <c r="S389" s="772"/>
      <c r="AW389" s="2515"/>
      <c r="AX389" s="820"/>
      <c r="AY389" s="820"/>
      <c r="AZ389" s="820"/>
      <c r="BA389" s="937"/>
      <c r="BB389" s="937"/>
      <c r="BC389" s="2515"/>
      <c r="BD389" s="2515"/>
      <c r="BE389" s="2515"/>
      <c r="BF389" s="2515"/>
      <c r="BH389" s="2515"/>
      <c r="BI389" s="937"/>
      <c r="BJ389" s="937"/>
      <c r="BK389" s="937"/>
      <c r="BL389" s="937"/>
      <c r="BM389" s="937"/>
      <c r="BN389" s="209"/>
      <c r="BO389" s="209"/>
      <c r="BP389" s="209"/>
      <c r="BQ389" s="209"/>
      <c r="BR389" s="209"/>
      <c r="BS389" s="209"/>
      <c r="BT389" s="209"/>
      <c r="BU389" s="820"/>
      <c r="BV389" s="209"/>
      <c r="BW389" s="209"/>
      <c r="BX389" s="209"/>
      <c r="BY389" s="11"/>
      <c r="BZ389" s="11"/>
    </row>
    <row r="390" spans="1:208" s="773" customFormat="1">
      <c r="A390" s="830"/>
      <c r="B390" s="3649" t="s">
        <v>782</v>
      </c>
      <c r="C390" s="197">
        <v>2410008</v>
      </c>
      <c r="D390" s="199" t="s">
        <v>817</v>
      </c>
      <c r="E390" s="798">
        <f>IFERROR(VLOOKUP(C390,'AJE 12 - INC'!$D$168:$F$345,3,0),0)</f>
        <v>-10461.85</v>
      </c>
      <c r="F390" s="108">
        <f>SUMIF('AJE 12 - INC'!B:B,'New TB INC'!C390,'AJE 12 - INC'!D:D)</f>
        <v>0</v>
      </c>
      <c r="G390" s="108"/>
      <c r="H390" s="108"/>
      <c r="I390" s="108"/>
      <c r="J390" s="798">
        <f t="shared" si="35"/>
        <v>-10461.85</v>
      </c>
      <c r="K390" s="209"/>
      <c r="L390" s="449"/>
      <c r="M390" s="1215" t="s">
        <v>3264</v>
      </c>
      <c r="N390" s="772"/>
      <c r="O390" s="772"/>
      <c r="P390" s="772"/>
      <c r="Q390" s="772"/>
      <c r="R390" s="772"/>
      <c r="S390" s="772"/>
      <c r="AW390" s="2515"/>
      <c r="AX390" s="820"/>
      <c r="AY390" s="820"/>
      <c r="AZ390" s="820"/>
      <c r="BA390" s="937"/>
      <c r="BB390" s="937"/>
      <c r="BC390" s="2515"/>
      <c r="BD390" s="2515"/>
      <c r="BE390" s="2515"/>
      <c r="BF390" s="2515"/>
      <c r="BH390" s="2515"/>
      <c r="BI390" s="937"/>
      <c r="BJ390" s="937"/>
      <c r="BK390" s="937"/>
      <c r="BL390" s="937"/>
      <c r="BM390" s="937"/>
      <c r="BN390" s="209"/>
      <c r="BO390" s="209"/>
      <c r="BP390" s="209"/>
      <c r="BQ390" s="209"/>
      <c r="BR390" s="209"/>
      <c r="BS390" s="209"/>
      <c r="BT390" s="209"/>
      <c r="BU390" s="820"/>
      <c r="BV390" s="209"/>
      <c r="BW390" s="209"/>
      <c r="BX390" s="209"/>
      <c r="BY390" s="11"/>
      <c r="BZ390" s="11"/>
    </row>
    <row r="391" spans="1:208" s="11" customFormat="1">
      <c r="A391" s="780"/>
      <c r="B391" s="3761"/>
      <c r="C391" s="157"/>
      <c r="D391" s="167"/>
      <c r="E391" s="203"/>
      <c r="F391" s="769"/>
      <c r="G391" s="769"/>
      <c r="H391" s="769"/>
      <c r="I391" s="769"/>
      <c r="J391" s="805"/>
      <c r="K391" s="209"/>
      <c r="L391" s="434"/>
      <c r="M391" s="771"/>
      <c r="N391" s="613"/>
      <c r="O391" s="613"/>
      <c r="P391" s="613"/>
      <c r="Q391" s="613"/>
      <c r="R391" s="613"/>
      <c r="S391" s="613"/>
      <c r="T391" s="613"/>
      <c r="U391" s="613"/>
      <c r="V391" s="613"/>
      <c r="W391" s="613"/>
      <c r="X391" s="613"/>
      <c r="Y391" s="613"/>
      <c r="Z391" s="613"/>
      <c r="AA391" s="613"/>
      <c r="AB391" s="613"/>
      <c r="AC391" s="613"/>
      <c r="AD391" s="613"/>
      <c r="AE391" s="613"/>
      <c r="AF391" s="613"/>
      <c r="AG391" s="613"/>
      <c r="AH391" s="613"/>
      <c r="AI391" s="613"/>
      <c r="AJ391" s="613"/>
      <c r="AK391" s="613"/>
      <c r="AL391" s="613"/>
      <c r="AM391" s="613"/>
      <c r="AN391" s="613"/>
      <c r="AO391" s="613"/>
      <c r="AP391" s="613"/>
      <c r="AQ391" s="613"/>
      <c r="AR391" s="613"/>
      <c r="AS391" s="613"/>
      <c r="AT391" s="613"/>
      <c r="AU391" s="613"/>
      <c r="AV391" s="613"/>
      <c r="AW391" s="2511"/>
      <c r="AX391" s="613"/>
      <c r="AY391" s="820"/>
      <c r="AZ391" s="820"/>
      <c r="BA391" s="209"/>
      <c r="BB391" s="209"/>
      <c r="BC391" s="2511"/>
      <c r="BD391" s="2511"/>
      <c r="BE391" s="2511"/>
      <c r="BF391" s="2511"/>
      <c r="BH391" s="2511"/>
      <c r="BI391" s="209"/>
      <c r="BJ391" s="209"/>
      <c r="BK391" s="209"/>
      <c r="BL391" s="209"/>
      <c r="BM391" s="209"/>
      <c r="BN391" s="209"/>
      <c r="BO391" s="209"/>
      <c r="BP391" s="209"/>
      <c r="BQ391" s="209"/>
      <c r="BR391" s="209"/>
      <c r="BS391" s="209"/>
      <c r="BT391" s="209"/>
      <c r="BU391" s="820"/>
      <c r="BV391" s="209"/>
      <c r="BW391" s="209"/>
      <c r="BX391" s="799"/>
      <c r="DB391" s="773"/>
      <c r="DC391" s="773"/>
      <c r="DD391" s="773"/>
      <c r="DE391" s="773"/>
      <c r="DF391" s="773"/>
      <c r="DG391" s="773"/>
      <c r="DH391" s="773"/>
      <c r="DI391" s="773"/>
      <c r="DJ391" s="773"/>
      <c r="DK391" s="773"/>
      <c r="DL391" s="773"/>
      <c r="DM391" s="773"/>
      <c r="DN391" s="773"/>
      <c r="DO391" s="773"/>
      <c r="DP391" s="773"/>
      <c r="DQ391" s="773"/>
      <c r="DR391" s="773"/>
      <c r="DS391" s="773"/>
      <c r="DT391" s="773"/>
      <c r="DU391" s="773"/>
      <c r="DV391" s="773"/>
      <c r="DW391" s="773"/>
      <c r="DX391" s="773"/>
      <c r="DY391" s="773"/>
      <c r="DZ391" s="773"/>
      <c r="EA391" s="773"/>
      <c r="EB391" s="773"/>
      <c r="EC391" s="773"/>
      <c r="ED391" s="773"/>
      <c r="EE391" s="773"/>
      <c r="EF391" s="773"/>
      <c r="EG391" s="773"/>
      <c r="EH391" s="773"/>
      <c r="EI391" s="773"/>
      <c r="EJ391" s="773"/>
      <c r="EK391" s="773"/>
      <c r="EL391" s="773"/>
      <c r="EM391" s="773"/>
      <c r="EN391" s="773"/>
      <c r="EO391" s="773"/>
      <c r="EP391" s="773"/>
      <c r="EQ391" s="773"/>
      <c r="ER391" s="773"/>
      <c r="ES391" s="773"/>
      <c r="ET391" s="773"/>
      <c r="EU391" s="773"/>
      <c r="EV391" s="773"/>
      <c r="EW391" s="773"/>
      <c r="EX391" s="773"/>
      <c r="EY391" s="773"/>
      <c r="EZ391" s="773"/>
      <c r="FA391" s="773"/>
      <c r="FB391" s="773"/>
      <c r="FC391" s="773"/>
      <c r="FD391" s="773"/>
      <c r="FE391" s="773"/>
      <c r="FF391" s="773"/>
      <c r="FG391" s="773"/>
      <c r="FH391" s="773"/>
      <c r="FI391" s="773"/>
      <c r="FJ391" s="773"/>
      <c r="FK391" s="773"/>
      <c r="FL391" s="773"/>
      <c r="FM391" s="773"/>
      <c r="FN391" s="773"/>
      <c r="FO391" s="773"/>
      <c r="FP391" s="773"/>
      <c r="FQ391" s="773"/>
      <c r="FR391" s="773"/>
      <c r="FS391" s="773"/>
      <c r="FT391" s="773"/>
      <c r="FU391" s="773"/>
      <c r="FV391" s="773"/>
      <c r="FW391" s="773"/>
      <c r="FX391" s="773"/>
      <c r="FY391" s="773"/>
      <c r="FZ391" s="773"/>
      <c r="GA391" s="773"/>
      <c r="GB391" s="773"/>
      <c r="GC391" s="773"/>
      <c r="GD391" s="773"/>
      <c r="GE391" s="773"/>
      <c r="GF391" s="773"/>
      <c r="GG391" s="773"/>
      <c r="GH391" s="773"/>
      <c r="GI391" s="773"/>
      <c r="GJ391" s="773"/>
      <c r="GK391" s="773"/>
      <c r="GL391" s="773"/>
      <c r="GM391" s="773"/>
      <c r="GN391" s="773"/>
      <c r="GO391" s="773"/>
      <c r="GP391" s="773"/>
      <c r="GQ391" s="773"/>
      <c r="GR391" s="773"/>
      <c r="GS391" s="773"/>
      <c r="GT391" s="773"/>
      <c r="GU391" s="773"/>
      <c r="GV391" s="773"/>
      <c r="GW391" s="773"/>
      <c r="GX391" s="773"/>
      <c r="GY391" s="773"/>
      <c r="GZ391" s="773"/>
    </row>
    <row r="392" spans="1:208" s="11" customFormat="1">
      <c r="A392" s="780"/>
      <c r="B392" s="3761"/>
      <c r="C392" s="447"/>
      <c r="D392" s="2154"/>
      <c r="E392" s="2155">
        <f t="shared" ref="E392:J392" si="39">SUM(E349:E391)</f>
        <v>-1565918.37</v>
      </c>
      <c r="F392" s="2155">
        <f t="shared" si="39"/>
        <v>0</v>
      </c>
      <c r="G392" s="2155">
        <f t="shared" si="39"/>
        <v>0</v>
      </c>
      <c r="H392" s="2155">
        <f t="shared" si="39"/>
        <v>0</v>
      </c>
      <c r="I392" s="2155">
        <f t="shared" si="39"/>
        <v>0</v>
      </c>
      <c r="J392" s="2155">
        <f t="shared" si="39"/>
        <v>-1565918.37</v>
      </c>
      <c r="K392" s="209"/>
      <c r="L392" s="434"/>
      <c r="M392" s="771"/>
      <c r="N392" s="613"/>
      <c r="O392" s="613"/>
      <c r="P392" s="613"/>
      <c r="Q392" s="613"/>
      <c r="R392" s="613"/>
      <c r="S392" s="613"/>
      <c r="T392" s="613"/>
      <c r="U392" s="613"/>
      <c r="V392" s="613"/>
      <c r="W392" s="613"/>
      <c r="X392" s="613"/>
      <c r="Y392" s="613"/>
      <c r="Z392" s="613"/>
      <c r="AA392" s="613"/>
      <c r="AB392" s="613"/>
      <c r="AC392" s="613"/>
      <c r="AD392" s="613"/>
      <c r="AE392" s="613"/>
      <c r="AF392" s="613"/>
      <c r="AG392" s="613"/>
      <c r="AH392" s="613"/>
      <c r="AI392" s="613"/>
      <c r="AJ392" s="613"/>
      <c r="AK392" s="613"/>
      <c r="AL392" s="613"/>
      <c r="AM392" s="613"/>
      <c r="AN392" s="613"/>
      <c r="AO392" s="613"/>
      <c r="AP392" s="613"/>
      <c r="AQ392" s="613"/>
      <c r="AR392" s="613"/>
      <c r="AS392" s="613"/>
      <c r="AT392" s="613"/>
      <c r="AU392" s="613"/>
      <c r="AV392" s="613"/>
      <c r="AW392" s="2515"/>
      <c r="AX392" s="613"/>
      <c r="AY392" s="820"/>
      <c r="AZ392" s="820"/>
      <c r="BA392" s="937"/>
      <c r="BB392" s="937"/>
      <c r="BC392" s="2515"/>
      <c r="BD392" s="2515"/>
      <c r="BE392" s="2515"/>
      <c r="BF392" s="2515"/>
      <c r="BH392" s="2515"/>
      <c r="BI392" s="937"/>
      <c r="BJ392" s="937"/>
      <c r="BK392" s="937"/>
      <c r="BL392" s="937"/>
      <c r="BM392" s="937"/>
      <c r="BN392" s="209"/>
      <c r="BO392" s="209"/>
      <c r="BP392" s="209"/>
      <c r="BQ392" s="209"/>
      <c r="BR392" s="209"/>
      <c r="BS392" s="209"/>
      <c r="BT392" s="209"/>
      <c r="BU392" s="820"/>
      <c r="BV392" s="209"/>
      <c r="BW392" s="209"/>
      <c r="BX392" s="799"/>
      <c r="DB392" s="773"/>
      <c r="DC392" s="773"/>
      <c r="DD392" s="773"/>
      <c r="DE392" s="773"/>
      <c r="DF392" s="773"/>
      <c r="DG392" s="773"/>
      <c r="DH392" s="773"/>
      <c r="DI392" s="773"/>
      <c r="DJ392" s="773"/>
      <c r="DK392" s="773"/>
      <c r="DL392" s="773"/>
      <c r="DM392" s="773"/>
      <c r="DN392" s="773"/>
      <c r="DO392" s="773"/>
      <c r="DP392" s="773"/>
      <c r="DQ392" s="773"/>
      <c r="DR392" s="773"/>
      <c r="DS392" s="773"/>
      <c r="DT392" s="773"/>
      <c r="DU392" s="773"/>
      <c r="DV392" s="773"/>
      <c r="DW392" s="773"/>
      <c r="DX392" s="773"/>
      <c r="DY392" s="773"/>
      <c r="DZ392" s="773"/>
      <c r="EA392" s="773"/>
      <c r="EB392" s="773"/>
      <c r="EC392" s="773"/>
      <c r="ED392" s="773"/>
      <c r="EE392" s="773"/>
      <c r="EF392" s="773"/>
      <c r="EG392" s="773"/>
      <c r="EH392" s="773"/>
      <c r="EI392" s="773"/>
      <c r="EJ392" s="773"/>
      <c r="EK392" s="773"/>
      <c r="EL392" s="773"/>
      <c r="EM392" s="773"/>
      <c r="EN392" s="773"/>
      <c r="EO392" s="773"/>
      <c r="EP392" s="773"/>
      <c r="EQ392" s="773"/>
      <c r="ER392" s="773"/>
      <c r="ES392" s="773"/>
      <c r="ET392" s="773"/>
      <c r="EU392" s="773"/>
      <c r="EV392" s="773"/>
      <c r="EW392" s="773"/>
      <c r="EX392" s="773"/>
      <c r="EY392" s="773"/>
      <c r="EZ392" s="773"/>
      <c r="FA392" s="773"/>
      <c r="FB392" s="773"/>
      <c r="FC392" s="773"/>
      <c r="FD392" s="773"/>
      <c r="FE392" s="773"/>
      <c r="FF392" s="773"/>
      <c r="FG392" s="773"/>
      <c r="FH392" s="773"/>
      <c r="FI392" s="773"/>
      <c r="FJ392" s="773"/>
      <c r="FK392" s="773"/>
      <c r="FL392" s="773"/>
      <c r="FM392" s="773"/>
      <c r="FN392" s="773"/>
      <c r="FO392" s="773"/>
      <c r="FP392" s="773"/>
      <c r="FQ392" s="773"/>
      <c r="FR392" s="773"/>
      <c r="FS392" s="773"/>
      <c r="FT392" s="773"/>
      <c r="FU392" s="773"/>
      <c r="FV392" s="773"/>
      <c r="FW392" s="773"/>
      <c r="FX392" s="773"/>
      <c r="FY392" s="773"/>
      <c r="FZ392" s="773"/>
      <c r="GA392" s="773"/>
      <c r="GB392" s="773"/>
      <c r="GC392" s="773"/>
      <c r="GD392" s="773"/>
      <c r="GE392" s="773"/>
      <c r="GF392" s="773"/>
      <c r="GG392" s="773"/>
      <c r="GH392" s="773"/>
      <c r="GI392" s="773"/>
      <c r="GJ392" s="773"/>
      <c r="GK392" s="773"/>
      <c r="GL392" s="773"/>
      <c r="GM392" s="773"/>
      <c r="GN392" s="773"/>
      <c r="GO392" s="773"/>
      <c r="GP392" s="773"/>
      <c r="GQ392" s="773"/>
      <c r="GR392" s="773"/>
      <c r="GS392" s="773"/>
      <c r="GT392" s="773"/>
      <c r="GU392" s="773"/>
      <c r="GV392" s="773"/>
      <c r="GW392" s="773"/>
      <c r="GX392" s="773"/>
      <c r="GY392" s="773"/>
      <c r="GZ392" s="773"/>
    </row>
    <row r="393" spans="1:208" s="11" customFormat="1">
      <c r="A393" s="780"/>
      <c r="B393" s="3761"/>
      <c r="C393" s="197"/>
      <c r="D393" s="174" t="s">
        <v>194</v>
      </c>
      <c r="E393" s="796"/>
      <c r="F393" s="839"/>
      <c r="G393" s="769"/>
      <c r="H393" s="769"/>
      <c r="I393" s="839"/>
      <c r="J393" s="771"/>
      <c r="K393" s="209"/>
      <c r="L393" s="434"/>
      <c r="M393" s="771"/>
      <c r="N393" s="613"/>
      <c r="O393" s="613"/>
      <c r="P393" s="613"/>
      <c r="Q393" s="613"/>
      <c r="R393" s="613"/>
      <c r="S393" s="613"/>
      <c r="T393" s="613"/>
      <c r="U393" s="613"/>
      <c r="V393" s="613"/>
      <c r="W393" s="613"/>
      <c r="X393" s="613"/>
      <c r="Y393" s="613"/>
      <c r="Z393" s="613"/>
      <c r="AA393" s="613"/>
      <c r="AB393" s="613"/>
      <c r="AC393" s="613"/>
      <c r="AD393" s="613"/>
      <c r="AE393" s="613"/>
      <c r="AF393" s="613"/>
      <c r="AG393" s="613"/>
      <c r="AH393" s="613"/>
      <c r="AI393" s="613"/>
      <c r="AJ393" s="613"/>
      <c r="AK393" s="613"/>
      <c r="AL393" s="613"/>
      <c r="AM393" s="613"/>
      <c r="AN393" s="613"/>
      <c r="AO393" s="613"/>
      <c r="AP393" s="613"/>
      <c r="AQ393" s="613"/>
      <c r="AR393" s="613"/>
      <c r="AS393" s="613"/>
      <c r="AT393" s="613"/>
      <c r="AU393" s="613"/>
      <c r="AV393" s="613"/>
      <c r="AW393" s="2515"/>
      <c r="AX393" s="613"/>
      <c r="AY393" s="820"/>
      <c r="AZ393" s="820"/>
      <c r="BA393" s="937"/>
      <c r="BB393" s="937"/>
      <c r="BC393" s="2515"/>
      <c r="BD393" s="2515"/>
      <c r="BE393" s="2515"/>
      <c r="BF393" s="2515"/>
      <c r="BH393" s="2515"/>
      <c r="BI393" s="937"/>
      <c r="BJ393" s="937"/>
      <c r="BK393" s="937"/>
      <c r="BL393" s="937"/>
      <c r="BM393" s="937"/>
      <c r="BN393" s="209"/>
      <c r="BO393" s="209"/>
      <c r="BP393" s="209"/>
      <c r="BQ393" s="209"/>
      <c r="BR393" s="209"/>
      <c r="BS393" s="209"/>
      <c r="BT393" s="209"/>
      <c r="BU393" s="820"/>
      <c r="BV393" s="209"/>
      <c r="BW393" s="209"/>
      <c r="BX393" s="799"/>
      <c r="DB393" s="773"/>
      <c r="DC393" s="773"/>
      <c r="DD393" s="773"/>
      <c r="DE393" s="773"/>
      <c r="DF393" s="773"/>
      <c r="DG393" s="773"/>
      <c r="DH393" s="773"/>
      <c r="DI393" s="773"/>
      <c r="DJ393" s="773"/>
      <c r="DK393" s="773"/>
      <c r="DL393" s="773"/>
      <c r="DM393" s="773"/>
      <c r="DN393" s="773"/>
      <c r="DO393" s="773"/>
      <c r="DP393" s="773"/>
      <c r="DQ393" s="773"/>
      <c r="DR393" s="773"/>
      <c r="DS393" s="773"/>
      <c r="DT393" s="773"/>
      <c r="DU393" s="773"/>
      <c r="DV393" s="773"/>
      <c r="DW393" s="773"/>
      <c r="DX393" s="773"/>
      <c r="DY393" s="773"/>
      <c r="DZ393" s="773"/>
      <c r="EA393" s="773"/>
      <c r="EB393" s="773"/>
      <c r="EC393" s="773"/>
      <c r="ED393" s="773"/>
      <c r="EE393" s="773"/>
      <c r="EF393" s="773"/>
      <c r="EG393" s="773"/>
      <c r="EH393" s="773"/>
      <c r="EI393" s="773"/>
      <c r="EJ393" s="773"/>
      <c r="EK393" s="773"/>
      <c r="EL393" s="773"/>
      <c r="EM393" s="773"/>
      <c r="EN393" s="773"/>
      <c r="EO393" s="773"/>
      <c r="EP393" s="773"/>
      <c r="EQ393" s="773"/>
      <c r="ER393" s="773"/>
      <c r="ES393" s="773"/>
      <c r="ET393" s="773"/>
      <c r="EU393" s="773"/>
      <c r="EV393" s="773"/>
      <c r="EW393" s="773"/>
      <c r="EX393" s="773"/>
      <c r="EY393" s="773"/>
      <c r="EZ393" s="773"/>
      <c r="FA393" s="773"/>
      <c r="FB393" s="773"/>
      <c r="FC393" s="773"/>
      <c r="FD393" s="773"/>
      <c r="FE393" s="773"/>
      <c r="FF393" s="773"/>
      <c r="FG393" s="773"/>
      <c r="FH393" s="773"/>
      <c r="FI393" s="773"/>
      <c r="FJ393" s="773"/>
      <c r="FK393" s="773"/>
      <c r="FL393" s="773"/>
      <c r="FM393" s="773"/>
      <c r="FN393" s="773"/>
      <c r="FO393" s="773"/>
      <c r="FP393" s="773"/>
      <c r="FQ393" s="773"/>
      <c r="FR393" s="773"/>
      <c r="FS393" s="773"/>
      <c r="FT393" s="773"/>
      <c r="FU393" s="773"/>
      <c r="FV393" s="773"/>
      <c r="FW393" s="773"/>
      <c r="FX393" s="773"/>
      <c r="FY393" s="773"/>
      <c r="FZ393" s="773"/>
      <c r="GA393" s="773"/>
      <c r="GB393" s="773"/>
      <c r="GC393" s="773"/>
      <c r="GD393" s="773"/>
      <c r="GE393" s="773"/>
      <c r="GF393" s="773"/>
      <c r="GG393" s="773"/>
      <c r="GH393" s="773"/>
      <c r="GI393" s="773"/>
      <c r="GJ393" s="773"/>
      <c r="GK393" s="773"/>
      <c r="GL393" s="773"/>
      <c r="GM393" s="773"/>
      <c r="GN393" s="773"/>
      <c r="GO393" s="773"/>
      <c r="GP393" s="773"/>
      <c r="GQ393" s="773"/>
      <c r="GR393" s="773"/>
      <c r="GS393" s="773"/>
      <c r="GT393" s="773"/>
      <c r="GU393" s="773"/>
      <c r="GV393" s="773"/>
      <c r="GW393" s="773"/>
      <c r="GX393" s="773"/>
      <c r="GY393" s="773"/>
      <c r="GZ393" s="773"/>
    </row>
    <row r="394" spans="1:208" s="11" customFormat="1">
      <c r="A394" s="780"/>
      <c r="B394" s="3762" t="s">
        <v>693</v>
      </c>
      <c r="C394" s="197">
        <v>53501</v>
      </c>
      <c r="D394" s="199" t="s">
        <v>694</v>
      </c>
      <c r="E394" s="42">
        <f>IFERROR(VLOOKUP(C394,'AJE 12 - INC'!$D$168:$F$345,3,0),0)</f>
        <v>-12465207.800000001</v>
      </c>
      <c r="F394" s="108">
        <f>SUMIF('AJE 12 - INC'!B:B,'New TB INC'!C394,'AJE 12 - INC'!D:D)</f>
        <v>0</v>
      </c>
      <c r="G394" s="108"/>
      <c r="H394" s="108"/>
      <c r="I394" s="108"/>
      <c r="J394" s="803">
        <f t="shared" ref="J394:J402" si="40">SUM(E394:I394)</f>
        <v>-12465207.800000001</v>
      </c>
      <c r="K394" s="209"/>
      <c r="L394" s="434"/>
      <c r="M394" s="771"/>
      <c r="N394" s="613"/>
      <c r="O394" s="613"/>
      <c r="P394" s="613"/>
      <c r="Q394" s="613"/>
      <c r="R394" s="613"/>
      <c r="S394" s="613"/>
      <c r="T394" s="613"/>
      <c r="U394" s="613"/>
      <c r="V394" s="613"/>
      <c r="W394" s="613"/>
      <c r="X394" s="613"/>
      <c r="Y394" s="613"/>
      <c r="Z394" s="613"/>
      <c r="AA394" s="613"/>
      <c r="AB394" s="613"/>
      <c r="AC394" s="613"/>
      <c r="AD394" s="613"/>
      <c r="AE394" s="613"/>
      <c r="AF394" s="613"/>
      <c r="AG394" s="613"/>
      <c r="AH394" s="613"/>
      <c r="AI394" s="613"/>
      <c r="AJ394" s="613"/>
      <c r="AK394" s="613"/>
      <c r="AL394" s="613"/>
      <c r="AM394" s="613"/>
      <c r="AN394" s="613"/>
      <c r="AO394" s="613"/>
      <c r="AP394" s="613"/>
      <c r="AQ394" s="613"/>
      <c r="AR394" s="613"/>
      <c r="AS394" s="613"/>
      <c r="AT394" s="613"/>
      <c r="AU394" s="613"/>
      <c r="AV394" s="613"/>
      <c r="AW394" s="2515"/>
      <c r="AX394" s="613"/>
      <c r="AY394" s="820"/>
      <c r="AZ394" s="820"/>
      <c r="BA394" s="937"/>
      <c r="BB394" s="937"/>
      <c r="BC394" s="2515"/>
      <c r="BD394" s="2515"/>
      <c r="BE394" s="2515"/>
      <c r="BF394" s="2515"/>
      <c r="BH394" s="2515"/>
      <c r="BI394" s="937"/>
      <c r="BJ394" s="937"/>
      <c r="BK394" s="937"/>
      <c r="BL394" s="937"/>
      <c r="BM394" s="937"/>
      <c r="BN394" s="209"/>
      <c r="BO394" s="209"/>
      <c r="BP394" s="209"/>
      <c r="BQ394" s="209"/>
      <c r="BR394" s="209"/>
      <c r="BS394" s="209"/>
      <c r="BT394" s="209"/>
      <c r="BU394" s="820"/>
      <c r="BV394" s="209"/>
      <c r="BW394" s="209"/>
      <c r="BX394" s="799"/>
      <c r="DB394" s="773"/>
      <c r="DC394" s="773"/>
      <c r="DD394" s="773"/>
      <c r="DE394" s="773"/>
      <c r="DF394" s="773"/>
      <c r="DG394" s="773"/>
      <c r="DH394" s="773"/>
      <c r="DI394" s="773"/>
      <c r="DJ394" s="773"/>
      <c r="DK394" s="773"/>
      <c r="DL394" s="773"/>
      <c r="DM394" s="773"/>
      <c r="DN394" s="773"/>
      <c r="DO394" s="773"/>
      <c r="DP394" s="773"/>
      <c r="DQ394" s="773"/>
      <c r="DR394" s="773"/>
      <c r="DS394" s="773"/>
      <c r="DT394" s="773"/>
      <c r="DU394" s="773"/>
      <c r="DV394" s="773"/>
      <c r="DW394" s="773"/>
      <c r="DX394" s="773"/>
      <c r="DY394" s="773"/>
      <c r="DZ394" s="773"/>
      <c r="EA394" s="773"/>
      <c r="EB394" s="773"/>
      <c r="EC394" s="773"/>
      <c r="ED394" s="773"/>
      <c r="EE394" s="773"/>
      <c r="EF394" s="773"/>
      <c r="EG394" s="773"/>
      <c r="EH394" s="773"/>
      <c r="EI394" s="773"/>
      <c r="EJ394" s="773"/>
      <c r="EK394" s="773"/>
      <c r="EL394" s="773"/>
      <c r="EM394" s="773"/>
      <c r="EN394" s="773"/>
      <c r="EO394" s="773"/>
      <c r="EP394" s="773"/>
      <c r="EQ394" s="773"/>
      <c r="ER394" s="773"/>
      <c r="ES394" s="773"/>
      <c r="ET394" s="773"/>
      <c r="EU394" s="773"/>
      <c r="EV394" s="773"/>
      <c r="EW394" s="773"/>
      <c r="EX394" s="773"/>
      <c r="EY394" s="773"/>
      <c r="EZ394" s="773"/>
      <c r="FA394" s="773"/>
      <c r="FB394" s="773"/>
      <c r="FC394" s="773"/>
      <c r="FD394" s="773"/>
      <c r="FE394" s="773"/>
      <c r="FF394" s="773"/>
      <c r="FG394" s="773"/>
      <c r="FH394" s="773"/>
      <c r="FI394" s="773"/>
      <c r="FJ394" s="773"/>
      <c r="FK394" s="773"/>
      <c r="FL394" s="773"/>
      <c r="FM394" s="773"/>
      <c r="FN394" s="773"/>
      <c r="FO394" s="773"/>
      <c r="FP394" s="773"/>
      <c r="FQ394" s="773"/>
      <c r="FR394" s="773"/>
      <c r="FS394" s="773"/>
      <c r="FT394" s="773"/>
      <c r="FU394" s="773"/>
      <c r="FV394" s="773"/>
      <c r="FW394" s="773"/>
      <c r="FX394" s="773"/>
      <c r="FY394" s="773"/>
      <c r="FZ394" s="773"/>
      <c r="GA394" s="773"/>
      <c r="GB394" s="773"/>
      <c r="GC394" s="773"/>
      <c r="GD394" s="773"/>
      <c r="GE394" s="773"/>
      <c r="GF394" s="773"/>
      <c r="GG394" s="773"/>
      <c r="GH394" s="773"/>
      <c r="GI394" s="773"/>
      <c r="GJ394" s="773"/>
      <c r="GK394" s="773"/>
      <c r="GL394" s="773"/>
      <c r="GM394" s="773"/>
      <c r="GN394" s="773"/>
      <c r="GO394" s="773"/>
      <c r="GP394" s="773"/>
      <c r="GQ394" s="773"/>
      <c r="GR394" s="773"/>
      <c r="GS394" s="773"/>
      <c r="GT394" s="773"/>
      <c r="GU394" s="773"/>
      <c r="GV394" s="773"/>
      <c r="GW394" s="773"/>
      <c r="GX394" s="773"/>
      <c r="GY394" s="773"/>
      <c r="GZ394" s="773"/>
    </row>
    <row r="395" spans="1:208" s="11" customFormat="1">
      <c r="A395" s="780"/>
      <c r="B395" s="3762" t="s">
        <v>693</v>
      </c>
      <c r="C395" s="197">
        <v>53502</v>
      </c>
      <c r="D395" s="199" t="s">
        <v>695</v>
      </c>
      <c r="E395" s="42">
        <f>IFERROR(VLOOKUP(C395,'AJE 12 - INC'!$D$168:$F$345,3,0),0)</f>
        <v>-35448.35</v>
      </c>
      <c r="F395" s="108">
        <f>SUMIF('AJE 12 - INC'!B:B,'New TB INC'!C395,'AJE 12 - INC'!D:D)</f>
        <v>0</v>
      </c>
      <c r="G395" s="108"/>
      <c r="H395" s="108"/>
      <c r="I395" s="108"/>
      <c r="J395" s="798">
        <f>SUM(E395:I395)</f>
        <v>-35448.35</v>
      </c>
      <c r="K395" s="209"/>
      <c r="L395" s="434"/>
      <c r="M395" s="771"/>
      <c r="N395" s="613"/>
      <c r="O395" s="613"/>
      <c r="P395" s="613"/>
      <c r="Q395" s="613"/>
      <c r="R395" s="613"/>
      <c r="S395" s="613"/>
      <c r="T395" s="613"/>
      <c r="U395" s="613"/>
      <c r="V395" s="613"/>
      <c r="W395" s="613"/>
      <c r="X395" s="613"/>
      <c r="Y395" s="613"/>
      <c r="Z395" s="613"/>
      <c r="AA395" s="613"/>
      <c r="AB395" s="613"/>
      <c r="AC395" s="613"/>
      <c r="AD395" s="613"/>
      <c r="AE395" s="613"/>
      <c r="AF395" s="613"/>
      <c r="AG395" s="613"/>
      <c r="AH395" s="613"/>
      <c r="AI395" s="613"/>
      <c r="AJ395" s="613"/>
      <c r="AK395" s="613"/>
      <c r="AL395" s="613"/>
      <c r="AM395" s="613"/>
      <c r="AN395" s="613"/>
      <c r="AO395" s="613"/>
      <c r="AP395" s="613"/>
      <c r="AQ395" s="613"/>
      <c r="AR395" s="613"/>
      <c r="AS395" s="613"/>
      <c r="AT395" s="613"/>
      <c r="AU395" s="613"/>
      <c r="AV395" s="613"/>
      <c r="AW395" s="2515"/>
      <c r="AX395" s="613"/>
      <c r="AY395" s="820"/>
      <c r="AZ395" s="820"/>
      <c r="BA395" s="937"/>
      <c r="BB395" s="937"/>
      <c r="BC395" s="2515"/>
      <c r="BD395" s="2515"/>
      <c r="BE395" s="2515"/>
      <c r="BF395" s="2515"/>
      <c r="BH395" s="2515"/>
      <c r="BI395" s="937"/>
      <c r="BJ395" s="937"/>
      <c r="BK395" s="937"/>
      <c r="BL395" s="937"/>
      <c r="BM395" s="937"/>
      <c r="BN395" s="209"/>
      <c r="BO395" s="209"/>
      <c r="BP395" s="209"/>
      <c r="BQ395" s="209"/>
      <c r="BR395" s="209"/>
      <c r="BS395" s="209"/>
      <c r="BT395" s="209"/>
      <c r="BU395" s="820"/>
      <c r="BV395" s="209"/>
      <c r="BW395" s="209"/>
      <c r="BX395" s="799"/>
      <c r="DB395" s="773"/>
      <c r="DC395" s="773"/>
      <c r="DD395" s="773"/>
      <c r="DE395" s="773"/>
      <c r="DF395" s="773"/>
      <c r="DG395" s="773"/>
      <c r="DH395" s="773"/>
      <c r="DI395" s="773"/>
      <c r="DJ395" s="773"/>
      <c r="DK395" s="773"/>
      <c r="DL395" s="773"/>
      <c r="DM395" s="773"/>
      <c r="DN395" s="773"/>
      <c r="DO395" s="773"/>
      <c r="DP395" s="773"/>
      <c r="DQ395" s="773"/>
      <c r="DR395" s="773"/>
      <c r="DS395" s="773"/>
      <c r="DT395" s="773"/>
      <c r="DU395" s="773"/>
      <c r="DV395" s="773"/>
      <c r="DW395" s="773"/>
      <c r="DX395" s="773"/>
      <c r="DY395" s="773"/>
      <c r="DZ395" s="773"/>
      <c r="EA395" s="773"/>
      <c r="EB395" s="773"/>
      <c r="EC395" s="773"/>
      <c r="ED395" s="773"/>
      <c r="EE395" s="773"/>
      <c r="EF395" s="773"/>
      <c r="EG395" s="773"/>
      <c r="EH395" s="773"/>
      <c r="EI395" s="773"/>
      <c r="EJ395" s="773"/>
      <c r="EK395" s="773"/>
      <c r="EL395" s="773"/>
      <c r="EM395" s="773"/>
      <c r="EN395" s="773"/>
      <c r="EO395" s="773"/>
      <c r="EP395" s="773"/>
      <c r="EQ395" s="773"/>
      <c r="ER395" s="773"/>
      <c r="ES395" s="773"/>
      <c r="ET395" s="773"/>
      <c r="EU395" s="773"/>
      <c r="EV395" s="773"/>
      <c r="EW395" s="773"/>
      <c r="EX395" s="773"/>
      <c r="EY395" s="773"/>
      <c r="EZ395" s="773"/>
      <c r="FA395" s="773"/>
      <c r="FB395" s="773"/>
      <c r="FC395" s="773"/>
      <c r="FD395" s="773"/>
      <c r="FE395" s="773"/>
      <c r="FF395" s="773"/>
      <c r="FG395" s="773"/>
      <c r="FH395" s="773"/>
      <c r="FI395" s="773"/>
      <c r="FJ395" s="773"/>
      <c r="FK395" s="773"/>
      <c r="FL395" s="773"/>
      <c r="FM395" s="773"/>
      <c r="FN395" s="773"/>
      <c r="FO395" s="773"/>
      <c r="FP395" s="773"/>
      <c r="FQ395" s="773"/>
      <c r="FR395" s="773"/>
      <c r="FS395" s="773"/>
      <c r="FT395" s="773"/>
      <c r="FU395" s="773"/>
      <c r="FV395" s="773"/>
      <c r="FW395" s="773"/>
      <c r="FX395" s="773"/>
      <c r="FY395" s="773"/>
      <c r="FZ395" s="773"/>
      <c r="GA395" s="773"/>
      <c r="GB395" s="773"/>
      <c r="GC395" s="773"/>
      <c r="GD395" s="773"/>
      <c r="GE395" s="773"/>
      <c r="GF395" s="773"/>
      <c r="GG395" s="773"/>
      <c r="GH395" s="773"/>
      <c r="GI395" s="773"/>
      <c r="GJ395" s="773"/>
      <c r="GK395" s="773"/>
      <c r="GL395" s="773"/>
      <c r="GM395" s="773"/>
      <c r="GN395" s="773"/>
      <c r="GO395" s="773"/>
      <c r="GP395" s="773"/>
      <c r="GQ395" s="773"/>
      <c r="GR395" s="773"/>
      <c r="GS395" s="773"/>
      <c r="GT395" s="773"/>
      <c r="GU395" s="773"/>
      <c r="GV395" s="773"/>
      <c r="GW395" s="773"/>
      <c r="GX395" s="773"/>
      <c r="GY395" s="773"/>
      <c r="GZ395" s="773"/>
    </row>
    <row r="396" spans="1:208" s="11" customFormat="1">
      <c r="A396" s="780"/>
      <c r="B396" s="3762" t="s">
        <v>693</v>
      </c>
      <c r="C396" s="197">
        <v>53515</v>
      </c>
      <c r="D396" s="199" t="s">
        <v>461</v>
      </c>
      <c r="E396" s="42">
        <f>IFERROR(VLOOKUP(C396,'AJE 12 - INC'!$D$168:$F$345,3,0),0)</f>
        <v>-38720.9</v>
      </c>
      <c r="F396" s="108">
        <f>SUMIF('AJE 12 - INC'!B:B,'New TB INC'!C396,'AJE 12 - INC'!D:D)</f>
        <v>0</v>
      </c>
      <c r="G396" s="108"/>
      <c r="H396" s="108"/>
      <c r="I396" s="108"/>
      <c r="J396" s="798">
        <f>SUM(E396:I396)</f>
        <v>-38720.9</v>
      </c>
      <c r="K396" s="209"/>
      <c r="L396" s="434"/>
      <c r="M396" s="813"/>
      <c r="N396" s="613"/>
      <c r="O396" s="613"/>
      <c r="P396" s="613"/>
      <c r="Q396" s="613"/>
      <c r="R396" s="613"/>
      <c r="S396" s="613"/>
      <c r="T396" s="613"/>
      <c r="U396" s="613"/>
      <c r="V396" s="613"/>
      <c r="W396" s="613"/>
      <c r="X396" s="613"/>
      <c r="Y396" s="613"/>
      <c r="Z396" s="613"/>
      <c r="AA396" s="613"/>
      <c r="AB396" s="613"/>
      <c r="AC396" s="613"/>
      <c r="AD396" s="613"/>
      <c r="AE396" s="613"/>
      <c r="AF396" s="613"/>
      <c r="AG396" s="613"/>
      <c r="AH396" s="613"/>
      <c r="AI396" s="613"/>
      <c r="AJ396" s="613"/>
      <c r="AK396" s="613"/>
      <c r="AL396" s="613"/>
      <c r="AM396" s="613"/>
      <c r="AN396" s="613"/>
      <c r="AO396" s="613"/>
      <c r="AP396" s="613"/>
      <c r="AQ396" s="613"/>
      <c r="AR396" s="613"/>
      <c r="AS396" s="613"/>
      <c r="AT396" s="613"/>
      <c r="AU396" s="613"/>
      <c r="AV396" s="613"/>
      <c r="AW396" s="2515"/>
      <c r="AX396" s="613"/>
      <c r="AY396" s="820"/>
      <c r="AZ396" s="820"/>
      <c r="BA396" s="937"/>
      <c r="BB396" s="937"/>
      <c r="BC396" s="2515"/>
      <c r="BD396" s="2515"/>
      <c r="BE396" s="2515"/>
      <c r="BF396" s="2515"/>
      <c r="BH396" s="2515"/>
      <c r="BI396" s="937"/>
      <c r="BJ396" s="937"/>
      <c r="BK396" s="937"/>
      <c r="BL396" s="937"/>
      <c r="BM396" s="937"/>
      <c r="BN396" s="209"/>
      <c r="BO396" s="209"/>
      <c r="BP396" s="209"/>
      <c r="BQ396" s="209"/>
      <c r="BR396" s="209"/>
      <c r="BS396" s="209"/>
      <c r="BT396" s="209"/>
      <c r="BU396" s="820"/>
      <c r="BV396" s="209"/>
      <c r="BW396" s="209"/>
      <c r="BX396" s="799"/>
      <c r="DB396" s="773"/>
      <c r="DC396" s="773"/>
      <c r="DD396" s="773"/>
      <c r="DE396" s="773"/>
      <c r="DF396" s="773"/>
      <c r="DG396" s="773"/>
      <c r="DH396" s="773"/>
      <c r="DI396" s="773"/>
      <c r="DJ396" s="773"/>
      <c r="DK396" s="773"/>
      <c r="DL396" s="773"/>
      <c r="DM396" s="773"/>
      <c r="DN396" s="773"/>
      <c r="DO396" s="773"/>
      <c r="DP396" s="773"/>
      <c r="DQ396" s="773"/>
      <c r="DR396" s="773"/>
      <c r="DS396" s="773"/>
      <c r="DT396" s="773"/>
      <c r="DU396" s="773"/>
      <c r="DV396" s="773"/>
      <c r="DW396" s="773"/>
      <c r="DX396" s="773"/>
      <c r="DY396" s="773"/>
      <c r="DZ396" s="773"/>
      <c r="EA396" s="773"/>
      <c r="EB396" s="773"/>
      <c r="EC396" s="773"/>
      <c r="ED396" s="773"/>
      <c r="EE396" s="773"/>
      <c r="EF396" s="773"/>
      <c r="EG396" s="773"/>
      <c r="EH396" s="773"/>
      <c r="EI396" s="773"/>
      <c r="EJ396" s="773"/>
      <c r="EK396" s="773"/>
      <c r="EL396" s="773"/>
      <c r="EM396" s="773"/>
      <c r="EN396" s="773"/>
      <c r="EO396" s="773"/>
      <c r="EP396" s="773"/>
      <c r="EQ396" s="773"/>
      <c r="ER396" s="773"/>
      <c r="ES396" s="773"/>
      <c r="ET396" s="773"/>
      <c r="EU396" s="773"/>
      <c r="EV396" s="773"/>
      <c r="EW396" s="773"/>
      <c r="EX396" s="773"/>
      <c r="EY396" s="773"/>
      <c r="EZ396" s="773"/>
      <c r="FA396" s="773"/>
      <c r="FB396" s="773"/>
      <c r="FC396" s="773"/>
      <c r="FD396" s="773"/>
      <c r="FE396" s="773"/>
      <c r="FF396" s="773"/>
      <c r="FG396" s="773"/>
      <c r="FH396" s="773"/>
      <c r="FI396" s="773"/>
      <c r="FJ396" s="773"/>
      <c r="FK396" s="773"/>
      <c r="FL396" s="773"/>
      <c r="FM396" s="773"/>
      <c r="FN396" s="773"/>
      <c r="FO396" s="773"/>
      <c r="FP396" s="773"/>
      <c r="FQ396" s="773"/>
      <c r="FR396" s="773"/>
      <c r="FS396" s="773"/>
      <c r="FT396" s="773"/>
      <c r="FU396" s="773"/>
      <c r="FV396" s="773"/>
      <c r="FW396" s="773"/>
      <c r="FX396" s="773"/>
      <c r="FY396" s="773"/>
      <c r="FZ396" s="773"/>
      <c r="GA396" s="773"/>
      <c r="GB396" s="773"/>
      <c r="GC396" s="773"/>
      <c r="GD396" s="773"/>
      <c r="GE396" s="773"/>
      <c r="GF396" s="773"/>
      <c r="GG396" s="773"/>
      <c r="GH396" s="773"/>
      <c r="GI396" s="773"/>
      <c r="GJ396" s="773"/>
      <c r="GK396" s="773"/>
      <c r="GL396" s="773"/>
      <c r="GM396" s="773"/>
      <c r="GN396" s="773"/>
      <c r="GO396" s="773"/>
      <c r="GP396" s="773"/>
      <c r="GQ396" s="773"/>
      <c r="GR396" s="773"/>
      <c r="GS396" s="773"/>
      <c r="GT396" s="773"/>
      <c r="GU396" s="773"/>
      <c r="GV396" s="773"/>
      <c r="GW396" s="773"/>
      <c r="GX396" s="773"/>
      <c r="GY396" s="773"/>
      <c r="GZ396" s="773"/>
    </row>
    <row r="397" spans="1:208" s="11" customFormat="1" ht="13.5" thickBot="1">
      <c r="A397" s="780"/>
      <c r="B397" s="3762" t="s">
        <v>693</v>
      </c>
      <c r="C397" s="197">
        <v>53516</v>
      </c>
      <c r="D397" s="199" t="s">
        <v>1617</v>
      </c>
      <c r="E397" s="42">
        <f>IFERROR(VLOOKUP(C397,'AJE 12 - INC'!$D$168:$F$345,3,0),0)</f>
        <v>-1052743.24</v>
      </c>
      <c r="F397" s="108">
        <f>SUMIF('AJE 12 - INC'!B:B,'New TB INC'!C397,'AJE 12 - INC'!D:D)</f>
        <v>0</v>
      </c>
      <c r="G397" s="108"/>
      <c r="H397" s="108"/>
      <c r="I397" s="108"/>
      <c r="J397" s="798">
        <f>SUM(E397:I397)</f>
        <v>-1052743.24</v>
      </c>
      <c r="K397" s="209"/>
      <c r="L397" s="434"/>
      <c r="M397" s="813"/>
      <c r="N397" s="613"/>
      <c r="O397" s="613"/>
      <c r="P397" s="613"/>
      <c r="Q397" s="613"/>
      <c r="R397" s="613"/>
      <c r="S397" s="613"/>
      <c r="T397" s="613"/>
      <c r="U397" s="613"/>
      <c r="V397" s="613"/>
      <c r="W397" s="613"/>
      <c r="X397" s="613"/>
      <c r="Y397" s="613"/>
      <c r="Z397" s="613"/>
      <c r="AA397" s="613"/>
      <c r="AB397" s="613"/>
      <c r="AC397" s="613"/>
      <c r="AD397" s="613"/>
      <c r="AE397" s="613"/>
      <c r="AF397" s="613"/>
      <c r="AG397" s="613"/>
      <c r="AH397" s="613"/>
      <c r="AI397" s="613"/>
      <c r="AJ397" s="613"/>
      <c r="AK397" s="613"/>
      <c r="AL397" s="613"/>
      <c r="AM397" s="613"/>
      <c r="AN397" s="613"/>
      <c r="AO397" s="613"/>
      <c r="AP397" s="613"/>
      <c r="AQ397" s="613"/>
      <c r="AR397" s="613"/>
      <c r="AS397" s="613"/>
      <c r="AT397" s="613"/>
      <c r="AU397" s="613"/>
      <c r="AV397" s="613"/>
      <c r="AW397" s="2515"/>
      <c r="AX397" s="613"/>
      <c r="AY397" s="820"/>
      <c r="AZ397" s="820"/>
      <c r="BA397" s="937"/>
      <c r="BB397" s="937"/>
      <c r="BC397" s="2515"/>
      <c r="BD397" s="2515"/>
      <c r="BE397" s="2515"/>
      <c r="BF397" s="2515"/>
      <c r="BH397" s="2515"/>
      <c r="BI397" s="937"/>
      <c r="BJ397" s="937"/>
      <c r="BK397" s="937"/>
      <c r="BL397" s="937"/>
      <c r="BM397" s="937"/>
      <c r="BN397" s="209"/>
      <c r="BO397" s="209"/>
      <c r="BP397" s="209"/>
      <c r="BQ397" s="209"/>
      <c r="BR397" s="209"/>
      <c r="BS397" s="209"/>
      <c r="BT397" s="209"/>
      <c r="BU397" s="820"/>
      <c r="BV397" s="209"/>
      <c r="BW397" s="209"/>
      <c r="BX397" s="799"/>
      <c r="DB397" s="773"/>
      <c r="DC397" s="773"/>
      <c r="DD397" s="773"/>
      <c r="DE397" s="773"/>
      <c r="DF397" s="773"/>
      <c r="DG397" s="773"/>
      <c r="DH397" s="773"/>
      <c r="DI397" s="773"/>
      <c r="DJ397" s="773"/>
      <c r="DK397" s="773"/>
      <c r="DL397" s="773"/>
      <c r="DM397" s="773"/>
      <c r="DN397" s="773"/>
      <c r="DO397" s="773"/>
      <c r="DP397" s="773"/>
      <c r="DQ397" s="773"/>
      <c r="DR397" s="773"/>
      <c r="DS397" s="773"/>
      <c r="DT397" s="773"/>
      <c r="DU397" s="773"/>
      <c r="DV397" s="773"/>
      <c r="DW397" s="773"/>
      <c r="DX397" s="773"/>
      <c r="DY397" s="773"/>
      <c r="DZ397" s="773"/>
      <c r="EA397" s="773"/>
      <c r="EB397" s="773"/>
      <c r="EC397" s="773"/>
      <c r="ED397" s="773"/>
      <c r="EE397" s="773"/>
      <c r="EF397" s="773"/>
      <c r="EG397" s="773"/>
      <c r="EH397" s="773"/>
      <c r="EI397" s="773"/>
      <c r="EJ397" s="773"/>
      <c r="EK397" s="773"/>
      <c r="EL397" s="773"/>
      <c r="EM397" s="773"/>
      <c r="EN397" s="773"/>
      <c r="EO397" s="773"/>
      <c r="EP397" s="773"/>
      <c r="EQ397" s="773"/>
      <c r="ER397" s="773"/>
      <c r="ES397" s="773"/>
      <c r="ET397" s="773"/>
      <c r="EU397" s="773"/>
      <c r="EV397" s="773"/>
      <c r="EW397" s="773"/>
      <c r="EX397" s="773"/>
      <c r="EY397" s="773"/>
      <c r="EZ397" s="773"/>
      <c r="FA397" s="773"/>
      <c r="FB397" s="773"/>
      <c r="FC397" s="773"/>
      <c r="FD397" s="773"/>
      <c r="FE397" s="773"/>
      <c r="FF397" s="773"/>
      <c r="FG397" s="773"/>
      <c r="FH397" s="773"/>
      <c r="FI397" s="773"/>
      <c r="FJ397" s="773"/>
      <c r="FK397" s="773"/>
      <c r="FL397" s="773"/>
      <c r="FM397" s="773"/>
      <c r="FN397" s="773"/>
      <c r="FO397" s="773"/>
      <c r="FP397" s="773"/>
      <c r="FQ397" s="773"/>
      <c r="FR397" s="773"/>
      <c r="FS397" s="773"/>
      <c r="FT397" s="773"/>
      <c r="FU397" s="773"/>
      <c r="FV397" s="773"/>
      <c r="FW397" s="773"/>
      <c r="FX397" s="773"/>
      <c r="FY397" s="773"/>
      <c r="FZ397" s="773"/>
      <c r="GA397" s="773"/>
      <c r="GB397" s="773"/>
      <c r="GC397" s="773"/>
      <c r="GD397" s="773"/>
      <c r="GE397" s="773"/>
      <c r="GF397" s="773"/>
      <c r="GG397" s="773"/>
      <c r="GH397" s="773"/>
      <c r="GI397" s="773"/>
      <c r="GJ397" s="773"/>
      <c r="GK397" s="773"/>
      <c r="GL397" s="773"/>
      <c r="GM397" s="773"/>
      <c r="GN397" s="773"/>
      <c r="GO397" s="773"/>
      <c r="GP397" s="773"/>
      <c r="GQ397" s="773"/>
      <c r="GR397" s="773"/>
      <c r="GS397" s="773"/>
      <c r="GT397" s="773"/>
      <c r="GU397" s="773"/>
      <c r="GV397" s="773"/>
      <c r="GW397" s="773"/>
      <c r="GX397" s="773"/>
      <c r="GY397" s="773"/>
      <c r="GZ397" s="773"/>
    </row>
    <row r="398" spans="1:208" s="11" customFormat="1" ht="13.5" thickBot="1">
      <c r="A398" s="780"/>
      <c r="B398" s="3762" t="s">
        <v>693</v>
      </c>
      <c r="C398" s="197">
        <v>53513</v>
      </c>
      <c r="D398" s="199" t="s">
        <v>697</v>
      </c>
      <c r="E398" s="42">
        <f>IFERROR(VLOOKUP(C398,'AJE 12 - INC'!$D$168:$F$345,3,0),0)</f>
        <v>-3143386.02</v>
      </c>
      <c r="F398" s="108">
        <f>SUMIF('AJE 12 - INC'!B:B,'New TB INC'!C398,'AJE 12 - INC'!D:D)</f>
        <v>0</v>
      </c>
      <c r="G398" s="108"/>
      <c r="H398" s="108"/>
      <c r="I398" s="108"/>
      <c r="J398" s="798">
        <f t="shared" si="40"/>
        <v>-3143386.02</v>
      </c>
      <c r="K398" s="956">
        <f>SUM('[15]12.21'!$K$184,[129]priority!$E$17)-J398</f>
        <v>-1.9014232065528631</v>
      </c>
      <c r="L398" s="434"/>
      <c r="M398" s="771"/>
      <c r="N398" s="613"/>
      <c r="O398" s="613"/>
      <c r="P398" s="613"/>
      <c r="Q398" s="613"/>
      <c r="R398" s="613"/>
      <c r="S398" s="613"/>
      <c r="T398" s="613"/>
      <c r="U398" s="613"/>
      <c r="V398" s="613"/>
      <c r="W398" s="613"/>
      <c r="X398" s="613"/>
      <c r="Y398" s="613"/>
      <c r="Z398" s="613"/>
      <c r="AA398" s="613"/>
      <c r="AB398" s="613"/>
      <c r="AC398" s="613"/>
      <c r="AD398" s="613"/>
      <c r="AE398" s="613"/>
      <c r="AF398" s="613"/>
      <c r="AG398" s="613"/>
      <c r="AH398" s="613"/>
      <c r="AI398" s="613"/>
      <c r="AJ398" s="613"/>
      <c r="AK398" s="613"/>
      <c r="AL398" s="613"/>
      <c r="AM398" s="613"/>
      <c r="AN398" s="613"/>
      <c r="AO398" s="613"/>
      <c r="AP398" s="613"/>
      <c r="AQ398" s="613"/>
      <c r="AR398" s="613"/>
      <c r="AS398" s="613"/>
      <c r="AT398" s="613"/>
      <c r="AU398" s="613"/>
      <c r="AV398" s="613"/>
      <c r="AW398" s="2515"/>
      <c r="AX398" s="613"/>
      <c r="AY398" s="820"/>
      <c r="AZ398" s="820"/>
      <c r="BA398" s="937"/>
      <c r="BB398" s="937"/>
      <c r="BC398" s="2515"/>
      <c r="BD398" s="2515"/>
      <c r="BE398" s="2515"/>
      <c r="BF398" s="2515"/>
      <c r="BH398" s="2515"/>
      <c r="BI398" s="937"/>
      <c r="BJ398" s="937"/>
      <c r="BK398" s="937"/>
      <c r="BL398" s="937"/>
      <c r="BM398" s="937"/>
      <c r="BN398" s="209"/>
      <c r="BO398" s="209"/>
      <c r="BP398" s="209"/>
      <c r="BQ398" s="209"/>
      <c r="BR398" s="209"/>
      <c r="BS398" s="209"/>
      <c r="BT398" s="209"/>
      <c r="BU398" s="820"/>
      <c r="BV398" s="209"/>
      <c r="BW398" s="209"/>
      <c r="BX398" s="799"/>
      <c r="DB398" s="773"/>
      <c r="DC398" s="773"/>
      <c r="DD398" s="773"/>
      <c r="DE398" s="773"/>
      <c r="DF398" s="773"/>
      <c r="DG398" s="773"/>
      <c r="DH398" s="773"/>
      <c r="DI398" s="773"/>
      <c r="DJ398" s="773"/>
      <c r="DK398" s="773"/>
      <c r="DL398" s="773"/>
      <c r="DM398" s="773"/>
      <c r="DN398" s="773"/>
      <c r="DO398" s="773"/>
      <c r="DP398" s="773"/>
      <c r="DQ398" s="773"/>
      <c r="DR398" s="773"/>
      <c r="DS398" s="773"/>
      <c r="DT398" s="773"/>
      <c r="DU398" s="773"/>
      <c r="DV398" s="773"/>
      <c r="DW398" s="773"/>
      <c r="DX398" s="773"/>
      <c r="DY398" s="773"/>
      <c r="DZ398" s="773"/>
      <c r="EA398" s="773"/>
      <c r="EB398" s="773"/>
      <c r="EC398" s="773"/>
      <c r="ED398" s="773"/>
      <c r="EE398" s="773"/>
      <c r="EF398" s="773"/>
      <c r="EG398" s="773"/>
      <c r="EH398" s="773"/>
      <c r="EI398" s="773"/>
      <c r="EJ398" s="773"/>
      <c r="EK398" s="773"/>
      <c r="EL398" s="773"/>
      <c r="EM398" s="773"/>
      <c r="EN398" s="773"/>
      <c r="EO398" s="773"/>
      <c r="EP398" s="773"/>
      <c r="EQ398" s="773"/>
      <c r="ER398" s="773"/>
      <c r="ES398" s="773"/>
      <c r="ET398" s="773"/>
      <c r="EU398" s="773"/>
      <c r="EV398" s="773"/>
      <c r="EW398" s="773"/>
      <c r="EX398" s="773"/>
      <c r="EY398" s="773"/>
      <c r="EZ398" s="773"/>
      <c r="FA398" s="773"/>
      <c r="FB398" s="773"/>
      <c r="FC398" s="773"/>
      <c r="FD398" s="773"/>
      <c r="FE398" s="773"/>
      <c r="FF398" s="773"/>
      <c r="FG398" s="773"/>
      <c r="FH398" s="773"/>
      <c r="FI398" s="773"/>
      <c r="FJ398" s="773"/>
      <c r="FK398" s="773"/>
      <c r="FL398" s="773"/>
      <c r="FM398" s="773"/>
      <c r="FN398" s="773"/>
      <c r="FO398" s="773"/>
      <c r="FP398" s="773"/>
      <c r="FQ398" s="773"/>
      <c r="FR398" s="773"/>
      <c r="FS398" s="773"/>
      <c r="FT398" s="773"/>
      <c r="FU398" s="773"/>
      <c r="FV398" s="773"/>
      <c r="FW398" s="773"/>
      <c r="FX398" s="773"/>
      <c r="FY398" s="773"/>
      <c r="FZ398" s="773"/>
      <c r="GA398" s="773"/>
      <c r="GB398" s="773"/>
      <c r="GC398" s="773"/>
      <c r="GD398" s="773"/>
      <c r="GE398" s="773"/>
      <c r="GF398" s="773"/>
      <c r="GG398" s="773"/>
      <c r="GH398" s="773"/>
      <c r="GI398" s="773"/>
      <c r="GJ398" s="773"/>
      <c r="GK398" s="773"/>
      <c r="GL398" s="773"/>
      <c r="GM398" s="773"/>
      <c r="GN398" s="773"/>
      <c r="GO398" s="773"/>
      <c r="GP398" s="773"/>
      <c r="GQ398" s="773"/>
      <c r="GR398" s="773"/>
      <c r="GS398" s="773"/>
      <c r="GT398" s="773"/>
      <c r="GU398" s="773"/>
      <c r="GV398" s="773"/>
      <c r="GW398" s="773"/>
      <c r="GX398" s="773"/>
      <c r="GY398" s="773"/>
      <c r="GZ398" s="773"/>
    </row>
    <row r="399" spans="1:208" s="11" customFormat="1">
      <c r="A399" s="780"/>
      <c r="B399" s="3762" t="s">
        <v>693</v>
      </c>
      <c r="C399" s="197">
        <v>53580</v>
      </c>
      <c r="D399" s="199" t="s">
        <v>1716</v>
      </c>
      <c r="E399" s="42">
        <f>IFERROR(VLOOKUP(C399,'AJE 12 - INC'!$D$168:$F$345,3,0),0)</f>
        <v>-6531426.0300000003</v>
      </c>
      <c r="F399" s="108">
        <f>SUMIF('AJE 12 - INC'!B:B,'New TB INC'!C399,'AJE 12 - INC'!D:D)</f>
        <v>0</v>
      </c>
      <c r="G399" s="108"/>
      <c r="H399" s="108"/>
      <c r="I399" s="108"/>
      <c r="J399" s="859">
        <f t="shared" si="40"/>
        <v>-6531426.0300000003</v>
      </c>
      <c r="K399" s="4309">
        <f>+'606-Prepaid Comm&amp;DR SUB'!C200+'606-Prepaid Comm&amp;DR SUB'!C201+SUM(J399:J401)-[79]BCG_GuidePoint!$B$8</f>
        <v>100.8634978596092</v>
      </c>
      <c r="L399" s="434"/>
      <c r="M399" s="4514" t="s">
        <v>2888</v>
      </c>
      <c r="N399" s="613"/>
      <c r="O399" s="613"/>
      <c r="P399" s="613"/>
      <c r="Q399" s="613"/>
      <c r="R399" s="613"/>
      <c r="S399" s="613"/>
      <c r="T399" s="613"/>
      <c r="U399" s="613"/>
      <c r="V399" s="613"/>
      <c r="W399" s="613"/>
      <c r="X399" s="613"/>
      <c r="Y399" s="613"/>
      <c r="Z399" s="613"/>
      <c r="AA399" s="613"/>
      <c r="AB399" s="613"/>
      <c r="AC399" s="613"/>
      <c r="AD399" s="613"/>
      <c r="AE399" s="613"/>
      <c r="AF399" s="613"/>
      <c r="AG399" s="613"/>
      <c r="AH399" s="613"/>
      <c r="AI399" s="613"/>
      <c r="AJ399" s="613"/>
      <c r="AK399" s="613"/>
      <c r="AL399" s="613"/>
      <c r="AM399" s="613"/>
      <c r="AN399" s="613"/>
      <c r="AO399" s="613"/>
      <c r="AP399" s="613"/>
      <c r="AQ399" s="613"/>
      <c r="AR399" s="613"/>
      <c r="AS399" s="613"/>
      <c r="AT399" s="613"/>
      <c r="AU399" s="613"/>
      <c r="AV399" s="613"/>
      <c r="AW399" s="2515"/>
      <c r="AX399" s="613"/>
      <c r="AY399" s="820"/>
      <c r="AZ399" s="820"/>
      <c r="BA399" s="937"/>
      <c r="BB399" s="937"/>
      <c r="BC399" s="2515"/>
      <c r="BD399" s="2515"/>
      <c r="BE399" s="2515"/>
      <c r="BF399" s="2515"/>
      <c r="BH399" s="2515"/>
      <c r="BI399" s="937"/>
      <c r="BJ399" s="937"/>
      <c r="BK399" s="937"/>
      <c r="BL399" s="937"/>
      <c r="BM399" s="937"/>
      <c r="BN399" s="209"/>
      <c r="BO399" s="209"/>
      <c r="BP399" s="209"/>
      <c r="BQ399" s="209"/>
      <c r="BR399" s="209"/>
      <c r="BS399" s="209"/>
      <c r="BT399" s="209"/>
      <c r="BU399" s="820"/>
      <c r="BV399" s="209"/>
      <c r="BW399" s="209"/>
      <c r="BX399" s="799"/>
      <c r="DB399" s="773"/>
      <c r="DC399" s="773"/>
      <c r="DD399" s="773"/>
      <c r="DE399" s="773"/>
      <c r="DF399" s="773"/>
      <c r="DG399" s="773"/>
      <c r="DH399" s="773"/>
      <c r="DI399" s="773"/>
      <c r="DJ399" s="773"/>
      <c r="DK399" s="773"/>
      <c r="DL399" s="773"/>
      <c r="DM399" s="773"/>
      <c r="DN399" s="773"/>
      <c r="DO399" s="773"/>
      <c r="DP399" s="773"/>
      <c r="DQ399" s="773"/>
      <c r="DR399" s="773"/>
      <c r="DS399" s="773"/>
      <c r="DT399" s="773"/>
      <c r="DU399" s="773"/>
      <c r="DV399" s="773"/>
      <c r="DW399" s="773"/>
      <c r="DX399" s="773"/>
      <c r="DY399" s="773"/>
      <c r="DZ399" s="773"/>
      <c r="EA399" s="773"/>
      <c r="EB399" s="773"/>
      <c r="EC399" s="773"/>
      <c r="ED399" s="773"/>
      <c r="EE399" s="773"/>
      <c r="EF399" s="773"/>
      <c r="EG399" s="773"/>
      <c r="EH399" s="773"/>
      <c r="EI399" s="773"/>
      <c r="EJ399" s="773"/>
      <c r="EK399" s="773"/>
      <c r="EL399" s="773"/>
      <c r="EM399" s="773"/>
      <c r="EN399" s="773"/>
      <c r="EO399" s="773"/>
      <c r="EP399" s="773"/>
      <c r="EQ399" s="773"/>
      <c r="ER399" s="773"/>
      <c r="ES399" s="773"/>
      <c r="ET399" s="773"/>
      <c r="EU399" s="773"/>
      <c r="EV399" s="773"/>
      <c r="EW399" s="773"/>
      <c r="EX399" s="773"/>
      <c r="EY399" s="773"/>
      <c r="EZ399" s="773"/>
      <c r="FA399" s="773"/>
      <c r="FB399" s="773"/>
      <c r="FC399" s="773"/>
      <c r="FD399" s="773"/>
      <c r="FE399" s="773"/>
      <c r="FF399" s="773"/>
      <c r="FG399" s="773"/>
      <c r="FH399" s="773"/>
      <c r="FI399" s="773"/>
      <c r="FJ399" s="773"/>
      <c r="FK399" s="773"/>
      <c r="FL399" s="773"/>
      <c r="FM399" s="773"/>
      <c r="FN399" s="773"/>
      <c r="FO399" s="773"/>
      <c r="FP399" s="773"/>
      <c r="FQ399" s="773"/>
      <c r="FR399" s="773"/>
      <c r="FS399" s="773"/>
      <c r="FT399" s="773"/>
      <c r="FU399" s="773"/>
      <c r="FV399" s="773"/>
      <c r="FW399" s="773"/>
      <c r="FX399" s="773"/>
      <c r="FY399" s="773"/>
      <c r="FZ399" s="773"/>
      <c r="GA399" s="773"/>
      <c r="GB399" s="773"/>
      <c r="GC399" s="773"/>
      <c r="GD399" s="773"/>
      <c r="GE399" s="773"/>
      <c r="GF399" s="773"/>
      <c r="GG399" s="773"/>
      <c r="GH399" s="773"/>
      <c r="GI399" s="773"/>
      <c r="GJ399" s="773"/>
      <c r="GK399" s="773"/>
      <c r="GL399" s="773"/>
      <c r="GM399" s="773"/>
      <c r="GN399" s="773"/>
      <c r="GO399" s="773"/>
      <c r="GP399" s="773"/>
      <c r="GQ399" s="773"/>
      <c r="GR399" s="773"/>
      <c r="GS399" s="773"/>
      <c r="GT399" s="773"/>
      <c r="GU399" s="773"/>
      <c r="GV399" s="773"/>
      <c r="GW399" s="773"/>
      <c r="GX399" s="773"/>
      <c r="GY399" s="773"/>
      <c r="GZ399" s="773"/>
    </row>
    <row r="400" spans="1:208" s="11" customFormat="1">
      <c r="A400" s="780"/>
      <c r="B400" s="3762" t="s">
        <v>693</v>
      </c>
      <c r="C400" s="197">
        <v>53590</v>
      </c>
      <c r="D400" s="199" t="s">
        <v>2202</v>
      </c>
      <c r="E400" s="42">
        <f>IFERROR(VLOOKUP(C400,'AJE 12 - INC'!$D$168:$F$345,3,0),0)</f>
        <v>-1897964.19</v>
      </c>
      <c r="F400" s="108">
        <f>SUMIF('AJE 12 - INC'!B:B,'New TB INC'!C400,'AJE 12 - INC'!D:D)</f>
        <v>0</v>
      </c>
      <c r="G400" s="108"/>
      <c r="H400" s="108"/>
      <c r="I400" s="108"/>
      <c r="J400" s="859">
        <f t="shared" si="40"/>
        <v>-1897964.19</v>
      </c>
      <c r="K400" s="4488"/>
      <c r="L400" s="434"/>
      <c r="M400" s="4514"/>
      <c r="N400" s="613"/>
      <c r="O400" s="613"/>
      <c r="P400" s="613"/>
      <c r="Q400" s="613"/>
      <c r="R400" s="613"/>
      <c r="S400" s="613"/>
      <c r="T400" s="613"/>
      <c r="U400" s="613"/>
      <c r="V400" s="613"/>
      <c r="W400" s="613"/>
      <c r="X400" s="613"/>
      <c r="Y400" s="613"/>
      <c r="Z400" s="613"/>
      <c r="AA400" s="613"/>
      <c r="AB400" s="613"/>
      <c r="AC400" s="613"/>
      <c r="AD400" s="613"/>
      <c r="AE400" s="613"/>
      <c r="AF400" s="613"/>
      <c r="AG400" s="613"/>
      <c r="AH400" s="613"/>
      <c r="AI400" s="613"/>
      <c r="AJ400" s="613"/>
      <c r="AK400" s="613"/>
      <c r="AL400" s="613"/>
      <c r="AM400" s="613"/>
      <c r="AN400" s="613"/>
      <c r="AO400" s="613"/>
      <c r="AP400" s="613"/>
      <c r="AQ400" s="613"/>
      <c r="AR400" s="613"/>
      <c r="AS400" s="613"/>
      <c r="AT400" s="613"/>
      <c r="AU400" s="613"/>
      <c r="AV400" s="613"/>
      <c r="AW400" s="2515"/>
      <c r="AX400" s="613"/>
      <c r="AY400" s="820"/>
      <c r="AZ400" s="820"/>
      <c r="BA400" s="937"/>
      <c r="BB400" s="937"/>
      <c r="BC400" s="2515"/>
      <c r="BD400" s="2515"/>
      <c r="BE400" s="2515"/>
      <c r="BF400" s="2515"/>
      <c r="BH400" s="2515"/>
      <c r="BI400" s="937"/>
      <c r="BJ400" s="937"/>
      <c r="BK400" s="937"/>
      <c r="BL400" s="937"/>
      <c r="BM400" s="937"/>
      <c r="BN400" s="209"/>
      <c r="BO400" s="209"/>
      <c r="BP400" s="209"/>
      <c r="BQ400" s="209"/>
      <c r="BR400" s="209"/>
      <c r="BS400" s="209"/>
      <c r="BT400" s="209"/>
      <c r="BU400" s="820"/>
      <c r="BV400" s="209"/>
      <c r="BW400" s="209"/>
      <c r="BX400" s="799"/>
      <c r="DB400" s="773"/>
      <c r="DC400" s="773"/>
      <c r="DD400" s="773"/>
      <c r="DE400" s="773"/>
      <c r="DF400" s="773"/>
      <c r="DG400" s="773"/>
      <c r="DH400" s="773"/>
      <c r="DI400" s="773"/>
      <c r="DJ400" s="773"/>
      <c r="DK400" s="773"/>
      <c r="DL400" s="773"/>
      <c r="DM400" s="773"/>
      <c r="DN400" s="773"/>
      <c r="DO400" s="773"/>
      <c r="DP400" s="773"/>
      <c r="DQ400" s="773"/>
      <c r="DR400" s="773"/>
      <c r="DS400" s="773"/>
      <c r="DT400" s="773"/>
      <c r="DU400" s="773"/>
      <c r="DV400" s="773"/>
      <c r="DW400" s="773"/>
      <c r="DX400" s="773"/>
      <c r="DY400" s="773"/>
      <c r="DZ400" s="773"/>
      <c r="EA400" s="773"/>
      <c r="EB400" s="773"/>
      <c r="EC400" s="773"/>
      <c r="ED400" s="773"/>
      <c r="EE400" s="773"/>
      <c r="EF400" s="773"/>
      <c r="EG400" s="773"/>
      <c r="EH400" s="773"/>
      <c r="EI400" s="773"/>
      <c r="EJ400" s="773"/>
      <c r="EK400" s="773"/>
      <c r="EL400" s="773"/>
      <c r="EM400" s="773"/>
      <c r="EN400" s="773"/>
      <c r="EO400" s="773"/>
      <c r="EP400" s="773"/>
      <c r="EQ400" s="773"/>
      <c r="ER400" s="773"/>
      <c r="ES400" s="773"/>
      <c r="ET400" s="773"/>
      <c r="EU400" s="773"/>
      <c r="EV400" s="773"/>
      <c r="EW400" s="773"/>
      <c r="EX400" s="773"/>
      <c r="EY400" s="773"/>
      <c r="EZ400" s="773"/>
      <c r="FA400" s="773"/>
      <c r="FB400" s="773"/>
      <c r="FC400" s="773"/>
      <c r="FD400" s="773"/>
      <c r="FE400" s="773"/>
      <c r="FF400" s="773"/>
      <c r="FG400" s="773"/>
      <c r="FH400" s="773"/>
      <c r="FI400" s="773"/>
      <c r="FJ400" s="773"/>
      <c r="FK400" s="773"/>
      <c r="FL400" s="773"/>
      <c r="FM400" s="773"/>
      <c r="FN400" s="773"/>
      <c r="FO400" s="773"/>
      <c r="FP400" s="773"/>
      <c r="FQ400" s="773"/>
      <c r="FR400" s="773"/>
      <c r="FS400" s="773"/>
      <c r="FT400" s="773"/>
      <c r="FU400" s="773"/>
      <c r="FV400" s="773"/>
      <c r="FW400" s="773"/>
      <c r="FX400" s="773"/>
      <c r="FY400" s="773"/>
      <c r="FZ400" s="773"/>
      <c r="GA400" s="773"/>
      <c r="GB400" s="773"/>
      <c r="GC400" s="773"/>
      <c r="GD400" s="773"/>
      <c r="GE400" s="773"/>
      <c r="GF400" s="773"/>
      <c r="GG400" s="773"/>
      <c r="GH400" s="773"/>
      <c r="GI400" s="773"/>
      <c r="GJ400" s="773"/>
      <c r="GK400" s="773"/>
      <c r="GL400" s="773"/>
      <c r="GM400" s="773"/>
      <c r="GN400" s="773"/>
      <c r="GO400" s="773"/>
      <c r="GP400" s="773"/>
      <c r="GQ400" s="773"/>
      <c r="GR400" s="773"/>
      <c r="GS400" s="773"/>
      <c r="GT400" s="773"/>
      <c r="GU400" s="773"/>
      <c r="GV400" s="773"/>
      <c r="GW400" s="773"/>
      <c r="GX400" s="773"/>
      <c r="GY400" s="773"/>
      <c r="GZ400" s="773"/>
    </row>
    <row r="401" spans="1:208" s="11" customFormat="1" ht="13.5" thickBot="1">
      <c r="A401" s="780"/>
      <c r="B401" s="3762" t="s">
        <v>693</v>
      </c>
      <c r="C401" s="197">
        <v>53510</v>
      </c>
      <c r="D401" s="199" t="s">
        <v>696</v>
      </c>
      <c r="E401" s="42">
        <f>IFERROR(VLOOKUP(C401,'AJE 12 - INC'!$D$168:$F$345,3,0),0)</f>
        <v>-0.93</v>
      </c>
      <c r="F401" s="108">
        <f>SUMIF('AJE 12 - INC'!B:B,'New TB INC'!C401,'AJE 12 - INC'!D:D)</f>
        <v>0</v>
      </c>
      <c r="G401" s="108"/>
      <c r="H401" s="108"/>
      <c r="I401" s="108"/>
      <c r="J401" s="859">
        <f>SUM(E401:I401)</f>
        <v>-0.93</v>
      </c>
      <c r="K401" s="4310"/>
      <c r="L401" s="434"/>
      <c r="M401" s="771"/>
      <c r="N401" s="613"/>
      <c r="O401" s="613"/>
      <c r="P401" s="613"/>
      <c r="Q401" s="613"/>
      <c r="R401" s="613"/>
      <c r="S401" s="613"/>
      <c r="T401" s="613"/>
      <c r="U401" s="613"/>
      <c r="V401" s="613"/>
      <c r="W401" s="613"/>
      <c r="X401" s="613"/>
      <c r="Y401" s="613"/>
      <c r="Z401" s="613"/>
      <c r="AA401" s="613"/>
      <c r="AB401" s="613"/>
      <c r="AC401" s="613"/>
      <c r="AD401" s="613"/>
      <c r="AE401" s="613"/>
      <c r="AF401" s="613"/>
      <c r="AG401" s="613"/>
      <c r="AH401" s="613"/>
      <c r="AI401" s="613"/>
      <c r="AJ401" s="613"/>
      <c r="AK401" s="613"/>
      <c r="AL401" s="613"/>
      <c r="AM401" s="613"/>
      <c r="AN401" s="613"/>
      <c r="AO401" s="613"/>
      <c r="AP401" s="613"/>
      <c r="AQ401" s="613"/>
      <c r="AR401" s="613"/>
      <c r="AS401" s="613"/>
      <c r="AT401" s="613"/>
      <c r="AU401" s="613"/>
      <c r="AV401" s="613"/>
      <c r="AW401" s="2515"/>
      <c r="AX401" s="613"/>
      <c r="AY401" s="820"/>
      <c r="AZ401" s="820"/>
      <c r="BA401" s="937"/>
      <c r="BB401" s="937"/>
      <c r="BC401" s="2515"/>
      <c r="BD401" s="2515"/>
      <c r="BE401" s="2515"/>
      <c r="BF401" s="2515"/>
      <c r="BH401" s="2515"/>
      <c r="BI401" s="937"/>
      <c r="BJ401" s="937"/>
      <c r="BK401" s="937"/>
      <c r="BL401" s="937"/>
      <c r="BM401" s="937"/>
      <c r="BN401" s="209"/>
      <c r="BO401" s="209"/>
      <c r="BP401" s="209"/>
      <c r="BQ401" s="209"/>
      <c r="BR401" s="209"/>
      <c r="BS401" s="209"/>
      <c r="BT401" s="209"/>
      <c r="BU401" s="820"/>
      <c r="BV401" s="209"/>
      <c r="BW401" s="209"/>
      <c r="BX401" s="799"/>
      <c r="DB401" s="773"/>
      <c r="DC401" s="773"/>
      <c r="DD401" s="773"/>
      <c r="DE401" s="773"/>
      <c r="DF401" s="773"/>
      <c r="DG401" s="773"/>
      <c r="DH401" s="773"/>
      <c r="DI401" s="773"/>
      <c r="DJ401" s="773"/>
      <c r="DK401" s="773"/>
      <c r="DL401" s="773"/>
      <c r="DM401" s="773"/>
      <c r="DN401" s="773"/>
      <c r="DO401" s="773"/>
      <c r="DP401" s="773"/>
      <c r="DQ401" s="773"/>
      <c r="DR401" s="773"/>
      <c r="DS401" s="773"/>
      <c r="DT401" s="773"/>
      <c r="DU401" s="773"/>
      <c r="DV401" s="773"/>
      <c r="DW401" s="773"/>
      <c r="DX401" s="773"/>
      <c r="DY401" s="773"/>
      <c r="DZ401" s="773"/>
      <c r="EA401" s="773"/>
      <c r="EB401" s="773"/>
      <c r="EC401" s="773"/>
      <c r="ED401" s="773"/>
      <c r="EE401" s="773"/>
      <c r="EF401" s="773"/>
      <c r="EG401" s="773"/>
      <c r="EH401" s="773"/>
      <c r="EI401" s="773"/>
      <c r="EJ401" s="773"/>
      <c r="EK401" s="773"/>
      <c r="EL401" s="773"/>
      <c r="EM401" s="773"/>
      <c r="EN401" s="773"/>
      <c r="EO401" s="773"/>
      <c r="EP401" s="773"/>
      <c r="EQ401" s="773"/>
      <c r="ER401" s="773"/>
      <c r="ES401" s="773"/>
      <c r="ET401" s="773"/>
      <c r="EU401" s="773"/>
      <c r="EV401" s="773"/>
      <c r="EW401" s="773"/>
      <c r="EX401" s="773"/>
      <c r="EY401" s="773"/>
      <c r="EZ401" s="773"/>
      <c r="FA401" s="773"/>
      <c r="FB401" s="773"/>
      <c r="FC401" s="773"/>
      <c r="FD401" s="773"/>
      <c r="FE401" s="773"/>
      <c r="FF401" s="773"/>
      <c r="FG401" s="773"/>
      <c r="FH401" s="773"/>
      <c r="FI401" s="773"/>
      <c r="FJ401" s="773"/>
      <c r="FK401" s="773"/>
      <c r="FL401" s="773"/>
      <c r="FM401" s="773"/>
      <c r="FN401" s="773"/>
      <c r="FO401" s="773"/>
      <c r="FP401" s="773"/>
      <c r="FQ401" s="773"/>
      <c r="FR401" s="773"/>
      <c r="FS401" s="773"/>
      <c r="FT401" s="773"/>
      <c r="FU401" s="773"/>
      <c r="FV401" s="773"/>
      <c r="FW401" s="773"/>
      <c r="FX401" s="773"/>
      <c r="FY401" s="773"/>
      <c r="FZ401" s="773"/>
      <c r="GA401" s="773"/>
      <c r="GB401" s="773"/>
      <c r="GC401" s="773"/>
      <c r="GD401" s="773"/>
      <c r="GE401" s="773"/>
      <c r="GF401" s="773"/>
      <c r="GG401" s="773"/>
      <c r="GH401" s="773"/>
      <c r="GI401" s="773"/>
      <c r="GJ401" s="773"/>
      <c r="GK401" s="773"/>
      <c r="GL401" s="773"/>
      <c r="GM401" s="773"/>
      <c r="GN401" s="773"/>
      <c r="GO401" s="773"/>
      <c r="GP401" s="773"/>
      <c r="GQ401" s="773"/>
      <c r="GR401" s="773"/>
      <c r="GS401" s="773"/>
      <c r="GT401" s="773"/>
      <c r="GU401" s="773"/>
      <c r="GV401" s="773"/>
      <c r="GW401" s="773"/>
      <c r="GX401" s="773"/>
      <c r="GY401" s="773"/>
      <c r="GZ401" s="773"/>
    </row>
    <row r="402" spans="1:208" s="11" customFormat="1" ht="13.5" thickBot="1">
      <c r="A402" s="780"/>
      <c r="B402" s="3762" t="s">
        <v>693</v>
      </c>
      <c r="C402" s="197">
        <v>53599</v>
      </c>
      <c r="D402" s="199" t="s">
        <v>700</v>
      </c>
      <c r="E402" s="42">
        <f>IFERROR(VLOOKUP(C402,'AJE 12 - INC'!$D$168:$F$345,3,0),0)</f>
        <v>-1035720.24</v>
      </c>
      <c r="F402" s="108">
        <f>SUMIF('AJE 12 - INC'!B:B,'New TB INC'!C402,'AJE 12 - INC'!D:D)</f>
        <v>0</v>
      </c>
      <c r="G402" s="108"/>
      <c r="H402" s="108"/>
      <c r="I402" s="108"/>
      <c r="J402" s="798">
        <f t="shared" si="40"/>
        <v>-1035720.24</v>
      </c>
      <c r="K402" s="956">
        <f>SUM([79]BCG_GuidePoint!$B$8,'[146]US215000577 - JE'!$N$4:$N$38,[147]ALL!$AZ$15:$BW$15,[148]Pivot!$G$32:$G$46,'ביאורים לדוחות הכספיים'!B98:B101,'ביאורים לדוחות הכספיים'!B123)+J402+117649</f>
        <v>1.5329089281149209</v>
      </c>
      <c r="L402" s="449"/>
      <c r="M402" s="771"/>
      <c r="N402" s="613"/>
      <c r="O402" s="613"/>
      <c r="P402" s="613"/>
      <c r="Q402" s="613"/>
      <c r="R402" s="613"/>
      <c r="S402" s="613"/>
      <c r="T402" s="613"/>
      <c r="U402" s="613"/>
      <c r="V402" s="613"/>
      <c r="W402" s="613"/>
      <c r="X402" s="613"/>
      <c r="Y402" s="613"/>
      <c r="Z402" s="613"/>
      <c r="AA402" s="613"/>
      <c r="AB402" s="613"/>
      <c r="AC402" s="613"/>
      <c r="AD402" s="613"/>
      <c r="AE402" s="613"/>
      <c r="AF402" s="613"/>
      <c r="AG402" s="613"/>
      <c r="AH402" s="613"/>
      <c r="AI402" s="613"/>
      <c r="AJ402" s="613"/>
      <c r="AK402" s="613"/>
      <c r="AL402" s="613"/>
      <c r="AM402" s="613"/>
      <c r="AN402" s="613"/>
      <c r="AO402" s="613"/>
      <c r="AP402" s="613"/>
      <c r="AQ402" s="613"/>
      <c r="AR402" s="613"/>
      <c r="AS402" s="613"/>
      <c r="AT402" s="613"/>
      <c r="AU402" s="613"/>
      <c r="AV402" s="613"/>
      <c r="AW402" s="2515"/>
      <c r="AX402" s="613"/>
      <c r="AY402" s="820"/>
      <c r="AZ402" s="820"/>
      <c r="BA402" s="937"/>
      <c r="BB402" s="937"/>
      <c r="BC402" s="2515"/>
      <c r="BD402" s="2515"/>
      <c r="BE402" s="2515"/>
      <c r="BF402" s="2515"/>
      <c r="BH402" s="2515"/>
      <c r="BI402" s="937"/>
      <c r="BJ402" s="937"/>
      <c r="BK402" s="937"/>
      <c r="BL402" s="937"/>
      <c r="BM402" s="937"/>
      <c r="BN402" s="209"/>
      <c r="BO402" s="209"/>
      <c r="BP402" s="209"/>
      <c r="BQ402" s="209"/>
      <c r="BR402" s="209"/>
      <c r="BS402" s="209"/>
      <c r="BT402" s="209"/>
      <c r="BU402" s="820"/>
      <c r="BV402" s="209"/>
      <c r="BW402" s="209"/>
      <c r="BX402" s="799"/>
      <c r="DB402" s="773"/>
      <c r="DC402" s="773"/>
      <c r="DD402" s="773"/>
      <c r="DE402" s="773"/>
      <c r="DF402" s="773"/>
      <c r="DG402" s="773"/>
      <c r="DH402" s="773"/>
      <c r="DI402" s="773"/>
      <c r="DJ402" s="773"/>
      <c r="DK402" s="773"/>
      <c r="DL402" s="773"/>
      <c r="DM402" s="773"/>
      <c r="DN402" s="773"/>
      <c r="DO402" s="773"/>
      <c r="DP402" s="773"/>
      <c r="DQ402" s="773"/>
      <c r="DR402" s="773"/>
      <c r="DS402" s="773"/>
      <c r="DT402" s="773"/>
      <c r="DU402" s="773"/>
      <c r="DV402" s="773"/>
      <c r="DW402" s="773"/>
      <c r="DX402" s="773"/>
      <c r="DY402" s="773"/>
      <c r="DZ402" s="773"/>
      <c r="EA402" s="773"/>
      <c r="EB402" s="773"/>
      <c r="EC402" s="773"/>
      <c r="ED402" s="773"/>
      <c r="EE402" s="773"/>
      <c r="EF402" s="773"/>
      <c r="EG402" s="773"/>
      <c r="EH402" s="773"/>
      <c r="EI402" s="773"/>
      <c r="EJ402" s="773"/>
      <c r="EK402" s="773"/>
      <c r="EL402" s="773"/>
      <c r="EM402" s="773"/>
      <c r="EN402" s="773"/>
      <c r="EO402" s="773"/>
      <c r="EP402" s="773"/>
      <c r="EQ402" s="773"/>
      <c r="ER402" s="773"/>
      <c r="ES402" s="773"/>
      <c r="ET402" s="773"/>
      <c r="EU402" s="773"/>
      <c r="EV402" s="773"/>
      <c r="EW402" s="773"/>
      <c r="EX402" s="773"/>
      <c r="EY402" s="773"/>
      <c r="EZ402" s="773"/>
      <c r="FA402" s="773"/>
      <c r="FB402" s="773"/>
      <c r="FC402" s="773"/>
      <c r="FD402" s="773"/>
      <c r="FE402" s="773"/>
      <c r="FF402" s="773"/>
      <c r="FG402" s="773"/>
      <c r="FH402" s="773"/>
      <c r="FI402" s="773"/>
      <c r="FJ402" s="773"/>
      <c r="FK402" s="773"/>
      <c r="FL402" s="773"/>
      <c r="FM402" s="773"/>
      <c r="FN402" s="773"/>
      <c r="FO402" s="773"/>
      <c r="FP402" s="773"/>
      <c r="FQ402" s="773"/>
      <c r="FR402" s="773"/>
      <c r="FS402" s="773"/>
      <c r="FT402" s="773"/>
      <c r="FU402" s="773"/>
      <c r="FV402" s="773"/>
      <c r="FW402" s="773"/>
      <c r="FX402" s="773"/>
      <c r="FY402" s="773"/>
      <c r="FZ402" s="773"/>
      <c r="GA402" s="773"/>
      <c r="GB402" s="773"/>
      <c r="GC402" s="773"/>
      <c r="GD402" s="773"/>
      <c r="GE402" s="773"/>
      <c r="GF402" s="773"/>
      <c r="GG402" s="773"/>
      <c r="GH402" s="773"/>
      <c r="GI402" s="773"/>
      <c r="GJ402" s="773"/>
      <c r="GK402" s="773"/>
      <c r="GL402" s="773"/>
      <c r="GM402" s="773"/>
      <c r="GN402" s="773"/>
      <c r="GO402" s="773"/>
      <c r="GP402" s="773"/>
      <c r="GQ402" s="773"/>
      <c r="GR402" s="773"/>
      <c r="GS402" s="773"/>
      <c r="GT402" s="773"/>
      <c r="GU402" s="773"/>
      <c r="GV402" s="773"/>
      <c r="GW402" s="773"/>
      <c r="GX402" s="773"/>
      <c r="GY402" s="773"/>
      <c r="GZ402" s="773"/>
    </row>
    <row r="403" spans="1:208" s="11" customFormat="1" ht="13.5" thickBot="1">
      <c r="A403" s="780"/>
      <c r="B403" s="3762"/>
      <c r="C403" s="197"/>
      <c r="D403" s="200"/>
      <c r="E403" s="42"/>
      <c r="F403" s="108"/>
      <c r="G403" s="108"/>
      <c r="H403" s="108"/>
      <c r="I403" s="108"/>
      <c r="J403" s="798"/>
      <c r="K403" s="209"/>
      <c r="L403" s="449"/>
      <c r="M403" s="771"/>
      <c r="N403" s="613"/>
      <c r="O403" s="613"/>
      <c r="P403" s="613"/>
      <c r="Q403" s="613"/>
      <c r="R403" s="613"/>
      <c r="S403" s="613"/>
      <c r="T403" s="613"/>
      <c r="U403" s="613"/>
      <c r="V403" s="613"/>
      <c r="W403" s="613"/>
      <c r="X403" s="613"/>
      <c r="Y403" s="613"/>
      <c r="Z403" s="613"/>
      <c r="AA403" s="613"/>
      <c r="AB403" s="613"/>
      <c r="AC403" s="613"/>
      <c r="AD403" s="613"/>
      <c r="AE403" s="613"/>
      <c r="AF403" s="613"/>
      <c r="AG403" s="613"/>
      <c r="AH403" s="613"/>
      <c r="AI403" s="613"/>
      <c r="AJ403" s="613"/>
      <c r="AK403" s="613"/>
      <c r="AL403" s="613"/>
      <c r="AM403" s="613"/>
      <c r="AN403" s="613"/>
      <c r="AO403" s="613"/>
      <c r="AP403" s="613"/>
      <c r="AQ403" s="613"/>
      <c r="AR403" s="613"/>
      <c r="AS403" s="613"/>
      <c r="AT403" s="613"/>
      <c r="AU403" s="613"/>
      <c r="AV403" s="613"/>
      <c r="AW403" s="2515"/>
      <c r="AX403" s="613"/>
      <c r="AY403" s="820"/>
      <c r="AZ403" s="820"/>
      <c r="BA403" s="937"/>
      <c r="BB403" s="937"/>
      <c r="BC403" s="2515"/>
      <c r="BD403" s="2515"/>
      <c r="BE403" s="2515"/>
      <c r="BF403" s="2515"/>
      <c r="BH403" s="2515"/>
      <c r="BI403" s="937"/>
      <c r="BJ403" s="937"/>
      <c r="BK403" s="937"/>
      <c r="BL403" s="937"/>
      <c r="BM403" s="937"/>
      <c r="BN403" s="209"/>
      <c r="BO403" s="209"/>
      <c r="BP403" s="209"/>
      <c r="BQ403" s="209"/>
      <c r="BR403" s="209"/>
      <c r="BS403" s="209"/>
      <c r="BT403" s="209"/>
      <c r="BU403" s="820"/>
      <c r="BV403" s="209"/>
      <c r="BW403" s="209"/>
      <c r="BX403" s="799"/>
      <c r="DB403" s="773"/>
      <c r="DC403" s="773"/>
      <c r="DD403" s="773"/>
      <c r="DE403" s="773"/>
      <c r="DF403" s="773"/>
      <c r="DG403" s="773"/>
      <c r="DH403" s="773"/>
      <c r="DI403" s="773"/>
      <c r="DJ403" s="773"/>
      <c r="DK403" s="773"/>
      <c r="DL403" s="773"/>
      <c r="DM403" s="773"/>
      <c r="DN403" s="773"/>
      <c r="DO403" s="773"/>
      <c r="DP403" s="773"/>
      <c r="DQ403" s="773"/>
      <c r="DR403" s="773"/>
      <c r="DS403" s="773"/>
      <c r="DT403" s="773"/>
      <c r="DU403" s="773"/>
      <c r="DV403" s="773"/>
      <c r="DW403" s="773"/>
      <c r="DX403" s="773"/>
      <c r="DY403" s="773"/>
      <c r="DZ403" s="773"/>
      <c r="EA403" s="773"/>
      <c r="EB403" s="773"/>
      <c r="EC403" s="773"/>
      <c r="ED403" s="773"/>
      <c r="EE403" s="773"/>
      <c r="EF403" s="773"/>
      <c r="EG403" s="773"/>
      <c r="EH403" s="773"/>
      <c r="EI403" s="773"/>
      <c r="EJ403" s="773"/>
      <c r="EK403" s="773"/>
      <c r="EL403" s="773"/>
      <c r="EM403" s="773"/>
      <c r="EN403" s="773"/>
      <c r="EO403" s="773"/>
      <c r="EP403" s="773"/>
      <c r="EQ403" s="773"/>
      <c r="ER403" s="773"/>
      <c r="ES403" s="773"/>
      <c r="ET403" s="773"/>
      <c r="EU403" s="773"/>
      <c r="EV403" s="773"/>
      <c r="EW403" s="773"/>
      <c r="EX403" s="773"/>
      <c r="EY403" s="773"/>
      <c r="EZ403" s="773"/>
      <c r="FA403" s="773"/>
      <c r="FB403" s="773"/>
      <c r="FC403" s="773"/>
      <c r="FD403" s="773"/>
      <c r="FE403" s="773"/>
      <c r="FF403" s="773"/>
      <c r="FG403" s="773"/>
      <c r="FH403" s="773"/>
      <c r="FI403" s="773"/>
      <c r="FJ403" s="773"/>
      <c r="FK403" s="773"/>
      <c r="FL403" s="773"/>
      <c r="FM403" s="773"/>
      <c r="FN403" s="773"/>
      <c r="FO403" s="773"/>
      <c r="FP403" s="773"/>
      <c r="FQ403" s="773"/>
      <c r="FR403" s="773"/>
      <c r="FS403" s="773"/>
      <c r="FT403" s="773"/>
      <c r="FU403" s="773"/>
      <c r="FV403" s="773"/>
      <c r="FW403" s="773"/>
      <c r="FX403" s="773"/>
      <c r="FY403" s="773"/>
      <c r="FZ403" s="773"/>
      <c r="GA403" s="773"/>
      <c r="GB403" s="773"/>
      <c r="GC403" s="773"/>
      <c r="GD403" s="773"/>
      <c r="GE403" s="773"/>
      <c r="GF403" s="773"/>
      <c r="GG403" s="773"/>
      <c r="GH403" s="773"/>
      <c r="GI403" s="773"/>
      <c r="GJ403" s="773"/>
      <c r="GK403" s="773"/>
      <c r="GL403" s="773"/>
      <c r="GM403" s="773"/>
      <c r="GN403" s="773"/>
      <c r="GO403" s="773"/>
      <c r="GP403" s="773"/>
      <c r="GQ403" s="773"/>
      <c r="GR403" s="773"/>
      <c r="GS403" s="773"/>
      <c r="GT403" s="773"/>
      <c r="GU403" s="773"/>
      <c r="GV403" s="773"/>
      <c r="GW403" s="773"/>
      <c r="GX403" s="773"/>
      <c r="GY403" s="773"/>
      <c r="GZ403" s="773"/>
    </row>
    <row r="404" spans="1:208" s="11" customFormat="1" ht="13.5" thickBot="1">
      <c r="A404" s="780"/>
      <c r="B404" s="3762" t="s">
        <v>693</v>
      </c>
      <c r="C404" s="197" t="s">
        <v>1868</v>
      </c>
      <c r="D404" s="199" t="s">
        <v>2237</v>
      </c>
      <c r="E404" s="42">
        <f>IFERROR(VLOOKUP(C404,'AJE 12 - INC'!$D$168:$F$345,3,0),0)</f>
        <v>9061564.1799999997</v>
      </c>
      <c r="F404" s="108">
        <f>SUMIF('AJE 12 - INC'!B:B,'New TB INC'!C404,'AJE 12 - INC'!D:D)</f>
        <v>0</v>
      </c>
      <c r="G404" s="108"/>
      <c r="H404" s="108"/>
      <c r="I404" s="108"/>
      <c r="J404" s="798">
        <f>SUM(E404:I404)</f>
        <v>9061564.1799999997</v>
      </c>
      <c r="K404" s="956">
        <f>SUM(J394:J404)+'[17]12.2021'!$B$14056</f>
        <v>-0.13180674985051155</v>
      </c>
      <c r="L404" s="434"/>
      <c r="M404" s="771" t="s">
        <v>2886</v>
      </c>
      <c r="N404" s="613"/>
      <c r="O404" s="613"/>
      <c r="P404" s="613"/>
      <c r="Q404" s="613"/>
      <c r="R404" s="613"/>
      <c r="S404" s="613"/>
      <c r="T404" s="613"/>
      <c r="U404" s="613"/>
      <c r="V404" s="613"/>
      <c r="W404" s="613"/>
      <c r="X404" s="613"/>
      <c r="Y404" s="613"/>
      <c r="Z404" s="613"/>
      <c r="AA404" s="613"/>
      <c r="AB404" s="613"/>
      <c r="AC404" s="613"/>
      <c r="AD404" s="613"/>
      <c r="AE404" s="613"/>
      <c r="AF404" s="613"/>
      <c r="AG404" s="613"/>
      <c r="AH404" s="613"/>
      <c r="AI404" s="613"/>
      <c r="AJ404" s="613"/>
      <c r="AK404" s="613"/>
      <c r="AL404" s="613"/>
      <c r="AM404" s="613"/>
      <c r="AN404" s="613"/>
      <c r="AO404" s="613"/>
      <c r="AP404" s="613"/>
      <c r="AQ404" s="613"/>
      <c r="AR404" s="613"/>
      <c r="AS404" s="613"/>
      <c r="AT404" s="613"/>
      <c r="AU404" s="613"/>
      <c r="AV404" s="613"/>
      <c r="AW404" s="2515"/>
      <c r="AX404" s="613"/>
      <c r="AY404" s="820"/>
      <c r="AZ404" s="820"/>
      <c r="BA404" s="937"/>
      <c r="BB404" s="937"/>
      <c r="BC404" s="2515"/>
      <c r="BD404" s="2515"/>
      <c r="BE404" s="2515"/>
      <c r="BF404" s="2515"/>
      <c r="BH404" s="2515"/>
      <c r="BI404" s="937"/>
      <c r="BJ404" s="937"/>
      <c r="BK404" s="937"/>
      <c r="BL404" s="937"/>
      <c r="BM404" s="937"/>
      <c r="BN404" s="209"/>
      <c r="BO404" s="209"/>
      <c r="BP404" s="209"/>
      <c r="BQ404" s="209"/>
      <c r="BR404" s="209"/>
      <c r="BS404" s="209"/>
      <c r="BT404" s="209"/>
      <c r="BU404" s="820"/>
      <c r="BV404" s="209"/>
      <c r="BW404" s="209"/>
      <c r="BX404" s="799"/>
      <c r="DB404" s="773"/>
      <c r="DC404" s="773"/>
      <c r="DD404" s="773"/>
      <c r="DE404" s="773"/>
      <c r="DF404" s="773"/>
      <c r="DG404" s="773"/>
      <c r="DH404" s="773"/>
      <c r="DI404" s="773"/>
      <c r="DJ404" s="773"/>
      <c r="DK404" s="773"/>
      <c r="DL404" s="773"/>
      <c r="DM404" s="773"/>
      <c r="DN404" s="773"/>
      <c r="DO404" s="773"/>
      <c r="DP404" s="773"/>
      <c r="DQ404" s="773"/>
      <c r="DR404" s="773"/>
      <c r="DS404" s="773"/>
      <c r="DT404" s="773"/>
      <c r="DU404" s="773"/>
      <c r="DV404" s="773"/>
      <c r="DW404" s="773"/>
      <c r="DX404" s="773"/>
      <c r="DY404" s="773"/>
      <c r="DZ404" s="773"/>
      <c r="EA404" s="773"/>
      <c r="EB404" s="773"/>
      <c r="EC404" s="773"/>
      <c r="ED404" s="773"/>
      <c r="EE404" s="773"/>
      <c r="EF404" s="773"/>
      <c r="EG404" s="773"/>
      <c r="EH404" s="773"/>
      <c r="EI404" s="773"/>
      <c r="EJ404" s="773"/>
      <c r="EK404" s="773"/>
      <c r="EL404" s="773"/>
      <c r="EM404" s="773"/>
      <c r="EN404" s="773"/>
      <c r="EO404" s="773"/>
      <c r="EP404" s="773"/>
      <c r="EQ404" s="773"/>
      <c r="ER404" s="773"/>
      <c r="ES404" s="773"/>
      <c r="ET404" s="773"/>
      <c r="EU404" s="773"/>
      <c r="EV404" s="773"/>
      <c r="EW404" s="773"/>
      <c r="EX404" s="773"/>
      <c r="EY404" s="773"/>
      <c r="EZ404" s="773"/>
      <c r="FA404" s="773"/>
      <c r="FB404" s="773"/>
      <c r="FC404" s="773"/>
      <c r="FD404" s="773"/>
      <c r="FE404" s="773"/>
      <c r="FF404" s="773"/>
      <c r="FG404" s="773"/>
      <c r="FH404" s="773"/>
      <c r="FI404" s="773"/>
      <c r="FJ404" s="773"/>
      <c r="FK404" s="773"/>
      <c r="FL404" s="773"/>
      <c r="FM404" s="773"/>
      <c r="FN404" s="773"/>
      <c r="FO404" s="773"/>
      <c r="FP404" s="773"/>
      <c r="FQ404" s="773"/>
      <c r="FR404" s="773"/>
      <c r="FS404" s="773"/>
      <c r="FT404" s="773"/>
      <c r="FU404" s="773"/>
      <c r="FV404" s="773"/>
      <c r="FW404" s="773"/>
      <c r="FX404" s="773"/>
      <c r="FY404" s="773"/>
      <c r="FZ404" s="773"/>
      <c r="GA404" s="773"/>
      <c r="GB404" s="773"/>
      <c r="GC404" s="773"/>
      <c r="GD404" s="773"/>
      <c r="GE404" s="773"/>
      <c r="GF404" s="773"/>
      <c r="GG404" s="773"/>
      <c r="GH404" s="773"/>
      <c r="GI404" s="773"/>
      <c r="GJ404" s="773"/>
      <c r="GK404" s="773"/>
      <c r="GL404" s="773"/>
      <c r="GM404" s="773"/>
      <c r="GN404" s="773"/>
      <c r="GO404" s="773"/>
      <c r="GP404" s="773"/>
      <c r="GQ404" s="773"/>
      <c r="GR404" s="773"/>
      <c r="GS404" s="773"/>
      <c r="GT404" s="773"/>
      <c r="GU404" s="773"/>
      <c r="GV404" s="773"/>
      <c r="GW404" s="773"/>
      <c r="GX404" s="773"/>
      <c r="GY404" s="773"/>
      <c r="GZ404" s="773"/>
    </row>
    <row r="405" spans="1:208" s="11" customFormat="1" ht="13.5" thickBot="1">
      <c r="A405" s="780"/>
      <c r="B405" s="3762"/>
      <c r="C405" s="767"/>
      <c r="D405" s="173"/>
      <c r="E405" s="42"/>
      <c r="F405" s="769"/>
      <c r="G405" s="769"/>
      <c r="H405" s="769"/>
      <c r="I405" s="769"/>
      <c r="J405" s="108"/>
      <c r="K405" s="209"/>
      <c r="L405" s="449"/>
      <c r="M405" s="813"/>
      <c r="N405" s="613"/>
      <c r="O405" s="613"/>
      <c r="P405" s="613"/>
      <c r="Q405" s="613"/>
      <c r="R405" s="613"/>
      <c r="S405" s="613"/>
      <c r="T405" s="613"/>
      <c r="U405" s="613"/>
      <c r="V405" s="613"/>
      <c r="W405" s="613"/>
      <c r="X405" s="613"/>
      <c r="Y405" s="613"/>
      <c r="Z405" s="613"/>
      <c r="AA405" s="613"/>
      <c r="AB405" s="613"/>
      <c r="AC405" s="613"/>
      <c r="AD405" s="613"/>
      <c r="AE405" s="613"/>
      <c r="AF405" s="613"/>
      <c r="AG405" s="613"/>
      <c r="AH405" s="613"/>
      <c r="AI405" s="613"/>
      <c r="AJ405" s="613"/>
      <c r="AK405" s="613"/>
      <c r="AL405" s="613"/>
      <c r="AM405" s="613"/>
      <c r="AN405" s="613"/>
      <c r="AO405" s="613"/>
      <c r="AP405" s="613"/>
      <c r="AQ405" s="613"/>
      <c r="AR405" s="613"/>
      <c r="AS405" s="613"/>
      <c r="AT405" s="613"/>
      <c r="AU405" s="613"/>
      <c r="AV405" s="613"/>
      <c r="AW405" s="2515"/>
      <c r="AX405" s="613"/>
      <c r="AY405" s="820"/>
      <c r="AZ405" s="820"/>
      <c r="BA405" s="937"/>
      <c r="BB405" s="937"/>
      <c r="BC405" s="2515"/>
      <c r="BD405" s="2515"/>
      <c r="BE405" s="2515"/>
      <c r="BF405" s="2515"/>
      <c r="BH405" s="2515"/>
      <c r="BI405" s="937"/>
      <c r="BJ405" s="937"/>
      <c r="BK405" s="937"/>
      <c r="BL405" s="937"/>
      <c r="BM405" s="937"/>
      <c r="BN405" s="209"/>
      <c r="BO405" s="209"/>
      <c r="BP405" s="209"/>
      <c r="BQ405" s="209"/>
      <c r="BR405" s="209"/>
      <c r="BS405" s="209"/>
      <c r="BT405" s="209"/>
      <c r="BU405" s="820"/>
      <c r="BV405" s="209"/>
      <c r="BW405" s="209"/>
      <c r="BX405" s="799"/>
      <c r="DB405" s="773"/>
      <c r="DC405" s="773"/>
      <c r="DD405" s="773"/>
      <c r="DE405" s="773"/>
      <c r="DF405" s="773"/>
      <c r="DG405" s="773"/>
      <c r="DH405" s="773"/>
      <c r="DI405" s="773"/>
      <c r="DJ405" s="773"/>
      <c r="DK405" s="773"/>
      <c r="DL405" s="773"/>
      <c r="DM405" s="773"/>
      <c r="DN405" s="773"/>
      <c r="DO405" s="773"/>
      <c r="DP405" s="773"/>
      <c r="DQ405" s="773"/>
      <c r="DR405" s="773"/>
      <c r="DS405" s="773"/>
      <c r="DT405" s="773"/>
      <c r="DU405" s="773"/>
      <c r="DV405" s="773"/>
      <c r="DW405" s="773"/>
      <c r="DX405" s="773"/>
      <c r="DY405" s="773"/>
      <c r="DZ405" s="773"/>
      <c r="EA405" s="773"/>
      <c r="EB405" s="773"/>
      <c r="EC405" s="773"/>
      <c r="ED405" s="773"/>
      <c r="EE405" s="773"/>
      <c r="EF405" s="773"/>
      <c r="EG405" s="773"/>
      <c r="EH405" s="773"/>
      <c r="EI405" s="773"/>
      <c r="EJ405" s="773"/>
      <c r="EK405" s="773"/>
      <c r="EL405" s="773"/>
      <c r="EM405" s="773"/>
      <c r="EN405" s="773"/>
      <c r="EO405" s="773"/>
      <c r="EP405" s="773"/>
      <c r="EQ405" s="773"/>
      <c r="ER405" s="773"/>
      <c r="ES405" s="773"/>
      <c r="ET405" s="773"/>
      <c r="EU405" s="773"/>
      <c r="EV405" s="773"/>
      <c r="EW405" s="773"/>
      <c r="EX405" s="773"/>
      <c r="EY405" s="773"/>
      <c r="EZ405" s="773"/>
      <c r="FA405" s="773"/>
      <c r="FB405" s="773"/>
      <c r="FC405" s="773"/>
      <c r="FD405" s="773"/>
      <c r="FE405" s="773"/>
      <c r="FF405" s="773"/>
      <c r="FG405" s="773"/>
      <c r="FH405" s="773"/>
      <c r="FI405" s="773"/>
      <c r="FJ405" s="773"/>
      <c r="FK405" s="773"/>
      <c r="FL405" s="773"/>
      <c r="FM405" s="773"/>
      <c r="FN405" s="773"/>
      <c r="FO405" s="773"/>
      <c r="FP405" s="773"/>
      <c r="FQ405" s="773"/>
      <c r="FR405" s="773"/>
      <c r="FS405" s="773"/>
      <c r="FT405" s="773"/>
      <c r="FU405" s="773"/>
      <c r="FV405" s="773"/>
      <c r="FW405" s="773"/>
      <c r="FX405" s="773"/>
      <c r="FY405" s="773"/>
      <c r="FZ405" s="773"/>
      <c r="GA405" s="773"/>
      <c r="GB405" s="773"/>
      <c r="GC405" s="773"/>
      <c r="GD405" s="773"/>
      <c r="GE405" s="773"/>
      <c r="GF405" s="773"/>
      <c r="GG405" s="773"/>
      <c r="GH405" s="773"/>
      <c r="GI405" s="773"/>
      <c r="GJ405" s="773"/>
      <c r="GK405" s="773"/>
      <c r="GL405" s="773"/>
      <c r="GM405" s="773"/>
      <c r="GN405" s="773"/>
      <c r="GO405" s="773"/>
      <c r="GP405" s="773"/>
      <c r="GQ405" s="773"/>
      <c r="GR405" s="773"/>
      <c r="GS405" s="773"/>
      <c r="GT405" s="773"/>
      <c r="GU405" s="773"/>
      <c r="GV405" s="773"/>
      <c r="GW405" s="773"/>
      <c r="GX405" s="773"/>
      <c r="GY405" s="773"/>
      <c r="GZ405" s="773"/>
    </row>
    <row r="406" spans="1:208" s="11" customFormat="1" ht="13.5" thickBot="1">
      <c r="A406" s="780"/>
      <c r="B406" s="3762" t="s">
        <v>693</v>
      </c>
      <c r="C406" s="197">
        <v>2610001</v>
      </c>
      <c r="D406" s="199" t="s">
        <v>499</v>
      </c>
      <c r="E406" s="42">
        <f>IFERROR(VLOOKUP(C406,'AJE 12 - INC'!$D$168:$F$345,3,0),0)</f>
        <v>-9061564.1799999997</v>
      </c>
      <c r="F406" s="108">
        <f>SUMIF('AJE 12 - INC'!B:B,'New TB INC'!C406,'AJE 12 - INC'!D:D)</f>
        <v>0</v>
      </c>
      <c r="G406" s="108"/>
      <c r="H406" s="108"/>
      <c r="I406" s="108"/>
      <c r="J406" s="798">
        <f>SUM(E406:I406)</f>
        <v>-9061564.1799999997</v>
      </c>
      <c r="K406" s="956">
        <f>J406+'[17]12.2021'!$A$14056</f>
        <v>-4.6953875571489334E-3</v>
      </c>
      <c r="L406" s="434"/>
      <c r="M406" s="771"/>
      <c r="N406" s="613"/>
      <c r="O406" s="613"/>
      <c r="P406" s="613"/>
      <c r="Q406" s="613"/>
      <c r="R406" s="613"/>
      <c r="S406" s="613"/>
      <c r="T406" s="613"/>
      <c r="U406" s="613"/>
      <c r="V406" s="613"/>
      <c r="W406" s="613"/>
      <c r="X406" s="613"/>
      <c r="Y406" s="613"/>
      <c r="Z406" s="613"/>
      <c r="AA406" s="613"/>
      <c r="AB406" s="613"/>
      <c r="AC406" s="613"/>
      <c r="AD406" s="613"/>
      <c r="AE406" s="613"/>
      <c r="AF406" s="613"/>
      <c r="AG406" s="613"/>
      <c r="AH406" s="613"/>
      <c r="AI406" s="613"/>
      <c r="AJ406" s="613"/>
      <c r="AK406" s="613"/>
      <c r="AL406" s="613"/>
      <c r="AM406" s="613"/>
      <c r="AN406" s="613"/>
      <c r="AO406" s="613"/>
      <c r="AP406" s="613"/>
      <c r="AQ406" s="613"/>
      <c r="AR406" s="613"/>
      <c r="AS406" s="613"/>
      <c r="AT406" s="613"/>
      <c r="AU406" s="613"/>
      <c r="AV406" s="613"/>
      <c r="AW406" s="2515"/>
      <c r="AX406" s="613"/>
      <c r="AY406" s="820"/>
      <c r="AZ406" s="820"/>
      <c r="BA406" s="937"/>
      <c r="BB406" s="937"/>
      <c r="BC406" s="2515"/>
      <c r="BD406" s="2515"/>
      <c r="BE406" s="2515"/>
      <c r="BF406" s="2515"/>
      <c r="BH406" s="2515"/>
      <c r="BI406" s="937"/>
      <c r="BJ406" s="937"/>
      <c r="BK406" s="937"/>
      <c r="BL406" s="937"/>
      <c r="BM406" s="937"/>
      <c r="BN406" s="209"/>
      <c r="BO406" s="209"/>
      <c r="BP406" s="209"/>
      <c r="BQ406" s="209"/>
      <c r="BR406" s="209"/>
      <c r="BS406" s="209"/>
      <c r="BT406" s="209"/>
      <c r="BU406" s="820"/>
      <c r="BV406" s="209"/>
      <c r="BW406" s="209"/>
      <c r="BX406" s="799"/>
      <c r="DB406" s="773"/>
      <c r="DC406" s="773"/>
      <c r="DD406" s="773"/>
      <c r="DE406" s="773"/>
      <c r="DF406" s="773"/>
      <c r="DG406" s="773"/>
      <c r="DH406" s="773"/>
      <c r="DI406" s="773"/>
      <c r="DJ406" s="773"/>
      <c r="DK406" s="773"/>
      <c r="DL406" s="773"/>
      <c r="DM406" s="773"/>
      <c r="DN406" s="773"/>
      <c r="DO406" s="773"/>
      <c r="DP406" s="773"/>
      <c r="DQ406" s="773"/>
      <c r="DR406" s="773"/>
      <c r="DS406" s="773"/>
      <c r="DT406" s="773"/>
      <c r="DU406" s="773"/>
      <c r="DV406" s="773"/>
      <c r="DW406" s="773"/>
      <c r="DX406" s="773"/>
      <c r="DY406" s="773"/>
      <c r="DZ406" s="773"/>
      <c r="EA406" s="773"/>
      <c r="EB406" s="773"/>
      <c r="EC406" s="773"/>
      <c r="ED406" s="773"/>
      <c r="EE406" s="773"/>
      <c r="EF406" s="773"/>
      <c r="EG406" s="773"/>
      <c r="EH406" s="773"/>
      <c r="EI406" s="773"/>
      <c r="EJ406" s="773"/>
      <c r="EK406" s="773"/>
      <c r="EL406" s="773"/>
      <c r="EM406" s="773"/>
      <c r="EN406" s="773"/>
      <c r="EO406" s="773"/>
      <c r="EP406" s="773"/>
      <c r="EQ406" s="773"/>
      <c r="ER406" s="773"/>
      <c r="ES406" s="773"/>
      <c r="ET406" s="773"/>
      <c r="EU406" s="773"/>
      <c r="EV406" s="773"/>
      <c r="EW406" s="773"/>
      <c r="EX406" s="773"/>
      <c r="EY406" s="773"/>
      <c r="EZ406" s="773"/>
      <c r="FA406" s="773"/>
      <c r="FB406" s="773"/>
      <c r="FC406" s="773"/>
      <c r="FD406" s="773"/>
      <c r="FE406" s="773"/>
      <c r="FF406" s="773"/>
      <c r="FG406" s="773"/>
      <c r="FH406" s="773"/>
      <c r="FI406" s="773"/>
      <c r="FJ406" s="773"/>
      <c r="FK406" s="773"/>
      <c r="FL406" s="773"/>
      <c r="FM406" s="773"/>
      <c r="FN406" s="773"/>
      <c r="FO406" s="773"/>
      <c r="FP406" s="773"/>
      <c r="FQ406" s="773"/>
      <c r="FR406" s="773"/>
      <c r="FS406" s="773"/>
      <c r="FT406" s="773"/>
      <c r="FU406" s="773"/>
      <c r="FV406" s="773"/>
      <c r="FW406" s="773"/>
      <c r="FX406" s="773"/>
      <c r="FY406" s="773"/>
      <c r="FZ406" s="773"/>
      <c r="GA406" s="773"/>
      <c r="GB406" s="773"/>
      <c r="GC406" s="773"/>
      <c r="GD406" s="773"/>
      <c r="GE406" s="773"/>
      <c r="GF406" s="773"/>
      <c r="GG406" s="773"/>
      <c r="GH406" s="773"/>
      <c r="GI406" s="773"/>
      <c r="GJ406" s="773"/>
      <c r="GK406" s="773"/>
      <c r="GL406" s="773"/>
      <c r="GM406" s="773"/>
      <c r="GN406" s="773"/>
      <c r="GO406" s="773"/>
      <c r="GP406" s="773"/>
      <c r="GQ406" s="773"/>
      <c r="GR406" s="773"/>
      <c r="GS406" s="773"/>
      <c r="GT406" s="773"/>
      <c r="GU406" s="773"/>
      <c r="GV406" s="773"/>
      <c r="GW406" s="773"/>
      <c r="GX406" s="773"/>
      <c r="GY406" s="773"/>
      <c r="GZ406" s="773"/>
    </row>
    <row r="407" spans="1:208" s="11" customFormat="1">
      <c r="A407" s="780"/>
      <c r="B407" s="3762"/>
      <c r="C407" s="197"/>
      <c r="D407" s="199"/>
      <c r="E407" s="42"/>
      <c r="F407" s="108"/>
      <c r="G407" s="108"/>
      <c r="H407" s="108"/>
      <c r="I407" s="108"/>
      <c r="J407" s="798"/>
      <c r="K407" s="209"/>
      <c r="L407" s="434"/>
      <c r="M407" s="771"/>
      <c r="N407" s="613"/>
      <c r="O407" s="613"/>
      <c r="P407" s="613"/>
      <c r="Q407" s="613"/>
      <c r="R407" s="613"/>
      <c r="S407" s="613"/>
      <c r="T407" s="613"/>
      <c r="U407" s="613"/>
      <c r="V407" s="613"/>
      <c r="W407" s="613"/>
      <c r="X407" s="613"/>
      <c r="Y407" s="613"/>
      <c r="Z407" s="613"/>
      <c r="AA407" s="613"/>
      <c r="AB407" s="613"/>
      <c r="AC407" s="613"/>
      <c r="AD407" s="613"/>
      <c r="AE407" s="613"/>
      <c r="AF407" s="613"/>
      <c r="AG407" s="613"/>
      <c r="AH407" s="613"/>
      <c r="AI407" s="613"/>
      <c r="AJ407" s="613"/>
      <c r="AK407" s="613"/>
      <c r="AL407" s="613"/>
      <c r="AM407" s="613"/>
      <c r="AN407" s="613"/>
      <c r="AO407" s="613"/>
      <c r="AP407" s="613"/>
      <c r="AQ407" s="613"/>
      <c r="AR407" s="613"/>
      <c r="AS407" s="613"/>
      <c r="AT407" s="613"/>
      <c r="AU407" s="613"/>
      <c r="AV407" s="613"/>
      <c r="AW407" s="2515"/>
      <c r="AX407" s="613"/>
      <c r="AY407" s="820"/>
      <c r="AZ407" s="820"/>
      <c r="BA407" s="937"/>
      <c r="BB407" s="937"/>
      <c r="BC407" s="2515"/>
      <c r="BD407" s="2515"/>
      <c r="BE407" s="2515"/>
      <c r="BF407" s="2515"/>
      <c r="BH407" s="2515"/>
      <c r="BI407" s="937"/>
      <c r="BJ407" s="937"/>
      <c r="BK407" s="937"/>
      <c r="BL407" s="937"/>
      <c r="BM407" s="937"/>
      <c r="BN407" s="209"/>
      <c r="BO407" s="209"/>
      <c r="BP407" s="209"/>
      <c r="BQ407" s="209"/>
      <c r="BR407" s="209"/>
      <c r="BS407" s="209"/>
      <c r="BT407" s="209"/>
      <c r="BU407" s="820"/>
      <c r="BV407" s="209"/>
      <c r="BW407" s="209"/>
      <c r="BX407" s="799"/>
      <c r="DB407" s="773"/>
      <c r="DC407" s="773"/>
      <c r="DD407" s="773"/>
      <c r="DE407" s="773"/>
      <c r="DF407" s="773"/>
      <c r="DG407" s="773"/>
      <c r="DH407" s="773"/>
      <c r="DI407" s="773"/>
      <c r="DJ407" s="773"/>
      <c r="DK407" s="773"/>
      <c r="DL407" s="773"/>
      <c r="DM407" s="773"/>
      <c r="DN407" s="773"/>
      <c r="DO407" s="773"/>
      <c r="DP407" s="773"/>
      <c r="DQ407" s="773"/>
      <c r="DR407" s="773"/>
      <c r="DS407" s="773"/>
      <c r="DT407" s="773"/>
      <c r="DU407" s="773"/>
      <c r="DV407" s="773"/>
      <c r="DW407" s="773"/>
      <c r="DX407" s="773"/>
      <c r="DY407" s="773"/>
      <c r="DZ407" s="773"/>
      <c r="EA407" s="773"/>
      <c r="EB407" s="773"/>
      <c r="EC407" s="773"/>
      <c r="ED407" s="773"/>
      <c r="EE407" s="773"/>
      <c r="EF407" s="773"/>
      <c r="EG407" s="773"/>
      <c r="EH407" s="773"/>
      <c r="EI407" s="773"/>
      <c r="EJ407" s="773"/>
      <c r="EK407" s="773"/>
      <c r="EL407" s="773"/>
      <c r="EM407" s="773"/>
      <c r="EN407" s="773"/>
      <c r="EO407" s="773"/>
      <c r="EP407" s="773"/>
      <c r="EQ407" s="773"/>
      <c r="ER407" s="773"/>
      <c r="ES407" s="773"/>
      <c r="ET407" s="773"/>
      <c r="EU407" s="773"/>
      <c r="EV407" s="773"/>
      <c r="EW407" s="773"/>
      <c r="EX407" s="773"/>
      <c r="EY407" s="773"/>
      <c r="EZ407" s="773"/>
      <c r="FA407" s="773"/>
      <c r="FB407" s="773"/>
      <c r="FC407" s="773"/>
      <c r="FD407" s="773"/>
      <c r="FE407" s="773"/>
      <c r="FF407" s="773"/>
      <c r="FG407" s="773"/>
      <c r="FH407" s="773"/>
      <c r="FI407" s="773"/>
      <c r="FJ407" s="773"/>
      <c r="FK407" s="773"/>
      <c r="FL407" s="773"/>
      <c r="FM407" s="773"/>
      <c r="FN407" s="773"/>
      <c r="FO407" s="773"/>
      <c r="FP407" s="773"/>
      <c r="FQ407" s="773"/>
      <c r="FR407" s="773"/>
      <c r="FS407" s="773"/>
      <c r="FT407" s="773"/>
      <c r="FU407" s="773"/>
      <c r="FV407" s="773"/>
      <c r="FW407" s="773"/>
      <c r="FX407" s="773"/>
      <c r="FY407" s="773"/>
      <c r="FZ407" s="773"/>
      <c r="GA407" s="773"/>
      <c r="GB407" s="773"/>
      <c r="GC407" s="773"/>
      <c r="GD407" s="773"/>
      <c r="GE407" s="773"/>
      <c r="GF407" s="773"/>
      <c r="GG407" s="773"/>
      <c r="GH407" s="773"/>
      <c r="GI407" s="773"/>
      <c r="GJ407" s="773"/>
      <c r="GK407" s="773"/>
      <c r="GL407" s="773"/>
      <c r="GM407" s="773"/>
      <c r="GN407" s="773"/>
      <c r="GO407" s="773"/>
      <c r="GP407" s="773"/>
      <c r="GQ407" s="773"/>
      <c r="GR407" s="773"/>
      <c r="GS407" s="773"/>
      <c r="GT407" s="773"/>
      <c r="GU407" s="773"/>
      <c r="GV407" s="773"/>
      <c r="GW407" s="773"/>
      <c r="GX407" s="773"/>
      <c r="GY407" s="773"/>
      <c r="GZ407" s="773"/>
    </row>
    <row r="408" spans="1:208" s="11" customFormat="1">
      <c r="A408" s="780"/>
      <c r="B408" s="3762"/>
      <c r="C408" s="197"/>
      <c r="D408" s="199"/>
      <c r="E408" s="42"/>
      <c r="F408" s="108"/>
      <c r="G408" s="108"/>
      <c r="H408" s="108"/>
      <c r="I408" s="108"/>
      <c r="J408" s="798"/>
      <c r="K408" s="209"/>
      <c r="L408" s="434"/>
      <c r="M408" s="771"/>
      <c r="N408" s="856"/>
      <c r="O408" s="772"/>
      <c r="P408" s="772"/>
      <c r="Q408" s="613"/>
      <c r="R408" s="613"/>
      <c r="S408" s="613"/>
      <c r="T408" s="613"/>
      <c r="U408" s="613"/>
      <c r="V408" s="613"/>
      <c r="W408" s="613"/>
      <c r="X408" s="613"/>
      <c r="Y408" s="613"/>
      <c r="Z408" s="613"/>
      <c r="AA408" s="613"/>
      <c r="AB408" s="613"/>
      <c r="AC408" s="613"/>
      <c r="AD408" s="613"/>
      <c r="AE408" s="613"/>
      <c r="AF408" s="613"/>
      <c r="AG408" s="613"/>
      <c r="AH408" s="613"/>
      <c r="AI408" s="613"/>
      <c r="AJ408" s="613"/>
      <c r="AK408" s="613"/>
      <c r="AL408" s="613"/>
      <c r="AM408" s="613"/>
      <c r="AN408" s="613"/>
      <c r="AO408" s="613"/>
      <c r="AP408" s="613"/>
      <c r="AQ408" s="613"/>
      <c r="AR408" s="613"/>
      <c r="AS408" s="613"/>
      <c r="AT408" s="613"/>
      <c r="AU408" s="613"/>
      <c r="AV408" s="613"/>
      <c r="AW408" s="2515"/>
      <c r="AX408" s="613"/>
      <c r="AY408" s="820"/>
      <c r="AZ408" s="820"/>
      <c r="BA408" s="937"/>
      <c r="BB408" s="937"/>
      <c r="BC408" s="2515"/>
      <c r="BD408" s="2515"/>
      <c r="BE408" s="2515"/>
      <c r="BF408" s="2515"/>
      <c r="BH408" s="2515"/>
      <c r="BI408" s="937"/>
      <c r="BJ408" s="937"/>
      <c r="BK408" s="937"/>
      <c r="BL408" s="937"/>
      <c r="BM408" s="937"/>
      <c r="BN408" s="209"/>
      <c r="BO408" s="209"/>
      <c r="BP408" s="209"/>
      <c r="BQ408" s="209"/>
      <c r="BR408" s="209"/>
      <c r="BS408" s="209"/>
      <c r="BT408" s="209"/>
      <c r="BU408" s="820"/>
      <c r="BV408" s="209"/>
      <c r="BW408" s="209"/>
      <c r="BX408" s="799"/>
      <c r="DB408" s="773"/>
      <c r="DC408" s="773"/>
      <c r="DD408" s="773"/>
      <c r="DE408" s="773"/>
      <c r="DF408" s="773"/>
      <c r="DG408" s="773"/>
      <c r="DH408" s="773"/>
      <c r="DI408" s="773"/>
      <c r="DJ408" s="773"/>
      <c r="DK408" s="773"/>
      <c r="DL408" s="773"/>
      <c r="DM408" s="773"/>
      <c r="DN408" s="773"/>
      <c r="DO408" s="773"/>
      <c r="DP408" s="773"/>
      <c r="DQ408" s="773"/>
      <c r="DR408" s="773"/>
      <c r="DS408" s="773"/>
      <c r="DT408" s="773"/>
      <c r="DU408" s="773"/>
      <c r="DV408" s="773"/>
      <c r="DW408" s="773"/>
      <c r="DX408" s="773"/>
      <c r="DY408" s="773"/>
      <c r="DZ408" s="773"/>
      <c r="EA408" s="773"/>
      <c r="EB408" s="773"/>
      <c r="EC408" s="773"/>
      <c r="ED408" s="773"/>
      <c r="EE408" s="773"/>
      <c r="EF408" s="773"/>
      <c r="EG408" s="773"/>
      <c r="EH408" s="773"/>
      <c r="EI408" s="773"/>
      <c r="EJ408" s="773"/>
      <c r="EK408" s="773"/>
      <c r="EL408" s="773"/>
      <c r="EM408" s="773"/>
      <c r="EN408" s="773"/>
      <c r="EO408" s="773"/>
      <c r="EP408" s="773"/>
      <c r="EQ408" s="773"/>
      <c r="ER408" s="773"/>
      <c r="ES408" s="773"/>
      <c r="ET408" s="773"/>
      <c r="EU408" s="773"/>
      <c r="EV408" s="773"/>
      <c r="EW408" s="773"/>
      <c r="EX408" s="773"/>
      <c r="EY408" s="773"/>
      <c r="EZ408" s="773"/>
      <c r="FA408" s="773"/>
      <c r="FB408" s="773"/>
      <c r="FC408" s="773"/>
      <c r="FD408" s="773"/>
      <c r="FE408" s="773"/>
      <c r="FF408" s="773"/>
      <c r="FG408" s="773"/>
      <c r="FH408" s="773"/>
      <c r="FI408" s="773"/>
      <c r="FJ408" s="773"/>
      <c r="FK408" s="773"/>
      <c r="FL408" s="773"/>
      <c r="FM408" s="773"/>
      <c r="FN408" s="773"/>
      <c r="FO408" s="773"/>
      <c r="FP408" s="773"/>
      <c r="FQ408" s="773"/>
      <c r="FR408" s="773"/>
      <c r="FS408" s="773"/>
      <c r="FT408" s="773"/>
      <c r="FU408" s="773"/>
      <c r="FV408" s="773"/>
      <c r="FW408" s="773"/>
      <c r="FX408" s="773"/>
      <c r="FY408" s="773"/>
      <c r="FZ408" s="773"/>
      <c r="GA408" s="773"/>
      <c r="GB408" s="773"/>
      <c r="GC408" s="773"/>
      <c r="GD408" s="773"/>
      <c r="GE408" s="773"/>
      <c r="GF408" s="773"/>
      <c r="GG408" s="773"/>
      <c r="GH408" s="773"/>
      <c r="GI408" s="773"/>
      <c r="GJ408" s="773"/>
      <c r="GK408" s="773"/>
      <c r="GL408" s="773"/>
      <c r="GM408" s="773"/>
      <c r="GN408" s="773"/>
      <c r="GO408" s="773"/>
      <c r="GP408" s="773"/>
      <c r="GQ408" s="773"/>
      <c r="GR408" s="773"/>
      <c r="GS408" s="773"/>
      <c r="GT408" s="773"/>
      <c r="GU408" s="773"/>
      <c r="GV408" s="773"/>
      <c r="GW408" s="773"/>
      <c r="GX408" s="773"/>
      <c r="GY408" s="773"/>
      <c r="GZ408" s="773"/>
    </row>
    <row r="409" spans="1:208" s="11" customFormat="1">
      <c r="A409" s="780"/>
      <c r="B409" s="3762" t="s">
        <v>2997</v>
      </c>
      <c r="C409" s="197">
        <v>2040001</v>
      </c>
      <c r="D409" s="199" t="s">
        <v>2998</v>
      </c>
      <c r="E409" s="42">
        <f>IFERROR(VLOOKUP(C409,'AJE 12 - INC'!$D$168:$F$345,3,0),0)</f>
        <v>0</v>
      </c>
      <c r="F409" s="108">
        <f>SUMIF('AJE 12 - INC'!B:B,'New TB INC'!C409,'AJE 12 - INC'!D:D)</f>
        <v>0</v>
      </c>
      <c r="G409" s="108"/>
      <c r="H409" s="108"/>
      <c r="I409" s="108"/>
      <c r="J409" s="798">
        <f t="shared" ref="J409:J432" si="41">SUM(E409:I409)</f>
        <v>0</v>
      </c>
      <c r="K409" s="209"/>
      <c r="L409" s="449"/>
      <c r="M409" s="813"/>
      <c r="N409" s="772"/>
      <c r="O409" s="772"/>
      <c r="P409" s="772"/>
      <c r="Q409" s="613"/>
      <c r="R409" s="613"/>
      <c r="S409" s="613"/>
      <c r="T409" s="613"/>
      <c r="U409" s="613"/>
      <c r="V409" s="613"/>
      <c r="W409" s="613"/>
      <c r="X409" s="613"/>
      <c r="Y409" s="613"/>
      <c r="Z409" s="613"/>
      <c r="AA409" s="613"/>
      <c r="AB409" s="613"/>
      <c r="AC409" s="613"/>
      <c r="AD409" s="613"/>
      <c r="AE409" s="613"/>
      <c r="AF409" s="613"/>
      <c r="AG409" s="613"/>
      <c r="AH409" s="613"/>
      <c r="AI409" s="613"/>
      <c r="AJ409" s="613"/>
      <c r="AK409" s="613"/>
      <c r="AL409" s="613"/>
      <c r="AM409" s="613"/>
      <c r="AN409" s="613"/>
      <c r="AO409" s="613"/>
      <c r="AP409" s="613"/>
      <c r="AQ409" s="613"/>
      <c r="AR409" s="613"/>
      <c r="AS409" s="613"/>
      <c r="AT409" s="613"/>
      <c r="AU409" s="613"/>
      <c r="AV409" s="613"/>
      <c r="AW409" s="2515"/>
      <c r="AX409" s="613"/>
      <c r="AY409" s="820"/>
      <c r="AZ409" s="820"/>
      <c r="BA409" s="937"/>
      <c r="BB409" s="937"/>
      <c r="BC409" s="2515"/>
      <c r="BD409" s="2515"/>
      <c r="BE409" s="2515"/>
      <c r="BF409" s="2515"/>
      <c r="BH409" s="2515"/>
      <c r="BI409" s="937"/>
      <c r="BJ409" s="937"/>
      <c r="BK409" s="937"/>
      <c r="BL409" s="937"/>
      <c r="BM409" s="937"/>
      <c r="BN409" s="209"/>
      <c r="BO409" s="209"/>
      <c r="BP409" s="209"/>
      <c r="BQ409" s="209"/>
      <c r="BR409" s="209"/>
      <c r="BS409" s="209"/>
      <c r="BT409" s="209"/>
      <c r="BU409" s="820"/>
      <c r="BV409" s="209"/>
      <c r="BW409" s="209"/>
      <c r="BX409" s="799"/>
      <c r="DB409" s="773"/>
      <c r="DC409" s="773"/>
      <c r="DD409" s="773"/>
      <c r="DE409" s="773"/>
      <c r="DF409" s="773"/>
      <c r="DG409" s="773"/>
      <c r="DH409" s="773"/>
      <c r="DI409" s="773"/>
      <c r="DJ409" s="773"/>
      <c r="DK409" s="773"/>
      <c r="DL409" s="773"/>
      <c r="DM409" s="773"/>
      <c r="DN409" s="773"/>
      <c r="DO409" s="773"/>
      <c r="DP409" s="773"/>
      <c r="DQ409" s="773"/>
      <c r="DR409" s="773"/>
      <c r="DS409" s="773"/>
      <c r="DT409" s="773"/>
      <c r="DU409" s="773"/>
      <c r="DV409" s="773"/>
      <c r="DW409" s="773"/>
      <c r="DX409" s="773"/>
      <c r="DY409" s="773"/>
      <c r="DZ409" s="773"/>
      <c r="EA409" s="773"/>
      <c r="EB409" s="773"/>
      <c r="EC409" s="773"/>
      <c r="ED409" s="773"/>
      <c r="EE409" s="773"/>
      <c r="EF409" s="773"/>
      <c r="EG409" s="773"/>
      <c r="EH409" s="773"/>
      <c r="EI409" s="773"/>
      <c r="EJ409" s="773"/>
      <c r="EK409" s="773"/>
      <c r="EL409" s="773"/>
      <c r="EM409" s="773"/>
      <c r="EN409" s="773"/>
      <c r="EO409" s="773"/>
      <c r="EP409" s="773"/>
      <c r="EQ409" s="773"/>
      <c r="ER409" s="773"/>
      <c r="ES409" s="773"/>
      <c r="ET409" s="773"/>
      <c r="EU409" s="773"/>
      <c r="EV409" s="773"/>
      <c r="EW409" s="773"/>
      <c r="EX409" s="773"/>
      <c r="EY409" s="773"/>
      <c r="EZ409" s="773"/>
      <c r="FA409" s="773"/>
      <c r="FB409" s="773"/>
      <c r="FC409" s="773"/>
      <c r="FD409" s="773"/>
      <c r="FE409" s="773"/>
      <c r="FF409" s="773"/>
      <c r="FG409" s="773"/>
      <c r="FH409" s="773"/>
      <c r="FI409" s="773"/>
      <c r="FJ409" s="773"/>
      <c r="FK409" s="773"/>
      <c r="FL409" s="773"/>
      <c r="FM409" s="773"/>
      <c r="FN409" s="773"/>
      <c r="FO409" s="773"/>
      <c r="FP409" s="773"/>
      <c r="FQ409" s="773"/>
      <c r="FR409" s="773"/>
      <c r="FS409" s="773"/>
      <c r="FT409" s="773"/>
      <c r="FU409" s="773"/>
      <c r="FV409" s="773"/>
      <c r="FW409" s="773"/>
      <c r="FX409" s="773"/>
      <c r="FY409" s="773"/>
      <c r="FZ409" s="773"/>
      <c r="GA409" s="773"/>
      <c r="GB409" s="773"/>
      <c r="GC409" s="773"/>
      <c r="GD409" s="773"/>
      <c r="GE409" s="773"/>
      <c r="GF409" s="773"/>
      <c r="GG409" s="773"/>
      <c r="GH409" s="773"/>
      <c r="GI409" s="773"/>
      <c r="GJ409" s="773"/>
      <c r="GK409" s="773"/>
      <c r="GL409" s="773"/>
      <c r="GM409" s="773"/>
      <c r="GN409" s="773"/>
      <c r="GO409" s="773"/>
      <c r="GP409" s="773"/>
      <c r="GQ409" s="773"/>
      <c r="GR409" s="773"/>
      <c r="GS409" s="773"/>
      <c r="GT409" s="773"/>
      <c r="GU409" s="773"/>
      <c r="GV409" s="773"/>
      <c r="GW409" s="773"/>
      <c r="GX409" s="773"/>
      <c r="GY409" s="773"/>
      <c r="GZ409" s="773"/>
    </row>
    <row r="411" spans="1:208" s="11" customFormat="1" ht="13.5" thickBot="1">
      <c r="A411" s="780"/>
      <c r="B411" s="3762" t="s">
        <v>705</v>
      </c>
      <c r="C411" s="814">
        <v>2500201</v>
      </c>
      <c r="D411" s="199" t="s">
        <v>530</v>
      </c>
      <c r="E411" s="42">
        <f>IFERROR(VLOOKUP(C411,'AJE 12 - INC'!$D$168:$F$345,3,0),0)</f>
        <v>-0.4</v>
      </c>
      <c r="F411" s="108">
        <f>SUMIF('AJE 12 - INC'!B:B,'New TB INC'!C411,'AJE 12 - INC'!D:D)</f>
        <v>0</v>
      </c>
      <c r="G411" s="108"/>
      <c r="H411" s="108"/>
      <c r="I411" s="108"/>
      <c r="J411" s="798">
        <f t="shared" si="41"/>
        <v>-0.4</v>
      </c>
      <c r="K411" s="209"/>
      <c r="L411" s="434"/>
      <c r="M411" s="805"/>
      <c r="N411" s="772"/>
      <c r="O411" s="772"/>
      <c r="P411" s="772"/>
      <c r="Q411" s="613"/>
      <c r="R411" s="613"/>
      <c r="S411" s="613"/>
      <c r="T411" s="613"/>
      <c r="U411" s="613"/>
      <c r="V411" s="613"/>
      <c r="W411" s="613"/>
      <c r="X411" s="613"/>
      <c r="Y411" s="613"/>
      <c r="Z411" s="613"/>
      <c r="AA411" s="613"/>
      <c r="AB411" s="613"/>
      <c r="AC411" s="613"/>
      <c r="AD411" s="613"/>
      <c r="AE411" s="613"/>
      <c r="AF411" s="613"/>
      <c r="AG411" s="613"/>
      <c r="AH411" s="613"/>
      <c r="AI411" s="613"/>
      <c r="AJ411" s="613"/>
      <c r="AK411" s="613"/>
      <c r="AL411" s="613"/>
      <c r="AM411" s="613"/>
      <c r="AN411" s="613"/>
      <c r="AO411" s="613"/>
      <c r="AP411" s="613"/>
      <c r="AQ411" s="613"/>
      <c r="AR411" s="613"/>
      <c r="AS411" s="613"/>
      <c r="AT411" s="613"/>
      <c r="AU411" s="613"/>
      <c r="AV411" s="613"/>
      <c r="AW411" s="2515"/>
      <c r="AX411" s="613"/>
      <c r="AY411" s="820"/>
      <c r="AZ411" s="820"/>
      <c r="BA411" s="937"/>
      <c r="BB411" s="937"/>
      <c r="BC411" s="2515"/>
      <c r="BD411" s="2515"/>
      <c r="BE411" s="2515"/>
      <c r="BF411" s="2515"/>
      <c r="BH411" s="2515"/>
      <c r="BI411" s="937"/>
      <c r="BJ411" s="937"/>
      <c r="BK411" s="937"/>
      <c r="BL411" s="937"/>
      <c r="BM411" s="937"/>
      <c r="BN411" s="209"/>
      <c r="BO411" s="209"/>
      <c r="BP411" s="209"/>
      <c r="BQ411" s="209"/>
      <c r="BR411" s="209"/>
      <c r="BS411" s="209"/>
      <c r="BT411" s="209"/>
      <c r="BU411" s="820"/>
      <c r="BV411" s="209"/>
      <c r="BW411" s="209"/>
      <c r="BX411" s="799"/>
      <c r="DB411" s="773"/>
      <c r="DC411" s="773"/>
      <c r="DD411" s="773"/>
      <c r="DE411" s="773"/>
      <c r="DF411" s="773"/>
      <c r="DG411" s="773"/>
      <c r="DH411" s="773"/>
      <c r="DI411" s="773"/>
      <c r="DJ411" s="773"/>
      <c r="DK411" s="773"/>
      <c r="DL411" s="773"/>
      <c r="DM411" s="773"/>
      <c r="DN411" s="773"/>
      <c r="DO411" s="773"/>
      <c r="DP411" s="773"/>
      <c r="DQ411" s="773"/>
      <c r="DR411" s="773"/>
      <c r="DS411" s="773"/>
      <c r="DT411" s="773"/>
      <c r="DU411" s="773"/>
      <c r="DV411" s="773"/>
      <c r="DW411" s="773"/>
      <c r="DX411" s="773"/>
      <c r="DY411" s="773"/>
      <c r="DZ411" s="773"/>
      <c r="EA411" s="773"/>
      <c r="EB411" s="773"/>
      <c r="EC411" s="773"/>
      <c r="ED411" s="773"/>
      <c r="EE411" s="773"/>
      <c r="EF411" s="773"/>
      <c r="EG411" s="773"/>
      <c r="EH411" s="773"/>
      <c r="EI411" s="773"/>
      <c r="EJ411" s="773"/>
      <c r="EK411" s="773"/>
      <c r="EL411" s="773"/>
      <c r="EM411" s="773"/>
      <c r="EN411" s="773"/>
      <c r="EO411" s="773"/>
      <c r="EP411" s="773"/>
      <c r="EQ411" s="773"/>
      <c r="ER411" s="773"/>
      <c r="ES411" s="773"/>
      <c r="ET411" s="773"/>
      <c r="EU411" s="773"/>
      <c r="EV411" s="773"/>
      <c r="EW411" s="773"/>
      <c r="EX411" s="773"/>
      <c r="EY411" s="773"/>
      <c r="EZ411" s="773"/>
      <c r="FA411" s="773"/>
      <c r="FB411" s="773"/>
      <c r="FC411" s="773"/>
      <c r="FD411" s="773"/>
      <c r="FE411" s="773"/>
      <c r="FF411" s="773"/>
      <c r="FG411" s="773"/>
      <c r="FH411" s="773"/>
      <c r="FI411" s="773"/>
      <c r="FJ411" s="773"/>
      <c r="FK411" s="773"/>
      <c r="FL411" s="773"/>
      <c r="FM411" s="773"/>
      <c r="FN411" s="773"/>
      <c r="FO411" s="773"/>
      <c r="FP411" s="773"/>
      <c r="FQ411" s="773"/>
      <c r="FR411" s="773"/>
      <c r="FS411" s="773"/>
      <c r="FT411" s="773"/>
      <c r="FU411" s="773"/>
      <c r="FV411" s="773"/>
      <c r="FW411" s="773"/>
      <c r="FX411" s="773"/>
      <c r="FY411" s="773"/>
      <c r="FZ411" s="773"/>
      <c r="GA411" s="773"/>
      <c r="GB411" s="773"/>
      <c r="GC411" s="773"/>
      <c r="GD411" s="773"/>
      <c r="GE411" s="773"/>
      <c r="GF411" s="773"/>
      <c r="GG411" s="773"/>
      <c r="GH411" s="773"/>
      <c r="GI411" s="773"/>
      <c r="GJ411" s="773"/>
      <c r="GK411" s="773"/>
      <c r="GL411" s="773"/>
      <c r="GM411" s="773"/>
      <c r="GN411" s="773"/>
      <c r="GO411" s="773"/>
      <c r="GP411" s="773"/>
      <c r="GQ411" s="773"/>
      <c r="GR411" s="773"/>
      <c r="GS411" s="773"/>
      <c r="GT411" s="773"/>
      <c r="GU411" s="773"/>
      <c r="GV411" s="773"/>
      <c r="GW411" s="773"/>
      <c r="GX411" s="773"/>
      <c r="GY411" s="773"/>
      <c r="GZ411" s="773"/>
    </row>
    <row r="412" spans="1:208" s="11" customFormat="1" ht="13.5" thickBot="1">
      <c r="A412" s="780"/>
      <c r="B412" s="3587" t="s">
        <v>705</v>
      </c>
      <c r="C412" s="814">
        <v>2500202</v>
      </c>
      <c r="D412" s="199" t="s">
        <v>531</v>
      </c>
      <c r="E412" s="42">
        <f>IFERROR(VLOOKUP(C412,'AJE 12 - INC'!$D$168:$F$345,3,0),0)</f>
        <v>0</v>
      </c>
      <c r="F412" s="108">
        <f>SUMIF('AJE 12 - INC'!B:B,'New TB INC'!C412,'AJE 12 - INC'!D:D)</f>
        <v>0</v>
      </c>
      <c r="G412" s="108"/>
      <c r="H412" s="108"/>
      <c r="I412" s="108"/>
      <c r="J412" s="798">
        <f t="shared" si="41"/>
        <v>0</v>
      </c>
      <c r="K412" s="956">
        <v>0</v>
      </c>
      <c r="L412" s="449"/>
      <c r="M412" s="1215" t="s">
        <v>2422</v>
      </c>
      <c r="N412" s="772"/>
      <c r="O412" s="772"/>
      <c r="P412" s="772"/>
      <c r="Q412" s="613"/>
      <c r="R412" s="613"/>
      <c r="S412" s="613"/>
      <c r="T412" s="613"/>
      <c r="U412" s="613"/>
      <c r="V412" s="613"/>
      <c r="W412" s="613"/>
      <c r="X412" s="613"/>
      <c r="Y412" s="613"/>
      <c r="Z412" s="613"/>
      <c r="AA412" s="613"/>
      <c r="AB412" s="613"/>
      <c r="AC412" s="613"/>
      <c r="AD412" s="613"/>
      <c r="AE412" s="613"/>
      <c r="AF412" s="613"/>
      <c r="AG412" s="613"/>
      <c r="AH412" s="613"/>
      <c r="AI412" s="613"/>
      <c r="AJ412" s="613"/>
      <c r="AK412" s="613"/>
      <c r="AL412" s="613"/>
      <c r="AM412" s="613"/>
      <c r="AN412" s="613"/>
      <c r="AO412" s="613"/>
      <c r="AP412" s="613"/>
      <c r="AQ412" s="613"/>
      <c r="AR412" s="613"/>
      <c r="AS412" s="613"/>
      <c r="AT412" s="613"/>
      <c r="AU412" s="613"/>
      <c r="AV412" s="613"/>
      <c r="AW412" s="2515"/>
      <c r="AX412" s="613"/>
      <c r="AY412" s="820"/>
      <c r="AZ412" s="820"/>
      <c r="BA412" s="937"/>
      <c r="BB412" s="937"/>
      <c r="BC412" s="2515"/>
      <c r="BD412" s="2515"/>
      <c r="BE412" s="2515"/>
      <c r="BF412" s="2515"/>
      <c r="BH412" s="2515"/>
      <c r="BI412" s="937"/>
      <c r="BJ412" s="937"/>
      <c r="BK412" s="937"/>
      <c r="BL412" s="937"/>
      <c r="BM412" s="937"/>
      <c r="BN412" s="209"/>
      <c r="BO412" s="209"/>
      <c r="BP412" s="209"/>
      <c r="BQ412" s="209"/>
      <c r="BR412" s="209"/>
      <c r="BS412" s="209"/>
      <c r="BT412" s="209"/>
      <c r="BU412" s="820"/>
      <c r="BV412" s="209"/>
      <c r="BW412" s="209"/>
      <c r="BX412" s="799"/>
      <c r="DB412" s="773"/>
      <c r="DC412" s="773"/>
      <c r="DD412" s="773"/>
      <c r="DE412" s="773"/>
      <c r="DF412" s="773"/>
      <c r="DG412" s="773"/>
      <c r="DH412" s="773"/>
      <c r="DI412" s="773"/>
      <c r="DJ412" s="773"/>
      <c r="DK412" s="773"/>
      <c r="DL412" s="773"/>
      <c r="DM412" s="773"/>
      <c r="DN412" s="773"/>
      <c r="DO412" s="773"/>
      <c r="DP412" s="773"/>
      <c r="DQ412" s="773"/>
      <c r="DR412" s="773"/>
      <c r="DS412" s="773"/>
      <c r="DT412" s="773"/>
      <c r="DU412" s="773"/>
      <c r="DV412" s="773"/>
      <c r="DW412" s="773"/>
      <c r="DX412" s="773"/>
      <c r="DY412" s="773"/>
      <c r="DZ412" s="773"/>
      <c r="EA412" s="773"/>
      <c r="EB412" s="773"/>
      <c r="EC412" s="773"/>
      <c r="ED412" s="773"/>
      <c r="EE412" s="773"/>
      <c r="EF412" s="773"/>
      <c r="EG412" s="773"/>
      <c r="EH412" s="773"/>
      <c r="EI412" s="773"/>
      <c r="EJ412" s="773"/>
      <c r="EK412" s="773"/>
      <c r="EL412" s="773"/>
      <c r="EM412" s="773"/>
      <c r="EN412" s="773"/>
      <c r="EO412" s="773"/>
      <c r="EP412" s="773"/>
      <c r="EQ412" s="773"/>
      <c r="ER412" s="773"/>
      <c r="ES412" s="773"/>
      <c r="ET412" s="773"/>
      <c r="EU412" s="773"/>
      <c r="EV412" s="773"/>
      <c r="EW412" s="773"/>
      <c r="EX412" s="773"/>
      <c r="EY412" s="773"/>
      <c r="EZ412" s="773"/>
      <c r="FA412" s="773"/>
      <c r="FB412" s="773"/>
      <c r="FC412" s="773"/>
      <c r="FD412" s="773"/>
      <c r="FE412" s="773"/>
      <c r="FF412" s="773"/>
      <c r="FG412" s="773"/>
      <c r="FH412" s="773"/>
      <c r="FI412" s="773"/>
      <c r="FJ412" s="773"/>
      <c r="FK412" s="773"/>
      <c r="FL412" s="773"/>
      <c r="FM412" s="773"/>
      <c r="FN412" s="773"/>
      <c r="FO412" s="773"/>
      <c r="FP412" s="773"/>
      <c r="FQ412" s="773"/>
      <c r="FR412" s="773"/>
      <c r="FS412" s="773"/>
      <c r="FT412" s="773"/>
      <c r="FU412" s="773"/>
      <c r="FV412" s="773"/>
      <c r="FW412" s="773"/>
      <c r="FX412" s="773"/>
      <c r="FY412" s="773"/>
      <c r="FZ412" s="773"/>
      <c r="GA412" s="773"/>
      <c r="GB412" s="773"/>
      <c r="GC412" s="773"/>
      <c r="GD412" s="773"/>
      <c r="GE412" s="773"/>
      <c r="GF412" s="773"/>
      <c r="GG412" s="773"/>
      <c r="GH412" s="773"/>
      <c r="GI412" s="773"/>
      <c r="GJ412" s="773"/>
      <c r="GK412" s="773"/>
      <c r="GL412" s="773"/>
      <c r="GM412" s="773"/>
      <c r="GN412" s="773"/>
      <c r="GO412" s="773"/>
      <c r="GP412" s="773"/>
      <c r="GQ412" s="773"/>
      <c r="GR412" s="773"/>
      <c r="GS412" s="773"/>
      <c r="GT412" s="773"/>
      <c r="GU412" s="773"/>
      <c r="GV412" s="773"/>
      <c r="GW412" s="773"/>
      <c r="GX412" s="773"/>
      <c r="GY412" s="773"/>
      <c r="GZ412" s="773"/>
    </row>
    <row r="413" spans="1:208" s="11" customFormat="1">
      <c r="A413" s="780"/>
      <c r="B413" s="3762" t="s">
        <v>705</v>
      </c>
      <c r="C413" s="814">
        <v>2500203</v>
      </c>
      <c r="D413" s="199" t="s">
        <v>532</v>
      </c>
      <c r="E413" s="42">
        <f>IFERROR(VLOOKUP(C413,'AJE 12 - INC'!$D$168:$F$345,3,0),0)</f>
        <v>0.43</v>
      </c>
      <c r="F413" s="108">
        <f>SUMIF('AJE 12 - INC'!B:B,'New TB INC'!C413,'AJE 12 - INC'!D:D)</f>
        <v>0</v>
      </c>
      <c r="G413" s="108"/>
      <c r="H413" s="108"/>
      <c r="I413" s="108"/>
      <c r="J413" s="798">
        <f t="shared" si="41"/>
        <v>0.43</v>
      </c>
      <c r="K413" s="209"/>
      <c r="L413" s="434"/>
      <c r="M413" s="857"/>
      <c r="N413" s="772"/>
      <c r="O413" s="772"/>
      <c r="P413" s="772"/>
      <c r="Q413" s="613"/>
      <c r="R413" s="613"/>
      <c r="S413" s="613"/>
      <c r="T413" s="613"/>
      <c r="U413" s="613"/>
      <c r="V413" s="613"/>
      <c r="W413" s="613"/>
      <c r="X413" s="613"/>
      <c r="Y413" s="613"/>
      <c r="Z413" s="613"/>
      <c r="AA413" s="613"/>
      <c r="AB413" s="613"/>
      <c r="AC413" s="613"/>
      <c r="AD413" s="613"/>
      <c r="AE413" s="613"/>
      <c r="AF413" s="613"/>
      <c r="AG413" s="613"/>
      <c r="AH413" s="613"/>
      <c r="AI413" s="613"/>
      <c r="AJ413" s="613"/>
      <c r="AK413" s="613"/>
      <c r="AL413" s="613"/>
      <c r="AM413" s="613"/>
      <c r="AN413" s="613"/>
      <c r="AO413" s="613"/>
      <c r="AP413" s="613"/>
      <c r="AQ413" s="613"/>
      <c r="AR413" s="613"/>
      <c r="AS413" s="613"/>
      <c r="AT413" s="613"/>
      <c r="AU413" s="613"/>
      <c r="AV413" s="613"/>
      <c r="AW413" s="2515"/>
      <c r="AX413" s="613"/>
      <c r="AY413" s="820"/>
      <c r="AZ413" s="820"/>
      <c r="BA413" s="937"/>
      <c r="BB413" s="937"/>
      <c r="BC413" s="2515"/>
      <c r="BD413" s="2515"/>
      <c r="BE413" s="2515"/>
      <c r="BF413" s="2515"/>
      <c r="BH413" s="2515"/>
      <c r="BI413" s="937"/>
      <c r="BJ413" s="937"/>
      <c r="BK413" s="937"/>
      <c r="BL413" s="937"/>
      <c r="BM413" s="937"/>
      <c r="BN413" s="209"/>
      <c r="BO413" s="209"/>
      <c r="BP413" s="209"/>
      <c r="BQ413" s="209"/>
      <c r="BR413" s="209"/>
      <c r="BS413" s="209"/>
      <c r="BT413" s="209"/>
      <c r="BU413" s="820"/>
      <c r="BV413" s="209"/>
      <c r="BW413" s="209"/>
      <c r="BX413" s="799"/>
      <c r="DB413" s="773"/>
      <c r="DC413" s="773"/>
      <c r="DD413" s="773"/>
      <c r="DE413" s="773"/>
      <c r="DF413" s="773"/>
      <c r="DG413" s="773"/>
      <c r="DH413" s="773"/>
      <c r="DI413" s="773"/>
      <c r="DJ413" s="773"/>
      <c r="DK413" s="773"/>
      <c r="DL413" s="773"/>
      <c r="DM413" s="773"/>
      <c r="DN413" s="773"/>
      <c r="DO413" s="773"/>
      <c r="DP413" s="773"/>
      <c r="DQ413" s="773"/>
      <c r="DR413" s="773"/>
      <c r="DS413" s="773"/>
      <c r="DT413" s="773"/>
      <c r="DU413" s="773"/>
      <c r="DV413" s="773"/>
      <c r="DW413" s="773"/>
      <c r="DX413" s="773"/>
      <c r="DY413" s="773"/>
      <c r="DZ413" s="773"/>
      <c r="EA413" s="773"/>
      <c r="EB413" s="773"/>
      <c r="EC413" s="773"/>
      <c r="ED413" s="773"/>
      <c r="EE413" s="773"/>
      <c r="EF413" s="773"/>
      <c r="EG413" s="773"/>
      <c r="EH413" s="773"/>
      <c r="EI413" s="773"/>
      <c r="EJ413" s="773"/>
      <c r="EK413" s="773"/>
      <c r="EL413" s="773"/>
      <c r="EM413" s="773"/>
      <c r="EN413" s="773"/>
      <c r="EO413" s="773"/>
      <c r="EP413" s="773"/>
      <c r="EQ413" s="773"/>
      <c r="ER413" s="773"/>
      <c r="ES413" s="773"/>
      <c r="ET413" s="773"/>
      <c r="EU413" s="773"/>
      <c r="EV413" s="773"/>
      <c r="EW413" s="773"/>
      <c r="EX413" s="773"/>
      <c r="EY413" s="773"/>
      <c r="EZ413" s="773"/>
      <c r="FA413" s="773"/>
      <c r="FB413" s="773"/>
      <c r="FC413" s="773"/>
      <c r="FD413" s="773"/>
      <c r="FE413" s="773"/>
      <c r="FF413" s="773"/>
      <c r="FG413" s="773"/>
      <c r="FH413" s="773"/>
      <c r="FI413" s="773"/>
      <c r="FJ413" s="773"/>
      <c r="FK413" s="773"/>
      <c r="FL413" s="773"/>
      <c r="FM413" s="773"/>
      <c r="FN413" s="773"/>
      <c r="FO413" s="773"/>
      <c r="FP413" s="773"/>
      <c r="FQ413" s="773"/>
      <c r="FR413" s="773"/>
      <c r="FS413" s="773"/>
      <c r="FT413" s="773"/>
      <c r="FU413" s="773"/>
      <c r="FV413" s="773"/>
      <c r="FW413" s="773"/>
      <c r="FX413" s="773"/>
      <c r="FY413" s="773"/>
      <c r="FZ413" s="773"/>
      <c r="GA413" s="773"/>
      <c r="GB413" s="773"/>
      <c r="GC413" s="773"/>
      <c r="GD413" s="773"/>
      <c r="GE413" s="773"/>
      <c r="GF413" s="773"/>
      <c r="GG413" s="773"/>
      <c r="GH413" s="773"/>
      <c r="GI413" s="773"/>
      <c r="GJ413" s="773"/>
      <c r="GK413" s="773"/>
      <c r="GL413" s="773"/>
      <c r="GM413" s="773"/>
      <c r="GN413" s="773"/>
      <c r="GO413" s="773"/>
      <c r="GP413" s="773"/>
      <c r="GQ413" s="773"/>
      <c r="GR413" s="773"/>
      <c r="GS413" s="773"/>
      <c r="GT413" s="773"/>
      <c r="GU413" s="773"/>
      <c r="GV413" s="773"/>
      <c r="GW413" s="773"/>
      <c r="GX413" s="773"/>
      <c r="GY413" s="773"/>
      <c r="GZ413" s="773"/>
    </row>
    <row r="414" spans="1:208" s="11" customFormat="1">
      <c r="A414" s="780"/>
      <c r="B414" s="3762" t="s">
        <v>2357</v>
      </c>
      <c r="C414" s="814">
        <v>2520008</v>
      </c>
      <c r="D414" s="200" t="s">
        <v>480</v>
      </c>
      <c r="E414" s="42">
        <f>IFERROR(VLOOKUP(C414,'AJE 12 - INC'!$D$168:$F$345,3,0),0)</f>
        <v>0.03</v>
      </c>
      <c r="F414" s="108">
        <f>SUMIF('AJE 12 - INC'!B:B,'New TB INC'!C414,'AJE 12 - INC'!D:D)</f>
        <v>0</v>
      </c>
      <c r="G414" s="108"/>
      <c r="H414" s="108"/>
      <c r="I414" s="108"/>
      <c r="J414" s="798">
        <f t="shared" ref="J414:J415" si="42">SUM(E414:I414)</f>
        <v>0.03</v>
      </c>
      <c r="K414" s="209"/>
      <c r="L414" s="434"/>
      <c r="M414" s="857"/>
      <c r="N414" s="772"/>
      <c r="O414" s="772"/>
      <c r="P414" s="772"/>
      <c r="Q414" s="613"/>
      <c r="R414" s="613"/>
      <c r="S414" s="613"/>
      <c r="T414" s="613"/>
      <c r="U414" s="613"/>
      <c r="V414" s="613"/>
      <c r="W414" s="613"/>
      <c r="X414" s="613"/>
      <c r="Y414" s="613"/>
      <c r="Z414" s="613"/>
      <c r="AA414" s="613"/>
      <c r="AB414" s="613"/>
      <c r="AC414" s="613"/>
      <c r="AD414" s="613"/>
      <c r="AE414" s="613"/>
      <c r="AF414" s="613"/>
      <c r="AG414" s="613"/>
      <c r="AH414" s="613"/>
      <c r="AI414" s="613"/>
      <c r="AJ414" s="613"/>
      <c r="AK414" s="613"/>
      <c r="AL414" s="613"/>
      <c r="AM414" s="613"/>
      <c r="AN414" s="613"/>
      <c r="AO414" s="613"/>
      <c r="AP414" s="613"/>
      <c r="AQ414" s="613"/>
      <c r="AR414" s="613"/>
      <c r="AS414" s="613"/>
      <c r="AT414" s="613"/>
      <c r="AU414" s="613"/>
      <c r="AV414" s="613"/>
      <c r="AW414" s="2515"/>
      <c r="AX414" s="613"/>
      <c r="AY414" s="820"/>
      <c r="AZ414" s="820"/>
      <c r="BA414" s="937"/>
      <c r="BB414" s="937"/>
      <c r="BC414" s="2515"/>
      <c r="BD414" s="2515"/>
      <c r="BE414" s="2515"/>
      <c r="BF414" s="2515"/>
      <c r="BH414" s="2515"/>
      <c r="BI414" s="937"/>
      <c r="BJ414" s="937"/>
      <c r="BK414" s="937"/>
      <c r="BL414" s="937"/>
      <c r="BM414" s="937"/>
      <c r="BN414" s="209"/>
      <c r="BO414" s="209"/>
      <c r="BP414" s="209"/>
      <c r="BQ414" s="209"/>
      <c r="BR414" s="209"/>
      <c r="BS414" s="209"/>
      <c r="BT414" s="209"/>
      <c r="BU414" s="820"/>
      <c r="BV414" s="209"/>
      <c r="BW414" s="209"/>
      <c r="BX414" s="799"/>
      <c r="DB414" s="773"/>
      <c r="DC414" s="773"/>
      <c r="DD414" s="773"/>
      <c r="DE414" s="773"/>
      <c r="DF414" s="773"/>
      <c r="DG414" s="773"/>
      <c r="DH414" s="773"/>
      <c r="DI414" s="773"/>
      <c r="DJ414" s="773"/>
      <c r="DK414" s="773"/>
      <c r="DL414" s="773"/>
      <c r="DM414" s="773"/>
      <c r="DN414" s="773"/>
      <c r="DO414" s="773"/>
      <c r="DP414" s="773"/>
      <c r="DQ414" s="773"/>
      <c r="DR414" s="773"/>
      <c r="DS414" s="773"/>
      <c r="DT414" s="773"/>
      <c r="DU414" s="773"/>
      <c r="DV414" s="773"/>
      <c r="DW414" s="773"/>
      <c r="DX414" s="773"/>
      <c r="DY414" s="773"/>
      <c r="DZ414" s="773"/>
      <c r="EA414" s="773"/>
      <c r="EB414" s="773"/>
      <c r="EC414" s="773"/>
      <c r="ED414" s="773"/>
      <c r="EE414" s="773"/>
      <c r="EF414" s="773"/>
      <c r="EG414" s="773"/>
      <c r="EH414" s="773"/>
      <c r="EI414" s="773"/>
      <c r="EJ414" s="773"/>
      <c r="EK414" s="773"/>
      <c r="EL414" s="773"/>
      <c r="EM414" s="773"/>
      <c r="EN414" s="773"/>
      <c r="EO414" s="773"/>
      <c r="EP414" s="773"/>
      <c r="EQ414" s="773"/>
      <c r="ER414" s="773"/>
      <c r="ES414" s="773"/>
      <c r="ET414" s="773"/>
      <c r="EU414" s="773"/>
      <c r="EV414" s="773"/>
      <c r="EW414" s="773"/>
      <c r="EX414" s="773"/>
      <c r="EY414" s="773"/>
      <c r="EZ414" s="773"/>
      <c r="FA414" s="773"/>
      <c r="FB414" s="773"/>
      <c r="FC414" s="773"/>
      <c r="FD414" s="773"/>
      <c r="FE414" s="773"/>
      <c r="FF414" s="773"/>
      <c r="FG414" s="773"/>
      <c r="FH414" s="773"/>
      <c r="FI414" s="773"/>
      <c r="FJ414" s="773"/>
      <c r="FK414" s="773"/>
      <c r="FL414" s="773"/>
      <c r="FM414" s="773"/>
      <c r="FN414" s="773"/>
      <c r="FO414" s="773"/>
      <c r="FP414" s="773"/>
      <c r="FQ414" s="773"/>
      <c r="FR414" s="773"/>
      <c r="FS414" s="773"/>
      <c r="FT414" s="773"/>
      <c r="FU414" s="773"/>
      <c r="FV414" s="773"/>
      <c r="FW414" s="773"/>
      <c r="FX414" s="773"/>
      <c r="FY414" s="773"/>
      <c r="FZ414" s="773"/>
      <c r="GA414" s="773"/>
      <c r="GB414" s="773"/>
      <c r="GC414" s="773"/>
      <c r="GD414" s="773"/>
      <c r="GE414" s="773"/>
      <c r="GF414" s="773"/>
      <c r="GG414" s="773"/>
      <c r="GH414" s="773"/>
      <c r="GI414" s="773"/>
      <c r="GJ414" s="773"/>
      <c r="GK414" s="773"/>
      <c r="GL414" s="773"/>
      <c r="GM414" s="773"/>
      <c r="GN414" s="773"/>
      <c r="GO414" s="773"/>
      <c r="GP414" s="773"/>
      <c r="GQ414" s="773"/>
      <c r="GR414" s="773"/>
      <c r="GS414" s="773"/>
      <c r="GT414" s="773"/>
      <c r="GU414" s="773"/>
      <c r="GV414" s="773"/>
      <c r="GW414" s="773"/>
      <c r="GX414" s="773"/>
      <c r="GY414" s="773"/>
      <c r="GZ414" s="773"/>
    </row>
    <row r="415" spans="1:208" s="11" customFormat="1">
      <c r="A415" s="780"/>
      <c r="B415" s="3762" t="s">
        <v>2357</v>
      </c>
      <c r="C415" s="814">
        <v>2520010</v>
      </c>
      <c r="D415" s="200" t="s">
        <v>4710</v>
      </c>
      <c r="E415" s="42">
        <f>IFERROR(VLOOKUP(C415,'AJE 12 - INC'!$D$168:$F$345,3,0),0)</f>
        <v>-6818</v>
      </c>
      <c r="F415" s="108">
        <f>SUMIF('AJE 12 - INC'!B:B,'New TB INC'!C415,'AJE 12 - INC'!D:D)</f>
        <v>0</v>
      </c>
      <c r="G415" s="108"/>
      <c r="H415" s="108"/>
      <c r="I415" s="108"/>
      <c r="J415" s="798">
        <f t="shared" si="42"/>
        <v>-6818</v>
      </c>
      <c r="K415" s="209"/>
      <c r="L415" s="434"/>
      <c r="M415" s="857"/>
      <c r="N415" s="772"/>
      <c r="O415" s="772"/>
      <c r="P415" s="772"/>
      <c r="Q415" s="613"/>
      <c r="R415" s="613"/>
      <c r="S415" s="613"/>
      <c r="T415" s="613"/>
      <c r="U415" s="613"/>
      <c r="V415" s="613"/>
      <c r="W415" s="613"/>
      <c r="X415" s="613"/>
      <c r="Y415" s="613"/>
      <c r="Z415" s="613"/>
      <c r="AA415" s="613"/>
      <c r="AB415" s="613"/>
      <c r="AC415" s="613"/>
      <c r="AD415" s="613"/>
      <c r="AE415" s="613"/>
      <c r="AF415" s="613"/>
      <c r="AG415" s="613"/>
      <c r="AH415" s="613"/>
      <c r="AI415" s="613"/>
      <c r="AJ415" s="613"/>
      <c r="AK415" s="613"/>
      <c r="AL415" s="613"/>
      <c r="AM415" s="613"/>
      <c r="AN415" s="613"/>
      <c r="AO415" s="613"/>
      <c r="AP415" s="613"/>
      <c r="AQ415" s="613"/>
      <c r="AR415" s="613"/>
      <c r="AS415" s="613"/>
      <c r="AT415" s="613"/>
      <c r="AU415" s="613"/>
      <c r="AV415" s="613"/>
      <c r="AW415" s="2515"/>
      <c r="AX415" s="613"/>
      <c r="AY415" s="820"/>
      <c r="AZ415" s="820"/>
      <c r="BA415" s="937"/>
      <c r="BB415" s="937"/>
      <c r="BC415" s="2515"/>
      <c r="BD415" s="2515"/>
      <c r="BE415" s="2515"/>
      <c r="BF415" s="2515"/>
      <c r="BH415" s="2515"/>
      <c r="BI415" s="937"/>
      <c r="BJ415" s="937"/>
      <c r="BK415" s="937"/>
      <c r="BL415" s="937"/>
      <c r="BM415" s="937"/>
      <c r="BN415" s="209"/>
      <c r="BO415" s="209"/>
      <c r="BP415" s="209"/>
      <c r="BQ415" s="209"/>
      <c r="BR415" s="209"/>
      <c r="BS415" s="209"/>
      <c r="BT415" s="209"/>
      <c r="BU415" s="820"/>
      <c r="BV415" s="209"/>
      <c r="BW415" s="209"/>
      <c r="BX415" s="799"/>
      <c r="DB415" s="773"/>
      <c r="DC415" s="773"/>
      <c r="DD415" s="773"/>
      <c r="DE415" s="773"/>
      <c r="DF415" s="773"/>
      <c r="DG415" s="773"/>
      <c r="DH415" s="773"/>
      <c r="DI415" s="773"/>
      <c r="DJ415" s="773"/>
      <c r="DK415" s="773"/>
      <c r="DL415" s="773"/>
      <c r="DM415" s="773"/>
      <c r="DN415" s="773"/>
      <c r="DO415" s="773"/>
      <c r="DP415" s="773"/>
      <c r="DQ415" s="773"/>
      <c r="DR415" s="773"/>
      <c r="DS415" s="773"/>
      <c r="DT415" s="773"/>
      <c r="DU415" s="773"/>
      <c r="DV415" s="773"/>
      <c r="DW415" s="773"/>
      <c r="DX415" s="773"/>
      <c r="DY415" s="773"/>
      <c r="DZ415" s="773"/>
      <c r="EA415" s="773"/>
      <c r="EB415" s="773"/>
      <c r="EC415" s="773"/>
      <c r="ED415" s="773"/>
      <c r="EE415" s="773"/>
      <c r="EF415" s="773"/>
      <c r="EG415" s="773"/>
      <c r="EH415" s="773"/>
      <c r="EI415" s="773"/>
      <c r="EJ415" s="773"/>
      <c r="EK415" s="773"/>
      <c r="EL415" s="773"/>
      <c r="EM415" s="773"/>
      <c r="EN415" s="773"/>
      <c r="EO415" s="773"/>
      <c r="EP415" s="773"/>
      <c r="EQ415" s="773"/>
      <c r="ER415" s="773"/>
      <c r="ES415" s="773"/>
      <c r="ET415" s="773"/>
      <c r="EU415" s="773"/>
      <c r="EV415" s="773"/>
      <c r="EW415" s="773"/>
      <c r="EX415" s="773"/>
      <c r="EY415" s="773"/>
      <c r="EZ415" s="773"/>
      <c r="FA415" s="773"/>
      <c r="FB415" s="773"/>
      <c r="FC415" s="773"/>
      <c r="FD415" s="773"/>
      <c r="FE415" s="773"/>
      <c r="FF415" s="773"/>
      <c r="FG415" s="773"/>
      <c r="FH415" s="773"/>
      <c r="FI415" s="773"/>
      <c r="FJ415" s="773"/>
      <c r="FK415" s="773"/>
      <c r="FL415" s="773"/>
      <c r="FM415" s="773"/>
      <c r="FN415" s="773"/>
      <c r="FO415" s="773"/>
      <c r="FP415" s="773"/>
      <c r="FQ415" s="773"/>
      <c r="FR415" s="773"/>
      <c r="FS415" s="773"/>
      <c r="FT415" s="773"/>
      <c r="FU415" s="773"/>
      <c r="FV415" s="773"/>
      <c r="FW415" s="773"/>
      <c r="FX415" s="773"/>
      <c r="FY415" s="773"/>
      <c r="FZ415" s="773"/>
      <c r="GA415" s="773"/>
      <c r="GB415" s="773"/>
      <c r="GC415" s="773"/>
      <c r="GD415" s="773"/>
      <c r="GE415" s="773"/>
      <c r="GF415" s="773"/>
      <c r="GG415" s="773"/>
      <c r="GH415" s="773"/>
      <c r="GI415" s="773"/>
      <c r="GJ415" s="773"/>
      <c r="GK415" s="773"/>
      <c r="GL415" s="773"/>
      <c r="GM415" s="773"/>
      <c r="GN415" s="773"/>
      <c r="GO415" s="773"/>
      <c r="GP415" s="773"/>
      <c r="GQ415" s="773"/>
      <c r="GR415" s="773"/>
      <c r="GS415" s="773"/>
      <c r="GT415" s="773"/>
      <c r="GU415" s="773"/>
      <c r="GV415" s="773"/>
      <c r="GW415" s="773"/>
      <c r="GX415" s="773"/>
      <c r="GY415" s="773"/>
      <c r="GZ415" s="773"/>
    </row>
    <row r="416" spans="1:208" s="11" customFormat="1">
      <c r="A416" s="774"/>
      <c r="B416" s="3762" t="s">
        <v>705</v>
      </c>
      <c r="C416" s="814">
        <v>2500041</v>
      </c>
      <c r="D416" s="173" t="s">
        <v>1741</v>
      </c>
      <c r="E416" s="42">
        <f>IFERROR(VLOOKUP(C416,'AJE 12 - INC'!$D$168:$F$345,3,0),0)</f>
        <v>0.1</v>
      </c>
      <c r="F416" s="108">
        <f>SUMIF('AJE 12 - INC'!B:B,'New TB INC'!C416,'AJE 12 - INC'!D:D)</f>
        <v>0</v>
      </c>
      <c r="G416" s="108"/>
      <c r="H416" s="108"/>
      <c r="I416" s="108"/>
      <c r="J416" s="798">
        <f t="shared" si="41"/>
        <v>0.1</v>
      </c>
      <c r="K416" s="773"/>
      <c r="L416" s="770"/>
      <c r="M416" s="771"/>
      <c r="N416" s="772"/>
      <c r="O416" s="772"/>
      <c r="P416" s="772"/>
      <c r="Q416" s="613"/>
      <c r="R416" s="613"/>
      <c r="S416" s="613"/>
      <c r="T416" s="613"/>
      <c r="U416" s="613"/>
      <c r="V416" s="613"/>
      <c r="W416" s="613"/>
      <c r="X416" s="613"/>
      <c r="Y416" s="613"/>
      <c r="Z416" s="613"/>
      <c r="AA416" s="613"/>
      <c r="AB416" s="613"/>
      <c r="AC416" s="613"/>
      <c r="AD416" s="613"/>
      <c r="AE416" s="613"/>
      <c r="AF416" s="613"/>
      <c r="AG416" s="613"/>
      <c r="AH416" s="613"/>
      <c r="AI416" s="613"/>
      <c r="AJ416" s="613"/>
      <c r="AK416" s="613"/>
      <c r="AL416" s="613"/>
      <c r="AM416" s="613"/>
      <c r="AN416" s="613"/>
      <c r="AO416" s="613"/>
      <c r="AP416" s="613"/>
      <c r="AQ416" s="613"/>
      <c r="AR416" s="613"/>
      <c r="AS416" s="613"/>
      <c r="AT416" s="613"/>
      <c r="AU416" s="613"/>
      <c r="AV416" s="613"/>
      <c r="AW416" s="2510"/>
      <c r="AX416" s="613"/>
      <c r="BC416" s="2510"/>
      <c r="BD416" s="2510"/>
      <c r="BE416" s="2510"/>
      <c r="BF416" s="2510"/>
      <c r="BH416" s="2510"/>
      <c r="DB416" s="773"/>
      <c r="DC416" s="773"/>
      <c r="DD416" s="773"/>
      <c r="DE416" s="773"/>
      <c r="DF416" s="773"/>
      <c r="DG416" s="773"/>
      <c r="DH416" s="773"/>
      <c r="DI416" s="773"/>
      <c r="DJ416" s="773"/>
      <c r="DK416" s="773"/>
      <c r="DL416" s="773"/>
      <c r="DM416" s="773"/>
      <c r="DN416" s="773"/>
      <c r="DO416" s="773"/>
      <c r="DP416" s="773"/>
      <c r="DQ416" s="773"/>
      <c r="DR416" s="773"/>
      <c r="DS416" s="773"/>
      <c r="DT416" s="773"/>
      <c r="DU416" s="773"/>
      <c r="DV416" s="773"/>
      <c r="DW416" s="773"/>
      <c r="DX416" s="773"/>
      <c r="DY416" s="773"/>
      <c r="DZ416" s="773"/>
      <c r="EA416" s="773"/>
      <c r="EB416" s="773"/>
      <c r="EC416" s="773"/>
      <c r="ED416" s="773"/>
      <c r="EE416" s="773"/>
      <c r="EF416" s="773"/>
      <c r="EG416" s="773"/>
      <c r="EH416" s="773"/>
      <c r="EI416" s="773"/>
      <c r="EJ416" s="773"/>
      <c r="EK416" s="773"/>
      <c r="EL416" s="773"/>
      <c r="EM416" s="773"/>
      <c r="EN416" s="773"/>
      <c r="EO416" s="773"/>
      <c r="EP416" s="773"/>
      <c r="EQ416" s="773"/>
      <c r="ER416" s="773"/>
      <c r="ES416" s="773"/>
      <c r="ET416" s="773"/>
      <c r="EU416" s="773"/>
      <c r="EV416" s="773"/>
      <c r="EW416" s="773"/>
      <c r="EX416" s="773"/>
      <c r="EY416" s="773"/>
      <c r="EZ416" s="773"/>
      <c r="FA416" s="773"/>
      <c r="FB416" s="773"/>
      <c r="FC416" s="773"/>
      <c r="FD416" s="773"/>
      <c r="FE416" s="773"/>
      <c r="FF416" s="773"/>
      <c r="FG416" s="773"/>
      <c r="FH416" s="773"/>
      <c r="FI416" s="773"/>
      <c r="FJ416" s="773"/>
      <c r="FK416" s="773"/>
      <c r="FL416" s="773"/>
      <c r="FM416" s="773"/>
      <c r="FN416" s="773"/>
      <c r="FO416" s="773"/>
      <c r="FP416" s="773"/>
      <c r="FQ416" s="773"/>
      <c r="FR416" s="773"/>
      <c r="FS416" s="773"/>
      <c r="FT416" s="773"/>
      <c r="FU416" s="773"/>
      <c r="FV416" s="773"/>
      <c r="FW416" s="773"/>
      <c r="FX416" s="773"/>
      <c r="FY416" s="773"/>
      <c r="FZ416" s="773"/>
      <c r="GA416" s="773"/>
      <c r="GB416" s="773"/>
      <c r="GC416" s="773"/>
      <c r="GD416" s="773"/>
      <c r="GE416" s="773"/>
      <c r="GF416" s="773"/>
      <c r="GG416" s="773"/>
      <c r="GH416" s="773"/>
      <c r="GI416" s="773"/>
      <c r="GJ416" s="773"/>
      <c r="GK416" s="773"/>
      <c r="GL416" s="773"/>
      <c r="GM416" s="773"/>
      <c r="GN416" s="773"/>
      <c r="GO416" s="773"/>
      <c r="GP416" s="773"/>
      <c r="GQ416" s="773"/>
      <c r="GR416" s="773"/>
      <c r="GS416" s="773"/>
      <c r="GT416" s="773"/>
      <c r="GU416" s="773"/>
      <c r="GV416" s="773"/>
      <c r="GW416" s="773"/>
      <c r="GX416" s="773"/>
      <c r="GY416" s="773"/>
      <c r="GZ416" s="773"/>
    </row>
    <row r="417" spans="1:208" s="11" customFormat="1">
      <c r="A417" s="774"/>
      <c r="B417" s="3762" t="s">
        <v>2357</v>
      </c>
      <c r="C417" s="814">
        <v>2520027</v>
      </c>
      <c r="D417" s="199" t="s">
        <v>3756</v>
      </c>
      <c r="E417" s="42">
        <f>IFERROR(VLOOKUP(C417,'AJE 12 - INC'!$D$168:$F$345,3,0),0)</f>
        <v>0</v>
      </c>
      <c r="F417" s="108">
        <f>SUMIF('AJE 12 - INC'!B:B,'New TB INC'!C417,'AJE 12 - INC'!D:D)</f>
        <v>0</v>
      </c>
      <c r="G417" s="108"/>
      <c r="H417" s="108"/>
      <c r="I417" s="108"/>
      <c r="J417" s="798">
        <f t="shared" ref="J417:J422" si="43">SUM(E417:I417)</f>
        <v>0</v>
      </c>
      <c r="K417" s="773"/>
      <c r="L417" s="770"/>
      <c r="M417" s="771"/>
      <c r="N417" s="772"/>
      <c r="O417" s="772">
        <v>36129.599999999999</v>
      </c>
      <c r="P417" s="772"/>
      <c r="Q417" s="613"/>
      <c r="R417" s="613"/>
      <c r="S417" s="613"/>
      <c r="T417" s="613"/>
      <c r="U417" s="613"/>
      <c r="V417" s="613"/>
      <c r="W417" s="613"/>
      <c r="X417" s="613"/>
      <c r="Y417" s="613"/>
      <c r="Z417" s="613"/>
      <c r="AA417" s="613"/>
      <c r="AB417" s="613"/>
      <c r="AC417" s="613"/>
      <c r="AD417" s="613"/>
      <c r="AE417" s="613"/>
      <c r="AF417" s="613"/>
      <c r="AG417" s="613"/>
      <c r="AH417" s="613"/>
      <c r="AI417" s="613"/>
      <c r="AJ417" s="613"/>
      <c r="AK417" s="613"/>
      <c r="AL417" s="613"/>
      <c r="AM417" s="613"/>
      <c r="AN417" s="613"/>
      <c r="AO417" s="613"/>
      <c r="AP417" s="613"/>
      <c r="AQ417" s="613"/>
      <c r="AR417" s="613"/>
      <c r="AS417" s="613"/>
      <c r="AT417" s="613"/>
      <c r="AU417" s="613"/>
      <c r="AV417" s="613"/>
      <c r="AW417" s="2510"/>
      <c r="AX417" s="613"/>
      <c r="BC417" s="2510"/>
      <c r="BD417" s="2510"/>
      <c r="BE417" s="2510"/>
      <c r="BF417" s="2510"/>
      <c r="BH417" s="2510"/>
      <c r="DB417" s="773"/>
      <c r="DC417" s="773"/>
      <c r="DD417" s="773"/>
      <c r="DE417" s="773"/>
      <c r="DF417" s="773"/>
      <c r="DG417" s="773"/>
      <c r="DH417" s="773"/>
      <c r="DI417" s="773"/>
      <c r="DJ417" s="773"/>
      <c r="DK417" s="773"/>
      <c r="DL417" s="773"/>
      <c r="DM417" s="773"/>
      <c r="DN417" s="773"/>
      <c r="DO417" s="773"/>
      <c r="DP417" s="773"/>
      <c r="DQ417" s="773"/>
      <c r="DR417" s="773"/>
      <c r="DS417" s="773"/>
      <c r="DT417" s="773"/>
      <c r="DU417" s="773"/>
      <c r="DV417" s="773"/>
      <c r="DW417" s="773"/>
      <c r="DX417" s="773"/>
      <c r="DY417" s="773"/>
      <c r="DZ417" s="773"/>
      <c r="EA417" s="773"/>
      <c r="EB417" s="773"/>
      <c r="EC417" s="773"/>
      <c r="ED417" s="773"/>
      <c r="EE417" s="773"/>
      <c r="EF417" s="773"/>
      <c r="EG417" s="773"/>
      <c r="EH417" s="773"/>
      <c r="EI417" s="773"/>
      <c r="EJ417" s="773"/>
      <c r="EK417" s="773"/>
      <c r="EL417" s="773"/>
      <c r="EM417" s="773"/>
      <c r="EN417" s="773"/>
      <c r="EO417" s="773"/>
      <c r="EP417" s="773"/>
      <c r="EQ417" s="773"/>
      <c r="ER417" s="773"/>
      <c r="ES417" s="773"/>
      <c r="ET417" s="773"/>
      <c r="EU417" s="773"/>
      <c r="EV417" s="773"/>
      <c r="EW417" s="773"/>
      <c r="EX417" s="773"/>
      <c r="EY417" s="773"/>
      <c r="EZ417" s="773"/>
      <c r="FA417" s="773"/>
      <c r="FB417" s="773"/>
      <c r="FC417" s="773"/>
      <c r="FD417" s="773"/>
      <c r="FE417" s="773"/>
      <c r="FF417" s="773"/>
      <c r="FG417" s="773"/>
      <c r="FH417" s="773"/>
      <c r="FI417" s="773"/>
      <c r="FJ417" s="773"/>
      <c r="FK417" s="773"/>
      <c r="FL417" s="773"/>
      <c r="FM417" s="773"/>
      <c r="FN417" s="773"/>
      <c r="FO417" s="773"/>
      <c r="FP417" s="773"/>
      <c r="FQ417" s="773"/>
      <c r="FR417" s="773"/>
      <c r="FS417" s="773"/>
      <c r="FT417" s="773"/>
      <c r="FU417" s="773"/>
      <c r="FV417" s="773"/>
      <c r="FW417" s="773"/>
      <c r="FX417" s="773"/>
      <c r="FY417" s="773"/>
      <c r="FZ417" s="773"/>
      <c r="GA417" s="773"/>
      <c r="GB417" s="773"/>
      <c r="GC417" s="773"/>
      <c r="GD417" s="773"/>
      <c r="GE417" s="773"/>
      <c r="GF417" s="773"/>
      <c r="GG417" s="773"/>
      <c r="GH417" s="773"/>
      <c r="GI417" s="773"/>
      <c r="GJ417" s="773"/>
      <c r="GK417" s="773"/>
      <c r="GL417" s="773"/>
      <c r="GM417" s="773"/>
      <c r="GN417" s="773"/>
      <c r="GO417" s="773"/>
      <c r="GP417" s="773"/>
      <c r="GQ417" s="773"/>
      <c r="GR417" s="773"/>
      <c r="GS417" s="773"/>
      <c r="GT417" s="773"/>
      <c r="GU417" s="773"/>
      <c r="GV417" s="773"/>
      <c r="GW417" s="773"/>
      <c r="GX417" s="773"/>
      <c r="GY417" s="773"/>
      <c r="GZ417" s="773"/>
    </row>
    <row r="418" spans="1:208" s="11" customFormat="1">
      <c r="A418" s="774"/>
      <c r="B418" s="3762" t="s">
        <v>2357</v>
      </c>
      <c r="C418" s="814">
        <v>2520011</v>
      </c>
      <c r="D418" s="199" t="s">
        <v>4508</v>
      </c>
      <c r="E418" s="42">
        <f>IFERROR(VLOOKUP(C418,'AJE 12 - INC'!$D$168:$F$345,3,0),0)</f>
        <v>-1312.5</v>
      </c>
      <c r="F418" s="108">
        <f>SUMIF('AJE 12 - INC'!B:B,'New TB INC'!C418,'AJE 12 - INC'!D:D)</f>
        <v>0</v>
      </c>
      <c r="G418" s="108"/>
      <c r="H418" s="108"/>
      <c r="I418" s="108"/>
      <c r="J418" s="798">
        <f t="shared" si="43"/>
        <v>-1312.5</v>
      </c>
      <c r="K418" s="773"/>
      <c r="L418" s="770"/>
      <c r="M418" s="771"/>
      <c r="N418" s="772"/>
      <c r="O418" s="772"/>
      <c r="P418" s="772"/>
      <c r="Q418" s="613"/>
      <c r="R418" s="613"/>
      <c r="S418" s="613"/>
      <c r="T418" s="613"/>
      <c r="U418" s="613"/>
      <c r="V418" s="613"/>
      <c r="W418" s="613"/>
      <c r="X418" s="613"/>
      <c r="Y418" s="613"/>
      <c r="Z418" s="613"/>
      <c r="AA418" s="613"/>
      <c r="AB418" s="613"/>
      <c r="AC418" s="613"/>
      <c r="AD418" s="613"/>
      <c r="AE418" s="613"/>
      <c r="AF418" s="613"/>
      <c r="AG418" s="613"/>
      <c r="AH418" s="613"/>
      <c r="AI418" s="613"/>
      <c r="AJ418" s="613"/>
      <c r="AK418" s="613"/>
      <c r="AL418" s="613"/>
      <c r="AM418" s="613"/>
      <c r="AN418" s="613"/>
      <c r="AO418" s="613"/>
      <c r="AP418" s="613"/>
      <c r="AQ418" s="613"/>
      <c r="AR418" s="613"/>
      <c r="AS418" s="613"/>
      <c r="AT418" s="613"/>
      <c r="AU418" s="613"/>
      <c r="AV418" s="613"/>
      <c r="AW418" s="2510"/>
      <c r="AX418" s="613"/>
      <c r="BC418" s="2510"/>
      <c r="BD418" s="2510"/>
      <c r="BE418" s="2510"/>
      <c r="BF418" s="2510"/>
      <c r="BH418" s="2510"/>
      <c r="DB418" s="773"/>
      <c r="DC418" s="773"/>
      <c r="DD418" s="773"/>
      <c r="DE418" s="773"/>
      <c r="DF418" s="773"/>
      <c r="DG418" s="773"/>
      <c r="DH418" s="773"/>
      <c r="DI418" s="773"/>
      <c r="DJ418" s="773"/>
      <c r="DK418" s="773"/>
      <c r="DL418" s="773"/>
      <c r="DM418" s="773"/>
      <c r="DN418" s="773"/>
      <c r="DO418" s="773"/>
      <c r="DP418" s="773"/>
      <c r="DQ418" s="773"/>
      <c r="DR418" s="773"/>
      <c r="DS418" s="773"/>
      <c r="DT418" s="773"/>
      <c r="DU418" s="773"/>
      <c r="DV418" s="773"/>
      <c r="DW418" s="773"/>
      <c r="DX418" s="773"/>
      <c r="DY418" s="773"/>
      <c r="DZ418" s="773"/>
      <c r="EA418" s="773"/>
      <c r="EB418" s="773"/>
      <c r="EC418" s="773"/>
      <c r="ED418" s="773"/>
      <c r="EE418" s="773"/>
      <c r="EF418" s="773"/>
      <c r="EG418" s="773"/>
      <c r="EH418" s="773"/>
      <c r="EI418" s="773"/>
      <c r="EJ418" s="773"/>
      <c r="EK418" s="773"/>
      <c r="EL418" s="773"/>
      <c r="EM418" s="773"/>
      <c r="EN418" s="773"/>
      <c r="EO418" s="773"/>
      <c r="EP418" s="773"/>
      <c r="EQ418" s="773"/>
      <c r="ER418" s="773"/>
      <c r="ES418" s="773"/>
      <c r="ET418" s="773"/>
      <c r="EU418" s="773"/>
      <c r="EV418" s="773"/>
      <c r="EW418" s="773"/>
      <c r="EX418" s="773"/>
      <c r="EY418" s="773"/>
      <c r="EZ418" s="773"/>
      <c r="FA418" s="773"/>
      <c r="FB418" s="773"/>
      <c r="FC418" s="773"/>
      <c r="FD418" s="773"/>
      <c r="FE418" s="773"/>
      <c r="FF418" s="773"/>
      <c r="FG418" s="773"/>
      <c r="FH418" s="773"/>
      <c r="FI418" s="773"/>
      <c r="FJ418" s="773"/>
      <c r="FK418" s="773"/>
      <c r="FL418" s="773"/>
      <c r="FM418" s="773"/>
      <c r="FN418" s="773"/>
      <c r="FO418" s="773"/>
      <c r="FP418" s="773"/>
      <c r="FQ418" s="773"/>
      <c r="FR418" s="773"/>
      <c r="FS418" s="773"/>
      <c r="FT418" s="773"/>
      <c r="FU418" s="773"/>
      <c r="FV418" s="773"/>
      <c r="FW418" s="773"/>
      <c r="FX418" s="773"/>
      <c r="FY418" s="773"/>
      <c r="FZ418" s="773"/>
      <c r="GA418" s="773"/>
      <c r="GB418" s="773"/>
      <c r="GC418" s="773"/>
      <c r="GD418" s="773"/>
      <c r="GE418" s="773"/>
      <c r="GF418" s="773"/>
      <c r="GG418" s="773"/>
      <c r="GH418" s="773"/>
      <c r="GI418" s="773"/>
      <c r="GJ418" s="773"/>
      <c r="GK418" s="773"/>
      <c r="GL418" s="773"/>
      <c r="GM418" s="773"/>
      <c r="GN418" s="773"/>
      <c r="GO418" s="773"/>
      <c r="GP418" s="773"/>
      <c r="GQ418" s="773"/>
      <c r="GR418" s="773"/>
      <c r="GS418" s="773"/>
      <c r="GT418" s="773"/>
      <c r="GU418" s="773"/>
      <c r="GV418" s="773"/>
      <c r="GW418" s="773"/>
      <c r="GX418" s="773"/>
      <c r="GY418" s="773"/>
      <c r="GZ418" s="773"/>
    </row>
    <row r="419" spans="1:208" s="11" customFormat="1">
      <c r="A419" s="774"/>
      <c r="B419" s="3762" t="s">
        <v>2357</v>
      </c>
      <c r="C419" s="814">
        <v>2520021</v>
      </c>
      <c r="D419" s="199" t="s">
        <v>4163</v>
      </c>
      <c r="E419" s="42">
        <f>IFERROR(VLOOKUP(C419,'AJE 12 - INC'!$D$168:$F$345,3,0),0)</f>
        <v>0</v>
      </c>
      <c r="F419" s="108">
        <f>SUMIF('AJE 12 - INC'!B:B,'New TB INC'!C419,'AJE 12 - INC'!D:D)</f>
        <v>0</v>
      </c>
      <c r="G419" s="108"/>
      <c r="H419" s="108"/>
      <c r="I419" s="108"/>
      <c r="J419" s="798">
        <f t="shared" si="43"/>
        <v>0</v>
      </c>
      <c r="K419" s="773"/>
      <c r="L419" s="770"/>
      <c r="M419" s="771"/>
      <c r="N419" s="772"/>
      <c r="O419" s="772"/>
      <c r="P419" s="772"/>
      <c r="Q419" s="613"/>
      <c r="R419" s="613"/>
      <c r="S419" s="613"/>
      <c r="T419" s="613"/>
      <c r="U419" s="613"/>
      <c r="V419" s="613"/>
      <c r="W419" s="613"/>
      <c r="X419" s="613"/>
      <c r="Y419" s="613"/>
      <c r="Z419" s="613"/>
      <c r="AA419" s="613"/>
      <c r="AB419" s="613"/>
      <c r="AC419" s="613"/>
      <c r="AD419" s="613"/>
      <c r="AE419" s="613"/>
      <c r="AF419" s="613"/>
      <c r="AG419" s="613"/>
      <c r="AH419" s="613"/>
      <c r="AI419" s="613"/>
      <c r="AJ419" s="613"/>
      <c r="AK419" s="613"/>
      <c r="AL419" s="613"/>
      <c r="AM419" s="613"/>
      <c r="AN419" s="613"/>
      <c r="AO419" s="613"/>
      <c r="AP419" s="613"/>
      <c r="AQ419" s="613"/>
      <c r="AR419" s="613"/>
      <c r="AS419" s="613"/>
      <c r="AT419" s="613"/>
      <c r="AU419" s="613"/>
      <c r="AV419" s="613"/>
      <c r="AW419" s="2510"/>
      <c r="AX419" s="613"/>
      <c r="BC419" s="2510"/>
      <c r="BD419" s="2510"/>
      <c r="BE419" s="2510"/>
      <c r="BF419" s="2510"/>
      <c r="BH419" s="2510"/>
      <c r="DB419" s="773"/>
      <c r="DC419" s="773"/>
      <c r="DD419" s="773"/>
      <c r="DE419" s="773"/>
      <c r="DF419" s="773"/>
      <c r="DG419" s="773"/>
      <c r="DH419" s="773"/>
      <c r="DI419" s="773"/>
      <c r="DJ419" s="773"/>
      <c r="DK419" s="773"/>
      <c r="DL419" s="773"/>
      <c r="DM419" s="773"/>
      <c r="DN419" s="773"/>
      <c r="DO419" s="773"/>
      <c r="DP419" s="773"/>
      <c r="DQ419" s="773"/>
      <c r="DR419" s="773"/>
      <c r="DS419" s="773"/>
      <c r="DT419" s="773"/>
      <c r="DU419" s="773"/>
      <c r="DV419" s="773"/>
      <c r="DW419" s="773"/>
      <c r="DX419" s="773"/>
      <c r="DY419" s="773"/>
      <c r="DZ419" s="773"/>
      <c r="EA419" s="773"/>
      <c r="EB419" s="773"/>
      <c r="EC419" s="773"/>
      <c r="ED419" s="773"/>
      <c r="EE419" s="773"/>
      <c r="EF419" s="773"/>
      <c r="EG419" s="773"/>
      <c r="EH419" s="773"/>
      <c r="EI419" s="773"/>
      <c r="EJ419" s="773"/>
      <c r="EK419" s="773"/>
      <c r="EL419" s="773"/>
      <c r="EM419" s="773"/>
      <c r="EN419" s="773"/>
      <c r="EO419" s="773"/>
      <c r="EP419" s="773"/>
      <c r="EQ419" s="773"/>
      <c r="ER419" s="773"/>
      <c r="ES419" s="773"/>
      <c r="ET419" s="773"/>
      <c r="EU419" s="773"/>
      <c r="EV419" s="773"/>
      <c r="EW419" s="773"/>
      <c r="EX419" s="773"/>
      <c r="EY419" s="773"/>
      <c r="EZ419" s="773"/>
      <c r="FA419" s="773"/>
      <c r="FB419" s="773"/>
      <c r="FC419" s="773"/>
      <c r="FD419" s="773"/>
      <c r="FE419" s="773"/>
      <c r="FF419" s="773"/>
      <c r="FG419" s="773"/>
      <c r="FH419" s="773"/>
      <c r="FI419" s="773"/>
      <c r="FJ419" s="773"/>
      <c r="FK419" s="773"/>
      <c r="FL419" s="773"/>
      <c r="FM419" s="773"/>
      <c r="FN419" s="773"/>
      <c r="FO419" s="773"/>
      <c r="FP419" s="773"/>
      <c r="FQ419" s="773"/>
      <c r="FR419" s="773"/>
      <c r="FS419" s="773"/>
      <c r="FT419" s="773"/>
      <c r="FU419" s="773"/>
      <c r="FV419" s="773"/>
      <c r="FW419" s="773"/>
      <c r="FX419" s="773"/>
      <c r="FY419" s="773"/>
      <c r="FZ419" s="773"/>
      <c r="GA419" s="773"/>
      <c r="GB419" s="773"/>
      <c r="GC419" s="773"/>
      <c r="GD419" s="773"/>
      <c r="GE419" s="773"/>
      <c r="GF419" s="773"/>
      <c r="GG419" s="773"/>
      <c r="GH419" s="773"/>
      <c r="GI419" s="773"/>
      <c r="GJ419" s="773"/>
      <c r="GK419" s="773"/>
      <c r="GL419" s="773"/>
      <c r="GM419" s="773"/>
      <c r="GN419" s="773"/>
      <c r="GO419" s="773"/>
      <c r="GP419" s="773"/>
      <c r="GQ419" s="773"/>
      <c r="GR419" s="773"/>
      <c r="GS419" s="773"/>
      <c r="GT419" s="773"/>
      <c r="GU419" s="773"/>
      <c r="GV419" s="773"/>
      <c r="GW419" s="773"/>
      <c r="GX419" s="773"/>
      <c r="GY419" s="773"/>
      <c r="GZ419" s="773"/>
    </row>
    <row r="420" spans="1:208" s="11" customFormat="1">
      <c r="A420" s="774"/>
      <c r="B420" s="3762" t="s">
        <v>2357</v>
      </c>
      <c r="C420" s="814">
        <v>2520038</v>
      </c>
      <c r="D420" s="199" t="s">
        <v>3757</v>
      </c>
      <c r="E420" s="42">
        <f>IFERROR(VLOOKUP(C420,'AJE 12 - INC'!$D$168:$F$345,3,0),0)</f>
        <v>-27.65</v>
      </c>
      <c r="F420" s="108">
        <f>SUMIF('AJE 12 - INC'!B:B,'New TB INC'!C420,'AJE 12 - INC'!D:D)</f>
        <v>0</v>
      </c>
      <c r="G420" s="108"/>
      <c r="H420" s="108"/>
      <c r="I420" s="108"/>
      <c r="J420" s="798">
        <f t="shared" si="43"/>
        <v>-27.65</v>
      </c>
      <c r="K420" s="773"/>
      <c r="L420" s="770"/>
      <c r="M420" s="771"/>
      <c r="N420" s="772"/>
      <c r="O420" s="772"/>
      <c r="P420" s="772"/>
      <c r="Q420" s="613"/>
      <c r="R420" s="613"/>
      <c r="S420" s="613"/>
      <c r="T420" s="613"/>
      <c r="U420" s="613"/>
      <c r="V420" s="613"/>
      <c r="W420" s="613"/>
      <c r="X420" s="613"/>
      <c r="Y420" s="613"/>
      <c r="Z420" s="613"/>
      <c r="AA420" s="613"/>
      <c r="AB420" s="613"/>
      <c r="AC420" s="613"/>
      <c r="AD420" s="613"/>
      <c r="AE420" s="613"/>
      <c r="AF420" s="613"/>
      <c r="AG420" s="613"/>
      <c r="AH420" s="613"/>
      <c r="AI420" s="613"/>
      <c r="AJ420" s="613"/>
      <c r="AK420" s="613"/>
      <c r="AL420" s="613"/>
      <c r="AM420" s="613"/>
      <c r="AN420" s="613"/>
      <c r="AO420" s="613"/>
      <c r="AP420" s="613"/>
      <c r="AQ420" s="613"/>
      <c r="AR420" s="613"/>
      <c r="AS420" s="613"/>
      <c r="AT420" s="613"/>
      <c r="AU420" s="613"/>
      <c r="AV420" s="613"/>
      <c r="AW420" s="2510"/>
      <c r="AX420" s="613"/>
      <c r="BC420" s="2510"/>
      <c r="BD420" s="2510"/>
      <c r="BE420" s="2510"/>
      <c r="BF420" s="2510"/>
      <c r="BH420" s="2510"/>
      <c r="DB420" s="773"/>
      <c r="DC420" s="773"/>
      <c r="DD420" s="773"/>
      <c r="DE420" s="773"/>
      <c r="DF420" s="773"/>
      <c r="DG420" s="773"/>
      <c r="DH420" s="773"/>
      <c r="DI420" s="773"/>
      <c r="DJ420" s="773"/>
      <c r="DK420" s="773"/>
      <c r="DL420" s="773"/>
      <c r="DM420" s="773"/>
      <c r="DN420" s="773"/>
      <c r="DO420" s="773"/>
      <c r="DP420" s="773"/>
      <c r="DQ420" s="773"/>
      <c r="DR420" s="773"/>
      <c r="DS420" s="773"/>
      <c r="DT420" s="773"/>
      <c r="DU420" s="773"/>
      <c r="DV420" s="773"/>
      <c r="DW420" s="773"/>
      <c r="DX420" s="773"/>
      <c r="DY420" s="773"/>
      <c r="DZ420" s="773"/>
      <c r="EA420" s="773"/>
      <c r="EB420" s="773"/>
      <c r="EC420" s="773"/>
      <c r="ED420" s="773"/>
      <c r="EE420" s="773"/>
      <c r="EF420" s="773"/>
      <c r="EG420" s="773"/>
      <c r="EH420" s="773"/>
      <c r="EI420" s="773"/>
      <c r="EJ420" s="773"/>
      <c r="EK420" s="773"/>
      <c r="EL420" s="773"/>
      <c r="EM420" s="773"/>
      <c r="EN420" s="773"/>
      <c r="EO420" s="773"/>
      <c r="EP420" s="773"/>
      <c r="EQ420" s="773"/>
      <c r="ER420" s="773"/>
      <c r="ES420" s="773"/>
      <c r="ET420" s="773"/>
      <c r="EU420" s="773"/>
      <c r="EV420" s="773"/>
      <c r="EW420" s="773"/>
      <c r="EX420" s="773"/>
      <c r="EY420" s="773"/>
      <c r="EZ420" s="773"/>
      <c r="FA420" s="773"/>
      <c r="FB420" s="773"/>
      <c r="FC420" s="773"/>
      <c r="FD420" s="773"/>
      <c r="FE420" s="773"/>
      <c r="FF420" s="773"/>
      <c r="FG420" s="773"/>
      <c r="FH420" s="773"/>
      <c r="FI420" s="773"/>
      <c r="FJ420" s="773"/>
      <c r="FK420" s="773"/>
      <c r="FL420" s="773"/>
      <c r="FM420" s="773"/>
      <c r="FN420" s="773"/>
      <c r="FO420" s="773"/>
      <c r="FP420" s="773"/>
      <c r="FQ420" s="773"/>
      <c r="FR420" s="773"/>
      <c r="FS420" s="773"/>
      <c r="FT420" s="773"/>
      <c r="FU420" s="773"/>
      <c r="FV420" s="773"/>
      <c r="FW420" s="773"/>
      <c r="FX420" s="773"/>
      <c r="FY420" s="773"/>
      <c r="FZ420" s="773"/>
      <c r="GA420" s="773"/>
      <c r="GB420" s="773"/>
      <c r="GC420" s="773"/>
      <c r="GD420" s="773"/>
      <c r="GE420" s="773"/>
      <c r="GF420" s="773"/>
      <c r="GG420" s="773"/>
      <c r="GH420" s="773"/>
      <c r="GI420" s="773"/>
      <c r="GJ420" s="773"/>
      <c r="GK420" s="773"/>
      <c r="GL420" s="773"/>
      <c r="GM420" s="773"/>
      <c r="GN420" s="773"/>
      <c r="GO420" s="773"/>
      <c r="GP420" s="773"/>
      <c r="GQ420" s="773"/>
      <c r="GR420" s="773"/>
      <c r="GS420" s="773"/>
      <c r="GT420" s="773"/>
      <c r="GU420" s="773"/>
      <c r="GV420" s="773"/>
      <c r="GW420" s="773"/>
      <c r="GX420" s="773"/>
      <c r="GY420" s="773"/>
      <c r="GZ420" s="773"/>
    </row>
    <row r="421" spans="1:208">
      <c r="B421" s="3762" t="s">
        <v>2357</v>
      </c>
      <c r="C421" s="814">
        <v>2520044</v>
      </c>
      <c r="D421" s="199" t="s">
        <v>3003</v>
      </c>
      <c r="E421" s="42">
        <f>IFERROR(VLOOKUP(C421,'AJE 12 - INC'!$D$168:$F$345,3,0),0)</f>
        <v>0.01</v>
      </c>
      <c r="F421" s="108">
        <f>SUMIF('AJE 12 - INC'!B:B,'New TB INC'!C421,'AJE 12 - INC'!D:D)</f>
        <v>0</v>
      </c>
      <c r="G421" s="108"/>
      <c r="H421" s="108"/>
      <c r="I421" s="108"/>
      <c r="J421" s="798">
        <f t="shared" si="43"/>
        <v>0.01</v>
      </c>
      <c r="K421" s="773"/>
      <c r="M421" s="3151"/>
    </row>
    <row r="422" spans="1:208" s="11" customFormat="1">
      <c r="A422" s="780"/>
      <c r="B422" s="3762" t="s">
        <v>2357</v>
      </c>
      <c r="C422" s="814">
        <v>2520003</v>
      </c>
      <c r="D422" s="199" t="s">
        <v>3106</v>
      </c>
      <c r="E422" s="42">
        <f>IFERROR(VLOOKUP(C422,'AJE 12 - INC'!$D$168:$F$345,3,0),0)</f>
        <v>-1581.64</v>
      </c>
      <c r="F422" s="108">
        <f>SUMIF('AJE 12 - INC'!B:B,'New TB INC'!C422,'AJE 12 - INC'!D:D)</f>
        <v>0</v>
      </c>
      <c r="G422" s="108"/>
      <c r="H422" s="108"/>
      <c r="I422" s="108"/>
      <c r="J422" s="798">
        <f t="shared" si="43"/>
        <v>-1581.64</v>
      </c>
      <c r="K422" s="209"/>
      <c r="L422" s="434"/>
      <c r="M422" s="810"/>
      <c r="N422" s="772"/>
      <c r="O422" s="772"/>
      <c r="P422" s="772"/>
      <c r="Q422" s="613"/>
      <c r="R422" s="613"/>
      <c r="S422" s="613"/>
      <c r="T422" s="613"/>
      <c r="U422" s="613"/>
      <c r="V422" s="613"/>
      <c r="W422" s="613"/>
      <c r="X422" s="613"/>
      <c r="Y422" s="613"/>
      <c r="Z422" s="613"/>
      <c r="AA422" s="613"/>
      <c r="AB422" s="613"/>
      <c r="AC422" s="613"/>
      <c r="AD422" s="613"/>
      <c r="AE422" s="613"/>
      <c r="AF422" s="613"/>
      <c r="AG422" s="613"/>
      <c r="AH422" s="613"/>
      <c r="AI422" s="613"/>
      <c r="AJ422" s="613"/>
      <c r="AK422" s="613"/>
      <c r="AL422" s="613"/>
      <c r="AM422" s="613"/>
      <c r="AN422" s="613"/>
      <c r="AO422" s="613"/>
      <c r="AP422" s="613"/>
      <c r="AQ422" s="613"/>
      <c r="AR422" s="613"/>
      <c r="AS422" s="613"/>
      <c r="AT422" s="613"/>
      <c r="AU422" s="613"/>
      <c r="AV422" s="613"/>
      <c r="AW422" s="2515"/>
      <c r="AX422" s="613"/>
      <c r="AY422" s="820"/>
      <c r="AZ422" s="820"/>
      <c r="BA422" s="937"/>
      <c r="BB422" s="937"/>
      <c r="BC422" s="2515"/>
      <c r="BD422" s="2515"/>
      <c r="BE422" s="2515"/>
      <c r="BF422" s="2515"/>
      <c r="BH422" s="2515"/>
      <c r="BI422" s="937"/>
      <c r="BJ422" s="937"/>
      <c r="BK422" s="937"/>
      <c r="BL422" s="937"/>
      <c r="BM422" s="937"/>
      <c r="BN422" s="209"/>
      <c r="BO422" s="209"/>
      <c r="BP422" s="209"/>
      <c r="BQ422" s="209"/>
      <c r="BR422" s="209"/>
      <c r="BS422" s="209"/>
      <c r="BT422" s="209"/>
      <c r="BU422" s="820"/>
      <c r="BV422" s="209"/>
      <c r="BW422" s="209"/>
      <c r="BX422" s="799"/>
      <c r="DB422" s="773"/>
      <c r="DC422" s="773"/>
      <c r="DD422" s="773"/>
      <c r="DE422" s="773"/>
      <c r="DF422" s="773"/>
      <c r="DG422" s="773"/>
      <c r="DH422" s="773"/>
      <c r="DI422" s="773"/>
      <c r="DJ422" s="773"/>
      <c r="DK422" s="773"/>
      <c r="DL422" s="773"/>
      <c r="DM422" s="773"/>
      <c r="DN422" s="773"/>
      <c r="DO422" s="773"/>
      <c r="DP422" s="773"/>
      <c r="DQ422" s="773"/>
      <c r="DR422" s="773"/>
      <c r="DS422" s="773"/>
      <c r="DT422" s="773"/>
      <c r="DU422" s="773"/>
      <c r="DV422" s="773"/>
      <c r="DW422" s="773"/>
      <c r="DX422" s="773"/>
      <c r="DY422" s="773"/>
      <c r="DZ422" s="773"/>
      <c r="EA422" s="773"/>
      <c r="EB422" s="773"/>
      <c r="EC422" s="773"/>
      <c r="ED422" s="773"/>
      <c r="EE422" s="773"/>
      <c r="EF422" s="773"/>
      <c r="EG422" s="773"/>
      <c r="EH422" s="773"/>
      <c r="EI422" s="773"/>
      <c r="EJ422" s="773"/>
      <c r="EK422" s="773"/>
      <c r="EL422" s="773"/>
      <c r="EM422" s="773"/>
      <c r="EN422" s="773"/>
      <c r="EO422" s="773"/>
      <c r="EP422" s="773"/>
      <c r="EQ422" s="773"/>
      <c r="ER422" s="773"/>
      <c r="ES422" s="773"/>
      <c r="ET422" s="773"/>
      <c r="EU422" s="773"/>
      <c r="EV422" s="773"/>
      <c r="EW422" s="773"/>
      <c r="EX422" s="773"/>
      <c r="EY422" s="773"/>
      <c r="EZ422" s="773"/>
      <c r="FA422" s="773"/>
      <c r="FB422" s="773"/>
      <c r="FC422" s="773"/>
      <c r="FD422" s="773"/>
      <c r="FE422" s="773"/>
      <c r="FF422" s="773"/>
      <c r="FG422" s="773"/>
      <c r="FH422" s="773"/>
      <c r="FI422" s="773"/>
      <c r="FJ422" s="773"/>
      <c r="FK422" s="773"/>
      <c r="FL422" s="773"/>
      <c r="FM422" s="773"/>
      <c r="FN422" s="773"/>
      <c r="FO422" s="773"/>
      <c r="FP422" s="773"/>
      <c r="FQ422" s="773"/>
      <c r="FR422" s="773"/>
      <c r="FS422" s="773"/>
      <c r="FT422" s="773"/>
      <c r="FU422" s="773"/>
      <c r="FV422" s="773"/>
      <c r="FW422" s="773"/>
      <c r="FX422" s="773"/>
      <c r="FY422" s="773"/>
      <c r="FZ422" s="773"/>
      <c r="GA422" s="773"/>
      <c r="GB422" s="773"/>
      <c r="GC422" s="773"/>
      <c r="GD422" s="773"/>
      <c r="GE422" s="773"/>
      <c r="GF422" s="773"/>
      <c r="GG422" s="773"/>
      <c r="GH422" s="773"/>
      <c r="GI422" s="773"/>
      <c r="GJ422" s="773"/>
      <c r="GK422" s="773"/>
      <c r="GL422" s="773"/>
      <c r="GM422" s="773"/>
      <c r="GN422" s="773"/>
      <c r="GO422" s="773"/>
      <c r="GP422" s="773"/>
      <c r="GQ422" s="773"/>
      <c r="GR422" s="773"/>
      <c r="GS422" s="773"/>
      <c r="GT422" s="773"/>
      <c r="GU422" s="773"/>
      <c r="GV422" s="773"/>
      <c r="GW422" s="773"/>
      <c r="GX422" s="773"/>
      <c r="GY422" s="773"/>
      <c r="GZ422" s="773"/>
    </row>
    <row r="423" spans="1:208" s="11" customFormat="1">
      <c r="A423" s="780"/>
      <c r="B423" s="3762" t="s">
        <v>819</v>
      </c>
      <c r="C423" s="814">
        <v>2520004</v>
      </c>
      <c r="D423" s="199" t="s">
        <v>478</v>
      </c>
      <c r="E423" s="42">
        <f>IFERROR(VLOOKUP(C423,'AJE 12 - INC'!$D$168:$F$345,3,0),0)</f>
        <v>-2210.3000000000002</v>
      </c>
      <c r="F423" s="108">
        <f>SUMIF('AJE 12 - INC'!B:B,'New TB INC'!C423,'AJE 12 - INC'!D:D)</f>
        <v>0</v>
      </c>
      <c r="G423" s="108"/>
      <c r="H423" s="108"/>
      <c r="I423" s="108"/>
      <c r="J423" s="798">
        <f t="shared" si="41"/>
        <v>-2210.3000000000002</v>
      </c>
      <c r="K423" s="209"/>
      <c r="L423" s="434"/>
      <c r="M423" s="828"/>
      <c r="N423" s="772"/>
      <c r="O423" s="772"/>
      <c r="P423" s="772"/>
      <c r="Q423" s="613"/>
      <c r="R423" s="613"/>
      <c r="S423" s="613"/>
      <c r="T423" s="613"/>
      <c r="U423" s="613"/>
      <c r="V423" s="613"/>
      <c r="W423" s="613"/>
      <c r="X423" s="613"/>
      <c r="Y423" s="613"/>
      <c r="Z423" s="613"/>
      <c r="AA423" s="613"/>
      <c r="AB423" s="613"/>
      <c r="AC423" s="613"/>
      <c r="AD423" s="613"/>
      <c r="AE423" s="613"/>
      <c r="AF423" s="613"/>
      <c r="AG423" s="613"/>
      <c r="AH423" s="613"/>
      <c r="AI423" s="613"/>
      <c r="AJ423" s="613"/>
      <c r="AK423" s="613"/>
      <c r="AL423" s="613"/>
      <c r="AM423" s="613"/>
      <c r="AN423" s="613"/>
      <c r="AO423" s="613"/>
      <c r="AP423" s="613"/>
      <c r="AQ423" s="613"/>
      <c r="AR423" s="613"/>
      <c r="AS423" s="613"/>
      <c r="AT423" s="613"/>
      <c r="AU423" s="613"/>
      <c r="AV423" s="613"/>
      <c r="AW423" s="2515"/>
      <c r="AX423" s="613"/>
      <c r="AY423" s="820"/>
      <c r="AZ423" s="820"/>
      <c r="BA423" s="937"/>
      <c r="BB423" s="937"/>
      <c r="BC423" s="2515"/>
      <c r="BD423" s="2515"/>
      <c r="BE423" s="2515"/>
      <c r="BF423" s="2515"/>
      <c r="BH423" s="2515"/>
      <c r="BI423" s="937"/>
      <c r="BJ423" s="937"/>
      <c r="BK423" s="937"/>
      <c r="BL423" s="937"/>
      <c r="BM423" s="937"/>
      <c r="BN423" s="209"/>
      <c r="BO423" s="209"/>
      <c r="BP423" s="209"/>
      <c r="BQ423" s="209"/>
      <c r="BR423" s="209"/>
      <c r="BS423" s="209"/>
      <c r="BT423" s="209"/>
      <c r="BU423" s="820"/>
      <c r="BV423" s="209"/>
      <c r="BW423" s="209"/>
      <c r="BX423" s="799"/>
      <c r="DB423" s="773"/>
      <c r="DC423" s="773"/>
      <c r="DD423" s="773"/>
      <c r="DE423" s="773"/>
      <c r="DF423" s="773"/>
      <c r="DG423" s="773"/>
      <c r="DH423" s="773"/>
      <c r="DI423" s="773"/>
      <c r="DJ423" s="773"/>
      <c r="DK423" s="773"/>
      <c r="DL423" s="773"/>
      <c r="DM423" s="773"/>
      <c r="DN423" s="773"/>
      <c r="DO423" s="773"/>
      <c r="DP423" s="773"/>
      <c r="DQ423" s="773"/>
      <c r="DR423" s="773"/>
      <c r="DS423" s="773"/>
      <c r="DT423" s="773"/>
      <c r="DU423" s="773"/>
      <c r="DV423" s="773"/>
      <c r="DW423" s="773"/>
      <c r="DX423" s="773"/>
      <c r="DY423" s="773"/>
      <c r="DZ423" s="773"/>
      <c r="EA423" s="773"/>
      <c r="EB423" s="773"/>
      <c r="EC423" s="773"/>
      <c r="ED423" s="773"/>
      <c r="EE423" s="773"/>
      <c r="EF423" s="773"/>
      <c r="EG423" s="773"/>
      <c r="EH423" s="773"/>
      <c r="EI423" s="773"/>
      <c r="EJ423" s="773"/>
      <c r="EK423" s="773"/>
      <c r="EL423" s="773"/>
      <c r="EM423" s="773"/>
      <c r="EN423" s="773"/>
      <c r="EO423" s="773"/>
      <c r="EP423" s="773"/>
      <c r="EQ423" s="773"/>
      <c r="ER423" s="773"/>
      <c r="ES423" s="773"/>
      <c r="ET423" s="773"/>
      <c r="EU423" s="773"/>
      <c r="EV423" s="773"/>
      <c r="EW423" s="773"/>
      <c r="EX423" s="773"/>
      <c r="EY423" s="773"/>
      <c r="EZ423" s="773"/>
      <c r="FA423" s="773"/>
      <c r="FB423" s="773"/>
      <c r="FC423" s="773"/>
      <c r="FD423" s="773"/>
      <c r="FE423" s="773"/>
      <c r="FF423" s="773"/>
      <c r="FG423" s="773"/>
      <c r="FH423" s="773"/>
      <c r="FI423" s="773"/>
      <c r="FJ423" s="773"/>
      <c r="FK423" s="773"/>
      <c r="FL423" s="773"/>
      <c r="FM423" s="773"/>
      <c r="FN423" s="773"/>
      <c r="FO423" s="773"/>
      <c r="FP423" s="773"/>
      <c r="FQ423" s="773"/>
      <c r="FR423" s="773"/>
      <c r="FS423" s="773"/>
      <c r="FT423" s="773"/>
      <c r="FU423" s="773"/>
      <c r="FV423" s="773"/>
      <c r="FW423" s="773"/>
      <c r="FX423" s="773"/>
      <c r="FY423" s="773"/>
      <c r="FZ423" s="773"/>
      <c r="GA423" s="773"/>
      <c r="GB423" s="773"/>
      <c r="GC423" s="773"/>
      <c r="GD423" s="773"/>
      <c r="GE423" s="773"/>
      <c r="GF423" s="773"/>
      <c r="GG423" s="773"/>
      <c r="GH423" s="773"/>
      <c r="GI423" s="773"/>
      <c r="GJ423" s="773"/>
      <c r="GK423" s="773"/>
      <c r="GL423" s="773"/>
      <c r="GM423" s="773"/>
      <c r="GN423" s="773"/>
      <c r="GO423" s="773"/>
      <c r="GP423" s="773"/>
      <c r="GQ423" s="773"/>
      <c r="GR423" s="773"/>
      <c r="GS423" s="773"/>
      <c r="GT423" s="773"/>
      <c r="GU423" s="773"/>
      <c r="GV423" s="773"/>
      <c r="GW423" s="773"/>
      <c r="GX423" s="773"/>
      <c r="GY423" s="773"/>
      <c r="GZ423" s="773"/>
    </row>
    <row r="424" spans="1:208" s="11" customFormat="1">
      <c r="A424" s="780"/>
      <c r="B424" s="3762" t="s">
        <v>819</v>
      </c>
      <c r="C424" s="814">
        <v>2520007</v>
      </c>
      <c r="D424" s="199" t="s">
        <v>479</v>
      </c>
      <c r="E424" s="42">
        <f>IFERROR(VLOOKUP(C424,'AJE 12 - INC'!$D$168:$F$345,3,0),0)</f>
        <v>-1614.35</v>
      </c>
      <c r="F424" s="108">
        <f>SUMIF('AJE 12 - INC'!B:B,'New TB INC'!C424,'AJE 12 - INC'!D:D)</f>
        <v>0</v>
      </c>
      <c r="G424" s="108"/>
      <c r="H424" s="108"/>
      <c r="I424" s="108"/>
      <c r="J424" s="798">
        <f t="shared" si="41"/>
        <v>-1614.35</v>
      </c>
      <c r="K424" s="209"/>
      <c r="L424" s="434"/>
      <c r="M424" s="810"/>
      <c r="N424" s="772"/>
      <c r="O424" s="772"/>
      <c r="P424" s="772"/>
      <c r="Q424" s="613"/>
      <c r="R424" s="613"/>
      <c r="S424" s="613"/>
      <c r="T424" s="613"/>
      <c r="U424" s="613"/>
      <c r="V424" s="613"/>
      <c r="W424" s="613"/>
      <c r="X424" s="613"/>
      <c r="Y424" s="613"/>
      <c r="Z424" s="613"/>
      <c r="AA424" s="613"/>
      <c r="AB424" s="613"/>
      <c r="AC424" s="613"/>
      <c r="AD424" s="613"/>
      <c r="AE424" s="613"/>
      <c r="AF424" s="613"/>
      <c r="AG424" s="613"/>
      <c r="AH424" s="613"/>
      <c r="AI424" s="613"/>
      <c r="AJ424" s="613"/>
      <c r="AK424" s="613"/>
      <c r="AL424" s="613"/>
      <c r="AM424" s="613"/>
      <c r="AN424" s="613"/>
      <c r="AO424" s="613"/>
      <c r="AP424" s="613"/>
      <c r="AQ424" s="613"/>
      <c r="AR424" s="613"/>
      <c r="AS424" s="613"/>
      <c r="AT424" s="613"/>
      <c r="AU424" s="613"/>
      <c r="AV424" s="613"/>
      <c r="AW424" s="2511"/>
      <c r="AX424" s="613"/>
      <c r="AY424" s="209"/>
      <c r="AZ424" s="209"/>
      <c r="BA424" s="209"/>
      <c r="BB424" s="209"/>
      <c r="BC424" s="2511"/>
      <c r="BD424" s="2511"/>
      <c r="BE424" s="2511"/>
      <c r="BF424" s="2511"/>
      <c r="BH424" s="2511"/>
      <c r="BI424" s="209"/>
      <c r="BJ424" s="209"/>
      <c r="BK424" s="209"/>
      <c r="BL424" s="209"/>
      <c r="BM424" s="209"/>
      <c r="BN424" s="209"/>
      <c r="BO424" s="209"/>
      <c r="BP424" s="209"/>
      <c r="BQ424" s="209"/>
      <c r="BR424" s="209"/>
      <c r="BS424" s="209"/>
      <c r="BT424" s="209"/>
      <c r="BU424" s="820"/>
      <c r="BV424" s="209"/>
      <c r="BW424" s="209"/>
      <c r="BX424" s="799"/>
      <c r="DB424" s="773"/>
      <c r="DC424" s="773"/>
      <c r="DD424" s="773"/>
      <c r="DE424" s="773"/>
      <c r="DF424" s="773"/>
      <c r="DG424" s="773"/>
      <c r="DH424" s="773"/>
      <c r="DI424" s="773"/>
      <c r="DJ424" s="773"/>
      <c r="DK424" s="773"/>
      <c r="DL424" s="773"/>
      <c r="DM424" s="773"/>
      <c r="DN424" s="773"/>
      <c r="DO424" s="773"/>
      <c r="DP424" s="773"/>
      <c r="DQ424" s="773"/>
      <c r="DR424" s="773"/>
      <c r="DS424" s="773"/>
      <c r="DT424" s="773"/>
      <c r="DU424" s="773"/>
      <c r="DV424" s="773"/>
      <c r="DW424" s="773"/>
      <c r="DX424" s="773"/>
      <c r="DY424" s="773"/>
      <c r="DZ424" s="773"/>
      <c r="EA424" s="773"/>
      <c r="EB424" s="773"/>
      <c r="EC424" s="773"/>
      <c r="ED424" s="773"/>
      <c r="EE424" s="773"/>
      <c r="EF424" s="773"/>
      <c r="EG424" s="773"/>
      <c r="EH424" s="773"/>
      <c r="EI424" s="773"/>
      <c r="EJ424" s="773"/>
      <c r="EK424" s="773"/>
      <c r="EL424" s="773"/>
      <c r="EM424" s="773"/>
      <c r="EN424" s="773"/>
      <c r="EO424" s="773"/>
      <c r="EP424" s="773"/>
      <c r="EQ424" s="773"/>
      <c r="ER424" s="773"/>
      <c r="ES424" s="773"/>
      <c r="ET424" s="773"/>
      <c r="EU424" s="773"/>
      <c r="EV424" s="773"/>
      <c r="EW424" s="773"/>
      <c r="EX424" s="773"/>
      <c r="EY424" s="773"/>
      <c r="EZ424" s="773"/>
      <c r="FA424" s="773"/>
      <c r="FB424" s="773"/>
      <c r="FC424" s="773"/>
      <c r="FD424" s="773"/>
      <c r="FE424" s="773"/>
      <c r="FF424" s="773"/>
      <c r="FG424" s="773"/>
      <c r="FH424" s="773"/>
      <c r="FI424" s="773"/>
      <c r="FJ424" s="773"/>
      <c r="FK424" s="773"/>
      <c r="FL424" s="773"/>
      <c r="FM424" s="773"/>
      <c r="FN424" s="773"/>
      <c r="FO424" s="773"/>
      <c r="FP424" s="773"/>
      <c r="FQ424" s="773"/>
      <c r="FR424" s="773"/>
      <c r="FS424" s="773"/>
      <c r="FT424" s="773"/>
      <c r="FU424" s="773"/>
      <c r="FV424" s="773"/>
      <c r="FW424" s="773"/>
      <c r="FX424" s="773"/>
      <c r="FY424" s="773"/>
      <c r="FZ424" s="773"/>
      <c r="GA424" s="773"/>
      <c r="GB424" s="773"/>
      <c r="GC424" s="773"/>
      <c r="GD424" s="773"/>
      <c r="GE424" s="773"/>
      <c r="GF424" s="773"/>
      <c r="GG424" s="773"/>
      <c r="GH424" s="773"/>
      <c r="GI424" s="773"/>
      <c r="GJ424" s="773"/>
      <c r="GK424" s="773"/>
      <c r="GL424" s="773"/>
      <c r="GM424" s="773"/>
      <c r="GN424" s="773"/>
      <c r="GO424" s="773"/>
      <c r="GP424" s="773"/>
      <c r="GQ424" s="773"/>
      <c r="GR424" s="773"/>
      <c r="GS424" s="773"/>
      <c r="GT424" s="773"/>
      <c r="GU424" s="773"/>
      <c r="GV424" s="773"/>
      <c r="GW424" s="773"/>
      <c r="GX424" s="773"/>
      <c r="GY424" s="773"/>
      <c r="GZ424" s="773"/>
    </row>
    <row r="425" spans="1:208" s="11" customFormat="1">
      <c r="A425" s="780"/>
      <c r="B425" s="3762" t="s">
        <v>819</v>
      </c>
      <c r="C425" s="197">
        <v>2520019</v>
      </c>
      <c r="D425" s="199" t="s">
        <v>820</v>
      </c>
      <c r="E425" s="42">
        <f>IFERROR(VLOOKUP(C425,'AJE 12 - INC'!$D$168:$F$345,3,0),0)</f>
        <v>-90064.56</v>
      </c>
      <c r="F425" s="108">
        <f>SUMIF('AJE 12 - INC'!B:B,'New TB INC'!C425,'AJE 12 - INC'!D:D)</f>
        <v>0</v>
      </c>
      <c r="G425" s="108"/>
      <c r="H425" s="108"/>
      <c r="I425" s="108"/>
      <c r="J425" s="798">
        <f t="shared" si="41"/>
        <v>-90064.56</v>
      </c>
      <c r="K425" s="209"/>
      <c r="L425" s="434"/>
      <c r="M425" s="810"/>
      <c r="N425" s="772"/>
      <c r="O425" s="772"/>
      <c r="P425" s="772"/>
      <c r="Q425" s="772"/>
      <c r="R425" s="772"/>
      <c r="S425" s="772"/>
      <c r="T425" s="773"/>
      <c r="V425" s="613"/>
      <c r="W425" s="613"/>
      <c r="X425" s="613"/>
      <c r="Y425" s="613"/>
      <c r="Z425" s="613"/>
      <c r="AA425" s="613"/>
      <c r="AB425" s="613"/>
      <c r="AC425" s="613"/>
      <c r="AD425" s="613"/>
      <c r="AE425" s="613"/>
      <c r="AF425" s="613"/>
      <c r="AG425" s="613"/>
      <c r="AH425" s="613"/>
      <c r="AI425" s="613"/>
      <c r="AJ425" s="613"/>
      <c r="AK425" s="613"/>
      <c r="AL425" s="613"/>
      <c r="AM425" s="613"/>
      <c r="AN425" s="613"/>
      <c r="AO425" s="613"/>
      <c r="AP425" s="613"/>
      <c r="AQ425" s="613"/>
      <c r="AR425" s="613"/>
      <c r="AS425" s="613"/>
      <c r="AT425" s="613"/>
      <c r="AU425" s="613"/>
      <c r="AV425" s="613"/>
      <c r="AW425" s="2516"/>
      <c r="AX425" s="946"/>
      <c r="BA425" s="946"/>
      <c r="BB425" s="946"/>
      <c r="BC425" s="2516"/>
      <c r="BD425" s="2516"/>
      <c r="BE425" s="2516"/>
      <c r="BF425" s="2516"/>
      <c r="BH425" s="2516"/>
      <c r="BI425" s="946"/>
      <c r="BJ425" s="946"/>
      <c r="BK425" s="946"/>
      <c r="BL425" s="946"/>
      <c r="BM425" s="862"/>
      <c r="BO425" s="209"/>
      <c r="BP425" s="209"/>
      <c r="BQ425" s="209"/>
      <c r="BR425" s="209"/>
      <c r="BS425" s="209"/>
      <c r="BT425" s="209"/>
      <c r="BU425" s="820"/>
      <c r="BV425" s="209"/>
      <c r="BW425" s="209"/>
      <c r="BX425" s="799"/>
      <c r="DB425" s="773"/>
      <c r="DC425" s="773"/>
      <c r="DD425" s="773"/>
      <c r="DE425" s="773"/>
      <c r="DF425" s="773"/>
      <c r="DG425" s="773"/>
      <c r="DH425" s="773"/>
      <c r="DI425" s="773"/>
      <c r="DJ425" s="773"/>
      <c r="DK425" s="773"/>
      <c r="DL425" s="773"/>
      <c r="DM425" s="773"/>
      <c r="DN425" s="773"/>
      <c r="DO425" s="773"/>
      <c r="DP425" s="773"/>
      <c r="DQ425" s="773"/>
      <c r="DR425" s="773"/>
      <c r="DS425" s="773"/>
      <c r="DT425" s="773"/>
      <c r="DU425" s="773"/>
      <c r="DV425" s="773"/>
      <c r="DW425" s="773"/>
      <c r="DX425" s="773"/>
      <c r="DY425" s="773"/>
      <c r="DZ425" s="773"/>
      <c r="EA425" s="773"/>
      <c r="EB425" s="773"/>
      <c r="EC425" s="773"/>
      <c r="ED425" s="773"/>
      <c r="EE425" s="773"/>
      <c r="EF425" s="773"/>
      <c r="EG425" s="773"/>
      <c r="EH425" s="773"/>
      <c r="EI425" s="773"/>
      <c r="EJ425" s="773"/>
      <c r="EK425" s="773"/>
      <c r="EL425" s="773"/>
      <c r="EM425" s="773"/>
      <c r="EN425" s="773"/>
      <c r="EO425" s="773"/>
      <c r="EP425" s="773"/>
      <c r="EQ425" s="773"/>
      <c r="ER425" s="773"/>
      <c r="ES425" s="773"/>
      <c r="ET425" s="773"/>
      <c r="EU425" s="773"/>
      <c r="EV425" s="773"/>
      <c r="EW425" s="773"/>
      <c r="EX425" s="773"/>
      <c r="EY425" s="773"/>
      <c r="EZ425" s="773"/>
      <c r="FA425" s="773"/>
      <c r="FB425" s="773"/>
      <c r="FC425" s="773"/>
      <c r="FD425" s="773"/>
      <c r="FE425" s="773"/>
      <c r="FF425" s="773"/>
      <c r="FG425" s="773"/>
      <c r="FH425" s="773"/>
      <c r="FI425" s="773"/>
      <c r="FJ425" s="773"/>
      <c r="FK425" s="773"/>
      <c r="FL425" s="773"/>
      <c r="FM425" s="773"/>
      <c r="FN425" s="773"/>
      <c r="FO425" s="773"/>
      <c r="FP425" s="773"/>
      <c r="FQ425" s="773"/>
      <c r="FR425" s="773"/>
      <c r="FS425" s="773"/>
      <c r="FT425" s="773"/>
      <c r="FU425" s="773"/>
      <c r="FV425" s="773"/>
      <c r="FW425" s="773"/>
      <c r="FX425" s="773"/>
      <c r="FY425" s="773"/>
      <c r="FZ425" s="773"/>
      <c r="GA425" s="773"/>
      <c r="GB425" s="773"/>
      <c r="GC425" s="773"/>
      <c r="GD425" s="773"/>
      <c r="GE425" s="773"/>
      <c r="GF425" s="773"/>
      <c r="GG425" s="773"/>
      <c r="GH425" s="773"/>
      <c r="GI425" s="773"/>
      <c r="GJ425" s="773"/>
      <c r="GK425" s="773"/>
      <c r="GL425" s="773"/>
      <c r="GM425" s="773"/>
      <c r="GN425" s="773"/>
      <c r="GO425" s="773"/>
      <c r="GP425" s="773"/>
      <c r="GQ425" s="773"/>
      <c r="GR425" s="773"/>
      <c r="GS425" s="773"/>
      <c r="GT425" s="773"/>
      <c r="GU425" s="773"/>
      <c r="GV425" s="773"/>
      <c r="GW425" s="773"/>
      <c r="GX425" s="773"/>
      <c r="GY425" s="773"/>
      <c r="GZ425" s="773"/>
    </row>
    <row r="426" spans="1:208" s="11" customFormat="1" ht="13.5" thickBot="1">
      <c r="A426" s="780"/>
      <c r="B426" s="3762" t="s">
        <v>819</v>
      </c>
      <c r="C426" s="197">
        <v>2520036</v>
      </c>
      <c r="D426" s="199" t="s">
        <v>1897</v>
      </c>
      <c r="E426" s="42">
        <f>IFERROR(VLOOKUP(C426,'AJE 12 - INC'!$D$168:$F$345,3,0),0)</f>
        <v>-3142.91</v>
      </c>
      <c r="F426" s="108">
        <f>SUMIF('AJE 12 - INC'!B:B,'New TB INC'!C426,'AJE 12 - INC'!D:D)</f>
        <v>0</v>
      </c>
      <c r="G426" s="108"/>
      <c r="H426" s="108"/>
      <c r="I426" s="108"/>
      <c r="J426" s="798">
        <f t="shared" si="41"/>
        <v>-3142.91</v>
      </c>
      <c r="K426" s="209"/>
      <c r="L426" s="434"/>
      <c r="M426" s="810"/>
      <c r="N426" s="772"/>
      <c r="O426" s="772"/>
      <c r="P426" s="772"/>
      <c r="Q426" s="772"/>
      <c r="R426" s="772"/>
      <c r="S426" s="772"/>
      <c r="T426" s="773"/>
      <c r="V426" s="613"/>
      <c r="W426" s="613"/>
      <c r="X426" s="613"/>
      <c r="Y426" s="613"/>
      <c r="Z426" s="209"/>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509"/>
      <c r="AX426" s="209"/>
      <c r="AY426" s="945"/>
      <c r="AZ426" s="945"/>
      <c r="BA426" s="773"/>
      <c r="BB426" s="773"/>
      <c r="BC426" s="2509"/>
      <c r="BD426" s="2509"/>
      <c r="BE426" s="2509"/>
      <c r="BF426" s="2509"/>
      <c r="BH426" s="2509"/>
      <c r="BI426" s="773"/>
      <c r="BJ426" s="773"/>
      <c r="BK426" s="773"/>
      <c r="BL426" s="773"/>
      <c r="BM426" s="860"/>
      <c r="BO426" s="209"/>
      <c r="BP426" s="209"/>
      <c r="BQ426" s="209"/>
      <c r="BR426" s="209"/>
      <c r="BS426" s="209"/>
      <c r="BT426" s="209"/>
      <c r="BU426" s="820"/>
      <c r="BV426" s="209"/>
      <c r="BW426" s="209"/>
      <c r="BX426" s="799"/>
      <c r="DB426" s="773"/>
      <c r="DC426" s="773"/>
      <c r="DD426" s="773"/>
      <c r="DE426" s="773"/>
      <c r="DF426" s="773"/>
      <c r="DG426" s="773"/>
      <c r="DH426" s="773"/>
      <c r="DI426" s="773"/>
      <c r="DJ426" s="773"/>
      <c r="DK426" s="773"/>
      <c r="DL426" s="773"/>
      <c r="DM426" s="773"/>
      <c r="DN426" s="773"/>
      <c r="DO426" s="773"/>
      <c r="DP426" s="773"/>
      <c r="DQ426" s="773"/>
      <c r="DR426" s="773"/>
      <c r="DS426" s="773"/>
      <c r="DT426" s="773"/>
      <c r="DU426" s="773"/>
      <c r="DV426" s="773"/>
      <c r="DW426" s="773"/>
      <c r="DX426" s="773"/>
      <c r="DY426" s="773"/>
      <c r="DZ426" s="773"/>
      <c r="EA426" s="773"/>
      <c r="EB426" s="773"/>
      <c r="EC426" s="773"/>
      <c r="ED426" s="773"/>
      <c r="EE426" s="773"/>
      <c r="EF426" s="773"/>
      <c r="EG426" s="773"/>
      <c r="EH426" s="773"/>
      <c r="EI426" s="773"/>
      <c r="EJ426" s="773"/>
      <c r="EK426" s="773"/>
      <c r="EL426" s="773"/>
      <c r="EM426" s="773"/>
      <c r="EN426" s="773"/>
      <c r="EO426" s="773"/>
      <c r="EP426" s="773"/>
      <c r="EQ426" s="773"/>
      <c r="ER426" s="773"/>
      <c r="ES426" s="773"/>
      <c r="ET426" s="773"/>
      <c r="EU426" s="773"/>
      <c r="EV426" s="773"/>
      <c r="EW426" s="773"/>
      <c r="EX426" s="773"/>
      <c r="EY426" s="773"/>
      <c r="EZ426" s="773"/>
      <c r="FA426" s="773"/>
      <c r="FB426" s="773"/>
      <c r="FC426" s="773"/>
      <c r="FD426" s="773"/>
      <c r="FE426" s="773"/>
      <c r="FF426" s="773"/>
      <c r="FG426" s="773"/>
      <c r="FH426" s="773"/>
      <c r="FI426" s="773"/>
      <c r="FJ426" s="773"/>
      <c r="FK426" s="773"/>
      <c r="FL426" s="773"/>
      <c r="FM426" s="773"/>
      <c r="FN426" s="773"/>
      <c r="FO426" s="773"/>
      <c r="FP426" s="773"/>
      <c r="FQ426" s="773"/>
      <c r="FR426" s="773"/>
      <c r="FS426" s="773"/>
      <c r="FT426" s="773"/>
      <c r="FU426" s="773"/>
      <c r="FV426" s="773"/>
      <c r="FW426" s="773"/>
      <c r="FX426" s="773"/>
      <c r="FY426" s="773"/>
      <c r="FZ426" s="773"/>
      <c r="GA426" s="773"/>
      <c r="GB426" s="773"/>
      <c r="GC426" s="773"/>
      <c r="GD426" s="773"/>
      <c r="GE426" s="773"/>
      <c r="GF426" s="773"/>
      <c r="GG426" s="773"/>
      <c r="GH426" s="773"/>
      <c r="GI426" s="773"/>
      <c r="GJ426" s="773"/>
      <c r="GK426" s="773"/>
      <c r="GL426" s="773"/>
      <c r="GM426" s="773"/>
      <c r="GN426" s="773"/>
      <c r="GO426" s="773"/>
      <c r="GP426" s="773"/>
      <c r="GQ426" s="773"/>
      <c r="GR426" s="773"/>
      <c r="GS426" s="773"/>
      <c r="GT426" s="773"/>
      <c r="GU426" s="773"/>
      <c r="GV426" s="773"/>
      <c r="GW426" s="773"/>
      <c r="GX426" s="773"/>
      <c r="GY426" s="773"/>
      <c r="GZ426" s="773"/>
    </row>
    <row r="427" spans="1:208" s="11" customFormat="1" ht="13.5" thickBot="1">
      <c r="A427" s="780"/>
      <c r="B427" s="3762" t="s">
        <v>701</v>
      </c>
      <c r="C427" s="197">
        <v>2200001</v>
      </c>
      <c r="D427" s="199" t="s">
        <v>702</v>
      </c>
      <c r="E427" s="42">
        <f>IFERROR(VLOOKUP(C427,'AJE 12 - INC'!$D$168:$F$345,3,0),0)</f>
        <v>-29998.52</v>
      </c>
      <c r="F427" s="108">
        <f>SUMIF('AJE 12 - INC'!B:B,'New TB INC'!C427,'AJE 12 - INC'!D:D)</f>
        <v>0</v>
      </c>
      <c r="G427" s="108"/>
      <c r="H427" s="108"/>
      <c r="I427" s="108"/>
      <c r="J427" s="798">
        <f t="shared" si="41"/>
        <v>-29998.52</v>
      </c>
      <c r="K427" s="956">
        <f>'Accrued expenses'!$O$117+'New TB INC'!J427</f>
        <v>-0.18999999999869033</v>
      </c>
      <c r="L427" s="434"/>
      <c r="M427" s="863" t="s">
        <v>2611</v>
      </c>
      <c r="N427" s="772"/>
      <c r="O427" s="772"/>
      <c r="P427" s="772"/>
      <c r="Q427" s="772"/>
      <c r="R427" s="772"/>
      <c r="S427" s="772"/>
      <c r="T427" s="773"/>
      <c r="V427" s="613"/>
      <c r="W427" s="613"/>
      <c r="X427" s="613"/>
      <c r="Y427" s="613"/>
      <c r="Z427" s="613"/>
      <c r="AA427" s="613"/>
      <c r="AB427" s="613"/>
      <c r="AC427" s="613"/>
      <c r="AD427" s="613"/>
      <c r="AE427" s="613"/>
      <c r="AF427" s="613"/>
      <c r="AG427" s="613"/>
      <c r="AH427" s="613"/>
      <c r="AI427" s="613"/>
      <c r="AJ427" s="613"/>
      <c r="AK427" s="613"/>
      <c r="AL427" s="613"/>
      <c r="AM427" s="613"/>
      <c r="AN427" s="613"/>
      <c r="AO427" s="613"/>
      <c r="AP427" s="613"/>
      <c r="AQ427" s="613"/>
      <c r="AR427" s="613"/>
      <c r="AS427" s="613"/>
      <c r="AT427" s="613"/>
      <c r="AU427" s="613"/>
      <c r="AV427" s="613"/>
      <c r="AW427" s="2511"/>
      <c r="AX427" s="209"/>
      <c r="AY427" s="209"/>
      <c r="AZ427" s="209"/>
      <c r="BA427" s="209"/>
      <c r="BB427" s="209"/>
      <c r="BC427" s="2511"/>
      <c r="BD427" s="2511"/>
      <c r="BE427" s="2511"/>
      <c r="BF427" s="2511"/>
      <c r="BH427" s="2511"/>
      <c r="BI427" s="209"/>
      <c r="BJ427" s="209"/>
      <c r="BK427" s="209"/>
      <c r="BL427" s="209"/>
      <c r="BM427" s="209"/>
      <c r="BN427" s="860"/>
      <c r="BO427" s="209"/>
      <c r="BP427" s="209"/>
      <c r="BQ427" s="209"/>
      <c r="BR427" s="209"/>
      <c r="BS427" s="209"/>
      <c r="BT427" s="209"/>
      <c r="BU427" s="820"/>
      <c r="BV427" s="209"/>
      <c r="BW427" s="209"/>
      <c r="BX427" s="799"/>
      <c r="DB427" s="773"/>
      <c r="DC427" s="773"/>
      <c r="DD427" s="773"/>
      <c r="DE427" s="773"/>
      <c r="DF427" s="773"/>
      <c r="DG427" s="773"/>
      <c r="DH427" s="773"/>
      <c r="DI427" s="773"/>
      <c r="DJ427" s="773"/>
      <c r="DK427" s="773"/>
      <c r="DL427" s="773"/>
      <c r="DM427" s="773"/>
      <c r="DN427" s="773"/>
      <c r="DO427" s="773"/>
      <c r="DP427" s="773"/>
      <c r="DQ427" s="773"/>
      <c r="DR427" s="773"/>
      <c r="DS427" s="773"/>
      <c r="DT427" s="773"/>
      <c r="DU427" s="773"/>
      <c r="DV427" s="773"/>
      <c r="DW427" s="773"/>
      <c r="DX427" s="773"/>
      <c r="DY427" s="773"/>
      <c r="DZ427" s="773"/>
      <c r="EA427" s="773"/>
      <c r="EB427" s="773"/>
      <c r="EC427" s="773"/>
      <c r="ED427" s="773"/>
      <c r="EE427" s="773"/>
      <c r="EF427" s="773"/>
      <c r="EG427" s="773"/>
      <c r="EH427" s="773"/>
      <c r="EI427" s="773"/>
      <c r="EJ427" s="773"/>
      <c r="EK427" s="773"/>
      <c r="EL427" s="773"/>
      <c r="EM427" s="773"/>
      <c r="EN427" s="773"/>
      <c r="EO427" s="773"/>
      <c r="EP427" s="773"/>
      <c r="EQ427" s="773"/>
      <c r="ER427" s="773"/>
      <c r="ES427" s="773"/>
      <c r="ET427" s="773"/>
      <c r="EU427" s="773"/>
      <c r="EV427" s="773"/>
      <c r="EW427" s="773"/>
      <c r="EX427" s="773"/>
      <c r="EY427" s="773"/>
      <c r="EZ427" s="773"/>
      <c r="FA427" s="773"/>
      <c r="FB427" s="773"/>
      <c r="FC427" s="773"/>
      <c r="FD427" s="773"/>
      <c r="FE427" s="773"/>
      <c r="FF427" s="773"/>
      <c r="FG427" s="773"/>
      <c r="FH427" s="773"/>
      <c r="FI427" s="773"/>
      <c r="FJ427" s="773"/>
      <c r="FK427" s="773"/>
      <c r="FL427" s="773"/>
      <c r="FM427" s="773"/>
      <c r="FN427" s="773"/>
      <c r="FO427" s="773"/>
      <c r="FP427" s="773"/>
      <c r="FQ427" s="773"/>
      <c r="FR427" s="773"/>
      <c r="FS427" s="773"/>
      <c r="FT427" s="773"/>
      <c r="FU427" s="773"/>
      <c r="FV427" s="773"/>
      <c r="FW427" s="773"/>
      <c r="FX427" s="773"/>
      <c r="FY427" s="773"/>
      <c r="FZ427" s="773"/>
      <c r="GA427" s="773"/>
      <c r="GB427" s="773"/>
      <c r="GC427" s="773"/>
      <c r="GD427" s="773"/>
      <c r="GE427" s="773"/>
      <c r="GF427" s="773"/>
      <c r="GG427" s="773"/>
      <c r="GH427" s="773"/>
      <c r="GI427" s="773"/>
      <c r="GJ427" s="773"/>
      <c r="GK427" s="773"/>
      <c r="GL427" s="773"/>
      <c r="GM427" s="773"/>
      <c r="GN427" s="773"/>
      <c r="GO427" s="773"/>
      <c r="GP427" s="773"/>
      <c r="GQ427" s="773"/>
      <c r="GR427" s="773"/>
      <c r="GS427" s="773"/>
      <c r="GT427" s="773"/>
      <c r="GU427" s="773"/>
      <c r="GV427" s="773"/>
      <c r="GW427" s="773"/>
      <c r="GX427" s="773"/>
      <c r="GY427" s="773"/>
      <c r="GZ427" s="773"/>
    </row>
    <row r="428" spans="1:208" s="11" customFormat="1">
      <c r="A428" s="780"/>
      <c r="B428" s="3762" t="s">
        <v>701</v>
      </c>
      <c r="C428" s="197">
        <v>2200005</v>
      </c>
      <c r="D428" s="199" t="s">
        <v>2089</v>
      </c>
      <c r="E428" s="42">
        <f>IFERROR(VLOOKUP(C428,'AJE 12 - INC'!$D$168:$F$345,3,0),0)</f>
        <v>-760.49</v>
      </c>
      <c r="F428" s="108">
        <f>SUMIF('AJE 12 - INC'!B:B,'New TB INC'!C428,'AJE 12 - INC'!D:D)</f>
        <v>0</v>
      </c>
      <c r="G428" s="108"/>
      <c r="H428" s="108"/>
      <c r="I428" s="108"/>
      <c r="J428" s="798">
        <f t="shared" si="41"/>
        <v>-760.49</v>
      </c>
      <c r="K428" s="209"/>
      <c r="L428" s="434"/>
      <c r="M428" s="854"/>
      <c r="N428" s="772"/>
      <c r="O428" s="772"/>
      <c r="P428" s="772"/>
      <c r="Q428" s="772"/>
      <c r="R428" s="772"/>
      <c r="S428" s="772"/>
      <c r="T428" s="773"/>
      <c r="V428" s="613"/>
      <c r="W428" s="613"/>
      <c r="X428" s="613"/>
      <c r="Y428" s="613"/>
      <c r="Z428" s="613"/>
      <c r="AA428" s="613"/>
      <c r="AB428" s="613"/>
      <c r="AC428" s="613"/>
      <c r="AD428" s="613"/>
      <c r="AE428" s="613"/>
      <c r="AF428" s="613"/>
      <c r="AG428" s="613"/>
      <c r="AH428" s="613"/>
      <c r="AI428" s="613"/>
      <c r="AJ428" s="613"/>
      <c r="AK428" s="613"/>
      <c r="AL428" s="613"/>
      <c r="AM428" s="613"/>
      <c r="AN428" s="613"/>
      <c r="AO428" s="613"/>
      <c r="AP428" s="613"/>
      <c r="AQ428" s="613"/>
      <c r="AR428" s="613"/>
      <c r="AS428" s="613"/>
      <c r="AT428" s="613"/>
      <c r="AU428" s="613"/>
      <c r="AV428" s="613"/>
      <c r="AW428" s="2511"/>
      <c r="AX428" s="209"/>
      <c r="AY428" s="209"/>
      <c r="AZ428" s="209"/>
      <c r="BA428" s="209"/>
      <c r="BB428" s="209"/>
      <c r="BC428" s="2511"/>
      <c r="BD428" s="2511"/>
      <c r="BE428" s="2511"/>
      <c r="BF428" s="2511"/>
      <c r="BH428" s="2511"/>
      <c r="BI428" s="209"/>
      <c r="BJ428" s="209"/>
      <c r="BK428" s="209"/>
      <c r="BL428" s="209"/>
      <c r="BM428" s="209"/>
      <c r="BN428" s="860"/>
      <c r="BO428" s="209"/>
      <c r="BP428" s="209"/>
      <c r="BQ428" s="209"/>
      <c r="BR428" s="209"/>
      <c r="BS428" s="209"/>
      <c r="BT428" s="209"/>
      <c r="BU428" s="820"/>
      <c r="BV428" s="209"/>
      <c r="BW428" s="209"/>
      <c r="BX428" s="799"/>
      <c r="DB428" s="773"/>
      <c r="DC428" s="773"/>
      <c r="DD428" s="773"/>
      <c r="DE428" s="773"/>
      <c r="DF428" s="773"/>
      <c r="DG428" s="773"/>
      <c r="DH428" s="773"/>
      <c r="DI428" s="773"/>
      <c r="DJ428" s="773"/>
      <c r="DK428" s="773"/>
      <c r="DL428" s="773"/>
      <c r="DM428" s="773"/>
      <c r="DN428" s="773"/>
      <c r="DO428" s="773"/>
      <c r="DP428" s="773"/>
      <c r="DQ428" s="773"/>
      <c r="DR428" s="773"/>
      <c r="DS428" s="773"/>
      <c r="DT428" s="773"/>
      <c r="DU428" s="773"/>
      <c r="DV428" s="773"/>
      <c r="DW428" s="773"/>
      <c r="DX428" s="773"/>
      <c r="DY428" s="773"/>
      <c r="DZ428" s="773"/>
      <c r="EA428" s="773"/>
      <c r="EB428" s="773"/>
      <c r="EC428" s="773"/>
      <c r="ED428" s="773"/>
      <c r="EE428" s="773"/>
      <c r="EF428" s="773"/>
      <c r="EG428" s="773"/>
      <c r="EH428" s="773"/>
      <c r="EI428" s="773"/>
      <c r="EJ428" s="773"/>
      <c r="EK428" s="773"/>
      <c r="EL428" s="773"/>
      <c r="EM428" s="773"/>
      <c r="EN428" s="773"/>
      <c r="EO428" s="773"/>
      <c r="EP428" s="773"/>
      <c r="EQ428" s="773"/>
      <c r="ER428" s="773"/>
      <c r="ES428" s="773"/>
      <c r="ET428" s="773"/>
      <c r="EU428" s="773"/>
      <c r="EV428" s="773"/>
      <c r="EW428" s="773"/>
      <c r="EX428" s="773"/>
      <c r="EY428" s="773"/>
      <c r="EZ428" s="773"/>
      <c r="FA428" s="773"/>
      <c r="FB428" s="773"/>
      <c r="FC428" s="773"/>
      <c r="FD428" s="773"/>
      <c r="FE428" s="773"/>
      <c r="FF428" s="773"/>
      <c r="FG428" s="773"/>
      <c r="FH428" s="773"/>
      <c r="FI428" s="773"/>
      <c r="FJ428" s="773"/>
      <c r="FK428" s="773"/>
      <c r="FL428" s="773"/>
      <c r="FM428" s="773"/>
      <c r="FN428" s="773"/>
      <c r="FO428" s="773"/>
      <c r="FP428" s="773"/>
      <c r="FQ428" s="773"/>
      <c r="FR428" s="773"/>
      <c r="FS428" s="773"/>
      <c r="FT428" s="773"/>
      <c r="FU428" s="773"/>
      <c r="FV428" s="773"/>
      <c r="FW428" s="773"/>
      <c r="FX428" s="773"/>
      <c r="FY428" s="773"/>
      <c r="FZ428" s="773"/>
      <c r="GA428" s="773"/>
      <c r="GB428" s="773"/>
      <c r="GC428" s="773"/>
      <c r="GD428" s="773"/>
      <c r="GE428" s="773"/>
      <c r="GF428" s="773"/>
      <c r="GG428" s="773"/>
      <c r="GH428" s="773"/>
      <c r="GI428" s="773"/>
      <c r="GJ428" s="773"/>
      <c r="GK428" s="773"/>
      <c r="GL428" s="773"/>
      <c r="GM428" s="773"/>
      <c r="GN428" s="773"/>
      <c r="GO428" s="773"/>
      <c r="GP428" s="773"/>
      <c r="GQ428" s="773"/>
      <c r="GR428" s="773"/>
      <c r="GS428" s="773"/>
      <c r="GT428" s="773"/>
      <c r="GU428" s="773"/>
      <c r="GV428" s="773"/>
      <c r="GW428" s="773"/>
      <c r="GX428" s="773"/>
      <c r="GY428" s="773"/>
      <c r="GZ428" s="773"/>
    </row>
    <row r="429" spans="1:208" s="11" customFormat="1">
      <c r="A429" s="780"/>
      <c r="B429" s="3762"/>
      <c r="C429" s="197" t="s">
        <v>5054</v>
      </c>
      <c r="D429" s="199" t="s">
        <v>5055</v>
      </c>
      <c r="E429" s="42">
        <f>IFERROR(VLOOKUP(C429,'AJE 12 - INC'!$D$168:$F$345,3,0),0)</f>
        <v>0</v>
      </c>
      <c r="F429" s="108">
        <f>SUMIF('AJE 12 - INC'!B:B,'New TB INC'!C429,'AJE 12 - INC'!D:D)</f>
        <v>-12844.785416020302</v>
      </c>
      <c r="G429" s="108"/>
      <c r="H429" s="108"/>
      <c r="I429" s="108"/>
      <c r="J429" s="798">
        <f t="shared" ref="J429" si="44">SUM(E429:I429)</f>
        <v>-12844.785416020302</v>
      </c>
      <c r="K429" s="209"/>
      <c r="L429" s="434"/>
      <c r="M429" s="854"/>
      <c r="N429" s="772"/>
      <c r="O429" s="772"/>
      <c r="P429" s="772"/>
      <c r="Q429" s="772"/>
      <c r="R429" s="772"/>
      <c r="S429" s="772"/>
      <c r="T429" s="773"/>
      <c r="V429" s="613"/>
      <c r="W429" s="613"/>
      <c r="X429" s="613"/>
      <c r="Y429" s="613"/>
      <c r="Z429" s="613"/>
      <c r="AA429" s="613"/>
      <c r="AB429" s="613"/>
      <c r="AC429" s="613"/>
      <c r="AD429" s="613"/>
      <c r="AE429" s="613"/>
      <c r="AF429" s="613"/>
      <c r="AG429" s="613"/>
      <c r="AH429" s="613"/>
      <c r="AI429" s="613"/>
      <c r="AJ429" s="613"/>
      <c r="AK429" s="613"/>
      <c r="AL429" s="613"/>
      <c r="AM429" s="613"/>
      <c r="AN429" s="613"/>
      <c r="AO429" s="613"/>
      <c r="AP429" s="613"/>
      <c r="AQ429" s="613"/>
      <c r="AR429" s="613"/>
      <c r="AS429" s="613"/>
      <c r="AT429" s="613"/>
      <c r="AU429" s="613"/>
      <c r="AV429" s="613"/>
      <c r="AW429" s="2511"/>
      <c r="AX429" s="209"/>
      <c r="AY429" s="209"/>
      <c r="AZ429" s="209"/>
      <c r="BA429" s="209"/>
      <c r="BB429" s="209"/>
      <c r="BC429" s="2511"/>
      <c r="BD429" s="2511"/>
      <c r="BE429" s="2511"/>
      <c r="BF429" s="2511"/>
      <c r="BH429" s="2511"/>
      <c r="BI429" s="209"/>
      <c r="BJ429" s="209"/>
      <c r="BK429" s="209"/>
      <c r="BL429" s="209"/>
      <c r="BM429" s="209"/>
      <c r="BN429" s="860"/>
      <c r="BO429" s="209"/>
      <c r="BP429" s="209"/>
      <c r="BQ429" s="209"/>
      <c r="BR429" s="209"/>
      <c r="BS429" s="209"/>
      <c r="BT429" s="209"/>
      <c r="BU429" s="820"/>
      <c r="BV429" s="209"/>
      <c r="BW429" s="209"/>
      <c r="BX429" s="799"/>
      <c r="DB429" s="773"/>
      <c r="DC429" s="773"/>
      <c r="DD429" s="773"/>
      <c r="DE429" s="773"/>
      <c r="DF429" s="773"/>
      <c r="DG429" s="773"/>
      <c r="DH429" s="773"/>
      <c r="DI429" s="773"/>
      <c r="DJ429" s="773"/>
      <c r="DK429" s="773"/>
      <c r="DL429" s="773"/>
      <c r="DM429" s="773"/>
      <c r="DN429" s="773"/>
      <c r="DO429" s="773"/>
      <c r="DP429" s="773"/>
      <c r="DQ429" s="773"/>
      <c r="DR429" s="773"/>
      <c r="DS429" s="773"/>
      <c r="DT429" s="773"/>
      <c r="DU429" s="773"/>
      <c r="DV429" s="773"/>
      <c r="DW429" s="773"/>
      <c r="DX429" s="773"/>
      <c r="DY429" s="773"/>
      <c r="DZ429" s="773"/>
      <c r="EA429" s="773"/>
      <c r="EB429" s="773"/>
      <c r="EC429" s="773"/>
      <c r="ED429" s="773"/>
      <c r="EE429" s="773"/>
      <c r="EF429" s="773"/>
      <c r="EG429" s="773"/>
      <c r="EH429" s="773"/>
      <c r="EI429" s="773"/>
      <c r="EJ429" s="773"/>
      <c r="EK429" s="773"/>
      <c r="EL429" s="773"/>
      <c r="EM429" s="773"/>
      <c r="EN429" s="773"/>
      <c r="EO429" s="773"/>
      <c r="EP429" s="773"/>
      <c r="EQ429" s="773"/>
      <c r="ER429" s="773"/>
      <c r="ES429" s="773"/>
      <c r="ET429" s="773"/>
      <c r="EU429" s="773"/>
      <c r="EV429" s="773"/>
      <c r="EW429" s="773"/>
      <c r="EX429" s="773"/>
      <c r="EY429" s="773"/>
      <c r="EZ429" s="773"/>
      <c r="FA429" s="773"/>
      <c r="FB429" s="773"/>
      <c r="FC429" s="773"/>
      <c r="FD429" s="773"/>
      <c r="FE429" s="773"/>
      <c r="FF429" s="773"/>
      <c r="FG429" s="773"/>
      <c r="FH429" s="773"/>
      <c r="FI429" s="773"/>
      <c r="FJ429" s="773"/>
      <c r="FK429" s="773"/>
      <c r="FL429" s="773"/>
      <c r="FM429" s="773"/>
      <c r="FN429" s="773"/>
      <c r="FO429" s="773"/>
      <c r="FP429" s="773"/>
      <c r="FQ429" s="773"/>
      <c r="FR429" s="773"/>
      <c r="FS429" s="773"/>
      <c r="FT429" s="773"/>
      <c r="FU429" s="773"/>
      <c r="FV429" s="773"/>
      <c r="FW429" s="773"/>
      <c r="FX429" s="773"/>
      <c r="FY429" s="773"/>
      <c r="FZ429" s="773"/>
      <c r="GA429" s="773"/>
      <c r="GB429" s="773"/>
      <c r="GC429" s="773"/>
      <c r="GD429" s="773"/>
      <c r="GE429" s="773"/>
      <c r="GF429" s="773"/>
      <c r="GG429" s="773"/>
      <c r="GH429" s="773"/>
      <c r="GI429" s="773"/>
      <c r="GJ429" s="773"/>
      <c r="GK429" s="773"/>
      <c r="GL429" s="773"/>
      <c r="GM429" s="773"/>
      <c r="GN429" s="773"/>
      <c r="GO429" s="773"/>
      <c r="GP429" s="773"/>
      <c r="GQ429" s="773"/>
      <c r="GR429" s="773"/>
      <c r="GS429" s="773"/>
      <c r="GT429" s="773"/>
      <c r="GU429" s="773"/>
      <c r="GV429" s="773"/>
      <c r="GW429" s="773"/>
      <c r="GX429" s="773"/>
      <c r="GY429" s="773"/>
      <c r="GZ429" s="773"/>
    </row>
    <row r="430" spans="1:208" s="11" customFormat="1" ht="13.5" thickBot="1">
      <c r="A430" s="780"/>
      <c r="B430" s="3762" t="s">
        <v>1415</v>
      </c>
      <c r="C430" s="197">
        <v>2200004</v>
      </c>
      <c r="D430" s="199" t="s">
        <v>1416</v>
      </c>
      <c r="E430" s="42"/>
      <c r="F430" s="108">
        <f>SUMIF('AJE 12 - INC'!B:B,'New TB INC'!C430,'AJE 12 - INC'!D:D)</f>
        <v>0</v>
      </c>
      <c r="G430" s="108"/>
      <c r="H430" s="108"/>
      <c r="I430" s="108"/>
      <c r="J430" s="798">
        <f t="shared" si="41"/>
        <v>0</v>
      </c>
      <c r="K430" s="209"/>
      <c r="L430" s="434"/>
      <c r="M430" s="863"/>
      <c r="N430" s="772"/>
      <c r="O430" s="772"/>
      <c r="P430" s="772"/>
      <c r="Q430" s="772"/>
      <c r="R430" s="772"/>
      <c r="S430" s="772"/>
      <c r="T430" s="773"/>
      <c r="V430" s="273"/>
      <c r="W430" s="273"/>
      <c r="X430" s="273"/>
      <c r="Y430" s="273"/>
      <c r="Z430" s="273"/>
      <c r="AA430" s="273"/>
      <c r="AB430" s="273"/>
      <c r="AC430" s="273"/>
      <c r="AD430" s="273"/>
      <c r="AE430" s="273"/>
      <c r="AF430" s="273"/>
      <c r="AG430" s="273"/>
      <c r="AH430" s="273"/>
      <c r="AI430" s="273"/>
      <c r="AJ430" s="273"/>
      <c r="AK430" s="273"/>
      <c r="AL430" s="273"/>
      <c r="AM430" s="273"/>
      <c r="AN430" s="273"/>
      <c r="AO430" s="273"/>
      <c r="AP430" s="273"/>
      <c r="AQ430" s="273"/>
      <c r="AR430" s="273"/>
      <c r="AS430" s="273"/>
      <c r="AT430" s="273"/>
      <c r="AU430" s="273"/>
      <c r="AV430" s="273"/>
      <c r="AW430" s="2511"/>
      <c r="AX430" s="799"/>
      <c r="AY430" s="799"/>
      <c r="AZ430" s="799"/>
      <c r="BA430" s="209"/>
      <c r="BB430" s="209"/>
      <c r="BC430" s="2511"/>
      <c r="BD430" s="2511"/>
      <c r="BE430" s="2511"/>
      <c r="BF430" s="2511"/>
      <c r="BH430" s="2511"/>
      <c r="BI430" s="209"/>
      <c r="BJ430" s="209"/>
      <c r="BK430" s="209"/>
      <c r="BL430" s="209"/>
      <c r="BM430" s="209"/>
      <c r="BN430" s="860"/>
      <c r="BO430" s="209"/>
      <c r="BP430" s="209"/>
      <c r="BQ430" s="209"/>
      <c r="BR430" s="209"/>
      <c r="BS430" s="209"/>
      <c r="BT430" s="209"/>
      <c r="BU430" s="820"/>
      <c r="BV430" s="209"/>
      <c r="BW430" s="209"/>
      <c r="BX430" s="799"/>
      <c r="DB430" s="773"/>
      <c r="DC430" s="773"/>
      <c r="DD430" s="773"/>
      <c r="DE430" s="773"/>
      <c r="DF430" s="773"/>
      <c r="DG430" s="773"/>
      <c r="DH430" s="773"/>
      <c r="DI430" s="773"/>
      <c r="DJ430" s="773"/>
      <c r="DK430" s="773"/>
      <c r="DL430" s="773"/>
      <c r="DM430" s="773"/>
      <c r="DN430" s="773"/>
      <c r="DO430" s="773"/>
      <c r="DP430" s="773"/>
      <c r="DQ430" s="773"/>
      <c r="DR430" s="773"/>
      <c r="DS430" s="773"/>
      <c r="DT430" s="773"/>
      <c r="DU430" s="773"/>
      <c r="DV430" s="773"/>
      <c r="DW430" s="773"/>
      <c r="DX430" s="773"/>
      <c r="DY430" s="773"/>
      <c r="DZ430" s="773"/>
      <c r="EA430" s="773"/>
      <c r="EB430" s="773"/>
      <c r="EC430" s="773"/>
      <c r="ED430" s="773"/>
      <c r="EE430" s="773"/>
      <c r="EF430" s="773"/>
      <c r="EG430" s="773"/>
      <c r="EH430" s="773"/>
      <c r="EI430" s="773"/>
      <c r="EJ430" s="773"/>
      <c r="EK430" s="773"/>
      <c r="EL430" s="773"/>
      <c r="EM430" s="773"/>
      <c r="EN430" s="773"/>
      <c r="EO430" s="773"/>
      <c r="EP430" s="773"/>
      <c r="EQ430" s="773"/>
      <c r="ER430" s="773"/>
      <c r="ES430" s="773"/>
      <c r="ET430" s="773"/>
      <c r="EU430" s="773"/>
      <c r="EV430" s="773"/>
      <c r="EW430" s="773"/>
      <c r="EX430" s="773"/>
      <c r="EY430" s="773"/>
      <c r="EZ430" s="773"/>
      <c r="FA430" s="773"/>
      <c r="FB430" s="773"/>
      <c r="FC430" s="773"/>
      <c r="FD430" s="773"/>
      <c r="FE430" s="773"/>
      <c r="FF430" s="773"/>
      <c r="FG430" s="773"/>
      <c r="FH430" s="773"/>
      <c r="FI430" s="773"/>
      <c r="FJ430" s="773"/>
      <c r="FK430" s="773"/>
      <c r="FL430" s="773"/>
      <c r="FM430" s="773"/>
      <c r="FN430" s="773"/>
      <c r="FO430" s="773"/>
      <c r="FP430" s="773"/>
      <c r="FQ430" s="773"/>
      <c r="FR430" s="773"/>
      <c r="FS430" s="773"/>
      <c r="FT430" s="773"/>
      <c r="FU430" s="773"/>
      <c r="FV430" s="773"/>
      <c r="FW430" s="773"/>
      <c r="FX430" s="773"/>
      <c r="FY430" s="773"/>
      <c r="FZ430" s="773"/>
      <c r="GA430" s="773"/>
      <c r="GB430" s="773"/>
      <c r="GC430" s="773"/>
      <c r="GD430" s="773"/>
      <c r="GE430" s="773"/>
      <c r="GF430" s="773"/>
      <c r="GG430" s="773"/>
      <c r="GH430" s="773"/>
      <c r="GI430" s="773"/>
      <c r="GJ430" s="773"/>
      <c r="GK430" s="773"/>
      <c r="GL430" s="773"/>
      <c r="GM430" s="773"/>
      <c r="GN430" s="773"/>
      <c r="GO430" s="773"/>
      <c r="GP430" s="773"/>
      <c r="GQ430" s="773"/>
      <c r="GR430" s="773"/>
      <c r="GS430" s="773"/>
      <c r="GT430" s="773"/>
      <c r="GU430" s="773"/>
      <c r="GV430" s="773"/>
      <c r="GW430" s="773"/>
      <c r="GX430" s="773"/>
      <c r="GY430" s="773"/>
      <c r="GZ430" s="773"/>
    </row>
    <row r="431" spans="1:208" s="11" customFormat="1" ht="13.5" thickBot="1">
      <c r="A431" s="780"/>
      <c r="B431" s="3762" t="s">
        <v>701</v>
      </c>
      <c r="C431" s="197">
        <v>2200003</v>
      </c>
      <c r="D431" s="199" t="s">
        <v>1413</v>
      </c>
      <c r="E431" s="42">
        <f>VLOOKUP(C431,'AJE 12 - INC'!$D$168:$F$345,3,0)</f>
        <v>-5835920.9699999997</v>
      </c>
      <c r="F431" s="108">
        <f>SUMIF('AJE 12 - INC'!B:B,'New TB INC'!C431,'AJE 12 - INC'!D:D)</f>
        <v>0</v>
      </c>
      <c r="G431" s="108"/>
      <c r="H431" s="108"/>
      <c r="I431" s="108"/>
      <c r="J431" s="798">
        <f t="shared" si="41"/>
        <v>-5835920.9699999997</v>
      </c>
      <c r="K431" s="956">
        <f>SUM('[149]Q4-2021'!$B$31,'[149]Q4-2021'!$C$29:$C$31)+J431</f>
        <v>-0.18692729994654655</v>
      </c>
      <c r="L431" s="434"/>
      <c r="M431" s="803" t="s">
        <v>2887</v>
      </c>
      <c r="N431" s="772"/>
      <c r="O431" s="772"/>
      <c r="P431" s="772"/>
      <c r="Q431" s="772"/>
      <c r="R431" s="772"/>
      <c r="S431" s="772"/>
      <c r="T431" s="773"/>
      <c r="V431" s="273"/>
      <c r="W431" s="273"/>
      <c r="X431" s="273"/>
      <c r="Y431" s="273"/>
      <c r="Z431" s="273"/>
      <c r="AA431" s="273"/>
      <c r="AB431" s="273"/>
      <c r="AC431" s="273"/>
      <c r="AD431" s="273"/>
      <c r="AE431" s="273"/>
      <c r="AF431" s="273"/>
      <c r="AG431" s="273"/>
      <c r="AH431" s="273"/>
      <c r="AI431" s="273"/>
      <c r="AJ431" s="273"/>
      <c r="AK431" s="273"/>
      <c r="AL431" s="273"/>
      <c r="AM431" s="273"/>
      <c r="AN431" s="273"/>
      <c r="AO431" s="273"/>
      <c r="AP431" s="273"/>
      <c r="AQ431" s="273"/>
      <c r="AR431" s="273"/>
      <c r="AS431" s="273"/>
      <c r="AT431" s="273"/>
      <c r="AU431" s="273"/>
      <c r="AV431" s="273"/>
      <c r="AW431" s="2511"/>
      <c r="AX431" s="799"/>
      <c r="AY431" s="799"/>
      <c r="AZ431" s="799"/>
      <c r="BA431" s="209"/>
      <c r="BB431" s="209"/>
      <c r="BC431" s="2511"/>
      <c r="BD431" s="2511"/>
      <c r="BE431" s="2511"/>
      <c r="BF431" s="2511"/>
      <c r="BH431" s="2511"/>
      <c r="BI431" s="209"/>
      <c r="BJ431" s="209"/>
      <c r="BK431" s="209"/>
      <c r="BL431" s="209"/>
      <c r="BM431" s="209"/>
      <c r="BN431" s="860"/>
      <c r="BO431" s="209"/>
      <c r="BP431" s="209"/>
      <c r="BQ431" s="209"/>
      <c r="BR431" s="209"/>
      <c r="BS431" s="209"/>
      <c r="BT431" s="209"/>
      <c r="BU431" s="820"/>
      <c r="BV431" s="209"/>
      <c r="BW431" s="209"/>
      <c r="BX431" s="799"/>
      <c r="DB431" s="773"/>
      <c r="DC431" s="773"/>
      <c r="DD431" s="773"/>
      <c r="DE431" s="773"/>
      <c r="DF431" s="773"/>
      <c r="DG431" s="773"/>
      <c r="DH431" s="773"/>
      <c r="DI431" s="773"/>
      <c r="DJ431" s="773"/>
      <c r="DK431" s="773"/>
      <c r="DL431" s="773"/>
      <c r="DM431" s="773"/>
      <c r="DN431" s="773"/>
      <c r="DO431" s="773"/>
      <c r="DP431" s="773"/>
      <c r="DQ431" s="773"/>
      <c r="DR431" s="773"/>
      <c r="DS431" s="773"/>
      <c r="DT431" s="773"/>
      <c r="DU431" s="773"/>
      <c r="DV431" s="773"/>
      <c r="DW431" s="773"/>
      <c r="DX431" s="773"/>
      <c r="DY431" s="773"/>
      <c r="DZ431" s="773"/>
      <c r="EA431" s="773"/>
      <c r="EB431" s="773"/>
      <c r="EC431" s="773"/>
      <c r="ED431" s="773"/>
      <c r="EE431" s="773"/>
      <c r="EF431" s="773"/>
      <c r="EG431" s="773"/>
      <c r="EH431" s="773"/>
      <c r="EI431" s="773"/>
      <c r="EJ431" s="773"/>
      <c r="EK431" s="773"/>
      <c r="EL431" s="773"/>
      <c r="EM431" s="773"/>
      <c r="EN431" s="773"/>
      <c r="EO431" s="773"/>
      <c r="EP431" s="773"/>
      <c r="EQ431" s="773"/>
      <c r="ER431" s="773"/>
      <c r="ES431" s="773"/>
      <c r="ET431" s="773"/>
      <c r="EU431" s="773"/>
      <c r="EV431" s="773"/>
      <c r="EW431" s="773"/>
      <c r="EX431" s="773"/>
      <c r="EY431" s="773"/>
      <c r="EZ431" s="773"/>
      <c r="FA431" s="773"/>
      <c r="FB431" s="773"/>
      <c r="FC431" s="773"/>
      <c r="FD431" s="773"/>
      <c r="FE431" s="773"/>
      <c r="FF431" s="773"/>
      <c r="FG431" s="773"/>
      <c r="FH431" s="773"/>
      <c r="FI431" s="773"/>
      <c r="FJ431" s="773"/>
      <c r="FK431" s="773"/>
      <c r="FL431" s="773"/>
      <c r="FM431" s="773"/>
      <c r="FN431" s="773"/>
      <c r="FO431" s="773"/>
      <c r="FP431" s="773"/>
      <c r="FQ431" s="773"/>
      <c r="FR431" s="773"/>
      <c r="FS431" s="773"/>
      <c r="FT431" s="773"/>
      <c r="FU431" s="773"/>
      <c r="FV431" s="773"/>
      <c r="FW431" s="773"/>
      <c r="FX431" s="773"/>
      <c r="FY431" s="773"/>
      <c r="FZ431" s="773"/>
      <c r="GA431" s="773"/>
      <c r="GB431" s="773"/>
      <c r="GC431" s="773"/>
      <c r="GD431" s="773"/>
      <c r="GE431" s="773"/>
      <c r="GF431" s="773"/>
      <c r="GG431" s="773"/>
      <c r="GH431" s="773"/>
      <c r="GI431" s="773"/>
      <c r="GJ431" s="773"/>
      <c r="GK431" s="773"/>
      <c r="GL431" s="773"/>
      <c r="GM431" s="773"/>
      <c r="GN431" s="773"/>
      <c r="GO431" s="773"/>
      <c r="GP431" s="773"/>
      <c r="GQ431" s="773"/>
      <c r="GR431" s="773"/>
      <c r="GS431" s="773"/>
      <c r="GT431" s="773"/>
      <c r="GU431" s="773"/>
      <c r="GV431" s="773"/>
      <c r="GW431" s="773"/>
      <c r="GX431" s="773"/>
      <c r="GY431" s="773"/>
      <c r="GZ431" s="773"/>
    </row>
    <row r="432" spans="1:208" s="11" customFormat="1" ht="13.5" thickBot="1">
      <c r="A432" s="780"/>
      <c r="B432" s="3772" t="s">
        <v>687</v>
      </c>
      <c r="C432" s="197">
        <v>1130004</v>
      </c>
      <c r="D432" s="199" t="s">
        <v>445</v>
      </c>
      <c r="E432" s="809">
        <f>IFERROR(VLOOKUP(C432,'AJE 12 - INC'!$D$168:$F$345,3,0),0)</f>
        <v>0</v>
      </c>
      <c r="F432" s="108">
        <f>SUMIF('AJE 12 - INC'!B:B,'New TB INC'!C432,'AJE 12 - INC'!D:D)</f>
        <v>0</v>
      </c>
      <c r="G432" s="108"/>
      <c r="H432" s="108"/>
      <c r="I432" s="108"/>
      <c r="J432" s="798">
        <f t="shared" si="41"/>
        <v>0</v>
      </c>
      <c r="K432" s="956">
        <f>+'מאזן בוחן'!K503+J432</f>
        <v>0</v>
      </c>
      <c r="L432" s="434"/>
      <c r="M432" s="769"/>
      <c r="N432" s="772"/>
      <c r="O432" s="772"/>
      <c r="P432" s="772"/>
      <c r="Q432" s="772"/>
      <c r="R432" s="772"/>
      <c r="S432" s="772"/>
      <c r="T432" s="773"/>
      <c r="V432" s="273"/>
      <c r="W432" s="273"/>
      <c r="X432" s="273"/>
      <c r="Y432" s="273"/>
      <c r="Z432" s="273"/>
      <c r="AA432" s="273"/>
      <c r="AB432" s="273"/>
      <c r="AC432" s="273"/>
      <c r="AD432" s="273"/>
      <c r="AE432" s="273"/>
      <c r="AF432" s="273"/>
      <c r="AG432" s="273"/>
      <c r="AH432" s="273"/>
      <c r="AI432" s="273"/>
      <c r="AJ432" s="273"/>
      <c r="AK432" s="273"/>
      <c r="AL432" s="273"/>
      <c r="AM432" s="273"/>
      <c r="AN432" s="273"/>
      <c r="AO432" s="273"/>
      <c r="AP432" s="273"/>
      <c r="AQ432" s="273"/>
      <c r="AR432" s="273"/>
      <c r="AS432" s="273"/>
      <c r="AT432" s="273"/>
      <c r="AU432" s="273"/>
      <c r="AV432" s="273"/>
      <c r="AW432" s="2511"/>
      <c r="AX432" s="799"/>
      <c r="AY432" s="799"/>
      <c r="AZ432" s="799"/>
      <c r="BA432" s="209"/>
      <c r="BB432" s="209"/>
      <c r="BC432" s="2511"/>
      <c r="BD432" s="2511"/>
      <c r="BE432" s="2511"/>
      <c r="BF432" s="2511"/>
      <c r="BH432" s="2511"/>
      <c r="BI432" s="209"/>
      <c r="BJ432" s="209"/>
      <c r="BK432" s="209"/>
      <c r="BL432" s="209"/>
      <c r="BM432" s="209"/>
      <c r="BN432" s="860"/>
      <c r="BO432" s="209"/>
      <c r="BP432" s="209"/>
      <c r="BQ432" s="209"/>
      <c r="BR432" s="209"/>
      <c r="BS432" s="209"/>
      <c r="BT432" s="209"/>
      <c r="BU432" s="820"/>
      <c r="BV432" s="209"/>
      <c r="BW432" s="209"/>
      <c r="BX432" s="799"/>
      <c r="DB432" s="773"/>
      <c r="DC432" s="773"/>
      <c r="DD432" s="773"/>
      <c r="DE432" s="773"/>
      <c r="DF432" s="773"/>
      <c r="DG432" s="773"/>
      <c r="DH432" s="773"/>
      <c r="DI432" s="773"/>
      <c r="DJ432" s="773"/>
      <c r="DK432" s="773"/>
      <c r="DL432" s="773"/>
      <c r="DM432" s="773"/>
      <c r="DN432" s="773"/>
      <c r="DO432" s="773"/>
      <c r="DP432" s="773"/>
      <c r="DQ432" s="773"/>
      <c r="DR432" s="773"/>
      <c r="DS432" s="773"/>
      <c r="DT432" s="773"/>
      <c r="DU432" s="773"/>
      <c r="DV432" s="773"/>
      <c r="DW432" s="773"/>
      <c r="DX432" s="773"/>
      <c r="DY432" s="773"/>
      <c r="DZ432" s="773"/>
      <c r="EA432" s="773"/>
      <c r="EB432" s="773"/>
      <c r="EC432" s="773"/>
      <c r="ED432" s="773"/>
      <c r="EE432" s="773"/>
      <c r="EF432" s="773"/>
      <c r="EG432" s="773"/>
      <c r="EH432" s="773"/>
      <c r="EI432" s="773"/>
      <c r="EJ432" s="773"/>
      <c r="EK432" s="773"/>
      <c r="EL432" s="773"/>
      <c r="EM432" s="773"/>
      <c r="EN432" s="773"/>
      <c r="EO432" s="773"/>
      <c r="EP432" s="773"/>
      <c r="EQ432" s="773"/>
      <c r="ER432" s="773"/>
      <c r="ES432" s="773"/>
      <c r="ET432" s="773"/>
      <c r="EU432" s="773"/>
      <c r="EV432" s="773"/>
      <c r="EW432" s="773"/>
      <c r="EX432" s="773"/>
      <c r="EY432" s="773"/>
      <c r="EZ432" s="773"/>
      <c r="FA432" s="773"/>
      <c r="FB432" s="773"/>
      <c r="FC432" s="773"/>
      <c r="FD432" s="773"/>
      <c r="FE432" s="773"/>
      <c r="FF432" s="773"/>
      <c r="FG432" s="773"/>
      <c r="FH432" s="773"/>
      <c r="FI432" s="773"/>
      <c r="FJ432" s="773"/>
      <c r="FK432" s="773"/>
      <c r="FL432" s="773"/>
      <c r="FM432" s="773"/>
      <c r="FN432" s="773"/>
      <c r="FO432" s="773"/>
      <c r="FP432" s="773"/>
      <c r="FQ432" s="773"/>
      <c r="FR432" s="773"/>
      <c r="FS432" s="773"/>
      <c r="FT432" s="773"/>
      <c r="FU432" s="773"/>
      <c r="FV432" s="773"/>
      <c r="FW432" s="773"/>
      <c r="FX432" s="773"/>
      <c r="FY432" s="773"/>
      <c r="FZ432" s="773"/>
      <c r="GA432" s="773"/>
      <c r="GB432" s="773"/>
      <c r="GC432" s="773"/>
      <c r="GD432" s="773"/>
      <c r="GE432" s="773"/>
      <c r="GF432" s="773"/>
      <c r="GG432" s="773"/>
      <c r="GH432" s="773"/>
      <c r="GI432" s="773"/>
      <c r="GJ432" s="773"/>
      <c r="GK432" s="773"/>
      <c r="GL432" s="773"/>
      <c r="GM432" s="773"/>
      <c r="GN432" s="773"/>
      <c r="GO432" s="773"/>
      <c r="GP432" s="773"/>
      <c r="GQ432" s="773"/>
      <c r="GR432" s="773"/>
      <c r="GS432" s="773"/>
      <c r="GT432" s="773"/>
      <c r="GU432" s="773"/>
      <c r="GV432" s="773"/>
      <c r="GW432" s="773"/>
      <c r="GX432" s="773"/>
      <c r="GY432" s="773"/>
      <c r="GZ432" s="773"/>
    </row>
    <row r="433" spans="1:208" s="11" customFormat="1">
      <c r="A433" s="780"/>
      <c r="B433" s="3771"/>
      <c r="C433" s="942"/>
      <c r="D433" s="1968"/>
      <c r="E433" s="2412">
        <f t="shared" ref="E433:J433" si="45">SUM(E394:E432)</f>
        <v>-32174069.419999991</v>
      </c>
      <c r="F433" s="2412">
        <f t="shared" si="45"/>
        <v>-12844.785416020302</v>
      </c>
      <c r="G433" s="2412">
        <f t="shared" si="45"/>
        <v>0</v>
      </c>
      <c r="H433" s="2412">
        <f t="shared" si="45"/>
        <v>0</v>
      </c>
      <c r="I433" s="2412">
        <f t="shared" si="45"/>
        <v>0</v>
      </c>
      <c r="J433" s="2412">
        <f t="shared" si="45"/>
        <v>-32186914.205416013</v>
      </c>
      <c r="K433" s="209"/>
      <c r="L433" s="434"/>
      <c r="M433" s="863"/>
      <c r="N433" s="772"/>
      <c r="O433" s="772"/>
      <c r="P433" s="772"/>
      <c r="Q433" s="772"/>
      <c r="R433" s="772"/>
      <c r="S433" s="772"/>
      <c r="T433" s="773"/>
      <c r="V433" s="273"/>
      <c r="W433" s="273"/>
      <c r="X433" s="273"/>
      <c r="Y433" s="273"/>
      <c r="Z433" s="273"/>
      <c r="AA433" s="273"/>
      <c r="AB433" s="273"/>
      <c r="AC433" s="273"/>
      <c r="AD433" s="273"/>
      <c r="AE433" s="273"/>
      <c r="AF433" s="273"/>
      <c r="AG433" s="273"/>
      <c r="AH433" s="273"/>
      <c r="AI433" s="273"/>
      <c r="AJ433" s="273"/>
      <c r="AK433" s="273"/>
      <c r="AL433" s="273"/>
      <c r="AM433" s="273"/>
      <c r="AN433" s="273"/>
      <c r="AO433" s="273"/>
      <c r="AP433" s="273"/>
      <c r="AQ433" s="273"/>
      <c r="AR433" s="273"/>
      <c r="AS433" s="273"/>
      <c r="AT433" s="273"/>
      <c r="AU433" s="273"/>
      <c r="AV433" s="273"/>
      <c r="AW433" s="2511"/>
      <c r="AX433" s="799"/>
      <c r="AY433" s="799"/>
      <c r="AZ433" s="799"/>
      <c r="BA433" s="209"/>
      <c r="BB433" s="209"/>
      <c r="BC433" s="2511"/>
      <c r="BD433" s="2511"/>
      <c r="BE433" s="2511"/>
      <c r="BF433" s="2511"/>
      <c r="BH433" s="2511"/>
      <c r="BI433" s="209"/>
      <c r="BJ433" s="209"/>
      <c r="BK433" s="209"/>
      <c r="BL433" s="209"/>
      <c r="BM433" s="209"/>
      <c r="BN433" s="860"/>
      <c r="BO433" s="209"/>
      <c r="BP433" s="209"/>
      <c r="BQ433" s="209"/>
      <c r="BR433" s="209"/>
      <c r="BS433" s="209"/>
      <c r="BT433" s="209"/>
      <c r="BU433" s="820"/>
      <c r="BV433" s="209"/>
      <c r="BW433" s="209"/>
      <c r="BX433" s="799"/>
      <c r="DB433" s="773"/>
      <c r="DC433" s="773"/>
      <c r="DD433" s="773"/>
      <c r="DE433" s="773"/>
      <c r="DF433" s="773"/>
      <c r="DG433" s="773"/>
      <c r="DH433" s="773"/>
      <c r="DI433" s="773"/>
      <c r="DJ433" s="773"/>
      <c r="DK433" s="773"/>
      <c r="DL433" s="773"/>
      <c r="DM433" s="773"/>
      <c r="DN433" s="773"/>
      <c r="DO433" s="773"/>
      <c r="DP433" s="773"/>
      <c r="DQ433" s="773"/>
      <c r="DR433" s="773"/>
      <c r="DS433" s="773"/>
      <c r="DT433" s="773"/>
      <c r="DU433" s="773"/>
      <c r="DV433" s="773"/>
      <c r="DW433" s="773"/>
      <c r="DX433" s="773"/>
      <c r="DY433" s="773"/>
      <c r="DZ433" s="773"/>
      <c r="EA433" s="773"/>
      <c r="EB433" s="773"/>
      <c r="EC433" s="773"/>
      <c r="ED433" s="773"/>
      <c r="EE433" s="773"/>
      <c r="EF433" s="773"/>
      <c r="EG433" s="773"/>
      <c r="EH433" s="773"/>
      <c r="EI433" s="773"/>
      <c r="EJ433" s="773"/>
      <c r="EK433" s="773"/>
      <c r="EL433" s="773"/>
      <c r="EM433" s="773"/>
      <c r="EN433" s="773"/>
      <c r="EO433" s="773"/>
      <c r="EP433" s="773"/>
      <c r="EQ433" s="773"/>
      <c r="ER433" s="773"/>
      <c r="ES433" s="773"/>
      <c r="ET433" s="773"/>
      <c r="EU433" s="773"/>
      <c r="EV433" s="773"/>
      <c r="EW433" s="773"/>
      <c r="EX433" s="773"/>
      <c r="EY433" s="773"/>
      <c r="EZ433" s="773"/>
      <c r="FA433" s="773"/>
      <c r="FB433" s="773"/>
      <c r="FC433" s="773"/>
      <c r="FD433" s="773"/>
      <c r="FE433" s="773"/>
      <c r="FF433" s="773"/>
      <c r="FG433" s="773"/>
      <c r="FH433" s="773"/>
      <c r="FI433" s="773"/>
      <c r="FJ433" s="773"/>
      <c r="FK433" s="773"/>
      <c r="FL433" s="773"/>
      <c r="FM433" s="773"/>
      <c r="FN433" s="773"/>
      <c r="FO433" s="773"/>
      <c r="FP433" s="773"/>
      <c r="FQ433" s="773"/>
      <c r="FR433" s="773"/>
      <c r="FS433" s="773"/>
      <c r="FT433" s="773"/>
      <c r="FU433" s="773"/>
      <c r="FV433" s="773"/>
      <c r="FW433" s="773"/>
      <c r="FX433" s="773"/>
      <c r="FY433" s="773"/>
      <c r="FZ433" s="773"/>
      <c r="GA433" s="773"/>
      <c r="GB433" s="773"/>
      <c r="GC433" s="773"/>
      <c r="GD433" s="773"/>
      <c r="GE433" s="773"/>
      <c r="GF433" s="773"/>
      <c r="GG433" s="773"/>
      <c r="GH433" s="773"/>
      <c r="GI433" s="773"/>
      <c r="GJ433" s="773"/>
      <c r="GK433" s="773"/>
      <c r="GL433" s="773"/>
      <c r="GM433" s="773"/>
      <c r="GN433" s="773"/>
      <c r="GO433" s="773"/>
      <c r="GP433" s="773"/>
      <c r="GQ433" s="773"/>
      <c r="GR433" s="773"/>
      <c r="GS433" s="773"/>
      <c r="GT433" s="773"/>
      <c r="GU433" s="773"/>
      <c r="GV433" s="773"/>
      <c r="GW433" s="773"/>
      <c r="GX433" s="773"/>
      <c r="GY433" s="773"/>
      <c r="GZ433" s="773"/>
    </row>
    <row r="434" spans="1:208" s="11" customFormat="1">
      <c r="A434" s="780"/>
      <c r="B434" s="3771"/>
      <c r="C434" s="781"/>
      <c r="D434" s="174"/>
      <c r="E434" s="798"/>
      <c r="F434" s="108"/>
      <c r="G434" s="108"/>
      <c r="H434" s="108"/>
      <c r="I434" s="108"/>
      <c r="J434" s="798"/>
      <c r="K434" s="209"/>
      <c r="L434" s="434"/>
      <c r="M434" s="863"/>
      <c r="N434" s="772"/>
      <c r="O434" s="772"/>
      <c r="P434" s="772"/>
      <c r="Q434" s="772"/>
      <c r="R434" s="772"/>
      <c r="S434" s="772"/>
      <c r="T434" s="773"/>
      <c r="U434" s="867"/>
      <c r="V434" s="209"/>
      <c r="W434" s="209"/>
      <c r="X434" s="209"/>
      <c r="Y434" s="209"/>
      <c r="Z434" s="209"/>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511"/>
      <c r="AX434" s="209"/>
      <c r="AY434" s="209"/>
      <c r="AZ434" s="209"/>
      <c r="BA434" s="209"/>
      <c r="BB434" s="209"/>
      <c r="BC434" s="2511"/>
      <c r="BD434" s="2511"/>
      <c r="BE434" s="2511"/>
      <c r="BF434" s="2511"/>
      <c r="BH434" s="2511"/>
      <c r="BI434" s="209"/>
      <c r="BJ434" s="209"/>
      <c r="BK434" s="209"/>
      <c r="BL434" s="209"/>
      <c r="BM434" s="209"/>
      <c r="BN434" s="866"/>
      <c r="BO434" s="209"/>
      <c r="BP434" s="209"/>
      <c r="BQ434" s="209"/>
      <c r="BR434" s="209"/>
      <c r="BS434" s="209"/>
      <c r="BT434" s="209"/>
      <c r="BU434" s="820"/>
      <c r="BV434" s="209"/>
      <c r="BW434" s="209"/>
      <c r="BX434" s="799"/>
      <c r="DB434" s="773"/>
      <c r="DC434" s="773"/>
      <c r="DD434" s="773"/>
      <c r="DE434" s="773"/>
      <c r="DF434" s="773"/>
      <c r="DG434" s="773"/>
      <c r="DH434" s="773"/>
      <c r="DI434" s="773"/>
      <c r="DJ434" s="773"/>
      <c r="DK434" s="773"/>
      <c r="DL434" s="773"/>
      <c r="DM434" s="773"/>
      <c r="DN434" s="773"/>
      <c r="DO434" s="773"/>
      <c r="DP434" s="773"/>
      <c r="DQ434" s="773"/>
      <c r="DR434" s="773"/>
      <c r="DS434" s="773"/>
      <c r="DT434" s="773"/>
      <c r="DU434" s="773"/>
      <c r="DV434" s="773"/>
      <c r="DW434" s="773"/>
      <c r="DX434" s="773"/>
      <c r="DY434" s="773"/>
      <c r="DZ434" s="773"/>
      <c r="EA434" s="773"/>
      <c r="EB434" s="773"/>
      <c r="EC434" s="773"/>
      <c r="ED434" s="773"/>
      <c r="EE434" s="773"/>
      <c r="EF434" s="773"/>
      <c r="EG434" s="773"/>
      <c r="EH434" s="773"/>
      <c r="EI434" s="773"/>
      <c r="EJ434" s="773"/>
      <c r="EK434" s="773"/>
      <c r="EL434" s="773"/>
      <c r="EM434" s="773"/>
      <c r="EN434" s="773"/>
      <c r="EO434" s="773"/>
      <c r="EP434" s="773"/>
      <c r="EQ434" s="773"/>
      <c r="ER434" s="773"/>
      <c r="ES434" s="773"/>
      <c r="ET434" s="773"/>
      <c r="EU434" s="773"/>
      <c r="EV434" s="773"/>
      <c r="EW434" s="773"/>
      <c r="EX434" s="773"/>
      <c r="EY434" s="773"/>
      <c r="EZ434" s="773"/>
      <c r="FA434" s="773"/>
      <c r="FB434" s="773"/>
      <c r="FC434" s="773"/>
      <c r="FD434" s="773"/>
      <c r="FE434" s="773"/>
      <c r="FF434" s="773"/>
      <c r="FG434" s="773"/>
      <c r="FH434" s="773"/>
      <c r="FI434" s="773"/>
      <c r="FJ434" s="773"/>
      <c r="FK434" s="773"/>
      <c r="FL434" s="773"/>
      <c r="FM434" s="773"/>
      <c r="FN434" s="773"/>
      <c r="FO434" s="773"/>
      <c r="FP434" s="773"/>
      <c r="FQ434" s="773"/>
      <c r="FR434" s="773"/>
      <c r="FS434" s="773"/>
      <c r="FT434" s="773"/>
      <c r="FU434" s="773"/>
      <c r="FV434" s="773"/>
      <c r="FW434" s="773"/>
      <c r="FX434" s="773"/>
      <c r="FY434" s="773"/>
      <c r="FZ434" s="773"/>
      <c r="GA434" s="773"/>
      <c r="GB434" s="773"/>
      <c r="GC434" s="773"/>
      <c r="GD434" s="773"/>
      <c r="GE434" s="773"/>
      <c r="GF434" s="773"/>
      <c r="GG434" s="773"/>
      <c r="GH434" s="773"/>
      <c r="GI434" s="773"/>
      <c r="GJ434" s="773"/>
      <c r="GK434" s="773"/>
      <c r="GL434" s="773"/>
      <c r="GM434" s="773"/>
      <c r="GN434" s="773"/>
      <c r="GO434" s="773"/>
      <c r="GP434" s="773"/>
      <c r="GQ434" s="773"/>
      <c r="GR434" s="773"/>
      <c r="GS434" s="773"/>
      <c r="GT434" s="773"/>
      <c r="GU434" s="773"/>
      <c r="GV434" s="773"/>
      <c r="GW434" s="773"/>
      <c r="GX434" s="773"/>
      <c r="GY434" s="773"/>
      <c r="GZ434" s="773"/>
    </row>
    <row r="435" spans="1:208" s="11" customFormat="1">
      <c r="A435" s="780"/>
      <c r="B435" s="3771"/>
      <c r="C435" s="942"/>
      <c r="D435" s="1968" t="s">
        <v>79</v>
      </c>
      <c r="E435" s="2412">
        <f t="shared" ref="E435:J435" si="46">E433+E392+E346+E343</f>
        <v>-33947146.879999995</v>
      </c>
      <c r="F435" s="2412">
        <f t="shared" si="46"/>
        <v>-12844.785416020302</v>
      </c>
      <c r="G435" s="2412">
        <f t="shared" si="46"/>
        <v>0</v>
      </c>
      <c r="H435" s="2412">
        <f t="shared" si="46"/>
        <v>0</v>
      </c>
      <c r="I435" s="2412">
        <f t="shared" si="46"/>
        <v>0</v>
      </c>
      <c r="J435" s="2412">
        <f t="shared" si="46"/>
        <v>-33959991.665416017</v>
      </c>
      <c r="K435" s="209"/>
      <c r="L435" s="434"/>
      <c r="M435" s="863"/>
      <c r="N435" s="772"/>
      <c r="O435" s="772"/>
      <c r="P435" s="772"/>
      <c r="Q435" s="772"/>
      <c r="R435" s="772"/>
      <c r="S435" s="772"/>
      <c r="T435" s="773"/>
      <c r="U435" s="867"/>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2511"/>
      <c r="AX435" s="799"/>
      <c r="AY435" s="799"/>
      <c r="AZ435" s="799"/>
      <c r="BA435" s="209"/>
      <c r="BB435" s="209"/>
      <c r="BC435" s="2511"/>
      <c r="BD435" s="2511"/>
      <c r="BE435" s="2511"/>
      <c r="BF435" s="2511"/>
      <c r="BH435" s="2511"/>
      <c r="BI435" s="209"/>
      <c r="BJ435" s="209"/>
      <c r="BK435" s="209"/>
      <c r="BL435" s="209"/>
      <c r="BM435" s="209"/>
      <c r="BN435" s="865"/>
      <c r="BO435" s="209"/>
      <c r="BP435" s="209"/>
      <c r="BQ435" s="209"/>
      <c r="BR435" s="209"/>
      <c r="BS435" s="209"/>
      <c r="BT435" s="209"/>
      <c r="BU435" s="820"/>
      <c r="BV435" s="209"/>
      <c r="BW435" s="209"/>
      <c r="BX435" s="799"/>
      <c r="DB435" s="773"/>
      <c r="DC435" s="773"/>
      <c r="DD435" s="773"/>
      <c r="DE435" s="773"/>
      <c r="DF435" s="773"/>
      <c r="DG435" s="773"/>
      <c r="DH435" s="773"/>
      <c r="DI435" s="773"/>
      <c r="DJ435" s="773"/>
      <c r="DK435" s="773"/>
      <c r="DL435" s="773"/>
      <c r="DM435" s="773"/>
      <c r="DN435" s="773"/>
      <c r="DO435" s="773"/>
      <c r="DP435" s="773"/>
      <c r="DQ435" s="773"/>
      <c r="DR435" s="773"/>
      <c r="DS435" s="773"/>
      <c r="DT435" s="773"/>
      <c r="DU435" s="773"/>
      <c r="DV435" s="773"/>
      <c r="DW435" s="773"/>
      <c r="DX435" s="773"/>
      <c r="DY435" s="773"/>
      <c r="DZ435" s="773"/>
      <c r="EA435" s="773"/>
      <c r="EB435" s="773"/>
      <c r="EC435" s="773"/>
      <c r="ED435" s="773"/>
      <c r="EE435" s="773"/>
      <c r="EF435" s="773"/>
      <c r="EG435" s="773"/>
      <c r="EH435" s="773"/>
      <c r="EI435" s="773"/>
      <c r="EJ435" s="773"/>
      <c r="EK435" s="773"/>
      <c r="EL435" s="773"/>
      <c r="EM435" s="773"/>
      <c r="EN435" s="773"/>
      <c r="EO435" s="773"/>
      <c r="EP435" s="773"/>
      <c r="EQ435" s="773"/>
      <c r="ER435" s="773"/>
      <c r="ES435" s="773"/>
      <c r="ET435" s="773"/>
      <c r="EU435" s="773"/>
      <c r="EV435" s="773"/>
      <c r="EW435" s="773"/>
      <c r="EX435" s="773"/>
      <c r="EY435" s="773"/>
      <c r="EZ435" s="773"/>
      <c r="FA435" s="773"/>
      <c r="FB435" s="773"/>
      <c r="FC435" s="773"/>
      <c r="FD435" s="773"/>
      <c r="FE435" s="773"/>
      <c r="FF435" s="773"/>
      <c r="FG435" s="773"/>
      <c r="FH435" s="773"/>
      <c r="FI435" s="773"/>
      <c r="FJ435" s="773"/>
      <c r="FK435" s="773"/>
      <c r="FL435" s="773"/>
      <c r="FM435" s="773"/>
      <c r="FN435" s="773"/>
      <c r="FO435" s="773"/>
      <c r="FP435" s="773"/>
      <c r="FQ435" s="773"/>
      <c r="FR435" s="773"/>
      <c r="FS435" s="773"/>
      <c r="FT435" s="773"/>
      <c r="FU435" s="773"/>
      <c r="FV435" s="773"/>
      <c r="FW435" s="773"/>
      <c r="FX435" s="773"/>
      <c r="FY435" s="773"/>
      <c r="FZ435" s="773"/>
      <c r="GA435" s="773"/>
      <c r="GB435" s="773"/>
      <c r="GC435" s="773"/>
      <c r="GD435" s="773"/>
      <c r="GE435" s="773"/>
      <c r="GF435" s="773"/>
      <c r="GG435" s="773"/>
      <c r="GH435" s="773"/>
      <c r="GI435" s="773"/>
      <c r="GJ435" s="773"/>
      <c r="GK435" s="773"/>
      <c r="GL435" s="773"/>
      <c r="GM435" s="773"/>
      <c r="GN435" s="773"/>
      <c r="GO435" s="773"/>
      <c r="GP435" s="773"/>
      <c r="GQ435" s="773"/>
      <c r="GR435" s="773"/>
      <c r="GS435" s="773"/>
      <c r="GT435" s="773"/>
      <c r="GU435" s="773"/>
      <c r="GV435" s="773"/>
      <c r="GW435" s="773"/>
      <c r="GX435" s="773"/>
      <c r="GY435" s="773"/>
      <c r="GZ435" s="773"/>
    </row>
    <row r="436" spans="1:208" s="11" customFormat="1">
      <c r="A436" s="780"/>
      <c r="B436" s="3771"/>
      <c r="C436" s="781"/>
      <c r="D436" s="167"/>
      <c r="E436" s="896"/>
      <c r="F436" s="896"/>
      <c r="G436" s="896"/>
      <c r="H436" s="896"/>
      <c r="I436" s="896"/>
      <c r="J436" s="798"/>
      <c r="K436" s="209"/>
      <c r="L436" s="434"/>
      <c r="M436" s="863"/>
      <c r="N436" s="772"/>
      <c r="O436" s="772"/>
      <c r="P436" s="772"/>
      <c r="Q436" s="772"/>
      <c r="R436" s="772"/>
      <c r="S436" s="772"/>
      <c r="T436" s="773"/>
      <c r="U436" s="867"/>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2511"/>
      <c r="AX436" s="799"/>
      <c r="AY436" s="799"/>
      <c r="AZ436" s="799"/>
      <c r="BA436" s="209"/>
      <c r="BB436" s="209"/>
      <c r="BC436" s="2511"/>
      <c r="BD436" s="2511"/>
      <c r="BE436" s="2511"/>
      <c r="BF436" s="2511"/>
      <c r="BH436" s="2511"/>
      <c r="BI436" s="209"/>
      <c r="BJ436" s="209"/>
      <c r="BK436" s="209"/>
      <c r="BL436" s="209"/>
      <c r="BM436" s="209"/>
      <c r="BN436" s="865"/>
      <c r="BO436" s="209"/>
      <c r="BP436" s="209"/>
      <c r="BQ436" s="209"/>
      <c r="BR436" s="209"/>
      <c r="BS436" s="209"/>
      <c r="BT436" s="209"/>
      <c r="BU436" s="820"/>
      <c r="BV436" s="209"/>
      <c r="BW436" s="209"/>
      <c r="BX436" s="799"/>
      <c r="DB436" s="773"/>
      <c r="DC436" s="773"/>
      <c r="DD436" s="773"/>
      <c r="DE436" s="773"/>
      <c r="DF436" s="773"/>
      <c r="DG436" s="773"/>
      <c r="DH436" s="773"/>
      <c r="DI436" s="773"/>
      <c r="DJ436" s="773"/>
      <c r="DK436" s="773"/>
      <c r="DL436" s="773"/>
      <c r="DM436" s="773"/>
      <c r="DN436" s="773"/>
      <c r="DO436" s="773"/>
      <c r="DP436" s="773"/>
      <c r="DQ436" s="773"/>
      <c r="DR436" s="773"/>
      <c r="DS436" s="773"/>
      <c r="DT436" s="773"/>
      <c r="DU436" s="773"/>
      <c r="DV436" s="773"/>
      <c r="DW436" s="773"/>
      <c r="DX436" s="773"/>
      <c r="DY436" s="773"/>
      <c r="DZ436" s="773"/>
      <c r="EA436" s="773"/>
      <c r="EB436" s="773"/>
      <c r="EC436" s="773"/>
      <c r="ED436" s="773"/>
      <c r="EE436" s="773"/>
      <c r="EF436" s="773"/>
      <c r="EG436" s="773"/>
      <c r="EH436" s="773"/>
      <c r="EI436" s="773"/>
      <c r="EJ436" s="773"/>
      <c r="EK436" s="773"/>
      <c r="EL436" s="773"/>
      <c r="EM436" s="773"/>
      <c r="EN436" s="773"/>
      <c r="EO436" s="773"/>
      <c r="EP436" s="773"/>
      <c r="EQ436" s="773"/>
      <c r="ER436" s="773"/>
      <c r="ES436" s="773"/>
      <c r="ET436" s="773"/>
      <c r="EU436" s="773"/>
      <c r="EV436" s="773"/>
      <c r="EW436" s="773"/>
      <c r="EX436" s="773"/>
      <c r="EY436" s="773"/>
      <c r="EZ436" s="773"/>
      <c r="FA436" s="773"/>
      <c r="FB436" s="773"/>
      <c r="FC436" s="773"/>
      <c r="FD436" s="773"/>
      <c r="FE436" s="773"/>
      <c r="FF436" s="773"/>
      <c r="FG436" s="773"/>
      <c r="FH436" s="773"/>
      <c r="FI436" s="773"/>
      <c r="FJ436" s="773"/>
      <c r="FK436" s="773"/>
      <c r="FL436" s="773"/>
      <c r="FM436" s="773"/>
      <c r="FN436" s="773"/>
      <c r="FO436" s="773"/>
      <c r="FP436" s="773"/>
      <c r="FQ436" s="773"/>
      <c r="FR436" s="773"/>
      <c r="FS436" s="773"/>
      <c r="FT436" s="773"/>
      <c r="FU436" s="773"/>
      <c r="FV436" s="773"/>
      <c r="FW436" s="773"/>
      <c r="FX436" s="773"/>
      <c r="FY436" s="773"/>
      <c r="FZ436" s="773"/>
      <c r="GA436" s="773"/>
      <c r="GB436" s="773"/>
      <c r="GC436" s="773"/>
      <c r="GD436" s="773"/>
      <c r="GE436" s="773"/>
      <c r="GF436" s="773"/>
      <c r="GG436" s="773"/>
      <c r="GH436" s="773"/>
      <c r="GI436" s="773"/>
      <c r="GJ436" s="773"/>
      <c r="GK436" s="773"/>
      <c r="GL436" s="773"/>
      <c r="GM436" s="773"/>
      <c r="GN436" s="773"/>
      <c r="GO436" s="773"/>
      <c r="GP436" s="773"/>
      <c r="GQ436" s="773"/>
      <c r="GR436" s="773"/>
      <c r="GS436" s="773"/>
      <c r="GT436" s="773"/>
      <c r="GU436" s="773"/>
      <c r="GV436" s="773"/>
      <c r="GW436" s="773"/>
      <c r="GX436" s="773"/>
      <c r="GY436" s="773"/>
      <c r="GZ436" s="773"/>
    </row>
    <row r="437" spans="1:208" s="11" customFormat="1" ht="13.5" thickBot="1">
      <c r="A437" s="780"/>
      <c r="B437" s="3772"/>
      <c r="C437" s="902"/>
      <c r="D437" s="849" t="s">
        <v>81</v>
      </c>
      <c r="E437" s="947"/>
      <c r="F437" s="769"/>
      <c r="G437" s="769"/>
      <c r="H437" s="769"/>
      <c r="I437" s="769"/>
      <c r="J437" s="796"/>
      <c r="K437" s="209"/>
      <c r="L437" s="434"/>
      <c r="M437" s="863"/>
      <c r="N437" s="772"/>
      <c r="O437" s="360" t="s">
        <v>2152</v>
      </c>
      <c r="P437" s="772"/>
      <c r="Q437" s="772"/>
      <c r="R437" s="772"/>
      <c r="S437" s="772"/>
      <c r="T437" s="772"/>
      <c r="AW437" s="2509"/>
      <c r="BA437" s="773"/>
      <c r="BB437" s="773"/>
      <c r="BC437" s="2509"/>
      <c r="BD437" s="2509"/>
      <c r="BE437" s="2509"/>
      <c r="BF437" s="2509"/>
      <c r="BH437" s="2509"/>
      <c r="BI437" s="773"/>
      <c r="BJ437" s="773"/>
      <c r="BK437" s="773"/>
      <c r="BL437" s="773"/>
      <c r="BM437" s="773"/>
      <c r="BN437" s="862"/>
      <c r="BO437" s="799"/>
      <c r="BP437" s="209"/>
      <c r="BQ437" s="209"/>
      <c r="BR437" s="209"/>
      <c r="BS437" s="209"/>
      <c r="BT437" s="209"/>
      <c r="BU437" s="209"/>
      <c r="BV437" s="209"/>
      <c r="BW437" s="209"/>
      <c r="BX437" s="820"/>
    </row>
    <row r="438" spans="1:208" s="11" customFormat="1" ht="13.5" thickBot="1">
      <c r="A438" s="780"/>
      <c r="B438" s="3786" t="s">
        <v>822</v>
      </c>
      <c r="C438" s="197">
        <v>3000001</v>
      </c>
      <c r="D438" s="199" t="s">
        <v>823</v>
      </c>
      <c r="E438" s="42">
        <f>IFERROR(VLOOKUP(C438,'AJE 12 - INC'!$D$168:$F$771,3,0),0)</f>
        <v>-2722.04</v>
      </c>
      <c r="F438" s="108">
        <f>SUMIF('AJE 12 - INC'!B:B,'New TB INC'!C438,'AJE 12 - INC'!D:D)</f>
        <v>0</v>
      </c>
      <c r="G438" s="108"/>
      <c r="H438" s="108"/>
      <c r="I438" s="108"/>
      <c r="J438" s="798">
        <f t="shared" ref="J438:J448" si="47">SUM(E438:I438)</f>
        <v>-2722.04</v>
      </c>
      <c r="K438" s="956">
        <f>+'Employee Stock Option Exercised'!B71*'Employee Stock Option Exercised'!$B$70+J438</f>
        <v>2.5399999999990541E-2</v>
      </c>
      <c r="L438" s="449"/>
      <c r="M438" s="854"/>
      <c r="N438" s="773"/>
      <c r="O438" s="798">
        <v>-2605.5</v>
      </c>
      <c r="P438" s="867">
        <f t="shared" ref="P438:P445" si="48">O438-J438</f>
        <v>116.53999999999996</v>
      </c>
      <c r="Q438" s="772"/>
      <c r="S438" s="867"/>
      <c r="T438" s="867"/>
      <c r="U438" s="772"/>
      <c r="AW438" s="2509"/>
      <c r="BA438" s="773"/>
      <c r="BB438" s="773"/>
      <c r="BC438" s="2509"/>
      <c r="BD438" s="2509"/>
      <c r="BE438" s="2509"/>
      <c r="BF438" s="2509"/>
      <c r="BH438" s="2509"/>
      <c r="BI438" s="773"/>
      <c r="BJ438" s="773"/>
      <c r="BK438" s="773"/>
      <c r="BL438" s="773"/>
      <c r="BM438" s="773"/>
      <c r="BN438" s="862"/>
      <c r="BO438" s="799"/>
      <c r="BP438" s="209"/>
      <c r="BQ438" s="209"/>
      <c r="BR438" s="209"/>
      <c r="BS438" s="209"/>
      <c r="BT438" s="209"/>
      <c r="BU438" s="209"/>
      <c r="BV438" s="209"/>
      <c r="BW438" s="209"/>
      <c r="BX438" s="820"/>
    </row>
    <row r="439" spans="1:208" s="11" customFormat="1" ht="13.5" thickBot="1">
      <c r="A439" s="780"/>
      <c r="B439" s="3786" t="s">
        <v>822</v>
      </c>
      <c r="C439" s="197">
        <v>3000002</v>
      </c>
      <c r="D439" s="199" t="s">
        <v>824</v>
      </c>
      <c r="E439" s="42">
        <f>IFERROR(VLOOKUP(C439,'AJE 12 - INC'!$D$168:$F$771,3,0),0)</f>
        <v>-796.91</v>
      </c>
      <c r="F439" s="108">
        <f>SUMIF('AJE 12 - INC'!B:B,'New TB INC'!C439,'AJE 12 - INC'!D:D)</f>
        <v>0</v>
      </c>
      <c r="G439" s="108"/>
      <c r="H439" s="108"/>
      <c r="I439" s="108"/>
      <c r="J439" s="2169">
        <f t="shared" si="47"/>
        <v>-796.91</v>
      </c>
      <c r="K439" s="956">
        <f>+'Employee Stock Option Exercised'!$B$57*'Employee Stock Option Exercised'!$B$70+J439</f>
        <v>2.200000000016189E-3</v>
      </c>
      <c r="L439" s="434"/>
      <c r="M439" s="803"/>
      <c r="N439" s="773"/>
      <c r="O439" s="812">
        <v>-796.91</v>
      </c>
      <c r="P439" s="867">
        <f t="shared" si="48"/>
        <v>0</v>
      </c>
      <c r="Q439" s="772"/>
      <c r="S439" s="867"/>
      <c r="T439" s="867"/>
      <c r="U439" s="867"/>
      <c r="AW439" s="2509"/>
      <c r="BA439" s="773"/>
      <c r="BB439" s="773"/>
      <c r="BC439" s="2509"/>
      <c r="BD439" s="2509"/>
      <c r="BE439" s="2509"/>
      <c r="BF439" s="2509"/>
      <c r="BH439" s="2509"/>
      <c r="BI439" s="773"/>
      <c r="BJ439" s="773"/>
      <c r="BK439" s="773"/>
      <c r="BL439" s="773"/>
      <c r="BM439" s="773"/>
      <c r="BN439" s="862"/>
      <c r="BO439" s="799"/>
      <c r="BP439" s="209"/>
      <c r="BQ439" s="209"/>
      <c r="BR439" s="209"/>
      <c r="BS439" s="209"/>
      <c r="BT439" s="209"/>
      <c r="BU439" s="209"/>
      <c r="BV439" s="209"/>
      <c r="BW439" s="209"/>
      <c r="BX439" s="820"/>
    </row>
    <row r="440" spans="1:208" s="11" customFormat="1">
      <c r="A440" s="780"/>
      <c r="B440" s="3786" t="s">
        <v>825</v>
      </c>
      <c r="C440" s="197">
        <v>3010001</v>
      </c>
      <c r="D440" s="199" t="s">
        <v>269</v>
      </c>
      <c r="E440" s="42">
        <f>IFERROR(VLOOKUP(C440,'AJE 12 - INC'!$D$168:$F$771,3,0),0)</f>
        <v>-36403827.740000002</v>
      </c>
      <c r="F440" s="108">
        <f>SUMIF('AJE 12 - INC'!B:B,'New TB INC'!C440,'AJE 12 - INC'!D:D)</f>
        <v>0</v>
      </c>
      <c r="G440" s="108"/>
      <c r="H440" s="108"/>
      <c r="I440" s="108"/>
      <c r="J440" s="812">
        <f t="shared" si="47"/>
        <v>-36403827.740000002</v>
      </c>
      <c r="K440" s="209"/>
      <c r="L440" s="434"/>
      <c r="M440" s="854"/>
      <c r="N440" s="773"/>
      <c r="O440" s="869">
        <v>-36403827.740000002</v>
      </c>
      <c r="P440" s="867">
        <f t="shared" si="48"/>
        <v>0</v>
      </c>
      <c r="Q440" s="772"/>
      <c r="S440" s="867"/>
      <c r="T440" s="867"/>
      <c r="U440" s="867"/>
      <c r="AW440" s="2509"/>
      <c r="BA440" s="773"/>
      <c r="BB440" s="773"/>
      <c r="BC440" s="2509"/>
      <c r="BD440" s="2509"/>
      <c r="BE440" s="2509"/>
      <c r="BF440" s="2509"/>
      <c r="BH440" s="2509"/>
      <c r="BI440" s="773"/>
      <c r="BJ440" s="773"/>
      <c r="BK440" s="773"/>
      <c r="BL440" s="773"/>
      <c r="BM440" s="773"/>
      <c r="BN440" s="862"/>
      <c r="BO440" s="859"/>
      <c r="BP440" s="859"/>
      <c r="BQ440" s="209"/>
      <c r="BR440" s="209"/>
      <c r="BS440" s="209"/>
      <c r="BT440" s="209"/>
      <c r="BU440" s="209"/>
      <c r="BV440" s="209"/>
      <c r="BW440" s="209"/>
      <c r="BX440" s="820"/>
    </row>
    <row r="441" spans="1:208" s="11" customFormat="1">
      <c r="A441" s="780"/>
      <c r="B441" s="3786" t="s">
        <v>825</v>
      </c>
      <c r="C441" s="197">
        <v>3010081</v>
      </c>
      <c r="D441" s="199" t="s">
        <v>1618</v>
      </c>
      <c r="E441" s="42">
        <f>IFERROR(VLOOKUP(C441,'AJE 12 - INC'!$D$168:$F$771,3,0),0)</f>
        <v>35707980</v>
      </c>
      <c r="F441" s="108">
        <f>SUMIF('AJE 12 - INC'!B:B,'New TB INC'!C441,'AJE 12 - INC'!D:D)</f>
        <v>0</v>
      </c>
      <c r="G441" s="108"/>
      <c r="H441" s="108"/>
      <c r="I441" s="108"/>
      <c r="J441" s="812">
        <f t="shared" si="47"/>
        <v>35707980</v>
      </c>
      <c r="K441" s="209"/>
      <c r="L441" s="434"/>
      <c r="M441" s="854" t="s">
        <v>1621</v>
      </c>
      <c r="N441" s="773"/>
      <c r="O441" s="869">
        <v>35707980</v>
      </c>
      <c r="P441" s="867">
        <f t="shared" si="48"/>
        <v>0</v>
      </c>
      <c r="Q441" s="772"/>
      <c r="S441" s="867"/>
      <c r="T441" s="867"/>
      <c r="U441" s="867"/>
      <c r="AW441" s="2509"/>
      <c r="BA441" s="773"/>
      <c r="BB441" s="773"/>
      <c r="BC441" s="2509"/>
      <c r="BD441" s="2509"/>
      <c r="BE441" s="2509"/>
      <c r="BF441" s="2509"/>
      <c r="BH441" s="2509"/>
      <c r="BI441" s="773"/>
      <c r="BJ441" s="773"/>
      <c r="BK441" s="773"/>
      <c r="BL441" s="773"/>
      <c r="BM441" s="773"/>
      <c r="BN441" s="862"/>
      <c r="BO441" s="859"/>
      <c r="BP441" s="859"/>
      <c r="BQ441" s="209"/>
      <c r="BR441" s="209"/>
      <c r="BS441" s="209"/>
      <c r="BT441" s="209"/>
      <c r="BU441" s="209"/>
      <c r="BV441" s="209"/>
      <c r="BW441" s="209"/>
      <c r="BX441" s="820"/>
    </row>
    <row r="442" spans="1:208" s="11" customFormat="1">
      <c r="A442" s="780"/>
      <c r="B442" s="3786" t="s">
        <v>825</v>
      </c>
      <c r="C442" s="197">
        <v>3010091</v>
      </c>
      <c r="D442" s="199" t="s">
        <v>1619</v>
      </c>
      <c r="E442" s="42">
        <f>IFERROR(VLOOKUP(C442,'AJE 12 - INC'!$D$168:$F$771,3,0),0)</f>
        <v>0</v>
      </c>
      <c r="F442" s="108">
        <f>SUMIF('AJE 12 - INC'!B:B,'New TB INC'!C442,'AJE 12 - INC'!D:D)</f>
        <v>0</v>
      </c>
      <c r="G442" s="108"/>
      <c r="H442" s="108"/>
      <c r="I442" s="108"/>
      <c r="J442" s="812">
        <f t="shared" si="47"/>
        <v>0</v>
      </c>
      <c r="K442" s="209"/>
      <c r="L442" s="434"/>
      <c r="M442" s="803" t="s">
        <v>2890</v>
      </c>
      <c r="N442" s="863" t="s">
        <v>1481</v>
      </c>
      <c r="O442" s="869">
        <v>10701585</v>
      </c>
      <c r="P442" s="867">
        <f t="shared" si="48"/>
        <v>10701585</v>
      </c>
      <c r="Q442" s="772"/>
      <c r="S442" s="867"/>
      <c r="T442" s="867"/>
      <c r="U442" s="867"/>
      <c r="AW442" s="2509"/>
      <c r="BA442" s="773"/>
      <c r="BB442" s="773"/>
      <c r="BC442" s="2509"/>
      <c r="BD442" s="2509"/>
      <c r="BE442" s="2509"/>
      <c r="BF442" s="2509"/>
      <c r="BH442" s="2509"/>
      <c r="BI442" s="773"/>
      <c r="BJ442" s="773"/>
      <c r="BK442" s="773"/>
      <c r="BL442" s="773"/>
      <c r="BM442" s="773"/>
      <c r="BN442" s="870"/>
      <c r="BO442" s="859"/>
      <c r="BP442" s="859"/>
      <c r="BQ442" s="209"/>
      <c r="BR442" s="209"/>
      <c r="BS442" s="209"/>
      <c r="BT442" s="209"/>
      <c r="BU442" s="209"/>
      <c r="BV442" s="209"/>
      <c r="BW442" s="209"/>
      <c r="BX442" s="820"/>
    </row>
    <row r="443" spans="1:208" s="11" customFormat="1">
      <c r="A443" s="780"/>
      <c r="B443" s="3786" t="s">
        <v>825</v>
      </c>
      <c r="C443" s="197">
        <v>3010002</v>
      </c>
      <c r="D443" s="199" t="s">
        <v>826</v>
      </c>
      <c r="E443" s="42">
        <f>IFERROR(VLOOKUP(C443,'AJE 12 - INC'!$D$168:$F$771,3,0),0)</f>
        <v>293474</v>
      </c>
      <c r="F443" s="108">
        <f>SUMIF('AJE 12 - INC'!B:B,'New TB INC'!C443,'AJE 12 - INC'!D:D)</f>
        <v>0</v>
      </c>
      <c r="G443" s="108"/>
      <c r="H443" s="108"/>
      <c r="I443" s="108"/>
      <c r="J443" s="812">
        <f t="shared" si="47"/>
        <v>293474</v>
      </c>
      <c r="K443" s="209"/>
      <c r="L443" s="434"/>
      <c r="M443" s="854" t="s">
        <v>1622</v>
      </c>
      <c r="N443" s="773"/>
      <c r="O443" s="869">
        <v>293474</v>
      </c>
      <c r="P443" s="867">
        <f t="shared" si="48"/>
        <v>0</v>
      </c>
      <c r="Q443" s="772"/>
      <c r="S443" s="867"/>
      <c r="T443" s="867"/>
      <c r="U443" s="867"/>
      <c r="AW443" s="2509"/>
      <c r="BA443" s="773"/>
      <c r="BB443" s="773"/>
      <c r="BC443" s="2509"/>
      <c r="BD443" s="2509"/>
      <c r="BE443" s="2509"/>
      <c r="BF443" s="2509"/>
      <c r="BH443" s="2509"/>
      <c r="BI443" s="773"/>
      <c r="BJ443" s="773"/>
      <c r="BK443" s="773"/>
      <c r="BL443" s="773"/>
      <c r="BM443" s="773"/>
      <c r="BN443" s="862"/>
      <c r="BO443" s="871"/>
      <c r="BP443" s="859"/>
      <c r="BQ443" s="209"/>
      <c r="BR443" s="209"/>
      <c r="BS443" s="209"/>
      <c r="BT443" s="209"/>
      <c r="BU443" s="209"/>
      <c r="BV443" s="209"/>
      <c r="BW443" s="209"/>
      <c r="BX443" s="820"/>
    </row>
    <row r="444" spans="1:208" s="11" customFormat="1" ht="13.5" thickBot="1">
      <c r="A444" s="780"/>
      <c r="B444" s="3786" t="s">
        <v>710</v>
      </c>
      <c r="C444" s="197">
        <v>3020002</v>
      </c>
      <c r="D444" s="199" t="s">
        <v>654</v>
      </c>
      <c r="E444" s="42">
        <f>IFERROR(VLOOKUP(C444,'AJE 12 - INC'!$D$168:$F$771,3,0),0)</f>
        <v>-1504467.7</v>
      </c>
      <c r="F444" s="108">
        <f>SUMIF('AJE 12 - INC'!B:B,'New TB INC'!C444,'AJE 12 - INC'!D:D)</f>
        <v>0</v>
      </c>
      <c r="G444" s="108"/>
      <c r="H444" s="108"/>
      <c r="I444" s="108"/>
      <c r="J444" s="2488">
        <f t="shared" si="47"/>
        <v>-1504467.7</v>
      </c>
      <c r="K444" s="209"/>
      <c r="L444" s="434"/>
      <c r="M444" s="2166" t="s">
        <v>2524</v>
      </c>
      <c r="N444" s="773"/>
      <c r="O444" s="872">
        <v>-779697.47</v>
      </c>
      <c r="P444" s="867">
        <f t="shared" si="48"/>
        <v>724770.23</v>
      </c>
      <c r="Q444" s="772"/>
      <c r="S444" s="867"/>
      <c r="T444" s="867"/>
      <c r="U444" s="867"/>
      <c r="AW444" s="2509"/>
      <c r="BA444" s="773"/>
      <c r="BB444" s="773"/>
      <c r="BC444" s="2509"/>
      <c r="BD444" s="2509"/>
      <c r="BE444" s="2509"/>
      <c r="BF444" s="2509"/>
      <c r="BH444" s="2509"/>
      <c r="BI444" s="773"/>
      <c r="BJ444" s="773"/>
      <c r="BK444" s="773"/>
      <c r="BL444" s="773"/>
      <c r="BM444" s="773"/>
      <c r="BN444" s="862"/>
      <c r="BO444" s="859"/>
      <c r="BP444" s="859"/>
      <c r="BQ444" s="209"/>
      <c r="BR444" s="209"/>
      <c r="BS444" s="209"/>
      <c r="BT444" s="209"/>
      <c r="BU444" s="209"/>
      <c r="BV444" s="209"/>
      <c r="BW444" s="209"/>
      <c r="BX444" s="820"/>
    </row>
    <row r="445" spans="1:208" s="11" customFormat="1" ht="13.5" thickBot="1">
      <c r="A445" s="780"/>
      <c r="B445" s="3786" t="s">
        <v>710</v>
      </c>
      <c r="C445" s="197">
        <v>3020003</v>
      </c>
      <c r="D445" s="199" t="s">
        <v>827</v>
      </c>
      <c r="E445" s="42">
        <f>IFERROR(VLOOKUP(C445,'AJE 12 - INC'!$D$168:$F$771,3,0),0)</f>
        <v>-11488367.98</v>
      </c>
      <c r="F445" s="108">
        <f>SUMIF('AJE 12 - INC'!B:B,'New TB INC'!C445,'AJE 12 - INC'!D:D)</f>
        <v>0</v>
      </c>
      <c r="G445" s="108"/>
      <c r="H445" s="108"/>
      <c r="I445" s="108"/>
      <c r="J445" s="2488">
        <f t="shared" si="47"/>
        <v>-11488367.98</v>
      </c>
      <c r="K445" s="956">
        <f>'[150]New TB INC'!$J$411-'[151]Department &amp; Entity (2)'!$H$14-J445+'[151]Department &amp; Entity (2)'!$C$14-SUM('[152]Department &amp; Entity'!$D$19:$G$19,'[152]Department &amp; Entity'!$B$19)</f>
        <v>-1.048599963542074E-2</v>
      </c>
      <c r="L445" s="449"/>
      <c r="M445" s="803"/>
      <c r="N445" s="773"/>
      <c r="O445" s="833">
        <v>-7327514.7599999998</v>
      </c>
      <c r="P445" s="868">
        <f t="shared" si="48"/>
        <v>4160853.2200000007</v>
      </c>
      <c r="Q445" s="772"/>
      <c r="S445" s="867"/>
      <c r="T445" s="867"/>
      <c r="U445" s="867"/>
      <c r="AW445" s="2509"/>
      <c r="BA445" s="773"/>
      <c r="BB445" s="773"/>
      <c r="BC445" s="2509"/>
      <c r="BD445" s="2509"/>
      <c r="BE445" s="2509"/>
      <c r="BF445" s="2509"/>
      <c r="BH445" s="2509"/>
      <c r="BI445" s="773"/>
      <c r="BJ445" s="773"/>
      <c r="BK445" s="773"/>
      <c r="BL445" s="773"/>
      <c r="BM445" s="773"/>
      <c r="BN445" s="873"/>
      <c r="BO445" s="799"/>
      <c r="BP445" s="859"/>
      <c r="BQ445" s="209"/>
      <c r="BR445" s="209"/>
      <c r="BS445" s="209"/>
      <c r="BT445" s="209"/>
      <c r="BU445" s="209"/>
      <c r="BV445" s="209"/>
      <c r="BW445" s="209"/>
      <c r="BX445" s="820"/>
    </row>
    <row r="446" spans="1:208" s="11" customFormat="1" ht="13.5" thickBot="1">
      <c r="A446" s="780"/>
      <c r="B446" s="3786" t="s">
        <v>2363</v>
      </c>
      <c r="C446" s="197">
        <v>3030098</v>
      </c>
      <c r="D446" s="199" t="s">
        <v>3200</v>
      </c>
      <c r="E446" s="42">
        <f>IFERROR(VLOOKUP(C446,'AJE 12 - INC'!$D$168:$F$771,3,0),0)</f>
        <v>10905008</v>
      </c>
      <c r="F446" s="108">
        <f>SUMIF('AJE 12 - INC'!B:B,'New TB INC'!C446,'AJE 12 - INC'!D:D)</f>
        <v>0</v>
      </c>
      <c r="G446" s="108"/>
      <c r="H446" s="108"/>
      <c r="I446" s="108"/>
      <c r="J446" s="2487">
        <f t="shared" si="47"/>
        <v>10905008</v>
      </c>
      <c r="K446" s="956">
        <f>'[123]3M Payment'!$B$17-J446</f>
        <v>0</v>
      </c>
      <c r="L446" s="449"/>
      <c r="M446" s="803"/>
      <c r="N446" s="773"/>
      <c r="O446" s="833"/>
      <c r="P446" s="868"/>
      <c r="Q446" s="772"/>
      <c r="S446" s="867"/>
      <c r="T446" s="867"/>
      <c r="U446" s="867"/>
      <c r="AW446" s="2509"/>
      <c r="BA446" s="773"/>
      <c r="BB446" s="773"/>
      <c r="BC446" s="2509"/>
      <c r="BD446" s="2509"/>
      <c r="BE446" s="2509"/>
      <c r="BF446" s="2509"/>
      <c r="BH446" s="2509"/>
      <c r="BI446" s="773"/>
      <c r="BJ446" s="773"/>
      <c r="BK446" s="773"/>
      <c r="BL446" s="773"/>
      <c r="BM446" s="773"/>
      <c r="BN446" s="873"/>
      <c r="BO446" s="799"/>
      <c r="BP446" s="859"/>
      <c r="BQ446" s="209"/>
      <c r="BR446" s="209"/>
      <c r="BS446" s="209"/>
      <c r="BT446" s="209"/>
      <c r="BU446" s="209"/>
      <c r="BV446" s="209"/>
      <c r="BW446" s="209"/>
      <c r="BX446" s="820"/>
    </row>
    <row r="447" spans="1:208" s="11" customFormat="1" ht="13.5" thickBot="1">
      <c r="A447" s="780"/>
      <c r="B447" s="3786" t="s">
        <v>712</v>
      </c>
      <c r="C447" s="197">
        <v>3030001</v>
      </c>
      <c r="D447" s="199" t="s">
        <v>513</v>
      </c>
      <c r="E447" s="42">
        <f>IFERROR(VLOOKUP(C447,'AJE 12 - INC'!$D$168:$F$771,3,0),0)</f>
        <v>-1559754.17</v>
      </c>
      <c r="F447" s="108">
        <f>SUMIF('AJE 12 - INC'!B:B,'New TB INC'!C447,'AJE 12 - INC'!D:D)</f>
        <v>0</v>
      </c>
      <c r="G447" s="108"/>
      <c r="H447" s="108"/>
      <c r="I447" s="108"/>
      <c r="J447" s="2487">
        <f t="shared" si="47"/>
        <v>-1559754.17</v>
      </c>
      <c r="K447" s="956">
        <f>J447+[19]Consolidation!$D$77-'[19]New TB INC'!$J$394</f>
        <v>-1.5599653124809265E-8</v>
      </c>
      <c r="L447" s="449"/>
      <c r="M447" s="803"/>
      <c r="N447" s="773"/>
      <c r="O447" s="833">
        <v>179606.0659026934</v>
      </c>
      <c r="P447" s="867">
        <f>O447-J447</f>
        <v>1739360.2359026934</v>
      </c>
      <c r="Q447" s="772"/>
      <c r="S447" s="867"/>
      <c r="T447" s="867"/>
      <c r="U447" s="867"/>
      <c r="V447" s="209"/>
      <c r="W447" s="209"/>
      <c r="X447" s="209"/>
      <c r="Y447" s="209"/>
      <c r="Z447" s="209"/>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511"/>
      <c r="AX447" s="209"/>
      <c r="AY447" s="209"/>
      <c r="AZ447" s="209"/>
      <c r="BA447" s="209"/>
      <c r="BB447" s="209"/>
      <c r="BC447" s="2511"/>
      <c r="BD447" s="2511"/>
      <c r="BE447" s="2511"/>
      <c r="BF447" s="2511"/>
      <c r="BH447" s="2511"/>
      <c r="BI447" s="209"/>
      <c r="BJ447" s="209"/>
      <c r="BK447" s="209"/>
      <c r="BL447" s="209"/>
      <c r="BM447" s="209"/>
      <c r="BN447" s="209"/>
      <c r="BO447" s="209"/>
      <c r="BP447" s="859"/>
      <c r="BQ447" s="209"/>
      <c r="BR447" s="209"/>
      <c r="BS447" s="209"/>
      <c r="BT447" s="209"/>
      <c r="BU447" s="209"/>
      <c r="BV447" s="209"/>
      <c r="BW447" s="209"/>
      <c r="BX447" s="820"/>
    </row>
    <row r="448" spans="1:208" s="11" customFormat="1">
      <c r="A448" s="780"/>
      <c r="B448" s="3786" t="s">
        <v>712</v>
      </c>
      <c r="C448" s="197">
        <v>3030099</v>
      </c>
      <c r="D448" s="199" t="s">
        <v>1804</v>
      </c>
      <c r="E448" s="42">
        <f>IFERROR(VLOOKUP(C448,'AJE 12 - INC'!$D$168:$F$771,3,0),0)</f>
        <v>-30037</v>
      </c>
      <c r="F448" s="108">
        <f>SUMIF('AJE 12 - INC'!B:B,'New TB INC'!C448,'AJE 12 - INC'!D:D)</f>
        <v>0</v>
      </c>
      <c r="G448" s="108"/>
      <c r="H448" s="108"/>
      <c r="I448" s="108"/>
      <c r="J448" s="2487">
        <f t="shared" si="47"/>
        <v>-30037</v>
      </c>
      <c r="K448" s="209"/>
      <c r="L448" s="449"/>
      <c r="M448" s="854"/>
      <c r="N448" s="773"/>
      <c r="O448" s="874">
        <v>-30037</v>
      </c>
      <c r="P448" s="867">
        <f>O448-J448</f>
        <v>0</v>
      </c>
      <c r="Q448" s="772"/>
      <c r="S448" s="867"/>
      <c r="T448" s="867"/>
      <c r="U448" s="867"/>
      <c r="V448" s="209"/>
      <c r="W448" s="209"/>
      <c r="X448" s="209"/>
      <c r="Y448" s="209"/>
      <c r="Z448" s="209"/>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511"/>
      <c r="AX448" s="209"/>
      <c r="AY448" s="209"/>
      <c r="AZ448" s="209"/>
      <c r="BA448" s="209"/>
      <c r="BB448" s="209"/>
      <c r="BC448" s="2511"/>
      <c r="BD448" s="2511"/>
      <c r="BE448" s="2511"/>
      <c r="BF448" s="2511"/>
      <c r="BH448" s="2511"/>
      <c r="BI448" s="209"/>
      <c r="BJ448" s="209"/>
      <c r="BK448" s="209"/>
      <c r="BL448" s="209"/>
      <c r="BM448" s="209"/>
      <c r="BN448" s="209"/>
      <c r="BO448" s="209"/>
      <c r="BP448" s="209"/>
      <c r="BQ448" s="209"/>
      <c r="BR448" s="209"/>
      <c r="BS448" s="209"/>
      <c r="BT448" s="209"/>
      <c r="BU448" s="209"/>
      <c r="BV448" s="209"/>
      <c r="BW448" s="209"/>
      <c r="BX448" s="820"/>
    </row>
    <row r="449" spans="1:208" s="11" customFormat="1">
      <c r="A449" s="780"/>
      <c r="B449" s="3771"/>
      <c r="C449" s="157"/>
      <c r="D449" s="167"/>
      <c r="E449" s="809"/>
      <c r="F449" s="769"/>
      <c r="G449" s="769"/>
      <c r="H449" s="769"/>
      <c r="I449" s="769"/>
      <c r="J449" s="796"/>
      <c r="K449" s="209"/>
      <c r="L449" s="434"/>
      <c r="M449" s="803"/>
      <c r="N449" s="772"/>
      <c r="O449" s="772"/>
      <c r="P449" s="772"/>
      <c r="Q449" s="772"/>
      <c r="R449" s="772"/>
      <c r="S449" s="772"/>
      <c r="T449" s="867"/>
      <c r="U449" s="773"/>
      <c r="V449" s="209"/>
      <c r="W449" s="209"/>
      <c r="X449" s="209"/>
      <c r="Y449" s="209"/>
      <c r="Z449" s="209"/>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511"/>
      <c r="AX449" s="209"/>
      <c r="AY449" s="209"/>
      <c r="AZ449" s="209"/>
      <c r="BA449" s="209"/>
      <c r="BB449" s="209"/>
      <c r="BC449" s="2511"/>
      <c r="BD449" s="2511"/>
      <c r="BE449" s="2511"/>
      <c r="BF449" s="2511"/>
      <c r="BH449" s="2511"/>
      <c r="BI449" s="209"/>
      <c r="BJ449" s="209"/>
      <c r="BK449" s="209"/>
      <c r="BL449" s="209"/>
      <c r="BM449" s="209"/>
      <c r="BN449" s="209"/>
      <c r="BO449" s="209"/>
      <c r="BP449" s="209"/>
      <c r="BQ449" s="209"/>
      <c r="BR449" s="209"/>
      <c r="BS449" s="209"/>
      <c r="BT449" s="209"/>
      <c r="BU449" s="209"/>
      <c r="BV449" s="209"/>
      <c r="BW449" s="820"/>
      <c r="BX449" s="209"/>
    </row>
    <row r="450" spans="1:208" s="11" customFormat="1">
      <c r="A450" s="780"/>
      <c r="B450" s="3771"/>
      <c r="C450" s="942"/>
      <c r="D450" s="1967" t="s">
        <v>452</v>
      </c>
      <c r="E450" s="1970">
        <f t="shared" ref="E450:J450" si="49">SUM(E438:E449)</f>
        <v>-4083511.5400000047</v>
      </c>
      <c r="F450" s="1970">
        <f t="shared" si="49"/>
        <v>0</v>
      </c>
      <c r="G450" s="1970">
        <f t="shared" si="49"/>
        <v>0</v>
      </c>
      <c r="H450" s="1970">
        <f t="shared" si="49"/>
        <v>0</v>
      </c>
      <c r="I450" s="1970">
        <f t="shared" si="49"/>
        <v>0</v>
      </c>
      <c r="J450" s="1970">
        <f t="shared" si="49"/>
        <v>-4083511.5400000047</v>
      </c>
      <c r="K450" s="209"/>
      <c r="L450" s="434"/>
      <c r="M450" s="803"/>
      <c r="N450" s="772"/>
      <c r="O450" s="772"/>
      <c r="P450" s="772"/>
      <c r="Q450" s="772"/>
      <c r="R450" s="772"/>
      <c r="S450" s="772"/>
      <c r="T450" s="772"/>
      <c r="V450" s="209"/>
      <c r="W450" s="209"/>
      <c r="X450" s="209"/>
      <c r="Y450" s="209"/>
      <c r="Z450" s="209"/>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511"/>
      <c r="AX450" s="209"/>
      <c r="AY450" s="209"/>
      <c r="AZ450" s="209"/>
      <c r="BA450" s="209"/>
      <c r="BB450" s="209"/>
      <c r="BC450" s="2511"/>
      <c r="BD450" s="2511"/>
      <c r="BE450" s="2511"/>
      <c r="BF450" s="2511"/>
      <c r="BH450" s="2511"/>
      <c r="BI450" s="209"/>
      <c r="BJ450" s="209"/>
      <c r="BK450" s="209"/>
      <c r="BL450" s="209"/>
      <c r="BM450" s="209"/>
      <c r="BN450" s="209"/>
      <c r="BO450" s="209"/>
      <c r="BP450" s="209"/>
      <c r="BQ450" s="209"/>
      <c r="BR450" s="209"/>
      <c r="BS450" s="209"/>
      <c r="BT450" s="209"/>
      <c r="BU450" s="209"/>
      <c r="BV450" s="209"/>
      <c r="BW450" s="209"/>
      <c r="BX450" s="209"/>
      <c r="DB450" s="773"/>
      <c r="DC450" s="773"/>
      <c r="DD450" s="773"/>
      <c r="DE450" s="773"/>
      <c r="DF450" s="773"/>
      <c r="DG450" s="773"/>
      <c r="DH450" s="773"/>
      <c r="DI450" s="773"/>
      <c r="DJ450" s="773"/>
      <c r="DK450" s="773"/>
      <c r="DL450" s="773"/>
      <c r="DM450" s="773"/>
      <c r="DN450" s="773"/>
      <c r="DO450" s="773"/>
      <c r="DP450" s="773"/>
      <c r="DQ450" s="773"/>
      <c r="DR450" s="773"/>
      <c r="DS450" s="773"/>
      <c r="DT450" s="773"/>
      <c r="DU450" s="773"/>
      <c r="DV450" s="773"/>
      <c r="DW450" s="773"/>
      <c r="DX450" s="773"/>
      <c r="DY450" s="773"/>
      <c r="DZ450" s="773"/>
      <c r="EA450" s="773"/>
      <c r="EB450" s="773"/>
      <c r="EC450" s="773"/>
      <c r="ED450" s="773"/>
      <c r="EE450" s="773"/>
      <c r="EF450" s="773"/>
      <c r="EG450" s="773"/>
      <c r="EH450" s="773"/>
      <c r="EI450" s="773"/>
      <c r="EJ450" s="773"/>
      <c r="EK450" s="773"/>
      <c r="EL450" s="773"/>
      <c r="EM450" s="773"/>
      <c r="EN450" s="773"/>
      <c r="EO450" s="773"/>
      <c r="EP450" s="773"/>
      <c r="EQ450" s="773"/>
      <c r="ER450" s="773"/>
      <c r="ES450" s="773"/>
      <c r="ET450" s="773"/>
      <c r="EU450" s="773"/>
      <c r="EV450" s="773"/>
      <c r="EW450" s="773"/>
      <c r="EX450" s="773"/>
      <c r="EY450" s="773"/>
      <c r="EZ450" s="773"/>
      <c r="FA450" s="773"/>
      <c r="FB450" s="773"/>
      <c r="FC450" s="773"/>
      <c r="FD450" s="773"/>
      <c r="FE450" s="773"/>
      <c r="FF450" s="773"/>
      <c r="FG450" s="773"/>
      <c r="FH450" s="773"/>
      <c r="FI450" s="773"/>
      <c r="FJ450" s="773"/>
      <c r="FK450" s="773"/>
      <c r="FL450" s="773"/>
      <c r="FM450" s="773"/>
      <c r="FN450" s="773"/>
      <c r="FO450" s="773"/>
      <c r="FP450" s="773"/>
      <c r="FQ450" s="773"/>
      <c r="FR450" s="773"/>
      <c r="FS450" s="773"/>
      <c r="FT450" s="773"/>
      <c r="FU450" s="773"/>
      <c r="FV450" s="773"/>
      <c r="FW450" s="773"/>
      <c r="FX450" s="773"/>
      <c r="FY450" s="773"/>
      <c r="FZ450" s="773"/>
      <c r="GA450" s="773"/>
      <c r="GB450" s="773"/>
      <c r="GC450" s="773"/>
      <c r="GD450" s="773"/>
      <c r="GE450" s="773"/>
      <c r="GF450" s="773"/>
      <c r="GG450" s="773"/>
      <c r="GH450" s="773"/>
      <c r="GI450" s="773"/>
      <c r="GJ450" s="773"/>
      <c r="GK450" s="773"/>
      <c r="GL450" s="773"/>
      <c r="GM450" s="773"/>
      <c r="GN450" s="773"/>
      <c r="GO450" s="773"/>
      <c r="GP450" s="773"/>
      <c r="GQ450" s="773"/>
      <c r="GR450" s="773"/>
      <c r="GS450" s="773"/>
      <c r="GT450" s="773"/>
      <c r="GU450" s="773"/>
      <c r="GV450" s="773"/>
      <c r="GW450" s="773"/>
      <c r="GX450" s="773"/>
      <c r="GY450" s="773"/>
      <c r="GZ450" s="773"/>
    </row>
    <row r="451" spans="1:208" s="11" customFormat="1">
      <c r="A451" s="780"/>
      <c r="B451" s="3771"/>
      <c r="C451" s="781"/>
      <c r="D451" s="930"/>
      <c r="E451" s="108"/>
      <c r="F451" s="108"/>
      <c r="G451" s="108"/>
      <c r="H451" s="108"/>
      <c r="I451" s="108"/>
      <c r="J451" s="108"/>
      <c r="K451" s="209"/>
      <c r="L451" s="434"/>
      <c r="M451" s="803"/>
      <c r="N451" s="772"/>
      <c r="O451" s="772"/>
      <c r="P451" s="772"/>
      <c r="Q451" s="772"/>
      <c r="R451" s="772"/>
      <c r="S451" s="772"/>
      <c r="T451" s="772"/>
      <c r="V451" s="209"/>
      <c r="W451" s="209"/>
      <c r="X451" s="209"/>
      <c r="Y451" s="209"/>
      <c r="Z451" s="209"/>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511"/>
      <c r="AX451" s="209"/>
      <c r="AY451" s="209"/>
      <c r="AZ451" s="209"/>
      <c r="BA451" s="209"/>
      <c r="BB451" s="209"/>
      <c r="BC451" s="2511"/>
      <c r="BD451" s="2511"/>
      <c r="BE451" s="2511"/>
      <c r="BF451" s="2511"/>
      <c r="BH451" s="2511"/>
      <c r="BI451" s="209"/>
      <c r="BJ451" s="209"/>
      <c r="BK451" s="209"/>
      <c r="BL451" s="209"/>
      <c r="BM451" s="209"/>
      <c r="BN451" s="209"/>
      <c r="BO451" s="209"/>
      <c r="BP451" s="209"/>
      <c r="BQ451" s="209"/>
      <c r="BR451" s="209"/>
      <c r="BS451" s="209"/>
      <c r="BT451" s="209"/>
      <c r="BU451" s="209"/>
      <c r="BV451" s="209"/>
      <c r="BW451" s="209"/>
      <c r="BX451" s="209"/>
      <c r="DB451" s="773"/>
      <c r="DC451" s="773"/>
      <c r="DD451" s="773"/>
      <c r="DE451" s="773"/>
      <c r="DF451" s="773"/>
      <c r="DG451" s="773"/>
      <c r="DH451" s="773"/>
      <c r="DI451" s="773"/>
      <c r="DJ451" s="773"/>
      <c r="DK451" s="773"/>
      <c r="DL451" s="773"/>
      <c r="DM451" s="773"/>
      <c r="DN451" s="773"/>
      <c r="DO451" s="773"/>
      <c r="DP451" s="773"/>
      <c r="DQ451" s="773"/>
      <c r="DR451" s="773"/>
      <c r="DS451" s="773"/>
      <c r="DT451" s="773"/>
      <c r="DU451" s="773"/>
      <c r="DV451" s="773"/>
      <c r="DW451" s="773"/>
      <c r="DX451" s="773"/>
      <c r="DY451" s="773"/>
      <c r="DZ451" s="773"/>
      <c r="EA451" s="773"/>
      <c r="EB451" s="773"/>
      <c r="EC451" s="773"/>
      <c r="ED451" s="773"/>
      <c r="EE451" s="773"/>
      <c r="EF451" s="773"/>
      <c r="EG451" s="773"/>
      <c r="EH451" s="773"/>
      <c r="EI451" s="773"/>
      <c r="EJ451" s="773"/>
      <c r="EK451" s="773"/>
      <c r="EL451" s="773"/>
      <c r="EM451" s="773"/>
      <c r="EN451" s="773"/>
      <c r="EO451" s="773"/>
      <c r="EP451" s="773"/>
      <c r="EQ451" s="773"/>
      <c r="ER451" s="773"/>
      <c r="ES451" s="773"/>
      <c r="ET451" s="773"/>
      <c r="EU451" s="773"/>
      <c r="EV451" s="773"/>
      <c r="EW451" s="773"/>
      <c r="EX451" s="773"/>
      <c r="EY451" s="773"/>
      <c r="EZ451" s="773"/>
      <c r="FA451" s="773"/>
      <c r="FB451" s="773"/>
      <c r="FC451" s="773"/>
      <c r="FD451" s="773"/>
      <c r="FE451" s="773"/>
      <c r="FF451" s="773"/>
      <c r="FG451" s="773"/>
      <c r="FH451" s="773"/>
      <c r="FI451" s="773"/>
      <c r="FJ451" s="773"/>
      <c r="FK451" s="773"/>
      <c r="FL451" s="773"/>
      <c r="FM451" s="773"/>
      <c r="FN451" s="773"/>
      <c r="FO451" s="773"/>
      <c r="FP451" s="773"/>
      <c r="FQ451" s="773"/>
      <c r="FR451" s="773"/>
      <c r="FS451" s="773"/>
      <c r="FT451" s="773"/>
      <c r="FU451" s="773"/>
      <c r="FV451" s="773"/>
      <c r="FW451" s="773"/>
      <c r="FX451" s="773"/>
      <c r="FY451" s="773"/>
      <c r="FZ451" s="773"/>
      <c r="GA451" s="773"/>
      <c r="GB451" s="773"/>
      <c r="GC451" s="773"/>
      <c r="GD451" s="773"/>
      <c r="GE451" s="773"/>
      <c r="GF451" s="773"/>
      <c r="GG451" s="773"/>
      <c r="GH451" s="773"/>
      <c r="GI451" s="773"/>
      <c r="GJ451" s="773"/>
      <c r="GK451" s="773"/>
      <c r="GL451" s="773"/>
      <c r="GM451" s="773"/>
      <c r="GN451" s="773"/>
      <c r="GO451" s="773"/>
      <c r="GP451" s="773"/>
      <c r="GQ451" s="773"/>
      <c r="GR451" s="773"/>
      <c r="GS451" s="773"/>
      <c r="GT451" s="773"/>
      <c r="GU451" s="773"/>
      <c r="GV451" s="773"/>
      <c r="GW451" s="773"/>
      <c r="GX451" s="773"/>
      <c r="GY451" s="773"/>
      <c r="GZ451" s="773"/>
    </row>
    <row r="452" spans="1:208" s="11" customFormat="1">
      <c r="A452" s="780"/>
      <c r="B452" s="3771"/>
      <c r="C452" s="942"/>
      <c r="D452" s="1967" t="s">
        <v>534</v>
      </c>
      <c r="E452" s="1970">
        <f t="shared" ref="E452:J452" si="50">E450+E435+E284</f>
        <v>3138056.8800000027</v>
      </c>
      <c r="F452" s="1970">
        <f t="shared" si="50"/>
        <v>-12844.785416020302</v>
      </c>
      <c r="G452" s="1970">
        <f t="shared" si="50"/>
        <v>0</v>
      </c>
      <c r="H452" s="1970">
        <f t="shared" si="50"/>
        <v>0</v>
      </c>
      <c r="I452" s="1970">
        <f t="shared" si="50"/>
        <v>0</v>
      </c>
      <c r="J452" s="1970">
        <f t="shared" si="50"/>
        <v>3125212.0945839807</v>
      </c>
      <c r="K452" s="209"/>
      <c r="L452" s="434"/>
      <c r="M452" s="803"/>
      <c r="N452" s="772"/>
      <c r="O452" s="772"/>
      <c r="P452" s="772"/>
      <c r="Q452" s="772"/>
      <c r="R452" s="772"/>
      <c r="S452" s="772"/>
      <c r="T452" s="772"/>
      <c r="AW452" s="2510"/>
      <c r="BC452" s="2510"/>
      <c r="BD452" s="2510"/>
      <c r="BE452" s="2510"/>
      <c r="BF452" s="2510"/>
      <c r="BH452" s="2510"/>
      <c r="BN452" s="209"/>
      <c r="BO452" s="209"/>
      <c r="BP452" s="209"/>
      <c r="BQ452" s="209"/>
      <c r="BR452" s="209"/>
      <c r="BS452" s="209"/>
      <c r="BT452" s="209"/>
      <c r="BU452" s="209"/>
      <c r="BV452" s="209"/>
      <c r="BW452" s="209"/>
      <c r="BX452" s="209"/>
      <c r="DB452" s="773"/>
      <c r="DC452" s="773"/>
      <c r="DD452" s="773"/>
      <c r="DE452" s="773"/>
      <c r="DF452" s="773"/>
      <c r="DG452" s="773"/>
      <c r="DH452" s="773"/>
      <c r="DI452" s="773"/>
      <c r="DJ452" s="773"/>
      <c r="DK452" s="773"/>
      <c r="DL452" s="773"/>
      <c r="DM452" s="773"/>
      <c r="DN452" s="773"/>
      <c r="DO452" s="773"/>
      <c r="DP452" s="773"/>
      <c r="DQ452" s="773"/>
      <c r="DR452" s="773"/>
      <c r="DS452" s="773"/>
      <c r="DT452" s="773"/>
      <c r="DU452" s="773"/>
      <c r="DV452" s="773"/>
      <c r="DW452" s="773"/>
      <c r="DX452" s="773"/>
      <c r="DY452" s="773"/>
      <c r="DZ452" s="773"/>
      <c r="EA452" s="773"/>
      <c r="EB452" s="773"/>
      <c r="EC452" s="773"/>
      <c r="ED452" s="773"/>
      <c r="EE452" s="773"/>
      <c r="EF452" s="773"/>
      <c r="EG452" s="773"/>
      <c r="EH452" s="773"/>
      <c r="EI452" s="773"/>
      <c r="EJ452" s="773"/>
      <c r="EK452" s="773"/>
      <c r="EL452" s="773"/>
      <c r="EM452" s="773"/>
      <c r="EN452" s="773"/>
      <c r="EO452" s="773"/>
      <c r="EP452" s="773"/>
      <c r="EQ452" s="773"/>
      <c r="ER452" s="773"/>
      <c r="ES452" s="773"/>
      <c r="ET452" s="773"/>
      <c r="EU452" s="773"/>
      <c r="EV452" s="773"/>
      <c r="EW452" s="773"/>
      <c r="EX452" s="773"/>
      <c r="EY452" s="773"/>
      <c r="EZ452" s="773"/>
      <c r="FA452" s="773"/>
      <c r="FB452" s="773"/>
      <c r="FC452" s="773"/>
      <c r="FD452" s="773"/>
      <c r="FE452" s="773"/>
      <c r="FF452" s="773"/>
      <c r="FG452" s="773"/>
      <c r="FH452" s="773"/>
      <c r="FI452" s="773"/>
      <c r="FJ452" s="773"/>
      <c r="FK452" s="773"/>
      <c r="FL452" s="773"/>
      <c r="FM452" s="773"/>
      <c r="FN452" s="773"/>
      <c r="FO452" s="773"/>
      <c r="FP452" s="773"/>
      <c r="FQ452" s="773"/>
      <c r="FR452" s="773"/>
      <c r="FS452" s="773"/>
      <c r="FT452" s="773"/>
      <c r="FU452" s="773"/>
      <c r="FV452" s="773"/>
      <c r="FW452" s="773"/>
      <c r="FX452" s="773"/>
      <c r="FY452" s="773"/>
      <c r="FZ452" s="773"/>
      <c r="GA452" s="773"/>
      <c r="GB452" s="773"/>
      <c r="GC452" s="773"/>
      <c r="GD452" s="773"/>
      <c r="GE452" s="773"/>
      <c r="GF452" s="773"/>
      <c r="GG452" s="773"/>
      <c r="GH452" s="773"/>
      <c r="GI452" s="773"/>
      <c r="GJ452" s="773"/>
      <c r="GK452" s="773"/>
      <c r="GL452" s="773"/>
      <c r="GM452" s="773"/>
      <c r="GN452" s="773"/>
      <c r="GO452" s="773"/>
      <c r="GP452" s="773"/>
      <c r="GQ452" s="773"/>
      <c r="GR452" s="773"/>
      <c r="GS452" s="773"/>
      <c r="GT452" s="773"/>
      <c r="GU452" s="773"/>
      <c r="GV452" s="773"/>
      <c r="GW452" s="773"/>
      <c r="GX452" s="773"/>
      <c r="GY452" s="773"/>
      <c r="GZ452" s="773"/>
    </row>
    <row r="453" spans="1:208" s="11" customFormat="1">
      <c r="A453" s="780"/>
      <c r="B453" s="3771"/>
      <c r="C453" s="767"/>
      <c r="D453" s="930"/>
      <c r="E453" s="769"/>
      <c r="F453" s="769"/>
      <c r="G453" s="769"/>
      <c r="H453" s="769"/>
      <c r="I453" s="769"/>
      <c r="J453" s="769"/>
      <c r="K453" s="209"/>
      <c r="L453" s="434"/>
      <c r="M453" s="803"/>
      <c r="N453" s="772"/>
      <c r="O453" s="772"/>
      <c r="P453" s="772"/>
      <c r="Q453" s="772"/>
      <c r="R453" s="772"/>
      <c r="S453" s="772"/>
      <c r="T453" s="772"/>
      <c r="AW453" s="2517"/>
      <c r="AX453" s="945"/>
      <c r="AY453" s="945"/>
      <c r="AZ453" s="945"/>
      <c r="BA453" s="945"/>
      <c r="BB453" s="945"/>
      <c r="BC453" s="2517"/>
      <c r="BD453" s="2517"/>
      <c r="BE453" s="2517"/>
      <c r="BF453" s="2517"/>
      <c r="BH453" s="2517"/>
      <c r="BI453" s="945"/>
      <c r="BJ453" s="945"/>
      <c r="BK453" s="945"/>
      <c r="BL453" s="945"/>
      <c r="BM453" s="945"/>
      <c r="BN453" s="209"/>
      <c r="BO453" s="209"/>
      <c r="BP453" s="209"/>
      <c r="BQ453" s="209"/>
      <c r="BR453" s="209"/>
      <c r="BS453" s="209"/>
      <c r="BT453" s="209"/>
      <c r="BU453" s="209"/>
      <c r="BV453" s="209"/>
      <c r="BW453" s="209"/>
      <c r="BX453" s="209"/>
      <c r="DB453" s="773"/>
      <c r="DC453" s="773"/>
      <c r="DD453" s="773"/>
      <c r="DE453" s="773"/>
      <c r="DF453" s="773"/>
      <c r="DG453" s="773"/>
      <c r="DH453" s="773"/>
      <c r="DI453" s="773"/>
      <c r="DJ453" s="773"/>
      <c r="DK453" s="773"/>
      <c r="DL453" s="773"/>
      <c r="DM453" s="773"/>
      <c r="DN453" s="773"/>
      <c r="DO453" s="773"/>
      <c r="DP453" s="773"/>
      <c r="DQ453" s="773"/>
      <c r="DR453" s="773"/>
      <c r="DS453" s="773"/>
      <c r="DT453" s="773"/>
      <c r="DU453" s="773"/>
      <c r="DV453" s="773"/>
      <c r="DW453" s="773"/>
      <c r="DX453" s="773"/>
      <c r="DY453" s="773"/>
      <c r="DZ453" s="773"/>
      <c r="EA453" s="773"/>
      <c r="EB453" s="773"/>
      <c r="EC453" s="773"/>
      <c r="ED453" s="773"/>
      <c r="EE453" s="773"/>
      <c r="EF453" s="773"/>
      <c r="EG453" s="773"/>
      <c r="EH453" s="773"/>
      <c r="EI453" s="773"/>
      <c r="EJ453" s="773"/>
      <c r="EK453" s="773"/>
      <c r="EL453" s="773"/>
      <c r="EM453" s="773"/>
      <c r="EN453" s="773"/>
      <c r="EO453" s="773"/>
      <c r="EP453" s="773"/>
      <c r="EQ453" s="773"/>
      <c r="ER453" s="773"/>
      <c r="ES453" s="773"/>
      <c r="ET453" s="773"/>
      <c r="EU453" s="773"/>
      <c r="EV453" s="773"/>
      <c r="EW453" s="773"/>
      <c r="EX453" s="773"/>
      <c r="EY453" s="773"/>
      <c r="EZ453" s="773"/>
      <c r="FA453" s="773"/>
      <c r="FB453" s="773"/>
      <c r="FC453" s="773"/>
      <c r="FD453" s="773"/>
      <c r="FE453" s="773"/>
      <c r="FF453" s="773"/>
      <c r="FG453" s="773"/>
      <c r="FH453" s="773"/>
      <c r="FI453" s="773"/>
      <c r="FJ453" s="773"/>
      <c r="FK453" s="773"/>
      <c r="FL453" s="773"/>
      <c r="FM453" s="773"/>
      <c r="FN453" s="773"/>
      <c r="FO453" s="773"/>
      <c r="FP453" s="773"/>
      <c r="FQ453" s="773"/>
      <c r="FR453" s="773"/>
      <c r="FS453" s="773"/>
      <c r="FT453" s="773"/>
      <c r="FU453" s="773"/>
      <c r="FV453" s="773"/>
      <c r="FW453" s="773"/>
      <c r="FX453" s="773"/>
      <c r="FY453" s="773"/>
      <c r="FZ453" s="773"/>
      <c r="GA453" s="773"/>
      <c r="GB453" s="773"/>
      <c r="GC453" s="773"/>
      <c r="GD453" s="773"/>
      <c r="GE453" s="773"/>
      <c r="GF453" s="773"/>
      <c r="GG453" s="773"/>
      <c r="GH453" s="773"/>
      <c r="GI453" s="773"/>
      <c r="GJ453" s="773"/>
      <c r="GK453" s="773"/>
      <c r="GL453" s="773"/>
      <c r="GM453" s="773"/>
      <c r="GN453" s="773"/>
      <c r="GO453" s="773"/>
      <c r="GP453" s="773"/>
      <c r="GQ453" s="773"/>
      <c r="GR453" s="773"/>
      <c r="GS453" s="773"/>
      <c r="GT453" s="773"/>
      <c r="GU453" s="773"/>
      <c r="GV453" s="773"/>
      <c r="GW453" s="773"/>
      <c r="GX453" s="773"/>
      <c r="GY453" s="773"/>
      <c r="GZ453" s="773"/>
    </row>
    <row r="454" spans="1:208" s="11" customFormat="1" ht="13.5" thickBot="1">
      <c r="A454" s="780"/>
      <c r="B454" s="3772"/>
      <c r="C454" s="848"/>
      <c r="D454" s="948" t="s">
        <v>83</v>
      </c>
      <c r="E454" s="796"/>
      <c r="F454" s="769"/>
      <c r="G454" s="769"/>
      <c r="H454" s="769"/>
      <c r="I454" s="769"/>
      <c r="J454" s="769"/>
      <c r="K454" s="779"/>
      <c r="L454" s="434"/>
      <c r="M454" s="771"/>
      <c r="N454" s="772"/>
      <c r="O454" s="772"/>
      <c r="P454" s="772"/>
      <c r="Q454" s="772"/>
      <c r="R454" s="772"/>
      <c r="S454" s="772"/>
      <c r="T454" s="772"/>
      <c r="AW454" s="2518"/>
      <c r="AX454" s="773"/>
      <c r="AY454" s="773"/>
      <c r="AZ454" s="773"/>
      <c r="BA454" s="204"/>
      <c r="BB454" s="204"/>
      <c r="BC454" s="2518"/>
      <c r="BD454" s="2518"/>
      <c r="BE454" s="2518"/>
      <c r="BF454" s="2518"/>
      <c r="BH454" s="2518"/>
      <c r="BI454" s="204"/>
      <c r="BJ454" s="204"/>
      <c r="BK454" s="204"/>
      <c r="BL454" s="204"/>
      <c r="BM454" s="204"/>
      <c r="BN454" s="209"/>
      <c r="BO454" s="209"/>
      <c r="BP454" s="209"/>
      <c r="BQ454" s="209"/>
      <c r="BR454" s="209"/>
      <c r="BS454" s="209"/>
      <c r="BT454" s="209"/>
      <c r="BU454" s="209"/>
      <c r="BV454" s="209"/>
      <c r="BW454" s="209"/>
      <c r="BX454" s="209"/>
      <c r="DB454" s="773"/>
      <c r="DC454" s="773"/>
      <c r="DD454" s="773"/>
      <c r="DE454" s="773"/>
      <c r="DF454" s="773"/>
      <c r="DG454" s="773"/>
      <c r="DH454" s="773"/>
      <c r="DI454" s="773"/>
      <c r="DJ454" s="773"/>
      <c r="DK454" s="773"/>
      <c r="DL454" s="773"/>
      <c r="DM454" s="773"/>
      <c r="DN454" s="773"/>
      <c r="DO454" s="773"/>
      <c r="DP454" s="773"/>
      <c r="DQ454" s="773"/>
      <c r="DR454" s="773"/>
      <c r="DS454" s="773"/>
      <c r="DT454" s="773"/>
      <c r="DU454" s="773"/>
      <c r="DV454" s="773"/>
      <c r="DW454" s="773"/>
      <c r="DX454" s="773"/>
      <c r="DY454" s="773"/>
      <c r="DZ454" s="773"/>
      <c r="EA454" s="773"/>
      <c r="EB454" s="773"/>
      <c r="EC454" s="773"/>
      <c r="ED454" s="773"/>
      <c r="EE454" s="773"/>
      <c r="EF454" s="773"/>
      <c r="EG454" s="773"/>
      <c r="EH454" s="773"/>
      <c r="EI454" s="773"/>
      <c r="EJ454" s="773"/>
      <c r="EK454" s="773"/>
      <c r="EL454" s="773"/>
      <c r="EM454" s="773"/>
      <c r="EN454" s="773"/>
      <c r="EO454" s="773"/>
      <c r="EP454" s="773"/>
      <c r="EQ454" s="773"/>
      <c r="ER454" s="773"/>
      <c r="ES454" s="773"/>
      <c r="ET454" s="773"/>
      <c r="EU454" s="773"/>
      <c r="EV454" s="773"/>
      <c r="EW454" s="773"/>
      <c r="EX454" s="773"/>
      <c r="EY454" s="773"/>
      <c r="EZ454" s="773"/>
      <c r="FA454" s="773"/>
      <c r="FB454" s="773"/>
      <c r="FC454" s="773"/>
      <c r="FD454" s="773"/>
      <c r="FE454" s="773"/>
      <c r="FF454" s="773"/>
      <c r="FG454" s="773"/>
      <c r="FH454" s="773"/>
      <c r="FI454" s="773"/>
      <c r="FJ454" s="773"/>
      <c r="FK454" s="773"/>
      <c r="FL454" s="773"/>
      <c r="FM454" s="773"/>
      <c r="FN454" s="773"/>
      <c r="FO454" s="773"/>
      <c r="FP454" s="773"/>
      <c r="FQ454" s="773"/>
      <c r="FR454" s="773"/>
      <c r="FS454" s="773"/>
      <c r="FT454" s="773"/>
      <c r="FU454" s="773"/>
      <c r="FV454" s="773"/>
      <c r="FW454" s="773"/>
      <c r="FX454" s="773"/>
      <c r="FY454" s="773"/>
      <c r="FZ454" s="773"/>
      <c r="GA454" s="773"/>
      <c r="GB454" s="773"/>
      <c r="GC454" s="773"/>
      <c r="GD454" s="773"/>
      <c r="GE454" s="773"/>
      <c r="GF454" s="773"/>
      <c r="GG454" s="773"/>
      <c r="GH454" s="773"/>
      <c r="GI454" s="773"/>
      <c r="GJ454" s="773"/>
      <c r="GK454" s="773"/>
      <c r="GL454" s="773"/>
      <c r="GM454" s="773"/>
      <c r="GN454" s="773"/>
      <c r="GO454" s="773"/>
      <c r="GP454" s="773"/>
      <c r="GQ454" s="773"/>
      <c r="GR454" s="773"/>
      <c r="GS454" s="773"/>
      <c r="GT454" s="773"/>
      <c r="GU454" s="773"/>
      <c r="GV454" s="773"/>
      <c r="GW454" s="773"/>
      <c r="GX454" s="773"/>
      <c r="GY454" s="773"/>
      <c r="GZ454" s="773"/>
    </row>
    <row r="455" spans="1:208" s="11" customFormat="1">
      <c r="A455" s="780"/>
      <c r="B455" s="3773"/>
      <c r="C455" s="2951"/>
      <c r="D455" s="948" t="s">
        <v>84</v>
      </c>
      <c r="E455" s="796"/>
      <c r="F455" s="769"/>
      <c r="G455" s="769"/>
      <c r="H455" s="769"/>
      <c r="I455" s="769"/>
      <c r="J455" s="769"/>
      <c r="K455" s="779"/>
      <c r="L455" s="434"/>
      <c r="M455" s="825"/>
      <c r="N455" s="2490" t="s">
        <v>2140</v>
      </c>
      <c r="O455" s="2491" t="s">
        <v>2153</v>
      </c>
      <c r="P455" s="2491" t="s">
        <v>2191</v>
      </c>
      <c r="Q455" s="2491" t="s">
        <v>2203</v>
      </c>
      <c r="R455" s="2491" t="s">
        <v>2276</v>
      </c>
      <c r="S455" s="2490" t="s">
        <v>2229</v>
      </c>
      <c r="T455" s="2491" t="s">
        <v>2570</v>
      </c>
      <c r="U455" s="2491" t="s">
        <v>2571</v>
      </c>
      <c r="V455" s="2519" t="s">
        <v>2667</v>
      </c>
      <c r="W455" s="2519" t="s">
        <v>2833</v>
      </c>
      <c r="X455" s="2519" t="s">
        <v>3006</v>
      </c>
      <c r="Y455" s="2519" t="s">
        <v>2635</v>
      </c>
      <c r="Z455" s="2519" t="s">
        <v>3210</v>
      </c>
      <c r="AA455" s="2519" t="s">
        <v>3307</v>
      </c>
      <c r="AB455" s="2519" t="s">
        <v>3384</v>
      </c>
      <c r="AC455" s="2519" t="s">
        <v>3580</v>
      </c>
      <c r="AD455" s="2519" t="s">
        <v>3634</v>
      </c>
      <c r="AE455" s="2519" t="s">
        <v>3720</v>
      </c>
      <c r="AF455" s="2519" t="s">
        <v>3889</v>
      </c>
      <c r="AG455" s="2519" t="s">
        <v>3998</v>
      </c>
      <c r="AH455" s="2519" t="s">
        <v>4123</v>
      </c>
      <c r="AI455" s="2519" t="s">
        <v>4287</v>
      </c>
      <c r="AJ455" s="2519" t="s">
        <v>4402</v>
      </c>
      <c r="AK455" s="2519" t="s">
        <v>4570</v>
      </c>
      <c r="AL455" s="2519"/>
      <c r="AM455" s="2519"/>
      <c r="AN455" s="2519"/>
      <c r="AO455" s="2519"/>
      <c r="AP455" s="2519"/>
      <c r="AQ455" s="2519"/>
      <c r="AR455" s="2519"/>
      <c r="AS455" s="2519"/>
      <c r="AT455" s="2519"/>
      <c r="AU455" s="2519"/>
      <c r="AV455" s="2519" t="s">
        <v>3209</v>
      </c>
      <c r="AW455" s="2519"/>
      <c r="BH455" s="2512"/>
      <c r="BI455" s="2512"/>
      <c r="BJ455" s="361"/>
      <c r="BK455" s="361"/>
      <c r="BL455" s="867"/>
      <c r="BM455" s="1246"/>
      <c r="BN455" s="209"/>
      <c r="BO455" s="209"/>
      <c r="BP455" s="209"/>
      <c r="BQ455" s="209"/>
      <c r="BR455" s="209"/>
      <c r="BS455" s="876"/>
      <c r="BT455" s="845"/>
      <c r="BU455" s="875"/>
      <c r="BV455" s="209"/>
      <c r="BW455" s="209"/>
      <c r="BX455" s="209"/>
      <c r="DB455" s="773"/>
      <c r="DC455" s="773"/>
      <c r="DD455" s="773"/>
      <c r="DE455" s="773"/>
      <c r="DF455" s="773"/>
      <c r="DG455" s="773"/>
      <c r="DH455" s="773"/>
      <c r="DI455" s="773"/>
      <c r="DJ455" s="773"/>
      <c r="DK455" s="773"/>
      <c r="DL455" s="773"/>
      <c r="DM455" s="773"/>
      <c r="DN455" s="773"/>
      <c r="DO455" s="773"/>
      <c r="DP455" s="773"/>
      <c r="DQ455" s="773"/>
      <c r="DR455" s="773"/>
      <c r="DS455" s="773"/>
      <c r="DT455" s="773"/>
      <c r="DU455" s="773"/>
      <c r="DV455" s="773"/>
      <c r="DW455" s="773"/>
      <c r="DX455" s="773"/>
      <c r="DY455" s="773"/>
      <c r="DZ455" s="773"/>
      <c r="EA455" s="773"/>
      <c r="EB455" s="773"/>
      <c r="EC455" s="773"/>
      <c r="ED455" s="773"/>
      <c r="EE455" s="773"/>
      <c r="EF455" s="773"/>
      <c r="EG455" s="773"/>
      <c r="EH455" s="773"/>
      <c r="EI455" s="773"/>
      <c r="EJ455" s="773"/>
      <c r="EK455" s="773"/>
      <c r="EL455" s="773"/>
      <c r="EM455" s="773"/>
      <c r="EN455" s="773"/>
      <c r="EO455" s="773"/>
      <c r="EP455" s="773"/>
      <c r="EQ455" s="773"/>
      <c r="ER455" s="773"/>
      <c r="ES455" s="773"/>
      <c r="ET455" s="773"/>
      <c r="EU455" s="773"/>
      <c r="EV455" s="773"/>
      <c r="EW455" s="773"/>
      <c r="EX455" s="773"/>
      <c r="EY455" s="773"/>
      <c r="EZ455" s="773"/>
      <c r="FA455" s="773"/>
      <c r="FB455" s="773"/>
      <c r="FC455" s="773"/>
      <c r="FD455" s="773"/>
      <c r="FE455" s="773"/>
      <c r="FF455" s="773"/>
      <c r="FG455" s="773"/>
      <c r="FH455" s="773"/>
      <c r="FI455" s="773"/>
      <c r="FJ455" s="773"/>
      <c r="FK455" s="773"/>
      <c r="FL455" s="773"/>
      <c r="FM455" s="773"/>
      <c r="FN455" s="773"/>
      <c r="FO455" s="773"/>
      <c r="FP455" s="773"/>
      <c r="FQ455" s="773"/>
      <c r="FR455" s="773"/>
      <c r="FS455" s="773"/>
      <c r="FT455" s="773"/>
      <c r="FU455" s="773"/>
      <c r="FV455" s="773"/>
      <c r="FW455" s="773"/>
      <c r="FX455" s="773"/>
      <c r="FY455" s="773"/>
      <c r="FZ455" s="773"/>
      <c r="GA455" s="773"/>
      <c r="GB455" s="773"/>
      <c r="GC455" s="773"/>
      <c r="GD455" s="773"/>
      <c r="GE455" s="773"/>
      <c r="GF455" s="773"/>
      <c r="GG455" s="773"/>
      <c r="GH455" s="773"/>
      <c r="GI455" s="773"/>
      <c r="GJ455" s="773"/>
      <c r="GK455" s="773"/>
      <c r="GL455" s="773"/>
      <c r="GM455" s="773"/>
      <c r="GN455" s="773"/>
      <c r="GO455" s="773"/>
      <c r="GP455" s="773"/>
      <c r="GQ455" s="773"/>
      <c r="GR455" s="773"/>
      <c r="GS455" s="773"/>
      <c r="GT455" s="773"/>
      <c r="GU455" s="773"/>
      <c r="GV455" s="773"/>
      <c r="GW455" s="773"/>
      <c r="GX455" s="773"/>
      <c r="GY455" s="773"/>
      <c r="GZ455" s="773"/>
    </row>
    <row r="456" spans="1:208" s="11" customFormat="1">
      <c r="A456" s="780"/>
      <c r="B456" s="3773"/>
      <c r="D456" s="2638" t="s">
        <v>2476</v>
      </c>
      <c r="E456" s="796"/>
      <c r="F456" s="769"/>
      <c r="G456" s="769"/>
      <c r="H456" s="769"/>
      <c r="I456" s="769"/>
      <c r="J456" s="769"/>
      <c r="K456" s="779"/>
      <c r="L456" s="434"/>
      <c r="M456" s="825"/>
      <c r="T456" s="772"/>
      <c r="U456" s="772"/>
      <c r="V456" s="2509"/>
      <c r="W456" s="2509"/>
      <c r="X456" s="2509"/>
      <c r="Y456" s="2509"/>
      <c r="AW456" s="2509"/>
      <c r="BH456" s="2509"/>
      <c r="BI456" s="772"/>
      <c r="BJ456" s="772"/>
      <c r="BK456" s="772"/>
      <c r="BL456" s="772"/>
      <c r="BM456" s="773"/>
      <c r="BN456" s="209"/>
      <c r="BO456" s="209"/>
      <c r="BP456" s="209"/>
      <c r="BQ456" s="209"/>
      <c r="BR456" s="209"/>
      <c r="BS456" s="487"/>
      <c r="BT456" s="799"/>
      <c r="BU456" s="851"/>
      <c r="BV456" s="209"/>
      <c r="BW456" s="209"/>
      <c r="BX456" s="209"/>
      <c r="DB456" s="773"/>
      <c r="DC456" s="773"/>
      <c r="DD456" s="773"/>
      <c r="DE456" s="773"/>
      <c r="DF456" s="773"/>
      <c r="DG456" s="773"/>
      <c r="DH456" s="773"/>
      <c r="DI456" s="773"/>
      <c r="DJ456" s="773"/>
      <c r="DK456" s="773"/>
      <c r="DL456" s="773"/>
      <c r="DM456" s="773"/>
      <c r="DN456" s="773"/>
      <c r="DO456" s="773"/>
      <c r="DP456" s="773"/>
      <c r="DQ456" s="773"/>
      <c r="DR456" s="773"/>
      <c r="DS456" s="773"/>
      <c r="DT456" s="773"/>
      <c r="DU456" s="773"/>
      <c r="DV456" s="773"/>
      <c r="DW456" s="773"/>
      <c r="DX456" s="773"/>
      <c r="DY456" s="773"/>
      <c r="DZ456" s="773"/>
      <c r="EA456" s="773"/>
      <c r="EB456" s="773"/>
      <c r="EC456" s="773"/>
      <c r="ED456" s="773"/>
      <c r="EE456" s="773"/>
      <c r="EF456" s="773"/>
      <c r="EG456" s="773"/>
      <c r="EH456" s="773"/>
      <c r="EI456" s="773"/>
      <c r="EJ456" s="773"/>
      <c r="EK456" s="773"/>
      <c r="EL456" s="773"/>
      <c r="EM456" s="773"/>
      <c r="EN456" s="773"/>
      <c r="EO456" s="773"/>
      <c r="EP456" s="773"/>
      <c r="EQ456" s="773"/>
      <c r="ER456" s="773"/>
      <c r="ES456" s="773"/>
      <c r="ET456" s="773"/>
      <c r="EU456" s="773"/>
      <c r="EV456" s="773"/>
      <c r="EW456" s="773"/>
      <c r="EX456" s="773"/>
      <c r="EY456" s="773"/>
      <c r="EZ456" s="773"/>
      <c r="FA456" s="773"/>
      <c r="FB456" s="773"/>
      <c r="FC456" s="773"/>
      <c r="FD456" s="773"/>
      <c r="FE456" s="773"/>
      <c r="FF456" s="773"/>
      <c r="FG456" s="773"/>
      <c r="FH456" s="773"/>
      <c r="FI456" s="773"/>
      <c r="FJ456" s="773"/>
      <c r="FK456" s="773"/>
      <c r="FL456" s="773"/>
      <c r="FM456" s="773"/>
      <c r="FN456" s="773"/>
      <c r="FO456" s="773"/>
      <c r="FP456" s="773"/>
      <c r="FQ456" s="773"/>
      <c r="FR456" s="773"/>
      <c r="FS456" s="773"/>
      <c r="FT456" s="773"/>
      <c r="FU456" s="773"/>
      <c r="FV456" s="773"/>
      <c r="FW456" s="773"/>
      <c r="FX456" s="773"/>
      <c r="FY456" s="773"/>
      <c r="FZ456" s="773"/>
      <c r="GA456" s="773"/>
      <c r="GB456" s="773"/>
      <c r="GC456" s="773"/>
      <c r="GD456" s="773"/>
      <c r="GE456" s="773"/>
      <c r="GF456" s="773"/>
      <c r="GG456" s="773"/>
      <c r="GH456" s="773"/>
      <c r="GI456" s="773"/>
      <c r="GJ456" s="773"/>
      <c r="GK456" s="773"/>
      <c r="GL456" s="773"/>
      <c r="GM456" s="773"/>
      <c r="GN456" s="773"/>
      <c r="GO456" s="773"/>
      <c r="GP456" s="773"/>
      <c r="GQ456" s="773"/>
      <c r="GR456" s="773"/>
      <c r="GS456" s="773"/>
      <c r="GT456" s="773"/>
      <c r="GU456" s="773"/>
      <c r="GV456" s="773"/>
      <c r="GW456" s="773"/>
      <c r="GX456" s="773"/>
      <c r="GY456" s="773"/>
      <c r="GZ456" s="773"/>
    </row>
    <row r="457" spans="1:208" s="11" customFormat="1">
      <c r="A457" s="780"/>
      <c r="B457" s="3762" t="s">
        <v>713</v>
      </c>
      <c r="C457" s="603">
        <v>80001</v>
      </c>
      <c r="D457" s="199" t="s">
        <v>714</v>
      </c>
      <c r="E457" s="42">
        <f>IFERROR(VLOOKUP(C457,'AJE 12 - INC'!$D$168:$F$771,3,0),0)</f>
        <v>-6373088.1600000001</v>
      </c>
      <c r="F457" s="108">
        <f>SUMIF('AJE 12 - INC'!B:B,'New TB INC'!C457,'AJE 12 - INC'!D:D)</f>
        <v>0</v>
      </c>
      <c r="G457" s="108"/>
      <c r="H457" s="108"/>
      <c r="I457" s="108"/>
      <c r="J457" s="798">
        <f>SUM(E457:I457)</f>
        <v>-6373088.1600000001</v>
      </c>
      <c r="K457" s="779"/>
      <c r="L457" s="434"/>
      <c r="M457" s="2170" t="s">
        <v>2627</v>
      </c>
      <c r="N457" s="11">
        <v>-93163.36</v>
      </c>
      <c r="O457" s="11">
        <v>-677745.27</v>
      </c>
      <c r="P457" s="11">
        <v>-1083274.7799999998</v>
      </c>
      <c r="Q457" s="11">
        <v>-289021.42999999993</v>
      </c>
      <c r="R457" s="11">
        <v>-534805.00000000023</v>
      </c>
      <c r="S457" s="11">
        <v>-1982097.28</v>
      </c>
      <c r="T457" s="772">
        <v>-650648.50000000023</v>
      </c>
      <c r="U457" s="772">
        <v>-66445.639999999665</v>
      </c>
      <c r="V457" s="2509">
        <v>-1022481.1500000004</v>
      </c>
      <c r="W457" s="2509">
        <v>-198274.3599999994</v>
      </c>
      <c r="X457" s="2509">
        <v>-1606211.2300000004</v>
      </c>
      <c r="Y457" s="2509">
        <v>-732633.40000000037</v>
      </c>
      <c r="Z457" s="11">
        <f>'[26]New TB INC'!Z410</f>
        <v>-206346.14</v>
      </c>
      <c r="AA457" s="11">
        <f>'[27]New TB INC'!AA417</f>
        <v>-1890</v>
      </c>
      <c r="AB457" s="11">
        <f>'[28]New TB INC'!AB424</f>
        <v>-608425.88</v>
      </c>
      <c r="AC457" s="11">
        <f>'[29]New TB INC'!AC420</f>
        <v>-54577.319999999949</v>
      </c>
      <c r="AD457" s="11">
        <f>'[30]New TB INC'!AD416</f>
        <v>-1154716.8799999999</v>
      </c>
      <c r="AE457" s="11">
        <f>'[31]New TB INC'!AE423</f>
        <v>-451168.77000000048</v>
      </c>
      <c r="AF457" s="11">
        <v>-121353.23999999976</v>
      </c>
      <c r="AG457" s="11">
        <v>-455772.68999999994</v>
      </c>
      <c r="AH457" s="11">
        <v>-198926.60000000009</v>
      </c>
      <c r="AI457" s="11">
        <v>-102409.41999999993</v>
      </c>
      <c r="AJ457" s="11">
        <v>-583834.27</v>
      </c>
      <c r="AK457" s="11">
        <f>$J457-SUM($Z457:AJ457)</f>
        <v>-2433666.9500000002</v>
      </c>
      <c r="AW457" s="2509"/>
      <c r="BH457" s="2509"/>
      <c r="BI457" s="772"/>
      <c r="BJ457" s="772"/>
      <c r="BK457" s="772"/>
      <c r="BL457" s="772"/>
      <c r="BM457" s="773"/>
      <c r="BN457" s="209"/>
      <c r="BO457" s="209"/>
      <c r="BP457" s="209"/>
      <c r="BQ457" s="209"/>
      <c r="BR457" s="209"/>
      <c r="BS457" s="487"/>
      <c r="BT457" s="877" t="s">
        <v>1857</v>
      </c>
      <c r="BU457" s="262">
        <v>62072.449932465533</v>
      </c>
      <c r="BV457" s="209"/>
      <c r="BW457" s="209"/>
      <c r="BX457" s="820"/>
      <c r="DB457" s="773"/>
      <c r="DC457" s="773"/>
      <c r="DD457" s="773"/>
      <c r="DE457" s="773"/>
      <c r="DF457" s="773"/>
      <c r="DG457" s="773"/>
      <c r="DH457" s="773"/>
      <c r="DI457" s="773"/>
      <c r="DJ457" s="773"/>
      <c r="DK457" s="773"/>
      <c r="DL457" s="773"/>
      <c r="DM457" s="773"/>
      <c r="DN457" s="773"/>
      <c r="DO457" s="773"/>
      <c r="DP457" s="773"/>
      <c r="DQ457" s="773"/>
      <c r="DR457" s="773"/>
      <c r="DS457" s="773"/>
      <c r="DT457" s="773"/>
      <c r="DU457" s="773"/>
      <c r="DV457" s="773"/>
      <c r="DW457" s="773"/>
      <c r="DX457" s="773"/>
      <c r="DY457" s="773"/>
      <c r="DZ457" s="773"/>
      <c r="EA457" s="773"/>
      <c r="EB457" s="773"/>
      <c r="EC457" s="773"/>
      <c r="ED457" s="773"/>
      <c r="EE457" s="773"/>
      <c r="EF457" s="773"/>
      <c r="EG457" s="773"/>
      <c r="EH457" s="773"/>
      <c r="EI457" s="773"/>
      <c r="EJ457" s="773"/>
      <c r="EK457" s="773"/>
      <c r="EL457" s="773"/>
      <c r="EM457" s="773"/>
      <c r="EN457" s="773"/>
      <c r="EO457" s="773"/>
      <c r="EP457" s="773"/>
      <c r="EQ457" s="773"/>
      <c r="ER457" s="773"/>
      <c r="ES457" s="773"/>
      <c r="ET457" s="773"/>
      <c r="EU457" s="773"/>
      <c r="EV457" s="773"/>
      <c r="EW457" s="773"/>
      <c r="EX457" s="773"/>
      <c r="EY457" s="773"/>
      <c r="EZ457" s="773"/>
      <c r="FA457" s="773"/>
      <c r="FB457" s="773"/>
      <c r="FC457" s="773"/>
      <c r="FD457" s="773"/>
      <c r="FE457" s="773"/>
      <c r="FF457" s="773"/>
      <c r="FG457" s="773"/>
      <c r="FH457" s="773"/>
      <c r="FI457" s="773"/>
      <c r="FJ457" s="773"/>
      <c r="FK457" s="773"/>
      <c r="FL457" s="773"/>
      <c r="FM457" s="773"/>
      <c r="FN457" s="773"/>
      <c r="FO457" s="773"/>
      <c r="FP457" s="773"/>
      <c r="FQ457" s="773"/>
      <c r="FR457" s="773"/>
      <c r="FS457" s="773"/>
      <c r="FT457" s="773"/>
      <c r="FU457" s="773"/>
      <c r="FV457" s="773"/>
      <c r="FW457" s="773"/>
      <c r="FX457" s="773"/>
      <c r="FY457" s="773"/>
      <c r="FZ457" s="773"/>
      <c r="GA457" s="773"/>
      <c r="GB457" s="773"/>
      <c r="GC457" s="773"/>
      <c r="GD457" s="773"/>
      <c r="GE457" s="773"/>
      <c r="GF457" s="773"/>
      <c r="GG457" s="773"/>
      <c r="GH457" s="773"/>
      <c r="GI457" s="773"/>
      <c r="GJ457" s="773"/>
      <c r="GK457" s="773"/>
      <c r="GL457" s="773"/>
      <c r="GM457" s="773"/>
      <c r="GN457" s="773"/>
      <c r="GO457" s="773"/>
      <c r="GP457" s="773"/>
      <c r="GQ457" s="773"/>
      <c r="GR457" s="773"/>
      <c r="GS457" s="773"/>
      <c r="GT457" s="773"/>
      <c r="GU457" s="773"/>
      <c r="GV457" s="773"/>
      <c r="GW457" s="773"/>
      <c r="GX457" s="773"/>
      <c r="GY457" s="773"/>
      <c r="GZ457" s="773"/>
    </row>
    <row r="458" spans="1:208">
      <c r="B458" s="3762" t="s">
        <v>713</v>
      </c>
      <c r="C458" s="603">
        <v>80101</v>
      </c>
      <c r="D458" s="199" t="s">
        <v>1898</v>
      </c>
      <c r="E458" s="42">
        <f>IFERROR(VLOOKUP(C458,'AJE 12 - INC'!$D$168:$F$771,3,0),0)</f>
        <v>0</v>
      </c>
      <c r="F458" s="108">
        <f>SUMIF('AJE 12 - INC'!B:B,'New TB INC'!C458,'AJE 12 - INC'!D:D)</f>
        <v>0</v>
      </c>
      <c r="G458" s="108"/>
      <c r="H458" s="108"/>
      <c r="I458" s="108"/>
      <c r="J458" s="798">
        <f>SUM(E458:I458)</f>
        <v>0</v>
      </c>
      <c r="K458" s="779"/>
      <c r="M458" s="769"/>
      <c r="N458" s="799"/>
      <c r="O458" s="799"/>
      <c r="P458" s="799"/>
      <c r="Q458" s="799"/>
      <c r="R458" s="799"/>
      <c r="S458" s="799"/>
      <c r="T458" s="799"/>
      <c r="V458" s="2520"/>
      <c r="W458" s="2520"/>
      <c r="X458" s="2520"/>
      <c r="Y458" s="2509">
        <v>0</v>
      </c>
      <c r="Z458" s="11">
        <f>'[26]New TB INC'!Z411</f>
        <v>0</v>
      </c>
      <c r="AA458" s="11">
        <f>'[27]New TB INC'!AA418</f>
        <v>0</v>
      </c>
      <c r="AB458" s="11">
        <f>'[28]New TB INC'!AB425</f>
        <v>0</v>
      </c>
      <c r="AC458" s="11">
        <f>'[29]New TB INC'!AC421</f>
        <v>0</v>
      </c>
      <c r="AD458" s="11">
        <f>'[30]New TB INC'!AD417</f>
        <v>0</v>
      </c>
      <c r="AE458" s="11">
        <f>'[31]New TB INC'!AE424</f>
        <v>0</v>
      </c>
      <c r="AF458" s="11">
        <v>0</v>
      </c>
      <c r="AG458" s="11">
        <v>0</v>
      </c>
      <c r="AH458" s="11">
        <v>0</v>
      </c>
      <c r="AI458" s="11">
        <v>0</v>
      </c>
      <c r="AJ458" s="11">
        <v>0</v>
      </c>
      <c r="AK458" s="11">
        <f>$J458-SUM($Z458:AJ458)</f>
        <v>0</v>
      </c>
      <c r="AL458" s="11"/>
      <c r="AM458" s="11"/>
      <c r="AN458" s="11"/>
      <c r="AO458" s="11"/>
      <c r="AP458" s="11">
        <f>$J458-SUM($Z458:AH458)</f>
        <v>0</v>
      </c>
      <c r="AQ458" s="11"/>
      <c r="AR458" s="11"/>
      <c r="AS458" s="11"/>
      <c r="AT458" s="11"/>
      <c r="AU458" s="11"/>
      <c r="BN458" s="209"/>
      <c r="BO458" s="209"/>
      <c r="BP458" s="209"/>
      <c r="BQ458" s="209"/>
      <c r="BR458" s="209"/>
    </row>
    <row r="459" spans="1:208" s="11" customFormat="1">
      <c r="A459" s="774"/>
      <c r="B459" s="3762"/>
      <c r="D459" s="2638" t="s">
        <v>2477</v>
      </c>
      <c r="E459" s="42"/>
      <c r="F459" s="108"/>
      <c r="G459" s="108"/>
      <c r="H459" s="108"/>
      <c r="I459" s="108"/>
      <c r="J459" s="798"/>
      <c r="K459" s="779"/>
      <c r="L459" s="434"/>
      <c r="M459" s="879"/>
      <c r="N459" s="11">
        <v>0</v>
      </c>
      <c r="O459" s="11">
        <v>0</v>
      </c>
      <c r="P459" s="11">
        <v>0</v>
      </c>
      <c r="Q459" s="11">
        <v>0</v>
      </c>
      <c r="R459" s="11">
        <v>0</v>
      </c>
      <c r="S459" s="11">
        <v>0</v>
      </c>
      <c r="T459" s="772">
        <v>0</v>
      </c>
      <c r="U459" s="772">
        <v>0</v>
      </c>
      <c r="V459" s="2509">
        <v>0</v>
      </c>
      <c r="W459" s="2509">
        <v>0</v>
      </c>
      <c r="X459" s="2509">
        <v>0</v>
      </c>
      <c r="Y459" s="2509">
        <v>0</v>
      </c>
      <c r="Z459" s="11">
        <f>'[26]New TB INC'!Z412</f>
        <v>0</v>
      </c>
      <c r="AA459" s="11">
        <f>'[27]New TB INC'!AA419</f>
        <v>0</v>
      </c>
      <c r="AB459" s="11">
        <f>'[28]New TB INC'!AB426</f>
        <v>0</v>
      </c>
      <c r="AC459" s="11">
        <f>'[29]New TB INC'!AC422</f>
        <v>0</v>
      </c>
      <c r="AD459" s="11">
        <f>'[30]New TB INC'!AD418</f>
        <v>0</v>
      </c>
      <c r="AE459" s="11">
        <f>'[31]New TB INC'!AE425</f>
        <v>0</v>
      </c>
      <c r="AF459" s="11">
        <v>0</v>
      </c>
      <c r="AG459" s="11">
        <v>0</v>
      </c>
      <c r="AH459" s="11">
        <v>0</v>
      </c>
      <c r="AI459" s="11">
        <v>0</v>
      </c>
      <c r="AJ459" s="11">
        <v>0</v>
      </c>
      <c r="AK459" s="11">
        <f>$J459-SUM($Z459:AJ459)</f>
        <v>0</v>
      </c>
      <c r="AP459" s="11">
        <f>$J459-SUM($Z459:AH459)</f>
        <v>0</v>
      </c>
      <c r="AW459" s="2509"/>
      <c r="BH459" s="2509"/>
      <c r="BI459" s="772"/>
      <c r="BJ459" s="772"/>
      <c r="BK459" s="772"/>
      <c r="BL459" s="772"/>
      <c r="BM459" s="773"/>
      <c r="BN459" s="209"/>
      <c r="BO459" s="209"/>
      <c r="BP459" s="209"/>
      <c r="BQ459" s="209"/>
      <c r="BR459" s="209"/>
      <c r="BS459" s="820"/>
      <c r="BT459" s="799"/>
      <c r="BU459" s="262"/>
      <c r="CI459" s="878"/>
      <c r="CJ459" s="4"/>
      <c r="CK459" s="4"/>
      <c r="DB459" s="773"/>
      <c r="DC459" s="773"/>
      <c r="DD459" s="773"/>
      <c r="DE459" s="773"/>
      <c r="DF459" s="773"/>
      <c r="DG459" s="773"/>
      <c r="DH459" s="773"/>
      <c r="DI459" s="773"/>
      <c r="DJ459" s="773"/>
      <c r="DK459" s="773"/>
      <c r="DL459" s="773"/>
      <c r="DM459" s="773"/>
      <c r="DN459" s="773"/>
      <c r="DO459" s="773"/>
      <c r="DP459" s="773"/>
      <c r="DQ459" s="773"/>
      <c r="DR459" s="773"/>
      <c r="DS459" s="773"/>
      <c r="DT459" s="773"/>
      <c r="DU459" s="773"/>
      <c r="DV459" s="773"/>
      <c r="DW459" s="773"/>
      <c r="DX459" s="773"/>
      <c r="DY459" s="773"/>
      <c r="DZ459" s="773"/>
      <c r="EA459" s="773"/>
      <c r="EB459" s="773"/>
      <c r="EC459" s="773"/>
      <c r="ED459" s="773"/>
      <c r="EE459" s="773"/>
      <c r="EF459" s="773"/>
      <c r="EG459" s="773"/>
      <c r="EH459" s="773"/>
      <c r="EI459" s="773"/>
      <c r="EJ459" s="773"/>
      <c r="EK459" s="773"/>
      <c r="EL459" s="773"/>
      <c r="EM459" s="773"/>
      <c r="EN459" s="773"/>
      <c r="EO459" s="773"/>
      <c r="EP459" s="773"/>
      <c r="EQ459" s="773"/>
      <c r="ER459" s="773"/>
      <c r="ES459" s="773"/>
      <c r="ET459" s="773"/>
      <c r="EU459" s="773"/>
      <c r="EV459" s="773"/>
      <c r="EW459" s="773"/>
      <c r="EX459" s="773"/>
      <c r="EY459" s="773"/>
      <c r="EZ459" s="773"/>
      <c r="FA459" s="773"/>
      <c r="FB459" s="773"/>
      <c r="FC459" s="773"/>
      <c r="FD459" s="773"/>
      <c r="FE459" s="773"/>
      <c r="FF459" s="773"/>
      <c r="FG459" s="773"/>
      <c r="FH459" s="773"/>
      <c r="FI459" s="773"/>
      <c r="FJ459" s="773"/>
      <c r="FK459" s="773"/>
      <c r="FL459" s="773"/>
      <c r="FM459" s="773"/>
      <c r="FN459" s="773"/>
      <c r="FO459" s="773"/>
      <c r="FP459" s="773"/>
      <c r="FQ459" s="773"/>
      <c r="FR459" s="773"/>
      <c r="FS459" s="773"/>
      <c r="FT459" s="773"/>
      <c r="FU459" s="773"/>
      <c r="FV459" s="773"/>
      <c r="FW459" s="773"/>
      <c r="FX459" s="773"/>
      <c r="FY459" s="773"/>
      <c r="FZ459" s="773"/>
      <c r="GA459" s="773"/>
      <c r="GB459" s="773"/>
      <c r="GC459" s="773"/>
      <c r="GD459" s="773"/>
      <c r="GE459" s="773"/>
      <c r="GF459" s="773"/>
      <c r="GG459" s="773"/>
      <c r="GH459" s="773"/>
      <c r="GI459" s="773"/>
      <c r="GJ459" s="773"/>
      <c r="GK459" s="773"/>
      <c r="GL459" s="773"/>
      <c r="GM459" s="773"/>
      <c r="GN459" s="773"/>
      <c r="GO459" s="773"/>
      <c r="GP459" s="773"/>
      <c r="GQ459" s="773"/>
      <c r="GR459" s="773"/>
      <c r="GS459" s="773"/>
      <c r="GT459" s="773"/>
      <c r="GU459" s="773"/>
      <c r="GV459" s="773"/>
      <c r="GW459" s="773"/>
      <c r="GX459" s="773"/>
      <c r="GY459" s="773"/>
      <c r="GZ459" s="773"/>
    </row>
    <row r="460" spans="1:208" s="11" customFormat="1">
      <c r="A460" s="780"/>
      <c r="B460" s="3762" t="s">
        <v>713</v>
      </c>
      <c r="C460" s="603">
        <v>80002</v>
      </c>
      <c r="D460" s="199" t="s">
        <v>715</v>
      </c>
      <c r="E460" s="42">
        <f>IFERROR(VLOOKUP(C460,'AJE 12 - INC'!$D$168:$F$771,3,0),0)</f>
        <v>-1989464.03</v>
      </c>
      <c r="F460" s="108">
        <f>SUMIF('AJE 12 - INC'!B:B,'New TB INC'!C460,'AJE 12 - INC'!D:D)</f>
        <v>0</v>
      </c>
      <c r="G460" s="108"/>
      <c r="H460" s="108"/>
      <c r="I460" s="108"/>
      <c r="J460" s="798">
        <f>SUM(E460:I460)</f>
        <v>-1989464.03</v>
      </c>
      <c r="K460" s="209"/>
      <c r="L460" s="434"/>
      <c r="M460" s="2688"/>
      <c r="N460" s="11">
        <v>0</v>
      </c>
      <c r="O460" s="11">
        <v>-14359.2</v>
      </c>
      <c r="P460" s="11">
        <v>-49033.5</v>
      </c>
      <c r="Q460" s="11">
        <v>-201120.12</v>
      </c>
      <c r="R460" s="11">
        <v>-7800</v>
      </c>
      <c r="S460" s="11">
        <v>-40440</v>
      </c>
      <c r="T460" s="772">
        <v>-248706</v>
      </c>
      <c r="U460" s="772">
        <v>-127168.05999999994</v>
      </c>
      <c r="V460" s="2509">
        <v>-368348.99999999988</v>
      </c>
      <c r="W460" s="2509">
        <v>0</v>
      </c>
      <c r="X460" s="2509">
        <v>0</v>
      </c>
      <c r="Y460" s="2509">
        <v>-34121.25</v>
      </c>
      <c r="Z460" s="11">
        <f>'[26]New TB INC'!Z413</f>
        <v>-18759.599999999999</v>
      </c>
      <c r="AA460" s="11">
        <f>'[27]New TB INC'!AA420</f>
        <v>0</v>
      </c>
      <c r="AB460" s="11">
        <f>'[28]New TB INC'!AB427</f>
        <v>-347964</v>
      </c>
      <c r="AC460" s="11">
        <f>'[29]New TB INC'!AC423</f>
        <v>0</v>
      </c>
      <c r="AD460" s="11">
        <f>'[30]New TB INC'!AD419</f>
        <v>-151326.60000000003</v>
      </c>
      <c r="AE460" s="11">
        <f>'[31]New TB INC'!AE426</f>
        <v>-32423.999999999942</v>
      </c>
      <c r="AF460" s="11">
        <v>-33615.75</v>
      </c>
      <c r="AG460" s="11">
        <v>-186024</v>
      </c>
      <c r="AH460" s="11">
        <v>-141273.60000000009</v>
      </c>
      <c r="AI460" s="11">
        <v>-218461.28000000003</v>
      </c>
      <c r="AJ460" s="11">
        <v>-782058.45</v>
      </c>
      <c r="AK460" s="11">
        <f>$J460-SUM($Z460:AJ460)</f>
        <v>-77556.75</v>
      </c>
      <c r="AP460" s="11">
        <f>$J460-SUM($Z460:AH460)</f>
        <v>-1078076.48</v>
      </c>
      <c r="AW460" s="2509"/>
      <c r="BH460" s="2509"/>
      <c r="BI460" s="772"/>
      <c r="BJ460" s="772"/>
      <c r="BK460" s="772"/>
      <c r="BL460" s="772"/>
      <c r="BM460" s="773"/>
      <c r="BN460" s="209"/>
      <c r="BO460" s="209"/>
      <c r="BP460" s="209"/>
      <c r="BQ460" s="209"/>
      <c r="BR460" s="209"/>
      <c r="BS460" s="487"/>
      <c r="BT460" s="877" t="s">
        <v>1858</v>
      </c>
      <c r="BU460" s="262">
        <v>437839.7460803485</v>
      </c>
      <c r="BV460" s="209"/>
      <c r="BW460" s="209"/>
      <c r="BX460" s="820"/>
      <c r="DB460" s="773"/>
      <c r="DC460" s="773"/>
      <c r="DD460" s="773"/>
      <c r="DE460" s="773"/>
      <c r="DF460" s="773"/>
      <c r="DG460" s="773"/>
      <c r="DH460" s="773"/>
      <c r="DI460" s="773"/>
      <c r="DJ460" s="773"/>
      <c r="DK460" s="773"/>
      <c r="DL460" s="773"/>
      <c r="DM460" s="773"/>
      <c r="DN460" s="773"/>
      <c r="DO460" s="773"/>
      <c r="DP460" s="773"/>
      <c r="DQ460" s="773"/>
      <c r="DR460" s="773"/>
      <c r="DS460" s="773"/>
      <c r="DT460" s="773"/>
      <c r="DU460" s="773"/>
      <c r="DV460" s="773"/>
      <c r="DW460" s="773"/>
      <c r="DX460" s="773"/>
      <c r="DY460" s="773"/>
      <c r="DZ460" s="773"/>
      <c r="EA460" s="773"/>
      <c r="EB460" s="773"/>
      <c r="EC460" s="773"/>
      <c r="ED460" s="773"/>
      <c r="EE460" s="773"/>
      <c r="EF460" s="773"/>
      <c r="EG460" s="773"/>
      <c r="EH460" s="773"/>
      <c r="EI460" s="773"/>
      <c r="EJ460" s="773"/>
      <c r="EK460" s="773"/>
      <c r="EL460" s="773"/>
      <c r="EM460" s="773"/>
      <c r="EN460" s="773"/>
      <c r="EO460" s="773"/>
      <c r="EP460" s="773"/>
      <c r="EQ460" s="773"/>
      <c r="ER460" s="773"/>
      <c r="ES460" s="773"/>
      <c r="ET460" s="773"/>
      <c r="EU460" s="773"/>
      <c r="EV460" s="773"/>
      <c r="EW460" s="773"/>
      <c r="EX460" s="773"/>
      <c r="EY460" s="773"/>
      <c r="EZ460" s="773"/>
      <c r="FA460" s="773"/>
      <c r="FB460" s="773"/>
      <c r="FC460" s="773"/>
      <c r="FD460" s="773"/>
      <c r="FE460" s="773"/>
      <c r="FF460" s="773"/>
      <c r="FG460" s="773"/>
      <c r="FH460" s="773"/>
      <c r="FI460" s="773"/>
      <c r="FJ460" s="773"/>
      <c r="FK460" s="773"/>
      <c r="FL460" s="773"/>
      <c r="FM460" s="773"/>
      <c r="FN460" s="773"/>
      <c r="FO460" s="773"/>
      <c r="FP460" s="773"/>
      <c r="FQ460" s="773"/>
      <c r="FR460" s="773"/>
      <c r="FS460" s="773"/>
      <c r="FT460" s="773"/>
      <c r="FU460" s="773"/>
      <c r="FV460" s="773"/>
      <c r="FW460" s="773"/>
      <c r="FX460" s="773"/>
      <c r="FY460" s="773"/>
      <c r="FZ460" s="773"/>
      <c r="GA460" s="773"/>
      <c r="GB460" s="773"/>
      <c r="GC460" s="773"/>
      <c r="GD460" s="773"/>
      <c r="GE460" s="773"/>
      <c r="GF460" s="773"/>
      <c r="GG460" s="773"/>
      <c r="GH460" s="773"/>
      <c r="GI460" s="773"/>
      <c r="GJ460" s="773"/>
      <c r="GK460" s="773"/>
      <c r="GL460" s="773"/>
      <c r="GM460" s="773"/>
      <c r="GN460" s="773"/>
      <c r="GO460" s="773"/>
      <c r="GP460" s="773"/>
      <c r="GQ460" s="773"/>
      <c r="GR460" s="773"/>
      <c r="GS460" s="773"/>
      <c r="GT460" s="773"/>
      <c r="GU460" s="773"/>
      <c r="GV460" s="773"/>
      <c r="GW460" s="773"/>
      <c r="GX460" s="773"/>
      <c r="GY460" s="773"/>
      <c r="GZ460" s="773"/>
    </row>
    <row r="461" spans="1:208" s="11" customFormat="1" ht="13.5" thickBot="1">
      <c r="A461" s="780"/>
      <c r="B461" s="3762" t="s">
        <v>713</v>
      </c>
      <c r="C461" s="603">
        <v>80103</v>
      </c>
      <c r="D461" s="199" t="s">
        <v>717</v>
      </c>
      <c r="E461" s="42">
        <f>IFERROR(VLOOKUP(C461,'AJE 12 - INC'!$D$168:$F$771,3,0),0)</f>
        <v>0</v>
      </c>
      <c r="F461" s="108">
        <f>SUMIF('AJE 12 - INC'!B:B,'New TB INC'!C461,'AJE 12 - INC'!D:D)</f>
        <v>0</v>
      </c>
      <c r="G461" s="108"/>
      <c r="H461" s="108"/>
      <c r="I461" s="108"/>
      <c r="J461" s="798">
        <f>SUM(E461:I461)</f>
        <v>0</v>
      </c>
      <c r="K461" s="209"/>
      <c r="L461" s="434"/>
      <c r="M461" s="2955"/>
      <c r="T461" s="772"/>
      <c r="U461" s="772"/>
      <c r="V461" s="2509"/>
      <c r="W461" s="2509"/>
      <c r="X461" s="2509"/>
      <c r="Y461" s="2509">
        <v>0</v>
      </c>
      <c r="Z461" s="11">
        <f>'[26]New TB INC'!Z414</f>
        <v>0</v>
      </c>
      <c r="AA461" s="11">
        <f>'[27]New TB INC'!AA421</f>
        <v>0</v>
      </c>
      <c r="AB461" s="11">
        <f>'[28]New TB INC'!AB428</f>
        <v>0</v>
      </c>
      <c r="AC461" s="11">
        <f>'[29]New TB INC'!AC424</f>
        <v>0</v>
      </c>
      <c r="AD461" s="11">
        <f>'[30]New TB INC'!AD420</f>
        <v>0</v>
      </c>
      <c r="AE461" s="11">
        <f>'[31]New TB INC'!AE427</f>
        <v>0</v>
      </c>
      <c r="AF461" s="11">
        <v>0</v>
      </c>
      <c r="AG461" s="11">
        <v>0</v>
      </c>
      <c r="AH461" s="11">
        <v>0</v>
      </c>
      <c r="AI461" s="11">
        <v>0</v>
      </c>
      <c r="AJ461" s="11">
        <v>0</v>
      </c>
      <c r="AK461" s="11">
        <f>$J461-SUM($Z461:AJ461)</f>
        <v>0</v>
      </c>
      <c r="AP461" s="11">
        <f>$J461-SUM($Z461:AH461)</f>
        <v>0</v>
      </c>
      <c r="AW461" s="2509"/>
      <c r="BH461" s="2509"/>
      <c r="BI461" s="772"/>
      <c r="BJ461" s="772"/>
      <c r="BK461" s="772"/>
      <c r="BL461" s="772"/>
      <c r="BM461" s="773"/>
      <c r="BN461" s="209"/>
      <c r="BO461" s="209"/>
      <c r="BP461" s="209"/>
      <c r="BQ461" s="209"/>
      <c r="BR461" s="209"/>
      <c r="BS461" s="487"/>
      <c r="BT461" s="877"/>
      <c r="BU461" s="262"/>
      <c r="BV461" s="209"/>
      <c r="BW461" s="209"/>
      <c r="BX461" s="820"/>
      <c r="DB461" s="773"/>
      <c r="DC461" s="773"/>
      <c r="DD461" s="773"/>
      <c r="DE461" s="773"/>
      <c r="DF461" s="773"/>
      <c r="DG461" s="773"/>
      <c r="DH461" s="773"/>
      <c r="DI461" s="773"/>
      <c r="DJ461" s="773"/>
      <c r="DK461" s="773"/>
      <c r="DL461" s="773"/>
      <c r="DM461" s="773"/>
      <c r="DN461" s="773"/>
      <c r="DO461" s="773"/>
      <c r="DP461" s="773"/>
      <c r="DQ461" s="773"/>
      <c r="DR461" s="773"/>
      <c r="DS461" s="773"/>
      <c r="DT461" s="773"/>
      <c r="DU461" s="773"/>
      <c r="DV461" s="773"/>
      <c r="DW461" s="773"/>
      <c r="DX461" s="773"/>
      <c r="DY461" s="773"/>
      <c r="DZ461" s="773"/>
      <c r="EA461" s="773"/>
      <c r="EB461" s="773"/>
      <c r="EC461" s="773"/>
      <c r="ED461" s="773"/>
      <c r="EE461" s="773"/>
      <c r="EF461" s="773"/>
      <c r="EG461" s="773"/>
      <c r="EH461" s="773"/>
      <c r="EI461" s="773"/>
      <c r="EJ461" s="773"/>
      <c r="EK461" s="773"/>
      <c r="EL461" s="773"/>
      <c r="EM461" s="773"/>
      <c r="EN461" s="773"/>
      <c r="EO461" s="773"/>
      <c r="EP461" s="773"/>
      <c r="EQ461" s="773"/>
      <c r="ER461" s="773"/>
      <c r="ES461" s="773"/>
      <c r="ET461" s="773"/>
      <c r="EU461" s="773"/>
      <c r="EV461" s="773"/>
      <c r="EW461" s="773"/>
      <c r="EX461" s="773"/>
      <c r="EY461" s="773"/>
      <c r="EZ461" s="773"/>
      <c r="FA461" s="773"/>
      <c r="FB461" s="773"/>
      <c r="FC461" s="773"/>
      <c r="FD461" s="773"/>
      <c r="FE461" s="773"/>
      <c r="FF461" s="773"/>
      <c r="FG461" s="773"/>
      <c r="FH461" s="773"/>
      <c r="FI461" s="773"/>
      <c r="FJ461" s="773"/>
      <c r="FK461" s="773"/>
      <c r="FL461" s="773"/>
      <c r="FM461" s="773"/>
      <c r="FN461" s="773"/>
      <c r="FO461" s="773"/>
      <c r="FP461" s="773"/>
      <c r="FQ461" s="773"/>
      <c r="FR461" s="773"/>
      <c r="FS461" s="773"/>
      <c r="FT461" s="773"/>
      <c r="FU461" s="773"/>
      <c r="FV461" s="773"/>
      <c r="FW461" s="773"/>
      <c r="FX461" s="773"/>
      <c r="FY461" s="773"/>
      <c r="FZ461" s="773"/>
      <c r="GA461" s="773"/>
      <c r="GB461" s="773"/>
      <c r="GC461" s="773"/>
      <c r="GD461" s="773"/>
      <c r="GE461" s="773"/>
      <c r="GF461" s="773"/>
      <c r="GG461" s="773"/>
      <c r="GH461" s="773"/>
      <c r="GI461" s="773"/>
      <c r="GJ461" s="773"/>
      <c r="GK461" s="773"/>
      <c r="GL461" s="773"/>
      <c r="GM461" s="773"/>
      <c r="GN461" s="773"/>
      <c r="GO461" s="773"/>
      <c r="GP461" s="773"/>
      <c r="GQ461" s="773"/>
      <c r="GR461" s="773"/>
      <c r="GS461" s="773"/>
      <c r="GT461" s="773"/>
      <c r="GU461" s="773"/>
      <c r="GV461" s="773"/>
      <c r="GW461" s="773"/>
      <c r="GX461" s="773"/>
      <c r="GY461" s="773"/>
      <c r="GZ461" s="773"/>
    </row>
    <row r="462" spans="1:208" s="11" customFormat="1" ht="13.5" thickBot="1">
      <c r="A462" s="780"/>
      <c r="B462" s="3762" t="s">
        <v>713</v>
      </c>
      <c r="C462" s="603" t="s">
        <v>718</v>
      </c>
      <c r="D462" s="199" t="s">
        <v>1601</v>
      </c>
      <c r="E462" s="42">
        <f>IFERROR(VLOOKUP(C462,'AJE 12 - INC'!$D$168:$F$771,3,0),0)</f>
        <v>702944.11</v>
      </c>
      <c r="F462" s="108">
        <f>SUMIF('AJE 12 - INC'!B:B,'New TB INC'!C462,'AJE 12 - INC'!D:D)</f>
        <v>0</v>
      </c>
      <c r="G462" s="108"/>
      <c r="H462" s="108"/>
      <c r="I462" s="108"/>
      <c r="J462" s="798">
        <f>SUM(E462:I462)</f>
        <v>702944.11</v>
      </c>
      <c r="K462" s="956">
        <f>SUM('[146]US215000577 - JE'!$N$2,'ביאורים לדוחות הכספיים'!B98,'ביאורים לדוחות הכספיים'!B99:B101,'ביאורים לדוחות הכספיים'!B123)-AK462</f>
        <v>0</v>
      </c>
      <c r="L462" s="434"/>
      <c r="M462" s="2956"/>
      <c r="N462" s="11">
        <v>0</v>
      </c>
      <c r="O462" s="11">
        <v>0</v>
      </c>
      <c r="P462" s="11">
        <v>-247277.75975000003</v>
      </c>
      <c r="Q462" s="11">
        <v>-0.10999999998603016</v>
      </c>
      <c r="R462" s="11">
        <v>47592.869750000013</v>
      </c>
      <c r="S462" s="11">
        <v>0</v>
      </c>
      <c r="T462" s="772">
        <v>0</v>
      </c>
      <c r="U462" s="772">
        <v>0</v>
      </c>
      <c r="V462" s="2509">
        <v>200598</v>
      </c>
      <c r="W462" s="2509">
        <v>-200598</v>
      </c>
      <c r="X462" s="2509">
        <v>0</v>
      </c>
      <c r="Y462" s="2509">
        <v>34121.25</v>
      </c>
      <c r="Z462" s="11">
        <f>'[26]New TB INC'!Z415</f>
        <v>-34121.25</v>
      </c>
      <c r="AA462" s="11">
        <f>'[27]New TB INC'!AA422</f>
        <v>0</v>
      </c>
      <c r="AB462" s="11">
        <f>'[28]New TB INC'!AB429</f>
        <v>95796</v>
      </c>
      <c r="AC462" s="11">
        <f>'[29]New TB INC'!AC425</f>
        <v>-95796</v>
      </c>
      <c r="AD462" s="11">
        <f>'[30]New TB INC'!AD421</f>
        <v>0</v>
      </c>
      <c r="AE462" s="11">
        <f>'[31]New TB INC'!AE428</f>
        <v>0</v>
      </c>
      <c r="AF462" s="11">
        <v>0</v>
      </c>
      <c r="AG462" s="11">
        <v>0</v>
      </c>
      <c r="AH462" s="11">
        <v>141273.60000000001</v>
      </c>
      <c r="AI462" s="11">
        <v>-141273.60000000001</v>
      </c>
      <c r="AJ462" s="11">
        <v>0</v>
      </c>
      <c r="AK462" s="11">
        <f>$J462-SUM($Z462:AJ462)</f>
        <v>737065.36</v>
      </c>
      <c r="AP462" s="11">
        <f>$J462-SUM($Z462:AH462)</f>
        <v>595791.76</v>
      </c>
      <c r="AW462" s="2509"/>
      <c r="BH462" s="2509"/>
      <c r="BI462" s="772"/>
      <c r="BJ462" s="772"/>
      <c r="BK462" s="772"/>
      <c r="BL462" s="772"/>
      <c r="BM462" s="773"/>
      <c r="BN462" s="209"/>
      <c r="BO462" s="209"/>
      <c r="BP462" s="209"/>
      <c r="BQ462" s="209"/>
      <c r="BR462" s="209"/>
      <c r="BS462" s="950"/>
      <c r="BT462" s="880" t="s">
        <v>1859</v>
      </c>
      <c r="BU462" s="270"/>
      <c r="BV462" s="209"/>
      <c r="BW462" s="209"/>
      <c r="BX462" s="820"/>
      <c r="DB462" s="773"/>
      <c r="DC462" s="773"/>
      <c r="DD462" s="773"/>
      <c r="DE462" s="773"/>
      <c r="DF462" s="773"/>
      <c r="DG462" s="773"/>
      <c r="DH462" s="773"/>
      <c r="DI462" s="773"/>
      <c r="DJ462" s="773"/>
      <c r="DK462" s="773"/>
      <c r="DL462" s="773"/>
      <c r="DM462" s="773"/>
      <c r="DN462" s="773"/>
      <c r="DO462" s="773"/>
      <c r="DP462" s="773"/>
      <c r="DQ462" s="773"/>
      <c r="DR462" s="773"/>
      <c r="DS462" s="773"/>
      <c r="DT462" s="773"/>
      <c r="DU462" s="773"/>
      <c r="DV462" s="773"/>
      <c r="DW462" s="773"/>
      <c r="DX462" s="773"/>
      <c r="DY462" s="773"/>
      <c r="DZ462" s="773"/>
      <c r="EA462" s="773"/>
      <c r="EB462" s="773"/>
      <c r="EC462" s="773"/>
      <c r="ED462" s="773"/>
      <c r="EE462" s="773"/>
      <c r="EF462" s="773"/>
      <c r="EG462" s="773"/>
      <c r="EH462" s="773"/>
      <c r="EI462" s="773"/>
      <c r="EJ462" s="773"/>
      <c r="EK462" s="773"/>
      <c r="EL462" s="773"/>
      <c r="EM462" s="773"/>
      <c r="EN462" s="773"/>
      <c r="EO462" s="773"/>
      <c r="EP462" s="773"/>
      <c r="EQ462" s="773"/>
      <c r="ER462" s="773"/>
      <c r="ES462" s="773"/>
      <c r="ET462" s="773"/>
      <c r="EU462" s="773"/>
      <c r="EV462" s="773"/>
      <c r="EW462" s="773"/>
      <c r="EX462" s="773"/>
      <c r="EY462" s="773"/>
      <c r="EZ462" s="773"/>
      <c r="FA462" s="773"/>
      <c r="FB462" s="773"/>
      <c r="FC462" s="773"/>
      <c r="FD462" s="773"/>
      <c r="FE462" s="773"/>
      <c r="FF462" s="773"/>
      <c r="FG462" s="773"/>
      <c r="FH462" s="773"/>
      <c r="FI462" s="773"/>
      <c r="FJ462" s="773"/>
      <c r="FK462" s="773"/>
      <c r="FL462" s="773"/>
      <c r="FM462" s="773"/>
      <c r="FN462" s="773"/>
      <c r="FO462" s="773"/>
      <c r="FP462" s="773"/>
      <c r="FQ462" s="773"/>
      <c r="FR462" s="773"/>
      <c r="FS462" s="773"/>
      <c r="FT462" s="773"/>
      <c r="FU462" s="773"/>
      <c r="FV462" s="773"/>
      <c r="FW462" s="773"/>
      <c r="FX462" s="773"/>
      <c r="FY462" s="773"/>
      <c r="FZ462" s="773"/>
      <c r="GA462" s="773"/>
      <c r="GB462" s="773"/>
      <c r="GC462" s="773"/>
      <c r="GD462" s="773"/>
      <c r="GE462" s="773"/>
      <c r="GF462" s="773"/>
      <c r="GG462" s="773"/>
      <c r="GH462" s="773"/>
      <c r="GI462" s="773"/>
      <c r="GJ462" s="773"/>
      <c r="GK462" s="773"/>
      <c r="GL462" s="773"/>
      <c r="GM462" s="773"/>
      <c r="GN462" s="773"/>
      <c r="GO462" s="773"/>
      <c r="GP462" s="773"/>
      <c r="GQ462" s="773"/>
      <c r="GR462" s="773"/>
      <c r="GS462" s="773"/>
      <c r="GT462" s="773"/>
      <c r="GU462" s="773"/>
      <c r="GV462" s="773"/>
      <c r="GW462" s="773"/>
      <c r="GX462" s="773"/>
      <c r="GY462" s="773"/>
      <c r="GZ462" s="773"/>
    </row>
    <row r="463" spans="1:208" s="11" customFormat="1">
      <c r="A463" s="774"/>
      <c r="B463" s="3762"/>
      <c r="D463" s="2638" t="s">
        <v>3188</v>
      </c>
      <c r="E463" s="42"/>
      <c r="F463" s="108"/>
      <c r="G463" s="108"/>
      <c r="H463" s="108"/>
      <c r="I463" s="108"/>
      <c r="J463" s="798"/>
      <c r="K463" s="209"/>
      <c r="L463" s="434"/>
      <c r="M463" s="2957"/>
      <c r="T463" s="772"/>
      <c r="U463" s="772"/>
      <c r="V463" s="2509"/>
      <c r="W463" s="2509"/>
      <c r="X463" s="2509"/>
      <c r="Y463" s="2509">
        <v>0</v>
      </c>
      <c r="Z463" s="11">
        <f>'[26]New TB INC'!Z416</f>
        <v>0</v>
      </c>
      <c r="AA463" s="11">
        <f>'[27]New TB INC'!AA423</f>
        <v>0</v>
      </c>
      <c r="AB463" s="11">
        <f>'[28]New TB INC'!AB430</f>
        <v>0</v>
      </c>
      <c r="AC463" s="11">
        <f>'[29]New TB INC'!AC426</f>
        <v>0</v>
      </c>
      <c r="AD463" s="11">
        <f>'[30]New TB INC'!AD422</f>
        <v>0</v>
      </c>
      <c r="AE463" s="11">
        <f>'[31]New TB INC'!AE429</f>
        <v>0</v>
      </c>
      <c r="AF463" s="11">
        <v>0</v>
      </c>
      <c r="AG463" s="11">
        <v>0</v>
      </c>
      <c r="AH463" s="11">
        <v>0</v>
      </c>
      <c r="AI463" s="11">
        <v>0</v>
      </c>
      <c r="AJ463" s="11">
        <v>0</v>
      </c>
      <c r="AK463" s="11">
        <f>$J463-SUM($Z463:AJ463)</f>
        <v>0</v>
      </c>
      <c r="AP463" s="11">
        <f>$J463-SUM($Z463:AH463)</f>
        <v>0</v>
      </c>
      <c r="AW463" s="2509"/>
      <c r="BH463" s="2509"/>
      <c r="BI463" s="772"/>
      <c r="BJ463" s="772"/>
      <c r="BK463" s="772"/>
      <c r="BL463" s="772"/>
      <c r="BM463" s="773"/>
      <c r="BN463" s="209"/>
      <c r="BO463" s="209"/>
      <c r="BP463" s="209"/>
      <c r="BQ463" s="209"/>
      <c r="BR463" s="209"/>
      <c r="BS463" s="820"/>
      <c r="BT463" s="799"/>
      <c r="BU463" s="262"/>
      <c r="CI463" s="878"/>
      <c r="CJ463" s="4"/>
      <c r="CK463" s="4"/>
      <c r="DB463" s="773"/>
      <c r="DC463" s="773"/>
      <c r="DD463" s="773"/>
      <c r="DE463" s="773"/>
      <c r="DF463" s="773"/>
      <c r="DG463" s="773"/>
      <c r="DH463" s="773"/>
      <c r="DI463" s="773"/>
      <c r="DJ463" s="773"/>
      <c r="DK463" s="773"/>
      <c r="DL463" s="773"/>
      <c r="DM463" s="773"/>
      <c r="DN463" s="773"/>
      <c r="DO463" s="773"/>
      <c r="DP463" s="773"/>
      <c r="DQ463" s="773"/>
      <c r="DR463" s="773"/>
      <c r="DS463" s="773"/>
      <c r="DT463" s="773"/>
      <c r="DU463" s="773"/>
      <c r="DV463" s="773"/>
      <c r="DW463" s="773"/>
      <c r="DX463" s="773"/>
      <c r="DY463" s="773"/>
      <c r="DZ463" s="773"/>
      <c r="EA463" s="773"/>
      <c r="EB463" s="773"/>
      <c r="EC463" s="773"/>
      <c r="ED463" s="773"/>
      <c r="EE463" s="773"/>
      <c r="EF463" s="773"/>
      <c r="EG463" s="773"/>
      <c r="EH463" s="773"/>
      <c r="EI463" s="773"/>
      <c r="EJ463" s="773"/>
      <c r="EK463" s="773"/>
      <c r="EL463" s="773"/>
      <c r="EM463" s="773"/>
      <c r="EN463" s="773"/>
      <c r="EO463" s="773"/>
      <c r="EP463" s="773"/>
      <c r="EQ463" s="773"/>
      <c r="ER463" s="773"/>
      <c r="ES463" s="773"/>
      <c r="ET463" s="773"/>
      <c r="EU463" s="773"/>
      <c r="EV463" s="773"/>
      <c r="EW463" s="773"/>
      <c r="EX463" s="773"/>
      <c r="EY463" s="773"/>
      <c r="EZ463" s="773"/>
      <c r="FA463" s="773"/>
      <c r="FB463" s="773"/>
      <c r="FC463" s="773"/>
      <c r="FD463" s="773"/>
      <c r="FE463" s="773"/>
      <c r="FF463" s="773"/>
      <c r="FG463" s="773"/>
      <c r="FH463" s="773"/>
      <c r="FI463" s="773"/>
      <c r="FJ463" s="773"/>
      <c r="FK463" s="773"/>
      <c r="FL463" s="773"/>
      <c r="FM463" s="773"/>
      <c r="FN463" s="773"/>
      <c r="FO463" s="773"/>
      <c r="FP463" s="773"/>
      <c r="FQ463" s="773"/>
      <c r="FR463" s="773"/>
      <c r="FS463" s="773"/>
      <c r="FT463" s="773"/>
      <c r="FU463" s="773"/>
      <c r="FV463" s="773"/>
      <c r="FW463" s="773"/>
      <c r="FX463" s="773"/>
      <c r="FY463" s="773"/>
      <c r="FZ463" s="773"/>
      <c r="GA463" s="773"/>
      <c r="GB463" s="773"/>
      <c r="GC463" s="773"/>
      <c r="GD463" s="773"/>
      <c r="GE463" s="773"/>
      <c r="GF463" s="773"/>
      <c r="GG463" s="773"/>
      <c r="GH463" s="773"/>
      <c r="GI463" s="773"/>
      <c r="GJ463" s="773"/>
      <c r="GK463" s="773"/>
      <c r="GL463" s="773"/>
      <c r="GM463" s="773"/>
      <c r="GN463" s="773"/>
      <c r="GO463" s="773"/>
      <c r="GP463" s="773"/>
      <c r="GQ463" s="773"/>
      <c r="GR463" s="773"/>
      <c r="GS463" s="773"/>
      <c r="GT463" s="773"/>
      <c r="GU463" s="773"/>
      <c r="GV463" s="773"/>
      <c r="GW463" s="773"/>
      <c r="GX463" s="773"/>
      <c r="GY463" s="773"/>
      <c r="GZ463" s="773"/>
    </row>
    <row r="464" spans="1:208" s="11" customFormat="1">
      <c r="A464" s="780"/>
      <c r="B464" s="3762" t="s">
        <v>720</v>
      </c>
      <c r="C464" s="603">
        <v>80060</v>
      </c>
      <c r="D464" s="199" t="s">
        <v>721</v>
      </c>
      <c r="E464" s="42">
        <f>IFERROR(VLOOKUP(C464,'AJE 12 - INC'!$D$168:$F$771,3,0),0)</f>
        <v>-12464383.699999999</v>
      </c>
      <c r="F464" s="108">
        <f>SUMIF('AJE 12 - INC'!B:B,'New TB INC'!C464,'AJE 12 - INC'!D:D)</f>
        <v>0</v>
      </c>
      <c r="G464" s="108"/>
      <c r="H464" s="108"/>
      <c r="I464" s="108"/>
      <c r="J464" s="798">
        <f>SUM(E464:I464)</f>
        <v>-12464383.699999999</v>
      </c>
      <c r="K464" s="209"/>
      <c r="L464" s="434"/>
      <c r="M464" s="2956"/>
      <c r="N464" s="11">
        <v>-881510.66</v>
      </c>
      <c r="O464" s="11">
        <v>-892116.15</v>
      </c>
      <c r="P464" s="11">
        <v>-912517.58999999973</v>
      </c>
      <c r="Q464" s="11">
        <v>-996908.06000000017</v>
      </c>
      <c r="R464" s="11">
        <v>-995338.98000000033</v>
      </c>
      <c r="S464" s="11">
        <v>-966613.57999999926</v>
      </c>
      <c r="T464" s="772">
        <v>-967098.81999999972</v>
      </c>
      <c r="U464" s="772">
        <v>-954915.72000000067</v>
      </c>
      <c r="V464" s="2509">
        <v>-988313.17000000086</v>
      </c>
      <c r="W464" s="2509">
        <v>-993184.25</v>
      </c>
      <c r="X464" s="2509">
        <v>-989093.8200000003</v>
      </c>
      <c r="Y464" s="2509">
        <v>-1041196.0999999996</v>
      </c>
      <c r="Z464" s="11">
        <f>'[26]New TB INC'!Z417</f>
        <v>-1014539.76</v>
      </c>
      <c r="AA464" s="11">
        <f>'[27]New TB INC'!AA424</f>
        <v>-1008339.6000000001</v>
      </c>
      <c r="AB464" s="11">
        <f>'[28]New TB INC'!AB431</f>
        <v>-1016896.4999999998</v>
      </c>
      <c r="AC464" s="11">
        <f>'[29]New TB INC'!AC427</f>
        <v>-1033944.1499999999</v>
      </c>
      <c r="AD464" s="11">
        <f>'[30]New TB INC'!AD423</f>
        <v>-1038455.7300000004</v>
      </c>
      <c r="AE464" s="11">
        <f>'[31]New TB INC'!AE430</f>
        <v>-1053770.08</v>
      </c>
      <c r="AF464" s="11">
        <v>-1057348.75</v>
      </c>
      <c r="AG464" s="11">
        <v>-1068982.6999999993</v>
      </c>
      <c r="AH464" s="11">
        <v>-1045447.5199999996</v>
      </c>
      <c r="AI464" s="11">
        <v>-1025963.4500000011</v>
      </c>
      <c r="AJ464" s="11">
        <v>-1004042.3699999992</v>
      </c>
      <c r="AK464" s="11">
        <f>$J464-SUM($Z464:AJ464)</f>
        <v>-1096653.0899999999</v>
      </c>
      <c r="AN464" s="11" t="s">
        <v>4527</v>
      </c>
      <c r="AO464" s="775" t="s">
        <v>4325</v>
      </c>
      <c r="AP464" s="11">
        <f>$J464-SUM($Z464:AH464)</f>
        <v>-3126658.91</v>
      </c>
      <c r="AW464" s="2509"/>
      <c r="BH464" s="2509"/>
      <c r="BI464" s="772"/>
      <c r="BJ464" s="772"/>
      <c r="BK464" s="772"/>
      <c r="BL464" s="772"/>
      <c r="BM464" s="773"/>
      <c r="BN464" s="209"/>
      <c r="BO464" s="209"/>
      <c r="BP464" s="209"/>
      <c r="BQ464" s="209"/>
      <c r="BR464" s="209"/>
      <c r="BS464" s="951"/>
      <c r="BT464" s="877" t="s">
        <v>1860</v>
      </c>
      <c r="BU464" s="262"/>
      <c r="BV464" s="209"/>
      <c r="BW464" s="209"/>
      <c r="BX464" s="820"/>
      <c r="DB464" s="773"/>
      <c r="DC464" s="773"/>
      <c r="DD464" s="773"/>
      <c r="DE464" s="773"/>
      <c r="DF464" s="773"/>
      <c r="DG464" s="773"/>
      <c r="DH464" s="773"/>
      <c r="DI464" s="773"/>
      <c r="DJ464" s="773"/>
      <c r="DK464" s="773"/>
      <c r="DL464" s="773"/>
      <c r="DM464" s="773"/>
      <c r="DN464" s="773"/>
      <c r="DO464" s="773"/>
      <c r="DP464" s="773"/>
      <c r="DQ464" s="773"/>
      <c r="DR464" s="773"/>
      <c r="DS464" s="773"/>
      <c r="DT464" s="773"/>
      <c r="DU464" s="773"/>
      <c r="DV464" s="773"/>
      <c r="DW464" s="773"/>
      <c r="DX464" s="773"/>
      <c r="DY464" s="773"/>
      <c r="DZ464" s="773"/>
      <c r="EA464" s="773"/>
      <c r="EB464" s="773"/>
      <c r="EC464" s="773"/>
      <c r="ED464" s="773"/>
      <c r="EE464" s="773"/>
      <c r="EF464" s="773"/>
      <c r="EG464" s="773"/>
      <c r="EH464" s="773"/>
      <c r="EI464" s="773"/>
      <c r="EJ464" s="773"/>
      <c r="EK464" s="773"/>
      <c r="EL464" s="773"/>
      <c r="EM464" s="773"/>
      <c r="EN464" s="773"/>
      <c r="EO464" s="773"/>
      <c r="EP464" s="773"/>
      <c r="EQ464" s="773"/>
      <c r="ER464" s="773"/>
      <c r="ES464" s="773"/>
      <c r="ET464" s="773"/>
      <c r="EU464" s="773"/>
      <c r="EV464" s="773"/>
      <c r="EW464" s="773"/>
      <c r="EX464" s="773"/>
      <c r="EY464" s="773"/>
      <c r="EZ464" s="773"/>
      <c r="FA464" s="773"/>
      <c r="FB464" s="773"/>
      <c r="FC464" s="773"/>
      <c r="FD464" s="773"/>
      <c r="FE464" s="773"/>
      <c r="FF464" s="773"/>
      <c r="FG464" s="773"/>
      <c r="FH464" s="773"/>
      <c r="FI464" s="773"/>
      <c r="FJ464" s="773"/>
      <c r="FK464" s="773"/>
      <c r="FL464" s="773"/>
      <c r="FM464" s="773"/>
      <c r="FN464" s="773"/>
      <c r="FO464" s="773"/>
      <c r="FP464" s="773"/>
      <c r="FQ464" s="773"/>
      <c r="FR464" s="773"/>
      <c r="FS464" s="773"/>
      <c r="FT464" s="773"/>
      <c r="FU464" s="773"/>
      <c r="FV464" s="773"/>
      <c r="FW464" s="773"/>
      <c r="FX464" s="773"/>
      <c r="FY464" s="773"/>
      <c r="FZ464" s="773"/>
      <c r="GA464" s="773"/>
      <c r="GB464" s="773"/>
      <c r="GC464" s="773"/>
      <c r="GD464" s="773"/>
      <c r="GE464" s="773"/>
      <c r="GF464" s="773"/>
      <c r="GG464" s="773"/>
      <c r="GH464" s="773"/>
      <c r="GI464" s="773"/>
      <c r="GJ464" s="773"/>
      <c r="GK464" s="773"/>
      <c r="GL464" s="773"/>
      <c r="GM464" s="773"/>
      <c r="GN464" s="773"/>
      <c r="GO464" s="773"/>
      <c r="GP464" s="773"/>
      <c r="GQ464" s="773"/>
      <c r="GR464" s="773"/>
      <c r="GS464" s="773"/>
      <c r="GT464" s="773"/>
      <c r="GU464" s="773"/>
      <c r="GV464" s="773"/>
      <c r="GW464" s="773"/>
      <c r="GX464" s="773"/>
      <c r="GY464" s="773"/>
      <c r="GZ464" s="773"/>
    </row>
    <row r="465" spans="1:208" s="11" customFormat="1" ht="13.5" thickBot="1">
      <c r="A465" s="780"/>
      <c r="B465" s="3762" t="s">
        <v>720</v>
      </c>
      <c r="C465" s="603">
        <v>80061</v>
      </c>
      <c r="D465" s="199" t="s">
        <v>722</v>
      </c>
      <c r="E465" s="42">
        <f>IFERROR(VLOOKUP(C465,'AJE 12 - INC'!$D$168:$F$771,3,0),0)</f>
        <v>-43803.199999999997</v>
      </c>
      <c r="F465" s="108">
        <f>SUMIF('AJE 12 - INC'!B:B,'New TB INC'!C465,'AJE 12 - INC'!D:D)</f>
        <v>0</v>
      </c>
      <c r="G465" s="108"/>
      <c r="H465" s="108"/>
      <c r="I465" s="108"/>
      <c r="J465" s="798">
        <f>SUM(E465:I465)</f>
        <v>-43803.199999999997</v>
      </c>
      <c r="K465" s="976"/>
      <c r="L465" s="434"/>
      <c r="M465" s="808" t="s">
        <v>2671</v>
      </c>
      <c r="N465" s="11">
        <v>-42921.17</v>
      </c>
      <c r="O465" s="11">
        <v>-42921.17</v>
      </c>
      <c r="P465" s="11">
        <v>-42921.17</v>
      </c>
      <c r="Q465" s="11">
        <v>-41461.770000000004</v>
      </c>
      <c r="R465" s="11">
        <v>-38769.970000000016</v>
      </c>
      <c r="S465" s="11">
        <v>-29919.87000000001</v>
      </c>
      <c r="T465" s="772">
        <v>-29988.37000000001</v>
      </c>
      <c r="U465" s="772">
        <v>-14309.760000000009</v>
      </c>
      <c r="V465" s="2509">
        <v>-8830.8400000000256</v>
      </c>
      <c r="W465" s="2509">
        <v>-8782.789999999979</v>
      </c>
      <c r="X465" s="2509">
        <v>-7369.3399999999674</v>
      </c>
      <c r="Y465" s="2509">
        <v>-7369.3400000000256</v>
      </c>
      <c r="Z465" s="11">
        <f>'[26]New TB INC'!Z418</f>
        <v>-7369.34</v>
      </c>
      <c r="AA465" s="11">
        <f>'[27]New TB INC'!AA425</f>
        <v>-7369.34</v>
      </c>
      <c r="AB465" s="11">
        <f>'[28]New TB INC'!AB432</f>
        <v>-7067.68</v>
      </c>
      <c r="AC465" s="11">
        <f>'[29]New TB INC'!AC428</f>
        <v>-5130.5799999999981</v>
      </c>
      <c r="AD465" s="11">
        <f>'[30]New TB INC'!AD424</f>
        <v>-5063.760000000002</v>
      </c>
      <c r="AE465" s="11">
        <f>'[31]New TB INC'!AE431</f>
        <v>-2989.880000000001</v>
      </c>
      <c r="AF465" s="11">
        <v>-1952.2699999999968</v>
      </c>
      <c r="AG465" s="11">
        <v>-1372.0699999999997</v>
      </c>
      <c r="AH465" s="11">
        <v>-5931.4700000000012</v>
      </c>
      <c r="AI465" s="11">
        <v>-5650.1699999999983</v>
      </c>
      <c r="AJ465" s="11">
        <v>-5650.1700000000055</v>
      </c>
      <c r="AK465" s="11">
        <f>$J465-SUM($Z465:AJ465)</f>
        <v>11743.530000000006</v>
      </c>
      <c r="AP465" s="11">
        <f>$J465-SUM($Z465:AH465)</f>
        <v>443.19000000000233</v>
      </c>
      <c r="AW465" s="2509"/>
      <c r="BH465" s="2509"/>
      <c r="BI465" s="772"/>
      <c r="BJ465" s="772"/>
      <c r="BK465" s="772"/>
      <c r="BL465" s="772"/>
      <c r="BM465" s="773"/>
      <c r="BN465" s="209"/>
      <c r="BO465" s="209"/>
      <c r="BP465" s="209"/>
      <c r="BQ465" s="209"/>
      <c r="BR465" s="209"/>
      <c r="BS465" s="951"/>
      <c r="BT465" s="877" t="s">
        <v>1861</v>
      </c>
      <c r="BU465" s="268"/>
      <c r="BV465" s="209"/>
      <c r="BW465" s="209"/>
      <c r="BX465" s="820"/>
      <c r="DB465" s="773"/>
      <c r="DC465" s="773"/>
      <c r="DD465" s="773"/>
      <c r="DE465" s="773"/>
      <c r="DF465" s="773"/>
      <c r="DG465" s="773"/>
      <c r="DH465" s="773"/>
      <c r="DI465" s="773"/>
      <c r="DJ465" s="773"/>
      <c r="DK465" s="773"/>
      <c r="DL465" s="773"/>
      <c r="DM465" s="773"/>
      <c r="DN465" s="773"/>
      <c r="DO465" s="773"/>
      <c r="DP465" s="773"/>
      <c r="DQ465" s="773"/>
      <c r="DR465" s="773"/>
      <c r="DS465" s="773"/>
      <c r="DT465" s="773"/>
      <c r="DU465" s="773"/>
      <c r="DV465" s="773"/>
      <c r="DW465" s="773"/>
      <c r="DX465" s="773"/>
      <c r="DY465" s="773"/>
      <c r="DZ465" s="773"/>
      <c r="EA465" s="773"/>
      <c r="EB465" s="773"/>
      <c r="EC465" s="773"/>
      <c r="ED465" s="773"/>
      <c r="EE465" s="773"/>
      <c r="EF465" s="773"/>
      <c r="EG465" s="773"/>
      <c r="EH465" s="773"/>
      <c r="EI465" s="773"/>
      <c r="EJ465" s="773"/>
      <c r="EK465" s="773"/>
      <c r="EL465" s="773"/>
      <c r="EM465" s="773"/>
      <c r="EN465" s="773"/>
      <c r="EO465" s="773"/>
      <c r="EP465" s="773"/>
      <c r="EQ465" s="773"/>
      <c r="ER465" s="773"/>
      <c r="ES465" s="773"/>
      <c r="ET465" s="773"/>
      <c r="EU465" s="773"/>
      <c r="EV465" s="773"/>
      <c r="EW465" s="773"/>
      <c r="EX465" s="773"/>
      <c r="EY465" s="773"/>
      <c r="EZ465" s="773"/>
      <c r="FA465" s="773"/>
      <c r="FB465" s="773"/>
      <c r="FC465" s="773"/>
      <c r="FD465" s="773"/>
      <c r="FE465" s="773"/>
      <c r="FF465" s="773"/>
      <c r="FG465" s="773"/>
      <c r="FH465" s="773"/>
      <c r="FI465" s="773"/>
      <c r="FJ465" s="773"/>
      <c r="FK465" s="773"/>
      <c r="FL465" s="773"/>
      <c r="FM465" s="773"/>
      <c r="FN465" s="773"/>
      <c r="FO465" s="773"/>
      <c r="FP465" s="773"/>
      <c r="FQ465" s="773"/>
      <c r="FR465" s="773"/>
      <c r="FS465" s="773"/>
      <c r="FT465" s="773"/>
      <c r="FU465" s="773"/>
      <c r="FV465" s="773"/>
      <c r="FW465" s="773"/>
      <c r="FX465" s="773"/>
      <c r="FY465" s="773"/>
      <c r="FZ465" s="773"/>
      <c r="GA465" s="773"/>
      <c r="GB465" s="773"/>
      <c r="GC465" s="773"/>
      <c r="GD465" s="773"/>
      <c r="GE465" s="773"/>
      <c r="GF465" s="773"/>
      <c r="GG465" s="773"/>
      <c r="GH465" s="773"/>
      <c r="GI465" s="773"/>
      <c r="GJ465" s="773"/>
      <c r="GK465" s="773"/>
      <c r="GL465" s="773"/>
      <c r="GM465" s="773"/>
      <c r="GN465" s="773"/>
      <c r="GO465" s="773"/>
      <c r="GP465" s="773"/>
      <c r="GQ465" s="773"/>
      <c r="GR465" s="773"/>
      <c r="GS465" s="773"/>
      <c r="GT465" s="773"/>
      <c r="GU465" s="773"/>
      <c r="GV465" s="773"/>
      <c r="GW465" s="773"/>
      <c r="GX465" s="773"/>
      <c r="GY465" s="773"/>
      <c r="GZ465" s="773"/>
    </row>
    <row r="466" spans="1:208" s="11" customFormat="1" ht="13.5" thickBot="1">
      <c r="A466" s="780"/>
      <c r="B466" s="3762" t="s">
        <v>2367</v>
      </c>
      <c r="C466" s="603" t="s">
        <v>2618</v>
      </c>
      <c r="D466" s="199" t="s">
        <v>2658</v>
      </c>
      <c r="E466" s="42">
        <f>IFERROR(VLOOKUP(C466,'AJE 12 - INC'!$D$168:$F$771,3,0),0)</f>
        <v>-111934.3</v>
      </c>
      <c r="F466" s="108">
        <f>SUMIF('AJE 12 - INC'!B:B,'New TB INC'!C466,'AJE 12 - INC'!D:D)</f>
        <v>0</v>
      </c>
      <c r="G466" s="108"/>
      <c r="H466" s="108"/>
      <c r="I466" s="108"/>
      <c r="J466" s="798">
        <f>SUM(E466:I466)</f>
        <v>-111934.3</v>
      </c>
      <c r="K466" s="956">
        <f>SUM([148]Pivot!$G$15:$G$29,'[146]US215000577 - JE'!$N$3,'[34]Income receibales'!$AA$3139)+J466</f>
        <v>5.2793516937526874E-2</v>
      </c>
      <c r="L466" s="434"/>
      <c r="M466" s="2956" t="s">
        <v>2670</v>
      </c>
      <c r="T466" s="772"/>
      <c r="U466" s="772"/>
      <c r="V466" s="2509">
        <v>95975.29</v>
      </c>
      <c r="W466" s="2509">
        <v>82955.650000000009</v>
      </c>
      <c r="X466" s="2509">
        <v>-3039.140000000014</v>
      </c>
      <c r="Y466" s="2509">
        <v>-5889.1399999999849</v>
      </c>
      <c r="Z466" s="11">
        <f>'[26]New TB INC'!Z419</f>
        <v>-13261.14</v>
      </c>
      <c r="AA466" s="11">
        <f>'[27]New TB INC'!AA426</f>
        <v>-13261.14</v>
      </c>
      <c r="AB466" s="11">
        <f>'[28]New TB INC'!AB433</f>
        <v>-13046.380000000005</v>
      </c>
      <c r="AC466" s="11">
        <f>'[29]New TB INC'!AC429</f>
        <v>-11083.349999999999</v>
      </c>
      <c r="AD466" s="11">
        <f>'[30]New TB INC'!AD425</f>
        <v>-7199.7699999999968</v>
      </c>
      <c r="AE466" s="11">
        <f>'[31]New TB INC'!AE432</f>
        <v>-6059.7700000000041</v>
      </c>
      <c r="AF466" s="11">
        <v>-6059.7700000000041</v>
      </c>
      <c r="AG466" s="11">
        <v>-6059.7699999999895</v>
      </c>
      <c r="AH466" s="11">
        <v>-6059.7700000000041</v>
      </c>
      <c r="AI466" s="11">
        <v>-6059.7700000000041</v>
      </c>
      <c r="AJ466" s="11">
        <v>-6059.7699999999895</v>
      </c>
      <c r="AK466" s="11">
        <f>$J466-SUM($Z466:AJ466)</f>
        <v>-17723.900000000009</v>
      </c>
      <c r="AP466" s="11">
        <f>$J466-SUM($Z466:AH466)</f>
        <v>-29843.440000000002</v>
      </c>
      <c r="AW466" s="2509"/>
      <c r="BH466" s="2509"/>
      <c r="BI466" s="772"/>
      <c r="BJ466" s="772"/>
      <c r="BK466" s="772"/>
      <c r="BL466" s="772"/>
      <c r="BM466" s="773"/>
      <c r="BN466" s="209"/>
      <c r="BO466" s="209"/>
      <c r="BP466" s="209"/>
      <c r="BQ466" s="209"/>
      <c r="BR466" s="209"/>
      <c r="BS466" s="951"/>
      <c r="BT466" s="877"/>
      <c r="BU466" s="262"/>
      <c r="BV466" s="209"/>
      <c r="BW466" s="209"/>
      <c r="BX466" s="820"/>
      <c r="DB466" s="773"/>
      <c r="DC466" s="773"/>
      <c r="DD466" s="773"/>
      <c r="DE466" s="773"/>
      <c r="DF466" s="773"/>
      <c r="DG466" s="773"/>
      <c r="DH466" s="773"/>
      <c r="DI466" s="773"/>
      <c r="DJ466" s="773"/>
      <c r="DK466" s="773"/>
      <c r="DL466" s="773"/>
      <c r="DM466" s="773"/>
      <c r="DN466" s="773"/>
      <c r="DO466" s="773"/>
      <c r="DP466" s="773"/>
      <c r="DQ466" s="773"/>
      <c r="DR466" s="773"/>
      <c r="DS466" s="773"/>
      <c r="DT466" s="773"/>
      <c r="DU466" s="773"/>
      <c r="DV466" s="773"/>
      <c r="DW466" s="773"/>
      <c r="DX466" s="773"/>
      <c r="DY466" s="773"/>
      <c r="DZ466" s="773"/>
      <c r="EA466" s="773"/>
      <c r="EB466" s="773"/>
      <c r="EC466" s="773"/>
      <c r="ED466" s="773"/>
      <c r="EE466" s="773"/>
      <c r="EF466" s="773"/>
      <c r="EG466" s="773"/>
      <c r="EH466" s="773"/>
      <c r="EI466" s="773"/>
      <c r="EJ466" s="773"/>
      <c r="EK466" s="773"/>
      <c r="EL466" s="773"/>
      <c r="EM466" s="773"/>
      <c r="EN466" s="773"/>
      <c r="EO466" s="773"/>
      <c r="EP466" s="773"/>
      <c r="EQ466" s="773"/>
      <c r="ER466" s="773"/>
      <c r="ES466" s="773"/>
      <c r="ET466" s="773"/>
      <c r="EU466" s="773"/>
      <c r="EV466" s="773"/>
      <c r="EW466" s="773"/>
      <c r="EX466" s="773"/>
      <c r="EY466" s="773"/>
      <c r="EZ466" s="773"/>
      <c r="FA466" s="773"/>
      <c r="FB466" s="773"/>
      <c r="FC466" s="773"/>
      <c r="FD466" s="773"/>
      <c r="FE466" s="773"/>
      <c r="FF466" s="773"/>
      <c r="FG466" s="773"/>
      <c r="FH466" s="773"/>
      <c r="FI466" s="773"/>
      <c r="FJ466" s="773"/>
      <c r="FK466" s="773"/>
      <c r="FL466" s="773"/>
      <c r="FM466" s="773"/>
      <c r="FN466" s="773"/>
      <c r="FO466" s="773"/>
      <c r="FP466" s="773"/>
      <c r="FQ466" s="773"/>
      <c r="FR466" s="773"/>
      <c r="FS466" s="773"/>
      <c r="FT466" s="773"/>
      <c r="FU466" s="773"/>
      <c r="FV466" s="773"/>
      <c r="FW466" s="773"/>
      <c r="FX466" s="773"/>
      <c r="FY466" s="773"/>
      <c r="FZ466" s="773"/>
      <c r="GA466" s="773"/>
      <c r="GB466" s="773"/>
      <c r="GC466" s="773"/>
      <c r="GD466" s="773"/>
      <c r="GE466" s="773"/>
      <c r="GF466" s="773"/>
      <c r="GG466" s="773"/>
      <c r="GH466" s="773"/>
      <c r="GI466" s="773"/>
      <c r="GJ466" s="773"/>
      <c r="GK466" s="773"/>
      <c r="GL466" s="773"/>
      <c r="GM466" s="773"/>
      <c r="GN466" s="773"/>
      <c r="GO466" s="773"/>
      <c r="GP466" s="773"/>
      <c r="GQ466" s="773"/>
      <c r="GR466" s="773"/>
      <c r="GS466" s="773"/>
      <c r="GT466" s="773"/>
      <c r="GU466" s="773"/>
      <c r="GV466" s="773"/>
      <c r="GW466" s="773"/>
      <c r="GX466" s="773"/>
      <c r="GY466" s="773"/>
      <c r="GZ466" s="773"/>
    </row>
    <row r="467" spans="1:208" s="11" customFormat="1" ht="13.5" thickBot="1">
      <c r="A467" s="774"/>
      <c r="B467" s="3762"/>
      <c r="D467" s="2638" t="s">
        <v>3189</v>
      </c>
      <c r="E467" s="42"/>
      <c r="F467" s="108"/>
      <c r="G467" s="108"/>
      <c r="H467" s="108"/>
      <c r="I467" s="108"/>
      <c r="J467" s="798"/>
      <c r="K467" s="209"/>
      <c r="L467" s="434"/>
      <c r="M467" s="879"/>
      <c r="T467" s="772"/>
      <c r="U467" s="772"/>
      <c r="V467" s="2509"/>
      <c r="W467" s="2509"/>
      <c r="X467" s="2509"/>
      <c r="Y467" s="2509">
        <v>0</v>
      </c>
      <c r="Z467" s="11">
        <f>'[26]New TB INC'!Z420</f>
        <v>0</v>
      </c>
      <c r="AA467" s="11">
        <f>'[27]New TB INC'!AA427</f>
        <v>0</v>
      </c>
      <c r="AB467" s="11">
        <f>'[28]New TB INC'!AB434</f>
        <v>0</v>
      </c>
      <c r="AC467" s="11">
        <f>'[29]New TB INC'!AC430</f>
        <v>0</v>
      </c>
      <c r="AD467" s="11">
        <f>'[30]New TB INC'!AD426</f>
        <v>0</v>
      </c>
      <c r="AE467" s="11">
        <f>'[31]New TB INC'!AE433</f>
        <v>0</v>
      </c>
      <c r="AF467" s="11">
        <v>0</v>
      </c>
      <c r="AG467" s="11">
        <v>0</v>
      </c>
      <c r="AH467" s="11">
        <v>0</v>
      </c>
      <c r="AI467" s="11">
        <v>0</v>
      </c>
      <c r="AJ467" s="11">
        <v>0</v>
      </c>
      <c r="AK467" s="11">
        <f>$J467-SUM($Z467:AJ467)</f>
        <v>0</v>
      </c>
      <c r="AP467" s="11">
        <f>$J467-SUM($Z467:AH467)</f>
        <v>0</v>
      </c>
      <c r="AW467" s="2509"/>
      <c r="BH467" s="2509"/>
      <c r="BI467" s="772"/>
      <c r="BJ467" s="772"/>
      <c r="BK467" s="772"/>
      <c r="BL467" s="772"/>
      <c r="BM467" s="773"/>
      <c r="BN467" s="209"/>
      <c r="BO467" s="209"/>
      <c r="BP467" s="209"/>
      <c r="BQ467" s="209"/>
      <c r="BR467" s="209"/>
      <c r="BS467" s="820"/>
      <c r="BT467" s="799"/>
      <c r="BU467" s="262"/>
      <c r="CI467" s="878"/>
      <c r="CJ467" s="4"/>
      <c r="CK467" s="4"/>
      <c r="DB467" s="773"/>
      <c r="DC467" s="773"/>
      <c r="DD467" s="773"/>
      <c r="DE467" s="773"/>
      <c r="DF467" s="773"/>
      <c r="DG467" s="773"/>
      <c r="DH467" s="773"/>
      <c r="DI467" s="773"/>
      <c r="DJ467" s="773"/>
      <c r="DK467" s="773"/>
      <c r="DL467" s="773"/>
      <c r="DM467" s="773"/>
      <c r="DN467" s="773"/>
      <c r="DO467" s="773"/>
      <c r="DP467" s="773"/>
      <c r="DQ467" s="773"/>
      <c r="DR467" s="773"/>
      <c r="DS467" s="773"/>
      <c r="DT467" s="773"/>
      <c r="DU467" s="773"/>
      <c r="DV467" s="773"/>
      <c r="DW467" s="773"/>
      <c r="DX467" s="773"/>
      <c r="DY467" s="773"/>
      <c r="DZ467" s="773"/>
      <c r="EA467" s="773"/>
      <c r="EB467" s="773"/>
      <c r="EC467" s="773"/>
      <c r="ED467" s="773"/>
      <c r="EE467" s="773"/>
      <c r="EF467" s="773"/>
      <c r="EG467" s="773"/>
      <c r="EH467" s="773"/>
      <c r="EI467" s="773"/>
      <c r="EJ467" s="773"/>
      <c r="EK467" s="773"/>
      <c r="EL467" s="773"/>
      <c r="EM467" s="773"/>
      <c r="EN467" s="773"/>
      <c r="EO467" s="773"/>
      <c r="EP467" s="773"/>
      <c r="EQ467" s="773"/>
      <c r="ER467" s="773"/>
      <c r="ES467" s="773"/>
      <c r="ET467" s="773"/>
      <c r="EU467" s="773"/>
      <c r="EV467" s="773"/>
      <c r="EW467" s="773"/>
      <c r="EX467" s="773"/>
      <c r="EY467" s="773"/>
      <c r="EZ467" s="773"/>
      <c r="FA467" s="773"/>
      <c r="FB467" s="773"/>
      <c r="FC467" s="773"/>
      <c r="FD467" s="773"/>
      <c r="FE467" s="773"/>
      <c r="FF467" s="773"/>
      <c r="FG467" s="773"/>
      <c r="FH467" s="773"/>
      <c r="FI467" s="773"/>
      <c r="FJ467" s="773"/>
      <c r="FK467" s="773"/>
      <c r="FL467" s="773"/>
      <c r="FM467" s="773"/>
      <c r="FN467" s="773"/>
      <c r="FO467" s="773"/>
      <c r="FP467" s="773"/>
      <c r="FQ467" s="773"/>
      <c r="FR467" s="773"/>
      <c r="FS467" s="773"/>
      <c r="FT467" s="773"/>
      <c r="FU467" s="773"/>
      <c r="FV467" s="773"/>
      <c r="FW467" s="773"/>
      <c r="FX467" s="773"/>
      <c r="FY467" s="773"/>
      <c r="FZ467" s="773"/>
      <c r="GA467" s="773"/>
      <c r="GB467" s="773"/>
      <c r="GC467" s="773"/>
      <c r="GD467" s="773"/>
      <c r="GE467" s="773"/>
      <c r="GF467" s="773"/>
      <c r="GG467" s="773"/>
      <c r="GH467" s="773"/>
      <c r="GI467" s="773"/>
      <c r="GJ467" s="773"/>
      <c r="GK467" s="773"/>
      <c r="GL467" s="773"/>
      <c r="GM467" s="773"/>
      <c r="GN467" s="773"/>
      <c r="GO467" s="773"/>
      <c r="GP467" s="773"/>
      <c r="GQ467" s="773"/>
      <c r="GR467" s="773"/>
      <c r="GS467" s="773"/>
      <c r="GT467" s="773"/>
      <c r="GU467" s="773"/>
      <c r="GV467" s="773"/>
      <c r="GW467" s="773"/>
      <c r="GX467" s="773"/>
      <c r="GY467" s="773"/>
      <c r="GZ467" s="773"/>
    </row>
    <row r="468" spans="1:208" s="11" customFormat="1">
      <c r="A468" s="780"/>
      <c r="B468" s="3762" t="s">
        <v>720</v>
      </c>
      <c r="C468" s="603">
        <v>80064</v>
      </c>
      <c r="D468" s="199" t="s">
        <v>725</v>
      </c>
      <c r="E468" s="42">
        <f>IFERROR(VLOOKUP(C468,'AJE 12 - INC'!$D$168:$F$771,3,0),0)</f>
        <v>-30348.47</v>
      </c>
      <c r="F468" s="108">
        <f>SUMIF('AJE 12 - INC'!B:B,'New TB INC'!C468,'AJE 12 - INC'!D:D)</f>
        <v>0</v>
      </c>
      <c r="G468" s="108"/>
      <c r="H468" s="108"/>
      <c r="I468" s="108"/>
      <c r="J468" s="798">
        <f>SUM(E468:I468)</f>
        <v>-30348.47</v>
      </c>
      <c r="K468" s="2172"/>
      <c r="L468" s="434"/>
      <c r="M468" s="771"/>
      <c r="N468" s="11">
        <v>-11982.4</v>
      </c>
      <c r="O468" s="11">
        <v>-11930.570000000002</v>
      </c>
      <c r="P468" s="11">
        <v>-11248.19</v>
      </c>
      <c r="Q468" s="11">
        <v>-10348.619999999997</v>
      </c>
      <c r="R468" s="11">
        <v>-9192.65</v>
      </c>
      <c r="S468" s="11">
        <v>-8855.0500000000047</v>
      </c>
      <c r="T468" s="772">
        <v>-8695.590000000002</v>
      </c>
      <c r="U468" s="772">
        <v>-8625.4199999999983</v>
      </c>
      <c r="V468" s="2509">
        <v>-8555.5699999999924</v>
      </c>
      <c r="W468" s="2509">
        <v>-8513.2900000000081</v>
      </c>
      <c r="X468" s="2509">
        <v>-5488.2200000000012</v>
      </c>
      <c r="Y468" s="2509">
        <v>-2851.679999999993</v>
      </c>
      <c r="Z468" s="11">
        <f>'[26]New TB INC'!Z421</f>
        <v>-2728.12</v>
      </c>
      <c r="AA468" s="11">
        <f>'[27]New TB INC'!AA428</f>
        <v>-2550.37</v>
      </c>
      <c r="AB468" s="11">
        <f>'[28]New TB INC'!AB435</f>
        <v>-2550.37</v>
      </c>
      <c r="AC468" s="11">
        <f>'[29]New TB INC'!AC431</f>
        <v>-2550.37</v>
      </c>
      <c r="AD468" s="11">
        <f>'[30]New TB INC'!AD427</f>
        <v>-2550.3700000000008</v>
      </c>
      <c r="AE468" s="11">
        <f>'[31]New TB INC'!AE434</f>
        <v>-2548.4400000000005</v>
      </c>
      <c r="AF468" s="11">
        <v>-2491.7199999999975</v>
      </c>
      <c r="AG468" s="11">
        <v>-2491.7200000000012</v>
      </c>
      <c r="AH468" s="11">
        <v>-2491.7200000000012</v>
      </c>
      <c r="AI468" s="11">
        <v>-2491.7199999999975</v>
      </c>
      <c r="AJ468" s="11">
        <v>-2489.130000000001</v>
      </c>
      <c r="AK468" s="11">
        <f>$J468-SUM($Z468:AJ468)</f>
        <v>-2414.4200000000019</v>
      </c>
      <c r="AP468" s="11">
        <f>$J468-SUM($Z468:AH468)</f>
        <v>-7395.27</v>
      </c>
      <c r="AW468" s="2813" t="s">
        <v>3115</v>
      </c>
      <c r="BH468" s="2509"/>
      <c r="BI468" s="772"/>
      <c r="BJ468" s="772"/>
      <c r="BK468" s="772"/>
      <c r="BL468" s="772"/>
      <c r="BM468" s="773"/>
      <c r="BN468" s="209"/>
      <c r="BO468" s="209"/>
      <c r="BP468" s="209"/>
      <c r="BQ468" s="209"/>
      <c r="BR468" s="209"/>
      <c r="BS468" s="950"/>
      <c r="BT468" s="880" t="s">
        <v>1862</v>
      </c>
      <c r="BU468" s="270"/>
      <c r="BV468" s="209"/>
      <c r="BW468" s="209"/>
      <c r="BX468" s="820"/>
      <c r="DB468" s="773"/>
      <c r="DC468" s="773"/>
      <c r="DD468" s="773"/>
      <c r="DE468" s="773"/>
      <c r="DF468" s="773"/>
      <c r="DG468" s="773"/>
      <c r="DH468" s="773"/>
      <c r="DI468" s="773"/>
      <c r="DJ468" s="773"/>
      <c r="DK468" s="773"/>
      <c r="DL468" s="773"/>
      <c r="DM468" s="773"/>
      <c r="DN468" s="773"/>
      <c r="DO468" s="773"/>
      <c r="DP468" s="773"/>
      <c r="DQ468" s="773"/>
      <c r="DR468" s="773"/>
      <c r="DS468" s="773"/>
      <c r="DT468" s="773"/>
      <c r="DU468" s="773"/>
      <c r="DV468" s="773"/>
      <c r="DW468" s="773"/>
      <c r="DX468" s="773"/>
      <c r="DY468" s="773"/>
      <c r="DZ468" s="773"/>
      <c r="EA468" s="773"/>
      <c r="EB468" s="773"/>
      <c r="EC468" s="773"/>
      <c r="ED468" s="773"/>
      <c r="EE468" s="773"/>
      <c r="EF468" s="773"/>
      <c r="EG468" s="773"/>
      <c r="EH468" s="773"/>
      <c r="EI468" s="773"/>
      <c r="EJ468" s="773"/>
      <c r="EK468" s="773"/>
      <c r="EL468" s="773"/>
      <c r="EM468" s="773"/>
      <c r="EN468" s="773"/>
      <c r="EO468" s="773"/>
      <c r="EP468" s="773"/>
      <c r="EQ468" s="773"/>
      <c r="ER468" s="773"/>
      <c r="ES468" s="773"/>
      <c r="ET468" s="773"/>
      <c r="EU468" s="773"/>
      <c r="EV468" s="773"/>
      <c r="EW468" s="773"/>
      <c r="EX468" s="773"/>
      <c r="EY468" s="773"/>
      <c r="EZ468" s="773"/>
      <c r="FA468" s="773"/>
      <c r="FB468" s="773"/>
      <c r="FC468" s="773"/>
      <c r="FD468" s="773"/>
      <c r="FE468" s="773"/>
      <c r="FF468" s="773"/>
      <c r="FG468" s="773"/>
      <c r="FH468" s="773"/>
      <c r="FI468" s="773"/>
      <c r="FJ468" s="773"/>
      <c r="FK468" s="773"/>
      <c r="FL468" s="773"/>
      <c r="FM468" s="773"/>
      <c r="FN468" s="773"/>
      <c r="FO468" s="773"/>
      <c r="FP468" s="773"/>
      <c r="FQ468" s="773"/>
      <c r="FR468" s="773"/>
      <c r="FS468" s="773"/>
      <c r="FT468" s="773"/>
      <c r="FU468" s="773"/>
      <c r="FV468" s="773"/>
      <c r="FW468" s="773"/>
      <c r="FX468" s="773"/>
      <c r="FY468" s="773"/>
      <c r="FZ468" s="773"/>
      <c r="GA468" s="773"/>
      <c r="GB468" s="773"/>
      <c r="GC468" s="773"/>
      <c r="GD468" s="773"/>
      <c r="GE468" s="773"/>
      <c r="GF468" s="773"/>
      <c r="GG468" s="773"/>
      <c r="GH468" s="773"/>
      <c r="GI468" s="773"/>
      <c r="GJ468" s="773"/>
      <c r="GK468" s="773"/>
      <c r="GL468" s="773"/>
      <c r="GM468" s="773"/>
      <c r="GN468" s="773"/>
      <c r="GO468" s="773"/>
      <c r="GP468" s="773"/>
      <c r="GQ468" s="773"/>
      <c r="GR468" s="773"/>
      <c r="GS468" s="773"/>
      <c r="GT468" s="773"/>
      <c r="GU468" s="773"/>
      <c r="GV468" s="773"/>
      <c r="GW468" s="773"/>
      <c r="GX468" s="773"/>
      <c r="GY468" s="773"/>
      <c r="GZ468" s="773"/>
    </row>
    <row r="469" spans="1:208" s="11" customFormat="1">
      <c r="A469" s="780"/>
      <c r="B469" s="3762" t="s">
        <v>720</v>
      </c>
      <c r="C469" s="603">
        <v>80065</v>
      </c>
      <c r="D469" s="199" t="s">
        <v>1628</v>
      </c>
      <c r="E469" s="42">
        <f>IFERROR(VLOOKUP(C469,'AJE 12 - INC'!$D$168:$F$771,3,0),0)</f>
        <v>-862460.82</v>
      </c>
      <c r="F469" s="108">
        <f>SUMIF('AJE 12 - INC'!B:B,'New TB INC'!C469,'AJE 12 - INC'!D:D)</f>
        <v>0</v>
      </c>
      <c r="G469" s="108"/>
      <c r="H469" s="108"/>
      <c r="I469" s="108"/>
      <c r="J469" s="798">
        <f>SUM(E469:I469)</f>
        <v>-862460.82</v>
      </c>
      <c r="K469" s="2172"/>
      <c r="L469" s="434"/>
      <c r="M469" s="2171"/>
      <c r="N469" s="11">
        <v>-45685.599999999999</v>
      </c>
      <c r="O469" s="11">
        <v>-44552.37</v>
      </c>
      <c r="P469" s="11">
        <v>-45742.109999999979</v>
      </c>
      <c r="Q469" s="11">
        <v>-52365.320000000014</v>
      </c>
      <c r="R469" s="11">
        <v>-51057.05999999999</v>
      </c>
      <c r="S469" s="11">
        <v>-52611.100000000013</v>
      </c>
      <c r="T469" s="772">
        <v>-52174.830000000038</v>
      </c>
      <c r="U469" s="772">
        <v>-50027.27999999997</v>
      </c>
      <c r="V469" s="2509">
        <v>-54180.570000000007</v>
      </c>
      <c r="W469" s="2509">
        <v>-54672.19</v>
      </c>
      <c r="X469" s="2509">
        <v>-63278.090000000026</v>
      </c>
      <c r="Y469" s="2509">
        <v>-87380.609999999986</v>
      </c>
      <c r="Z469" s="11">
        <f>'[26]New TB INC'!Z422</f>
        <v>-71181.61</v>
      </c>
      <c r="AA469" s="11">
        <f>'[27]New TB INC'!AA429</f>
        <v>-68260.479999999996</v>
      </c>
      <c r="AB469" s="11">
        <f>'[28]New TB INC'!AB436</f>
        <v>-68622.709999999992</v>
      </c>
      <c r="AC469" s="11">
        <f>'[29]New TB INC'!AC432</f>
        <v>-74054.559999999998</v>
      </c>
      <c r="AD469" s="11">
        <f>'[30]New TB INC'!AD428</f>
        <v>-73307.69</v>
      </c>
      <c r="AE469" s="11">
        <f>'[31]New TB INC'!AE435</f>
        <v>-71938</v>
      </c>
      <c r="AF469" s="11">
        <v>-71937.330000000016</v>
      </c>
      <c r="AG469" s="11">
        <v>-72801.059999999939</v>
      </c>
      <c r="AH469" s="11">
        <v>-73141.470000000088</v>
      </c>
      <c r="AI469" s="11">
        <v>-65378</v>
      </c>
      <c r="AJ469" s="11">
        <v>-77895.62</v>
      </c>
      <c r="AK469" s="11">
        <f>$J469-SUM($Z469:AJ469)</f>
        <v>-73942.289999999921</v>
      </c>
      <c r="AP469" s="11">
        <f>$J469-SUM($Z469:AH469)</f>
        <v>-217215.90999999992</v>
      </c>
      <c r="AW469" s="2509"/>
      <c r="BH469" s="2509"/>
      <c r="BI469" s="772"/>
      <c r="BJ469" s="772"/>
      <c r="BK469" s="772"/>
      <c r="BL469" s="772"/>
      <c r="BM469" s="773"/>
      <c r="BN469" s="209"/>
      <c r="BO469" s="209"/>
      <c r="BP469" s="209"/>
      <c r="BQ469" s="209"/>
      <c r="BR469" s="209"/>
      <c r="BS469" s="951"/>
      <c r="BT469" s="877"/>
      <c r="BU469" s="262"/>
      <c r="BV469" s="209"/>
      <c r="BW469" s="209"/>
      <c r="BX469" s="820"/>
      <c r="DB469" s="773"/>
      <c r="DC469" s="773"/>
      <c r="DD469" s="773"/>
      <c r="DE469" s="773"/>
      <c r="DF469" s="773"/>
      <c r="DG469" s="773"/>
      <c r="DH469" s="773"/>
      <c r="DI469" s="773"/>
      <c r="DJ469" s="773"/>
      <c r="DK469" s="773"/>
      <c r="DL469" s="773"/>
      <c r="DM469" s="773"/>
      <c r="DN469" s="773"/>
      <c r="DO469" s="773"/>
      <c r="DP469" s="773"/>
      <c r="DQ469" s="773"/>
      <c r="DR469" s="773"/>
      <c r="DS469" s="773"/>
      <c r="DT469" s="773"/>
      <c r="DU469" s="773"/>
      <c r="DV469" s="773"/>
      <c r="DW469" s="773"/>
      <c r="DX469" s="773"/>
      <c r="DY469" s="773"/>
      <c r="DZ469" s="773"/>
      <c r="EA469" s="773"/>
      <c r="EB469" s="773"/>
      <c r="EC469" s="773"/>
      <c r="ED469" s="773"/>
      <c r="EE469" s="773"/>
      <c r="EF469" s="773"/>
      <c r="EG469" s="773"/>
      <c r="EH469" s="773"/>
      <c r="EI469" s="773"/>
      <c r="EJ469" s="773"/>
      <c r="EK469" s="773"/>
      <c r="EL469" s="773"/>
      <c r="EM469" s="773"/>
      <c r="EN469" s="773"/>
      <c r="EO469" s="773"/>
      <c r="EP469" s="773"/>
      <c r="EQ469" s="773"/>
      <c r="ER469" s="773"/>
      <c r="ES469" s="773"/>
      <c r="ET469" s="773"/>
      <c r="EU469" s="773"/>
      <c r="EV469" s="773"/>
      <c r="EW469" s="773"/>
      <c r="EX469" s="773"/>
      <c r="EY469" s="773"/>
      <c r="EZ469" s="773"/>
      <c r="FA469" s="773"/>
      <c r="FB469" s="773"/>
      <c r="FC469" s="773"/>
      <c r="FD469" s="773"/>
      <c r="FE469" s="773"/>
      <c r="FF469" s="773"/>
      <c r="FG469" s="773"/>
      <c r="FH469" s="773"/>
      <c r="FI469" s="773"/>
      <c r="FJ469" s="773"/>
      <c r="FK469" s="773"/>
      <c r="FL469" s="773"/>
      <c r="FM469" s="773"/>
      <c r="FN469" s="773"/>
      <c r="FO469" s="773"/>
      <c r="FP469" s="773"/>
      <c r="FQ469" s="773"/>
      <c r="FR469" s="773"/>
      <c r="FS469" s="773"/>
      <c r="FT469" s="773"/>
      <c r="FU469" s="773"/>
      <c r="FV469" s="773"/>
      <c r="FW469" s="773"/>
      <c r="FX469" s="773"/>
      <c r="FY469" s="773"/>
      <c r="FZ469" s="773"/>
      <c r="GA469" s="773"/>
      <c r="GB469" s="773"/>
      <c r="GC469" s="773"/>
      <c r="GD469" s="773"/>
      <c r="GE469" s="773"/>
      <c r="GF469" s="773"/>
      <c r="GG469" s="773"/>
      <c r="GH469" s="773"/>
      <c r="GI469" s="773"/>
      <c r="GJ469" s="773"/>
      <c r="GK469" s="773"/>
      <c r="GL469" s="773"/>
      <c r="GM469" s="773"/>
      <c r="GN469" s="773"/>
      <c r="GO469" s="773"/>
      <c r="GP469" s="773"/>
      <c r="GQ469" s="773"/>
      <c r="GR469" s="773"/>
      <c r="GS469" s="773"/>
      <c r="GT469" s="773"/>
      <c r="GU469" s="773"/>
      <c r="GV469" s="773"/>
      <c r="GW469" s="773"/>
      <c r="GX469" s="773"/>
      <c r="GY469" s="773"/>
      <c r="GZ469" s="773"/>
    </row>
    <row r="470" spans="1:208" s="11" customFormat="1" ht="13.5" thickBot="1">
      <c r="A470" s="780"/>
      <c r="B470" s="3762" t="s">
        <v>713</v>
      </c>
      <c r="C470" s="603">
        <v>80160</v>
      </c>
      <c r="D470" s="199" t="s">
        <v>535</v>
      </c>
      <c r="E470" s="42">
        <f>IFERROR(VLOOKUP(C470,'AJE 12 - INC'!$D$168:$F$771,3,0),0)</f>
        <v>-18135.98</v>
      </c>
      <c r="F470" s="108">
        <f>SUMIF('AJE 12 - INC'!B:B,'New TB INC'!C470,'AJE 12 - INC'!D:D)</f>
        <v>0</v>
      </c>
      <c r="G470" s="108"/>
      <c r="H470" s="108"/>
      <c r="I470" s="108"/>
      <c r="J470" s="798">
        <f>SUM(E470:I470)</f>
        <v>-18135.98</v>
      </c>
      <c r="K470" s="209"/>
      <c r="L470" s="434"/>
      <c r="M470" s="264"/>
      <c r="N470" s="11">
        <v>-4000</v>
      </c>
      <c r="O470" s="11">
        <v>-1400.0100000000002</v>
      </c>
      <c r="P470" s="11">
        <v>-36900</v>
      </c>
      <c r="Q470" s="11">
        <v>0</v>
      </c>
      <c r="R470" s="11">
        <v>-1000</v>
      </c>
      <c r="S470" s="11">
        <v>-11200</v>
      </c>
      <c r="T470" s="772">
        <v>0</v>
      </c>
      <c r="U470" s="772">
        <v>-22199.230000000003</v>
      </c>
      <c r="V470" s="2509">
        <v>0</v>
      </c>
      <c r="W470" s="2509">
        <v>0</v>
      </c>
      <c r="X470" s="2509">
        <v>-27900</v>
      </c>
      <c r="Y470" s="2509">
        <v>-5750</v>
      </c>
      <c r="Z470" s="11">
        <f>'[26]New TB INC'!Z423</f>
        <v>-499.98</v>
      </c>
      <c r="AA470" s="11">
        <f>'[27]New TB INC'!AA430</f>
        <v>-2025</v>
      </c>
      <c r="AB470" s="11">
        <f>'[28]New TB INC'!AB437</f>
        <v>-3082.4599999999996</v>
      </c>
      <c r="AC470" s="11">
        <f>'[29]New TB INC'!AC433</f>
        <v>2182.5199999999995</v>
      </c>
      <c r="AD470" s="11">
        <f>'[30]New TB INC'!AD429</f>
        <v>-8500.0499999999993</v>
      </c>
      <c r="AE470" s="11">
        <f>'[31]New TB INC'!AE436</f>
        <v>-6212.5000000000018</v>
      </c>
      <c r="AF470" s="11">
        <v>1.2000000000007276</v>
      </c>
      <c r="AG470" s="11">
        <v>0.29000000000087311</v>
      </c>
      <c r="AH470" s="11">
        <v>0</v>
      </c>
      <c r="AI470" s="11">
        <v>0</v>
      </c>
      <c r="AJ470" s="11">
        <v>0</v>
      </c>
      <c r="AK470" s="11">
        <f>$J470-SUM($Z470:AJ470)</f>
        <v>0</v>
      </c>
      <c r="AP470" s="11">
        <f>$J470-SUM($Z470:AH470)</f>
        <v>0</v>
      </c>
      <c r="AW470" s="2509"/>
      <c r="BH470" s="2509"/>
      <c r="BI470" s="772"/>
      <c r="BJ470" s="772"/>
      <c r="BK470" s="772"/>
      <c r="BL470" s="772"/>
      <c r="BM470" s="773"/>
      <c r="BN470" s="209"/>
      <c r="BO470" s="209"/>
      <c r="BP470" s="209"/>
      <c r="BQ470" s="209"/>
      <c r="BR470" s="209"/>
      <c r="BS470" s="949"/>
      <c r="BT470" s="858"/>
      <c r="BU470" s="853"/>
      <c r="BV470" s="209"/>
      <c r="BW470" s="209"/>
      <c r="BX470" s="820"/>
      <c r="DB470" s="773"/>
      <c r="DC470" s="773"/>
      <c r="DD470" s="773"/>
      <c r="DE470" s="773"/>
      <c r="DF470" s="773"/>
      <c r="DG470" s="773"/>
      <c r="DH470" s="773"/>
      <c r="DI470" s="773"/>
      <c r="DJ470" s="773"/>
      <c r="DK470" s="773"/>
      <c r="DL470" s="773"/>
      <c r="DM470" s="773"/>
      <c r="DN470" s="773"/>
      <c r="DO470" s="773"/>
      <c r="DP470" s="773"/>
      <c r="DQ470" s="773"/>
      <c r="DR470" s="773"/>
      <c r="DS470" s="773"/>
      <c r="DT470" s="773"/>
      <c r="DU470" s="773"/>
      <c r="DV470" s="773"/>
      <c r="DW470" s="773"/>
      <c r="DX470" s="773"/>
      <c r="DY470" s="773"/>
      <c r="DZ470" s="773"/>
      <c r="EA470" s="773"/>
      <c r="EB470" s="773"/>
      <c r="EC470" s="773"/>
      <c r="ED470" s="773"/>
      <c r="EE470" s="773"/>
      <c r="EF470" s="773"/>
      <c r="EG470" s="773"/>
      <c r="EH470" s="773"/>
      <c r="EI470" s="773"/>
      <c r="EJ470" s="773"/>
      <c r="EK470" s="773"/>
      <c r="EL470" s="773"/>
      <c r="EM470" s="773"/>
      <c r="EN470" s="773"/>
      <c r="EO470" s="773"/>
      <c r="EP470" s="773"/>
      <c r="EQ470" s="773"/>
      <c r="ER470" s="773"/>
      <c r="ES470" s="773"/>
      <c r="ET470" s="773"/>
      <c r="EU470" s="773"/>
      <c r="EV470" s="773"/>
      <c r="EW470" s="773"/>
      <c r="EX470" s="773"/>
      <c r="EY470" s="773"/>
      <c r="EZ470" s="773"/>
      <c r="FA470" s="773"/>
      <c r="FB470" s="773"/>
      <c r="FC470" s="773"/>
      <c r="FD470" s="773"/>
      <c r="FE470" s="773"/>
      <c r="FF470" s="773"/>
      <c r="FG470" s="773"/>
      <c r="FH470" s="773"/>
      <c r="FI470" s="773"/>
      <c r="FJ470" s="773"/>
      <c r="FK470" s="773"/>
      <c r="FL470" s="773"/>
      <c r="FM470" s="773"/>
      <c r="FN470" s="773"/>
      <c r="FO470" s="773"/>
      <c r="FP470" s="773"/>
      <c r="FQ470" s="773"/>
      <c r="FR470" s="773"/>
      <c r="FS470" s="773"/>
      <c r="FT470" s="773"/>
      <c r="FU470" s="773"/>
      <c r="FV470" s="773"/>
      <c r="FW470" s="773"/>
      <c r="FX470" s="773"/>
      <c r="FY470" s="773"/>
      <c r="FZ470" s="773"/>
      <c r="GA470" s="773"/>
      <c r="GB470" s="773"/>
      <c r="GC470" s="773"/>
      <c r="GD470" s="773"/>
      <c r="GE470" s="773"/>
      <c r="GF470" s="773"/>
      <c r="GG470" s="773"/>
      <c r="GH470" s="773"/>
      <c r="GI470" s="773"/>
      <c r="GJ470" s="773"/>
      <c r="GK470" s="773"/>
      <c r="GL470" s="773"/>
      <c r="GM470" s="773"/>
      <c r="GN470" s="773"/>
      <c r="GO470" s="773"/>
      <c r="GP470" s="773"/>
      <c r="GQ470" s="773"/>
      <c r="GR470" s="773"/>
      <c r="GS470" s="773"/>
      <c r="GT470" s="773"/>
      <c r="GU470" s="773"/>
      <c r="GV470" s="773"/>
      <c r="GW470" s="773"/>
      <c r="GX470" s="773"/>
      <c r="GY470" s="773"/>
      <c r="GZ470" s="773"/>
    </row>
    <row r="471" spans="1:208" s="11" customFormat="1">
      <c r="A471" s="780"/>
      <c r="B471" s="3761"/>
      <c r="C471" s="197"/>
      <c r="D471" s="2638" t="s">
        <v>2475</v>
      </c>
      <c r="E471" s="42"/>
      <c r="F471" s="108"/>
      <c r="G471" s="108"/>
      <c r="H471" s="108"/>
      <c r="I471" s="108"/>
      <c r="J471" s="798"/>
      <c r="K471" s="2172"/>
      <c r="L471" s="434"/>
      <c r="M471" s="2171"/>
      <c r="T471" s="772"/>
      <c r="U471" s="772"/>
      <c r="V471" s="2509"/>
      <c r="W471" s="2509"/>
      <c r="X471" s="2509">
        <v>0</v>
      </c>
      <c r="Y471" s="2509">
        <v>0</v>
      </c>
      <c r="Z471" s="11">
        <f>'[26]New TB INC'!Z425</f>
        <v>0</v>
      </c>
      <c r="AA471" s="11">
        <f>'[27]New TB INC'!AA432</f>
        <v>0</v>
      </c>
      <c r="AB471" s="11">
        <f>'[28]New TB INC'!AB439</f>
        <v>0</v>
      </c>
      <c r="AC471" s="11">
        <f>'[29]New TB INC'!AC435</f>
        <v>0</v>
      </c>
      <c r="AD471" s="11">
        <f>'[30]New TB INC'!AD430</f>
        <v>0</v>
      </c>
      <c r="AE471" s="11">
        <f>'[31]New TB INC'!AE437</f>
        <v>0</v>
      </c>
      <c r="AF471" s="11">
        <v>0</v>
      </c>
      <c r="AG471" s="11">
        <v>0</v>
      </c>
      <c r="AH471" s="11">
        <v>0</v>
      </c>
      <c r="AI471" s="11">
        <v>0</v>
      </c>
      <c r="AJ471" s="11">
        <v>0</v>
      </c>
      <c r="AK471" s="11">
        <f>$J471-SUM($Z471:AJ471)</f>
        <v>0</v>
      </c>
      <c r="AP471" s="11">
        <f>$J471-SUM($Z471:AH471)</f>
        <v>0</v>
      </c>
      <c r="AW471" s="2509"/>
      <c r="BH471" s="2509"/>
      <c r="BI471" s="772"/>
      <c r="BJ471" s="772"/>
      <c r="BK471" s="772"/>
      <c r="BL471" s="772"/>
      <c r="BM471" s="773"/>
      <c r="BN471" s="209"/>
      <c r="BO471" s="209"/>
      <c r="BP471" s="209"/>
      <c r="BQ471" s="209"/>
      <c r="BR471" s="209"/>
      <c r="BS471" s="951"/>
      <c r="BT471" s="877"/>
      <c r="BU471" s="262"/>
      <c r="BV471" s="209"/>
      <c r="BW471" s="209"/>
      <c r="BX471" s="820"/>
      <c r="DB471" s="773"/>
      <c r="DC471" s="773"/>
      <c r="DD471" s="773"/>
      <c r="DE471" s="773"/>
      <c r="DF471" s="773"/>
      <c r="DG471" s="773"/>
      <c r="DH471" s="773"/>
      <c r="DI471" s="773"/>
      <c r="DJ471" s="773"/>
      <c r="DK471" s="773"/>
      <c r="DL471" s="773"/>
      <c r="DM471" s="773"/>
      <c r="DN471" s="773"/>
      <c r="DO471" s="773"/>
      <c r="DP471" s="773"/>
      <c r="DQ471" s="773"/>
      <c r="DR471" s="773"/>
      <c r="DS471" s="773"/>
      <c r="DT471" s="773"/>
      <c r="DU471" s="773"/>
      <c r="DV471" s="773"/>
      <c r="DW471" s="773"/>
      <c r="DX471" s="773"/>
      <c r="DY471" s="773"/>
      <c r="DZ471" s="773"/>
      <c r="EA471" s="773"/>
      <c r="EB471" s="773"/>
      <c r="EC471" s="773"/>
      <c r="ED471" s="773"/>
      <c r="EE471" s="773"/>
      <c r="EF471" s="773"/>
      <c r="EG471" s="773"/>
      <c r="EH471" s="773"/>
      <c r="EI471" s="773"/>
      <c r="EJ471" s="773"/>
      <c r="EK471" s="773"/>
      <c r="EL471" s="773"/>
      <c r="EM471" s="773"/>
      <c r="EN471" s="773"/>
      <c r="EO471" s="773"/>
      <c r="EP471" s="773"/>
      <c r="EQ471" s="773"/>
      <c r="ER471" s="773"/>
      <c r="ES471" s="773"/>
      <c r="ET471" s="773"/>
      <c r="EU471" s="773"/>
      <c r="EV471" s="773"/>
      <c r="EW471" s="773"/>
      <c r="EX471" s="773"/>
      <c r="EY471" s="773"/>
      <c r="EZ471" s="773"/>
      <c r="FA471" s="773"/>
      <c r="FB471" s="773"/>
      <c r="FC471" s="773"/>
      <c r="FD471" s="773"/>
      <c r="FE471" s="773"/>
      <c r="FF471" s="773"/>
      <c r="FG471" s="773"/>
      <c r="FH471" s="773"/>
      <c r="FI471" s="773"/>
      <c r="FJ471" s="773"/>
      <c r="FK471" s="773"/>
      <c r="FL471" s="773"/>
      <c r="FM471" s="773"/>
      <c r="FN471" s="773"/>
      <c r="FO471" s="773"/>
      <c r="FP471" s="773"/>
      <c r="FQ471" s="773"/>
      <c r="FR471" s="773"/>
      <c r="FS471" s="773"/>
      <c r="FT471" s="773"/>
      <c r="FU471" s="773"/>
      <c r="FV471" s="773"/>
      <c r="FW471" s="773"/>
      <c r="FX471" s="773"/>
      <c r="FY471" s="773"/>
      <c r="FZ471" s="773"/>
      <c r="GA471" s="773"/>
      <c r="GB471" s="773"/>
      <c r="GC471" s="773"/>
      <c r="GD471" s="773"/>
      <c r="GE471" s="773"/>
      <c r="GF471" s="773"/>
      <c r="GG471" s="773"/>
      <c r="GH471" s="773"/>
      <c r="GI471" s="773"/>
      <c r="GJ471" s="773"/>
      <c r="GK471" s="773"/>
      <c r="GL471" s="773"/>
      <c r="GM471" s="773"/>
      <c r="GN471" s="773"/>
      <c r="GO471" s="773"/>
      <c r="GP471" s="773"/>
      <c r="GQ471" s="773"/>
      <c r="GR471" s="773"/>
      <c r="GS471" s="773"/>
      <c r="GT471" s="773"/>
      <c r="GU471" s="773"/>
      <c r="GV471" s="773"/>
      <c r="GW471" s="773"/>
      <c r="GX471" s="773"/>
      <c r="GY471" s="773"/>
      <c r="GZ471" s="773"/>
    </row>
    <row r="472" spans="1:208" s="11" customFormat="1">
      <c r="A472" s="780"/>
      <c r="B472" s="3761" t="s">
        <v>727</v>
      </c>
      <c r="C472" s="197">
        <v>80150</v>
      </c>
      <c r="D472" s="199" t="s">
        <v>728</v>
      </c>
      <c r="E472" s="42">
        <f>IFERROR(VLOOKUP(C472,'AJE 12 - INC'!$D$168:$F$771,3,0),0)</f>
        <v>-3034.5</v>
      </c>
      <c r="F472" s="108">
        <f>SUMIF('AJE 12 - INC'!B:B,'New TB INC'!C472,'AJE 12 - INC'!D:D)</f>
        <v>0</v>
      </c>
      <c r="G472" s="108"/>
      <c r="H472" s="108"/>
      <c r="I472" s="108"/>
      <c r="J472" s="798">
        <f>SUM(E472:I472)</f>
        <v>-3034.5</v>
      </c>
      <c r="K472" s="2172"/>
      <c r="L472" s="434"/>
      <c r="M472" s="810"/>
      <c r="N472" s="11">
        <v>0</v>
      </c>
      <c r="O472" s="11">
        <v>0</v>
      </c>
      <c r="P472" s="11">
        <v>0</v>
      </c>
      <c r="Q472" s="11">
        <v>0</v>
      </c>
      <c r="R472" s="11">
        <v>0</v>
      </c>
      <c r="S472" s="11">
        <v>0</v>
      </c>
      <c r="T472" s="772">
        <v>0</v>
      </c>
      <c r="U472" s="772">
        <v>0</v>
      </c>
      <c r="V472" s="2509">
        <v>0</v>
      </c>
      <c r="W472" s="2509">
        <v>0</v>
      </c>
      <c r="X472" s="2509">
        <v>0</v>
      </c>
      <c r="Y472" s="2509">
        <v>0</v>
      </c>
      <c r="Z472" s="11">
        <f>'[26]New TB INC'!Z426</f>
        <v>0</v>
      </c>
      <c r="AA472" s="11">
        <f>'[27]New TB INC'!AA433</f>
        <v>0</v>
      </c>
      <c r="AB472" s="11">
        <f>'[28]New TB INC'!AB440</f>
        <v>0</v>
      </c>
      <c r="AC472" s="11">
        <f>'[29]New TB INC'!AC436</f>
        <v>0</v>
      </c>
      <c r="AD472" s="11">
        <f>'[30]New TB INC'!AD431</f>
        <v>0</v>
      </c>
      <c r="AE472" s="11">
        <f>'[31]New TB INC'!AE438</f>
        <v>0</v>
      </c>
      <c r="AF472" s="11">
        <v>0</v>
      </c>
      <c r="AG472" s="11">
        <v>0</v>
      </c>
      <c r="AH472" s="11">
        <v>-3034.5</v>
      </c>
      <c r="AI472" s="11">
        <v>0</v>
      </c>
      <c r="AJ472" s="11">
        <v>0</v>
      </c>
      <c r="AK472" s="11">
        <f>$J472-SUM($Z472:AJ472)</f>
        <v>0</v>
      </c>
      <c r="AP472" s="11">
        <f>$J472-SUM($Z472:AH472)</f>
        <v>0</v>
      </c>
      <c r="AW472" s="2509"/>
      <c r="BH472" s="2509"/>
      <c r="BI472" s="772"/>
      <c r="BJ472" s="772"/>
      <c r="BK472" s="772"/>
      <c r="BL472" s="772"/>
      <c r="BM472" s="773"/>
      <c r="BN472" s="209"/>
      <c r="BO472" s="209"/>
      <c r="BP472" s="209"/>
      <c r="BQ472" s="209"/>
      <c r="BR472" s="209"/>
      <c r="BS472" s="951"/>
      <c r="BT472" s="877" t="s">
        <v>1863</v>
      </c>
      <c r="BU472" s="262"/>
      <c r="BV472" s="209"/>
      <c r="BW472" s="209"/>
      <c r="BX472" s="820"/>
      <c r="DB472" s="773"/>
      <c r="DC472" s="773"/>
      <c r="DD472" s="773"/>
      <c r="DE472" s="773"/>
      <c r="DF472" s="773"/>
      <c r="DG472" s="773"/>
      <c r="DH472" s="773"/>
      <c r="DI472" s="773"/>
      <c r="DJ472" s="773"/>
      <c r="DK472" s="773"/>
      <c r="DL472" s="773"/>
      <c r="DM472" s="773"/>
      <c r="DN472" s="773"/>
      <c r="DO472" s="773"/>
      <c r="DP472" s="773"/>
      <c r="DQ472" s="773"/>
      <c r="DR472" s="773"/>
      <c r="DS472" s="773"/>
      <c r="DT472" s="773"/>
      <c r="DU472" s="773"/>
      <c r="DV472" s="773"/>
      <c r="DW472" s="773"/>
      <c r="DX472" s="773"/>
      <c r="DY472" s="773"/>
      <c r="DZ472" s="773"/>
      <c r="EA472" s="773"/>
      <c r="EB472" s="773"/>
      <c r="EC472" s="773"/>
      <c r="ED472" s="773"/>
      <c r="EE472" s="773"/>
      <c r="EF472" s="773"/>
      <c r="EG472" s="773"/>
      <c r="EH472" s="773"/>
      <c r="EI472" s="773"/>
      <c r="EJ472" s="773"/>
      <c r="EK472" s="773"/>
      <c r="EL472" s="773"/>
      <c r="EM472" s="773"/>
      <c r="EN472" s="773"/>
      <c r="EO472" s="773"/>
      <c r="EP472" s="773"/>
      <c r="EQ472" s="773"/>
      <c r="ER472" s="773"/>
      <c r="ES472" s="773"/>
      <c r="ET472" s="773"/>
      <c r="EU472" s="773"/>
      <c r="EV472" s="773"/>
      <c r="EW472" s="773"/>
      <c r="EX472" s="773"/>
      <c r="EY472" s="773"/>
      <c r="EZ472" s="773"/>
      <c r="FA472" s="773"/>
      <c r="FB472" s="773"/>
      <c r="FC472" s="773"/>
      <c r="FD472" s="773"/>
      <c r="FE472" s="773"/>
      <c r="FF472" s="773"/>
      <c r="FG472" s="773"/>
      <c r="FH472" s="773"/>
      <c r="FI472" s="773"/>
      <c r="FJ472" s="773"/>
      <c r="FK472" s="773"/>
      <c r="FL472" s="773"/>
      <c r="FM472" s="773"/>
      <c r="FN472" s="773"/>
      <c r="FO472" s="773"/>
      <c r="FP472" s="773"/>
      <c r="FQ472" s="773"/>
      <c r="FR472" s="773"/>
      <c r="FS472" s="773"/>
      <c r="FT472" s="773"/>
      <c r="FU472" s="773"/>
      <c r="FV472" s="773"/>
      <c r="FW472" s="773"/>
      <c r="FX472" s="773"/>
      <c r="FY472" s="773"/>
      <c r="FZ472" s="773"/>
      <c r="GA472" s="773"/>
      <c r="GB472" s="773"/>
      <c r="GC472" s="773"/>
      <c r="GD472" s="773"/>
      <c r="GE472" s="773"/>
      <c r="GF472" s="773"/>
      <c r="GG472" s="773"/>
      <c r="GH472" s="773"/>
      <c r="GI472" s="773"/>
      <c r="GJ472" s="773"/>
      <c r="GK472" s="773"/>
      <c r="GL472" s="773"/>
      <c r="GM472" s="773"/>
      <c r="GN472" s="773"/>
      <c r="GO472" s="773"/>
      <c r="GP472" s="773"/>
      <c r="GQ472" s="773"/>
      <c r="GR472" s="773"/>
      <c r="GS472" s="773"/>
      <c r="GT472" s="773"/>
      <c r="GU472" s="773"/>
      <c r="GV472" s="773"/>
      <c r="GW472" s="773"/>
      <c r="GX472" s="773"/>
      <c r="GY472" s="773"/>
      <c r="GZ472" s="773"/>
    </row>
    <row r="473" spans="1:208" s="11" customFormat="1">
      <c r="A473" s="780"/>
      <c r="B473" s="3761" t="s">
        <v>727</v>
      </c>
      <c r="C473" s="197">
        <v>80151</v>
      </c>
      <c r="D473" s="199" t="s">
        <v>1629</v>
      </c>
      <c r="E473" s="42">
        <f>IFERROR(VLOOKUP(C473,'AJE 12 - INC'!$D$168:$F$771,3,0),0)</f>
        <v>-294830.68</v>
      </c>
      <c r="F473" s="108">
        <f>SUMIF('AJE 12 - INC'!B:B,'New TB INC'!C473,'AJE 12 - INC'!D:D)</f>
        <v>0</v>
      </c>
      <c r="G473" s="108"/>
      <c r="H473" s="108"/>
      <c r="I473" s="108"/>
      <c r="J473" s="798">
        <f>SUM(E473:I473)</f>
        <v>-294830.68</v>
      </c>
      <c r="K473" s="2172"/>
      <c r="L473" s="434"/>
      <c r="M473" s="810"/>
      <c r="N473" s="11">
        <v>-3087.6</v>
      </c>
      <c r="O473" s="11">
        <v>-2718.0000000000005</v>
      </c>
      <c r="P473" s="11">
        <v>-31547.919999999998</v>
      </c>
      <c r="Q473" s="11">
        <v>-2547.6000000000058</v>
      </c>
      <c r="R473" s="11">
        <v>-9055</v>
      </c>
      <c r="S473" s="11">
        <v>-18798.200000000004</v>
      </c>
      <c r="T473" s="772">
        <v>-26440.399999999987</v>
      </c>
      <c r="U473" s="772">
        <v>-1984.5</v>
      </c>
      <c r="V473" s="2509">
        <v>-20145</v>
      </c>
      <c r="W473" s="2509">
        <v>-10162.5</v>
      </c>
      <c r="X473" s="2509">
        <v>-3075</v>
      </c>
      <c r="Y473" s="2509">
        <v>-36870</v>
      </c>
      <c r="Z473" s="11">
        <f>'[26]New TB INC'!Z427</f>
        <v>-2400</v>
      </c>
      <c r="AA473" s="11">
        <f>'[27]New TB INC'!AA434</f>
        <v>-10065</v>
      </c>
      <c r="AB473" s="11">
        <f>'[28]New TB INC'!AB441</f>
        <v>-1500</v>
      </c>
      <c r="AC473" s="11">
        <f>'[29]New TB INC'!AC437</f>
        <v>-23912.5</v>
      </c>
      <c r="AD473" s="11">
        <f>'[30]New TB INC'!AD432</f>
        <v>-28097.5</v>
      </c>
      <c r="AE473" s="11">
        <f>'[31]New TB INC'!AE439</f>
        <v>-40910.479999999996</v>
      </c>
      <c r="AF473" s="11">
        <v>-19047.5</v>
      </c>
      <c r="AG473" s="11">
        <v>-15086.699999999997</v>
      </c>
      <c r="AH473" s="11">
        <v>-35450</v>
      </c>
      <c r="AI473" s="11">
        <v>-34373</v>
      </c>
      <c r="AJ473" s="11">
        <v>-25498</v>
      </c>
      <c r="AK473" s="11">
        <f>$J473-SUM($Z473:AJ473)</f>
        <v>-58490</v>
      </c>
      <c r="AP473" s="11">
        <f>$J473-SUM($Z473:AH473)</f>
        <v>-118361</v>
      </c>
      <c r="AS473" s="11">
        <f>AE473-AD473</f>
        <v>-12812.979999999996</v>
      </c>
      <c r="AW473" s="2509"/>
      <c r="BH473" s="2509"/>
      <c r="BI473" s="772"/>
      <c r="BJ473" s="772"/>
      <c r="BK473" s="772"/>
      <c r="BL473" s="772"/>
      <c r="BM473" s="773"/>
      <c r="BN473" s="209"/>
      <c r="BO473" s="209"/>
      <c r="BP473" s="209"/>
      <c r="BQ473" s="209"/>
      <c r="BR473" s="209"/>
      <c r="BS473" s="951"/>
      <c r="BT473" s="877"/>
      <c r="BU473" s="262"/>
      <c r="BV473" s="209"/>
      <c r="BW473" s="209"/>
      <c r="BX473" s="820"/>
      <c r="DB473" s="773"/>
      <c r="DC473" s="773"/>
      <c r="DD473" s="773"/>
      <c r="DE473" s="773"/>
      <c r="DF473" s="773"/>
      <c r="DG473" s="773"/>
      <c r="DH473" s="773"/>
      <c r="DI473" s="773"/>
      <c r="DJ473" s="773"/>
      <c r="DK473" s="773"/>
      <c r="DL473" s="773"/>
      <c r="DM473" s="773"/>
      <c r="DN473" s="773"/>
      <c r="DO473" s="773"/>
      <c r="DP473" s="773"/>
      <c r="DQ473" s="773"/>
      <c r="DR473" s="773"/>
      <c r="DS473" s="773"/>
      <c r="DT473" s="773"/>
      <c r="DU473" s="773"/>
      <c r="DV473" s="773"/>
      <c r="DW473" s="773"/>
      <c r="DX473" s="773"/>
      <c r="DY473" s="773"/>
      <c r="DZ473" s="773"/>
      <c r="EA473" s="773"/>
      <c r="EB473" s="773"/>
      <c r="EC473" s="773"/>
      <c r="ED473" s="773"/>
      <c r="EE473" s="773"/>
      <c r="EF473" s="773"/>
      <c r="EG473" s="773"/>
      <c r="EH473" s="773"/>
      <c r="EI473" s="773"/>
      <c r="EJ473" s="773"/>
      <c r="EK473" s="773"/>
      <c r="EL473" s="773"/>
      <c r="EM473" s="773"/>
      <c r="EN473" s="773"/>
      <c r="EO473" s="773"/>
      <c r="EP473" s="773"/>
      <c r="EQ473" s="773"/>
      <c r="ER473" s="773"/>
      <c r="ES473" s="773"/>
      <c r="ET473" s="773"/>
      <c r="EU473" s="773"/>
      <c r="EV473" s="773"/>
      <c r="EW473" s="773"/>
      <c r="EX473" s="773"/>
      <c r="EY473" s="773"/>
      <c r="EZ473" s="773"/>
      <c r="FA473" s="773"/>
      <c r="FB473" s="773"/>
      <c r="FC473" s="773"/>
      <c r="FD473" s="773"/>
      <c r="FE473" s="773"/>
      <c r="FF473" s="773"/>
      <c r="FG473" s="773"/>
      <c r="FH473" s="773"/>
      <c r="FI473" s="773"/>
      <c r="FJ473" s="773"/>
      <c r="FK473" s="773"/>
      <c r="FL473" s="773"/>
      <c r="FM473" s="773"/>
      <c r="FN473" s="773"/>
      <c r="FO473" s="773"/>
      <c r="FP473" s="773"/>
      <c r="FQ473" s="773"/>
      <c r="FR473" s="773"/>
      <c r="FS473" s="773"/>
      <c r="FT473" s="773"/>
      <c r="FU473" s="773"/>
      <c r="FV473" s="773"/>
      <c r="FW473" s="773"/>
      <c r="FX473" s="773"/>
      <c r="FY473" s="773"/>
      <c r="FZ473" s="773"/>
      <c r="GA473" s="773"/>
      <c r="GB473" s="773"/>
      <c r="GC473" s="773"/>
      <c r="GD473" s="773"/>
      <c r="GE473" s="773"/>
      <c r="GF473" s="773"/>
      <c r="GG473" s="773"/>
      <c r="GH473" s="773"/>
      <c r="GI473" s="773"/>
      <c r="GJ473" s="773"/>
      <c r="GK473" s="773"/>
      <c r="GL473" s="773"/>
      <c r="GM473" s="773"/>
      <c r="GN473" s="773"/>
      <c r="GO473" s="773"/>
      <c r="GP473" s="773"/>
      <c r="GQ473" s="773"/>
      <c r="GR473" s="773"/>
      <c r="GS473" s="773"/>
      <c r="GT473" s="773"/>
      <c r="GU473" s="773"/>
      <c r="GV473" s="773"/>
      <c r="GW473" s="773"/>
      <c r="GX473" s="773"/>
      <c r="GY473" s="773"/>
      <c r="GZ473" s="773"/>
    </row>
    <row r="474" spans="1:208" s="11" customFormat="1" ht="13.5" thickBot="1">
      <c r="A474" s="780"/>
      <c r="B474" s="3761"/>
      <c r="C474" s="197"/>
      <c r="D474" s="2638" t="s">
        <v>2471</v>
      </c>
      <c r="E474" s="42"/>
      <c r="F474" s="108"/>
      <c r="G474" s="108"/>
      <c r="H474" s="108"/>
      <c r="I474" s="108"/>
      <c r="J474" s="798"/>
      <c r="K474" s="2172"/>
      <c r="L474" s="434"/>
      <c r="M474" s="810"/>
      <c r="T474" s="772"/>
      <c r="U474" s="772"/>
      <c r="V474" s="2509"/>
      <c r="W474" s="2509"/>
      <c r="X474" s="2509">
        <v>0</v>
      </c>
      <c r="Y474" s="2509">
        <v>0</v>
      </c>
      <c r="Z474" s="11">
        <f>'[26]New TB INC'!Z428</f>
        <v>0</v>
      </c>
      <c r="AA474" s="11">
        <f>'[27]New TB INC'!AA435</f>
        <v>0</v>
      </c>
      <c r="AB474" s="11">
        <f>'[28]New TB INC'!AB442</f>
        <v>0</v>
      </c>
      <c r="AC474" s="11">
        <f>'[29]New TB INC'!AC438</f>
        <v>0</v>
      </c>
      <c r="AD474" s="11">
        <f>'[30]New TB INC'!AD433</f>
        <v>0</v>
      </c>
      <c r="AE474" s="11">
        <f>'[31]New TB INC'!AE440</f>
        <v>0</v>
      </c>
      <c r="AF474" s="11">
        <v>0</v>
      </c>
      <c r="AG474" s="11">
        <v>0</v>
      </c>
      <c r="AH474" s="11">
        <v>0</v>
      </c>
      <c r="AI474" s="11">
        <v>0</v>
      </c>
      <c r="AJ474" s="11">
        <v>0</v>
      </c>
      <c r="AK474" s="11">
        <f>$J474-SUM($Z474:AJ474)</f>
        <v>0</v>
      </c>
      <c r="AP474" s="11">
        <f>$J474-SUM($Z474:AH474)</f>
        <v>0</v>
      </c>
      <c r="AW474" s="2509"/>
      <c r="BH474" s="2509"/>
      <c r="BI474" s="772"/>
      <c r="BJ474" s="772"/>
      <c r="BK474" s="772"/>
      <c r="BL474" s="772"/>
      <c r="BM474" s="773"/>
      <c r="BN474" s="209"/>
      <c r="BO474" s="209"/>
      <c r="BP474" s="209"/>
      <c r="BQ474" s="209"/>
      <c r="BR474" s="209"/>
      <c r="BS474" s="951"/>
      <c r="BT474" s="877"/>
      <c r="BU474" s="262"/>
      <c r="BV474" s="209"/>
      <c r="BW474" s="209"/>
      <c r="BX474" s="820"/>
      <c r="DB474" s="773"/>
      <c r="DC474" s="773"/>
      <c r="DD474" s="773"/>
      <c r="DE474" s="773"/>
      <c r="DF474" s="773"/>
      <c r="DG474" s="773"/>
      <c r="DH474" s="773"/>
      <c r="DI474" s="773"/>
      <c r="DJ474" s="773"/>
      <c r="DK474" s="773"/>
      <c r="DL474" s="773"/>
      <c r="DM474" s="773"/>
      <c r="DN474" s="773"/>
      <c r="DO474" s="773"/>
      <c r="DP474" s="773"/>
      <c r="DQ474" s="773"/>
      <c r="DR474" s="773"/>
      <c r="DS474" s="773"/>
      <c r="DT474" s="773"/>
      <c r="DU474" s="773"/>
      <c r="DV474" s="773"/>
      <c r="DW474" s="773"/>
      <c r="DX474" s="773"/>
      <c r="DY474" s="773"/>
      <c r="DZ474" s="773"/>
      <c r="EA474" s="773"/>
      <c r="EB474" s="773"/>
      <c r="EC474" s="773"/>
      <c r="ED474" s="773"/>
      <c r="EE474" s="773"/>
      <c r="EF474" s="773"/>
      <c r="EG474" s="773"/>
      <c r="EH474" s="773"/>
      <c r="EI474" s="773"/>
      <c r="EJ474" s="773"/>
      <c r="EK474" s="773"/>
      <c r="EL474" s="773"/>
      <c r="EM474" s="773"/>
      <c r="EN474" s="773"/>
      <c r="EO474" s="773"/>
      <c r="EP474" s="773"/>
      <c r="EQ474" s="773"/>
      <c r="ER474" s="773"/>
      <c r="ES474" s="773"/>
      <c r="ET474" s="773"/>
      <c r="EU474" s="773"/>
      <c r="EV474" s="773"/>
      <c r="EW474" s="773"/>
      <c r="EX474" s="773"/>
      <c r="EY474" s="773"/>
      <c r="EZ474" s="773"/>
      <c r="FA474" s="773"/>
      <c r="FB474" s="773"/>
      <c r="FC474" s="773"/>
      <c r="FD474" s="773"/>
      <c r="FE474" s="773"/>
      <c r="FF474" s="773"/>
      <c r="FG474" s="773"/>
      <c r="FH474" s="773"/>
      <c r="FI474" s="773"/>
      <c r="FJ474" s="773"/>
      <c r="FK474" s="773"/>
      <c r="FL474" s="773"/>
      <c r="FM474" s="773"/>
      <c r="FN474" s="773"/>
      <c r="FO474" s="773"/>
      <c r="FP474" s="773"/>
      <c r="FQ474" s="773"/>
      <c r="FR474" s="773"/>
      <c r="FS474" s="773"/>
      <c r="FT474" s="773"/>
      <c r="FU474" s="773"/>
      <c r="FV474" s="773"/>
      <c r="FW474" s="773"/>
      <c r="FX474" s="773"/>
      <c r="FY474" s="773"/>
      <c r="FZ474" s="773"/>
      <c r="GA474" s="773"/>
      <c r="GB474" s="773"/>
      <c r="GC474" s="773"/>
      <c r="GD474" s="773"/>
      <c r="GE474" s="773"/>
      <c r="GF474" s="773"/>
      <c r="GG474" s="773"/>
      <c r="GH474" s="773"/>
      <c r="GI474" s="773"/>
      <c r="GJ474" s="773"/>
      <c r="GK474" s="773"/>
      <c r="GL474" s="773"/>
      <c r="GM474" s="773"/>
      <c r="GN474" s="773"/>
      <c r="GO474" s="773"/>
      <c r="GP474" s="773"/>
      <c r="GQ474" s="773"/>
      <c r="GR474" s="773"/>
      <c r="GS474" s="773"/>
      <c r="GT474" s="773"/>
      <c r="GU474" s="773"/>
      <c r="GV474" s="773"/>
      <c r="GW474" s="773"/>
      <c r="GX474" s="773"/>
      <c r="GY474" s="773"/>
      <c r="GZ474" s="773"/>
    </row>
    <row r="475" spans="1:208" s="11" customFormat="1" ht="13.5" thickBot="1">
      <c r="A475" s="780"/>
      <c r="B475" s="3761" t="s">
        <v>727</v>
      </c>
      <c r="C475" s="197">
        <v>80153</v>
      </c>
      <c r="D475" s="199" t="s">
        <v>730</v>
      </c>
      <c r="E475" s="42">
        <f>IFERROR(VLOOKUP(C475,'AJE 12 - INC'!$D$168:$F$771,3,0),0)</f>
        <v>-3111161</v>
      </c>
      <c r="F475" s="108">
        <f>SUMIF('AJE 12 - INC'!B:B,'New TB INC'!C475,'AJE 12 - INC'!D:D)</f>
        <v>0</v>
      </c>
      <c r="G475" s="108"/>
      <c r="H475" s="108"/>
      <c r="I475" s="108"/>
      <c r="J475" s="798">
        <f>SUM(E475:I475)</f>
        <v>-3111161</v>
      </c>
      <c r="K475" s="956">
        <f>SUM('[15]12.21'!$H$184,[129]priority!$E$17)+AK475</f>
        <v>-2.261423205898609</v>
      </c>
      <c r="L475" s="434"/>
      <c r="M475" s="2171"/>
      <c r="N475" s="11">
        <v>-121925.4</v>
      </c>
      <c r="O475" s="11">
        <v>-96074</v>
      </c>
      <c r="P475" s="11">
        <v>-94560.098392123327</v>
      </c>
      <c r="Q475" s="11">
        <v>-72179.000000000029</v>
      </c>
      <c r="R475" s="11">
        <v>-176551.90160787664</v>
      </c>
      <c r="S475" s="11">
        <v>-353919</v>
      </c>
      <c r="T475" s="772">
        <v>-220803.99999999988</v>
      </c>
      <c r="U475" s="772">
        <v>-268335</v>
      </c>
      <c r="V475" s="2509">
        <v>-374775</v>
      </c>
      <c r="W475" s="2509">
        <v>-122384</v>
      </c>
      <c r="X475" s="2509">
        <v>-86942</v>
      </c>
      <c r="Y475" s="2509">
        <v>-275070</v>
      </c>
      <c r="Z475" s="11">
        <f>'[26]New TB INC'!Z429</f>
        <v>-259771</v>
      </c>
      <c r="AA475" s="11">
        <f>'[27]New TB INC'!AA436</f>
        <v>-239555</v>
      </c>
      <c r="AB475" s="11">
        <f>'[28]New TB INC'!AB443</f>
        <v>-277012</v>
      </c>
      <c r="AC475" s="11">
        <f>'[29]New TB INC'!AC439</f>
        <v>-211512</v>
      </c>
      <c r="AD475" s="11">
        <f>'[30]New TB INC'!AD434</f>
        <v>-197840</v>
      </c>
      <c r="AE475" s="11">
        <f>'[31]New TB INC'!AE441</f>
        <v>-271889</v>
      </c>
      <c r="AF475" s="11">
        <v>-140595</v>
      </c>
      <c r="AG475" s="11">
        <v>-232725</v>
      </c>
      <c r="AH475" s="11">
        <v>-350745</v>
      </c>
      <c r="AI475" s="11">
        <v>-184553</v>
      </c>
      <c r="AJ475" s="11">
        <v>-256396</v>
      </c>
      <c r="AK475" s="11">
        <f>$J475-SUM($Z475:AJ475)</f>
        <v>-488568</v>
      </c>
      <c r="AP475" s="11">
        <f>$J475-SUM($Z475:AH475)</f>
        <v>-929517</v>
      </c>
      <c r="AS475" s="11">
        <f>AE475-AD475</f>
        <v>-74049</v>
      </c>
      <c r="AW475" s="2509"/>
      <c r="BH475" s="2509"/>
      <c r="BI475" s="772"/>
      <c r="BJ475" s="772"/>
      <c r="BK475" s="772"/>
      <c r="BN475" s="209"/>
      <c r="BO475" s="209"/>
      <c r="BP475" s="209"/>
      <c r="BQ475" s="209"/>
      <c r="BR475" s="209"/>
      <c r="BS475" s="951"/>
      <c r="BT475" s="877" t="s">
        <v>1864</v>
      </c>
      <c r="BU475" s="268"/>
      <c r="BV475" s="209"/>
      <c r="BW475" s="209"/>
      <c r="BX475" s="820"/>
      <c r="BY475" s="209"/>
      <c r="BZ475" s="209"/>
      <c r="DB475" s="773"/>
      <c r="DC475" s="773"/>
      <c r="DD475" s="773"/>
      <c r="DE475" s="773"/>
      <c r="DF475" s="773"/>
      <c r="DG475" s="773"/>
      <c r="DH475" s="773"/>
      <c r="DI475" s="773"/>
      <c r="DJ475" s="773"/>
      <c r="DK475" s="773"/>
      <c r="DL475" s="773"/>
      <c r="DM475" s="773"/>
      <c r="DN475" s="773"/>
      <c r="DO475" s="773"/>
      <c r="DP475" s="773"/>
      <c r="DQ475" s="773"/>
      <c r="DR475" s="773"/>
      <c r="DS475" s="773"/>
      <c r="DT475" s="773"/>
      <c r="DU475" s="773"/>
      <c r="DV475" s="773"/>
      <c r="DW475" s="773"/>
      <c r="DX475" s="773"/>
      <c r="DY475" s="773"/>
      <c r="DZ475" s="773"/>
      <c r="EA475" s="773"/>
      <c r="EB475" s="773"/>
      <c r="EC475" s="773"/>
      <c r="ED475" s="773"/>
      <c r="EE475" s="773"/>
      <c r="EF475" s="773"/>
      <c r="EG475" s="773"/>
      <c r="EH475" s="773"/>
      <c r="EI475" s="773"/>
      <c r="EJ475" s="773"/>
      <c r="EK475" s="773"/>
      <c r="EL475" s="773"/>
      <c r="EM475" s="773"/>
      <c r="EN475" s="773"/>
      <c r="EO475" s="773"/>
      <c r="EP475" s="773"/>
      <c r="EQ475" s="773"/>
      <c r="ER475" s="773"/>
      <c r="ES475" s="773"/>
      <c r="ET475" s="773"/>
      <c r="EU475" s="773"/>
      <c r="EV475" s="773"/>
      <c r="EW475" s="773"/>
      <c r="EX475" s="773"/>
      <c r="EY475" s="773"/>
      <c r="EZ475" s="773"/>
      <c r="FA475" s="773"/>
      <c r="FB475" s="773"/>
      <c r="FC475" s="773"/>
      <c r="FD475" s="773"/>
      <c r="FE475" s="773"/>
      <c r="FF475" s="773"/>
      <c r="FG475" s="773"/>
      <c r="FH475" s="773"/>
      <c r="FI475" s="773"/>
      <c r="FJ475" s="773"/>
      <c r="FK475" s="773"/>
      <c r="FL475" s="773"/>
      <c r="FM475" s="773"/>
      <c r="FN475" s="773"/>
      <c r="FO475" s="773"/>
      <c r="FP475" s="773"/>
      <c r="FQ475" s="773"/>
      <c r="FR475" s="773"/>
      <c r="FS475" s="773"/>
      <c r="FT475" s="773"/>
      <c r="FU475" s="773"/>
      <c r="FV475" s="773"/>
      <c r="FW475" s="773"/>
      <c r="FX475" s="773"/>
      <c r="FY475" s="773"/>
      <c r="FZ475" s="773"/>
      <c r="GA475" s="773"/>
      <c r="GB475" s="773"/>
      <c r="GC475" s="773"/>
      <c r="GD475" s="773"/>
      <c r="GE475" s="773"/>
      <c r="GF475" s="773"/>
      <c r="GG475" s="773"/>
      <c r="GH475" s="773"/>
      <c r="GI475" s="773"/>
      <c r="GJ475" s="773"/>
      <c r="GK475" s="773"/>
      <c r="GL475" s="773"/>
      <c r="GM475" s="773"/>
      <c r="GN475" s="773"/>
      <c r="GO475" s="773"/>
      <c r="GP475" s="773"/>
      <c r="GQ475" s="773"/>
      <c r="GR475" s="773"/>
      <c r="GS475" s="773"/>
      <c r="GT475" s="773"/>
      <c r="GU475" s="773"/>
      <c r="GV475" s="773"/>
      <c r="GW475" s="773"/>
      <c r="GX475" s="773"/>
      <c r="GY475" s="773"/>
      <c r="GZ475" s="773"/>
    </row>
    <row r="476" spans="1:208" s="11" customFormat="1" ht="13.5" thickBot="1">
      <c r="A476" s="780"/>
      <c r="B476" s="3761" t="s">
        <v>727</v>
      </c>
      <c r="C476" s="197" t="s">
        <v>2233</v>
      </c>
      <c r="D476" s="199" t="s">
        <v>2209</v>
      </c>
      <c r="E476" s="42">
        <f>IFERROR(VLOOKUP(C476,'AJE 12 - INC'!$D$168:$F$771,3,0),0)</f>
        <v>175761.86</v>
      </c>
      <c r="F476" s="108">
        <f>SUMIF('AJE 12 - INC'!B:B,'New TB INC'!C476,'AJE 12 - INC'!D:D)</f>
        <v>0</v>
      </c>
      <c r="G476" s="108"/>
      <c r="H476" s="108"/>
      <c r="I476" s="108"/>
      <c r="J476" s="798">
        <f>SUM(E476:I476)</f>
        <v>175761.86</v>
      </c>
      <c r="K476" s="956">
        <f>SUM(-'[125]PIVOT Q4'!$K$7,'[153]pivot Q1 21'!$K$6,'[153]pivot Q1 21'!$K$5,-'[140]pivot Q2 21 '!$K$6,-'[131]PIVOT Q3'!$K$6,-'[131]PIVOT Q3'!$K$7)+J476</f>
        <v>-9.4879999989643693E-2</v>
      </c>
      <c r="L476" s="434"/>
      <c r="M476" s="2170" t="s">
        <v>2285</v>
      </c>
      <c r="N476" s="11">
        <v>0</v>
      </c>
      <c r="O476" s="11">
        <v>0</v>
      </c>
      <c r="P476" s="11">
        <v>0</v>
      </c>
      <c r="Q476" s="11">
        <v>0</v>
      </c>
      <c r="R476" s="11">
        <v>-47593</v>
      </c>
      <c r="S476" s="11">
        <v>-22458</v>
      </c>
      <c r="T476" s="772">
        <v>0</v>
      </c>
      <c r="U476" s="772">
        <v>0</v>
      </c>
      <c r="V476" s="2509">
        <v>24836.78</v>
      </c>
      <c r="W476" s="2509">
        <v>0</v>
      </c>
      <c r="X476" s="2509">
        <v>0</v>
      </c>
      <c r="Y476" s="2509">
        <v>-26896</v>
      </c>
      <c r="Z476" s="11">
        <f>'[26]New TB INC'!Z430</f>
        <v>0</v>
      </c>
      <c r="AA476" s="11">
        <f>'[27]New TB INC'!AA437</f>
        <v>0</v>
      </c>
      <c r="AB476" s="11">
        <f>'[28]New TB INC'!AB444</f>
        <v>-30394.14</v>
      </c>
      <c r="AC476" s="11">
        <f>'[29]New TB INC'!AC440</f>
        <v>0</v>
      </c>
      <c r="AD476" s="11">
        <f>'[30]New TB INC'!AD435</f>
        <v>0</v>
      </c>
      <c r="AE476" s="11">
        <f>'[31]New TB INC'!AE442</f>
        <v>8704</v>
      </c>
      <c r="AF476" s="11">
        <v>0</v>
      </c>
      <c r="AG476" s="11">
        <v>0</v>
      </c>
      <c r="AH476" s="11">
        <v>44183</v>
      </c>
      <c r="AI476" s="11">
        <v>0</v>
      </c>
      <c r="AJ476" s="11">
        <v>0</v>
      </c>
      <c r="AK476" s="11">
        <f>$J476-SUM($Z476:AJ476)</f>
        <v>153269</v>
      </c>
      <c r="AP476" s="11">
        <f>$J476-SUM($Z476:AH476)</f>
        <v>153269</v>
      </c>
      <c r="AW476" s="2509"/>
      <c r="BH476" s="2509"/>
      <c r="BI476" s="772"/>
      <c r="BJ476" s="772"/>
      <c r="BK476" s="772"/>
      <c r="BL476" s="772"/>
      <c r="BN476" s="209"/>
      <c r="BO476" s="209"/>
      <c r="BP476" s="209"/>
      <c r="BQ476" s="209"/>
      <c r="BR476" s="209"/>
      <c r="BS476" s="951"/>
      <c r="BT476" s="877"/>
      <c r="BU476" s="262"/>
      <c r="BV476" s="209"/>
      <c r="BW476" s="209"/>
      <c r="BX476" s="820"/>
      <c r="BY476" s="209"/>
      <c r="BZ476" s="209"/>
      <c r="DB476" s="773"/>
      <c r="DC476" s="773"/>
      <c r="DD476" s="773"/>
      <c r="DE476" s="773"/>
      <c r="DF476" s="773"/>
      <c r="DG476" s="773"/>
      <c r="DH476" s="773"/>
      <c r="DI476" s="773"/>
      <c r="DJ476" s="773"/>
      <c r="DK476" s="773"/>
      <c r="DL476" s="773"/>
      <c r="DM476" s="773"/>
      <c r="DN476" s="773"/>
      <c r="DO476" s="773"/>
      <c r="DP476" s="773"/>
      <c r="DQ476" s="773"/>
      <c r="DR476" s="773"/>
      <c r="DS476" s="773"/>
      <c r="DT476" s="773"/>
      <c r="DU476" s="773"/>
      <c r="DV476" s="773"/>
      <c r="DW476" s="773"/>
      <c r="DX476" s="773"/>
      <c r="DY476" s="773"/>
      <c r="DZ476" s="773"/>
      <c r="EA476" s="773"/>
      <c r="EB476" s="773"/>
      <c r="EC476" s="773"/>
      <c r="ED476" s="773"/>
      <c r="EE476" s="773"/>
      <c r="EF476" s="773"/>
      <c r="EG476" s="773"/>
      <c r="EH476" s="773"/>
      <c r="EI476" s="773"/>
      <c r="EJ476" s="773"/>
      <c r="EK476" s="773"/>
      <c r="EL476" s="773"/>
      <c r="EM476" s="773"/>
      <c r="EN476" s="773"/>
      <c r="EO476" s="773"/>
      <c r="EP476" s="773"/>
      <c r="EQ476" s="773"/>
      <c r="ER476" s="773"/>
      <c r="ES476" s="773"/>
      <c r="ET476" s="773"/>
      <c r="EU476" s="773"/>
      <c r="EV476" s="773"/>
      <c r="EW476" s="773"/>
      <c r="EX476" s="773"/>
      <c r="EY476" s="773"/>
      <c r="EZ476" s="773"/>
      <c r="FA476" s="773"/>
      <c r="FB476" s="773"/>
      <c r="FC476" s="773"/>
      <c r="FD476" s="773"/>
      <c r="FE476" s="773"/>
      <c r="FF476" s="773"/>
      <c r="FG476" s="773"/>
      <c r="FH476" s="773"/>
      <c r="FI476" s="773"/>
      <c r="FJ476" s="773"/>
      <c r="FK476" s="773"/>
      <c r="FL476" s="773"/>
      <c r="FM476" s="773"/>
      <c r="FN476" s="773"/>
      <c r="FO476" s="773"/>
      <c r="FP476" s="773"/>
      <c r="FQ476" s="773"/>
      <c r="FR476" s="773"/>
      <c r="FS476" s="773"/>
      <c r="FT476" s="773"/>
      <c r="FU476" s="773"/>
      <c r="FV476" s="773"/>
      <c r="FW476" s="773"/>
      <c r="FX476" s="773"/>
      <c r="FY476" s="773"/>
      <c r="FZ476" s="773"/>
      <c r="GA476" s="773"/>
      <c r="GB476" s="773"/>
      <c r="GC476" s="773"/>
      <c r="GD476" s="773"/>
      <c r="GE476" s="773"/>
      <c r="GF476" s="773"/>
      <c r="GG476" s="773"/>
      <c r="GH476" s="773"/>
      <c r="GI476" s="773"/>
      <c r="GJ476" s="773"/>
      <c r="GK476" s="773"/>
      <c r="GL476" s="773"/>
      <c r="GM476" s="773"/>
      <c r="GN476" s="773"/>
      <c r="GO476" s="773"/>
      <c r="GP476" s="773"/>
      <c r="GQ476" s="773"/>
      <c r="GR476" s="773"/>
      <c r="GS476" s="773"/>
      <c r="GT476" s="773"/>
      <c r="GU476" s="773"/>
      <c r="GV476" s="773"/>
      <c r="GW476" s="773"/>
      <c r="GX476" s="773"/>
      <c r="GY476" s="773"/>
      <c r="GZ476" s="773"/>
    </row>
    <row r="477" spans="1:208" s="11" customFormat="1" ht="13.5" thickBot="1">
      <c r="A477" s="780"/>
      <c r="B477" s="3761"/>
      <c r="C477" s="197"/>
      <c r="D477" s="2638" t="s">
        <v>2474</v>
      </c>
      <c r="E477" s="42"/>
      <c r="F477" s="108"/>
      <c r="G477" s="108"/>
      <c r="H477" s="108"/>
      <c r="I477" s="108"/>
      <c r="J477" s="798"/>
      <c r="K477" s="2639"/>
      <c r="L477" s="434"/>
      <c r="M477" s="2170"/>
      <c r="T477" s="772"/>
      <c r="U477" s="772"/>
      <c r="V477" s="2509"/>
      <c r="W477" s="2509"/>
      <c r="X477" s="2509">
        <v>0</v>
      </c>
      <c r="Y477" s="2509">
        <v>0</v>
      </c>
      <c r="Z477" s="11">
        <f>'[26]New TB INC'!Z431</f>
        <v>0</v>
      </c>
      <c r="AA477" s="11">
        <f>'[27]New TB INC'!AA438</f>
        <v>0</v>
      </c>
      <c r="AB477" s="11">
        <f>'[28]New TB INC'!AB445</f>
        <v>0</v>
      </c>
      <c r="AC477" s="11">
        <f>'[29]New TB INC'!AC441</f>
        <v>0</v>
      </c>
      <c r="AD477" s="11">
        <f>'[30]New TB INC'!AD436</f>
        <v>0</v>
      </c>
      <c r="AE477" s="11">
        <f>'[31]New TB INC'!AE443</f>
        <v>0</v>
      </c>
      <c r="AF477" s="11">
        <v>0</v>
      </c>
      <c r="AG477" s="11">
        <v>0</v>
      </c>
      <c r="AH477" s="11">
        <v>0</v>
      </c>
      <c r="AI477" s="11">
        <v>0</v>
      </c>
      <c r="AJ477" s="11">
        <v>0</v>
      </c>
      <c r="AK477" s="11">
        <f>$J477-SUM($Z477:AJ477)</f>
        <v>0</v>
      </c>
      <c r="AP477" s="11">
        <f>$J477-SUM($Z477:AH477)</f>
        <v>0</v>
      </c>
      <c r="AW477" s="2509"/>
      <c r="BH477" s="2509"/>
      <c r="BI477" s="772"/>
      <c r="BJ477" s="772"/>
      <c r="BK477" s="772"/>
      <c r="BL477" s="772"/>
      <c r="BN477" s="209"/>
      <c r="BO477" s="209"/>
      <c r="BP477" s="209"/>
      <c r="BQ477" s="209"/>
      <c r="BR477" s="209"/>
      <c r="BS477" s="951"/>
      <c r="BT477" s="877"/>
      <c r="BU477" s="262"/>
      <c r="BV477" s="209"/>
      <c r="BW477" s="209"/>
      <c r="BX477" s="820"/>
      <c r="BY477" s="209"/>
      <c r="BZ477" s="209"/>
      <c r="DB477" s="773"/>
      <c r="DC477" s="773"/>
      <c r="DD477" s="773"/>
      <c r="DE477" s="773"/>
      <c r="DF477" s="773"/>
      <c r="DG477" s="773"/>
      <c r="DH477" s="773"/>
      <c r="DI477" s="773"/>
      <c r="DJ477" s="773"/>
      <c r="DK477" s="773"/>
      <c r="DL477" s="773"/>
      <c r="DM477" s="773"/>
      <c r="DN477" s="773"/>
      <c r="DO477" s="773"/>
      <c r="DP477" s="773"/>
      <c r="DQ477" s="773"/>
      <c r="DR477" s="773"/>
      <c r="DS477" s="773"/>
      <c r="DT477" s="773"/>
      <c r="DU477" s="773"/>
      <c r="DV477" s="773"/>
      <c r="DW477" s="773"/>
      <c r="DX477" s="773"/>
      <c r="DY477" s="773"/>
      <c r="DZ477" s="773"/>
      <c r="EA477" s="773"/>
      <c r="EB477" s="773"/>
      <c r="EC477" s="773"/>
      <c r="ED477" s="773"/>
      <c r="EE477" s="773"/>
      <c r="EF477" s="773"/>
      <c r="EG477" s="773"/>
      <c r="EH477" s="773"/>
      <c r="EI477" s="773"/>
      <c r="EJ477" s="773"/>
      <c r="EK477" s="773"/>
      <c r="EL477" s="773"/>
      <c r="EM477" s="773"/>
      <c r="EN477" s="773"/>
      <c r="EO477" s="773"/>
      <c r="EP477" s="773"/>
      <c r="EQ477" s="773"/>
      <c r="ER477" s="773"/>
      <c r="ES477" s="773"/>
      <c r="ET477" s="773"/>
      <c r="EU477" s="773"/>
      <c r="EV477" s="773"/>
      <c r="EW477" s="773"/>
      <c r="EX477" s="773"/>
      <c r="EY477" s="773"/>
      <c r="EZ477" s="773"/>
      <c r="FA477" s="773"/>
      <c r="FB477" s="773"/>
      <c r="FC477" s="773"/>
      <c r="FD477" s="773"/>
      <c r="FE477" s="773"/>
      <c r="FF477" s="773"/>
      <c r="FG477" s="773"/>
      <c r="FH477" s="773"/>
      <c r="FI477" s="773"/>
      <c r="FJ477" s="773"/>
      <c r="FK477" s="773"/>
      <c r="FL477" s="773"/>
      <c r="FM477" s="773"/>
      <c r="FN477" s="773"/>
      <c r="FO477" s="773"/>
      <c r="FP477" s="773"/>
      <c r="FQ477" s="773"/>
      <c r="FR477" s="773"/>
      <c r="FS477" s="773"/>
      <c r="FT477" s="773"/>
      <c r="FU477" s="773"/>
      <c r="FV477" s="773"/>
      <c r="FW477" s="773"/>
      <c r="FX477" s="773"/>
      <c r="FY477" s="773"/>
      <c r="FZ477" s="773"/>
      <c r="GA477" s="773"/>
      <c r="GB477" s="773"/>
      <c r="GC477" s="773"/>
      <c r="GD477" s="773"/>
      <c r="GE477" s="773"/>
      <c r="GF477" s="773"/>
      <c r="GG477" s="773"/>
      <c r="GH477" s="773"/>
      <c r="GI477" s="773"/>
      <c r="GJ477" s="773"/>
      <c r="GK477" s="773"/>
      <c r="GL477" s="773"/>
      <c r="GM477" s="773"/>
      <c r="GN477" s="773"/>
      <c r="GO477" s="773"/>
      <c r="GP477" s="773"/>
      <c r="GQ477" s="773"/>
      <c r="GR477" s="773"/>
      <c r="GS477" s="773"/>
      <c r="GT477" s="773"/>
      <c r="GU477" s="773"/>
      <c r="GV477" s="773"/>
      <c r="GW477" s="773"/>
      <c r="GX477" s="773"/>
      <c r="GY477" s="773"/>
      <c r="GZ477" s="773"/>
    </row>
    <row r="478" spans="1:208" s="11" customFormat="1">
      <c r="A478" s="780"/>
      <c r="B478" s="3761" t="s">
        <v>1766</v>
      </c>
      <c r="C478" s="197">
        <v>80075</v>
      </c>
      <c r="D478" s="199" t="s">
        <v>2660</v>
      </c>
      <c r="E478" s="42">
        <f>IFERROR(VLOOKUP(C478,'AJE 12 - INC'!$D$168:$F$771,3,0),0)</f>
        <v>-2486858.17</v>
      </c>
      <c r="F478" s="108">
        <f>SUMIF('AJE 12 - INC'!B:B,'New TB INC'!C478,'AJE 12 - INC'!D:D)</f>
        <v>0</v>
      </c>
      <c r="G478" s="108"/>
      <c r="H478" s="108"/>
      <c r="I478" s="108"/>
      <c r="J478" s="798">
        <f>SUM(E478:I478)</f>
        <v>-2486858.17</v>
      </c>
      <c r="K478" s="4309">
        <f>SUM('[79]ALL Automated'!$I$167)+J478+J479</f>
        <v>-1126.2716805795208</v>
      </c>
      <c r="L478" s="434"/>
      <c r="M478" s="2689"/>
      <c r="T478" s="772"/>
      <c r="U478" s="772"/>
      <c r="V478" s="2509">
        <v>-58859.17</v>
      </c>
      <c r="W478" s="2509">
        <v>0</v>
      </c>
      <c r="X478" s="2509">
        <v>0</v>
      </c>
      <c r="Y478" s="2509">
        <v>-354628.97000000003</v>
      </c>
      <c r="Z478" s="11">
        <f>'[26]New TB INC'!Z432</f>
        <v>-46132.55</v>
      </c>
      <c r="AA478" s="11">
        <f>'[27]New TB INC'!AA439</f>
        <v>0</v>
      </c>
      <c r="AB478" s="11">
        <f>'[28]New TB INC'!AB446</f>
        <v>-267170.13</v>
      </c>
      <c r="AC478" s="11">
        <f>'[29]New TB INC'!AC442</f>
        <v>-130283.71000000002</v>
      </c>
      <c r="AD478" s="11">
        <f>'[30]New TB INC'!AD437</f>
        <v>0</v>
      </c>
      <c r="AE478" s="11">
        <f>'[31]New TB INC'!AE444</f>
        <v>-622756.46000000008</v>
      </c>
      <c r="AF478" s="11">
        <v>0</v>
      </c>
      <c r="AG478" s="11">
        <v>-408459.82999999984</v>
      </c>
      <c r="AH478" s="11">
        <v>-916221.22</v>
      </c>
      <c r="AI478" s="11">
        <v>0</v>
      </c>
      <c r="AJ478" s="11">
        <v>-8898.1899999999441</v>
      </c>
      <c r="AK478" s="11">
        <f>$J478-SUM($Z478:AJ478)</f>
        <v>-86936.080000000075</v>
      </c>
      <c r="AP478" s="11">
        <f>$J478-SUM($Z478:AH478)</f>
        <v>-95834.270000000019</v>
      </c>
      <c r="AW478" s="2509"/>
      <c r="BH478" s="2509"/>
      <c r="BI478" s="772"/>
      <c r="BJ478" s="772"/>
      <c r="BK478" s="772"/>
      <c r="BL478" s="772"/>
      <c r="BN478" s="209"/>
      <c r="BO478" s="209"/>
      <c r="BP478" s="209"/>
      <c r="BQ478" s="209"/>
      <c r="BR478" s="209"/>
      <c r="BS478" s="951"/>
      <c r="BT478" s="877"/>
      <c r="BU478" s="262"/>
      <c r="BV478" s="209"/>
      <c r="BW478" s="209"/>
      <c r="BX478" s="820"/>
      <c r="BY478" s="209"/>
      <c r="BZ478" s="209"/>
      <c r="DB478" s="773"/>
      <c r="DC478" s="773"/>
      <c r="DD478" s="773"/>
      <c r="DE478" s="773"/>
      <c r="DF478" s="773"/>
      <c r="DG478" s="773"/>
      <c r="DH478" s="773"/>
      <c r="DI478" s="773"/>
      <c r="DJ478" s="773"/>
      <c r="DK478" s="773"/>
      <c r="DL478" s="773"/>
      <c r="DM478" s="773"/>
      <c r="DN478" s="773"/>
      <c r="DO478" s="773"/>
      <c r="DP478" s="773"/>
      <c r="DQ478" s="773"/>
      <c r="DR478" s="773"/>
      <c r="DS478" s="773"/>
      <c r="DT478" s="773"/>
      <c r="DU478" s="773"/>
      <c r="DV478" s="773"/>
      <c r="DW478" s="773"/>
      <c r="DX478" s="773"/>
      <c r="DY478" s="773"/>
      <c r="DZ478" s="773"/>
      <c r="EA478" s="773"/>
      <c r="EB478" s="773"/>
      <c r="EC478" s="773"/>
      <c r="ED478" s="773"/>
      <c r="EE478" s="773"/>
      <c r="EF478" s="773"/>
      <c r="EG478" s="773"/>
      <c r="EH478" s="773"/>
      <c r="EI478" s="773"/>
      <c r="EJ478" s="773"/>
      <c r="EK478" s="773"/>
      <c r="EL478" s="773"/>
      <c r="EM478" s="773"/>
      <c r="EN478" s="773"/>
      <c r="EO478" s="773"/>
      <c r="EP478" s="773"/>
      <c r="EQ478" s="773"/>
      <c r="ER478" s="773"/>
      <c r="ES478" s="773"/>
      <c r="ET478" s="773"/>
      <c r="EU478" s="773"/>
      <c r="EV478" s="773"/>
      <c r="EW478" s="773"/>
      <c r="EX478" s="773"/>
      <c r="EY478" s="773"/>
      <c r="EZ478" s="773"/>
      <c r="FA478" s="773"/>
      <c r="FB478" s="773"/>
      <c r="FC478" s="773"/>
      <c r="FD478" s="773"/>
      <c r="FE478" s="773"/>
      <c r="FF478" s="773"/>
      <c r="FG478" s="773"/>
      <c r="FH478" s="773"/>
      <c r="FI478" s="773"/>
      <c r="FJ478" s="773"/>
      <c r="FK478" s="773"/>
      <c r="FL478" s="773"/>
      <c r="FM478" s="773"/>
      <c r="FN478" s="773"/>
      <c r="FO478" s="773"/>
      <c r="FP478" s="773"/>
      <c r="FQ478" s="773"/>
      <c r="FR478" s="773"/>
      <c r="FS478" s="773"/>
      <c r="FT478" s="773"/>
      <c r="FU478" s="773"/>
      <c r="FV478" s="773"/>
      <c r="FW478" s="773"/>
      <c r="FX478" s="773"/>
      <c r="FY478" s="773"/>
      <c r="FZ478" s="773"/>
      <c r="GA478" s="773"/>
      <c r="GB478" s="773"/>
      <c r="GC478" s="773"/>
      <c r="GD478" s="773"/>
      <c r="GE478" s="773"/>
      <c r="GF478" s="773"/>
      <c r="GG478" s="773"/>
      <c r="GH478" s="773"/>
      <c r="GI478" s="773"/>
      <c r="GJ478" s="773"/>
      <c r="GK478" s="773"/>
      <c r="GL478" s="773"/>
      <c r="GM478" s="773"/>
      <c r="GN478" s="773"/>
      <c r="GO478" s="773"/>
      <c r="GP478" s="773"/>
      <c r="GQ478" s="773"/>
      <c r="GR478" s="773"/>
      <c r="GS478" s="773"/>
      <c r="GT478" s="773"/>
      <c r="GU478" s="773"/>
      <c r="GV478" s="773"/>
      <c r="GW478" s="773"/>
      <c r="GX478" s="773"/>
      <c r="GY478" s="773"/>
      <c r="GZ478" s="773"/>
    </row>
    <row r="479" spans="1:208" s="11" customFormat="1" ht="13.5" thickBot="1">
      <c r="A479" s="780"/>
      <c r="B479" s="3761" t="s">
        <v>1771</v>
      </c>
      <c r="C479" s="197">
        <v>80071</v>
      </c>
      <c r="D479" s="199" t="s">
        <v>1772</v>
      </c>
      <c r="E479" s="42">
        <f>IFERROR(VLOOKUP(C479,'AJE 12 - INC'!$D$168:$F$771,3,0),0)</f>
        <v>-5385085.75</v>
      </c>
      <c r="F479" s="108">
        <f>SUMIF('AJE 12 - INC'!B:B,'New TB INC'!C479,'AJE 12 - INC'!D:D)</f>
        <v>0</v>
      </c>
      <c r="G479" s="108"/>
      <c r="H479" s="108"/>
      <c r="I479" s="108"/>
      <c r="J479" s="798">
        <f>SUM(E479:I479)</f>
        <v>-5385085.75</v>
      </c>
      <c r="K479" s="4310"/>
      <c r="L479" s="434"/>
      <c r="M479" s="2170"/>
      <c r="N479" s="11">
        <v>-223090.48</v>
      </c>
      <c r="O479" s="11">
        <v>-31104.25</v>
      </c>
      <c r="P479" s="11">
        <v>-589750.77</v>
      </c>
      <c r="Q479" s="11">
        <v>-212042.81000000006</v>
      </c>
      <c r="R479" s="11">
        <v>-298115.54000000004</v>
      </c>
      <c r="S479" s="11">
        <v>-2558679.7599999998</v>
      </c>
      <c r="T479" s="772">
        <v>-248891.70999999996</v>
      </c>
      <c r="U479" s="772">
        <v>-229788.26000000024</v>
      </c>
      <c r="V479" s="2509">
        <v>-457145.18999999948</v>
      </c>
      <c r="W479" s="2509">
        <v>-141144.8900000006</v>
      </c>
      <c r="X479" s="2509">
        <v>-175053.78000000026</v>
      </c>
      <c r="Y479" s="2509">
        <v>-642210.27999999933</v>
      </c>
      <c r="Z479" s="11">
        <f>'[26]New TB INC'!Z433</f>
        <v>-162766.60999999999</v>
      </c>
      <c r="AA479" s="11">
        <f>'[27]New TB INC'!AA440</f>
        <v>-168616.09000000003</v>
      </c>
      <c r="AB479" s="11">
        <f>'[28]New TB INC'!AB447</f>
        <v>-613141.90999999992</v>
      </c>
      <c r="AC479" s="11">
        <f>'[29]New TB INC'!AC443</f>
        <v>-58990.90000000014</v>
      </c>
      <c r="AD479" s="11">
        <f>'[30]New TB INC'!AD438</f>
        <v>-491717.86999999988</v>
      </c>
      <c r="AE479" s="11">
        <f>'[31]New TB INC'!AE445</f>
        <v>-650328.43999999994</v>
      </c>
      <c r="AF479" s="11">
        <v>-113363.0700000003</v>
      </c>
      <c r="AG479" s="11">
        <v>-359365.64999999991</v>
      </c>
      <c r="AH479" s="11">
        <v>-624910.04</v>
      </c>
      <c r="AI479" s="11">
        <v>-570358.41999999993</v>
      </c>
      <c r="AJ479" s="11">
        <v>-284911.54999999981</v>
      </c>
      <c r="AK479" s="11">
        <f>$J479-SUM($Z479:AJ479)</f>
        <v>-1286615.2000000002</v>
      </c>
      <c r="AP479" s="11">
        <f>$J479-SUM($Z479:AH479)</f>
        <v>-2141885.17</v>
      </c>
      <c r="AW479" s="2509"/>
      <c r="BH479" s="2509"/>
      <c r="BI479" s="772"/>
      <c r="BJ479" s="772"/>
      <c r="BK479" s="772"/>
      <c r="BL479" s="772"/>
      <c r="BN479" s="209"/>
      <c r="BO479" s="209"/>
      <c r="BP479" s="209"/>
      <c r="BQ479" s="209"/>
      <c r="BR479" s="209"/>
      <c r="BS479" s="951"/>
      <c r="BT479" s="877"/>
      <c r="BU479" s="262"/>
      <c r="BV479" s="209"/>
      <c r="BW479" s="209"/>
      <c r="BX479" s="820"/>
      <c r="BY479" s="209"/>
      <c r="BZ479" s="209"/>
      <c r="DB479" s="773"/>
      <c r="DC479" s="773"/>
      <c r="DD479" s="773"/>
      <c r="DE479" s="773"/>
      <c r="DF479" s="773"/>
      <c r="DG479" s="773"/>
      <c r="DH479" s="773"/>
      <c r="DI479" s="773"/>
      <c r="DJ479" s="773"/>
      <c r="DK479" s="773"/>
      <c r="DL479" s="773"/>
      <c r="DM479" s="773"/>
      <c r="DN479" s="773"/>
      <c r="DO479" s="773"/>
      <c r="DP479" s="773"/>
      <c r="DQ479" s="773"/>
      <c r="DR479" s="773"/>
      <c r="DS479" s="773"/>
      <c r="DT479" s="773"/>
      <c r="DU479" s="773"/>
      <c r="DV479" s="773"/>
      <c r="DW479" s="773"/>
      <c r="DX479" s="773"/>
      <c r="DY479" s="773"/>
      <c r="DZ479" s="773"/>
      <c r="EA479" s="773"/>
      <c r="EB479" s="773"/>
      <c r="EC479" s="773"/>
      <c r="ED479" s="773"/>
      <c r="EE479" s="773"/>
      <c r="EF479" s="773"/>
      <c r="EG479" s="773"/>
      <c r="EH479" s="773"/>
      <c r="EI479" s="773"/>
      <c r="EJ479" s="773"/>
      <c r="EK479" s="773"/>
      <c r="EL479" s="773"/>
      <c r="EM479" s="773"/>
      <c r="EN479" s="773"/>
      <c r="EO479" s="773"/>
      <c r="EP479" s="773"/>
      <c r="EQ479" s="773"/>
      <c r="ER479" s="773"/>
      <c r="ES479" s="773"/>
      <c r="ET479" s="773"/>
      <c r="EU479" s="773"/>
      <c r="EV479" s="773"/>
      <c r="EW479" s="773"/>
      <c r="EX479" s="773"/>
      <c r="EY479" s="773"/>
      <c r="EZ479" s="773"/>
      <c r="FA479" s="773"/>
      <c r="FB479" s="773"/>
      <c r="FC479" s="773"/>
      <c r="FD479" s="773"/>
      <c r="FE479" s="773"/>
      <c r="FF479" s="773"/>
      <c r="FG479" s="773"/>
      <c r="FH479" s="773"/>
      <c r="FI479" s="773"/>
      <c r="FJ479" s="773"/>
      <c r="FK479" s="773"/>
      <c r="FL479" s="773"/>
      <c r="FM479" s="773"/>
      <c r="FN479" s="773"/>
      <c r="FO479" s="773"/>
      <c r="FP479" s="773"/>
      <c r="FQ479" s="773"/>
      <c r="FR479" s="773"/>
      <c r="FS479" s="773"/>
      <c r="FT479" s="773"/>
      <c r="FU479" s="773"/>
      <c r="FV479" s="773"/>
      <c r="FW479" s="773"/>
      <c r="FX479" s="773"/>
      <c r="FY479" s="773"/>
      <c r="FZ479" s="773"/>
      <c r="GA479" s="773"/>
      <c r="GB479" s="773"/>
      <c r="GC479" s="773"/>
      <c r="GD479" s="773"/>
      <c r="GE479" s="773"/>
      <c r="GF479" s="773"/>
      <c r="GG479" s="773"/>
      <c r="GH479" s="773"/>
      <c r="GI479" s="773"/>
      <c r="GJ479" s="773"/>
      <c r="GK479" s="773"/>
      <c r="GL479" s="773"/>
      <c r="GM479" s="773"/>
      <c r="GN479" s="773"/>
      <c r="GO479" s="773"/>
      <c r="GP479" s="773"/>
      <c r="GQ479" s="773"/>
      <c r="GR479" s="773"/>
      <c r="GS479" s="773"/>
      <c r="GT479" s="773"/>
      <c r="GU479" s="773"/>
      <c r="GV479" s="773"/>
      <c r="GW479" s="773"/>
      <c r="GX479" s="773"/>
      <c r="GY479" s="773"/>
      <c r="GZ479" s="773"/>
    </row>
    <row r="480" spans="1:208" s="11" customFormat="1">
      <c r="A480" s="780"/>
      <c r="B480" s="3761" t="s">
        <v>1765</v>
      </c>
      <c r="C480" s="197">
        <v>80085</v>
      </c>
      <c r="D480" s="199" t="s">
        <v>2659</v>
      </c>
      <c r="E480" s="42">
        <f>IFERROR(VLOOKUP(C480,'AJE 12 - INC'!$D$168:$F$771,3,0),0)</f>
        <v>-413952.21</v>
      </c>
      <c r="F480" s="108">
        <f>SUMIF('AJE 12 - INC'!B:B,'New TB INC'!C480,'AJE 12 - INC'!D:D)</f>
        <v>0</v>
      </c>
      <c r="G480" s="108"/>
      <c r="H480" s="108"/>
      <c r="I480" s="108"/>
      <c r="J480" s="798">
        <f>SUM(E480:I480)</f>
        <v>-413952.21</v>
      </c>
      <c r="K480" s="4309">
        <f>SUM([154]ALL!$AN$99:$AY99,[147]ALL!$AN$15:$AY$15,'[83]ALL Automated'!$X$127:$AI$127,'[79]ALL Automated'!$X$169)+J480+J481</f>
        <v>938.90009941905737</v>
      </c>
      <c r="L480" s="434"/>
      <c r="M480" s="2689"/>
      <c r="T480" s="772"/>
      <c r="U480" s="772"/>
      <c r="V480" s="2509">
        <v>-1090.53</v>
      </c>
      <c r="W480" s="2509">
        <v>-1422.43</v>
      </c>
      <c r="X480" s="2509">
        <v>-1422.4299999999998</v>
      </c>
      <c r="Y480" s="2509">
        <v>-2458.86</v>
      </c>
      <c r="Z480" s="11">
        <f>'[26]New TB INC'!Z434</f>
        <v>-8853.06</v>
      </c>
      <c r="AA480" s="11">
        <f>'[27]New TB INC'!AA441</f>
        <v>-10403.26</v>
      </c>
      <c r="AB480" s="11">
        <f>'[28]New TB INC'!AB448</f>
        <v>-11671.310000000001</v>
      </c>
      <c r="AC480" s="11">
        <f>'[29]New TB INC'!AC444</f>
        <v>-15042.249999999996</v>
      </c>
      <c r="AD480" s="11">
        <f>'[30]New TB INC'!AD439</f>
        <v>-15042.25</v>
      </c>
      <c r="AE480" s="11">
        <f>'[31]New TB INC'!AE446</f>
        <v>-25127.310000000005</v>
      </c>
      <c r="AF480" s="11">
        <v>-30855.630000000005</v>
      </c>
      <c r="AG480" s="11">
        <v>-42622.539999999979</v>
      </c>
      <c r="AH480" s="11">
        <v>-53097.900000000023</v>
      </c>
      <c r="AI480" s="11">
        <v>-66953.75</v>
      </c>
      <c r="AJ480" s="11">
        <v>-67099.330000000016</v>
      </c>
      <c r="AK480" s="11">
        <f>$J480-SUM($Z480:AJ480)</f>
        <v>-67183.62</v>
      </c>
      <c r="AP480" s="11">
        <f>$J480-SUM($Z480:AH480)</f>
        <v>-201236.7</v>
      </c>
      <c r="AW480" s="2509"/>
      <c r="BH480" s="2509"/>
      <c r="BI480" s="772"/>
      <c r="BJ480" s="772"/>
      <c r="BK480" s="772"/>
      <c r="BL480" s="772"/>
      <c r="BN480" s="209"/>
      <c r="BO480" s="209"/>
      <c r="BP480" s="209"/>
      <c r="BQ480" s="209"/>
      <c r="BR480" s="209"/>
      <c r="BS480" s="951"/>
      <c r="BT480" s="877"/>
      <c r="BU480" s="262"/>
      <c r="BV480" s="209"/>
      <c r="BW480" s="209"/>
      <c r="BX480" s="820"/>
      <c r="BY480" s="209"/>
      <c r="BZ480" s="209"/>
      <c r="DB480" s="773"/>
      <c r="DC480" s="773"/>
      <c r="DD480" s="773"/>
      <c r="DE480" s="773"/>
      <c r="DF480" s="773"/>
      <c r="DG480" s="773"/>
      <c r="DH480" s="773"/>
      <c r="DI480" s="773"/>
      <c r="DJ480" s="773"/>
      <c r="DK480" s="773"/>
      <c r="DL480" s="773"/>
      <c r="DM480" s="773"/>
      <c r="DN480" s="773"/>
      <c r="DO480" s="773"/>
      <c r="DP480" s="773"/>
      <c r="DQ480" s="773"/>
      <c r="DR480" s="773"/>
      <c r="DS480" s="773"/>
      <c r="DT480" s="773"/>
      <c r="DU480" s="773"/>
      <c r="DV480" s="773"/>
      <c r="DW480" s="773"/>
      <c r="DX480" s="773"/>
      <c r="DY480" s="773"/>
      <c r="DZ480" s="773"/>
      <c r="EA480" s="773"/>
      <c r="EB480" s="773"/>
      <c r="EC480" s="773"/>
      <c r="ED480" s="773"/>
      <c r="EE480" s="773"/>
      <c r="EF480" s="773"/>
      <c r="EG480" s="773"/>
      <c r="EH480" s="773"/>
      <c r="EI480" s="773"/>
      <c r="EJ480" s="773"/>
      <c r="EK480" s="773"/>
      <c r="EL480" s="773"/>
      <c r="EM480" s="773"/>
      <c r="EN480" s="773"/>
      <c r="EO480" s="773"/>
      <c r="EP480" s="773"/>
      <c r="EQ480" s="773"/>
      <c r="ER480" s="773"/>
      <c r="ES480" s="773"/>
      <c r="ET480" s="773"/>
      <c r="EU480" s="773"/>
      <c r="EV480" s="773"/>
      <c r="EW480" s="773"/>
      <c r="EX480" s="773"/>
      <c r="EY480" s="773"/>
      <c r="EZ480" s="773"/>
      <c r="FA480" s="773"/>
      <c r="FB480" s="773"/>
      <c r="FC480" s="773"/>
      <c r="FD480" s="773"/>
      <c r="FE480" s="773"/>
      <c r="FF480" s="773"/>
      <c r="FG480" s="773"/>
      <c r="FH480" s="773"/>
      <c r="FI480" s="773"/>
      <c r="FJ480" s="773"/>
      <c r="FK480" s="773"/>
      <c r="FL480" s="773"/>
      <c r="FM480" s="773"/>
      <c r="FN480" s="773"/>
      <c r="FO480" s="773"/>
      <c r="FP480" s="773"/>
      <c r="FQ480" s="773"/>
      <c r="FR480" s="773"/>
      <c r="FS480" s="773"/>
      <c r="FT480" s="773"/>
      <c r="FU480" s="773"/>
      <c r="FV480" s="773"/>
      <c r="FW480" s="773"/>
      <c r="FX480" s="773"/>
      <c r="FY480" s="773"/>
      <c r="FZ480" s="773"/>
      <c r="GA480" s="773"/>
      <c r="GB480" s="773"/>
      <c r="GC480" s="773"/>
      <c r="GD480" s="773"/>
      <c r="GE480" s="773"/>
      <c r="GF480" s="773"/>
      <c r="GG480" s="773"/>
      <c r="GH480" s="773"/>
      <c r="GI480" s="773"/>
      <c r="GJ480" s="773"/>
      <c r="GK480" s="773"/>
      <c r="GL480" s="773"/>
      <c r="GM480" s="773"/>
      <c r="GN480" s="773"/>
      <c r="GO480" s="773"/>
      <c r="GP480" s="773"/>
      <c r="GQ480" s="773"/>
      <c r="GR480" s="773"/>
      <c r="GS480" s="773"/>
      <c r="GT480" s="773"/>
      <c r="GU480" s="773"/>
      <c r="GV480" s="773"/>
      <c r="GW480" s="773"/>
      <c r="GX480" s="773"/>
      <c r="GY480" s="773"/>
      <c r="GZ480" s="773"/>
    </row>
    <row r="481" spans="1:208" s="11" customFormat="1" ht="13.5" thickBot="1">
      <c r="A481" s="780"/>
      <c r="B481" s="3761" t="s">
        <v>1673</v>
      </c>
      <c r="C481" s="197">
        <v>80081</v>
      </c>
      <c r="D481" s="199" t="s">
        <v>1674</v>
      </c>
      <c r="E481" s="42">
        <f>IFERROR(VLOOKUP(C481,'AJE 12 - INC'!$D$168:$F$771,3,0),0)</f>
        <v>-3189925.54</v>
      </c>
      <c r="F481" s="108">
        <f>SUMIF('AJE 12 - INC'!B:B,'New TB INC'!C481,'AJE 12 - INC'!D:D)</f>
        <v>0</v>
      </c>
      <c r="G481" s="108"/>
      <c r="H481" s="108"/>
      <c r="I481" s="108"/>
      <c r="J481" s="798">
        <f>SUM(E481:I481)</f>
        <v>-3189925.54</v>
      </c>
      <c r="K481" s="4310"/>
      <c r="L481" s="434"/>
      <c r="M481" s="2170"/>
      <c r="N481" s="11">
        <v>-107503.73</v>
      </c>
      <c r="O481" s="11">
        <v>-111643.24</v>
      </c>
      <c r="P481" s="11">
        <v>-136546.12000000005</v>
      </c>
      <c r="Q481" s="11">
        <v>-131849.85999999999</v>
      </c>
      <c r="R481" s="11">
        <v>-136829.51999999996</v>
      </c>
      <c r="S481" s="11">
        <v>-145883.21000000008</v>
      </c>
      <c r="T481" s="772">
        <v>-205801.53999999986</v>
      </c>
      <c r="U481" s="772">
        <v>-206750.53000000003</v>
      </c>
      <c r="V481" s="2509">
        <v>-211473.43999999994</v>
      </c>
      <c r="W481" s="2509">
        <v>-217497.22999999998</v>
      </c>
      <c r="X481" s="2509">
        <v>-217501.04000000004</v>
      </c>
      <c r="Y481" s="2509">
        <v>-223012.25</v>
      </c>
      <c r="Z481" s="11">
        <f>'[26]New TB INC'!Z435</f>
        <v>-225766</v>
      </c>
      <c r="AA481" s="11">
        <f>'[27]New TB INC'!AA442</f>
        <v>-227204.19</v>
      </c>
      <c r="AB481" s="11">
        <f>'[28]New TB INC'!AB449</f>
        <v>-229713.22000000003</v>
      </c>
      <c r="AC481" s="11">
        <f>'[29]New TB INC'!AC445</f>
        <v>-243260.95999999996</v>
      </c>
      <c r="AD481" s="11">
        <f>'[30]New TB INC'!AD440</f>
        <v>-248144.66000000003</v>
      </c>
      <c r="AE481" s="11">
        <f>'[31]New TB INC'!AE447</f>
        <v>-261469.72999999998</v>
      </c>
      <c r="AF481" s="11">
        <v>-274793.66999999993</v>
      </c>
      <c r="AG481" s="11">
        <v>-273411.51</v>
      </c>
      <c r="AH481" s="11">
        <v>-281165.25</v>
      </c>
      <c r="AI481" s="11">
        <v>-302246.39999999991</v>
      </c>
      <c r="AJ481" s="11">
        <v>-310328.3200000003</v>
      </c>
      <c r="AK481" s="11">
        <f>$J481-SUM($Z481:AJ481)</f>
        <v>-312421.62999999989</v>
      </c>
      <c r="AP481" s="11">
        <f>$J481-SUM($Z481:AH481)</f>
        <v>-924996.35000000009</v>
      </c>
      <c r="AW481" s="2509"/>
      <c r="BH481" s="2509"/>
      <c r="BI481" s="772"/>
      <c r="BJ481" s="772"/>
      <c r="BK481" s="772"/>
      <c r="BL481" s="772"/>
      <c r="BN481" s="209"/>
      <c r="BO481" s="209"/>
      <c r="BP481" s="209"/>
      <c r="BQ481" s="209"/>
      <c r="BR481" s="209"/>
      <c r="BS481" s="951"/>
      <c r="BT481" s="877"/>
      <c r="BU481" s="262"/>
      <c r="BV481" s="209"/>
      <c r="BW481" s="209"/>
      <c r="BX481" s="820"/>
      <c r="BY481" s="209"/>
      <c r="BZ481" s="209"/>
      <c r="DB481" s="773"/>
      <c r="DC481" s="773"/>
      <c r="DD481" s="773"/>
      <c r="DE481" s="773"/>
      <c r="DF481" s="773"/>
      <c r="DG481" s="773"/>
      <c r="DH481" s="773"/>
      <c r="DI481" s="773"/>
      <c r="DJ481" s="773"/>
      <c r="DK481" s="773"/>
      <c r="DL481" s="773"/>
      <c r="DM481" s="773"/>
      <c r="DN481" s="773"/>
      <c r="DO481" s="773"/>
      <c r="DP481" s="773"/>
      <c r="DQ481" s="773"/>
      <c r="DR481" s="773"/>
      <c r="DS481" s="773"/>
      <c r="DT481" s="773"/>
      <c r="DU481" s="773"/>
      <c r="DV481" s="773"/>
      <c r="DW481" s="773"/>
      <c r="DX481" s="773"/>
      <c r="DY481" s="773"/>
      <c r="DZ481" s="773"/>
      <c r="EA481" s="773"/>
      <c r="EB481" s="773"/>
      <c r="EC481" s="773"/>
      <c r="ED481" s="773"/>
      <c r="EE481" s="773"/>
      <c r="EF481" s="773"/>
      <c r="EG481" s="773"/>
      <c r="EH481" s="773"/>
      <c r="EI481" s="773"/>
      <c r="EJ481" s="773"/>
      <c r="EK481" s="773"/>
      <c r="EL481" s="773"/>
      <c r="EM481" s="773"/>
      <c r="EN481" s="773"/>
      <c r="EO481" s="773"/>
      <c r="EP481" s="773"/>
      <c r="EQ481" s="773"/>
      <c r="ER481" s="773"/>
      <c r="ES481" s="773"/>
      <c r="ET481" s="773"/>
      <c r="EU481" s="773"/>
      <c r="EV481" s="773"/>
      <c r="EW481" s="773"/>
      <c r="EX481" s="773"/>
      <c r="EY481" s="773"/>
      <c r="EZ481" s="773"/>
      <c r="FA481" s="773"/>
      <c r="FB481" s="773"/>
      <c r="FC481" s="773"/>
      <c r="FD481" s="773"/>
      <c r="FE481" s="773"/>
      <c r="FF481" s="773"/>
      <c r="FG481" s="773"/>
      <c r="FH481" s="773"/>
      <c r="FI481" s="773"/>
      <c r="FJ481" s="773"/>
      <c r="FK481" s="773"/>
      <c r="FL481" s="773"/>
      <c r="FM481" s="773"/>
      <c r="FN481" s="773"/>
      <c r="FO481" s="773"/>
      <c r="FP481" s="773"/>
      <c r="FQ481" s="773"/>
      <c r="FR481" s="773"/>
      <c r="FS481" s="773"/>
      <c r="FT481" s="773"/>
      <c r="FU481" s="773"/>
      <c r="FV481" s="773"/>
      <c r="FW481" s="773"/>
      <c r="FX481" s="773"/>
      <c r="FY481" s="773"/>
      <c r="FZ481" s="773"/>
      <c r="GA481" s="773"/>
      <c r="GB481" s="773"/>
      <c r="GC481" s="773"/>
      <c r="GD481" s="773"/>
      <c r="GE481" s="773"/>
      <c r="GF481" s="773"/>
      <c r="GG481" s="773"/>
      <c r="GH481" s="773"/>
      <c r="GI481" s="773"/>
      <c r="GJ481" s="773"/>
      <c r="GK481" s="773"/>
      <c r="GL481" s="773"/>
      <c r="GM481" s="773"/>
      <c r="GN481" s="773"/>
      <c r="GO481" s="773"/>
      <c r="GP481" s="773"/>
      <c r="GQ481" s="773"/>
      <c r="GR481" s="773"/>
      <c r="GS481" s="773"/>
      <c r="GT481" s="773"/>
      <c r="GU481" s="773"/>
      <c r="GV481" s="773"/>
      <c r="GW481" s="773"/>
      <c r="GX481" s="773"/>
      <c r="GY481" s="773"/>
      <c r="GZ481" s="773"/>
    </row>
    <row r="482" spans="1:208" s="11" customFormat="1" ht="13.5" thickBot="1">
      <c r="A482" s="780"/>
      <c r="B482" s="3761" t="s">
        <v>720</v>
      </c>
      <c r="C482" s="197">
        <v>80063</v>
      </c>
      <c r="D482" s="199" t="s">
        <v>724</v>
      </c>
      <c r="E482" s="42">
        <f>IFERROR(VLOOKUP(C482,'AJE 12 - INC'!$D$168:$F$771,3,0),0)</f>
        <v>-9553.6</v>
      </c>
      <c r="F482" s="108">
        <f>SUMIF('AJE 12 - INC'!B:B,'New TB INC'!C482,'AJE 12 - INC'!D:D)</f>
        <v>0</v>
      </c>
      <c r="G482" s="108"/>
      <c r="H482" s="108"/>
      <c r="I482" s="108"/>
      <c r="J482" s="798">
        <f>SUM(E482:I482)</f>
        <v>-9553.6</v>
      </c>
      <c r="K482" s="956">
        <f>SUM('[155]ספרים 2019'!$E$31:$E$42)+J482</f>
        <v>9.5238095254899235E-3</v>
      </c>
      <c r="L482" s="434"/>
      <c r="M482" s="2171" t="s">
        <v>2610</v>
      </c>
      <c r="N482" s="11">
        <v>-2504.15</v>
      </c>
      <c r="O482" s="11">
        <v>-2402.5399999999995</v>
      </c>
      <c r="P482" s="11">
        <v>-2170.3900000000008</v>
      </c>
      <c r="Q482" s="11">
        <v>-1310.0699999999997</v>
      </c>
      <c r="R482" s="11">
        <v>-1310.0700000000002</v>
      </c>
      <c r="S482" s="11">
        <v>-1310.0700000000015</v>
      </c>
      <c r="T482" s="772">
        <v>-1310.0699999999993</v>
      </c>
      <c r="U482" s="772">
        <v>-1310.0699999999997</v>
      </c>
      <c r="V482" s="2509">
        <v>-1310.0699999999997</v>
      </c>
      <c r="W482" s="2509">
        <v>-1310.0699999999997</v>
      </c>
      <c r="X482" s="2509">
        <v>-1235.6700000000019</v>
      </c>
      <c r="Y482" s="2509">
        <v>-1164.4399999999987</v>
      </c>
      <c r="Z482" s="11">
        <f>'[26]New TB INC'!Z436</f>
        <v>-892.86</v>
      </c>
      <c r="AA482" s="11">
        <f>'[27]New TB INC'!AA443</f>
        <v>-892.86</v>
      </c>
      <c r="AB482" s="11">
        <f>'[28]New TB INC'!AB450</f>
        <v>-892.8599999999999</v>
      </c>
      <c r="AC482" s="11">
        <f>'[29]New TB INC'!AC446</f>
        <v>-892.86000000000013</v>
      </c>
      <c r="AD482" s="11">
        <f>'[30]New TB INC'!AD441</f>
        <v>-892.86000000000013</v>
      </c>
      <c r="AE482" s="11">
        <f>'[31]New TB INC'!AE448</f>
        <v>-892.85999999999967</v>
      </c>
      <c r="AF482" s="11">
        <v>-892.86000000000058</v>
      </c>
      <c r="AG482" s="11">
        <v>-892.85999999999967</v>
      </c>
      <c r="AH482" s="11">
        <v>-892.85999999999967</v>
      </c>
      <c r="AI482" s="11">
        <v>-892.86000000000058</v>
      </c>
      <c r="AJ482" s="11">
        <v>-625</v>
      </c>
      <c r="AK482" s="11">
        <f>$J482-SUM($Z482:AJ482)</f>
        <v>0</v>
      </c>
      <c r="AP482" s="11">
        <f>$J482-SUM($Z482:AH482)</f>
        <v>-1517.8600000000006</v>
      </c>
      <c r="AW482" s="2509"/>
      <c r="BH482" s="2509"/>
      <c r="BI482" s="772"/>
      <c r="BJ482" s="772"/>
      <c r="BK482" s="772"/>
      <c r="BM482" s="773"/>
      <c r="BN482" s="209"/>
      <c r="BO482" s="209"/>
      <c r="BP482" s="209"/>
      <c r="BQ482" s="209"/>
      <c r="BR482" s="209"/>
      <c r="BS482" s="952"/>
      <c r="BT482" s="858"/>
      <c r="BU482" s="271">
        <f>SUM(BU462:BU470)</f>
        <v>0</v>
      </c>
      <c r="BV482" s="209"/>
      <c r="BW482" s="209"/>
      <c r="BX482" s="820"/>
      <c r="DB482" s="773"/>
      <c r="DC482" s="773"/>
      <c r="DD482" s="773"/>
      <c r="DE482" s="773"/>
      <c r="DF482" s="773"/>
      <c r="DG482" s="773"/>
      <c r="DH482" s="773"/>
      <c r="DI482" s="773"/>
      <c r="DJ482" s="773"/>
      <c r="DK482" s="773"/>
      <c r="DL482" s="773"/>
      <c r="DM482" s="773"/>
      <c r="DN482" s="773"/>
      <c r="DO482" s="773"/>
      <c r="DP482" s="773"/>
      <c r="DQ482" s="773"/>
      <c r="DR482" s="773"/>
      <c r="DS482" s="773"/>
      <c r="DT482" s="773"/>
      <c r="DU482" s="773"/>
      <c r="DV482" s="773"/>
      <c r="DW482" s="773"/>
      <c r="DX482" s="773"/>
      <c r="DY482" s="773"/>
      <c r="DZ482" s="773"/>
      <c r="EA482" s="773"/>
      <c r="EB482" s="773"/>
      <c r="EC482" s="773"/>
      <c r="ED482" s="773"/>
      <c r="EE482" s="773"/>
      <c r="EF482" s="773"/>
      <c r="EG482" s="773"/>
      <c r="EH482" s="773"/>
      <c r="EI482" s="773"/>
      <c r="EJ482" s="773"/>
      <c r="EK482" s="773"/>
      <c r="EL482" s="773"/>
      <c r="EM482" s="773"/>
      <c r="EN482" s="773"/>
      <c r="EO482" s="773"/>
      <c r="EP482" s="773"/>
      <c r="EQ482" s="773"/>
      <c r="ER482" s="773"/>
      <c r="ES482" s="773"/>
      <c r="ET482" s="773"/>
      <c r="EU482" s="773"/>
      <c r="EV482" s="773"/>
      <c r="EW482" s="773"/>
      <c r="EX482" s="773"/>
      <c r="EY482" s="773"/>
      <c r="EZ482" s="773"/>
      <c r="FA482" s="773"/>
      <c r="FB482" s="773"/>
      <c r="FC482" s="773"/>
      <c r="FD482" s="773"/>
      <c r="FE482" s="773"/>
      <c r="FF482" s="773"/>
      <c r="FG482" s="773"/>
      <c r="FH482" s="773"/>
      <c r="FI482" s="773"/>
      <c r="FJ482" s="773"/>
      <c r="FK482" s="773"/>
      <c r="FL482" s="773"/>
      <c r="FM482" s="773"/>
      <c r="FN482" s="773"/>
      <c r="FO482" s="773"/>
      <c r="FP482" s="773"/>
      <c r="FQ482" s="773"/>
      <c r="FR482" s="773"/>
      <c r="FS482" s="773"/>
      <c r="FT482" s="773"/>
      <c r="FU482" s="773"/>
      <c r="FV482" s="773"/>
      <c r="FW482" s="773"/>
      <c r="FX482" s="773"/>
      <c r="FY482" s="773"/>
      <c r="FZ482" s="773"/>
      <c r="GA482" s="773"/>
      <c r="GB482" s="773"/>
      <c r="GC482" s="773"/>
      <c r="GD482" s="773"/>
      <c r="GE482" s="773"/>
      <c r="GF482" s="773"/>
      <c r="GG482" s="773"/>
      <c r="GH482" s="773"/>
      <c r="GI482" s="773"/>
      <c r="GJ482" s="773"/>
      <c r="GK482" s="773"/>
      <c r="GL482" s="773"/>
      <c r="GM482" s="773"/>
      <c r="GN482" s="773"/>
      <c r="GO482" s="773"/>
      <c r="GP482" s="773"/>
      <c r="GQ482" s="773"/>
      <c r="GR482" s="773"/>
      <c r="GS482" s="773"/>
      <c r="GT482" s="773"/>
      <c r="GU482" s="773"/>
      <c r="GV482" s="773"/>
      <c r="GW482" s="773"/>
      <c r="GX482" s="773"/>
      <c r="GY482" s="773"/>
      <c r="GZ482" s="773"/>
    </row>
    <row r="483" spans="1:208" s="11" customFormat="1" ht="13.5" thickBot="1">
      <c r="A483" s="780"/>
      <c r="B483" s="3761"/>
      <c r="C483" s="157"/>
      <c r="D483" s="199"/>
      <c r="E483" s="809"/>
      <c r="F483" s="769"/>
      <c r="G483" s="769"/>
      <c r="H483" s="769"/>
      <c r="I483" s="769"/>
      <c r="J483" s="796"/>
      <c r="K483" s="209"/>
      <c r="L483" s="434"/>
      <c r="M483" s="810"/>
      <c r="N483" s="772"/>
      <c r="V483" s="2510"/>
      <c r="W483" s="2510"/>
      <c r="X483" s="2510"/>
      <c r="Y483" s="2510"/>
      <c r="AW483" s="2510"/>
      <c r="BH483" s="2510"/>
      <c r="BN483" s="209"/>
      <c r="BO483" s="209"/>
      <c r="BP483" s="209"/>
      <c r="BQ483" s="209"/>
      <c r="BR483" s="209"/>
      <c r="BS483" s="952"/>
      <c r="BT483" s="858"/>
      <c r="BU483" s="271">
        <f>SUM(BU468:BU475)</f>
        <v>0</v>
      </c>
      <c r="BV483" s="209"/>
      <c r="BW483" s="820"/>
      <c r="BX483" s="209"/>
      <c r="BY483" s="209"/>
      <c r="BZ483" s="799"/>
      <c r="DB483" s="773"/>
      <c r="DC483" s="773"/>
      <c r="DD483" s="773"/>
      <c r="DE483" s="773"/>
      <c r="DF483" s="773"/>
      <c r="DG483" s="773"/>
      <c r="DH483" s="773"/>
      <c r="DI483" s="773"/>
      <c r="DJ483" s="773"/>
      <c r="DK483" s="773"/>
      <c r="DL483" s="773"/>
      <c r="DM483" s="773"/>
      <c r="DN483" s="773"/>
      <c r="DO483" s="773"/>
      <c r="DP483" s="773"/>
      <c r="DQ483" s="773"/>
      <c r="DR483" s="773"/>
      <c r="DS483" s="773"/>
      <c r="DT483" s="773"/>
      <c r="DU483" s="773"/>
      <c r="DV483" s="773"/>
      <c r="DW483" s="773"/>
      <c r="DX483" s="773"/>
      <c r="DY483" s="773"/>
      <c r="DZ483" s="773"/>
      <c r="EA483" s="773"/>
      <c r="EB483" s="773"/>
      <c r="EC483" s="773"/>
      <c r="ED483" s="773"/>
      <c r="EE483" s="773"/>
      <c r="EF483" s="773"/>
      <c r="EG483" s="773"/>
      <c r="EH483" s="773"/>
      <c r="EI483" s="773"/>
      <c r="EJ483" s="773"/>
      <c r="EK483" s="773"/>
      <c r="EL483" s="773"/>
      <c r="EM483" s="773"/>
      <c r="EN483" s="773"/>
      <c r="EO483" s="773"/>
      <c r="EP483" s="773"/>
      <c r="EQ483" s="773"/>
      <c r="ER483" s="773"/>
      <c r="ES483" s="773"/>
      <c r="ET483" s="773"/>
      <c r="EU483" s="773"/>
      <c r="EV483" s="773"/>
      <c r="EW483" s="773"/>
      <c r="EX483" s="773"/>
      <c r="EY483" s="773"/>
      <c r="EZ483" s="773"/>
      <c r="FA483" s="773"/>
      <c r="FB483" s="773"/>
      <c r="FC483" s="773"/>
      <c r="FD483" s="773"/>
      <c r="FE483" s="773"/>
      <c r="FF483" s="773"/>
      <c r="FG483" s="773"/>
      <c r="FH483" s="773"/>
      <c r="FI483" s="773"/>
      <c r="FJ483" s="773"/>
      <c r="FK483" s="773"/>
      <c r="FL483" s="773"/>
      <c r="FM483" s="773"/>
      <c r="FN483" s="773"/>
      <c r="FO483" s="773"/>
      <c r="FP483" s="773"/>
      <c r="FQ483" s="773"/>
      <c r="FR483" s="773"/>
      <c r="FS483" s="773"/>
      <c r="FT483" s="773"/>
      <c r="FU483" s="773"/>
      <c r="FV483" s="773"/>
      <c r="FW483" s="773"/>
      <c r="FX483" s="773"/>
      <c r="FY483" s="773"/>
      <c r="FZ483" s="773"/>
      <c r="GA483" s="773"/>
      <c r="GB483" s="773"/>
      <c r="GC483" s="773"/>
      <c r="GD483" s="773"/>
      <c r="GE483" s="773"/>
      <c r="GF483" s="773"/>
      <c r="GG483" s="773"/>
      <c r="GH483" s="773"/>
      <c r="GI483" s="773"/>
      <c r="GJ483" s="773"/>
      <c r="GK483" s="773"/>
      <c r="GL483" s="773"/>
      <c r="GM483" s="773"/>
      <c r="GN483" s="773"/>
      <c r="GO483" s="773"/>
      <c r="GP483" s="773"/>
      <c r="GQ483" s="773"/>
      <c r="GR483" s="773"/>
      <c r="GS483" s="773"/>
      <c r="GT483" s="773"/>
      <c r="GU483" s="773"/>
      <c r="GV483" s="773"/>
      <c r="GW483" s="773"/>
      <c r="GX483" s="773"/>
      <c r="GY483" s="773"/>
      <c r="GZ483" s="773"/>
    </row>
    <row r="484" spans="1:208" s="11" customFormat="1" ht="15" customHeight="1">
      <c r="A484" s="780"/>
      <c r="B484" s="3761"/>
      <c r="C484" s="942"/>
      <c r="D484" s="1967" t="s">
        <v>454</v>
      </c>
      <c r="E484" s="1970">
        <f t="shared" ref="E484:J484" si="51">SUM(E457:E483)</f>
        <v>-35909314.140000001</v>
      </c>
      <c r="F484" s="1970">
        <f t="shared" si="51"/>
        <v>0</v>
      </c>
      <c r="G484" s="1970">
        <f t="shared" si="51"/>
        <v>0</v>
      </c>
      <c r="H484" s="1970">
        <f t="shared" si="51"/>
        <v>0</v>
      </c>
      <c r="I484" s="1970">
        <f t="shared" si="51"/>
        <v>0</v>
      </c>
      <c r="J484" s="1970">
        <f t="shared" si="51"/>
        <v>-35909314.140000001</v>
      </c>
      <c r="K484" s="209"/>
      <c r="L484" s="434"/>
      <c r="M484" s="825"/>
      <c r="T484" s="209"/>
      <c r="U484" s="209"/>
      <c r="V484" s="2511"/>
      <c r="W484" s="2511"/>
      <c r="X484" s="2511"/>
      <c r="Y484" s="2511"/>
      <c r="AW484" s="2511"/>
      <c r="BH484" s="2511"/>
      <c r="BI484" s="209"/>
      <c r="BJ484" s="209"/>
      <c r="BK484" s="209"/>
      <c r="BL484" s="209"/>
      <c r="BM484" s="209"/>
      <c r="BN484" s="209"/>
      <c r="BO484" s="209"/>
      <c r="BP484" s="209"/>
      <c r="BQ484" s="209"/>
      <c r="BR484" s="209"/>
      <c r="BS484" s="950"/>
      <c r="BT484" s="880" t="s">
        <v>1865</v>
      </c>
      <c r="BU484" s="270"/>
      <c r="BV484" s="209"/>
      <c r="BW484" s="209"/>
      <c r="BX484" s="209"/>
      <c r="BY484" s="209"/>
      <c r="BZ484" s="799"/>
      <c r="DB484" s="773"/>
      <c r="DC484" s="773"/>
      <c r="DD484" s="773"/>
      <c r="DE484" s="773"/>
      <c r="DF484" s="773"/>
      <c r="DG484" s="773"/>
      <c r="DH484" s="773"/>
      <c r="DI484" s="773"/>
      <c r="DJ484" s="773"/>
      <c r="DK484" s="773"/>
      <c r="DL484" s="773"/>
      <c r="DM484" s="773"/>
      <c r="DN484" s="773"/>
      <c r="DO484" s="773"/>
      <c r="DP484" s="773"/>
      <c r="DQ484" s="773"/>
      <c r="DR484" s="773"/>
      <c r="DS484" s="773"/>
      <c r="DT484" s="773"/>
      <c r="DU484" s="773"/>
      <c r="DV484" s="773"/>
      <c r="DW484" s="773"/>
      <c r="DX484" s="773"/>
      <c r="DY484" s="773"/>
      <c r="DZ484" s="773"/>
      <c r="EA484" s="773"/>
      <c r="EB484" s="773"/>
      <c r="EC484" s="773"/>
      <c r="ED484" s="773"/>
      <c r="EE484" s="773"/>
      <c r="EF484" s="773"/>
      <c r="EG484" s="773"/>
      <c r="EH484" s="773"/>
      <c r="EI484" s="773"/>
      <c r="EJ484" s="773"/>
      <c r="EK484" s="773"/>
      <c r="EL484" s="773"/>
      <c r="EM484" s="773"/>
      <c r="EN484" s="773"/>
      <c r="EO484" s="773"/>
      <c r="EP484" s="773"/>
      <c r="EQ484" s="773"/>
      <c r="ER484" s="773"/>
      <c r="ES484" s="773"/>
      <c r="ET484" s="773"/>
      <c r="EU484" s="773"/>
      <c r="EV484" s="773"/>
      <c r="EW484" s="773"/>
      <c r="EX484" s="773"/>
      <c r="EY484" s="773"/>
      <c r="EZ484" s="773"/>
      <c r="FA484" s="773"/>
      <c r="FB484" s="773"/>
      <c r="FC484" s="773"/>
      <c r="FD484" s="773"/>
      <c r="FE484" s="773"/>
      <c r="FF484" s="773"/>
      <c r="FG484" s="773"/>
      <c r="FH484" s="773"/>
      <c r="FI484" s="773"/>
      <c r="FJ484" s="773"/>
      <c r="FK484" s="773"/>
      <c r="FL484" s="773"/>
      <c r="FM484" s="773"/>
      <c r="FN484" s="773"/>
      <c r="FO484" s="773"/>
      <c r="FP484" s="773"/>
      <c r="FQ484" s="773"/>
      <c r="FR484" s="773"/>
      <c r="FS484" s="773"/>
      <c r="FT484" s="773"/>
      <c r="FU484" s="773"/>
      <c r="FV484" s="773"/>
      <c r="FW484" s="773"/>
      <c r="FX484" s="773"/>
      <c r="FY484" s="773"/>
      <c r="FZ484" s="773"/>
      <c r="GA484" s="773"/>
      <c r="GB484" s="773"/>
      <c r="GC484" s="773"/>
      <c r="GD484" s="773"/>
      <c r="GE484" s="773"/>
      <c r="GF484" s="773"/>
      <c r="GG484" s="773"/>
      <c r="GH484" s="773"/>
      <c r="GI484" s="773"/>
      <c r="GJ484" s="773"/>
      <c r="GK484" s="773"/>
      <c r="GL484" s="773"/>
      <c r="GM484" s="773"/>
      <c r="GN484" s="773"/>
      <c r="GO484" s="773"/>
      <c r="GP484" s="773"/>
      <c r="GQ484" s="773"/>
      <c r="GR484" s="773"/>
      <c r="GS484" s="773"/>
      <c r="GT484" s="773"/>
      <c r="GU484" s="773"/>
      <c r="GV484" s="773"/>
      <c r="GW484" s="773"/>
      <c r="GX484" s="773"/>
      <c r="GY484" s="773"/>
      <c r="GZ484" s="773"/>
    </row>
    <row r="485" spans="1:208" s="11" customFormat="1" ht="15" customHeight="1">
      <c r="A485" s="774"/>
      <c r="B485" s="3761"/>
      <c r="C485" s="844"/>
      <c r="D485" s="174"/>
      <c r="E485" s="796"/>
      <c r="F485" s="769"/>
      <c r="G485" s="769"/>
      <c r="H485" s="769"/>
      <c r="I485" s="769"/>
      <c r="J485" s="769"/>
      <c r="K485" s="209"/>
      <c r="L485" s="434"/>
      <c r="M485" s="825"/>
      <c r="T485" s="209"/>
      <c r="U485" s="209"/>
      <c r="V485" s="2511"/>
      <c r="W485" s="2511"/>
      <c r="X485" s="2511"/>
      <c r="Y485" s="2511"/>
      <c r="AW485" s="2511"/>
      <c r="BH485" s="2511"/>
      <c r="BI485" s="209"/>
      <c r="BJ485" s="209"/>
      <c r="BK485" s="209"/>
      <c r="BL485" s="209"/>
      <c r="BM485" s="209"/>
      <c r="BN485" s="209"/>
      <c r="BO485" s="209"/>
      <c r="BP485" s="209"/>
      <c r="BQ485" s="209"/>
      <c r="BR485" s="209"/>
      <c r="BS485" s="951"/>
      <c r="BT485" s="877"/>
      <c r="BU485" s="262"/>
      <c r="BV485" s="209"/>
      <c r="BW485" s="820"/>
      <c r="BX485" s="209"/>
      <c r="BY485" s="209"/>
      <c r="BZ485" s="799"/>
      <c r="DB485" s="773"/>
      <c r="DC485" s="773"/>
      <c r="DD485" s="773"/>
      <c r="DE485" s="773"/>
      <c r="DF485" s="773"/>
      <c r="DG485" s="773"/>
      <c r="DH485" s="773"/>
      <c r="DI485" s="773"/>
      <c r="DJ485" s="773"/>
      <c r="DK485" s="773"/>
      <c r="DL485" s="773"/>
      <c r="DM485" s="773"/>
      <c r="DN485" s="773"/>
      <c r="DO485" s="773"/>
      <c r="DP485" s="773"/>
      <c r="DQ485" s="773"/>
      <c r="DR485" s="773"/>
      <c r="DS485" s="773"/>
      <c r="DT485" s="773"/>
      <c r="DU485" s="773"/>
      <c r="DV485" s="773"/>
      <c r="DW485" s="773"/>
      <c r="DX485" s="773"/>
      <c r="DY485" s="773"/>
      <c r="DZ485" s="773"/>
      <c r="EA485" s="773"/>
      <c r="EB485" s="773"/>
      <c r="EC485" s="773"/>
      <c r="ED485" s="773"/>
      <c r="EE485" s="773"/>
      <c r="EF485" s="773"/>
      <c r="EG485" s="773"/>
      <c r="EH485" s="773"/>
      <c r="EI485" s="773"/>
      <c r="EJ485" s="773"/>
      <c r="EK485" s="773"/>
      <c r="EL485" s="773"/>
      <c r="EM485" s="773"/>
      <c r="EN485" s="773"/>
      <c r="EO485" s="773"/>
      <c r="EP485" s="773"/>
      <c r="EQ485" s="773"/>
      <c r="ER485" s="773"/>
      <c r="ES485" s="773"/>
      <c r="ET485" s="773"/>
      <c r="EU485" s="773"/>
      <c r="EV485" s="773"/>
      <c r="EW485" s="773"/>
      <c r="EX485" s="773"/>
      <c r="EY485" s="773"/>
      <c r="EZ485" s="773"/>
      <c r="FA485" s="773"/>
      <c r="FB485" s="773"/>
      <c r="FC485" s="773"/>
      <c r="FD485" s="773"/>
      <c r="FE485" s="773"/>
      <c r="FF485" s="773"/>
      <c r="FG485" s="773"/>
      <c r="FH485" s="773"/>
      <c r="FI485" s="773"/>
      <c r="FJ485" s="773"/>
      <c r="FK485" s="773"/>
      <c r="FL485" s="773"/>
      <c r="FM485" s="773"/>
      <c r="FN485" s="773"/>
      <c r="FO485" s="773"/>
      <c r="FP485" s="773"/>
      <c r="FQ485" s="773"/>
      <c r="FR485" s="773"/>
      <c r="FS485" s="773"/>
      <c r="FT485" s="773"/>
      <c r="FU485" s="773"/>
      <c r="FV485" s="773"/>
      <c r="FW485" s="773"/>
      <c r="FX485" s="773"/>
      <c r="FY485" s="773"/>
      <c r="FZ485" s="773"/>
      <c r="GA485" s="773"/>
      <c r="GB485" s="773"/>
      <c r="GC485" s="773"/>
      <c r="GD485" s="773"/>
      <c r="GE485" s="773"/>
      <c r="GF485" s="773"/>
      <c r="GG485" s="773"/>
      <c r="GH485" s="773"/>
      <c r="GI485" s="773"/>
      <c r="GJ485" s="773"/>
      <c r="GK485" s="773"/>
      <c r="GL485" s="773"/>
      <c r="GM485" s="773"/>
      <c r="GN485" s="773"/>
      <c r="GO485" s="773"/>
      <c r="GP485" s="773"/>
      <c r="GQ485" s="773"/>
      <c r="GR485" s="773"/>
      <c r="GS485" s="773"/>
      <c r="GT485" s="773"/>
      <c r="GU485" s="773"/>
      <c r="GV485" s="773"/>
      <c r="GW485" s="773"/>
      <c r="GX485" s="773"/>
      <c r="GY485" s="773"/>
      <c r="GZ485" s="773"/>
    </row>
    <row r="486" spans="1:208" s="11" customFormat="1" ht="15" customHeight="1">
      <c r="A486" s="774"/>
      <c r="B486" s="3761"/>
      <c r="C486" s="781"/>
      <c r="D486" s="174" t="s">
        <v>196</v>
      </c>
      <c r="E486" s="769"/>
      <c r="F486" s="769"/>
      <c r="G486" s="769"/>
      <c r="H486" s="769"/>
      <c r="I486" s="769"/>
      <c r="J486" s="769"/>
      <c r="K486" s="209"/>
      <c r="L486" s="434"/>
      <c r="M486" s="825"/>
      <c r="T486" s="209"/>
      <c r="U486" s="209"/>
      <c r="V486" s="2511"/>
      <c r="W486" s="2511"/>
      <c r="X486" s="2511"/>
      <c r="Y486" s="2511"/>
      <c r="AW486" s="2511"/>
      <c r="BH486" s="2511"/>
      <c r="BI486" s="209"/>
      <c r="BJ486" s="209"/>
      <c r="BK486" s="209"/>
      <c r="BL486" s="209"/>
      <c r="BM486" s="209"/>
      <c r="BN486" s="209"/>
      <c r="BO486" s="209"/>
      <c r="BP486" s="209"/>
      <c r="BQ486" s="209"/>
      <c r="BR486" s="209"/>
      <c r="BS486" s="951"/>
      <c r="BT486" s="877" t="s">
        <v>1866</v>
      </c>
      <c r="BU486" s="262"/>
      <c r="BV486" s="209"/>
      <c r="BW486" s="209"/>
      <c r="BX486" s="209"/>
      <c r="BY486" s="209"/>
      <c r="BZ486" s="799"/>
      <c r="DB486" s="773"/>
      <c r="DC486" s="773"/>
      <c r="DD486" s="773"/>
      <c r="DE486" s="773"/>
      <c r="DF486" s="773"/>
      <c r="DG486" s="773"/>
      <c r="DH486" s="773"/>
      <c r="DI486" s="773"/>
      <c r="DJ486" s="773"/>
      <c r="DK486" s="773"/>
      <c r="DL486" s="773"/>
      <c r="DM486" s="773"/>
      <c r="DN486" s="773"/>
      <c r="DO486" s="773"/>
      <c r="DP486" s="773"/>
      <c r="DQ486" s="773"/>
      <c r="DR486" s="773"/>
      <c r="DS486" s="773"/>
      <c r="DT486" s="773"/>
      <c r="DU486" s="773"/>
      <c r="DV486" s="773"/>
      <c r="DW486" s="773"/>
      <c r="DX486" s="773"/>
      <c r="DY486" s="773"/>
      <c r="DZ486" s="773"/>
      <c r="EA486" s="773"/>
      <c r="EB486" s="773"/>
      <c r="EC486" s="773"/>
      <c r="ED486" s="773"/>
      <c r="EE486" s="773"/>
      <c r="EF486" s="773"/>
      <c r="EG486" s="773"/>
      <c r="EH486" s="773"/>
      <c r="EI486" s="773"/>
      <c r="EJ486" s="773"/>
      <c r="EK486" s="773"/>
      <c r="EL486" s="773"/>
      <c r="EM486" s="773"/>
      <c r="EN486" s="773"/>
      <c r="EO486" s="773"/>
      <c r="EP486" s="773"/>
      <c r="EQ486" s="773"/>
      <c r="ER486" s="773"/>
      <c r="ES486" s="773"/>
      <c r="ET486" s="773"/>
      <c r="EU486" s="773"/>
      <c r="EV486" s="773"/>
      <c r="EW486" s="773"/>
      <c r="EX486" s="773"/>
      <c r="EY486" s="773"/>
      <c r="EZ486" s="773"/>
      <c r="FA486" s="773"/>
      <c r="FB486" s="773"/>
      <c r="FC486" s="773"/>
      <c r="FD486" s="773"/>
      <c r="FE486" s="773"/>
      <c r="FF486" s="773"/>
      <c r="FG486" s="773"/>
      <c r="FH486" s="773"/>
      <c r="FI486" s="773"/>
      <c r="FJ486" s="773"/>
      <c r="FK486" s="773"/>
      <c r="FL486" s="773"/>
      <c r="FM486" s="773"/>
      <c r="FN486" s="773"/>
      <c r="FO486" s="773"/>
      <c r="FP486" s="773"/>
      <c r="FQ486" s="773"/>
      <c r="FR486" s="773"/>
      <c r="FS486" s="773"/>
      <c r="FT486" s="773"/>
      <c r="FU486" s="773"/>
      <c r="FV486" s="773"/>
      <c r="FW486" s="773"/>
      <c r="FX486" s="773"/>
      <c r="FY486" s="773"/>
      <c r="FZ486" s="773"/>
      <c r="GA486" s="773"/>
      <c r="GB486" s="773"/>
      <c r="GC486" s="773"/>
      <c r="GD486" s="773"/>
      <c r="GE486" s="773"/>
      <c r="GF486" s="773"/>
      <c r="GG486" s="773"/>
      <c r="GH486" s="773"/>
      <c r="GI486" s="773"/>
      <c r="GJ486" s="773"/>
      <c r="GK486" s="773"/>
      <c r="GL486" s="773"/>
      <c r="GM486" s="773"/>
      <c r="GN486" s="773"/>
      <c r="GO486" s="773"/>
      <c r="GP486" s="773"/>
      <c r="GQ486" s="773"/>
      <c r="GR486" s="773"/>
      <c r="GS486" s="773"/>
      <c r="GT486" s="773"/>
      <c r="GU486" s="773"/>
      <c r="GV486" s="773"/>
      <c r="GW486" s="773"/>
      <c r="GX486" s="773"/>
      <c r="GY486" s="773"/>
      <c r="GZ486" s="773"/>
    </row>
    <row r="487" spans="1:208" s="11" customFormat="1">
      <c r="A487" s="774"/>
      <c r="B487" s="3763"/>
      <c r="C487" s="781"/>
      <c r="D487" s="174"/>
      <c r="E487" s="769"/>
      <c r="F487" s="769"/>
      <c r="G487" s="769"/>
      <c r="H487" s="769"/>
      <c r="I487" s="769"/>
      <c r="J487" s="769"/>
      <c r="K487" s="209"/>
      <c r="L487" s="434"/>
      <c r="M487" s="825"/>
      <c r="N487" s="2490" t="s">
        <v>2140</v>
      </c>
      <c r="O487" s="2491" t="s">
        <v>2153</v>
      </c>
      <c r="P487" s="2491" t="s">
        <v>2191</v>
      </c>
      <c r="Q487" s="2491" t="s">
        <v>2203</v>
      </c>
      <c r="R487" s="2491" t="s">
        <v>2276</v>
      </c>
      <c r="S487" s="2490" t="s">
        <v>2229</v>
      </c>
      <c r="T487" s="2491" t="s">
        <v>2570</v>
      </c>
      <c r="U487" s="2491" t="s">
        <v>2571</v>
      </c>
      <c r="V487" s="2519" t="s">
        <v>2667</v>
      </c>
      <c r="W487" s="2519" t="s">
        <v>2833</v>
      </c>
      <c r="X487" s="2519" t="s">
        <v>3006</v>
      </c>
      <c r="Y487" s="2519" t="s">
        <v>2635</v>
      </c>
      <c r="Z487" s="2519" t="s">
        <v>3210</v>
      </c>
      <c r="AA487" s="2519" t="s">
        <v>3307</v>
      </c>
      <c r="AB487" s="2519" t="s">
        <v>3384</v>
      </c>
      <c r="AC487" s="2519" t="s">
        <v>3580</v>
      </c>
      <c r="AD487" s="2519" t="s">
        <v>3634</v>
      </c>
      <c r="AE487" s="2519" t="s">
        <v>3720</v>
      </c>
      <c r="AF487" s="2519" t="s">
        <v>3889</v>
      </c>
      <c r="AG487" s="2519" t="s">
        <v>3998</v>
      </c>
      <c r="AH487" s="2519" t="s">
        <v>4123</v>
      </c>
      <c r="AI487" s="2519" t="s">
        <v>4287</v>
      </c>
      <c r="AJ487" s="2519" t="s">
        <v>4402</v>
      </c>
      <c r="AK487" s="2519" t="s">
        <v>4570</v>
      </c>
      <c r="AL487" s="2519"/>
      <c r="AM487" s="2519"/>
      <c r="AN487" s="2519"/>
      <c r="AO487" s="2519"/>
      <c r="AQ487" s="2519"/>
      <c r="AR487" s="2519"/>
      <c r="AS487" s="2519"/>
      <c r="AT487" s="2519"/>
      <c r="AU487" s="2519"/>
      <c r="AV487" s="2519" t="s">
        <v>3209</v>
      </c>
      <c r="AW487" s="2519" t="s">
        <v>3033</v>
      </c>
      <c r="BH487" s="2512"/>
      <c r="BI487" s="2512"/>
      <c r="BJ487" s="361"/>
      <c r="BK487" s="1246"/>
      <c r="BL487" s="1246"/>
      <c r="BM487" s="1246"/>
      <c r="BN487" s="209"/>
      <c r="BO487" s="209"/>
      <c r="BP487" s="209"/>
      <c r="BQ487" s="209"/>
      <c r="BR487" s="209"/>
      <c r="BS487" s="951"/>
      <c r="BT487" s="877"/>
      <c r="BU487" s="262"/>
      <c r="BV487" s="209"/>
      <c r="BW487" s="209"/>
      <c r="BX487" s="209"/>
      <c r="BY487" s="209"/>
      <c r="BZ487" s="799"/>
      <c r="DB487" s="773"/>
      <c r="DC487" s="773"/>
      <c r="DD487" s="773"/>
      <c r="DE487" s="773"/>
      <c r="DF487" s="773"/>
      <c r="DG487" s="773"/>
      <c r="DH487" s="773"/>
      <c r="DI487" s="773"/>
      <c r="DJ487" s="773"/>
      <c r="DK487" s="773"/>
      <c r="DL487" s="773"/>
      <c r="DM487" s="773"/>
      <c r="DN487" s="773"/>
      <c r="DO487" s="773"/>
      <c r="DP487" s="773"/>
      <c r="DQ487" s="773"/>
      <c r="DR487" s="773"/>
      <c r="DS487" s="773"/>
      <c r="DT487" s="773"/>
      <c r="DU487" s="773"/>
      <c r="DV487" s="773"/>
      <c r="DW487" s="773"/>
      <c r="DX487" s="773"/>
      <c r="DY487" s="773"/>
      <c r="DZ487" s="773"/>
      <c r="EA487" s="773"/>
      <c r="EB487" s="773"/>
      <c r="EC487" s="773"/>
      <c r="ED487" s="773"/>
      <c r="EE487" s="773"/>
      <c r="EF487" s="773"/>
      <c r="EG487" s="773"/>
      <c r="EH487" s="773"/>
      <c r="EI487" s="773"/>
      <c r="EJ487" s="773"/>
      <c r="EK487" s="773"/>
      <c r="EL487" s="773"/>
      <c r="EM487" s="773"/>
      <c r="EN487" s="773"/>
      <c r="EO487" s="773"/>
      <c r="EP487" s="773"/>
      <c r="EQ487" s="773"/>
      <c r="ER487" s="773"/>
      <c r="ES487" s="773"/>
      <c r="ET487" s="773"/>
      <c r="EU487" s="773"/>
      <c r="EV487" s="773"/>
      <c r="EW487" s="773"/>
      <c r="EX487" s="773"/>
      <c r="EY487" s="773"/>
      <c r="EZ487" s="773"/>
      <c r="FA487" s="773"/>
      <c r="FB487" s="773"/>
      <c r="FC487" s="773"/>
      <c r="FD487" s="773"/>
      <c r="FE487" s="773"/>
      <c r="FF487" s="773"/>
      <c r="FG487" s="773"/>
      <c r="FH487" s="773"/>
      <c r="FI487" s="773"/>
      <c r="FJ487" s="773"/>
      <c r="FK487" s="773"/>
      <c r="FL487" s="773"/>
      <c r="FM487" s="773"/>
      <c r="FN487" s="773"/>
      <c r="FO487" s="773"/>
      <c r="FP487" s="773"/>
      <c r="FQ487" s="773"/>
      <c r="FR487" s="773"/>
      <c r="FS487" s="773"/>
      <c r="FT487" s="773"/>
      <c r="FU487" s="773"/>
      <c r="FV487" s="773"/>
      <c r="FW487" s="773"/>
      <c r="FX487" s="773"/>
      <c r="FY487" s="773"/>
      <c r="FZ487" s="773"/>
      <c r="GA487" s="773"/>
      <c r="GB487" s="773"/>
      <c r="GC487" s="773"/>
      <c r="GD487" s="773"/>
      <c r="GE487" s="773"/>
      <c r="GF487" s="773"/>
      <c r="GG487" s="773"/>
      <c r="GH487" s="773"/>
      <c r="GI487" s="773"/>
      <c r="GJ487" s="773"/>
      <c r="GK487" s="773"/>
      <c r="GL487" s="773"/>
      <c r="GM487" s="773"/>
      <c r="GN487" s="773"/>
      <c r="GO487" s="773"/>
      <c r="GP487" s="773"/>
      <c r="GQ487" s="773"/>
      <c r="GR487" s="773"/>
      <c r="GS487" s="773"/>
      <c r="GT487" s="773"/>
      <c r="GU487" s="773"/>
      <c r="GV487" s="773"/>
      <c r="GW487" s="773"/>
      <c r="GX487" s="773"/>
      <c r="GY487" s="773"/>
      <c r="GZ487" s="773"/>
    </row>
    <row r="488" spans="1:208" s="11" customFormat="1" ht="17.25">
      <c r="A488" s="774"/>
      <c r="B488" s="3762" t="s">
        <v>828</v>
      </c>
      <c r="C488" s="197">
        <v>5100001</v>
      </c>
      <c r="D488" s="199" t="s">
        <v>832</v>
      </c>
      <c r="E488" s="798">
        <f>IFERROR(VLOOKUP(C488,'AJE 12 - INC'!$D$168:$F$771,3,0),0)</f>
        <v>787193.85</v>
      </c>
      <c r="F488" s="108">
        <f>SUMIF('AJE 12 - INC'!B:B,'New TB INC'!C488,'AJE 12 - INC'!D:D)</f>
        <v>0</v>
      </c>
      <c r="G488" s="108"/>
      <c r="H488" s="108"/>
      <c r="I488" s="108"/>
      <c r="J488" s="798">
        <f t="shared" ref="J488:J506" si="52">SUM(E488:I488)</f>
        <v>787193.85</v>
      </c>
      <c r="K488" s="209"/>
      <c r="L488" s="434"/>
      <c r="M488" s="881"/>
      <c r="N488" s="773">
        <v>63643.34</v>
      </c>
      <c r="O488" s="773">
        <v>66268.34</v>
      </c>
      <c r="P488" s="773">
        <v>66268.34</v>
      </c>
      <c r="Q488" s="773">
        <v>66268.34</v>
      </c>
      <c r="R488" s="773">
        <v>66268.34</v>
      </c>
      <c r="S488" s="11">
        <v>66268.34</v>
      </c>
      <c r="T488" s="773">
        <v>67310.000000000029</v>
      </c>
      <c r="U488" s="2173">
        <v>67310.000000000116</v>
      </c>
      <c r="V488" s="2509">
        <v>67310</v>
      </c>
      <c r="W488" s="2509">
        <v>67310</v>
      </c>
      <c r="X488" s="2509">
        <v>67310</v>
      </c>
      <c r="Y488" s="2509">
        <v>57643.339999999967</v>
      </c>
      <c r="Z488" s="11">
        <f>'[26]New TB INC'!Z442</f>
        <v>57643.34</v>
      </c>
      <c r="AA488" s="11">
        <f>'[27]New TB INC'!AA449</f>
        <v>59552.5</v>
      </c>
      <c r="AB488" s="11">
        <f>'[28]New TB INC'!AB456</f>
        <v>59552.5</v>
      </c>
      <c r="AC488" s="11">
        <f>'[29]New TB INC'!AC452</f>
        <v>63529.76999999999</v>
      </c>
      <c r="AD488" s="11">
        <f>'[30]New TB INC'!AD447</f>
        <v>68302.5</v>
      </c>
      <c r="AE488" s="11">
        <f>'[31]New TB INC'!AE454</f>
        <v>68302.5</v>
      </c>
      <c r="AF488" s="11">
        <v>68302.5</v>
      </c>
      <c r="AG488" s="11">
        <v>68302.5</v>
      </c>
      <c r="AH488" s="11">
        <v>68302.5</v>
      </c>
      <c r="AI488" s="11">
        <v>70534.160000000033</v>
      </c>
      <c r="AJ488" s="11">
        <v>70534.160000000033</v>
      </c>
      <c r="AK488" s="11">
        <f>$J488-SUM($Z488:AJ488)</f>
        <v>64334.919999999925</v>
      </c>
      <c r="AP488" s="11">
        <f>$J488-SUM($Z488:AH488)</f>
        <v>205403.24</v>
      </c>
      <c r="AS488" s="11" t="s">
        <v>3676</v>
      </c>
      <c r="AW488" s="2695" t="s">
        <v>3130</v>
      </c>
      <c r="BH488" s="2509"/>
      <c r="BI488" s="772"/>
      <c r="BJ488" s="2173"/>
      <c r="BK488" s="2173"/>
      <c r="BL488" s="773"/>
      <c r="BN488" s="209"/>
      <c r="BO488" s="209"/>
      <c r="BP488" s="209"/>
      <c r="BQ488" s="209"/>
      <c r="BR488" s="209"/>
      <c r="BS488" s="951"/>
      <c r="BT488" s="877" t="s">
        <v>1867</v>
      </c>
      <c r="BU488" s="268"/>
      <c r="CI488" s="4"/>
      <c r="CJ488" s="4"/>
      <c r="DB488" s="773"/>
      <c r="DC488" s="773"/>
      <c r="DD488" s="773"/>
      <c r="DE488" s="773"/>
      <c r="DF488" s="773"/>
      <c r="DG488" s="773"/>
      <c r="DH488" s="773"/>
      <c r="DI488" s="773"/>
      <c r="DJ488" s="773"/>
      <c r="DK488" s="773"/>
      <c r="DL488" s="773"/>
      <c r="DM488" s="773"/>
      <c r="DN488" s="773"/>
      <c r="DO488" s="773"/>
      <c r="DP488" s="773"/>
      <c r="DQ488" s="773"/>
      <c r="DR488" s="773"/>
      <c r="DS488" s="773"/>
      <c r="DT488" s="773"/>
      <c r="DU488" s="773"/>
      <c r="DV488" s="773"/>
      <c r="DW488" s="773"/>
      <c r="DX488" s="773"/>
      <c r="DY488" s="773"/>
      <c r="DZ488" s="773"/>
      <c r="EA488" s="773"/>
      <c r="EB488" s="773"/>
      <c r="EC488" s="773"/>
      <c r="ED488" s="773"/>
      <c r="EE488" s="773"/>
      <c r="EF488" s="773"/>
      <c r="EG488" s="773"/>
      <c r="EH488" s="773"/>
      <c r="EI488" s="773"/>
      <c r="EJ488" s="773"/>
      <c r="EK488" s="773"/>
      <c r="EL488" s="773"/>
      <c r="EM488" s="773"/>
      <c r="EN488" s="773"/>
      <c r="EO488" s="773"/>
      <c r="EP488" s="773"/>
      <c r="EQ488" s="773"/>
      <c r="ER488" s="773"/>
      <c r="ES488" s="773"/>
      <c r="ET488" s="773"/>
      <c r="EU488" s="773"/>
      <c r="EV488" s="773"/>
      <c r="EW488" s="773"/>
      <c r="EX488" s="773"/>
      <c r="EY488" s="773"/>
      <c r="EZ488" s="773"/>
      <c r="FA488" s="773"/>
      <c r="FB488" s="773"/>
      <c r="FC488" s="773"/>
      <c r="FD488" s="773"/>
      <c r="FE488" s="773"/>
      <c r="FF488" s="773"/>
      <c r="FG488" s="773"/>
      <c r="FH488" s="773"/>
      <c r="FI488" s="773"/>
      <c r="FJ488" s="773"/>
      <c r="FK488" s="773"/>
      <c r="FL488" s="773"/>
      <c r="FM488" s="773"/>
      <c r="FN488" s="773"/>
      <c r="FO488" s="773"/>
      <c r="FP488" s="773"/>
      <c r="FQ488" s="773"/>
      <c r="FR488" s="773"/>
      <c r="FS488" s="773"/>
      <c r="FT488" s="773"/>
      <c r="FU488" s="773"/>
      <c r="FV488" s="773"/>
      <c r="FW488" s="773"/>
      <c r="FX488" s="773"/>
      <c r="FY488" s="773"/>
      <c r="FZ488" s="773"/>
      <c r="GA488" s="773"/>
      <c r="GB488" s="773"/>
      <c r="GC488" s="773"/>
      <c r="GD488" s="773"/>
      <c r="GE488" s="773"/>
      <c r="GF488" s="773"/>
      <c r="GG488" s="773"/>
      <c r="GH488" s="773"/>
      <c r="GI488" s="773"/>
      <c r="GJ488" s="773"/>
      <c r="GK488" s="773"/>
      <c r="GL488" s="773"/>
      <c r="GM488" s="773"/>
      <c r="GN488" s="773"/>
      <c r="GO488" s="773"/>
      <c r="GP488" s="773"/>
      <c r="GQ488" s="773"/>
      <c r="GR488" s="773"/>
      <c r="GS488" s="773"/>
      <c r="GT488" s="773"/>
      <c r="GU488" s="773"/>
      <c r="GV488" s="773"/>
      <c r="GW488" s="773"/>
      <c r="GX488" s="773"/>
      <c r="GY488" s="773"/>
      <c r="GZ488" s="773"/>
    </row>
    <row r="489" spans="1:208" s="11" customFormat="1">
      <c r="A489" s="774"/>
      <c r="B489" s="3762" t="s">
        <v>828</v>
      </c>
      <c r="C489" s="197" t="s">
        <v>1970</v>
      </c>
      <c r="D489" s="199" t="s">
        <v>1971</v>
      </c>
      <c r="E489" s="798">
        <f>IFERROR(VLOOKUP(C489,'AJE 12 - INC'!$D$168:$F$771,3,0),0)</f>
        <v>78276.27</v>
      </c>
      <c r="F489" s="108">
        <f>SUMIF('AJE 12 - INC'!B:B,'New TB INC'!C489,'AJE 12 - INC'!D:D)</f>
        <v>0</v>
      </c>
      <c r="G489" s="108"/>
      <c r="H489" s="108"/>
      <c r="I489" s="108"/>
      <c r="J489" s="798">
        <f t="shared" si="52"/>
        <v>78276.27</v>
      </c>
      <c r="K489" s="209"/>
      <c r="L489" s="434"/>
      <c r="M489" s="881"/>
      <c r="N489" s="773">
        <v>5935.53</v>
      </c>
      <c r="O489" s="773">
        <v>5857.95</v>
      </c>
      <c r="P489" s="773">
        <v>5586.0000000000009</v>
      </c>
      <c r="Q489" s="773">
        <v>5585.9999999999991</v>
      </c>
      <c r="R489" s="773">
        <v>5624.7900000000018</v>
      </c>
      <c r="S489" s="11">
        <v>5741.1599999999989</v>
      </c>
      <c r="T489" s="773">
        <v>5779.96</v>
      </c>
      <c r="U489" s="2173">
        <v>5935.5299999999988</v>
      </c>
      <c r="V489" s="2509">
        <v>5857.9500000000044</v>
      </c>
      <c r="W489" s="2509">
        <v>5857.9499999999971</v>
      </c>
      <c r="X489" s="2509">
        <v>5973.9199999999983</v>
      </c>
      <c r="Y489" s="2509">
        <v>6092.8799999999974</v>
      </c>
      <c r="Z489" s="11">
        <f>'[26]New TB INC'!Z443</f>
        <v>6074.97</v>
      </c>
      <c r="AA489" s="11">
        <f>'[27]New TB INC'!AA450</f>
        <v>6335.97</v>
      </c>
      <c r="AB489" s="11">
        <f>'[28]New TB INC'!AB457</f>
        <v>6326.85</v>
      </c>
      <c r="AC489" s="11">
        <f>'[29]New TB INC'!AC453</f>
        <v>6387.5400000000009</v>
      </c>
      <c r="AD489" s="11">
        <f>'[30]New TB INC'!AD448</f>
        <v>6597.98</v>
      </c>
      <c r="AE489" s="11">
        <f>'[31]New TB INC'!AE455</f>
        <v>6814.2799999999952</v>
      </c>
      <c r="AF489" s="11">
        <v>6637.5</v>
      </c>
      <c r="AG489" s="11">
        <v>6639.0300000000061</v>
      </c>
      <c r="AH489" s="11">
        <v>6578.0099999999948</v>
      </c>
      <c r="AI489" s="11">
        <v>6751.1200000000026</v>
      </c>
      <c r="AJ489" s="11">
        <v>6592.7400000000052</v>
      </c>
      <c r="AK489" s="11">
        <f>$J489-SUM($Z489:AJ489)</f>
        <v>6540.2799999999988</v>
      </c>
      <c r="AP489" s="11">
        <f>$J489-SUM($Z489:AH489)</f>
        <v>19884.140000000007</v>
      </c>
      <c r="AW489" s="2509"/>
      <c r="BH489" s="2509"/>
      <c r="BI489" s="772"/>
      <c r="BJ489" s="2173"/>
      <c r="BK489" s="2173"/>
      <c r="BL489" s="773"/>
      <c r="BM489" s="378"/>
      <c r="BN489" s="209"/>
      <c r="BO489" s="209"/>
      <c r="BP489" s="209"/>
      <c r="BQ489" s="209"/>
      <c r="BR489" s="209"/>
      <c r="BS489" s="951"/>
      <c r="BT489" s="877"/>
      <c r="BU489" s="262"/>
      <c r="CI489" s="4"/>
      <c r="CJ489" s="4"/>
      <c r="DB489" s="773"/>
      <c r="DC489" s="773"/>
      <c r="DD489" s="773"/>
      <c r="DE489" s="773"/>
      <c r="DF489" s="773"/>
      <c r="DG489" s="773"/>
      <c r="DH489" s="773"/>
      <c r="DI489" s="773"/>
      <c r="DJ489" s="773"/>
      <c r="DK489" s="773"/>
      <c r="DL489" s="773"/>
      <c r="DM489" s="773"/>
      <c r="DN489" s="773"/>
      <c r="DO489" s="773"/>
      <c r="DP489" s="773"/>
      <c r="DQ489" s="773"/>
      <c r="DR489" s="773"/>
      <c r="DS489" s="773"/>
      <c r="DT489" s="773"/>
      <c r="DU489" s="773"/>
      <c r="DV489" s="773"/>
      <c r="DW489" s="773"/>
      <c r="DX489" s="773"/>
      <c r="DY489" s="773"/>
      <c r="DZ489" s="773"/>
      <c r="EA489" s="773"/>
      <c r="EB489" s="773"/>
      <c r="EC489" s="773"/>
      <c r="ED489" s="773"/>
      <c r="EE489" s="773"/>
      <c r="EF489" s="773"/>
      <c r="EG489" s="773"/>
      <c r="EH489" s="773"/>
      <c r="EI489" s="773"/>
      <c r="EJ489" s="773"/>
      <c r="EK489" s="773"/>
      <c r="EL489" s="773"/>
      <c r="EM489" s="773"/>
      <c r="EN489" s="773"/>
      <c r="EO489" s="773"/>
      <c r="EP489" s="773"/>
      <c r="EQ489" s="773"/>
      <c r="ER489" s="773"/>
      <c r="ES489" s="773"/>
      <c r="ET489" s="773"/>
      <c r="EU489" s="773"/>
      <c r="EV489" s="773"/>
      <c r="EW489" s="773"/>
      <c r="EX489" s="773"/>
      <c r="EY489" s="773"/>
      <c r="EZ489" s="773"/>
      <c r="FA489" s="773"/>
      <c r="FB489" s="773"/>
      <c r="FC489" s="773"/>
      <c r="FD489" s="773"/>
      <c r="FE489" s="773"/>
      <c r="FF489" s="773"/>
      <c r="FG489" s="773"/>
      <c r="FH489" s="773"/>
      <c r="FI489" s="773"/>
      <c r="FJ489" s="773"/>
      <c r="FK489" s="773"/>
      <c r="FL489" s="773"/>
      <c r="FM489" s="773"/>
      <c r="FN489" s="773"/>
      <c r="FO489" s="773"/>
      <c r="FP489" s="773"/>
      <c r="FQ489" s="773"/>
      <c r="FR489" s="773"/>
      <c r="FS489" s="773"/>
      <c r="FT489" s="773"/>
      <c r="FU489" s="773"/>
      <c r="FV489" s="773"/>
      <c r="FW489" s="773"/>
      <c r="FX489" s="773"/>
      <c r="FY489" s="773"/>
      <c r="FZ489" s="773"/>
      <c r="GA489" s="773"/>
      <c r="GB489" s="773"/>
      <c r="GC489" s="773"/>
      <c r="GD489" s="773"/>
      <c r="GE489" s="773"/>
      <c r="GF489" s="773"/>
      <c r="GG489" s="773"/>
      <c r="GH489" s="773"/>
      <c r="GI489" s="773"/>
      <c r="GJ489" s="773"/>
      <c r="GK489" s="773"/>
      <c r="GL489" s="773"/>
      <c r="GM489" s="773"/>
      <c r="GN489" s="773"/>
      <c r="GO489" s="773"/>
      <c r="GP489" s="773"/>
      <c r="GQ489" s="773"/>
      <c r="GR489" s="773"/>
      <c r="GS489" s="773"/>
      <c r="GT489" s="773"/>
      <c r="GU489" s="773"/>
      <c r="GV489" s="773"/>
      <c r="GW489" s="773"/>
      <c r="GX489" s="773"/>
      <c r="GY489" s="773"/>
      <c r="GZ489" s="773"/>
    </row>
    <row r="490" spans="1:208" s="11" customFormat="1" ht="13.5" thickBot="1">
      <c r="A490" s="774"/>
      <c r="B490" s="3762" t="s">
        <v>828</v>
      </c>
      <c r="C490" s="197">
        <v>5100002</v>
      </c>
      <c r="D490" s="199" t="s">
        <v>833</v>
      </c>
      <c r="E490" s="798">
        <f>IFERROR(VLOOKUP(C490,'AJE 12 - INC'!$D$168:$F$771,3,0),0)</f>
        <v>520</v>
      </c>
      <c r="F490" s="108">
        <f>SUMIF('AJE 12 - INC'!B:B,'New TB INC'!C490,'AJE 12 - INC'!D:D)</f>
        <v>0</v>
      </c>
      <c r="G490" s="108"/>
      <c r="H490" s="108"/>
      <c r="I490" s="108"/>
      <c r="J490" s="798">
        <f t="shared" si="52"/>
        <v>520</v>
      </c>
      <c r="K490" s="209"/>
      <c r="L490" s="434"/>
      <c r="M490" s="883"/>
      <c r="N490" s="773">
        <v>100</v>
      </c>
      <c r="O490" s="773">
        <v>-8024</v>
      </c>
      <c r="P490" s="773">
        <v>0</v>
      </c>
      <c r="Q490" s="773">
        <v>0</v>
      </c>
      <c r="R490" s="773">
        <v>0</v>
      </c>
      <c r="S490" s="11">
        <v>0</v>
      </c>
      <c r="T490" s="773">
        <v>0</v>
      </c>
      <c r="U490" s="2173">
        <v>100</v>
      </c>
      <c r="V490" s="2509">
        <v>0</v>
      </c>
      <c r="W490" s="2509">
        <v>0</v>
      </c>
      <c r="X490" s="2509">
        <v>0</v>
      </c>
      <c r="Y490" s="2509">
        <v>2000</v>
      </c>
      <c r="Z490" s="11">
        <f>'[26]New TB INC'!Z444</f>
        <v>0</v>
      </c>
      <c r="AA490" s="11">
        <f>'[27]New TB INC'!AA451</f>
        <v>0</v>
      </c>
      <c r="AB490" s="11">
        <f>'[28]New TB INC'!AB458</f>
        <v>-160</v>
      </c>
      <c r="AC490" s="11">
        <f>'[29]New TB INC'!AC454</f>
        <v>0</v>
      </c>
      <c r="AD490" s="11">
        <f>'[30]New TB INC'!AD449</f>
        <v>100</v>
      </c>
      <c r="AE490" s="11">
        <f>'[31]New TB INC'!AE456</f>
        <v>0</v>
      </c>
      <c r="AF490" s="11">
        <v>0</v>
      </c>
      <c r="AG490" s="11">
        <v>400</v>
      </c>
      <c r="AH490" s="11">
        <v>0</v>
      </c>
      <c r="AI490" s="11">
        <v>80</v>
      </c>
      <c r="AJ490" s="11">
        <v>100</v>
      </c>
      <c r="AK490" s="11">
        <f>$J490-SUM($Z490:AJ490)</f>
        <v>0</v>
      </c>
      <c r="AW490" s="2509"/>
      <c r="BH490" s="2509"/>
      <c r="BI490" s="772"/>
      <c r="BJ490" s="2173"/>
      <c r="BK490" s="2173"/>
      <c r="BL490" s="773"/>
      <c r="BN490" s="209"/>
      <c r="BO490" s="209"/>
      <c r="BP490" s="209"/>
      <c r="BQ490" s="209"/>
      <c r="BR490" s="209"/>
      <c r="BS490" s="952"/>
      <c r="BT490" s="858"/>
      <c r="BU490" s="271">
        <f>SUM(BU484:BU488)</f>
        <v>0</v>
      </c>
      <c r="CI490" s="4"/>
      <c r="CJ490" s="4"/>
      <c r="DB490" s="773"/>
      <c r="DC490" s="773"/>
      <c r="DD490" s="773"/>
      <c r="DE490" s="773"/>
      <c r="DF490" s="773"/>
      <c r="DG490" s="773"/>
      <c r="DH490" s="773"/>
      <c r="DI490" s="773"/>
      <c r="DJ490" s="773"/>
      <c r="DK490" s="773"/>
      <c r="DL490" s="773"/>
      <c r="DM490" s="773"/>
      <c r="DN490" s="773"/>
      <c r="DO490" s="773"/>
      <c r="DP490" s="773"/>
      <c r="DQ490" s="773"/>
      <c r="DR490" s="773"/>
      <c r="DS490" s="773"/>
      <c r="DT490" s="773"/>
      <c r="DU490" s="773"/>
      <c r="DV490" s="773"/>
      <c r="DW490" s="773"/>
      <c r="DX490" s="773"/>
      <c r="DY490" s="773"/>
      <c r="DZ490" s="773"/>
      <c r="EA490" s="773"/>
      <c r="EB490" s="773"/>
      <c r="EC490" s="773"/>
      <c r="ED490" s="773"/>
      <c r="EE490" s="773"/>
      <c r="EF490" s="773"/>
      <c r="EG490" s="773"/>
      <c r="EH490" s="773"/>
      <c r="EI490" s="773"/>
      <c r="EJ490" s="773"/>
      <c r="EK490" s="773"/>
      <c r="EL490" s="773"/>
      <c r="EM490" s="773"/>
      <c r="EN490" s="773"/>
      <c r="EO490" s="773"/>
      <c r="EP490" s="773"/>
      <c r="EQ490" s="773"/>
      <c r="ER490" s="773"/>
      <c r="ES490" s="773"/>
      <c r="ET490" s="773"/>
      <c r="EU490" s="773"/>
      <c r="EV490" s="773"/>
      <c r="EW490" s="773"/>
      <c r="EX490" s="773"/>
      <c r="EY490" s="773"/>
      <c r="EZ490" s="773"/>
      <c r="FA490" s="773"/>
      <c r="FB490" s="773"/>
      <c r="FC490" s="773"/>
      <c r="FD490" s="773"/>
      <c r="FE490" s="773"/>
      <c r="FF490" s="773"/>
      <c r="FG490" s="773"/>
      <c r="FH490" s="773"/>
      <c r="FI490" s="773"/>
      <c r="FJ490" s="773"/>
      <c r="FK490" s="773"/>
      <c r="FL490" s="773"/>
      <c r="FM490" s="773"/>
      <c r="FN490" s="773"/>
      <c r="FO490" s="773"/>
      <c r="FP490" s="773"/>
      <c r="FQ490" s="773"/>
      <c r="FR490" s="773"/>
      <c r="FS490" s="773"/>
      <c r="FT490" s="773"/>
      <c r="FU490" s="773"/>
      <c r="FV490" s="773"/>
      <c r="FW490" s="773"/>
      <c r="FX490" s="773"/>
      <c r="FY490" s="773"/>
      <c r="FZ490" s="773"/>
      <c r="GA490" s="773"/>
      <c r="GB490" s="773"/>
      <c r="GC490" s="773"/>
      <c r="GD490" s="773"/>
      <c r="GE490" s="773"/>
      <c r="GF490" s="773"/>
      <c r="GG490" s="773"/>
      <c r="GH490" s="773"/>
      <c r="GI490" s="773"/>
      <c r="GJ490" s="773"/>
      <c r="GK490" s="773"/>
      <c r="GL490" s="773"/>
      <c r="GM490" s="773"/>
      <c r="GN490" s="773"/>
      <c r="GO490" s="773"/>
      <c r="GP490" s="773"/>
      <c r="GQ490" s="773"/>
      <c r="GR490" s="773"/>
      <c r="GS490" s="773"/>
      <c r="GT490" s="773"/>
      <c r="GU490" s="773"/>
      <c r="GV490" s="773"/>
      <c r="GW490" s="773"/>
      <c r="GX490" s="773"/>
      <c r="GY490" s="773"/>
      <c r="GZ490" s="773"/>
    </row>
    <row r="491" spans="1:208" s="11" customFormat="1">
      <c r="A491" s="774"/>
      <c r="B491" s="3762" t="s">
        <v>828</v>
      </c>
      <c r="C491" s="197" t="s">
        <v>2129</v>
      </c>
      <c r="D491" s="199" t="s">
        <v>2130</v>
      </c>
      <c r="E491" s="798">
        <f>IFERROR(VLOOKUP(C491,'AJE 12 - INC'!$D$168:$F$771,3,0),0)</f>
        <v>250.13</v>
      </c>
      <c r="F491" s="108">
        <f>SUMIF('AJE 12 - INC'!B:B,'New TB INC'!C491,'AJE 12 - INC'!D:D)</f>
        <v>0</v>
      </c>
      <c r="G491" s="108"/>
      <c r="H491" s="108"/>
      <c r="I491" s="108"/>
      <c r="J491" s="798">
        <f t="shared" si="52"/>
        <v>250.13</v>
      </c>
      <c r="K491" s="209"/>
      <c r="L491" s="434"/>
      <c r="M491" s="883"/>
      <c r="N491" s="773">
        <v>4343</v>
      </c>
      <c r="O491" s="773">
        <v>-1303</v>
      </c>
      <c r="P491" s="773">
        <v>0</v>
      </c>
      <c r="Q491" s="773">
        <v>0</v>
      </c>
      <c r="R491" s="773">
        <v>0</v>
      </c>
      <c r="S491" s="11">
        <v>0</v>
      </c>
      <c r="T491" s="773">
        <v>0</v>
      </c>
      <c r="U491" s="2173">
        <v>0</v>
      </c>
      <c r="V491" s="2509">
        <v>100.30999999999995</v>
      </c>
      <c r="W491" s="2509">
        <v>0</v>
      </c>
      <c r="X491" s="2509">
        <v>0</v>
      </c>
      <c r="Y491" s="2509">
        <v>100.09000000000015</v>
      </c>
      <c r="Z491" s="11">
        <f>'[26]New TB INC'!Z445</f>
        <v>0</v>
      </c>
      <c r="AA491" s="11">
        <f>'[27]New TB INC'!AA452</f>
        <v>0</v>
      </c>
      <c r="AB491" s="11">
        <f>'[28]New TB INC'!AB459</f>
        <v>0</v>
      </c>
      <c r="AC491" s="11">
        <f>'[29]New TB INC'!AC455</f>
        <v>0</v>
      </c>
      <c r="AD491" s="11">
        <f>'[30]New TB INC'!AD450</f>
        <v>0</v>
      </c>
      <c r="AE491" s="11">
        <f>'[31]New TB INC'!AE457</f>
        <v>0</v>
      </c>
      <c r="AF491" s="11">
        <v>0</v>
      </c>
      <c r="AG491" s="11">
        <v>0</v>
      </c>
      <c r="AH491" s="11">
        <v>0</v>
      </c>
      <c r="AI491" s="11">
        <v>250.13</v>
      </c>
      <c r="AJ491" s="11">
        <v>0</v>
      </c>
      <c r="AK491" s="11">
        <f>$J491-SUM($Z491:AJ491)</f>
        <v>0</v>
      </c>
      <c r="AW491" s="2509"/>
      <c r="BH491" s="2509"/>
      <c r="BI491" s="772"/>
      <c r="BJ491" s="2173"/>
      <c r="BK491" s="2173"/>
      <c r="BL491" s="773"/>
      <c r="BN491" s="209"/>
      <c r="BO491" s="209"/>
      <c r="BP491" s="209"/>
      <c r="BQ491" s="209"/>
      <c r="BR491" s="209"/>
      <c r="BS491" s="799"/>
      <c r="BT491" s="368"/>
      <c r="CI491" s="4"/>
      <c r="CJ491" s="4"/>
      <c r="DB491" s="773"/>
      <c r="DC491" s="773"/>
      <c r="DD491" s="773"/>
      <c r="DE491" s="773"/>
      <c r="DF491" s="773"/>
      <c r="DG491" s="773"/>
      <c r="DH491" s="773"/>
      <c r="DI491" s="773"/>
      <c r="DJ491" s="773"/>
      <c r="DK491" s="773"/>
      <c r="DL491" s="773"/>
      <c r="DM491" s="773"/>
      <c r="DN491" s="773"/>
      <c r="DO491" s="773"/>
      <c r="DP491" s="773"/>
      <c r="DQ491" s="773"/>
      <c r="DR491" s="773"/>
      <c r="DS491" s="773"/>
      <c r="DT491" s="773"/>
      <c r="DU491" s="773"/>
      <c r="DV491" s="773"/>
      <c r="DW491" s="773"/>
      <c r="DX491" s="773"/>
      <c r="DY491" s="773"/>
      <c r="DZ491" s="773"/>
      <c r="EA491" s="773"/>
      <c r="EB491" s="773"/>
      <c r="EC491" s="773"/>
      <c r="ED491" s="773"/>
      <c r="EE491" s="773"/>
      <c r="EF491" s="773"/>
      <c r="EG491" s="773"/>
      <c r="EH491" s="773"/>
      <c r="EI491" s="773"/>
      <c r="EJ491" s="773"/>
      <c r="EK491" s="773"/>
      <c r="EL491" s="773"/>
      <c r="EM491" s="773"/>
      <c r="EN491" s="773"/>
      <c r="EO491" s="773"/>
      <c r="EP491" s="773"/>
      <c r="EQ491" s="773"/>
      <c r="ER491" s="773"/>
      <c r="ES491" s="773"/>
      <c r="ET491" s="773"/>
      <c r="EU491" s="773"/>
      <c r="EV491" s="773"/>
      <c r="EW491" s="773"/>
      <c r="EX491" s="773"/>
      <c r="EY491" s="773"/>
      <c r="EZ491" s="773"/>
      <c r="FA491" s="773"/>
      <c r="FB491" s="773"/>
      <c r="FC491" s="773"/>
      <c r="FD491" s="773"/>
      <c r="FE491" s="773"/>
      <c r="FF491" s="773"/>
      <c r="FG491" s="773"/>
      <c r="FH491" s="773"/>
      <c r="FI491" s="773"/>
      <c r="FJ491" s="773"/>
      <c r="FK491" s="773"/>
      <c r="FL491" s="773"/>
      <c r="FM491" s="773"/>
      <c r="FN491" s="773"/>
      <c r="FO491" s="773"/>
      <c r="FP491" s="773"/>
      <c r="FQ491" s="773"/>
      <c r="FR491" s="773"/>
      <c r="FS491" s="773"/>
      <c r="FT491" s="773"/>
      <c r="FU491" s="773"/>
      <c r="FV491" s="773"/>
      <c r="FW491" s="773"/>
      <c r="FX491" s="773"/>
      <c r="FY491" s="773"/>
      <c r="FZ491" s="773"/>
      <c r="GA491" s="773"/>
      <c r="GB491" s="773"/>
      <c r="GC491" s="773"/>
      <c r="GD491" s="773"/>
      <c r="GE491" s="773"/>
      <c r="GF491" s="773"/>
      <c r="GG491" s="773"/>
      <c r="GH491" s="773"/>
      <c r="GI491" s="773"/>
      <c r="GJ491" s="773"/>
      <c r="GK491" s="773"/>
      <c r="GL491" s="773"/>
      <c r="GM491" s="773"/>
      <c r="GN491" s="773"/>
      <c r="GO491" s="773"/>
      <c r="GP491" s="773"/>
      <c r="GQ491" s="773"/>
      <c r="GR491" s="773"/>
      <c r="GS491" s="773"/>
      <c r="GT491" s="773"/>
      <c r="GU491" s="773"/>
      <c r="GV491" s="773"/>
      <c r="GW491" s="773"/>
      <c r="GX491" s="773"/>
      <c r="GY491" s="773"/>
      <c r="GZ491" s="773"/>
    </row>
    <row r="492" spans="1:208" s="11" customFormat="1">
      <c r="A492" s="774"/>
      <c r="B492" s="3762" t="s">
        <v>828</v>
      </c>
      <c r="C492" s="197">
        <v>5100003</v>
      </c>
      <c r="D492" s="199" t="s">
        <v>834</v>
      </c>
      <c r="E492" s="798">
        <f>IFERROR(VLOOKUP(C492,'AJE 12 - INC'!$D$168:$F$771,3,0),0)</f>
        <v>34229.69</v>
      </c>
      <c r="F492" s="108">
        <f>SUMIF('AJE 12 - INC'!B:B,'New TB INC'!C492,'AJE 12 - INC'!D:D)</f>
        <v>0</v>
      </c>
      <c r="G492" s="108"/>
      <c r="H492" s="108"/>
      <c r="I492" s="108"/>
      <c r="J492" s="798">
        <f t="shared" si="52"/>
        <v>34229.69</v>
      </c>
      <c r="K492" s="209"/>
      <c r="L492" s="434"/>
      <c r="M492" s="883"/>
      <c r="N492" s="773">
        <v>6508.44</v>
      </c>
      <c r="O492" s="773">
        <v>2149.5600000000004</v>
      </c>
      <c r="P492" s="773">
        <v>4329</v>
      </c>
      <c r="Q492" s="773">
        <v>4329</v>
      </c>
      <c r="R492" s="773">
        <v>4329</v>
      </c>
      <c r="S492" s="11">
        <v>4329</v>
      </c>
      <c r="T492" s="773">
        <v>4329</v>
      </c>
      <c r="U492" s="2173">
        <v>4329</v>
      </c>
      <c r="V492" s="2509">
        <v>4418.4599999999991</v>
      </c>
      <c r="W492" s="2509">
        <v>4329</v>
      </c>
      <c r="X492" s="2509">
        <v>4329</v>
      </c>
      <c r="Y492" s="2509">
        <v>-47708.46</v>
      </c>
      <c r="Z492" s="11">
        <f>'[26]New TB INC'!Z446</f>
        <v>4329</v>
      </c>
      <c r="AA492" s="11">
        <f>'[27]New TB INC'!AA453</f>
        <v>720.6899999999996</v>
      </c>
      <c r="AB492" s="11">
        <f>'[28]New TB INC'!AB460</f>
        <v>3092</v>
      </c>
      <c r="AC492" s="11">
        <f>'[29]New TB INC'!AC456</f>
        <v>3917.0000000000009</v>
      </c>
      <c r="AD492" s="11">
        <f>'[30]New TB INC'!AD451</f>
        <v>3917</v>
      </c>
      <c r="AE492" s="11">
        <f>'[31]New TB INC'!AE458</f>
        <v>3916.9999999999982</v>
      </c>
      <c r="AF492" s="11">
        <v>3917</v>
      </c>
      <c r="AG492" s="11">
        <v>3917</v>
      </c>
      <c r="AH492" s="11">
        <v>3917</v>
      </c>
      <c r="AI492" s="11">
        <v>3917.0000000000036</v>
      </c>
      <c r="AJ492" s="11">
        <v>3917</v>
      </c>
      <c r="AK492" s="11">
        <f>$J492-SUM($Z492:AJ492)</f>
        <v>-5248</v>
      </c>
      <c r="AW492" s="2509"/>
      <c r="BH492" s="2509"/>
      <c r="BI492" s="772"/>
      <c r="BJ492" s="2173"/>
      <c r="BK492" s="2173"/>
      <c r="BL492" s="773"/>
      <c r="BN492" s="209"/>
      <c r="BO492" s="209"/>
      <c r="BP492" s="209"/>
      <c r="BQ492" s="209"/>
      <c r="BR492" s="209"/>
      <c r="BS492" s="885"/>
      <c r="CI492" s="4"/>
      <c r="CJ492" s="4"/>
      <c r="DB492" s="773"/>
      <c r="DC492" s="773"/>
      <c r="DD492" s="773"/>
      <c r="DE492" s="773"/>
      <c r="DF492" s="773"/>
      <c r="DG492" s="773"/>
      <c r="DH492" s="773"/>
      <c r="DI492" s="773"/>
      <c r="DJ492" s="773"/>
      <c r="DK492" s="773"/>
      <c r="DL492" s="773"/>
      <c r="DM492" s="773"/>
      <c r="DN492" s="773"/>
      <c r="DO492" s="773"/>
      <c r="DP492" s="773"/>
      <c r="DQ492" s="773"/>
      <c r="DR492" s="773"/>
      <c r="DS492" s="773"/>
      <c r="DT492" s="773"/>
      <c r="DU492" s="773"/>
      <c r="DV492" s="773"/>
      <c r="DW492" s="773"/>
      <c r="DX492" s="773"/>
      <c r="DY492" s="773"/>
      <c r="DZ492" s="773"/>
      <c r="EA492" s="773"/>
      <c r="EB492" s="773"/>
      <c r="EC492" s="773"/>
      <c r="ED492" s="773"/>
      <c r="EE492" s="773"/>
      <c r="EF492" s="773"/>
      <c r="EG492" s="773"/>
      <c r="EH492" s="773"/>
      <c r="EI492" s="773"/>
      <c r="EJ492" s="773"/>
      <c r="EK492" s="773"/>
      <c r="EL492" s="773"/>
      <c r="EM492" s="773"/>
      <c r="EN492" s="773"/>
      <c r="EO492" s="773"/>
      <c r="EP492" s="773"/>
      <c r="EQ492" s="773"/>
      <c r="ER492" s="773"/>
      <c r="ES492" s="773"/>
      <c r="ET492" s="773"/>
      <c r="EU492" s="773"/>
      <c r="EV492" s="773"/>
      <c r="EW492" s="773"/>
      <c r="EX492" s="773"/>
      <c r="EY492" s="773"/>
      <c r="EZ492" s="773"/>
      <c r="FA492" s="773"/>
      <c r="FB492" s="773"/>
      <c r="FC492" s="773"/>
      <c r="FD492" s="773"/>
      <c r="FE492" s="773"/>
      <c r="FF492" s="773"/>
      <c r="FG492" s="773"/>
      <c r="FH492" s="773"/>
      <c r="FI492" s="773"/>
      <c r="FJ492" s="773"/>
      <c r="FK492" s="773"/>
      <c r="FL492" s="773"/>
      <c r="FM492" s="773"/>
      <c r="FN492" s="773"/>
      <c r="FO492" s="773"/>
      <c r="FP492" s="773"/>
      <c r="FQ492" s="773"/>
      <c r="FR492" s="773"/>
      <c r="FS492" s="773"/>
      <c r="FT492" s="773"/>
      <c r="FU492" s="773"/>
      <c r="FV492" s="773"/>
      <c r="FW492" s="773"/>
      <c r="FX492" s="773"/>
      <c r="FY492" s="773"/>
      <c r="FZ492" s="773"/>
      <c r="GA492" s="773"/>
      <c r="GB492" s="773"/>
      <c r="GC492" s="773"/>
      <c r="GD492" s="773"/>
      <c r="GE492" s="773"/>
      <c r="GF492" s="773"/>
      <c r="GG492" s="773"/>
      <c r="GH492" s="773"/>
      <c r="GI492" s="773"/>
      <c r="GJ492" s="773"/>
      <c r="GK492" s="773"/>
      <c r="GL492" s="773"/>
      <c r="GM492" s="773"/>
      <c r="GN492" s="773"/>
      <c r="GO492" s="773"/>
      <c r="GP492" s="773"/>
      <c r="GQ492" s="773"/>
      <c r="GR492" s="773"/>
      <c r="GS492" s="773"/>
      <c r="GT492" s="773"/>
      <c r="GU492" s="773"/>
      <c r="GV492" s="773"/>
      <c r="GW492" s="773"/>
      <c r="GX492" s="773"/>
      <c r="GY492" s="773"/>
      <c r="GZ492" s="773"/>
    </row>
    <row r="493" spans="1:208" s="11" customFormat="1">
      <c r="A493" s="774"/>
      <c r="B493" s="3762" t="s">
        <v>828</v>
      </c>
      <c r="C493" s="197" t="s">
        <v>3333</v>
      </c>
      <c r="D493" s="199" t="s">
        <v>3334</v>
      </c>
      <c r="E493" s="798">
        <f>IFERROR(VLOOKUP(C493,'AJE 12 - INC'!$D$168:$F$771,3,0),0)</f>
        <v>9726.65</v>
      </c>
      <c r="F493" s="108">
        <f>SUMIF('AJE 12 - INC'!B:B,'New TB INC'!C493,'AJE 12 - INC'!D:D)</f>
        <v>0</v>
      </c>
      <c r="G493" s="108"/>
      <c r="H493" s="108"/>
      <c r="I493" s="108"/>
      <c r="J493" s="798">
        <f t="shared" si="52"/>
        <v>9726.65</v>
      </c>
      <c r="K493" s="209"/>
      <c r="L493" s="434"/>
      <c r="M493" s="883"/>
      <c r="N493" s="773"/>
      <c r="O493" s="773"/>
      <c r="P493" s="773"/>
      <c r="Q493" s="773"/>
      <c r="R493" s="773"/>
      <c r="T493" s="773"/>
      <c r="U493" s="2173"/>
      <c r="V493" s="2509"/>
      <c r="W493" s="2509"/>
      <c r="X493" s="2509"/>
      <c r="Y493" s="2509"/>
      <c r="AA493" s="11">
        <f>'[27]New TB INC'!AA454</f>
        <v>4994.6499999999996</v>
      </c>
      <c r="AB493" s="11">
        <f>'[28]New TB INC'!AB461</f>
        <v>1313</v>
      </c>
      <c r="AC493" s="11">
        <f>'[29]New TB INC'!AC457</f>
        <v>438</v>
      </c>
      <c r="AD493" s="11">
        <f>'[30]New TB INC'!AD452</f>
        <v>438</v>
      </c>
      <c r="AE493" s="11">
        <f>'[31]New TB INC'!AE459</f>
        <v>438</v>
      </c>
      <c r="AF493" s="11">
        <v>438</v>
      </c>
      <c r="AG493" s="11">
        <v>438</v>
      </c>
      <c r="AH493" s="11">
        <v>438</v>
      </c>
      <c r="AI493" s="11">
        <v>438</v>
      </c>
      <c r="AJ493" s="11">
        <v>438</v>
      </c>
      <c r="AK493" s="11">
        <f>$J493-SUM($Z493:AJ493)</f>
        <v>-85</v>
      </c>
      <c r="AW493" s="2509"/>
      <c r="BH493" s="2509"/>
      <c r="BI493" s="772"/>
      <c r="BJ493" s="2173"/>
      <c r="BK493" s="2173"/>
      <c r="BL493" s="773"/>
      <c r="BN493" s="209"/>
      <c r="BO493" s="209"/>
      <c r="BP493" s="209"/>
      <c r="BQ493" s="209"/>
      <c r="BR493" s="209"/>
      <c r="BS493" s="885"/>
      <c r="CI493" s="4"/>
      <c r="CJ493" s="4"/>
      <c r="DB493" s="773"/>
      <c r="DC493" s="773"/>
      <c r="DD493" s="773"/>
      <c r="DE493" s="773"/>
      <c r="DF493" s="773"/>
      <c r="DG493" s="773"/>
      <c r="DH493" s="773"/>
      <c r="DI493" s="773"/>
      <c r="DJ493" s="773"/>
      <c r="DK493" s="773"/>
      <c r="DL493" s="773"/>
      <c r="DM493" s="773"/>
      <c r="DN493" s="773"/>
      <c r="DO493" s="773"/>
      <c r="DP493" s="773"/>
      <c r="DQ493" s="773"/>
      <c r="DR493" s="773"/>
      <c r="DS493" s="773"/>
      <c r="DT493" s="773"/>
      <c r="DU493" s="773"/>
      <c r="DV493" s="773"/>
      <c r="DW493" s="773"/>
      <c r="DX493" s="773"/>
      <c r="DY493" s="773"/>
      <c r="DZ493" s="773"/>
      <c r="EA493" s="773"/>
      <c r="EB493" s="773"/>
      <c r="EC493" s="773"/>
      <c r="ED493" s="773"/>
      <c r="EE493" s="773"/>
      <c r="EF493" s="773"/>
      <c r="EG493" s="773"/>
      <c r="EH493" s="773"/>
      <c r="EI493" s="773"/>
      <c r="EJ493" s="773"/>
      <c r="EK493" s="773"/>
      <c r="EL493" s="773"/>
      <c r="EM493" s="773"/>
      <c r="EN493" s="773"/>
      <c r="EO493" s="773"/>
      <c r="EP493" s="773"/>
      <c r="EQ493" s="773"/>
      <c r="ER493" s="773"/>
      <c r="ES493" s="773"/>
      <c r="ET493" s="773"/>
      <c r="EU493" s="773"/>
      <c r="EV493" s="773"/>
      <c r="EW493" s="773"/>
      <c r="EX493" s="773"/>
      <c r="EY493" s="773"/>
      <c r="EZ493" s="773"/>
      <c r="FA493" s="773"/>
      <c r="FB493" s="773"/>
      <c r="FC493" s="773"/>
      <c r="FD493" s="773"/>
      <c r="FE493" s="773"/>
      <c r="FF493" s="773"/>
      <c r="FG493" s="773"/>
      <c r="FH493" s="773"/>
      <c r="FI493" s="773"/>
      <c r="FJ493" s="773"/>
      <c r="FK493" s="773"/>
      <c r="FL493" s="773"/>
      <c r="FM493" s="773"/>
      <c r="FN493" s="773"/>
      <c r="FO493" s="773"/>
      <c r="FP493" s="773"/>
      <c r="FQ493" s="773"/>
      <c r="FR493" s="773"/>
      <c r="FS493" s="773"/>
      <c r="FT493" s="773"/>
      <c r="FU493" s="773"/>
      <c r="FV493" s="773"/>
      <c r="FW493" s="773"/>
      <c r="FX493" s="773"/>
      <c r="FY493" s="773"/>
      <c r="FZ493" s="773"/>
      <c r="GA493" s="773"/>
      <c r="GB493" s="773"/>
      <c r="GC493" s="773"/>
      <c r="GD493" s="773"/>
      <c r="GE493" s="773"/>
      <c r="GF493" s="773"/>
      <c r="GG493" s="773"/>
      <c r="GH493" s="773"/>
      <c r="GI493" s="773"/>
      <c r="GJ493" s="773"/>
      <c r="GK493" s="773"/>
      <c r="GL493" s="773"/>
      <c r="GM493" s="773"/>
      <c r="GN493" s="773"/>
      <c r="GO493" s="773"/>
      <c r="GP493" s="773"/>
      <c r="GQ493" s="773"/>
      <c r="GR493" s="773"/>
      <c r="GS493" s="773"/>
      <c r="GT493" s="773"/>
      <c r="GU493" s="773"/>
      <c r="GV493" s="773"/>
      <c r="GW493" s="773"/>
      <c r="GX493" s="773"/>
      <c r="GY493" s="773"/>
      <c r="GZ493" s="773"/>
    </row>
    <row r="494" spans="1:208" s="11" customFormat="1">
      <c r="A494" s="774"/>
      <c r="B494" s="3762" t="s">
        <v>828</v>
      </c>
      <c r="C494" s="197">
        <v>5100006</v>
      </c>
      <c r="D494" s="199" t="s">
        <v>835</v>
      </c>
      <c r="E494" s="798">
        <f>IFERROR(VLOOKUP(C494,'AJE 12 - INC'!$D$168:$F$771,3,0),0)</f>
        <v>61234.559999999998</v>
      </c>
      <c r="F494" s="108">
        <f>SUMIF('AJE 12 - INC'!B:B,'New TB INC'!C494,'AJE 12 - INC'!D:D)</f>
        <v>0</v>
      </c>
      <c r="G494" s="108"/>
      <c r="H494" s="108"/>
      <c r="I494" s="108"/>
      <c r="J494" s="798">
        <f t="shared" si="52"/>
        <v>61234.559999999998</v>
      </c>
      <c r="K494" s="209"/>
      <c r="L494" s="434"/>
      <c r="M494" s="883"/>
      <c r="N494" s="11">
        <v>441.96</v>
      </c>
      <c r="O494" s="11">
        <v>15908.130000000001</v>
      </c>
      <c r="P494" s="11">
        <v>4842.5999999999985</v>
      </c>
      <c r="Q494" s="11">
        <v>349.15000000000146</v>
      </c>
      <c r="R494" s="773">
        <v>4843.5999999999985</v>
      </c>
      <c r="S494" s="11">
        <v>4843.6000000000022</v>
      </c>
      <c r="T494" s="773">
        <v>4923.2799999999988</v>
      </c>
      <c r="U494" s="2173">
        <v>3390.739999999998</v>
      </c>
      <c r="V494" s="2509">
        <v>4898.4000000000015</v>
      </c>
      <c r="W494" s="2509">
        <v>4953.1299999999974</v>
      </c>
      <c r="X494" s="2509">
        <v>4810.9100000000035</v>
      </c>
      <c r="Y494" s="2509">
        <v>3657.8600000000006</v>
      </c>
      <c r="Z494" s="11">
        <f>'[26]New TB INC'!Z447</f>
        <v>4650.68</v>
      </c>
      <c r="AA494" s="11">
        <f>'[27]New TB INC'!AA455</f>
        <v>7975.24</v>
      </c>
      <c r="AB494" s="11">
        <f>'[28]New TB INC'!AB462</f>
        <v>4528.7800000000007</v>
      </c>
      <c r="AC494" s="11">
        <f>'[29]New TB INC'!AC458</f>
        <v>4759.380000000001</v>
      </c>
      <c r="AD494" s="11">
        <f>'[30]New TB INC'!AD453</f>
        <v>5154.4399999999987</v>
      </c>
      <c r="AE494" s="11">
        <f>'[31]New TB INC'!AE460</f>
        <v>5072.7000000000007</v>
      </c>
      <c r="AF494" s="11">
        <v>5031.0800000000017</v>
      </c>
      <c r="AG494" s="11">
        <v>5002.7199999999939</v>
      </c>
      <c r="AH494" s="11">
        <v>4972.1200000000026</v>
      </c>
      <c r="AI494" s="11">
        <v>5148.9599999999991</v>
      </c>
      <c r="AJ494" s="11">
        <v>4994.68</v>
      </c>
      <c r="AK494" s="11">
        <f>$J494-SUM($Z494:AJ494)</f>
        <v>3943.7799999999988</v>
      </c>
      <c r="AW494" s="2509"/>
      <c r="BH494" s="2509"/>
      <c r="BI494" s="772"/>
      <c r="BJ494" s="2173"/>
      <c r="BK494" s="2173"/>
      <c r="BL494" s="773"/>
      <c r="BN494" s="209"/>
      <c r="BO494" s="209"/>
      <c r="BP494" s="209"/>
      <c r="BQ494" s="209"/>
      <c r="BR494" s="209"/>
      <c r="BS494" s="885"/>
      <c r="CI494" s="4"/>
      <c r="CJ494" s="4"/>
      <c r="DB494" s="773"/>
      <c r="DC494" s="773"/>
      <c r="DD494" s="773"/>
      <c r="DE494" s="773"/>
      <c r="DF494" s="773"/>
      <c r="DG494" s="773"/>
      <c r="DH494" s="773"/>
      <c r="DI494" s="773"/>
      <c r="DJ494" s="773"/>
      <c r="DK494" s="773"/>
      <c r="DL494" s="773"/>
      <c r="DM494" s="773"/>
      <c r="DN494" s="773"/>
      <c r="DO494" s="773"/>
      <c r="DP494" s="773"/>
      <c r="DQ494" s="773"/>
      <c r="DR494" s="773"/>
      <c r="DS494" s="773"/>
      <c r="DT494" s="773"/>
      <c r="DU494" s="773"/>
      <c r="DV494" s="773"/>
      <c r="DW494" s="773"/>
      <c r="DX494" s="773"/>
      <c r="DY494" s="773"/>
      <c r="DZ494" s="773"/>
      <c r="EA494" s="773"/>
      <c r="EB494" s="773"/>
      <c r="EC494" s="773"/>
      <c r="ED494" s="773"/>
      <c r="EE494" s="773"/>
      <c r="EF494" s="773"/>
      <c r="EG494" s="773"/>
      <c r="EH494" s="773"/>
      <c r="EI494" s="773"/>
      <c r="EJ494" s="773"/>
      <c r="EK494" s="773"/>
      <c r="EL494" s="773"/>
      <c r="EM494" s="773"/>
      <c r="EN494" s="773"/>
      <c r="EO494" s="773"/>
      <c r="EP494" s="773"/>
      <c r="EQ494" s="773"/>
      <c r="ER494" s="773"/>
      <c r="ES494" s="773"/>
      <c r="ET494" s="773"/>
      <c r="EU494" s="773"/>
      <c r="EV494" s="773"/>
      <c r="EW494" s="773"/>
      <c r="EX494" s="773"/>
      <c r="EY494" s="773"/>
      <c r="EZ494" s="773"/>
      <c r="FA494" s="773"/>
      <c r="FB494" s="773"/>
      <c r="FC494" s="773"/>
      <c r="FD494" s="773"/>
      <c r="FE494" s="773"/>
      <c r="FF494" s="773"/>
      <c r="FG494" s="773"/>
      <c r="FH494" s="773"/>
      <c r="FI494" s="773"/>
      <c r="FJ494" s="773"/>
      <c r="FK494" s="773"/>
      <c r="FL494" s="773"/>
      <c r="FM494" s="773"/>
      <c r="FN494" s="773"/>
      <c r="FO494" s="773"/>
      <c r="FP494" s="773"/>
      <c r="FQ494" s="773"/>
      <c r="FR494" s="773"/>
      <c r="FS494" s="773"/>
      <c r="FT494" s="773"/>
      <c r="FU494" s="773"/>
      <c r="FV494" s="773"/>
      <c r="FW494" s="773"/>
      <c r="FX494" s="773"/>
      <c r="FY494" s="773"/>
      <c r="FZ494" s="773"/>
      <c r="GA494" s="773"/>
      <c r="GB494" s="773"/>
      <c r="GC494" s="773"/>
      <c r="GD494" s="773"/>
      <c r="GE494" s="773"/>
      <c r="GF494" s="773"/>
      <c r="GG494" s="773"/>
      <c r="GH494" s="773"/>
      <c r="GI494" s="773"/>
      <c r="GJ494" s="773"/>
      <c r="GK494" s="773"/>
      <c r="GL494" s="773"/>
      <c r="GM494" s="773"/>
      <c r="GN494" s="773"/>
      <c r="GO494" s="773"/>
      <c r="GP494" s="773"/>
      <c r="GQ494" s="773"/>
      <c r="GR494" s="773"/>
      <c r="GS494" s="773"/>
      <c r="GT494" s="773"/>
      <c r="GU494" s="773"/>
      <c r="GV494" s="773"/>
      <c r="GW494" s="773"/>
      <c r="GX494" s="773"/>
      <c r="GY494" s="773"/>
      <c r="GZ494" s="773"/>
    </row>
    <row r="495" spans="1:208" s="11" customFormat="1">
      <c r="A495" s="774"/>
      <c r="B495" s="3762" t="s">
        <v>828</v>
      </c>
      <c r="C495" s="197" t="s">
        <v>1972</v>
      </c>
      <c r="D495" s="199" t="s">
        <v>1973</v>
      </c>
      <c r="E495" s="798">
        <f>IFERROR(VLOOKUP(C495,'AJE 12 - INC'!$D$168:$F$771,3,0),0)</f>
        <v>3861.44</v>
      </c>
      <c r="F495" s="108">
        <f>SUMIF('AJE 12 - INC'!B:B,'New TB INC'!C495,'AJE 12 - INC'!D:D)</f>
        <v>0</v>
      </c>
      <c r="G495" s="108"/>
      <c r="H495" s="108"/>
      <c r="I495" s="108"/>
      <c r="J495" s="798">
        <f t="shared" si="52"/>
        <v>3861.44</v>
      </c>
      <c r="K495" s="209"/>
      <c r="L495" s="434"/>
      <c r="M495" s="883"/>
      <c r="N495" s="11">
        <v>77.73</v>
      </c>
      <c r="O495" s="11">
        <v>1404.52</v>
      </c>
      <c r="P495" s="11">
        <v>415.8900000000001</v>
      </c>
      <c r="Q495" s="11">
        <v>416.03</v>
      </c>
      <c r="R495" s="773">
        <v>418.98999999999978</v>
      </c>
      <c r="S495" s="11">
        <v>300.67000000000007</v>
      </c>
      <c r="T495" s="773">
        <v>0</v>
      </c>
      <c r="U495" s="2173">
        <v>0</v>
      </c>
      <c r="V495" s="2509">
        <v>0</v>
      </c>
      <c r="W495" s="2509">
        <v>0</v>
      </c>
      <c r="X495" s="2509">
        <v>0</v>
      </c>
      <c r="Y495" s="2509">
        <v>0</v>
      </c>
      <c r="Z495" s="11">
        <f>'[26]New TB INC'!Z448</f>
        <v>464.46</v>
      </c>
      <c r="AA495" s="11">
        <f>'[27]New TB INC'!AA456</f>
        <v>867.31</v>
      </c>
      <c r="AB495" s="11">
        <f>'[28]New TB INC'!AB463</f>
        <v>483.82999999999993</v>
      </c>
      <c r="AC495" s="11">
        <f>'[29]New TB INC'!AC459</f>
        <v>488.55999999999995</v>
      </c>
      <c r="AD495" s="11">
        <f>'[30]New TB INC'!AD454</f>
        <v>504.67000000000007</v>
      </c>
      <c r="AE495" s="11">
        <f>'[31]New TB INC'!AE461</f>
        <v>520.96</v>
      </c>
      <c r="AF495" s="11">
        <v>206.63999999999987</v>
      </c>
      <c r="AG495" s="11">
        <v>325.01000000000022</v>
      </c>
      <c r="AH495" s="11">
        <v>0</v>
      </c>
      <c r="AI495" s="11">
        <v>0</v>
      </c>
      <c r="AJ495" s="11">
        <v>0</v>
      </c>
      <c r="AK495" s="11">
        <f>$J495-SUM($Z495:AJ495)</f>
        <v>0</v>
      </c>
      <c r="AW495" s="2509"/>
      <c r="BH495" s="2509"/>
      <c r="BI495" s="772"/>
      <c r="BJ495" s="2173"/>
      <c r="BK495" s="2173"/>
      <c r="BL495" s="773"/>
      <c r="BN495" s="209"/>
      <c r="BO495" s="209"/>
      <c r="BP495" s="209"/>
      <c r="BQ495" s="209"/>
      <c r="BR495" s="209"/>
      <c r="BS495" s="885"/>
      <c r="CI495" s="4"/>
      <c r="CJ495" s="4"/>
      <c r="DB495" s="773"/>
      <c r="DC495" s="773"/>
      <c r="DD495" s="773"/>
      <c r="DE495" s="773"/>
      <c r="DF495" s="773"/>
      <c r="DG495" s="773"/>
      <c r="DH495" s="773"/>
      <c r="DI495" s="773"/>
      <c r="DJ495" s="773"/>
      <c r="DK495" s="773"/>
      <c r="DL495" s="773"/>
      <c r="DM495" s="773"/>
      <c r="DN495" s="773"/>
      <c r="DO495" s="773"/>
      <c r="DP495" s="773"/>
      <c r="DQ495" s="773"/>
      <c r="DR495" s="773"/>
      <c r="DS495" s="773"/>
      <c r="DT495" s="773"/>
      <c r="DU495" s="773"/>
      <c r="DV495" s="773"/>
      <c r="DW495" s="773"/>
      <c r="DX495" s="773"/>
      <c r="DY495" s="773"/>
      <c r="DZ495" s="773"/>
      <c r="EA495" s="773"/>
      <c r="EB495" s="773"/>
      <c r="EC495" s="773"/>
      <c r="ED495" s="773"/>
      <c r="EE495" s="773"/>
      <c r="EF495" s="773"/>
      <c r="EG495" s="773"/>
      <c r="EH495" s="773"/>
      <c r="EI495" s="773"/>
      <c r="EJ495" s="773"/>
      <c r="EK495" s="773"/>
      <c r="EL495" s="773"/>
      <c r="EM495" s="773"/>
      <c r="EN495" s="773"/>
      <c r="EO495" s="773"/>
      <c r="EP495" s="773"/>
      <c r="EQ495" s="773"/>
      <c r="ER495" s="773"/>
      <c r="ES495" s="773"/>
      <c r="ET495" s="773"/>
      <c r="EU495" s="773"/>
      <c r="EV495" s="773"/>
      <c r="EW495" s="773"/>
      <c r="EX495" s="773"/>
      <c r="EY495" s="773"/>
      <c r="EZ495" s="773"/>
      <c r="FA495" s="773"/>
      <c r="FB495" s="773"/>
      <c r="FC495" s="773"/>
      <c r="FD495" s="773"/>
      <c r="FE495" s="773"/>
      <c r="FF495" s="773"/>
      <c r="FG495" s="773"/>
      <c r="FH495" s="773"/>
      <c r="FI495" s="773"/>
      <c r="FJ495" s="773"/>
      <c r="FK495" s="773"/>
      <c r="FL495" s="773"/>
      <c r="FM495" s="773"/>
      <c r="FN495" s="773"/>
      <c r="FO495" s="773"/>
      <c r="FP495" s="773"/>
      <c r="FQ495" s="773"/>
      <c r="FR495" s="773"/>
      <c r="FS495" s="773"/>
      <c r="FT495" s="773"/>
      <c r="FU495" s="773"/>
      <c r="FV495" s="773"/>
      <c r="FW495" s="773"/>
      <c r="FX495" s="773"/>
      <c r="FY495" s="773"/>
      <c r="FZ495" s="773"/>
      <c r="GA495" s="773"/>
      <c r="GB495" s="773"/>
      <c r="GC495" s="773"/>
      <c r="GD495" s="773"/>
      <c r="GE495" s="773"/>
      <c r="GF495" s="773"/>
      <c r="GG495" s="773"/>
      <c r="GH495" s="773"/>
      <c r="GI495" s="773"/>
      <c r="GJ495" s="773"/>
      <c r="GK495" s="773"/>
      <c r="GL495" s="773"/>
      <c r="GM495" s="773"/>
      <c r="GN495" s="773"/>
      <c r="GO495" s="773"/>
      <c r="GP495" s="773"/>
      <c r="GQ495" s="773"/>
      <c r="GR495" s="773"/>
      <c r="GS495" s="773"/>
      <c r="GT495" s="773"/>
      <c r="GU495" s="773"/>
      <c r="GV495" s="773"/>
      <c r="GW495" s="773"/>
      <c r="GX495" s="773"/>
      <c r="GY495" s="773"/>
      <c r="GZ495" s="773"/>
    </row>
    <row r="496" spans="1:208" s="11" customFormat="1">
      <c r="A496" s="774"/>
      <c r="B496" s="3762" t="s">
        <v>828</v>
      </c>
      <c r="C496" s="197">
        <v>5100007</v>
      </c>
      <c r="D496" s="199" t="s">
        <v>1675</v>
      </c>
      <c r="E496" s="798">
        <f>IFERROR(VLOOKUP(C496,'AJE 12 - INC'!$D$168:$F$771,3,0),0)</f>
        <v>944.94</v>
      </c>
      <c r="F496" s="108">
        <f>SUMIF('AJE 12 - INC'!B:B,'New TB INC'!C496,'AJE 12 - INC'!D:D)</f>
        <v>0</v>
      </c>
      <c r="G496" s="108"/>
      <c r="H496" s="108"/>
      <c r="I496" s="108"/>
      <c r="J496" s="798">
        <f t="shared" si="52"/>
        <v>944.94</v>
      </c>
      <c r="K496" s="209"/>
      <c r="L496" s="434"/>
      <c r="M496" s="883"/>
      <c r="N496" s="11">
        <v>0</v>
      </c>
      <c r="O496" s="11">
        <v>-64.23</v>
      </c>
      <c r="P496" s="11">
        <v>87.4</v>
      </c>
      <c r="Q496" s="11">
        <v>84.62</v>
      </c>
      <c r="R496" s="773">
        <v>81.84</v>
      </c>
      <c r="S496" s="11">
        <v>81.840000000000032</v>
      </c>
      <c r="T496" s="773">
        <v>83.179999999999978</v>
      </c>
      <c r="U496" s="2173">
        <v>81.5</v>
      </c>
      <c r="V496" s="2509">
        <v>83.200000000000045</v>
      </c>
      <c r="W496" s="2509">
        <v>77.149999999999977</v>
      </c>
      <c r="X496" s="2509">
        <v>71.12</v>
      </c>
      <c r="Y496" s="2509">
        <v>58.559999999999945</v>
      </c>
      <c r="Z496" s="11">
        <f>'[26]New TB INC'!Z449</f>
        <v>64.3</v>
      </c>
      <c r="AA496" s="11">
        <f>'[27]New TB INC'!AA457</f>
        <v>118.41000000000001</v>
      </c>
      <c r="AB496" s="11">
        <f>'[28]New TB INC'!AB464</f>
        <v>72.669999999999987</v>
      </c>
      <c r="AC496" s="11">
        <f>'[29]New TB INC'!AC460</f>
        <v>71.300000000000011</v>
      </c>
      <c r="AD496" s="11">
        <f>'[30]New TB INC'!AD455</f>
        <v>73.29000000000002</v>
      </c>
      <c r="AE496" s="11">
        <f>'[31]New TB INC'!AE462</f>
        <v>73.21999999999997</v>
      </c>
      <c r="AF496" s="11">
        <v>78.140000000000043</v>
      </c>
      <c r="AG496" s="11">
        <v>78.699999999999932</v>
      </c>
      <c r="AH496" s="11">
        <v>78.149999999999977</v>
      </c>
      <c r="AI496" s="11">
        <v>81.610000000000014</v>
      </c>
      <c r="AJ496" s="11">
        <v>81.580000000000041</v>
      </c>
      <c r="AK496" s="11">
        <f>$J496-SUM($Z496:AJ496)</f>
        <v>73.57000000000005</v>
      </c>
      <c r="AW496" s="2509"/>
      <c r="BH496" s="2509"/>
      <c r="BI496" s="772"/>
      <c r="BJ496" s="2173"/>
      <c r="BK496" s="2173"/>
      <c r="BL496" s="773"/>
      <c r="BN496" s="773"/>
      <c r="BO496" s="209"/>
      <c r="BQ496" s="209"/>
      <c r="BR496" s="859"/>
      <c r="BS496" s="885"/>
      <c r="CI496" s="4"/>
      <c r="CJ496" s="4"/>
      <c r="DB496" s="773"/>
      <c r="DC496" s="773"/>
      <c r="DD496" s="773"/>
      <c r="DE496" s="773"/>
      <c r="DF496" s="773"/>
      <c r="DG496" s="773"/>
      <c r="DH496" s="773"/>
      <c r="DI496" s="773"/>
      <c r="DJ496" s="773"/>
      <c r="DK496" s="773"/>
      <c r="DL496" s="773"/>
      <c r="DM496" s="773"/>
      <c r="DN496" s="773"/>
      <c r="DO496" s="773"/>
      <c r="DP496" s="773"/>
      <c r="DQ496" s="773"/>
      <c r="DR496" s="773"/>
      <c r="DS496" s="773"/>
      <c r="DT496" s="773"/>
      <c r="DU496" s="773"/>
      <c r="DV496" s="773"/>
      <c r="DW496" s="773"/>
      <c r="DX496" s="773"/>
      <c r="DY496" s="773"/>
      <c r="DZ496" s="773"/>
      <c r="EA496" s="773"/>
      <c r="EB496" s="773"/>
      <c r="EC496" s="773"/>
      <c r="ED496" s="773"/>
      <c r="EE496" s="773"/>
      <c r="EF496" s="773"/>
      <c r="EG496" s="773"/>
      <c r="EH496" s="773"/>
      <c r="EI496" s="773"/>
      <c r="EJ496" s="773"/>
      <c r="EK496" s="773"/>
      <c r="EL496" s="773"/>
      <c r="EM496" s="773"/>
      <c r="EN496" s="773"/>
      <c r="EO496" s="773"/>
      <c r="EP496" s="773"/>
      <c r="EQ496" s="773"/>
      <c r="ER496" s="773"/>
      <c r="ES496" s="773"/>
      <c r="ET496" s="773"/>
      <c r="EU496" s="773"/>
      <c r="EV496" s="773"/>
      <c r="EW496" s="773"/>
      <c r="EX496" s="773"/>
      <c r="EY496" s="773"/>
      <c r="EZ496" s="773"/>
      <c r="FA496" s="773"/>
      <c r="FB496" s="773"/>
      <c r="FC496" s="773"/>
      <c r="FD496" s="773"/>
      <c r="FE496" s="773"/>
      <c r="FF496" s="773"/>
      <c r="FG496" s="773"/>
      <c r="FH496" s="773"/>
      <c r="FI496" s="773"/>
      <c r="FJ496" s="773"/>
      <c r="FK496" s="773"/>
      <c r="FL496" s="773"/>
      <c r="FM496" s="773"/>
      <c r="FN496" s="773"/>
      <c r="FO496" s="773"/>
      <c r="FP496" s="773"/>
      <c r="FQ496" s="773"/>
      <c r="FR496" s="773"/>
      <c r="FS496" s="773"/>
      <c r="FT496" s="773"/>
      <c r="FU496" s="773"/>
      <c r="FV496" s="773"/>
      <c r="FW496" s="773"/>
      <c r="FX496" s="773"/>
      <c r="FY496" s="773"/>
      <c r="FZ496" s="773"/>
      <c r="GA496" s="773"/>
      <c r="GB496" s="773"/>
      <c r="GC496" s="773"/>
      <c r="GD496" s="773"/>
      <c r="GE496" s="773"/>
      <c r="GF496" s="773"/>
      <c r="GG496" s="773"/>
      <c r="GH496" s="773"/>
      <c r="GI496" s="773"/>
      <c r="GJ496" s="773"/>
      <c r="GK496" s="773"/>
      <c r="GL496" s="773"/>
      <c r="GM496" s="773"/>
      <c r="GN496" s="773"/>
      <c r="GO496" s="773"/>
      <c r="GP496" s="773"/>
      <c r="GQ496" s="773"/>
      <c r="GR496" s="773"/>
      <c r="GS496" s="773"/>
      <c r="GT496" s="773"/>
      <c r="GU496" s="773"/>
      <c r="GV496" s="773"/>
      <c r="GW496" s="773"/>
      <c r="GX496" s="773"/>
      <c r="GY496" s="773"/>
      <c r="GZ496" s="773"/>
    </row>
    <row r="497" spans="1:208" s="11" customFormat="1">
      <c r="A497" s="774"/>
      <c r="B497" s="3762" t="s">
        <v>828</v>
      </c>
      <c r="C497" s="197">
        <v>5100008</v>
      </c>
      <c r="D497" s="199" t="s">
        <v>836</v>
      </c>
      <c r="E497" s="798">
        <f>IFERROR(VLOOKUP(C497,'AJE 12 - INC'!$D$168:$F$771,3,0),0)</f>
        <v>517.05999999999995</v>
      </c>
      <c r="F497" s="108">
        <f>SUMIF('AJE 12 - INC'!B:B,'New TB INC'!C497,'AJE 12 - INC'!D:D)</f>
        <v>0</v>
      </c>
      <c r="G497" s="108"/>
      <c r="H497" s="108"/>
      <c r="I497" s="108"/>
      <c r="J497" s="798">
        <f t="shared" si="52"/>
        <v>517.05999999999995</v>
      </c>
      <c r="K497" s="209"/>
      <c r="L497" s="434"/>
      <c r="M497" s="883"/>
      <c r="N497" s="11">
        <v>0</v>
      </c>
      <c r="O497" s="11">
        <v>0</v>
      </c>
      <c r="P497" s="11">
        <v>0</v>
      </c>
      <c r="Q497" s="11">
        <v>0</v>
      </c>
      <c r="R497" s="773">
        <v>0</v>
      </c>
      <c r="S497" s="11">
        <v>0</v>
      </c>
      <c r="T497" s="773">
        <v>0</v>
      </c>
      <c r="U497" s="2173">
        <v>0</v>
      </c>
      <c r="V497" s="2509">
        <v>0</v>
      </c>
      <c r="W497" s="2509">
        <v>0</v>
      </c>
      <c r="X497" s="2509">
        <v>0</v>
      </c>
      <c r="Y497" s="2509">
        <v>0</v>
      </c>
      <c r="Z497" s="11">
        <f>'[26]New TB INC'!Z450</f>
        <v>0</v>
      </c>
      <c r="AA497" s="11">
        <f>'[27]New TB INC'!AA458</f>
        <v>0</v>
      </c>
      <c r="AB497" s="11">
        <f>'[28]New TB INC'!AB465</f>
        <v>0</v>
      </c>
      <c r="AC497" s="11">
        <f>'[29]New TB INC'!AC461</f>
        <v>0</v>
      </c>
      <c r="AD497" s="11">
        <f>'[30]New TB INC'!AD456</f>
        <v>0</v>
      </c>
      <c r="AE497" s="11">
        <f>'[31]New TB INC'!AE463</f>
        <v>0</v>
      </c>
      <c r="AF497" s="11">
        <v>0</v>
      </c>
      <c r="AG497" s="11">
        <v>0</v>
      </c>
      <c r="AH497" s="11">
        <v>0</v>
      </c>
      <c r="AI497" s="11">
        <v>0</v>
      </c>
      <c r="AJ497" s="11">
        <v>0</v>
      </c>
      <c r="AK497" s="11">
        <f>$J497-SUM($Z497:AJ497)</f>
        <v>517.05999999999995</v>
      </c>
      <c r="AW497" s="2509"/>
      <c r="BH497" s="2509"/>
      <c r="BI497" s="772"/>
      <c r="BJ497" s="2173"/>
      <c r="BK497" s="2173"/>
      <c r="BL497" s="773"/>
      <c r="BN497" s="773"/>
      <c r="BO497" s="209"/>
      <c r="BQ497" s="209"/>
      <c r="BR497" s="859"/>
      <c r="BS497" s="885"/>
      <c r="CI497" s="4"/>
      <c r="CJ497" s="4"/>
      <c r="DB497" s="773"/>
      <c r="DC497" s="773"/>
      <c r="DD497" s="773"/>
      <c r="DE497" s="773"/>
      <c r="DF497" s="773"/>
      <c r="DG497" s="773"/>
      <c r="DH497" s="773"/>
      <c r="DI497" s="773"/>
      <c r="DJ497" s="773"/>
      <c r="DK497" s="773"/>
      <c r="DL497" s="773"/>
      <c r="DM497" s="773"/>
      <c r="DN497" s="773"/>
      <c r="DO497" s="773"/>
      <c r="DP497" s="773"/>
      <c r="DQ497" s="773"/>
      <c r="DR497" s="773"/>
      <c r="DS497" s="773"/>
      <c r="DT497" s="773"/>
      <c r="DU497" s="773"/>
      <c r="DV497" s="773"/>
      <c r="DW497" s="773"/>
      <c r="DX497" s="773"/>
      <c r="DY497" s="773"/>
      <c r="DZ497" s="773"/>
      <c r="EA497" s="773"/>
      <c r="EB497" s="773"/>
      <c r="EC497" s="773"/>
      <c r="ED497" s="773"/>
      <c r="EE497" s="773"/>
      <c r="EF497" s="773"/>
      <c r="EG497" s="773"/>
      <c r="EH497" s="773"/>
      <c r="EI497" s="773"/>
      <c r="EJ497" s="773"/>
      <c r="EK497" s="773"/>
      <c r="EL497" s="773"/>
      <c r="EM497" s="773"/>
      <c r="EN497" s="773"/>
      <c r="EO497" s="773"/>
      <c r="EP497" s="773"/>
      <c r="EQ497" s="773"/>
      <c r="ER497" s="773"/>
      <c r="ES497" s="773"/>
      <c r="ET497" s="773"/>
      <c r="EU497" s="773"/>
      <c r="EV497" s="773"/>
      <c r="EW497" s="773"/>
      <c r="EX497" s="773"/>
      <c r="EY497" s="773"/>
      <c r="EZ497" s="773"/>
      <c r="FA497" s="773"/>
      <c r="FB497" s="773"/>
      <c r="FC497" s="773"/>
      <c r="FD497" s="773"/>
      <c r="FE497" s="773"/>
      <c r="FF497" s="773"/>
      <c r="FG497" s="773"/>
      <c r="FH497" s="773"/>
      <c r="FI497" s="773"/>
      <c r="FJ497" s="773"/>
      <c r="FK497" s="773"/>
      <c r="FL497" s="773"/>
      <c r="FM497" s="773"/>
      <c r="FN497" s="773"/>
      <c r="FO497" s="773"/>
      <c r="FP497" s="773"/>
      <c r="FQ497" s="773"/>
      <c r="FR497" s="773"/>
      <c r="FS497" s="773"/>
      <c r="FT497" s="773"/>
      <c r="FU497" s="773"/>
      <c r="FV497" s="773"/>
      <c r="FW497" s="773"/>
      <c r="FX497" s="773"/>
      <c r="FY497" s="773"/>
      <c r="FZ497" s="773"/>
      <c r="GA497" s="773"/>
      <c r="GB497" s="773"/>
      <c r="GC497" s="773"/>
      <c r="GD497" s="773"/>
      <c r="GE497" s="773"/>
      <c r="GF497" s="773"/>
      <c r="GG497" s="773"/>
      <c r="GH497" s="773"/>
      <c r="GI497" s="773"/>
      <c r="GJ497" s="773"/>
      <c r="GK497" s="773"/>
      <c r="GL497" s="773"/>
      <c r="GM497" s="773"/>
      <c r="GN497" s="773"/>
      <c r="GO497" s="773"/>
      <c r="GP497" s="773"/>
      <c r="GQ497" s="773"/>
      <c r="GR497" s="773"/>
      <c r="GS497" s="773"/>
      <c r="GT497" s="773"/>
      <c r="GU497" s="773"/>
      <c r="GV497" s="773"/>
      <c r="GW497" s="773"/>
      <c r="GX497" s="773"/>
      <c r="GY497" s="773"/>
      <c r="GZ497" s="773"/>
    </row>
    <row r="498" spans="1:208" s="11" customFormat="1">
      <c r="A498" s="774"/>
      <c r="B498" s="3762" t="s">
        <v>828</v>
      </c>
      <c r="C498" s="197">
        <v>5100011</v>
      </c>
      <c r="D498" s="199" t="s">
        <v>1974</v>
      </c>
      <c r="E498" s="798">
        <f>IFERROR(VLOOKUP(C498,'AJE 12 - INC'!$D$168:$F$771,3,0),0)</f>
        <v>0</v>
      </c>
      <c r="F498" s="108">
        <f>SUMIF('AJE 12 - INC'!B:B,'New TB INC'!C498,'AJE 12 - INC'!D:D)</f>
        <v>0</v>
      </c>
      <c r="G498" s="108"/>
      <c r="H498" s="108"/>
      <c r="I498" s="108"/>
      <c r="J498" s="798">
        <f t="shared" si="52"/>
        <v>0</v>
      </c>
      <c r="K498" s="209"/>
      <c r="L498" s="434"/>
      <c r="M498" s="883"/>
      <c r="O498" s="11">
        <v>0</v>
      </c>
      <c r="P498" s="11">
        <v>0</v>
      </c>
      <c r="Q498" s="11">
        <v>0</v>
      </c>
      <c r="R498" s="773">
        <v>0</v>
      </c>
      <c r="S498" s="11">
        <v>0</v>
      </c>
      <c r="T498" s="773">
        <v>0</v>
      </c>
      <c r="U498" s="2173">
        <v>0</v>
      </c>
      <c r="V498" s="2509">
        <v>0</v>
      </c>
      <c r="W498" s="2509">
        <v>0</v>
      </c>
      <c r="X498" s="2509">
        <v>0</v>
      </c>
      <c r="Y498" s="2509">
        <v>0</v>
      </c>
      <c r="Z498" s="11">
        <f>'[26]New TB INC'!Z451</f>
        <v>0</v>
      </c>
      <c r="AA498" s="11">
        <f>'[27]New TB INC'!AA459</f>
        <v>0</v>
      </c>
      <c r="AB498" s="11">
        <f>'[28]New TB INC'!AB466</f>
        <v>0</v>
      </c>
      <c r="AC498" s="11">
        <f>'[29]New TB INC'!AC462</f>
        <v>0</v>
      </c>
      <c r="AD498" s="11">
        <f>'[30]New TB INC'!AD457</f>
        <v>0</v>
      </c>
      <c r="AE498" s="11">
        <f>'[31]New TB INC'!AE464</f>
        <v>0</v>
      </c>
      <c r="AF498" s="11">
        <v>0</v>
      </c>
      <c r="AG498" s="11">
        <v>0</v>
      </c>
      <c r="AH498" s="11">
        <v>0</v>
      </c>
      <c r="AI498" s="11">
        <v>0</v>
      </c>
      <c r="AJ498" s="11">
        <v>0</v>
      </c>
      <c r="AK498" s="11">
        <f>$J498-SUM($Z498:AJ498)</f>
        <v>0</v>
      </c>
      <c r="AW498" s="2509"/>
      <c r="BH498" s="2509"/>
      <c r="BI498" s="772"/>
      <c r="BJ498" s="2173"/>
      <c r="BK498" s="2173"/>
      <c r="BL498" s="773"/>
      <c r="BN498" s="773"/>
      <c r="BO498" s="209"/>
      <c r="BQ498" s="209"/>
      <c r="BR498" s="859"/>
      <c r="BS498" s="885"/>
      <c r="CI498" s="4"/>
      <c r="CJ498" s="4"/>
      <c r="DB498" s="773"/>
      <c r="DC498" s="773"/>
      <c r="DD498" s="773"/>
      <c r="DE498" s="773"/>
      <c r="DF498" s="773"/>
      <c r="DG498" s="773"/>
      <c r="DH498" s="773"/>
      <c r="DI498" s="773"/>
      <c r="DJ498" s="773"/>
      <c r="DK498" s="773"/>
      <c r="DL498" s="773"/>
      <c r="DM498" s="773"/>
      <c r="DN498" s="773"/>
      <c r="DO498" s="773"/>
      <c r="DP498" s="773"/>
      <c r="DQ498" s="773"/>
      <c r="DR498" s="773"/>
      <c r="DS498" s="773"/>
      <c r="DT498" s="773"/>
      <c r="DU498" s="773"/>
      <c r="DV498" s="773"/>
      <c r="DW498" s="773"/>
      <c r="DX498" s="773"/>
      <c r="DY498" s="773"/>
      <c r="DZ498" s="773"/>
      <c r="EA498" s="773"/>
      <c r="EB498" s="773"/>
      <c r="EC498" s="773"/>
      <c r="ED498" s="773"/>
      <c r="EE498" s="773"/>
      <c r="EF498" s="773"/>
      <c r="EG498" s="773"/>
      <c r="EH498" s="773"/>
      <c r="EI498" s="773"/>
      <c r="EJ498" s="773"/>
      <c r="EK498" s="773"/>
      <c r="EL498" s="773"/>
      <c r="EM498" s="773"/>
      <c r="EN498" s="773"/>
      <c r="EO498" s="773"/>
      <c r="EP498" s="773"/>
      <c r="EQ498" s="773"/>
      <c r="ER498" s="773"/>
      <c r="ES498" s="773"/>
      <c r="ET498" s="773"/>
      <c r="EU498" s="773"/>
      <c r="EV498" s="773"/>
      <c r="EW498" s="773"/>
      <c r="EX498" s="773"/>
      <c r="EY498" s="773"/>
      <c r="EZ498" s="773"/>
      <c r="FA498" s="773"/>
      <c r="FB498" s="773"/>
      <c r="FC498" s="773"/>
      <c r="FD498" s="773"/>
      <c r="FE498" s="773"/>
      <c r="FF498" s="773"/>
      <c r="FG498" s="773"/>
      <c r="FH498" s="773"/>
      <c r="FI498" s="773"/>
      <c r="FJ498" s="773"/>
      <c r="FK498" s="773"/>
      <c r="FL498" s="773"/>
      <c r="FM498" s="773"/>
      <c r="FN498" s="773"/>
      <c r="FO498" s="773"/>
      <c r="FP498" s="773"/>
      <c r="FQ498" s="773"/>
      <c r="FR498" s="773"/>
      <c r="FS498" s="773"/>
      <c r="FT498" s="773"/>
      <c r="FU498" s="773"/>
      <c r="FV498" s="773"/>
      <c r="FW498" s="773"/>
      <c r="FX498" s="773"/>
      <c r="FY498" s="773"/>
      <c r="FZ498" s="773"/>
      <c r="GA498" s="773"/>
      <c r="GB498" s="773"/>
      <c r="GC498" s="773"/>
      <c r="GD498" s="773"/>
      <c r="GE498" s="773"/>
      <c r="GF498" s="773"/>
      <c r="GG498" s="773"/>
      <c r="GH498" s="773"/>
      <c r="GI498" s="773"/>
      <c r="GJ498" s="773"/>
      <c r="GK498" s="773"/>
      <c r="GL498" s="773"/>
      <c r="GM498" s="773"/>
      <c r="GN498" s="773"/>
      <c r="GO498" s="773"/>
      <c r="GP498" s="773"/>
      <c r="GQ498" s="773"/>
      <c r="GR498" s="773"/>
      <c r="GS498" s="773"/>
      <c r="GT498" s="773"/>
      <c r="GU498" s="773"/>
      <c r="GV498" s="773"/>
      <c r="GW498" s="773"/>
      <c r="GX498" s="773"/>
      <c r="GY498" s="773"/>
      <c r="GZ498" s="773"/>
    </row>
    <row r="499" spans="1:208" s="11" customFormat="1">
      <c r="A499" s="774"/>
      <c r="B499" s="3762" t="s">
        <v>828</v>
      </c>
      <c r="C499" s="197">
        <v>5100012</v>
      </c>
      <c r="D499" s="199" t="s">
        <v>837</v>
      </c>
      <c r="E499" s="798">
        <f>IFERROR(VLOOKUP(C499,'AJE 12 - INC'!$D$168:$F$771,3,0),0)</f>
        <v>2000</v>
      </c>
      <c r="F499" s="108">
        <f>SUMIF('AJE 12 - INC'!B:B,'New TB INC'!C499,'AJE 12 - INC'!D:D)</f>
        <v>0</v>
      </c>
      <c r="G499" s="108"/>
      <c r="H499" s="108"/>
      <c r="I499" s="108"/>
      <c r="J499" s="798">
        <f t="shared" si="52"/>
        <v>2000</v>
      </c>
      <c r="K499" s="209"/>
      <c r="L499" s="434"/>
      <c r="M499" s="883"/>
      <c r="N499" s="11">
        <v>501.13</v>
      </c>
      <c r="O499" s="11">
        <v>472.03</v>
      </c>
      <c r="P499" s="11">
        <v>1366.64</v>
      </c>
      <c r="Q499" s="11">
        <v>246.46000000000004</v>
      </c>
      <c r="R499" s="773">
        <v>757.67999999999961</v>
      </c>
      <c r="S499" s="11">
        <v>110.17000000000007</v>
      </c>
      <c r="T499" s="773">
        <v>977.81000000000017</v>
      </c>
      <c r="U499" s="2173">
        <v>304.10000000000036</v>
      </c>
      <c r="V499" s="2509">
        <v>167</v>
      </c>
      <c r="W499" s="2509">
        <v>0</v>
      </c>
      <c r="X499" s="2509">
        <v>0</v>
      </c>
      <c r="Y499" s="2509">
        <v>0.30999999999949068</v>
      </c>
      <c r="Z499" s="11">
        <f>'[26]New TB INC'!Z452</f>
        <v>375.2</v>
      </c>
      <c r="AA499" s="11">
        <f>'[27]New TB INC'!AA460</f>
        <v>210.41000000000003</v>
      </c>
      <c r="AB499" s="11">
        <f>'[28]New TB INC'!AB467</f>
        <v>867.87</v>
      </c>
      <c r="AC499" s="11">
        <f>'[29]New TB INC'!AC463</f>
        <v>546.52</v>
      </c>
      <c r="AD499" s="11">
        <f>'[30]New TB INC'!AD458</f>
        <v>0</v>
      </c>
      <c r="AE499" s="11">
        <f>'[31]New TB INC'!AE465</f>
        <v>0</v>
      </c>
      <c r="AF499" s="11">
        <v>0</v>
      </c>
      <c r="AG499" s="11">
        <v>0</v>
      </c>
      <c r="AH499" s="11">
        <v>0</v>
      </c>
      <c r="AI499" s="11">
        <v>0</v>
      </c>
      <c r="AJ499" s="11">
        <v>0</v>
      </c>
      <c r="AK499" s="11">
        <f>$J499-SUM($Z499:AJ499)</f>
        <v>0</v>
      </c>
      <c r="AW499" s="2509"/>
      <c r="BH499" s="2509"/>
      <c r="BI499" s="772"/>
      <c r="BJ499" s="2173"/>
      <c r="BK499" s="2173"/>
      <c r="BL499" s="773"/>
      <c r="BN499" s="773"/>
      <c r="BO499" s="209"/>
      <c r="BQ499" s="209"/>
      <c r="BR499" s="859"/>
      <c r="BS499" s="885"/>
      <c r="CI499" s="4"/>
      <c r="CJ499" s="4"/>
      <c r="DB499" s="773"/>
      <c r="DC499" s="773"/>
      <c r="DD499" s="773"/>
      <c r="DE499" s="773"/>
      <c r="DF499" s="773"/>
      <c r="DG499" s="773"/>
      <c r="DH499" s="773"/>
      <c r="DI499" s="773"/>
      <c r="DJ499" s="773"/>
      <c r="DK499" s="773"/>
      <c r="DL499" s="773"/>
      <c r="DM499" s="773"/>
      <c r="DN499" s="773"/>
      <c r="DO499" s="773"/>
      <c r="DP499" s="773"/>
      <c r="DQ499" s="773"/>
      <c r="DR499" s="773"/>
      <c r="DS499" s="773"/>
      <c r="DT499" s="773"/>
      <c r="DU499" s="773"/>
      <c r="DV499" s="773"/>
      <c r="DW499" s="773"/>
      <c r="DX499" s="773"/>
      <c r="DY499" s="773"/>
      <c r="DZ499" s="773"/>
      <c r="EA499" s="773"/>
      <c r="EB499" s="773"/>
      <c r="EC499" s="773"/>
      <c r="ED499" s="773"/>
      <c r="EE499" s="773"/>
      <c r="EF499" s="773"/>
      <c r="EG499" s="773"/>
      <c r="EH499" s="773"/>
      <c r="EI499" s="773"/>
      <c r="EJ499" s="773"/>
      <c r="EK499" s="773"/>
      <c r="EL499" s="773"/>
      <c r="EM499" s="773"/>
      <c r="EN499" s="773"/>
      <c r="EO499" s="773"/>
      <c r="EP499" s="773"/>
      <c r="EQ499" s="773"/>
      <c r="ER499" s="773"/>
      <c r="ES499" s="773"/>
      <c r="ET499" s="773"/>
      <c r="EU499" s="773"/>
      <c r="EV499" s="773"/>
      <c r="EW499" s="773"/>
      <c r="EX499" s="773"/>
      <c r="EY499" s="773"/>
      <c r="EZ499" s="773"/>
      <c r="FA499" s="773"/>
      <c r="FB499" s="773"/>
      <c r="FC499" s="773"/>
      <c r="FD499" s="773"/>
      <c r="FE499" s="773"/>
      <c r="FF499" s="773"/>
      <c r="FG499" s="773"/>
      <c r="FH499" s="773"/>
      <c r="FI499" s="773"/>
      <c r="FJ499" s="773"/>
      <c r="FK499" s="773"/>
      <c r="FL499" s="773"/>
      <c r="FM499" s="773"/>
      <c r="FN499" s="773"/>
      <c r="FO499" s="773"/>
      <c r="FP499" s="773"/>
      <c r="FQ499" s="773"/>
      <c r="FR499" s="773"/>
      <c r="FS499" s="773"/>
      <c r="FT499" s="773"/>
      <c r="FU499" s="773"/>
      <c r="FV499" s="773"/>
      <c r="FW499" s="773"/>
      <c r="FX499" s="773"/>
      <c r="FY499" s="773"/>
      <c r="FZ499" s="773"/>
      <c r="GA499" s="773"/>
      <c r="GB499" s="773"/>
      <c r="GC499" s="773"/>
      <c r="GD499" s="773"/>
      <c r="GE499" s="773"/>
      <c r="GF499" s="773"/>
      <c r="GG499" s="773"/>
      <c r="GH499" s="773"/>
      <c r="GI499" s="773"/>
      <c r="GJ499" s="773"/>
      <c r="GK499" s="773"/>
      <c r="GL499" s="773"/>
      <c r="GM499" s="773"/>
      <c r="GN499" s="773"/>
      <c r="GO499" s="773"/>
      <c r="GP499" s="773"/>
      <c r="GQ499" s="773"/>
      <c r="GR499" s="773"/>
      <c r="GS499" s="773"/>
      <c r="GT499" s="773"/>
      <c r="GU499" s="773"/>
      <c r="GV499" s="773"/>
      <c r="GW499" s="773"/>
      <c r="GX499" s="773"/>
      <c r="GY499" s="773"/>
      <c r="GZ499" s="773"/>
    </row>
    <row r="500" spans="1:208" s="11" customFormat="1">
      <c r="A500" s="774"/>
      <c r="B500" s="3762" t="s">
        <v>828</v>
      </c>
      <c r="C500" s="197">
        <v>5100013</v>
      </c>
      <c r="D500" s="199" t="s">
        <v>838</v>
      </c>
      <c r="E500" s="798">
        <f>IFERROR(VLOOKUP(C500,'AJE 12 - INC'!$D$168:$F$771,3,0),0)</f>
        <v>152558.78</v>
      </c>
      <c r="F500" s="108">
        <f>SUMIF('AJE 12 - INC'!B:B,'New TB INC'!C500,'AJE 12 - INC'!D:D)</f>
        <v>0</v>
      </c>
      <c r="G500" s="108"/>
      <c r="H500" s="108"/>
      <c r="I500" s="108"/>
      <c r="J500" s="798">
        <f t="shared" si="52"/>
        <v>152558.78</v>
      </c>
      <c r="K500" s="209"/>
      <c r="L500" s="434"/>
      <c r="M500" s="883"/>
      <c r="N500" s="11">
        <v>8423.5</v>
      </c>
      <c r="O500" s="11">
        <v>8423.5</v>
      </c>
      <c r="P500" s="11">
        <v>8423.5</v>
      </c>
      <c r="Q500" s="11">
        <v>8423.5</v>
      </c>
      <c r="R500" s="773">
        <v>8423.5</v>
      </c>
      <c r="S500" s="11">
        <v>8423.5</v>
      </c>
      <c r="T500" s="773">
        <v>8423.5</v>
      </c>
      <c r="U500" s="2173">
        <v>8098.2799999999988</v>
      </c>
      <c r="V500" s="2509">
        <v>11350.419999999998</v>
      </c>
      <c r="W500" s="2509">
        <v>9724.3500000000058</v>
      </c>
      <c r="X500" s="2509">
        <v>9724.3499999999913</v>
      </c>
      <c r="Y500" s="2509">
        <v>10163.37000000001</v>
      </c>
      <c r="Z500" s="11">
        <f>'[26]New TB INC'!Z453</f>
        <v>11118.58</v>
      </c>
      <c r="AA500" s="11">
        <f>'[27]New TB INC'!AA461</f>
        <v>11072.210000000001</v>
      </c>
      <c r="AB500" s="11">
        <f>'[28]New TB INC'!AB468</f>
        <v>11678.470000000001</v>
      </c>
      <c r="AC500" s="11">
        <f>'[29]New TB INC'!AC464</f>
        <v>11678.470000000001</v>
      </c>
      <c r="AD500" s="11">
        <f>'[30]New TB INC'!AD459</f>
        <v>11678.469999999994</v>
      </c>
      <c r="AE500" s="11">
        <f>'[31]New TB INC'!AE466</f>
        <v>13618.940000000002</v>
      </c>
      <c r="AF500" s="11">
        <v>13618.940000000002</v>
      </c>
      <c r="AG500" s="11">
        <v>13618.940000000002</v>
      </c>
      <c r="AH500" s="11">
        <v>13618.940000000002</v>
      </c>
      <c r="AI500" s="11">
        <v>13618.939999999988</v>
      </c>
      <c r="AJ500" s="11">
        <v>13618.940000000002</v>
      </c>
      <c r="AK500" s="11">
        <f>$J500-SUM($Z500:AJ500)</f>
        <v>13618.940000000002</v>
      </c>
      <c r="AW500" s="2509"/>
      <c r="BH500" s="2509"/>
      <c r="BI500" s="772"/>
      <c r="BJ500" s="2173"/>
      <c r="BK500" s="2173"/>
      <c r="BL500" s="773"/>
      <c r="BN500" s="773"/>
      <c r="BO500" s="209"/>
      <c r="BQ500" s="209"/>
      <c r="BR500" s="859"/>
      <c r="BS500" s="885"/>
      <c r="CI500" s="4"/>
      <c r="CJ500" s="4"/>
      <c r="DB500" s="773"/>
      <c r="DC500" s="773"/>
      <c r="DD500" s="773"/>
      <c r="DE500" s="773"/>
      <c r="DF500" s="773"/>
      <c r="DG500" s="773"/>
      <c r="DH500" s="773"/>
      <c r="DI500" s="773"/>
      <c r="DJ500" s="773"/>
      <c r="DK500" s="773"/>
      <c r="DL500" s="773"/>
      <c r="DM500" s="773"/>
      <c r="DN500" s="773"/>
      <c r="DO500" s="773"/>
      <c r="DP500" s="773"/>
      <c r="DQ500" s="773"/>
      <c r="DR500" s="773"/>
      <c r="DS500" s="773"/>
      <c r="DT500" s="773"/>
      <c r="DU500" s="773"/>
      <c r="DV500" s="773"/>
      <c r="DW500" s="773"/>
      <c r="DX500" s="773"/>
      <c r="DY500" s="773"/>
      <c r="DZ500" s="773"/>
      <c r="EA500" s="773"/>
      <c r="EB500" s="773"/>
      <c r="EC500" s="773"/>
      <c r="ED500" s="773"/>
      <c r="EE500" s="773"/>
      <c r="EF500" s="773"/>
      <c r="EG500" s="773"/>
      <c r="EH500" s="773"/>
      <c r="EI500" s="773"/>
      <c r="EJ500" s="773"/>
      <c r="EK500" s="773"/>
      <c r="EL500" s="773"/>
      <c r="EM500" s="773"/>
      <c r="EN500" s="773"/>
      <c r="EO500" s="773"/>
      <c r="EP500" s="773"/>
      <c r="EQ500" s="773"/>
      <c r="ER500" s="773"/>
      <c r="ES500" s="773"/>
      <c r="ET500" s="773"/>
      <c r="EU500" s="773"/>
      <c r="EV500" s="773"/>
      <c r="EW500" s="773"/>
      <c r="EX500" s="773"/>
      <c r="EY500" s="773"/>
      <c r="EZ500" s="773"/>
      <c r="FA500" s="773"/>
      <c r="FB500" s="773"/>
      <c r="FC500" s="773"/>
      <c r="FD500" s="773"/>
      <c r="FE500" s="773"/>
      <c r="FF500" s="773"/>
      <c r="FG500" s="773"/>
      <c r="FH500" s="773"/>
      <c r="FI500" s="773"/>
      <c r="FJ500" s="773"/>
      <c r="FK500" s="773"/>
      <c r="FL500" s="773"/>
      <c r="FM500" s="773"/>
      <c r="FN500" s="773"/>
      <c r="FO500" s="773"/>
      <c r="FP500" s="773"/>
      <c r="FQ500" s="773"/>
      <c r="FR500" s="773"/>
      <c r="FS500" s="773"/>
      <c r="FT500" s="773"/>
      <c r="FU500" s="773"/>
      <c r="FV500" s="773"/>
      <c r="FW500" s="773"/>
      <c r="FX500" s="773"/>
      <c r="FY500" s="773"/>
      <c r="FZ500" s="773"/>
      <c r="GA500" s="773"/>
      <c r="GB500" s="773"/>
      <c r="GC500" s="773"/>
      <c r="GD500" s="773"/>
      <c r="GE500" s="773"/>
      <c r="GF500" s="773"/>
      <c r="GG500" s="773"/>
      <c r="GH500" s="773"/>
      <c r="GI500" s="773"/>
      <c r="GJ500" s="773"/>
      <c r="GK500" s="773"/>
      <c r="GL500" s="773"/>
      <c r="GM500" s="773"/>
      <c r="GN500" s="773"/>
      <c r="GO500" s="773"/>
      <c r="GP500" s="773"/>
      <c r="GQ500" s="773"/>
      <c r="GR500" s="773"/>
      <c r="GS500" s="773"/>
      <c r="GT500" s="773"/>
      <c r="GU500" s="773"/>
      <c r="GV500" s="773"/>
      <c r="GW500" s="773"/>
      <c r="GX500" s="773"/>
      <c r="GY500" s="773"/>
      <c r="GZ500" s="773"/>
    </row>
    <row r="501" spans="1:208" s="11" customFormat="1">
      <c r="A501" s="774"/>
      <c r="B501" s="3762" t="s">
        <v>828</v>
      </c>
      <c r="C501" s="197" t="s">
        <v>1238</v>
      </c>
      <c r="D501" s="199" t="s">
        <v>2090</v>
      </c>
      <c r="E501" s="798">
        <f>IFERROR(VLOOKUP(C501,'AJE 12 - INC'!$D$168:$F$771,3,0),0)</f>
        <v>2723.06</v>
      </c>
      <c r="F501" s="108">
        <f>SUMIF('AJE 12 - INC'!B:B,'New TB INC'!C501,'AJE 12 - INC'!D:D)</f>
        <v>0</v>
      </c>
      <c r="G501" s="108"/>
      <c r="H501" s="108"/>
      <c r="I501" s="108"/>
      <c r="J501" s="798">
        <f t="shared" si="52"/>
        <v>2723.06</v>
      </c>
      <c r="K501" s="209"/>
      <c r="L501" s="434"/>
      <c r="M501" s="883"/>
      <c r="N501" s="11">
        <v>162.01</v>
      </c>
      <c r="O501" s="11">
        <v>162.44</v>
      </c>
      <c r="P501" s="11">
        <v>164.18</v>
      </c>
      <c r="Q501" s="11">
        <v>145.77999999999997</v>
      </c>
      <c r="R501" s="773">
        <v>150.48000000000002</v>
      </c>
      <c r="S501" s="11">
        <v>65.680000000000121</v>
      </c>
      <c r="T501" s="773">
        <v>157.30999999999989</v>
      </c>
      <c r="U501" s="2173">
        <v>202.87999999999988</v>
      </c>
      <c r="V501" s="2509">
        <v>203.79999999999995</v>
      </c>
      <c r="W501" s="2509">
        <v>203.79999999999995</v>
      </c>
      <c r="X501" s="2509">
        <v>202.86000000000013</v>
      </c>
      <c r="Y501" s="2509">
        <v>209.71000000000004</v>
      </c>
      <c r="Z501" s="11">
        <f>'[26]New TB INC'!Z454</f>
        <v>213.43</v>
      </c>
      <c r="AA501" s="11">
        <f>'[27]New TB INC'!AA462</f>
        <v>212.37</v>
      </c>
      <c r="AB501" s="11">
        <f>'[28]New TB INC'!AB469</f>
        <v>214.07</v>
      </c>
      <c r="AC501" s="11">
        <f>'[29]New TB INC'!AC465</f>
        <v>213.47000000000003</v>
      </c>
      <c r="AD501" s="11">
        <f>'[30]New TB INC'!AD460</f>
        <v>215.60000000000002</v>
      </c>
      <c r="AE501" s="11">
        <f>'[31]New TB INC'!AE467</f>
        <v>226.61999999999989</v>
      </c>
      <c r="AF501" s="11">
        <v>220.3900000000001</v>
      </c>
      <c r="AG501" s="11">
        <v>243.73000000000002</v>
      </c>
      <c r="AH501" s="11">
        <v>240.22000000000003</v>
      </c>
      <c r="AI501" s="11">
        <v>236.30999999999995</v>
      </c>
      <c r="AJ501" s="11">
        <v>246.86000000000013</v>
      </c>
      <c r="AK501" s="11">
        <f>$J501-SUM($Z501:AJ501)</f>
        <v>239.98999999999978</v>
      </c>
      <c r="AW501" s="2509"/>
      <c r="BH501" s="2509"/>
      <c r="BI501" s="772"/>
      <c r="BJ501" s="2173"/>
      <c r="BK501" s="2173"/>
      <c r="BL501" s="773"/>
      <c r="BN501" s="773"/>
      <c r="BO501" s="209"/>
      <c r="BQ501" s="209"/>
      <c r="BR501" s="859"/>
      <c r="BS501" s="885"/>
      <c r="CI501" s="4"/>
      <c r="CJ501" s="4"/>
      <c r="DB501" s="773"/>
      <c r="DC501" s="773"/>
      <c r="DD501" s="773"/>
      <c r="DE501" s="773"/>
      <c r="DF501" s="773"/>
      <c r="DG501" s="773"/>
      <c r="DH501" s="773"/>
      <c r="DI501" s="773"/>
      <c r="DJ501" s="773"/>
      <c r="DK501" s="773"/>
      <c r="DL501" s="773"/>
      <c r="DM501" s="773"/>
      <c r="DN501" s="773"/>
      <c r="DO501" s="773"/>
      <c r="DP501" s="773"/>
      <c r="DQ501" s="773"/>
      <c r="DR501" s="773"/>
      <c r="DS501" s="773"/>
      <c r="DT501" s="773"/>
      <c r="DU501" s="773"/>
      <c r="DV501" s="773"/>
      <c r="DW501" s="773"/>
      <c r="DX501" s="773"/>
      <c r="DY501" s="773"/>
      <c r="DZ501" s="773"/>
      <c r="EA501" s="773"/>
      <c r="EB501" s="773"/>
      <c r="EC501" s="773"/>
      <c r="ED501" s="773"/>
      <c r="EE501" s="773"/>
      <c r="EF501" s="773"/>
      <c r="EG501" s="773"/>
      <c r="EH501" s="773"/>
      <c r="EI501" s="773"/>
      <c r="EJ501" s="773"/>
      <c r="EK501" s="773"/>
      <c r="EL501" s="773"/>
      <c r="EM501" s="773"/>
      <c r="EN501" s="773"/>
      <c r="EO501" s="773"/>
      <c r="EP501" s="773"/>
      <c r="EQ501" s="773"/>
      <c r="ER501" s="773"/>
      <c r="ES501" s="773"/>
      <c r="ET501" s="773"/>
      <c r="EU501" s="773"/>
      <c r="EV501" s="773"/>
      <c r="EW501" s="773"/>
      <c r="EX501" s="773"/>
      <c r="EY501" s="773"/>
      <c r="EZ501" s="773"/>
      <c r="FA501" s="773"/>
      <c r="FB501" s="773"/>
      <c r="FC501" s="773"/>
      <c r="FD501" s="773"/>
      <c r="FE501" s="773"/>
      <c r="FF501" s="773"/>
      <c r="FG501" s="773"/>
      <c r="FH501" s="773"/>
      <c r="FI501" s="773"/>
      <c r="FJ501" s="773"/>
      <c r="FK501" s="773"/>
      <c r="FL501" s="773"/>
      <c r="FM501" s="773"/>
      <c r="FN501" s="773"/>
      <c r="FO501" s="773"/>
      <c r="FP501" s="773"/>
      <c r="FQ501" s="773"/>
      <c r="FR501" s="773"/>
      <c r="FS501" s="773"/>
      <c r="FT501" s="773"/>
      <c r="FU501" s="773"/>
      <c r="FV501" s="773"/>
      <c r="FW501" s="773"/>
      <c r="FX501" s="773"/>
      <c r="FY501" s="773"/>
      <c r="FZ501" s="773"/>
      <c r="GA501" s="773"/>
      <c r="GB501" s="773"/>
      <c r="GC501" s="773"/>
      <c r="GD501" s="773"/>
      <c r="GE501" s="773"/>
      <c r="GF501" s="773"/>
      <c r="GG501" s="773"/>
      <c r="GH501" s="773"/>
      <c r="GI501" s="773"/>
      <c r="GJ501" s="773"/>
      <c r="GK501" s="773"/>
      <c r="GL501" s="773"/>
      <c r="GM501" s="773"/>
      <c r="GN501" s="773"/>
      <c r="GO501" s="773"/>
      <c r="GP501" s="773"/>
      <c r="GQ501" s="773"/>
      <c r="GR501" s="773"/>
      <c r="GS501" s="773"/>
      <c r="GT501" s="773"/>
      <c r="GU501" s="773"/>
      <c r="GV501" s="773"/>
      <c r="GW501" s="773"/>
      <c r="GX501" s="773"/>
      <c r="GY501" s="773"/>
      <c r="GZ501" s="773"/>
    </row>
    <row r="502" spans="1:208" s="11" customFormat="1">
      <c r="A502" s="774"/>
      <c r="B502" s="3762" t="s">
        <v>828</v>
      </c>
      <c r="C502" s="197">
        <v>5100014</v>
      </c>
      <c r="D502" s="199" t="s">
        <v>839</v>
      </c>
      <c r="E502" s="798">
        <f>IFERROR(VLOOKUP(C502,'AJE 12 - INC'!$D$168:$F$771,3,0),0)</f>
        <v>8476.64</v>
      </c>
      <c r="F502" s="108">
        <f>SUMIF('AJE 12 - INC'!B:B,'New TB INC'!C502,'AJE 12 - INC'!D:D)</f>
        <v>0</v>
      </c>
      <c r="G502" s="108"/>
      <c r="H502" s="108"/>
      <c r="I502" s="108"/>
      <c r="J502" s="798">
        <f t="shared" si="52"/>
        <v>8476.64</v>
      </c>
      <c r="K502" s="209"/>
      <c r="L502" s="434"/>
      <c r="M502" s="883"/>
      <c r="N502" s="11">
        <v>538.73</v>
      </c>
      <c r="O502" s="11">
        <v>538.73</v>
      </c>
      <c r="P502" s="11">
        <v>538.73</v>
      </c>
      <c r="Q502" s="11">
        <v>538.73</v>
      </c>
      <c r="R502" s="773">
        <v>538.73</v>
      </c>
      <c r="S502" s="11">
        <v>538.73</v>
      </c>
      <c r="T502" s="773">
        <v>277.35999999999967</v>
      </c>
      <c r="U502" s="2173">
        <v>538.73</v>
      </c>
      <c r="V502" s="2509">
        <v>679.42999999999984</v>
      </c>
      <c r="W502" s="2509">
        <v>609.07999999999993</v>
      </c>
      <c r="X502" s="2509">
        <v>609.08000000000084</v>
      </c>
      <c r="Y502" s="2509">
        <v>609.07999999999993</v>
      </c>
      <c r="Z502" s="11">
        <f>'[26]New TB INC'!Z455</f>
        <v>646.05999999999995</v>
      </c>
      <c r="AA502" s="11">
        <f>'[27]New TB INC'!AA463</f>
        <v>610.34000000000015</v>
      </c>
      <c r="AB502" s="11">
        <f>'[28]New TB INC'!AB470</f>
        <v>646.05999999999995</v>
      </c>
      <c r="AC502" s="11">
        <f>'[29]New TB INC'!AC466</f>
        <v>646.05999999999995</v>
      </c>
      <c r="AD502" s="11">
        <f>'[30]New TB INC'!AD461</f>
        <v>646.05999999999995</v>
      </c>
      <c r="AE502" s="11">
        <f>'[31]New TB INC'!AE468</f>
        <v>754.57999999999993</v>
      </c>
      <c r="AF502" s="11">
        <v>754.57999999999993</v>
      </c>
      <c r="AG502" s="11">
        <v>754.57999999999993</v>
      </c>
      <c r="AH502" s="11">
        <v>754.57999999999993</v>
      </c>
      <c r="AI502" s="11">
        <v>754.57999999999993</v>
      </c>
      <c r="AJ502" s="11">
        <v>754.58000000000084</v>
      </c>
      <c r="AK502" s="11">
        <f>$J502-SUM($Z502:AJ502)</f>
        <v>754.57999999999902</v>
      </c>
      <c r="AW502" s="2509"/>
      <c r="BH502" s="2509"/>
      <c r="BI502" s="772"/>
      <c r="BJ502" s="2173"/>
      <c r="BK502" s="2173"/>
      <c r="BL502" s="773"/>
      <c r="BM502" s="2165"/>
      <c r="BO502" s="209"/>
      <c r="BP502" s="773"/>
      <c r="BQ502" s="209"/>
      <c r="BR502" s="859"/>
      <c r="BS502" s="885"/>
      <c r="BT502" s="773"/>
      <c r="BU502" s="773"/>
      <c r="BV502" s="773"/>
      <c r="BW502" s="773"/>
      <c r="BX502" s="773"/>
      <c r="BY502" s="773"/>
      <c r="BZ502" s="773"/>
      <c r="CA502" s="773"/>
      <c r="CB502" s="773"/>
      <c r="CC502" s="773"/>
      <c r="CD502" s="773"/>
      <c r="CE502" s="773"/>
      <c r="CF502" s="773"/>
      <c r="CG502" s="773"/>
      <c r="CH502" s="773"/>
      <c r="CI502" s="9"/>
      <c r="CJ502" s="9"/>
      <c r="CK502" s="773"/>
      <c r="CL502" s="773"/>
      <c r="CM502" s="773"/>
      <c r="CN502" s="773"/>
      <c r="CO502" s="773"/>
      <c r="CP502" s="773"/>
      <c r="CQ502" s="773"/>
      <c r="CR502" s="773"/>
      <c r="CS502" s="773"/>
      <c r="CT502" s="773"/>
      <c r="CU502" s="773"/>
      <c r="CV502" s="773"/>
      <c r="CW502" s="773"/>
      <c r="CX502" s="773"/>
      <c r="CY502" s="773"/>
      <c r="CZ502" s="773"/>
      <c r="DA502" s="773"/>
      <c r="DB502" s="773"/>
      <c r="DC502" s="773"/>
      <c r="DD502" s="773"/>
      <c r="DE502" s="773"/>
      <c r="DF502" s="773"/>
      <c r="DG502" s="773"/>
      <c r="DH502" s="773"/>
      <c r="DI502" s="773"/>
      <c r="DJ502" s="773"/>
      <c r="DK502" s="773"/>
      <c r="DL502" s="773"/>
      <c r="DM502" s="773"/>
      <c r="DN502" s="773"/>
      <c r="DO502" s="773"/>
      <c r="DP502" s="773"/>
      <c r="DQ502" s="773"/>
      <c r="DR502" s="773"/>
      <c r="DS502" s="773"/>
      <c r="DT502" s="773"/>
      <c r="DU502" s="773"/>
      <c r="DV502" s="773"/>
      <c r="DW502" s="773"/>
      <c r="DX502" s="773"/>
      <c r="DY502" s="773"/>
      <c r="DZ502" s="773"/>
      <c r="EA502" s="773"/>
      <c r="EB502" s="773"/>
      <c r="EC502" s="773"/>
      <c r="ED502" s="773"/>
      <c r="EE502" s="773"/>
      <c r="EF502" s="773"/>
      <c r="EG502" s="773"/>
      <c r="EH502" s="773"/>
      <c r="EI502" s="773"/>
      <c r="EJ502" s="773"/>
      <c r="EK502" s="773"/>
      <c r="EL502" s="773"/>
      <c r="EM502" s="773"/>
      <c r="EN502" s="773"/>
      <c r="EO502" s="773"/>
      <c r="EP502" s="773"/>
      <c r="EQ502" s="773"/>
      <c r="ER502" s="773"/>
      <c r="ES502" s="773"/>
      <c r="ET502" s="773"/>
      <c r="EU502" s="773"/>
      <c r="EV502" s="773"/>
      <c r="EW502" s="773"/>
      <c r="EX502" s="773"/>
      <c r="EY502" s="773"/>
      <c r="EZ502" s="773"/>
      <c r="FA502" s="773"/>
      <c r="FB502" s="773"/>
      <c r="FC502" s="773"/>
      <c r="FD502" s="773"/>
      <c r="FE502" s="773"/>
      <c r="FF502" s="773"/>
      <c r="FG502" s="773"/>
      <c r="FH502" s="773"/>
      <c r="FI502" s="773"/>
      <c r="FJ502" s="773"/>
      <c r="FK502" s="773"/>
      <c r="FL502" s="773"/>
      <c r="FM502" s="773"/>
      <c r="FN502" s="773"/>
      <c r="FO502" s="773"/>
      <c r="FP502" s="773"/>
      <c r="FQ502" s="773"/>
      <c r="FR502" s="773"/>
      <c r="FS502" s="773"/>
      <c r="FT502" s="773"/>
      <c r="FU502" s="773"/>
      <c r="FV502" s="773"/>
      <c r="FW502" s="773"/>
      <c r="FX502" s="773"/>
      <c r="FY502" s="773"/>
      <c r="FZ502" s="773"/>
      <c r="GA502" s="773"/>
      <c r="GB502" s="773"/>
      <c r="GC502" s="773"/>
      <c r="GD502" s="773"/>
      <c r="GE502" s="773"/>
      <c r="GF502" s="773"/>
      <c r="GG502" s="773"/>
      <c r="GH502" s="773"/>
      <c r="GI502" s="773"/>
      <c r="GJ502" s="773"/>
      <c r="GK502" s="773"/>
      <c r="GL502" s="773"/>
      <c r="GM502" s="773"/>
      <c r="GN502" s="773"/>
      <c r="GO502" s="773"/>
      <c r="GP502" s="773"/>
      <c r="GQ502" s="773"/>
      <c r="GR502" s="773"/>
      <c r="GS502" s="773"/>
      <c r="GT502" s="773"/>
      <c r="GU502" s="773"/>
      <c r="GV502" s="773"/>
      <c r="GW502" s="773"/>
      <c r="GX502" s="773"/>
      <c r="GY502" s="773"/>
      <c r="GZ502" s="773"/>
    </row>
    <row r="503" spans="1:208" s="11" customFormat="1">
      <c r="A503" s="774"/>
      <c r="B503" s="3762" t="s">
        <v>828</v>
      </c>
      <c r="C503" s="197">
        <v>5100015</v>
      </c>
      <c r="D503" s="199" t="s">
        <v>1975</v>
      </c>
      <c r="E503" s="798">
        <f>IFERROR(VLOOKUP(C503,'AJE 12 - INC'!$D$168:$F$771,3,0),0)</f>
        <v>0</v>
      </c>
      <c r="F503" s="108">
        <f>SUMIF('AJE 12 - INC'!B:B,'New TB INC'!C503,'AJE 12 - INC'!D:D)</f>
        <v>0</v>
      </c>
      <c r="G503" s="108"/>
      <c r="H503" s="108"/>
      <c r="I503" s="108"/>
      <c r="J503" s="798">
        <f t="shared" si="52"/>
        <v>0</v>
      </c>
      <c r="K503" s="209"/>
      <c r="L503" s="434"/>
      <c r="M503" s="883"/>
      <c r="N503" s="11">
        <v>0</v>
      </c>
      <c r="O503" s="11">
        <v>0</v>
      </c>
      <c r="P503" s="11">
        <v>0</v>
      </c>
      <c r="Q503" s="11">
        <v>0</v>
      </c>
      <c r="R503" s="773">
        <v>0</v>
      </c>
      <c r="S503" s="11">
        <v>0</v>
      </c>
      <c r="T503" s="773">
        <v>0</v>
      </c>
      <c r="U503" s="2173">
        <v>0</v>
      </c>
      <c r="V503" s="2509">
        <v>0</v>
      </c>
      <c r="W503" s="2509">
        <v>0</v>
      </c>
      <c r="X503" s="2509">
        <v>0</v>
      </c>
      <c r="Y503" s="2509">
        <v>0</v>
      </c>
      <c r="Z503" s="11">
        <f>'[26]New TB INC'!Z456</f>
        <v>0</v>
      </c>
      <c r="AA503" s="11">
        <f>'[27]New TB INC'!AA464</f>
        <v>0</v>
      </c>
      <c r="AB503" s="11">
        <f>'[28]New TB INC'!AB471</f>
        <v>0</v>
      </c>
      <c r="AC503" s="11">
        <f>'[29]New TB INC'!AC467</f>
        <v>0</v>
      </c>
      <c r="AD503" s="11">
        <f>'[30]New TB INC'!AD462</f>
        <v>0</v>
      </c>
      <c r="AE503" s="11">
        <f>'[31]New TB INC'!AE469</f>
        <v>0</v>
      </c>
      <c r="AF503" s="11">
        <v>0</v>
      </c>
      <c r="AG503" s="11">
        <v>0</v>
      </c>
      <c r="AH503" s="11">
        <v>0</v>
      </c>
      <c r="AI503" s="11">
        <v>0</v>
      </c>
      <c r="AJ503" s="11">
        <v>0</v>
      </c>
      <c r="AK503" s="11">
        <f>$J503-SUM($Z503:AJ503)</f>
        <v>0</v>
      </c>
      <c r="AW503" s="2509"/>
      <c r="BH503" s="2509"/>
      <c r="BI503" s="772"/>
      <c r="BJ503" s="2173"/>
      <c r="BK503" s="2173"/>
      <c r="BL503" s="773"/>
      <c r="BM503" s="773"/>
      <c r="BO503" s="209"/>
      <c r="BP503" s="773"/>
      <c r="BQ503" s="209"/>
      <c r="BR503" s="859"/>
      <c r="BS503" s="885"/>
      <c r="BT503" s="773"/>
      <c r="BU503" s="773"/>
      <c r="BV503" s="773"/>
      <c r="BW503" s="773"/>
      <c r="BX503" s="773"/>
      <c r="BY503" s="773"/>
      <c r="BZ503" s="773"/>
      <c r="CA503" s="773"/>
      <c r="CB503" s="773"/>
      <c r="CC503" s="773"/>
      <c r="CD503" s="773"/>
      <c r="CE503" s="773"/>
      <c r="CF503" s="773"/>
      <c r="CG503" s="773"/>
      <c r="CH503" s="773"/>
      <c r="CI503" s="9"/>
      <c r="CJ503" s="9"/>
      <c r="CK503" s="773"/>
      <c r="CL503" s="773"/>
      <c r="CM503" s="773"/>
      <c r="CN503" s="773"/>
      <c r="CO503" s="773"/>
      <c r="CP503" s="773"/>
      <c r="CQ503" s="773"/>
      <c r="CR503" s="773"/>
      <c r="CS503" s="773"/>
      <c r="CT503" s="773"/>
      <c r="CU503" s="773"/>
      <c r="CV503" s="773"/>
      <c r="CW503" s="773"/>
      <c r="CX503" s="773"/>
      <c r="CY503" s="773"/>
      <c r="CZ503" s="773"/>
      <c r="DA503" s="773"/>
      <c r="DB503" s="773"/>
      <c r="DC503" s="773"/>
      <c r="DD503" s="773"/>
      <c r="DE503" s="773"/>
      <c r="DF503" s="773"/>
      <c r="DG503" s="773"/>
      <c r="DH503" s="773"/>
      <c r="DI503" s="773"/>
      <c r="DJ503" s="773"/>
      <c r="DK503" s="773"/>
      <c r="DL503" s="773"/>
      <c r="DM503" s="773"/>
      <c r="DN503" s="773"/>
      <c r="DO503" s="773"/>
      <c r="DP503" s="773"/>
      <c r="DQ503" s="773"/>
      <c r="DR503" s="773"/>
      <c r="DS503" s="773"/>
      <c r="DT503" s="773"/>
      <c r="DU503" s="773"/>
      <c r="DV503" s="773"/>
      <c r="DW503" s="773"/>
      <c r="DX503" s="773"/>
      <c r="DY503" s="773"/>
      <c r="DZ503" s="773"/>
      <c r="EA503" s="773"/>
      <c r="EB503" s="773"/>
      <c r="EC503" s="773"/>
      <c r="ED503" s="773"/>
      <c r="EE503" s="773"/>
      <c r="EF503" s="773"/>
      <c r="EG503" s="773"/>
      <c r="EH503" s="773"/>
      <c r="EI503" s="773"/>
      <c r="EJ503" s="773"/>
      <c r="EK503" s="773"/>
      <c r="EL503" s="773"/>
      <c r="EM503" s="773"/>
      <c r="EN503" s="773"/>
      <c r="EO503" s="773"/>
      <c r="EP503" s="773"/>
      <c r="EQ503" s="773"/>
      <c r="ER503" s="773"/>
      <c r="ES503" s="773"/>
      <c r="ET503" s="773"/>
      <c r="EU503" s="773"/>
      <c r="EV503" s="773"/>
      <c r="EW503" s="773"/>
      <c r="EX503" s="773"/>
      <c r="EY503" s="773"/>
      <c r="EZ503" s="773"/>
      <c r="FA503" s="773"/>
      <c r="FB503" s="773"/>
      <c r="FC503" s="773"/>
      <c r="FD503" s="773"/>
      <c r="FE503" s="773"/>
      <c r="FF503" s="773"/>
      <c r="FG503" s="773"/>
      <c r="FH503" s="773"/>
      <c r="FI503" s="773"/>
      <c r="FJ503" s="773"/>
      <c r="FK503" s="773"/>
      <c r="FL503" s="773"/>
      <c r="FM503" s="773"/>
      <c r="FN503" s="773"/>
      <c r="FO503" s="773"/>
      <c r="FP503" s="773"/>
      <c r="FQ503" s="773"/>
      <c r="FR503" s="773"/>
      <c r="FS503" s="773"/>
      <c r="FT503" s="773"/>
      <c r="FU503" s="773"/>
      <c r="FV503" s="773"/>
      <c r="FW503" s="773"/>
      <c r="FX503" s="773"/>
      <c r="FY503" s="773"/>
      <c r="FZ503" s="773"/>
      <c r="GA503" s="773"/>
      <c r="GB503" s="773"/>
      <c r="GC503" s="773"/>
      <c r="GD503" s="773"/>
      <c r="GE503" s="773"/>
      <c r="GF503" s="773"/>
      <c r="GG503" s="773"/>
      <c r="GH503" s="773"/>
      <c r="GI503" s="773"/>
      <c r="GJ503" s="773"/>
      <c r="GK503" s="773"/>
      <c r="GL503" s="773"/>
      <c r="GM503" s="773"/>
      <c r="GN503" s="773"/>
      <c r="GO503" s="773"/>
      <c r="GP503" s="773"/>
      <c r="GQ503" s="773"/>
      <c r="GR503" s="773"/>
      <c r="GS503" s="773"/>
      <c r="GT503" s="773"/>
      <c r="GU503" s="773"/>
      <c r="GV503" s="773"/>
      <c r="GW503" s="773"/>
      <c r="GX503" s="773"/>
      <c r="GY503" s="773"/>
      <c r="GZ503" s="773"/>
    </row>
    <row r="504" spans="1:208" s="11" customFormat="1">
      <c r="A504" s="774"/>
      <c r="B504" s="3762" t="s">
        <v>828</v>
      </c>
      <c r="C504" s="197">
        <v>5100018</v>
      </c>
      <c r="D504" s="199" t="s">
        <v>840</v>
      </c>
      <c r="E504" s="798">
        <f>IFERROR(VLOOKUP(C504,'AJE 12 - INC'!$D$168:$F$771,3,0),0)</f>
        <v>0</v>
      </c>
      <c r="F504" s="108">
        <f>SUMIF('AJE 12 - INC'!B:B,'New TB INC'!C504,'AJE 12 - INC'!D:D)</f>
        <v>0</v>
      </c>
      <c r="G504" s="108"/>
      <c r="H504" s="108"/>
      <c r="I504" s="108"/>
      <c r="J504" s="798">
        <f t="shared" si="52"/>
        <v>0</v>
      </c>
      <c r="K504" s="209"/>
      <c r="L504" s="434"/>
      <c r="M504" s="883"/>
      <c r="N504" s="11">
        <v>0</v>
      </c>
      <c r="O504" s="11">
        <v>0</v>
      </c>
      <c r="P504" s="11">
        <v>0</v>
      </c>
      <c r="Q504" s="11">
        <v>0</v>
      </c>
      <c r="R504" s="773">
        <v>0</v>
      </c>
      <c r="S504" s="11">
        <v>0</v>
      </c>
      <c r="T504" s="773">
        <v>0</v>
      </c>
      <c r="U504" s="2173">
        <v>0</v>
      </c>
      <c r="V504" s="2509">
        <v>0</v>
      </c>
      <c r="W504" s="2509">
        <v>0</v>
      </c>
      <c r="X504" s="2509">
        <v>0</v>
      </c>
      <c r="Y504" s="2509">
        <v>0</v>
      </c>
      <c r="Z504" s="11">
        <f>'[26]New TB INC'!Z457</f>
        <v>0</v>
      </c>
      <c r="AA504" s="11">
        <f>'[27]New TB INC'!AA465</f>
        <v>0</v>
      </c>
      <c r="AB504" s="11">
        <f>'[28]New TB INC'!AB472</f>
        <v>0</v>
      </c>
      <c r="AC504" s="11">
        <f>'[29]New TB INC'!AC468</f>
        <v>0</v>
      </c>
      <c r="AD504" s="11">
        <f>'[30]New TB INC'!AD463</f>
        <v>0</v>
      </c>
      <c r="AE504" s="11">
        <f>'[31]New TB INC'!AE470</f>
        <v>0</v>
      </c>
      <c r="AF504" s="11">
        <v>0</v>
      </c>
      <c r="AG504" s="11">
        <v>0</v>
      </c>
      <c r="AH504" s="11">
        <v>0</v>
      </c>
      <c r="AI504" s="11">
        <v>0</v>
      </c>
      <c r="AJ504" s="11">
        <v>0</v>
      </c>
      <c r="AK504" s="11">
        <f>$J504-SUM($Z504:AJ504)</f>
        <v>0</v>
      </c>
      <c r="AW504" s="2509"/>
      <c r="BH504" s="2509"/>
      <c r="BI504" s="772"/>
      <c r="BJ504" s="2173"/>
      <c r="BK504" s="2173"/>
      <c r="BL504" s="773"/>
      <c r="BM504" s="773"/>
      <c r="BO504" s="209"/>
      <c r="BP504" s="773"/>
      <c r="BQ504" s="209"/>
      <c r="BR504" s="859"/>
      <c r="BS504" s="885"/>
      <c r="BT504" s="773"/>
      <c r="BU504" s="773"/>
      <c r="BV504" s="773"/>
      <c r="BW504" s="773"/>
      <c r="BX504" s="773"/>
      <c r="BY504" s="773"/>
      <c r="BZ504" s="773"/>
      <c r="CA504" s="773"/>
      <c r="CB504" s="773"/>
      <c r="CC504" s="773"/>
      <c r="CD504" s="773"/>
      <c r="CE504" s="773"/>
      <c r="CF504" s="773"/>
      <c r="CG504" s="773"/>
      <c r="CH504" s="773"/>
      <c r="CI504" s="9"/>
      <c r="CJ504" s="9"/>
      <c r="CK504" s="773"/>
      <c r="CL504" s="773"/>
      <c r="CM504" s="773"/>
      <c r="CN504" s="773"/>
      <c r="CO504" s="773"/>
      <c r="CP504" s="773"/>
      <c r="CQ504" s="773"/>
      <c r="CR504" s="773"/>
      <c r="CS504" s="773"/>
      <c r="CT504" s="773"/>
      <c r="CU504" s="773"/>
      <c r="CV504" s="773"/>
      <c r="CW504" s="773"/>
      <c r="CX504" s="773"/>
      <c r="CY504" s="773"/>
      <c r="CZ504" s="773"/>
      <c r="DA504" s="773"/>
      <c r="DB504" s="773"/>
      <c r="DC504" s="773"/>
      <c r="DD504" s="773"/>
      <c r="DE504" s="773"/>
      <c r="DF504" s="773"/>
      <c r="DG504" s="773"/>
      <c r="DH504" s="773"/>
      <c r="DI504" s="773"/>
      <c r="DJ504" s="773"/>
      <c r="DK504" s="773"/>
      <c r="DL504" s="773"/>
      <c r="DM504" s="773"/>
      <c r="DN504" s="773"/>
      <c r="DO504" s="773"/>
      <c r="DP504" s="773"/>
      <c r="DQ504" s="773"/>
      <c r="DR504" s="773"/>
      <c r="DS504" s="773"/>
      <c r="DT504" s="773"/>
      <c r="DU504" s="773"/>
      <c r="DV504" s="773"/>
      <c r="DW504" s="773"/>
      <c r="DX504" s="773"/>
      <c r="DY504" s="773"/>
      <c r="DZ504" s="773"/>
      <c r="EA504" s="773"/>
      <c r="EB504" s="773"/>
      <c r="EC504" s="773"/>
      <c r="ED504" s="773"/>
      <c r="EE504" s="773"/>
      <c r="EF504" s="773"/>
      <c r="EG504" s="773"/>
      <c r="EH504" s="773"/>
      <c r="EI504" s="773"/>
      <c r="EJ504" s="773"/>
      <c r="EK504" s="773"/>
      <c r="EL504" s="773"/>
      <c r="EM504" s="773"/>
      <c r="EN504" s="773"/>
      <c r="EO504" s="773"/>
      <c r="EP504" s="773"/>
      <c r="EQ504" s="773"/>
      <c r="ER504" s="773"/>
      <c r="ES504" s="773"/>
      <c r="ET504" s="773"/>
      <c r="EU504" s="773"/>
      <c r="EV504" s="773"/>
      <c r="EW504" s="773"/>
      <c r="EX504" s="773"/>
      <c r="EY504" s="773"/>
      <c r="EZ504" s="773"/>
      <c r="FA504" s="773"/>
      <c r="FB504" s="773"/>
      <c r="FC504" s="773"/>
      <c r="FD504" s="773"/>
      <c r="FE504" s="773"/>
      <c r="FF504" s="773"/>
      <c r="FG504" s="773"/>
      <c r="FH504" s="773"/>
      <c r="FI504" s="773"/>
      <c r="FJ504" s="773"/>
      <c r="FK504" s="773"/>
      <c r="FL504" s="773"/>
      <c r="FM504" s="773"/>
      <c r="FN504" s="773"/>
      <c r="FO504" s="773"/>
      <c r="FP504" s="773"/>
      <c r="FQ504" s="773"/>
      <c r="FR504" s="773"/>
      <c r="FS504" s="773"/>
      <c r="FT504" s="773"/>
      <c r="FU504" s="773"/>
      <c r="FV504" s="773"/>
      <c r="FW504" s="773"/>
      <c r="FX504" s="773"/>
      <c r="FY504" s="773"/>
      <c r="FZ504" s="773"/>
      <c r="GA504" s="773"/>
      <c r="GB504" s="773"/>
      <c r="GC504" s="773"/>
      <c r="GD504" s="773"/>
      <c r="GE504" s="773"/>
      <c r="GF504" s="773"/>
      <c r="GG504" s="773"/>
      <c r="GH504" s="773"/>
      <c r="GI504" s="773"/>
      <c r="GJ504" s="773"/>
      <c r="GK504" s="773"/>
      <c r="GL504" s="773"/>
      <c r="GM504" s="773"/>
      <c r="GN504" s="773"/>
      <c r="GO504" s="773"/>
      <c r="GP504" s="773"/>
      <c r="GQ504" s="773"/>
      <c r="GR504" s="773"/>
      <c r="GS504" s="773"/>
      <c r="GT504" s="773"/>
      <c r="GU504" s="773"/>
      <c r="GV504" s="773"/>
      <c r="GW504" s="773"/>
      <c r="GX504" s="773"/>
      <c r="GY504" s="773"/>
      <c r="GZ504" s="773"/>
    </row>
    <row r="505" spans="1:208" s="11" customFormat="1">
      <c r="A505" s="774"/>
      <c r="B505" s="3762" t="s">
        <v>828</v>
      </c>
      <c r="C505" s="197">
        <v>5100020</v>
      </c>
      <c r="D505" s="199" t="s">
        <v>841</v>
      </c>
      <c r="E505" s="798">
        <f>IFERROR(VLOOKUP(C505,'AJE 12 - INC'!$D$168:$F$771,3,0),0)</f>
        <v>21113</v>
      </c>
      <c r="F505" s="108">
        <f>SUMIF('AJE 12 - INC'!B:B,'New TB INC'!C505,'AJE 12 - INC'!D:D)</f>
        <v>0</v>
      </c>
      <c r="G505" s="108"/>
      <c r="H505" s="108"/>
      <c r="I505" s="108"/>
      <c r="J505" s="798">
        <f t="shared" si="52"/>
        <v>21113</v>
      </c>
      <c r="K505" s="209"/>
      <c r="L505" s="434"/>
      <c r="M505" s="881"/>
      <c r="N505" s="11">
        <v>0</v>
      </c>
      <c r="O505" s="11">
        <v>0</v>
      </c>
      <c r="P505" s="11">
        <v>0</v>
      </c>
      <c r="Q505" s="11">
        <v>0</v>
      </c>
      <c r="R505" s="773">
        <v>0</v>
      </c>
      <c r="S505" s="11">
        <v>0</v>
      </c>
      <c r="T505" s="773">
        <v>0</v>
      </c>
      <c r="U505" s="2173">
        <v>0</v>
      </c>
      <c r="V505" s="2509">
        <v>0</v>
      </c>
      <c r="W505" s="2509">
        <v>0</v>
      </c>
      <c r="X505" s="2509">
        <v>0</v>
      </c>
      <c r="Y505" s="2509">
        <v>0</v>
      </c>
      <c r="Z505" s="11">
        <f>'[26]New TB INC'!Z458</f>
        <v>113</v>
      </c>
      <c r="AA505" s="11">
        <f>'[27]New TB INC'!AA466</f>
        <v>0</v>
      </c>
      <c r="AB505" s="11">
        <f>'[28]New TB INC'!AB473</f>
        <v>0</v>
      </c>
      <c r="AC505" s="11">
        <f>'[29]New TB INC'!AC469</f>
        <v>21000</v>
      </c>
      <c r="AD505" s="11">
        <f>'[30]New TB INC'!AD464</f>
        <v>0</v>
      </c>
      <c r="AE505" s="11">
        <f>'[31]New TB INC'!AE471</f>
        <v>0</v>
      </c>
      <c r="AF505" s="11">
        <v>0</v>
      </c>
      <c r="AG505" s="11">
        <v>0</v>
      </c>
      <c r="AH505" s="11">
        <v>0</v>
      </c>
      <c r="AI505" s="11">
        <v>0</v>
      </c>
      <c r="AJ505" s="11">
        <v>0</v>
      </c>
      <c r="AK505" s="11">
        <f>$J505-SUM($Z505:AJ505)</f>
        <v>0</v>
      </c>
      <c r="AW505" s="2509"/>
      <c r="BH505" s="2509"/>
      <c r="BI505" s="772"/>
      <c r="BJ505" s="2173"/>
      <c r="BK505" s="2173"/>
      <c r="BL505" s="773"/>
      <c r="BM505" s="773"/>
      <c r="BO505" s="209"/>
      <c r="BP505" s="773"/>
      <c r="BQ505" s="209"/>
      <c r="BR505" s="859"/>
      <c r="BS505" s="885"/>
      <c r="BT505" s="773"/>
      <c r="BU505" s="773"/>
      <c r="BV505" s="773"/>
      <c r="BW505" s="773"/>
      <c r="BX505" s="773"/>
      <c r="BY505" s="773"/>
      <c r="BZ505" s="773"/>
      <c r="CA505" s="773"/>
      <c r="CB505" s="773"/>
      <c r="CC505" s="773"/>
      <c r="CD505" s="773"/>
      <c r="CE505" s="773"/>
      <c r="CF505" s="773"/>
      <c r="CG505" s="773"/>
      <c r="CH505" s="773"/>
      <c r="CI505" s="9"/>
      <c r="CJ505" s="9"/>
      <c r="CK505" s="773"/>
      <c r="CL505" s="773"/>
      <c r="CM505" s="773"/>
      <c r="CN505" s="773"/>
      <c r="CO505" s="773"/>
      <c r="CP505" s="773"/>
      <c r="CQ505" s="773"/>
      <c r="CR505" s="773"/>
      <c r="CS505" s="773"/>
      <c r="CT505" s="773"/>
      <c r="CU505" s="773"/>
      <c r="CV505" s="773"/>
      <c r="CW505" s="773"/>
      <c r="CX505" s="773"/>
      <c r="CY505" s="773"/>
      <c r="CZ505" s="773"/>
      <c r="DA505" s="773"/>
      <c r="DB505" s="773"/>
      <c r="DC505" s="773"/>
      <c r="DD505" s="773"/>
      <c r="DE505" s="773"/>
      <c r="DF505" s="773"/>
      <c r="DG505" s="773"/>
      <c r="DH505" s="773"/>
      <c r="DI505" s="773"/>
      <c r="DJ505" s="773"/>
      <c r="DK505" s="773"/>
      <c r="DL505" s="773"/>
      <c r="DM505" s="773"/>
      <c r="DN505" s="773"/>
      <c r="DO505" s="773"/>
      <c r="DP505" s="773"/>
      <c r="DQ505" s="773"/>
      <c r="DR505" s="773"/>
      <c r="DS505" s="773"/>
      <c r="DT505" s="773"/>
      <c r="DU505" s="773"/>
      <c r="DV505" s="773"/>
      <c r="DW505" s="773"/>
      <c r="DX505" s="773"/>
      <c r="DY505" s="773"/>
      <c r="DZ505" s="773"/>
      <c r="EA505" s="773"/>
      <c r="EB505" s="773"/>
      <c r="EC505" s="773"/>
      <c r="ED505" s="773"/>
      <c r="EE505" s="773"/>
      <c r="EF505" s="773"/>
      <c r="EG505" s="773"/>
      <c r="EH505" s="773"/>
      <c r="EI505" s="773"/>
      <c r="EJ505" s="773"/>
      <c r="EK505" s="773"/>
      <c r="EL505" s="773"/>
      <c r="EM505" s="773"/>
      <c r="EN505" s="773"/>
      <c r="EO505" s="773"/>
      <c r="EP505" s="773"/>
      <c r="EQ505" s="773"/>
      <c r="ER505" s="773"/>
      <c r="ES505" s="773"/>
      <c r="ET505" s="773"/>
      <c r="EU505" s="773"/>
      <c r="EV505" s="773"/>
      <c r="EW505" s="773"/>
      <c r="EX505" s="773"/>
      <c r="EY505" s="773"/>
      <c r="EZ505" s="773"/>
      <c r="FA505" s="773"/>
      <c r="FB505" s="773"/>
      <c r="FC505" s="773"/>
      <c r="FD505" s="773"/>
      <c r="FE505" s="773"/>
      <c r="FF505" s="773"/>
      <c r="FG505" s="773"/>
      <c r="FH505" s="773"/>
      <c r="FI505" s="773"/>
      <c r="FJ505" s="773"/>
      <c r="FK505" s="773"/>
      <c r="FL505" s="773"/>
      <c r="FM505" s="773"/>
      <c r="FN505" s="773"/>
      <c r="FO505" s="773"/>
      <c r="FP505" s="773"/>
      <c r="FQ505" s="773"/>
      <c r="FR505" s="773"/>
      <c r="FS505" s="773"/>
      <c r="FT505" s="773"/>
      <c r="FU505" s="773"/>
      <c r="FV505" s="773"/>
      <c r="FW505" s="773"/>
      <c r="FX505" s="773"/>
      <c r="FY505" s="773"/>
      <c r="FZ505" s="773"/>
      <c r="GA505" s="773"/>
      <c r="GB505" s="773"/>
      <c r="GC505" s="773"/>
      <c r="GD505" s="773"/>
      <c r="GE505" s="773"/>
      <c r="GF505" s="773"/>
      <c r="GG505" s="773"/>
      <c r="GH505" s="773"/>
      <c r="GI505" s="773"/>
      <c r="GJ505" s="773"/>
      <c r="GK505" s="773"/>
      <c r="GL505" s="773"/>
      <c r="GM505" s="773"/>
      <c r="GN505" s="773"/>
      <c r="GO505" s="773"/>
      <c r="GP505" s="773"/>
      <c r="GQ505" s="773"/>
      <c r="GR505" s="773"/>
      <c r="GS505" s="773"/>
      <c r="GT505" s="773"/>
      <c r="GU505" s="773"/>
      <c r="GV505" s="773"/>
      <c r="GW505" s="773"/>
      <c r="GX505" s="773"/>
      <c r="GY505" s="773"/>
      <c r="GZ505" s="773"/>
    </row>
    <row r="506" spans="1:208" s="887" customFormat="1">
      <c r="A506" s="774"/>
      <c r="B506" s="3762" t="s">
        <v>1352</v>
      </c>
      <c r="C506" s="197">
        <v>5100019</v>
      </c>
      <c r="D506" s="199" t="s">
        <v>1245</v>
      </c>
      <c r="E506" s="798">
        <f>IFERROR(VLOOKUP(C506,'AJE 12 - INC'!$D$168:$F$771,3,0),0)</f>
        <v>29978.66</v>
      </c>
      <c r="F506" s="108">
        <f>SUMIF('AJE 12 - INC'!B:B,'New TB INC'!C506,'AJE 12 - INC'!D:D)</f>
        <v>0</v>
      </c>
      <c r="G506" s="108"/>
      <c r="H506" s="108"/>
      <c r="I506" s="108"/>
      <c r="J506" s="798">
        <f t="shared" si="52"/>
        <v>29978.66</v>
      </c>
      <c r="K506" s="209"/>
      <c r="L506" s="449"/>
      <c r="M506" s="883"/>
      <c r="N506" s="773">
        <v>0</v>
      </c>
      <c r="O506" s="773">
        <v>0</v>
      </c>
      <c r="P506" s="773">
        <v>3695.6007233939463</v>
      </c>
      <c r="Q506" s="773">
        <v>0</v>
      </c>
      <c r="R506" s="773">
        <v>0.39927660605371784</v>
      </c>
      <c r="S506" s="773">
        <v>3911</v>
      </c>
      <c r="T506" s="773">
        <v>320</v>
      </c>
      <c r="U506" s="2173">
        <v>0</v>
      </c>
      <c r="V506" s="2509">
        <v>3413.2700000000004</v>
      </c>
      <c r="W506" s="2509">
        <v>0</v>
      </c>
      <c r="X506" s="2509">
        <v>0</v>
      </c>
      <c r="Y506" s="2509">
        <v>4151.59</v>
      </c>
      <c r="Z506" s="11">
        <f>'[26]New TB INC'!Z459</f>
        <v>0</v>
      </c>
      <c r="AA506" s="11">
        <f>'[27]New TB INC'!AA467</f>
        <v>0</v>
      </c>
      <c r="AB506" s="11">
        <f>'[28]New TB INC'!AB474</f>
        <v>5604.93</v>
      </c>
      <c r="AC506" s="11">
        <f>'[29]New TB INC'!AC470</f>
        <v>0</v>
      </c>
      <c r="AD506" s="11">
        <f>'[30]New TB INC'!AD465</f>
        <v>0</v>
      </c>
      <c r="AE506" s="11">
        <f>'[31]New TB INC'!AE472</f>
        <v>8380.0299999999988</v>
      </c>
      <c r="AF506" s="11">
        <v>0</v>
      </c>
      <c r="AG506" s="11">
        <v>0</v>
      </c>
      <c r="AH506" s="11">
        <v>8637.86</v>
      </c>
      <c r="AI506" s="11">
        <v>0</v>
      </c>
      <c r="AJ506" s="11">
        <v>0</v>
      </c>
      <c r="AK506" s="11">
        <f>$J506-SUM($Z506:AJ506)</f>
        <v>7355.84</v>
      </c>
      <c r="AL506" s="11"/>
      <c r="AM506" s="11"/>
      <c r="AN506" s="11"/>
      <c r="AO506" s="11"/>
      <c r="AP506" s="11"/>
      <c r="AQ506" s="11"/>
      <c r="AR506" s="11"/>
      <c r="AS506" s="11"/>
      <c r="AT506" s="11"/>
      <c r="AU506" s="11"/>
      <c r="AV506" s="773"/>
      <c r="AW506" s="2509"/>
      <c r="BH506" s="2509"/>
      <c r="BI506" s="772"/>
      <c r="BJ506" s="2173"/>
      <c r="BK506" s="2173"/>
      <c r="BL506" s="773"/>
      <c r="BM506" s="773"/>
      <c r="BN506" s="11"/>
      <c r="BO506" s="209"/>
      <c r="BP506" s="773"/>
      <c r="BQ506" s="209"/>
      <c r="BR506" s="859"/>
      <c r="BS506" s="885"/>
      <c r="BT506" s="773"/>
      <c r="BU506" s="773"/>
      <c r="BV506" s="773"/>
      <c r="BW506" s="773"/>
      <c r="BX506" s="773"/>
      <c r="BY506" s="773"/>
      <c r="BZ506" s="773"/>
      <c r="CA506" s="773"/>
      <c r="CB506" s="773"/>
      <c r="CC506" s="773"/>
      <c r="CD506" s="773"/>
      <c r="CE506" s="773"/>
      <c r="CF506" s="773"/>
      <c r="CG506" s="773"/>
      <c r="CH506" s="773"/>
      <c r="CI506" s="9"/>
      <c r="CJ506" s="9"/>
      <c r="CK506" s="773"/>
      <c r="CL506" s="773"/>
      <c r="CM506" s="773"/>
      <c r="CN506" s="773"/>
      <c r="CO506" s="773"/>
      <c r="CP506" s="773"/>
      <c r="CQ506" s="773"/>
      <c r="CR506" s="773"/>
      <c r="CS506" s="773"/>
      <c r="CT506" s="773"/>
      <c r="CU506" s="773"/>
      <c r="CV506" s="773"/>
      <c r="CW506" s="773"/>
      <c r="CX506" s="773"/>
      <c r="CY506" s="773"/>
      <c r="CZ506" s="773"/>
      <c r="DA506" s="773"/>
      <c r="DB506" s="773"/>
      <c r="DC506" s="773"/>
      <c r="DD506" s="773"/>
      <c r="DE506" s="773"/>
      <c r="DF506" s="773"/>
      <c r="DG506" s="773"/>
      <c r="DH506" s="773"/>
      <c r="DI506" s="773"/>
      <c r="DJ506" s="773"/>
      <c r="DK506" s="773"/>
      <c r="DL506" s="773"/>
      <c r="DM506" s="773"/>
      <c r="DN506" s="773"/>
      <c r="DO506" s="773"/>
      <c r="DP506" s="773"/>
      <c r="DQ506" s="773"/>
      <c r="DR506" s="773"/>
      <c r="DS506" s="773"/>
      <c r="DT506" s="773"/>
      <c r="DU506" s="773"/>
      <c r="DV506" s="773"/>
      <c r="DW506" s="773"/>
      <c r="DX506" s="773"/>
      <c r="DY506" s="773"/>
      <c r="DZ506" s="773"/>
      <c r="EA506" s="773"/>
      <c r="EB506" s="773"/>
      <c r="EC506" s="773"/>
      <c r="ED506" s="773"/>
      <c r="EE506" s="773"/>
      <c r="EF506" s="773"/>
      <c r="EG506" s="773"/>
      <c r="EH506" s="773"/>
      <c r="EI506" s="773"/>
      <c r="EJ506" s="773"/>
      <c r="EK506" s="773"/>
      <c r="EL506" s="773"/>
      <c r="EM506" s="773"/>
      <c r="EN506" s="773"/>
      <c r="EO506" s="773"/>
      <c r="EP506" s="773"/>
      <c r="EQ506" s="773"/>
      <c r="ER506" s="773"/>
      <c r="ES506" s="773"/>
      <c r="ET506" s="773"/>
      <c r="EU506" s="773"/>
      <c r="EV506" s="773"/>
      <c r="EW506" s="773"/>
      <c r="EX506" s="773"/>
      <c r="EY506" s="773"/>
      <c r="EZ506" s="773"/>
      <c r="FA506" s="773"/>
      <c r="FB506" s="773"/>
      <c r="FC506" s="773"/>
      <c r="FD506" s="773"/>
      <c r="FE506" s="773"/>
      <c r="FF506" s="773"/>
      <c r="FG506" s="773"/>
      <c r="FH506" s="773"/>
      <c r="FI506" s="773"/>
      <c r="FJ506" s="773"/>
      <c r="FK506" s="773"/>
      <c r="FL506" s="773"/>
      <c r="FM506" s="773"/>
      <c r="FN506" s="773"/>
      <c r="FO506" s="773"/>
      <c r="FP506" s="773"/>
      <c r="FQ506" s="773"/>
      <c r="FR506" s="773"/>
      <c r="FS506" s="773"/>
      <c r="FT506" s="773"/>
      <c r="FU506" s="773"/>
      <c r="FV506" s="773"/>
      <c r="FW506" s="773"/>
      <c r="FX506" s="773"/>
      <c r="FY506" s="773"/>
      <c r="FZ506" s="773"/>
      <c r="GA506" s="773"/>
      <c r="GB506" s="773"/>
      <c r="GC506" s="773"/>
      <c r="GD506" s="773"/>
      <c r="GE506" s="773"/>
      <c r="GF506" s="773"/>
      <c r="GG506" s="773"/>
      <c r="GH506" s="773"/>
      <c r="GI506" s="773"/>
      <c r="GJ506" s="773"/>
      <c r="GK506" s="773"/>
      <c r="GL506" s="773"/>
      <c r="GM506" s="773"/>
      <c r="GN506" s="773"/>
      <c r="GO506" s="773"/>
      <c r="GP506" s="773"/>
      <c r="GQ506" s="773"/>
      <c r="GR506" s="773"/>
      <c r="GS506" s="773"/>
      <c r="GT506" s="773"/>
      <c r="GU506" s="773"/>
      <c r="GV506" s="773"/>
      <c r="GW506" s="773"/>
      <c r="GX506" s="773"/>
      <c r="GY506" s="773"/>
      <c r="GZ506" s="773"/>
    </row>
    <row r="507" spans="1:208" s="11" customFormat="1">
      <c r="A507" s="774"/>
      <c r="B507" s="3762"/>
      <c r="C507" s="197"/>
      <c r="D507" s="199"/>
      <c r="E507" s="42"/>
      <c r="F507" s="108"/>
      <c r="G507" s="108"/>
      <c r="H507" s="108"/>
      <c r="I507" s="108"/>
      <c r="J507" s="798"/>
      <c r="K507" s="209"/>
      <c r="L507" s="434"/>
      <c r="M507" s="883"/>
      <c r="N507" s="11">
        <v>0</v>
      </c>
      <c r="O507" s="11">
        <v>0</v>
      </c>
      <c r="P507" s="11">
        <v>0</v>
      </c>
      <c r="Q507" s="11">
        <v>0</v>
      </c>
      <c r="R507" s="773">
        <v>0</v>
      </c>
      <c r="S507" s="11">
        <v>0</v>
      </c>
      <c r="T507" s="773">
        <v>0</v>
      </c>
      <c r="U507" s="2173">
        <v>0</v>
      </c>
      <c r="V507" s="2509">
        <v>0</v>
      </c>
      <c r="W507" s="2509">
        <v>0</v>
      </c>
      <c r="X507" s="2509">
        <v>0</v>
      </c>
      <c r="Y507" s="2509">
        <v>0</v>
      </c>
      <c r="Z507" s="11">
        <f>'[26]New TB INC'!Z460</f>
        <v>0</v>
      </c>
      <c r="AA507" s="11">
        <f>'[27]New TB INC'!AA468</f>
        <v>0</v>
      </c>
      <c r="AB507" s="11">
        <f>'[28]New TB INC'!AB475</f>
        <v>0</v>
      </c>
      <c r="AC507" s="11">
        <f>'[29]New TB INC'!AC471</f>
        <v>0</v>
      </c>
      <c r="AD507" s="11">
        <f>'[30]New TB INC'!AD466</f>
        <v>0</v>
      </c>
      <c r="AE507" s="11">
        <f>'[31]New TB INC'!AE473</f>
        <v>0</v>
      </c>
      <c r="AF507" s="11">
        <v>0</v>
      </c>
      <c r="AG507" s="11">
        <v>0</v>
      </c>
      <c r="AH507" s="11">
        <v>0</v>
      </c>
      <c r="AI507" s="11">
        <v>0</v>
      </c>
      <c r="AJ507" s="11">
        <v>0</v>
      </c>
      <c r="AK507" s="11">
        <f>$J507-SUM($Z507:AJ507)</f>
        <v>0</v>
      </c>
      <c r="AW507" s="2509"/>
      <c r="BH507" s="2509"/>
      <c r="BI507" s="772"/>
      <c r="BJ507" s="2173"/>
      <c r="BK507" s="2173"/>
      <c r="BL507" s="773"/>
      <c r="BM507" s="773"/>
      <c r="BO507" s="209"/>
      <c r="BP507" s="773"/>
      <c r="BQ507" s="209"/>
      <c r="BR507" s="859"/>
      <c r="BS507" s="885"/>
      <c r="BT507" s="773"/>
      <c r="BU507" s="773"/>
      <c r="BV507" s="773"/>
      <c r="BW507" s="773"/>
      <c r="BX507" s="773"/>
      <c r="BY507" s="773"/>
      <c r="BZ507" s="773"/>
      <c r="CA507" s="773"/>
      <c r="CB507" s="773"/>
      <c r="CC507" s="773"/>
      <c r="CD507" s="773"/>
      <c r="CE507" s="773"/>
      <c r="CF507" s="773"/>
      <c r="CG507" s="773"/>
      <c r="CH507" s="773"/>
      <c r="CI507" s="9"/>
      <c r="CJ507" s="9"/>
      <c r="CK507" s="773"/>
      <c r="CL507" s="773"/>
      <c r="CM507" s="773"/>
      <c r="CN507" s="773"/>
      <c r="CO507" s="773"/>
      <c r="CP507" s="773"/>
      <c r="CQ507" s="773"/>
      <c r="CR507" s="773"/>
      <c r="CS507" s="773"/>
      <c r="CT507" s="773"/>
      <c r="CU507" s="773"/>
      <c r="CV507" s="773"/>
      <c r="CW507" s="773"/>
      <c r="CX507" s="773"/>
      <c r="CY507" s="773"/>
      <c r="CZ507" s="773"/>
      <c r="DA507" s="773"/>
      <c r="DB507" s="773"/>
      <c r="DC507" s="773"/>
      <c r="DD507" s="773"/>
      <c r="DE507" s="773"/>
      <c r="DF507" s="773"/>
      <c r="DG507" s="773"/>
      <c r="DH507" s="773"/>
      <c r="DI507" s="773"/>
      <c r="DJ507" s="773"/>
      <c r="DK507" s="773"/>
      <c r="DL507" s="773"/>
      <c r="DM507" s="773"/>
      <c r="DN507" s="773"/>
      <c r="DO507" s="773"/>
      <c r="DP507" s="773"/>
      <c r="DQ507" s="773"/>
      <c r="DR507" s="773"/>
      <c r="DS507" s="773"/>
      <c r="DT507" s="773"/>
      <c r="DU507" s="773"/>
      <c r="DV507" s="773"/>
      <c r="DW507" s="773"/>
      <c r="DX507" s="773"/>
      <c r="DY507" s="773"/>
      <c r="DZ507" s="773"/>
      <c r="EA507" s="773"/>
      <c r="EB507" s="773"/>
      <c r="EC507" s="773"/>
      <c r="ED507" s="773"/>
      <c r="EE507" s="773"/>
      <c r="EF507" s="773"/>
      <c r="EG507" s="773"/>
      <c r="EH507" s="773"/>
      <c r="EI507" s="773"/>
      <c r="EJ507" s="773"/>
      <c r="EK507" s="773"/>
      <c r="EL507" s="773"/>
      <c r="EM507" s="773"/>
      <c r="EN507" s="773"/>
      <c r="EO507" s="773"/>
      <c r="EP507" s="773"/>
      <c r="EQ507" s="773"/>
      <c r="ER507" s="773"/>
      <c r="ES507" s="773"/>
      <c r="ET507" s="773"/>
      <c r="EU507" s="773"/>
      <c r="EV507" s="773"/>
      <c r="EW507" s="773"/>
      <c r="EX507" s="773"/>
      <c r="EY507" s="773"/>
      <c r="EZ507" s="773"/>
      <c r="FA507" s="773"/>
      <c r="FB507" s="773"/>
      <c r="FC507" s="773"/>
      <c r="FD507" s="773"/>
      <c r="FE507" s="773"/>
      <c r="FF507" s="773"/>
      <c r="FG507" s="773"/>
      <c r="FH507" s="773"/>
      <c r="FI507" s="773"/>
      <c r="FJ507" s="773"/>
      <c r="FK507" s="773"/>
      <c r="FL507" s="773"/>
      <c r="FM507" s="773"/>
      <c r="FN507" s="773"/>
      <c r="FO507" s="773"/>
      <c r="FP507" s="773"/>
      <c r="FQ507" s="773"/>
      <c r="FR507" s="773"/>
      <c r="FS507" s="773"/>
      <c r="FT507" s="773"/>
      <c r="FU507" s="773"/>
      <c r="FV507" s="773"/>
      <c r="FW507" s="773"/>
      <c r="FX507" s="773"/>
      <c r="FY507" s="773"/>
      <c r="FZ507" s="773"/>
      <c r="GA507" s="773"/>
      <c r="GB507" s="773"/>
      <c r="GC507" s="773"/>
      <c r="GD507" s="773"/>
      <c r="GE507" s="773"/>
      <c r="GF507" s="773"/>
      <c r="GG507" s="773"/>
      <c r="GH507" s="773"/>
      <c r="GI507" s="773"/>
      <c r="GJ507" s="773"/>
      <c r="GK507" s="773"/>
      <c r="GL507" s="773"/>
      <c r="GM507" s="773"/>
      <c r="GN507" s="773"/>
      <c r="GO507" s="773"/>
      <c r="GP507" s="773"/>
      <c r="GQ507" s="773"/>
      <c r="GR507" s="773"/>
      <c r="GS507" s="773"/>
      <c r="GT507" s="773"/>
      <c r="GU507" s="773"/>
      <c r="GV507" s="773"/>
      <c r="GW507" s="773"/>
      <c r="GX507" s="773"/>
      <c r="GY507" s="773"/>
      <c r="GZ507" s="773"/>
    </row>
    <row r="508" spans="1:208" s="11" customFormat="1">
      <c r="A508" s="774"/>
      <c r="B508" s="3762" t="s">
        <v>829</v>
      </c>
      <c r="C508" s="197">
        <v>5110001</v>
      </c>
      <c r="D508" s="199" t="s">
        <v>842</v>
      </c>
      <c r="E508" s="798">
        <f>IFERROR(VLOOKUP(C508,'AJE 12 - INC'!$D$168:$F$771,3,0),0)</f>
        <v>1410.24</v>
      </c>
      <c r="F508" s="108">
        <f>SUMIF('AJE 12 - INC'!B:B,'New TB INC'!C508,'AJE 12 - INC'!D:D)</f>
        <v>0</v>
      </c>
      <c r="G508" s="108"/>
      <c r="H508" s="108"/>
      <c r="I508" s="108"/>
      <c r="J508" s="798">
        <f t="shared" ref="J508:J514" si="53">SUM(E508:I508)</f>
        <v>1410.24</v>
      </c>
      <c r="K508" s="209"/>
      <c r="L508" s="434"/>
      <c r="M508" s="881"/>
      <c r="N508" s="11">
        <v>1384.26</v>
      </c>
      <c r="O508" s="11">
        <v>0</v>
      </c>
      <c r="P508" s="11">
        <v>368.79999999999995</v>
      </c>
      <c r="Q508" s="11">
        <v>0</v>
      </c>
      <c r="R508" s="773">
        <v>0</v>
      </c>
      <c r="S508" s="11">
        <v>0</v>
      </c>
      <c r="T508" s="773">
        <v>0</v>
      </c>
      <c r="U508" s="2173">
        <v>0</v>
      </c>
      <c r="V508" s="2509">
        <v>0</v>
      </c>
      <c r="W508" s="2509">
        <v>0</v>
      </c>
      <c r="X508" s="2509">
        <v>0</v>
      </c>
      <c r="Y508" s="2509">
        <v>0</v>
      </c>
      <c r="Z508" s="11">
        <f>'[26]New TB INC'!Z461</f>
        <v>0</v>
      </c>
      <c r="AA508" s="11">
        <f>'[27]New TB INC'!AA469</f>
        <v>0</v>
      </c>
      <c r="AB508" s="11">
        <f>'[28]New TB INC'!AB476</f>
        <v>0</v>
      </c>
      <c r="AC508" s="11">
        <f>'[29]New TB INC'!AC472</f>
        <v>0</v>
      </c>
      <c r="AD508" s="11">
        <f>'[30]New TB INC'!AD467</f>
        <v>0</v>
      </c>
      <c r="AE508" s="11">
        <f>'[31]New TB INC'!AE474</f>
        <v>0</v>
      </c>
      <c r="AF508" s="11">
        <v>0</v>
      </c>
      <c r="AG508" s="11">
        <v>401.07</v>
      </c>
      <c r="AH508" s="11">
        <v>0</v>
      </c>
      <c r="AI508" s="11">
        <v>0</v>
      </c>
      <c r="AJ508" s="11">
        <v>1009.1700000000001</v>
      </c>
      <c r="AK508" s="11">
        <f>$J508-SUM($Z508:AJ508)</f>
        <v>0</v>
      </c>
      <c r="AW508" s="2509"/>
      <c r="BH508" s="2509"/>
      <c r="BI508" s="772"/>
      <c r="BJ508" s="2173"/>
      <c r="BK508" s="2173"/>
      <c r="BL508" s="773"/>
      <c r="BM508" s="773"/>
      <c r="BO508" s="209"/>
      <c r="BP508" s="773"/>
      <c r="BQ508" s="209"/>
      <c r="BR508" s="859"/>
      <c r="BS508" s="885"/>
      <c r="BT508" s="773"/>
      <c r="BU508" s="773"/>
      <c r="BV508" s="773"/>
      <c r="BW508" s="773"/>
      <c r="BX508" s="773"/>
      <c r="BY508" s="773"/>
      <c r="BZ508" s="773"/>
      <c r="CA508" s="773"/>
      <c r="CB508" s="773"/>
      <c r="CC508" s="773"/>
      <c r="CD508" s="773"/>
      <c r="CE508" s="773"/>
      <c r="CF508" s="773"/>
      <c r="CG508" s="773"/>
      <c r="CH508" s="773"/>
      <c r="CI508" s="9"/>
      <c r="CJ508" s="9"/>
      <c r="CK508" s="773"/>
      <c r="CL508" s="773"/>
      <c r="CM508" s="773"/>
      <c r="CN508" s="773"/>
      <c r="CO508" s="773"/>
      <c r="CP508" s="773"/>
      <c r="CQ508" s="773"/>
      <c r="CR508" s="773"/>
      <c r="CS508" s="773"/>
      <c r="CT508" s="773"/>
      <c r="CU508" s="773"/>
      <c r="CV508" s="773"/>
      <c r="CW508" s="773"/>
      <c r="CX508" s="773"/>
      <c r="CY508" s="773"/>
      <c r="CZ508" s="773"/>
      <c r="DA508" s="773"/>
      <c r="DB508" s="773"/>
      <c r="DC508" s="773"/>
      <c r="DD508" s="773"/>
      <c r="DE508" s="773"/>
      <c r="DF508" s="773"/>
      <c r="DG508" s="773"/>
      <c r="DH508" s="773"/>
      <c r="DI508" s="773"/>
      <c r="DJ508" s="773"/>
      <c r="DK508" s="773"/>
      <c r="DL508" s="773"/>
      <c r="DM508" s="773"/>
      <c r="DN508" s="773"/>
      <c r="DO508" s="773"/>
      <c r="DP508" s="773"/>
      <c r="DQ508" s="773"/>
      <c r="DR508" s="773"/>
      <c r="DS508" s="773"/>
      <c r="DT508" s="773"/>
      <c r="DU508" s="773"/>
      <c r="DV508" s="773"/>
      <c r="DW508" s="773"/>
      <c r="DX508" s="773"/>
      <c r="DY508" s="773"/>
      <c r="DZ508" s="773"/>
      <c r="EA508" s="773"/>
      <c r="EB508" s="773"/>
      <c r="EC508" s="773"/>
      <c r="ED508" s="773"/>
      <c r="EE508" s="773"/>
      <c r="EF508" s="773"/>
      <c r="EG508" s="773"/>
      <c r="EH508" s="773"/>
      <c r="EI508" s="773"/>
      <c r="EJ508" s="773"/>
      <c r="EK508" s="773"/>
      <c r="EL508" s="773"/>
      <c r="EM508" s="773"/>
      <c r="EN508" s="773"/>
      <c r="EO508" s="773"/>
      <c r="EP508" s="773"/>
      <c r="EQ508" s="773"/>
      <c r="ER508" s="773"/>
      <c r="ES508" s="773"/>
      <c r="ET508" s="773"/>
      <c r="EU508" s="773"/>
      <c r="EV508" s="773"/>
      <c r="EW508" s="773"/>
      <c r="EX508" s="773"/>
      <c r="EY508" s="773"/>
      <c r="EZ508" s="773"/>
      <c r="FA508" s="773"/>
      <c r="FB508" s="773"/>
      <c r="FC508" s="773"/>
      <c r="FD508" s="773"/>
      <c r="FE508" s="773"/>
      <c r="FF508" s="773"/>
      <c r="FG508" s="773"/>
      <c r="FH508" s="773"/>
      <c r="FI508" s="773"/>
      <c r="FJ508" s="773"/>
      <c r="FK508" s="773"/>
      <c r="FL508" s="773"/>
      <c r="FM508" s="773"/>
      <c r="FN508" s="773"/>
      <c r="FO508" s="773"/>
      <c r="FP508" s="773"/>
      <c r="FQ508" s="773"/>
      <c r="FR508" s="773"/>
      <c r="FS508" s="773"/>
      <c r="FT508" s="773"/>
      <c r="FU508" s="773"/>
      <c r="FV508" s="773"/>
      <c r="FW508" s="773"/>
      <c r="FX508" s="773"/>
      <c r="FY508" s="773"/>
      <c r="FZ508" s="773"/>
      <c r="GA508" s="773"/>
      <c r="GB508" s="773"/>
      <c r="GC508" s="773"/>
      <c r="GD508" s="773"/>
      <c r="GE508" s="773"/>
      <c r="GF508" s="773"/>
      <c r="GG508" s="773"/>
      <c r="GH508" s="773"/>
      <c r="GI508" s="773"/>
      <c r="GJ508" s="773"/>
      <c r="GK508" s="773"/>
      <c r="GL508" s="773"/>
      <c r="GM508" s="773"/>
      <c r="GN508" s="773"/>
      <c r="GO508" s="773"/>
      <c r="GP508" s="773"/>
      <c r="GQ508" s="773"/>
      <c r="GR508" s="773"/>
      <c r="GS508" s="773"/>
      <c r="GT508" s="773"/>
      <c r="GU508" s="773"/>
      <c r="GV508" s="773"/>
      <c r="GW508" s="773"/>
      <c r="GX508" s="773"/>
      <c r="GY508" s="773"/>
      <c r="GZ508" s="773"/>
    </row>
    <row r="509" spans="1:208" s="11" customFormat="1">
      <c r="A509" s="774"/>
      <c r="B509" s="3762" t="s">
        <v>829</v>
      </c>
      <c r="C509" s="197">
        <v>5110002</v>
      </c>
      <c r="D509" s="199" t="s">
        <v>843</v>
      </c>
      <c r="E509" s="798">
        <f>IFERROR(VLOOKUP(C509,'AJE 12 - INC'!$D$168:$F$771,3,0),0)</f>
        <v>3241.49</v>
      </c>
      <c r="F509" s="108">
        <f>SUMIF('AJE 12 - INC'!B:B,'New TB INC'!C509,'AJE 12 - INC'!D:D)</f>
        <v>0</v>
      </c>
      <c r="G509" s="108"/>
      <c r="H509" s="108"/>
      <c r="I509" s="108"/>
      <c r="J509" s="798">
        <f t="shared" si="53"/>
        <v>3241.49</v>
      </c>
      <c r="K509" s="209"/>
      <c r="L509" s="434"/>
      <c r="M509" s="883"/>
      <c r="N509" s="11">
        <v>1178.3599999999999</v>
      </c>
      <c r="O509" s="11">
        <v>0</v>
      </c>
      <c r="P509" s="11">
        <v>109.0300000000002</v>
      </c>
      <c r="Q509" s="11">
        <v>0</v>
      </c>
      <c r="R509" s="773">
        <v>0</v>
      </c>
      <c r="S509" s="11">
        <v>0</v>
      </c>
      <c r="T509" s="773">
        <v>0</v>
      </c>
      <c r="U509" s="2173">
        <v>0</v>
      </c>
      <c r="V509" s="2509">
        <v>0</v>
      </c>
      <c r="W509" s="2509">
        <v>0</v>
      </c>
      <c r="X509" s="2509">
        <v>0</v>
      </c>
      <c r="Y509" s="2509">
        <v>0</v>
      </c>
      <c r="Z509" s="11">
        <f>'[26]New TB INC'!Z462</f>
        <v>0</v>
      </c>
      <c r="AA509" s="11">
        <f>'[27]New TB INC'!AA470</f>
        <v>0</v>
      </c>
      <c r="AB509" s="11">
        <f>'[28]New TB INC'!AB477</f>
        <v>0</v>
      </c>
      <c r="AC509" s="11">
        <f>'[29]New TB INC'!AC473</f>
        <v>0</v>
      </c>
      <c r="AD509" s="11">
        <f>'[30]New TB INC'!AD468</f>
        <v>0</v>
      </c>
      <c r="AE509" s="11">
        <f>'[31]New TB INC'!AE475</f>
        <v>0</v>
      </c>
      <c r="AF509" s="11">
        <v>0</v>
      </c>
      <c r="AG509" s="11">
        <v>420.84</v>
      </c>
      <c r="AH509" s="11">
        <v>0</v>
      </c>
      <c r="AI509" s="11">
        <v>0</v>
      </c>
      <c r="AJ509" s="11">
        <v>0</v>
      </c>
      <c r="AK509" s="11">
        <f>$J509-SUM($Z509:AJ509)</f>
        <v>2820.6499999999996</v>
      </c>
      <c r="AW509" s="2509"/>
      <c r="BH509" s="2509"/>
      <c r="BI509" s="772"/>
      <c r="BJ509" s="2173"/>
      <c r="BK509" s="2173"/>
      <c r="BL509" s="773"/>
      <c r="BM509" s="773"/>
      <c r="BO509" s="209"/>
      <c r="BQ509" s="209"/>
      <c r="BR509" s="859"/>
      <c r="BS509" s="885"/>
      <c r="CI509" s="4"/>
      <c r="CJ509" s="4"/>
      <c r="DB509" s="773"/>
      <c r="DC509" s="773"/>
      <c r="DD509" s="773"/>
      <c r="DE509" s="773"/>
      <c r="DF509" s="773"/>
      <c r="DG509" s="773"/>
      <c r="DH509" s="773"/>
      <c r="DI509" s="773"/>
      <c r="DJ509" s="773"/>
      <c r="DK509" s="773"/>
      <c r="DL509" s="773"/>
      <c r="DM509" s="773"/>
      <c r="DN509" s="773"/>
      <c r="DO509" s="773"/>
      <c r="DP509" s="773"/>
      <c r="DQ509" s="773"/>
      <c r="DR509" s="773"/>
      <c r="DS509" s="773"/>
      <c r="DT509" s="773"/>
      <c r="DU509" s="773"/>
      <c r="DV509" s="773"/>
      <c r="DW509" s="773"/>
      <c r="DX509" s="773"/>
      <c r="DY509" s="773"/>
      <c r="DZ509" s="773"/>
      <c r="EA509" s="773"/>
      <c r="EB509" s="773"/>
      <c r="EC509" s="773"/>
      <c r="ED509" s="773"/>
      <c r="EE509" s="773"/>
      <c r="EF509" s="773"/>
      <c r="EG509" s="773"/>
      <c r="EH509" s="773"/>
      <c r="EI509" s="773"/>
      <c r="EJ509" s="773"/>
      <c r="EK509" s="773"/>
      <c r="EL509" s="773"/>
      <c r="EM509" s="773"/>
      <c r="EN509" s="773"/>
      <c r="EO509" s="773"/>
      <c r="EP509" s="773"/>
      <c r="EQ509" s="773"/>
      <c r="ER509" s="773"/>
      <c r="ES509" s="773"/>
      <c r="ET509" s="773"/>
      <c r="EU509" s="773"/>
      <c r="EV509" s="773"/>
      <c r="EW509" s="773"/>
      <c r="EX509" s="773"/>
      <c r="EY509" s="773"/>
      <c r="EZ509" s="773"/>
      <c r="FA509" s="773"/>
      <c r="FB509" s="773"/>
      <c r="FC509" s="773"/>
      <c r="FD509" s="773"/>
      <c r="FE509" s="773"/>
      <c r="FF509" s="773"/>
      <c r="FG509" s="773"/>
      <c r="FH509" s="773"/>
      <c r="FI509" s="773"/>
      <c r="FJ509" s="773"/>
      <c r="FK509" s="773"/>
      <c r="FL509" s="773"/>
      <c r="FM509" s="773"/>
      <c r="FN509" s="773"/>
      <c r="FO509" s="773"/>
      <c r="FP509" s="773"/>
      <c r="FQ509" s="773"/>
      <c r="FR509" s="773"/>
      <c r="FS509" s="773"/>
      <c r="FT509" s="773"/>
      <c r="FU509" s="773"/>
      <c r="FV509" s="773"/>
      <c r="FW509" s="773"/>
      <c r="FX509" s="773"/>
      <c r="FY509" s="773"/>
      <c r="FZ509" s="773"/>
      <c r="GA509" s="773"/>
      <c r="GB509" s="773"/>
      <c r="GC509" s="773"/>
      <c r="GD509" s="773"/>
      <c r="GE509" s="773"/>
      <c r="GF509" s="773"/>
      <c r="GG509" s="773"/>
      <c r="GH509" s="773"/>
      <c r="GI509" s="773"/>
      <c r="GJ509" s="773"/>
      <c r="GK509" s="773"/>
      <c r="GL509" s="773"/>
      <c r="GM509" s="773"/>
      <c r="GN509" s="773"/>
      <c r="GO509" s="773"/>
      <c r="GP509" s="773"/>
      <c r="GQ509" s="773"/>
      <c r="GR509" s="773"/>
      <c r="GS509" s="773"/>
      <c r="GT509" s="773"/>
      <c r="GU509" s="773"/>
      <c r="GV509" s="773"/>
      <c r="GW509" s="773"/>
      <c r="GX509" s="773"/>
      <c r="GY509" s="773"/>
      <c r="GZ509" s="773"/>
    </row>
    <row r="510" spans="1:208" s="11" customFormat="1">
      <c r="A510" s="774"/>
      <c r="B510" s="3762" t="s">
        <v>829</v>
      </c>
      <c r="C510" s="197">
        <v>5110003</v>
      </c>
      <c r="D510" s="199" t="s">
        <v>844</v>
      </c>
      <c r="E510" s="798">
        <f>IFERROR(VLOOKUP(C510,'AJE 12 - INC'!$D$168:$F$771,3,0),0)</f>
        <v>61.44</v>
      </c>
      <c r="F510" s="108">
        <f>SUMIF('AJE 12 - INC'!B:B,'New TB INC'!C510,'AJE 12 - INC'!D:D)</f>
        <v>0</v>
      </c>
      <c r="G510" s="108"/>
      <c r="H510" s="108"/>
      <c r="I510" s="108"/>
      <c r="J510" s="798">
        <f t="shared" si="53"/>
        <v>61.44</v>
      </c>
      <c r="K510" s="209"/>
      <c r="L510" s="434"/>
      <c r="M510" s="883"/>
      <c r="N510" s="11">
        <v>263.48</v>
      </c>
      <c r="O510" s="11">
        <v>0</v>
      </c>
      <c r="P510" s="11">
        <v>0</v>
      </c>
      <c r="Q510" s="11">
        <v>0</v>
      </c>
      <c r="R510" s="773">
        <v>0</v>
      </c>
      <c r="S510" s="11">
        <v>0</v>
      </c>
      <c r="T510" s="773">
        <v>0</v>
      </c>
      <c r="U510" s="2173">
        <v>0</v>
      </c>
      <c r="V510" s="2509">
        <v>0</v>
      </c>
      <c r="W510" s="2509">
        <v>0</v>
      </c>
      <c r="X510" s="2509">
        <v>0</v>
      </c>
      <c r="Y510" s="2509">
        <v>0</v>
      </c>
      <c r="Z510" s="11">
        <f>'[26]New TB INC'!Z463</f>
        <v>0</v>
      </c>
      <c r="AA510" s="11">
        <f>'[27]New TB INC'!AA471</f>
        <v>0</v>
      </c>
      <c r="AB510" s="11">
        <f>'[28]New TB INC'!AB478</f>
        <v>0</v>
      </c>
      <c r="AC510" s="11">
        <f>'[29]New TB INC'!AC474</f>
        <v>0</v>
      </c>
      <c r="AD510" s="11">
        <f>'[30]New TB INC'!AD469</f>
        <v>0</v>
      </c>
      <c r="AE510" s="11">
        <f>'[31]New TB INC'!AE476</f>
        <v>0</v>
      </c>
      <c r="AF510" s="11">
        <v>0</v>
      </c>
      <c r="AG510" s="11">
        <v>16.3</v>
      </c>
      <c r="AH510" s="11">
        <v>0</v>
      </c>
      <c r="AI510" s="11">
        <v>0</v>
      </c>
      <c r="AJ510" s="11">
        <v>0</v>
      </c>
      <c r="AK510" s="11">
        <f>$J510-SUM($Z510:AJ510)</f>
        <v>45.14</v>
      </c>
      <c r="AW510" s="2509"/>
      <c r="BH510" s="2509"/>
      <c r="BI510" s="772"/>
      <c r="BJ510" s="2173"/>
      <c r="BK510" s="2173"/>
      <c r="BL510" s="773"/>
      <c r="BM510" s="773"/>
      <c r="BO510" s="209"/>
      <c r="BQ510" s="209"/>
      <c r="BR510" s="859"/>
      <c r="BS510" s="885"/>
      <c r="CI510" s="4"/>
      <c r="CJ510" s="4"/>
      <c r="DB510" s="773"/>
      <c r="DC510" s="773"/>
      <c r="DD510" s="773"/>
      <c r="DE510" s="773"/>
      <c r="DF510" s="773"/>
      <c r="DG510" s="773"/>
      <c r="DH510" s="773"/>
      <c r="DI510" s="773"/>
      <c r="DJ510" s="773"/>
      <c r="DK510" s="773"/>
      <c r="DL510" s="773"/>
      <c r="DM510" s="773"/>
      <c r="DN510" s="773"/>
      <c r="DO510" s="773"/>
      <c r="DP510" s="773"/>
      <c r="DQ510" s="773"/>
      <c r="DR510" s="773"/>
      <c r="DS510" s="773"/>
      <c r="DT510" s="773"/>
      <c r="DU510" s="773"/>
      <c r="DV510" s="773"/>
      <c r="DW510" s="773"/>
      <c r="DX510" s="773"/>
      <c r="DY510" s="773"/>
      <c r="DZ510" s="773"/>
      <c r="EA510" s="773"/>
      <c r="EB510" s="773"/>
      <c r="EC510" s="773"/>
      <c r="ED510" s="773"/>
      <c r="EE510" s="773"/>
      <c r="EF510" s="773"/>
      <c r="EG510" s="773"/>
      <c r="EH510" s="773"/>
      <c r="EI510" s="773"/>
      <c r="EJ510" s="773"/>
      <c r="EK510" s="773"/>
      <c r="EL510" s="773"/>
      <c r="EM510" s="773"/>
      <c r="EN510" s="773"/>
      <c r="EO510" s="773"/>
      <c r="EP510" s="773"/>
      <c r="EQ510" s="773"/>
      <c r="ER510" s="773"/>
      <c r="ES510" s="773"/>
      <c r="ET510" s="773"/>
      <c r="EU510" s="773"/>
      <c r="EV510" s="773"/>
      <c r="EW510" s="773"/>
      <c r="EX510" s="773"/>
      <c r="EY510" s="773"/>
      <c r="EZ510" s="773"/>
      <c r="FA510" s="773"/>
      <c r="FB510" s="773"/>
      <c r="FC510" s="773"/>
      <c r="FD510" s="773"/>
      <c r="FE510" s="773"/>
      <c r="FF510" s="773"/>
      <c r="FG510" s="773"/>
      <c r="FH510" s="773"/>
      <c r="FI510" s="773"/>
      <c r="FJ510" s="773"/>
      <c r="FK510" s="773"/>
      <c r="FL510" s="773"/>
      <c r="FM510" s="773"/>
      <c r="FN510" s="773"/>
      <c r="FO510" s="773"/>
      <c r="FP510" s="773"/>
      <c r="FQ510" s="773"/>
      <c r="FR510" s="773"/>
      <c r="FS510" s="773"/>
      <c r="FT510" s="773"/>
      <c r="FU510" s="773"/>
      <c r="FV510" s="773"/>
      <c r="FW510" s="773"/>
      <c r="FX510" s="773"/>
      <c r="FY510" s="773"/>
      <c r="FZ510" s="773"/>
      <c r="GA510" s="773"/>
      <c r="GB510" s="773"/>
      <c r="GC510" s="773"/>
      <c r="GD510" s="773"/>
      <c r="GE510" s="773"/>
      <c r="GF510" s="773"/>
      <c r="GG510" s="773"/>
      <c r="GH510" s="773"/>
      <c r="GI510" s="773"/>
      <c r="GJ510" s="773"/>
      <c r="GK510" s="773"/>
      <c r="GL510" s="773"/>
      <c r="GM510" s="773"/>
      <c r="GN510" s="773"/>
      <c r="GO510" s="773"/>
      <c r="GP510" s="773"/>
      <c r="GQ510" s="773"/>
      <c r="GR510" s="773"/>
      <c r="GS510" s="773"/>
      <c r="GT510" s="773"/>
      <c r="GU510" s="773"/>
      <c r="GV510" s="773"/>
      <c r="GW510" s="773"/>
      <c r="GX510" s="773"/>
      <c r="GY510" s="773"/>
      <c r="GZ510" s="773"/>
    </row>
    <row r="511" spans="1:208" s="11" customFormat="1">
      <c r="A511" s="774"/>
      <c r="B511" s="3762" t="s">
        <v>829</v>
      </c>
      <c r="C511" s="197">
        <v>5110004</v>
      </c>
      <c r="D511" s="199" t="s">
        <v>845</v>
      </c>
      <c r="E511" s="798">
        <f>IFERROR(VLOOKUP(C511,'AJE 12 - INC'!$D$168:$F$771,3,0),0)</f>
        <v>1626.41</v>
      </c>
      <c r="F511" s="108">
        <f>SUMIF('AJE 12 - INC'!B:B,'New TB INC'!C511,'AJE 12 - INC'!D:D)</f>
        <v>0</v>
      </c>
      <c r="G511" s="108"/>
      <c r="H511" s="108"/>
      <c r="I511" s="108"/>
      <c r="J511" s="798">
        <f t="shared" si="53"/>
        <v>1626.41</v>
      </c>
      <c r="K511" s="209"/>
      <c r="L511" s="434"/>
      <c r="M511" s="883"/>
      <c r="N511" s="11">
        <v>509.5</v>
      </c>
      <c r="O511" s="11">
        <v>0</v>
      </c>
      <c r="P511" s="11">
        <v>163.29999999999995</v>
      </c>
      <c r="Q511" s="11">
        <v>0</v>
      </c>
      <c r="R511" s="773">
        <v>0</v>
      </c>
      <c r="S511" s="11">
        <v>0</v>
      </c>
      <c r="T511" s="773">
        <v>0</v>
      </c>
      <c r="U511" s="2173">
        <v>0</v>
      </c>
      <c r="V511" s="2509">
        <v>0</v>
      </c>
      <c r="W511" s="2509">
        <v>0</v>
      </c>
      <c r="X511" s="2509">
        <v>0</v>
      </c>
      <c r="Y511" s="2509">
        <v>0</v>
      </c>
      <c r="Z511" s="11">
        <f>'[26]New TB INC'!Z464</f>
        <v>0</v>
      </c>
      <c r="AA511" s="11">
        <f>'[27]New TB INC'!AA472</f>
        <v>0</v>
      </c>
      <c r="AB511" s="11">
        <f>'[28]New TB INC'!AB479</f>
        <v>0</v>
      </c>
      <c r="AC511" s="11">
        <f>'[29]New TB INC'!AC475</f>
        <v>0</v>
      </c>
      <c r="AD511" s="11">
        <f>'[30]New TB INC'!AD470</f>
        <v>0</v>
      </c>
      <c r="AE511" s="11">
        <f>'[31]New TB INC'!AE477</f>
        <v>67.760000000000005</v>
      </c>
      <c r="AF511" s="11">
        <v>0</v>
      </c>
      <c r="AG511" s="11">
        <v>481.26</v>
      </c>
      <c r="AH511" s="11">
        <v>0</v>
      </c>
      <c r="AI511" s="11">
        <v>0</v>
      </c>
      <c r="AJ511" s="11">
        <v>0</v>
      </c>
      <c r="AK511" s="11">
        <f>$J511-SUM($Z511:AJ511)</f>
        <v>1077.3900000000001</v>
      </c>
      <c r="AW511" s="2509"/>
      <c r="BH511" s="2509"/>
      <c r="BI511" s="772"/>
      <c r="BJ511" s="2173"/>
      <c r="BK511" s="2173"/>
      <c r="BL511" s="773"/>
      <c r="BM511" s="773"/>
      <c r="BO511" s="209"/>
      <c r="BQ511" s="209"/>
      <c r="BR511" s="859"/>
      <c r="BS511" s="885"/>
      <c r="CI511" s="4"/>
      <c r="CJ511" s="4"/>
      <c r="DB511" s="773"/>
      <c r="DC511" s="773"/>
      <c r="DD511" s="773"/>
      <c r="DE511" s="773"/>
      <c r="DF511" s="773"/>
      <c r="DG511" s="773"/>
      <c r="DH511" s="773"/>
      <c r="DI511" s="773"/>
      <c r="DJ511" s="773"/>
      <c r="DK511" s="773"/>
      <c r="DL511" s="773"/>
      <c r="DM511" s="773"/>
      <c r="DN511" s="773"/>
      <c r="DO511" s="773"/>
      <c r="DP511" s="773"/>
      <c r="DQ511" s="773"/>
      <c r="DR511" s="773"/>
      <c r="DS511" s="773"/>
      <c r="DT511" s="773"/>
      <c r="DU511" s="773"/>
      <c r="DV511" s="773"/>
      <c r="DW511" s="773"/>
      <c r="DX511" s="773"/>
      <c r="DY511" s="773"/>
      <c r="DZ511" s="773"/>
      <c r="EA511" s="773"/>
      <c r="EB511" s="773"/>
      <c r="EC511" s="773"/>
      <c r="ED511" s="773"/>
      <c r="EE511" s="773"/>
      <c r="EF511" s="773"/>
      <c r="EG511" s="773"/>
      <c r="EH511" s="773"/>
      <c r="EI511" s="773"/>
      <c r="EJ511" s="773"/>
      <c r="EK511" s="773"/>
      <c r="EL511" s="773"/>
      <c r="EM511" s="773"/>
      <c r="EN511" s="773"/>
      <c r="EO511" s="773"/>
      <c r="EP511" s="773"/>
      <c r="EQ511" s="773"/>
      <c r="ER511" s="773"/>
      <c r="ES511" s="773"/>
      <c r="ET511" s="773"/>
      <c r="EU511" s="773"/>
      <c r="EV511" s="773"/>
      <c r="EW511" s="773"/>
      <c r="EX511" s="773"/>
      <c r="EY511" s="773"/>
      <c r="EZ511" s="773"/>
      <c r="FA511" s="773"/>
      <c r="FB511" s="773"/>
      <c r="FC511" s="773"/>
      <c r="FD511" s="773"/>
      <c r="FE511" s="773"/>
      <c r="FF511" s="773"/>
      <c r="FG511" s="773"/>
      <c r="FH511" s="773"/>
      <c r="FI511" s="773"/>
      <c r="FJ511" s="773"/>
      <c r="FK511" s="773"/>
      <c r="FL511" s="773"/>
      <c r="FM511" s="773"/>
      <c r="FN511" s="773"/>
      <c r="FO511" s="773"/>
      <c r="FP511" s="773"/>
      <c r="FQ511" s="773"/>
      <c r="FR511" s="773"/>
      <c r="FS511" s="773"/>
      <c r="FT511" s="773"/>
      <c r="FU511" s="773"/>
      <c r="FV511" s="773"/>
      <c r="FW511" s="773"/>
      <c r="FX511" s="773"/>
      <c r="FY511" s="773"/>
      <c r="FZ511" s="773"/>
      <c r="GA511" s="773"/>
      <c r="GB511" s="773"/>
      <c r="GC511" s="773"/>
      <c r="GD511" s="773"/>
      <c r="GE511" s="773"/>
      <c r="GF511" s="773"/>
      <c r="GG511" s="773"/>
      <c r="GH511" s="773"/>
      <c r="GI511" s="773"/>
      <c r="GJ511" s="773"/>
      <c r="GK511" s="773"/>
      <c r="GL511" s="773"/>
      <c r="GM511" s="773"/>
      <c r="GN511" s="773"/>
      <c r="GO511" s="773"/>
      <c r="GP511" s="773"/>
      <c r="GQ511" s="773"/>
      <c r="GR511" s="773"/>
      <c r="GS511" s="773"/>
      <c r="GT511" s="773"/>
      <c r="GU511" s="773"/>
      <c r="GV511" s="773"/>
      <c r="GW511" s="773"/>
      <c r="GX511" s="773"/>
      <c r="GY511" s="773"/>
      <c r="GZ511" s="773"/>
    </row>
    <row r="512" spans="1:208" s="11" customFormat="1">
      <c r="A512" s="774"/>
      <c r="B512" s="3762" t="s">
        <v>1353</v>
      </c>
      <c r="C512" s="197">
        <v>5110005</v>
      </c>
      <c r="D512" s="199" t="s">
        <v>1354</v>
      </c>
      <c r="E512" s="798">
        <f>IFERROR(VLOOKUP(C512,'AJE 12 - INC'!$D$168:$F$771,3,0),0)</f>
        <v>1768.33</v>
      </c>
      <c r="F512" s="108">
        <f>SUMIF('AJE 12 - INC'!B:B,'New TB INC'!C512,'AJE 12 - INC'!D:D)</f>
        <v>0</v>
      </c>
      <c r="G512" s="108"/>
      <c r="H512" s="108"/>
      <c r="I512" s="108"/>
      <c r="J512" s="798">
        <f t="shared" si="53"/>
        <v>1768.33</v>
      </c>
      <c r="K512" s="209"/>
      <c r="L512" s="434"/>
      <c r="M512" s="883"/>
      <c r="N512" s="11">
        <v>0</v>
      </c>
      <c r="O512" s="11">
        <v>0</v>
      </c>
      <c r="P512" s="11">
        <v>0</v>
      </c>
      <c r="Q512" s="11">
        <v>0</v>
      </c>
      <c r="R512" s="773">
        <v>0</v>
      </c>
      <c r="S512" s="11">
        <v>0</v>
      </c>
      <c r="T512" s="773">
        <v>0</v>
      </c>
      <c r="U512" s="2173">
        <v>0</v>
      </c>
      <c r="V512" s="2509">
        <v>0</v>
      </c>
      <c r="W512" s="2509">
        <v>0</v>
      </c>
      <c r="X512" s="2509">
        <v>0</v>
      </c>
      <c r="Y512" s="2509">
        <v>0</v>
      </c>
      <c r="Z512" s="11">
        <f>'[26]New TB INC'!Z465</f>
        <v>0</v>
      </c>
      <c r="AA512" s="11">
        <f>'[27]New TB INC'!AA473</f>
        <v>0</v>
      </c>
      <c r="AB512" s="11">
        <f>'[28]New TB INC'!AB480</f>
        <v>0</v>
      </c>
      <c r="AC512" s="11">
        <f>'[29]New TB INC'!AC476</f>
        <v>0</v>
      </c>
      <c r="AD512" s="11">
        <f>'[30]New TB INC'!AD471</f>
        <v>0</v>
      </c>
      <c r="AE512" s="11">
        <f>'[31]New TB INC'!AE478</f>
        <v>0</v>
      </c>
      <c r="AF512" s="11">
        <v>0</v>
      </c>
      <c r="AG512" s="11">
        <v>0</v>
      </c>
      <c r="AH512" s="11">
        <v>93.22</v>
      </c>
      <c r="AI512" s="11">
        <v>0</v>
      </c>
      <c r="AJ512" s="11">
        <v>500</v>
      </c>
      <c r="AK512" s="11">
        <f>$J512-SUM($Z512:AJ512)</f>
        <v>1175.1099999999999</v>
      </c>
      <c r="AW512" s="2509"/>
      <c r="BH512" s="2509"/>
      <c r="BI512" s="772"/>
      <c r="BJ512" s="2173"/>
      <c r="BK512" s="2173"/>
      <c r="BL512" s="773"/>
      <c r="BM512" s="773"/>
      <c r="BO512" s="209"/>
      <c r="BQ512" s="209"/>
      <c r="BR512" s="859"/>
      <c r="BS512" s="885"/>
      <c r="CI512" s="4"/>
      <c r="CJ512" s="4"/>
      <c r="DB512" s="773"/>
      <c r="DC512" s="773"/>
      <c r="DD512" s="773"/>
      <c r="DE512" s="773"/>
      <c r="DF512" s="773"/>
      <c r="DG512" s="773"/>
      <c r="DH512" s="773"/>
      <c r="DI512" s="773"/>
      <c r="DJ512" s="773"/>
      <c r="DK512" s="773"/>
      <c r="DL512" s="773"/>
      <c r="DM512" s="773"/>
      <c r="DN512" s="773"/>
      <c r="DO512" s="773"/>
      <c r="DP512" s="773"/>
      <c r="DQ512" s="773"/>
      <c r="DR512" s="773"/>
      <c r="DS512" s="773"/>
      <c r="DT512" s="773"/>
      <c r="DU512" s="773"/>
      <c r="DV512" s="773"/>
      <c r="DW512" s="773"/>
      <c r="DX512" s="773"/>
      <c r="DY512" s="773"/>
      <c r="DZ512" s="773"/>
      <c r="EA512" s="773"/>
      <c r="EB512" s="773"/>
      <c r="EC512" s="773"/>
      <c r="ED512" s="773"/>
      <c r="EE512" s="773"/>
      <c r="EF512" s="773"/>
      <c r="EG512" s="773"/>
      <c r="EH512" s="773"/>
      <c r="EI512" s="773"/>
      <c r="EJ512" s="773"/>
      <c r="EK512" s="773"/>
      <c r="EL512" s="773"/>
      <c r="EM512" s="773"/>
      <c r="EN512" s="773"/>
      <c r="EO512" s="773"/>
      <c r="EP512" s="773"/>
      <c r="EQ512" s="773"/>
      <c r="ER512" s="773"/>
      <c r="ES512" s="773"/>
      <c r="ET512" s="773"/>
      <c r="EU512" s="773"/>
      <c r="EV512" s="773"/>
      <c r="EW512" s="773"/>
      <c r="EX512" s="773"/>
      <c r="EY512" s="773"/>
      <c r="EZ512" s="773"/>
      <c r="FA512" s="773"/>
      <c r="FB512" s="773"/>
      <c r="FC512" s="773"/>
      <c r="FD512" s="773"/>
      <c r="FE512" s="773"/>
      <c r="FF512" s="773"/>
      <c r="FG512" s="773"/>
      <c r="FH512" s="773"/>
      <c r="FI512" s="773"/>
      <c r="FJ512" s="773"/>
      <c r="FK512" s="773"/>
      <c r="FL512" s="773"/>
      <c r="FM512" s="773"/>
      <c r="FN512" s="773"/>
      <c r="FO512" s="773"/>
      <c r="FP512" s="773"/>
      <c r="FQ512" s="773"/>
      <c r="FR512" s="773"/>
      <c r="FS512" s="773"/>
      <c r="FT512" s="773"/>
      <c r="FU512" s="773"/>
      <c r="FV512" s="773"/>
      <c r="FW512" s="773"/>
      <c r="FX512" s="773"/>
      <c r="FY512" s="773"/>
      <c r="FZ512" s="773"/>
      <c r="GA512" s="773"/>
      <c r="GB512" s="773"/>
      <c r="GC512" s="773"/>
      <c r="GD512" s="773"/>
      <c r="GE512" s="773"/>
      <c r="GF512" s="773"/>
      <c r="GG512" s="773"/>
      <c r="GH512" s="773"/>
      <c r="GI512" s="773"/>
      <c r="GJ512" s="773"/>
      <c r="GK512" s="773"/>
      <c r="GL512" s="773"/>
      <c r="GM512" s="773"/>
      <c r="GN512" s="773"/>
      <c r="GO512" s="773"/>
      <c r="GP512" s="773"/>
      <c r="GQ512" s="773"/>
      <c r="GR512" s="773"/>
      <c r="GS512" s="773"/>
      <c r="GT512" s="773"/>
      <c r="GU512" s="773"/>
      <c r="GV512" s="773"/>
      <c r="GW512" s="773"/>
      <c r="GX512" s="773"/>
      <c r="GY512" s="773"/>
      <c r="GZ512" s="773"/>
    </row>
    <row r="513" spans="1:208" s="11" customFormat="1">
      <c r="A513" s="774"/>
      <c r="B513" s="3762" t="s">
        <v>1353</v>
      </c>
      <c r="C513" s="197">
        <v>5110008</v>
      </c>
      <c r="D513" s="199" t="s">
        <v>4011</v>
      </c>
      <c r="E513" s="798">
        <f>IFERROR(VLOOKUP(C513,'AJE 12 - INC'!$D$168:$F$771,3,0),0)</f>
        <v>148.96</v>
      </c>
      <c r="F513" s="108">
        <f>SUMIF('AJE 12 - INC'!B:B,'New TB INC'!C513,'AJE 12 - INC'!D:D)</f>
        <v>0</v>
      </c>
      <c r="G513" s="108"/>
      <c r="H513" s="108"/>
      <c r="I513" s="108"/>
      <c r="J513" s="798">
        <f>SUM(E513:I513)</f>
        <v>148.96</v>
      </c>
      <c r="K513" s="209"/>
      <c r="L513" s="434"/>
      <c r="M513" s="883"/>
      <c r="R513" s="773"/>
      <c r="T513" s="773"/>
      <c r="U513" s="2173"/>
      <c r="V513" s="2509"/>
      <c r="W513" s="2509"/>
      <c r="X513" s="2509"/>
      <c r="Y513" s="2509"/>
      <c r="AG513" s="11">
        <v>148.96</v>
      </c>
      <c r="AH513" s="11">
        <v>0</v>
      </c>
      <c r="AI513" s="11">
        <v>0</v>
      </c>
      <c r="AJ513" s="11">
        <v>0</v>
      </c>
      <c r="AK513" s="11">
        <f>$J513-SUM($Z513:AJ513)</f>
        <v>0</v>
      </c>
      <c r="AW513" s="2509"/>
      <c r="BH513" s="2509"/>
      <c r="BI513" s="772"/>
      <c r="BJ513" s="2173"/>
      <c r="BK513" s="2173"/>
      <c r="BL513" s="773"/>
      <c r="BM513" s="773"/>
      <c r="BO513" s="209"/>
      <c r="BQ513" s="209"/>
      <c r="BR513" s="859"/>
      <c r="BS513" s="885"/>
      <c r="CI513" s="4"/>
      <c r="CJ513" s="4"/>
      <c r="DB513" s="773"/>
      <c r="DC513" s="773"/>
      <c r="DD513" s="773"/>
      <c r="DE513" s="773"/>
      <c r="DF513" s="773"/>
      <c r="DG513" s="773"/>
      <c r="DH513" s="773"/>
      <c r="DI513" s="773"/>
      <c r="DJ513" s="773"/>
      <c r="DK513" s="773"/>
      <c r="DL513" s="773"/>
      <c r="DM513" s="773"/>
      <c r="DN513" s="773"/>
      <c r="DO513" s="773"/>
      <c r="DP513" s="773"/>
      <c r="DQ513" s="773"/>
      <c r="DR513" s="773"/>
      <c r="DS513" s="773"/>
      <c r="DT513" s="773"/>
      <c r="DU513" s="773"/>
      <c r="DV513" s="773"/>
      <c r="DW513" s="773"/>
      <c r="DX513" s="773"/>
      <c r="DY513" s="773"/>
      <c r="DZ513" s="773"/>
      <c r="EA513" s="773"/>
      <c r="EB513" s="773"/>
      <c r="EC513" s="773"/>
      <c r="ED513" s="773"/>
      <c r="EE513" s="773"/>
      <c r="EF513" s="773"/>
      <c r="EG513" s="773"/>
      <c r="EH513" s="773"/>
      <c r="EI513" s="773"/>
      <c r="EJ513" s="773"/>
      <c r="EK513" s="773"/>
      <c r="EL513" s="773"/>
      <c r="EM513" s="773"/>
      <c r="EN513" s="773"/>
      <c r="EO513" s="773"/>
      <c r="EP513" s="773"/>
      <c r="EQ513" s="773"/>
      <c r="ER513" s="773"/>
      <c r="ES513" s="773"/>
      <c r="ET513" s="773"/>
      <c r="EU513" s="773"/>
      <c r="EV513" s="773"/>
      <c r="EW513" s="773"/>
      <c r="EX513" s="773"/>
      <c r="EY513" s="773"/>
      <c r="EZ513" s="773"/>
      <c r="FA513" s="773"/>
      <c r="FB513" s="773"/>
      <c r="FC513" s="773"/>
      <c r="FD513" s="773"/>
      <c r="FE513" s="773"/>
      <c r="FF513" s="773"/>
      <c r="FG513" s="773"/>
      <c r="FH513" s="773"/>
      <c r="FI513" s="773"/>
      <c r="FJ513" s="773"/>
      <c r="FK513" s="773"/>
      <c r="FL513" s="773"/>
      <c r="FM513" s="773"/>
      <c r="FN513" s="773"/>
      <c r="FO513" s="773"/>
      <c r="FP513" s="773"/>
      <c r="FQ513" s="773"/>
      <c r="FR513" s="773"/>
      <c r="FS513" s="773"/>
      <c r="FT513" s="773"/>
      <c r="FU513" s="773"/>
      <c r="FV513" s="773"/>
      <c r="FW513" s="773"/>
      <c r="FX513" s="773"/>
      <c r="FY513" s="773"/>
      <c r="FZ513" s="773"/>
      <c r="GA513" s="773"/>
      <c r="GB513" s="773"/>
      <c r="GC513" s="773"/>
      <c r="GD513" s="773"/>
      <c r="GE513" s="773"/>
      <c r="GF513" s="773"/>
      <c r="GG513" s="773"/>
      <c r="GH513" s="773"/>
      <c r="GI513" s="773"/>
      <c r="GJ513" s="773"/>
      <c r="GK513" s="773"/>
      <c r="GL513" s="773"/>
      <c r="GM513" s="773"/>
      <c r="GN513" s="773"/>
      <c r="GO513" s="773"/>
      <c r="GP513" s="773"/>
      <c r="GQ513" s="773"/>
      <c r="GR513" s="773"/>
      <c r="GS513" s="773"/>
      <c r="GT513" s="773"/>
      <c r="GU513" s="773"/>
      <c r="GV513" s="773"/>
      <c r="GW513" s="773"/>
      <c r="GX513" s="773"/>
      <c r="GY513" s="773"/>
      <c r="GZ513" s="773"/>
    </row>
    <row r="514" spans="1:208" s="11" customFormat="1">
      <c r="A514" s="774"/>
      <c r="B514" s="3762" t="s">
        <v>1353</v>
      </c>
      <c r="C514" s="197">
        <v>5110007</v>
      </c>
      <c r="D514" s="199" t="s">
        <v>3758</v>
      </c>
      <c r="E514" s="798">
        <f>IFERROR(VLOOKUP(C514,'AJE 12 - INC'!$D$168:$F$771,3,0),0)</f>
        <v>1631.27</v>
      </c>
      <c r="F514" s="108">
        <f>SUMIF('AJE 12 - INC'!B:B,'New TB INC'!C514,'AJE 12 - INC'!D:D)</f>
        <v>0</v>
      </c>
      <c r="G514" s="108"/>
      <c r="H514" s="108"/>
      <c r="I514" s="108"/>
      <c r="J514" s="798">
        <f t="shared" si="53"/>
        <v>1631.27</v>
      </c>
      <c r="K514" s="209"/>
      <c r="L514" s="434"/>
      <c r="M514" s="883"/>
      <c r="R514" s="773"/>
      <c r="T514" s="773"/>
      <c r="U514" s="2173"/>
      <c r="V514" s="2509"/>
      <c r="W514" s="2509"/>
      <c r="X514" s="2509"/>
      <c r="Y514" s="2509"/>
      <c r="AE514" s="11">
        <v>74.98</v>
      </c>
      <c r="AF514" s="11">
        <v>0</v>
      </c>
      <c r="AG514" s="11">
        <v>233.45999999999998</v>
      </c>
      <c r="AH514" s="11">
        <v>0</v>
      </c>
      <c r="AI514" s="11">
        <v>0</v>
      </c>
      <c r="AJ514" s="11">
        <v>0</v>
      </c>
      <c r="AK514" s="11">
        <f>$J514-SUM($Z514:AJ514)</f>
        <v>1322.83</v>
      </c>
      <c r="AW514" s="2509"/>
      <c r="BH514" s="2509"/>
      <c r="BI514" s="772"/>
      <c r="BJ514" s="2173"/>
      <c r="BK514" s="2173"/>
      <c r="BL514" s="773"/>
      <c r="BM514" s="773"/>
      <c r="BO514" s="209"/>
      <c r="BQ514" s="209"/>
      <c r="BR514" s="859"/>
      <c r="BS514" s="885"/>
      <c r="CI514" s="4"/>
      <c r="CJ514" s="4"/>
      <c r="DB514" s="773"/>
      <c r="DC514" s="773"/>
      <c r="DD514" s="773"/>
      <c r="DE514" s="773"/>
      <c r="DF514" s="773"/>
      <c r="DG514" s="773"/>
      <c r="DH514" s="773"/>
      <c r="DI514" s="773"/>
      <c r="DJ514" s="773"/>
      <c r="DK514" s="773"/>
      <c r="DL514" s="773"/>
      <c r="DM514" s="773"/>
      <c r="DN514" s="773"/>
      <c r="DO514" s="773"/>
      <c r="DP514" s="773"/>
      <c r="DQ514" s="773"/>
      <c r="DR514" s="773"/>
      <c r="DS514" s="773"/>
      <c r="DT514" s="773"/>
      <c r="DU514" s="773"/>
      <c r="DV514" s="773"/>
      <c r="DW514" s="773"/>
      <c r="DX514" s="773"/>
      <c r="DY514" s="773"/>
      <c r="DZ514" s="773"/>
      <c r="EA514" s="773"/>
      <c r="EB514" s="773"/>
      <c r="EC514" s="773"/>
      <c r="ED514" s="773"/>
      <c r="EE514" s="773"/>
      <c r="EF514" s="773"/>
      <c r="EG514" s="773"/>
      <c r="EH514" s="773"/>
      <c r="EI514" s="773"/>
      <c r="EJ514" s="773"/>
      <c r="EK514" s="773"/>
      <c r="EL514" s="773"/>
      <c r="EM514" s="773"/>
      <c r="EN514" s="773"/>
      <c r="EO514" s="773"/>
      <c r="EP514" s="773"/>
      <c r="EQ514" s="773"/>
      <c r="ER514" s="773"/>
      <c r="ES514" s="773"/>
      <c r="ET514" s="773"/>
      <c r="EU514" s="773"/>
      <c r="EV514" s="773"/>
      <c r="EW514" s="773"/>
      <c r="EX514" s="773"/>
      <c r="EY514" s="773"/>
      <c r="EZ514" s="773"/>
      <c r="FA514" s="773"/>
      <c r="FB514" s="773"/>
      <c r="FC514" s="773"/>
      <c r="FD514" s="773"/>
      <c r="FE514" s="773"/>
      <c r="FF514" s="773"/>
      <c r="FG514" s="773"/>
      <c r="FH514" s="773"/>
      <c r="FI514" s="773"/>
      <c r="FJ514" s="773"/>
      <c r="FK514" s="773"/>
      <c r="FL514" s="773"/>
      <c r="FM514" s="773"/>
      <c r="FN514" s="773"/>
      <c r="FO514" s="773"/>
      <c r="FP514" s="773"/>
      <c r="FQ514" s="773"/>
      <c r="FR514" s="773"/>
      <c r="FS514" s="773"/>
      <c r="FT514" s="773"/>
      <c r="FU514" s="773"/>
      <c r="FV514" s="773"/>
      <c r="FW514" s="773"/>
      <c r="FX514" s="773"/>
      <c r="FY514" s="773"/>
      <c r="FZ514" s="773"/>
      <c r="GA514" s="773"/>
      <c r="GB514" s="773"/>
      <c r="GC514" s="773"/>
      <c r="GD514" s="773"/>
      <c r="GE514" s="773"/>
      <c r="GF514" s="773"/>
      <c r="GG514" s="773"/>
      <c r="GH514" s="773"/>
      <c r="GI514" s="773"/>
      <c r="GJ514" s="773"/>
      <c r="GK514" s="773"/>
      <c r="GL514" s="773"/>
      <c r="GM514" s="773"/>
      <c r="GN514" s="773"/>
      <c r="GO514" s="773"/>
      <c r="GP514" s="773"/>
      <c r="GQ514" s="773"/>
      <c r="GR514" s="773"/>
      <c r="GS514" s="773"/>
      <c r="GT514" s="773"/>
      <c r="GU514" s="773"/>
      <c r="GV514" s="773"/>
      <c r="GW514" s="773"/>
      <c r="GX514" s="773"/>
      <c r="GY514" s="773"/>
      <c r="GZ514" s="773"/>
    </row>
    <row r="515" spans="1:208" s="11" customFormat="1">
      <c r="A515" s="774"/>
      <c r="B515" s="3762" t="s">
        <v>1353</v>
      </c>
      <c r="C515" s="197">
        <v>5110009</v>
      </c>
      <c r="D515" s="199" t="s">
        <v>4164</v>
      </c>
      <c r="E515" s="798">
        <f>IFERROR(VLOOKUP(C515,'AJE 12 - INC'!$D$168:$F$771,3,0),0)</f>
        <v>300</v>
      </c>
      <c r="F515" s="108">
        <f>SUMIF('AJE 12 - INC'!B:B,'New TB INC'!C515,'AJE 12 - INC'!D:D)</f>
        <v>0</v>
      </c>
      <c r="G515" s="108"/>
      <c r="H515" s="108"/>
      <c r="I515" s="108"/>
      <c r="J515" s="798">
        <f>SUM(E515:I515)</f>
        <v>300</v>
      </c>
      <c r="K515" s="209"/>
      <c r="L515" s="434"/>
      <c r="M515" s="883"/>
      <c r="R515" s="773"/>
      <c r="T515" s="773"/>
      <c r="U515" s="2173"/>
      <c r="V515" s="2509"/>
      <c r="W515" s="2509"/>
      <c r="X515" s="2509"/>
      <c r="Y515" s="2509"/>
      <c r="AH515" s="11">
        <v>300</v>
      </c>
      <c r="AI515" s="11">
        <v>0</v>
      </c>
      <c r="AJ515" s="11">
        <v>0</v>
      </c>
      <c r="AK515" s="11">
        <f>$J515-SUM($Z515:AJ515)</f>
        <v>0</v>
      </c>
      <c r="AW515" s="2509"/>
      <c r="BH515" s="2509"/>
      <c r="BI515" s="772"/>
      <c r="BJ515" s="2173"/>
      <c r="BK515" s="2173"/>
      <c r="BL515" s="773"/>
      <c r="BM515" s="773"/>
      <c r="BO515" s="209"/>
      <c r="BQ515" s="209"/>
      <c r="BR515" s="859"/>
      <c r="BS515" s="885"/>
      <c r="CI515" s="4"/>
      <c r="CJ515" s="4"/>
      <c r="DB515" s="773"/>
      <c r="DC515" s="773"/>
      <c r="DD515" s="773"/>
      <c r="DE515" s="773"/>
      <c r="DF515" s="773"/>
      <c r="DG515" s="773"/>
      <c r="DH515" s="773"/>
      <c r="DI515" s="773"/>
      <c r="DJ515" s="773"/>
      <c r="DK515" s="773"/>
      <c r="DL515" s="773"/>
      <c r="DM515" s="773"/>
      <c r="DN515" s="773"/>
      <c r="DO515" s="773"/>
      <c r="DP515" s="773"/>
      <c r="DQ515" s="773"/>
      <c r="DR515" s="773"/>
      <c r="DS515" s="773"/>
      <c r="DT515" s="773"/>
      <c r="DU515" s="773"/>
      <c r="DV515" s="773"/>
      <c r="DW515" s="773"/>
      <c r="DX515" s="773"/>
      <c r="DY515" s="773"/>
      <c r="DZ515" s="773"/>
      <c r="EA515" s="773"/>
      <c r="EB515" s="773"/>
      <c r="EC515" s="773"/>
      <c r="ED515" s="773"/>
      <c r="EE515" s="773"/>
      <c r="EF515" s="773"/>
      <c r="EG515" s="773"/>
      <c r="EH515" s="773"/>
      <c r="EI515" s="773"/>
      <c r="EJ515" s="773"/>
      <c r="EK515" s="773"/>
      <c r="EL515" s="773"/>
      <c r="EM515" s="773"/>
      <c r="EN515" s="773"/>
      <c r="EO515" s="773"/>
      <c r="EP515" s="773"/>
      <c r="EQ515" s="773"/>
      <c r="ER515" s="773"/>
      <c r="ES515" s="773"/>
      <c r="ET515" s="773"/>
      <c r="EU515" s="773"/>
      <c r="EV515" s="773"/>
      <c r="EW515" s="773"/>
      <c r="EX515" s="773"/>
      <c r="EY515" s="773"/>
      <c r="EZ515" s="773"/>
      <c r="FA515" s="773"/>
      <c r="FB515" s="773"/>
      <c r="FC515" s="773"/>
      <c r="FD515" s="773"/>
      <c r="FE515" s="773"/>
      <c r="FF515" s="773"/>
      <c r="FG515" s="773"/>
      <c r="FH515" s="773"/>
      <c r="FI515" s="773"/>
      <c r="FJ515" s="773"/>
      <c r="FK515" s="773"/>
      <c r="FL515" s="773"/>
      <c r="FM515" s="773"/>
      <c r="FN515" s="773"/>
      <c r="FO515" s="773"/>
      <c r="FP515" s="773"/>
      <c r="FQ515" s="773"/>
      <c r="FR515" s="773"/>
      <c r="FS515" s="773"/>
      <c r="FT515" s="773"/>
      <c r="FU515" s="773"/>
      <c r="FV515" s="773"/>
      <c r="FW515" s="773"/>
      <c r="FX515" s="773"/>
      <c r="FY515" s="773"/>
      <c r="FZ515" s="773"/>
      <c r="GA515" s="773"/>
      <c r="GB515" s="773"/>
      <c r="GC515" s="773"/>
      <c r="GD515" s="773"/>
      <c r="GE515" s="773"/>
      <c r="GF515" s="773"/>
      <c r="GG515" s="773"/>
      <c r="GH515" s="773"/>
      <c r="GI515" s="773"/>
      <c r="GJ515" s="773"/>
      <c r="GK515" s="773"/>
      <c r="GL515" s="773"/>
      <c r="GM515" s="773"/>
      <c r="GN515" s="773"/>
      <c r="GO515" s="773"/>
      <c r="GP515" s="773"/>
      <c r="GQ515" s="773"/>
      <c r="GR515" s="773"/>
      <c r="GS515" s="773"/>
      <c r="GT515" s="773"/>
      <c r="GU515" s="773"/>
      <c r="GV515" s="773"/>
      <c r="GW515" s="773"/>
      <c r="GX515" s="773"/>
      <c r="GY515" s="773"/>
      <c r="GZ515" s="773"/>
    </row>
    <row r="516" spans="1:208" s="11" customFormat="1">
      <c r="A516" s="774"/>
      <c r="B516" s="3762"/>
      <c r="C516" s="197"/>
      <c r="D516" s="199"/>
      <c r="E516" s="42"/>
      <c r="F516" s="108">
        <f>SUMIF('AJE 12 - INC'!B:B,'New TB INC'!C516,'AJE 12 - INC'!D:D)</f>
        <v>0</v>
      </c>
      <c r="G516" s="108"/>
      <c r="H516" s="108"/>
      <c r="I516" s="108"/>
      <c r="J516" s="798"/>
      <c r="K516" s="209"/>
      <c r="L516" s="434"/>
      <c r="M516" s="883"/>
      <c r="N516" s="11">
        <v>0</v>
      </c>
      <c r="O516" s="11">
        <v>0</v>
      </c>
      <c r="P516" s="11">
        <v>0</v>
      </c>
      <c r="Q516" s="11">
        <v>0</v>
      </c>
      <c r="R516" s="773">
        <v>0</v>
      </c>
      <c r="S516" s="11">
        <v>0</v>
      </c>
      <c r="T516" s="773">
        <v>0</v>
      </c>
      <c r="U516" s="2173">
        <v>0</v>
      </c>
      <c r="V516" s="2509">
        <v>0</v>
      </c>
      <c r="W516" s="2509">
        <v>0</v>
      </c>
      <c r="X516" s="2509">
        <v>0</v>
      </c>
      <c r="Y516" s="2509">
        <v>0</v>
      </c>
      <c r="Z516" s="11">
        <f>'[26]New TB INC'!Z466</f>
        <v>0</v>
      </c>
      <c r="AA516" s="11">
        <f>'[27]New TB INC'!AA474</f>
        <v>0</v>
      </c>
      <c r="AB516" s="11">
        <f>'[28]New TB INC'!AB481</f>
        <v>0</v>
      </c>
      <c r="AC516" s="11">
        <f>'[29]New TB INC'!AC477</f>
        <v>0</v>
      </c>
      <c r="AD516" s="11">
        <f>'[30]New TB INC'!AD472</f>
        <v>0</v>
      </c>
      <c r="AE516" s="11">
        <f>'[31]New TB INC'!AE480</f>
        <v>0</v>
      </c>
      <c r="AF516" s="11">
        <v>0</v>
      </c>
      <c r="AG516" s="11">
        <v>0</v>
      </c>
      <c r="AH516" s="11">
        <v>0</v>
      </c>
      <c r="AI516" s="11">
        <v>0</v>
      </c>
      <c r="AJ516" s="11">
        <v>0</v>
      </c>
      <c r="AK516" s="11">
        <f>$J516-SUM($Z516:AJ516)</f>
        <v>0</v>
      </c>
      <c r="AW516" s="2509"/>
      <c r="BH516" s="2509"/>
      <c r="BI516" s="772"/>
      <c r="BJ516" s="2173"/>
      <c r="BK516" s="2173"/>
      <c r="BL516" s="773"/>
      <c r="BM516" s="773"/>
      <c r="BO516" s="209"/>
      <c r="BQ516" s="209"/>
      <c r="BR516" s="859"/>
      <c r="BS516" s="885"/>
      <c r="CI516" s="4"/>
      <c r="CJ516" s="4"/>
      <c r="DB516" s="773"/>
      <c r="DC516" s="773"/>
      <c r="DD516" s="773"/>
      <c r="DE516" s="773"/>
      <c r="DF516" s="773"/>
      <c r="DG516" s="773"/>
      <c r="DH516" s="773"/>
      <c r="DI516" s="773"/>
      <c r="DJ516" s="773"/>
      <c r="DK516" s="773"/>
      <c r="DL516" s="773"/>
      <c r="DM516" s="773"/>
      <c r="DN516" s="773"/>
      <c r="DO516" s="773"/>
      <c r="DP516" s="773"/>
      <c r="DQ516" s="773"/>
      <c r="DR516" s="773"/>
      <c r="DS516" s="773"/>
      <c r="DT516" s="773"/>
      <c r="DU516" s="773"/>
      <c r="DV516" s="773"/>
      <c r="DW516" s="773"/>
      <c r="DX516" s="773"/>
      <c r="DY516" s="773"/>
      <c r="DZ516" s="773"/>
      <c r="EA516" s="773"/>
      <c r="EB516" s="773"/>
      <c r="EC516" s="773"/>
      <c r="ED516" s="773"/>
      <c r="EE516" s="773"/>
      <c r="EF516" s="773"/>
      <c r="EG516" s="773"/>
      <c r="EH516" s="773"/>
      <c r="EI516" s="773"/>
      <c r="EJ516" s="773"/>
      <c r="EK516" s="773"/>
      <c r="EL516" s="773"/>
      <c r="EM516" s="773"/>
      <c r="EN516" s="773"/>
      <c r="EO516" s="773"/>
      <c r="EP516" s="773"/>
      <c r="EQ516" s="773"/>
      <c r="ER516" s="773"/>
      <c r="ES516" s="773"/>
      <c r="ET516" s="773"/>
      <c r="EU516" s="773"/>
      <c r="EV516" s="773"/>
      <c r="EW516" s="773"/>
      <c r="EX516" s="773"/>
      <c r="EY516" s="773"/>
      <c r="EZ516" s="773"/>
      <c r="FA516" s="773"/>
      <c r="FB516" s="773"/>
      <c r="FC516" s="773"/>
      <c r="FD516" s="773"/>
      <c r="FE516" s="773"/>
      <c r="FF516" s="773"/>
      <c r="FG516" s="773"/>
      <c r="FH516" s="773"/>
      <c r="FI516" s="773"/>
      <c r="FJ516" s="773"/>
      <c r="FK516" s="773"/>
      <c r="FL516" s="773"/>
      <c r="FM516" s="773"/>
      <c r="FN516" s="773"/>
      <c r="FO516" s="773"/>
      <c r="FP516" s="773"/>
      <c r="FQ516" s="773"/>
      <c r="FR516" s="773"/>
      <c r="FS516" s="773"/>
      <c r="FT516" s="773"/>
      <c r="FU516" s="773"/>
      <c r="FV516" s="773"/>
      <c r="FW516" s="773"/>
      <c r="FX516" s="773"/>
      <c r="FY516" s="773"/>
      <c r="FZ516" s="773"/>
      <c r="GA516" s="773"/>
      <c r="GB516" s="773"/>
      <c r="GC516" s="773"/>
      <c r="GD516" s="773"/>
      <c r="GE516" s="773"/>
      <c r="GF516" s="773"/>
      <c r="GG516" s="773"/>
      <c r="GH516" s="773"/>
      <c r="GI516" s="773"/>
      <c r="GJ516" s="773"/>
      <c r="GK516" s="773"/>
      <c r="GL516" s="773"/>
      <c r="GM516" s="773"/>
      <c r="GN516" s="773"/>
      <c r="GO516" s="773"/>
      <c r="GP516" s="773"/>
      <c r="GQ516" s="773"/>
      <c r="GR516" s="773"/>
      <c r="GS516" s="773"/>
      <c r="GT516" s="773"/>
      <c r="GU516" s="773"/>
      <c r="GV516" s="773"/>
      <c r="GW516" s="773"/>
      <c r="GX516" s="773"/>
      <c r="GY516" s="773"/>
      <c r="GZ516" s="773"/>
    </row>
    <row r="517" spans="1:208" s="11" customFormat="1">
      <c r="A517" s="774"/>
      <c r="B517" s="3762" t="s">
        <v>829</v>
      </c>
      <c r="C517" s="2024">
        <v>5119999</v>
      </c>
      <c r="D517" s="200" t="s">
        <v>1799</v>
      </c>
      <c r="E517" s="798">
        <f>IFERROR(VLOOKUP(C517,'AJE 12 - INC'!$D$168:$F$771,3,0),0)</f>
        <v>15537.05</v>
      </c>
      <c r="F517" s="108">
        <f>SUMIF('AJE 12 - INC'!B:B,'New TB INC'!C517,'AJE 12 - INC'!D:D)</f>
        <v>0</v>
      </c>
      <c r="G517" s="108"/>
      <c r="H517" s="108"/>
      <c r="I517" s="108"/>
      <c r="J517" s="798">
        <f>SUM(E517:I517)</f>
        <v>15537.05</v>
      </c>
      <c r="K517" s="209"/>
      <c r="L517" s="434"/>
      <c r="M517" s="883"/>
      <c r="N517" s="11">
        <v>53239.593488372091</v>
      </c>
      <c r="O517" s="11">
        <v>4606.1383720930244</v>
      </c>
      <c r="P517" s="11">
        <v>-29597.505146179406</v>
      </c>
      <c r="Q517" s="11">
        <v>4176.9427142857166</v>
      </c>
      <c r="R517" s="773">
        <v>4191.4284285714311</v>
      </c>
      <c r="S517" s="11">
        <v>17810.204178571432</v>
      </c>
      <c r="T517" s="773">
        <v>7103.4418928571395</v>
      </c>
      <c r="U517" s="2173">
        <v>6502.5376964285751</v>
      </c>
      <c r="V517" s="2509">
        <v>6346.2883750000037</v>
      </c>
      <c r="W517" s="2509">
        <v>10991.757125000004</v>
      </c>
      <c r="X517" s="2509">
        <v>7439.2329642857221</v>
      </c>
      <c r="Y517" s="2509">
        <v>4877.0499107142678</v>
      </c>
      <c r="Z517" s="11">
        <f>'[26]New TB INC'!Z467</f>
        <v>5890.3672413793101</v>
      </c>
      <c r="AA517" s="11">
        <f>'[27]New TB INC'!AA475</f>
        <v>4019.2034482758627</v>
      </c>
      <c r="AB517" s="11">
        <f>'[28]New TB INC'!AB482</f>
        <v>9499.0693103448266</v>
      </c>
      <c r="AC517" s="11">
        <f>'[29]New TB INC'!AC478</f>
        <v>6119.7441379310403</v>
      </c>
      <c r="AD517" s="11">
        <f>'[30]New TB INC'!AD473</f>
        <v>3583.2527586206852</v>
      </c>
      <c r="AE517" s="11">
        <f>'[31]New TB INC'!AE481</f>
        <v>5809.6231034482771</v>
      </c>
      <c r="AF517" s="11">
        <v>-6746.2599655172417</v>
      </c>
      <c r="AG517" s="11">
        <v>4062.8627586206821</v>
      </c>
      <c r="AH517" s="11">
        <v>3620.7172068965592</v>
      </c>
      <c r="AI517" s="11">
        <v>-27053.213758620695</v>
      </c>
      <c r="AJ517" s="11">
        <v>4206.8844827586217</v>
      </c>
      <c r="AK517" s="11">
        <f>$J517-SUM($Z517:AJ517)</f>
        <v>2524.7992758620712</v>
      </c>
      <c r="AW517" s="2509"/>
      <c r="BH517" s="2509"/>
      <c r="BI517" s="772"/>
      <c r="BJ517" s="2173"/>
      <c r="BK517" s="2173"/>
      <c r="BL517" s="773"/>
      <c r="BM517" s="773"/>
      <c r="BO517" s="209"/>
      <c r="BQ517" s="209"/>
      <c r="BR517" s="859"/>
      <c r="BS517" s="885"/>
      <c r="CI517" s="4"/>
      <c r="CJ517" s="4"/>
      <c r="DB517" s="773"/>
      <c r="DC517" s="773"/>
      <c r="DD517" s="773"/>
      <c r="DE517" s="773"/>
      <c r="DF517" s="773"/>
      <c r="DG517" s="773"/>
      <c r="DH517" s="773"/>
      <c r="DI517" s="773"/>
      <c r="DJ517" s="773"/>
      <c r="DK517" s="773"/>
      <c r="DL517" s="773"/>
      <c r="DM517" s="773"/>
      <c r="DN517" s="773"/>
      <c r="DO517" s="773"/>
      <c r="DP517" s="773"/>
      <c r="DQ517" s="773"/>
      <c r="DR517" s="773"/>
      <c r="DS517" s="773"/>
      <c r="DT517" s="773"/>
      <c r="DU517" s="773"/>
      <c r="DV517" s="773"/>
      <c r="DW517" s="773"/>
      <c r="DX517" s="773"/>
      <c r="DY517" s="773"/>
      <c r="DZ517" s="773"/>
      <c r="EA517" s="773"/>
      <c r="EB517" s="773"/>
      <c r="EC517" s="773"/>
      <c r="ED517" s="773"/>
      <c r="EE517" s="773"/>
      <c r="EF517" s="773"/>
      <c r="EG517" s="773"/>
      <c r="EH517" s="773"/>
      <c r="EI517" s="773"/>
      <c r="EJ517" s="773"/>
      <c r="EK517" s="773"/>
      <c r="EL517" s="773"/>
      <c r="EM517" s="773"/>
      <c r="EN517" s="773"/>
      <c r="EO517" s="773"/>
      <c r="EP517" s="773"/>
      <c r="EQ517" s="773"/>
      <c r="ER517" s="773"/>
      <c r="ES517" s="773"/>
      <c r="ET517" s="773"/>
      <c r="EU517" s="773"/>
      <c r="EV517" s="773"/>
      <c r="EW517" s="773"/>
      <c r="EX517" s="773"/>
      <c r="EY517" s="773"/>
      <c r="EZ517" s="773"/>
      <c r="FA517" s="773"/>
      <c r="FB517" s="773"/>
      <c r="FC517" s="773"/>
      <c r="FD517" s="773"/>
      <c r="FE517" s="773"/>
      <c r="FF517" s="773"/>
      <c r="FG517" s="773"/>
      <c r="FH517" s="773"/>
      <c r="FI517" s="773"/>
      <c r="FJ517" s="773"/>
      <c r="FK517" s="773"/>
      <c r="FL517" s="773"/>
      <c r="FM517" s="773"/>
      <c r="FN517" s="773"/>
      <c r="FO517" s="773"/>
      <c r="FP517" s="773"/>
      <c r="FQ517" s="773"/>
      <c r="FR517" s="773"/>
      <c r="FS517" s="773"/>
      <c r="FT517" s="773"/>
      <c r="FU517" s="773"/>
      <c r="FV517" s="773"/>
      <c r="FW517" s="773"/>
      <c r="FX517" s="773"/>
      <c r="FY517" s="773"/>
      <c r="FZ517" s="773"/>
      <c r="GA517" s="773"/>
      <c r="GB517" s="773"/>
      <c r="GC517" s="773"/>
      <c r="GD517" s="773"/>
      <c r="GE517" s="773"/>
      <c r="GF517" s="773"/>
      <c r="GG517" s="773"/>
      <c r="GH517" s="773"/>
      <c r="GI517" s="773"/>
      <c r="GJ517" s="773"/>
      <c r="GK517" s="773"/>
      <c r="GL517" s="773"/>
      <c r="GM517" s="773"/>
      <c r="GN517" s="773"/>
      <c r="GO517" s="773"/>
      <c r="GP517" s="773"/>
      <c r="GQ517" s="773"/>
      <c r="GR517" s="773"/>
      <c r="GS517" s="773"/>
      <c r="GT517" s="773"/>
      <c r="GU517" s="773"/>
      <c r="GV517" s="773"/>
      <c r="GW517" s="773"/>
      <c r="GX517" s="773"/>
      <c r="GY517" s="773"/>
      <c r="GZ517" s="773"/>
    </row>
    <row r="518" spans="1:208" s="11" customFormat="1">
      <c r="A518" s="774"/>
      <c r="B518" s="3762"/>
      <c r="C518" s="814"/>
      <c r="D518" s="199"/>
      <c r="E518" s="42"/>
      <c r="F518" s="108">
        <f>SUMIF('AJE 12 - INC'!B:B,'New TB INC'!C518,'AJE 12 - INC'!D:D)</f>
        <v>0</v>
      </c>
      <c r="G518" s="108"/>
      <c r="H518" s="108"/>
      <c r="I518" s="108"/>
      <c r="J518" s="798"/>
      <c r="K518" s="209"/>
      <c r="L518" s="434"/>
      <c r="M518" s="883"/>
      <c r="N518" s="11">
        <v>0</v>
      </c>
      <c r="O518" s="11">
        <v>0</v>
      </c>
      <c r="P518" s="11">
        <v>0</v>
      </c>
      <c r="Q518" s="11">
        <v>0</v>
      </c>
      <c r="R518" s="773">
        <v>0</v>
      </c>
      <c r="S518" s="11">
        <v>0</v>
      </c>
      <c r="T518" s="773">
        <v>0</v>
      </c>
      <c r="U518" s="2173">
        <v>0</v>
      </c>
      <c r="V518" s="2509">
        <v>0</v>
      </c>
      <c r="W518" s="2509">
        <v>0</v>
      </c>
      <c r="X518" s="2509">
        <v>0</v>
      </c>
      <c r="Y518" s="2509">
        <v>0</v>
      </c>
      <c r="Z518" s="11">
        <f>'[26]New TB INC'!Z468</f>
        <v>0</v>
      </c>
      <c r="AA518" s="11">
        <f>'[27]New TB INC'!AA476</f>
        <v>0</v>
      </c>
      <c r="AB518" s="11">
        <f>'[28]New TB INC'!AB483</f>
        <v>0</v>
      </c>
      <c r="AC518" s="11">
        <f>'[29]New TB INC'!AC479</f>
        <v>0</v>
      </c>
      <c r="AD518" s="11">
        <f>'[30]New TB INC'!AD474</f>
        <v>0</v>
      </c>
      <c r="AE518" s="11">
        <f>'[31]New TB INC'!AE482</f>
        <v>0</v>
      </c>
      <c r="AF518" s="11">
        <v>0</v>
      </c>
      <c r="AG518" s="11">
        <v>0</v>
      </c>
      <c r="AH518" s="11">
        <v>0</v>
      </c>
      <c r="AI518" s="11">
        <v>0</v>
      </c>
      <c r="AJ518" s="11">
        <v>0</v>
      </c>
      <c r="AK518" s="11">
        <f>$J518-SUM($Z518:AJ518)</f>
        <v>0</v>
      </c>
      <c r="AW518" s="2509"/>
      <c r="BH518" s="2509"/>
      <c r="BI518" s="772"/>
      <c r="BJ518" s="2173"/>
      <c r="BK518" s="2173"/>
      <c r="BL518" s="773"/>
      <c r="BM518" s="773"/>
      <c r="BO518" s="209"/>
      <c r="BQ518" s="209"/>
      <c r="BR518" s="859"/>
      <c r="BS518" s="885"/>
      <c r="CI518" s="4"/>
      <c r="CJ518" s="4"/>
      <c r="DB518" s="773"/>
      <c r="DC518" s="773"/>
      <c r="DD518" s="773"/>
      <c r="DE518" s="773"/>
      <c r="DF518" s="773"/>
      <c r="DG518" s="773"/>
      <c r="DH518" s="773"/>
      <c r="DI518" s="773"/>
      <c r="DJ518" s="773"/>
      <c r="DK518" s="773"/>
      <c r="DL518" s="773"/>
      <c r="DM518" s="773"/>
      <c r="DN518" s="773"/>
      <c r="DO518" s="773"/>
      <c r="DP518" s="773"/>
      <c r="DQ518" s="773"/>
      <c r="DR518" s="773"/>
      <c r="DS518" s="773"/>
      <c r="DT518" s="773"/>
      <c r="DU518" s="773"/>
      <c r="DV518" s="773"/>
      <c r="DW518" s="773"/>
      <c r="DX518" s="773"/>
      <c r="DY518" s="773"/>
      <c r="DZ518" s="773"/>
      <c r="EA518" s="773"/>
      <c r="EB518" s="773"/>
      <c r="EC518" s="773"/>
      <c r="ED518" s="773"/>
      <c r="EE518" s="773"/>
      <c r="EF518" s="773"/>
      <c r="EG518" s="773"/>
      <c r="EH518" s="773"/>
      <c r="EI518" s="773"/>
      <c r="EJ518" s="773"/>
      <c r="EK518" s="773"/>
      <c r="EL518" s="773"/>
      <c r="EM518" s="773"/>
      <c r="EN518" s="773"/>
      <c r="EO518" s="773"/>
      <c r="EP518" s="773"/>
      <c r="EQ518" s="773"/>
      <c r="ER518" s="773"/>
      <c r="ES518" s="773"/>
      <c r="ET518" s="773"/>
      <c r="EU518" s="773"/>
      <c r="EV518" s="773"/>
      <c r="EW518" s="773"/>
      <c r="EX518" s="773"/>
      <c r="EY518" s="773"/>
      <c r="EZ518" s="773"/>
      <c r="FA518" s="773"/>
      <c r="FB518" s="773"/>
      <c r="FC518" s="773"/>
      <c r="FD518" s="773"/>
      <c r="FE518" s="773"/>
      <c r="FF518" s="773"/>
      <c r="FG518" s="773"/>
      <c r="FH518" s="773"/>
      <c r="FI518" s="773"/>
      <c r="FJ518" s="773"/>
      <c r="FK518" s="773"/>
      <c r="FL518" s="773"/>
      <c r="FM518" s="773"/>
      <c r="FN518" s="773"/>
      <c r="FO518" s="773"/>
      <c r="FP518" s="773"/>
      <c r="FQ518" s="773"/>
      <c r="FR518" s="773"/>
      <c r="FS518" s="773"/>
      <c r="FT518" s="773"/>
      <c r="FU518" s="773"/>
      <c r="FV518" s="773"/>
      <c r="FW518" s="773"/>
      <c r="FX518" s="773"/>
      <c r="FY518" s="773"/>
      <c r="FZ518" s="773"/>
      <c r="GA518" s="773"/>
      <c r="GB518" s="773"/>
      <c r="GC518" s="773"/>
      <c r="GD518" s="773"/>
      <c r="GE518" s="773"/>
      <c r="GF518" s="773"/>
      <c r="GG518" s="773"/>
      <c r="GH518" s="773"/>
      <c r="GI518" s="773"/>
      <c r="GJ518" s="773"/>
      <c r="GK518" s="773"/>
      <c r="GL518" s="773"/>
      <c r="GM518" s="773"/>
      <c r="GN518" s="773"/>
      <c r="GO518" s="773"/>
      <c r="GP518" s="773"/>
      <c r="GQ518" s="773"/>
      <c r="GR518" s="773"/>
      <c r="GS518" s="773"/>
      <c r="GT518" s="773"/>
      <c r="GU518" s="773"/>
      <c r="GV518" s="773"/>
      <c r="GW518" s="773"/>
      <c r="GX518" s="773"/>
      <c r="GY518" s="773"/>
      <c r="GZ518" s="773"/>
    </row>
    <row r="519" spans="1:208" s="11" customFormat="1" ht="90">
      <c r="A519" s="774"/>
      <c r="B519" s="3762" t="s">
        <v>785</v>
      </c>
      <c r="C519" s="197">
        <v>5200001</v>
      </c>
      <c r="D519" s="199" t="s">
        <v>3419</v>
      </c>
      <c r="E519" s="798">
        <f>IFERROR(VLOOKUP(C519,'AJE 12 - INC'!$D$168:$F$771,3,0),0)</f>
        <v>1528041.83</v>
      </c>
      <c r="F519" s="108">
        <f>SUMIF('AJE 12 - INC'!B:B,'New TB INC'!C519,'AJE 12 - INC'!D:D)</f>
        <v>0</v>
      </c>
      <c r="G519" s="108"/>
      <c r="H519" s="108"/>
      <c r="I519" s="108"/>
      <c r="J519" s="798">
        <f t="shared" ref="J519:J542" si="54">SUM(E519:I519)</f>
        <v>1528041.83</v>
      </c>
      <c r="K519" s="209"/>
      <c r="L519" s="434"/>
      <c r="M519" s="883"/>
      <c r="N519" s="773">
        <v>109172.24</v>
      </c>
      <c r="O519" s="773">
        <v>107658.33999999998</v>
      </c>
      <c r="P519" s="773">
        <v>119059.62000000004</v>
      </c>
      <c r="Q519" s="773">
        <v>123741.65999999999</v>
      </c>
      <c r="R519" s="773">
        <v>123741.66000000002</v>
      </c>
      <c r="S519" s="11">
        <v>120850.64000000003</v>
      </c>
      <c r="T519" s="773">
        <v>108296.79999999992</v>
      </c>
      <c r="U519" s="2173">
        <v>98217.239999999991</v>
      </c>
      <c r="V519" s="2509">
        <v>87632.20000000007</v>
      </c>
      <c r="W519" s="2509">
        <v>79812.499999999884</v>
      </c>
      <c r="X519" s="2509">
        <v>85852.050000000047</v>
      </c>
      <c r="Y519" s="2509">
        <v>101305.69999999995</v>
      </c>
      <c r="Z519" s="11">
        <f>'[26]New TB INC'!Z469</f>
        <v>93154.17</v>
      </c>
      <c r="AA519" s="11">
        <f>'[27]New TB INC'!AA477</f>
        <v>93483.340000000011</v>
      </c>
      <c r="AB519" s="11">
        <f>'[28]New TB INC'!AB484</f>
        <v>103041.02999999997</v>
      </c>
      <c r="AC519" s="11">
        <f>'[29]New TB INC'!AC480</f>
        <v>122367.95000000001</v>
      </c>
      <c r="AD519" s="11">
        <f>'[30]New TB INC'!AD475</f>
        <v>121400</v>
      </c>
      <c r="AE519" s="11">
        <f>'[31]New TB INC'!AE483</f>
        <v>132233.33999999997</v>
      </c>
      <c r="AF519" s="11">
        <v>144316.66000000003</v>
      </c>
      <c r="AG519" s="11">
        <v>140434.71999999997</v>
      </c>
      <c r="AH519" s="11">
        <v>144583.33000000007</v>
      </c>
      <c r="AI519" s="11">
        <v>145933.33999999985</v>
      </c>
      <c r="AJ519" s="11">
        <v>145933.34000000008</v>
      </c>
      <c r="AK519" s="11">
        <f>$J519-SUM($Z519:AJ519)</f>
        <v>141160.6100000001</v>
      </c>
      <c r="AP519" s="11">
        <f>AH519-AG519</f>
        <v>4148.6100000001024</v>
      </c>
      <c r="AR519" s="11" t="s">
        <v>3937</v>
      </c>
      <c r="AS519" s="11" t="s">
        <v>3770</v>
      </c>
      <c r="AT519" s="2970" t="s">
        <v>3613</v>
      </c>
      <c r="AV519" s="2696" t="s">
        <v>3272</v>
      </c>
      <c r="AW519" s="2696" t="s">
        <v>3131</v>
      </c>
      <c r="BH519" s="344"/>
      <c r="BI519" s="2538"/>
      <c r="BJ519" s="2173"/>
      <c r="BK519" s="2482"/>
      <c r="BL519" s="2165"/>
      <c r="BM519" s="2165"/>
      <c r="BO519" s="209"/>
      <c r="BQ519" s="209"/>
      <c r="BR519" s="859"/>
      <c r="BS519" s="885"/>
      <c r="CI519" s="4"/>
      <c r="CJ519" s="4"/>
      <c r="DB519" s="773"/>
      <c r="DC519" s="773"/>
      <c r="DD519" s="773"/>
      <c r="DE519" s="773"/>
      <c r="DF519" s="773"/>
      <c r="DG519" s="773"/>
      <c r="DH519" s="773"/>
      <c r="DI519" s="773"/>
      <c r="DJ519" s="773"/>
      <c r="DK519" s="773"/>
      <c r="DL519" s="773"/>
      <c r="DM519" s="773"/>
      <c r="DN519" s="773"/>
      <c r="DO519" s="773"/>
      <c r="DP519" s="773"/>
      <c r="DQ519" s="773"/>
      <c r="DR519" s="773"/>
      <c r="DS519" s="773"/>
      <c r="DT519" s="773"/>
      <c r="DU519" s="773"/>
      <c r="DV519" s="773"/>
      <c r="DW519" s="773"/>
      <c r="DX519" s="773"/>
      <c r="DY519" s="773"/>
      <c r="DZ519" s="773"/>
      <c r="EA519" s="773"/>
      <c r="EB519" s="773"/>
      <c r="EC519" s="773"/>
      <c r="ED519" s="773"/>
      <c r="EE519" s="773"/>
      <c r="EF519" s="773"/>
      <c r="EG519" s="773"/>
      <c r="EH519" s="773"/>
      <c r="EI519" s="773"/>
      <c r="EJ519" s="773"/>
      <c r="EK519" s="773"/>
      <c r="EL519" s="773"/>
      <c r="EM519" s="773"/>
      <c r="EN519" s="773"/>
      <c r="EO519" s="773"/>
      <c r="EP519" s="773"/>
      <c r="EQ519" s="773"/>
      <c r="ER519" s="773"/>
      <c r="ES519" s="773"/>
      <c r="ET519" s="773"/>
      <c r="EU519" s="773"/>
      <c r="EV519" s="773"/>
      <c r="EW519" s="773"/>
      <c r="EX519" s="773"/>
      <c r="EY519" s="773"/>
      <c r="EZ519" s="773"/>
      <c r="FA519" s="773"/>
      <c r="FB519" s="773"/>
      <c r="FC519" s="773"/>
      <c r="FD519" s="773"/>
      <c r="FE519" s="773"/>
      <c r="FF519" s="773"/>
      <c r="FG519" s="773"/>
      <c r="FH519" s="773"/>
      <c r="FI519" s="773"/>
      <c r="FJ519" s="773"/>
      <c r="FK519" s="773"/>
      <c r="FL519" s="773"/>
      <c r="FM519" s="773"/>
      <c r="FN519" s="773"/>
      <c r="FO519" s="773"/>
      <c r="FP519" s="773"/>
      <c r="FQ519" s="773"/>
      <c r="FR519" s="773"/>
      <c r="FS519" s="773"/>
      <c r="FT519" s="773"/>
      <c r="FU519" s="773"/>
      <c r="FV519" s="773"/>
      <c r="FW519" s="773"/>
      <c r="FX519" s="773"/>
      <c r="FY519" s="773"/>
      <c r="FZ519" s="773"/>
      <c r="GA519" s="773"/>
      <c r="GB519" s="773"/>
      <c r="GC519" s="773"/>
      <c r="GD519" s="773"/>
      <c r="GE519" s="773"/>
      <c r="GF519" s="773"/>
      <c r="GG519" s="773"/>
      <c r="GH519" s="773"/>
      <c r="GI519" s="773"/>
      <c r="GJ519" s="773"/>
      <c r="GK519" s="773"/>
      <c r="GL519" s="773"/>
      <c r="GM519" s="773"/>
      <c r="GN519" s="773"/>
      <c r="GO519" s="773"/>
      <c r="GP519" s="773"/>
      <c r="GQ519" s="773"/>
      <c r="GR519" s="773"/>
      <c r="GS519" s="773"/>
      <c r="GT519" s="773"/>
      <c r="GU519" s="773"/>
      <c r="GV519" s="773"/>
      <c r="GW519" s="773"/>
      <c r="GX519" s="773"/>
      <c r="GY519" s="773"/>
      <c r="GZ519" s="773"/>
    </row>
    <row r="520" spans="1:208" s="11" customFormat="1">
      <c r="A520" s="774"/>
      <c r="B520" s="3762" t="s">
        <v>785</v>
      </c>
      <c r="C520" s="197">
        <v>5200002</v>
      </c>
      <c r="D520" s="199" t="s">
        <v>846</v>
      </c>
      <c r="E520" s="798">
        <f>IFERROR(VLOOKUP(C520,'AJE 12 - INC'!$D$168:$F$771,3,0),0)</f>
        <v>8660</v>
      </c>
      <c r="F520" s="108">
        <f>SUMIF('AJE 12 - INC'!B:B,'New TB INC'!C520,'AJE 12 - INC'!D:D)</f>
        <v>0</v>
      </c>
      <c r="G520" s="108"/>
      <c r="H520" s="108"/>
      <c r="I520" s="108"/>
      <c r="J520" s="798">
        <f t="shared" si="54"/>
        <v>8660</v>
      </c>
      <c r="K520" s="209"/>
      <c r="L520" s="434"/>
      <c r="M520" s="883"/>
      <c r="N520" s="773">
        <v>0</v>
      </c>
      <c r="O520" s="773">
        <v>9500</v>
      </c>
      <c r="P520" s="773">
        <v>100</v>
      </c>
      <c r="Q520" s="773">
        <v>0</v>
      </c>
      <c r="R520" s="773">
        <v>100</v>
      </c>
      <c r="S520" s="11">
        <v>1100</v>
      </c>
      <c r="T520" s="773">
        <v>0</v>
      </c>
      <c r="U520" s="2173">
        <v>2300</v>
      </c>
      <c r="V520" s="2509">
        <v>0</v>
      </c>
      <c r="W520" s="2509">
        <v>0</v>
      </c>
      <c r="X520" s="2509">
        <v>2000</v>
      </c>
      <c r="Y520" s="2509">
        <v>500</v>
      </c>
      <c r="Z520" s="11">
        <f>'[26]New TB INC'!Z470</f>
        <v>0</v>
      </c>
      <c r="AA520" s="11">
        <f>'[27]New TB INC'!AA478</f>
        <v>0</v>
      </c>
      <c r="AB520" s="11">
        <f>'[28]New TB INC'!AB485</f>
        <v>-40</v>
      </c>
      <c r="AC520" s="11">
        <f>'[29]New TB INC'!AC481</f>
        <v>0</v>
      </c>
      <c r="AD520" s="11">
        <f>'[30]New TB INC'!AD476</f>
        <v>0</v>
      </c>
      <c r="AE520" s="11">
        <f>'[31]New TB INC'!AE484</f>
        <v>0</v>
      </c>
      <c r="AF520" s="11">
        <v>600</v>
      </c>
      <c r="AG520" s="11">
        <v>1300</v>
      </c>
      <c r="AH520" s="11">
        <v>1200</v>
      </c>
      <c r="AI520" s="11">
        <v>0</v>
      </c>
      <c r="AJ520" s="11">
        <v>700</v>
      </c>
      <c r="AK520" s="11">
        <f>$J520-SUM($Z520:AJ520)</f>
        <v>4900</v>
      </c>
      <c r="AW520" s="2509"/>
      <c r="BH520" s="2509"/>
      <c r="BI520" s="772"/>
      <c r="BJ520" s="2173"/>
      <c r="BK520" s="2173"/>
      <c r="BL520" s="2173"/>
      <c r="BM520" s="2173"/>
      <c r="BO520" s="209"/>
      <c r="BQ520" s="209"/>
      <c r="BR520" s="859"/>
      <c r="BS520" s="885"/>
      <c r="CI520" s="4"/>
      <c r="CJ520" s="4"/>
      <c r="DB520" s="773"/>
      <c r="DC520" s="773"/>
      <c r="DD520" s="773"/>
      <c r="DE520" s="773"/>
      <c r="DF520" s="773"/>
      <c r="DG520" s="773"/>
      <c r="DH520" s="773"/>
      <c r="DI520" s="773"/>
      <c r="DJ520" s="773"/>
      <c r="DK520" s="773"/>
      <c r="DL520" s="773"/>
      <c r="DM520" s="773"/>
      <c r="DN520" s="773"/>
      <c r="DO520" s="773"/>
      <c r="DP520" s="773"/>
      <c r="DQ520" s="773"/>
      <c r="DR520" s="773"/>
      <c r="DS520" s="773"/>
      <c r="DT520" s="773"/>
      <c r="DU520" s="773"/>
      <c r="DV520" s="773"/>
      <c r="DW520" s="773"/>
      <c r="DX520" s="773"/>
      <c r="DY520" s="773"/>
      <c r="DZ520" s="773"/>
      <c r="EA520" s="773"/>
      <c r="EB520" s="773"/>
      <c r="EC520" s="773"/>
      <c r="ED520" s="773"/>
      <c r="EE520" s="773"/>
      <c r="EF520" s="773"/>
      <c r="EG520" s="773"/>
      <c r="EH520" s="773"/>
      <c r="EI520" s="773"/>
      <c r="EJ520" s="773"/>
      <c r="EK520" s="773"/>
      <c r="EL520" s="773"/>
      <c r="EM520" s="773"/>
      <c r="EN520" s="773"/>
      <c r="EO520" s="773"/>
      <c r="EP520" s="773"/>
      <c r="EQ520" s="773"/>
      <c r="ER520" s="773"/>
      <c r="ES520" s="773"/>
      <c r="ET520" s="773"/>
      <c r="EU520" s="773"/>
      <c r="EV520" s="773"/>
      <c r="EW520" s="773"/>
      <c r="EX520" s="773"/>
      <c r="EY520" s="773"/>
      <c r="EZ520" s="773"/>
      <c r="FA520" s="773"/>
      <c r="FB520" s="773"/>
      <c r="FC520" s="773"/>
      <c r="FD520" s="773"/>
      <c r="FE520" s="773"/>
      <c r="FF520" s="773"/>
      <c r="FG520" s="773"/>
      <c r="FH520" s="773"/>
      <c r="FI520" s="773"/>
      <c r="FJ520" s="773"/>
      <c r="FK520" s="773"/>
      <c r="FL520" s="773"/>
      <c r="FM520" s="773"/>
      <c r="FN520" s="773"/>
      <c r="FO520" s="773"/>
      <c r="FP520" s="773"/>
      <c r="FQ520" s="773"/>
      <c r="FR520" s="773"/>
      <c r="FS520" s="773"/>
      <c r="FT520" s="773"/>
      <c r="FU520" s="773"/>
      <c r="FV520" s="773"/>
      <c r="FW520" s="773"/>
      <c r="FX520" s="773"/>
      <c r="FY520" s="773"/>
      <c r="FZ520" s="773"/>
      <c r="GA520" s="773"/>
      <c r="GB520" s="773"/>
      <c r="GC520" s="773"/>
      <c r="GD520" s="773"/>
      <c r="GE520" s="773"/>
      <c r="GF520" s="773"/>
      <c r="GG520" s="773"/>
      <c r="GH520" s="773"/>
      <c r="GI520" s="773"/>
      <c r="GJ520" s="773"/>
      <c r="GK520" s="773"/>
      <c r="GL520" s="773"/>
      <c r="GM520" s="773"/>
      <c r="GN520" s="773"/>
      <c r="GO520" s="773"/>
      <c r="GP520" s="773"/>
      <c r="GQ520" s="773"/>
      <c r="GR520" s="773"/>
      <c r="GS520" s="773"/>
      <c r="GT520" s="773"/>
      <c r="GU520" s="773"/>
      <c r="GV520" s="773"/>
      <c r="GW520" s="773"/>
      <c r="GX520" s="773"/>
      <c r="GY520" s="773"/>
      <c r="GZ520" s="773"/>
    </row>
    <row r="521" spans="1:208" s="11" customFormat="1">
      <c r="A521" s="774"/>
      <c r="B521" s="3762" t="s">
        <v>785</v>
      </c>
      <c r="C521" s="197">
        <v>5200003</v>
      </c>
      <c r="D521" s="199" t="s">
        <v>847</v>
      </c>
      <c r="E521" s="798">
        <f>IFERROR(VLOOKUP(C521,'AJE 12 - INC'!$D$168:$F$771,3,0),0)</f>
        <v>93843.07</v>
      </c>
      <c r="F521" s="108">
        <f>SUMIF('AJE 12 - INC'!B:B,'New TB INC'!C521,'AJE 12 - INC'!D:D)</f>
        <v>0</v>
      </c>
      <c r="G521" s="108"/>
      <c r="H521" s="108"/>
      <c r="I521" s="108"/>
      <c r="J521" s="798">
        <f t="shared" si="54"/>
        <v>93843.07</v>
      </c>
      <c r="K521" s="209"/>
      <c r="L521" s="434"/>
      <c r="M521" s="883"/>
      <c r="N521" s="773">
        <v>12739</v>
      </c>
      <c r="O521" s="773">
        <v>12715</v>
      </c>
      <c r="P521" s="773">
        <v>12727</v>
      </c>
      <c r="Q521" s="773">
        <v>12727</v>
      </c>
      <c r="R521" s="773">
        <v>12727</v>
      </c>
      <c r="S521" s="11">
        <v>12727</v>
      </c>
      <c r="T521" s="773">
        <v>12727</v>
      </c>
      <c r="U521" s="2173">
        <v>12727</v>
      </c>
      <c r="V521" s="2509">
        <v>-9705.7400000000052</v>
      </c>
      <c r="W521" s="2509">
        <v>12727</v>
      </c>
      <c r="X521" s="2509">
        <v>12727</v>
      </c>
      <c r="Y521" s="2509">
        <v>-117564.26</v>
      </c>
      <c r="Z521" s="11">
        <f>'[26]New TB INC'!Z471</f>
        <v>12727</v>
      </c>
      <c r="AA521" s="11">
        <f>'[27]New TB INC'!AA479</f>
        <v>-4118.93</v>
      </c>
      <c r="AB521" s="11">
        <f>'[28]New TB INC'!AB486</f>
        <v>9193</v>
      </c>
      <c r="AC521" s="11">
        <f>'[29]New TB INC'!AC482</f>
        <v>11267</v>
      </c>
      <c r="AD521" s="11">
        <f>'[30]New TB INC'!AD477</f>
        <v>11267</v>
      </c>
      <c r="AE521" s="11">
        <f>'[31]New TB INC'!AE485</f>
        <v>11267</v>
      </c>
      <c r="AF521" s="11">
        <v>11267</v>
      </c>
      <c r="AG521" s="11">
        <v>11267.000000000007</v>
      </c>
      <c r="AH521" s="11">
        <v>11267</v>
      </c>
      <c r="AI521" s="11">
        <v>11267</v>
      </c>
      <c r="AJ521" s="11">
        <v>11267</v>
      </c>
      <c r="AK521" s="11">
        <f>$J521-SUM($Z521:AJ521)</f>
        <v>-14094</v>
      </c>
      <c r="AW521" s="2509"/>
      <c r="BH521" s="2509"/>
      <c r="BI521" s="772"/>
      <c r="BJ521" s="2173"/>
      <c r="BK521" s="2173"/>
      <c r="BL521" s="2173"/>
      <c r="BM521" s="2174"/>
      <c r="BO521" s="209"/>
      <c r="BQ521" s="209"/>
      <c r="BR521" s="859"/>
      <c r="BS521" s="885"/>
      <c r="CI521" s="4"/>
      <c r="CJ521" s="4"/>
      <c r="DB521" s="773"/>
      <c r="DC521" s="773"/>
      <c r="DD521" s="773"/>
      <c r="DE521" s="773"/>
      <c r="DF521" s="773"/>
      <c r="DG521" s="773"/>
      <c r="DH521" s="773"/>
      <c r="DI521" s="773"/>
      <c r="DJ521" s="773"/>
      <c r="DK521" s="773"/>
      <c r="DL521" s="773"/>
      <c r="DM521" s="773"/>
      <c r="DN521" s="773"/>
      <c r="DO521" s="773"/>
      <c r="DP521" s="773"/>
      <c r="DQ521" s="773"/>
      <c r="DR521" s="773"/>
      <c r="DS521" s="773"/>
      <c r="DT521" s="773"/>
      <c r="DU521" s="773"/>
      <c r="DV521" s="773"/>
      <c r="DW521" s="773"/>
      <c r="DX521" s="773"/>
      <c r="DY521" s="773"/>
      <c r="DZ521" s="773"/>
      <c r="EA521" s="773"/>
      <c r="EB521" s="773"/>
      <c r="EC521" s="773"/>
      <c r="ED521" s="773"/>
      <c r="EE521" s="773"/>
      <c r="EF521" s="773"/>
      <c r="EG521" s="773"/>
      <c r="EH521" s="773"/>
      <c r="EI521" s="773"/>
      <c r="EJ521" s="773"/>
      <c r="EK521" s="773"/>
      <c r="EL521" s="773"/>
      <c r="EM521" s="773"/>
      <c r="EN521" s="773"/>
      <c r="EO521" s="773"/>
      <c r="EP521" s="773"/>
      <c r="EQ521" s="773"/>
      <c r="ER521" s="773"/>
      <c r="ES521" s="773"/>
      <c r="ET521" s="773"/>
      <c r="EU521" s="773"/>
      <c r="EV521" s="773"/>
      <c r="EW521" s="773"/>
      <c r="EX521" s="773"/>
      <c r="EY521" s="773"/>
      <c r="EZ521" s="773"/>
      <c r="FA521" s="773"/>
      <c r="FB521" s="773"/>
      <c r="FC521" s="773"/>
      <c r="FD521" s="773"/>
      <c r="FE521" s="773"/>
      <c r="FF521" s="773"/>
      <c r="FG521" s="773"/>
      <c r="FH521" s="773"/>
      <c r="FI521" s="773"/>
      <c r="FJ521" s="773"/>
      <c r="FK521" s="773"/>
      <c r="FL521" s="773"/>
      <c r="FM521" s="773"/>
      <c r="FN521" s="773"/>
      <c r="FO521" s="773"/>
      <c r="FP521" s="773"/>
      <c r="FQ521" s="773"/>
      <c r="FR521" s="773"/>
      <c r="FS521" s="773"/>
      <c r="FT521" s="773"/>
      <c r="FU521" s="773"/>
      <c r="FV521" s="773"/>
      <c r="FW521" s="773"/>
      <c r="FX521" s="773"/>
      <c r="FY521" s="773"/>
      <c r="FZ521" s="773"/>
      <c r="GA521" s="773"/>
      <c r="GB521" s="773"/>
      <c r="GC521" s="773"/>
      <c r="GD521" s="773"/>
      <c r="GE521" s="773"/>
      <c r="GF521" s="773"/>
      <c r="GG521" s="773"/>
      <c r="GH521" s="773"/>
      <c r="GI521" s="773"/>
      <c r="GJ521" s="773"/>
      <c r="GK521" s="773"/>
      <c r="GL521" s="773"/>
      <c r="GM521" s="773"/>
      <c r="GN521" s="773"/>
      <c r="GO521" s="773"/>
      <c r="GP521" s="773"/>
      <c r="GQ521" s="773"/>
      <c r="GR521" s="773"/>
      <c r="GS521" s="773"/>
      <c r="GT521" s="773"/>
      <c r="GU521" s="773"/>
      <c r="GV521" s="773"/>
      <c r="GW521" s="773"/>
      <c r="GX521" s="773"/>
      <c r="GY521" s="773"/>
      <c r="GZ521" s="773"/>
    </row>
    <row r="522" spans="1:208" s="11" customFormat="1">
      <c r="A522" s="774"/>
      <c r="B522" s="3762" t="s">
        <v>785</v>
      </c>
      <c r="C522" s="197" t="s">
        <v>3335</v>
      </c>
      <c r="D522" s="199" t="s">
        <v>3336</v>
      </c>
      <c r="E522" s="798">
        <f>IFERROR(VLOOKUP(C522,'AJE 12 - INC'!$D$168:$F$771,3,0),0)</f>
        <v>8610.4</v>
      </c>
      <c r="F522" s="108">
        <f>SUMIF('AJE 12 - INC'!B:B,'New TB INC'!C522,'AJE 12 - INC'!D:D)</f>
        <v>0</v>
      </c>
      <c r="G522" s="108"/>
      <c r="H522" s="108"/>
      <c r="I522" s="108"/>
      <c r="J522" s="798">
        <f t="shared" si="54"/>
        <v>8610.4</v>
      </c>
      <c r="K522" s="209"/>
      <c r="L522" s="434"/>
      <c r="M522" s="883"/>
      <c r="N522" s="773"/>
      <c r="O522" s="773"/>
      <c r="P522" s="773"/>
      <c r="Q522" s="773"/>
      <c r="R522" s="773"/>
      <c r="T522" s="773"/>
      <c r="U522" s="2173"/>
      <c r="V522" s="2509"/>
      <c r="W522" s="2509"/>
      <c r="X522" s="2509"/>
      <c r="Y522" s="2509"/>
      <c r="AA522" s="11">
        <f>'[27]New TB INC'!AA480</f>
        <v>3755.4</v>
      </c>
      <c r="AB522" s="11">
        <f>'[28]New TB INC'!AB487</f>
        <v>987.99999999999955</v>
      </c>
      <c r="AC522" s="11">
        <f>'[29]New TB INC'!AC483</f>
        <v>329</v>
      </c>
      <c r="AD522" s="11">
        <f>'[30]New TB INC'!AD478</f>
        <v>329</v>
      </c>
      <c r="AE522" s="11">
        <f>'[31]New TB INC'!AE486</f>
        <v>329</v>
      </c>
      <c r="AF522" s="11">
        <v>329</v>
      </c>
      <c r="AG522" s="11">
        <v>329</v>
      </c>
      <c r="AH522" s="11">
        <v>329</v>
      </c>
      <c r="AI522" s="11">
        <v>329</v>
      </c>
      <c r="AJ522" s="11">
        <v>329</v>
      </c>
      <c r="AK522" s="11">
        <f>$J522-SUM($Z522:AJ522)</f>
        <v>1235</v>
      </c>
      <c r="AW522" s="2509"/>
      <c r="BH522" s="2509"/>
      <c r="BI522" s="772"/>
      <c r="BJ522" s="2173"/>
      <c r="BK522" s="2173"/>
      <c r="BL522" s="2173"/>
      <c r="BM522" s="2174"/>
      <c r="BO522" s="209"/>
      <c r="BQ522" s="209"/>
      <c r="BR522" s="859"/>
      <c r="BS522" s="885"/>
      <c r="CI522" s="4"/>
      <c r="CJ522" s="4"/>
      <c r="DB522" s="773"/>
      <c r="DC522" s="773"/>
      <c r="DD522" s="773"/>
      <c r="DE522" s="773"/>
      <c r="DF522" s="773"/>
      <c r="DG522" s="773"/>
      <c r="DH522" s="773"/>
      <c r="DI522" s="773"/>
      <c r="DJ522" s="773"/>
      <c r="DK522" s="773"/>
      <c r="DL522" s="773"/>
      <c r="DM522" s="773"/>
      <c r="DN522" s="773"/>
      <c r="DO522" s="773"/>
      <c r="DP522" s="773"/>
      <c r="DQ522" s="773"/>
      <c r="DR522" s="773"/>
      <c r="DS522" s="773"/>
      <c r="DT522" s="773"/>
      <c r="DU522" s="773"/>
      <c r="DV522" s="773"/>
      <c r="DW522" s="773"/>
      <c r="DX522" s="773"/>
      <c r="DY522" s="773"/>
      <c r="DZ522" s="773"/>
      <c r="EA522" s="773"/>
      <c r="EB522" s="773"/>
      <c r="EC522" s="773"/>
      <c r="ED522" s="773"/>
      <c r="EE522" s="773"/>
      <c r="EF522" s="773"/>
      <c r="EG522" s="773"/>
      <c r="EH522" s="773"/>
      <c r="EI522" s="773"/>
      <c r="EJ522" s="773"/>
      <c r="EK522" s="773"/>
      <c r="EL522" s="773"/>
      <c r="EM522" s="773"/>
      <c r="EN522" s="773"/>
      <c r="EO522" s="773"/>
      <c r="EP522" s="773"/>
      <c r="EQ522" s="773"/>
      <c r="ER522" s="773"/>
      <c r="ES522" s="773"/>
      <c r="ET522" s="773"/>
      <c r="EU522" s="773"/>
      <c r="EV522" s="773"/>
      <c r="EW522" s="773"/>
      <c r="EX522" s="773"/>
      <c r="EY522" s="773"/>
      <c r="EZ522" s="773"/>
      <c r="FA522" s="773"/>
      <c r="FB522" s="773"/>
      <c r="FC522" s="773"/>
      <c r="FD522" s="773"/>
      <c r="FE522" s="773"/>
      <c r="FF522" s="773"/>
      <c r="FG522" s="773"/>
      <c r="FH522" s="773"/>
      <c r="FI522" s="773"/>
      <c r="FJ522" s="773"/>
      <c r="FK522" s="773"/>
      <c r="FL522" s="773"/>
      <c r="FM522" s="773"/>
      <c r="FN522" s="773"/>
      <c r="FO522" s="773"/>
      <c r="FP522" s="773"/>
      <c r="FQ522" s="773"/>
      <c r="FR522" s="773"/>
      <c r="FS522" s="773"/>
      <c r="FT522" s="773"/>
      <c r="FU522" s="773"/>
      <c r="FV522" s="773"/>
      <c r="FW522" s="773"/>
      <c r="FX522" s="773"/>
      <c r="FY522" s="773"/>
      <c r="FZ522" s="773"/>
      <c r="GA522" s="773"/>
      <c r="GB522" s="773"/>
      <c r="GC522" s="773"/>
      <c r="GD522" s="773"/>
      <c r="GE522" s="773"/>
      <c r="GF522" s="773"/>
      <c r="GG522" s="773"/>
      <c r="GH522" s="773"/>
      <c r="GI522" s="773"/>
      <c r="GJ522" s="773"/>
      <c r="GK522" s="773"/>
      <c r="GL522" s="773"/>
      <c r="GM522" s="773"/>
      <c r="GN522" s="773"/>
      <c r="GO522" s="773"/>
      <c r="GP522" s="773"/>
      <c r="GQ522" s="773"/>
      <c r="GR522" s="773"/>
      <c r="GS522" s="773"/>
      <c r="GT522" s="773"/>
      <c r="GU522" s="773"/>
      <c r="GV522" s="773"/>
      <c r="GW522" s="773"/>
      <c r="GX522" s="773"/>
      <c r="GY522" s="773"/>
      <c r="GZ522" s="773"/>
    </row>
    <row r="523" spans="1:208" s="11" customFormat="1">
      <c r="A523" s="774"/>
      <c r="B523" s="3762" t="s">
        <v>785</v>
      </c>
      <c r="C523" s="197">
        <v>5200004</v>
      </c>
      <c r="D523" s="199" t="s">
        <v>848</v>
      </c>
      <c r="E523" s="798">
        <f>IFERROR(VLOOKUP(C523,'AJE 12 - INC'!$D$168:$F$771,3,0),0)</f>
        <v>6477.71</v>
      </c>
      <c r="F523" s="108">
        <f>SUMIF('AJE 12 - INC'!B:B,'New TB INC'!C523,'AJE 12 - INC'!D:D)</f>
        <v>0</v>
      </c>
      <c r="G523" s="108"/>
      <c r="H523" s="108"/>
      <c r="I523" s="108"/>
      <c r="J523" s="798">
        <f t="shared" si="54"/>
        <v>6477.71</v>
      </c>
      <c r="K523" s="209"/>
      <c r="L523" s="434"/>
      <c r="M523" s="883"/>
      <c r="N523" s="11">
        <v>0</v>
      </c>
      <c r="O523" s="11">
        <v>0</v>
      </c>
      <c r="P523" s="11">
        <v>0</v>
      </c>
      <c r="Q523" s="11">
        <v>0</v>
      </c>
      <c r="R523" s="773">
        <v>0</v>
      </c>
      <c r="S523" s="11">
        <v>1903.85</v>
      </c>
      <c r="T523" s="773">
        <v>504.38000000000011</v>
      </c>
      <c r="U523" s="2173">
        <v>8814.33</v>
      </c>
      <c r="V523" s="2509">
        <v>0</v>
      </c>
      <c r="W523" s="2509">
        <v>0</v>
      </c>
      <c r="X523" s="2509">
        <v>0</v>
      </c>
      <c r="Y523" s="2509">
        <v>1383.3700000000008</v>
      </c>
      <c r="Z523" s="11">
        <f>'[26]New TB INC'!Z472</f>
        <v>186.15</v>
      </c>
      <c r="AA523" s="11">
        <f>'[27]New TB INC'!AA481</f>
        <v>0</v>
      </c>
      <c r="AB523" s="11">
        <f>'[28]New TB INC'!AB488</f>
        <v>2336.54</v>
      </c>
      <c r="AC523" s="11">
        <f>'[29]New TB INC'!AC484</f>
        <v>0</v>
      </c>
      <c r="AD523" s="11">
        <f>'[30]New TB INC'!AD479</f>
        <v>0</v>
      </c>
      <c r="AE523" s="11">
        <f>'[31]New TB INC'!AE487</f>
        <v>701</v>
      </c>
      <c r="AF523" s="11">
        <v>0</v>
      </c>
      <c r="AG523" s="11">
        <v>0</v>
      </c>
      <c r="AH523" s="11">
        <v>4452</v>
      </c>
      <c r="AI523" s="11">
        <v>0</v>
      </c>
      <c r="AJ523" s="11">
        <v>0</v>
      </c>
      <c r="AK523" s="11">
        <f>$J523-SUM($Z523:AJ523)</f>
        <v>-1197.9800000000005</v>
      </c>
      <c r="AW523" s="2509"/>
      <c r="BH523" s="2509"/>
      <c r="BI523" s="772"/>
      <c r="BJ523" s="2173"/>
      <c r="BK523" s="2173"/>
      <c r="BL523" s="2173"/>
      <c r="BM523" s="2165"/>
      <c r="BO523" s="209"/>
      <c r="BQ523" s="209"/>
      <c r="BR523" s="859"/>
      <c r="BS523" s="885"/>
      <c r="CI523" s="4"/>
      <c r="CJ523" s="4"/>
      <c r="DB523" s="773"/>
      <c r="DC523" s="773"/>
      <c r="DD523" s="773"/>
      <c r="DE523" s="773"/>
      <c r="DF523" s="773"/>
      <c r="DG523" s="773"/>
      <c r="DH523" s="773"/>
      <c r="DI523" s="773"/>
      <c r="DJ523" s="773"/>
      <c r="DK523" s="773"/>
      <c r="DL523" s="773"/>
      <c r="DM523" s="773"/>
      <c r="DN523" s="773"/>
      <c r="DO523" s="773"/>
      <c r="DP523" s="773"/>
      <c r="DQ523" s="773"/>
      <c r="DR523" s="773"/>
      <c r="DS523" s="773"/>
      <c r="DT523" s="773"/>
      <c r="DU523" s="773"/>
      <c r="DV523" s="773"/>
      <c r="DW523" s="773"/>
      <c r="DX523" s="773"/>
      <c r="DY523" s="773"/>
      <c r="DZ523" s="773"/>
      <c r="EA523" s="773"/>
      <c r="EB523" s="773"/>
      <c r="EC523" s="773"/>
      <c r="ED523" s="773"/>
      <c r="EE523" s="773"/>
      <c r="EF523" s="773"/>
      <c r="EG523" s="773"/>
      <c r="EH523" s="773"/>
      <c r="EI523" s="773"/>
      <c r="EJ523" s="773"/>
      <c r="EK523" s="773"/>
      <c r="EL523" s="773"/>
      <c r="EM523" s="773"/>
      <c r="EN523" s="773"/>
      <c r="EO523" s="773"/>
      <c r="EP523" s="773"/>
      <c r="EQ523" s="773"/>
      <c r="ER523" s="773"/>
      <c r="ES523" s="773"/>
      <c r="ET523" s="773"/>
      <c r="EU523" s="773"/>
      <c r="EV523" s="773"/>
      <c r="EW523" s="773"/>
      <c r="EX523" s="773"/>
      <c r="EY523" s="773"/>
      <c r="EZ523" s="773"/>
      <c r="FA523" s="773"/>
      <c r="FB523" s="773"/>
      <c r="FC523" s="773"/>
      <c r="FD523" s="773"/>
      <c r="FE523" s="773"/>
      <c r="FF523" s="773"/>
      <c r="FG523" s="773"/>
      <c r="FH523" s="773"/>
      <c r="FI523" s="773"/>
      <c r="FJ523" s="773"/>
      <c r="FK523" s="773"/>
      <c r="FL523" s="773"/>
      <c r="FM523" s="773"/>
      <c r="FN523" s="773"/>
      <c r="FO523" s="773"/>
      <c r="FP523" s="773"/>
      <c r="FQ523" s="773"/>
      <c r="FR523" s="773"/>
      <c r="FS523" s="773"/>
      <c r="FT523" s="773"/>
      <c r="FU523" s="773"/>
      <c r="FV523" s="773"/>
      <c r="FW523" s="773"/>
      <c r="FX523" s="773"/>
      <c r="FY523" s="773"/>
      <c r="FZ523" s="773"/>
      <c r="GA523" s="773"/>
      <c r="GB523" s="773"/>
      <c r="GC523" s="773"/>
      <c r="GD523" s="773"/>
      <c r="GE523" s="773"/>
      <c r="GF523" s="773"/>
      <c r="GG523" s="773"/>
      <c r="GH523" s="773"/>
      <c r="GI523" s="773"/>
      <c r="GJ523" s="773"/>
      <c r="GK523" s="773"/>
      <c r="GL523" s="773"/>
      <c r="GM523" s="773"/>
      <c r="GN523" s="773"/>
      <c r="GO523" s="773"/>
      <c r="GP523" s="773"/>
      <c r="GQ523" s="773"/>
      <c r="GR523" s="773"/>
      <c r="GS523" s="773"/>
      <c r="GT523" s="773"/>
      <c r="GU523" s="773"/>
      <c r="GV523" s="773"/>
      <c r="GW523" s="773"/>
      <c r="GX523" s="773"/>
      <c r="GY523" s="773"/>
      <c r="GZ523" s="773"/>
    </row>
    <row r="524" spans="1:208" s="11" customFormat="1">
      <c r="A524" s="774"/>
      <c r="B524" s="3762" t="s">
        <v>785</v>
      </c>
      <c r="C524" s="197">
        <v>5200008</v>
      </c>
      <c r="D524" s="199" t="s">
        <v>849</v>
      </c>
      <c r="E524" s="798">
        <f>IFERROR(VLOOKUP(C524,'AJE 12 - INC'!$D$168:$F$771,3,0),0)</f>
        <v>9684.75</v>
      </c>
      <c r="F524" s="108">
        <f>SUMIF('AJE 12 - INC'!B:B,'New TB INC'!C524,'AJE 12 - INC'!D:D)</f>
        <v>0</v>
      </c>
      <c r="G524" s="108"/>
      <c r="H524" s="108"/>
      <c r="I524" s="108"/>
      <c r="J524" s="798">
        <f t="shared" si="54"/>
        <v>9684.75</v>
      </c>
      <c r="K524" s="209"/>
      <c r="L524" s="434"/>
      <c r="M524" s="883"/>
      <c r="N524" s="11">
        <v>429.78</v>
      </c>
      <c r="O524" s="11">
        <v>1796.4599999999998</v>
      </c>
      <c r="P524" s="11">
        <v>585.46000000000026</v>
      </c>
      <c r="Q524" s="11">
        <v>2098.1900000000005</v>
      </c>
      <c r="R524" s="773">
        <v>229.14999999999964</v>
      </c>
      <c r="S524" s="11">
        <v>268.39000000000033</v>
      </c>
      <c r="T524" s="773">
        <v>221.07999999999993</v>
      </c>
      <c r="U524" s="2173">
        <v>0</v>
      </c>
      <c r="V524" s="2509">
        <v>144.05999999999949</v>
      </c>
      <c r="W524" s="2509">
        <v>121</v>
      </c>
      <c r="X524" s="2509">
        <v>309.24000000000069</v>
      </c>
      <c r="Y524" s="2509">
        <v>522.79</v>
      </c>
      <c r="Z524" s="11">
        <f>'[26]New TB INC'!Z473</f>
        <v>763.1</v>
      </c>
      <c r="AA524" s="11">
        <f>'[27]New TB INC'!AA482</f>
        <v>576.89</v>
      </c>
      <c r="AB524" s="11">
        <f>'[28]New TB INC'!AB489</f>
        <v>204.46000000000004</v>
      </c>
      <c r="AC524" s="11">
        <f>'[29]New TB INC'!AC485</f>
        <v>387.11999999999989</v>
      </c>
      <c r="AD524" s="11">
        <f>'[30]New TB INC'!AD480</f>
        <v>2933.8200000000006</v>
      </c>
      <c r="AE524" s="11">
        <f>'[31]New TB INC'!AE488</f>
        <v>2187.5699999999997</v>
      </c>
      <c r="AF524" s="11">
        <v>348.5600000000004</v>
      </c>
      <c r="AG524" s="11">
        <v>128.38999999999942</v>
      </c>
      <c r="AH524" s="11">
        <v>233.36000000000058</v>
      </c>
      <c r="AI524" s="11">
        <v>454.5</v>
      </c>
      <c r="AJ524" s="11">
        <v>767.85000000000036</v>
      </c>
      <c r="AK524" s="11">
        <f>$J524-SUM($Z524:AJ524)</f>
        <v>699.1299999999992</v>
      </c>
      <c r="AW524" s="2509"/>
      <c r="BH524" s="2509"/>
      <c r="BI524" s="772"/>
      <c r="BJ524" s="2173"/>
      <c r="BK524" s="2173"/>
      <c r="BL524" s="2173"/>
      <c r="BM524" s="2173"/>
      <c r="BO524" s="209"/>
      <c r="BQ524" s="209"/>
      <c r="BR524" s="859"/>
      <c r="BS524" s="885"/>
      <c r="CI524" s="4"/>
      <c r="CJ524" s="4"/>
      <c r="DB524" s="773"/>
      <c r="DC524" s="773"/>
      <c r="DD524" s="773"/>
      <c r="DE524" s="773"/>
      <c r="DF524" s="773"/>
      <c r="DG524" s="773"/>
      <c r="DH524" s="773"/>
      <c r="DI524" s="773"/>
      <c r="DJ524" s="773"/>
      <c r="DK524" s="773"/>
      <c r="DL524" s="773"/>
      <c r="DM524" s="773"/>
      <c r="DN524" s="773"/>
      <c r="DO524" s="773"/>
      <c r="DP524" s="773"/>
      <c r="DQ524" s="773"/>
      <c r="DR524" s="773"/>
      <c r="DS524" s="773"/>
      <c r="DT524" s="773"/>
      <c r="DU524" s="773"/>
      <c r="DV524" s="773"/>
      <c r="DW524" s="773"/>
      <c r="DX524" s="773"/>
      <c r="DY524" s="773"/>
      <c r="DZ524" s="773"/>
      <c r="EA524" s="773"/>
      <c r="EB524" s="773"/>
      <c r="EC524" s="773"/>
      <c r="ED524" s="773"/>
      <c r="EE524" s="773"/>
      <c r="EF524" s="773"/>
      <c r="EG524" s="773"/>
      <c r="EH524" s="773"/>
      <c r="EI524" s="773"/>
      <c r="EJ524" s="773"/>
      <c r="EK524" s="773"/>
      <c r="EL524" s="773"/>
      <c r="EM524" s="773"/>
      <c r="EN524" s="773"/>
      <c r="EO524" s="773"/>
      <c r="EP524" s="773"/>
      <c r="EQ524" s="773"/>
      <c r="ER524" s="773"/>
      <c r="ES524" s="773"/>
      <c r="ET524" s="773"/>
      <c r="EU524" s="773"/>
      <c r="EV524" s="773"/>
      <c r="EW524" s="773"/>
      <c r="EX524" s="773"/>
      <c r="EY524" s="773"/>
      <c r="EZ524" s="773"/>
      <c r="FA524" s="773"/>
      <c r="FB524" s="773"/>
      <c r="FC524" s="773"/>
      <c r="FD524" s="773"/>
      <c r="FE524" s="773"/>
      <c r="FF524" s="773"/>
      <c r="FG524" s="773"/>
      <c r="FH524" s="773"/>
      <c r="FI524" s="773"/>
      <c r="FJ524" s="773"/>
      <c r="FK524" s="773"/>
      <c r="FL524" s="773"/>
      <c r="FM524" s="773"/>
      <c r="FN524" s="773"/>
      <c r="FO524" s="773"/>
      <c r="FP524" s="773"/>
      <c r="FQ524" s="773"/>
      <c r="FR524" s="773"/>
      <c r="FS524" s="773"/>
      <c r="FT524" s="773"/>
      <c r="FU524" s="773"/>
      <c r="FV524" s="773"/>
      <c r="FW524" s="773"/>
      <c r="FX524" s="773"/>
      <c r="FY524" s="773"/>
      <c r="FZ524" s="773"/>
      <c r="GA524" s="773"/>
      <c r="GB524" s="773"/>
      <c r="GC524" s="773"/>
      <c r="GD524" s="773"/>
      <c r="GE524" s="773"/>
      <c r="GF524" s="773"/>
      <c r="GG524" s="773"/>
      <c r="GH524" s="773"/>
      <c r="GI524" s="773"/>
      <c r="GJ524" s="773"/>
      <c r="GK524" s="773"/>
      <c r="GL524" s="773"/>
      <c r="GM524" s="773"/>
      <c r="GN524" s="773"/>
      <c r="GO524" s="773"/>
      <c r="GP524" s="773"/>
      <c r="GQ524" s="773"/>
      <c r="GR524" s="773"/>
      <c r="GS524" s="773"/>
      <c r="GT524" s="773"/>
      <c r="GU524" s="773"/>
      <c r="GV524" s="773"/>
      <c r="GW524" s="773"/>
      <c r="GX524" s="773"/>
      <c r="GY524" s="773"/>
      <c r="GZ524" s="773"/>
    </row>
    <row r="525" spans="1:208" s="11" customFormat="1">
      <c r="A525" s="774"/>
      <c r="B525" s="3762" t="s">
        <v>2369</v>
      </c>
      <c r="C525" s="197">
        <v>5200007</v>
      </c>
      <c r="D525" s="199" t="s">
        <v>4711</v>
      </c>
      <c r="E525" s="798">
        <f>IFERROR(VLOOKUP(C525,'AJE 12 - INC'!$D$168:$F$771,3,0),0)</f>
        <v>-8622.67</v>
      </c>
      <c r="F525" s="108">
        <f>SUMIF('AJE 12 - INC'!B:B,'New TB INC'!C525,'AJE 12 - INC'!D:D)</f>
        <v>0</v>
      </c>
      <c r="G525" s="108"/>
      <c r="H525" s="108"/>
      <c r="I525" s="108"/>
      <c r="J525" s="798">
        <f t="shared" ref="J525" si="55">SUM(E525:I525)</f>
        <v>-8622.67</v>
      </c>
      <c r="K525" s="209"/>
      <c r="L525" s="434"/>
      <c r="M525" s="883"/>
      <c r="R525" s="773"/>
      <c r="T525" s="773"/>
      <c r="U525" s="2173"/>
      <c r="V525" s="2509"/>
      <c r="W525" s="2509"/>
      <c r="X525" s="2509"/>
      <c r="Y525" s="2509"/>
      <c r="AK525" s="11">
        <f>$J525-SUM($Z525:AJ525)</f>
        <v>-8622.67</v>
      </c>
      <c r="AW525" s="2509"/>
      <c r="BH525" s="2509"/>
      <c r="BI525" s="772"/>
      <c r="BJ525" s="2173"/>
      <c r="BK525" s="2173"/>
      <c r="BL525" s="2173"/>
      <c r="BM525" s="2173"/>
      <c r="BO525" s="209"/>
      <c r="BQ525" s="209"/>
      <c r="BR525" s="859"/>
      <c r="BS525" s="885"/>
      <c r="CI525" s="4"/>
      <c r="CJ525" s="4"/>
      <c r="DB525" s="773"/>
      <c r="DC525" s="773"/>
      <c r="DD525" s="773"/>
      <c r="DE525" s="773"/>
      <c r="DF525" s="773"/>
      <c r="DG525" s="773"/>
      <c r="DH525" s="773"/>
      <c r="DI525" s="773"/>
      <c r="DJ525" s="773"/>
      <c r="DK525" s="773"/>
      <c r="DL525" s="773"/>
      <c r="DM525" s="773"/>
      <c r="DN525" s="773"/>
      <c r="DO525" s="773"/>
      <c r="DP525" s="773"/>
      <c r="DQ525" s="773"/>
      <c r="DR525" s="773"/>
      <c r="DS525" s="773"/>
      <c r="DT525" s="773"/>
      <c r="DU525" s="773"/>
      <c r="DV525" s="773"/>
      <c r="DW525" s="773"/>
      <c r="DX525" s="773"/>
      <c r="DY525" s="773"/>
      <c r="DZ525" s="773"/>
      <c r="EA525" s="773"/>
      <c r="EB525" s="773"/>
      <c r="EC525" s="773"/>
      <c r="ED525" s="773"/>
      <c r="EE525" s="773"/>
      <c r="EF525" s="773"/>
      <c r="EG525" s="773"/>
      <c r="EH525" s="773"/>
      <c r="EI525" s="773"/>
      <c r="EJ525" s="773"/>
      <c r="EK525" s="773"/>
      <c r="EL525" s="773"/>
      <c r="EM525" s="773"/>
      <c r="EN525" s="773"/>
      <c r="EO525" s="773"/>
      <c r="EP525" s="773"/>
      <c r="EQ525" s="773"/>
      <c r="ER525" s="773"/>
      <c r="ES525" s="773"/>
      <c r="ET525" s="773"/>
      <c r="EU525" s="773"/>
      <c r="EV525" s="773"/>
      <c r="EW525" s="773"/>
      <c r="EX525" s="773"/>
      <c r="EY525" s="773"/>
      <c r="EZ525" s="773"/>
      <c r="FA525" s="773"/>
      <c r="FB525" s="773"/>
      <c r="FC525" s="773"/>
      <c r="FD525" s="773"/>
      <c r="FE525" s="773"/>
      <c r="FF525" s="773"/>
      <c r="FG525" s="773"/>
      <c r="FH525" s="773"/>
      <c r="FI525" s="773"/>
      <c r="FJ525" s="773"/>
      <c r="FK525" s="773"/>
      <c r="FL525" s="773"/>
      <c r="FM525" s="773"/>
      <c r="FN525" s="773"/>
      <c r="FO525" s="773"/>
      <c r="FP525" s="773"/>
      <c r="FQ525" s="773"/>
      <c r="FR525" s="773"/>
      <c r="FS525" s="773"/>
      <c r="FT525" s="773"/>
      <c r="FU525" s="773"/>
      <c r="FV525" s="773"/>
      <c r="FW525" s="773"/>
      <c r="FX525" s="773"/>
      <c r="FY525" s="773"/>
      <c r="FZ525" s="773"/>
      <c r="GA525" s="773"/>
      <c r="GB525" s="773"/>
      <c r="GC525" s="773"/>
      <c r="GD525" s="773"/>
      <c r="GE525" s="773"/>
      <c r="GF525" s="773"/>
      <c r="GG525" s="773"/>
      <c r="GH525" s="773"/>
      <c r="GI525" s="773"/>
      <c r="GJ525" s="773"/>
      <c r="GK525" s="773"/>
      <c r="GL525" s="773"/>
      <c r="GM525" s="773"/>
      <c r="GN525" s="773"/>
      <c r="GO525" s="773"/>
      <c r="GP525" s="773"/>
      <c r="GQ525" s="773"/>
      <c r="GR525" s="773"/>
      <c r="GS525" s="773"/>
      <c r="GT525" s="773"/>
      <c r="GU525" s="773"/>
      <c r="GV525" s="773"/>
      <c r="GW525" s="773"/>
      <c r="GX525" s="773"/>
      <c r="GY525" s="773"/>
      <c r="GZ525" s="773"/>
    </row>
    <row r="526" spans="1:208" s="11" customFormat="1">
      <c r="A526" s="774"/>
      <c r="B526" s="3762" t="s">
        <v>2369</v>
      </c>
      <c r="C526" s="197">
        <v>5200011</v>
      </c>
      <c r="D526" s="199" t="s">
        <v>4712</v>
      </c>
      <c r="E526" s="798">
        <f>IFERROR(VLOOKUP(C526,'AJE 12 - INC'!$D$168:$F$771,3,0),0)</f>
        <v>-1008.01</v>
      </c>
      <c r="F526" s="108">
        <f>SUMIF('AJE 12 - INC'!B:B,'New TB INC'!C526,'AJE 12 - INC'!D:D)</f>
        <v>0</v>
      </c>
      <c r="G526" s="108"/>
      <c r="H526" s="108"/>
      <c r="I526" s="108"/>
      <c r="J526" s="798">
        <f t="shared" ref="J526" si="56">SUM(E526:I526)</f>
        <v>-1008.01</v>
      </c>
      <c r="K526" s="209"/>
      <c r="L526" s="434"/>
      <c r="M526" s="883"/>
      <c r="R526" s="773"/>
      <c r="T526" s="773"/>
      <c r="U526" s="2173"/>
      <c r="V526" s="2509"/>
      <c r="W526" s="2509"/>
      <c r="X526" s="2509"/>
      <c r="Y526" s="2509"/>
      <c r="AK526" s="11">
        <f>$J526-SUM($Z526:AJ526)</f>
        <v>-1008.01</v>
      </c>
      <c r="AW526" s="2509"/>
      <c r="BH526" s="2509"/>
      <c r="BI526" s="772"/>
      <c r="BJ526" s="2173"/>
      <c r="BK526" s="2173"/>
      <c r="BL526" s="2173"/>
      <c r="BM526" s="2173"/>
      <c r="BO526" s="209"/>
      <c r="BQ526" s="209"/>
      <c r="BR526" s="859"/>
      <c r="BS526" s="885"/>
      <c r="CI526" s="4"/>
      <c r="CJ526" s="4"/>
      <c r="DB526" s="773"/>
      <c r="DC526" s="773"/>
      <c r="DD526" s="773"/>
      <c r="DE526" s="773"/>
      <c r="DF526" s="773"/>
      <c r="DG526" s="773"/>
      <c r="DH526" s="773"/>
      <c r="DI526" s="773"/>
      <c r="DJ526" s="773"/>
      <c r="DK526" s="773"/>
      <c r="DL526" s="773"/>
      <c r="DM526" s="773"/>
      <c r="DN526" s="773"/>
      <c r="DO526" s="773"/>
      <c r="DP526" s="773"/>
      <c r="DQ526" s="773"/>
      <c r="DR526" s="773"/>
      <c r="DS526" s="773"/>
      <c r="DT526" s="773"/>
      <c r="DU526" s="773"/>
      <c r="DV526" s="773"/>
      <c r="DW526" s="773"/>
      <c r="DX526" s="773"/>
      <c r="DY526" s="773"/>
      <c r="DZ526" s="773"/>
      <c r="EA526" s="773"/>
      <c r="EB526" s="773"/>
      <c r="EC526" s="773"/>
      <c r="ED526" s="773"/>
      <c r="EE526" s="773"/>
      <c r="EF526" s="773"/>
      <c r="EG526" s="773"/>
      <c r="EH526" s="773"/>
      <c r="EI526" s="773"/>
      <c r="EJ526" s="773"/>
      <c r="EK526" s="773"/>
      <c r="EL526" s="773"/>
      <c r="EM526" s="773"/>
      <c r="EN526" s="773"/>
      <c r="EO526" s="773"/>
      <c r="EP526" s="773"/>
      <c r="EQ526" s="773"/>
      <c r="ER526" s="773"/>
      <c r="ES526" s="773"/>
      <c r="ET526" s="773"/>
      <c r="EU526" s="773"/>
      <c r="EV526" s="773"/>
      <c r="EW526" s="773"/>
      <c r="EX526" s="773"/>
      <c r="EY526" s="773"/>
      <c r="EZ526" s="773"/>
      <c r="FA526" s="773"/>
      <c r="FB526" s="773"/>
      <c r="FC526" s="773"/>
      <c r="FD526" s="773"/>
      <c r="FE526" s="773"/>
      <c r="FF526" s="773"/>
      <c r="FG526" s="773"/>
      <c r="FH526" s="773"/>
      <c r="FI526" s="773"/>
      <c r="FJ526" s="773"/>
      <c r="FK526" s="773"/>
      <c r="FL526" s="773"/>
      <c r="FM526" s="773"/>
      <c r="FN526" s="773"/>
      <c r="FO526" s="773"/>
      <c r="FP526" s="773"/>
      <c r="FQ526" s="773"/>
      <c r="FR526" s="773"/>
      <c r="FS526" s="773"/>
      <c r="FT526" s="773"/>
      <c r="FU526" s="773"/>
      <c r="FV526" s="773"/>
      <c r="FW526" s="773"/>
      <c r="FX526" s="773"/>
      <c r="FY526" s="773"/>
      <c r="FZ526" s="773"/>
      <c r="GA526" s="773"/>
      <c r="GB526" s="773"/>
      <c r="GC526" s="773"/>
      <c r="GD526" s="773"/>
      <c r="GE526" s="773"/>
      <c r="GF526" s="773"/>
      <c r="GG526" s="773"/>
      <c r="GH526" s="773"/>
      <c r="GI526" s="773"/>
      <c r="GJ526" s="773"/>
      <c r="GK526" s="773"/>
      <c r="GL526" s="773"/>
      <c r="GM526" s="773"/>
      <c r="GN526" s="773"/>
      <c r="GO526" s="773"/>
      <c r="GP526" s="773"/>
      <c r="GQ526" s="773"/>
      <c r="GR526" s="773"/>
      <c r="GS526" s="773"/>
      <c r="GT526" s="773"/>
      <c r="GU526" s="773"/>
      <c r="GV526" s="773"/>
      <c r="GW526" s="773"/>
      <c r="GX526" s="773"/>
      <c r="GY526" s="773"/>
      <c r="GZ526" s="773"/>
    </row>
    <row r="527" spans="1:208" s="11" customFormat="1">
      <c r="A527" s="774"/>
      <c r="B527" s="3762" t="s">
        <v>785</v>
      </c>
      <c r="C527" s="197">
        <v>5200009</v>
      </c>
      <c r="D527" s="199" t="s">
        <v>850</v>
      </c>
      <c r="E527" s="798">
        <f>IFERROR(VLOOKUP(C527,'AJE 12 - INC'!$D$168:$F$771,3,0),0)</f>
        <v>146453.45000000001</v>
      </c>
      <c r="F527" s="108">
        <f>SUMIF('AJE 12 - INC'!B:B,'New TB INC'!C527,'AJE 12 - INC'!D:D)</f>
        <v>0</v>
      </c>
      <c r="G527" s="108"/>
      <c r="H527" s="108"/>
      <c r="I527" s="108"/>
      <c r="J527" s="798">
        <f t="shared" si="54"/>
        <v>146453.45000000001</v>
      </c>
      <c r="K527" s="209"/>
      <c r="L527" s="434"/>
      <c r="M527" s="883"/>
      <c r="N527" s="11">
        <v>10039.209999999999</v>
      </c>
      <c r="O527" s="11">
        <v>10039.209999999999</v>
      </c>
      <c r="P527" s="11">
        <v>10039.210000000003</v>
      </c>
      <c r="Q527" s="11">
        <v>10039.209999999995</v>
      </c>
      <c r="R527" s="773">
        <v>9714.3300000000017</v>
      </c>
      <c r="S527" s="11">
        <v>12963.050000000003</v>
      </c>
      <c r="T527" s="773">
        <v>10039.209999999988</v>
      </c>
      <c r="U527" s="2173">
        <v>10039.210000000006</v>
      </c>
      <c r="V527" s="2509">
        <v>8368.1600000000035</v>
      </c>
      <c r="W527" s="2509">
        <v>7957.0399999999936</v>
      </c>
      <c r="X527" s="2509">
        <v>8503.61</v>
      </c>
      <c r="Y527" s="2509">
        <v>8503.61</v>
      </c>
      <c r="Z527" s="11">
        <f>'[26]New TB INC'!Z474</f>
        <v>7746.4</v>
      </c>
      <c r="AA527" s="11">
        <f>'[27]New TB INC'!AA483</f>
        <v>8819.0700000000015</v>
      </c>
      <c r="AB527" s="11">
        <f>'[28]New TB INC'!AB490</f>
        <v>8031.23</v>
      </c>
      <c r="AC527" s="11">
        <f>'[29]New TB INC'!AC486</f>
        <v>8031.23</v>
      </c>
      <c r="AD527" s="11">
        <f>'[30]New TB INC'!AD481</f>
        <v>11840</v>
      </c>
      <c r="AE527" s="11">
        <f>'[31]New TB INC'!AE489</f>
        <v>11840</v>
      </c>
      <c r="AF527" s="11">
        <v>13780.469999999994</v>
      </c>
      <c r="AG527" s="11">
        <v>13407.330000000002</v>
      </c>
      <c r="AH527" s="11">
        <v>17138.690000000002</v>
      </c>
      <c r="AI527" s="11">
        <v>15273.009999999995</v>
      </c>
      <c r="AJ527" s="11">
        <v>15273.010000000009</v>
      </c>
      <c r="AK527" s="11">
        <f>$J527-SUM($Z527:AJ527)</f>
        <v>15273.010000000009</v>
      </c>
      <c r="AP527" s="11">
        <f>AH527-AG527</f>
        <v>3731.3600000000006</v>
      </c>
      <c r="AW527" s="2509"/>
      <c r="BH527" s="2509"/>
      <c r="BI527" s="772"/>
      <c r="BJ527" s="2173"/>
      <c r="BK527" s="2173"/>
      <c r="BL527" s="2173"/>
      <c r="BM527" s="2173"/>
      <c r="BO527" s="209"/>
      <c r="BQ527" s="209"/>
      <c r="BR527" s="859"/>
      <c r="BS527" s="885"/>
      <c r="CI527" s="4"/>
      <c r="CJ527" s="4"/>
      <c r="DB527" s="773"/>
      <c r="DC527" s="773"/>
      <c r="DD527" s="773"/>
      <c r="DE527" s="773"/>
      <c r="DF527" s="773"/>
      <c r="DG527" s="773"/>
      <c r="DH527" s="773"/>
      <c r="DI527" s="773"/>
      <c r="DJ527" s="773"/>
      <c r="DK527" s="773"/>
      <c r="DL527" s="773"/>
      <c r="DM527" s="773"/>
      <c r="DN527" s="773"/>
      <c r="DO527" s="773"/>
      <c r="DP527" s="773"/>
      <c r="DQ527" s="773"/>
      <c r="DR527" s="773"/>
      <c r="DS527" s="773"/>
      <c r="DT527" s="773"/>
      <c r="DU527" s="773"/>
      <c r="DV527" s="773"/>
      <c r="DW527" s="773"/>
      <c r="DX527" s="773"/>
      <c r="DY527" s="773"/>
      <c r="DZ527" s="773"/>
      <c r="EA527" s="773"/>
      <c r="EB527" s="773"/>
      <c r="EC527" s="773"/>
      <c r="ED527" s="773"/>
      <c r="EE527" s="773"/>
      <c r="EF527" s="773"/>
      <c r="EG527" s="773"/>
      <c r="EH527" s="773"/>
      <c r="EI527" s="773"/>
      <c r="EJ527" s="773"/>
      <c r="EK527" s="773"/>
      <c r="EL527" s="773"/>
      <c r="EM527" s="773"/>
      <c r="EN527" s="773"/>
      <c r="EO527" s="773"/>
      <c r="EP527" s="773"/>
      <c r="EQ527" s="773"/>
      <c r="ER527" s="773"/>
      <c r="ES527" s="773"/>
      <c r="ET527" s="773"/>
      <c r="EU527" s="773"/>
      <c r="EV527" s="773"/>
      <c r="EW527" s="773"/>
      <c r="EX527" s="773"/>
      <c r="EY527" s="773"/>
      <c r="EZ527" s="773"/>
      <c r="FA527" s="773"/>
      <c r="FB527" s="773"/>
      <c r="FC527" s="773"/>
      <c r="FD527" s="773"/>
      <c r="FE527" s="773"/>
      <c r="FF527" s="773"/>
      <c r="FG527" s="773"/>
      <c r="FH527" s="773"/>
      <c r="FI527" s="773"/>
      <c r="FJ527" s="773"/>
      <c r="FK527" s="773"/>
      <c r="FL527" s="773"/>
      <c r="FM527" s="773"/>
      <c r="FN527" s="773"/>
      <c r="FO527" s="773"/>
      <c r="FP527" s="773"/>
      <c r="FQ527" s="773"/>
      <c r="FR527" s="773"/>
      <c r="FS527" s="773"/>
      <c r="FT527" s="773"/>
      <c r="FU527" s="773"/>
      <c r="FV527" s="773"/>
      <c r="FW527" s="773"/>
      <c r="FX527" s="773"/>
      <c r="FY527" s="773"/>
      <c r="FZ527" s="773"/>
      <c r="GA527" s="773"/>
      <c r="GB527" s="773"/>
      <c r="GC527" s="773"/>
      <c r="GD527" s="773"/>
      <c r="GE527" s="773"/>
      <c r="GF527" s="773"/>
      <c r="GG527" s="773"/>
      <c r="GH527" s="773"/>
      <c r="GI527" s="773"/>
      <c r="GJ527" s="773"/>
      <c r="GK527" s="773"/>
      <c r="GL527" s="773"/>
      <c r="GM527" s="773"/>
      <c r="GN527" s="773"/>
      <c r="GO527" s="773"/>
      <c r="GP527" s="773"/>
      <c r="GQ527" s="773"/>
      <c r="GR527" s="773"/>
      <c r="GS527" s="773"/>
      <c r="GT527" s="773"/>
      <c r="GU527" s="773"/>
      <c r="GV527" s="773"/>
      <c r="GW527" s="773"/>
      <c r="GX527" s="773"/>
      <c r="GY527" s="773"/>
      <c r="GZ527" s="773"/>
    </row>
    <row r="528" spans="1:208" s="11" customFormat="1">
      <c r="A528" s="774"/>
      <c r="B528" s="3761" t="s">
        <v>764</v>
      </c>
      <c r="C528" s="197">
        <v>8410033</v>
      </c>
      <c r="D528" s="199" t="s">
        <v>981</v>
      </c>
      <c r="E528" s="798">
        <f>IFERROR(VLOOKUP(C528,'AJE 12 - INC'!$D$168:$F$771,3,0),0)</f>
        <v>0</v>
      </c>
      <c r="F528" s="108">
        <f>SUMIF('AJE 12 - INC'!B:B,'New TB INC'!C528,'AJE 12 - INC'!D:D)</f>
        <v>0</v>
      </c>
      <c r="G528" s="108"/>
      <c r="H528" s="889"/>
      <c r="I528" s="889"/>
      <c r="J528" s="798">
        <f t="shared" si="54"/>
        <v>0</v>
      </c>
      <c r="K528" s="209"/>
      <c r="L528" s="434"/>
      <c r="M528" s="802"/>
      <c r="N528" s="11">
        <v>0</v>
      </c>
      <c r="O528" s="11">
        <v>0</v>
      </c>
      <c r="P528" s="11">
        <v>0</v>
      </c>
      <c r="Q528" s="11">
        <v>0</v>
      </c>
      <c r="R528" s="773">
        <v>0</v>
      </c>
      <c r="S528" s="11">
        <v>0</v>
      </c>
      <c r="T528" s="773">
        <v>0</v>
      </c>
      <c r="U528" s="2173">
        <v>0</v>
      </c>
      <c r="V528" s="2509">
        <v>0</v>
      </c>
      <c r="W528" s="2509">
        <v>0</v>
      </c>
      <c r="X528" s="2509">
        <v>0</v>
      </c>
      <c r="Y528" s="2509">
        <v>0</v>
      </c>
      <c r="Z528" s="11">
        <f>'[26]New TB INC'!Z475</f>
        <v>0</v>
      </c>
      <c r="AA528" s="11">
        <f>'[27]New TB INC'!AA484</f>
        <v>0</v>
      </c>
      <c r="AB528" s="11">
        <f>'[28]New TB INC'!AB491</f>
        <v>0</v>
      </c>
      <c r="AC528" s="11">
        <f>'[29]New TB INC'!AC487</f>
        <v>0</v>
      </c>
      <c r="AD528" s="11">
        <f>'[30]New TB INC'!AD482</f>
        <v>0</v>
      </c>
      <c r="AE528" s="11">
        <f>'[31]New TB INC'!AE490</f>
        <v>0</v>
      </c>
      <c r="AF528" s="11">
        <v>0</v>
      </c>
      <c r="AG528" s="11">
        <v>0</v>
      </c>
      <c r="AH528" s="11">
        <v>0</v>
      </c>
      <c r="AI528" s="11">
        <v>0</v>
      </c>
      <c r="AJ528" s="11">
        <v>0</v>
      </c>
      <c r="AK528" s="11">
        <f>$J528-SUM($Z528:AJ528)</f>
        <v>0</v>
      </c>
      <c r="AW528" s="2509"/>
      <c r="BH528" s="2509"/>
      <c r="BI528" s="772"/>
      <c r="BJ528" s="2173"/>
      <c r="BK528" s="2173"/>
      <c r="BL528" s="2173"/>
      <c r="BM528" s="2173"/>
      <c r="BO528" s="209"/>
      <c r="BQ528" s="209"/>
      <c r="BR528" s="859"/>
      <c r="BS528" s="885"/>
      <c r="CH528" s="878"/>
      <c r="CI528" s="4"/>
      <c r="CJ528" s="4"/>
      <c r="DB528" s="773"/>
      <c r="DC528" s="773"/>
      <c r="DD528" s="773"/>
      <c r="DE528" s="773"/>
      <c r="DF528" s="773"/>
      <c r="DG528" s="773"/>
      <c r="DH528" s="773"/>
      <c r="DI528" s="773"/>
      <c r="DJ528" s="773"/>
      <c r="DK528" s="773"/>
      <c r="DL528" s="773"/>
      <c r="DM528" s="773"/>
      <c r="DN528" s="773"/>
      <c r="DO528" s="773"/>
      <c r="DP528" s="773"/>
      <c r="DQ528" s="773"/>
      <c r="DR528" s="773"/>
      <c r="DS528" s="773"/>
      <c r="DT528" s="773"/>
      <c r="DU528" s="773"/>
      <c r="DV528" s="773"/>
      <c r="DW528" s="773"/>
      <c r="DX528" s="773"/>
      <c r="DY528" s="773"/>
      <c r="DZ528" s="773"/>
      <c r="EA528" s="773"/>
      <c r="EB528" s="773"/>
      <c r="EC528" s="773"/>
      <c r="ED528" s="773"/>
      <c r="EE528" s="773"/>
      <c r="EF528" s="773"/>
      <c r="EG528" s="773"/>
      <c r="EH528" s="773"/>
      <c r="EI528" s="773"/>
      <c r="EJ528" s="773"/>
      <c r="EK528" s="773"/>
      <c r="EL528" s="773"/>
      <c r="EM528" s="773"/>
      <c r="EN528" s="773"/>
      <c r="EO528" s="773"/>
      <c r="EP528" s="773"/>
      <c r="EQ528" s="773"/>
      <c r="ER528" s="773"/>
      <c r="ES528" s="773"/>
      <c r="ET528" s="773"/>
      <c r="EU528" s="773"/>
      <c r="EV528" s="773"/>
      <c r="EW528" s="773"/>
      <c r="EX528" s="773"/>
      <c r="EY528" s="773"/>
      <c r="EZ528" s="773"/>
      <c r="FA528" s="773"/>
      <c r="FB528" s="773"/>
      <c r="FC528" s="773"/>
      <c r="FD528" s="773"/>
      <c r="FE528" s="773"/>
      <c r="FF528" s="773"/>
      <c r="FG528" s="773"/>
      <c r="FH528" s="773"/>
      <c r="FI528" s="773"/>
      <c r="FJ528" s="773"/>
      <c r="FK528" s="773"/>
      <c r="FL528" s="773"/>
      <c r="FM528" s="773"/>
      <c r="FN528" s="773"/>
      <c r="FO528" s="773"/>
      <c r="FP528" s="773"/>
      <c r="FQ528" s="773"/>
      <c r="FR528" s="773"/>
      <c r="FS528" s="773"/>
      <c r="FT528" s="773"/>
      <c r="FU528" s="773"/>
      <c r="FV528" s="773"/>
      <c r="FW528" s="773"/>
      <c r="FX528" s="773"/>
      <c r="FY528" s="773"/>
      <c r="FZ528" s="773"/>
      <c r="GA528" s="773"/>
      <c r="GB528" s="773"/>
      <c r="GC528" s="773"/>
      <c r="GD528" s="773"/>
      <c r="GE528" s="773"/>
      <c r="GF528" s="773"/>
      <c r="GG528" s="773"/>
      <c r="GH528" s="773"/>
      <c r="GI528" s="773"/>
      <c r="GJ528" s="773"/>
      <c r="GK528" s="773"/>
      <c r="GL528" s="773"/>
      <c r="GM528" s="773"/>
      <c r="GN528" s="773"/>
      <c r="GO528" s="773"/>
      <c r="GP528" s="773"/>
      <c r="GQ528" s="773"/>
      <c r="GR528" s="773"/>
      <c r="GS528" s="773"/>
      <c r="GT528" s="773"/>
      <c r="GU528" s="773"/>
      <c r="GV528" s="773"/>
      <c r="GW528" s="773"/>
      <c r="GX528" s="773"/>
      <c r="GY528" s="773"/>
      <c r="GZ528" s="773"/>
    </row>
    <row r="529" spans="1:208" s="11" customFormat="1">
      <c r="A529" s="774"/>
      <c r="B529" s="3762" t="s">
        <v>785</v>
      </c>
      <c r="C529" s="197">
        <v>5200010</v>
      </c>
      <c r="D529" s="199" t="s">
        <v>851</v>
      </c>
      <c r="E529" s="798">
        <f>IFERROR(VLOOKUP(C529,'AJE 12 - INC'!$D$168:$F$771,3,0),0)</f>
        <v>9960.27</v>
      </c>
      <c r="F529" s="108">
        <f>SUMIF('AJE 12 - INC'!B:B,'New TB INC'!C529,'AJE 12 - INC'!D:D)</f>
        <v>0</v>
      </c>
      <c r="G529" s="108"/>
      <c r="H529" s="108"/>
      <c r="I529" s="108"/>
      <c r="J529" s="798">
        <f t="shared" si="54"/>
        <v>9960.27</v>
      </c>
      <c r="K529" s="209"/>
      <c r="L529" s="434"/>
      <c r="M529" s="883"/>
      <c r="N529" s="11">
        <v>704.93</v>
      </c>
      <c r="O529" s="11">
        <v>704.93</v>
      </c>
      <c r="P529" s="11">
        <v>704.93000000000018</v>
      </c>
      <c r="Q529" s="11">
        <v>704.93</v>
      </c>
      <c r="R529" s="773">
        <v>704.93000000000018</v>
      </c>
      <c r="S529" s="11">
        <v>836.19000000000017</v>
      </c>
      <c r="T529" s="773">
        <v>362.93000000000018</v>
      </c>
      <c r="U529" s="2173">
        <v>704.92999999999938</v>
      </c>
      <c r="V529" s="2509">
        <v>602.63000000000011</v>
      </c>
      <c r="W529" s="2509">
        <v>538.73000000000047</v>
      </c>
      <c r="X529" s="2509">
        <v>636.30999999999949</v>
      </c>
      <c r="Y529" s="2509">
        <v>636.3100000000004</v>
      </c>
      <c r="Z529" s="11">
        <f>'[26]New TB INC'!Z476</f>
        <v>566.35</v>
      </c>
      <c r="AA529" s="11">
        <f>'[27]New TB INC'!AA485</f>
        <v>604.07000000000005</v>
      </c>
      <c r="AB529" s="11">
        <f>'[28]New TB INC'!AB492</f>
        <v>566.34999999999991</v>
      </c>
      <c r="AC529" s="11">
        <f>'[29]New TB INC'!AC488</f>
        <v>566.34999999999991</v>
      </c>
      <c r="AD529" s="11">
        <f>'[30]New TB INC'!AD483</f>
        <v>742.61000000000013</v>
      </c>
      <c r="AE529" s="11">
        <f>'[31]New TB INC'!AE491</f>
        <v>817.25999999999976</v>
      </c>
      <c r="AF529" s="11">
        <v>925.78000000000065</v>
      </c>
      <c r="AG529" s="11">
        <v>925.77999999999975</v>
      </c>
      <c r="AH529" s="11">
        <v>925.77999999999975</v>
      </c>
      <c r="AI529" s="11">
        <v>1251.3400000000001</v>
      </c>
      <c r="AJ529" s="11">
        <v>1034.2999999999993</v>
      </c>
      <c r="AK529" s="11">
        <f>$J529-SUM($Z529:AJ529)</f>
        <v>1034.3000000000011</v>
      </c>
      <c r="AW529" s="2509"/>
      <c r="BH529" s="2509"/>
      <c r="BI529" s="772"/>
      <c r="BJ529" s="2173"/>
      <c r="BK529" s="2173"/>
      <c r="BL529" s="2173"/>
      <c r="BM529" s="2165"/>
      <c r="BO529" s="209"/>
      <c r="BQ529" s="209"/>
      <c r="BR529" s="859"/>
      <c r="CI529" s="4"/>
      <c r="CJ529" s="4"/>
      <c r="DB529" s="773"/>
      <c r="DC529" s="773"/>
      <c r="DD529" s="773"/>
      <c r="DE529" s="773"/>
      <c r="DF529" s="773"/>
      <c r="DG529" s="773"/>
      <c r="DH529" s="773"/>
      <c r="DI529" s="773"/>
      <c r="DJ529" s="773"/>
      <c r="DK529" s="773"/>
      <c r="DL529" s="773"/>
      <c r="DM529" s="773"/>
      <c r="DN529" s="773"/>
      <c r="DO529" s="773"/>
      <c r="DP529" s="773"/>
      <c r="DQ529" s="773"/>
      <c r="DR529" s="773"/>
      <c r="DS529" s="773"/>
      <c r="DT529" s="773"/>
      <c r="DU529" s="773"/>
      <c r="DV529" s="773"/>
      <c r="DW529" s="773"/>
      <c r="DX529" s="773"/>
      <c r="DY529" s="773"/>
      <c r="DZ529" s="773"/>
      <c r="EA529" s="773"/>
      <c r="EB529" s="773"/>
      <c r="EC529" s="773"/>
      <c r="ED529" s="773"/>
      <c r="EE529" s="773"/>
      <c r="EF529" s="773"/>
      <c r="EG529" s="773"/>
      <c r="EH529" s="773"/>
      <c r="EI529" s="773"/>
      <c r="EJ529" s="773"/>
      <c r="EK529" s="773"/>
      <c r="EL529" s="773"/>
      <c r="EM529" s="773"/>
      <c r="EN529" s="773"/>
      <c r="EO529" s="773"/>
      <c r="EP529" s="773"/>
      <c r="EQ529" s="773"/>
      <c r="ER529" s="773"/>
      <c r="ES529" s="773"/>
      <c r="ET529" s="773"/>
      <c r="EU529" s="773"/>
      <c r="EV529" s="773"/>
      <c r="EW529" s="773"/>
      <c r="EX529" s="773"/>
      <c r="EY529" s="773"/>
      <c r="EZ529" s="773"/>
      <c r="FA529" s="773"/>
      <c r="FB529" s="773"/>
      <c r="FC529" s="773"/>
      <c r="FD529" s="773"/>
      <c r="FE529" s="773"/>
      <c r="FF529" s="773"/>
      <c r="FG529" s="773"/>
      <c r="FH529" s="773"/>
      <c r="FI529" s="773"/>
      <c r="FJ529" s="773"/>
      <c r="FK529" s="773"/>
      <c r="FL529" s="773"/>
      <c r="FM529" s="773"/>
      <c r="FN529" s="773"/>
      <c r="FO529" s="773"/>
      <c r="FP529" s="773"/>
      <c r="FQ529" s="773"/>
      <c r="FR529" s="773"/>
      <c r="FS529" s="773"/>
      <c r="FT529" s="773"/>
      <c r="FU529" s="773"/>
      <c r="FV529" s="773"/>
      <c r="FW529" s="773"/>
      <c r="FX529" s="773"/>
      <c r="FY529" s="773"/>
      <c r="FZ529" s="773"/>
      <c r="GA529" s="773"/>
      <c r="GB529" s="773"/>
      <c r="GC529" s="773"/>
      <c r="GD529" s="773"/>
      <c r="GE529" s="773"/>
      <c r="GF529" s="773"/>
      <c r="GG529" s="773"/>
      <c r="GH529" s="773"/>
      <c r="GI529" s="773"/>
      <c r="GJ529" s="773"/>
      <c r="GK529" s="773"/>
      <c r="GL529" s="773"/>
      <c r="GM529" s="773"/>
      <c r="GN529" s="773"/>
      <c r="GO529" s="773"/>
      <c r="GP529" s="773"/>
      <c r="GQ529" s="773"/>
      <c r="GR529" s="773"/>
      <c r="GS529" s="773"/>
      <c r="GT529" s="773"/>
      <c r="GU529" s="773"/>
      <c r="GV529" s="773"/>
      <c r="GW529" s="773"/>
      <c r="GX529" s="773"/>
      <c r="GY529" s="773"/>
      <c r="GZ529" s="773"/>
    </row>
    <row r="530" spans="1:208" s="11" customFormat="1">
      <c r="A530" s="774"/>
      <c r="B530" s="3762" t="s">
        <v>2369</v>
      </c>
      <c r="C530" s="197" t="s">
        <v>2567</v>
      </c>
      <c r="D530" s="199" t="s">
        <v>2568</v>
      </c>
      <c r="E530" s="798">
        <f>IFERROR(VLOOKUP(C530,'AJE 12 - INC'!$D$168:$F$771,3,0),0)</f>
        <v>1410.58</v>
      </c>
      <c r="F530" s="108">
        <f>SUMIF('AJE 12 - INC'!B:B,'New TB INC'!C530,'AJE 12 - INC'!D:D)</f>
        <v>0</v>
      </c>
      <c r="G530" s="108"/>
      <c r="H530" s="108"/>
      <c r="I530" s="108"/>
      <c r="J530" s="798">
        <f t="shared" si="54"/>
        <v>1410.58</v>
      </c>
      <c r="K530" s="209"/>
      <c r="L530" s="434"/>
      <c r="M530" s="883"/>
      <c r="N530" s="11">
        <v>0</v>
      </c>
      <c r="O530" s="11">
        <v>0</v>
      </c>
      <c r="P530" s="11">
        <v>0</v>
      </c>
      <c r="Q530" s="11">
        <v>0</v>
      </c>
      <c r="R530" s="773">
        <v>0</v>
      </c>
      <c r="S530" s="11">
        <v>0</v>
      </c>
      <c r="T530" s="773">
        <v>0</v>
      </c>
      <c r="U530" s="2173">
        <v>101.84</v>
      </c>
      <c r="V530" s="2509">
        <v>0</v>
      </c>
      <c r="W530" s="2509">
        <v>0</v>
      </c>
      <c r="X530" s="2509">
        <v>0</v>
      </c>
      <c r="Y530" s="2509">
        <v>0</v>
      </c>
      <c r="Z530" s="11">
        <f>'[26]New TB INC'!Z477</f>
        <v>0</v>
      </c>
      <c r="AA530" s="11">
        <f>'[27]New TB INC'!AA486</f>
        <v>0</v>
      </c>
      <c r="AB530" s="11">
        <f>'[28]New TB INC'!AB493</f>
        <v>0</v>
      </c>
      <c r="AC530" s="11">
        <f>'[29]New TB INC'!AC489</f>
        <v>0</v>
      </c>
      <c r="AD530" s="11">
        <f>'[30]New TB INC'!AD484</f>
        <v>0</v>
      </c>
      <c r="AE530" s="11">
        <f>'[31]New TB INC'!AE492</f>
        <v>0</v>
      </c>
      <c r="AF530" s="11">
        <v>0</v>
      </c>
      <c r="AG530" s="11">
        <v>0</v>
      </c>
      <c r="AH530" s="11">
        <v>400.26</v>
      </c>
      <c r="AI530" s="11">
        <v>0</v>
      </c>
      <c r="AJ530" s="11">
        <v>0</v>
      </c>
      <c r="AK530" s="11">
        <f>$J530-SUM($Z530:AJ530)</f>
        <v>1010.3199999999999</v>
      </c>
      <c r="AW530" s="2509"/>
      <c r="BH530" s="2509"/>
      <c r="BI530" s="772"/>
      <c r="BJ530" s="2173"/>
      <c r="BK530" s="2173"/>
      <c r="BL530" s="773"/>
      <c r="BM530" s="2174"/>
      <c r="BN530" s="773"/>
      <c r="BO530" s="209"/>
      <c r="BQ530" s="209"/>
      <c r="BR530" s="859"/>
      <c r="CI530" s="4"/>
      <c r="CJ530" s="4"/>
      <c r="DB530" s="773"/>
      <c r="DC530" s="773"/>
      <c r="DD530" s="773"/>
      <c r="DE530" s="773"/>
      <c r="DF530" s="773"/>
      <c r="DG530" s="773"/>
      <c r="DH530" s="773"/>
      <c r="DI530" s="773"/>
      <c r="DJ530" s="773"/>
      <c r="DK530" s="773"/>
      <c r="DL530" s="773"/>
      <c r="DM530" s="773"/>
      <c r="DN530" s="773"/>
      <c r="DO530" s="773"/>
      <c r="DP530" s="773"/>
      <c r="DQ530" s="773"/>
      <c r="DR530" s="773"/>
      <c r="DS530" s="773"/>
      <c r="DT530" s="773"/>
      <c r="DU530" s="773"/>
      <c r="DV530" s="773"/>
      <c r="DW530" s="773"/>
      <c r="DX530" s="773"/>
      <c r="DY530" s="773"/>
      <c r="DZ530" s="773"/>
      <c r="EA530" s="773"/>
      <c r="EB530" s="773"/>
      <c r="EC530" s="773"/>
      <c r="ED530" s="773"/>
      <c r="EE530" s="773"/>
      <c r="EF530" s="773"/>
      <c r="EG530" s="773"/>
      <c r="EH530" s="773"/>
      <c r="EI530" s="773"/>
      <c r="EJ530" s="773"/>
      <c r="EK530" s="773"/>
      <c r="EL530" s="773"/>
      <c r="EM530" s="773"/>
      <c r="EN530" s="773"/>
      <c r="EO530" s="773"/>
      <c r="EP530" s="773"/>
      <c r="EQ530" s="773"/>
      <c r="ER530" s="773"/>
      <c r="ES530" s="773"/>
      <c r="ET530" s="773"/>
      <c r="EU530" s="773"/>
      <c r="EV530" s="773"/>
      <c r="EW530" s="773"/>
      <c r="EX530" s="773"/>
      <c r="EY530" s="773"/>
      <c r="EZ530" s="773"/>
      <c r="FA530" s="773"/>
      <c r="FB530" s="773"/>
      <c r="FC530" s="773"/>
      <c r="FD530" s="773"/>
      <c r="FE530" s="773"/>
      <c r="FF530" s="773"/>
      <c r="FG530" s="773"/>
      <c r="FH530" s="773"/>
      <c r="FI530" s="773"/>
      <c r="FJ530" s="773"/>
      <c r="FK530" s="773"/>
      <c r="FL530" s="773"/>
      <c r="FM530" s="773"/>
      <c r="FN530" s="773"/>
      <c r="FO530" s="773"/>
      <c r="FP530" s="773"/>
      <c r="FQ530" s="773"/>
      <c r="FR530" s="773"/>
      <c r="FS530" s="773"/>
      <c r="FT530" s="773"/>
      <c r="FU530" s="773"/>
      <c r="FV530" s="773"/>
      <c r="FW530" s="773"/>
      <c r="FX530" s="773"/>
      <c r="FY530" s="773"/>
      <c r="FZ530" s="773"/>
      <c r="GA530" s="773"/>
      <c r="GB530" s="773"/>
      <c r="GC530" s="773"/>
      <c r="GD530" s="773"/>
      <c r="GE530" s="773"/>
      <c r="GF530" s="773"/>
      <c r="GG530" s="773"/>
      <c r="GH530" s="773"/>
      <c r="GI530" s="773"/>
      <c r="GJ530" s="773"/>
      <c r="GK530" s="773"/>
      <c r="GL530" s="773"/>
      <c r="GM530" s="773"/>
      <c r="GN530" s="773"/>
      <c r="GO530" s="773"/>
      <c r="GP530" s="773"/>
      <c r="GQ530" s="773"/>
      <c r="GR530" s="773"/>
      <c r="GS530" s="773"/>
      <c r="GT530" s="773"/>
      <c r="GU530" s="773"/>
      <c r="GV530" s="773"/>
      <c r="GW530" s="773"/>
      <c r="GX530" s="773"/>
      <c r="GY530" s="773"/>
      <c r="GZ530" s="773"/>
    </row>
    <row r="531" spans="1:208" s="11" customFormat="1">
      <c r="A531" s="774"/>
      <c r="B531" s="3762" t="s">
        <v>785</v>
      </c>
      <c r="C531" s="197">
        <v>5200012</v>
      </c>
      <c r="D531" s="199" t="s">
        <v>852</v>
      </c>
      <c r="E531" s="798">
        <f>IFERROR(VLOOKUP(C531,'AJE 12 - INC'!$D$168:$F$771,3,0),0)</f>
        <v>118963.11</v>
      </c>
      <c r="F531" s="108">
        <f>SUMIF('AJE 12 - INC'!B:B,'New TB INC'!C531,'AJE 12 - INC'!D:D)</f>
        <v>0</v>
      </c>
      <c r="G531" s="108"/>
      <c r="H531" s="108"/>
      <c r="I531" s="108"/>
      <c r="J531" s="798">
        <f t="shared" si="54"/>
        <v>118963.11</v>
      </c>
      <c r="K531" s="209"/>
      <c r="L531" s="434"/>
      <c r="M531" s="883"/>
      <c r="N531" s="11">
        <v>10813.58</v>
      </c>
      <c r="O531" s="11">
        <v>20437.28</v>
      </c>
      <c r="P531" s="11">
        <v>9031.9799999999959</v>
      </c>
      <c r="Q531" s="11">
        <v>5850.0600000000049</v>
      </c>
      <c r="R531" s="773">
        <v>9161.5599999999977</v>
      </c>
      <c r="S531" s="11">
        <v>9162.5299999999988</v>
      </c>
      <c r="T531" s="773">
        <v>8025.8400000000038</v>
      </c>
      <c r="U531" s="2173">
        <v>8028.2799999999988</v>
      </c>
      <c r="V531" s="2509">
        <v>6487.6199999999953</v>
      </c>
      <c r="W531" s="2509">
        <v>6238.2300000000105</v>
      </c>
      <c r="X531" s="2509">
        <v>6170.3299999999872</v>
      </c>
      <c r="Y531" s="2509">
        <v>5309.6100000000006</v>
      </c>
      <c r="Z531" s="11">
        <f>'[26]New TB INC'!Z478</f>
        <v>7567.25</v>
      </c>
      <c r="AA531" s="11">
        <f>'[27]New TB INC'!AA487</f>
        <v>14343.55</v>
      </c>
      <c r="AB531" s="11">
        <f>'[28]New TB INC'!AB494</f>
        <v>7862.760000000002</v>
      </c>
      <c r="AC531" s="11">
        <f>'[29]New TB INC'!AC490</f>
        <v>9327.0699999999961</v>
      </c>
      <c r="AD531" s="11">
        <f>'[30]New TB INC'!AD485</f>
        <v>8917.86</v>
      </c>
      <c r="AE531" s="11">
        <f>'[31]New TB INC'!AE493</f>
        <v>9812.7799999999988</v>
      </c>
      <c r="AF531" s="11">
        <v>10836.93</v>
      </c>
      <c r="AG531" s="11">
        <v>10463.339999999997</v>
      </c>
      <c r="AH531" s="11">
        <v>10714.940000000002</v>
      </c>
      <c r="AI531" s="11">
        <v>10726.449999999997</v>
      </c>
      <c r="AJ531" s="11">
        <v>9981.1700000000128</v>
      </c>
      <c r="AK531" s="11">
        <f>$J531-SUM($Z531:AJ531)</f>
        <v>8409.0099999999948</v>
      </c>
      <c r="AW531" s="2509"/>
      <c r="BH531" s="2509"/>
      <c r="BI531" s="772"/>
      <c r="BJ531" s="2173"/>
      <c r="BK531" s="2173"/>
      <c r="BL531" s="773"/>
      <c r="BM531" s="2174"/>
      <c r="BN531" s="773"/>
      <c r="BO531" s="209"/>
      <c r="BR531" s="799"/>
      <c r="BS531" s="885"/>
      <c r="CI531" s="4"/>
      <c r="CJ531" s="4"/>
      <c r="DB531" s="773"/>
      <c r="DC531" s="773"/>
      <c r="DD531" s="773"/>
      <c r="DE531" s="773"/>
      <c r="DF531" s="773"/>
      <c r="DG531" s="773"/>
      <c r="DH531" s="773"/>
      <c r="DI531" s="773"/>
      <c r="DJ531" s="773"/>
      <c r="DK531" s="773"/>
      <c r="DL531" s="773"/>
      <c r="DM531" s="773"/>
      <c r="DN531" s="773"/>
      <c r="DO531" s="773"/>
      <c r="DP531" s="773"/>
      <c r="DQ531" s="773"/>
      <c r="DR531" s="773"/>
      <c r="DS531" s="773"/>
      <c r="DT531" s="773"/>
      <c r="DU531" s="773"/>
      <c r="DV531" s="773"/>
      <c r="DW531" s="773"/>
      <c r="DX531" s="773"/>
      <c r="DY531" s="773"/>
      <c r="DZ531" s="773"/>
      <c r="EA531" s="773"/>
      <c r="EB531" s="773"/>
      <c r="EC531" s="773"/>
      <c r="ED531" s="773"/>
      <c r="EE531" s="773"/>
      <c r="EF531" s="773"/>
      <c r="EG531" s="773"/>
      <c r="EH531" s="773"/>
      <c r="EI531" s="773"/>
      <c r="EJ531" s="773"/>
      <c r="EK531" s="773"/>
      <c r="EL531" s="773"/>
      <c r="EM531" s="773"/>
      <c r="EN531" s="773"/>
      <c r="EO531" s="773"/>
      <c r="EP531" s="773"/>
      <c r="EQ531" s="773"/>
      <c r="ER531" s="773"/>
      <c r="ES531" s="773"/>
      <c r="ET531" s="773"/>
      <c r="EU531" s="773"/>
      <c r="EV531" s="773"/>
      <c r="EW531" s="773"/>
      <c r="EX531" s="773"/>
      <c r="EY531" s="773"/>
      <c r="EZ531" s="773"/>
      <c r="FA531" s="773"/>
      <c r="FB531" s="773"/>
      <c r="FC531" s="773"/>
      <c r="FD531" s="773"/>
      <c r="FE531" s="773"/>
      <c r="FF531" s="773"/>
      <c r="FG531" s="773"/>
      <c r="FH531" s="773"/>
      <c r="FI531" s="773"/>
      <c r="FJ531" s="773"/>
      <c r="FK531" s="773"/>
      <c r="FL531" s="773"/>
      <c r="FM531" s="773"/>
      <c r="FN531" s="773"/>
      <c r="FO531" s="773"/>
      <c r="FP531" s="773"/>
      <c r="FQ531" s="773"/>
      <c r="FR531" s="773"/>
      <c r="FS531" s="773"/>
      <c r="FT531" s="773"/>
      <c r="FU531" s="773"/>
      <c r="FV531" s="773"/>
      <c r="FW531" s="773"/>
      <c r="FX531" s="773"/>
      <c r="FY531" s="773"/>
      <c r="FZ531" s="773"/>
      <c r="GA531" s="773"/>
      <c r="GB531" s="773"/>
      <c r="GC531" s="773"/>
      <c r="GD531" s="773"/>
      <c r="GE531" s="773"/>
      <c r="GF531" s="773"/>
      <c r="GG531" s="773"/>
      <c r="GH531" s="773"/>
      <c r="GI531" s="773"/>
      <c r="GJ531" s="773"/>
      <c r="GK531" s="773"/>
      <c r="GL531" s="773"/>
      <c r="GM531" s="773"/>
      <c r="GN531" s="773"/>
      <c r="GO531" s="773"/>
      <c r="GP531" s="773"/>
      <c r="GQ531" s="773"/>
      <c r="GR531" s="773"/>
      <c r="GS531" s="773"/>
      <c r="GT531" s="773"/>
      <c r="GU531" s="773"/>
      <c r="GV531" s="773"/>
      <c r="GW531" s="773"/>
      <c r="GX531" s="773"/>
      <c r="GY531" s="773"/>
      <c r="GZ531" s="773"/>
    </row>
    <row r="532" spans="1:208" s="11" customFormat="1">
      <c r="A532" s="774"/>
      <c r="B532" s="3762" t="s">
        <v>785</v>
      </c>
      <c r="C532" s="197">
        <v>5200020</v>
      </c>
      <c r="D532" s="199" t="s">
        <v>853</v>
      </c>
      <c r="E532" s="798">
        <f>IFERROR(VLOOKUP(C532,'AJE 12 - INC'!$D$168:$F$771,3,0),0)</f>
        <v>113343.3</v>
      </c>
      <c r="F532" s="108">
        <f>SUMIF('AJE 12 - INC'!B:B,'New TB INC'!C532,'AJE 12 - INC'!D:D)</f>
        <v>0</v>
      </c>
      <c r="G532" s="108"/>
      <c r="H532" s="108"/>
      <c r="I532" s="108"/>
      <c r="J532" s="798">
        <f t="shared" si="54"/>
        <v>113343.3</v>
      </c>
      <c r="K532" s="209"/>
      <c r="L532" s="434"/>
      <c r="M532" s="883"/>
      <c r="N532" s="11">
        <v>46.5</v>
      </c>
      <c r="O532" s="11">
        <v>0</v>
      </c>
      <c r="P532" s="11">
        <v>0</v>
      </c>
      <c r="Q532" s="11">
        <v>0</v>
      </c>
      <c r="R532" s="773">
        <v>0</v>
      </c>
      <c r="S532" s="11">
        <v>0</v>
      </c>
      <c r="T532" s="773">
        <v>0</v>
      </c>
      <c r="U532" s="2173">
        <v>128</v>
      </c>
      <c r="V532" s="2509">
        <v>0</v>
      </c>
      <c r="W532" s="2509">
        <v>0</v>
      </c>
      <c r="X532" s="2509">
        <v>0</v>
      </c>
      <c r="Y532" s="2509">
        <v>193</v>
      </c>
      <c r="Z532" s="11">
        <f>'[26]New TB INC'!Z480</f>
        <v>34.15</v>
      </c>
      <c r="AA532" s="11">
        <f>'[27]New TB INC'!AA489</f>
        <v>0</v>
      </c>
      <c r="AB532" s="11">
        <f>'[28]New TB INC'!AB495</f>
        <v>66200</v>
      </c>
      <c r="AC532" s="11">
        <f>'[29]New TB INC'!AC491</f>
        <v>0</v>
      </c>
      <c r="AD532" s="11">
        <f>'[30]New TB INC'!AD486</f>
        <v>26000</v>
      </c>
      <c r="AE532" s="11">
        <f>'[31]New TB INC'!AE494</f>
        <v>105</v>
      </c>
      <c r="AF532" s="11">
        <v>20855</v>
      </c>
      <c r="AG532" s="11">
        <v>0</v>
      </c>
      <c r="AH532" s="11">
        <v>0</v>
      </c>
      <c r="AI532" s="11">
        <v>0</v>
      </c>
      <c r="AJ532" s="11">
        <v>0</v>
      </c>
      <c r="AK532" s="11">
        <f>$J532-SUM($Z532:AJ532)</f>
        <v>149.15000000000873</v>
      </c>
      <c r="AW532" s="2509"/>
      <c r="BH532" s="2509"/>
      <c r="BI532" s="772"/>
      <c r="BJ532" s="2173"/>
      <c r="BK532" s="2173"/>
      <c r="BL532" s="773"/>
      <c r="BM532" s="2174"/>
      <c r="BN532" s="773"/>
      <c r="BO532" s="209"/>
      <c r="BQ532" s="209"/>
      <c r="BR532" s="859"/>
      <c r="BS532" s="885"/>
      <c r="CI532" s="4"/>
      <c r="CJ532" s="4"/>
      <c r="DB532" s="773"/>
      <c r="DC532" s="773"/>
      <c r="DD532" s="773"/>
      <c r="DE532" s="773"/>
      <c r="DF532" s="773"/>
      <c r="DG532" s="773"/>
      <c r="DH532" s="773"/>
      <c r="DI532" s="773"/>
      <c r="DJ532" s="773"/>
      <c r="DK532" s="773"/>
      <c r="DL532" s="773"/>
      <c r="DM532" s="773"/>
      <c r="DN532" s="773"/>
      <c r="DO532" s="773"/>
      <c r="DP532" s="773"/>
      <c r="DQ532" s="773"/>
      <c r="DR532" s="773"/>
      <c r="DS532" s="773"/>
      <c r="DT532" s="773"/>
      <c r="DU532" s="773"/>
      <c r="DV532" s="773"/>
      <c r="DW532" s="773"/>
      <c r="DX532" s="773"/>
      <c r="DY532" s="773"/>
      <c r="DZ532" s="773"/>
      <c r="EA532" s="773"/>
      <c r="EB532" s="773"/>
      <c r="EC532" s="773"/>
      <c r="ED532" s="773"/>
      <c r="EE532" s="773"/>
      <c r="EF532" s="773"/>
      <c r="EG532" s="773"/>
      <c r="EH532" s="773"/>
      <c r="EI532" s="773"/>
      <c r="EJ532" s="773"/>
      <c r="EK532" s="773"/>
      <c r="EL532" s="773"/>
      <c r="EM532" s="773"/>
      <c r="EN532" s="773"/>
      <c r="EO532" s="773"/>
      <c r="EP532" s="773"/>
      <c r="EQ532" s="773"/>
      <c r="ER532" s="773"/>
      <c r="ES532" s="773"/>
      <c r="ET532" s="773"/>
      <c r="EU532" s="773"/>
      <c r="EV532" s="773"/>
      <c r="EW532" s="773"/>
      <c r="EX532" s="773"/>
      <c r="EY532" s="773"/>
      <c r="EZ532" s="773"/>
      <c r="FA532" s="773"/>
      <c r="FB532" s="773"/>
      <c r="FC532" s="773"/>
      <c r="FD532" s="773"/>
      <c r="FE532" s="773"/>
      <c r="FF532" s="773"/>
      <c r="FG532" s="773"/>
      <c r="FH532" s="773"/>
      <c r="FI532" s="773"/>
      <c r="FJ532" s="773"/>
      <c r="FK532" s="773"/>
      <c r="FL532" s="773"/>
      <c r="FM532" s="773"/>
      <c r="FN532" s="773"/>
      <c r="FO532" s="773"/>
      <c r="FP532" s="773"/>
      <c r="FQ532" s="773"/>
      <c r="FR532" s="773"/>
      <c r="FS532" s="773"/>
      <c r="FT532" s="773"/>
      <c r="FU532" s="773"/>
      <c r="FV532" s="773"/>
      <c r="FW532" s="773"/>
      <c r="FX532" s="773"/>
      <c r="FY532" s="773"/>
      <c r="FZ532" s="773"/>
      <c r="GA532" s="773"/>
      <c r="GB532" s="773"/>
      <c r="GC532" s="773"/>
      <c r="GD532" s="773"/>
      <c r="GE532" s="773"/>
      <c r="GF532" s="773"/>
      <c r="GG532" s="773"/>
      <c r="GH532" s="773"/>
      <c r="GI532" s="773"/>
      <c r="GJ532" s="773"/>
      <c r="GK532" s="773"/>
      <c r="GL532" s="773"/>
      <c r="GM532" s="773"/>
      <c r="GN532" s="773"/>
      <c r="GO532" s="773"/>
      <c r="GP532" s="773"/>
      <c r="GQ532" s="773"/>
      <c r="GR532" s="773"/>
      <c r="GS532" s="773"/>
      <c r="GT532" s="773"/>
      <c r="GU532" s="773"/>
      <c r="GV532" s="773"/>
      <c r="GW532" s="773"/>
      <c r="GX532" s="773"/>
      <c r="GY532" s="773"/>
      <c r="GZ532" s="773"/>
    </row>
    <row r="533" spans="1:208" s="11" customFormat="1">
      <c r="A533" s="774"/>
      <c r="B533" s="3762" t="s">
        <v>1355</v>
      </c>
      <c r="C533" s="197">
        <v>5210006</v>
      </c>
      <c r="D533" s="199" t="s">
        <v>3107</v>
      </c>
      <c r="E533" s="798">
        <f>IFERROR(VLOOKUP(C533,'AJE 12 - INC'!$D$168:$F$771,3,0),0)</f>
        <v>596.78</v>
      </c>
      <c r="F533" s="108">
        <f>SUMIF('AJE 12 - INC'!B:B,'New TB INC'!C533,'AJE 12 - INC'!D:D)</f>
        <v>0</v>
      </c>
      <c r="G533" s="108"/>
      <c r="H533" s="108"/>
      <c r="I533" s="108"/>
      <c r="J533" s="798">
        <f t="shared" si="54"/>
        <v>596.78</v>
      </c>
      <c r="K533" s="209"/>
      <c r="L533" s="434"/>
      <c r="M533" s="883"/>
      <c r="R533" s="773"/>
      <c r="T533" s="773"/>
      <c r="U533" s="2173"/>
      <c r="V533" s="2509"/>
      <c r="W533" s="2509"/>
      <c r="X533" s="2509"/>
      <c r="Y533" s="2509">
        <v>0</v>
      </c>
      <c r="Z533" s="11">
        <f>'[26]New TB INC'!Z481</f>
        <v>0</v>
      </c>
      <c r="AA533" s="11">
        <f>'[27]New TB INC'!AA490</f>
        <v>0</v>
      </c>
      <c r="AB533" s="11">
        <f>'[28]New TB INC'!AB496</f>
        <v>0</v>
      </c>
      <c r="AC533" s="11">
        <f>'[29]New TB INC'!AC492</f>
        <v>0</v>
      </c>
      <c r="AD533" s="11">
        <f>'[30]New TB INC'!AD487</f>
        <v>0</v>
      </c>
      <c r="AE533" s="11">
        <f>'[31]New TB INC'!AE495</f>
        <v>0</v>
      </c>
      <c r="AF533" s="11">
        <v>0</v>
      </c>
      <c r="AG533" s="11">
        <v>296.77999999999997</v>
      </c>
      <c r="AH533" s="11">
        <v>0</v>
      </c>
      <c r="AI533" s="11">
        <v>300</v>
      </c>
      <c r="AJ533" s="11">
        <v>0</v>
      </c>
      <c r="AK533" s="11">
        <f>$J533-SUM($Z533:AJ533)</f>
        <v>0</v>
      </c>
      <c r="AW533" s="2509"/>
      <c r="BH533" s="2509"/>
      <c r="BI533" s="772"/>
      <c r="BJ533" s="2173"/>
      <c r="BK533" s="2173"/>
      <c r="BL533" s="773"/>
      <c r="BM533" s="2174"/>
      <c r="BN533" s="773"/>
      <c r="BO533" s="209"/>
      <c r="BQ533" s="209"/>
      <c r="BR533" s="859"/>
      <c r="BS533" s="885"/>
      <c r="CI533" s="4"/>
      <c r="CJ533" s="4"/>
      <c r="DB533" s="773"/>
      <c r="DC533" s="773"/>
      <c r="DD533" s="773"/>
      <c r="DE533" s="773"/>
      <c r="DF533" s="773"/>
      <c r="DG533" s="773"/>
      <c r="DH533" s="773"/>
      <c r="DI533" s="773"/>
      <c r="DJ533" s="773"/>
      <c r="DK533" s="773"/>
      <c r="DL533" s="773"/>
      <c r="DM533" s="773"/>
      <c r="DN533" s="773"/>
      <c r="DO533" s="773"/>
      <c r="DP533" s="773"/>
      <c r="DQ533" s="773"/>
      <c r="DR533" s="773"/>
      <c r="DS533" s="773"/>
      <c r="DT533" s="773"/>
      <c r="DU533" s="773"/>
      <c r="DV533" s="773"/>
      <c r="DW533" s="773"/>
      <c r="DX533" s="773"/>
      <c r="DY533" s="773"/>
      <c r="DZ533" s="773"/>
      <c r="EA533" s="773"/>
      <c r="EB533" s="773"/>
      <c r="EC533" s="773"/>
      <c r="ED533" s="773"/>
      <c r="EE533" s="773"/>
      <c r="EF533" s="773"/>
      <c r="EG533" s="773"/>
      <c r="EH533" s="773"/>
      <c r="EI533" s="773"/>
      <c r="EJ533" s="773"/>
      <c r="EK533" s="773"/>
      <c r="EL533" s="773"/>
      <c r="EM533" s="773"/>
      <c r="EN533" s="773"/>
      <c r="EO533" s="773"/>
      <c r="EP533" s="773"/>
      <c r="EQ533" s="773"/>
      <c r="ER533" s="773"/>
      <c r="ES533" s="773"/>
      <c r="ET533" s="773"/>
      <c r="EU533" s="773"/>
      <c r="EV533" s="773"/>
      <c r="EW533" s="773"/>
      <c r="EX533" s="773"/>
      <c r="EY533" s="773"/>
      <c r="EZ533" s="773"/>
      <c r="FA533" s="773"/>
      <c r="FB533" s="773"/>
      <c r="FC533" s="773"/>
      <c r="FD533" s="773"/>
      <c r="FE533" s="773"/>
      <c r="FF533" s="773"/>
      <c r="FG533" s="773"/>
      <c r="FH533" s="773"/>
      <c r="FI533" s="773"/>
      <c r="FJ533" s="773"/>
      <c r="FK533" s="773"/>
      <c r="FL533" s="773"/>
      <c r="FM533" s="773"/>
      <c r="FN533" s="773"/>
      <c r="FO533" s="773"/>
      <c r="FP533" s="773"/>
      <c r="FQ533" s="773"/>
      <c r="FR533" s="773"/>
      <c r="FS533" s="773"/>
      <c r="FT533" s="773"/>
      <c r="FU533" s="773"/>
      <c r="FV533" s="773"/>
      <c r="FW533" s="773"/>
      <c r="FX533" s="773"/>
      <c r="FY533" s="773"/>
      <c r="FZ533" s="773"/>
      <c r="GA533" s="773"/>
      <c r="GB533" s="773"/>
      <c r="GC533" s="773"/>
      <c r="GD533" s="773"/>
      <c r="GE533" s="773"/>
      <c r="GF533" s="773"/>
      <c r="GG533" s="773"/>
      <c r="GH533" s="773"/>
      <c r="GI533" s="773"/>
      <c r="GJ533" s="773"/>
      <c r="GK533" s="773"/>
      <c r="GL533" s="773"/>
      <c r="GM533" s="773"/>
      <c r="GN533" s="773"/>
      <c r="GO533" s="773"/>
      <c r="GP533" s="773"/>
      <c r="GQ533" s="773"/>
      <c r="GR533" s="773"/>
      <c r="GS533" s="773"/>
      <c r="GT533" s="773"/>
      <c r="GU533" s="773"/>
      <c r="GV533" s="773"/>
      <c r="GW533" s="773"/>
      <c r="GX533" s="773"/>
      <c r="GY533" s="773"/>
      <c r="GZ533" s="773"/>
    </row>
    <row r="534" spans="1:208" s="11" customFormat="1">
      <c r="A534" s="774"/>
      <c r="B534" s="3762" t="s">
        <v>1355</v>
      </c>
      <c r="C534" s="197">
        <v>5210007</v>
      </c>
      <c r="D534" s="199" t="s">
        <v>4012</v>
      </c>
      <c r="E534" s="798">
        <f>IFERROR(VLOOKUP(C534,'AJE 12 - INC'!$D$168:$F$771,3,0),0)</f>
        <v>1909.83</v>
      </c>
      <c r="F534" s="108">
        <f>SUMIF('AJE 12 - INC'!B:B,'New TB INC'!C534,'AJE 12 - INC'!D:D)</f>
        <v>0</v>
      </c>
      <c r="G534" s="108"/>
      <c r="H534" s="108"/>
      <c r="I534" s="108"/>
      <c r="J534" s="798">
        <f>SUM(E534:I534)</f>
        <v>1909.83</v>
      </c>
      <c r="K534" s="209"/>
      <c r="L534" s="434"/>
      <c r="M534" s="883"/>
      <c r="R534" s="773"/>
      <c r="T534" s="773"/>
      <c r="U534" s="2173"/>
      <c r="V534" s="2509"/>
      <c r="W534" s="2509"/>
      <c r="X534" s="2509"/>
      <c r="Y534" s="2509"/>
      <c r="AG534" s="11">
        <v>567.25</v>
      </c>
      <c r="AH534" s="11">
        <v>0</v>
      </c>
      <c r="AI534" s="11">
        <v>516.86999999999989</v>
      </c>
      <c r="AJ534" s="11">
        <v>0</v>
      </c>
      <c r="AK534" s="11">
        <f>$J534-SUM($Z534:AJ534)</f>
        <v>825.71</v>
      </c>
      <c r="AW534" s="2509"/>
      <c r="BH534" s="2509"/>
      <c r="BI534" s="772"/>
      <c r="BJ534" s="2173"/>
      <c r="BK534" s="2173"/>
      <c r="BL534" s="773"/>
      <c r="BM534" s="2174"/>
      <c r="BN534" s="773"/>
      <c r="BO534" s="209"/>
      <c r="BQ534" s="209"/>
      <c r="BR534" s="859"/>
      <c r="BS534" s="885"/>
      <c r="CI534" s="4"/>
      <c r="CJ534" s="4"/>
      <c r="DB534" s="773"/>
      <c r="DC534" s="773"/>
      <c r="DD534" s="773"/>
      <c r="DE534" s="773"/>
      <c r="DF534" s="773"/>
      <c r="DG534" s="773"/>
      <c r="DH534" s="773"/>
      <c r="DI534" s="773"/>
      <c r="DJ534" s="773"/>
      <c r="DK534" s="773"/>
      <c r="DL534" s="773"/>
      <c r="DM534" s="773"/>
      <c r="DN534" s="773"/>
      <c r="DO534" s="773"/>
      <c r="DP534" s="773"/>
      <c r="DQ534" s="773"/>
      <c r="DR534" s="773"/>
      <c r="DS534" s="773"/>
      <c r="DT534" s="773"/>
      <c r="DU534" s="773"/>
      <c r="DV534" s="773"/>
      <c r="DW534" s="773"/>
      <c r="DX534" s="773"/>
      <c r="DY534" s="773"/>
      <c r="DZ534" s="773"/>
      <c r="EA534" s="773"/>
      <c r="EB534" s="773"/>
      <c r="EC534" s="773"/>
      <c r="ED534" s="773"/>
      <c r="EE534" s="773"/>
      <c r="EF534" s="773"/>
      <c r="EG534" s="773"/>
      <c r="EH534" s="773"/>
      <c r="EI534" s="773"/>
      <c r="EJ534" s="773"/>
      <c r="EK534" s="773"/>
      <c r="EL534" s="773"/>
      <c r="EM534" s="773"/>
      <c r="EN534" s="773"/>
      <c r="EO534" s="773"/>
      <c r="EP534" s="773"/>
      <c r="EQ534" s="773"/>
      <c r="ER534" s="773"/>
      <c r="ES534" s="773"/>
      <c r="ET534" s="773"/>
      <c r="EU534" s="773"/>
      <c r="EV534" s="773"/>
      <c r="EW534" s="773"/>
      <c r="EX534" s="773"/>
      <c r="EY534" s="773"/>
      <c r="EZ534" s="773"/>
      <c r="FA534" s="773"/>
      <c r="FB534" s="773"/>
      <c r="FC534" s="773"/>
      <c r="FD534" s="773"/>
      <c r="FE534" s="773"/>
      <c r="FF534" s="773"/>
      <c r="FG534" s="773"/>
      <c r="FH534" s="773"/>
      <c r="FI534" s="773"/>
      <c r="FJ534" s="773"/>
      <c r="FK534" s="773"/>
      <c r="FL534" s="773"/>
      <c r="FM534" s="773"/>
      <c r="FN534" s="773"/>
      <c r="FO534" s="773"/>
      <c r="FP534" s="773"/>
      <c r="FQ534" s="773"/>
      <c r="FR534" s="773"/>
      <c r="FS534" s="773"/>
      <c r="FT534" s="773"/>
      <c r="FU534" s="773"/>
      <c r="FV534" s="773"/>
      <c r="FW534" s="773"/>
      <c r="FX534" s="773"/>
      <c r="FY534" s="773"/>
      <c r="FZ534" s="773"/>
      <c r="GA534" s="773"/>
      <c r="GB534" s="773"/>
      <c r="GC534" s="773"/>
      <c r="GD534" s="773"/>
      <c r="GE534" s="773"/>
      <c r="GF534" s="773"/>
      <c r="GG534" s="773"/>
      <c r="GH534" s="773"/>
      <c r="GI534" s="773"/>
      <c r="GJ534" s="773"/>
      <c r="GK534" s="773"/>
      <c r="GL534" s="773"/>
      <c r="GM534" s="773"/>
      <c r="GN534" s="773"/>
      <c r="GO534" s="773"/>
      <c r="GP534" s="773"/>
      <c r="GQ534" s="773"/>
      <c r="GR534" s="773"/>
      <c r="GS534" s="773"/>
      <c r="GT534" s="773"/>
      <c r="GU534" s="773"/>
      <c r="GV534" s="773"/>
      <c r="GW534" s="773"/>
      <c r="GX534" s="773"/>
      <c r="GY534" s="773"/>
      <c r="GZ534" s="773"/>
    </row>
    <row r="535" spans="1:208" s="11" customFormat="1">
      <c r="A535" s="774"/>
      <c r="B535" s="3762" t="s">
        <v>787</v>
      </c>
      <c r="C535" s="197">
        <v>5210099</v>
      </c>
      <c r="D535" s="199" t="s">
        <v>1956</v>
      </c>
      <c r="E535" s="798">
        <f>IFERROR(VLOOKUP(C535,'AJE 12 - INC'!$D$168:$F$771,3,0),0)</f>
        <v>0</v>
      </c>
      <c r="F535" s="108">
        <f>SUMIF('AJE 12 - INC'!B:B,'New TB INC'!C535,'AJE 12 - INC'!D:D)</f>
        <v>0</v>
      </c>
      <c r="G535" s="108"/>
      <c r="H535" s="108"/>
      <c r="I535" s="108"/>
      <c r="J535" s="798">
        <f t="shared" si="54"/>
        <v>0</v>
      </c>
      <c r="K535" s="209"/>
      <c r="L535" s="434"/>
      <c r="M535" s="881" t="s">
        <v>1958</v>
      </c>
      <c r="N535" s="11">
        <v>0</v>
      </c>
      <c r="O535" s="11">
        <v>0</v>
      </c>
      <c r="P535" s="11">
        <v>0</v>
      </c>
      <c r="Q535" s="11">
        <v>0</v>
      </c>
      <c r="R535" s="773">
        <v>0</v>
      </c>
      <c r="S535" s="11">
        <v>0</v>
      </c>
      <c r="T535" s="773">
        <v>0</v>
      </c>
      <c r="U535" s="2173">
        <v>0</v>
      </c>
      <c r="V535" s="2509">
        <v>0</v>
      </c>
      <c r="W535" s="2509">
        <v>0</v>
      </c>
      <c r="X535" s="2509">
        <v>0</v>
      </c>
      <c r="Y535" s="2509">
        <v>0</v>
      </c>
      <c r="Z535" s="11">
        <f>'[26]New TB INC'!Z482</f>
        <v>0</v>
      </c>
      <c r="AA535" s="11">
        <f>'[27]New TB INC'!AA491</f>
        <v>0</v>
      </c>
      <c r="AB535" s="11">
        <f>'[28]New TB INC'!AB497</f>
        <v>0</v>
      </c>
      <c r="AC535" s="11">
        <f>'[29]New TB INC'!AC493</f>
        <v>0</v>
      </c>
      <c r="AD535" s="11">
        <f>'[30]New TB INC'!AD488</f>
        <v>0</v>
      </c>
      <c r="AE535" s="11">
        <f>'[31]New TB INC'!AE496</f>
        <v>0</v>
      </c>
      <c r="AF535" s="11">
        <v>0</v>
      </c>
      <c r="AG535" s="11">
        <v>0</v>
      </c>
      <c r="AH535" s="11">
        <v>0</v>
      </c>
      <c r="AI535" s="11">
        <v>0</v>
      </c>
      <c r="AJ535" s="11">
        <v>0</v>
      </c>
      <c r="AK535" s="11">
        <f>$J535-SUM($Z535:AJ535)</f>
        <v>0</v>
      </c>
      <c r="AW535" s="2509"/>
      <c r="BH535" s="2509"/>
      <c r="BI535" s="772"/>
      <c r="BJ535" s="2173"/>
      <c r="BK535" s="2173"/>
      <c r="BL535" s="773"/>
      <c r="BM535" s="2174"/>
      <c r="BN535" s="773"/>
      <c r="BO535" s="209"/>
      <c r="BQ535" s="209"/>
      <c r="BR535" s="859"/>
      <c r="BS535" s="885"/>
      <c r="CI535" s="4"/>
      <c r="CJ535" s="4"/>
      <c r="DB535" s="773"/>
      <c r="DC535" s="773"/>
      <c r="DD535" s="773"/>
      <c r="DE535" s="773"/>
      <c r="DF535" s="773"/>
      <c r="DG535" s="773"/>
      <c r="DH535" s="773"/>
      <c r="DI535" s="773"/>
      <c r="DJ535" s="773"/>
      <c r="DK535" s="773"/>
      <c r="DL535" s="773"/>
      <c r="DM535" s="773"/>
      <c r="DN535" s="773"/>
      <c r="DO535" s="773"/>
      <c r="DP535" s="773"/>
      <c r="DQ535" s="773"/>
      <c r="DR535" s="773"/>
      <c r="DS535" s="773"/>
      <c r="DT535" s="773"/>
      <c r="DU535" s="773"/>
      <c r="DV535" s="773"/>
      <c r="DW535" s="773"/>
      <c r="DX535" s="773"/>
      <c r="DY535" s="773"/>
      <c r="DZ535" s="773"/>
      <c r="EA535" s="773"/>
      <c r="EB535" s="773"/>
      <c r="EC535" s="773"/>
      <c r="ED535" s="773"/>
      <c r="EE535" s="773"/>
      <c r="EF535" s="773"/>
      <c r="EG535" s="773"/>
      <c r="EH535" s="773"/>
      <c r="EI535" s="773"/>
      <c r="EJ535" s="773"/>
      <c r="EK535" s="773"/>
      <c r="EL535" s="773"/>
      <c r="EM535" s="773"/>
      <c r="EN535" s="773"/>
      <c r="EO535" s="773"/>
      <c r="EP535" s="773"/>
      <c r="EQ535" s="773"/>
      <c r="ER535" s="773"/>
      <c r="ES535" s="773"/>
      <c r="ET535" s="773"/>
      <c r="EU535" s="773"/>
      <c r="EV535" s="773"/>
      <c r="EW535" s="773"/>
      <c r="EX535" s="773"/>
      <c r="EY535" s="773"/>
      <c r="EZ535" s="773"/>
      <c r="FA535" s="773"/>
      <c r="FB535" s="773"/>
      <c r="FC535" s="773"/>
      <c r="FD535" s="773"/>
      <c r="FE535" s="773"/>
      <c r="FF535" s="773"/>
      <c r="FG535" s="773"/>
      <c r="FH535" s="773"/>
      <c r="FI535" s="773"/>
      <c r="FJ535" s="773"/>
      <c r="FK535" s="773"/>
      <c r="FL535" s="773"/>
      <c r="FM535" s="773"/>
      <c r="FN535" s="773"/>
      <c r="FO535" s="773"/>
      <c r="FP535" s="773"/>
      <c r="FQ535" s="773"/>
      <c r="FR535" s="773"/>
      <c r="FS535" s="773"/>
      <c r="FT535" s="773"/>
      <c r="FU535" s="773"/>
      <c r="FV535" s="773"/>
      <c r="FW535" s="773"/>
      <c r="FX535" s="773"/>
      <c r="FY535" s="773"/>
      <c r="FZ535" s="773"/>
      <c r="GA535" s="773"/>
      <c r="GB535" s="773"/>
      <c r="GC535" s="773"/>
      <c r="GD535" s="773"/>
      <c r="GE535" s="773"/>
      <c r="GF535" s="773"/>
      <c r="GG535" s="773"/>
      <c r="GH535" s="773"/>
      <c r="GI535" s="773"/>
      <c r="GJ535" s="773"/>
      <c r="GK535" s="773"/>
      <c r="GL535" s="773"/>
      <c r="GM535" s="773"/>
      <c r="GN535" s="773"/>
      <c r="GO535" s="773"/>
      <c r="GP535" s="773"/>
      <c r="GQ535" s="773"/>
      <c r="GR535" s="773"/>
      <c r="GS535" s="773"/>
      <c r="GT535" s="773"/>
      <c r="GU535" s="773"/>
      <c r="GV535" s="773"/>
      <c r="GW535" s="773"/>
      <c r="GX535" s="773"/>
      <c r="GY535" s="773"/>
      <c r="GZ535" s="773"/>
    </row>
    <row r="536" spans="1:208" s="11" customFormat="1">
      <c r="A536" s="774"/>
      <c r="B536" s="3762" t="s">
        <v>787</v>
      </c>
      <c r="C536" s="197">
        <v>5210001</v>
      </c>
      <c r="D536" s="199" t="s">
        <v>854</v>
      </c>
      <c r="E536" s="798">
        <f>IFERROR(VLOOKUP(C536,'AJE 12 - INC'!$D$168:$F$771,3,0),0)</f>
        <v>2736.74</v>
      </c>
      <c r="F536" s="108">
        <f>SUMIF('AJE 12 - INC'!B:B,'New TB INC'!C536,'AJE 12 - INC'!D:D)</f>
        <v>0</v>
      </c>
      <c r="G536" s="108"/>
      <c r="H536" s="108"/>
      <c r="I536" s="108"/>
      <c r="J536" s="798">
        <f t="shared" si="54"/>
        <v>2736.74</v>
      </c>
      <c r="K536" s="209"/>
      <c r="L536" s="434"/>
      <c r="M536" s="883"/>
      <c r="N536" s="11">
        <v>0</v>
      </c>
      <c r="O536" s="11">
        <v>3968.44</v>
      </c>
      <c r="P536" s="11">
        <v>790.59999999999991</v>
      </c>
      <c r="Q536" s="11">
        <v>518.89999999999964</v>
      </c>
      <c r="R536" s="773">
        <v>0</v>
      </c>
      <c r="S536" s="11">
        <v>0</v>
      </c>
      <c r="T536" s="773">
        <v>1063</v>
      </c>
      <c r="U536" s="2173">
        <v>0</v>
      </c>
      <c r="V536" s="2509">
        <v>0</v>
      </c>
      <c r="W536" s="2509">
        <v>0</v>
      </c>
      <c r="X536" s="2509">
        <v>0</v>
      </c>
      <c r="Y536" s="2509">
        <v>0</v>
      </c>
      <c r="Z536" s="11">
        <f>'[26]New TB INC'!Z483</f>
        <v>0</v>
      </c>
      <c r="AA536" s="11">
        <f>'[27]New TB INC'!AA492</f>
        <v>0</v>
      </c>
      <c r="AB536" s="11">
        <f>'[28]New TB INC'!AB498</f>
        <v>0</v>
      </c>
      <c r="AC536" s="11">
        <f>'[29]New TB INC'!AC494</f>
        <v>0</v>
      </c>
      <c r="AD536" s="11">
        <f>'[30]New TB INC'!AD489</f>
        <v>0</v>
      </c>
      <c r="AE536" s="11">
        <f>'[31]New TB INC'!AE497</f>
        <v>0</v>
      </c>
      <c r="AF536" s="11">
        <v>0</v>
      </c>
      <c r="AG536" s="11">
        <v>0</v>
      </c>
      <c r="AH536" s="11">
        <v>0</v>
      </c>
      <c r="AI536" s="11">
        <v>187.05</v>
      </c>
      <c r="AJ536" s="11">
        <v>0</v>
      </c>
      <c r="AK536" s="11">
        <f>$J536-SUM($Z536:AJ536)</f>
        <v>2549.6899999999996</v>
      </c>
      <c r="AW536" s="2509"/>
      <c r="BH536" s="2509"/>
      <c r="BI536" s="772"/>
      <c r="BJ536" s="2173"/>
      <c r="BK536" s="2173"/>
      <c r="BL536" s="773"/>
      <c r="BM536" s="2174"/>
      <c r="BN536" s="773"/>
      <c r="BO536" s="209"/>
      <c r="BQ536" s="209"/>
      <c r="BR536" s="859"/>
      <c r="BS536" s="885"/>
      <c r="CI536" s="4"/>
      <c r="CJ536" s="4"/>
      <c r="DB536" s="773"/>
      <c r="DC536" s="773"/>
      <c r="DD536" s="773"/>
      <c r="DE536" s="773"/>
      <c r="DF536" s="773"/>
      <c r="DG536" s="773"/>
      <c r="DH536" s="773"/>
      <c r="DI536" s="773"/>
      <c r="DJ536" s="773"/>
      <c r="DK536" s="773"/>
      <c r="DL536" s="773"/>
      <c r="DM536" s="773"/>
      <c r="DN536" s="773"/>
      <c r="DO536" s="773"/>
      <c r="DP536" s="773"/>
      <c r="DQ536" s="773"/>
      <c r="DR536" s="773"/>
      <c r="DS536" s="773"/>
      <c r="DT536" s="773"/>
      <c r="DU536" s="773"/>
      <c r="DV536" s="773"/>
      <c r="DW536" s="773"/>
      <c r="DX536" s="773"/>
      <c r="DY536" s="773"/>
      <c r="DZ536" s="773"/>
      <c r="EA536" s="773"/>
      <c r="EB536" s="773"/>
      <c r="EC536" s="773"/>
      <c r="ED536" s="773"/>
      <c r="EE536" s="773"/>
      <c r="EF536" s="773"/>
      <c r="EG536" s="773"/>
      <c r="EH536" s="773"/>
      <c r="EI536" s="773"/>
      <c r="EJ536" s="773"/>
      <c r="EK536" s="773"/>
      <c r="EL536" s="773"/>
      <c r="EM536" s="773"/>
      <c r="EN536" s="773"/>
      <c r="EO536" s="773"/>
      <c r="EP536" s="773"/>
      <c r="EQ536" s="773"/>
      <c r="ER536" s="773"/>
      <c r="ES536" s="773"/>
      <c r="ET536" s="773"/>
      <c r="EU536" s="773"/>
      <c r="EV536" s="773"/>
      <c r="EW536" s="773"/>
      <c r="EX536" s="773"/>
      <c r="EY536" s="773"/>
      <c r="EZ536" s="773"/>
      <c r="FA536" s="773"/>
      <c r="FB536" s="773"/>
      <c r="FC536" s="773"/>
      <c r="FD536" s="773"/>
      <c r="FE536" s="773"/>
      <c r="FF536" s="773"/>
      <c r="FG536" s="773"/>
      <c r="FH536" s="773"/>
      <c r="FI536" s="773"/>
      <c r="FJ536" s="773"/>
      <c r="FK536" s="773"/>
      <c r="FL536" s="773"/>
      <c r="FM536" s="773"/>
      <c r="FN536" s="773"/>
      <c r="FO536" s="773"/>
      <c r="FP536" s="773"/>
      <c r="FQ536" s="773"/>
      <c r="FR536" s="773"/>
      <c r="FS536" s="773"/>
      <c r="FT536" s="773"/>
      <c r="FU536" s="773"/>
      <c r="FV536" s="773"/>
      <c r="FW536" s="773"/>
      <c r="FX536" s="773"/>
      <c r="FY536" s="773"/>
      <c r="FZ536" s="773"/>
      <c r="GA536" s="773"/>
      <c r="GB536" s="773"/>
      <c r="GC536" s="773"/>
      <c r="GD536" s="773"/>
      <c r="GE536" s="773"/>
      <c r="GF536" s="773"/>
      <c r="GG536" s="773"/>
      <c r="GH536" s="773"/>
      <c r="GI536" s="773"/>
      <c r="GJ536" s="773"/>
      <c r="GK536" s="773"/>
      <c r="GL536" s="773"/>
      <c r="GM536" s="773"/>
      <c r="GN536" s="773"/>
      <c r="GO536" s="773"/>
      <c r="GP536" s="773"/>
      <c r="GQ536" s="773"/>
      <c r="GR536" s="773"/>
      <c r="GS536" s="773"/>
      <c r="GT536" s="773"/>
      <c r="GU536" s="773"/>
      <c r="GV536" s="773"/>
      <c r="GW536" s="773"/>
      <c r="GX536" s="773"/>
      <c r="GY536" s="773"/>
      <c r="GZ536" s="773"/>
    </row>
    <row r="537" spans="1:208" s="11" customFormat="1">
      <c r="A537" s="774"/>
      <c r="B537" s="3762" t="s">
        <v>1355</v>
      </c>
      <c r="C537" s="197">
        <v>5210008</v>
      </c>
      <c r="D537" s="199" t="s">
        <v>4303</v>
      </c>
      <c r="E537" s="798">
        <f>IFERROR(VLOOKUP(C537,'AJE 12 - INC'!$D$168:$F$771,3,0),0)</f>
        <v>789.09</v>
      </c>
      <c r="F537" s="108">
        <f>SUMIF('AJE 12 - INC'!B:B,'New TB INC'!C537,'AJE 12 - INC'!D:D)</f>
        <v>0</v>
      </c>
      <c r="G537" s="108"/>
      <c r="H537" s="108"/>
      <c r="I537" s="108"/>
      <c r="J537" s="798">
        <f>SUM(E537:I537)</f>
        <v>789.09</v>
      </c>
      <c r="K537" s="209"/>
      <c r="L537" s="434"/>
      <c r="M537" s="883"/>
      <c r="R537" s="773"/>
      <c r="T537" s="773"/>
      <c r="U537" s="2173"/>
      <c r="V537" s="2509"/>
      <c r="W537" s="2509"/>
      <c r="X537" s="2509"/>
      <c r="Y537" s="2509"/>
      <c r="AI537" s="11">
        <v>140.91</v>
      </c>
      <c r="AJ537" s="11">
        <v>0</v>
      </c>
      <c r="AK537" s="11">
        <f>$J537-SUM($Z537:AJ537)</f>
        <v>648.18000000000006</v>
      </c>
      <c r="AW537" s="2509"/>
      <c r="BH537" s="2509"/>
      <c r="BI537" s="772"/>
      <c r="BJ537" s="2173"/>
      <c r="BK537" s="2173"/>
      <c r="BL537" s="773"/>
      <c r="BM537" s="2174"/>
      <c r="BN537" s="773"/>
      <c r="BO537" s="209"/>
      <c r="BQ537" s="209"/>
      <c r="BR537" s="859"/>
      <c r="BS537" s="885"/>
      <c r="CI537" s="4"/>
      <c r="CJ537" s="4"/>
      <c r="DB537" s="773"/>
      <c r="DC537" s="773"/>
      <c r="DD537" s="773"/>
      <c r="DE537" s="773"/>
      <c r="DF537" s="773"/>
      <c r="DG537" s="773"/>
      <c r="DH537" s="773"/>
      <c r="DI537" s="773"/>
      <c r="DJ537" s="773"/>
      <c r="DK537" s="773"/>
      <c r="DL537" s="773"/>
      <c r="DM537" s="773"/>
      <c r="DN537" s="773"/>
      <c r="DO537" s="773"/>
      <c r="DP537" s="773"/>
      <c r="DQ537" s="773"/>
      <c r="DR537" s="773"/>
      <c r="DS537" s="773"/>
      <c r="DT537" s="773"/>
      <c r="DU537" s="773"/>
      <c r="DV537" s="773"/>
      <c r="DW537" s="773"/>
      <c r="DX537" s="773"/>
      <c r="DY537" s="773"/>
      <c r="DZ537" s="773"/>
      <c r="EA537" s="773"/>
      <c r="EB537" s="773"/>
      <c r="EC537" s="773"/>
      <c r="ED537" s="773"/>
      <c r="EE537" s="773"/>
      <c r="EF537" s="773"/>
      <c r="EG537" s="773"/>
      <c r="EH537" s="773"/>
      <c r="EI537" s="773"/>
      <c r="EJ537" s="773"/>
      <c r="EK537" s="773"/>
      <c r="EL537" s="773"/>
      <c r="EM537" s="773"/>
      <c r="EN537" s="773"/>
      <c r="EO537" s="773"/>
      <c r="EP537" s="773"/>
      <c r="EQ537" s="773"/>
      <c r="ER537" s="773"/>
      <c r="ES537" s="773"/>
      <c r="ET537" s="773"/>
      <c r="EU537" s="773"/>
      <c r="EV537" s="773"/>
      <c r="EW537" s="773"/>
      <c r="EX537" s="773"/>
      <c r="EY537" s="773"/>
      <c r="EZ537" s="773"/>
      <c r="FA537" s="773"/>
      <c r="FB537" s="773"/>
      <c r="FC537" s="773"/>
      <c r="FD537" s="773"/>
      <c r="FE537" s="773"/>
      <c r="FF537" s="773"/>
      <c r="FG537" s="773"/>
      <c r="FH537" s="773"/>
      <c r="FI537" s="773"/>
      <c r="FJ537" s="773"/>
      <c r="FK537" s="773"/>
      <c r="FL537" s="773"/>
      <c r="FM537" s="773"/>
      <c r="FN537" s="773"/>
      <c r="FO537" s="773"/>
      <c r="FP537" s="773"/>
      <c r="FQ537" s="773"/>
      <c r="FR537" s="773"/>
      <c r="FS537" s="773"/>
      <c r="FT537" s="773"/>
      <c r="FU537" s="773"/>
      <c r="FV537" s="773"/>
      <c r="FW537" s="773"/>
      <c r="FX537" s="773"/>
      <c r="FY537" s="773"/>
      <c r="FZ537" s="773"/>
      <c r="GA537" s="773"/>
      <c r="GB537" s="773"/>
      <c r="GC537" s="773"/>
      <c r="GD537" s="773"/>
      <c r="GE537" s="773"/>
      <c r="GF537" s="773"/>
      <c r="GG537" s="773"/>
      <c r="GH537" s="773"/>
      <c r="GI537" s="773"/>
      <c r="GJ537" s="773"/>
      <c r="GK537" s="773"/>
      <c r="GL537" s="773"/>
      <c r="GM537" s="773"/>
      <c r="GN537" s="773"/>
      <c r="GO537" s="773"/>
      <c r="GP537" s="773"/>
      <c r="GQ537" s="773"/>
      <c r="GR537" s="773"/>
      <c r="GS537" s="773"/>
      <c r="GT537" s="773"/>
      <c r="GU537" s="773"/>
      <c r="GV537" s="773"/>
      <c r="GW537" s="773"/>
      <c r="GX537" s="773"/>
      <c r="GY537" s="773"/>
      <c r="GZ537" s="773"/>
    </row>
    <row r="538" spans="1:208" s="11" customFormat="1">
      <c r="A538" s="774"/>
      <c r="B538" s="3762" t="s">
        <v>787</v>
      </c>
      <c r="C538" s="197">
        <v>5210002</v>
      </c>
      <c r="D538" s="199" t="s">
        <v>855</v>
      </c>
      <c r="E538" s="798">
        <f>IFERROR(VLOOKUP(C538,'AJE 12 - INC'!$D$168:$F$771,3,0),0)</f>
        <v>2999.63</v>
      </c>
      <c r="F538" s="108">
        <f>SUMIF('AJE 12 - INC'!B:B,'New TB INC'!C538,'AJE 12 - INC'!D:D)</f>
        <v>0</v>
      </c>
      <c r="G538" s="108"/>
      <c r="H538" s="108"/>
      <c r="I538" s="108"/>
      <c r="J538" s="798">
        <f t="shared" si="54"/>
        <v>2999.63</v>
      </c>
      <c r="K538" s="209"/>
      <c r="L538" s="434"/>
      <c r="M538" s="883"/>
      <c r="N538" s="11">
        <v>0</v>
      </c>
      <c r="O538" s="11">
        <v>2359.67</v>
      </c>
      <c r="P538" s="11">
        <v>1269.2599999999998</v>
      </c>
      <c r="Q538" s="11">
        <v>757.12000000000035</v>
      </c>
      <c r="R538" s="773">
        <v>0</v>
      </c>
      <c r="S538" s="11">
        <v>0</v>
      </c>
      <c r="T538" s="773">
        <v>0</v>
      </c>
      <c r="U538" s="2173">
        <v>0</v>
      </c>
      <c r="V538" s="2509">
        <v>0</v>
      </c>
      <c r="W538" s="2509">
        <v>0</v>
      </c>
      <c r="X538" s="2509">
        <v>0</v>
      </c>
      <c r="Y538" s="2509">
        <v>0</v>
      </c>
      <c r="Z538" s="11">
        <f>'[26]New TB INC'!Z484</f>
        <v>0</v>
      </c>
      <c r="AA538" s="11">
        <f>'[27]New TB INC'!AA493</f>
        <v>0</v>
      </c>
      <c r="AB538" s="11">
        <f>'[28]New TB INC'!AB499</f>
        <v>0</v>
      </c>
      <c r="AC538" s="11">
        <f>'[29]New TB INC'!AC495</f>
        <v>0</v>
      </c>
      <c r="AD538" s="11">
        <f>'[30]New TB INC'!AD490</f>
        <v>0</v>
      </c>
      <c r="AE538" s="11">
        <f>'[31]New TB INC'!AE498</f>
        <v>0</v>
      </c>
      <c r="AF538" s="11">
        <v>0</v>
      </c>
      <c r="AG538" s="11">
        <v>0</v>
      </c>
      <c r="AH538" s="11">
        <v>0</v>
      </c>
      <c r="AI538" s="11">
        <v>178.98</v>
      </c>
      <c r="AJ538" s="11">
        <v>0</v>
      </c>
      <c r="AK538" s="11">
        <f>$J538-SUM($Z538:AJ538)</f>
        <v>2820.65</v>
      </c>
      <c r="AW538" s="2509"/>
      <c r="BH538" s="2509"/>
      <c r="BI538" s="772"/>
      <c r="BJ538" s="2173"/>
      <c r="BK538" s="2173"/>
      <c r="BL538" s="773"/>
      <c r="BM538" s="2174"/>
      <c r="BN538" s="773"/>
      <c r="BO538" s="209"/>
      <c r="BQ538" s="209"/>
      <c r="BR538" s="859"/>
      <c r="BS538" s="885"/>
      <c r="CI538" s="4"/>
      <c r="CJ538" s="4"/>
      <c r="DB538" s="773"/>
      <c r="DC538" s="773"/>
      <c r="DD538" s="773"/>
      <c r="DE538" s="773"/>
      <c r="DF538" s="773"/>
      <c r="DG538" s="773"/>
      <c r="DH538" s="773"/>
      <c r="DI538" s="773"/>
      <c r="DJ538" s="773"/>
      <c r="DK538" s="773"/>
      <c r="DL538" s="773"/>
      <c r="DM538" s="773"/>
      <c r="DN538" s="773"/>
      <c r="DO538" s="773"/>
      <c r="DP538" s="773"/>
      <c r="DQ538" s="773"/>
      <c r="DR538" s="773"/>
      <c r="DS538" s="773"/>
      <c r="DT538" s="773"/>
      <c r="DU538" s="773"/>
      <c r="DV538" s="773"/>
      <c r="DW538" s="773"/>
      <c r="DX538" s="773"/>
      <c r="DY538" s="773"/>
      <c r="DZ538" s="773"/>
      <c r="EA538" s="773"/>
      <c r="EB538" s="773"/>
      <c r="EC538" s="773"/>
      <c r="ED538" s="773"/>
      <c r="EE538" s="773"/>
      <c r="EF538" s="773"/>
      <c r="EG538" s="773"/>
      <c r="EH538" s="773"/>
      <c r="EI538" s="773"/>
      <c r="EJ538" s="773"/>
      <c r="EK538" s="773"/>
      <c r="EL538" s="773"/>
      <c r="EM538" s="773"/>
      <c r="EN538" s="773"/>
      <c r="EO538" s="773"/>
      <c r="EP538" s="773"/>
      <c r="EQ538" s="773"/>
      <c r="ER538" s="773"/>
      <c r="ES538" s="773"/>
      <c r="ET538" s="773"/>
      <c r="EU538" s="773"/>
      <c r="EV538" s="773"/>
      <c r="EW538" s="773"/>
      <c r="EX538" s="773"/>
      <c r="EY538" s="773"/>
      <c r="EZ538" s="773"/>
      <c r="FA538" s="773"/>
      <c r="FB538" s="773"/>
      <c r="FC538" s="773"/>
      <c r="FD538" s="773"/>
      <c r="FE538" s="773"/>
      <c r="FF538" s="773"/>
      <c r="FG538" s="773"/>
      <c r="FH538" s="773"/>
      <c r="FI538" s="773"/>
      <c r="FJ538" s="773"/>
      <c r="FK538" s="773"/>
      <c r="FL538" s="773"/>
      <c r="FM538" s="773"/>
      <c r="FN538" s="773"/>
      <c r="FO538" s="773"/>
      <c r="FP538" s="773"/>
      <c r="FQ538" s="773"/>
      <c r="FR538" s="773"/>
      <c r="FS538" s="773"/>
      <c r="FT538" s="773"/>
      <c r="FU538" s="773"/>
      <c r="FV538" s="773"/>
      <c r="FW538" s="773"/>
      <c r="FX538" s="773"/>
      <c r="FY538" s="773"/>
      <c r="FZ538" s="773"/>
      <c r="GA538" s="773"/>
      <c r="GB538" s="773"/>
      <c r="GC538" s="773"/>
      <c r="GD538" s="773"/>
      <c r="GE538" s="773"/>
      <c r="GF538" s="773"/>
      <c r="GG538" s="773"/>
      <c r="GH538" s="773"/>
      <c r="GI538" s="773"/>
      <c r="GJ538" s="773"/>
      <c r="GK538" s="773"/>
      <c r="GL538" s="773"/>
      <c r="GM538" s="773"/>
      <c r="GN538" s="773"/>
      <c r="GO538" s="773"/>
      <c r="GP538" s="773"/>
      <c r="GQ538" s="773"/>
      <c r="GR538" s="773"/>
      <c r="GS538" s="773"/>
      <c r="GT538" s="773"/>
      <c r="GU538" s="773"/>
      <c r="GV538" s="773"/>
      <c r="GW538" s="773"/>
      <c r="GX538" s="773"/>
      <c r="GY538" s="773"/>
      <c r="GZ538" s="773"/>
    </row>
    <row r="539" spans="1:208" s="11" customFormat="1">
      <c r="A539" s="774"/>
      <c r="B539" s="3762" t="s">
        <v>787</v>
      </c>
      <c r="C539" s="197">
        <v>5210003</v>
      </c>
      <c r="D539" s="199" t="s">
        <v>856</v>
      </c>
      <c r="E539" s="798">
        <f>IFERROR(VLOOKUP(C539,'AJE 12 - INC'!$D$168:$F$771,3,0),0)</f>
        <v>316.45</v>
      </c>
      <c r="F539" s="108">
        <f>SUMIF('AJE 12 - INC'!B:B,'New TB INC'!C539,'AJE 12 - INC'!D:D)</f>
        <v>0</v>
      </c>
      <c r="G539" s="108"/>
      <c r="H539" s="108"/>
      <c r="I539" s="108"/>
      <c r="J539" s="798">
        <f t="shared" si="54"/>
        <v>316.45</v>
      </c>
      <c r="K539" s="209"/>
      <c r="L539" s="434"/>
      <c r="M539" s="883"/>
      <c r="N539" s="11">
        <v>96.65</v>
      </c>
      <c r="O539" s="11">
        <v>498.90999999999997</v>
      </c>
      <c r="P539" s="11">
        <v>201.05000000000007</v>
      </c>
      <c r="Q539" s="11">
        <v>131.63</v>
      </c>
      <c r="R539" s="773">
        <v>0</v>
      </c>
      <c r="S539" s="11">
        <v>0</v>
      </c>
      <c r="T539" s="773">
        <v>0</v>
      </c>
      <c r="U539" s="2173">
        <v>0</v>
      </c>
      <c r="V539" s="2509">
        <v>0</v>
      </c>
      <c r="W539" s="2509">
        <v>0</v>
      </c>
      <c r="X539" s="2509">
        <v>0</v>
      </c>
      <c r="Y539" s="2509">
        <v>0</v>
      </c>
      <c r="Z539" s="11">
        <f>'[26]New TB INC'!Z485</f>
        <v>0</v>
      </c>
      <c r="AA539" s="11">
        <f>'[27]New TB INC'!AA494</f>
        <v>0</v>
      </c>
      <c r="AB539" s="11">
        <f>'[28]New TB INC'!AB500</f>
        <v>0</v>
      </c>
      <c r="AC539" s="11">
        <f>'[29]New TB INC'!AC496</f>
        <v>0</v>
      </c>
      <c r="AD539" s="11">
        <f>'[30]New TB INC'!AD491</f>
        <v>0</v>
      </c>
      <c r="AE539" s="11">
        <f>'[31]New TB INC'!AE499</f>
        <v>0</v>
      </c>
      <c r="AF539" s="11">
        <v>0</v>
      </c>
      <c r="AG539" s="11">
        <v>0</v>
      </c>
      <c r="AH539" s="11">
        <v>0</v>
      </c>
      <c r="AI539" s="11">
        <v>63.14</v>
      </c>
      <c r="AJ539" s="11">
        <v>0</v>
      </c>
      <c r="AK539" s="11">
        <f>$J539-SUM($Z539:AJ539)</f>
        <v>253.31</v>
      </c>
      <c r="AW539" s="2509"/>
      <c r="BH539" s="2509"/>
      <c r="BI539" s="772"/>
      <c r="BJ539" s="2173"/>
      <c r="BK539" s="2173"/>
      <c r="BL539" s="773"/>
      <c r="BM539" s="2174"/>
      <c r="BN539" s="773"/>
      <c r="BO539" s="209"/>
      <c r="BQ539" s="209"/>
      <c r="BR539" s="859"/>
      <c r="BS539" s="885"/>
      <c r="CI539" s="4"/>
      <c r="CJ539" s="4"/>
      <c r="DB539" s="773"/>
      <c r="DC539" s="773"/>
      <c r="DD539" s="773"/>
      <c r="DE539" s="773"/>
      <c r="DF539" s="773"/>
      <c r="DG539" s="773"/>
      <c r="DH539" s="773"/>
      <c r="DI539" s="773"/>
      <c r="DJ539" s="773"/>
      <c r="DK539" s="773"/>
      <c r="DL539" s="773"/>
      <c r="DM539" s="773"/>
      <c r="DN539" s="773"/>
      <c r="DO539" s="773"/>
      <c r="DP539" s="773"/>
      <c r="DQ539" s="773"/>
      <c r="DR539" s="773"/>
      <c r="DS539" s="773"/>
      <c r="DT539" s="773"/>
      <c r="DU539" s="773"/>
      <c r="DV539" s="773"/>
      <c r="DW539" s="773"/>
      <c r="DX539" s="773"/>
      <c r="DY539" s="773"/>
      <c r="DZ539" s="773"/>
      <c r="EA539" s="773"/>
      <c r="EB539" s="773"/>
      <c r="EC539" s="773"/>
      <c r="ED539" s="773"/>
      <c r="EE539" s="773"/>
      <c r="EF539" s="773"/>
      <c r="EG539" s="773"/>
      <c r="EH539" s="773"/>
      <c r="EI539" s="773"/>
      <c r="EJ539" s="773"/>
      <c r="EK539" s="773"/>
      <c r="EL539" s="773"/>
      <c r="EM539" s="773"/>
      <c r="EN539" s="773"/>
      <c r="EO539" s="773"/>
      <c r="EP539" s="773"/>
      <c r="EQ539" s="773"/>
      <c r="ER539" s="773"/>
      <c r="ES539" s="773"/>
      <c r="ET539" s="773"/>
      <c r="EU539" s="773"/>
      <c r="EV539" s="773"/>
      <c r="EW539" s="773"/>
      <c r="EX539" s="773"/>
      <c r="EY539" s="773"/>
      <c r="EZ539" s="773"/>
      <c r="FA539" s="773"/>
      <c r="FB539" s="773"/>
      <c r="FC539" s="773"/>
      <c r="FD539" s="773"/>
      <c r="FE539" s="773"/>
      <c r="FF539" s="773"/>
      <c r="FG539" s="773"/>
      <c r="FH539" s="773"/>
      <c r="FI539" s="773"/>
      <c r="FJ539" s="773"/>
      <c r="FK539" s="773"/>
      <c r="FL539" s="773"/>
      <c r="FM539" s="773"/>
      <c r="FN539" s="773"/>
      <c r="FO539" s="773"/>
      <c r="FP539" s="773"/>
      <c r="FQ539" s="773"/>
      <c r="FR539" s="773"/>
      <c r="FS539" s="773"/>
      <c r="FT539" s="773"/>
      <c r="FU539" s="773"/>
      <c r="FV539" s="773"/>
      <c r="FW539" s="773"/>
      <c r="FX539" s="773"/>
      <c r="FY539" s="773"/>
      <c r="FZ539" s="773"/>
      <c r="GA539" s="773"/>
      <c r="GB539" s="773"/>
      <c r="GC539" s="773"/>
      <c r="GD539" s="773"/>
      <c r="GE539" s="773"/>
      <c r="GF539" s="773"/>
      <c r="GG539" s="773"/>
      <c r="GH539" s="773"/>
      <c r="GI539" s="773"/>
      <c r="GJ539" s="773"/>
      <c r="GK539" s="773"/>
      <c r="GL539" s="773"/>
      <c r="GM539" s="773"/>
      <c r="GN539" s="773"/>
      <c r="GO539" s="773"/>
      <c r="GP539" s="773"/>
      <c r="GQ539" s="773"/>
      <c r="GR539" s="773"/>
      <c r="GS539" s="773"/>
      <c r="GT539" s="773"/>
      <c r="GU539" s="773"/>
      <c r="GV539" s="773"/>
      <c r="GW539" s="773"/>
      <c r="GX539" s="773"/>
      <c r="GY539" s="773"/>
      <c r="GZ539" s="773"/>
    </row>
    <row r="540" spans="1:208" s="11" customFormat="1">
      <c r="A540" s="774"/>
      <c r="B540" s="3762" t="s">
        <v>787</v>
      </c>
      <c r="C540" s="197">
        <v>5210004</v>
      </c>
      <c r="D540" s="199" t="s">
        <v>857</v>
      </c>
      <c r="E540" s="798">
        <f>IFERROR(VLOOKUP(C540,'AJE 12 - INC'!$D$168:$F$771,3,0),0)</f>
        <v>813.99</v>
      </c>
      <c r="F540" s="108">
        <f>SUMIF('AJE 12 - INC'!B:B,'New TB INC'!C540,'AJE 12 - INC'!D:D)</f>
        <v>0</v>
      </c>
      <c r="G540" s="108"/>
      <c r="H540" s="108"/>
      <c r="I540" s="108"/>
      <c r="J540" s="798">
        <f t="shared" si="54"/>
        <v>813.99</v>
      </c>
      <c r="K540" s="209"/>
      <c r="L540" s="434"/>
      <c r="M540" s="883"/>
      <c r="N540" s="11">
        <v>576.91</v>
      </c>
      <c r="O540" s="11">
        <v>1335.25</v>
      </c>
      <c r="P540" s="11">
        <v>523.26000000000022</v>
      </c>
      <c r="Q540" s="11">
        <v>391.55999999999995</v>
      </c>
      <c r="R540" s="773">
        <v>118.67000000000007</v>
      </c>
      <c r="S540" s="11">
        <v>0</v>
      </c>
      <c r="T540" s="773">
        <v>0</v>
      </c>
      <c r="U540" s="2173">
        <v>0</v>
      </c>
      <c r="V540" s="2509">
        <v>0</v>
      </c>
      <c r="W540" s="2509">
        <v>0</v>
      </c>
      <c r="X540" s="2509">
        <v>36.299999999999727</v>
      </c>
      <c r="Y540" s="2509">
        <v>7.0100000000002183</v>
      </c>
      <c r="Z540" s="11">
        <f>'[26]New TB INC'!Z486</f>
        <v>0</v>
      </c>
      <c r="AA540" s="11">
        <f>'[27]New TB INC'!AA495</f>
        <v>0</v>
      </c>
      <c r="AB540" s="11">
        <f>'[28]New TB INC'!AB501</f>
        <v>0</v>
      </c>
      <c r="AC540" s="11">
        <f>'[29]New TB INC'!AC497</f>
        <v>0</v>
      </c>
      <c r="AD540" s="11">
        <f>'[30]New TB INC'!AD492</f>
        <v>0</v>
      </c>
      <c r="AE540" s="11">
        <f>'[31]New TB INC'!AE500</f>
        <v>0</v>
      </c>
      <c r="AF540" s="11">
        <v>0</v>
      </c>
      <c r="AG540" s="11">
        <v>0</v>
      </c>
      <c r="AH540" s="11">
        <v>0</v>
      </c>
      <c r="AI540" s="11">
        <v>142.47</v>
      </c>
      <c r="AJ540" s="11">
        <v>0</v>
      </c>
      <c r="AK540" s="11">
        <f>$J540-SUM($Z540:AJ540)</f>
        <v>671.52</v>
      </c>
      <c r="AW540" s="2509"/>
      <c r="BH540" s="2509"/>
      <c r="BI540" s="772"/>
      <c r="BJ540" s="2173"/>
      <c r="BK540" s="2173"/>
      <c r="BL540" s="773"/>
      <c r="BM540" s="2174"/>
      <c r="BN540" s="773"/>
      <c r="BO540" s="209"/>
      <c r="BQ540" s="209"/>
      <c r="BR540" s="859"/>
      <c r="BS540" s="885"/>
      <c r="CI540" s="4"/>
      <c r="CJ540" s="4"/>
      <c r="DB540" s="773"/>
      <c r="DC540" s="773"/>
      <c r="DD540" s="773"/>
      <c r="DE540" s="773"/>
      <c r="DF540" s="773"/>
      <c r="DG540" s="773"/>
      <c r="DH540" s="773"/>
      <c r="DI540" s="773"/>
      <c r="DJ540" s="773"/>
      <c r="DK540" s="773"/>
      <c r="DL540" s="773"/>
      <c r="DM540" s="773"/>
      <c r="DN540" s="773"/>
      <c r="DO540" s="773"/>
      <c r="DP540" s="773"/>
      <c r="DQ540" s="773"/>
      <c r="DR540" s="773"/>
      <c r="DS540" s="773"/>
      <c r="DT540" s="773"/>
      <c r="DU540" s="773"/>
      <c r="DV540" s="773"/>
      <c r="DW540" s="773"/>
      <c r="DX540" s="773"/>
      <c r="DY540" s="773"/>
      <c r="DZ540" s="773"/>
      <c r="EA540" s="773"/>
      <c r="EB540" s="773"/>
      <c r="EC540" s="773"/>
      <c r="ED540" s="773"/>
      <c r="EE540" s="773"/>
      <c r="EF540" s="773"/>
      <c r="EG540" s="773"/>
      <c r="EH540" s="773"/>
      <c r="EI540" s="773"/>
      <c r="EJ540" s="773"/>
      <c r="EK540" s="773"/>
      <c r="EL540" s="773"/>
      <c r="EM540" s="773"/>
      <c r="EN540" s="773"/>
      <c r="EO540" s="773"/>
      <c r="EP540" s="773"/>
      <c r="EQ540" s="773"/>
      <c r="ER540" s="773"/>
      <c r="ES540" s="773"/>
      <c r="ET540" s="773"/>
      <c r="EU540" s="773"/>
      <c r="EV540" s="773"/>
      <c r="EW540" s="773"/>
      <c r="EX540" s="773"/>
      <c r="EY540" s="773"/>
      <c r="EZ540" s="773"/>
      <c r="FA540" s="773"/>
      <c r="FB540" s="773"/>
      <c r="FC540" s="773"/>
      <c r="FD540" s="773"/>
      <c r="FE540" s="773"/>
      <c r="FF540" s="773"/>
      <c r="FG540" s="773"/>
      <c r="FH540" s="773"/>
      <c r="FI540" s="773"/>
      <c r="FJ540" s="773"/>
      <c r="FK540" s="773"/>
      <c r="FL540" s="773"/>
      <c r="FM540" s="773"/>
      <c r="FN540" s="773"/>
      <c r="FO540" s="773"/>
      <c r="FP540" s="773"/>
      <c r="FQ540" s="773"/>
      <c r="FR540" s="773"/>
      <c r="FS540" s="773"/>
      <c r="FT540" s="773"/>
      <c r="FU540" s="773"/>
      <c r="FV540" s="773"/>
      <c r="FW540" s="773"/>
      <c r="FX540" s="773"/>
      <c r="FY540" s="773"/>
      <c r="FZ540" s="773"/>
      <c r="GA540" s="773"/>
      <c r="GB540" s="773"/>
      <c r="GC540" s="773"/>
      <c r="GD540" s="773"/>
      <c r="GE540" s="773"/>
      <c r="GF540" s="773"/>
      <c r="GG540" s="773"/>
      <c r="GH540" s="773"/>
      <c r="GI540" s="773"/>
      <c r="GJ540" s="773"/>
      <c r="GK540" s="773"/>
      <c r="GL540" s="773"/>
      <c r="GM540" s="773"/>
      <c r="GN540" s="773"/>
      <c r="GO540" s="773"/>
      <c r="GP540" s="773"/>
      <c r="GQ540" s="773"/>
      <c r="GR540" s="773"/>
      <c r="GS540" s="773"/>
      <c r="GT540" s="773"/>
      <c r="GU540" s="773"/>
      <c r="GV540" s="773"/>
      <c r="GW540" s="773"/>
      <c r="GX540" s="773"/>
      <c r="GY540" s="773"/>
      <c r="GZ540" s="773"/>
    </row>
    <row r="541" spans="1:208" s="11" customFormat="1">
      <c r="A541" s="774"/>
      <c r="B541" s="3762" t="s">
        <v>787</v>
      </c>
      <c r="C541" s="197">
        <v>5210009</v>
      </c>
      <c r="D541" s="199" t="s">
        <v>1417</v>
      </c>
      <c r="E541" s="798">
        <f>IFERROR(VLOOKUP(C541,'AJE 12 - INC'!$D$168:$F$771,3,0),0)</f>
        <v>0</v>
      </c>
      <c r="F541" s="108">
        <f>SUMIF('AJE 12 - INC'!B:B,'New TB INC'!C541,'AJE 12 - INC'!D:D)</f>
        <v>0</v>
      </c>
      <c r="G541" s="108"/>
      <c r="H541" s="108"/>
      <c r="I541" s="108"/>
      <c r="J541" s="798">
        <f t="shared" si="54"/>
        <v>0</v>
      </c>
      <c r="K541" s="209"/>
      <c r="L541" s="449"/>
      <c r="M541" s="265"/>
      <c r="N541" s="11">
        <v>0</v>
      </c>
      <c r="O541" s="11">
        <v>0</v>
      </c>
      <c r="P541" s="11">
        <v>0</v>
      </c>
      <c r="Q541" s="11">
        <v>0</v>
      </c>
      <c r="R541" s="773">
        <v>0</v>
      </c>
      <c r="S541" s="11">
        <v>0</v>
      </c>
      <c r="T541" s="773">
        <v>0</v>
      </c>
      <c r="U541" s="2173">
        <v>0</v>
      </c>
      <c r="V541" s="2509">
        <v>0</v>
      </c>
      <c r="W541" s="2509">
        <v>0</v>
      </c>
      <c r="X541" s="2509">
        <v>0</v>
      </c>
      <c r="Y541" s="2509">
        <v>0</v>
      </c>
      <c r="Z541" s="11">
        <f>'[26]New TB INC'!Z487</f>
        <v>0</v>
      </c>
      <c r="AA541" s="11">
        <f>'[27]New TB INC'!AA496</f>
        <v>0</v>
      </c>
      <c r="AB541" s="11">
        <f>'[28]New TB INC'!AB502</f>
        <v>0</v>
      </c>
      <c r="AC541" s="11">
        <f>'[29]New TB INC'!AC498</f>
        <v>0</v>
      </c>
      <c r="AD541" s="11">
        <f>'[30]New TB INC'!AD493</f>
        <v>0</v>
      </c>
      <c r="AE541" s="11">
        <f>'[31]New TB INC'!AE501</f>
        <v>0</v>
      </c>
      <c r="AF541" s="11">
        <v>0</v>
      </c>
      <c r="AG541" s="11">
        <v>0</v>
      </c>
      <c r="AH541" s="11">
        <v>0</v>
      </c>
      <c r="AI541" s="11">
        <v>0</v>
      </c>
      <c r="AJ541" s="11">
        <v>0</v>
      </c>
      <c r="AK541" s="11">
        <f>$J541-SUM($Z541:AJ541)</f>
        <v>0</v>
      </c>
      <c r="AW541" s="2509"/>
      <c r="BH541" s="2509"/>
      <c r="BI541" s="772"/>
      <c r="BJ541" s="2173"/>
      <c r="BK541" s="2173"/>
      <c r="BL541" s="773"/>
      <c r="BM541" s="2174"/>
      <c r="BN541" s="773"/>
      <c r="BO541" s="209"/>
      <c r="BQ541" s="209"/>
      <c r="BR541" s="859"/>
      <c r="BS541" s="885"/>
      <c r="CI541" s="4"/>
      <c r="CJ541" s="4"/>
      <c r="DB541" s="773"/>
      <c r="DC541" s="773"/>
      <c r="DD541" s="773"/>
      <c r="DE541" s="773"/>
      <c r="DF541" s="773"/>
      <c r="DG541" s="773"/>
      <c r="DH541" s="773"/>
      <c r="DI541" s="773"/>
      <c r="DJ541" s="773"/>
      <c r="DK541" s="773"/>
      <c r="DL541" s="773"/>
      <c r="DM541" s="773"/>
      <c r="DN541" s="773"/>
      <c r="DO541" s="773"/>
      <c r="DP541" s="773"/>
      <c r="DQ541" s="773"/>
      <c r="DR541" s="773"/>
      <c r="DS541" s="773"/>
      <c r="DT541" s="773"/>
      <c r="DU541" s="773"/>
      <c r="DV541" s="773"/>
      <c r="DW541" s="773"/>
      <c r="DX541" s="773"/>
      <c r="DY541" s="773"/>
      <c r="DZ541" s="773"/>
      <c r="EA541" s="773"/>
      <c r="EB541" s="773"/>
      <c r="EC541" s="773"/>
      <c r="ED541" s="773"/>
      <c r="EE541" s="773"/>
      <c r="EF541" s="773"/>
      <c r="EG541" s="773"/>
      <c r="EH541" s="773"/>
      <c r="EI541" s="773"/>
      <c r="EJ541" s="773"/>
      <c r="EK541" s="773"/>
      <c r="EL541" s="773"/>
      <c r="EM541" s="773"/>
      <c r="EN541" s="773"/>
      <c r="EO541" s="773"/>
      <c r="EP541" s="773"/>
      <c r="EQ541" s="773"/>
      <c r="ER541" s="773"/>
      <c r="ES541" s="773"/>
      <c r="ET541" s="773"/>
      <c r="EU541" s="773"/>
      <c r="EV541" s="773"/>
      <c r="EW541" s="773"/>
      <c r="EX541" s="773"/>
      <c r="EY541" s="773"/>
      <c r="EZ541" s="773"/>
      <c r="FA541" s="773"/>
      <c r="FB541" s="773"/>
      <c r="FC541" s="773"/>
      <c r="FD541" s="773"/>
      <c r="FE541" s="773"/>
      <c r="FF541" s="773"/>
      <c r="FG541" s="773"/>
      <c r="FH541" s="773"/>
      <c r="FI541" s="773"/>
      <c r="FJ541" s="773"/>
      <c r="FK541" s="773"/>
      <c r="FL541" s="773"/>
      <c r="FM541" s="773"/>
      <c r="FN541" s="773"/>
      <c r="FO541" s="773"/>
      <c r="FP541" s="773"/>
      <c r="FQ541" s="773"/>
      <c r="FR541" s="773"/>
      <c r="FS541" s="773"/>
      <c r="FT541" s="773"/>
      <c r="FU541" s="773"/>
      <c r="FV541" s="773"/>
      <c r="FW541" s="773"/>
      <c r="FX541" s="773"/>
      <c r="FY541" s="773"/>
      <c r="FZ541" s="773"/>
      <c r="GA541" s="773"/>
      <c r="GB541" s="773"/>
      <c r="GC541" s="773"/>
      <c r="GD541" s="773"/>
      <c r="GE541" s="773"/>
      <c r="GF541" s="773"/>
      <c r="GG541" s="773"/>
      <c r="GH541" s="773"/>
      <c r="GI541" s="773"/>
      <c r="GJ541" s="773"/>
      <c r="GK541" s="773"/>
      <c r="GL541" s="773"/>
      <c r="GM541" s="773"/>
      <c r="GN541" s="773"/>
      <c r="GO541" s="773"/>
      <c r="GP541" s="773"/>
      <c r="GQ541" s="773"/>
      <c r="GR541" s="773"/>
      <c r="GS541" s="773"/>
      <c r="GT541" s="773"/>
      <c r="GU541" s="773"/>
      <c r="GV541" s="773"/>
      <c r="GW541" s="773"/>
      <c r="GX541" s="773"/>
      <c r="GY541" s="773"/>
      <c r="GZ541" s="773"/>
    </row>
    <row r="542" spans="1:208" s="11" customFormat="1">
      <c r="A542" s="774"/>
      <c r="B542" s="3762" t="s">
        <v>787</v>
      </c>
      <c r="C542" s="197">
        <v>5210005</v>
      </c>
      <c r="D542" s="199" t="s">
        <v>1356</v>
      </c>
      <c r="E542" s="798">
        <f>IFERROR(VLOOKUP(C542,'AJE 12 - INC'!$D$168:$F$771,3,0),0)</f>
        <v>3109.9</v>
      </c>
      <c r="F542" s="108">
        <f>SUMIF('AJE 12 - INC'!B:B,'New TB INC'!C542,'AJE 12 - INC'!D:D)</f>
        <v>0</v>
      </c>
      <c r="G542" s="108"/>
      <c r="H542" s="108"/>
      <c r="I542" s="108"/>
      <c r="J542" s="798">
        <f t="shared" si="54"/>
        <v>3109.9</v>
      </c>
      <c r="K542" s="209"/>
      <c r="L542" s="434"/>
      <c r="M542" s="883"/>
      <c r="N542" s="11">
        <v>0</v>
      </c>
      <c r="O542" s="11">
        <v>167.87</v>
      </c>
      <c r="P542" s="11">
        <v>0</v>
      </c>
      <c r="Q542" s="11">
        <v>0</v>
      </c>
      <c r="R542" s="773">
        <v>1411.85</v>
      </c>
      <c r="S542" s="11">
        <v>0</v>
      </c>
      <c r="T542" s="773">
        <v>811.18000000000029</v>
      </c>
      <c r="U542" s="2173">
        <v>0</v>
      </c>
      <c r="V542" s="2509">
        <v>0</v>
      </c>
      <c r="W542" s="2509">
        <v>0</v>
      </c>
      <c r="X542" s="2509">
        <v>0</v>
      </c>
      <c r="Y542" s="2509">
        <v>0</v>
      </c>
      <c r="Z542" s="11">
        <f>'[26]New TB INC'!Z488</f>
        <v>173.89</v>
      </c>
      <c r="AA542" s="11">
        <f>'[27]New TB INC'!AA497</f>
        <v>196.84000000000003</v>
      </c>
      <c r="AB542" s="11">
        <f>'[28]New TB INC'!AB503</f>
        <v>71.75</v>
      </c>
      <c r="AC542" s="11">
        <f>'[29]New TB INC'!AC499</f>
        <v>203.09000000000003</v>
      </c>
      <c r="AD542" s="11">
        <f>'[30]New TB INC'!AD494</f>
        <v>90</v>
      </c>
      <c r="AE542" s="11">
        <f>'[31]New TB INC'!AE502</f>
        <v>0</v>
      </c>
      <c r="AF542" s="11">
        <v>0</v>
      </c>
      <c r="AG542" s="11">
        <v>445.01999999999987</v>
      </c>
      <c r="AH542" s="11">
        <v>110.24000000000001</v>
      </c>
      <c r="AI542" s="11">
        <v>203.19000000000005</v>
      </c>
      <c r="AJ542" s="11">
        <v>0</v>
      </c>
      <c r="AK542" s="11">
        <f>$J542-SUM($Z542:AJ542)</f>
        <v>1615.88</v>
      </c>
      <c r="AW542" s="2509"/>
      <c r="BH542" s="2509"/>
      <c r="BI542" s="772"/>
      <c r="BJ542" s="2173"/>
      <c r="BK542" s="2173"/>
      <c r="BL542" s="773"/>
      <c r="BM542" s="2174"/>
      <c r="BN542" s="773"/>
      <c r="BO542" s="209"/>
      <c r="BQ542" s="209"/>
      <c r="BR542" s="859"/>
      <c r="BS542" s="885"/>
      <c r="CI542" s="4"/>
      <c r="CJ542" s="4"/>
      <c r="DB542" s="773"/>
      <c r="DC542" s="773"/>
      <c r="DD542" s="773"/>
      <c r="DE542" s="773"/>
      <c r="DF542" s="773"/>
      <c r="DG542" s="773"/>
      <c r="DH542" s="773"/>
      <c r="DI542" s="773"/>
      <c r="DJ542" s="773"/>
      <c r="DK542" s="773"/>
      <c r="DL542" s="773"/>
      <c r="DM542" s="773"/>
      <c r="DN542" s="773"/>
      <c r="DO542" s="773"/>
      <c r="DP542" s="773"/>
      <c r="DQ542" s="773"/>
      <c r="DR542" s="773"/>
      <c r="DS542" s="773"/>
      <c r="DT542" s="773"/>
      <c r="DU542" s="773"/>
      <c r="DV542" s="773"/>
      <c r="DW542" s="773"/>
      <c r="DX542" s="773"/>
      <c r="DY542" s="773"/>
      <c r="DZ542" s="773"/>
      <c r="EA542" s="773"/>
      <c r="EB542" s="773"/>
      <c r="EC542" s="773"/>
      <c r="ED542" s="773"/>
      <c r="EE542" s="773"/>
      <c r="EF542" s="773"/>
      <c r="EG542" s="773"/>
      <c r="EH542" s="773"/>
      <c r="EI542" s="773"/>
      <c r="EJ542" s="773"/>
      <c r="EK542" s="773"/>
      <c r="EL542" s="773"/>
      <c r="EM542" s="773"/>
      <c r="EN542" s="773"/>
      <c r="EO542" s="773"/>
      <c r="EP542" s="773"/>
      <c r="EQ542" s="773"/>
      <c r="ER542" s="773"/>
      <c r="ES542" s="773"/>
      <c r="ET542" s="773"/>
      <c r="EU542" s="773"/>
      <c r="EV542" s="773"/>
      <c r="EW542" s="773"/>
      <c r="EX542" s="773"/>
      <c r="EY542" s="773"/>
      <c r="EZ542" s="773"/>
      <c r="FA542" s="773"/>
      <c r="FB542" s="773"/>
      <c r="FC542" s="773"/>
      <c r="FD542" s="773"/>
      <c r="FE542" s="773"/>
      <c r="FF542" s="773"/>
      <c r="FG542" s="773"/>
      <c r="FH542" s="773"/>
      <c r="FI542" s="773"/>
      <c r="FJ542" s="773"/>
      <c r="FK542" s="773"/>
      <c r="FL542" s="773"/>
      <c r="FM542" s="773"/>
      <c r="FN542" s="773"/>
      <c r="FO542" s="773"/>
      <c r="FP542" s="773"/>
      <c r="FQ542" s="773"/>
      <c r="FR542" s="773"/>
      <c r="FS542" s="773"/>
      <c r="FT542" s="773"/>
      <c r="FU542" s="773"/>
      <c r="FV542" s="773"/>
      <c r="FW542" s="773"/>
      <c r="FX542" s="773"/>
      <c r="FY542" s="773"/>
      <c r="FZ542" s="773"/>
      <c r="GA542" s="773"/>
      <c r="GB542" s="773"/>
      <c r="GC542" s="773"/>
      <c r="GD542" s="773"/>
      <c r="GE542" s="773"/>
      <c r="GF542" s="773"/>
      <c r="GG542" s="773"/>
      <c r="GH542" s="773"/>
      <c r="GI542" s="773"/>
      <c r="GJ542" s="773"/>
      <c r="GK542" s="773"/>
      <c r="GL542" s="773"/>
      <c r="GM542" s="773"/>
      <c r="GN542" s="773"/>
      <c r="GO542" s="773"/>
      <c r="GP542" s="773"/>
      <c r="GQ542" s="773"/>
      <c r="GR542" s="773"/>
      <c r="GS542" s="773"/>
      <c r="GT542" s="773"/>
      <c r="GU542" s="773"/>
      <c r="GV542" s="773"/>
      <c r="GW542" s="773"/>
      <c r="GX542" s="773"/>
      <c r="GY542" s="773"/>
      <c r="GZ542" s="773"/>
    </row>
    <row r="543" spans="1:208" s="11" customFormat="1">
      <c r="A543" s="774"/>
      <c r="B543" s="3762"/>
      <c r="C543" s="197"/>
      <c r="D543" s="199"/>
      <c r="E543" s="42"/>
      <c r="F543" s="108"/>
      <c r="G543" s="108"/>
      <c r="H543" s="108"/>
      <c r="I543" s="108"/>
      <c r="J543" s="798"/>
      <c r="K543" s="209"/>
      <c r="L543" s="434"/>
      <c r="M543" s="883"/>
      <c r="N543" s="11">
        <v>0</v>
      </c>
      <c r="O543" s="11">
        <v>0</v>
      </c>
      <c r="P543" s="11">
        <v>0</v>
      </c>
      <c r="Q543" s="11">
        <v>0</v>
      </c>
      <c r="R543" s="773">
        <v>0</v>
      </c>
      <c r="S543" s="11">
        <v>0</v>
      </c>
      <c r="T543" s="773">
        <v>0</v>
      </c>
      <c r="U543" s="2173">
        <v>0</v>
      </c>
      <c r="V543" s="2509">
        <v>0</v>
      </c>
      <c r="W543" s="2509">
        <v>0</v>
      </c>
      <c r="X543" s="2509">
        <v>0</v>
      </c>
      <c r="Y543" s="2509">
        <v>0</v>
      </c>
      <c r="Z543" s="11">
        <f>'[26]New TB INC'!Z489</f>
        <v>0</v>
      </c>
      <c r="AA543" s="11">
        <f>'[27]New TB INC'!AA498</f>
        <v>0</v>
      </c>
      <c r="AB543" s="11">
        <f>'[28]New TB INC'!AB504</f>
        <v>0</v>
      </c>
      <c r="AC543" s="11">
        <f>'[29]New TB INC'!AC500</f>
        <v>0</v>
      </c>
      <c r="AD543" s="11">
        <f>'[30]New TB INC'!AD495</f>
        <v>0</v>
      </c>
      <c r="AE543" s="11">
        <f>'[31]New TB INC'!AE503</f>
        <v>0</v>
      </c>
      <c r="AF543" s="11">
        <v>0</v>
      </c>
      <c r="AG543" s="11">
        <v>0</v>
      </c>
      <c r="AH543" s="11">
        <v>0</v>
      </c>
      <c r="AI543" s="11">
        <v>0</v>
      </c>
      <c r="AJ543" s="11">
        <v>0</v>
      </c>
      <c r="AK543" s="11">
        <f>$J543-SUM($Z543:AJ543)</f>
        <v>0</v>
      </c>
      <c r="AW543" s="2509"/>
      <c r="BH543" s="2509"/>
      <c r="BI543" s="772"/>
      <c r="BJ543" s="2173"/>
      <c r="BK543" s="2173"/>
      <c r="BL543" s="773"/>
      <c r="BM543" s="2174"/>
      <c r="BN543" s="773"/>
      <c r="BO543" s="209"/>
      <c r="BQ543" s="209"/>
      <c r="BR543" s="859"/>
      <c r="BS543" s="885"/>
      <c r="CI543" s="4"/>
      <c r="CJ543" s="4"/>
      <c r="DB543" s="773"/>
      <c r="DC543" s="773"/>
      <c r="DD543" s="773"/>
      <c r="DE543" s="773"/>
      <c r="DF543" s="773"/>
      <c r="DG543" s="773"/>
      <c r="DH543" s="773"/>
      <c r="DI543" s="773"/>
      <c r="DJ543" s="773"/>
      <c r="DK543" s="773"/>
      <c r="DL543" s="773"/>
      <c r="DM543" s="773"/>
      <c r="DN543" s="773"/>
      <c r="DO543" s="773"/>
      <c r="DP543" s="773"/>
      <c r="DQ543" s="773"/>
      <c r="DR543" s="773"/>
      <c r="DS543" s="773"/>
      <c r="DT543" s="773"/>
      <c r="DU543" s="773"/>
      <c r="DV543" s="773"/>
      <c r="DW543" s="773"/>
      <c r="DX543" s="773"/>
      <c r="DY543" s="773"/>
      <c r="DZ543" s="773"/>
      <c r="EA543" s="773"/>
      <c r="EB543" s="773"/>
      <c r="EC543" s="773"/>
      <c r="ED543" s="773"/>
      <c r="EE543" s="773"/>
      <c r="EF543" s="773"/>
      <c r="EG543" s="773"/>
      <c r="EH543" s="773"/>
      <c r="EI543" s="773"/>
      <c r="EJ543" s="773"/>
      <c r="EK543" s="773"/>
      <c r="EL543" s="773"/>
      <c r="EM543" s="773"/>
      <c r="EN543" s="773"/>
      <c r="EO543" s="773"/>
      <c r="EP543" s="773"/>
      <c r="EQ543" s="773"/>
      <c r="ER543" s="773"/>
      <c r="ES543" s="773"/>
      <c r="ET543" s="773"/>
      <c r="EU543" s="773"/>
      <c r="EV543" s="773"/>
      <c r="EW543" s="773"/>
      <c r="EX543" s="773"/>
      <c r="EY543" s="773"/>
      <c r="EZ543" s="773"/>
      <c r="FA543" s="773"/>
      <c r="FB543" s="773"/>
      <c r="FC543" s="773"/>
      <c r="FD543" s="773"/>
      <c r="FE543" s="773"/>
      <c r="FF543" s="773"/>
      <c r="FG543" s="773"/>
      <c r="FH543" s="773"/>
      <c r="FI543" s="773"/>
      <c r="FJ543" s="773"/>
      <c r="FK543" s="773"/>
      <c r="FL543" s="773"/>
      <c r="FM543" s="773"/>
      <c r="FN543" s="773"/>
      <c r="FO543" s="773"/>
      <c r="FP543" s="773"/>
      <c r="FQ543" s="773"/>
      <c r="FR543" s="773"/>
      <c r="FS543" s="773"/>
      <c r="FT543" s="773"/>
      <c r="FU543" s="773"/>
      <c r="FV543" s="773"/>
      <c r="FW543" s="773"/>
      <c r="FX543" s="773"/>
      <c r="FY543" s="773"/>
      <c r="FZ543" s="773"/>
      <c r="GA543" s="773"/>
      <c r="GB543" s="773"/>
      <c r="GC543" s="773"/>
      <c r="GD543" s="773"/>
      <c r="GE543" s="773"/>
      <c r="GF543" s="773"/>
      <c r="GG543" s="773"/>
      <c r="GH543" s="773"/>
      <c r="GI543" s="773"/>
      <c r="GJ543" s="773"/>
      <c r="GK543" s="773"/>
      <c r="GL543" s="773"/>
      <c r="GM543" s="773"/>
      <c r="GN543" s="773"/>
      <c r="GO543" s="773"/>
      <c r="GP543" s="773"/>
      <c r="GQ543" s="773"/>
      <c r="GR543" s="773"/>
      <c r="GS543" s="773"/>
      <c r="GT543" s="773"/>
      <c r="GU543" s="773"/>
      <c r="GV543" s="773"/>
      <c r="GW543" s="773"/>
      <c r="GX543" s="773"/>
      <c r="GY543" s="773"/>
      <c r="GZ543" s="773"/>
    </row>
    <row r="544" spans="1:208" s="11" customFormat="1">
      <c r="A544" s="774"/>
      <c r="B544" s="3762" t="s">
        <v>787</v>
      </c>
      <c r="C544" s="2024">
        <v>5219999</v>
      </c>
      <c r="D544" s="200" t="s">
        <v>1800</v>
      </c>
      <c r="E544" s="798">
        <f>IFERROR(VLOOKUP(C544,'AJE 12 - INC'!$D$168:$F$771,3,0),0)</f>
        <v>155081.82</v>
      </c>
      <c r="F544" s="108">
        <f>SUMIF('AJE 12 - INC'!B:B,'New TB INC'!C544,'AJE 12 - INC'!D:D)</f>
        <v>0</v>
      </c>
      <c r="G544" s="108"/>
      <c r="H544" s="108"/>
      <c r="I544" s="108"/>
      <c r="J544" s="798">
        <f t="shared" ref="J544:J551" si="57">SUM(E544:I544)</f>
        <v>155081.82</v>
      </c>
      <c r="K544" s="209"/>
      <c r="L544" s="434"/>
      <c r="M544" s="883"/>
      <c r="N544" s="11">
        <v>33910.28581395348</v>
      </c>
      <c r="O544" s="11">
        <v>2961.0889534883754</v>
      </c>
      <c r="P544" s="11">
        <v>-21515.435767441857</v>
      </c>
      <c r="Q544" s="11">
        <v>2249.1229999999996</v>
      </c>
      <c r="R544" s="773">
        <v>2256.9230000000025</v>
      </c>
      <c r="S544" s="11">
        <v>9745.4097500000025</v>
      </c>
      <c r="T544" s="773">
        <v>3871.8377499999951</v>
      </c>
      <c r="U544" s="2173">
        <v>3548.2646250000034</v>
      </c>
      <c r="V544" s="2509">
        <v>3460.8928749999977</v>
      </c>
      <c r="W544" s="2509">
        <v>5962.29662500001</v>
      </c>
      <c r="X544" s="2509">
        <v>4049.4002500000061</v>
      </c>
      <c r="Y544" s="2509">
        <v>4552.8331249999828</v>
      </c>
      <c r="Z544" s="11">
        <f>'[26]New TB INC'!Z490</f>
        <v>3262.7503448275856</v>
      </c>
      <c r="AA544" s="11">
        <f>'[27]New TB INC'!AA499</f>
        <v>2411.522068965518</v>
      </c>
      <c r="AB544" s="11">
        <f>'[28]New TB INC'!AB505</f>
        <v>5134.8975862068964</v>
      </c>
      <c r="AC544" s="11">
        <f>'[29]New TB INC'!AC501</f>
        <v>10670.016896551728</v>
      </c>
      <c r="AD544" s="11">
        <f>'[30]New TB INC'!AD496</f>
        <v>6442.5379310344797</v>
      </c>
      <c r="AE544" s="11">
        <f>'[31]New TB INC'!AE504</f>
        <v>10069.455172413793</v>
      </c>
      <c r="AF544" s="11">
        <v>20345.059724137929</v>
      </c>
      <c r="AG544" s="11">
        <v>7241.887931034471</v>
      </c>
      <c r="AH544" s="11">
        <v>6504.9823448276002</v>
      </c>
      <c r="AI544" s="11">
        <v>43794.050068965502</v>
      </c>
      <c r="AJ544" s="11">
        <v>7481.9241379310406</v>
      </c>
      <c r="AK544" s="11">
        <f>$J544-SUM($Z544:AJ544)</f>
        <v>31722.735793103464</v>
      </c>
      <c r="AW544" s="2509"/>
      <c r="BH544" s="2509"/>
      <c r="BI544" s="772"/>
      <c r="BJ544" s="2173"/>
      <c r="BK544" s="2173"/>
      <c r="BL544" s="773"/>
      <c r="BM544" s="2174"/>
      <c r="BN544" s="773"/>
      <c r="BO544" s="209"/>
      <c r="BQ544" s="209"/>
      <c r="BR544" s="859"/>
      <c r="BS544" s="885"/>
      <c r="CI544" s="4"/>
      <c r="CJ544" s="4"/>
      <c r="DB544" s="773"/>
      <c r="DC544" s="773"/>
      <c r="DD544" s="773"/>
      <c r="DE544" s="773"/>
      <c r="DF544" s="773"/>
      <c r="DG544" s="773"/>
      <c r="DH544" s="773"/>
      <c r="DI544" s="773"/>
      <c r="DJ544" s="773"/>
      <c r="DK544" s="773"/>
      <c r="DL544" s="773"/>
      <c r="DM544" s="773"/>
      <c r="DN544" s="773"/>
      <c r="DO544" s="773"/>
      <c r="DP544" s="773"/>
      <c r="DQ544" s="773"/>
      <c r="DR544" s="773"/>
      <c r="DS544" s="773"/>
      <c r="DT544" s="773"/>
      <c r="DU544" s="773"/>
      <c r="DV544" s="773"/>
      <c r="DW544" s="773"/>
      <c r="DX544" s="773"/>
      <c r="DY544" s="773"/>
      <c r="DZ544" s="773"/>
      <c r="EA544" s="773"/>
      <c r="EB544" s="773"/>
      <c r="EC544" s="773"/>
      <c r="ED544" s="773"/>
      <c r="EE544" s="773"/>
      <c r="EF544" s="773"/>
      <c r="EG544" s="773"/>
      <c r="EH544" s="773"/>
      <c r="EI544" s="773"/>
      <c r="EJ544" s="773"/>
      <c r="EK544" s="773"/>
      <c r="EL544" s="773"/>
      <c r="EM544" s="773"/>
      <c r="EN544" s="773"/>
      <c r="EO544" s="773"/>
      <c r="EP544" s="773"/>
      <c r="EQ544" s="773"/>
      <c r="ER544" s="773"/>
      <c r="ES544" s="773"/>
      <c r="ET544" s="773"/>
      <c r="EU544" s="773"/>
      <c r="EV544" s="773"/>
      <c r="EW544" s="773"/>
      <c r="EX544" s="773"/>
      <c r="EY544" s="773"/>
      <c r="EZ544" s="773"/>
      <c r="FA544" s="773"/>
      <c r="FB544" s="773"/>
      <c r="FC544" s="773"/>
      <c r="FD544" s="773"/>
      <c r="FE544" s="773"/>
      <c r="FF544" s="773"/>
      <c r="FG544" s="773"/>
      <c r="FH544" s="773"/>
      <c r="FI544" s="773"/>
      <c r="FJ544" s="773"/>
      <c r="FK544" s="773"/>
      <c r="FL544" s="773"/>
      <c r="FM544" s="773"/>
      <c r="FN544" s="773"/>
      <c r="FO544" s="773"/>
      <c r="FP544" s="773"/>
      <c r="FQ544" s="773"/>
      <c r="FR544" s="773"/>
      <c r="FS544" s="773"/>
      <c r="FT544" s="773"/>
      <c r="FU544" s="773"/>
      <c r="FV544" s="773"/>
      <c r="FW544" s="773"/>
      <c r="FX544" s="773"/>
      <c r="FY544" s="773"/>
      <c r="FZ544" s="773"/>
      <c r="GA544" s="773"/>
      <c r="GB544" s="773"/>
      <c r="GC544" s="773"/>
      <c r="GD544" s="773"/>
      <c r="GE544" s="773"/>
      <c r="GF544" s="773"/>
      <c r="GG544" s="773"/>
      <c r="GH544" s="773"/>
      <c r="GI544" s="773"/>
      <c r="GJ544" s="773"/>
      <c r="GK544" s="773"/>
      <c r="GL544" s="773"/>
      <c r="GM544" s="773"/>
      <c r="GN544" s="773"/>
      <c r="GO544" s="773"/>
      <c r="GP544" s="773"/>
      <c r="GQ544" s="773"/>
      <c r="GR544" s="773"/>
      <c r="GS544" s="773"/>
      <c r="GT544" s="773"/>
      <c r="GU544" s="773"/>
      <c r="GV544" s="773"/>
      <c r="GW544" s="773"/>
      <c r="GX544" s="773"/>
      <c r="GY544" s="773"/>
      <c r="GZ544" s="773"/>
    </row>
    <row r="545" spans="1:208" s="11" customFormat="1">
      <c r="A545" s="774"/>
      <c r="B545" s="3762"/>
      <c r="C545" s="197"/>
      <c r="D545" s="199"/>
      <c r="E545" s="42"/>
      <c r="F545" s="108">
        <f>SUMIF('AJE 12 - INC'!B:B,'New TB INC'!C545,'AJE 12 - INC'!D:D)</f>
        <v>0</v>
      </c>
      <c r="G545" s="108"/>
      <c r="H545" s="108"/>
      <c r="I545" s="108"/>
      <c r="J545" s="798">
        <f t="shared" si="57"/>
        <v>0</v>
      </c>
      <c r="K545" s="209"/>
      <c r="L545" s="434"/>
      <c r="M545" s="883"/>
      <c r="N545" s="11">
        <v>0</v>
      </c>
      <c r="O545" s="11">
        <v>0</v>
      </c>
      <c r="P545" s="11">
        <v>0</v>
      </c>
      <c r="Q545" s="11">
        <v>0</v>
      </c>
      <c r="R545" s="773">
        <v>0</v>
      </c>
      <c r="S545" s="11">
        <v>0</v>
      </c>
      <c r="T545" s="773">
        <v>0</v>
      </c>
      <c r="U545" s="2173">
        <v>0</v>
      </c>
      <c r="V545" s="2509">
        <v>0</v>
      </c>
      <c r="W545" s="2509">
        <v>0</v>
      </c>
      <c r="X545" s="2509">
        <v>0</v>
      </c>
      <c r="Y545" s="2509">
        <v>0</v>
      </c>
      <c r="Z545" s="11">
        <f>'[26]New TB INC'!Z491</f>
        <v>0</v>
      </c>
      <c r="AA545" s="11">
        <f>'[27]New TB INC'!AA500</f>
        <v>0</v>
      </c>
      <c r="AB545" s="11">
        <f>'[28]New TB INC'!AB506</f>
        <v>0</v>
      </c>
      <c r="AC545" s="11">
        <f>'[29]New TB INC'!AC502</f>
        <v>0</v>
      </c>
      <c r="AD545" s="11">
        <f>'[30]New TB INC'!AD497</f>
        <v>0</v>
      </c>
      <c r="AE545" s="11">
        <f>'[31]New TB INC'!AE505</f>
        <v>0</v>
      </c>
      <c r="AF545" s="11">
        <v>0</v>
      </c>
      <c r="AG545" s="11">
        <v>0</v>
      </c>
      <c r="AH545" s="11">
        <v>0</v>
      </c>
      <c r="AI545" s="11">
        <v>0</v>
      </c>
      <c r="AJ545" s="11">
        <v>0</v>
      </c>
      <c r="AK545" s="11">
        <f>$J545-SUM($Z545:AJ545)</f>
        <v>0</v>
      </c>
      <c r="AW545" s="2509"/>
      <c r="BH545" s="2509"/>
      <c r="BI545" s="772"/>
      <c r="BJ545" s="2173"/>
      <c r="BK545" s="2173"/>
      <c r="BL545" s="773"/>
      <c r="BM545" s="2174"/>
      <c r="BN545" s="773"/>
      <c r="BO545" s="209"/>
      <c r="BQ545" s="209"/>
      <c r="BR545" s="859"/>
      <c r="BS545" s="885"/>
      <c r="CI545" s="4"/>
      <c r="CJ545" s="4"/>
      <c r="DB545" s="773"/>
      <c r="DC545" s="773"/>
      <c r="DD545" s="773"/>
      <c r="DE545" s="773"/>
      <c r="DF545" s="773"/>
      <c r="DG545" s="773"/>
      <c r="DH545" s="773"/>
      <c r="DI545" s="773"/>
      <c r="DJ545" s="773"/>
      <c r="DK545" s="773"/>
      <c r="DL545" s="773"/>
      <c r="DM545" s="773"/>
      <c r="DN545" s="773"/>
      <c r="DO545" s="773"/>
      <c r="DP545" s="773"/>
      <c r="DQ545" s="773"/>
      <c r="DR545" s="773"/>
      <c r="DS545" s="773"/>
      <c r="DT545" s="773"/>
      <c r="DU545" s="773"/>
      <c r="DV545" s="773"/>
      <c r="DW545" s="773"/>
      <c r="DX545" s="773"/>
      <c r="DY545" s="773"/>
      <c r="DZ545" s="773"/>
      <c r="EA545" s="773"/>
      <c r="EB545" s="773"/>
      <c r="EC545" s="773"/>
      <c r="ED545" s="773"/>
      <c r="EE545" s="773"/>
      <c r="EF545" s="773"/>
      <c r="EG545" s="773"/>
      <c r="EH545" s="773"/>
      <c r="EI545" s="773"/>
      <c r="EJ545" s="773"/>
      <c r="EK545" s="773"/>
      <c r="EL545" s="773"/>
      <c r="EM545" s="773"/>
      <c r="EN545" s="773"/>
      <c r="EO545" s="773"/>
      <c r="EP545" s="773"/>
      <c r="EQ545" s="773"/>
      <c r="ER545" s="773"/>
      <c r="ES545" s="773"/>
      <c r="ET545" s="773"/>
      <c r="EU545" s="773"/>
      <c r="EV545" s="773"/>
      <c r="EW545" s="773"/>
      <c r="EX545" s="773"/>
      <c r="EY545" s="773"/>
      <c r="EZ545" s="773"/>
      <c r="FA545" s="773"/>
      <c r="FB545" s="773"/>
      <c r="FC545" s="773"/>
      <c r="FD545" s="773"/>
      <c r="FE545" s="773"/>
      <c r="FF545" s="773"/>
      <c r="FG545" s="773"/>
      <c r="FH545" s="773"/>
      <c r="FI545" s="773"/>
      <c r="FJ545" s="773"/>
      <c r="FK545" s="773"/>
      <c r="FL545" s="773"/>
      <c r="FM545" s="773"/>
      <c r="FN545" s="773"/>
      <c r="FO545" s="773"/>
      <c r="FP545" s="773"/>
      <c r="FQ545" s="773"/>
      <c r="FR545" s="773"/>
      <c r="FS545" s="773"/>
      <c r="FT545" s="773"/>
      <c r="FU545" s="773"/>
      <c r="FV545" s="773"/>
      <c r="FW545" s="773"/>
      <c r="FX545" s="773"/>
      <c r="FY545" s="773"/>
      <c r="FZ545" s="773"/>
      <c r="GA545" s="773"/>
      <c r="GB545" s="773"/>
      <c r="GC545" s="773"/>
      <c r="GD545" s="773"/>
      <c r="GE545" s="773"/>
      <c r="GF545" s="773"/>
      <c r="GG545" s="773"/>
      <c r="GH545" s="773"/>
      <c r="GI545" s="773"/>
      <c r="GJ545" s="773"/>
      <c r="GK545" s="773"/>
      <c r="GL545" s="773"/>
      <c r="GM545" s="773"/>
      <c r="GN545" s="773"/>
      <c r="GO545" s="773"/>
      <c r="GP545" s="773"/>
      <c r="GQ545" s="773"/>
      <c r="GR545" s="773"/>
      <c r="GS545" s="773"/>
      <c r="GT545" s="773"/>
      <c r="GU545" s="773"/>
      <c r="GV545" s="773"/>
      <c r="GW545" s="773"/>
      <c r="GX545" s="773"/>
      <c r="GY545" s="773"/>
      <c r="GZ545" s="773"/>
    </row>
    <row r="546" spans="1:208" s="11" customFormat="1">
      <c r="A546" s="774"/>
      <c r="B546" s="3762" t="s">
        <v>785</v>
      </c>
      <c r="C546" s="197" t="s">
        <v>1676</v>
      </c>
      <c r="D546" s="199" t="s">
        <v>1677</v>
      </c>
      <c r="E546" s="42">
        <f>VLOOKUP(C546,'AJE 12 - INC'!$D$168:$F$771,3,0)</f>
        <v>169807.12</v>
      </c>
      <c r="F546" s="108">
        <f>SUMIF('AJE 12 - INC'!B:B,'New TB INC'!C546,'AJE 12 - INC'!D:D)</f>
        <v>0</v>
      </c>
      <c r="G546" s="108"/>
      <c r="H546" s="108"/>
      <c r="I546" s="108"/>
      <c r="J546" s="798">
        <f t="shared" si="57"/>
        <v>169807.12</v>
      </c>
      <c r="K546" s="209"/>
      <c r="L546" s="434"/>
      <c r="M546" s="883"/>
      <c r="N546" s="882">
        <v>9243.76</v>
      </c>
      <c r="O546" s="882">
        <v>9374.58</v>
      </c>
      <c r="P546" s="882">
        <v>8939.99</v>
      </c>
      <c r="Q546" s="882">
        <v>8939.9999999999982</v>
      </c>
      <c r="R546" s="882">
        <v>9002.1</v>
      </c>
      <c r="S546" s="11">
        <v>9188.3399999999947</v>
      </c>
      <c r="T546" s="773">
        <v>9250.4200000000073</v>
      </c>
      <c r="U546" s="2173">
        <v>9498.75</v>
      </c>
      <c r="V546" s="2509">
        <v>9374.5800000000017</v>
      </c>
      <c r="W546" s="2509">
        <v>9374.5800000000017</v>
      </c>
      <c r="X546" s="2509">
        <v>9560.8499999999913</v>
      </c>
      <c r="Y546" s="2509">
        <v>9751.2100000000064</v>
      </c>
      <c r="Z546" s="11">
        <f>'[26]New TB INC'!Z492</f>
        <v>9722.5400000000009</v>
      </c>
      <c r="AA546" s="11">
        <f>'[27]New TB INC'!AA501</f>
        <v>10141.529999999999</v>
      </c>
      <c r="AB546" s="11">
        <f>'[28]New TB INC'!AB507</f>
        <v>10126.93</v>
      </c>
      <c r="AC546" s="11">
        <f>'[29]New TB INC'!AC503</f>
        <v>10224.07</v>
      </c>
      <c r="AD546" s="11">
        <f>'[30]New TB INC'!AD498</f>
        <v>10560.910000000003</v>
      </c>
      <c r="AE546" s="11">
        <f>'[31]New TB INC'!AE506</f>
        <v>10459.899999999994</v>
      </c>
      <c r="AF546" s="11">
        <v>12577.900000000001</v>
      </c>
      <c r="AG546" s="11">
        <v>19253.180000000008</v>
      </c>
      <c r="AH546" s="11">
        <v>19076.219999999987</v>
      </c>
      <c r="AI546" s="11">
        <v>19578.22</v>
      </c>
      <c r="AJ546" s="11">
        <v>19118.929999999993</v>
      </c>
      <c r="AK546" s="11">
        <f>$J546-SUM($Z546:AJ546)</f>
        <v>18966.790000000008</v>
      </c>
      <c r="AQ546" s="11" t="s">
        <v>4029</v>
      </c>
      <c r="AW546" s="2509"/>
      <c r="BH546" s="2509"/>
      <c r="BI546" s="772"/>
      <c r="BJ546" s="2173"/>
      <c r="BK546" s="2173"/>
      <c r="BL546" s="773"/>
      <c r="BM546" s="2174"/>
      <c r="BN546" s="773"/>
      <c r="BO546" s="209"/>
      <c r="BQ546" s="209"/>
      <c r="BR546" s="859"/>
      <c r="BS546" s="885"/>
      <c r="CI546" s="4"/>
      <c r="CJ546" s="4"/>
      <c r="DB546" s="773"/>
      <c r="DC546" s="773"/>
      <c r="DD546" s="773"/>
      <c r="DE546" s="773"/>
      <c r="DF546" s="773"/>
      <c r="DG546" s="773"/>
      <c r="DH546" s="773"/>
      <c r="DI546" s="773"/>
      <c r="DJ546" s="773"/>
      <c r="DK546" s="773"/>
      <c r="DL546" s="773"/>
      <c r="DM546" s="773"/>
      <c r="DN546" s="773"/>
      <c r="DO546" s="773"/>
      <c r="DP546" s="773"/>
      <c r="DQ546" s="773"/>
      <c r="DR546" s="773"/>
      <c r="DS546" s="773"/>
      <c r="DT546" s="773"/>
      <c r="DU546" s="773"/>
      <c r="DV546" s="773"/>
      <c r="DW546" s="773"/>
      <c r="DX546" s="773"/>
      <c r="DY546" s="773"/>
      <c r="DZ546" s="773"/>
      <c r="EA546" s="773"/>
      <c r="EB546" s="773"/>
      <c r="EC546" s="773"/>
      <c r="ED546" s="773"/>
      <c r="EE546" s="773"/>
      <c r="EF546" s="773"/>
      <c r="EG546" s="773"/>
      <c r="EH546" s="773"/>
      <c r="EI546" s="773"/>
      <c r="EJ546" s="773"/>
      <c r="EK546" s="773"/>
      <c r="EL546" s="773"/>
      <c r="EM546" s="773"/>
      <c r="EN546" s="773"/>
      <c r="EO546" s="773"/>
      <c r="EP546" s="773"/>
      <c r="EQ546" s="773"/>
      <c r="ER546" s="773"/>
      <c r="ES546" s="773"/>
      <c r="ET546" s="773"/>
      <c r="EU546" s="773"/>
      <c r="EV546" s="773"/>
      <c r="EW546" s="773"/>
      <c r="EX546" s="773"/>
      <c r="EY546" s="773"/>
      <c r="EZ546" s="773"/>
      <c r="FA546" s="773"/>
      <c r="FB546" s="773"/>
      <c r="FC546" s="773"/>
      <c r="FD546" s="773"/>
      <c r="FE546" s="773"/>
      <c r="FF546" s="773"/>
      <c r="FG546" s="773"/>
      <c r="FH546" s="773"/>
      <c r="FI546" s="773"/>
      <c r="FJ546" s="773"/>
      <c r="FK546" s="773"/>
      <c r="FL546" s="773"/>
      <c r="FM546" s="773"/>
      <c r="FN546" s="773"/>
      <c r="FO546" s="773"/>
      <c r="FP546" s="773"/>
      <c r="FQ546" s="773"/>
      <c r="FR546" s="773"/>
      <c r="FS546" s="773"/>
      <c r="FT546" s="773"/>
      <c r="FU546" s="773"/>
      <c r="FV546" s="773"/>
      <c r="FW546" s="773"/>
      <c r="FX546" s="773"/>
      <c r="FY546" s="773"/>
      <c r="FZ546" s="773"/>
      <c r="GA546" s="773"/>
      <c r="GB546" s="773"/>
      <c r="GC546" s="773"/>
      <c r="GD546" s="773"/>
      <c r="GE546" s="773"/>
      <c r="GF546" s="773"/>
      <c r="GG546" s="773"/>
      <c r="GH546" s="773"/>
      <c r="GI546" s="773"/>
      <c r="GJ546" s="773"/>
      <c r="GK546" s="773"/>
      <c r="GL546" s="773"/>
      <c r="GM546" s="773"/>
      <c r="GN546" s="773"/>
      <c r="GO546" s="773"/>
      <c r="GP546" s="773"/>
      <c r="GQ546" s="773"/>
      <c r="GR546" s="773"/>
      <c r="GS546" s="773"/>
      <c r="GT546" s="773"/>
      <c r="GU546" s="773"/>
      <c r="GV546" s="773"/>
      <c r="GW546" s="773"/>
      <c r="GX546" s="773"/>
      <c r="GY546" s="773"/>
      <c r="GZ546" s="773"/>
    </row>
    <row r="547" spans="1:208" s="11" customFormat="1">
      <c r="A547" s="774"/>
      <c r="B547" s="3762" t="s">
        <v>785</v>
      </c>
      <c r="C547" s="197">
        <v>5200006</v>
      </c>
      <c r="D547" s="199" t="s">
        <v>1678</v>
      </c>
      <c r="E547" s="42">
        <f>VLOOKUP(C547,'AJE 12 - INC'!$D$168:$F$771,3,0)</f>
        <v>-1729.42</v>
      </c>
      <c r="F547" s="108">
        <f>SUMIF('AJE 12 - INC'!B:B,'New TB INC'!C547,'AJE 12 - INC'!D:D)</f>
        <v>0</v>
      </c>
      <c r="G547" s="108"/>
      <c r="H547" s="108"/>
      <c r="I547" s="108"/>
      <c r="J547" s="798">
        <f t="shared" si="57"/>
        <v>-1729.42</v>
      </c>
      <c r="K547" s="209"/>
      <c r="L547" s="434"/>
      <c r="M547" s="883"/>
      <c r="N547" s="11">
        <v>217.11</v>
      </c>
      <c r="O547" s="11">
        <v>376.73</v>
      </c>
      <c r="P547" s="11">
        <v>155.29999999999995</v>
      </c>
      <c r="Q547" s="11">
        <v>149.63999999999999</v>
      </c>
      <c r="R547" s="773">
        <v>151.80999999999995</v>
      </c>
      <c r="S547" s="11">
        <v>151.58000000000015</v>
      </c>
      <c r="T547" s="773">
        <v>135.82999999999981</v>
      </c>
      <c r="U547" s="2173">
        <v>132.74</v>
      </c>
      <c r="V547" s="2509">
        <v>96.309999999999945</v>
      </c>
      <c r="W547" s="2509">
        <v>85.980000000000018</v>
      </c>
      <c r="X547" s="2509">
        <v>83.1400000000001</v>
      </c>
      <c r="Y547" s="2509">
        <v>109.69999999999982</v>
      </c>
      <c r="Z547" s="11">
        <f>'[26]New TB INC'!Z493</f>
        <v>103.15</v>
      </c>
      <c r="AA547" s="11">
        <f>'[27]New TB INC'!AA502</f>
        <v>190.04999999999998</v>
      </c>
      <c r="AB547" s="11">
        <f>'[28]New TB INC'!AB508</f>
        <v>99.300000000000011</v>
      </c>
      <c r="AC547" s="11">
        <f>'[29]New TB INC'!AC504</f>
        <v>107.92000000000002</v>
      </c>
      <c r="AD547" s="11">
        <f>'[30]New TB INC'!AD499</f>
        <v>107.48999999999995</v>
      </c>
      <c r="AE547" s="11">
        <f>'[31]New TB INC'!AE507</f>
        <v>107.5</v>
      </c>
      <c r="AF547" s="11">
        <v>111.08000000000004</v>
      </c>
      <c r="AG547" s="11">
        <v>109.75</v>
      </c>
      <c r="AH547" s="11">
        <v>109.52999999999997</v>
      </c>
      <c r="AI547" s="11">
        <v>122.82999999999993</v>
      </c>
      <c r="AJ547" s="11">
        <v>136.23000000000002</v>
      </c>
      <c r="AK547" s="11">
        <f>$J547-SUM($Z547:AJ547)</f>
        <v>-3034.25</v>
      </c>
      <c r="AW547" s="2509"/>
      <c r="BH547" s="2509"/>
      <c r="BI547" s="772"/>
      <c r="BJ547" s="2173"/>
      <c r="BK547" s="2173"/>
      <c r="BL547" s="773"/>
      <c r="BM547" s="2174"/>
      <c r="BN547" s="773"/>
      <c r="BO547" s="209"/>
      <c r="BQ547" s="209"/>
      <c r="BR547" s="859"/>
      <c r="BS547" s="885"/>
      <c r="CI547" s="4"/>
      <c r="CJ547" s="4"/>
      <c r="DB547" s="773"/>
      <c r="DC547" s="773"/>
      <c r="DD547" s="773"/>
      <c r="DE547" s="773"/>
      <c r="DF547" s="773"/>
      <c r="DG547" s="773"/>
      <c r="DH547" s="773"/>
      <c r="DI547" s="773"/>
      <c r="DJ547" s="773"/>
      <c r="DK547" s="773"/>
      <c r="DL547" s="773"/>
      <c r="DM547" s="773"/>
      <c r="DN547" s="773"/>
      <c r="DO547" s="773"/>
      <c r="DP547" s="773"/>
      <c r="DQ547" s="773"/>
      <c r="DR547" s="773"/>
      <c r="DS547" s="773"/>
      <c r="DT547" s="773"/>
      <c r="DU547" s="773"/>
      <c r="DV547" s="773"/>
      <c r="DW547" s="773"/>
      <c r="DX547" s="773"/>
      <c r="DY547" s="773"/>
      <c r="DZ547" s="773"/>
      <c r="EA547" s="773"/>
      <c r="EB547" s="773"/>
      <c r="EC547" s="773"/>
      <c r="ED547" s="773"/>
      <c r="EE547" s="773"/>
      <c r="EF547" s="773"/>
      <c r="EG547" s="773"/>
      <c r="EH547" s="773"/>
      <c r="EI547" s="773"/>
      <c r="EJ547" s="773"/>
      <c r="EK547" s="773"/>
      <c r="EL547" s="773"/>
      <c r="EM547" s="773"/>
      <c r="EN547" s="773"/>
      <c r="EO547" s="773"/>
      <c r="EP547" s="773"/>
      <c r="EQ547" s="773"/>
      <c r="ER547" s="773"/>
      <c r="ES547" s="773"/>
      <c r="ET547" s="773"/>
      <c r="EU547" s="773"/>
      <c r="EV547" s="773"/>
      <c r="EW547" s="773"/>
      <c r="EX547" s="773"/>
      <c r="EY547" s="773"/>
      <c r="EZ547" s="773"/>
      <c r="FA547" s="773"/>
      <c r="FB547" s="773"/>
      <c r="FC547" s="773"/>
      <c r="FD547" s="773"/>
      <c r="FE547" s="773"/>
      <c r="FF547" s="773"/>
      <c r="FG547" s="773"/>
      <c r="FH547" s="773"/>
      <c r="FI547" s="773"/>
      <c r="FJ547" s="773"/>
      <c r="FK547" s="773"/>
      <c r="FL547" s="773"/>
      <c r="FM547" s="773"/>
      <c r="FN547" s="773"/>
      <c r="FO547" s="773"/>
      <c r="FP547" s="773"/>
      <c r="FQ547" s="773"/>
      <c r="FR547" s="773"/>
      <c r="FS547" s="773"/>
      <c r="FT547" s="773"/>
      <c r="FU547" s="773"/>
      <c r="FV547" s="773"/>
      <c r="FW547" s="773"/>
      <c r="FX547" s="773"/>
      <c r="FY547" s="773"/>
      <c r="FZ547" s="773"/>
      <c r="GA547" s="773"/>
      <c r="GB547" s="773"/>
      <c r="GC547" s="773"/>
      <c r="GD547" s="773"/>
      <c r="GE547" s="773"/>
      <c r="GF547" s="773"/>
      <c r="GG547" s="773"/>
      <c r="GH547" s="773"/>
      <c r="GI547" s="773"/>
      <c r="GJ547" s="773"/>
      <c r="GK547" s="773"/>
      <c r="GL547" s="773"/>
      <c r="GM547" s="773"/>
      <c r="GN547" s="773"/>
      <c r="GO547" s="773"/>
      <c r="GP547" s="773"/>
      <c r="GQ547" s="773"/>
      <c r="GR547" s="773"/>
      <c r="GS547" s="773"/>
      <c r="GT547" s="773"/>
      <c r="GU547" s="773"/>
      <c r="GV547" s="773"/>
      <c r="GW547" s="773"/>
      <c r="GX547" s="773"/>
      <c r="GY547" s="773"/>
      <c r="GZ547" s="773"/>
    </row>
    <row r="548" spans="1:208" s="11" customFormat="1">
      <c r="A548" s="774"/>
      <c r="B548" s="3762" t="s">
        <v>785</v>
      </c>
      <c r="C548" s="197" t="s">
        <v>1679</v>
      </c>
      <c r="D548" s="199" t="s">
        <v>1680</v>
      </c>
      <c r="E548" s="42">
        <f>VLOOKUP(C548,'AJE 12 - INC'!$D$168:$F$771,3,0)</f>
        <v>346.27</v>
      </c>
      <c r="F548" s="108">
        <f>SUMIF('AJE 12 - INC'!B:B,'New TB INC'!C548,'AJE 12 - INC'!D:D)</f>
        <v>0</v>
      </c>
      <c r="G548" s="108"/>
      <c r="H548" s="108"/>
      <c r="I548" s="108"/>
      <c r="J548" s="798">
        <f t="shared" si="57"/>
        <v>346.27</v>
      </c>
      <c r="K548" s="209"/>
      <c r="L548" s="434"/>
      <c r="M548" s="883"/>
      <c r="N548" s="11">
        <v>64.83</v>
      </c>
      <c r="O548" s="11">
        <v>91.45</v>
      </c>
      <c r="P548" s="11">
        <v>62.67</v>
      </c>
      <c r="Q548" s="11">
        <v>62.69</v>
      </c>
      <c r="R548" s="773">
        <v>63.120000000000019</v>
      </c>
      <c r="S548" s="11">
        <v>64.42</v>
      </c>
      <c r="T548" s="773">
        <v>64.860000000000028</v>
      </c>
      <c r="U548" s="2173">
        <v>12.789999999999964</v>
      </c>
      <c r="V548" s="2509">
        <v>0</v>
      </c>
      <c r="W548" s="2509">
        <v>0</v>
      </c>
      <c r="X548" s="2509">
        <v>0</v>
      </c>
      <c r="Y548" s="2509">
        <v>0</v>
      </c>
      <c r="Z548" s="11">
        <f>'[26]New TB INC'!Z494</f>
        <v>27.66</v>
      </c>
      <c r="AA548" s="11">
        <f>'[27]New TB INC'!AA503</f>
        <v>39.370000000000005</v>
      </c>
      <c r="AB548" s="11">
        <f>'[28]New TB INC'!AB509</f>
        <v>28.810000000000002</v>
      </c>
      <c r="AC548" s="11">
        <f>'[29]New TB INC'!AC505</f>
        <v>29.090000000000003</v>
      </c>
      <c r="AD548" s="11">
        <f>'[30]New TB INC'!AD500</f>
        <v>30.039999999999992</v>
      </c>
      <c r="AE548" s="11">
        <f>'[31]New TB INC'!AE508</f>
        <v>29.77000000000001</v>
      </c>
      <c r="AF548" s="11">
        <v>35.659999999999997</v>
      </c>
      <c r="AG548" s="11">
        <v>27.879999999999995</v>
      </c>
      <c r="AH548" s="11">
        <v>24.320000000000022</v>
      </c>
      <c r="AI548" s="11">
        <v>24.95999999999998</v>
      </c>
      <c r="AJ548" s="11">
        <v>24.449999999999989</v>
      </c>
      <c r="AK548" s="11">
        <f>$J548-SUM($Z548:AJ548)</f>
        <v>24.259999999999991</v>
      </c>
      <c r="AW548" s="2509"/>
      <c r="BH548" s="2509"/>
      <c r="BI548" s="772"/>
      <c r="BJ548" s="2173"/>
      <c r="BK548" s="2173"/>
      <c r="BL548" s="773"/>
      <c r="BM548" s="2174"/>
      <c r="BN548" s="773"/>
      <c r="BO548" s="209"/>
      <c r="BQ548" s="209"/>
      <c r="BR548" s="859"/>
      <c r="BS548" s="885"/>
      <c r="CI548" s="4"/>
      <c r="CJ548" s="4"/>
      <c r="DB548" s="773"/>
      <c r="DC548" s="773"/>
      <c r="DD548" s="773"/>
      <c r="DE548" s="773"/>
      <c r="DF548" s="773"/>
      <c r="DG548" s="773"/>
      <c r="DH548" s="773"/>
      <c r="DI548" s="773"/>
      <c r="DJ548" s="773"/>
      <c r="DK548" s="773"/>
      <c r="DL548" s="773"/>
      <c r="DM548" s="773"/>
      <c r="DN548" s="773"/>
      <c r="DO548" s="773"/>
      <c r="DP548" s="773"/>
      <c r="DQ548" s="773"/>
      <c r="DR548" s="773"/>
      <c r="DS548" s="773"/>
      <c r="DT548" s="773"/>
      <c r="DU548" s="773"/>
      <c r="DV548" s="773"/>
      <c r="DW548" s="773"/>
      <c r="DX548" s="773"/>
      <c r="DY548" s="773"/>
      <c r="DZ548" s="773"/>
      <c r="EA548" s="773"/>
      <c r="EB548" s="773"/>
      <c r="EC548" s="773"/>
      <c r="ED548" s="773"/>
      <c r="EE548" s="773"/>
      <c r="EF548" s="773"/>
      <c r="EG548" s="773"/>
      <c r="EH548" s="773"/>
      <c r="EI548" s="773"/>
      <c r="EJ548" s="773"/>
      <c r="EK548" s="773"/>
      <c r="EL548" s="773"/>
      <c r="EM548" s="773"/>
      <c r="EN548" s="773"/>
      <c r="EO548" s="773"/>
      <c r="EP548" s="773"/>
      <c r="EQ548" s="773"/>
      <c r="ER548" s="773"/>
      <c r="ES548" s="773"/>
      <c r="ET548" s="773"/>
      <c r="EU548" s="773"/>
      <c r="EV548" s="773"/>
      <c r="EW548" s="773"/>
      <c r="EX548" s="773"/>
      <c r="EY548" s="773"/>
      <c r="EZ548" s="773"/>
      <c r="FA548" s="773"/>
      <c r="FB548" s="773"/>
      <c r="FC548" s="773"/>
      <c r="FD548" s="773"/>
      <c r="FE548" s="773"/>
      <c r="FF548" s="773"/>
      <c r="FG548" s="773"/>
      <c r="FH548" s="773"/>
      <c r="FI548" s="773"/>
      <c r="FJ548" s="773"/>
      <c r="FK548" s="773"/>
      <c r="FL548" s="773"/>
      <c r="FM548" s="773"/>
      <c r="FN548" s="773"/>
      <c r="FO548" s="773"/>
      <c r="FP548" s="773"/>
      <c r="FQ548" s="773"/>
      <c r="FR548" s="773"/>
      <c r="FS548" s="773"/>
      <c r="FT548" s="773"/>
      <c r="FU548" s="773"/>
      <c r="FV548" s="773"/>
      <c r="FW548" s="773"/>
      <c r="FX548" s="773"/>
      <c r="FY548" s="773"/>
      <c r="FZ548" s="773"/>
      <c r="GA548" s="773"/>
      <c r="GB548" s="773"/>
      <c r="GC548" s="773"/>
      <c r="GD548" s="773"/>
      <c r="GE548" s="773"/>
      <c r="GF548" s="773"/>
      <c r="GG548" s="773"/>
      <c r="GH548" s="773"/>
      <c r="GI548" s="773"/>
      <c r="GJ548" s="773"/>
      <c r="GK548" s="773"/>
      <c r="GL548" s="773"/>
      <c r="GM548" s="773"/>
      <c r="GN548" s="773"/>
      <c r="GO548" s="773"/>
      <c r="GP548" s="773"/>
      <c r="GQ548" s="773"/>
      <c r="GR548" s="773"/>
      <c r="GS548" s="773"/>
      <c r="GT548" s="773"/>
      <c r="GU548" s="773"/>
      <c r="GV548" s="773"/>
      <c r="GW548" s="773"/>
      <c r="GX548" s="773"/>
      <c r="GY548" s="773"/>
      <c r="GZ548" s="773"/>
    </row>
    <row r="549" spans="1:208" s="11" customFormat="1">
      <c r="A549" s="774"/>
      <c r="B549" s="3762" t="s">
        <v>785</v>
      </c>
      <c r="C549" s="197" t="s">
        <v>1742</v>
      </c>
      <c r="D549" s="199" t="s">
        <v>1743</v>
      </c>
      <c r="E549" s="42">
        <f>VLOOKUP(C549,'AJE 12 - INC'!$D$168:$F$771,3,0)</f>
        <v>2946.19</v>
      </c>
      <c r="F549" s="108">
        <f>SUMIF('AJE 12 - INC'!B:B,'New TB INC'!C549,'AJE 12 - INC'!D:D)</f>
        <v>0</v>
      </c>
      <c r="G549" s="108"/>
      <c r="H549" s="108"/>
      <c r="I549" s="108"/>
      <c r="J549" s="798">
        <f t="shared" si="57"/>
        <v>2946.19</v>
      </c>
      <c r="K549" s="209"/>
      <c r="L549" s="434"/>
      <c r="M549" s="883"/>
      <c r="N549" s="11">
        <v>163.51</v>
      </c>
      <c r="O549" s="11">
        <v>164.03000000000003</v>
      </c>
      <c r="P549" s="11">
        <v>166.09999999999997</v>
      </c>
      <c r="Q549" s="11">
        <v>146.89999999999998</v>
      </c>
      <c r="R549" s="773">
        <v>151.72000000000003</v>
      </c>
      <c r="S549" s="11">
        <v>66.940000000000111</v>
      </c>
      <c r="T549" s="773">
        <v>158.69999999999987</v>
      </c>
      <c r="U549" s="2173">
        <v>204.2800000000002</v>
      </c>
      <c r="V549" s="2509">
        <v>205.38999999999987</v>
      </c>
      <c r="W549" s="2509">
        <v>205.3900000000001</v>
      </c>
      <c r="X549" s="2509">
        <v>204.27999999999997</v>
      </c>
      <c r="Y549" s="2509">
        <v>211.29999999999995</v>
      </c>
      <c r="Z549" s="11">
        <f>'[26]New TB INC'!Z495</f>
        <v>215.13</v>
      </c>
      <c r="AA549" s="11">
        <f>'[27]New TB INC'!AA504</f>
        <v>213.87</v>
      </c>
      <c r="AB549" s="11">
        <f>'[28]New TB INC'!AB510</f>
        <v>215.67999999999995</v>
      </c>
      <c r="AC549" s="11">
        <f>'[29]New TB INC'!AC506</f>
        <v>214.98000000000002</v>
      </c>
      <c r="AD549" s="11">
        <f>'[30]New TB INC'!AD501</f>
        <v>217.04000000000008</v>
      </c>
      <c r="AE549" s="11">
        <f>'[31]New TB INC'!AE509</f>
        <v>228.57999999999993</v>
      </c>
      <c r="AF549" s="11">
        <v>222.21000000000004</v>
      </c>
      <c r="AG549" s="11">
        <v>245.6099999999999</v>
      </c>
      <c r="AH549" s="11">
        <v>242.0300000000002</v>
      </c>
      <c r="AI549" s="11">
        <v>237.84999999999991</v>
      </c>
      <c r="AJ549" s="11">
        <v>351.94999999999982</v>
      </c>
      <c r="AK549" s="11">
        <f>$J549-SUM($Z549:AJ549)</f>
        <v>341.26000000000022</v>
      </c>
      <c r="AW549" s="2509"/>
      <c r="BH549" s="2509"/>
      <c r="BI549" s="772"/>
      <c r="BJ549" s="2173"/>
      <c r="BK549" s="2173"/>
      <c r="BL549" s="773"/>
      <c r="BM549" s="2174"/>
      <c r="BN549" s="773"/>
      <c r="BO549" s="209"/>
      <c r="BQ549" s="209"/>
      <c r="BR549" s="859"/>
      <c r="BS549" s="885"/>
      <c r="CI549" s="4"/>
      <c r="CJ549" s="4"/>
      <c r="DB549" s="773"/>
      <c r="DC549" s="773"/>
      <c r="DD549" s="773"/>
      <c r="DE549" s="773"/>
      <c r="DF549" s="773"/>
      <c r="DG549" s="773"/>
      <c r="DH549" s="773"/>
      <c r="DI549" s="773"/>
      <c r="DJ549" s="773"/>
      <c r="DK549" s="773"/>
      <c r="DL549" s="773"/>
      <c r="DM549" s="773"/>
      <c r="DN549" s="773"/>
      <c r="DO549" s="773"/>
      <c r="DP549" s="773"/>
      <c r="DQ549" s="773"/>
      <c r="DR549" s="773"/>
      <c r="DS549" s="773"/>
      <c r="DT549" s="773"/>
      <c r="DU549" s="773"/>
      <c r="DV549" s="773"/>
      <c r="DW549" s="773"/>
      <c r="DX549" s="773"/>
      <c r="DY549" s="773"/>
      <c r="DZ549" s="773"/>
      <c r="EA549" s="773"/>
      <c r="EB549" s="773"/>
      <c r="EC549" s="773"/>
      <c r="ED549" s="773"/>
      <c r="EE549" s="773"/>
      <c r="EF549" s="773"/>
      <c r="EG549" s="773"/>
      <c r="EH549" s="773"/>
      <c r="EI549" s="773"/>
      <c r="EJ549" s="773"/>
      <c r="EK549" s="773"/>
      <c r="EL549" s="773"/>
      <c r="EM549" s="773"/>
      <c r="EN549" s="773"/>
      <c r="EO549" s="773"/>
      <c r="EP549" s="773"/>
      <c r="EQ549" s="773"/>
      <c r="ER549" s="773"/>
      <c r="ES549" s="773"/>
      <c r="ET549" s="773"/>
      <c r="EU549" s="773"/>
      <c r="EV549" s="773"/>
      <c r="EW549" s="773"/>
      <c r="EX549" s="773"/>
      <c r="EY549" s="773"/>
      <c r="EZ549" s="773"/>
      <c r="FA549" s="773"/>
      <c r="FB549" s="773"/>
      <c r="FC549" s="773"/>
      <c r="FD549" s="773"/>
      <c r="FE549" s="773"/>
      <c r="FF549" s="773"/>
      <c r="FG549" s="773"/>
      <c r="FH549" s="773"/>
      <c r="FI549" s="773"/>
      <c r="FJ549" s="773"/>
      <c r="FK549" s="773"/>
      <c r="FL549" s="773"/>
      <c r="FM549" s="773"/>
      <c r="FN549" s="773"/>
      <c r="FO549" s="773"/>
      <c r="FP549" s="773"/>
      <c r="FQ549" s="773"/>
      <c r="FR549" s="773"/>
      <c r="FS549" s="773"/>
      <c r="FT549" s="773"/>
      <c r="FU549" s="773"/>
      <c r="FV549" s="773"/>
      <c r="FW549" s="773"/>
      <c r="FX549" s="773"/>
      <c r="FY549" s="773"/>
      <c r="FZ549" s="773"/>
      <c r="GA549" s="773"/>
      <c r="GB549" s="773"/>
      <c r="GC549" s="773"/>
      <c r="GD549" s="773"/>
      <c r="GE549" s="773"/>
      <c r="GF549" s="773"/>
      <c r="GG549" s="773"/>
      <c r="GH549" s="773"/>
      <c r="GI549" s="773"/>
      <c r="GJ549" s="773"/>
      <c r="GK549" s="773"/>
      <c r="GL549" s="773"/>
      <c r="GM549" s="773"/>
      <c r="GN549" s="773"/>
      <c r="GO549" s="773"/>
      <c r="GP549" s="773"/>
      <c r="GQ549" s="773"/>
      <c r="GR549" s="773"/>
      <c r="GS549" s="773"/>
      <c r="GT549" s="773"/>
      <c r="GU549" s="773"/>
      <c r="GV549" s="773"/>
      <c r="GW549" s="773"/>
      <c r="GX549" s="773"/>
      <c r="GY549" s="773"/>
      <c r="GZ549" s="773"/>
    </row>
    <row r="550" spans="1:208" s="11" customFormat="1">
      <c r="A550" s="774"/>
      <c r="B550" s="3762" t="s">
        <v>785</v>
      </c>
      <c r="C550" s="197" t="s">
        <v>1681</v>
      </c>
      <c r="D550" s="199" t="s">
        <v>1682</v>
      </c>
      <c r="E550" s="42">
        <f>VLOOKUP(C550,'AJE 12 - INC'!$D$168:$F$771,3,0)</f>
        <v>6588.59</v>
      </c>
      <c r="F550" s="108">
        <f>SUMIF('AJE 12 - INC'!B:B,'New TB INC'!C550,'AJE 12 - INC'!D:D)</f>
        <v>0</v>
      </c>
      <c r="G550" s="108"/>
      <c r="H550" s="108"/>
      <c r="I550" s="108"/>
      <c r="J550" s="798">
        <f t="shared" si="57"/>
        <v>6588.59</v>
      </c>
      <c r="K550" s="209"/>
      <c r="L550" s="434"/>
      <c r="M550" s="883"/>
      <c r="N550" s="11">
        <v>688.92</v>
      </c>
      <c r="O550" s="11">
        <v>976.91</v>
      </c>
      <c r="P550" s="11">
        <v>666.24000000000012</v>
      </c>
      <c r="Q550" s="11">
        <v>653.89999999999975</v>
      </c>
      <c r="R550" s="773">
        <v>47.580000000000382</v>
      </c>
      <c r="S550" s="11">
        <v>0</v>
      </c>
      <c r="T550" s="773">
        <v>0</v>
      </c>
      <c r="U550" s="2173">
        <v>0</v>
      </c>
      <c r="V550" s="2509">
        <v>0</v>
      </c>
      <c r="W550" s="2509">
        <v>0</v>
      </c>
      <c r="X550" s="2509">
        <v>0</v>
      </c>
      <c r="Y550" s="2509">
        <v>0</v>
      </c>
      <c r="Z550" s="11">
        <f>'[26]New TB INC'!Z496</f>
        <v>744.03</v>
      </c>
      <c r="AA550" s="11">
        <f>'[27]New TB INC'!AA505</f>
        <v>1064.05</v>
      </c>
      <c r="AB550" s="11">
        <f>'[28]New TB INC'!AB511</f>
        <v>775.07999999999993</v>
      </c>
      <c r="AC550" s="11">
        <f>'[29]New TB INC'!AC507</f>
        <v>782.60000000000036</v>
      </c>
      <c r="AD550" s="11">
        <f>'[30]New TB INC'!AD502</f>
        <v>136.08999999999969</v>
      </c>
      <c r="AE550" s="11">
        <f>'[31]New TB INC'!AE510</f>
        <v>0</v>
      </c>
      <c r="AF550" s="11">
        <v>143.69000000000005</v>
      </c>
      <c r="AG550" s="11">
        <v>333.97000000000025</v>
      </c>
      <c r="AH550" s="11">
        <v>652.96</v>
      </c>
      <c r="AI550" s="11">
        <v>670.13000000000011</v>
      </c>
      <c r="AJ550" s="11">
        <v>655.79</v>
      </c>
      <c r="AK550" s="11">
        <f>$J550-SUM($Z550:AJ550)</f>
        <v>630.19999999999982</v>
      </c>
      <c r="AW550" s="2509"/>
      <c r="BH550" s="2509"/>
      <c r="BI550" s="772"/>
      <c r="BJ550" s="2173"/>
      <c r="BK550" s="2173"/>
      <c r="BL550" s="773"/>
      <c r="BM550" s="2174"/>
      <c r="BN550" s="773"/>
      <c r="BO550" s="209"/>
      <c r="BQ550" s="209"/>
      <c r="BR550" s="859"/>
      <c r="BS550" s="885"/>
      <c r="CI550" s="4"/>
      <c r="CJ550" s="4"/>
      <c r="DB550" s="773"/>
      <c r="DC550" s="773"/>
      <c r="DD550" s="773"/>
      <c r="DE550" s="773"/>
      <c r="DF550" s="773"/>
      <c r="DG550" s="773"/>
      <c r="DH550" s="773"/>
      <c r="DI550" s="773"/>
      <c r="DJ550" s="773"/>
      <c r="DK550" s="773"/>
      <c r="DL550" s="773"/>
      <c r="DM550" s="773"/>
      <c r="DN550" s="773"/>
      <c r="DO550" s="773"/>
      <c r="DP550" s="773"/>
      <c r="DQ550" s="773"/>
      <c r="DR550" s="773"/>
      <c r="DS550" s="773"/>
      <c r="DT550" s="773"/>
      <c r="DU550" s="773"/>
      <c r="DV550" s="773"/>
      <c r="DW550" s="773"/>
      <c r="DX550" s="773"/>
      <c r="DY550" s="773"/>
      <c r="DZ550" s="773"/>
      <c r="EA550" s="773"/>
      <c r="EB550" s="773"/>
      <c r="EC550" s="773"/>
      <c r="ED550" s="773"/>
      <c r="EE550" s="773"/>
      <c r="EF550" s="773"/>
      <c r="EG550" s="773"/>
      <c r="EH550" s="773"/>
      <c r="EI550" s="773"/>
      <c r="EJ550" s="773"/>
      <c r="EK550" s="773"/>
      <c r="EL550" s="773"/>
      <c r="EM550" s="773"/>
      <c r="EN550" s="773"/>
      <c r="EO550" s="773"/>
      <c r="EP550" s="773"/>
      <c r="EQ550" s="773"/>
      <c r="ER550" s="773"/>
      <c r="ES550" s="773"/>
      <c r="ET550" s="773"/>
      <c r="EU550" s="773"/>
      <c r="EV550" s="773"/>
      <c r="EW550" s="773"/>
      <c r="EX550" s="773"/>
      <c r="EY550" s="773"/>
      <c r="EZ550" s="773"/>
      <c r="FA550" s="773"/>
      <c r="FB550" s="773"/>
      <c r="FC550" s="773"/>
      <c r="FD550" s="773"/>
      <c r="FE550" s="773"/>
      <c r="FF550" s="773"/>
      <c r="FG550" s="773"/>
      <c r="FH550" s="773"/>
      <c r="FI550" s="773"/>
      <c r="FJ550" s="773"/>
      <c r="FK550" s="773"/>
      <c r="FL550" s="773"/>
      <c r="FM550" s="773"/>
      <c r="FN550" s="773"/>
      <c r="FO550" s="773"/>
      <c r="FP550" s="773"/>
      <c r="FQ550" s="773"/>
      <c r="FR550" s="773"/>
      <c r="FS550" s="773"/>
      <c r="FT550" s="773"/>
      <c r="FU550" s="773"/>
      <c r="FV550" s="773"/>
      <c r="FW550" s="773"/>
      <c r="FX550" s="773"/>
      <c r="FY550" s="773"/>
      <c r="FZ550" s="773"/>
      <c r="GA550" s="773"/>
      <c r="GB550" s="773"/>
      <c r="GC550" s="773"/>
      <c r="GD550" s="773"/>
      <c r="GE550" s="773"/>
      <c r="GF550" s="773"/>
      <c r="GG550" s="773"/>
      <c r="GH550" s="773"/>
      <c r="GI550" s="773"/>
      <c r="GJ550" s="773"/>
      <c r="GK550" s="773"/>
      <c r="GL550" s="773"/>
      <c r="GM550" s="773"/>
      <c r="GN550" s="773"/>
      <c r="GO550" s="773"/>
      <c r="GP550" s="773"/>
      <c r="GQ550" s="773"/>
      <c r="GR550" s="773"/>
      <c r="GS550" s="773"/>
      <c r="GT550" s="773"/>
      <c r="GU550" s="773"/>
      <c r="GV550" s="773"/>
      <c r="GW550" s="773"/>
      <c r="GX550" s="773"/>
      <c r="GY550" s="773"/>
      <c r="GZ550" s="773"/>
    </row>
    <row r="551" spans="1:208" s="11" customFormat="1">
      <c r="A551" s="774"/>
      <c r="B551" s="3762" t="s">
        <v>785</v>
      </c>
      <c r="C551" s="197">
        <v>5200014</v>
      </c>
      <c r="D551" s="199" t="s">
        <v>1744</v>
      </c>
      <c r="E551" s="42">
        <f>VLOOKUP(C551,'AJE 12 - INC'!$D$168:$F$771,3,0)</f>
        <v>4038.46</v>
      </c>
      <c r="F551" s="108">
        <f>SUMIF('AJE 12 - INC'!B:B,'New TB INC'!C551,'AJE 12 - INC'!D:D)</f>
        <v>0</v>
      </c>
      <c r="G551" s="108"/>
      <c r="H551" s="108"/>
      <c r="I551" s="108"/>
      <c r="J551" s="798">
        <f t="shared" si="57"/>
        <v>4038.46</v>
      </c>
      <c r="K551" s="209"/>
      <c r="L551" s="434"/>
      <c r="M551" s="883"/>
      <c r="N551" s="11">
        <v>0</v>
      </c>
      <c r="O551" s="11">
        <v>0</v>
      </c>
      <c r="P551" s="11">
        <v>0</v>
      </c>
      <c r="Q551" s="11">
        <v>0</v>
      </c>
      <c r="R551" s="773">
        <v>0</v>
      </c>
      <c r="S551" s="11">
        <v>0</v>
      </c>
      <c r="T551" s="773">
        <v>0</v>
      </c>
      <c r="U551" s="2173">
        <v>0</v>
      </c>
      <c r="V551" s="2509">
        <v>0</v>
      </c>
      <c r="W551" s="2509">
        <v>0</v>
      </c>
      <c r="X551" s="2509">
        <v>0</v>
      </c>
      <c r="Y551" s="2509">
        <v>0</v>
      </c>
      <c r="Z551" s="11">
        <f>'[26]New TB INC'!Z497</f>
        <v>0</v>
      </c>
      <c r="AA551" s="11">
        <f>'[27]New TB INC'!AA506</f>
        <v>0</v>
      </c>
      <c r="AB551" s="11">
        <f>'[28]New TB INC'!AB512</f>
        <v>0</v>
      </c>
      <c r="AC551" s="11">
        <f>'[29]New TB INC'!AC508</f>
        <v>0</v>
      </c>
      <c r="AD551" s="11">
        <f>'[30]New TB INC'!AD503</f>
        <v>0</v>
      </c>
      <c r="AE551" s="11">
        <f>'[31]New TB INC'!AE511</f>
        <v>0</v>
      </c>
      <c r="AF551" s="11">
        <v>0</v>
      </c>
      <c r="AG551" s="11">
        <v>0</v>
      </c>
      <c r="AH551" s="11">
        <v>0</v>
      </c>
      <c r="AI551" s="11">
        <v>0</v>
      </c>
      <c r="AJ551" s="11">
        <v>0</v>
      </c>
      <c r="AK551" s="11">
        <f>$J551-SUM($Z551:AJ551)</f>
        <v>4038.46</v>
      </c>
      <c r="AW551" s="2509"/>
      <c r="BH551" s="2509"/>
      <c r="BI551" s="772"/>
      <c r="BJ551" s="2173"/>
      <c r="BK551" s="2173"/>
      <c r="BL551" s="773"/>
      <c r="BM551" s="2174"/>
      <c r="BN551" s="773"/>
      <c r="BO551" s="209"/>
      <c r="BQ551" s="209"/>
      <c r="BR551" s="859"/>
      <c r="BS551" s="885"/>
      <c r="CI551" s="4"/>
      <c r="CJ551" s="4"/>
      <c r="DB551" s="773"/>
      <c r="DC551" s="773"/>
      <c r="DD551" s="773"/>
      <c r="DE551" s="773"/>
      <c r="DF551" s="773"/>
      <c r="DG551" s="773"/>
      <c r="DH551" s="773"/>
      <c r="DI551" s="773"/>
      <c r="DJ551" s="773"/>
      <c r="DK551" s="773"/>
      <c r="DL551" s="773"/>
      <c r="DM551" s="773"/>
      <c r="DN551" s="773"/>
      <c r="DO551" s="773"/>
      <c r="DP551" s="773"/>
      <c r="DQ551" s="773"/>
      <c r="DR551" s="773"/>
      <c r="DS551" s="773"/>
      <c r="DT551" s="773"/>
      <c r="DU551" s="773"/>
      <c r="DV551" s="773"/>
      <c r="DW551" s="773"/>
      <c r="DX551" s="773"/>
      <c r="DY551" s="773"/>
      <c r="DZ551" s="773"/>
      <c r="EA551" s="773"/>
      <c r="EB551" s="773"/>
      <c r="EC551" s="773"/>
      <c r="ED551" s="773"/>
      <c r="EE551" s="773"/>
      <c r="EF551" s="773"/>
      <c r="EG551" s="773"/>
      <c r="EH551" s="773"/>
      <c r="EI551" s="773"/>
      <c r="EJ551" s="773"/>
      <c r="EK551" s="773"/>
      <c r="EL551" s="773"/>
      <c r="EM551" s="773"/>
      <c r="EN551" s="773"/>
      <c r="EO551" s="773"/>
      <c r="EP551" s="773"/>
      <c r="EQ551" s="773"/>
      <c r="ER551" s="773"/>
      <c r="ES551" s="773"/>
      <c r="ET551" s="773"/>
      <c r="EU551" s="773"/>
      <c r="EV551" s="773"/>
      <c r="EW551" s="773"/>
      <c r="EX551" s="773"/>
      <c r="EY551" s="773"/>
      <c r="EZ551" s="773"/>
      <c r="FA551" s="773"/>
      <c r="FB551" s="773"/>
      <c r="FC551" s="773"/>
      <c r="FD551" s="773"/>
      <c r="FE551" s="773"/>
      <c r="FF551" s="773"/>
      <c r="FG551" s="773"/>
      <c r="FH551" s="773"/>
      <c r="FI551" s="773"/>
      <c r="FJ551" s="773"/>
      <c r="FK551" s="773"/>
      <c r="FL551" s="773"/>
      <c r="FM551" s="773"/>
      <c r="FN551" s="773"/>
      <c r="FO551" s="773"/>
      <c r="FP551" s="773"/>
      <c r="FQ551" s="773"/>
      <c r="FR551" s="773"/>
      <c r="FS551" s="773"/>
      <c r="FT551" s="773"/>
      <c r="FU551" s="773"/>
      <c r="FV551" s="773"/>
      <c r="FW551" s="773"/>
      <c r="FX551" s="773"/>
      <c r="FY551" s="773"/>
      <c r="FZ551" s="773"/>
      <c r="GA551" s="773"/>
      <c r="GB551" s="773"/>
      <c r="GC551" s="773"/>
      <c r="GD551" s="773"/>
      <c r="GE551" s="773"/>
      <c r="GF551" s="773"/>
      <c r="GG551" s="773"/>
      <c r="GH551" s="773"/>
      <c r="GI551" s="773"/>
      <c r="GJ551" s="773"/>
      <c r="GK551" s="773"/>
      <c r="GL551" s="773"/>
      <c r="GM551" s="773"/>
      <c r="GN551" s="773"/>
      <c r="GO551" s="773"/>
      <c r="GP551" s="773"/>
      <c r="GQ551" s="773"/>
      <c r="GR551" s="773"/>
      <c r="GS551" s="773"/>
      <c r="GT551" s="773"/>
      <c r="GU551" s="773"/>
      <c r="GV551" s="773"/>
      <c r="GW551" s="773"/>
      <c r="GX551" s="773"/>
      <c r="GY551" s="773"/>
      <c r="GZ551" s="773"/>
    </row>
    <row r="552" spans="1:208" s="11" customFormat="1">
      <c r="A552" s="774"/>
      <c r="B552" s="3762"/>
      <c r="C552" s="814"/>
      <c r="D552" s="199"/>
      <c r="E552" s="42"/>
      <c r="F552" s="108"/>
      <c r="G552" s="108"/>
      <c r="H552" s="108"/>
      <c r="I552" s="108"/>
      <c r="J552" s="798"/>
      <c r="K552" s="209"/>
      <c r="L552" s="434"/>
      <c r="M552" s="883"/>
      <c r="N552" s="11">
        <v>0</v>
      </c>
      <c r="O552" s="11">
        <v>0</v>
      </c>
      <c r="P552" s="11">
        <v>0</v>
      </c>
      <c r="Q552" s="11">
        <v>0</v>
      </c>
      <c r="R552" s="773">
        <v>0</v>
      </c>
      <c r="S552" s="11">
        <v>0</v>
      </c>
      <c r="T552" s="773">
        <v>0</v>
      </c>
      <c r="U552" s="2173">
        <v>0</v>
      </c>
      <c r="V552" s="2509">
        <v>0</v>
      </c>
      <c r="W552" s="2509">
        <v>0</v>
      </c>
      <c r="X552" s="2509">
        <v>0</v>
      </c>
      <c r="Y552" s="2509">
        <v>0</v>
      </c>
      <c r="Z552" s="11">
        <f>'[26]New TB INC'!Z498</f>
        <v>0</v>
      </c>
      <c r="AA552" s="11">
        <f>'[27]New TB INC'!AA507</f>
        <v>0</v>
      </c>
      <c r="AB552" s="11">
        <f>'[28]New TB INC'!AB513</f>
        <v>0</v>
      </c>
      <c r="AC552" s="11">
        <f>'[29]New TB INC'!AC509</f>
        <v>0</v>
      </c>
      <c r="AD552" s="11">
        <f>'[30]New TB INC'!AD504</f>
        <v>0</v>
      </c>
      <c r="AE552" s="11">
        <f>'[31]New TB INC'!AE512</f>
        <v>0</v>
      </c>
      <c r="AF552" s="11">
        <v>0</v>
      </c>
      <c r="AG552" s="11">
        <v>0</v>
      </c>
      <c r="AH552" s="11">
        <v>0</v>
      </c>
      <c r="AI552" s="11">
        <v>0</v>
      </c>
      <c r="AJ552" s="11">
        <v>0</v>
      </c>
      <c r="AK552" s="11">
        <f>$J552-SUM($Z552:AJ552)</f>
        <v>0</v>
      </c>
      <c r="AW552" s="2509"/>
      <c r="BH552" s="2509"/>
      <c r="BI552" s="772"/>
      <c r="BJ552" s="2173"/>
      <c r="BK552" s="2173"/>
      <c r="BL552" s="773"/>
      <c r="BN552" s="773"/>
      <c r="BO552" s="209"/>
      <c r="BQ552" s="209"/>
      <c r="BR552" s="859"/>
      <c r="BS552" s="885"/>
      <c r="CI552" s="4"/>
      <c r="CJ552" s="4"/>
      <c r="DB552" s="773"/>
      <c r="DC552" s="773"/>
      <c r="DD552" s="773"/>
      <c r="DE552" s="773"/>
      <c r="DF552" s="773"/>
      <c r="DG552" s="773"/>
      <c r="DH552" s="773"/>
      <c r="DI552" s="773"/>
      <c r="DJ552" s="773"/>
      <c r="DK552" s="773"/>
      <c r="DL552" s="773"/>
      <c r="DM552" s="773"/>
      <c r="DN552" s="773"/>
      <c r="DO552" s="773"/>
      <c r="DP552" s="773"/>
      <c r="DQ552" s="773"/>
      <c r="DR552" s="773"/>
      <c r="DS552" s="773"/>
      <c r="DT552" s="773"/>
      <c r="DU552" s="773"/>
      <c r="DV552" s="773"/>
      <c r="DW552" s="773"/>
      <c r="DX552" s="773"/>
      <c r="DY552" s="773"/>
      <c r="DZ552" s="773"/>
      <c r="EA552" s="773"/>
      <c r="EB552" s="773"/>
      <c r="EC552" s="773"/>
      <c r="ED552" s="773"/>
      <c r="EE552" s="773"/>
      <c r="EF552" s="773"/>
      <c r="EG552" s="773"/>
      <c r="EH552" s="773"/>
      <c r="EI552" s="773"/>
      <c r="EJ552" s="773"/>
      <c r="EK552" s="773"/>
      <c r="EL552" s="773"/>
      <c r="EM552" s="773"/>
      <c r="EN552" s="773"/>
      <c r="EO552" s="773"/>
      <c r="EP552" s="773"/>
      <c r="EQ552" s="773"/>
      <c r="ER552" s="773"/>
      <c r="ES552" s="773"/>
      <c r="ET552" s="773"/>
      <c r="EU552" s="773"/>
      <c r="EV552" s="773"/>
      <c r="EW552" s="773"/>
      <c r="EX552" s="773"/>
      <c r="EY552" s="773"/>
      <c r="EZ552" s="773"/>
      <c r="FA552" s="773"/>
      <c r="FB552" s="773"/>
      <c r="FC552" s="773"/>
      <c r="FD552" s="773"/>
      <c r="FE552" s="773"/>
      <c r="FF552" s="773"/>
      <c r="FG552" s="773"/>
      <c r="FH552" s="773"/>
      <c r="FI552" s="773"/>
      <c r="FJ552" s="773"/>
      <c r="FK552" s="773"/>
      <c r="FL552" s="773"/>
      <c r="FM552" s="773"/>
      <c r="FN552" s="773"/>
      <c r="FO552" s="773"/>
      <c r="FP552" s="773"/>
      <c r="FQ552" s="773"/>
      <c r="FR552" s="773"/>
      <c r="FS552" s="773"/>
      <c r="FT552" s="773"/>
      <c r="FU552" s="773"/>
      <c r="FV552" s="773"/>
      <c r="FW552" s="773"/>
      <c r="FX552" s="773"/>
      <c r="FY552" s="773"/>
      <c r="FZ552" s="773"/>
      <c r="GA552" s="773"/>
      <c r="GB552" s="773"/>
      <c r="GC552" s="773"/>
      <c r="GD552" s="773"/>
      <c r="GE552" s="773"/>
      <c r="GF552" s="773"/>
      <c r="GG552" s="773"/>
      <c r="GH552" s="773"/>
      <c r="GI552" s="773"/>
      <c r="GJ552" s="773"/>
      <c r="GK552" s="773"/>
      <c r="GL552" s="773"/>
      <c r="GM552" s="773"/>
      <c r="GN552" s="773"/>
      <c r="GO552" s="773"/>
      <c r="GP552" s="773"/>
      <c r="GQ552" s="773"/>
      <c r="GR552" s="773"/>
      <c r="GS552" s="773"/>
      <c r="GT552" s="773"/>
      <c r="GU552" s="773"/>
      <c r="GV552" s="773"/>
      <c r="GW552" s="773"/>
      <c r="GX552" s="773"/>
      <c r="GY552" s="773"/>
      <c r="GZ552" s="773"/>
    </row>
    <row r="553" spans="1:208" s="11" customFormat="1" ht="17.25">
      <c r="A553" s="774"/>
      <c r="B553" s="3762" t="s">
        <v>830</v>
      </c>
      <c r="C553" s="197">
        <v>5400001</v>
      </c>
      <c r="D553" s="199" t="s">
        <v>859</v>
      </c>
      <c r="E553" s="42">
        <f>VLOOKUP(C553,'AJE 12 - INC'!$D$168:$F$771,3,0)</f>
        <v>221725.05</v>
      </c>
      <c r="F553" s="108">
        <f>SUMIF('AJE 12 - INC'!B:B,'New TB INC'!C553,'AJE 12 - INC'!D:D)</f>
        <v>0</v>
      </c>
      <c r="G553" s="108"/>
      <c r="H553" s="108"/>
      <c r="I553" s="108"/>
      <c r="J553" s="798">
        <f t="shared" ref="J553:J562" si="58">SUM(E553:I553)</f>
        <v>221725.05</v>
      </c>
      <c r="K553" s="209"/>
      <c r="L553" s="434"/>
      <c r="M553" s="881"/>
      <c r="N553" s="882">
        <v>25725.02</v>
      </c>
      <c r="O553" s="882">
        <v>27022.499999999996</v>
      </c>
      <c r="P553" s="773">
        <v>27022.500000000004</v>
      </c>
      <c r="Q553" s="773">
        <v>27022.499999999996</v>
      </c>
      <c r="R553" s="773">
        <v>23347.500000000004</v>
      </c>
      <c r="S553" s="11">
        <v>8422.4999999999854</v>
      </c>
      <c r="T553" s="773">
        <v>8422.4999999999964</v>
      </c>
      <c r="U553" s="2173">
        <v>8422.5</v>
      </c>
      <c r="V553" s="2509">
        <v>8422.5</v>
      </c>
      <c r="W553" s="2509">
        <v>8422.5</v>
      </c>
      <c r="X553" s="2509">
        <v>14672.5</v>
      </c>
      <c r="Y553" s="2509">
        <v>16755.839999999997</v>
      </c>
      <c r="Z553" s="11">
        <f>'[26]New TB INC'!Z499</f>
        <v>16755.84</v>
      </c>
      <c r="AA553" s="11">
        <f>'[27]New TB INC'!AA508</f>
        <v>17255.84</v>
      </c>
      <c r="AB553" s="11">
        <f>'[28]New TB INC'!AB514</f>
        <v>17255.839999999997</v>
      </c>
      <c r="AC553" s="11">
        <f>'[29]New TB INC'!AC510</f>
        <v>17255.840000000004</v>
      </c>
      <c r="AD553" s="11">
        <f>'[30]New TB INC'!AD505</f>
        <v>17255.839999999997</v>
      </c>
      <c r="AE553" s="11">
        <f>'[31]New TB INC'!AE513</f>
        <v>17255.839999999997</v>
      </c>
      <c r="AF553" s="11">
        <v>17255.840000000011</v>
      </c>
      <c r="AG553" s="11">
        <v>23589.169999999984</v>
      </c>
      <c r="AH553" s="11">
        <v>23922.5</v>
      </c>
      <c r="AI553" s="11">
        <v>23922.5</v>
      </c>
      <c r="AJ553" s="11">
        <v>15000</v>
      </c>
      <c r="AK553" s="11">
        <f>$J553-SUM($Z553:AJ553)</f>
        <v>15000</v>
      </c>
      <c r="AN553" s="3596" t="s">
        <v>4531</v>
      </c>
      <c r="AQ553" s="2629" t="s">
        <v>4030</v>
      </c>
      <c r="AW553" s="2509"/>
      <c r="BH553" s="2629"/>
      <c r="BI553" s="772"/>
      <c r="BJ553" s="2173"/>
      <c r="BK553" s="2173"/>
      <c r="BL553" s="773"/>
      <c r="BO553" s="209"/>
      <c r="BQ553" s="209"/>
      <c r="BR553" s="859"/>
      <c r="BS553" s="885"/>
      <c r="CI553" s="4"/>
      <c r="CJ553" s="4"/>
      <c r="DB553" s="773"/>
      <c r="DC553" s="773"/>
      <c r="DD553" s="773"/>
      <c r="DE553" s="773"/>
      <c r="DF553" s="773"/>
      <c r="DG553" s="773"/>
      <c r="DH553" s="773"/>
      <c r="DI553" s="773"/>
      <c r="DJ553" s="773"/>
      <c r="DK553" s="773"/>
      <c r="DL553" s="773"/>
      <c r="DM553" s="773"/>
      <c r="DN553" s="773"/>
      <c r="DO553" s="773"/>
      <c r="DP553" s="773"/>
      <c r="DQ553" s="773"/>
      <c r="DR553" s="773"/>
      <c r="DS553" s="773"/>
      <c r="DT553" s="773"/>
      <c r="DU553" s="773"/>
      <c r="DV553" s="773"/>
      <c r="DW553" s="773"/>
      <c r="DX553" s="773"/>
      <c r="DY553" s="773"/>
      <c r="DZ553" s="773"/>
      <c r="EA553" s="773"/>
      <c r="EB553" s="773"/>
      <c r="EC553" s="773"/>
      <c r="ED553" s="773"/>
      <c r="EE553" s="773"/>
      <c r="EF553" s="773"/>
      <c r="EG553" s="773"/>
      <c r="EH553" s="773"/>
      <c r="EI553" s="773"/>
      <c r="EJ553" s="773"/>
      <c r="EK553" s="773"/>
      <c r="EL553" s="773"/>
      <c r="EM553" s="773"/>
      <c r="EN553" s="773"/>
      <c r="EO553" s="773"/>
      <c r="EP553" s="773"/>
      <c r="EQ553" s="773"/>
      <c r="ER553" s="773"/>
      <c r="ES553" s="773"/>
      <c r="ET553" s="773"/>
      <c r="EU553" s="773"/>
      <c r="EV553" s="773"/>
      <c r="EW553" s="773"/>
      <c r="EX553" s="773"/>
      <c r="EY553" s="773"/>
      <c r="EZ553" s="773"/>
      <c r="FA553" s="773"/>
      <c r="FB553" s="773"/>
      <c r="FC553" s="773"/>
      <c r="FD553" s="773"/>
      <c r="FE553" s="773"/>
      <c r="FF553" s="773"/>
      <c r="FG553" s="773"/>
      <c r="FH553" s="773"/>
      <c r="FI553" s="773"/>
      <c r="FJ553" s="773"/>
      <c r="FK553" s="773"/>
      <c r="FL553" s="773"/>
      <c r="FM553" s="773"/>
      <c r="FN553" s="773"/>
      <c r="FO553" s="773"/>
      <c r="FP553" s="773"/>
      <c r="FQ553" s="773"/>
      <c r="FR553" s="773"/>
      <c r="FS553" s="773"/>
      <c r="FT553" s="773"/>
      <c r="FU553" s="773"/>
      <c r="FV553" s="773"/>
      <c r="FW553" s="773"/>
      <c r="FX553" s="773"/>
      <c r="FY553" s="773"/>
      <c r="FZ553" s="773"/>
      <c r="GA553" s="773"/>
      <c r="GB553" s="773"/>
      <c r="GC553" s="773"/>
      <c r="GD553" s="773"/>
      <c r="GE553" s="773"/>
      <c r="GF553" s="773"/>
      <c r="GG553" s="773"/>
      <c r="GH553" s="773"/>
      <c r="GI553" s="773"/>
      <c r="GJ553" s="773"/>
      <c r="GK553" s="773"/>
      <c r="GL553" s="773"/>
      <c r="GM553" s="773"/>
      <c r="GN553" s="773"/>
      <c r="GO553" s="773"/>
      <c r="GP553" s="773"/>
      <c r="GQ553" s="773"/>
      <c r="GR553" s="773"/>
      <c r="GS553" s="773"/>
      <c r="GT553" s="773"/>
      <c r="GU553" s="773"/>
      <c r="GV553" s="773"/>
      <c r="GW553" s="773"/>
      <c r="GX553" s="773"/>
      <c r="GY553" s="773"/>
      <c r="GZ553" s="773"/>
    </row>
    <row r="554" spans="1:208" s="11" customFormat="1">
      <c r="A554" s="774"/>
      <c r="B554" s="3762" t="s">
        <v>830</v>
      </c>
      <c r="C554" s="197">
        <v>5400002</v>
      </c>
      <c r="D554" s="199" t="s">
        <v>1232</v>
      </c>
      <c r="E554" s="42">
        <f>IFERROR(VLOOKUP(C554,'AJE 12 - INC'!$D$168:$F$771,3,0),0)</f>
        <v>5516.24</v>
      </c>
      <c r="F554" s="108">
        <f>SUMIF('AJE 12 - INC'!B:B,'New TB INC'!C554,'AJE 12 - INC'!D:D)</f>
        <v>0</v>
      </c>
      <c r="G554" s="108"/>
      <c r="H554" s="108"/>
      <c r="I554" s="108"/>
      <c r="J554" s="798">
        <f t="shared" si="58"/>
        <v>5516.24</v>
      </c>
      <c r="K554" s="209"/>
      <c r="L554" s="434"/>
      <c r="M554" s="883"/>
      <c r="N554" s="888">
        <v>3250</v>
      </c>
      <c r="O554" s="888">
        <v>3250</v>
      </c>
      <c r="P554" s="773">
        <v>3250</v>
      </c>
      <c r="Q554" s="773">
        <v>3250</v>
      </c>
      <c r="R554" s="773">
        <v>3250</v>
      </c>
      <c r="S554" s="11">
        <v>3250</v>
      </c>
      <c r="T554" s="773">
        <v>3250</v>
      </c>
      <c r="U554" s="2173">
        <v>3250</v>
      </c>
      <c r="V554" s="2509">
        <v>-17000</v>
      </c>
      <c r="W554" s="2509">
        <v>3250</v>
      </c>
      <c r="X554" s="2509">
        <v>3250</v>
      </c>
      <c r="Y554" s="2509">
        <v>-15500</v>
      </c>
      <c r="Z554" s="11">
        <f>'[26]New TB INC'!Z500</f>
        <v>3250</v>
      </c>
      <c r="AA554" s="11">
        <f>'[27]New TB INC'!AA509</f>
        <v>2266.2399999999998</v>
      </c>
      <c r="AB554" s="11">
        <f>'[28]New TB INC'!AB515</f>
        <v>-2250</v>
      </c>
      <c r="AC554" s="11">
        <f>'[29]New TB INC'!AC511</f>
        <v>1417</v>
      </c>
      <c r="AD554" s="11">
        <f>'[30]New TB INC'!AD506</f>
        <v>1417</v>
      </c>
      <c r="AE554" s="11">
        <f>'[31]New TB INC'!AE514</f>
        <v>1417</v>
      </c>
      <c r="AF554" s="11">
        <v>1417</v>
      </c>
      <c r="AG554" s="11">
        <v>1417</v>
      </c>
      <c r="AH554" s="11">
        <v>1417</v>
      </c>
      <c r="AI554" s="11">
        <v>1417</v>
      </c>
      <c r="AJ554" s="11">
        <v>1417</v>
      </c>
      <c r="AK554" s="11">
        <f>$J554-SUM($Z554:AJ554)</f>
        <v>-9086</v>
      </c>
      <c r="AW554" s="2509"/>
      <c r="BH554" s="2509"/>
      <c r="BI554" s="772"/>
      <c r="BJ554" s="2173"/>
      <c r="BK554" s="2173"/>
      <c r="BL554" s="773"/>
      <c r="BO554" s="209"/>
      <c r="BQ554" s="209"/>
      <c r="BR554" s="859"/>
      <c r="BS554" s="885"/>
      <c r="CI554" s="4"/>
      <c r="CJ554" s="4"/>
      <c r="DB554" s="773"/>
      <c r="DC554" s="773"/>
      <c r="DD554" s="773"/>
      <c r="DE554" s="773"/>
      <c r="DF554" s="773"/>
      <c r="DG554" s="773"/>
      <c r="DH554" s="773"/>
      <c r="DI554" s="773"/>
      <c r="DJ554" s="773"/>
      <c r="DK554" s="773"/>
      <c r="DL554" s="773"/>
      <c r="DM554" s="773"/>
      <c r="DN554" s="773"/>
      <c r="DO554" s="773"/>
      <c r="DP554" s="773"/>
      <c r="DQ554" s="773"/>
      <c r="DR554" s="773"/>
      <c r="DS554" s="773"/>
      <c r="DT554" s="773"/>
      <c r="DU554" s="773"/>
      <c r="DV554" s="773"/>
      <c r="DW554" s="773"/>
      <c r="DX554" s="773"/>
      <c r="DY554" s="773"/>
      <c r="DZ554" s="773"/>
      <c r="EA554" s="773"/>
      <c r="EB554" s="773"/>
      <c r="EC554" s="773"/>
      <c r="ED554" s="773"/>
      <c r="EE554" s="773"/>
      <c r="EF554" s="773"/>
      <c r="EG554" s="773"/>
      <c r="EH554" s="773"/>
      <c r="EI554" s="773"/>
      <c r="EJ554" s="773"/>
      <c r="EK554" s="773"/>
      <c r="EL554" s="773"/>
      <c r="EM554" s="773"/>
      <c r="EN554" s="773"/>
      <c r="EO554" s="773"/>
      <c r="EP554" s="773"/>
      <c r="EQ554" s="773"/>
      <c r="ER554" s="773"/>
      <c r="ES554" s="773"/>
      <c r="ET554" s="773"/>
      <c r="EU554" s="773"/>
      <c r="EV554" s="773"/>
      <c r="EW554" s="773"/>
      <c r="EX554" s="773"/>
      <c r="EY554" s="773"/>
      <c r="EZ554" s="773"/>
      <c r="FA554" s="773"/>
      <c r="FB554" s="773"/>
      <c r="FC554" s="773"/>
      <c r="FD554" s="773"/>
      <c r="FE554" s="773"/>
      <c r="FF554" s="773"/>
      <c r="FG554" s="773"/>
      <c r="FH554" s="773"/>
      <c r="FI554" s="773"/>
      <c r="FJ554" s="773"/>
      <c r="FK554" s="773"/>
      <c r="FL554" s="773"/>
      <c r="FM554" s="773"/>
      <c r="FN554" s="773"/>
      <c r="FO554" s="773"/>
      <c r="FP554" s="773"/>
      <c r="FQ554" s="773"/>
      <c r="FR554" s="773"/>
      <c r="FS554" s="773"/>
      <c r="FT554" s="773"/>
      <c r="FU554" s="773"/>
      <c r="FV554" s="773"/>
      <c r="FW554" s="773"/>
      <c r="FX554" s="773"/>
      <c r="FY554" s="773"/>
      <c r="FZ554" s="773"/>
      <c r="GA554" s="773"/>
      <c r="GB554" s="773"/>
      <c r="GC554" s="773"/>
      <c r="GD554" s="773"/>
      <c r="GE554" s="773"/>
      <c r="GF554" s="773"/>
      <c r="GG554" s="773"/>
      <c r="GH554" s="773"/>
      <c r="GI554" s="773"/>
      <c r="GJ554" s="773"/>
      <c r="GK554" s="773"/>
      <c r="GL554" s="773"/>
      <c r="GM554" s="773"/>
      <c r="GN554" s="773"/>
      <c r="GO554" s="773"/>
      <c r="GP554" s="773"/>
      <c r="GQ554" s="773"/>
      <c r="GR554" s="773"/>
      <c r="GS554" s="773"/>
      <c r="GT554" s="773"/>
      <c r="GU554" s="773"/>
      <c r="GV554" s="773"/>
      <c r="GW554" s="773"/>
      <c r="GX554" s="773"/>
      <c r="GY554" s="773"/>
      <c r="GZ554" s="773"/>
    </row>
    <row r="555" spans="1:208" s="11" customFormat="1">
      <c r="A555" s="774"/>
      <c r="B555" s="3762" t="s">
        <v>830</v>
      </c>
      <c r="C555" s="197">
        <v>5400003</v>
      </c>
      <c r="D555" s="199" t="s">
        <v>1418</v>
      </c>
      <c r="E555" s="42">
        <f>IFERROR(VLOOKUP(C555,'AJE 12 - INC'!$D$168:$F$771,3,0),0)</f>
        <v>1340</v>
      </c>
      <c r="F555" s="108">
        <f>SUMIF('AJE 12 - INC'!B:B,'New TB INC'!C555,'AJE 12 - INC'!D:D)</f>
        <v>0</v>
      </c>
      <c r="G555" s="108"/>
      <c r="H555" s="108"/>
      <c r="I555" s="108"/>
      <c r="J555" s="798">
        <f t="shared" si="58"/>
        <v>1340</v>
      </c>
      <c r="K555" s="209"/>
      <c r="L555" s="434"/>
      <c r="M555" s="883"/>
      <c r="N555" s="11">
        <v>0</v>
      </c>
      <c r="O555" s="11">
        <v>0</v>
      </c>
      <c r="P555" s="11">
        <v>0</v>
      </c>
      <c r="Q555" s="11">
        <v>0</v>
      </c>
      <c r="R555" s="773">
        <v>0</v>
      </c>
      <c r="S555" s="11">
        <v>0</v>
      </c>
      <c r="T555" s="773">
        <v>0</v>
      </c>
      <c r="U555" s="2173">
        <v>0</v>
      </c>
      <c r="V555" s="2509">
        <v>0</v>
      </c>
      <c r="W555" s="2509">
        <v>0</v>
      </c>
      <c r="X555" s="2509">
        <v>0</v>
      </c>
      <c r="Y555" s="2509">
        <v>2000</v>
      </c>
      <c r="Z555" s="11">
        <f>'[26]New TB INC'!Z501</f>
        <v>0</v>
      </c>
      <c r="AA555" s="11">
        <f>'[27]New TB INC'!AA510</f>
        <v>0</v>
      </c>
      <c r="AB555" s="11">
        <f>'[28]New TB INC'!AB516</f>
        <v>-160</v>
      </c>
      <c r="AC555" s="11">
        <f>'[29]New TB INC'!AC512</f>
        <v>0</v>
      </c>
      <c r="AD555" s="11">
        <f>'[30]New TB INC'!AD507</f>
        <v>0</v>
      </c>
      <c r="AE555" s="11">
        <f>'[31]New TB INC'!AE515</f>
        <v>0</v>
      </c>
      <c r="AF555" s="11">
        <v>0</v>
      </c>
      <c r="AG555" s="11">
        <v>0</v>
      </c>
      <c r="AH555" s="11">
        <v>0</v>
      </c>
      <c r="AI555" s="11">
        <v>0</v>
      </c>
      <c r="AJ555" s="11">
        <v>1500</v>
      </c>
      <c r="AK555" s="11">
        <f>$J555-SUM($Z555:AJ555)</f>
        <v>0</v>
      </c>
      <c r="AW555" s="2509"/>
      <c r="BH555" s="2509"/>
      <c r="BI555" s="772"/>
      <c r="BJ555" s="2173"/>
      <c r="BK555" s="2173"/>
      <c r="BL555" s="773"/>
      <c r="BN555" s="773"/>
      <c r="BO555" s="209"/>
      <c r="BQ555" s="209"/>
      <c r="BR555" s="859"/>
      <c r="BS555" s="885"/>
      <c r="CI555" s="4"/>
      <c r="CJ555" s="4"/>
      <c r="DB555" s="773"/>
      <c r="DC555" s="773"/>
      <c r="DD555" s="773"/>
      <c r="DE555" s="773"/>
      <c r="DF555" s="773"/>
      <c r="DG555" s="773"/>
      <c r="DH555" s="773"/>
      <c r="DI555" s="773"/>
      <c r="DJ555" s="773"/>
      <c r="DK555" s="773"/>
      <c r="DL555" s="773"/>
      <c r="DM555" s="773"/>
      <c r="DN555" s="773"/>
      <c r="DO555" s="773"/>
      <c r="DP555" s="773"/>
      <c r="DQ555" s="773"/>
      <c r="DR555" s="773"/>
      <c r="DS555" s="773"/>
      <c r="DT555" s="773"/>
      <c r="DU555" s="773"/>
      <c r="DV555" s="773"/>
      <c r="DW555" s="773"/>
      <c r="DX555" s="773"/>
      <c r="DY555" s="773"/>
      <c r="DZ555" s="773"/>
      <c r="EA555" s="773"/>
      <c r="EB555" s="773"/>
      <c r="EC555" s="773"/>
      <c r="ED555" s="773"/>
      <c r="EE555" s="773"/>
      <c r="EF555" s="773"/>
      <c r="EG555" s="773"/>
      <c r="EH555" s="773"/>
      <c r="EI555" s="773"/>
      <c r="EJ555" s="773"/>
      <c r="EK555" s="773"/>
      <c r="EL555" s="773"/>
      <c r="EM555" s="773"/>
      <c r="EN555" s="773"/>
      <c r="EO555" s="773"/>
      <c r="EP555" s="773"/>
      <c r="EQ555" s="773"/>
      <c r="ER555" s="773"/>
      <c r="ES555" s="773"/>
      <c r="ET555" s="773"/>
      <c r="EU555" s="773"/>
      <c r="EV555" s="773"/>
      <c r="EW555" s="773"/>
      <c r="EX555" s="773"/>
      <c r="EY555" s="773"/>
      <c r="EZ555" s="773"/>
      <c r="FA555" s="773"/>
      <c r="FB555" s="773"/>
      <c r="FC555" s="773"/>
      <c r="FD555" s="773"/>
      <c r="FE555" s="773"/>
      <c r="FF555" s="773"/>
      <c r="FG555" s="773"/>
      <c r="FH555" s="773"/>
      <c r="FI555" s="773"/>
      <c r="FJ555" s="773"/>
      <c r="FK555" s="773"/>
      <c r="FL555" s="773"/>
      <c r="FM555" s="773"/>
      <c r="FN555" s="773"/>
      <c r="FO555" s="773"/>
      <c r="FP555" s="773"/>
      <c r="FQ555" s="773"/>
      <c r="FR555" s="773"/>
      <c r="FS555" s="773"/>
      <c r="FT555" s="773"/>
      <c r="FU555" s="773"/>
      <c r="FV555" s="773"/>
      <c r="FW555" s="773"/>
      <c r="FX555" s="773"/>
      <c r="FY555" s="773"/>
      <c r="FZ555" s="773"/>
      <c r="GA555" s="773"/>
      <c r="GB555" s="773"/>
      <c r="GC555" s="773"/>
      <c r="GD555" s="773"/>
      <c r="GE555" s="773"/>
      <c r="GF555" s="773"/>
      <c r="GG555" s="773"/>
      <c r="GH555" s="773"/>
      <c r="GI555" s="773"/>
      <c r="GJ555" s="773"/>
      <c r="GK555" s="773"/>
      <c r="GL555" s="773"/>
      <c r="GM555" s="773"/>
      <c r="GN555" s="773"/>
      <c r="GO555" s="773"/>
      <c r="GP555" s="773"/>
      <c r="GQ555" s="773"/>
      <c r="GR555" s="773"/>
      <c r="GS555" s="773"/>
      <c r="GT555" s="773"/>
      <c r="GU555" s="773"/>
      <c r="GV555" s="773"/>
      <c r="GW555" s="773"/>
      <c r="GX555" s="773"/>
      <c r="GY555" s="773"/>
      <c r="GZ555" s="773"/>
    </row>
    <row r="556" spans="1:208" s="11" customFormat="1">
      <c r="A556" s="774"/>
      <c r="B556" s="3762" t="s">
        <v>830</v>
      </c>
      <c r="C556" s="197">
        <v>5400004</v>
      </c>
      <c r="D556" s="199" t="s">
        <v>1899</v>
      </c>
      <c r="E556" s="42">
        <f>IFERROR(VLOOKUP(C556,'AJE 12 - INC'!$D$168:$F$771,3,0),0)</f>
        <v>0</v>
      </c>
      <c r="F556" s="108">
        <f>SUMIF('AJE 12 - INC'!B:B,'New TB INC'!C556,'AJE 12 - INC'!D:D)</f>
        <v>0</v>
      </c>
      <c r="G556" s="108"/>
      <c r="H556" s="108"/>
      <c r="I556" s="108"/>
      <c r="J556" s="798">
        <f t="shared" si="58"/>
        <v>0</v>
      </c>
      <c r="K556" s="209"/>
      <c r="L556" s="434"/>
      <c r="M556" s="883"/>
      <c r="N556" s="11">
        <v>0</v>
      </c>
      <c r="O556" s="11">
        <v>0</v>
      </c>
      <c r="P556" s="11">
        <v>0</v>
      </c>
      <c r="Q556" s="11">
        <v>0</v>
      </c>
      <c r="R556" s="773">
        <v>0</v>
      </c>
      <c r="S556" s="11">
        <v>10384</v>
      </c>
      <c r="T556" s="773">
        <v>0</v>
      </c>
      <c r="U556" s="2173">
        <v>0</v>
      </c>
      <c r="V556" s="2509">
        <v>0</v>
      </c>
      <c r="W556" s="2509">
        <v>0</v>
      </c>
      <c r="X556" s="2509">
        <v>0</v>
      </c>
      <c r="Y556" s="2509">
        <v>0</v>
      </c>
      <c r="Z556" s="11">
        <f>'[26]New TB INC'!Z502</f>
        <v>0</v>
      </c>
      <c r="AA556" s="11">
        <f>'[27]New TB INC'!AA511</f>
        <v>0</v>
      </c>
      <c r="AB556" s="11">
        <f>'[28]New TB INC'!AB517</f>
        <v>0</v>
      </c>
      <c r="AC556" s="11">
        <f>'[29]New TB INC'!AC513</f>
        <v>0</v>
      </c>
      <c r="AD556" s="11">
        <f>'[30]New TB INC'!AD508</f>
        <v>0</v>
      </c>
      <c r="AE556" s="11">
        <f>'[31]New TB INC'!AE516</f>
        <v>0</v>
      </c>
      <c r="AF556" s="11">
        <v>0</v>
      </c>
      <c r="AG556" s="11">
        <v>0</v>
      </c>
      <c r="AH556" s="11">
        <v>0</v>
      </c>
      <c r="AI556" s="11">
        <v>0</v>
      </c>
      <c r="AJ556" s="11">
        <v>0</v>
      </c>
      <c r="AK556" s="11">
        <f>$J556-SUM($Z556:AJ556)</f>
        <v>0</v>
      </c>
      <c r="AW556" s="2509"/>
      <c r="BH556" s="2509"/>
      <c r="BI556" s="772"/>
      <c r="BJ556" s="2173"/>
      <c r="BK556" s="2173"/>
      <c r="BL556" s="773"/>
      <c r="BN556" s="773"/>
      <c r="BO556" s="209"/>
      <c r="BQ556" s="209"/>
      <c r="BR556" s="859"/>
      <c r="BS556" s="885"/>
      <c r="CI556" s="4"/>
      <c r="CJ556" s="4"/>
      <c r="DB556" s="773"/>
      <c r="DC556" s="773"/>
      <c r="DD556" s="773"/>
      <c r="DE556" s="773"/>
      <c r="DF556" s="773"/>
      <c r="DG556" s="773"/>
      <c r="DH556" s="773"/>
      <c r="DI556" s="773"/>
      <c r="DJ556" s="773"/>
      <c r="DK556" s="773"/>
      <c r="DL556" s="773"/>
      <c r="DM556" s="773"/>
      <c r="DN556" s="773"/>
      <c r="DO556" s="773"/>
      <c r="DP556" s="773"/>
      <c r="DQ556" s="773"/>
      <c r="DR556" s="773"/>
      <c r="DS556" s="773"/>
      <c r="DT556" s="773"/>
      <c r="DU556" s="773"/>
      <c r="DV556" s="773"/>
      <c r="DW556" s="773"/>
      <c r="DX556" s="773"/>
      <c r="DY556" s="773"/>
      <c r="DZ556" s="773"/>
      <c r="EA556" s="773"/>
      <c r="EB556" s="773"/>
      <c r="EC556" s="773"/>
      <c r="ED556" s="773"/>
      <c r="EE556" s="773"/>
      <c r="EF556" s="773"/>
      <c r="EG556" s="773"/>
      <c r="EH556" s="773"/>
      <c r="EI556" s="773"/>
      <c r="EJ556" s="773"/>
      <c r="EK556" s="773"/>
      <c r="EL556" s="773"/>
      <c r="EM556" s="773"/>
      <c r="EN556" s="773"/>
      <c r="EO556" s="773"/>
      <c r="EP556" s="773"/>
      <c r="EQ556" s="773"/>
      <c r="ER556" s="773"/>
      <c r="ES556" s="773"/>
      <c r="ET556" s="773"/>
      <c r="EU556" s="773"/>
      <c r="EV556" s="773"/>
      <c r="EW556" s="773"/>
      <c r="EX556" s="773"/>
      <c r="EY556" s="773"/>
      <c r="EZ556" s="773"/>
      <c r="FA556" s="773"/>
      <c r="FB556" s="773"/>
      <c r="FC556" s="773"/>
      <c r="FD556" s="773"/>
      <c r="FE556" s="773"/>
      <c r="FF556" s="773"/>
      <c r="FG556" s="773"/>
      <c r="FH556" s="773"/>
      <c r="FI556" s="773"/>
      <c r="FJ556" s="773"/>
      <c r="FK556" s="773"/>
      <c r="FL556" s="773"/>
      <c r="FM556" s="773"/>
      <c r="FN556" s="773"/>
      <c r="FO556" s="773"/>
      <c r="FP556" s="773"/>
      <c r="FQ556" s="773"/>
      <c r="FR556" s="773"/>
      <c r="FS556" s="773"/>
      <c r="FT556" s="773"/>
      <c r="FU556" s="773"/>
      <c r="FV556" s="773"/>
      <c r="FW556" s="773"/>
      <c r="FX556" s="773"/>
      <c r="FY556" s="773"/>
      <c r="FZ556" s="773"/>
      <c r="GA556" s="773"/>
      <c r="GB556" s="773"/>
      <c r="GC556" s="773"/>
      <c r="GD556" s="773"/>
      <c r="GE556" s="773"/>
      <c r="GF556" s="773"/>
      <c r="GG556" s="773"/>
      <c r="GH556" s="773"/>
      <c r="GI556" s="773"/>
      <c r="GJ556" s="773"/>
      <c r="GK556" s="773"/>
      <c r="GL556" s="773"/>
      <c r="GM556" s="773"/>
      <c r="GN556" s="773"/>
      <c r="GO556" s="773"/>
      <c r="GP556" s="773"/>
      <c r="GQ556" s="773"/>
      <c r="GR556" s="773"/>
      <c r="GS556" s="773"/>
      <c r="GT556" s="773"/>
      <c r="GU556" s="773"/>
      <c r="GV556" s="773"/>
      <c r="GW556" s="773"/>
      <c r="GX556" s="773"/>
      <c r="GY556" s="773"/>
      <c r="GZ556" s="773"/>
    </row>
    <row r="557" spans="1:208" s="11" customFormat="1">
      <c r="A557" s="774"/>
      <c r="B557" s="3762" t="s">
        <v>830</v>
      </c>
      <c r="C557" s="197">
        <v>5400005</v>
      </c>
      <c r="D557" s="199" t="s">
        <v>1900</v>
      </c>
      <c r="E557" s="42">
        <f>IFERROR(VLOOKUP(C557,'AJE 12 - INC'!$D$168:$F$771,3,0),0)</f>
        <v>0</v>
      </c>
      <c r="F557" s="108">
        <f>SUMIF('AJE 12 - INC'!B:B,'New TB INC'!C557,'AJE 12 - INC'!D:D)</f>
        <v>0</v>
      </c>
      <c r="G557" s="108"/>
      <c r="H557" s="108"/>
      <c r="I557" s="108"/>
      <c r="J557" s="798">
        <f t="shared" si="58"/>
        <v>0</v>
      </c>
      <c r="K557" s="209"/>
      <c r="L557" s="434"/>
      <c r="M557" s="883"/>
      <c r="N557" s="11">
        <v>0</v>
      </c>
      <c r="O557" s="11">
        <v>0</v>
      </c>
      <c r="P557" s="11">
        <v>0</v>
      </c>
      <c r="Q557" s="11">
        <v>0</v>
      </c>
      <c r="R557" s="773">
        <v>3848.37</v>
      </c>
      <c r="S557" s="11">
        <v>0</v>
      </c>
      <c r="T557" s="773">
        <v>0</v>
      </c>
      <c r="U557" s="2173">
        <v>0</v>
      </c>
      <c r="V557" s="2509">
        <v>0</v>
      </c>
      <c r="W557" s="2509">
        <v>0</v>
      </c>
      <c r="X557" s="2509">
        <v>0</v>
      </c>
      <c r="Y557" s="2509">
        <v>0</v>
      </c>
      <c r="Z557" s="11">
        <f>'[26]New TB INC'!Z503</f>
        <v>0</v>
      </c>
      <c r="AA557" s="11">
        <f>'[27]New TB INC'!AA512</f>
        <v>0</v>
      </c>
      <c r="AB557" s="11">
        <f>'[28]New TB INC'!AB518</f>
        <v>0</v>
      </c>
      <c r="AC557" s="11">
        <f>'[29]New TB INC'!AC514</f>
        <v>0</v>
      </c>
      <c r="AD557" s="11">
        <f>'[30]New TB INC'!AD509</f>
        <v>0</v>
      </c>
      <c r="AE557" s="11">
        <f>'[31]New TB INC'!AE517</f>
        <v>0</v>
      </c>
      <c r="AF557" s="11">
        <v>0</v>
      </c>
      <c r="AG557" s="11">
        <v>0</v>
      </c>
      <c r="AH557" s="11">
        <v>0</v>
      </c>
      <c r="AI557" s="11">
        <v>0</v>
      </c>
      <c r="AJ557" s="11">
        <v>0</v>
      </c>
      <c r="AK557" s="11">
        <f>$J557-SUM($Z557:AJ557)</f>
        <v>0</v>
      </c>
      <c r="AW557" s="2509"/>
      <c r="BH557" s="2509"/>
      <c r="BI557" s="772"/>
      <c r="BJ557" s="2173"/>
      <c r="BK557" s="2173"/>
      <c r="BL557" s="773"/>
      <c r="BN557" s="773"/>
      <c r="BO557" s="209"/>
      <c r="BQ557" s="209"/>
      <c r="BR557" s="859"/>
      <c r="BS557" s="885"/>
      <c r="CI557" s="4"/>
      <c r="CJ557" s="4"/>
      <c r="DB557" s="773"/>
      <c r="DC557" s="773"/>
      <c r="DD557" s="773"/>
      <c r="DE557" s="773"/>
      <c r="DF557" s="773"/>
      <c r="DG557" s="773"/>
      <c r="DH557" s="773"/>
      <c r="DI557" s="773"/>
      <c r="DJ557" s="773"/>
      <c r="DK557" s="773"/>
      <c r="DL557" s="773"/>
      <c r="DM557" s="773"/>
      <c r="DN557" s="773"/>
      <c r="DO557" s="773"/>
      <c r="DP557" s="773"/>
      <c r="DQ557" s="773"/>
      <c r="DR557" s="773"/>
      <c r="DS557" s="773"/>
      <c r="DT557" s="773"/>
      <c r="DU557" s="773"/>
      <c r="DV557" s="773"/>
      <c r="DW557" s="773"/>
      <c r="DX557" s="773"/>
      <c r="DY557" s="773"/>
      <c r="DZ557" s="773"/>
      <c r="EA557" s="773"/>
      <c r="EB557" s="773"/>
      <c r="EC557" s="773"/>
      <c r="ED557" s="773"/>
      <c r="EE557" s="773"/>
      <c r="EF557" s="773"/>
      <c r="EG557" s="773"/>
      <c r="EH557" s="773"/>
      <c r="EI557" s="773"/>
      <c r="EJ557" s="773"/>
      <c r="EK557" s="773"/>
      <c r="EL557" s="773"/>
      <c r="EM557" s="773"/>
      <c r="EN557" s="773"/>
      <c r="EO557" s="773"/>
      <c r="EP557" s="773"/>
      <c r="EQ557" s="773"/>
      <c r="ER557" s="773"/>
      <c r="ES557" s="773"/>
      <c r="ET557" s="773"/>
      <c r="EU557" s="773"/>
      <c r="EV557" s="773"/>
      <c r="EW557" s="773"/>
      <c r="EX557" s="773"/>
      <c r="EY557" s="773"/>
      <c r="EZ557" s="773"/>
      <c r="FA557" s="773"/>
      <c r="FB557" s="773"/>
      <c r="FC557" s="773"/>
      <c r="FD557" s="773"/>
      <c r="FE557" s="773"/>
      <c r="FF557" s="773"/>
      <c r="FG557" s="773"/>
      <c r="FH557" s="773"/>
      <c r="FI557" s="773"/>
      <c r="FJ557" s="773"/>
      <c r="FK557" s="773"/>
      <c r="FL557" s="773"/>
      <c r="FM557" s="773"/>
      <c r="FN557" s="773"/>
      <c r="FO557" s="773"/>
      <c r="FP557" s="773"/>
      <c r="FQ557" s="773"/>
      <c r="FR557" s="773"/>
      <c r="FS557" s="773"/>
      <c r="FT557" s="773"/>
      <c r="FU557" s="773"/>
      <c r="FV557" s="773"/>
      <c r="FW557" s="773"/>
      <c r="FX557" s="773"/>
      <c r="FY557" s="773"/>
      <c r="FZ557" s="773"/>
      <c r="GA557" s="773"/>
      <c r="GB557" s="773"/>
      <c r="GC557" s="773"/>
      <c r="GD557" s="773"/>
      <c r="GE557" s="773"/>
      <c r="GF557" s="773"/>
      <c r="GG557" s="773"/>
      <c r="GH557" s="773"/>
      <c r="GI557" s="773"/>
      <c r="GJ557" s="773"/>
      <c r="GK557" s="773"/>
      <c r="GL557" s="773"/>
      <c r="GM557" s="773"/>
      <c r="GN557" s="773"/>
      <c r="GO557" s="773"/>
      <c r="GP557" s="773"/>
      <c r="GQ557" s="773"/>
      <c r="GR557" s="773"/>
      <c r="GS557" s="773"/>
      <c r="GT557" s="773"/>
      <c r="GU557" s="773"/>
      <c r="GV557" s="773"/>
      <c r="GW557" s="773"/>
      <c r="GX557" s="773"/>
      <c r="GY557" s="773"/>
      <c r="GZ557" s="773"/>
    </row>
    <row r="558" spans="1:208" s="11" customFormat="1">
      <c r="A558" s="774"/>
      <c r="B558" s="3762" t="s">
        <v>1357</v>
      </c>
      <c r="C558" s="197">
        <v>5400012</v>
      </c>
      <c r="D558" s="199" t="s">
        <v>1358</v>
      </c>
      <c r="E558" s="42">
        <f>IFERROR(VLOOKUP(C558,'AJE 12 - INC'!$D$168:$F$771,3,0),0)</f>
        <v>152.33000000000001</v>
      </c>
      <c r="F558" s="108">
        <f>SUMIF('AJE 12 - INC'!B:B,'New TB INC'!C558,'AJE 12 - INC'!D:D)</f>
        <v>0</v>
      </c>
      <c r="G558" s="108"/>
      <c r="H558" s="108"/>
      <c r="I558" s="108"/>
      <c r="J558" s="798">
        <f t="shared" si="58"/>
        <v>152.33000000000001</v>
      </c>
      <c r="K558" s="209"/>
      <c r="L558" s="434"/>
      <c r="M558" s="883"/>
      <c r="N558" s="11">
        <v>30.19</v>
      </c>
      <c r="O558" s="11">
        <v>81.63</v>
      </c>
      <c r="P558" s="11">
        <v>33.78</v>
      </c>
      <c r="Q558" s="11">
        <v>32.650000000000006</v>
      </c>
      <c r="R558" s="773">
        <v>36.879999999999995</v>
      </c>
      <c r="S558" s="11">
        <v>4.2199999999999989</v>
      </c>
      <c r="T558" s="773">
        <v>4.2199999999999989</v>
      </c>
      <c r="U558" s="2173">
        <v>4.2199999999999989</v>
      </c>
      <c r="V558" s="2509">
        <v>4.2199999999999989</v>
      </c>
      <c r="W558" s="2509">
        <v>4.2199999999999989</v>
      </c>
      <c r="X558" s="2509">
        <v>9.960000000000008</v>
      </c>
      <c r="Y558" s="2509">
        <v>11.839999999999975</v>
      </c>
      <c r="Z558" s="11">
        <f>'[26]New TB INC'!Z505</f>
        <v>11</v>
      </c>
      <c r="AA558" s="11">
        <f>'[27]New TB INC'!AA514</f>
        <v>17.399999999999999</v>
      </c>
      <c r="AB558" s="11">
        <f>'[28]New TB INC'!AB520</f>
        <v>12.240000000000002</v>
      </c>
      <c r="AC558" s="11">
        <f>'[29]New TB INC'!AC516</f>
        <v>11.240000000000002</v>
      </c>
      <c r="AD558" s="11">
        <f>'[30]New TB INC'!AD511</f>
        <v>11.229999999999997</v>
      </c>
      <c r="AE558" s="11">
        <f>'[31]New TB INC'!AE519</f>
        <v>11.239999999999995</v>
      </c>
      <c r="AF558" s="11">
        <v>10.38000000000001</v>
      </c>
      <c r="AG558" s="11">
        <v>14.909999999999997</v>
      </c>
      <c r="AH558" s="11">
        <v>15.14</v>
      </c>
      <c r="AI558" s="11">
        <v>15.139999999999986</v>
      </c>
      <c r="AJ558" s="11">
        <v>11.730000000000018</v>
      </c>
      <c r="AK558" s="11">
        <f>$J558-SUM($Z558:AJ558)</f>
        <v>10.680000000000007</v>
      </c>
      <c r="AW558" s="2509"/>
      <c r="BH558" s="2509"/>
      <c r="BI558" s="772"/>
      <c r="BJ558" s="2173"/>
      <c r="BK558" s="2173"/>
      <c r="BL558" s="773"/>
      <c r="BN558" s="773"/>
      <c r="BO558" s="209"/>
      <c r="BQ558" s="209"/>
      <c r="BR558" s="859"/>
      <c r="BS558" s="885"/>
      <c r="CI558" s="4"/>
      <c r="CJ558" s="4"/>
      <c r="DB558" s="773"/>
      <c r="DC558" s="773"/>
      <c r="DD558" s="773"/>
      <c r="DE558" s="773"/>
      <c r="DF558" s="773"/>
      <c r="DG558" s="773"/>
      <c r="DH558" s="773"/>
      <c r="DI558" s="773"/>
      <c r="DJ558" s="773"/>
      <c r="DK558" s="773"/>
      <c r="DL558" s="773"/>
      <c r="DM558" s="773"/>
      <c r="DN558" s="773"/>
      <c r="DO558" s="773"/>
      <c r="DP558" s="773"/>
      <c r="DQ558" s="773"/>
      <c r="DR558" s="773"/>
      <c r="DS558" s="773"/>
      <c r="DT558" s="773"/>
      <c r="DU558" s="773"/>
      <c r="DV558" s="773"/>
      <c r="DW558" s="773"/>
      <c r="DX558" s="773"/>
      <c r="DY558" s="773"/>
      <c r="DZ558" s="773"/>
      <c r="EA558" s="773"/>
      <c r="EB558" s="773"/>
      <c r="EC558" s="773"/>
      <c r="ED558" s="773"/>
      <c r="EE558" s="773"/>
      <c r="EF558" s="773"/>
      <c r="EG558" s="773"/>
      <c r="EH558" s="773"/>
      <c r="EI558" s="773"/>
      <c r="EJ558" s="773"/>
      <c r="EK558" s="773"/>
      <c r="EL558" s="773"/>
      <c r="EM558" s="773"/>
      <c r="EN558" s="773"/>
      <c r="EO558" s="773"/>
      <c r="EP558" s="773"/>
      <c r="EQ558" s="773"/>
      <c r="ER558" s="773"/>
      <c r="ES558" s="773"/>
      <c r="ET558" s="773"/>
      <c r="EU558" s="773"/>
      <c r="EV558" s="773"/>
      <c r="EW558" s="773"/>
      <c r="EX558" s="773"/>
      <c r="EY558" s="773"/>
      <c r="EZ558" s="773"/>
      <c r="FA558" s="773"/>
      <c r="FB558" s="773"/>
      <c r="FC558" s="773"/>
      <c r="FD558" s="773"/>
      <c r="FE558" s="773"/>
      <c r="FF558" s="773"/>
      <c r="FG558" s="773"/>
      <c r="FH558" s="773"/>
      <c r="FI558" s="773"/>
      <c r="FJ558" s="773"/>
      <c r="FK558" s="773"/>
      <c r="FL558" s="773"/>
      <c r="FM558" s="773"/>
      <c r="FN558" s="773"/>
      <c r="FO558" s="773"/>
      <c r="FP558" s="773"/>
      <c r="FQ558" s="773"/>
      <c r="FR558" s="773"/>
      <c r="FS558" s="773"/>
      <c r="FT558" s="773"/>
      <c r="FU558" s="773"/>
      <c r="FV558" s="773"/>
      <c r="FW558" s="773"/>
      <c r="FX558" s="773"/>
      <c r="FY558" s="773"/>
      <c r="FZ558" s="773"/>
      <c r="GA558" s="773"/>
      <c r="GB558" s="773"/>
      <c r="GC558" s="773"/>
      <c r="GD558" s="773"/>
      <c r="GE558" s="773"/>
      <c r="GF558" s="773"/>
      <c r="GG558" s="773"/>
      <c r="GH558" s="773"/>
      <c r="GI558" s="773"/>
      <c r="GJ558" s="773"/>
      <c r="GK558" s="773"/>
      <c r="GL558" s="773"/>
      <c r="GM558" s="773"/>
      <c r="GN558" s="773"/>
      <c r="GO558" s="773"/>
      <c r="GP558" s="773"/>
      <c r="GQ558" s="773"/>
      <c r="GR558" s="773"/>
      <c r="GS558" s="773"/>
      <c r="GT558" s="773"/>
      <c r="GU558" s="773"/>
      <c r="GV558" s="773"/>
      <c r="GW558" s="773"/>
      <c r="GX558" s="773"/>
      <c r="GY558" s="773"/>
      <c r="GZ558" s="773"/>
    </row>
    <row r="559" spans="1:208" s="11" customFormat="1">
      <c r="A559" s="774"/>
      <c r="B559" s="3762" t="s">
        <v>830</v>
      </c>
      <c r="C559" s="197">
        <v>5400008</v>
      </c>
      <c r="D559" s="199" t="s">
        <v>1516</v>
      </c>
      <c r="E559" s="42">
        <f>IFERROR(VLOOKUP(C559,'AJE 12 - INC'!$D$168:$F$771,3,0),0)</f>
        <v>110</v>
      </c>
      <c r="F559" s="108">
        <f>SUMIF('AJE 12 - INC'!B:B,'New TB INC'!C559,'AJE 12 - INC'!D:D)</f>
        <v>0</v>
      </c>
      <c r="G559" s="108"/>
      <c r="H559" s="108"/>
      <c r="I559" s="108"/>
      <c r="J559" s="798">
        <f t="shared" si="58"/>
        <v>110</v>
      </c>
      <c r="K559" s="209"/>
      <c r="L559" s="434"/>
      <c r="M559" s="883"/>
      <c r="N559" s="11">
        <v>0</v>
      </c>
      <c r="O559" s="11">
        <v>0</v>
      </c>
      <c r="P559" s="11">
        <v>0</v>
      </c>
      <c r="Q559" s="11">
        <v>0</v>
      </c>
      <c r="R559" s="773">
        <v>0</v>
      </c>
      <c r="S559" s="11">
        <v>0</v>
      </c>
      <c r="T559" s="773">
        <v>0</v>
      </c>
      <c r="U559" s="2173">
        <v>0</v>
      </c>
      <c r="V559" s="2509">
        <v>0</v>
      </c>
      <c r="W559" s="2509">
        <v>132.15</v>
      </c>
      <c r="X559" s="2509">
        <v>20328</v>
      </c>
      <c r="Y559" s="2509">
        <v>0</v>
      </c>
      <c r="Z559" s="11">
        <f>'[26]New TB INC'!Z506</f>
        <v>0</v>
      </c>
      <c r="AA559" s="11">
        <f>'[27]New TB INC'!AA515</f>
        <v>0</v>
      </c>
      <c r="AB559" s="11">
        <f>'[28]New TB INC'!AB521</f>
        <v>0</v>
      </c>
      <c r="AC559" s="11">
        <f>'[29]New TB INC'!AC517</f>
        <v>0</v>
      </c>
      <c r="AD559" s="11">
        <f>'[30]New TB INC'!AD512</f>
        <v>0</v>
      </c>
      <c r="AE559" s="11">
        <f>'[31]New TB INC'!AE520</f>
        <v>0</v>
      </c>
      <c r="AF559" s="11">
        <v>110</v>
      </c>
      <c r="AG559" s="11">
        <v>0</v>
      </c>
      <c r="AH559" s="11">
        <v>0</v>
      </c>
      <c r="AI559" s="11">
        <v>0</v>
      </c>
      <c r="AJ559" s="11">
        <v>0</v>
      </c>
      <c r="AK559" s="11">
        <f>$J559-SUM($Z559:AJ559)</f>
        <v>0</v>
      </c>
      <c r="AW559" s="2509"/>
      <c r="BH559" s="2509"/>
      <c r="BI559" s="772"/>
      <c r="BJ559" s="2173"/>
      <c r="BK559" s="2173"/>
      <c r="BL559" s="773"/>
      <c r="BN559" s="773"/>
      <c r="BO559" s="209"/>
      <c r="BQ559" s="209"/>
      <c r="BR559" s="859"/>
      <c r="BS559" s="885"/>
      <c r="CI559" s="4"/>
      <c r="CJ559" s="4"/>
      <c r="DB559" s="773"/>
      <c r="DC559" s="773"/>
      <c r="DD559" s="773"/>
      <c r="DE559" s="773"/>
      <c r="DF559" s="773"/>
      <c r="DG559" s="773"/>
      <c r="DH559" s="773"/>
      <c r="DI559" s="773"/>
      <c r="DJ559" s="773"/>
      <c r="DK559" s="773"/>
      <c r="DL559" s="773"/>
      <c r="DM559" s="773"/>
      <c r="DN559" s="773"/>
      <c r="DO559" s="773"/>
      <c r="DP559" s="773"/>
      <c r="DQ559" s="773"/>
      <c r="DR559" s="773"/>
      <c r="DS559" s="773"/>
      <c r="DT559" s="773"/>
      <c r="DU559" s="773"/>
      <c r="DV559" s="773"/>
      <c r="DW559" s="773"/>
      <c r="DX559" s="773"/>
      <c r="DY559" s="773"/>
      <c r="DZ559" s="773"/>
      <c r="EA559" s="773"/>
      <c r="EB559" s="773"/>
      <c r="EC559" s="773"/>
      <c r="ED559" s="773"/>
      <c r="EE559" s="773"/>
      <c r="EF559" s="773"/>
      <c r="EG559" s="773"/>
      <c r="EH559" s="773"/>
      <c r="EI559" s="773"/>
      <c r="EJ559" s="773"/>
      <c r="EK559" s="773"/>
      <c r="EL559" s="773"/>
      <c r="EM559" s="773"/>
      <c r="EN559" s="773"/>
      <c r="EO559" s="773"/>
      <c r="EP559" s="773"/>
      <c r="EQ559" s="773"/>
      <c r="ER559" s="773"/>
      <c r="ES559" s="773"/>
      <c r="ET559" s="773"/>
      <c r="EU559" s="773"/>
      <c r="EV559" s="773"/>
      <c r="EW559" s="773"/>
      <c r="EX559" s="773"/>
      <c r="EY559" s="773"/>
      <c r="EZ559" s="773"/>
      <c r="FA559" s="773"/>
      <c r="FB559" s="773"/>
      <c r="FC559" s="773"/>
      <c r="FD559" s="773"/>
      <c r="FE559" s="773"/>
      <c r="FF559" s="773"/>
      <c r="FG559" s="773"/>
      <c r="FH559" s="773"/>
      <c r="FI559" s="773"/>
      <c r="FJ559" s="773"/>
      <c r="FK559" s="773"/>
      <c r="FL559" s="773"/>
      <c r="FM559" s="773"/>
      <c r="FN559" s="773"/>
      <c r="FO559" s="773"/>
      <c r="FP559" s="773"/>
      <c r="FQ559" s="773"/>
      <c r="FR559" s="773"/>
      <c r="FS559" s="773"/>
      <c r="FT559" s="773"/>
      <c r="FU559" s="773"/>
      <c r="FV559" s="773"/>
      <c r="FW559" s="773"/>
      <c r="FX559" s="773"/>
      <c r="FY559" s="773"/>
      <c r="FZ559" s="773"/>
      <c r="GA559" s="773"/>
      <c r="GB559" s="773"/>
      <c r="GC559" s="773"/>
      <c r="GD559" s="773"/>
      <c r="GE559" s="773"/>
      <c r="GF559" s="773"/>
      <c r="GG559" s="773"/>
      <c r="GH559" s="773"/>
      <c r="GI559" s="773"/>
      <c r="GJ559" s="773"/>
      <c r="GK559" s="773"/>
      <c r="GL559" s="773"/>
      <c r="GM559" s="773"/>
      <c r="GN559" s="773"/>
      <c r="GO559" s="773"/>
      <c r="GP559" s="773"/>
      <c r="GQ559" s="773"/>
      <c r="GR559" s="773"/>
      <c r="GS559" s="773"/>
      <c r="GT559" s="773"/>
      <c r="GU559" s="773"/>
      <c r="GV559" s="773"/>
      <c r="GW559" s="773"/>
      <c r="GX559" s="773"/>
      <c r="GY559" s="773"/>
      <c r="GZ559" s="773"/>
    </row>
    <row r="560" spans="1:208" s="11" customFormat="1">
      <c r="A560" s="774"/>
      <c r="B560" s="3762" t="s">
        <v>830</v>
      </c>
      <c r="C560" s="197">
        <v>5400009</v>
      </c>
      <c r="D560" s="199" t="s">
        <v>861</v>
      </c>
      <c r="E560" s="42">
        <f>IFERROR(VLOOKUP(C560,'AJE 12 - INC'!$D$168:$F$771,3,0),0)</f>
        <v>17870.82</v>
      </c>
      <c r="F560" s="108">
        <f>SUMIF('AJE 12 - INC'!B:B,'New TB INC'!C560,'AJE 12 - INC'!D:D)</f>
        <v>0</v>
      </c>
      <c r="G560" s="108"/>
      <c r="H560" s="108"/>
      <c r="I560" s="108"/>
      <c r="J560" s="798">
        <f t="shared" si="58"/>
        <v>17870.82</v>
      </c>
      <c r="K560" s="209"/>
      <c r="L560" s="434"/>
      <c r="M560" s="883"/>
      <c r="N560" s="11">
        <v>2659.26</v>
      </c>
      <c r="O560" s="11">
        <v>5955.5499999999993</v>
      </c>
      <c r="P560" s="11">
        <v>1962.6400000000012</v>
      </c>
      <c r="Q560" s="11">
        <v>1962.6799999999985</v>
      </c>
      <c r="R560" s="773">
        <v>2006.67</v>
      </c>
      <c r="S560" s="11">
        <v>1402.17</v>
      </c>
      <c r="T560" s="773">
        <v>607.80000000000109</v>
      </c>
      <c r="U560" s="2173">
        <v>607.79999999999927</v>
      </c>
      <c r="V560" s="2509">
        <v>607.79999999999927</v>
      </c>
      <c r="W560" s="2509">
        <v>607.79999999999927</v>
      </c>
      <c r="X560" s="2509">
        <v>1306.4100000000035</v>
      </c>
      <c r="Y560" s="2509">
        <v>1275.6999999999971</v>
      </c>
      <c r="Z560" s="11">
        <f>'[26]New TB INC'!Z507</f>
        <v>1357.3</v>
      </c>
      <c r="AA560" s="11">
        <f>'[27]New TB INC'!AA516</f>
        <v>2189.83</v>
      </c>
      <c r="AB560" s="11">
        <f>'[28]New TB INC'!AB522</f>
        <v>1427.6599999999999</v>
      </c>
      <c r="AC560" s="11">
        <f>'[29]New TB INC'!AC518</f>
        <v>1274.6599999999999</v>
      </c>
      <c r="AD560" s="11">
        <f>'[30]New TB INC'!AD513</f>
        <v>1274.6599999999999</v>
      </c>
      <c r="AE560" s="11">
        <f>'[31]New TB INC'!AE521</f>
        <v>1274.6600000000008</v>
      </c>
      <c r="AF560" s="11">
        <v>1274.6599999999999</v>
      </c>
      <c r="AG560" s="11">
        <v>1814.3600000000006</v>
      </c>
      <c r="AH560" s="11">
        <v>1798.3799999999992</v>
      </c>
      <c r="AI560" s="11">
        <v>1784.9799999999996</v>
      </c>
      <c r="AJ560" s="11">
        <v>1257.2100000000009</v>
      </c>
      <c r="AK560" s="11">
        <f>$J560-SUM($Z560:AJ560)</f>
        <v>1142.4599999999991</v>
      </c>
      <c r="AW560" s="2509"/>
      <c r="BH560" s="2509"/>
      <c r="BI560" s="772"/>
      <c r="BJ560" s="2173"/>
      <c r="BK560" s="2173"/>
      <c r="BL560" s="773"/>
      <c r="BN560" s="773"/>
      <c r="BO560" s="209"/>
      <c r="BQ560" s="209"/>
      <c r="BR560" s="859"/>
      <c r="BS560" s="885"/>
      <c r="CI560" s="4"/>
      <c r="CJ560" s="4"/>
      <c r="DB560" s="773"/>
      <c r="DC560" s="773"/>
      <c r="DD560" s="773"/>
      <c r="DE560" s="773"/>
      <c r="DF560" s="773"/>
      <c r="DG560" s="773"/>
      <c r="DH560" s="773"/>
      <c r="DI560" s="773"/>
      <c r="DJ560" s="773"/>
      <c r="DK560" s="773"/>
      <c r="DL560" s="773"/>
      <c r="DM560" s="773"/>
      <c r="DN560" s="773"/>
      <c r="DO560" s="773"/>
      <c r="DP560" s="773"/>
      <c r="DQ560" s="773"/>
      <c r="DR560" s="773"/>
      <c r="DS560" s="773"/>
      <c r="DT560" s="773"/>
      <c r="DU560" s="773"/>
      <c r="DV560" s="773"/>
      <c r="DW560" s="773"/>
      <c r="DX560" s="773"/>
      <c r="DY560" s="773"/>
      <c r="DZ560" s="773"/>
      <c r="EA560" s="773"/>
      <c r="EB560" s="773"/>
      <c r="EC560" s="773"/>
      <c r="ED560" s="773"/>
      <c r="EE560" s="773"/>
      <c r="EF560" s="773"/>
      <c r="EG560" s="773"/>
      <c r="EH560" s="773"/>
      <c r="EI560" s="773"/>
      <c r="EJ560" s="773"/>
      <c r="EK560" s="773"/>
      <c r="EL560" s="773"/>
      <c r="EM560" s="773"/>
      <c r="EN560" s="773"/>
      <c r="EO560" s="773"/>
      <c r="EP560" s="773"/>
      <c r="EQ560" s="773"/>
      <c r="ER560" s="773"/>
      <c r="ES560" s="773"/>
      <c r="ET560" s="773"/>
      <c r="EU560" s="773"/>
      <c r="EV560" s="773"/>
      <c r="EW560" s="773"/>
      <c r="EX560" s="773"/>
      <c r="EY560" s="773"/>
      <c r="EZ560" s="773"/>
      <c r="FA560" s="773"/>
      <c r="FB560" s="773"/>
      <c r="FC560" s="773"/>
      <c r="FD560" s="773"/>
      <c r="FE560" s="773"/>
      <c r="FF560" s="773"/>
      <c r="FG560" s="773"/>
      <c r="FH560" s="773"/>
      <c r="FI560" s="773"/>
      <c r="FJ560" s="773"/>
      <c r="FK560" s="773"/>
      <c r="FL560" s="773"/>
      <c r="FM560" s="773"/>
      <c r="FN560" s="773"/>
      <c r="FO560" s="773"/>
      <c r="FP560" s="773"/>
      <c r="FQ560" s="773"/>
      <c r="FR560" s="773"/>
      <c r="FS560" s="773"/>
      <c r="FT560" s="773"/>
      <c r="FU560" s="773"/>
      <c r="FV560" s="773"/>
      <c r="FW560" s="773"/>
      <c r="FX560" s="773"/>
      <c r="FY560" s="773"/>
      <c r="FZ560" s="773"/>
      <c r="GA560" s="773"/>
      <c r="GB560" s="773"/>
      <c r="GC560" s="773"/>
      <c r="GD560" s="773"/>
      <c r="GE560" s="773"/>
      <c r="GF560" s="773"/>
      <c r="GG560" s="773"/>
      <c r="GH560" s="773"/>
      <c r="GI560" s="773"/>
      <c r="GJ560" s="773"/>
      <c r="GK560" s="773"/>
      <c r="GL560" s="773"/>
      <c r="GM560" s="773"/>
      <c r="GN560" s="773"/>
      <c r="GO560" s="773"/>
      <c r="GP560" s="773"/>
      <c r="GQ560" s="773"/>
      <c r="GR560" s="773"/>
      <c r="GS560" s="773"/>
      <c r="GT560" s="773"/>
      <c r="GU560" s="773"/>
      <c r="GV560" s="773"/>
      <c r="GW560" s="773"/>
      <c r="GX560" s="773"/>
      <c r="GY560" s="773"/>
      <c r="GZ560" s="773"/>
    </row>
    <row r="561" spans="1:208" s="11" customFormat="1">
      <c r="A561" s="774"/>
      <c r="B561" s="3762" t="s">
        <v>830</v>
      </c>
      <c r="C561" s="197">
        <v>5400010</v>
      </c>
      <c r="D561" s="199" t="s">
        <v>862</v>
      </c>
      <c r="E561" s="42">
        <f>IFERROR(VLOOKUP(C561,'AJE 12 - INC'!$D$168:$F$771,3,0),0)</f>
        <v>23339.3</v>
      </c>
      <c r="F561" s="108">
        <f>SUMIF('AJE 12 - INC'!B:B,'New TB INC'!C561,'AJE 12 - INC'!D:D)</f>
        <v>0</v>
      </c>
      <c r="G561" s="108"/>
      <c r="H561" s="108"/>
      <c r="I561" s="108"/>
      <c r="J561" s="798">
        <f t="shared" si="58"/>
        <v>23339.3</v>
      </c>
      <c r="K561" s="209"/>
      <c r="L561" s="434"/>
      <c r="M561" s="883"/>
      <c r="N561" s="11">
        <v>3446.84</v>
      </c>
      <c r="O561" s="11">
        <v>3446.84</v>
      </c>
      <c r="P561" s="11">
        <v>3446.84</v>
      </c>
      <c r="Q561" s="11">
        <v>3446.84</v>
      </c>
      <c r="R561" s="773">
        <v>3615.6800000000003</v>
      </c>
      <c r="S561" s="11">
        <v>1756.0699999999997</v>
      </c>
      <c r="T561" s="773">
        <v>1756.0699999999997</v>
      </c>
      <c r="U561" s="2173">
        <v>1756.0699999999997</v>
      </c>
      <c r="V561" s="2509">
        <v>1756.0600000000013</v>
      </c>
      <c r="W561" s="2509">
        <v>1756.0599999999977</v>
      </c>
      <c r="X561" s="2509">
        <v>1756.0600000000013</v>
      </c>
      <c r="Y561" s="2509">
        <v>1756.0699999999997</v>
      </c>
      <c r="Z561" s="11">
        <f>'[26]New TB INC'!Z508</f>
        <v>1940.47</v>
      </c>
      <c r="AA561" s="11">
        <f>'[27]New TB INC'!AA517</f>
        <v>1940.47</v>
      </c>
      <c r="AB561" s="11">
        <f>'[28]New TB INC'!AB523</f>
        <v>1940.4699999999998</v>
      </c>
      <c r="AC561" s="11">
        <f>'[29]New TB INC'!AC519</f>
        <v>1940.4700000000003</v>
      </c>
      <c r="AD561" s="11">
        <f>'[30]New TB INC'!AD514</f>
        <v>1940.4700000000003</v>
      </c>
      <c r="AE561" s="11">
        <f>'[31]New TB INC'!AE522</f>
        <v>1940.4699999999993</v>
      </c>
      <c r="AF561" s="11">
        <v>1940.4700000000012</v>
      </c>
      <c r="AG561" s="11">
        <v>1940.4699999999993</v>
      </c>
      <c r="AH561" s="11">
        <v>1940.4699999999993</v>
      </c>
      <c r="AI561" s="11">
        <v>2284.41</v>
      </c>
      <c r="AJ561" s="11">
        <v>3087.6500000000015</v>
      </c>
      <c r="AK561" s="11">
        <f>$J561-SUM($Z561:AJ561)</f>
        <v>503.0099999999984</v>
      </c>
      <c r="AW561" s="2509"/>
      <c r="BH561" s="2509"/>
      <c r="BI561" s="772"/>
      <c r="BJ561" s="2173"/>
      <c r="BK561" s="2173"/>
      <c r="BL561" s="773"/>
      <c r="BN561" s="773"/>
      <c r="BO561" s="209"/>
      <c r="BQ561" s="209"/>
      <c r="BR561" s="859"/>
      <c r="BS561" s="885"/>
      <c r="CI561" s="4"/>
      <c r="CJ561" s="4"/>
      <c r="DB561" s="773"/>
      <c r="DC561" s="773"/>
      <c r="DD561" s="773"/>
      <c r="DE561" s="773"/>
      <c r="DF561" s="773"/>
      <c r="DG561" s="773"/>
      <c r="DH561" s="773"/>
      <c r="DI561" s="773"/>
      <c r="DJ561" s="773"/>
      <c r="DK561" s="773"/>
      <c r="DL561" s="773"/>
      <c r="DM561" s="773"/>
      <c r="DN561" s="773"/>
      <c r="DO561" s="773"/>
      <c r="DP561" s="773"/>
      <c r="DQ561" s="773"/>
      <c r="DR561" s="773"/>
      <c r="DS561" s="773"/>
      <c r="DT561" s="773"/>
      <c r="DU561" s="773"/>
      <c r="DV561" s="773"/>
      <c r="DW561" s="773"/>
      <c r="DX561" s="773"/>
      <c r="DY561" s="773"/>
      <c r="DZ561" s="773"/>
      <c r="EA561" s="773"/>
      <c r="EB561" s="773"/>
      <c r="EC561" s="773"/>
      <c r="ED561" s="773"/>
      <c r="EE561" s="773"/>
      <c r="EF561" s="773"/>
      <c r="EG561" s="773"/>
      <c r="EH561" s="773"/>
      <c r="EI561" s="773"/>
      <c r="EJ561" s="773"/>
      <c r="EK561" s="773"/>
      <c r="EL561" s="773"/>
      <c r="EM561" s="773"/>
      <c r="EN561" s="773"/>
      <c r="EO561" s="773"/>
      <c r="EP561" s="773"/>
      <c r="EQ561" s="773"/>
      <c r="ER561" s="773"/>
      <c r="ES561" s="773"/>
      <c r="ET561" s="773"/>
      <c r="EU561" s="773"/>
      <c r="EV561" s="773"/>
      <c r="EW561" s="773"/>
      <c r="EX561" s="773"/>
      <c r="EY561" s="773"/>
      <c r="EZ561" s="773"/>
      <c r="FA561" s="773"/>
      <c r="FB561" s="773"/>
      <c r="FC561" s="773"/>
      <c r="FD561" s="773"/>
      <c r="FE561" s="773"/>
      <c r="FF561" s="773"/>
      <c r="FG561" s="773"/>
      <c r="FH561" s="773"/>
      <c r="FI561" s="773"/>
      <c r="FJ561" s="773"/>
      <c r="FK561" s="773"/>
      <c r="FL561" s="773"/>
      <c r="FM561" s="773"/>
      <c r="FN561" s="773"/>
      <c r="FO561" s="773"/>
      <c r="FP561" s="773"/>
      <c r="FQ561" s="773"/>
      <c r="FR561" s="773"/>
      <c r="FS561" s="773"/>
      <c r="FT561" s="773"/>
      <c r="FU561" s="773"/>
      <c r="FV561" s="773"/>
      <c r="FW561" s="773"/>
      <c r="FX561" s="773"/>
      <c r="FY561" s="773"/>
      <c r="FZ561" s="773"/>
      <c r="GA561" s="773"/>
      <c r="GB561" s="773"/>
      <c r="GC561" s="773"/>
      <c r="GD561" s="773"/>
      <c r="GE561" s="773"/>
      <c r="GF561" s="773"/>
      <c r="GG561" s="773"/>
      <c r="GH561" s="773"/>
      <c r="GI561" s="773"/>
      <c r="GJ561" s="773"/>
      <c r="GK561" s="773"/>
      <c r="GL561" s="773"/>
      <c r="GM561" s="773"/>
      <c r="GN561" s="773"/>
      <c r="GO561" s="773"/>
      <c r="GP561" s="773"/>
      <c r="GQ561" s="773"/>
      <c r="GR561" s="773"/>
      <c r="GS561" s="773"/>
      <c r="GT561" s="773"/>
      <c r="GU561" s="773"/>
      <c r="GV561" s="773"/>
      <c r="GW561" s="773"/>
      <c r="GX561" s="773"/>
      <c r="GY561" s="773"/>
      <c r="GZ561" s="773"/>
    </row>
    <row r="562" spans="1:208" s="11" customFormat="1">
      <c r="A562" s="774"/>
      <c r="B562" s="3762" t="s">
        <v>830</v>
      </c>
      <c r="C562" s="197">
        <v>5400011</v>
      </c>
      <c r="D562" s="199" t="s">
        <v>863</v>
      </c>
      <c r="E562" s="42">
        <f>IFERROR(VLOOKUP(C562,'AJE 12 - INC'!$D$168:$F$771,3,0),0)</f>
        <v>2130.41</v>
      </c>
      <c r="F562" s="108">
        <f>SUMIF('AJE 12 - INC'!B:B,'New TB INC'!C562,'AJE 12 - INC'!D:D)</f>
        <v>0</v>
      </c>
      <c r="G562" s="108"/>
      <c r="H562" s="108"/>
      <c r="I562" s="108"/>
      <c r="J562" s="798">
        <f t="shared" si="58"/>
        <v>2130.41</v>
      </c>
      <c r="K562" s="209"/>
      <c r="L562" s="434"/>
      <c r="M562" s="883"/>
      <c r="N562" s="11">
        <v>236.55</v>
      </c>
      <c r="O562" s="11">
        <v>236.55</v>
      </c>
      <c r="P562" s="11">
        <v>236.54999999999995</v>
      </c>
      <c r="Q562" s="11">
        <v>236.55000000000013</v>
      </c>
      <c r="R562" s="773">
        <v>588.29999999999995</v>
      </c>
      <c r="S562" s="11">
        <v>204.59999999999991</v>
      </c>
      <c r="T562" s="773">
        <v>0</v>
      </c>
      <c r="U562" s="2173">
        <v>102.30000000000018</v>
      </c>
      <c r="V562" s="2509">
        <v>102.29999999999995</v>
      </c>
      <c r="W562" s="2509">
        <v>102.29999999999995</v>
      </c>
      <c r="X562" s="2509">
        <v>102.30000000000018</v>
      </c>
      <c r="Y562" s="2509">
        <v>102.29999999999973</v>
      </c>
      <c r="Z562" s="11">
        <f>'[26]New TB INC'!Z509</f>
        <v>108.52</v>
      </c>
      <c r="AA562" s="11">
        <f>'[27]New TB INC'!AA518</f>
        <v>108.52</v>
      </c>
      <c r="AB562" s="11">
        <f>'[28]New TB INC'!AB524</f>
        <v>108.52000000000001</v>
      </c>
      <c r="AC562" s="11">
        <f>'[29]New TB INC'!AC520</f>
        <v>108.51999999999998</v>
      </c>
      <c r="AD562" s="11">
        <f>'[30]New TB INC'!AD515</f>
        <v>108.52000000000004</v>
      </c>
      <c r="AE562" s="11">
        <f>'[31]New TB INC'!AE523</f>
        <v>108.51999999999998</v>
      </c>
      <c r="AF562" s="11">
        <v>108.51999999999998</v>
      </c>
      <c r="AG562" s="11">
        <v>108.51999999999998</v>
      </c>
      <c r="AH562" s="11">
        <v>734.83</v>
      </c>
      <c r="AI562" s="11">
        <v>211.98000000000002</v>
      </c>
      <c r="AJ562" s="11">
        <v>211.98000000000002</v>
      </c>
      <c r="AK562" s="11">
        <f>$J562-SUM($Z562:AJ562)</f>
        <v>103.45999999999981</v>
      </c>
      <c r="AW562" s="2509"/>
      <c r="BH562" s="2509"/>
      <c r="BI562" s="772"/>
      <c r="BJ562" s="2173"/>
      <c r="BK562" s="2173"/>
      <c r="BL562" s="773"/>
      <c r="BN562" s="773"/>
      <c r="BO562" s="209"/>
      <c r="BQ562" s="209"/>
      <c r="BR562" s="859"/>
      <c r="BS562" s="885"/>
      <c r="CI562" s="4"/>
      <c r="CJ562" s="4"/>
      <c r="DB562" s="773"/>
      <c r="DC562" s="773"/>
      <c r="DD562" s="773"/>
      <c r="DE562" s="773"/>
      <c r="DF562" s="773"/>
      <c r="DG562" s="773"/>
      <c r="DH562" s="773"/>
      <c r="DI562" s="773"/>
      <c r="DJ562" s="773"/>
      <c r="DK562" s="773"/>
      <c r="DL562" s="773"/>
      <c r="DM562" s="773"/>
      <c r="DN562" s="773"/>
      <c r="DO562" s="773"/>
      <c r="DP562" s="773"/>
      <c r="DQ562" s="773"/>
      <c r="DR562" s="773"/>
      <c r="DS562" s="773"/>
      <c r="DT562" s="773"/>
      <c r="DU562" s="773"/>
      <c r="DV562" s="773"/>
      <c r="DW562" s="773"/>
      <c r="DX562" s="773"/>
      <c r="DY562" s="773"/>
      <c r="DZ562" s="773"/>
      <c r="EA562" s="773"/>
      <c r="EB562" s="773"/>
      <c r="EC562" s="773"/>
      <c r="ED562" s="773"/>
      <c r="EE562" s="773"/>
      <c r="EF562" s="773"/>
      <c r="EG562" s="773"/>
      <c r="EH562" s="773"/>
      <c r="EI562" s="773"/>
      <c r="EJ562" s="773"/>
      <c r="EK562" s="773"/>
      <c r="EL562" s="773"/>
      <c r="EM562" s="773"/>
      <c r="EN562" s="773"/>
      <c r="EO562" s="773"/>
      <c r="EP562" s="773"/>
      <c r="EQ562" s="773"/>
      <c r="ER562" s="773"/>
      <c r="ES562" s="773"/>
      <c r="ET562" s="773"/>
      <c r="EU562" s="773"/>
      <c r="EV562" s="773"/>
      <c r="EW562" s="773"/>
      <c r="EX562" s="773"/>
      <c r="EY562" s="773"/>
      <c r="EZ562" s="773"/>
      <c r="FA562" s="773"/>
      <c r="FB562" s="773"/>
      <c r="FC562" s="773"/>
      <c r="FD562" s="773"/>
      <c r="FE562" s="773"/>
      <c r="FF562" s="773"/>
      <c r="FG562" s="773"/>
      <c r="FH562" s="773"/>
      <c r="FI562" s="773"/>
      <c r="FJ562" s="773"/>
      <c r="FK562" s="773"/>
      <c r="FL562" s="773"/>
      <c r="FM562" s="773"/>
      <c r="FN562" s="773"/>
      <c r="FO562" s="773"/>
      <c r="FP562" s="773"/>
      <c r="FQ562" s="773"/>
      <c r="FR562" s="773"/>
      <c r="FS562" s="773"/>
      <c r="FT562" s="773"/>
      <c r="FU562" s="773"/>
      <c r="FV562" s="773"/>
      <c r="FW562" s="773"/>
      <c r="FX562" s="773"/>
      <c r="FY562" s="773"/>
      <c r="FZ562" s="773"/>
      <c r="GA562" s="773"/>
      <c r="GB562" s="773"/>
      <c r="GC562" s="773"/>
      <c r="GD562" s="773"/>
      <c r="GE562" s="773"/>
      <c r="GF562" s="773"/>
      <c r="GG562" s="773"/>
      <c r="GH562" s="773"/>
      <c r="GI562" s="773"/>
      <c r="GJ562" s="773"/>
      <c r="GK562" s="773"/>
      <c r="GL562" s="773"/>
      <c r="GM562" s="773"/>
      <c r="GN562" s="773"/>
      <c r="GO562" s="773"/>
      <c r="GP562" s="773"/>
      <c r="GQ562" s="773"/>
      <c r="GR562" s="773"/>
      <c r="GS562" s="773"/>
      <c r="GT562" s="773"/>
      <c r="GU562" s="773"/>
      <c r="GV562" s="773"/>
      <c r="GW562" s="773"/>
      <c r="GX562" s="773"/>
      <c r="GY562" s="773"/>
      <c r="GZ562" s="773"/>
    </row>
    <row r="563" spans="1:208" s="11" customFormat="1">
      <c r="A563" s="774"/>
      <c r="B563" s="3762" t="s">
        <v>1357</v>
      </c>
      <c r="C563" s="197">
        <v>5400013</v>
      </c>
      <c r="D563" s="199" t="s">
        <v>1419</v>
      </c>
      <c r="E563" s="42">
        <f>IFERROR(VLOOKUP(C563,'AJE 12 - INC'!$D$168:$F$771,3,0),0)</f>
        <v>0</v>
      </c>
      <c r="F563" s="108"/>
      <c r="G563" s="108"/>
      <c r="H563" s="108"/>
      <c r="I563" s="108"/>
      <c r="J563" s="798">
        <f>SUM(E563:I563)</f>
        <v>0</v>
      </c>
      <c r="K563" s="209"/>
      <c r="L563" s="434"/>
      <c r="M563" s="883"/>
      <c r="N563" s="11">
        <v>0</v>
      </c>
      <c r="O563" s="11">
        <v>350.24</v>
      </c>
      <c r="P563" s="11">
        <v>2087.2799999999997</v>
      </c>
      <c r="Q563" s="11">
        <v>6.1400000000003274</v>
      </c>
      <c r="R563" s="773">
        <v>0</v>
      </c>
      <c r="S563" s="11">
        <v>0</v>
      </c>
      <c r="T563" s="773">
        <v>0</v>
      </c>
      <c r="U563" s="2173">
        <v>0</v>
      </c>
      <c r="V563" s="2509">
        <v>0</v>
      </c>
      <c r="W563" s="2509">
        <v>0</v>
      </c>
      <c r="X563" s="2509">
        <v>0</v>
      </c>
      <c r="Y563" s="2509">
        <v>0</v>
      </c>
      <c r="Z563" s="11">
        <f>'[26]New TB INC'!Z510</f>
        <v>0</v>
      </c>
      <c r="AA563" s="11">
        <f>'[27]New TB INC'!AA519</f>
        <v>0</v>
      </c>
      <c r="AB563" s="11">
        <f>'[28]New TB INC'!AB525</f>
        <v>0</v>
      </c>
      <c r="AC563" s="11">
        <f>'[29]New TB INC'!AC521</f>
        <v>0</v>
      </c>
      <c r="AD563" s="11">
        <f>'[30]New TB INC'!AD516</f>
        <v>0</v>
      </c>
      <c r="AE563" s="11">
        <f>'[31]New TB INC'!AE524</f>
        <v>0</v>
      </c>
      <c r="AF563" s="11">
        <v>0</v>
      </c>
      <c r="AG563" s="11">
        <v>0</v>
      </c>
      <c r="AH563" s="11">
        <v>0</v>
      </c>
      <c r="AI563" s="11">
        <v>0</v>
      </c>
      <c r="AJ563" s="11">
        <v>0</v>
      </c>
      <c r="AK563" s="11">
        <f>$J563-SUM($Z563:AJ563)</f>
        <v>0</v>
      </c>
      <c r="AW563" s="2509"/>
      <c r="BH563" s="2509"/>
      <c r="BI563" s="772"/>
      <c r="BJ563" s="2173"/>
      <c r="BK563" s="2173"/>
      <c r="BL563" s="773"/>
      <c r="BN563" s="773"/>
      <c r="BO563" s="209"/>
      <c r="BQ563" s="209"/>
      <c r="BR563" s="859"/>
      <c r="BS563" s="885"/>
      <c r="CI563" s="4"/>
      <c r="CJ563" s="4"/>
      <c r="DB563" s="773"/>
      <c r="DC563" s="773"/>
      <c r="DD563" s="773"/>
      <c r="DE563" s="773"/>
      <c r="DF563" s="773"/>
      <c r="DG563" s="773"/>
      <c r="DH563" s="773"/>
      <c r="DI563" s="773"/>
      <c r="DJ563" s="773"/>
      <c r="DK563" s="773"/>
      <c r="DL563" s="773"/>
      <c r="DM563" s="773"/>
      <c r="DN563" s="773"/>
      <c r="DO563" s="773"/>
      <c r="DP563" s="773"/>
      <c r="DQ563" s="773"/>
      <c r="DR563" s="773"/>
      <c r="DS563" s="773"/>
      <c r="DT563" s="773"/>
      <c r="DU563" s="773"/>
      <c r="DV563" s="773"/>
      <c r="DW563" s="773"/>
      <c r="DX563" s="773"/>
      <c r="DY563" s="773"/>
      <c r="DZ563" s="773"/>
      <c r="EA563" s="773"/>
      <c r="EB563" s="773"/>
      <c r="EC563" s="773"/>
      <c r="ED563" s="773"/>
      <c r="EE563" s="773"/>
      <c r="EF563" s="773"/>
      <c r="EG563" s="773"/>
      <c r="EH563" s="773"/>
      <c r="EI563" s="773"/>
      <c r="EJ563" s="773"/>
      <c r="EK563" s="773"/>
      <c r="EL563" s="773"/>
      <c r="EM563" s="773"/>
      <c r="EN563" s="773"/>
      <c r="EO563" s="773"/>
      <c r="EP563" s="773"/>
      <c r="EQ563" s="773"/>
      <c r="ER563" s="773"/>
      <c r="ES563" s="773"/>
      <c r="ET563" s="773"/>
      <c r="EU563" s="773"/>
      <c r="EV563" s="773"/>
      <c r="EW563" s="773"/>
      <c r="EX563" s="773"/>
      <c r="EY563" s="773"/>
      <c r="EZ563" s="773"/>
      <c r="FA563" s="773"/>
      <c r="FB563" s="773"/>
      <c r="FC563" s="773"/>
      <c r="FD563" s="773"/>
      <c r="FE563" s="773"/>
      <c r="FF563" s="773"/>
      <c r="FG563" s="773"/>
      <c r="FH563" s="773"/>
      <c r="FI563" s="773"/>
      <c r="FJ563" s="773"/>
      <c r="FK563" s="773"/>
      <c r="FL563" s="773"/>
      <c r="FM563" s="773"/>
      <c r="FN563" s="773"/>
      <c r="FO563" s="773"/>
      <c r="FP563" s="773"/>
      <c r="FQ563" s="773"/>
      <c r="FR563" s="773"/>
      <c r="FS563" s="773"/>
      <c r="FT563" s="773"/>
      <c r="FU563" s="773"/>
      <c r="FV563" s="773"/>
      <c r="FW563" s="773"/>
      <c r="FX563" s="773"/>
      <c r="FY563" s="773"/>
      <c r="FZ563" s="773"/>
      <c r="GA563" s="773"/>
      <c r="GB563" s="773"/>
      <c r="GC563" s="773"/>
      <c r="GD563" s="773"/>
      <c r="GE563" s="773"/>
      <c r="GF563" s="773"/>
      <c r="GG563" s="773"/>
      <c r="GH563" s="773"/>
      <c r="GI563" s="773"/>
      <c r="GJ563" s="773"/>
      <c r="GK563" s="773"/>
      <c r="GL563" s="773"/>
      <c r="GM563" s="773"/>
      <c r="GN563" s="773"/>
      <c r="GO563" s="773"/>
      <c r="GP563" s="773"/>
      <c r="GQ563" s="773"/>
      <c r="GR563" s="773"/>
      <c r="GS563" s="773"/>
      <c r="GT563" s="773"/>
      <c r="GU563" s="773"/>
      <c r="GV563" s="773"/>
      <c r="GW563" s="773"/>
      <c r="GX563" s="773"/>
      <c r="GY563" s="773"/>
      <c r="GZ563" s="773"/>
    </row>
    <row r="564" spans="1:208" s="11" customFormat="1">
      <c r="A564" s="774"/>
      <c r="B564" s="3762" t="s">
        <v>831</v>
      </c>
      <c r="C564" s="197">
        <v>5410099</v>
      </c>
      <c r="D564" s="199" t="s">
        <v>1957</v>
      </c>
      <c r="E564" s="42">
        <f>IFERROR(VLOOKUP(C564,'AJE 12 - INC'!$D$168:$F$771,3,0),0)</f>
        <v>0</v>
      </c>
      <c r="F564" s="108"/>
      <c r="G564" s="108"/>
      <c r="H564" s="108"/>
      <c r="I564" s="108"/>
      <c r="J564" s="798">
        <f t="shared" ref="J564:J572" si="59">SUM(E564:I564)</f>
        <v>0</v>
      </c>
      <c r="K564" s="209"/>
      <c r="L564" s="434"/>
      <c r="M564" s="881" t="s">
        <v>1958</v>
      </c>
      <c r="N564" s="11">
        <v>0</v>
      </c>
      <c r="O564" s="11">
        <v>0</v>
      </c>
      <c r="P564" s="11">
        <v>0</v>
      </c>
      <c r="Q564" s="11">
        <v>0</v>
      </c>
      <c r="R564" s="773">
        <v>0</v>
      </c>
      <c r="S564" s="11">
        <v>0</v>
      </c>
      <c r="T564" s="773">
        <v>0</v>
      </c>
      <c r="U564" s="2173">
        <v>0</v>
      </c>
      <c r="V564" s="2509">
        <v>0</v>
      </c>
      <c r="W564" s="2509">
        <v>0</v>
      </c>
      <c r="X564" s="2509">
        <v>0</v>
      </c>
      <c r="Y564" s="2509">
        <v>0</v>
      </c>
      <c r="Z564" s="11">
        <f>'[26]New TB INC'!Z511</f>
        <v>0</v>
      </c>
      <c r="AA564" s="11">
        <f>'[27]New TB INC'!AA520</f>
        <v>0</v>
      </c>
      <c r="AB564" s="11">
        <f>'[28]New TB INC'!AB526</f>
        <v>0</v>
      </c>
      <c r="AC564" s="11">
        <f>'[29]New TB INC'!AC522</f>
        <v>0</v>
      </c>
      <c r="AD564" s="11">
        <f>'[30]New TB INC'!AD517</f>
        <v>0</v>
      </c>
      <c r="AE564" s="11">
        <f>'[31]New TB INC'!AE525</f>
        <v>0</v>
      </c>
      <c r="AF564" s="11">
        <v>0</v>
      </c>
      <c r="AG564" s="11">
        <v>0</v>
      </c>
      <c r="AH564" s="11">
        <v>0</v>
      </c>
      <c r="AI564" s="11">
        <v>0</v>
      </c>
      <c r="AJ564" s="11">
        <v>0</v>
      </c>
      <c r="AK564" s="11">
        <f>$J564-SUM($Z564:AJ564)</f>
        <v>0</v>
      </c>
      <c r="AW564" s="2509"/>
      <c r="BH564" s="2509"/>
      <c r="BI564" s="772"/>
      <c r="BJ564" s="2173"/>
      <c r="BK564" s="2173"/>
      <c r="BL564" s="773"/>
      <c r="BN564" s="773"/>
      <c r="BO564" s="209"/>
      <c r="BQ564" s="209"/>
      <c r="BR564" s="859"/>
      <c r="BS564" s="885"/>
      <c r="CI564" s="4"/>
      <c r="CJ564" s="4"/>
      <c r="DB564" s="773"/>
      <c r="DC564" s="773"/>
      <c r="DD564" s="773"/>
      <c r="DE564" s="773"/>
      <c r="DF564" s="773"/>
      <c r="DG564" s="773"/>
      <c r="DH564" s="773"/>
      <c r="DI564" s="773"/>
      <c r="DJ564" s="773"/>
      <c r="DK564" s="773"/>
      <c r="DL564" s="773"/>
      <c r="DM564" s="773"/>
      <c r="DN564" s="773"/>
      <c r="DO564" s="773"/>
      <c r="DP564" s="773"/>
      <c r="DQ564" s="773"/>
      <c r="DR564" s="773"/>
      <c r="DS564" s="773"/>
      <c r="DT564" s="773"/>
      <c r="DU564" s="773"/>
      <c r="DV564" s="773"/>
      <c r="DW564" s="773"/>
      <c r="DX564" s="773"/>
      <c r="DY564" s="773"/>
      <c r="DZ564" s="773"/>
      <c r="EA564" s="773"/>
      <c r="EB564" s="773"/>
      <c r="EC564" s="773"/>
      <c r="ED564" s="773"/>
      <c r="EE564" s="773"/>
      <c r="EF564" s="773"/>
      <c r="EG564" s="773"/>
      <c r="EH564" s="773"/>
      <c r="EI564" s="773"/>
      <c r="EJ564" s="773"/>
      <c r="EK564" s="773"/>
      <c r="EL564" s="773"/>
      <c r="EM564" s="773"/>
      <c r="EN564" s="773"/>
      <c r="EO564" s="773"/>
      <c r="EP564" s="773"/>
      <c r="EQ564" s="773"/>
      <c r="ER564" s="773"/>
      <c r="ES564" s="773"/>
      <c r="ET564" s="773"/>
      <c r="EU564" s="773"/>
      <c r="EV564" s="773"/>
      <c r="EW564" s="773"/>
      <c r="EX564" s="773"/>
      <c r="EY564" s="773"/>
      <c r="EZ564" s="773"/>
      <c r="FA564" s="773"/>
      <c r="FB564" s="773"/>
      <c r="FC564" s="773"/>
      <c r="FD564" s="773"/>
      <c r="FE564" s="773"/>
      <c r="FF564" s="773"/>
      <c r="FG564" s="773"/>
      <c r="FH564" s="773"/>
      <c r="FI564" s="773"/>
      <c r="FJ564" s="773"/>
      <c r="FK564" s="773"/>
      <c r="FL564" s="773"/>
      <c r="FM564" s="773"/>
      <c r="FN564" s="773"/>
      <c r="FO564" s="773"/>
      <c r="FP564" s="773"/>
      <c r="FQ564" s="773"/>
      <c r="FR564" s="773"/>
      <c r="FS564" s="773"/>
      <c r="FT564" s="773"/>
      <c r="FU564" s="773"/>
      <c r="FV564" s="773"/>
      <c r="FW564" s="773"/>
      <c r="FX564" s="773"/>
      <c r="FY564" s="773"/>
      <c r="FZ564" s="773"/>
      <c r="GA564" s="773"/>
      <c r="GB564" s="773"/>
      <c r="GC564" s="773"/>
      <c r="GD564" s="773"/>
      <c r="GE564" s="773"/>
      <c r="GF564" s="773"/>
      <c r="GG564" s="773"/>
      <c r="GH564" s="773"/>
      <c r="GI564" s="773"/>
      <c r="GJ564" s="773"/>
      <c r="GK564" s="773"/>
      <c r="GL564" s="773"/>
      <c r="GM564" s="773"/>
      <c r="GN564" s="773"/>
      <c r="GO564" s="773"/>
      <c r="GP564" s="773"/>
      <c r="GQ564" s="773"/>
      <c r="GR564" s="773"/>
      <c r="GS564" s="773"/>
      <c r="GT564" s="773"/>
      <c r="GU564" s="773"/>
      <c r="GV564" s="773"/>
      <c r="GW564" s="773"/>
      <c r="GX564" s="773"/>
      <c r="GY564" s="773"/>
      <c r="GZ564" s="773"/>
    </row>
    <row r="565" spans="1:208" s="11" customFormat="1">
      <c r="A565" s="774"/>
      <c r="B565" s="3762" t="s">
        <v>831</v>
      </c>
      <c r="C565" s="197">
        <v>5400007</v>
      </c>
      <c r="D565" s="199" t="s">
        <v>860</v>
      </c>
      <c r="E565" s="42">
        <f>IFERROR(VLOOKUP(C565,'AJE 12 - INC'!$D$168:$F$771,3,0),0)</f>
        <v>104369.85</v>
      </c>
      <c r="F565" s="108">
        <f>SUMIF('AJE 12 - INC'!B:B,'New TB INC'!C565,'AJE 12 - INC'!D:D)</f>
        <v>0</v>
      </c>
      <c r="G565" s="108"/>
      <c r="H565" s="108"/>
      <c r="I565" s="108"/>
      <c r="J565" s="798">
        <f>SUM(E565:I565)</f>
        <v>104369.85</v>
      </c>
      <c r="K565" s="209"/>
      <c r="L565" s="434"/>
      <c r="M565" s="883"/>
      <c r="N565" s="11">
        <v>0</v>
      </c>
      <c r="O565" s="11">
        <v>0</v>
      </c>
      <c r="P565" s="11">
        <v>7030.31</v>
      </c>
      <c r="Q565" s="11">
        <v>4573.2499999999991</v>
      </c>
      <c r="R565" s="773">
        <v>7600.0000000000009</v>
      </c>
      <c r="S565" s="11">
        <v>5699.9999999999991</v>
      </c>
      <c r="T565" s="773">
        <v>2850.0000000000009</v>
      </c>
      <c r="U565" s="2173">
        <v>13589.999999999996</v>
      </c>
      <c r="V565" s="2509">
        <v>2850</v>
      </c>
      <c r="W565" s="2509">
        <v>6650</v>
      </c>
      <c r="X565" s="2509">
        <v>2569.3500000000058</v>
      </c>
      <c r="Y565" s="2509">
        <v>4218.3799999999974</v>
      </c>
      <c r="Z565" s="11">
        <f>'[26]New TB INC'!Z504</f>
        <v>2850</v>
      </c>
      <c r="AA565" s="11">
        <f>'[27]New TB INC'!AA513</f>
        <v>6757.17</v>
      </c>
      <c r="AB565" s="11">
        <f>'[28]New TB INC'!AB519</f>
        <v>14019.999999999998</v>
      </c>
      <c r="AC565" s="11">
        <f>'[29]New TB INC'!AC515</f>
        <v>28942.68</v>
      </c>
      <c r="AD565" s="11">
        <f>'[30]New TB INC'!AD510</f>
        <v>5200</v>
      </c>
      <c r="AE565" s="11">
        <f>'[31]New TB INC'!AE518</f>
        <v>8910.0000000000073</v>
      </c>
      <c r="AF565" s="11">
        <v>2850</v>
      </c>
      <c r="AG565" s="11">
        <v>25480</v>
      </c>
      <c r="AH565" s="11">
        <v>0</v>
      </c>
      <c r="AI565" s="11">
        <v>0</v>
      </c>
      <c r="AJ565" s="11">
        <v>0</v>
      </c>
      <c r="AK565" s="11">
        <f>$J565-SUM($Z565:AJ565)</f>
        <v>9360</v>
      </c>
      <c r="AW565" s="2509"/>
      <c r="BH565" s="2509"/>
      <c r="BI565" s="772"/>
      <c r="BJ565" s="2173"/>
      <c r="BK565" s="2173"/>
      <c r="BL565" s="773"/>
      <c r="BN565" s="773"/>
      <c r="BO565" s="209"/>
      <c r="BQ565" s="209"/>
      <c r="BR565" s="859"/>
      <c r="BS565" s="885"/>
      <c r="CI565" s="4"/>
      <c r="CJ565" s="4"/>
      <c r="DB565" s="773"/>
      <c r="DC565" s="773"/>
      <c r="DD565" s="773"/>
      <c r="DE565" s="773"/>
      <c r="DF565" s="773"/>
      <c r="DG565" s="773"/>
      <c r="DH565" s="773"/>
      <c r="DI565" s="773"/>
      <c r="DJ565" s="773"/>
      <c r="DK565" s="773"/>
      <c r="DL565" s="773"/>
      <c r="DM565" s="773"/>
      <c r="DN565" s="773"/>
      <c r="DO565" s="773"/>
      <c r="DP565" s="773"/>
      <c r="DQ565" s="773"/>
      <c r="DR565" s="773"/>
      <c r="DS565" s="773"/>
      <c r="DT565" s="773"/>
      <c r="DU565" s="773"/>
      <c r="DV565" s="773"/>
      <c r="DW565" s="773"/>
      <c r="DX565" s="773"/>
      <c r="DY565" s="773"/>
      <c r="DZ565" s="773"/>
      <c r="EA565" s="773"/>
      <c r="EB565" s="773"/>
      <c r="EC565" s="773"/>
      <c r="ED565" s="773"/>
      <c r="EE565" s="773"/>
      <c r="EF565" s="773"/>
      <c r="EG565" s="773"/>
      <c r="EH565" s="773"/>
      <c r="EI565" s="773"/>
      <c r="EJ565" s="773"/>
      <c r="EK565" s="773"/>
      <c r="EL565" s="773"/>
      <c r="EM565" s="773"/>
      <c r="EN565" s="773"/>
      <c r="EO565" s="773"/>
      <c r="EP565" s="773"/>
      <c r="EQ565" s="773"/>
      <c r="ER565" s="773"/>
      <c r="ES565" s="773"/>
      <c r="ET565" s="773"/>
      <c r="EU565" s="773"/>
      <c r="EV565" s="773"/>
      <c r="EW565" s="773"/>
      <c r="EX565" s="773"/>
      <c r="EY565" s="773"/>
      <c r="EZ565" s="773"/>
      <c r="FA565" s="773"/>
      <c r="FB565" s="773"/>
      <c r="FC565" s="773"/>
      <c r="FD565" s="773"/>
      <c r="FE565" s="773"/>
      <c r="FF565" s="773"/>
      <c r="FG565" s="773"/>
      <c r="FH565" s="773"/>
      <c r="FI565" s="773"/>
      <c r="FJ565" s="773"/>
      <c r="FK565" s="773"/>
      <c r="FL565" s="773"/>
      <c r="FM565" s="773"/>
      <c r="FN565" s="773"/>
      <c r="FO565" s="773"/>
      <c r="FP565" s="773"/>
      <c r="FQ565" s="773"/>
      <c r="FR565" s="773"/>
      <c r="FS565" s="773"/>
      <c r="FT565" s="773"/>
      <c r="FU565" s="773"/>
      <c r="FV565" s="773"/>
      <c r="FW565" s="773"/>
      <c r="FX565" s="773"/>
      <c r="FY565" s="773"/>
      <c r="FZ565" s="773"/>
      <c r="GA565" s="773"/>
      <c r="GB565" s="773"/>
      <c r="GC565" s="773"/>
      <c r="GD565" s="773"/>
      <c r="GE565" s="773"/>
      <c r="GF565" s="773"/>
      <c r="GG565" s="773"/>
      <c r="GH565" s="773"/>
      <c r="GI565" s="773"/>
      <c r="GJ565" s="773"/>
      <c r="GK565" s="773"/>
      <c r="GL565" s="773"/>
      <c r="GM565" s="773"/>
      <c r="GN565" s="773"/>
      <c r="GO565" s="773"/>
      <c r="GP565" s="773"/>
      <c r="GQ565" s="773"/>
      <c r="GR565" s="773"/>
      <c r="GS565" s="773"/>
      <c r="GT565" s="773"/>
      <c r="GU565" s="773"/>
      <c r="GV565" s="773"/>
      <c r="GW565" s="773"/>
      <c r="GX565" s="773"/>
      <c r="GY565" s="773"/>
      <c r="GZ565" s="773"/>
    </row>
    <row r="566" spans="1:208" s="11" customFormat="1">
      <c r="A566" s="774"/>
      <c r="B566" s="3762" t="s">
        <v>831</v>
      </c>
      <c r="C566" s="197">
        <v>5410001</v>
      </c>
      <c r="D566" s="199" t="s">
        <v>864</v>
      </c>
      <c r="E566" s="42">
        <f>IFERROR(VLOOKUP(C566,'AJE 12 - INC'!$D$168:$F$771,3,0),0)</f>
        <v>0</v>
      </c>
      <c r="F566" s="108">
        <f>SUMIF('AJE 12 - INC'!B:B,'New TB INC'!C566,'AJE 12 - INC'!D:D)</f>
        <v>0</v>
      </c>
      <c r="G566" s="108"/>
      <c r="H566" s="108"/>
      <c r="I566" s="108"/>
      <c r="J566" s="798">
        <f t="shared" si="59"/>
        <v>0</v>
      </c>
      <c r="K566" s="209"/>
      <c r="L566" s="434"/>
      <c r="M566" s="883"/>
      <c r="N566" s="11">
        <v>1302.96</v>
      </c>
      <c r="O566" s="11">
        <v>5128.95</v>
      </c>
      <c r="P566" s="11">
        <v>4246.0000000000009</v>
      </c>
      <c r="Q566" s="11">
        <v>0</v>
      </c>
      <c r="R566" s="773">
        <v>250</v>
      </c>
      <c r="S566" s="11">
        <v>0</v>
      </c>
      <c r="T566" s="773">
        <v>0</v>
      </c>
      <c r="U566" s="2173">
        <v>0</v>
      </c>
      <c r="V566" s="2509">
        <v>0</v>
      </c>
      <c r="W566" s="2509">
        <v>0</v>
      </c>
      <c r="X566" s="2509">
        <v>0</v>
      </c>
      <c r="Y566" s="2509">
        <v>0</v>
      </c>
      <c r="Z566" s="11">
        <f>'[26]New TB INC'!Z512</f>
        <v>0</v>
      </c>
      <c r="AA566" s="11">
        <f>'[27]New TB INC'!AA521</f>
        <v>0</v>
      </c>
      <c r="AB566" s="11">
        <f>'[28]New TB INC'!AB527</f>
        <v>0</v>
      </c>
      <c r="AC566" s="11">
        <f>'[29]New TB INC'!AC523</f>
        <v>0</v>
      </c>
      <c r="AD566" s="11">
        <f>'[30]New TB INC'!AD518</f>
        <v>0</v>
      </c>
      <c r="AE566" s="11">
        <f>'[31]New TB INC'!AE526</f>
        <v>0</v>
      </c>
      <c r="AF566" s="11">
        <v>0</v>
      </c>
      <c r="AG566" s="11">
        <v>0</v>
      </c>
      <c r="AH566" s="11">
        <v>0</v>
      </c>
      <c r="AI566" s="11">
        <v>0</v>
      </c>
      <c r="AJ566" s="11">
        <v>0</v>
      </c>
      <c r="AK566" s="11">
        <f>$J566-SUM($Z566:AJ566)</f>
        <v>0</v>
      </c>
      <c r="AW566" s="2509"/>
      <c r="BH566" s="2509"/>
      <c r="BI566" s="772"/>
      <c r="BJ566" s="2173"/>
      <c r="BK566" s="2173"/>
      <c r="BL566" s="773"/>
      <c r="BN566" s="773"/>
      <c r="BO566" s="209"/>
      <c r="BQ566" s="209"/>
      <c r="BR566" s="859"/>
      <c r="BS566" s="885"/>
      <c r="CI566" s="4"/>
      <c r="CJ566" s="4"/>
      <c r="DB566" s="773"/>
      <c r="DC566" s="773"/>
      <c r="DD566" s="773"/>
      <c r="DE566" s="773"/>
      <c r="DF566" s="773"/>
      <c r="DG566" s="773"/>
      <c r="DH566" s="773"/>
      <c r="DI566" s="773"/>
      <c r="DJ566" s="773"/>
      <c r="DK566" s="773"/>
      <c r="DL566" s="773"/>
      <c r="DM566" s="773"/>
      <c r="DN566" s="773"/>
      <c r="DO566" s="773"/>
      <c r="DP566" s="773"/>
      <c r="DQ566" s="773"/>
      <c r="DR566" s="773"/>
      <c r="DS566" s="773"/>
      <c r="DT566" s="773"/>
      <c r="DU566" s="773"/>
      <c r="DV566" s="773"/>
      <c r="DW566" s="773"/>
      <c r="DX566" s="773"/>
      <c r="DY566" s="773"/>
      <c r="DZ566" s="773"/>
      <c r="EA566" s="773"/>
      <c r="EB566" s="773"/>
      <c r="EC566" s="773"/>
      <c r="ED566" s="773"/>
      <c r="EE566" s="773"/>
      <c r="EF566" s="773"/>
      <c r="EG566" s="773"/>
      <c r="EH566" s="773"/>
      <c r="EI566" s="773"/>
      <c r="EJ566" s="773"/>
      <c r="EK566" s="773"/>
      <c r="EL566" s="773"/>
      <c r="EM566" s="773"/>
      <c r="EN566" s="773"/>
      <c r="EO566" s="773"/>
      <c r="EP566" s="773"/>
      <c r="EQ566" s="773"/>
      <c r="ER566" s="773"/>
      <c r="ES566" s="773"/>
      <c r="ET566" s="773"/>
      <c r="EU566" s="773"/>
      <c r="EV566" s="773"/>
      <c r="EW566" s="773"/>
      <c r="EX566" s="773"/>
      <c r="EY566" s="773"/>
      <c r="EZ566" s="773"/>
      <c r="FA566" s="773"/>
      <c r="FB566" s="773"/>
      <c r="FC566" s="773"/>
      <c r="FD566" s="773"/>
      <c r="FE566" s="773"/>
      <c r="FF566" s="773"/>
      <c r="FG566" s="773"/>
      <c r="FH566" s="773"/>
      <c r="FI566" s="773"/>
      <c r="FJ566" s="773"/>
      <c r="FK566" s="773"/>
      <c r="FL566" s="773"/>
      <c r="FM566" s="773"/>
      <c r="FN566" s="773"/>
      <c r="FO566" s="773"/>
      <c r="FP566" s="773"/>
      <c r="FQ566" s="773"/>
      <c r="FR566" s="773"/>
      <c r="FS566" s="773"/>
      <c r="FT566" s="773"/>
      <c r="FU566" s="773"/>
      <c r="FV566" s="773"/>
      <c r="FW566" s="773"/>
      <c r="FX566" s="773"/>
      <c r="FY566" s="773"/>
      <c r="FZ566" s="773"/>
      <c r="GA566" s="773"/>
      <c r="GB566" s="773"/>
      <c r="GC566" s="773"/>
      <c r="GD566" s="773"/>
      <c r="GE566" s="773"/>
      <c r="GF566" s="773"/>
      <c r="GG566" s="773"/>
      <c r="GH566" s="773"/>
      <c r="GI566" s="773"/>
      <c r="GJ566" s="773"/>
      <c r="GK566" s="773"/>
      <c r="GL566" s="773"/>
      <c r="GM566" s="773"/>
      <c r="GN566" s="773"/>
      <c r="GO566" s="773"/>
      <c r="GP566" s="773"/>
      <c r="GQ566" s="773"/>
      <c r="GR566" s="773"/>
      <c r="GS566" s="773"/>
      <c r="GT566" s="773"/>
      <c r="GU566" s="773"/>
      <c r="GV566" s="773"/>
      <c r="GW566" s="773"/>
      <c r="GX566" s="773"/>
      <c r="GY566" s="773"/>
      <c r="GZ566" s="773"/>
    </row>
    <row r="567" spans="1:208" s="11" customFormat="1">
      <c r="A567" s="774"/>
      <c r="B567" s="3762" t="s">
        <v>831</v>
      </c>
      <c r="C567" s="197">
        <v>5410002</v>
      </c>
      <c r="D567" s="199" t="s">
        <v>865</v>
      </c>
      <c r="E567" s="42">
        <f>IFERROR(VLOOKUP(C567,'AJE 12 - INC'!$D$168:$F$771,3,0),0)</f>
        <v>295.76</v>
      </c>
      <c r="F567" s="108">
        <f>SUMIF('AJE 12 - INC'!B:B,'New TB INC'!C567,'AJE 12 - INC'!D:D)</f>
        <v>0</v>
      </c>
      <c r="G567" s="108"/>
      <c r="H567" s="108"/>
      <c r="I567" s="108"/>
      <c r="J567" s="798">
        <f t="shared" si="59"/>
        <v>295.76</v>
      </c>
      <c r="K567" s="209"/>
      <c r="L567" s="434"/>
      <c r="M567" s="883"/>
      <c r="N567" s="11">
        <v>0</v>
      </c>
      <c r="O567" s="11">
        <v>1567.09</v>
      </c>
      <c r="P567" s="11">
        <v>1013.5200000000002</v>
      </c>
      <c r="Q567" s="11">
        <v>0</v>
      </c>
      <c r="R567" s="773">
        <v>0</v>
      </c>
      <c r="S567" s="11">
        <v>0</v>
      </c>
      <c r="T567" s="773">
        <v>0</v>
      </c>
      <c r="U567" s="2173">
        <v>0</v>
      </c>
      <c r="V567" s="2509">
        <v>0</v>
      </c>
      <c r="W567" s="2509">
        <v>0</v>
      </c>
      <c r="X567" s="2509">
        <v>0</v>
      </c>
      <c r="Y567" s="2509">
        <v>0</v>
      </c>
      <c r="Z567" s="11">
        <f>'[26]New TB INC'!Z513</f>
        <v>0</v>
      </c>
      <c r="AA567" s="11">
        <f>'[27]New TB INC'!AA522</f>
        <v>0</v>
      </c>
      <c r="AB567" s="11">
        <f>'[28]New TB INC'!AB528</f>
        <v>0</v>
      </c>
      <c r="AC567" s="11">
        <f>'[29]New TB INC'!AC524</f>
        <v>0</v>
      </c>
      <c r="AD567" s="11">
        <f>'[30]New TB INC'!AD519</f>
        <v>0</v>
      </c>
      <c r="AE567" s="11">
        <f>'[31]New TB INC'!AE527</f>
        <v>0</v>
      </c>
      <c r="AF567" s="11">
        <v>0</v>
      </c>
      <c r="AG567" s="11">
        <v>295.76</v>
      </c>
      <c r="AH567" s="11">
        <v>0</v>
      </c>
      <c r="AI567" s="11">
        <v>0</v>
      </c>
      <c r="AJ567" s="11">
        <v>0</v>
      </c>
      <c r="AK567" s="11">
        <f>$J567-SUM($Z567:AJ567)</f>
        <v>0</v>
      </c>
      <c r="AW567" s="2509"/>
      <c r="BH567" s="2509"/>
      <c r="BI567" s="772"/>
      <c r="BJ567" s="2173"/>
      <c r="BK567" s="2173"/>
      <c r="BL567" s="773"/>
      <c r="BN567" s="773"/>
      <c r="BO567" s="209"/>
      <c r="BQ567" s="209"/>
      <c r="BR567" s="859"/>
      <c r="BS567" s="885"/>
      <c r="CI567" s="4"/>
      <c r="CJ567" s="4"/>
      <c r="DB567" s="773"/>
      <c r="DC567" s="773"/>
      <c r="DD567" s="773"/>
      <c r="DE567" s="773"/>
      <c r="DF567" s="773"/>
      <c r="DG567" s="773"/>
      <c r="DH567" s="773"/>
      <c r="DI567" s="773"/>
      <c r="DJ567" s="773"/>
      <c r="DK567" s="773"/>
      <c r="DL567" s="773"/>
      <c r="DM567" s="773"/>
      <c r="DN567" s="773"/>
      <c r="DO567" s="773"/>
      <c r="DP567" s="773"/>
      <c r="DQ567" s="773"/>
      <c r="DR567" s="773"/>
      <c r="DS567" s="773"/>
      <c r="DT567" s="773"/>
      <c r="DU567" s="773"/>
      <c r="DV567" s="773"/>
      <c r="DW567" s="773"/>
      <c r="DX567" s="773"/>
      <c r="DY567" s="773"/>
      <c r="DZ567" s="773"/>
      <c r="EA567" s="773"/>
      <c r="EB567" s="773"/>
      <c r="EC567" s="773"/>
      <c r="ED567" s="773"/>
      <c r="EE567" s="773"/>
      <c r="EF567" s="773"/>
      <c r="EG567" s="773"/>
      <c r="EH567" s="773"/>
      <c r="EI567" s="773"/>
      <c r="EJ567" s="773"/>
      <c r="EK567" s="773"/>
      <c r="EL567" s="773"/>
      <c r="EM567" s="773"/>
      <c r="EN567" s="773"/>
      <c r="EO567" s="773"/>
      <c r="EP567" s="773"/>
      <c r="EQ567" s="773"/>
      <c r="ER567" s="773"/>
      <c r="ES567" s="773"/>
      <c r="ET567" s="773"/>
      <c r="EU567" s="773"/>
      <c r="EV567" s="773"/>
      <c r="EW567" s="773"/>
      <c r="EX567" s="773"/>
      <c r="EY567" s="773"/>
      <c r="EZ567" s="773"/>
      <c r="FA567" s="773"/>
      <c r="FB567" s="773"/>
      <c r="FC567" s="773"/>
      <c r="FD567" s="773"/>
      <c r="FE567" s="773"/>
      <c r="FF567" s="773"/>
      <c r="FG567" s="773"/>
      <c r="FH567" s="773"/>
      <c r="FI567" s="773"/>
      <c r="FJ567" s="773"/>
      <c r="FK567" s="773"/>
      <c r="FL567" s="773"/>
      <c r="FM567" s="773"/>
      <c r="FN567" s="773"/>
      <c r="FO567" s="773"/>
      <c r="FP567" s="773"/>
      <c r="FQ567" s="773"/>
      <c r="FR567" s="773"/>
      <c r="FS567" s="773"/>
      <c r="FT567" s="773"/>
      <c r="FU567" s="773"/>
      <c r="FV567" s="773"/>
      <c r="FW567" s="773"/>
      <c r="FX567" s="773"/>
      <c r="FY567" s="773"/>
      <c r="FZ567" s="773"/>
      <c r="GA567" s="773"/>
      <c r="GB567" s="773"/>
      <c r="GC567" s="773"/>
      <c r="GD567" s="773"/>
      <c r="GE567" s="773"/>
      <c r="GF567" s="773"/>
      <c r="GG567" s="773"/>
      <c r="GH567" s="773"/>
      <c r="GI567" s="773"/>
      <c r="GJ567" s="773"/>
      <c r="GK567" s="773"/>
      <c r="GL567" s="773"/>
      <c r="GM567" s="773"/>
      <c r="GN567" s="773"/>
      <c r="GO567" s="773"/>
      <c r="GP567" s="773"/>
      <c r="GQ567" s="773"/>
      <c r="GR567" s="773"/>
      <c r="GS567" s="773"/>
      <c r="GT567" s="773"/>
      <c r="GU567" s="773"/>
      <c r="GV567" s="773"/>
      <c r="GW567" s="773"/>
      <c r="GX567" s="773"/>
      <c r="GY567" s="773"/>
      <c r="GZ567" s="773"/>
    </row>
    <row r="568" spans="1:208" s="11" customFormat="1">
      <c r="A568" s="774"/>
      <c r="B568" s="3762" t="s">
        <v>831</v>
      </c>
      <c r="C568" s="197">
        <v>5410003</v>
      </c>
      <c r="D568" s="199" t="s">
        <v>866</v>
      </c>
      <c r="E568" s="42">
        <f>IFERROR(VLOOKUP(C568,'AJE 12 - INC'!$D$168:$F$771,3,0),0)</f>
        <v>119.45</v>
      </c>
      <c r="F568" s="108">
        <f>SUMIF('AJE 12 - INC'!B:B,'New TB INC'!C568,'AJE 12 - INC'!D:D)</f>
        <v>0</v>
      </c>
      <c r="G568" s="108"/>
      <c r="H568" s="108"/>
      <c r="I568" s="108"/>
      <c r="J568" s="798">
        <f t="shared" si="59"/>
        <v>119.45</v>
      </c>
      <c r="K568" s="209"/>
      <c r="L568" s="434"/>
      <c r="M568" s="883"/>
      <c r="N568" s="11">
        <v>62.67</v>
      </c>
      <c r="O568" s="11">
        <v>384.62</v>
      </c>
      <c r="P568" s="11">
        <v>215.85000000000002</v>
      </c>
      <c r="Q568" s="11">
        <v>0</v>
      </c>
      <c r="R568" s="773">
        <v>0</v>
      </c>
      <c r="S568" s="11">
        <v>0</v>
      </c>
      <c r="T568" s="773">
        <v>0</v>
      </c>
      <c r="U568" s="2173">
        <v>0</v>
      </c>
      <c r="V568" s="2509">
        <v>0</v>
      </c>
      <c r="W568" s="2509">
        <v>0</v>
      </c>
      <c r="X568" s="2509">
        <v>0</v>
      </c>
      <c r="Y568" s="2509">
        <v>0</v>
      </c>
      <c r="Z568" s="11">
        <f>'[26]New TB INC'!Z514</f>
        <v>0</v>
      </c>
      <c r="AA568" s="11">
        <f>'[27]New TB INC'!AA523</f>
        <v>0</v>
      </c>
      <c r="AB568" s="11">
        <f>'[28]New TB INC'!AB529</f>
        <v>0</v>
      </c>
      <c r="AC568" s="11">
        <f>'[29]New TB INC'!AC525</f>
        <v>0</v>
      </c>
      <c r="AD568" s="11">
        <f>'[30]New TB INC'!AD520</f>
        <v>0</v>
      </c>
      <c r="AE568" s="11">
        <f>'[31]New TB INC'!AE528</f>
        <v>0</v>
      </c>
      <c r="AF568" s="11">
        <v>0</v>
      </c>
      <c r="AG568" s="11">
        <v>68.09</v>
      </c>
      <c r="AH568" s="11">
        <v>51.36</v>
      </c>
      <c r="AI568" s="11">
        <v>0</v>
      </c>
      <c r="AJ568" s="11">
        <v>0</v>
      </c>
      <c r="AK568" s="11">
        <f>$J568-SUM($Z568:AJ568)</f>
        <v>0</v>
      </c>
      <c r="AW568" s="2509"/>
      <c r="BH568" s="2509"/>
      <c r="BI568" s="772"/>
      <c r="BJ568" s="2173"/>
      <c r="BK568" s="2173"/>
      <c r="BL568" s="773"/>
      <c r="BN568" s="773"/>
      <c r="BO568" s="209"/>
      <c r="BQ568" s="209"/>
      <c r="BR568" s="859"/>
      <c r="BS568" s="885"/>
      <c r="CI568" s="4"/>
      <c r="CJ568" s="4"/>
      <c r="DB568" s="773"/>
      <c r="DC568" s="773"/>
      <c r="DD568" s="773"/>
      <c r="DE568" s="773"/>
      <c r="DF568" s="773"/>
      <c r="DG568" s="773"/>
      <c r="DH568" s="773"/>
      <c r="DI568" s="773"/>
      <c r="DJ568" s="773"/>
      <c r="DK568" s="773"/>
      <c r="DL568" s="773"/>
      <c r="DM568" s="773"/>
      <c r="DN568" s="773"/>
      <c r="DO568" s="773"/>
      <c r="DP568" s="773"/>
      <c r="DQ568" s="773"/>
      <c r="DR568" s="773"/>
      <c r="DS568" s="773"/>
      <c r="DT568" s="773"/>
      <c r="DU568" s="773"/>
      <c r="DV568" s="773"/>
      <c r="DW568" s="773"/>
      <c r="DX568" s="773"/>
      <c r="DY568" s="773"/>
      <c r="DZ568" s="773"/>
      <c r="EA568" s="773"/>
      <c r="EB568" s="773"/>
      <c r="EC568" s="773"/>
      <c r="ED568" s="773"/>
      <c r="EE568" s="773"/>
      <c r="EF568" s="773"/>
      <c r="EG568" s="773"/>
      <c r="EH568" s="773"/>
      <c r="EI568" s="773"/>
      <c r="EJ568" s="773"/>
      <c r="EK568" s="773"/>
      <c r="EL568" s="773"/>
      <c r="EM568" s="773"/>
      <c r="EN568" s="773"/>
      <c r="EO568" s="773"/>
      <c r="EP568" s="773"/>
      <c r="EQ568" s="773"/>
      <c r="ER568" s="773"/>
      <c r="ES568" s="773"/>
      <c r="ET568" s="773"/>
      <c r="EU568" s="773"/>
      <c r="EV568" s="773"/>
      <c r="EW568" s="773"/>
      <c r="EX568" s="773"/>
      <c r="EY568" s="773"/>
      <c r="EZ568" s="773"/>
      <c r="FA568" s="773"/>
      <c r="FB568" s="773"/>
      <c r="FC568" s="773"/>
      <c r="FD568" s="773"/>
      <c r="FE568" s="773"/>
      <c r="FF568" s="773"/>
      <c r="FG568" s="773"/>
      <c r="FH568" s="773"/>
      <c r="FI568" s="773"/>
      <c r="FJ568" s="773"/>
      <c r="FK568" s="773"/>
      <c r="FL568" s="773"/>
      <c r="FM568" s="773"/>
      <c r="FN568" s="773"/>
      <c r="FO568" s="773"/>
      <c r="FP568" s="773"/>
      <c r="FQ568" s="773"/>
      <c r="FR568" s="773"/>
      <c r="FS568" s="773"/>
      <c r="FT568" s="773"/>
      <c r="FU568" s="773"/>
      <c r="FV568" s="773"/>
      <c r="FW568" s="773"/>
      <c r="FX568" s="773"/>
      <c r="FY568" s="773"/>
      <c r="FZ568" s="773"/>
      <c r="GA568" s="773"/>
      <c r="GB568" s="773"/>
      <c r="GC568" s="773"/>
      <c r="GD568" s="773"/>
      <c r="GE568" s="773"/>
      <c r="GF568" s="773"/>
      <c r="GG568" s="773"/>
      <c r="GH568" s="773"/>
      <c r="GI568" s="773"/>
      <c r="GJ568" s="773"/>
      <c r="GK568" s="773"/>
      <c r="GL568" s="773"/>
      <c r="GM568" s="773"/>
      <c r="GN568" s="773"/>
      <c r="GO568" s="773"/>
      <c r="GP568" s="773"/>
      <c r="GQ568" s="773"/>
      <c r="GR568" s="773"/>
      <c r="GS568" s="773"/>
      <c r="GT568" s="773"/>
      <c r="GU568" s="773"/>
      <c r="GV568" s="773"/>
      <c r="GW568" s="773"/>
      <c r="GX568" s="773"/>
      <c r="GY568" s="773"/>
      <c r="GZ568" s="773"/>
    </row>
    <row r="569" spans="1:208" s="11" customFormat="1">
      <c r="A569" s="774"/>
      <c r="B569" s="3762" t="s">
        <v>831</v>
      </c>
      <c r="C569" s="197">
        <v>5410004</v>
      </c>
      <c r="D569" s="199" t="s">
        <v>867</v>
      </c>
      <c r="E569" s="42">
        <f>IFERROR(VLOOKUP(C569,'AJE 12 - INC'!$D$168:$F$771,3,0),0)</f>
        <v>512.12</v>
      </c>
      <c r="F569" s="108">
        <f>SUMIF('AJE 12 - INC'!B:B,'New TB INC'!C569,'AJE 12 - INC'!D:D)</f>
        <v>0</v>
      </c>
      <c r="G569" s="108"/>
      <c r="H569" s="108"/>
      <c r="I569" s="108"/>
      <c r="J569" s="798">
        <f t="shared" si="59"/>
        <v>512.12</v>
      </c>
      <c r="K569" s="209"/>
      <c r="L569" s="434"/>
      <c r="M569" s="883"/>
      <c r="N569" s="11">
        <v>219.73</v>
      </c>
      <c r="O569" s="11">
        <v>103.41999999999999</v>
      </c>
      <c r="P569" s="11">
        <v>413.87</v>
      </c>
      <c r="Q569" s="11">
        <v>0</v>
      </c>
      <c r="R569" s="773">
        <v>0</v>
      </c>
      <c r="S569" s="11">
        <v>0</v>
      </c>
      <c r="T569" s="773">
        <v>0</v>
      </c>
      <c r="U569" s="2173">
        <v>0</v>
      </c>
      <c r="V569" s="2509">
        <v>0</v>
      </c>
      <c r="W569" s="2509">
        <v>0</v>
      </c>
      <c r="X569" s="2509">
        <v>0</v>
      </c>
      <c r="Y569" s="2509">
        <v>0</v>
      </c>
      <c r="Z569" s="11">
        <f>'[26]New TB INC'!Z515</f>
        <v>0</v>
      </c>
      <c r="AA569" s="11">
        <f>'[27]New TB INC'!AA524</f>
        <v>0</v>
      </c>
      <c r="AB569" s="11">
        <f>'[28]New TB INC'!AB530</f>
        <v>0</v>
      </c>
      <c r="AC569" s="11">
        <f>'[29]New TB INC'!AC526</f>
        <v>0</v>
      </c>
      <c r="AD569" s="11">
        <f>'[30]New TB INC'!AD521</f>
        <v>0</v>
      </c>
      <c r="AE569" s="11">
        <f>'[31]New TB INC'!AE529</f>
        <v>0</v>
      </c>
      <c r="AF569" s="11">
        <v>0</v>
      </c>
      <c r="AG569" s="11">
        <v>476</v>
      </c>
      <c r="AH569" s="11">
        <v>36.120000000000005</v>
      </c>
      <c r="AI569" s="11">
        <v>0</v>
      </c>
      <c r="AJ569" s="11">
        <v>0</v>
      </c>
      <c r="AK569" s="11">
        <f>$J569-SUM($Z569:AJ569)</f>
        <v>0</v>
      </c>
      <c r="AW569" s="2509"/>
      <c r="BH569" s="2509"/>
      <c r="BI569" s="772"/>
      <c r="BJ569" s="2173"/>
      <c r="BK569" s="2173"/>
      <c r="BL569" s="773"/>
      <c r="BN569" s="773"/>
      <c r="BO569" s="209"/>
      <c r="BQ569" s="209"/>
      <c r="BR569" s="859"/>
      <c r="BS569" s="885"/>
      <c r="CI569" s="4"/>
      <c r="CJ569" s="4"/>
      <c r="DB569" s="773"/>
      <c r="DC569" s="773"/>
      <c r="DD569" s="773"/>
      <c r="DE569" s="773"/>
      <c r="DF569" s="773"/>
      <c r="DG569" s="773"/>
      <c r="DH569" s="773"/>
      <c r="DI569" s="773"/>
      <c r="DJ569" s="773"/>
      <c r="DK569" s="773"/>
      <c r="DL569" s="773"/>
      <c r="DM569" s="773"/>
      <c r="DN569" s="773"/>
      <c r="DO569" s="773"/>
      <c r="DP569" s="773"/>
      <c r="DQ569" s="773"/>
      <c r="DR569" s="773"/>
      <c r="DS569" s="773"/>
      <c r="DT569" s="773"/>
      <c r="DU569" s="773"/>
      <c r="DV569" s="773"/>
      <c r="DW569" s="773"/>
      <c r="DX569" s="773"/>
      <c r="DY569" s="773"/>
      <c r="DZ569" s="773"/>
      <c r="EA569" s="773"/>
      <c r="EB569" s="773"/>
      <c r="EC569" s="773"/>
      <c r="ED569" s="773"/>
      <c r="EE569" s="773"/>
      <c r="EF569" s="773"/>
      <c r="EG569" s="773"/>
      <c r="EH569" s="773"/>
      <c r="EI569" s="773"/>
      <c r="EJ569" s="773"/>
      <c r="EK569" s="773"/>
      <c r="EL569" s="773"/>
      <c r="EM569" s="773"/>
      <c r="EN569" s="773"/>
      <c r="EO569" s="773"/>
      <c r="EP569" s="773"/>
      <c r="EQ569" s="773"/>
      <c r="ER569" s="773"/>
      <c r="ES569" s="773"/>
      <c r="ET569" s="773"/>
      <c r="EU569" s="773"/>
      <c r="EV569" s="773"/>
      <c r="EW569" s="773"/>
      <c r="EX569" s="773"/>
      <c r="EY569" s="773"/>
      <c r="EZ569" s="773"/>
      <c r="FA569" s="773"/>
      <c r="FB569" s="773"/>
      <c r="FC569" s="773"/>
      <c r="FD569" s="773"/>
      <c r="FE569" s="773"/>
      <c r="FF569" s="773"/>
      <c r="FG569" s="773"/>
      <c r="FH569" s="773"/>
      <c r="FI569" s="773"/>
      <c r="FJ569" s="773"/>
      <c r="FK569" s="773"/>
      <c r="FL569" s="773"/>
      <c r="FM569" s="773"/>
      <c r="FN569" s="773"/>
      <c r="FO569" s="773"/>
      <c r="FP569" s="773"/>
      <c r="FQ569" s="773"/>
      <c r="FR569" s="773"/>
      <c r="FS569" s="773"/>
      <c r="FT569" s="773"/>
      <c r="FU569" s="773"/>
      <c r="FV569" s="773"/>
      <c r="FW569" s="773"/>
      <c r="FX569" s="773"/>
      <c r="FY569" s="773"/>
      <c r="FZ569" s="773"/>
      <c r="GA569" s="773"/>
      <c r="GB569" s="773"/>
      <c r="GC569" s="773"/>
      <c r="GD569" s="773"/>
      <c r="GE569" s="773"/>
      <c r="GF569" s="773"/>
      <c r="GG569" s="773"/>
      <c r="GH569" s="773"/>
      <c r="GI569" s="773"/>
      <c r="GJ569" s="773"/>
      <c r="GK569" s="773"/>
      <c r="GL569" s="773"/>
      <c r="GM569" s="773"/>
      <c r="GN569" s="773"/>
      <c r="GO569" s="773"/>
      <c r="GP569" s="773"/>
      <c r="GQ569" s="773"/>
      <c r="GR569" s="773"/>
      <c r="GS569" s="773"/>
      <c r="GT569" s="773"/>
      <c r="GU569" s="773"/>
      <c r="GV569" s="773"/>
      <c r="GW569" s="773"/>
      <c r="GX569" s="773"/>
      <c r="GY569" s="773"/>
      <c r="GZ569" s="773"/>
    </row>
    <row r="570" spans="1:208" s="11" customFormat="1">
      <c r="A570" s="774"/>
      <c r="B570" s="3762" t="s">
        <v>831</v>
      </c>
      <c r="C570" s="197">
        <v>5410005</v>
      </c>
      <c r="D570" s="199" t="s">
        <v>868</v>
      </c>
      <c r="E570" s="42">
        <f>IFERROR(VLOOKUP(C570,'AJE 12 - INC'!$D$168:$F$771,3,0),0)</f>
        <v>99</v>
      </c>
      <c r="F570" s="108">
        <f>SUMIF('AJE 12 - INC'!B:B,'New TB INC'!C570,'AJE 12 - INC'!D:D)</f>
        <v>0</v>
      </c>
      <c r="G570" s="108"/>
      <c r="H570" s="108"/>
      <c r="I570" s="108"/>
      <c r="J570" s="798">
        <f t="shared" si="59"/>
        <v>99</v>
      </c>
      <c r="K570" s="209"/>
      <c r="L570" s="434"/>
      <c r="M570" s="883"/>
      <c r="N570" s="11">
        <v>0</v>
      </c>
      <c r="O570" s="11">
        <v>0</v>
      </c>
      <c r="P570" s="11">
        <v>0</v>
      </c>
      <c r="Q570" s="11">
        <v>0</v>
      </c>
      <c r="R570" s="773">
        <v>0</v>
      </c>
      <c r="S570" s="11">
        <v>0</v>
      </c>
      <c r="T570" s="773">
        <v>0</v>
      </c>
      <c r="U570" s="2173">
        <v>0</v>
      </c>
      <c r="V570" s="2509">
        <v>0</v>
      </c>
      <c r="W570" s="2509">
        <v>0</v>
      </c>
      <c r="X570" s="2509">
        <v>0</v>
      </c>
      <c r="Y570" s="2509">
        <v>0</v>
      </c>
      <c r="Z570" s="11">
        <f>'[26]New TB INC'!Z516</f>
        <v>0</v>
      </c>
      <c r="AA570" s="11">
        <f>'[27]New TB INC'!AA525</f>
        <v>0</v>
      </c>
      <c r="AB570" s="11">
        <f>'[28]New TB INC'!AB531</f>
        <v>0</v>
      </c>
      <c r="AC570" s="11">
        <f>'[29]New TB INC'!AC527</f>
        <v>0</v>
      </c>
      <c r="AD570" s="11">
        <f>'[30]New TB INC'!AD522</f>
        <v>0</v>
      </c>
      <c r="AE570" s="11">
        <f>'[31]New TB INC'!AE530</f>
        <v>0</v>
      </c>
      <c r="AF570" s="11">
        <v>0</v>
      </c>
      <c r="AG570" s="11">
        <v>0</v>
      </c>
      <c r="AH570" s="11">
        <v>99</v>
      </c>
      <c r="AI570" s="11">
        <v>0</v>
      </c>
      <c r="AJ570" s="11">
        <v>0</v>
      </c>
      <c r="AK570" s="11">
        <f>$J570-SUM($Z570:AJ570)</f>
        <v>0</v>
      </c>
      <c r="AW570" s="2509"/>
      <c r="BH570" s="2509"/>
      <c r="BI570" s="772"/>
      <c r="BJ570" s="2173"/>
      <c r="BK570" s="2173"/>
      <c r="BL570" s="773"/>
      <c r="BN570" s="773"/>
      <c r="BO570" s="209"/>
      <c r="BQ570" s="209"/>
      <c r="BR570" s="859"/>
      <c r="BS570" s="885"/>
      <c r="CI570" s="4"/>
      <c r="CJ570" s="4"/>
      <c r="DB570" s="773"/>
      <c r="DC570" s="773"/>
      <c r="DD570" s="773"/>
      <c r="DE570" s="773"/>
      <c r="DF570" s="773"/>
      <c r="DG570" s="773"/>
      <c r="DH570" s="773"/>
      <c r="DI570" s="773"/>
      <c r="DJ570" s="773"/>
      <c r="DK570" s="773"/>
      <c r="DL570" s="773"/>
      <c r="DM570" s="773"/>
      <c r="DN570" s="773"/>
      <c r="DO570" s="773"/>
      <c r="DP570" s="773"/>
      <c r="DQ570" s="773"/>
      <c r="DR570" s="773"/>
      <c r="DS570" s="773"/>
      <c r="DT570" s="773"/>
      <c r="DU570" s="773"/>
      <c r="DV570" s="773"/>
      <c r="DW570" s="773"/>
      <c r="DX570" s="773"/>
      <c r="DY570" s="773"/>
      <c r="DZ570" s="773"/>
      <c r="EA570" s="773"/>
      <c r="EB570" s="773"/>
      <c r="EC570" s="773"/>
      <c r="ED570" s="773"/>
      <c r="EE570" s="773"/>
      <c r="EF570" s="773"/>
      <c r="EG570" s="773"/>
      <c r="EH570" s="773"/>
      <c r="EI570" s="773"/>
      <c r="EJ570" s="773"/>
      <c r="EK570" s="773"/>
      <c r="EL570" s="773"/>
      <c r="EM570" s="773"/>
      <c r="EN570" s="773"/>
      <c r="EO570" s="773"/>
      <c r="EP570" s="773"/>
      <c r="EQ570" s="773"/>
      <c r="ER570" s="773"/>
      <c r="ES570" s="773"/>
      <c r="ET570" s="773"/>
      <c r="EU570" s="773"/>
      <c r="EV570" s="773"/>
      <c r="EW570" s="773"/>
      <c r="EX570" s="773"/>
      <c r="EY570" s="773"/>
      <c r="EZ570" s="773"/>
      <c r="FA570" s="773"/>
      <c r="FB570" s="773"/>
      <c r="FC570" s="773"/>
      <c r="FD570" s="773"/>
      <c r="FE570" s="773"/>
      <c r="FF570" s="773"/>
      <c r="FG570" s="773"/>
      <c r="FH570" s="773"/>
      <c r="FI570" s="773"/>
      <c r="FJ570" s="773"/>
      <c r="FK570" s="773"/>
      <c r="FL570" s="773"/>
      <c r="FM570" s="773"/>
      <c r="FN570" s="773"/>
      <c r="FO570" s="773"/>
      <c r="FP570" s="773"/>
      <c r="FQ570" s="773"/>
      <c r="FR570" s="773"/>
      <c r="FS570" s="773"/>
      <c r="FT570" s="773"/>
      <c r="FU570" s="773"/>
      <c r="FV570" s="773"/>
      <c r="FW570" s="773"/>
      <c r="FX570" s="773"/>
      <c r="FY570" s="773"/>
      <c r="FZ570" s="773"/>
      <c r="GA570" s="773"/>
      <c r="GB570" s="773"/>
      <c r="GC570" s="773"/>
      <c r="GD570" s="773"/>
      <c r="GE570" s="773"/>
      <c r="GF570" s="773"/>
      <c r="GG570" s="773"/>
      <c r="GH570" s="773"/>
      <c r="GI570" s="773"/>
      <c r="GJ570" s="773"/>
      <c r="GK570" s="773"/>
      <c r="GL570" s="773"/>
      <c r="GM570" s="773"/>
      <c r="GN570" s="773"/>
      <c r="GO570" s="773"/>
      <c r="GP570" s="773"/>
      <c r="GQ570" s="773"/>
      <c r="GR570" s="773"/>
      <c r="GS570" s="773"/>
      <c r="GT570" s="773"/>
      <c r="GU570" s="773"/>
      <c r="GV570" s="773"/>
      <c r="GW570" s="773"/>
      <c r="GX570" s="773"/>
      <c r="GY570" s="773"/>
      <c r="GZ570" s="773"/>
    </row>
    <row r="571" spans="1:208" s="11" customFormat="1">
      <c r="A571" s="774"/>
      <c r="B571" s="3762" t="s">
        <v>831</v>
      </c>
      <c r="C571" s="197">
        <v>5420005</v>
      </c>
      <c r="D571" s="199" t="s">
        <v>869</v>
      </c>
      <c r="E571" s="42">
        <f>IFERROR(VLOOKUP(C571,'AJE 12 - INC'!$D$168:$F$771,3,0),0)</f>
        <v>0</v>
      </c>
      <c r="F571" s="108">
        <f>SUMIF('AJE 12 - INC'!B:B,'New TB INC'!C571,'AJE 12 - INC'!D:D)</f>
        <v>0</v>
      </c>
      <c r="G571" s="108"/>
      <c r="H571" s="108"/>
      <c r="I571" s="108"/>
      <c r="J571" s="798">
        <f t="shared" si="59"/>
        <v>0</v>
      </c>
      <c r="K571" s="209"/>
      <c r="L571" s="434"/>
      <c r="M571" s="883"/>
      <c r="N571" s="11">
        <v>0</v>
      </c>
      <c r="O571" s="11">
        <v>0</v>
      </c>
      <c r="P571" s="11">
        <v>0</v>
      </c>
      <c r="Q571" s="11">
        <v>0</v>
      </c>
      <c r="R571" s="773">
        <v>0</v>
      </c>
      <c r="S571" s="11">
        <v>0</v>
      </c>
      <c r="T571" s="773">
        <v>0</v>
      </c>
      <c r="U571" s="2173">
        <v>0</v>
      </c>
      <c r="V571" s="2509">
        <v>0</v>
      </c>
      <c r="W571" s="2509">
        <v>0</v>
      </c>
      <c r="X571" s="2509">
        <v>0</v>
      </c>
      <c r="Y571" s="2509">
        <v>0</v>
      </c>
      <c r="Z571" s="11">
        <f>'[26]New TB INC'!Z517</f>
        <v>0</v>
      </c>
      <c r="AA571" s="11">
        <f>'[27]New TB INC'!AA526</f>
        <v>0</v>
      </c>
      <c r="AB571" s="11">
        <f>'[28]New TB INC'!AB532</f>
        <v>0</v>
      </c>
      <c r="AC571" s="11">
        <f>'[29]New TB INC'!AC528</f>
        <v>0</v>
      </c>
      <c r="AD571" s="11">
        <f>'[30]New TB INC'!AD523</f>
        <v>0</v>
      </c>
      <c r="AE571" s="11">
        <f>'[31]New TB INC'!AE531</f>
        <v>0</v>
      </c>
      <c r="AF571" s="11">
        <v>0</v>
      </c>
      <c r="AG571" s="11">
        <v>0</v>
      </c>
      <c r="AH571" s="11">
        <v>0</v>
      </c>
      <c r="AI571" s="11">
        <v>0</v>
      </c>
      <c r="AJ571" s="11">
        <v>0</v>
      </c>
      <c r="AK571" s="11">
        <f>$J571-SUM($Z571:AJ571)</f>
        <v>0</v>
      </c>
      <c r="AW571" s="2509"/>
      <c r="BH571" s="2509"/>
      <c r="BI571" s="772"/>
      <c r="BJ571" s="2173"/>
      <c r="BK571" s="2173"/>
      <c r="BL571" s="773"/>
      <c r="BN571" s="773"/>
      <c r="BO571" s="209"/>
      <c r="BQ571" s="209"/>
      <c r="BR571" s="859"/>
      <c r="BS571" s="885"/>
      <c r="CI571" s="4"/>
      <c r="CJ571" s="4"/>
      <c r="DB571" s="773"/>
      <c r="DC571" s="773"/>
      <c r="DD571" s="773"/>
      <c r="DE571" s="773"/>
      <c r="DF571" s="773"/>
      <c r="DG571" s="773"/>
      <c r="DH571" s="773"/>
      <c r="DI571" s="773"/>
      <c r="DJ571" s="773"/>
      <c r="DK571" s="773"/>
      <c r="DL571" s="773"/>
      <c r="DM571" s="773"/>
      <c r="DN571" s="773"/>
      <c r="DO571" s="773"/>
      <c r="DP571" s="773"/>
      <c r="DQ571" s="773"/>
      <c r="DR571" s="773"/>
      <c r="DS571" s="773"/>
      <c r="DT571" s="773"/>
      <c r="DU571" s="773"/>
      <c r="DV571" s="773"/>
      <c r="DW571" s="773"/>
      <c r="DX571" s="773"/>
      <c r="DY571" s="773"/>
      <c r="DZ571" s="773"/>
      <c r="EA571" s="773"/>
      <c r="EB571" s="773"/>
      <c r="EC571" s="773"/>
      <c r="ED571" s="773"/>
      <c r="EE571" s="773"/>
      <c r="EF571" s="773"/>
      <c r="EG571" s="773"/>
      <c r="EH571" s="773"/>
      <c r="EI571" s="773"/>
      <c r="EJ571" s="773"/>
      <c r="EK571" s="773"/>
      <c r="EL571" s="773"/>
      <c r="EM571" s="773"/>
      <c r="EN571" s="773"/>
      <c r="EO571" s="773"/>
      <c r="EP571" s="773"/>
      <c r="EQ571" s="773"/>
      <c r="ER571" s="773"/>
      <c r="ES571" s="773"/>
      <c r="ET571" s="773"/>
      <c r="EU571" s="773"/>
      <c r="EV571" s="773"/>
      <c r="EW571" s="773"/>
      <c r="EX571" s="773"/>
      <c r="EY571" s="773"/>
      <c r="EZ571" s="773"/>
      <c r="FA571" s="773"/>
      <c r="FB571" s="773"/>
      <c r="FC571" s="773"/>
      <c r="FD571" s="773"/>
      <c r="FE571" s="773"/>
      <c r="FF571" s="773"/>
      <c r="FG571" s="773"/>
      <c r="FH571" s="773"/>
      <c r="FI571" s="773"/>
      <c r="FJ571" s="773"/>
      <c r="FK571" s="773"/>
      <c r="FL571" s="773"/>
      <c r="FM571" s="773"/>
      <c r="FN571" s="773"/>
      <c r="FO571" s="773"/>
      <c r="FP571" s="773"/>
      <c r="FQ571" s="773"/>
      <c r="FR571" s="773"/>
      <c r="FS571" s="773"/>
      <c r="FT571" s="773"/>
      <c r="FU571" s="773"/>
      <c r="FV571" s="773"/>
      <c r="FW571" s="773"/>
      <c r="FX571" s="773"/>
      <c r="FY571" s="773"/>
      <c r="FZ571" s="773"/>
      <c r="GA571" s="773"/>
      <c r="GB571" s="773"/>
      <c r="GC571" s="773"/>
      <c r="GD571" s="773"/>
      <c r="GE571" s="773"/>
      <c r="GF571" s="773"/>
      <c r="GG571" s="773"/>
      <c r="GH571" s="773"/>
      <c r="GI571" s="773"/>
      <c r="GJ571" s="773"/>
      <c r="GK571" s="773"/>
      <c r="GL571" s="773"/>
      <c r="GM571" s="773"/>
      <c r="GN571" s="773"/>
      <c r="GO571" s="773"/>
      <c r="GP571" s="773"/>
      <c r="GQ571" s="773"/>
      <c r="GR571" s="773"/>
      <c r="GS571" s="773"/>
      <c r="GT571" s="773"/>
      <c r="GU571" s="773"/>
      <c r="GV571" s="773"/>
      <c r="GW571" s="773"/>
      <c r="GX571" s="773"/>
      <c r="GY571" s="773"/>
      <c r="GZ571" s="773"/>
    </row>
    <row r="572" spans="1:208" s="11" customFormat="1">
      <c r="A572" s="774"/>
      <c r="B572" s="3762" t="s">
        <v>1359</v>
      </c>
      <c r="C572" s="197">
        <v>5420004</v>
      </c>
      <c r="D572" s="199" t="s">
        <v>1360</v>
      </c>
      <c r="E572" s="42">
        <f>IFERROR(VLOOKUP(C572,'AJE 12 - INC'!$D$168:$F$771,3,0),0)</f>
        <v>0</v>
      </c>
      <c r="F572" s="108">
        <f>SUMIF('AJE 12 - INC'!B:B,'New TB INC'!C572,'AJE 12 - INC'!D:D)</f>
        <v>0</v>
      </c>
      <c r="G572" s="108"/>
      <c r="H572" s="108"/>
      <c r="I572" s="108"/>
      <c r="J572" s="798">
        <f t="shared" si="59"/>
        <v>0</v>
      </c>
      <c r="K572" s="209"/>
      <c r="L572" s="434"/>
      <c r="M572" s="883"/>
      <c r="N572" s="11">
        <v>0</v>
      </c>
      <c r="O572" s="11">
        <v>0</v>
      </c>
      <c r="P572" s="11">
        <v>4250</v>
      </c>
      <c r="Q572" s="11">
        <v>0</v>
      </c>
      <c r="R572" s="773">
        <v>0</v>
      </c>
      <c r="S572" s="11">
        <v>0</v>
      </c>
      <c r="T572" s="773">
        <v>0</v>
      </c>
      <c r="U572" s="2173">
        <v>0</v>
      </c>
      <c r="V572" s="2509">
        <v>0</v>
      </c>
      <c r="W572" s="2509">
        <v>0</v>
      </c>
      <c r="X572" s="2509">
        <v>0</v>
      </c>
      <c r="Y572" s="2509">
        <v>0</v>
      </c>
      <c r="Z572" s="11">
        <f>'[26]New TB INC'!Z518</f>
        <v>0</v>
      </c>
      <c r="AA572" s="11">
        <f>'[27]New TB INC'!AA527</f>
        <v>0</v>
      </c>
      <c r="AB572" s="11">
        <f>'[28]New TB INC'!AB533</f>
        <v>0</v>
      </c>
      <c r="AC572" s="11">
        <f>'[29]New TB INC'!AC529</f>
        <v>0</v>
      </c>
      <c r="AD572" s="11">
        <f>'[30]New TB INC'!AD524</f>
        <v>0</v>
      </c>
      <c r="AE572" s="11">
        <f>'[31]New TB INC'!AE532</f>
        <v>0</v>
      </c>
      <c r="AF572" s="11">
        <v>0</v>
      </c>
      <c r="AG572" s="11">
        <v>0</v>
      </c>
      <c r="AH572" s="11">
        <v>0</v>
      </c>
      <c r="AI572" s="11">
        <v>0</v>
      </c>
      <c r="AJ572" s="11">
        <v>0</v>
      </c>
      <c r="AK572" s="11">
        <f>$J572-SUM($Z572:AJ572)</f>
        <v>0</v>
      </c>
      <c r="AW572" s="2509"/>
      <c r="BH572" s="2509"/>
      <c r="BI572" s="772"/>
      <c r="BJ572" s="2173"/>
      <c r="BK572" s="2173"/>
      <c r="BL572" s="773"/>
      <c r="BN572" s="773"/>
      <c r="BO572" s="209"/>
      <c r="BQ572" s="209"/>
      <c r="BR572" s="859"/>
      <c r="BS572" s="885"/>
      <c r="CI572" s="4"/>
      <c r="CJ572" s="4"/>
      <c r="DB572" s="773"/>
      <c r="DC572" s="773"/>
      <c r="DD572" s="773"/>
      <c r="DE572" s="773"/>
      <c r="DF572" s="773"/>
      <c r="DG572" s="773"/>
      <c r="DH572" s="773"/>
      <c r="DI572" s="773"/>
      <c r="DJ572" s="773"/>
      <c r="DK572" s="773"/>
      <c r="DL572" s="773"/>
      <c r="DM572" s="773"/>
      <c r="DN572" s="773"/>
      <c r="DO572" s="773"/>
      <c r="DP572" s="773"/>
      <c r="DQ572" s="773"/>
      <c r="DR572" s="773"/>
      <c r="DS572" s="773"/>
      <c r="DT572" s="773"/>
      <c r="DU572" s="773"/>
      <c r="DV572" s="773"/>
      <c r="DW572" s="773"/>
      <c r="DX572" s="773"/>
      <c r="DY572" s="773"/>
      <c r="DZ572" s="773"/>
      <c r="EA572" s="773"/>
      <c r="EB572" s="773"/>
      <c r="EC572" s="773"/>
      <c r="ED572" s="773"/>
      <c r="EE572" s="773"/>
      <c r="EF572" s="773"/>
      <c r="EG572" s="773"/>
      <c r="EH572" s="773"/>
      <c r="EI572" s="773"/>
      <c r="EJ572" s="773"/>
      <c r="EK572" s="773"/>
      <c r="EL572" s="773"/>
      <c r="EM572" s="773"/>
      <c r="EN572" s="773"/>
      <c r="EO572" s="773"/>
      <c r="EP572" s="773"/>
      <c r="EQ572" s="773"/>
      <c r="ER572" s="773"/>
      <c r="ES572" s="773"/>
      <c r="ET572" s="773"/>
      <c r="EU572" s="773"/>
      <c r="EV572" s="773"/>
      <c r="EW572" s="773"/>
      <c r="EX572" s="773"/>
      <c r="EY572" s="773"/>
      <c r="EZ572" s="773"/>
      <c r="FA572" s="773"/>
      <c r="FB572" s="773"/>
      <c r="FC572" s="773"/>
      <c r="FD572" s="773"/>
      <c r="FE572" s="773"/>
      <c r="FF572" s="773"/>
      <c r="FG572" s="773"/>
      <c r="FH572" s="773"/>
      <c r="FI572" s="773"/>
      <c r="FJ572" s="773"/>
      <c r="FK572" s="773"/>
      <c r="FL572" s="773"/>
      <c r="FM572" s="773"/>
      <c r="FN572" s="773"/>
      <c r="FO572" s="773"/>
      <c r="FP572" s="773"/>
      <c r="FQ572" s="773"/>
      <c r="FR572" s="773"/>
      <c r="FS572" s="773"/>
      <c r="FT572" s="773"/>
      <c r="FU572" s="773"/>
      <c r="FV572" s="773"/>
      <c r="FW572" s="773"/>
      <c r="FX572" s="773"/>
      <c r="FY572" s="773"/>
      <c r="FZ572" s="773"/>
      <c r="GA572" s="773"/>
      <c r="GB572" s="773"/>
      <c r="GC572" s="773"/>
      <c r="GD572" s="773"/>
      <c r="GE572" s="773"/>
      <c r="GF572" s="773"/>
      <c r="GG572" s="773"/>
      <c r="GH572" s="773"/>
      <c r="GI572" s="773"/>
      <c r="GJ572" s="773"/>
      <c r="GK572" s="773"/>
      <c r="GL572" s="773"/>
      <c r="GM572" s="773"/>
      <c r="GN572" s="773"/>
      <c r="GO572" s="773"/>
      <c r="GP572" s="773"/>
      <c r="GQ572" s="773"/>
      <c r="GR572" s="773"/>
      <c r="GS572" s="773"/>
      <c r="GT572" s="773"/>
      <c r="GU572" s="773"/>
      <c r="GV572" s="773"/>
      <c r="GW572" s="773"/>
      <c r="GX572" s="773"/>
      <c r="GY572" s="773"/>
      <c r="GZ572" s="773"/>
    </row>
    <row r="573" spans="1:208" s="11" customFormat="1">
      <c r="A573" s="774"/>
      <c r="B573" s="3762"/>
      <c r="C573" s="814"/>
      <c r="D573" s="199"/>
      <c r="E573" s="42"/>
      <c r="F573" s="108"/>
      <c r="G573" s="108"/>
      <c r="H573" s="108"/>
      <c r="I573" s="108"/>
      <c r="J573" s="798"/>
      <c r="K573" s="209"/>
      <c r="L573" s="434"/>
      <c r="M573" s="883"/>
      <c r="N573" s="11">
        <v>0</v>
      </c>
      <c r="O573" s="11">
        <v>0</v>
      </c>
      <c r="P573" s="11">
        <v>0</v>
      </c>
      <c r="Q573" s="11">
        <v>0</v>
      </c>
      <c r="R573" s="773">
        <v>0</v>
      </c>
      <c r="S573" s="11">
        <v>0</v>
      </c>
      <c r="T573" s="773">
        <v>0</v>
      </c>
      <c r="U573" s="2173">
        <v>0</v>
      </c>
      <c r="V573" s="2509">
        <v>0</v>
      </c>
      <c r="W573" s="2509">
        <v>0</v>
      </c>
      <c r="X573" s="2509">
        <v>0</v>
      </c>
      <c r="Y573" s="2509">
        <v>0</v>
      </c>
      <c r="Z573" s="11">
        <f>'[26]New TB INC'!Z519</f>
        <v>0</v>
      </c>
      <c r="AA573" s="11">
        <f>'[27]New TB INC'!AA528</f>
        <v>0</v>
      </c>
      <c r="AB573" s="11">
        <f>'[28]New TB INC'!AB534</f>
        <v>0</v>
      </c>
      <c r="AC573" s="11">
        <f>'[29]New TB INC'!AC530</f>
        <v>0</v>
      </c>
      <c r="AD573" s="11">
        <f>'[30]New TB INC'!AD525</f>
        <v>0</v>
      </c>
      <c r="AE573" s="11">
        <f>'[31]New TB INC'!AE533</f>
        <v>0</v>
      </c>
      <c r="AF573" s="11">
        <v>0</v>
      </c>
      <c r="AG573" s="11">
        <v>0</v>
      </c>
      <c r="AH573" s="11">
        <v>0</v>
      </c>
      <c r="AI573" s="11">
        <v>0</v>
      </c>
      <c r="AJ573" s="11">
        <v>0</v>
      </c>
      <c r="AK573" s="11">
        <f>$J573-SUM($Z573:AJ573)</f>
        <v>0</v>
      </c>
      <c r="AW573" s="2509"/>
      <c r="BH573" s="2509"/>
      <c r="BI573" s="772"/>
      <c r="BJ573" s="2173"/>
      <c r="BK573" s="2173"/>
      <c r="BL573" s="773"/>
      <c r="BN573" s="773"/>
      <c r="BO573" s="209"/>
      <c r="BQ573" s="209"/>
      <c r="BR573" s="859"/>
      <c r="BS573" s="885"/>
      <c r="CI573" s="4"/>
      <c r="CJ573" s="4"/>
      <c r="DB573" s="773"/>
      <c r="DC573" s="773"/>
      <c r="DD573" s="773"/>
      <c r="DE573" s="773"/>
      <c r="DF573" s="773"/>
      <c r="DG573" s="773"/>
      <c r="DH573" s="773"/>
      <c r="DI573" s="773"/>
      <c r="DJ573" s="773"/>
      <c r="DK573" s="773"/>
      <c r="DL573" s="773"/>
      <c r="DM573" s="773"/>
      <c r="DN573" s="773"/>
      <c r="DO573" s="773"/>
      <c r="DP573" s="773"/>
      <c r="DQ573" s="773"/>
      <c r="DR573" s="773"/>
      <c r="DS573" s="773"/>
      <c r="DT573" s="773"/>
      <c r="DU573" s="773"/>
      <c r="DV573" s="773"/>
      <c r="DW573" s="773"/>
      <c r="DX573" s="773"/>
      <c r="DY573" s="773"/>
      <c r="DZ573" s="773"/>
      <c r="EA573" s="773"/>
      <c r="EB573" s="773"/>
      <c r="EC573" s="773"/>
      <c r="ED573" s="773"/>
      <c r="EE573" s="773"/>
      <c r="EF573" s="773"/>
      <c r="EG573" s="773"/>
      <c r="EH573" s="773"/>
      <c r="EI573" s="773"/>
      <c r="EJ573" s="773"/>
      <c r="EK573" s="773"/>
      <c r="EL573" s="773"/>
      <c r="EM573" s="773"/>
      <c r="EN573" s="773"/>
      <c r="EO573" s="773"/>
      <c r="EP573" s="773"/>
      <c r="EQ573" s="773"/>
      <c r="ER573" s="773"/>
      <c r="ES573" s="773"/>
      <c r="ET573" s="773"/>
      <c r="EU573" s="773"/>
      <c r="EV573" s="773"/>
      <c r="EW573" s="773"/>
      <c r="EX573" s="773"/>
      <c r="EY573" s="773"/>
      <c r="EZ573" s="773"/>
      <c r="FA573" s="773"/>
      <c r="FB573" s="773"/>
      <c r="FC573" s="773"/>
      <c r="FD573" s="773"/>
      <c r="FE573" s="773"/>
      <c r="FF573" s="773"/>
      <c r="FG573" s="773"/>
      <c r="FH573" s="773"/>
      <c r="FI573" s="773"/>
      <c r="FJ573" s="773"/>
      <c r="FK573" s="773"/>
      <c r="FL573" s="773"/>
      <c r="FM573" s="773"/>
      <c r="FN573" s="773"/>
      <c r="FO573" s="773"/>
      <c r="FP573" s="773"/>
      <c r="FQ573" s="773"/>
      <c r="FR573" s="773"/>
      <c r="FS573" s="773"/>
      <c r="FT573" s="773"/>
      <c r="FU573" s="773"/>
      <c r="FV573" s="773"/>
      <c r="FW573" s="773"/>
      <c r="FX573" s="773"/>
      <c r="FY573" s="773"/>
      <c r="FZ573" s="773"/>
      <c r="GA573" s="773"/>
      <c r="GB573" s="773"/>
      <c r="GC573" s="773"/>
      <c r="GD573" s="773"/>
      <c r="GE573" s="773"/>
      <c r="GF573" s="773"/>
      <c r="GG573" s="773"/>
      <c r="GH573" s="773"/>
      <c r="GI573" s="773"/>
      <c r="GJ573" s="773"/>
      <c r="GK573" s="773"/>
      <c r="GL573" s="773"/>
      <c r="GM573" s="773"/>
      <c r="GN573" s="773"/>
      <c r="GO573" s="773"/>
      <c r="GP573" s="773"/>
      <c r="GQ573" s="773"/>
      <c r="GR573" s="773"/>
      <c r="GS573" s="773"/>
      <c r="GT573" s="773"/>
      <c r="GU573" s="773"/>
      <c r="GV573" s="773"/>
      <c r="GW573" s="773"/>
      <c r="GX573" s="773"/>
      <c r="GY573" s="773"/>
      <c r="GZ573" s="773"/>
    </row>
    <row r="574" spans="1:208" s="11" customFormat="1">
      <c r="A574" s="774"/>
      <c r="B574" s="3762" t="s">
        <v>732</v>
      </c>
      <c r="C574" s="197">
        <v>5800001</v>
      </c>
      <c r="D574" s="199" t="s">
        <v>733</v>
      </c>
      <c r="E574" s="42">
        <f>IFERROR(VLOOKUP(C574,'AJE 12 - INC'!$D$168:$F$771,3,0),0)</f>
        <v>0</v>
      </c>
      <c r="F574" s="108">
        <f>SUMIF('AJE 12 - INC'!B:B,'New TB INC'!C574,'AJE 12 - INC'!D:D)</f>
        <v>0</v>
      </c>
      <c r="G574" s="108"/>
      <c r="H574" s="108"/>
      <c r="I574" s="108"/>
      <c r="J574" s="798">
        <f>SUM(E574:I574)</f>
        <v>0</v>
      </c>
      <c r="K574" s="209"/>
      <c r="L574" s="434"/>
      <c r="M574" s="883"/>
      <c r="N574" s="11">
        <v>0</v>
      </c>
      <c r="O574" s="11">
        <v>0</v>
      </c>
      <c r="P574" s="11">
        <v>0</v>
      </c>
      <c r="Q574" s="11">
        <v>0</v>
      </c>
      <c r="R574" s="773">
        <v>0</v>
      </c>
      <c r="S574" s="11">
        <v>0</v>
      </c>
      <c r="T574" s="773">
        <v>0</v>
      </c>
      <c r="U574" s="2173">
        <v>0</v>
      </c>
      <c r="V574" s="2509">
        <v>0</v>
      </c>
      <c r="W574" s="2509">
        <v>0</v>
      </c>
      <c r="X574" s="2509">
        <v>0</v>
      </c>
      <c r="Y574" s="2509">
        <v>0</v>
      </c>
      <c r="Z574" s="11">
        <f>'[26]New TB INC'!Z520</f>
        <v>0</v>
      </c>
      <c r="AA574" s="11">
        <f>'[27]New TB INC'!AA529</f>
        <v>0</v>
      </c>
      <c r="AB574" s="11">
        <f>'[28]New TB INC'!AB535</f>
        <v>0</v>
      </c>
      <c r="AC574" s="11">
        <f>'[29]New TB INC'!AC531</f>
        <v>0</v>
      </c>
      <c r="AD574" s="11">
        <f>'[30]New TB INC'!AD526</f>
        <v>0</v>
      </c>
      <c r="AE574" s="11">
        <f>'[31]New TB INC'!AE534</f>
        <v>0</v>
      </c>
      <c r="AF574" s="11">
        <v>0</v>
      </c>
      <c r="AG574" s="11">
        <v>0</v>
      </c>
      <c r="AH574" s="11">
        <v>0</v>
      </c>
      <c r="AI574" s="11">
        <v>0</v>
      </c>
      <c r="AJ574" s="11">
        <v>0</v>
      </c>
      <c r="AK574" s="11">
        <f>$J574-SUM($Z574:AJ574)</f>
        <v>0</v>
      </c>
      <c r="AW574" s="2509"/>
      <c r="BH574" s="2509"/>
      <c r="BI574" s="772"/>
      <c r="BJ574" s="2173"/>
      <c r="BK574" s="2173"/>
      <c r="BL574" s="773"/>
      <c r="BN574" s="773"/>
      <c r="BO574" s="209"/>
      <c r="BQ574" s="209"/>
      <c r="BR574" s="859"/>
      <c r="BS574" s="885"/>
      <c r="CI574" s="4"/>
      <c r="CJ574" s="4"/>
      <c r="DB574" s="773"/>
      <c r="DC574" s="773"/>
      <c r="DD574" s="773"/>
      <c r="DE574" s="773"/>
      <c r="DF574" s="773"/>
      <c r="DG574" s="773"/>
      <c r="DH574" s="773"/>
      <c r="DI574" s="773"/>
      <c r="DJ574" s="773"/>
      <c r="DK574" s="773"/>
      <c r="DL574" s="773"/>
      <c r="DM574" s="773"/>
      <c r="DN574" s="773"/>
      <c r="DO574" s="773"/>
      <c r="DP574" s="773"/>
      <c r="DQ574" s="773"/>
      <c r="DR574" s="773"/>
      <c r="DS574" s="773"/>
      <c r="DT574" s="773"/>
      <c r="DU574" s="773"/>
      <c r="DV574" s="773"/>
      <c r="DW574" s="773"/>
      <c r="DX574" s="773"/>
      <c r="DY574" s="773"/>
      <c r="DZ574" s="773"/>
      <c r="EA574" s="773"/>
      <c r="EB574" s="773"/>
      <c r="EC574" s="773"/>
      <c r="ED574" s="773"/>
      <c r="EE574" s="773"/>
      <c r="EF574" s="773"/>
      <c r="EG574" s="773"/>
      <c r="EH574" s="773"/>
      <c r="EI574" s="773"/>
      <c r="EJ574" s="773"/>
      <c r="EK574" s="773"/>
      <c r="EL574" s="773"/>
      <c r="EM574" s="773"/>
      <c r="EN574" s="773"/>
      <c r="EO574" s="773"/>
      <c r="EP574" s="773"/>
      <c r="EQ574" s="773"/>
      <c r="ER574" s="773"/>
      <c r="ES574" s="773"/>
      <c r="ET574" s="773"/>
      <c r="EU574" s="773"/>
      <c r="EV574" s="773"/>
      <c r="EW574" s="773"/>
      <c r="EX574" s="773"/>
      <c r="EY574" s="773"/>
      <c r="EZ574" s="773"/>
      <c r="FA574" s="773"/>
      <c r="FB574" s="773"/>
      <c r="FC574" s="773"/>
      <c r="FD574" s="773"/>
      <c r="FE574" s="773"/>
      <c r="FF574" s="773"/>
      <c r="FG574" s="773"/>
      <c r="FH574" s="773"/>
      <c r="FI574" s="773"/>
      <c r="FJ574" s="773"/>
      <c r="FK574" s="773"/>
      <c r="FL574" s="773"/>
      <c r="FM574" s="773"/>
      <c r="FN574" s="773"/>
      <c r="FO574" s="773"/>
      <c r="FP574" s="773"/>
      <c r="FQ574" s="773"/>
      <c r="FR574" s="773"/>
      <c r="FS574" s="773"/>
      <c r="FT574" s="773"/>
      <c r="FU574" s="773"/>
      <c r="FV574" s="773"/>
      <c r="FW574" s="773"/>
      <c r="FX574" s="773"/>
      <c r="FY574" s="773"/>
      <c r="FZ574" s="773"/>
      <c r="GA574" s="773"/>
      <c r="GB574" s="773"/>
      <c r="GC574" s="773"/>
      <c r="GD574" s="773"/>
      <c r="GE574" s="773"/>
      <c r="GF574" s="773"/>
      <c r="GG574" s="773"/>
      <c r="GH574" s="773"/>
      <c r="GI574" s="773"/>
      <c r="GJ574" s="773"/>
      <c r="GK574" s="773"/>
      <c r="GL574" s="773"/>
      <c r="GM574" s="773"/>
      <c r="GN574" s="773"/>
      <c r="GO574" s="773"/>
      <c r="GP574" s="773"/>
      <c r="GQ574" s="773"/>
      <c r="GR574" s="773"/>
      <c r="GS574" s="773"/>
      <c r="GT574" s="773"/>
      <c r="GU574" s="773"/>
      <c r="GV574" s="773"/>
      <c r="GW574" s="773"/>
      <c r="GX574" s="773"/>
      <c r="GY574" s="773"/>
      <c r="GZ574" s="773"/>
    </row>
    <row r="575" spans="1:208" s="11" customFormat="1">
      <c r="A575" s="774"/>
      <c r="B575" s="3762" t="s">
        <v>2131</v>
      </c>
      <c r="C575" s="197">
        <v>5800002</v>
      </c>
      <c r="D575" s="199" t="s">
        <v>2274</v>
      </c>
      <c r="E575" s="42">
        <f>IFERROR(VLOOKUP(C575,'AJE 12 - INC'!$D$168:$F$771,3,0),0)</f>
        <v>74547.31</v>
      </c>
      <c r="F575" s="108">
        <f>SUMIF('AJE 12 - INC'!B:B,'New TB INC'!C575,'AJE 12 - INC'!D:D)</f>
        <v>0</v>
      </c>
      <c r="G575" s="108"/>
      <c r="H575" s="108"/>
      <c r="I575" s="108"/>
      <c r="J575" s="798">
        <f>SUM(E575:I575)</f>
        <v>74547.31</v>
      </c>
      <c r="K575" s="209"/>
      <c r="L575" s="434"/>
      <c r="M575" s="883"/>
      <c r="R575" s="773"/>
      <c r="S575" s="11">
        <v>0</v>
      </c>
      <c r="T575" s="773">
        <v>877.61</v>
      </c>
      <c r="U575" s="2173">
        <v>750.66</v>
      </c>
      <c r="V575" s="2509">
        <v>883.19</v>
      </c>
      <c r="W575" s="2509">
        <v>0</v>
      </c>
      <c r="X575" s="2509">
        <v>949.61999999999989</v>
      </c>
      <c r="Y575" s="2509">
        <v>1103.7300000000005</v>
      </c>
      <c r="Z575" s="11">
        <f>'[26]New TB INC'!Z521</f>
        <v>0</v>
      </c>
      <c r="AA575" s="11">
        <f>'[27]New TB INC'!AA530</f>
        <v>350</v>
      </c>
      <c r="AB575" s="11">
        <f>'[28]New TB INC'!AB536</f>
        <v>165.19000000000005</v>
      </c>
      <c r="AC575" s="11">
        <f>'[29]New TB INC'!AC532</f>
        <v>0</v>
      </c>
      <c r="AD575" s="11">
        <f>'[30]New TB INC'!AD527</f>
        <v>1208.79</v>
      </c>
      <c r="AE575" s="11">
        <f>'[31]New TB INC'!AE535</f>
        <v>0</v>
      </c>
      <c r="AF575" s="11">
        <v>20720</v>
      </c>
      <c r="AG575" s="11">
        <v>25760.000000000004</v>
      </c>
      <c r="AH575" s="11">
        <v>368.32999999999447</v>
      </c>
      <c r="AI575" s="11">
        <v>0</v>
      </c>
      <c r="AJ575" s="11">
        <v>215</v>
      </c>
      <c r="AK575" s="11">
        <f>$J575-SUM($Z575:AJ575)</f>
        <v>25760</v>
      </c>
      <c r="AW575" s="2509"/>
      <c r="BH575" s="2509"/>
      <c r="BI575" s="772"/>
      <c r="BJ575" s="2173"/>
      <c r="BK575" s="2173"/>
      <c r="BL575" s="773"/>
      <c r="BN575" s="773"/>
      <c r="BO575" s="209"/>
      <c r="BQ575" s="209"/>
      <c r="BR575" s="859"/>
      <c r="BS575" s="885"/>
      <c r="CI575" s="4"/>
      <c r="CJ575" s="4"/>
      <c r="DB575" s="773"/>
      <c r="DC575" s="773"/>
      <c r="DD575" s="773"/>
      <c r="DE575" s="773"/>
      <c r="DF575" s="773"/>
      <c r="DG575" s="773"/>
      <c r="DH575" s="773"/>
      <c r="DI575" s="773"/>
      <c r="DJ575" s="773"/>
      <c r="DK575" s="773"/>
      <c r="DL575" s="773"/>
      <c r="DM575" s="773"/>
      <c r="DN575" s="773"/>
      <c r="DO575" s="773"/>
      <c r="DP575" s="773"/>
      <c r="DQ575" s="773"/>
      <c r="DR575" s="773"/>
      <c r="DS575" s="773"/>
      <c r="DT575" s="773"/>
      <c r="DU575" s="773"/>
      <c r="DV575" s="773"/>
      <c r="DW575" s="773"/>
      <c r="DX575" s="773"/>
      <c r="DY575" s="773"/>
      <c r="DZ575" s="773"/>
      <c r="EA575" s="773"/>
      <c r="EB575" s="773"/>
      <c r="EC575" s="773"/>
      <c r="ED575" s="773"/>
      <c r="EE575" s="773"/>
      <c r="EF575" s="773"/>
      <c r="EG575" s="773"/>
      <c r="EH575" s="773"/>
      <c r="EI575" s="773"/>
      <c r="EJ575" s="773"/>
      <c r="EK575" s="773"/>
      <c r="EL575" s="773"/>
      <c r="EM575" s="773"/>
      <c r="EN575" s="773"/>
      <c r="EO575" s="773"/>
      <c r="EP575" s="773"/>
      <c r="EQ575" s="773"/>
      <c r="ER575" s="773"/>
      <c r="ES575" s="773"/>
      <c r="ET575" s="773"/>
      <c r="EU575" s="773"/>
      <c r="EV575" s="773"/>
      <c r="EW575" s="773"/>
      <c r="EX575" s="773"/>
      <c r="EY575" s="773"/>
      <c r="EZ575" s="773"/>
      <c r="FA575" s="773"/>
      <c r="FB575" s="773"/>
      <c r="FC575" s="773"/>
      <c r="FD575" s="773"/>
      <c r="FE575" s="773"/>
      <c r="FF575" s="773"/>
      <c r="FG575" s="773"/>
      <c r="FH575" s="773"/>
      <c r="FI575" s="773"/>
      <c r="FJ575" s="773"/>
      <c r="FK575" s="773"/>
      <c r="FL575" s="773"/>
      <c r="FM575" s="773"/>
      <c r="FN575" s="773"/>
      <c r="FO575" s="773"/>
      <c r="FP575" s="773"/>
      <c r="FQ575" s="773"/>
      <c r="FR575" s="773"/>
      <c r="FS575" s="773"/>
      <c r="FT575" s="773"/>
      <c r="FU575" s="773"/>
      <c r="FV575" s="773"/>
      <c r="FW575" s="773"/>
      <c r="FX575" s="773"/>
      <c r="FY575" s="773"/>
      <c r="FZ575" s="773"/>
      <c r="GA575" s="773"/>
      <c r="GB575" s="773"/>
      <c r="GC575" s="773"/>
      <c r="GD575" s="773"/>
      <c r="GE575" s="773"/>
      <c r="GF575" s="773"/>
      <c r="GG575" s="773"/>
      <c r="GH575" s="773"/>
      <c r="GI575" s="773"/>
      <c r="GJ575" s="773"/>
      <c r="GK575" s="773"/>
      <c r="GL575" s="773"/>
      <c r="GM575" s="773"/>
      <c r="GN575" s="773"/>
      <c r="GO575" s="773"/>
      <c r="GP575" s="773"/>
      <c r="GQ575" s="773"/>
      <c r="GR575" s="773"/>
      <c r="GS575" s="773"/>
      <c r="GT575" s="773"/>
      <c r="GU575" s="773"/>
      <c r="GV575" s="773"/>
      <c r="GW575" s="773"/>
      <c r="GX575" s="773"/>
      <c r="GY575" s="773"/>
      <c r="GZ575" s="773"/>
    </row>
    <row r="576" spans="1:208" s="11" customFormat="1">
      <c r="A576" s="774"/>
      <c r="B576" s="3762" t="s">
        <v>732</v>
      </c>
      <c r="C576" s="197">
        <v>5800003</v>
      </c>
      <c r="D576" s="199" t="s">
        <v>1745</v>
      </c>
      <c r="E576" s="42">
        <f>IFERROR(VLOOKUP(C576,'AJE 12 - INC'!$D$168:$F$771,3,0),0)</f>
        <v>0</v>
      </c>
      <c r="F576" s="108">
        <f>SUMIF('AJE 12 - INC'!B:B,'New TB INC'!C576,'AJE 12 - INC'!D:D)</f>
        <v>0</v>
      </c>
      <c r="G576" s="108"/>
      <c r="H576" s="108"/>
      <c r="I576" s="108"/>
      <c r="J576" s="798">
        <f>SUM(E576:I576)</f>
        <v>0</v>
      </c>
      <c r="K576" s="209"/>
      <c r="L576" s="434"/>
      <c r="M576" s="883"/>
      <c r="N576" s="11">
        <v>0</v>
      </c>
      <c r="O576" s="11">
        <v>1579.61</v>
      </c>
      <c r="P576" s="11">
        <v>0</v>
      </c>
      <c r="Q576" s="11">
        <v>0</v>
      </c>
      <c r="R576" s="773">
        <v>0</v>
      </c>
      <c r="S576" s="11">
        <v>0</v>
      </c>
      <c r="T576" s="773">
        <v>0</v>
      </c>
      <c r="U576" s="2173">
        <v>0</v>
      </c>
      <c r="V576" s="2509">
        <v>0</v>
      </c>
      <c r="W576" s="2509">
        <v>0</v>
      </c>
      <c r="X576" s="2509">
        <v>0</v>
      </c>
      <c r="Y576" s="2509">
        <v>0</v>
      </c>
      <c r="Z576" s="11">
        <f>'[26]New TB INC'!Z522</f>
        <v>0</v>
      </c>
      <c r="AA576" s="11">
        <f>'[27]New TB INC'!AA531</f>
        <v>0</v>
      </c>
      <c r="AB576" s="11">
        <f>'[28]New TB INC'!AB537</f>
        <v>0</v>
      </c>
      <c r="AC576" s="11">
        <f>'[29]New TB INC'!AC533</f>
        <v>0</v>
      </c>
      <c r="AD576" s="11">
        <f>'[30]New TB INC'!AD528</f>
        <v>0</v>
      </c>
      <c r="AE576" s="11">
        <f>'[31]New TB INC'!AE536</f>
        <v>0</v>
      </c>
      <c r="AF576" s="11">
        <v>0</v>
      </c>
      <c r="AG576" s="11">
        <v>0</v>
      </c>
      <c r="AH576" s="11">
        <v>0</v>
      </c>
      <c r="AI576" s="11">
        <v>0</v>
      </c>
      <c r="AJ576" s="11">
        <v>0</v>
      </c>
      <c r="AK576" s="11">
        <f>$J576-SUM($Z576:AJ576)</f>
        <v>0</v>
      </c>
      <c r="AW576" s="2509"/>
      <c r="BH576" s="2509"/>
      <c r="BI576" s="772"/>
      <c r="BJ576" s="2173"/>
      <c r="BK576" s="2173"/>
      <c r="BL576" s="773"/>
      <c r="BN576" s="773"/>
      <c r="BO576" s="209"/>
      <c r="BQ576" s="209"/>
      <c r="BR576" s="859"/>
      <c r="BS576" s="885"/>
      <c r="CI576" s="4"/>
      <c r="CJ576" s="4"/>
      <c r="DB576" s="773"/>
      <c r="DC576" s="773"/>
      <c r="DD576" s="773"/>
      <c r="DE576" s="773"/>
      <c r="DF576" s="773"/>
      <c r="DG576" s="773"/>
      <c r="DH576" s="773"/>
      <c r="DI576" s="773"/>
      <c r="DJ576" s="773"/>
      <c r="DK576" s="773"/>
      <c r="DL576" s="773"/>
      <c r="DM576" s="773"/>
      <c r="DN576" s="773"/>
      <c r="DO576" s="773"/>
      <c r="DP576" s="773"/>
      <c r="DQ576" s="773"/>
      <c r="DR576" s="773"/>
      <c r="DS576" s="773"/>
      <c r="DT576" s="773"/>
      <c r="DU576" s="773"/>
      <c r="DV576" s="773"/>
      <c r="DW576" s="773"/>
      <c r="DX576" s="773"/>
      <c r="DY576" s="773"/>
      <c r="DZ576" s="773"/>
      <c r="EA576" s="773"/>
      <c r="EB576" s="773"/>
      <c r="EC576" s="773"/>
      <c r="ED576" s="773"/>
      <c r="EE576" s="773"/>
      <c r="EF576" s="773"/>
      <c r="EG576" s="773"/>
      <c r="EH576" s="773"/>
      <c r="EI576" s="773"/>
      <c r="EJ576" s="773"/>
      <c r="EK576" s="773"/>
      <c r="EL576" s="773"/>
      <c r="EM576" s="773"/>
      <c r="EN576" s="773"/>
      <c r="EO576" s="773"/>
      <c r="EP576" s="773"/>
      <c r="EQ576" s="773"/>
      <c r="ER576" s="773"/>
      <c r="ES576" s="773"/>
      <c r="ET576" s="773"/>
      <c r="EU576" s="773"/>
      <c r="EV576" s="773"/>
      <c r="EW576" s="773"/>
      <c r="EX576" s="773"/>
      <c r="EY576" s="773"/>
      <c r="EZ576" s="773"/>
      <c r="FA576" s="773"/>
      <c r="FB576" s="773"/>
      <c r="FC576" s="773"/>
      <c r="FD576" s="773"/>
      <c r="FE576" s="773"/>
      <c r="FF576" s="773"/>
      <c r="FG576" s="773"/>
      <c r="FH576" s="773"/>
      <c r="FI576" s="773"/>
      <c r="FJ576" s="773"/>
      <c r="FK576" s="773"/>
      <c r="FL576" s="773"/>
      <c r="FM576" s="773"/>
      <c r="FN576" s="773"/>
      <c r="FO576" s="773"/>
      <c r="FP576" s="773"/>
      <c r="FQ576" s="773"/>
      <c r="FR576" s="773"/>
      <c r="FS576" s="773"/>
      <c r="FT576" s="773"/>
      <c r="FU576" s="773"/>
      <c r="FV576" s="773"/>
      <c r="FW576" s="773"/>
      <c r="FX576" s="773"/>
      <c r="FY576" s="773"/>
      <c r="FZ576" s="773"/>
      <c r="GA576" s="773"/>
      <c r="GB576" s="773"/>
      <c r="GC576" s="773"/>
      <c r="GD576" s="773"/>
      <c r="GE576" s="773"/>
      <c r="GF576" s="773"/>
      <c r="GG576" s="773"/>
      <c r="GH576" s="773"/>
      <c r="GI576" s="773"/>
      <c r="GJ576" s="773"/>
      <c r="GK576" s="773"/>
      <c r="GL576" s="773"/>
      <c r="GM576" s="773"/>
      <c r="GN576" s="773"/>
      <c r="GO576" s="773"/>
      <c r="GP576" s="773"/>
      <c r="GQ576" s="773"/>
      <c r="GR576" s="773"/>
      <c r="GS576" s="773"/>
      <c r="GT576" s="773"/>
      <c r="GU576" s="773"/>
      <c r="GV576" s="773"/>
      <c r="GW576" s="773"/>
      <c r="GX576" s="773"/>
      <c r="GY576" s="773"/>
      <c r="GZ576" s="773"/>
    </row>
    <row r="577" spans="1:208" s="11" customFormat="1">
      <c r="A577" s="774"/>
      <c r="B577" s="3762"/>
      <c r="C577" s="814"/>
      <c r="D577" s="199"/>
      <c r="E577" s="42"/>
      <c r="F577" s="108"/>
      <c r="G577" s="108"/>
      <c r="H577" s="108"/>
      <c r="I577" s="108"/>
      <c r="J577" s="798"/>
      <c r="K577" s="209"/>
      <c r="L577" s="434"/>
      <c r="M577" s="883"/>
      <c r="N577" s="11">
        <v>0</v>
      </c>
      <c r="O577" s="11">
        <v>0</v>
      </c>
      <c r="P577" s="11">
        <v>0</v>
      </c>
      <c r="Q577" s="11">
        <v>0</v>
      </c>
      <c r="R577" s="773">
        <v>0</v>
      </c>
      <c r="T577" s="773">
        <v>0</v>
      </c>
      <c r="U577" s="2173">
        <v>0</v>
      </c>
      <c r="V577" s="2509">
        <v>0</v>
      </c>
      <c r="W577" s="2509">
        <v>0</v>
      </c>
      <c r="X577" s="2509">
        <v>0</v>
      </c>
      <c r="Y577" s="2509">
        <v>0</v>
      </c>
      <c r="Z577" s="11">
        <f>'[26]New TB INC'!Z523</f>
        <v>0</v>
      </c>
      <c r="AA577" s="11">
        <f>'[27]New TB INC'!AA532</f>
        <v>0</v>
      </c>
      <c r="AB577" s="11">
        <f>'[28]New TB INC'!AB538</f>
        <v>0</v>
      </c>
      <c r="AC577" s="11">
        <f>'[29]New TB INC'!AC534</f>
        <v>0</v>
      </c>
      <c r="AD577" s="11">
        <f>'[30]New TB INC'!AD529</f>
        <v>0</v>
      </c>
      <c r="AE577" s="11">
        <f>'[31]New TB INC'!AE537</f>
        <v>0</v>
      </c>
      <c r="AF577" s="11">
        <v>0</v>
      </c>
      <c r="AG577" s="11">
        <v>0</v>
      </c>
      <c r="AH577" s="11">
        <v>0</v>
      </c>
      <c r="AI577" s="11">
        <v>0</v>
      </c>
      <c r="AJ577" s="11">
        <v>0</v>
      </c>
      <c r="AK577" s="11">
        <f>$J577-SUM($Z577:AJ577)</f>
        <v>0</v>
      </c>
      <c r="AW577" s="2509"/>
      <c r="BH577" s="2509"/>
      <c r="BI577" s="772"/>
      <c r="BJ577" s="2173"/>
      <c r="BK577" s="2173"/>
      <c r="BN577" s="773"/>
      <c r="BO577" s="209"/>
      <c r="BQ577" s="209"/>
      <c r="BR577" s="859"/>
      <c r="BS577" s="885"/>
      <c r="CI577" s="4"/>
      <c r="CJ577" s="4"/>
      <c r="DB577" s="773"/>
      <c r="DC577" s="773"/>
      <c r="DD577" s="773"/>
      <c r="DE577" s="773"/>
      <c r="DF577" s="773"/>
      <c r="DG577" s="773"/>
      <c r="DH577" s="773"/>
      <c r="DI577" s="773"/>
      <c r="DJ577" s="773"/>
      <c r="DK577" s="773"/>
      <c r="DL577" s="773"/>
      <c r="DM577" s="773"/>
      <c r="DN577" s="773"/>
      <c r="DO577" s="773"/>
      <c r="DP577" s="773"/>
      <c r="DQ577" s="773"/>
      <c r="DR577" s="773"/>
      <c r="DS577" s="773"/>
      <c r="DT577" s="773"/>
      <c r="DU577" s="773"/>
      <c r="DV577" s="773"/>
      <c r="DW577" s="773"/>
      <c r="DX577" s="773"/>
      <c r="DY577" s="773"/>
      <c r="DZ577" s="773"/>
      <c r="EA577" s="773"/>
      <c r="EB577" s="773"/>
      <c r="EC577" s="773"/>
      <c r="ED577" s="773"/>
      <c r="EE577" s="773"/>
      <c r="EF577" s="773"/>
      <c r="EG577" s="773"/>
      <c r="EH577" s="773"/>
      <c r="EI577" s="773"/>
      <c r="EJ577" s="773"/>
      <c r="EK577" s="773"/>
      <c r="EL577" s="773"/>
      <c r="EM577" s="773"/>
      <c r="EN577" s="773"/>
      <c r="EO577" s="773"/>
      <c r="EP577" s="773"/>
      <c r="EQ577" s="773"/>
      <c r="ER577" s="773"/>
      <c r="ES577" s="773"/>
      <c r="ET577" s="773"/>
      <c r="EU577" s="773"/>
      <c r="EV577" s="773"/>
      <c r="EW577" s="773"/>
      <c r="EX577" s="773"/>
      <c r="EY577" s="773"/>
      <c r="EZ577" s="773"/>
      <c r="FA577" s="773"/>
      <c r="FB577" s="773"/>
      <c r="FC577" s="773"/>
      <c r="FD577" s="773"/>
      <c r="FE577" s="773"/>
      <c r="FF577" s="773"/>
      <c r="FG577" s="773"/>
      <c r="FH577" s="773"/>
      <c r="FI577" s="773"/>
      <c r="FJ577" s="773"/>
      <c r="FK577" s="773"/>
      <c r="FL577" s="773"/>
      <c r="FM577" s="773"/>
      <c r="FN577" s="773"/>
      <c r="FO577" s="773"/>
      <c r="FP577" s="773"/>
      <c r="FQ577" s="773"/>
      <c r="FR577" s="773"/>
      <c r="FS577" s="773"/>
      <c r="FT577" s="773"/>
      <c r="FU577" s="773"/>
      <c r="FV577" s="773"/>
      <c r="FW577" s="773"/>
      <c r="FX577" s="773"/>
      <c r="FY577" s="773"/>
      <c r="FZ577" s="773"/>
      <c r="GA577" s="773"/>
      <c r="GB577" s="773"/>
      <c r="GC577" s="773"/>
      <c r="GD577" s="773"/>
      <c r="GE577" s="773"/>
      <c r="GF577" s="773"/>
      <c r="GG577" s="773"/>
      <c r="GH577" s="773"/>
      <c r="GI577" s="773"/>
      <c r="GJ577" s="773"/>
      <c r="GK577" s="773"/>
      <c r="GL577" s="773"/>
      <c r="GM577" s="773"/>
      <c r="GN577" s="773"/>
      <c r="GO577" s="773"/>
      <c r="GP577" s="773"/>
      <c r="GQ577" s="773"/>
      <c r="GR577" s="773"/>
      <c r="GS577" s="773"/>
      <c r="GT577" s="773"/>
      <c r="GU577" s="773"/>
      <c r="GV577" s="773"/>
      <c r="GW577" s="773"/>
      <c r="GX577" s="773"/>
      <c r="GY577" s="773"/>
      <c r="GZ577" s="773"/>
    </row>
    <row r="578" spans="1:208" s="11" customFormat="1">
      <c r="A578" s="774"/>
      <c r="B578" s="3762" t="s">
        <v>734</v>
      </c>
      <c r="C578" s="197">
        <v>5900001</v>
      </c>
      <c r="D578" s="199" t="s">
        <v>735</v>
      </c>
      <c r="E578" s="798">
        <f>IFERROR(VLOOKUP(C578,'AJE 12 - INC'!$D$168:$F$771,3,0),0)</f>
        <v>15404371.859999999</v>
      </c>
      <c r="F578" s="108">
        <f>SUMIF('AJE 12 - INC'!B:B,'New TB INC'!C578,'AJE 12 - INC'!D:D)</f>
        <v>0</v>
      </c>
      <c r="G578" s="108"/>
      <c r="H578" s="108"/>
      <c r="I578" s="108"/>
      <c r="J578" s="798">
        <f>SUM(E578:I578)</f>
        <v>15404371.859999999</v>
      </c>
      <c r="K578" s="209"/>
      <c r="L578" s="434"/>
      <c r="M578" s="842"/>
      <c r="N578" s="11">
        <v>214287</v>
      </c>
      <c r="O578" s="11">
        <v>318115</v>
      </c>
      <c r="P578" s="11">
        <v>1891020</v>
      </c>
      <c r="Q578" s="11">
        <v>903752</v>
      </c>
      <c r="R578" s="773">
        <v>598879</v>
      </c>
      <c r="S578" s="11">
        <v>3599714</v>
      </c>
      <c r="T578" s="773">
        <v>1931074.4284999985</v>
      </c>
      <c r="U578" s="2173">
        <v>789357.26324999891</v>
      </c>
      <c r="V578" s="2509">
        <v>1939151.6782500017</v>
      </c>
      <c r="W578" s="2509">
        <v>736891.46724999696</v>
      </c>
      <c r="X578" s="2509">
        <v>1770453.0689579286</v>
      </c>
      <c r="Y578" s="2509">
        <v>1721638.0454428084</v>
      </c>
      <c r="Z578" s="11">
        <f>'[26]New TB INC'!Z524</f>
        <v>901809.54450000066</v>
      </c>
      <c r="AA578" s="11">
        <f>'[27]New TB INC'!AA533</f>
        <v>718478.04174999951</v>
      </c>
      <c r="AB578" s="11">
        <f>'[28]New TB INC'!AB539</f>
        <v>1662916.09375</v>
      </c>
      <c r="AC578" s="11">
        <f>'[29]New TB INC'!AC535</f>
        <v>828771.42274999944</v>
      </c>
      <c r="AD578" s="11">
        <f>'[30]New TB INC'!AD530</f>
        <v>2282033.7702500029</v>
      </c>
      <c r="AE578" s="11">
        <f>'[31]New TB INC'!AE538</f>
        <v>1815896.7369999979</v>
      </c>
      <c r="AF578" s="11">
        <v>665130.03600000124</v>
      </c>
      <c r="AG578" s="11">
        <v>1694778.8145202491</v>
      </c>
      <c r="AH578" s="11">
        <v>1909269.9094797485</v>
      </c>
      <c r="AI578" s="11">
        <v>1424776.071750002</v>
      </c>
      <c r="AJ578" s="11">
        <v>1753503.3757500052</v>
      </c>
      <c r="AK578" s="11">
        <f>$J578-SUM($Z578:AJ578)</f>
        <v>-252991.957500007</v>
      </c>
      <c r="AW578" s="2509"/>
      <c r="BH578" s="2509"/>
      <c r="BI578" s="772"/>
      <c r="BJ578" s="2173"/>
      <c r="BK578" s="2173"/>
      <c r="BL578" s="773"/>
      <c r="BN578" s="773"/>
      <c r="BO578" s="209"/>
      <c r="BQ578" s="209"/>
      <c r="BR578" s="859"/>
      <c r="BS578" s="885"/>
      <c r="CI578" s="4"/>
      <c r="CJ578" s="4"/>
      <c r="DB578" s="773"/>
      <c r="DC578" s="773"/>
      <c r="DD578" s="773"/>
      <c r="DE578" s="773"/>
      <c r="DF578" s="773"/>
      <c r="DG578" s="773"/>
      <c r="DH578" s="773"/>
      <c r="DI578" s="773"/>
      <c r="DJ578" s="773"/>
      <c r="DK578" s="773"/>
      <c r="DL578" s="773"/>
      <c r="DM578" s="773"/>
      <c r="DN578" s="773"/>
      <c r="DO578" s="773"/>
      <c r="DP578" s="773"/>
      <c r="DQ578" s="773"/>
      <c r="DR578" s="773"/>
      <c r="DS578" s="773"/>
      <c r="DT578" s="773"/>
      <c r="DU578" s="773"/>
      <c r="DV578" s="773"/>
      <c r="DW578" s="773"/>
      <c r="DX578" s="773"/>
      <c r="DY578" s="773"/>
      <c r="DZ578" s="773"/>
      <c r="EA578" s="773"/>
      <c r="EB578" s="773"/>
      <c r="EC578" s="773"/>
      <c r="ED578" s="773"/>
      <c r="EE578" s="773"/>
      <c r="EF578" s="773"/>
      <c r="EG578" s="773"/>
      <c r="EH578" s="773"/>
      <c r="EI578" s="773"/>
      <c r="EJ578" s="773"/>
      <c r="EK578" s="773"/>
      <c r="EL578" s="773"/>
      <c r="EM578" s="773"/>
      <c r="EN578" s="773"/>
      <c r="EO578" s="773"/>
      <c r="EP578" s="773"/>
      <c r="EQ578" s="773"/>
      <c r="ER578" s="773"/>
      <c r="ES578" s="773"/>
      <c r="ET578" s="773"/>
      <c r="EU578" s="773"/>
      <c r="EV578" s="773"/>
      <c r="EW578" s="773"/>
      <c r="EX578" s="773"/>
      <c r="EY578" s="773"/>
      <c r="EZ578" s="773"/>
      <c r="FA578" s="773"/>
      <c r="FB578" s="773"/>
      <c r="FC578" s="773"/>
      <c r="FD578" s="773"/>
      <c r="FE578" s="773"/>
      <c r="FF578" s="773"/>
      <c r="FG578" s="773"/>
      <c r="FH578" s="773"/>
      <c r="FI578" s="773"/>
      <c r="FJ578" s="773"/>
      <c r="FK578" s="773"/>
      <c r="FL578" s="773"/>
      <c r="FM578" s="773"/>
      <c r="FN578" s="773"/>
      <c r="FO578" s="773"/>
      <c r="FP578" s="773"/>
      <c r="FQ578" s="773"/>
      <c r="FR578" s="773"/>
      <c r="FS578" s="773"/>
      <c r="FT578" s="773"/>
      <c r="FU578" s="773"/>
      <c r="FV578" s="773"/>
      <c r="FW578" s="773"/>
      <c r="FX578" s="773"/>
      <c r="FY578" s="773"/>
      <c r="FZ578" s="773"/>
      <c r="GA578" s="773"/>
      <c r="GB578" s="773"/>
      <c r="GC578" s="773"/>
      <c r="GD578" s="773"/>
      <c r="GE578" s="773"/>
      <c r="GF578" s="773"/>
      <c r="GG578" s="773"/>
      <c r="GH578" s="773"/>
      <c r="GI578" s="773"/>
      <c r="GJ578" s="773"/>
      <c r="GK578" s="773"/>
      <c r="GL578" s="773"/>
      <c r="GM578" s="773"/>
      <c r="GN578" s="773"/>
      <c r="GO578" s="773"/>
      <c r="GP578" s="773"/>
      <c r="GQ578" s="773"/>
      <c r="GR578" s="773"/>
      <c r="GS578" s="773"/>
      <c r="GT578" s="773"/>
      <c r="GU578" s="773"/>
      <c r="GV578" s="773"/>
      <c r="GW578" s="773"/>
      <c r="GX578" s="773"/>
      <c r="GY578" s="773"/>
      <c r="GZ578" s="773"/>
    </row>
    <row r="579" spans="1:208" s="11" customFormat="1">
      <c r="A579" s="774"/>
      <c r="B579" s="3762"/>
      <c r="C579" s="890"/>
      <c r="D579" s="891"/>
      <c r="E579" s="809"/>
      <c r="F579" s="809"/>
      <c r="G579" s="769"/>
      <c r="H579" s="769"/>
      <c r="I579" s="769"/>
      <c r="J579" s="798"/>
      <c r="K579" s="209"/>
      <c r="L579" s="449"/>
      <c r="M579" s="828"/>
      <c r="N579" s="11">
        <v>0</v>
      </c>
      <c r="O579" s="11">
        <v>0</v>
      </c>
      <c r="P579" s="11">
        <v>0</v>
      </c>
      <c r="Q579" s="11">
        <v>0</v>
      </c>
      <c r="R579" s="773">
        <v>0</v>
      </c>
      <c r="S579" s="11">
        <v>0</v>
      </c>
      <c r="T579" s="773">
        <v>0</v>
      </c>
      <c r="U579" s="2173">
        <v>0</v>
      </c>
      <c r="V579" s="2509">
        <v>0</v>
      </c>
      <c r="W579" s="2509">
        <v>0</v>
      </c>
      <c r="X579" s="2509">
        <v>0</v>
      </c>
      <c r="Y579" s="2509">
        <v>0</v>
      </c>
      <c r="Z579" s="11">
        <f>'[26]New TB INC'!Z525</f>
        <v>0</v>
      </c>
      <c r="AA579" s="11">
        <f>'[27]New TB INC'!AA534</f>
        <v>0</v>
      </c>
      <c r="AB579" s="11">
        <f>'[28]New TB INC'!AB540</f>
        <v>0</v>
      </c>
      <c r="AC579" s="11">
        <f>'[29]New TB INC'!AC536</f>
        <v>0</v>
      </c>
      <c r="AD579" s="11">
        <f>'[30]New TB INC'!AD531</f>
        <v>0</v>
      </c>
      <c r="AE579" s="11">
        <f>'[31]New TB INC'!AE539</f>
        <v>0</v>
      </c>
      <c r="AF579" s="11">
        <v>0</v>
      </c>
      <c r="AG579" s="11">
        <v>0</v>
      </c>
      <c r="AH579" s="11">
        <v>0</v>
      </c>
      <c r="AI579" s="11">
        <v>0</v>
      </c>
      <c r="AJ579" s="11">
        <v>0</v>
      </c>
      <c r="AK579" s="11">
        <f>$J579-SUM($Z579:AJ579)</f>
        <v>0</v>
      </c>
      <c r="AW579" s="2509"/>
      <c r="BH579" s="2509"/>
      <c r="BI579" s="772"/>
      <c r="BJ579" s="2173"/>
      <c r="BK579" s="2173"/>
      <c r="BL579" s="773"/>
      <c r="BN579" s="773"/>
      <c r="BO579" s="209"/>
      <c r="BQ579" s="209"/>
      <c r="BR579" s="859"/>
      <c r="BS579" s="885"/>
      <c r="BT579" s="209"/>
      <c r="BU579" s="209"/>
      <c r="BV579" s="209"/>
      <c r="BW579" s="209"/>
      <c r="BX579" s="209"/>
      <c r="DB579" s="773"/>
      <c r="DC579" s="773"/>
      <c r="DD579" s="773"/>
      <c r="DE579" s="773"/>
      <c r="DF579" s="773"/>
      <c r="DG579" s="773"/>
      <c r="DH579" s="773"/>
      <c r="DI579" s="773"/>
      <c r="DJ579" s="773"/>
      <c r="DK579" s="773"/>
      <c r="DL579" s="773"/>
      <c r="DM579" s="773"/>
      <c r="DN579" s="773"/>
      <c r="DO579" s="773"/>
      <c r="DP579" s="773"/>
      <c r="DQ579" s="773"/>
      <c r="DR579" s="773"/>
      <c r="DS579" s="773"/>
      <c r="DT579" s="773"/>
      <c r="DU579" s="773"/>
      <c r="DV579" s="773"/>
      <c r="DW579" s="773"/>
      <c r="DX579" s="773"/>
      <c r="DY579" s="773"/>
      <c r="DZ579" s="773"/>
      <c r="EA579" s="773"/>
      <c r="EB579" s="773"/>
      <c r="EC579" s="773"/>
      <c r="ED579" s="773"/>
      <c r="EE579" s="773"/>
      <c r="EF579" s="773"/>
      <c r="EG579" s="773"/>
      <c r="EH579" s="773"/>
      <c r="EI579" s="773"/>
      <c r="EJ579" s="773"/>
      <c r="EK579" s="773"/>
      <c r="EL579" s="773"/>
      <c r="EM579" s="773"/>
      <c r="EN579" s="773"/>
      <c r="EO579" s="773"/>
      <c r="EP579" s="773"/>
      <c r="EQ579" s="773"/>
      <c r="ER579" s="773"/>
      <c r="ES579" s="773"/>
      <c r="ET579" s="773"/>
      <c r="EU579" s="773"/>
      <c r="EV579" s="773"/>
      <c r="EW579" s="773"/>
      <c r="EX579" s="773"/>
      <c r="EY579" s="773"/>
      <c r="EZ579" s="773"/>
      <c r="FA579" s="773"/>
      <c r="FB579" s="773"/>
      <c r="FC579" s="773"/>
      <c r="FD579" s="773"/>
      <c r="FE579" s="773"/>
      <c r="FF579" s="773"/>
      <c r="FG579" s="773"/>
      <c r="FH579" s="773"/>
      <c r="FI579" s="773"/>
      <c r="FJ579" s="773"/>
      <c r="FK579" s="773"/>
      <c r="FL579" s="773"/>
      <c r="FM579" s="773"/>
      <c r="FN579" s="773"/>
      <c r="FO579" s="773"/>
      <c r="FP579" s="773"/>
      <c r="FQ579" s="773"/>
      <c r="FR579" s="773"/>
      <c r="FS579" s="773"/>
      <c r="FT579" s="773"/>
      <c r="FU579" s="773"/>
      <c r="FV579" s="773"/>
      <c r="FW579" s="773"/>
      <c r="FX579" s="773"/>
      <c r="FY579" s="773"/>
      <c r="FZ579" s="773"/>
      <c r="GA579" s="773"/>
      <c r="GB579" s="773"/>
      <c r="GC579" s="773"/>
      <c r="GD579" s="773"/>
      <c r="GE579" s="773"/>
      <c r="GF579" s="773"/>
      <c r="GG579" s="773"/>
      <c r="GH579" s="773"/>
      <c r="GI579" s="773"/>
      <c r="GJ579" s="773"/>
      <c r="GK579" s="773"/>
      <c r="GL579" s="773"/>
      <c r="GM579" s="773"/>
      <c r="GN579" s="773"/>
      <c r="GO579" s="773"/>
      <c r="GP579" s="773"/>
      <c r="GQ579" s="773"/>
      <c r="GR579" s="773"/>
      <c r="GS579" s="773"/>
      <c r="GT579" s="773"/>
      <c r="GU579" s="773"/>
      <c r="GV579" s="773"/>
      <c r="GW579" s="773"/>
      <c r="GX579" s="773"/>
      <c r="GY579" s="773"/>
      <c r="GZ579" s="773"/>
    </row>
    <row r="580" spans="1:208" s="11" customFormat="1">
      <c r="A580" s="774"/>
      <c r="B580" s="3762" t="s">
        <v>831</v>
      </c>
      <c r="C580" s="2024">
        <v>5419999</v>
      </c>
      <c r="D580" s="200" t="s">
        <v>1798</v>
      </c>
      <c r="E580" s="798">
        <f>IFERROR(VLOOKUP(C580,'AJE 12 - INC'!$D$168:$F$771,3,0),0)</f>
        <v>10458.32</v>
      </c>
      <c r="F580" s="108">
        <f>SUMIF('AJE 12 - INC'!B:B,'New TB INC'!C580,'AJE 12 - INC'!D:D)</f>
        <v>0</v>
      </c>
      <c r="G580" s="108"/>
      <c r="H580" s="108"/>
      <c r="I580" s="108"/>
      <c r="J580" s="798">
        <f>SUM(E580:I580)</f>
        <v>10458.32</v>
      </c>
      <c r="K580" s="209"/>
      <c r="L580" s="434"/>
      <c r="M580" s="883"/>
      <c r="N580" s="11">
        <v>18895.598972868214</v>
      </c>
      <c r="O580" s="11">
        <v>1316.0395348837228</v>
      </c>
      <c r="P580" s="11">
        <v>-11241.772745847176</v>
      </c>
      <c r="Q580" s="11">
        <v>963.90985714285671</v>
      </c>
      <c r="R580" s="773">
        <v>967.25271428571432</v>
      </c>
      <c r="S580" s="11">
        <v>6668.5286428571453</v>
      </c>
      <c r="T580" s="773">
        <v>2430.0477857142832</v>
      </c>
      <c r="U580" s="2173">
        <v>2308.4212976190502</v>
      </c>
      <c r="V580" s="2509">
        <v>2289.8439404761884</v>
      </c>
      <c r="W580" s="2509">
        <v>3361.8754880952401</v>
      </c>
      <c r="X580" s="2509">
        <v>2542.0620714285724</v>
      </c>
      <c r="Y580" s="2509">
        <v>-12150.847559523812</v>
      </c>
      <c r="Z580" s="11">
        <f>'[26]New TB INC'!Z526</f>
        <v>1087.5834482758619</v>
      </c>
      <c r="AA580" s="11">
        <f>'[27]New TB INC'!AA535</f>
        <v>803.84068965517281</v>
      </c>
      <c r="AB580" s="11">
        <f>'[28]New TB INC'!AB541</f>
        <v>1711.6358620689653</v>
      </c>
      <c r="AC580" s="11">
        <f>'[29]New TB INC'!AC537</f>
        <v>2039.9113793103456</v>
      </c>
      <c r="AD580" s="11">
        <f>'[30]New TB INC'!AD532</f>
        <v>1194.417586206896</v>
      </c>
      <c r="AE580" s="11">
        <f>'[31]New TB INC'!AE540</f>
        <v>1936.5410344827587</v>
      </c>
      <c r="AF580" s="11">
        <v>1641.0433448275871</v>
      </c>
      <c r="AG580" s="11">
        <v>1354.2875862068959</v>
      </c>
      <c r="AH580" s="11">
        <v>1206.9090689655168</v>
      </c>
      <c r="AI580" s="11">
        <v>2033.795413793101</v>
      </c>
      <c r="AJ580" s="11">
        <v>1402.2948275862091</v>
      </c>
      <c r="AK580" s="11">
        <f>$J580-SUM($Z580:AJ580)</f>
        <v>-5953.9402413793105</v>
      </c>
      <c r="AW580" s="2728" t="s">
        <v>3143</v>
      </c>
      <c r="BH580" s="2509"/>
      <c r="BI580" s="772"/>
      <c r="BJ580" s="2173"/>
      <c r="BK580" s="2173"/>
      <c r="BL580" s="773"/>
      <c r="BN580" s="773"/>
      <c r="BO580" s="209"/>
      <c r="BQ580" s="209"/>
      <c r="BR580" s="859"/>
      <c r="BS580" s="885"/>
      <c r="BT580" s="209"/>
      <c r="BU580" s="209"/>
      <c r="BV580" s="209"/>
      <c r="BW580" s="209"/>
      <c r="BX580" s="209"/>
      <c r="DB580" s="773"/>
      <c r="DC580" s="773"/>
      <c r="DD580" s="773"/>
      <c r="DE580" s="773"/>
      <c r="DF580" s="773"/>
      <c r="DG580" s="773"/>
      <c r="DH580" s="773"/>
      <c r="DI580" s="773"/>
      <c r="DJ580" s="773"/>
      <c r="DK580" s="773"/>
      <c r="DL580" s="773"/>
      <c r="DM580" s="773"/>
      <c r="DN580" s="773"/>
      <c r="DO580" s="773"/>
      <c r="DP580" s="773"/>
      <c r="DQ580" s="773"/>
      <c r="DR580" s="773"/>
      <c r="DS580" s="773"/>
      <c r="DT580" s="773"/>
      <c r="DU580" s="773"/>
      <c r="DV580" s="773"/>
      <c r="DW580" s="773"/>
      <c r="DX580" s="773"/>
      <c r="DY580" s="773"/>
      <c r="DZ580" s="773"/>
      <c r="EA580" s="773"/>
      <c r="EB580" s="773"/>
      <c r="EC580" s="773"/>
      <c r="ED580" s="773"/>
      <c r="EE580" s="773"/>
      <c r="EF580" s="773"/>
      <c r="EG580" s="773"/>
      <c r="EH580" s="773"/>
      <c r="EI580" s="773"/>
      <c r="EJ580" s="773"/>
      <c r="EK580" s="773"/>
      <c r="EL580" s="773"/>
      <c r="EM580" s="773"/>
      <c r="EN580" s="773"/>
      <c r="EO580" s="773"/>
      <c r="EP580" s="773"/>
      <c r="EQ580" s="773"/>
      <c r="ER580" s="773"/>
      <c r="ES580" s="773"/>
      <c r="ET580" s="773"/>
      <c r="EU580" s="773"/>
      <c r="EV580" s="773"/>
      <c r="EW580" s="773"/>
      <c r="EX580" s="773"/>
      <c r="EY580" s="773"/>
      <c r="EZ580" s="773"/>
      <c r="FA580" s="773"/>
      <c r="FB580" s="773"/>
      <c r="FC580" s="773"/>
      <c r="FD580" s="773"/>
      <c r="FE580" s="773"/>
      <c r="FF580" s="773"/>
      <c r="FG580" s="773"/>
      <c r="FH580" s="773"/>
      <c r="FI580" s="773"/>
      <c r="FJ580" s="773"/>
      <c r="FK580" s="773"/>
      <c r="FL580" s="773"/>
      <c r="FM580" s="773"/>
      <c r="FN580" s="773"/>
      <c r="FO580" s="773"/>
      <c r="FP580" s="773"/>
      <c r="FQ580" s="773"/>
      <c r="FR580" s="773"/>
      <c r="FS580" s="773"/>
      <c r="FT580" s="773"/>
      <c r="FU580" s="773"/>
      <c r="FV580" s="773"/>
      <c r="FW580" s="773"/>
      <c r="FX580" s="773"/>
      <c r="FY580" s="773"/>
      <c r="FZ580" s="773"/>
      <c r="GA580" s="773"/>
      <c r="GB580" s="773"/>
      <c r="GC580" s="773"/>
      <c r="GD580" s="773"/>
      <c r="GE580" s="773"/>
      <c r="GF580" s="773"/>
      <c r="GG580" s="773"/>
      <c r="GH580" s="773"/>
      <c r="GI580" s="773"/>
      <c r="GJ580" s="773"/>
      <c r="GK580" s="773"/>
      <c r="GL580" s="773"/>
      <c r="GM580" s="773"/>
      <c r="GN580" s="773"/>
      <c r="GO580" s="773"/>
      <c r="GP580" s="773"/>
      <c r="GQ580" s="773"/>
      <c r="GR580" s="773"/>
      <c r="GS580" s="773"/>
      <c r="GT580" s="773"/>
      <c r="GU580" s="773"/>
      <c r="GV580" s="773"/>
      <c r="GW580" s="773"/>
      <c r="GX580" s="773"/>
      <c r="GY580" s="773"/>
      <c r="GZ580" s="773"/>
    </row>
    <row r="581" spans="1:208" s="11" customFormat="1">
      <c r="A581" s="780"/>
      <c r="B581" s="3762"/>
      <c r="C581" s="942"/>
      <c r="D581" s="1967" t="s">
        <v>548</v>
      </c>
      <c r="E581" s="1970">
        <f t="shared" ref="E581:J581" si="60">SUM(E487:E580)</f>
        <v>19472456.969999999</v>
      </c>
      <c r="F581" s="1970">
        <f t="shared" si="60"/>
        <v>0</v>
      </c>
      <c r="G581" s="1970">
        <f t="shared" si="60"/>
        <v>0</v>
      </c>
      <c r="H581" s="1970">
        <f t="shared" si="60"/>
        <v>0</v>
      </c>
      <c r="I581" s="1970">
        <f t="shared" si="60"/>
        <v>0</v>
      </c>
      <c r="J581" s="1970">
        <f t="shared" si="60"/>
        <v>19472456.969999999</v>
      </c>
      <c r="K581" s="209"/>
      <c r="L581" s="434"/>
      <c r="M581" s="883"/>
      <c r="N581" s="11">
        <v>606273.59827519383</v>
      </c>
      <c r="O581" s="11">
        <v>650064.2968604652</v>
      </c>
      <c r="P581" s="11">
        <v>2145256.1070639254</v>
      </c>
      <c r="Q581" s="11">
        <v>1204973.5855714278</v>
      </c>
      <c r="R581" s="773">
        <v>909600.83341946406</v>
      </c>
      <c r="S581" s="11">
        <v>3928958.322571428</v>
      </c>
      <c r="T581" s="773">
        <v>2206490.5859285691</v>
      </c>
      <c r="U581" s="2173">
        <v>1071400.1868690476</v>
      </c>
      <c r="V581" s="2509">
        <v>2150562.2234404776</v>
      </c>
      <c r="W581" s="2509">
        <v>988257.33648809418</v>
      </c>
      <c r="X581" s="2509">
        <v>2048542.3142436408</v>
      </c>
      <c r="Y581" s="2509">
        <v>1778658.2109190002</v>
      </c>
      <c r="Z581" s="11">
        <f>'[26]New TB INC'!Z527</f>
        <v>1157747.3655344835</v>
      </c>
      <c r="AA581" s="11">
        <f>'[27]New TB INC'!AA536</f>
        <v>978577.277956896</v>
      </c>
      <c r="AB581" s="11">
        <f>'[28]New TB INC'!AB542</f>
        <v>2015703.566508621</v>
      </c>
      <c r="AC581" s="11">
        <f>'[29]New TB INC'!AC538</f>
        <v>1176065.0451637912</v>
      </c>
      <c r="AD581" s="11">
        <f>'[30]New TB INC'!AD533</f>
        <v>2613870.3585258657</v>
      </c>
      <c r="AE581" s="11">
        <f>'[31]New TB INC'!AE541</f>
        <v>2153010.3563103434</v>
      </c>
      <c r="AF581" s="11">
        <v>1041611.4591034483</v>
      </c>
      <c r="AG581" s="11">
        <v>2089359.2327961102</v>
      </c>
      <c r="AH581" s="11">
        <v>2270375.9081004392</v>
      </c>
      <c r="AI581" s="11">
        <v>1782598.7634741422</v>
      </c>
      <c r="AJ581" s="11">
        <v>2097655.7791982777</v>
      </c>
      <c r="AK581" s="11">
        <f>$J581-SUM($Z581:AJ581)</f>
        <v>95881.857327580452</v>
      </c>
      <c r="AW581" s="2509"/>
      <c r="BH581" s="2509"/>
      <c r="BI581" s="772"/>
      <c r="BJ581" s="2173"/>
      <c r="BK581" s="2173"/>
      <c r="BL581" s="773"/>
      <c r="BN581" s="773"/>
      <c r="BO581" s="209"/>
      <c r="BP581" s="799"/>
      <c r="BQ581" s="859"/>
      <c r="BR581" s="859"/>
      <c r="BS581" s="885"/>
      <c r="BT581" s="209"/>
      <c r="BU581" s="209"/>
      <c r="BV581" s="209"/>
      <c r="BW581" s="209"/>
      <c r="BX581" s="209"/>
      <c r="DB581" s="773"/>
      <c r="DC581" s="773"/>
      <c r="DD581" s="773"/>
      <c r="DE581" s="773"/>
      <c r="DF581" s="773"/>
      <c r="DG581" s="773"/>
      <c r="DH581" s="773"/>
      <c r="DI581" s="773"/>
      <c r="DJ581" s="773"/>
      <c r="DK581" s="773"/>
      <c r="DL581" s="773"/>
      <c r="DM581" s="773"/>
      <c r="DN581" s="773"/>
      <c r="DO581" s="773"/>
      <c r="DP581" s="773"/>
      <c r="DQ581" s="773"/>
      <c r="DR581" s="773"/>
      <c r="DS581" s="773"/>
      <c r="DT581" s="773"/>
      <c r="DU581" s="773"/>
      <c r="DV581" s="773"/>
      <c r="DW581" s="773"/>
      <c r="DX581" s="773"/>
      <c r="DY581" s="773"/>
      <c r="DZ581" s="773"/>
      <c r="EA581" s="773"/>
      <c r="EB581" s="773"/>
      <c r="EC581" s="773"/>
      <c r="ED581" s="773"/>
      <c r="EE581" s="773"/>
      <c r="EF581" s="773"/>
      <c r="EG581" s="773"/>
      <c r="EH581" s="773"/>
      <c r="EI581" s="773"/>
      <c r="EJ581" s="773"/>
      <c r="EK581" s="773"/>
      <c r="EL581" s="773"/>
      <c r="EM581" s="773"/>
      <c r="EN581" s="773"/>
      <c r="EO581" s="773"/>
      <c r="EP581" s="773"/>
      <c r="EQ581" s="773"/>
      <c r="ER581" s="773"/>
      <c r="ES581" s="773"/>
      <c r="ET581" s="773"/>
      <c r="EU581" s="773"/>
      <c r="EV581" s="773"/>
      <c r="EW581" s="773"/>
      <c r="EX581" s="773"/>
      <c r="EY581" s="773"/>
      <c r="EZ581" s="773"/>
      <c r="FA581" s="773"/>
      <c r="FB581" s="773"/>
      <c r="FC581" s="773"/>
      <c r="FD581" s="773"/>
      <c r="FE581" s="773"/>
      <c r="FF581" s="773"/>
      <c r="FG581" s="773"/>
      <c r="FH581" s="773"/>
      <c r="FI581" s="773"/>
      <c r="FJ581" s="773"/>
      <c r="FK581" s="773"/>
      <c r="FL581" s="773"/>
      <c r="FM581" s="773"/>
      <c r="FN581" s="773"/>
      <c r="FO581" s="773"/>
      <c r="FP581" s="773"/>
      <c r="FQ581" s="773"/>
      <c r="FR581" s="773"/>
      <c r="FS581" s="773"/>
      <c r="FT581" s="773"/>
      <c r="FU581" s="773"/>
      <c r="FV581" s="773"/>
      <c r="FW581" s="773"/>
      <c r="FX581" s="773"/>
      <c r="FY581" s="773"/>
      <c r="FZ581" s="773"/>
      <c r="GA581" s="773"/>
      <c r="GB581" s="773"/>
      <c r="GC581" s="773"/>
      <c r="GD581" s="773"/>
      <c r="GE581" s="773"/>
      <c r="GF581" s="773"/>
      <c r="GG581" s="773"/>
      <c r="GH581" s="773"/>
      <c r="GI581" s="773"/>
      <c r="GJ581" s="773"/>
      <c r="GK581" s="773"/>
      <c r="GL581" s="773"/>
      <c r="GM581" s="773"/>
      <c r="GN581" s="773"/>
      <c r="GO581" s="773"/>
      <c r="GP581" s="773"/>
      <c r="GQ581" s="773"/>
      <c r="GR581" s="773"/>
      <c r="GS581" s="773"/>
      <c r="GT581" s="773"/>
      <c r="GU581" s="773"/>
      <c r="GV581" s="773"/>
      <c r="GW581" s="773"/>
      <c r="GX581" s="773"/>
      <c r="GY581" s="773"/>
      <c r="GZ581" s="773"/>
    </row>
    <row r="582" spans="1:208" s="11" customFormat="1">
      <c r="A582" s="774"/>
      <c r="B582" s="3762"/>
      <c r="C582" s="781"/>
      <c r="D582" s="930"/>
      <c r="E582" s="769"/>
      <c r="F582" s="769"/>
      <c r="G582" s="769"/>
      <c r="H582" s="769"/>
      <c r="I582" s="769"/>
      <c r="J582" s="769"/>
      <c r="K582" s="209"/>
      <c r="L582" s="434"/>
      <c r="M582" s="883"/>
      <c r="N582" s="11">
        <v>0</v>
      </c>
      <c r="O582" s="11">
        <v>0</v>
      </c>
      <c r="P582" s="11">
        <v>0</v>
      </c>
      <c r="Q582" s="11">
        <v>0</v>
      </c>
      <c r="R582" s="773">
        <v>0</v>
      </c>
      <c r="S582" s="11">
        <v>0</v>
      </c>
      <c r="T582" s="773">
        <v>0</v>
      </c>
      <c r="U582" s="2173">
        <v>0</v>
      </c>
      <c r="V582" s="2509">
        <v>0</v>
      </c>
      <c r="W582" s="2509">
        <v>0</v>
      </c>
      <c r="X582" s="2509">
        <v>0</v>
      </c>
      <c r="Y582" s="2509">
        <v>0</v>
      </c>
      <c r="Z582" s="11">
        <f>'[26]New TB INC'!Z528</f>
        <v>0</v>
      </c>
      <c r="AA582" s="11">
        <f>'[27]New TB INC'!AA537</f>
        <v>0</v>
      </c>
      <c r="AB582" s="11">
        <f>'[28]New TB INC'!AB543</f>
        <v>0</v>
      </c>
      <c r="AC582" s="11">
        <f>'[29]New TB INC'!AC539</f>
        <v>0</v>
      </c>
      <c r="AD582" s="11">
        <f>'[30]New TB INC'!AD534</f>
        <v>0</v>
      </c>
      <c r="AE582" s="11">
        <f>'[31]New TB INC'!AE542</f>
        <v>0</v>
      </c>
      <c r="AF582" s="11">
        <v>0</v>
      </c>
      <c r="AG582" s="11">
        <v>0</v>
      </c>
      <c r="AH582" s="11">
        <v>0</v>
      </c>
      <c r="AI582" s="11">
        <v>0</v>
      </c>
      <c r="AJ582" s="11">
        <v>0</v>
      </c>
      <c r="AK582" s="11">
        <f>$J582-SUM($Z582:AJ582)</f>
        <v>0</v>
      </c>
      <c r="AP582" s="11">
        <f>AG585-AH585</f>
        <v>5500.0000000000582</v>
      </c>
      <c r="AW582" s="2509"/>
      <c r="BH582" s="2509"/>
      <c r="BI582" s="772"/>
      <c r="BJ582" s="2173"/>
      <c r="BK582" s="2173"/>
      <c r="BL582" s="773"/>
      <c r="BN582" s="773"/>
      <c r="BO582" s="209"/>
      <c r="BP582" s="799"/>
      <c r="BQ582" s="859"/>
      <c r="BR582" s="859"/>
      <c r="BS582" s="209"/>
      <c r="BT582" s="209"/>
      <c r="BU582" s="209"/>
      <c r="BV582" s="209"/>
      <c r="BW582" s="209"/>
      <c r="BX582" s="209"/>
      <c r="DB582" s="773"/>
      <c r="DC582" s="773"/>
      <c r="DD582" s="773"/>
      <c r="DE582" s="773"/>
      <c r="DF582" s="773"/>
      <c r="DG582" s="773"/>
      <c r="DH582" s="773"/>
      <c r="DI582" s="773"/>
      <c r="DJ582" s="773"/>
      <c r="DK582" s="773"/>
      <c r="DL582" s="773"/>
      <c r="DM582" s="773"/>
      <c r="DN582" s="773"/>
      <c r="DO582" s="773"/>
      <c r="DP582" s="773"/>
      <c r="DQ582" s="773"/>
      <c r="DR582" s="773"/>
      <c r="DS582" s="773"/>
      <c r="DT582" s="773"/>
      <c r="DU582" s="773"/>
      <c r="DV582" s="773"/>
      <c r="DW582" s="773"/>
      <c r="DX582" s="773"/>
      <c r="DY582" s="773"/>
      <c r="DZ582" s="773"/>
      <c r="EA582" s="773"/>
      <c r="EB582" s="773"/>
      <c r="EC582" s="773"/>
      <c r="ED582" s="773"/>
      <c r="EE582" s="773"/>
      <c r="EF582" s="773"/>
      <c r="EG582" s="773"/>
      <c r="EH582" s="773"/>
      <c r="EI582" s="773"/>
      <c r="EJ582" s="773"/>
      <c r="EK582" s="773"/>
      <c r="EL582" s="773"/>
      <c r="EM582" s="773"/>
      <c r="EN582" s="773"/>
      <c r="EO582" s="773"/>
      <c r="EP582" s="773"/>
      <c r="EQ582" s="773"/>
      <c r="ER582" s="773"/>
      <c r="ES582" s="773"/>
      <c r="ET582" s="773"/>
      <c r="EU582" s="773"/>
      <c r="EV582" s="773"/>
      <c r="EW582" s="773"/>
      <c r="EX582" s="773"/>
      <c r="EY582" s="773"/>
      <c r="EZ582" s="773"/>
      <c r="FA582" s="773"/>
      <c r="FB582" s="773"/>
      <c r="FC582" s="773"/>
      <c r="FD582" s="773"/>
      <c r="FE582" s="773"/>
      <c r="FF582" s="773"/>
      <c r="FG582" s="773"/>
      <c r="FH582" s="773"/>
      <c r="FI582" s="773"/>
      <c r="FJ582" s="773"/>
      <c r="FK582" s="773"/>
      <c r="FL582" s="773"/>
      <c r="FM582" s="773"/>
      <c r="FN582" s="773"/>
      <c r="FO582" s="773"/>
      <c r="FP582" s="773"/>
      <c r="FQ582" s="773"/>
      <c r="FR582" s="773"/>
      <c r="FS582" s="773"/>
      <c r="FT582" s="773"/>
      <c r="FU582" s="773"/>
      <c r="FV582" s="773"/>
      <c r="FW582" s="773"/>
      <c r="FX582" s="773"/>
      <c r="FY582" s="773"/>
      <c r="FZ582" s="773"/>
      <c r="GA582" s="773"/>
      <c r="GB582" s="773"/>
      <c r="GC582" s="773"/>
      <c r="GD582" s="773"/>
      <c r="GE582" s="773"/>
      <c r="GF582" s="773"/>
      <c r="GG582" s="773"/>
      <c r="GH582" s="773"/>
      <c r="GI582" s="773"/>
      <c r="GJ582" s="773"/>
      <c r="GK582" s="773"/>
      <c r="GL582" s="773"/>
      <c r="GM582" s="773"/>
      <c r="GN582" s="773"/>
      <c r="GO582" s="773"/>
      <c r="GP582" s="773"/>
      <c r="GQ582" s="773"/>
      <c r="GR582" s="773"/>
      <c r="GS582" s="773"/>
      <c r="GT582" s="773"/>
      <c r="GU582" s="773"/>
      <c r="GV582" s="773"/>
      <c r="GW582" s="773"/>
      <c r="GX582" s="773"/>
      <c r="GY582" s="773"/>
      <c r="GZ582" s="773"/>
    </row>
    <row r="583" spans="1:208" s="11" customFormat="1">
      <c r="A583" s="774"/>
      <c r="B583" s="3763"/>
      <c r="C583" s="781"/>
      <c r="D583" s="948" t="s">
        <v>633</v>
      </c>
      <c r="E583" s="769"/>
      <c r="F583" s="769"/>
      <c r="G583" s="769"/>
      <c r="H583" s="769"/>
      <c r="I583" s="769"/>
      <c r="J583" s="769"/>
      <c r="K583" s="209"/>
      <c r="L583" s="434"/>
      <c r="M583" s="825"/>
      <c r="N583" s="11">
        <v>0</v>
      </c>
      <c r="O583" s="11">
        <v>0</v>
      </c>
      <c r="P583" s="11">
        <v>0</v>
      </c>
      <c r="Q583" s="11">
        <v>0</v>
      </c>
      <c r="R583" s="773">
        <v>0</v>
      </c>
      <c r="S583" s="11">
        <v>0</v>
      </c>
      <c r="T583" s="773">
        <v>0</v>
      </c>
      <c r="U583" s="2173">
        <v>0</v>
      </c>
      <c r="V583" s="2509">
        <v>0</v>
      </c>
      <c r="W583" s="2509">
        <v>0</v>
      </c>
      <c r="X583" s="2509">
        <v>0</v>
      </c>
      <c r="Y583" s="2509">
        <v>0</v>
      </c>
      <c r="Z583" s="11">
        <f>'[26]New TB INC'!Z529</f>
        <v>0</v>
      </c>
      <c r="AA583" s="11">
        <f>'[27]New TB INC'!AA538</f>
        <v>0</v>
      </c>
      <c r="AB583" s="11">
        <f>'[28]New TB INC'!AB544</f>
        <v>0</v>
      </c>
      <c r="AC583" s="11">
        <f>'[29]New TB INC'!AC540</f>
        <v>0</v>
      </c>
      <c r="AD583" s="11">
        <f>'[30]New TB INC'!AD535</f>
        <v>0</v>
      </c>
      <c r="AE583" s="11">
        <f>'[31]New TB INC'!AE543</f>
        <v>0</v>
      </c>
      <c r="AF583" s="11">
        <v>0</v>
      </c>
      <c r="AG583" s="11">
        <v>0</v>
      </c>
      <c r="AH583" s="11">
        <v>0</v>
      </c>
      <c r="AI583" s="11">
        <v>0</v>
      </c>
      <c r="AJ583" s="11">
        <v>0</v>
      </c>
      <c r="AK583" s="11">
        <f>$J583-SUM($Z583:AJ583)</f>
        <v>0</v>
      </c>
      <c r="AW583" s="2509"/>
      <c r="BH583" s="2509"/>
      <c r="BI583" s="772"/>
      <c r="BJ583" s="2173"/>
      <c r="BK583" s="2173"/>
      <c r="BL583" s="773"/>
      <c r="BN583" s="773"/>
      <c r="BO583" s="209"/>
      <c r="BP583" s="799"/>
      <c r="BQ583" s="209"/>
      <c r="BR583" s="209"/>
      <c r="BS583" s="885"/>
      <c r="BT583" s="209"/>
      <c r="BU583" s="209"/>
      <c r="BV583" s="209"/>
      <c r="BW583" s="209"/>
      <c r="BX583" s="209"/>
      <c r="DB583" s="773"/>
      <c r="DC583" s="773"/>
      <c r="DD583" s="773"/>
      <c r="DE583" s="773"/>
      <c r="DF583" s="773"/>
      <c r="DG583" s="773"/>
      <c r="DH583" s="773"/>
      <c r="DI583" s="773"/>
      <c r="DJ583" s="773"/>
      <c r="DK583" s="773"/>
      <c r="DL583" s="773"/>
      <c r="DM583" s="773"/>
      <c r="DN583" s="773"/>
      <c r="DO583" s="773"/>
      <c r="DP583" s="773"/>
      <c r="DQ583" s="773"/>
      <c r="DR583" s="773"/>
      <c r="DS583" s="773"/>
      <c r="DT583" s="773"/>
      <c r="DU583" s="773"/>
      <c r="DV583" s="773"/>
      <c r="DW583" s="773"/>
      <c r="DX583" s="773"/>
      <c r="DY583" s="773"/>
      <c r="DZ583" s="773"/>
      <c r="EA583" s="773"/>
      <c r="EB583" s="773"/>
      <c r="EC583" s="773"/>
      <c r="ED583" s="773"/>
      <c r="EE583" s="773"/>
      <c r="EF583" s="773"/>
      <c r="EG583" s="773"/>
      <c r="EH583" s="773"/>
      <c r="EI583" s="773"/>
      <c r="EJ583" s="773"/>
      <c r="EK583" s="773"/>
      <c r="EL583" s="773"/>
      <c r="EM583" s="773"/>
      <c r="EN583" s="773"/>
      <c r="EO583" s="773"/>
      <c r="EP583" s="773"/>
      <c r="EQ583" s="773"/>
      <c r="ER583" s="773"/>
      <c r="ES583" s="773"/>
      <c r="ET583" s="773"/>
      <c r="EU583" s="773"/>
      <c r="EV583" s="773"/>
      <c r="EW583" s="773"/>
      <c r="EX583" s="773"/>
      <c r="EY583" s="773"/>
      <c r="EZ583" s="773"/>
      <c r="FA583" s="773"/>
      <c r="FB583" s="773"/>
      <c r="FC583" s="773"/>
      <c r="FD583" s="773"/>
      <c r="FE583" s="773"/>
      <c r="FF583" s="773"/>
      <c r="FG583" s="773"/>
      <c r="FH583" s="773"/>
      <c r="FI583" s="773"/>
      <c r="FJ583" s="773"/>
      <c r="FK583" s="773"/>
      <c r="FL583" s="773"/>
      <c r="FM583" s="773"/>
      <c r="FN583" s="773"/>
      <c r="FO583" s="773"/>
      <c r="FP583" s="773"/>
      <c r="FQ583" s="773"/>
      <c r="FR583" s="773"/>
      <c r="FS583" s="773"/>
      <c r="FT583" s="773"/>
      <c r="FU583" s="773"/>
      <c r="FV583" s="773"/>
      <c r="FW583" s="773"/>
      <c r="FX583" s="773"/>
      <c r="FY583" s="773"/>
      <c r="FZ583" s="773"/>
      <c r="GA583" s="773"/>
      <c r="GB583" s="773"/>
      <c r="GC583" s="773"/>
      <c r="GD583" s="773"/>
      <c r="GE583" s="773"/>
      <c r="GF583" s="773"/>
      <c r="GG583" s="773"/>
      <c r="GH583" s="773"/>
      <c r="GI583" s="773"/>
      <c r="GJ583" s="773"/>
      <c r="GK583" s="773"/>
      <c r="GL583" s="773"/>
      <c r="GM583" s="773"/>
      <c r="GN583" s="773"/>
      <c r="GO583" s="773"/>
      <c r="GP583" s="773"/>
      <c r="GQ583" s="773"/>
      <c r="GR583" s="773"/>
      <c r="GS583" s="773"/>
      <c r="GT583" s="773"/>
      <c r="GU583" s="773"/>
      <c r="GV583" s="773"/>
      <c r="GW583" s="773"/>
      <c r="GX583" s="773"/>
      <c r="GY583" s="773"/>
      <c r="GZ583" s="773"/>
    </row>
    <row r="584" spans="1:208" s="11" customFormat="1" ht="15">
      <c r="A584" s="774"/>
      <c r="B584" s="3763"/>
      <c r="C584" s="781"/>
      <c r="D584" s="930"/>
      <c r="E584" s="769"/>
      <c r="F584" s="769"/>
      <c r="G584" s="769"/>
      <c r="H584" s="769"/>
      <c r="I584" s="769"/>
      <c r="J584" s="769"/>
      <c r="K584" s="209"/>
      <c r="L584" s="434"/>
      <c r="M584" s="825"/>
      <c r="N584" s="11">
        <v>0</v>
      </c>
      <c r="O584" s="11">
        <v>0</v>
      </c>
      <c r="P584" s="11">
        <v>0</v>
      </c>
      <c r="Q584" s="11">
        <v>0</v>
      </c>
      <c r="R584" s="773">
        <v>0</v>
      </c>
      <c r="S584" s="11">
        <v>0</v>
      </c>
      <c r="T584" s="773">
        <v>0</v>
      </c>
      <c r="U584" s="2173">
        <v>0</v>
      </c>
      <c r="V584" s="2509">
        <v>0</v>
      </c>
      <c r="W584" s="2509">
        <v>0</v>
      </c>
      <c r="X584" s="2509">
        <v>0</v>
      </c>
      <c r="Y584" s="2509">
        <v>0</v>
      </c>
      <c r="Z584" s="11">
        <f>'[26]New TB INC'!Z530</f>
        <v>0</v>
      </c>
      <c r="AA584" s="11">
        <f>'[27]New TB INC'!AA539</f>
        <v>0</v>
      </c>
      <c r="AB584" s="11">
        <f>'[28]New TB INC'!AB545</f>
        <v>0</v>
      </c>
      <c r="AC584" s="11">
        <f>'[29]New TB INC'!AC541</f>
        <v>0</v>
      </c>
      <c r="AD584" s="11">
        <f>'[30]New TB INC'!AD536</f>
        <v>0</v>
      </c>
      <c r="AE584" s="11">
        <f>'[31]New TB INC'!AE544</f>
        <v>0</v>
      </c>
      <c r="AF584" s="11">
        <v>0</v>
      </c>
      <c r="AG584" s="11">
        <v>0</v>
      </c>
      <c r="AH584" s="11">
        <v>0</v>
      </c>
      <c r="AI584" s="11">
        <v>0</v>
      </c>
      <c r="AJ584" s="11">
        <v>0</v>
      </c>
      <c r="AK584" s="11">
        <f>$J584-SUM($Z584:AJ584)</f>
        <v>0</v>
      </c>
      <c r="AN584" s="3412"/>
      <c r="AW584" s="2509"/>
      <c r="BH584" s="2509"/>
      <c r="BI584" s="772"/>
      <c r="BJ584" s="2173"/>
      <c r="BK584" s="2173"/>
      <c r="BL584" s="773"/>
      <c r="BN584" s="773"/>
      <c r="BO584" s="209"/>
      <c r="BP584" s="799"/>
      <c r="BQ584" s="859"/>
      <c r="BR584" s="859"/>
      <c r="BS584" s="885"/>
      <c r="BT584" s="209"/>
      <c r="BU584" s="209"/>
      <c r="BV584" s="209"/>
      <c r="BW584" s="209"/>
      <c r="BX584" s="209"/>
      <c r="DB584" s="773"/>
      <c r="DC584" s="773"/>
      <c r="DD584" s="773"/>
      <c r="DE584" s="773"/>
      <c r="DF584" s="773"/>
      <c r="DG584" s="773"/>
      <c r="DH584" s="773"/>
      <c r="DI584" s="773"/>
      <c r="DJ584" s="773"/>
      <c r="DK584" s="773"/>
      <c r="DL584" s="773"/>
      <c r="DM584" s="773"/>
      <c r="DN584" s="773"/>
      <c r="DO584" s="773"/>
      <c r="DP584" s="773"/>
      <c r="DQ584" s="773"/>
      <c r="DR584" s="773"/>
      <c r="DS584" s="773"/>
      <c r="DT584" s="773"/>
      <c r="DU584" s="773"/>
      <c r="DV584" s="773"/>
      <c r="DW584" s="773"/>
      <c r="DX584" s="773"/>
      <c r="DY584" s="773"/>
      <c r="DZ584" s="773"/>
      <c r="EA584" s="773"/>
      <c r="EB584" s="773"/>
      <c r="EC584" s="773"/>
      <c r="ED584" s="773"/>
      <c r="EE584" s="773"/>
      <c r="EF584" s="773"/>
      <c r="EG584" s="773"/>
      <c r="EH584" s="773"/>
      <c r="EI584" s="773"/>
      <c r="EJ584" s="773"/>
      <c r="EK584" s="773"/>
      <c r="EL584" s="773"/>
      <c r="EM584" s="773"/>
      <c r="EN584" s="773"/>
      <c r="EO584" s="773"/>
      <c r="EP584" s="773"/>
      <c r="EQ584" s="773"/>
      <c r="ER584" s="773"/>
      <c r="ES584" s="773"/>
      <c r="ET584" s="773"/>
      <c r="EU584" s="773"/>
      <c r="EV584" s="773"/>
      <c r="EW584" s="773"/>
      <c r="EX584" s="773"/>
      <c r="EY584" s="773"/>
      <c r="EZ584" s="773"/>
      <c r="FA584" s="773"/>
      <c r="FB584" s="773"/>
      <c r="FC584" s="773"/>
      <c r="FD584" s="773"/>
      <c r="FE584" s="773"/>
      <c r="FF584" s="773"/>
      <c r="FG584" s="773"/>
      <c r="FH584" s="773"/>
      <c r="FI584" s="773"/>
      <c r="FJ584" s="773"/>
      <c r="FK584" s="773"/>
      <c r="FL584" s="773"/>
      <c r="FM584" s="773"/>
      <c r="FN584" s="773"/>
      <c r="FO584" s="773"/>
      <c r="FP584" s="773"/>
      <c r="FQ584" s="773"/>
      <c r="FR584" s="773"/>
      <c r="FS584" s="773"/>
      <c r="FT584" s="773"/>
      <c r="FU584" s="773"/>
      <c r="FV584" s="773"/>
      <c r="FW584" s="773"/>
      <c r="FX584" s="773"/>
      <c r="FY584" s="773"/>
      <c r="FZ584" s="773"/>
      <c r="GA584" s="773"/>
      <c r="GB584" s="773"/>
      <c r="GC584" s="773"/>
      <c r="GD584" s="773"/>
      <c r="GE584" s="773"/>
      <c r="GF584" s="773"/>
      <c r="GG584" s="773"/>
      <c r="GH584" s="773"/>
      <c r="GI584" s="773"/>
      <c r="GJ584" s="773"/>
      <c r="GK584" s="773"/>
      <c r="GL584" s="773"/>
      <c r="GM584" s="773"/>
      <c r="GN584" s="773"/>
      <c r="GO584" s="773"/>
      <c r="GP584" s="773"/>
      <c r="GQ584" s="773"/>
      <c r="GR584" s="773"/>
      <c r="GS584" s="773"/>
      <c r="GT584" s="773"/>
      <c r="GU584" s="773"/>
      <c r="GV584" s="773"/>
      <c r="GW584" s="773"/>
      <c r="GX584" s="773"/>
      <c r="GY584" s="773"/>
      <c r="GZ584" s="773"/>
    </row>
    <row r="585" spans="1:208" s="773" customFormat="1" ht="17.25">
      <c r="A585" s="774"/>
      <c r="B585" s="3763" t="s">
        <v>870</v>
      </c>
      <c r="C585" s="892">
        <v>6011001</v>
      </c>
      <c r="D585" s="199" t="s">
        <v>871</v>
      </c>
      <c r="E585" s="42">
        <f>IFERROR(VLOOKUP(C585,'AJE 12 - INC'!$D$168:$F$771,3,0),0)</f>
        <v>540930.63</v>
      </c>
      <c r="F585" s="108">
        <f>SUMIF('AJE 12 - INC'!B:B,'New TB INC'!C585,'AJE 12 - INC'!D:D)</f>
        <v>0</v>
      </c>
      <c r="G585" s="108"/>
      <c r="H585" s="108"/>
      <c r="I585" s="108"/>
      <c r="J585" s="108">
        <f t="shared" ref="J585:J606" si="61">SUM(E585:I585)</f>
        <v>540930.63</v>
      </c>
      <c r="K585" s="209"/>
      <c r="L585" s="449"/>
      <c r="M585" s="834"/>
      <c r="N585" s="882">
        <v>42720</v>
      </c>
      <c r="O585" s="882">
        <v>45003.34</v>
      </c>
      <c r="P585" s="882">
        <v>45420</v>
      </c>
      <c r="Q585" s="882">
        <v>45420</v>
      </c>
      <c r="R585" s="882">
        <v>45420</v>
      </c>
      <c r="S585" s="11">
        <v>45420.000000000029</v>
      </c>
      <c r="T585" s="773">
        <v>45420</v>
      </c>
      <c r="U585" s="2173">
        <v>45420</v>
      </c>
      <c r="V585" s="2509">
        <v>45420</v>
      </c>
      <c r="W585" s="2509">
        <v>41933.94</v>
      </c>
      <c r="X585" s="2509">
        <v>35833.339999999967</v>
      </c>
      <c r="Y585" s="2509">
        <v>35833.340000000026</v>
      </c>
      <c r="Z585" s="11">
        <f>'[26]New TB INC'!Z531</f>
        <v>35833.339999999997</v>
      </c>
      <c r="AA585" s="11">
        <f>'[27]New TB INC'!AA540</f>
        <v>40263.89</v>
      </c>
      <c r="AB585" s="11">
        <f>'[28]New TB INC'!AB546</f>
        <v>46583.340000000011</v>
      </c>
      <c r="AC585" s="11">
        <f>'[29]New TB INC'!AC542</f>
        <v>46583.34</v>
      </c>
      <c r="AD585" s="11">
        <f>'[30]New TB INC'!AD537</f>
        <v>46583.34</v>
      </c>
      <c r="AE585" s="11">
        <f>'[31]New TB INC'!AE545</f>
        <v>46583.340000000026</v>
      </c>
      <c r="AF585" s="11">
        <v>46583.339999999967</v>
      </c>
      <c r="AG585" s="11">
        <v>46583.340000000026</v>
      </c>
      <c r="AH585" s="11">
        <v>41083.339999999967</v>
      </c>
      <c r="AI585" s="11">
        <v>38083.340000000026</v>
      </c>
      <c r="AJ585" s="11">
        <v>53083.339999999967</v>
      </c>
      <c r="AK585" s="11">
        <f>$J585-SUM($Z585:AJ585)</f>
        <v>53083.340000000026</v>
      </c>
      <c r="AL585" s="11"/>
      <c r="AM585" s="11"/>
      <c r="AN585" s="3412" t="s">
        <v>4528</v>
      </c>
      <c r="AO585" s="3412"/>
      <c r="AP585" s="3412" t="s">
        <v>4215</v>
      </c>
      <c r="AQ585" s="11"/>
      <c r="AR585" s="11"/>
      <c r="AS585" s="11"/>
      <c r="AT585" s="11" t="s">
        <v>3435</v>
      </c>
      <c r="AU585" s="11"/>
      <c r="AW585" s="2509"/>
      <c r="BH585" s="2629"/>
      <c r="BI585" s="772"/>
      <c r="BJ585" s="2173"/>
      <c r="BK585" s="2173"/>
      <c r="BO585" s="209"/>
      <c r="BP585" s="799"/>
      <c r="BQ585" s="859"/>
      <c r="BR585" s="859"/>
      <c r="BS585" s="885"/>
      <c r="BT585" s="209"/>
      <c r="BU585" s="209"/>
      <c r="BV585" s="209"/>
      <c r="BW585" s="209"/>
      <c r="BX585" s="209"/>
      <c r="BY585" s="11"/>
      <c r="BZ585" s="11"/>
      <c r="CA585" s="11"/>
      <c r="CB585" s="11"/>
      <c r="CC585" s="11"/>
    </row>
    <row r="586" spans="1:208" s="773" customFormat="1">
      <c r="A586" s="774"/>
      <c r="B586" s="3763" t="s">
        <v>870</v>
      </c>
      <c r="C586" s="892">
        <v>6011002</v>
      </c>
      <c r="D586" s="199" t="s">
        <v>872</v>
      </c>
      <c r="E586" s="42">
        <f>IFERROR(VLOOKUP(C586,'AJE 12 - INC'!$D$168:$F$771,3,0),0)</f>
        <v>22485.72</v>
      </c>
      <c r="F586" s="108">
        <f>SUMIF('AJE 12 - INC'!B:B,'New TB INC'!C586,'AJE 12 - INC'!D:D)</f>
        <v>0</v>
      </c>
      <c r="G586" s="108"/>
      <c r="H586" s="108"/>
      <c r="I586" s="108"/>
      <c r="J586" s="108">
        <f t="shared" si="61"/>
        <v>22485.72</v>
      </c>
      <c r="K586" s="209"/>
      <c r="L586" s="449"/>
      <c r="M586" s="834"/>
      <c r="N586" s="888">
        <v>4937</v>
      </c>
      <c r="O586" s="888">
        <v>1729</v>
      </c>
      <c r="P586" s="888">
        <v>3333</v>
      </c>
      <c r="Q586" s="888">
        <v>3333</v>
      </c>
      <c r="R586" s="888">
        <v>3333</v>
      </c>
      <c r="S586" s="11">
        <v>3333</v>
      </c>
      <c r="T586" s="773">
        <v>3333</v>
      </c>
      <c r="U586" s="2173">
        <v>3333</v>
      </c>
      <c r="V586" s="2509">
        <v>-4167</v>
      </c>
      <c r="W586" s="2509">
        <v>3333</v>
      </c>
      <c r="X586" s="2509">
        <v>3333</v>
      </c>
      <c r="Y586" s="2509">
        <v>-29163</v>
      </c>
      <c r="Z586" s="11">
        <f>'[26]New TB INC'!Z532</f>
        <v>3333</v>
      </c>
      <c r="AA586" s="11">
        <f>'[27]New TB INC'!AA541</f>
        <v>971.72000000000025</v>
      </c>
      <c r="AB586" s="11">
        <f>'[28]New TB INC'!AB547</f>
        <v>2084</v>
      </c>
      <c r="AC586" s="11">
        <f>'[29]New TB INC'!AC543</f>
        <v>2916.9999999999991</v>
      </c>
      <c r="AD586" s="11">
        <f>'[30]New TB INC'!AD538</f>
        <v>2917</v>
      </c>
      <c r="AE586" s="11">
        <f>'[31]New TB INC'!AE546</f>
        <v>2917</v>
      </c>
      <c r="AF586" s="11">
        <v>2917.0000000000018</v>
      </c>
      <c r="AG586" s="11">
        <v>2917</v>
      </c>
      <c r="AH586" s="11">
        <v>2917</v>
      </c>
      <c r="AI586" s="11">
        <v>2917</v>
      </c>
      <c r="AJ586" s="11">
        <v>2917</v>
      </c>
      <c r="AK586" s="11">
        <f>$J586-SUM($Z586:AJ586)</f>
        <v>-7239</v>
      </c>
      <c r="AL586" s="11"/>
      <c r="AM586" s="11"/>
      <c r="AN586" s="11"/>
      <c r="AO586" s="11"/>
      <c r="AP586" s="11"/>
      <c r="AQ586" s="11"/>
      <c r="AR586" s="11"/>
      <c r="AS586" s="11"/>
      <c r="AT586" s="11"/>
      <c r="AU586" s="11"/>
      <c r="AW586" s="2509"/>
      <c r="BH586" s="2509"/>
      <c r="BI586" s="772"/>
      <c r="BJ586" s="2173"/>
      <c r="BK586" s="2173"/>
      <c r="BO586" s="209"/>
      <c r="BP586" s="799"/>
      <c r="BQ586" s="859"/>
      <c r="BR586" s="859"/>
      <c r="BS586" s="885"/>
      <c r="BT586" s="209"/>
      <c r="BU586" s="209"/>
      <c r="BV586" s="209"/>
      <c r="BW586" s="209"/>
      <c r="BX586" s="209"/>
      <c r="BY586" s="11"/>
      <c r="BZ586" s="11"/>
      <c r="CA586" s="11"/>
      <c r="CB586" s="11"/>
      <c r="CC586" s="11"/>
    </row>
    <row r="587" spans="1:208" s="773" customFormat="1">
      <c r="A587" s="774"/>
      <c r="B587" s="3763" t="s">
        <v>870</v>
      </c>
      <c r="C587" s="892">
        <v>6011003</v>
      </c>
      <c r="D587" s="199" t="s">
        <v>873</v>
      </c>
      <c r="E587" s="42">
        <f>IFERROR(VLOOKUP(C587,'AJE 12 - INC'!$D$168:$F$771,3,0),0)</f>
        <v>900</v>
      </c>
      <c r="F587" s="108">
        <f>SUMIF('AJE 12 - INC'!B:B,'New TB INC'!C587,'AJE 12 - INC'!D:D)</f>
        <v>0</v>
      </c>
      <c r="G587" s="108"/>
      <c r="H587" s="108"/>
      <c r="I587" s="108"/>
      <c r="J587" s="108">
        <f t="shared" si="61"/>
        <v>900</v>
      </c>
      <c r="K587" s="209"/>
      <c r="L587" s="449"/>
      <c r="M587" s="834"/>
      <c r="N587" s="11">
        <v>0</v>
      </c>
      <c r="O587" s="11">
        <v>0</v>
      </c>
      <c r="P587" s="11">
        <v>0</v>
      </c>
      <c r="Q587" s="11">
        <v>0</v>
      </c>
      <c r="R587" s="773">
        <v>0</v>
      </c>
      <c r="S587" s="11">
        <v>0</v>
      </c>
      <c r="T587" s="773">
        <v>0</v>
      </c>
      <c r="U587" s="2173">
        <v>100</v>
      </c>
      <c r="V587" s="2509">
        <v>0</v>
      </c>
      <c r="W587" s="2509">
        <v>0</v>
      </c>
      <c r="X587" s="2509">
        <v>0</v>
      </c>
      <c r="Y587" s="2509">
        <v>5000</v>
      </c>
      <c r="Z587" s="11">
        <f>'[26]New TB INC'!Z533</f>
        <v>0</v>
      </c>
      <c r="AA587" s="11">
        <f>'[27]New TB INC'!AA542</f>
        <v>1000</v>
      </c>
      <c r="AB587" s="11">
        <f>'[28]New TB INC'!AB548</f>
        <v>-300</v>
      </c>
      <c r="AC587" s="11">
        <f>'[29]New TB INC'!AC544</f>
        <v>100</v>
      </c>
      <c r="AD587" s="11">
        <f>'[30]New TB INC'!AD539</f>
        <v>0</v>
      </c>
      <c r="AE587" s="11">
        <f>'[31]New TB INC'!AE547</f>
        <v>0</v>
      </c>
      <c r="AF587" s="11">
        <v>0</v>
      </c>
      <c r="AG587" s="11">
        <v>0</v>
      </c>
      <c r="AH587" s="11">
        <v>0</v>
      </c>
      <c r="AI587" s="11">
        <v>0</v>
      </c>
      <c r="AJ587" s="11">
        <v>100</v>
      </c>
      <c r="AK587" s="11">
        <f>$J587-SUM($Z587:AJ587)</f>
        <v>0</v>
      </c>
      <c r="AL587" s="11"/>
      <c r="AM587" s="11"/>
      <c r="AN587" s="11"/>
      <c r="AO587" s="11"/>
      <c r="AP587" s="11"/>
      <c r="AQ587" s="11"/>
      <c r="AR587" s="11"/>
      <c r="AS587" s="11"/>
      <c r="AT587" s="11"/>
      <c r="AU587" s="11"/>
      <c r="AW587" s="2509"/>
      <c r="BH587" s="2509"/>
      <c r="BI587" s="772"/>
      <c r="BJ587" s="2173"/>
      <c r="BK587" s="2173"/>
      <c r="BO587" s="209"/>
      <c r="BP587" s="209"/>
      <c r="BQ587" s="859"/>
      <c r="BR587" s="859"/>
      <c r="BS587" s="885"/>
      <c r="BT587" s="209"/>
      <c r="BU587" s="209"/>
      <c r="BV587" s="209"/>
      <c r="BW587" s="209"/>
      <c r="BX587" s="209"/>
      <c r="BY587" s="11"/>
      <c r="BZ587" s="11"/>
      <c r="CA587" s="11"/>
      <c r="CB587" s="11"/>
      <c r="CC587" s="11"/>
    </row>
    <row r="588" spans="1:208" s="773" customFormat="1">
      <c r="A588" s="774"/>
      <c r="B588" s="3763" t="s">
        <v>870</v>
      </c>
      <c r="C588" s="892">
        <v>6011004</v>
      </c>
      <c r="D588" s="199" t="s">
        <v>874</v>
      </c>
      <c r="E588" s="42">
        <f>IFERROR(VLOOKUP(C588,'AJE 12 - INC'!$D$168:$F$771,3,0),0)</f>
        <v>1053.8599999999999</v>
      </c>
      <c r="F588" s="108">
        <f>SUMIF('AJE 12 - INC'!B:B,'New TB INC'!C588,'AJE 12 - INC'!D:D)</f>
        <v>0</v>
      </c>
      <c r="G588" s="108"/>
      <c r="H588" s="108"/>
      <c r="I588" s="108"/>
      <c r="J588" s="108">
        <f t="shared" si="61"/>
        <v>1053.8599999999999</v>
      </c>
      <c r="K588" s="209"/>
      <c r="L588" s="449"/>
      <c r="M588" s="834"/>
      <c r="N588" s="11">
        <v>89.68</v>
      </c>
      <c r="O588" s="11">
        <v>195.83999999999997</v>
      </c>
      <c r="P588" s="11">
        <v>105.46000000000004</v>
      </c>
      <c r="Q588" s="11">
        <v>100.90999999999997</v>
      </c>
      <c r="R588" s="773">
        <v>95.389999999999986</v>
      </c>
      <c r="S588" s="11">
        <v>95.380000000000052</v>
      </c>
      <c r="T588" s="773">
        <v>95.389999999999873</v>
      </c>
      <c r="U588" s="2173">
        <v>95.590000000000032</v>
      </c>
      <c r="V588" s="2509">
        <v>95.399999999999977</v>
      </c>
      <c r="W588" s="2509">
        <v>94.900000000000091</v>
      </c>
      <c r="X588" s="2509">
        <v>75.740000000000009</v>
      </c>
      <c r="Y588" s="2509">
        <v>75.319999999999936</v>
      </c>
      <c r="Z588" s="11">
        <f>'[26]New TB INC'!Z534</f>
        <v>82.4</v>
      </c>
      <c r="AA588" s="11">
        <f>'[27]New TB INC'!AA543</f>
        <v>153.9</v>
      </c>
      <c r="AB588" s="11">
        <f>'[28]New TB INC'!AB549</f>
        <v>101.39999999999998</v>
      </c>
      <c r="AC588" s="11">
        <f>'[29]New TB INC'!AC545</f>
        <v>89.889999999999986</v>
      </c>
      <c r="AD588" s="11">
        <f>'[30]New TB INC'!AD540</f>
        <v>89.660000000000025</v>
      </c>
      <c r="AE588" s="11">
        <f>'[31]New TB INC'!AE548</f>
        <v>90.220000000000027</v>
      </c>
      <c r="AF588" s="11">
        <v>85.019999999999982</v>
      </c>
      <c r="AG588" s="11">
        <v>85.529999999999973</v>
      </c>
      <c r="AH588" s="11">
        <v>72.930000000000064</v>
      </c>
      <c r="AI588" s="11">
        <v>60.819999999999936</v>
      </c>
      <c r="AJ588" s="11">
        <v>71.159999999999968</v>
      </c>
      <c r="AK588" s="11">
        <f>$J588-SUM($Z588:AJ588)</f>
        <v>70.92999999999995</v>
      </c>
      <c r="AL588" s="11"/>
      <c r="AM588" s="11"/>
      <c r="AN588" s="11"/>
      <c r="AO588" s="11"/>
      <c r="AP588" s="11"/>
      <c r="AQ588" s="11"/>
      <c r="AR588" s="11"/>
      <c r="AS588" s="11"/>
      <c r="AT588" s="11"/>
      <c r="AU588" s="11"/>
      <c r="AW588" s="2509"/>
      <c r="BH588" s="2509"/>
      <c r="BI588" s="772"/>
      <c r="BJ588" s="2173"/>
      <c r="BK588" s="2173"/>
      <c r="BO588" s="209"/>
      <c r="BP588" s="209"/>
      <c r="BQ588" s="859"/>
      <c r="BR588" s="859"/>
      <c r="BS588" s="885"/>
      <c r="BT588" s="209"/>
      <c r="BU588" s="209"/>
      <c r="BV588" s="209"/>
      <c r="BW588" s="209"/>
      <c r="BX588" s="209"/>
      <c r="BY588" s="11"/>
      <c r="BZ588" s="11"/>
      <c r="CA588" s="11"/>
      <c r="CB588" s="11"/>
      <c r="CC588" s="11"/>
    </row>
    <row r="589" spans="1:208" s="773" customFormat="1">
      <c r="A589" s="774"/>
      <c r="B589" s="3763" t="s">
        <v>1361</v>
      </c>
      <c r="C589" s="892" t="s">
        <v>2661</v>
      </c>
      <c r="D589" s="199" t="s">
        <v>2662</v>
      </c>
      <c r="E589" s="42">
        <f>IFERROR(VLOOKUP(C589,'AJE 12 - INC'!$D$168:$F$771,3,0),0)</f>
        <v>654.47</v>
      </c>
      <c r="F589" s="108">
        <f>SUMIF('AJE 12 - INC'!B:B,'New TB INC'!C589,'AJE 12 - INC'!D:D)</f>
        <v>0</v>
      </c>
      <c r="G589" s="108"/>
      <c r="H589" s="108"/>
      <c r="I589" s="108"/>
      <c r="J589" s="108">
        <f t="shared" si="61"/>
        <v>654.47</v>
      </c>
      <c r="K589" s="209"/>
      <c r="L589" s="449"/>
      <c r="M589" s="834"/>
      <c r="N589" s="11"/>
      <c r="O589" s="11"/>
      <c r="P589" s="11"/>
      <c r="Q589" s="11"/>
      <c r="S589" s="11"/>
      <c r="U589" s="2173"/>
      <c r="V589" s="2509">
        <v>108.96</v>
      </c>
      <c r="W589" s="2509">
        <v>230.48000000000002</v>
      </c>
      <c r="X589" s="2509">
        <v>227.8</v>
      </c>
      <c r="Y589" s="2509">
        <v>229.73000000000002</v>
      </c>
      <c r="Z589" s="11">
        <f>'[26]New TB INC'!Z535</f>
        <v>91.54</v>
      </c>
      <c r="AA589" s="11">
        <f>'[27]New TB INC'!AA544</f>
        <v>151.61000000000001</v>
      </c>
      <c r="AB589" s="11">
        <f>'[28]New TB INC'!AB550</f>
        <v>118.29999999999995</v>
      </c>
      <c r="AC589" s="11">
        <f>'[29]New TB INC'!AC546</f>
        <v>96.12</v>
      </c>
      <c r="AD589" s="11">
        <f>'[30]New TB INC'!AD541</f>
        <v>99.239999999999952</v>
      </c>
      <c r="AE589" s="11">
        <f>'[31]New TB INC'!AE549</f>
        <v>73.150000000000091</v>
      </c>
      <c r="AF589" s="11">
        <v>24.509999999999991</v>
      </c>
      <c r="AG589" s="11">
        <v>0</v>
      </c>
      <c r="AH589" s="11">
        <v>0</v>
      </c>
      <c r="AI589" s="11">
        <v>0</v>
      </c>
      <c r="AJ589" s="11">
        <v>0</v>
      </c>
      <c r="AK589" s="11">
        <f>$J589-SUM($Z589:AJ589)</f>
        <v>0</v>
      </c>
      <c r="AL589" s="11"/>
      <c r="AM589" s="11"/>
      <c r="AN589" s="11"/>
      <c r="AO589" s="11"/>
      <c r="AP589" s="11"/>
      <c r="AQ589" s="11"/>
      <c r="AR589" s="11"/>
      <c r="AS589" s="11"/>
      <c r="AT589" s="11"/>
      <c r="AU589" s="11"/>
      <c r="AW589" s="2509"/>
      <c r="BH589" s="2509"/>
      <c r="BI589" s="772"/>
      <c r="BJ589" s="2173"/>
      <c r="BK589" s="2173"/>
      <c r="BO589" s="209"/>
      <c r="BP589" s="209"/>
      <c r="BQ589" s="859"/>
      <c r="BR589" s="859"/>
      <c r="BS589" s="885"/>
      <c r="BT589" s="209"/>
      <c r="BU589" s="209"/>
      <c r="BV589" s="209"/>
      <c r="BW589" s="209"/>
      <c r="BX589" s="209"/>
      <c r="BY589" s="11"/>
      <c r="BZ589" s="11"/>
      <c r="CA589" s="11"/>
      <c r="CB589" s="11"/>
      <c r="CC589" s="11"/>
    </row>
    <row r="590" spans="1:208" s="773" customFormat="1">
      <c r="A590" s="774"/>
      <c r="B590" s="3763" t="s">
        <v>1361</v>
      </c>
      <c r="C590" s="892" t="s">
        <v>4304</v>
      </c>
      <c r="D590" s="199" t="s">
        <v>4305</v>
      </c>
      <c r="E590" s="42">
        <f>IFERROR(VLOOKUP(C590,'AJE 12 - INC'!$D$168:$F$771,3,0),0)</f>
        <v>1770.7</v>
      </c>
      <c r="F590" s="108">
        <f>SUMIF('AJE 12 - INC'!B:B,'New TB INC'!C590,'AJE 12 - INC'!D:D)</f>
        <v>0</v>
      </c>
      <c r="G590" s="108"/>
      <c r="H590" s="108"/>
      <c r="I590" s="108"/>
      <c r="J590" s="108">
        <f>SUM(E590:I590)</f>
        <v>1770.7</v>
      </c>
      <c r="K590" s="209"/>
      <c r="L590" s="449"/>
      <c r="M590" s="834"/>
      <c r="N590" s="11"/>
      <c r="O590" s="11"/>
      <c r="P590" s="11"/>
      <c r="Q590" s="11"/>
      <c r="S590" s="11"/>
      <c r="U590" s="2173"/>
      <c r="V590" s="2509"/>
      <c r="W590" s="2509"/>
      <c r="X590" s="2509"/>
      <c r="Y590" s="2509"/>
      <c r="Z590" s="11"/>
      <c r="AA590" s="11"/>
      <c r="AB590" s="11"/>
      <c r="AC590" s="11"/>
      <c r="AD590" s="11"/>
      <c r="AE590" s="11"/>
      <c r="AF590" s="11"/>
      <c r="AG590" s="11"/>
      <c r="AH590" s="11"/>
      <c r="AI590" s="11">
        <v>1770.7</v>
      </c>
      <c r="AJ590" s="11">
        <v>0</v>
      </c>
      <c r="AK590" s="11">
        <f>$J590-SUM($Z590:AJ590)</f>
        <v>0</v>
      </c>
      <c r="AL590" s="11"/>
      <c r="AM590" s="11"/>
      <c r="AN590" s="11"/>
      <c r="AO590" s="11"/>
      <c r="AP590" s="11"/>
      <c r="AQ590" s="11"/>
      <c r="AR590" s="11"/>
      <c r="AS590" s="11"/>
      <c r="AT590" s="11"/>
      <c r="AU590" s="11"/>
      <c r="AW590" s="2509"/>
      <c r="BH590" s="2509"/>
      <c r="BI590" s="772"/>
      <c r="BJ590" s="2173"/>
      <c r="BK590" s="2173"/>
      <c r="BO590" s="209"/>
      <c r="BP590" s="209"/>
      <c r="BQ590" s="859"/>
      <c r="BR590" s="859"/>
      <c r="BS590" s="885"/>
      <c r="BT590" s="209"/>
      <c r="BU590" s="209"/>
      <c r="BV590" s="209"/>
      <c r="BW590" s="209"/>
      <c r="BX590" s="209"/>
      <c r="BY590" s="11"/>
      <c r="BZ590" s="11"/>
      <c r="CA590" s="11"/>
      <c r="CB590" s="11"/>
      <c r="CC590" s="11"/>
    </row>
    <row r="591" spans="1:208" s="773" customFormat="1">
      <c r="A591" s="774"/>
      <c r="B591" s="3763" t="s">
        <v>870</v>
      </c>
      <c r="C591" s="892">
        <v>6011005</v>
      </c>
      <c r="D591" s="199" t="s">
        <v>1901</v>
      </c>
      <c r="E591" s="42">
        <f>IFERROR(VLOOKUP(C591,'AJE 12 - INC'!$D$168:$F$771,3,0),0)</f>
        <v>0</v>
      </c>
      <c r="F591" s="108">
        <f>SUMIF('AJE 12 - INC'!B:B,'New TB INC'!C591,'AJE 12 - INC'!D:D)</f>
        <v>0</v>
      </c>
      <c r="G591" s="108"/>
      <c r="H591" s="108"/>
      <c r="I591" s="108"/>
      <c r="J591" s="108">
        <f t="shared" si="61"/>
        <v>0</v>
      </c>
      <c r="K591" s="209"/>
      <c r="L591" s="449"/>
      <c r="M591" s="834"/>
      <c r="N591" s="11">
        <v>0</v>
      </c>
      <c r="O591" s="11">
        <v>0</v>
      </c>
      <c r="P591" s="11">
        <v>0</v>
      </c>
      <c r="Q591" s="11">
        <v>0</v>
      </c>
      <c r="R591" s="773">
        <v>0</v>
      </c>
      <c r="S591" s="11">
        <v>0</v>
      </c>
      <c r="T591" s="773">
        <v>0</v>
      </c>
      <c r="U591" s="2173">
        <v>0</v>
      </c>
      <c r="V591" s="2509">
        <v>0</v>
      </c>
      <c r="W591" s="2509">
        <v>3123.78</v>
      </c>
      <c r="X591" s="2509">
        <v>0</v>
      </c>
      <c r="Y591" s="2509">
        <v>0</v>
      </c>
      <c r="Z591" s="11">
        <f>'[26]New TB INC'!Z536</f>
        <v>0</v>
      </c>
      <c r="AA591" s="11">
        <f>'[27]New TB INC'!AA545</f>
        <v>0</v>
      </c>
      <c r="AB591" s="11">
        <f>'[28]New TB INC'!AB551</f>
        <v>0</v>
      </c>
      <c r="AC591" s="11">
        <f>'[29]New TB INC'!AC547</f>
        <v>0</v>
      </c>
      <c r="AD591" s="11">
        <f>'[30]New TB INC'!AD542</f>
        <v>0</v>
      </c>
      <c r="AE591" s="11">
        <f>'[31]New TB INC'!AE550</f>
        <v>0</v>
      </c>
      <c r="AF591" s="11">
        <v>0</v>
      </c>
      <c r="AG591" s="11">
        <v>0</v>
      </c>
      <c r="AH591" s="11">
        <v>0</v>
      </c>
      <c r="AI591" s="11">
        <v>0</v>
      </c>
      <c r="AJ591" s="11">
        <v>0</v>
      </c>
      <c r="AK591" s="11">
        <f>$J591-SUM($Z591:AJ591)</f>
        <v>0</v>
      </c>
      <c r="AL591" s="11"/>
      <c r="AM591" s="11"/>
      <c r="AN591" s="11"/>
      <c r="AO591" s="11"/>
      <c r="AP591" s="11"/>
      <c r="AQ591" s="11"/>
      <c r="AR591" s="11"/>
      <c r="AS591" s="11"/>
      <c r="AT591" s="11"/>
      <c r="AU591" s="11"/>
      <c r="AW591" s="2509"/>
      <c r="BH591" s="2509"/>
      <c r="BI591" s="772"/>
      <c r="BJ591" s="2173"/>
      <c r="BK591" s="2173"/>
      <c r="BO591" s="209"/>
      <c r="BP591" s="209"/>
      <c r="BQ591" s="859"/>
      <c r="BR591" s="859"/>
      <c r="BS591" s="885"/>
      <c r="BT591" s="209"/>
      <c r="BU591" s="209"/>
      <c r="BV591" s="209"/>
      <c r="BW591" s="209"/>
      <c r="BX591" s="209"/>
      <c r="BY591" s="11"/>
      <c r="BZ591" s="11"/>
      <c r="CA591" s="11"/>
      <c r="CB591" s="11"/>
      <c r="CC591" s="11"/>
    </row>
    <row r="592" spans="1:208" s="773" customFormat="1">
      <c r="A592" s="774"/>
      <c r="B592" s="3763" t="s">
        <v>870</v>
      </c>
      <c r="C592" s="892">
        <v>6011008</v>
      </c>
      <c r="D592" s="199" t="s">
        <v>875</v>
      </c>
      <c r="E592" s="42">
        <f>IFERROR(VLOOKUP(C592,'AJE 12 - INC'!$D$168:$F$771,3,0),0)</f>
        <v>2436.27</v>
      </c>
      <c r="F592" s="108">
        <f>SUMIF('AJE 12 - INC'!B:B,'New TB INC'!C592,'AJE 12 - INC'!D:D)</f>
        <v>0</v>
      </c>
      <c r="G592" s="108"/>
      <c r="H592" s="108"/>
      <c r="I592" s="108"/>
      <c r="J592" s="108">
        <f t="shared" si="61"/>
        <v>2436.27</v>
      </c>
      <c r="K592" s="209"/>
      <c r="L592" s="449"/>
      <c r="M592" s="834"/>
      <c r="N592" s="11">
        <v>0</v>
      </c>
      <c r="O592" s="11">
        <v>204.57</v>
      </c>
      <c r="P592" s="11">
        <v>605.32999999999993</v>
      </c>
      <c r="Q592" s="11">
        <v>0</v>
      </c>
      <c r="R592" s="773">
        <v>0</v>
      </c>
      <c r="S592" s="11">
        <v>265.70000000000005</v>
      </c>
      <c r="T592" s="773">
        <v>0</v>
      </c>
      <c r="U592" s="2173">
        <v>50</v>
      </c>
      <c r="V592" s="2509">
        <v>605.27</v>
      </c>
      <c r="W592" s="2509">
        <v>62.400000000000091</v>
      </c>
      <c r="X592" s="2509">
        <v>128.75</v>
      </c>
      <c r="Y592" s="2509">
        <v>1109.5500000000002</v>
      </c>
      <c r="Z592" s="11">
        <f>'[26]New TB INC'!Z537</f>
        <v>91.45</v>
      </c>
      <c r="AA592" s="11">
        <f>'[27]New TB INC'!AA546</f>
        <v>118.66000000000001</v>
      </c>
      <c r="AB592" s="11">
        <f>'[28]New TB INC'!AB552</f>
        <v>810.51</v>
      </c>
      <c r="AC592" s="11">
        <f>'[29]New TB INC'!AC548</f>
        <v>0</v>
      </c>
      <c r="AD592" s="11">
        <f>'[30]New TB INC'!AD543</f>
        <v>0</v>
      </c>
      <c r="AE592" s="11">
        <f>'[31]New TB INC'!AE551</f>
        <v>0</v>
      </c>
      <c r="AF592" s="11">
        <v>14.999999999999886</v>
      </c>
      <c r="AG592" s="11">
        <v>0</v>
      </c>
      <c r="AH592" s="11">
        <v>909.84000000000015</v>
      </c>
      <c r="AI592" s="11">
        <v>480.80999999999995</v>
      </c>
      <c r="AJ592" s="11">
        <v>10</v>
      </c>
      <c r="AK592" s="11">
        <f>$J592-SUM($Z592:AJ592)</f>
        <v>0</v>
      </c>
      <c r="AL592" s="11"/>
      <c r="AM592" s="11"/>
      <c r="AN592" s="11"/>
      <c r="AO592" s="11"/>
      <c r="AP592" s="11"/>
      <c r="AQ592" s="11"/>
      <c r="AR592" s="11"/>
      <c r="AS592" s="11"/>
      <c r="AT592" s="11"/>
      <c r="AU592" s="11"/>
      <c r="AW592" s="2509"/>
      <c r="BH592" s="2509"/>
      <c r="BI592" s="772"/>
      <c r="BJ592" s="2173"/>
      <c r="BK592" s="2173"/>
      <c r="BO592" s="209"/>
      <c r="BP592" s="209"/>
      <c r="BQ592" s="859"/>
      <c r="BR592" s="859"/>
      <c r="BS592" s="885"/>
      <c r="BT592" s="209"/>
      <c r="BU592" s="209"/>
      <c r="BV592" s="209"/>
      <c r="BW592" s="209"/>
      <c r="BX592" s="209"/>
      <c r="BY592" s="11"/>
      <c r="BZ592" s="11"/>
      <c r="CA592" s="11"/>
      <c r="CB592" s="11"/>
      <c r="CC592" s="11"/>
    </row>
    <row r="593" spans="1:81" s="773" customFormat="1">
      <c r="A593" s="774"/>
      <c r="B593" s="3763" t="s">
        <v>870</v>
      </c>
      <c r="C593" s="892">
        <v>6011009</v>
      </c>
      <c r="D593" s="199" t="s">
        <v>876</v>
      </c>
      <c r="E593" s="42">
        <f>IFERROR(VLOOKUP(C593,'AJE 12 - INC'!$D$168:$F$771,3,0),0)</f>
        <v>33222.31</v>
      </c>
      <c r="F593" s="108">
        <f>SUMIF('AJE 12 - INC'!B:B,'New TB INC'!C593,'AJE 12 - INC'!D:D)</f>
        <v>0</v>
      </c>
      <c r="G593" s="108"/>
      <c r="H593" s="108"/>
      <c r="I593" s="108"/>
      <c r="J593" s="108">
        <f t="shared" si="61"/>
        <v>33222.31</v>
      </c>
      <c r="K593" s="209"/>
      <c r="L593" s="449"/>
      <c r="M593" s="834"/>
      <c r="N593" s="11">
        <v>4321.0600000000004</v>
      </c>
      <c r="O593" s="11">
        <v>4321.0600000000004</v>
      </c>
      <c r="P593" s="11">
        <v>3496.7099999999991</v>
      </c>
      <c r="Q593" s="11">
        <v>3496.71</v>
      </c>
      <c r="R593" s="773">
        <v>3496.7099999999982</v>
      </c>
      <c r="S593" s="11">
        <v>3496.7099999999991</v>
      </c>
      <c r="T593" s="773">
        <v>1848.0100000000029</v>
      </c>
      <c r="U593" s="2173">
        <v>3496.7099999999991</v>
      </c>
      <c r="V593" s="2509">
        <v>3496.7099999999991</v>
      </c>
      <c r="W593" s="2509">
        <v>3496.7099999999991</v>
      </c>
      <c r="X593" s="2509">
        <v>3834.3899999999994</v>
      </c>
      <c r="Y593" s="2509">
        <v>457.59000000000378</v>
      </c>
      <c r="Z593" s="11">
        <f>'[26]New TB INC'!Z538</f>
        <v>2371.31</v>
      </c>
      <c r="AA593" s="11">
        <f>'[27]New TB INC'!AA547</f>
        <v>3767.2900000000004</v>
      </c>
      <c r="AB593" s="11">
        <f>'[28]New TB INC'!AB553</f>
        <v>2371.3099999999995</v>
      </c>
      <c r="AC593" s="11">
        <f>'[29]New TB INC'!AC549</f>
        <v>2245.5499999999993</v>
      </c>
      <c r="AD593" s="11">
        <f>'[30]New TB INC'!AD544</f>
        <v>2107.1100000000006</v>
      </c>
      <c r="AE593" s="11">
        <f>'[31]New TB INC'!AE552</f>
        <v>2874.3199999999997</v>
      </c>
      <c r="AF593" s="11">
        <v>2874.3199999999997</v>
      </c>
      <c r="AG593" s="11">
        <v>2874.3199999999997</v>
      </c>
      <c r="AH593" s="11">
        <v>3991.1000000000022</v>
      </c>
      <c r="AI593" s="11">
        <v>4364.239999999998</v>
      </c>
      <c r="AJ593" s="11">
        <v>632.88000000000102</v>
      </c>
      <c r="AK593" s="11">
        <f>$J593-SUM($Z593:AJ593)</f>
        <v>2748.5599999999977</v>
      </c>
      <c r="AL593" s="11"/>
      <c r="AM593" s="11"/>
      <c r="AN593" s="11"/>
      <c r="AO593" s="11"/>
      <c r="AP593" s="11"/>
      <c r="AQ593" s="11"/>
      <c r="AR593" s="11"/>
      <c r="AS593" s="11"/>
      <c r="AT593" s="11"/>
      <c r="AU593" s="11"/>
      <c r="AW593" s="2509"/>
      <c r="BH593" s="2509"/>
      <c r="BI593" s="772"/>
      <c r="BJ593" s="2173"/>
      <c r="BK593" s="2173"/>
      <c r="BO593" s="209"/>
      <c r="BP593" s="209"/>
      <c r="BQ593" s="859"/>
      <c r="BR593" s="859"/>
      <c r="BS593" s="885"/>
      <c r="BT593" s="209"/>
      <c r="BU593" s="209"/>
      <c r="BV593" s="209"/>
      <c r="BW593" s="209"/>
      <c r="BX593" s="209"/>
      <c r="BY593" s="11"/>
      <c r="BZ593" s="11"/>
      <c r="CA593" s="11"/>
      <c r="CB593" s="11"/>
      <c r="CC593" s="11"/>
    </row>
    <row r="594" spans="1:81" s="773" customFormat="1">
      <c r="A594" s="774"/>
      <c r="B594" s="3763" t="s">
        <v>870</v>
      </c>
      <c r="C594" s="892">
        <v>6011010</v>
      </c>
      <c r="D594" s="199" t="s">
        <v>877</v>
      </c>
      <c r="E594" s="42">
        <f>IFERROR(VLOOKUP(C594,'AJE 12 - INC'!$D$168:$F$771,3,0),0)</f>
        <v>3024.06</v>
      </c>
      <c r="F594" s="108">
        <f>SUMIF('AJE 12 - INC'!B:B,'New TB INC'!C594,'AJE 12 - INC'!D:D)</f>
        <v>0</v>
      </c>
      <c r="G594" s="108"/>
      <c r="H594" s="108"/>
      <c r="I594" s="108"/>
      <c r="J594" s="108">
        <f t="shared" si="61"/>
        <v>3024.06</v>
      </c>
      <c r="K594" s="209"/>
      <c r="L594" s="449"/>
      <c r="M594" s="834"/>
      <c r="N594" s="11">
        <v>302.18</v>
      </c>
      <c r="O594" s="11">
        <v>302.18</v>
      </c>
      <c r="P594" s="11">
        <v>302.17999999999989</v>
      </c>
      <c r="Q594" s="11">
        <v>302.18</v>
      </c>
      <c r="R594" s="773">
        <v>302.18000000000012</v>
      </c>
      <c r="S594" s="11">
        <v>302.17999999999978</v>
      </c>
      <c r="T594" s="773">
        <v>155.58000000000015</v>
      </c>
      <c r="U594" s="2173">
        <v>302.18000000000006</v>
      </c>
      <c r="V594" s="2509">
        <v>302.17999999999984</v>
      </c>
      <c r="W594" s="2509">
        <v>302.17999999999984</v>
      </c>
      <c r="X594" s="2509">
        <v>302.18000000000029</v>
      </c>
      <c r="Y594" s="2509">
        <v>97.579999999999927</v>
      </c>
      <c r="Z594" s="11">
        <f>'[26]New TB INC'!Z539</f>
        <v>211.98</v>
      </c>
      <c r="AA594" s="11">
        <f>'[27]New TB INC'!AA548</f>
        <v>289.84000000000003</v>
      </c>
      <c r="AB594" s="11">
        <f>'[28]New TB INC'!AB554</f>
        <v>250.90999999999997</v>
      </c>
      <c r="AC594" s="11">
        <f>'[29]New TB INC'!AC550</f>
        <v>250.90999999999997</v>
      </c>
      <c r="AD594" s="11">
        <f>'[30]New TB INC'!AD545</f>
        <v>318.64999999999998</v>
      </c>
      <c r="AE594" s="11">
        <f>'[31]New TB INC'!AE553</f>
        <v>284.77999999999997</v>
      </c>
      <c r="AF594" s="11">
        <v>284.77999999999997</v>
      </c>
      <c r="AG594" s="11">
        <v>284.7800000000002</v>
      </c>
      <c r="AH594" s="11">
        <v>284.77999999999975</v>
      </c>
      <c r="AI594" s="11">
        <v>284.7800000000002</v>
      </c>
      <c r="AJ594" s="11">
        <v>67.739999999999782</v>
      </c>
      <c r="AK594" s="11">
        <f>$J594-SUM($Z594:AJ594)</f>
        <v>210.13000000000011</v>
      </c>
      <c r="AL594" s="11"/>
      <c r="AM594" s="11"/>
      <c r="AN594" s="11"/>
      <c r="AO594" s="11"/>
      <c r="AP594" s="11"/>
      <c r="AQ594" s="11"/>
      <c r="AR594" s="11"/>
      <c r="AS594" s="11"/>
      <c r="AT594" s="11"/>
      <c r="AU594" s="11"/>
      <c r="AW594" s="2509"/>
      <c r="BH594" s="2509"/>
      <c r="BI594" s="772"/>
      <c r="BJ594" s="2173"/>
      <c r="BK594" s="2173"/>
      <c r="BN594" s="639"/>
      <c r="BO594" s="209"/>
      <c r="BP594" s="209"/>
      <c r="BQ594" s="859"/>
      <c r="BR594" s="859"/>
      <c r="BS594" s="885"/>
      <c r="BT594" s="209"/>
      <c r="BU594" s="209"/>
      <c r="BV594" s="209"/>
      <c r="BW594" s="209"/>
      <c r="BX594" s="209"/>
      <c r="BY594" s="11"/>
      <c r="BZ594" s="11"/>
      <c r="CA594" s="11"/>
      <c r="CB594" s="11"/>
      <c r="CC594" s="11"/>
    </row>
    <row r="595" spans="1:81" s="773" customFormat="1" ht="16.5">
      <c r="A595" s="774"/>
      <c r="B595" s="3763" t="s">
        <v>870</v>
      </c>
      <c r="C595" s="892">
        <v>6011012</v>
      </c>
      <c r="D595" s="199" t="s">
        <v>878</v>
      </c>
      <c r="E595" s="42">
        <f>IFERROR(VLOOKUP(C595,'AJE 12 - INC'!$D$168:$F$771,3,0),0)</f>
        <v>371141.27</v>
      </c>
      <c r="F595" s="108">
        <f>SUMIF('AJE 12 - INC'!B:B,'New TB INC'!C595,'AJE 12 - INC'!D:D)</f>
        <v>0</v>
      </c>
      <c r="G595" s="108"/>
      <c r="H595" s="108"/>
      <c r="I595" s="108"/>
      <c r="J595" s="108">
        <f t="shared" si="61"/>
        <v>371141.27</v>
      </c>
      <c r="K595" s="209"/>
      <c r="L595" s="449"/>
      <c r="M595" s="834"/>
      <c r="N595" s="882">
        <v>29365.09</v>
      </c>
      <c r="O595" s="882">
        <v>30334.01</v>
      </c>
      <c r="P595" s="882">
        <v>28927.8</v>
      </c>
      <c r="Q595" s="882">
        <v>28927.800000000007</v>
      </c>
      <c r="R595" s="882">
        <v>29128.690000000013</v>
      </c>
      <c r="S595" s="11">
        <v>29731.35999999999</v>
      </c>
      <c r="T595" s="773">
        <v>29932.229999999992</v>
      </c>
      <c r="U595" s="2173">
        <v>31283.630000000005</v>
      </c>
      <c r="V595" s="2509">
        <v>30874.690000000002</v>
      </c>
      <c r="W595" s="2509">
        <v>30874.690000000002</v>
      </c>
      <c r="X595" s="2509">
        <v>31488.510000000009</v>
      </c>
      <c r="Y595" s="2509">
        <v>32115.539999999979</v>
      </c>
      <c r="Z595" s="11">
        <f>'[26]New TB INC'!Z540</f>
        <v>32021.11</v>
      </c>
      <c r="AA595" s="11">
        <f>'[27]New TB INC'!AA549</f>
        <v>33214.68</v>
      </c>
      <c r="AB595" s="11">
        <f>'[28]New TB INC'!AB555</f>
        <v>33166.870000000003</v>
      </c>
      <c r="AC595" s="11">
        <f>'[29]New TB INC'!AC551</f>
        <v>33485</v>
      </c>
      <c r="AD595" s="11">
        <f>'[30]New TB INC'!AD546</f>
        <v>34588.169999999984</v>
      </c>
      <c r="AE595" s="11">
        <f>'[31]New TB INC'!AE554</f>
        <v>34257.430000000022</v>
      </c>
      <c r="AF595" s="11">
        <v>33368.660000000003</v>
      </c>
      <c r="AG595" s="11">
        <v>33376.389999999985</v>
      </c>
      <c r="AH595" s="11">
        <v>33525.69</v>
      </c>
      <c r="AI595" s="11">
        <v>23813.200000000012</v>
      </c>
      <c r="AJ595" s="11">
        <v>23254.559999999998</v>
      </c>
      <c r="AK595" s="11">
        <f>$J595-SUM($Z595:AJ595)</f>
        <v>23069.510000000009</v>
      </c>
      <c r="AL595" s="11"/>
      <c r="AM595" s="11"/>
      <c r="AN595" s="11"/>
      <c r="AO595" s="3476" t="s">
        <v>4335</v>
      </c>
      <c r="AP595" s="11"/>
      <c r="AQ595" s="11"/>
      <c r="AR595" s="11"/>
      <c r="AS595" s="11"/>
      <c r="AT595" s="11"/>
      <c r="AU595" s="11"/>
      <c r="AW595" s="2509"/>
      <c r="BH595" s="2509"/>
      <c r="BI595" s="772"/>
      <c r="BJ595" s="2173"/>
      <c r="BK595" s="2173"/>
      <c r="BO595" s="209"/>
      <c r="BP595" s="209"/>
      <c r="BQ595" s="859"/>
      <c r="BR595" s="859"/>
      <c r="BS595" s="885"/>
      <c r="BT595" s="209"/>
      <c r="BU595" s="209"/>
      <c r="BV595" s="209"/>
      <c r="BW595" s="209"/>
      <c r="BX595" s="209"/>
      <c r="BY595" s="11"/>
      <c r="BZ595" s="11"/>
      <c r="CA595" s="11"/>
      <c r="CB595" s="11"/>
      <c r="CC595" s="11"/>
    </row>
    <row r="596" spans="1:81" s="773" customFormat="1">
      <c r="A596" s="774"/>
      <c r="B596" s="3763" t="s">
        <v>870</v>
      </c>
      <c r="C596" s="892">
        <v>6011013</v>
      </c>
      <c r="D596" s="199" t="s">
        <v>879</v>
      </c>
      <c r="E596" s="42">
        <f>IFERROR(VLOOKUP(C596,'AJE 12 - INC'!$D$168:$F$771,3,0),0)</f>
        <v>15476.48</v>
      </c>
      <c r="F596" s="108">
        <f>SUMIF('AJE 12 - INC'!B:B,'New TB INC'!C596,'AJE 12 - INC'!D:D)</f>
        <v>0</v>
      </c>
      <c r="G596" s="108"/>
      <c r="H596" s="108"/>
      <c r="I596" s="108"/>
      <c r="J596" s="108">
        <f t="shared" si="61"/>
        <v>15476.48</v>
      </c>
      <c r="K596" s="209"/>
      <c r="L596" s="449"/>
      <c r="M596" s="834"/>
      <c r="N596" s="11">
        <v>0</v>
      </c>
      <c r="O596" s="11">
        <v>3100</v>
      </c>
      <c r="P596" s="11">
        <v>1550</v>
      </c>
      <c r="Q596" s="11">
        <v>1550</v>
      </c>
      <c r="R596" s="773">
        <v>1550</v>
      </c>
      <c r="S596" s="11">
        <v>1550</v>
      </c>
      <c r="T596" s="773">
        <v>1550</v>
      </c>
      <c r="U596" s="2173">
        <v>1550</v>
      </c>
      <c r="V596" s="2509">
        <v>1886.6800000000003</v>
      </c>
      <c r="W596" s="2509">
        <v>1550</v>
      </c>
      <c r="X596" s="2509">
        <v>1550</v>
      </c>
      <c r="Y596" s="2509">
        <v>-17386.68</v>
      </c>
      <c r="Z596" s="11">
        <f>'[26]New TB INC'!Z541</f>
        <v>1550</v>
      </c>
      <c r="AA596" s="11">
        <f>'[27]New TB INC'!AA550</f>
        <v>1693.48</v>
      </c>
      <c r="AB596" s="11">
        <f>'[28]New TB INC'!AB556</f>
        <v>2824.9999999999995</v>
      </c>
      <c r="AC596" s="11">
        <f>'[29]New TB INC'!AC552</f>
        <v>1975</v>
      </c>
      <c r="AD596" s="11">
        <f>'[30]New TB INC'!AD547</f>
        <v>1975</v>
      </c>
      <c r="AE596" s="11">
        <f>'[31]New TB INC'!AE555</f>
        <v>1975</v>
      </c>
      <c r="AF596" s="11">
        <v>1975</v>
      </c>
      <c r="AG596" s="11">
        <v>1975</v>
      </c>
      <c r="AH596" s="11">
        <v>1975</v>
      </c>
      <c r="AI596" s="11">
        <v>1975</v>
      </c>
      <c r="AJ596" s="11">
        <v>1975</v>
      </c>
      <c r="AK596" s="11">
        <f>$J596-SUM($Z596:AJ596)</f>
        <v>-6392</v>
      </c>
      <c r="AL596" s="11"/>
      <c r="AM596" s="11"/>
      <c r="AN596" s="11"/>
      <c r="AO596" s="11"/>
      <c r="AP596" s="11"/>
      <c r="AQ596" s="11"/>
      <c r="AR596" s="11"/>
      <c r="AS596" s="11"/>
      <c r="AT596" s="11"/>
      <c r="AU596" s="11"/>
      <c r="AW596" s="2509"/>
      <c r="BH596" s="2509"/>
      <c r="BI596" s="772"/>
      <c r="BJ596" s="2173"/>
      <c r="BK596" s="2173"/>
      <c r="BO596" s="209"/>
      <c r="BP596" s="209"/>
      <c r="BQ596" s="859"/>
      <c r="BR596" s="859"/>
      <c r="BS596" s="885"/>
      <c r="BT596" s="209"/>
      <c r="BU596" s="209"/>
      <c r="BV596" s="209"/>
      <c r="BW596" s="209"/>
      <c r="BX596" s="209"/>
      <c r="BY596" s="11"/>
      <c r="BZ596" s="11"/>
      <c r="CA596" s="11"/>
      <c r="CB596" s="11"/>
      <c r="CC596" s="11"/>
    </row>
    <row r="597" spans="1:81" s="773" customFormat="1">
      <c r="A597" s="774"/>
      <c r="B597" s="3763" t="s">
        <v>870</v>
      </c>
      <c r="C597" s="892">
        <v>6011014</v>
      </c>
      <c r="D597" s="199" t="s">
        <v>880</v>
      </c>
      <c r="E597" s="42">
        <f>IFERROR(VLOOKUP(C597,'AJE 12 - INC'!$D$168:$F$771,3,0),0)</f>
        <v>0</v>
      </c>
      <c r="F597" s="108">
        <f>SUMIF('AJE 12 - INC'!B:B,'New TB INC'!C597,'AJE 12 - INC'!D:D)</f>
        <v>0</v>
      </c>
      <c r="G597" s="108"/>
      <c r="H597" s="108"/>
      <c r="I597" s="108"/>
      <c r="J597" s="108">
        <f t="shared" si="61"/>
        <v>0</v>
      </c>
      <c r="K597" s="209"/>
      <c r="L597" s="449"/>
      <c r="M597" s="834"/>
      <c r="N597" s="11">
        <v>0</v>
      </c>
      <c r="O597" s="11">
        <v>0</v>
      </c>
      <c r="P597" s="11">
        <v>0</v>
      </c>
      <c r="Q597" s="11">
        <v>0</v>
      </c>
      <c r="R597" s="773">
        <v>0</v>
      </c>
      <c r="S597" s="11">
        <v>0</v>
      </c>
      <c r="T597" s="773">
        <v>0</v>
      </c>
      <c r="U597" s="2173">
        <v>0</v>
      </c>
      <c r="V597" s="2509">
        <v>0</v>
      </c>
      <c r="W597" s="2509">
        <v>0</v>
      </c>
      <c r="X597" s="2509">
        <v>0</v>
      </c>
      <c r="Y597" s="2509">
        <v>0</v>
      </c>
      <c r="Z597" s="11">
        <f>'[26]New TB INC'!Z542</f>
        <v>0</v>
      </c>
      <c r="AA597" s="11">
        <f>'[27]New TB INC'!AA551</f>
        <v>0</v>
      </c>
      <c r="AB597" s="11">
        <f>'[28]New TB INC'!AB557</f>
        <v>0</v>
      </c>
      <c r="AC597" s="11">
        <f>'[29]New TB INC'!AC553</f>
        <v>0</v>
      </c>
      <c r="AD597" s="11">
        <f>'[30]New TB INC'!AD548</f>
        <v>0</v>
      </c>
      <c r="AE597" s="11">
        <f>'[31]New TB INC'!AE556</f>
        <v>0</v>
      </c>
      <c r="AF597" s="11">
        <v>0</v>
      </c>
      <c r="AG597" s="11">
        <v>0</v>
      </c>
      <c r="AH597" s="11">
        <v>0</v>
      </c>
      <c r="AI597" s="11">
        <v>0</v>
      </c>
      <c r="AJ597" s="11">
        <v>0</v>
      </c>
      <c r="AK597" s="11">
        <f>$J597-SUM($Z597:AJ597)</f>
        <v>0</v>
      </c>
      <c r="AL597" s="11"/>
      <c r="AM597" s="11"/>
      <c r="AN597" s="11"/>
      <c r="AO597" s="11"/>
      <c r="AP597" s="11"/>
      <c r="AQ597" s="11"/>
      <c r="AR597" s="11"/>
      <c r="AS597" s="11"/>
      <c r="AT597" s="11"/>
      <c r="AU597" s="11"/>
      <c r="AW597" s="2509"/>
      <c r="BH597" s="2509"/>
      <c r="BI597" s="772"/>
      <c r="BJ597" s="2173"/>
      <c r="BK597" s="2173"/>
      <c r="BO597" s="209"/>
      <c r="BP597" s="209"/>
      <c r="BQ597" s="859"/>
      <c r="BR597" s="859"/>
      <c r="BS597" s="885"/>
      <c r="BT597" s="209"/>
      <c r="BU597" s="209"/>
      <c r="BV597" s="209"/>
      <c r="BW597" s="209"/>
      <c r="BX597" s="209"/>
      <c r="BY597" s="11"/>
      <c r="BZ597" s="11"/>
      <c r="CA597" s="11"/>
      <c r="CB597" s="11"/>
      <c r="CC597" s="11"/>
    </row>
    <row r="598" spans="1:81" s="773" customFormat="1">
      <c r="A598" s="774"/>
      <c r="B598" s="3763" t="s">
        <v>1361</v>
      </c>
      <c r="C598" s="892" t="s">
        <v>1842</v>
      </c>
      <c r="D598" s="199" t="s">
        <v>1843</v>
      </c>
      <c r="E598" s="42">
        <f>IFERROR(VLOOKUP(C598,'AJE 12 - INC'!$D$168:$F$771,3,0),0)</f>
        <v>7512.64</v>
      </c>
      <c r="F598" s="108">
        <f>SUMIF('AJE 12 - INC'!B:B,'New TB INC'!C598,'AJE 12 - INC'!D:D)</f>
        <v>0</v>
      </c>
      <c r="G598" s="108"/>
      <c r="H598" s="108"/>
      <c r="I598" s="108"/>
      <c r="J598" s="108">
        <f t="shared" si="61"/>
        <v>7512.64</v>
      </c>
      <c r="K598" s="209"/>
      <c r="L598" s="449"/>
      <c r="M598" s="834"/>
      <c r="N598" s="11">
        <v>490.54</v>
      </c>
      <c r="O598" s="11">
        <v>492.09</v>
      </c>
      <c r="P598" s="11">
        <v>498.30000000000013</v>
      </c>
      <c r="Q598" s="11">
        <v>440.7000000000001</v>
      </c>
      <c r="R598" s="773">
        <v>455.17</v>
      </c>
      <c r="S598" s="11">
        <v>200.81999999999977</v>
      </c>
      <c r="T598" s="773">
        <v>476.05999999999966</v>
      </c>
      <c r="U598" s="2173">
        <v>612.83000000000084</v>
      </c>
      <c r="V598" s="2509">
        <v>616.15999999999985</v>
      </c>
      <c r="W598" s="2509">
        <v>616.15999999999985</v>
      </c>
      <c r="X598" s="2509">
        <v>612.84000000000015</v>
      </c>
      <c r="Y598" s="2509">
        <v>633.80000000000018</v>
      </c>
      <c r="Z598" s="11">
        <f>'[26]New TB INC'!Z543</f>
        <v>645.38</v>
      </c>
      <c r="AA598" s="11">
        <f>'[27]New TB INC'!AA552</f>
        <v>641.61</v>
      </c>
      <c r="AB598" s="11">
        <f>'[28]New TB INC'!AB558</f>
        <v>920.06999999999994</v>
      </c>
      <c r="AC598" s="11">
        <f>'[29]New TB INC'!AC554</f>
        <v>644.95000000000027</v>
      </c>
      <c r="AD598" s="11">
        <f>'[30]New TB INC'!AD549</f>
        <v>397.64999999999964</v>
      </c>
      <c r="AE598" s="11">
        <f>'[31]New TB INC'!AE557</f>
        <v>685.82999999999993</v>
      </c>
      <c r="AF598" s="11">
        <v>666.63000000000011</v>
      </c>
      <c r="AG598" s="11">
        <v>736.82999999999993</v>
      </c>
      <c r="AH598" s="11">
        <v>726.07999999999993</v>
      </c>
      <c r="AI598" s="11">
        <v>760.02000000000044</v>
      </c>
      <c r="AJ598" s="11">
        <v>203.94999999999982</v>
      </c>
      <c r="AK598" s="11">
        <f>$J598-SUM($Z598:AJ598)</f>
        <v>483.64000000000033</v>
      </c>
      <c r="AL598" s="11"/>
      <c r="AM598" s="11"/>
      <c r="AN598" s="11"/>
      <c r="AO598" s="11"/>
      <c r="AP598" s="11"/>
      <c r="AQ598" s="11"/>
      <c r="AR598" s="11"/>
      <c r="AS598" s="11"/>
      <c r="AT598" s="11"/>
      <c r="AU598" s="11"/>
      <c r="AW598" s="2509"/>
      <c r="BH598" s="2509"/>
      <c r="BI598" s="772"/>
      <c r="BJ598" s="2173"/>
      <c r="BK598" s="2173"/>
      <c r="BO598" s="209"/>
      <c r="BP598" s="209"/>
      <c r="BQ598" s="859"/>
      <c r="BR598" s="859"/>
      <c r="BS598" s="885"/>
      <c r="BT598" s="209"/>
      <c r="BU598" s="209"/>
      <c r="BV598" s="209"/>
      <c r="BW598" s="209"/>
      <c r="BX598" s="209"/>
      <c r="BY598" s="11"/>
      <c r="BZ598" s="11"/>
      <c r="CA598" s="11"/>
      <c r="CB598" s="11"/>
      <c r="CC598" s="11"/>
    </row>
    <row r="599" spans="1:81" s="773" customFormat="1">
      <c r="A599" s="774"/>
      <c r="B599" s="3763" t="s">
        <v>870</v>
      </c>
      <c r="C599" s="892">
        <v>6011015</v>
      </c>
      <c r="D599" s="199" t="s">
        <v>881</v>
      </c>
      <c r="E599" s="42">
        <f>IFERROR(VLOOKUP(C599,'AJE 12 - INC'!$D$168:$F$771,3,0),0)</f>
        <v>-539.97</v>
      </c>
      <c r="F599" s="108">
        <f>SUMIF('AJE 12 - INC'!B:B,'New TB INC'!C599,'AJE 12 - INC'!D:D)</f>
        <v>0</v>
      </c>
      <c r="G599" s="108"/>
      <c r="H599" s="108"/>
      <c r="I599" s="108"/>
      <c r="J599" s="108">
        <f t="shared" si="61"/>
        <v>-539.97</v>
      </c>
      <c r="K599" s="209"/>
      <c r="L599" s="449"/>
      <c r="M599" s="834"/>
      <c r="N599" s="11">
        <v>100</v>
      </c>
      <c r="O599" s="11">
        <v>0</v>
      </c>
      <c r="P599" s="11">
        <v>100</v>
      </c>
      <c r="Q599" s="11">
        <v>0</v>
      </c>
      <c r="R599" s="773">
        <v>0</v>
      </c>
      <c r="S599" s="11">
        <v>0</v>
      </c>
      <c r="T599" s="773">
        <v>0</v>
      </c>
      <c r="U599" s="2173">
        <v>0</v>
      </c>
      <c r="V599" s="2509">
        <v>0</v>
      </c>
      <c r="W599" s="2509">
        <v>0</v>
      </c>
      <c r="X599" s="2509">
        <v>0</v>
      </c>
      <c r="Y599" s="2509">
        <v>7813</v>
      </c>
      <c r="Z599" s="11">
        <f>'[26]New TB INC'!Z544</f>
        <v>0</v>
      </c>
      <c r="AA599" s="11">
        <f>'[27]New TB INC'!AA553</f>
        <v>0</v>
      </c>
      <c r="AB599" s="11">
        <f>'[28]New TB INC'!AB559</f>
        <v>-539.97</v>
      </c>
      <c r="AC599" s="11">
        <f>'[29]New TB INC'!AC555</f>
        <v>0</v>
      </c>
      <c r="AD599" s="11">
        <f>'[30]New TB INC'!AD550</f>
        <v>0</v>
      </c>
      <c r="AE599" s="11">
        <f>'[31]New TB INC'!AE558</f>
        <v>0</v>
      </c>
      <c r="AF599" s="11">
        <v>0</v>
      </c>
      <c r="AG599" s="11">
        <v>0</v>
      </c>
      <c r="AH599" s="11">
        <v>0</v>
      </c>
      <c r="AI599" s="11">
        <v>0</v>
      </c>
      <c r="AJ599" s="11">
        <v>0</v>
      </c>
      <c r="AK599" s="11">
        <f>$J599-SUM($Z599:AJ599)</f>
        <v>0</v>
      </c>
      <c r="AL599" s="11"/>
      <c r="AM599" s="11"/>
      <c r="AN599" s="11"/>
      <c r="AO599" s="11"/>
      <c r="AP599" s="11"/>
      <c r="AQ599" s="11"/>
      <c r="AR599" s="11"/>
      <c r="AS599" s="11"/>
      <c r="AT599" s="11"/>
      <c r="AU599" s="11"/>
      <c r="AW599" s="2509"/>
      <c r="BH599" s="2509"/>
      <c r="BI599" s="772"/>
      <c r="BJ599" s="2173"/>
      <c r="BK599" s="2173"/>
      <c r="BO599" s="209"/>
      <c r="BP599" s="209"/>
      <c r="BQ599" s="859"/>
      <c r="BR599" s="859"/>
      <c r="BS599" s="885"/>
      <c r="BT599" s="209"/>
      <c r="BU599" s="209"/>
      <c r="BV599" s="209"/>
      <c r="BW599" s="209"/>
      <c r="BX599" s="209"/>
      <c r="BY599" s="11"/>
      <c r="BZ599" s="11"/>
      <c r="CA599" s="11"/>
      <c r="CB599" s="11"/>
      <c r="CC599" s="11"/>
    </row>
    <row r="600" spans="1:81" s="773" customFormat="1">
      <c r="A600" s="774"/>
      <c r="B600" s="3763" t="s">
        <v>870</v>
      </c>
      <c r="C600" s="892">
        <v>6011016</v>
      </c>
      <c r="D600" s="199" t="s">
        <v>882</v>
      </c>
      <c r="E600" s="42">
        <f>IFERROR(VLOOKUP(C600,'AJE 12 - INC'!$D$168:$F$771,3,0),0)</f>
        <v>10476.89</v>
      </c>
      <c r="F600" s="108">
        <f>SUMIF('AJE 12 - INC'!B:B,'New TB INC'!C600,'AJE 12 - INC'!D:D)</f>
        <v>0</v>
      </c>
      <c r="G600" s="108"/>
      <c r="H600" s="108"/>
      <c r="I600" s="108"/>
      <c r="J600" s="108">
        <f t="shared" si="61"/>
        <v>10476.89</v>
      </c>
      <c r="K600" s="209"/>
      <c r="L600" s="449"/>
      <c r="M600" s="834"/>
      <c r="N600" s="11">
        <v>2196.16</v>
      </c>
      <c r="O600" s="11">
        <v>3712.0299999999997</v>
      </c>
      <c r="P600" s="11">
        <v>2163.46</v>
      </c>
      <c r="Q600" s="11">
        <v>1068.5</v>
      </c>
      <c r="R600" s="773">
        <v>0</v>
      </c>
      <c r="S600" s="11">
        <v>0</v>
      </c>
      <c r="T600" s="773">
        <v>0</v>
      </c>
      <c r="U600" s="2173">
        <v>0</v>
      </c>
      <c r="V600" s="2509">
        <v>0</v>
      </c>
      <c r="W600" s="2509">
        <v>0</v>
      </c>
      <c r="X600" s="2509">
        <v>0</v>
      </c>
      <c r="Y600" s="2509">
        <v>0</v>
      </c>
      <c r="Z600" s="11">
        <f>'[26]New TB INC'!Z545</f>
        <v>2466.17</v>
      </c>
      <c r="AA600" s="11">
        <f>'[27]New TB INC'!AA554</f>
        <v>4109.2699999999995</v>
      </c>
      <c r="AB600" s="11">
        <f>'[28]New TB INC'!AB560</f>
        <v>3073.45</v>
      </c>
      <c r="AC600" s="11">
        <f>'[29]New TB INC'!AC556</f>
        <v>828</v>
      </c>
      <c r="AD600" s="11">
        <f>'[30]New TB INC'!AD551</f>
        <v>0</v>
      </c>
      <c r="AE600" s="11">
        <f>'[31]New TB INC'!AE559</f>
        <v>0</v>
      </c>
      <c r="AF600" s="11">
        <v>0</v>
      </c>
      <c r="AG600" s="11">
        <v>0</v>
      </c>
      <c r="AH600" s="11">
        <v>0</v>
      </c>
      <c r="AI600" s="11">
        <v>0</v>
      </c>
      <c r="AJ600" s="11">
        <v>0</v>
      </c>
      <c r="AK600" s="11">
        <f>$J600-SUM($Z600:AJ600)</f>
        <v>0</v>
      </c>
      <c r="AL600" s="11"/>
      <c r="AM600" s="11"/>
      <c r="AN600" s="11"/>
      <c r="AO600" s="11"/>
      <c r="AP600" s="11"/>
      <c r="AQ600" s="11"/>
      <c r="AR600" s="11"/>
      <c r="AS600" s="11"/>
      <c r="AT600" s="11"/>
      <c r="AU600" s="11"/>
      <c r="AW600" s="2509"/>
      <c r="BH600" s="2509"/>
      <c r="BI600" s="772"/>
      <c r="BJ600" s="2173"/>
      <c r="BK600" s="2173"/>
      <c r="BO600" s="209"/>
      <c r="BP600" s="209"/>
      <c r="BQ600" s="859"/>
      <c r="BR600" s="859"/>
      <c r="BS600" s="885"/>
      <c r="BT600" s="209"/>
      <c r="BU600" s="209"/>
      <c r="BV600" s="209"/>
      <c r="BW600" s="209"/>
      <c r="BX600" s="209"/>
      <c r="BY600" s="11"/>
      <c r="BZ600" s="11"/>
      <c r="CA600" s="11"/>
      <c r="CB600" s="11"/>
      <c r="CC600" s="11"/>
    </row>
    <row r="601" spans="1:81" s="773" customFormat="1">
      <c r="A601" s="774"/>
      <c r="B601" s="3763" t="s">
        <v>870</v>
      </c>
      <c r="C601" s="892">
        <v>6011017</v>
      </c>
      <c r="D601" s="199" t="s">
        <v>883</v>
      </c>
      <c r="E601" s="42">
        <f>IFERROR(VLOOKUP(C601,'AJE 12 - INC'!$D$168:$F$771,3,0),0)</f>
        <v>43862.74</v>
      </c>
      <c r="F601" s="108">
        <f>SUMIF('AJE 12 - INC'!B:B,'New TB INC'!C601,'AJE 12 - INC'!D:D)</f>
        <v>0</v>
      </c>
      <c r="G601" s="108"/>
      <c r="H601" s="108"/>
      <c r="I601" s="108"/>
      <c r="J601" s="108">
        <f t="shared" si="61"/>
        <v>43862.74</v>
      </c>
      <c r="K601" s="209"/>
      <c r="L601" s="449"/>
      <c r="M601" s="834"/>
      <c r="N601" s="11">
        <v>4522.97</v>
      </c>
      <c r="O601" s="11">
        <v>8719.75</v>
      </c>
      <c r="P601" s="11">
        <v>3921.5399999999972</v>
      </c>
      <c r="Q601" s="11">
        <v>3386.1900000000023</v>
      </c>
      <c r="R601" s="773">
        <v>3343.9599999999991</v>
      </c>
      <c r="S601" s="11">
        <v>3343.9599999999991</v>
      </c>
      <c r="T601" s="773">
        <v>3343.9600000000028</v>
      </c>
      <c r="U601" s="2173">
        <v>3351.6100000000006</v>
      </c>
      <c r="V601" s="2509">
        <v>2780.0299999999988</v>
      </c>
      <c r="W601" s="2509">
        <v>2422.5</v>
      </c>
      <c r="X601" s="2509">
        <v>1786.0400000000009</v>
      </c>
      <c r="Y601" s="2509">
        <v>1759.2599999999948</v>
      </c>
      <c r="Z601" s="11">
        <f>'[26]New TB INC'!Z546</f>
        <v>3954.64</v>
      </c>
      <c r="AA601" s="11">
        <f>'[27]New TB INC'!AA555</f>
        <v>7156.4500000000007</v>
      </c>
      <c r="AB601" s="11">
        <f>'[28]New TB INC'!AB561</f>
        <v>4439.3099999999995</v>
      </c>
      <c r="AC601" s="11">
        <f>'[29]New TB INC'!AC557</f>
        <v>3494.4100000000017</v>
      </c>
      <c r="AD601" s="11">
        <f>'[30]New TB INC'!AD552</f>
        <v>3486.7700000000004</v>
      </c>
      <c r="AE601" s="11">
        <f>'[31]New TB INC'!AE560</f>
        <v>3513.5399999999972</v>
      </c>
      <c r="AF601" s="11">
        <v>3486.7800000000025</v>
      </c>
      <c r="AG601" s="11">
        <v>3513.5400000000009</v>
      </c>
      <c r="AH601" s="11">
        <v>2451.2099999999991</v>
      </c>
      <c r="AI601" s="11">
        <v>1969.9300000000003</v>
      </c>
      <c r="AJ601" s="11">
        <v>3350.5099999999948</v>
      </c>
      <c r="AK601" s="11">
        <f>$J601-SUM($Z601:AJ601)</f>
        <v>3045.6500000000015</v>
      </c>
      <c r="AL601" s="11"/>
      <c r="AM601" s="11"/>
      <c r="AN601" s="11"/>
      <c r="AO601" s="11"/>
      <c r="AP601" s="11"/>
      <c r="AQ601" s="11"/>
      <c r="AR601" s="11"/>
      <c r="AS601" s="11"/>
      <c r="AT601" s="11"/>
      <c r="AU601" s="11"/>
      <c r="AW601" s="2509"/>
      <c r="BH601" s="2509"/>
      <c r="BI601" s="772"/>
      <c r="BJ601" s="2173"/>
      <c r="BK601" s="2173"/>
      <c r="BO601" s="209"/>
      <c r="BP601" s="209"/>
      <c r="BQ601" s="859"/>
      <c r="BR601" s="859"/>
      <c r="BS601" s="885"/>
      <c r="BT601" s="209"/>
      <c r="BU601" s="209"/>
      <c r="BV601" s="209"/>
      <c r="BW601" s="209"/>
      <c r="BX601" s="209"/>
      <c r="BY601" s="11"/>
      <c r="BZ601" s="11"/>
      <c r="CA601" s="11"/>
      <c r="CB601" s="11"/>
      <c r="CC601" s="11"/>
    </row>
    <row r="602" spans="1:81" s="773" customFormat="1">
      <c r="A602" s="774"/>
      <c r="B602" s="3763" t="s">
        <v>870</v>
      </c>
      <c r="C602" s="892">
        <v>6011020</v>
      </c>
      <c r="D602" s="199" t="s">
        <v>1902</v>
      </c>
      <c r="E602" s="42">
        <f>IFERROR(VLOOKUP(C602,'AJE 12 - INC'!$D$168:$F$771,3,0),0)</f>
        <v>0</v>
      </c>
      <c r="F602" s="108">
        <f>SUMIF('AJE 12 - INC'!B:B,'New TB INC'!C602,'AJE 12 - INC'!D:D)</f>
        <v>0</v>
      </c>
      <c r="G602" s="108"/>
      <c r="H602" s="108"/>
      <c r="I602" s="108"/>
      <c r="J602" s="108">
        <f t="shared" si="61"/>
        <v>0</v>
      </c>
      <c r="K602" s="209"/>
      <c r="L602" s="449"/>
      <c r="M602" s="834"/>
      <c r="N602" s="11">
        <v>0</v>
      </c>
      <c r="O602" s="11">
        <v>0</v>
      </c>
      <c r="P602" s="11">
        <v>0</v>
      </c>
      <c r="Q602" s="11">
        <v>0</v>
      </c>
      <c r="R602" s="773">
        <v>0</v>
      </c>
      <c r="S602" s="11">
        <v>0</v>
      </c>
      <c r="T602" s="773">
        <v>0</v>
      </c>
      <c r="U602" s="2173">
        <v>0</v>
      </c>
      <c r="V602" s="2509">
        <v>0</v>
      </c>
      <c r="W602" s="2509">
        <v>0</v>
      </c>
      <c r="X602" s="2509">
        <v>0</v>
      </c>
      <c r="Y602" s="2509">
        <v>0</v>
      </c>
      <c r="Z602" s="11">
        <f>'[26]New TB INC'!Z547</f>
        <v>0</v>
      </c>
      <c r="AA602" s="11">
        <f>'[27]New TB INC'!AA556</f>
        <v>0</v>
      </c>
      <c r="AB602" s="11">
        <f>'[28]New TB INC'!AB562</f>
        <v>0</v>
      </c>
      <c r="AC602" s="11">
        <f>'[29]New TB INC'!AC558</f>
        <v>0</v>
      </c>
      <c r="AD602" s="11">
        <f>'[30]New TB INC'!AD553</f>
        <v>0</v>
      </c>
      <c r="AE602" s="11">
        <f>'[31]New TB INC'!AE561</f>
        <v>0</v>
      </c>
      <c r="AF602" s="11">
        <v>0</v>
      </c>
      <c r="AG602" s="11">
        <v>0</v>
      </c>
      <c r="AH602" s="11">
        <v>0</v>
      </c>
      <c r="AI602" s="11">
        <v>0</v>
      </c>
      <c r="AJ602" s="11">
        <v>0</v>
      </c>
      <c r="AK602" s="11">
        <f>$J602-SUM($Z602:AJ602)</f>
        <v>0</v>
      </c>
      <c r="AL602" s="11"/>
      <c r="AM602" s="11"/>
      <c r="AN602" s="11"/>
      <c r="AO602" s="11"/>
      <c r="AP602" s="11"/>
      <c r="AQ602" s="11"/>
      <c r="AR602" s="11"/>
      <c r="AS602" s="11"/>
      <c r="AT602" s="11"/>
      <c r="AU602" s="11"/>
      <c r="AW602" s="2509"/>
      <c r="BH602" s="2509"/>
      <c r="BI602" s="772"/>
      <c r="BJ602" s="2173"/>
      <c r="BK602" s="2173"/>
      <c r="BO602" s="209"/>
      <c r="BP602" s="209"/>
      <c r="BQ602" s="859"/>
      <c r="BR602" s="859"/>
      <c r="BS602" s="885"/>
      <c r="BT602" s="209"/>
      <c r="BU602" s="209"/>
      <c r="BV602" s="209"/>
      <c r="BW602" s="209"/>
      <c r="BX602" s="209"/>
      <c r="BY602" s="11"/>
      <c r="BZ602" s="11"/>
      <c r="CA602" s="11"/>
      <c r="CB602" s="11"/>
      <c r="CC602" s="11"/>
    </row>
    <row r="603" spans="1:81" s="773" customFormat="1">
      <c r="A603" s="774"/>
      <c r="B603" s="3763" t="s">
        <v>870</v>
      </c>
      <c r="C603" s="892">
        <v>6020006</v>
      </c>
      <c r="D603" s="199" t="s">
        <v>1558</v>
      </c>
      <c r="E603" s="42">
        <f>IFERROR(VLOOKUP(C603,'AJE 12 - INC'!$D$168:$F$771,3,0),0)</f>
        <v>5822.15</v>
      </c>
      <c r="F603" s="108">
        <f>SUMIF('AJE 12 - INC'!B:B,'New TB INC'!C603,'AJE 12 - INC'!D:D)</f>
        <v>0</v>
      </c>
      <c r="G603" s="108"/>
      <c r="H603" s="108"/>
      <c r="I603" s="108"/>
      <c r="J603" s="108">
        <f t="shared" si="61"/>
        <v>5822.15</v>
      </c>
      <c r="K603" s="209"/>
      <c r="L603" s="449"/>
      <c r="M603" s="834"/>
      <c r="N603" s="11">
        <v>0</v>
      </c>
      <c r="O603" s="11">
        <v>0</v>
      </c>
      <c r="P603" s="11">
        <v>0</v>
      </c>
      <c r="Q603" s="11">
        <v>0</v>
      </c>
      <c r="R603" s="773">
        <v>0</v>
      </c>
      <c r="S603" s="11">
        <v>0</v>
      </c>
      <c r="T603" s="773">
        <v>0</v>
      </c>
      <c r="U603" s="2173">
        <v>0</v>
      </c>
      <c r="V603" s="2509">
        <v>0</v>
      </c>
      <c r="W603" s="2509">
        <v>0</v>
      </c>
      <c r="X603" s="2509">
        <v>0</v>
      </c>
      <c r="Y603" s="2509">
        <v>0</v>
      </c>
      <c r="Z603" s="11">
        <f>'[26]New TB INC'!Z548</f>
        <v>0</v>
      </c>
      <c r="AA603" s="11">
        <f>'[27]New TB INC'!AA557</f>
        <v>0</v>
      </c>
      <c r="AB603" s="11">
        <f>'[28]New TB INC'!AB563</f>
        <v>0</v>
      </c>
      <c r="AC603" s="11">
        <f>'[29]New TB INC'!AC559</f>
        <v>0</v>
      </c>
      <c r="AD603" s="11">
        <f>'[30]New TB INC'!AD554</f>
        <v>0</v>
      </c>
      <c r="AE603" s="11">
        <f>'[31]New TB INC'!AE562</f>
        <v>0</v>
      </c>
      <c r="AF603" s="11">
        <v>5822.15</v>
      </c>
      <c r="AG603" s="11">
        <v>0</v>
      </c>
      <c r="AH603" s="11">
        <v>0</v>
      </c>
      <c r="AI603" s="11">
        <v>0</v>
      </c>
      <c r="AJ603" s="11">
        <v>0</v>
      </c>
      <c r="AK603" s="11">
        <f>$J603-SUM($Z603:AJ603)</f>
        <v>0</v>
      </c>
      <c r="AL603" s="11"/>
      <c r="AM603" s="11"/>
      <c r="AN603" s="11"/>
      <c r="AO603" s="11"/>
      <c r="AP603" s="11"/>
      <c r="AQ603" s="11"/>
      <c r="AR603" s="11"/>
      <c r="AS603" s="11"/>
      <c r="AT603" s="11"/>
      <c r="AU603" s="11"/>
      <c r="AW603" s="2509"/>
      <c r="BH603" s="2509"/>
      <c r="BI603" s="772"/>
      <c r="BJ603" s="2173"/>
      <c r="BK603" s="2173"/>
      <c r="BO603" s="209"/>
      <c r="BP603" s="209"/>
      <c r="BQ603" s="859"/>
      <c r="BR603" s="859"/>
      <c r="BS603" s="885"/>
      <c r="BT603" s="209"/>
      <c r="BU603" s="209"/>
      <c r="BV603" s="209"/>
      <c r="BW603" s="209"/>
      <c r="BX603" s="209"/>
      <c r="BY603" s="11"/>
      <c r="BZ603" s="11"/>
      <c r="CA603" s="11"/>
      <c r="CB603" s="11"/>
      <c r="CC603" s="11"/>
    </row>
    <row r="604" spans="1:81" s="773" customFormat="1">
      <c r="A604" s="774"/>
      <c r="B604" s="3763" t="s">
        <v>1361</v>
      </c>
      <c r="C604" s="892" t="s">
        <v>2873</v>
      </c>
      <c r="D604" s="199" t="s">
        <v>2874</v>
      </c>
      <c r="E604" s="42">
        <f>IFERROR(VLOOKUP(C604,'AJE 12 - INC'!$D$168:$F$771,3,0),0)</f>
        <v>750.48</v>
      </c>
      <c r="F604" s="108">
        <f>SUMIF('AJE 12 - INC'!B:B,'New TB INC'!C604,'AJE 12 - INC'!D:D)</f>
        <v>0</v>
      </c>
      <c r="G604" s="108"/>
      <c r="H604" s="108"/>
      <c r="I604" s="108"/>
      <c r="J604" s="108">
        <f t="shared" si="61"/>
        <v>750.48</v>
      </c>
      <c r="K604" s="209"/>
      <c r="L604" s="449"/>
      <c r="M604" s="834"/>
      <c r="N604" s="11"/>
      <c r="O604" s="11"/>
      <c r="P604" s="11"/>
      <c r="Q604" s="11"/>
      <c r="S604" s="11"/>
      <c r="U604" s="2173"/>
      <c r="V604" s="2509"/>
      <c r="W604" s="2509">
        <v>0</v>
      </c>
      <c r="X604" s="2509">
        <v>550</v>
      </c>
      <c r="Y604" s="2509">
        <v>0</v>
      </c>
      <c r="Z604" s="11">
        <f>'[26]New TB INC'!Z549</f>
        <v>0</v>
      </c>
      <c r="AA604" s="11">
        <f>'[27]New TB INC'!AA558</f>
        <v>0</v>
      </c>
      <c r="AB604" s="11">
        <f>'[28]New TB INC'!AB564</f>
        <v>0</v>
      </c>
      <c r="AC604" s="11">
        <f>'[29]New TB INC'!AC560</f>
        <v>0</v>
      </c>
      <c r="AD604" s="11">
        <f>'[30]New TB INC'!AD555</f>
        <v>0</v>
      </c>
      <c r="AE604" s="11">
        <f>'[31]New TB INC'!AE563</f>
        <v>400.48</v>
      </c>
      <c r="AF604" s="11">
        <v>0</v>
      </c>
      <c r="AG604" s="11">
        <v>350</v>
      </c>
      <c r="AH604" s="11">
        <v>0</v>
      </c>
      <c r="AI604" s="11">
        <v>0</v>
      </c>
      <c r="AJ604" s="11">
        <v>0</v>
      </c>
      <c r="AK604" s="11">
        <f>$J604-SUM($Z604:AJ604)</f>
        <v>0</v>
      </c>
      <c r="AL604" s="11"/>
      <c r="AM604" s="11"/>
      <c r="AN604" s="11"/>
      <c r="AO604" s="11"/>
      <c r="AP604" s="11"/>
      <c r="AQ604" s="11"/>
      <c r="AR604" s="11"/>
      <c r="AS604" s="11"/>
      <c r="AT604" s="11"/>
      <c r="AU604" s="11"/>
      <c r="AW604" s="2509"/>
      <c r="BH604" s="2509"/>
      <c r="BI604" s="772"/>
      <c r="BJ604" s="2173"/>
      <c r="BK604" s="2173"/>
      <c r="BO604" s="209"/>
      <c r="BP604" s="209"/>
      <c r="BQ604" s="859"/>
      <c r="BR604" s="859"/>
      <c r="BS604" s="885"/>
      <c r="BT604" s="209"/>
      <c r="BU604" s="209"/>
      <c r="BV604" s="209"/>
      <c r="BW604" s="209"/>
      <c r="BX604" s="209"/>
      <c r="BY604" s="11"/>
      <c r="BZ604" s="11"/>
      <c r="CA604" s="11"/>
      <c r="CB604" s="11"/>
      <c r="CC604" s="11"/>
    </row>
    <row r="605" spans="1:81" s="773" customFormat="1">
      <c r="A605" s="774"/>
      <c r="B605" s="3763" t="s">
        <v>1361</v>
      </c>
      <c r="C605" s="892" t="s">
        <v>2875</v>
      </c>
      <c r="D605" s="199" t="s">
        <v>2876</v>
      </c>
      <c r="E605" s="42">
        <f>IFERROR(VLOOKUP(C605,'AJE 12 - INC'!$D$168:$F$771,3,0),0)</f>
        <v>3995.05</v>
      </c>
      <c r="F605" s="108">
        <f>SUMIF('AJE 12 - INC'!B:B,'New TB INC'!C605,'AJE 12 - INC'!D:D)</f>
        <v>0</v>
      </c>
      <c r="G605" s="108"/>
      <c r="H605" s="108"/>
      <c r="I605" s="108"/>
      <c r="J605" s="108">
        <f t="shared" si="61"/>
        <v>3995.05</v>
      </c>
      <c r="K605" s="209"/>
      <c r="L605" s="449"/>
      <c r="M605" s="834"/>
      <c r="N605" s="11"/>
      <c r="O605" s="11"/>
      <c r="P605" s="11"/>
      <c r="Q605" s="11"/>
      <c r="S605" s="11"/>
      <c r="U605" s="2173"/>
      <c r="V605" s="2509"/>
      <c r="W605" s="2509">
        <v>0</v>
      </c>
      <c r="X605" s="2509">
        <v>3131.58</v>
      </c>
      <c r="Y605" s="2509">
        <v>704.79</v>
      </c>
      <c r="Z605" s="11">
        <f>'[26]New TB INC'!Z550</f>
        <v>201.98</v>
      </c>
      <c r="AA605" s="11">
        <f>'[27]New TB INC'!AA559</f>
        <v>706.96</v>
      </c>
      <c r="AB605" s="11">
        <f>'[28]New TB INC'!AB565</f>
        <v>694</v>
      </c>
      <c r="AC605" s="11">
        <f>'[29]New TB INC'!AC561</f>
        <v>352.59999999999991</v>
      </c>
      <c r="AD605" s="11">
        <f>'[30]New TB INC'!AD556</f>
        <v>349.24000000000024</v>
      </c>
      <c r="AE605" s="11">
        <f>'[31]New TB INC'!AE564</f>
        <v>0</v>
      </c>
      <c r="AF605" s="11">
        <v>347.89999999999964</v>
      </c>
      <c r="AG605" s="11">
        <v>278.23</v>
      </c>
      <c r="AH605" s="11">
        <v>0</v>
      </c>
      <c r="AI605" s="11">
        <v>350.20000000000027</v>
      </c>
      <c r="AJ605" s="11">
        <v>0</v>
      </c>
      <c r="AK605" s="11">
        <f>$J605-SUM($Z605:AJ605)</f>
        <v>713.94</v>
      </c>
      <c r="AL605" s="11"/>
      <c r="AM605" s="11"/>
      <c r="AN605" s="11"/>
      <c r="AO605" s="11"/>
      <c r="AP605" s="11"/>
      <c r="AQ605" s="11"/>
      <c r="AR605" s="11"/>
      <c r="AS605" s="11"/>
      <c r="AT605" s="11"/>
      <c r="AU605" s="11"/>
      <c r="AW605" s="2509"/>
      <c r="BH605" s="2509"/>
      <c r="BI605" s="772"/>
      <c r="BJ605" s="2173"/>
      <c r="BK605" s="2173"/>
      <c r="BO605" s="209"/>
      <c r="BP605" s="209"/>
      <c r="BQ605" s="859"/>
      <c r="BR605" s="859"/>
      <c r="BS605" s="885"/>
      <c r="BT605" s="209"/>
      <c r="BU605" s="209"/>
      <c r="BV605" s="209"/>
      <c r="BW605" s="209"/>
      <c r="BX605" s="209"/>
      <c r="BY605" s="11"/>
      <c r="BZ605" s="11"/>
      <c r="CA605" s="11"/>
      <c r="CB605" s="11"/>
      <c r="CC605" s="11"/>
    </row>
    <row r="606" spans="1:81" s="773" customFormat="1">
      <c r="A606" s="774"/>
      <c r="B606" s="3763" t="s">
        <v>870</v>
      </c>
      <c r="C606" s="892">
        <v>6011018</v>
      </c>
      <c r="D606" s="199" t="s">
        <v>884</v>
      </c>
      <c r="E606" s="42">
        <f>IFERROR(VLOOKUP(C606,'AJE 12 - INC'!$D$168:$F$771,3,0),0)</f>
        <v>86355.6</v>
      </c>
      <c r="F606" s="108">
        <f>SUMIF('AJE 12 - INC'!B:B,'New TB INC'!C606,'AJE 12 - INC'!D:D)</f>
        <v>0</v>
      </c>
      <c r="G606" s="108"/>
      <c r="H606" s="108"/>
      <c r="I606" s="108"/>
      <c r="J606" s="108">
        <f t="shared" si="61"/>
        <v>86355.6</v>
      </c>
      <c r="K606" s="209"/>
      <c r="L606" s="449"/>
      <c r="M606" s="834"/>
      <c r="N606" s="11">
        <v>0</v>
      </c>
      <c r="O606" s="11">
        <v>0</v>
      </c>
      <c r="P606" s="11">
        <v>0</v>
      </c>
      <c r="Q606" s="11">
        <v>0</v>
      </c>
      <c r="R606" s="773">
        <v>0</v>
      </c>
      <c r="S606" s="11">
        <v>0</v>
      </c>
      <c r="T606" s="773">
        <v>0</v>
      </c>
      <c r="U606" s="2173">
        <v>0</v>
      </c>
      <c r="V606" s="2509">
        <v>0</v>
      </c>
      <c r="W606" s="2509">
        <v>0</v>
      </c>
      <c r="X606" s="2509">
        <v>0</v>
      </c>
      <c r="Y606" s="2509">
        <v>0</v>
      </c>
      <c r="Z606" s="11">
        <f>'[26]New TB INC'!Z551</f>
        <v>155.15</v>
      </c>
      <c r="AA606" s="11">
        <f>'[27]New TB INC'!AA560</f>
        <v>21000</v>
      </c>
      <c r="AB606" s="11">
        <f>'[28]New TB INC'!AB566</f>
        <v>426.29999999999927</v>
      </c>
      <c r="AC606" s="11">
        <f>'[29]New TB INC'!AC562</f>
        <v>0</v>
      </c>
      <c r="AD606" s="11">
        <f>'[30]New TB INC'!AD557</f>
        <v>0</v>
      </c>
      <c r="AE606" s="11">
        <f>'[31]New TB INC'!AE565</f>
        <v>0</v>
      </c>
      <c r="AF606" s="11">
        <v>0</v>
      </c>
      <c r="AG606" s="11">
        <v>0</v>
      </c>
      <c r="AH606" s="11">
        <v>0</v>
      </c>
      <c r="AI606" s="11">
        <v>64774.150000000009</v>
      </c>
      <c r="AJ606" s="11">
        <v>0</v>
      </c>
      <c r="AK606" s="11">
        <f>$J606-SUM($Z606:AJ606)</f>
        <v>0</v>
      </c>
      <c r="AL606" s="11"/>
      <c r="AM606" s="11"/>
      <c r="AN606" s="11"/>
      <c r="AO606" s="11"/>
      <c r="AP606" s="11"/>
      <c r="AQ606" s="11"/>
      <c r="AR606" s="11"/>
      <c r="AS606" s="11"/>
      <c r="AT606" s="11"/>
      <c r="AU606" s="11"/>
      <c r="AW606" s="2509"/>
      <c r="BH606" s="2509"/>
      <c r="BI606" s="772"/>
      <c r="BJ606" s="2173"/>
      <c r="BK606" s="2173"/>
      <c r="BO606" s="209"/>
      <c r="BP606" s="209"/>
      <c r="BQ606" s="859"/>
      <c r="BR606" s="859"/>
      <c r="BS606" s="859"/>
      <c r="BT606" s="859"/>
      <c r="BU606" s="209"/>
      <c r="BV606" s="209"/>
      <c r="BW606" s="209"/>
      <c r="BX606" s="209"/>
      <c r="BY606" s="11"/>
      <c r="BZ606" s="11"/>
      <c r="CA606" s="11"/>
      <c r="CB606" s="11"/>
      <c r="CC606" s="11"/>
    </row>
    <row r="607" spans="1:81" s="773" customFormat="1">
      <c r="A607" s="774"/>
      <c r="B607" s="3763"/>
      <c r="C607" s="892"/>
      <c r="D607" s="199"/>
      <c r="E607" s="108"/>
      <c r="F607" s="108"/>
      <c r="G607" s="108"/>
      <c r="H607" s="108"/>
      <c r="I607" s="108"/>
      <c r="J607" s="108"/>
      <c r="K607" s="209"/>
      <c r="L607" s="449"/>
      <c r="M607" s="834"/>
      <c r="N607" s="11">
        <v>0</v>
      </c>
      <c r="O607" s="11">
        <v>0</v>
      </c>
      <c r="P607" s="11">
        <v>0</v>
      </c>
      <c r="Q607" s="11">
        <v>0</v>
      </c>
      <c r="R607" s="773">
        <v>0</v>
      </c>
      <c r="S607" s="11">
        <v>0</v>
      </c>
      <c r="T607" s="773">
        <v>0</v>
      </c>
      <c r="U607" s="2173">
        <v>0</v>
      </c>
      <c r="V607" s="2509">
        <v>0</v>
      </c>
      <c r="W607" s="2509">
        <v>0</v>
      </c>
      <c r="X607" s="2509">
        <v>0</v>
      </c>
      <c r="Y607" s="2509">
        <v>0</v>
      </c>
      <c r="Z607" s="11">
        <f>'[26]New TB INC'!Z552</f>
        <v>0</v>
      </c>
      <c r="AA607" s="11">
        <f>'[27]New TB INC'!AA561</f>
        <v>0</v>
      </c>
      <c r="AB607" s="11">
        <f>'[28]New TB INC'!AB567</f>
        <v>0</v>
      </c>
      <c r="AC607" s="11">
        <f>'[29]New TB INC'!AC563</f>
        <v>0</v>
      </c>
      <c r="AD607" s="11">
        <f>'[30]New TB INC'!AD558</f>
        <v>0</v>
      </c>
      <c r="AE607" s="11">
        <f>'[31]New TB INC'!AE566</f>
        <v>0</v>
      </c>
      <c r="AF607" s="11">
        <v>0</v>
      </c>
      <c r="AG607" s="11">
        <v>0</v>
      </c>
      <c r="AH607" s="11">
        <v>0</v>
      </c>
      <c r="AI607" s="11">
        <v>0</v>
      </c>
      <c r="AJ607" s="11">
        <v>0</v>
      </c>
      <c r="AK607" s="11">
        <f>$J607-SUM($Z607:AJ607)</f>
        <v>0</v>
      </c>
      <c r="AL607" s="11"/>
      <c r="AM607" s="11"/>
      <c r="AN607" s="11"/>
      <c r="AO607" s="11"/>
      <c r="AP607" s="11"/>
      <c r="AQ607" s="11"/>
      <c r="AR607" s="11"/>
      <c r="AS607" s="11"/>
      <c r="AT607" s="11"/>
      <c r="AU607" s="11"/>
      <c r="AW607" s="2509"/>
      <c r="BH607" s="2509"/>
      <c r="BI607" s="772"/>
      <c r="BJ607" s="2173"/>
      <c r="BK607" s="2173"/>
      <c r="BO607" s="209"/>
      <c r="BP607" s="209"/>
      <c r="BQ607" s="859"/>
      <c r="BR607" s="859"/>
      <c r="BS607" s="859"/>
      <c r="BT607" s="859"/>
      <c r="BU607" s="209"/>
      <c r="BV607" s="209"/>
      <c r="BW607" s="209"/>
      <c r="BX607" s="209"/>
      <c r="BY607" s="11"/>
      <c r="BZ607" s="11"/>
      <c r="CA607" s="11"/>
      <c r="CB607" s="11"/>
      <c r="CC607" s="11"/>
    </row>
    <row r="608" spans="1:81" s="773" customFormat="1">
      <c r="A608" s="774"/>
      <c r="B608" s="3763" t="s">
        <v>1361</v>
      </c>
      <c r="C608" s="892">
        <v>6011019</v>
      </c>
      <c r="D608" s="199" t="s">
        <v>1420</v>
      </c>
      <c r="E608" s="798">
        <f>IFERROR(VLOOKUP(C608,'AJE 12 - INC'!$D$168:$F$771,3,0),0)</f>
        <v>27396.75</v>
      </c>
      <c r="F608" s="108">
        <f>SUMIF('AJE 12 - INC'!$B$1:$B$129,'New TB INC'!C608,'AJE 12 - INC'!$D$1:$D$129)</f>
        <v>0</v>
      </c>
      <c r="G608" s="108"/>
      <c r="H608" s="108"/>
      <c r="I608" s="108"/>
      <c r="J608" s="108">
        <f>SUM(E608:I608)</f>
        <v>27396.75</v>
      </c>
      <c r="K608" s="209"/>
      <c r="L608" s="449"/>
      <c r="M608" s="834"/>
      <c r="N608" s="11">
        <v>0</v>
      </c>
      <c r="O608" s="11">
        <v>0</v>
      </c>
      <c r="P608" s="11">
        <v>5087.2064897492746</v>
      </c>
      <c r="Q608" s="11">
        <v>0</v>
      </c>
      <c r="R608" s="773">
        <v>-0.20648974927462405</v>
      </c>
      <c r="S608" s="11">
        <v>5862</v>
      </c>
      <c r="T608" s="773">
        <v>270</v>
      </c>
      <c r="U608" s="2173">
        <v>0</v>
      </c>
      <c r="V608" s="2509">
        <v>4920.2000000000007</v>
      </c>
      <c r="W608" s="2509">
        <v>0</v>
      </c>
      <c r="X608" s="2509">
        <v>0</v>
      </c>
      <c r="Y608" s="2509">
        <v>5734.75</v>
      </c>
      <c r="Z608" s="11">
        <f>'[26]New TB INC'!Z553</f>
        <v>0</v>
      </c>
      <c r="AA608" s="11">
        <f>'[27]New TB INC'!AA562</f>
        <v>0</v>
      </c>
      <c r="AB608" s="11">
        <f>'[28]New TB INC'!AB568</f>
        <v>5550.67</v>
      </c>
      <c r="AC608" s="11">
        <f>'[29]New TB INC'!AC564</f>
        <v>0</v>
      </c>
      <c r="AD608" s="11">
        <f>'[30]New TB INC'!AD559</f>
        <v>0</v>
      </c>
      <c r="AE608" s="11">
        <f>'[31]New TB INC'!AE567</f>
        <v>7644.0499999999993</v>
      </c>
      <c r="AF608" s="11">
        <v>0</v>
      </c>
      <c r="AG608" s="11">
        <v>0</v>
      </c>
      <c r="AH608" s="11">
        <v>7345.7100000000009</v>
      </c>
      <c r="AI608" s="11">
        <v>0</v>
      </c>
      <c r="AJ608" s="11">
        <v>0</v>
      </c>
      <c r="AK608" s="11">
        <f>$J608-SUM($Z608:AJ608)</f>
        <v>6856.32</v>
      </c>
      <c r="AL608" s="11"/>
      <c r="AM608" s="11"/>
      <c r="AN608" s="11"/>
      <c r="AO608" s="11"/>
      <c r="AP608" s="11"/>
      <c r="AQ608" s="11"/>
      <c r="AR608" s="11"/>
      <c r="AS608" s="11"/>
      <c r="AT608" s="11"/>
      <c r="AU608" s="11"/>
      <c r="AW608" s="2509"/>
      <c r="BH608" s="2509"/>
      <c r="BI608" s="772"/>
      <c r="BJ608" s="2173"/>
      <c r="BK608" s="2173"/>
      <c r="BO608" s="209"/>
      <c r="BP608" s="209"/>
      <c r="BQ608" s="859"/>
      <c r="BR608" s="859"/>
      <c r="BS608" s="859"/>
      <c r="BT608" s="859"/>
      <c r="BU608" s="209"/>
      <c r="BV608" s="209"/>
      <c r="BW608" s="209"/>
      <c r="BX608" s="209"/>
      <c r="BY608" s="11"/>
      <c r="BZ608" s="11"/>
      <c r="CA608" s="11"/>
      <c r="CB608" s="11"/>
      <c r="CC608" s="11"/>
    </row>
    <row r="609" spans="1:208" s="773" customFormat="1">
      <c r="A609" s="774"/>
      <c r="B609" s="3763"/>
      <c r="C609" s="892"/>
      <c r="D609" s="199"/>
      <c r="E609" s="108"/>
      <c r="F609" s="108"/>
      <c r="G609" s="108"/>
      <c r="H609" s="108"/>
      <c r="I609" s="108"/>
      <c r="J609" s="108"/>
      <c r="K609" s="209"/>
      <c r="L609" s="449"/>
      <c r="M609" s="834"/>
      <c r="N609" s="11">
        <v>0</v>
      </c>
      <c r="O609" s="11">
        <v>0</v>
      </c>
      <c r="P609" s="11">
        <v>0</v>
      </c>
      <c r="Q609" s="11">
        <v>0</v>
      </c>
      <c r="R609" s="773">
        <v>0</v>
      </c>
      <c r="S609" s="11">
        <v>0</v>
      </c>
      <c r="T609" s="773">
        <v>0</v>
      </c>
      <c r="U609" s="2173">
        <v>0</v>
      </c>
      <c r="V609" s="2509">
        <v>0</v>
      </c>
      <c r="W609" s="2509">
        <v>0</v>
      </c>
      <c r="X609" s="2509">
        <v>0</v>
      </c>
      <c r="Y609" s="2509">
        <v>0</v>
      </c>
      <c r="Z609" s="11">
        <f>'[26]New TB INC'!Z554</f>
        <v>0</v>
      </c>
      <c r="AA609" s="11">
        <f>'[27]New TB INC'!AA563</f>
        <v>0</v>
      </c>
      <c r="AB609" s="11">
        <f>'[28]New TB INC'!AB569</f>
        <v>0</v>
      </c>
      <c r="AC609" s="11">
        <f>'[29]New TB INC'!AC565</f>
        <v>0</v>
      </c>
      <c r="AD609" s="11">
        <f>'[30]New TB INC'!AD560</f>
        <v>0</v>
      </c>
      <c r="AE609" s="11">
        <f>'[31]New TB INC'!AE568</f>
        <v>0</v>
      </c>
      <c r="AF609" s="11">
        <v>0</v>
      </c>
      <c r="AG609" s="11">
        <v>0</v>
      </c>
      <c r="AH609" s="11">
        <v>0</v>
      </c>
      <c r="AI609" s="11">
        <v>0</v>
      </c>
      <c r="AJ609" s="11">
        <v>0</v>
      </c>
      <c r="AK609" s="11">
        <f>$J609-SUM($Z609:AJ609)</f>
        <v>0</v>
      </c>
      <c r="AL609" s="11"/>
      <c r="AM609" s="11"/>
      <c r="AN609" s="11"/>
      <c r="AO609" s="11"/>
      <c r="AP609" s="11"/>
      <c r="AQ609" s="11"/>
      <c r="AR609" s="11"/>
      <c r="AS609" s="11"/>
      <c r="AT609" s="11"/>
      <c r="AU609" s="11"/>
      <c r="AW609" s="2509"/>
      <c r="BH609" s="2509"/>
      <c r="BI609" s="772"/>
      <c r="BJ609" s="2173"/>
      <c r="BK609" s="2173"/>
      <c r="BO609" s="209"/>
      <c r="BP609" s="209"/>
      <c r="BQ609" s="859"/>
      <c r="BR609" s="859"/>
      <c r="BS609" s="859"/>
      <c r="BT609" s="859"/>
      <c r="BU609" s="209"/>
      <c r="BV609" s="209"/>
      <c r="BW609" s="209"/>
      <c r="BX609" s="209"/>
      <c r="BY609" s="11"/>
      <c r="BZ609" s="11"/>
      <c r="CA609" s="11"/>
      <c r="CB609" s="11"/>
      <c r="CC609" s="11"/>
    </row>
    <row r="610" spans="1:208" s="773" customFormat="1">
      <c r="A610" s="774"/>
      <c r="B610" s="3763" t="s">
        <v>885</v>
      </c>
      <c r="C610" s="892">
        <v>6020001</v>
      </c>
      <c r="D610" s="199" t="s">
        <v>886</v>
      </c>
      <c r="E610" s="798">
        <f>IFERROR(VLOOKUP(C610,'AJE 12 - INC'!$D$168:$F$771,3,0),0)</f>
        <v>0</v>
      </c>
      <c r="F610" s="108">
        <f>SUMIF('AJE 12 - INC'!B:B,'New TB INC'!C610,'AJE 12 - INC'!D:D)</f>
        <v>0</v>
      </c>
      <c r="G610" s="108"/>
      <c r="H610" s="108"/>
      <c r="I610" s="108"/>
      <c r="J610" s="108">
        <f t="shared" ref="J610:J622" si="62">SUM(E610:I610)</f>
        <v>0</v>
      </c>
      <c r="K610" s="209"/>
      <c r="L610" s="449"/>
      <c r="M610" s="834"/>
      <c r="N610" s="11">
        <v>0</v>
      </c>
      <c r="O610" s="11">
        <v>178.8</v>
      </c>
      <c r="P610" s="11">
        <v>0</v>
      </c>
      <c r="Q610" s="11">
        <v>0</v>
      </c>
      <c r="R610" s="773">
        <v>0</v>
      </c>
      <c r="S610" s="11">
        <v>0</v>
      </c>
      <c r="T610" s="773">
        <v>0</v>
      </c>
      <c r="U610" s="2173">
        <v>0</v>
      </c>
      <c r="V610" s="2509">
        <v>0</v>
      </c>
      <c r="W610" s="2509">
        <v>0</v>
      </c>
      <c r="X610" s="2509">
        <v>0</v>
      </c>
      <c r="Y610" s="2509">
        <v>0</v>
      </c>
      <c r="Z610" s="11">
        <f>'[26]New TB INC'!Z555</f>
        <v>0</v>
      </c>
      <c r="AA610" s="11">
        <f>'[27]New TB INC'!AA564</f>
        <v>0</v>
      </c>
      <c r="AB610" s="11">
        <f>'[28]New TB INC'!AB570</f>
        <v>0</v>
      </c>
      <c r="AC610" s="11">
        <f>'[29]New TB INC'!AC566</f>
        <v>0</v>
      </c>
      <c r="AD610" s="11">
        <f>'[30]New TB INC'!AD561</f>
        <v>0</v>
      </c>
      <c r="AE610" s="11">
        <f>'[31]New TB INC'!AE569</f>
        <v>0</v>
      </c>
      <c r="AF610" s="11">
        <v>0</v>
      </c>
      <c r="AG610" s="11">
        <v>0</v>
      </c>
      <c r="AH610" s="11">
        <v>0</v>
      </c>
      <c r="AI610" s="11">
        <v>0</v>
      </c>
      <c r="AJ610" s="11">
        <v>0</v>
      </c>
      <c r="AK610" s="11">
        <f>$J610-SUM($Z610:AJ610)</f>
        <v>0</v>
      </c>
      <c r="AL610" s="11"/>
      <c r="AM610" s="11"/>
      <c r="AN610" s="11"/>
      <c r="AO610" s="11"/>
      <c r="AP610" s="11"/>
      <c r="AQ610" s="11"/>
      <c r="AR610" s="11"/>
      <c r="AS610" s="11"/>
      <c r="AT610" s="11"/>
      <c r="AU610" s="11"/>
      <c r="AW610" s="2509"/>
      <c r="BH610" s="2509"/>
      <c r="BI610" s="772"/>
      <c r="BJ610" s="2173"/>
      <c r="BK610" s="2173"/>
      <c r="BO610" s="209"/>
      <c r="BP610" s="209"/>
      <c r="BQ610" s="859"/>
      <c r="BR610" s="859"/>
      <c r="BS610" s="859"/>
      <c r="BT610" s="859"/>
      <c r="BU610" s="209"/>
      <c r="BV610" s="209"/>
      <c r="BW610" s="209"/>
      <c r="BX610" s="209"/>
      <c r="BY610" s="11"/>
      <c r="BZ610" s="11"/>
      <c r="CA610" s="11"/>
      <c r="CB610" s="11"/>
      <c r="CC610" s="11"/>
    </row>
    <row r="611" spans="1:208" s="773" customFormat="1">
      <c r="A611" s="774"/>
      <c r="B611" s="3763" t="s">
        <v>1362</v>
      </c>
      <c r="C611" s="892">
        <v>6020007</v>
      </c>
      <c r="D611" s="199" t="s">
        <v>3004</v>
      </c>
      <c r="E611" s="798">
        <f>IFERROR(VLOOKUP(C611,'AJE 12 - INC'!$D$168:$F$771,3,0),0)</f>
        <v>0</v>
      </c>
      <c r="F611" s="108">
        <f>SUMIF('AJE 12 - INC'!B:B,'New TB INC'!C611,'AJE 12 - INC'!D:D)</f>
        <v>0</v>
      </c>
      <c r="G611" s="108"/>
      <c r="H611" s="108"/>
      <c r="I611" s="108"/>
      <c r="J611" s="108">
        <f t="shared" si="62"/>
        <v>0</v>
      </c>
      <c r="K611" s="209"/>
      <c r="L611" s="449"/>
      <c r="M611" s="834"/>
      <c r="N611" s="11"/>
      <c r="O611" s="11"/>
      <c r="P611" s="11"/>
      <c r="Q611" s="11"/>
      <c r="S611" s="11"/>
      <c r="U611" s="2173"/>
      <c r="V611" s="2509"/>
      <c r="W611" s="2509"/>
      <c r="X611" s="2509">
        <v>300</v>
      </c>
      <c r="Y611" s="2509">
        <v>300</v>
      </c>
      <c r="Z611" s="11">
        <f>'[26]New TB INC'!Z556</f>
        <v>0</v>
      </c>
      <c r="AA611" s="11">
        <f>'[27]New TB INC'!AA565</f>
        <v>0</v>
      </c>
      <c r="AB611" s="11">
        <f>'[28]New TB INC'!AB571</f>
        <v>0</v>
      </c>
      <c r="AC611" s="11">
        <f>'[29]New TB INC'!AC567</f>
        <v>0</v>
      </c>
      <c r="AD611" s="11">
        <f>'[30]New TB INC'!AD562</f>
        <v>0</v>
      </c>
      <c r="AE611" s="11">
        <f>'[31]New TB INC'!AE570</f>
        <v>0</v>
      </c>
      <c r="AF611" s="11">
        <v>0</v>
      </c>
      <c r="AG611" s="11">
        <v>0</v>
      </c>
      <c r="AH611" s="11">
        <v>0</v>
      </c>
      <c r="AI611" s="11">
        <v>0</v>
      </c>
      <c r="AJ611" s="11">
        <v>0</v>
      </c>
      <c r="AK611" s="11">
        <f>$J611-SUM($Z611:AJ611)</f>
        <v>0</v>
      </c>
      <c r="AL611" s="11"/>
      <c r="AM611" s="11"/>
      <c r="AN611" s="11"/>
      <c r="AO611" s="11"/>
      <c r="AP611" s="11"/>
      <c r="AQ611" s="11"/>
      <c r="AR611" s="11"/>
      <c r="AS611" s="11"/>
      <c r="AT611" s="11"/>
      <c r="AU611" s="11"/>
      <c r="AW611" s="2509"/>
      <c r="BH611" s="2509"/>
      <c r="BI611" s="772"/>
      <c r="BJ611" s="2173"/>
      <c r="BK611" s="2173"/>
      <c r="BO611" s="209"/>
      <c r="BP611" s="209"/>
      <c r="BQ611" s="859"/>
      <c r="BR611" s="859"/>
      <c r="BS611" s="885"/>
      <c r="BT611" s="209"/>
      <c r="BU611" s="209"/>
      <c r="BV611" s="209"/>
      <c r="BW611" s="209"/>
      <c r="BX611" s="209"/>
      <c r="BY611" s="11"/>
      <c r="BZ611" s="11"/>
      <c r="CA611" s="11"/>
      <c r="CB611" s="11"/>
      <c r="CC611" s="11"/>
    </row>
    <row r="612" spans="1:208" s="773" customFormat="1">
      <c r="A612" s="774"/>
      <c r="B612" s="3763" t="s">
        <v>885</v>
      </c>
      <c r="C612" s="892">
        <v>6020002</v>
      </c>
      <c r="D612" s="199" t="s">
        <v>887</v>
      </c>
      <c r="E612" s="798">
        <f>IFERROR(VLOOKUP(C612,'AJE 12 - INC'!$D$168:$F$771,3,0),0)</f>
        <v>0</v>
      </c>
      <c r="F612" s="108">
        <f>SUMIF('AJE 12 - INC'!B:B,'New TB INC'!C612,'AJE 12 - INC'!D:D)</f>
        <v>0</v>
      </c>
      <c r="G612" s="108"/>
      <c r="H612" s="108"/>
      <c r="I612" s="108"/>
      <c r="J612" s="108">
        <f t="shared" si="62"/>
        <v>0</v>
      </c>
      <c r="K612" s="209"/>
      <c r="L612" s="449"/>
      <c r="M612" s="834"/>
      <c r="N612" s="11">
        <v>0</v>
      </c>
      <c r="O612" s="11">
        <v>446.46</v>
      </c>
      <c r="P612" s="11">
        <v>0</v>
      </c>
      <c r="Q612" s="11">
        <v>0</v>
      </c>
      <c r="R612" s="773">
        <v>0</v>
      </c>
      <c r="S612" s="11">
        <v>0</v>
      </c>
      <c r="T612" s="773">
        <v>0</v>
      </c>
      <c r="U612" s="2173">
        <v>0</v>
      </c>
      <c r="V612" s="2509">
        <v>0</v>
      </c>
      <c r="W612" s="2509">
        <v>0</v>
      </c>
      <c r="X612" s="2509">
        <v>0</v>
      </c>
      <c r="Y612" s="2509">
        <v>0</v>
      </c>
      <c r="Z612" s="11">
        <f>'[26]New TB INC'!Z557</f>
        <v>0</v>
      </c>
      <c r="AA612" s="11">
        <f>'[27]New TB INC'!AA566</f>
        <v>0</v>
      </c>
      <c r="AB612" s="11">
        <f>'[28]New TB INC'!AB572</f>
        <v>0</v>
      </c>
      <c r="AC612" s="11">
        <f>'[29]New TB INC'!AC568</f>
        <v>0</v>
      </c>
      <c r="AD612" s="11">
        <f>'[30]New TB INC'!AD563</f>
        <v>0</v>
      </c>
      <c r="AE612" s="11">
        <f>'[31]New TB INC'!AE571</f>
        <v>0</v>
      </c>
      <c r="AF612" s="11">
        <v>0</v>
      </c>
      <c r="AG612" s="11">
        <v>0</v>
      </c>
      <c r="AH612" s="11">
        <v>0</v>
      </c>
      <c r="AI612" s="11">
        <v>0</v>
      </c>
      <c r="AJ612" s="11">
        <v>0</v>
      </c>
      <c r="AK612" s="11">
        <f>$J612-SUM($Z612:AJ612)</f>
        <v>0</v>
      </c>
      <c r="AL612" s="11"/>
      <c r="AM612" s="11"/>
      <c r="AN612" s="11"/>
      <c r="AO612" s="11"/>
      <c r="AP612" s="11"/>
      <c r="AQ612" s="11"/>
      <c r="AR612" s="11"/>
      <c r="AS612" s="11"/>
      <c r="AT612" s="11"/>
      <c r="AU612" s="11"/>
      <c r="AW612" s="2509"/>
      <c r="BH612" s="2509"/>
      <c r="BI612" s="772"/>
      <c r="BJ612" s="2173"/>
      <c r="BK612" s="2173"/>
      <c r="BO612" s="209"/>
      <c r="BP612" s="209"/>
      <c r="BQ612" s="859"/>
      <c r="BR612" s="859"/>
      <c r="BS612" s="859"/>
      <c r="BT612" s="859"/>
      <c r="BU612" s="209"/>
      <c r="BV612" s="209"/>
      <c r="BW612" s="209"/>
      <c r="BX612" s="209"/>
      <c r="BY612" s="11"/>
      <c r="BZ612" s="11"/>
      <c r="CA612" s="11"/>
      <c r="CB612" s="11"/>
      <c r="CC612" s="11"/>
    </row>
    <row r="613" spans="1:208" s="773" customFormat="1">
      <c r="A613" s="774"/>
      <c r="B613" s="3763" t="s">
        <v>885</v>
      </c>
      <c r="C613" s="892">
        <v>6020003</v>
      </c>
      <c r="D613" s="199" t="s">
        <v>888</v>
      </c>
      <c r="E613" s="798">
        <f>IFERROR(VLOOKUP(C613,'AJE 12 - INC'!$D$168:$F$771,3,0),0)</f>
        <v>0</v>
      </c>
      <c r="F613" s="108">
        <f>SUMIF('AJE 12 - INC'!B:B,'New TB INC'!C613,'AJE 12 - INC'!D:D)</f>
        <v>0</v>
      </c>
      <c r="G613" s="108"/>
      <c r="H613" s="108"/>
      <c r="I613" s="108"/>
      <c r="J613" s="108">
        <f t="shared" si="62"/>
        <v>0</v>
      </c>
      <c r="K613" s="209"/>
      <c r="L613" s="449"/>
      <c r="M613" s="834"/>
      <c r="N613" s="11">
        <v>0</v>
      </c>
      <c r="O613" s="11">
        <v>337.91</v>
      </c>
      <c r="P613" s="11">
        <v>9.2799999999999727</v>
      </c>
      <c r="Q613" s="11">
        <v>0</v>
      </c>
      <c r="R613" s="773">
        <v>0</v>
      </c>
      <c r="S613" s="11">
        <v>0</v>
      </c>
      <c r="T613" s="773">
        <v>0</v>
      </c>
      <c r="U613" s="2173">
        <v>0</v>
      </c>
      <c r="V613" s="2509">
        <v>0</v>
      </c>
      <c r="W613" s="2509">
        <v>0</v>
      </c>
      <c r="X613" s="2509">
        <v>0</v>
      </c>
      <c r="Y613" s="2509">
        <v>0</v>
      </c>
      <c r="Z613" s="11">
        <f>'[26]New TB INC'!Z558</f>
        <v>0</v>
      </c>
      <c r="AA613" s="11">
        <f>'[27]New TB INC'!AA567</f>
        <v>0</v>
      </c>
      <c r="AB613" s="11">
        <f>'[28]New TB INC'!AB573</f>
        <v>0</v>
      </c>
      <c r="AC613" s="11">
        <f>'[29]New TB INC'!AC569</f>
        <v>0</v>
      </c>
      <c r="AD613" s="11">
        <f>'[30]New TB INC'!AD564</f>
        <v>0</v>
      </c>
      <c r="AE613" s="11">
        <f>'[31]New TB INC'!AE572</f>
        <v>0</v>
      </c>
      <c r="AF613" s="11">
        <v>0</v>
      </c>
      <c r="AG613" s="11">
        <v>0</v>
      </c>
      <c r="AH613" s="11">
        <v>0</v>
      </c>
      <c r="AI613" s="11">
        <v>0</v>
      </c>
      <c r="AJ613" s="11">
        <v>0</v>
      </c>
      <c r="AK613" s="11">
        <f>$J613-SUM($Z613:AJ613)</f>
        <v>0</v>
      </c>
      <c r="AL613" s="11"/>
      <c r="AM613" s="11"/>
      <c r="AN613" s="11"/>
      <c r="AO613" s="11"/>
      <c r="AP613" s="11"/>
      <c r="AQ613" s="11"/>
      <c r="AR613" s="11"/>
      <c r="AS613" s="11"/>
      <c r="AT613" s="11"/>
      <c r="AU613" s="11"/>
      <c r="AW613" s="2509"/>
      <c r="BH613" s="2509"/>
      <c r="BI613" s="772"/>
      <c r="BJ613" s="2173"/>
      <c r="BK613" s="2173"/>
      <c r="BO613" s="209"/>
      <c r="BP613" s="209"/>
      <c r="BQ613" s="859"/>
      <c r="BR613" s="859"/>
      <c r="BS613" s="885"/>
      <c r="BT613" s="209"/>
      <c r="BU613" s="209"/>
      <c r="BV613" s="209"/>
      <c r="BW613" s="209"/>
      <c r="BX613" s="209"/>
      <c r="BY613" s="11"/>
      <c r="BZ613" s="11"/>
      <c r="CA613" s="11"/>
      <c r="CB613" s="11"/>
      <c r="CC613" s="11"/>
    </row>
    <row r="614" spans="1:208" s="773" customFormat="1">
      <c r="A614" s="774"/>
      <c r="B614" s="3763" t="s">
        <v>885</v>
      </c>
      <c r="C614" s="892">
        <v>6020004</v>
      </c>
      <c r="D614" s="199" t="s">
        <v>889</v>
      </c>
      <c r="E614" s="798">
        <f>IFERROR(VLOOKUP(C614,'AJE 12 - INC'!$D$168:$F$771,3,0),0)</f>
        <v>1079.95</v>
      </c>
      <c r="F614" s="108">
        <f>SUMIF('AJE 12 - INC'!B:B,'New TB INC'!C614,'AJE 12 - INC'!D:D)</f>
        <v>0</v>
      </c>
      <c r="G614" s="108"/>
      <c r="H614" s="108"/>
      <c r="I614" s="108"/>
      <c r="J614" s="108">
        <f t="shared" si="62"/>
        <v>1079.95</v>
      </c>
      <c r="K614" s="209"/>
      <c r="L614" s="449"/>
      <c r="M614" s="834"/>
      <c r="N614" s="11">
        <v>0</v>
      </c>
      <c r="O614" s="11">
        <v>213.77</v>
      </c>
      <c r="P614" s="11">
        <v>0</v>
      </c>
      <c r="Q614" s="11">
        <v>0</v>
      </c>
      <c r="R614" s="773">
        <v>0</v>
      </c>
      <c r="S614" s="11">
        <v>0</v>
      </c>
      <c r="T614" s="773">
        <v>0</v>
      </c>
      <c r="U614" s="2173">
        <v>0</v>
      </c>
      <c r="V614" s="2509">
        <v>0</v>
      </c>
      <c r="W614" s="2509">
        <v>0</v>
      </c>
      <c r="X614" s="2509">
        <v>0</v>
      </c>
      <c r="Y614" s="2509">
        <v>0</v>
      </c>
      <c r="Z614" s="11">
        <f>'[26]New TB INC'!Z559</f>
        <v>0</v>
      </c>
      <c r="AA614" s="11">
        <f>'[27]New TB INC'!AA568</f>
        <v>0</v>
      </c>
      <c r="AB614" s="11">
        <f>'[28]New TB INC'!AB574</f>
        <v>0</v>
      </c>
      <c r="AC614" s="11">
        <f>'[29]New TB INC'!AC570</f>
        <v>0</v>
      </c>
      <c r="AD614" s="11">
        <f>'[30]New TB INC'!AD565</f>
        <v>0</v>
      </c>
      <c r="AE614" s="11">
        <f>'[31]New TB INC'!AE573</f>
        <v>0</v>
      </c>
      <c r="AF614" s="11">
        <v>0</v>
      </c>
      <c r="AG614" s="11">
        <v>0</v>
      </c>
      <c r="AH614" s="11">
        <v>1079.95</v>
      </c>
      <c r="AI614" s="11">
        <v>0</v>
      </c>
      <c r="AJ614" s="11">
        <v>0</v>
      </c>
      <c r="AK614" s="11">
        <f>$J614-SUM($Z614:AJ614)</f>
        <v>0</v>
      </c>
      <c r="AL614" s="11"/>
      <c r="AM614" s="11"/>
      <c r="AN614" s="11"/>
      <c r="AO614" s="11"/>
      <c r="AP614" s="11"/>
      <c r="AQ614" s="11"/>
      <c r="AR614" s="11"/>
      <c r="AS614" s="11"/>
      <c r="AT614" s="11"/>
      <c r="AU614" s="11"/>
      <c r="AW614" s="2509"/>
      <c r="BH614" s="2509"/>
      <c r="BI614" s="772"/>
      <c r="BJ614" s="2173"/>
      <c r="BK614" s="2173"/>
      <c r="BO614" s="209"/>
      <c r="BP614" s="209"/>
      <c r="BQ614" s="859"/>
      <c r="BR614" s="859"/>
      <c r="BS614" s="885"/>
      <c r="BT614" s="209"/>
      <c r="BU614" s="209"/>
      <c r="BV614" s="209"/>
      <c r="BW614" s="209"/>
      <c r="BX614" s="209"/>
      <c r="BY614" s="11"/>
      <c r="BZ614" s="11"/>
      <c r="CA614" s="11"/>
      <c r="CB614" s="11"/>
      <c r="CC614" s="11"/>
    </row>
    <row r="615" spans="1:208" s="773" customFormat="1">
      <c r="A615" s="774"/>
      <c r="B615" s="3763" t="s">
        <v>885</v>
      </c>
      <c r="C615" s="892">
        <v>6020005</v>
      </c>
      <c r="D615" s="199" t="s">
        <v>1489</v>
      </c>
      <c r="E615" s="798">
        <f>IFERROR(VLOOKUP(C615,'AJE 12 - INC'!$D$168:$F$771,3,0),0)</f>
        <v>592.76</v>
      </c>
      <c r="F615" s="108">
        <f>SUMIF('AJE 12 - INC'!B:B,'New TB INC'!C615,'AJE 12 - INC'!D:D)</f>
        <v>0</v>
      </c>
      <c r="G615" s="108"/>
      <c r="H615" s="108"/>
      <c r="I615" s="108"/>
      <c r="J615" s="108">
        <f t="shared" si="62"/>
        <v>592.76</v>
      </c>
      <c r="K615" s="209"/>
      <c r="L615" s="449"/>
      <c r="M615" s="834"/>
      <c r="N615" s="11">
        <v>0</v>
      </c>
      <c r="O615" s="11">
        <v>0</v>
      </c>
      <c r="P615" s="11">
        <v>0</v>
      </c>
      <c r="Q615" s="11">
        <v>0</v>
      </c>
      <c r="R615" s="773">
        <v>0</v>
      </c>
      <c r="S615" s="11">
        <v>0</v>
      </c>
      <c r="T615" s="773">
        <v>0</v>
      </c>
      <c r="U615" s="2173">
        <v>0</v>
      </c>
      <c r="V615" s="2509">
        <v>0</v>
      </c>
      <c r="W615" s="2509">
        <v>0</v>
      </c>
      <c r="X615" s="2509">
        <v>0</v>
      </c>
      <c r="Y615" s="2509">
        <v>0</v>
      </c>
      <c r="Z615" s="11">
        <f>'[26]New TB INC'!Z560</f>
        <v>536.28</v>
      </c>
      <c r="AA615" s="11">
        <f>'[27]New TB INC'!AA569</f>
        <v>0</v>
      </c>
      <c r="AB615" s="11">
        <f>'[28]New TB INC'!AB575</f>
        <v>0</v>
      </c>
      <c r="AC615" s="11">
        <f>'[29]New TB INC'!AC571</f>
        <v>0</v>
      </c>
      <c r="AD615" s="11">
        <f>'[30]New TB INC'!AD566</f>
        <v>0</v>
      </c>
      <c r="AE615" s="11">
        <f>'[31]New TB INC'!AE574</f>
        <v>0</v>
      </c>
      <c r="AF615" s="11">
        <v>0</v>
      </c>
      <c r="AG615" s="11">
        <v>0</v>
      </c>
      <c r="AH615" s="11">
        <v>0</v>
      </c>
      <c r="AI615" s="11">
        <v>56.480000000000018</v>
      </c>
      <c r="AJ615" s="11">
        <v>0</v>
      </c>
      <c r="AK615" s="11">
        <f>$J615-SUM($Z615:AJ615)</f>
        <v>0</v>
      </c>
      <c r="AL615" s="11"/>
      <c r="AM615" s="11"/>
      <c r="AN615" s="11"/>
      <c r="AO615" s="11"/>
      <c r="AP615" s="11"/>
      <c r="AQ615" s="11"/>
      <c r="AR615" s="11"/>
      <c r="AS615" s="11"/>
      <c r="AT615" s="11"/>
      <c r="AU615" s="11"/>
      <c r="AW615" s="2509"/>
      <c r="BH615" s="2509"/>
      <c r="BI615" s="772"/>
      <c r="BJ615" s="2173"/>
      <c r="BK615" s="2173"/>
      <c r="BO615" s="209"/>
      <c r="BP615" s="209"/>
      <c r="BQ615" s="859"/>
      <c r="BR615" s="859"/>
      <c r="BS615" s="885"/>
      <c r="BT615" s="209"/>
      <c r="BU615" s="209"/>
      <c r="BV615" s="209"/>
      <c r="BW615" s="209"/>
      <c r="BX615" s="209"/>
      <c r="BY615" s="11"/>
      <c r="BZ615" s="11"/>
      <c r="CA615" s="11"/>
      <c r="CB615" s="11"/>
      <c r="CC615" s="11"/>
    </row>
    <row r="616" spans="1:208" s="773" customFormat="1">
      <c r="A616" s="774"/>
      <c r="B616" s="3763" t="s">
        <v>1362</v>
      </c>
      <c r="C616" s="892">
        <v>6020008</v>
      </c>
      <c r="D616" s="199" t="s">
        <v>1421</v>
      </c>
      <c r="E616" s="798">
        <f>IFERROR(VLOOKUP(C616,'AJE 12 - INC'!$D$168:$F$771,3,0),0)</f>
        <v>0</v>
      </c>
      <c r="F616" s="108">
        <f>SUMIF('AJE 12 - INC'!B:B,'New TB INC'!C616,'AJE 12 - INC'!D:D)</f>
        <v>0</v>
      </c>
      <c r="G616" s="108"/>
      <c r="H616" s="108"/>
      <c r="I616" s="108"/>
      <c r="J616" s="108">
        <f t="shared" si="62"/>
        <v>0</v>
      </c>
      <c r="K616" s="209"/>
      <c r="L616" s="449"/>
      <c r="M616" s="834"/>
      <c r="N616" s="11">
        <v>0</v>
      </c>
      <c r="O616" s="11">
        <v>0</v>
      </c>
      <c r="P616" s="11">
        <v>0</v>
      </c>
      <c r="Q616" s="11">
        <v>0</v>
      </c>
      <c r="R616" s="773">
        <v>0</v>
      </c>
      <c r="S616" s="11">
        <v>0</v>
      </c>
      <c r="T616" s="773">
        <v>0</v>
      </c>
      <c r="U616" s="2173">
        <v>0</v>
      </c>
      <c r="V616" s="2509">
        <v>0</v>
      </c>
      <c r="W616" s="2509">
        <v>0</v>
      </c>
      <c r="X616" s="2509">
        <v>0</v>
      </c>
      <c r="Y616" s="2509">
        <v>0</v>
      </c>
      <c r="Z616" s="11">
        <f>'[26]New TB INC'!Z561</f>
        <v>0</v>
      </c>
      <c r="AA616" s="11">
        <f>'[27]New TB INC'!AA570</f>
        <v>0</v>
      </c>
      <c r="AB616" s="11">
        <f>'[28]New TB INC'!AB576</f>
        <v>0</v>
      </c>
      <c r="AC616" s="11">
        <f>'[29]New TB INC'!AC572</f>
        <v>0</v>
      </c>
      <c r="AD616" s="11">
        <f>'[30]New TB INC'!AD567</f>
        <v>0</v>
      </c>
      <c r="AE616" s="11">
        <f>'[31]New TB INC'!AE575</f>
        <v>0</v>
      </c>
      <c r="AF616" s="11">
        <v>0</v>
      </c>
      <c r="AG616" s="11">
        <v>0</v>
      </c>
      <c r="AH616" s="11">
        <v>0</v>
      </c>
      <c r="AI616" s="11">
        <v>0</v>
      </c>
      <c r="AJ616" s="11">
        <v>0</v>
      </c>
      <c r="AK616" s="11">
        <f>$J616-SUM($Z616:AJ616)</f>
        <v>0</v>
      </c>
      <c r="AL616" s="11"/>
      <c r="AM616" s="11"/>
      <c r="AN616" s="11"/>
      <c r="AO616" s="11"/>
      <c r="AP616" s="11"/>
      <c r="AQ616" s="11"/>
      <c r="AR616" s="11"/>
      <c r="AS616" s="11"/>
      <c r="AT616" s="11"/>
      <c r="AU616" s="11"/>
      <c r="AW616" s="2509"/>
      <c r="BH616" s="2509"/>
      <c r="BI616" s="772"/>
      <c r="BJ616" s="2173"/>
      <c r="BK616" s="2173"/>
      <c r="BO616" s="209"/>
      <c r="BP616" s="209"/>
      <c r="BQ616" s="859"/>
      <c r="BR616" s="859"/>
      <c r="BS616" s="885"/>
      <c r="BT616" s="209"/>
      <c r="BU616" s="209"/>
      <c r="BV616" s="209"/>
      <c r="BW616" s="209"/>
      <c r="BX616" s="209"/>
      <c r="BY616" s="11"/>
      <c r="BZ616" s="11"/>
      <c r="CA616" s="11"/>
      <c r="CB616" s="11"/>
      <c r="CC616" s="11"/>
    </row>
    <row r="617" spans="1:208" s="773" customFormat="1">
      <c r="A617" s="774"/>
      <c r="B617" s="3763" t="s">
        <v>1363</v>
      </c>
      <c r="C617" s="892">
        <v>6120003</v>
      </c>
      <c r="D617" s="199" t="s">
        <v>1422</v>
      </c>
      <c r="E617" s="798">
        <f>IFERROR(VLOOKUP(C617,'AJE 12 - INC'!$D$168:$F$771,3,0),0)</f>
        <v>0</v>
      </c>
      <c r="F617" s="108">
        <f>SUMIF('AJE 12 - INC'!B:B,'New TB INC'!C617,'AJE 12 - INC'!D:D)</f>
        <v>0</v>
      </c>
      <c r="G617" s="108"/>
      <c r="H617" s="108"/>
      <c r="I617" s="108"/>
      <c r="J617" s="108">
        <f t="shared" si="62"/>
        <v>0</v>
      </c>
      <c r="K617" s="209"/>
      <c r="L617" s="449"/>
      <c r="M617" s="834"/>
      <c r="N617" s="11">
        <v>0</v>
      </c>
      <c r="O617" s="11">
        <v>0</v>
      </c>
      <c r="P617" s="11">
        <v>0</v>
      </c>
      <c r="Q617" s="11">
        <v>0</v>
      </c>
      <c r="R617" s="773">
        <v>0</v>
      </c>
      <c r="S617" s="11">
        <v>0</v>
      </c>
      <c r="T617" s="773">
        <v>0</v>
      </c>
      <c r="U617" s="2173">
        <v>0</v>
      </c>
      <c r="V617" s="2509">
        <v>0</v>
      </c>
      <c r="W617" s="2509">
        <v>0</v>
      </c>
      <c r="X617" s="2509">
        <v>0</v>
      </c>
      <c r="Y617" s="2509">
        <v>0</v>
      </c>
      <c r="Z617" s="11">
        <f>'[26]New TB INC'!Z562</f>
        <v>0</v>
      </c>
      <c r="AA617" s="11">
        <f>'[27]New TB INC'!AA571</f>
        <v>0</v>
      </c>
      <c r="AB617" s="11">
        <f>'[28]New TB INC'!AB577</f>
        <v>0</v>
      </c>
      <c r="AC617" s="11">
        <f>'[29]New TB INC'!AC573</f>
        <v>0</v>
      </c>
      <c r="AD617" s="11">
        <f>'[30]New TB INC'!AD568</f>
        <v>0</v>
      </c>
      <c r="AE617" s="11">
        <f>'[31]New TB INC'!AE576</f>
        <v>0</v>
      </c>
      <c r="AF617" s="11">
        <v>0</v>
      </c>
      <c r="AG617" s="11">
        <v>0</v>
      </c>
      <c r="AH617" s="11">
        <v>0</v>
      </c>
      <c r="AI617" s="11">
        <v>0</v>
      </c>
      <c r="AJ617" s="11">
        <v>0</v>
      </c>
      <c r="AK617" s="11">
        <f>$J617-SUM($Z617:AJ617)</f>
        <v>0</v>
      </c>
      <c r="AL617" s="11"/>
      <c r="AM617" s="11"/>
      <c r="AN617" s="11"/>
      <c r="AO617" s="11"/>
      <c r="AP617" s="11"/>
      <c r="AQ617" s="11"/>
      <c r="AR617" s="11"/>
      <c r="AS617" s="11"/>
      <c r="AT617" s="11"/>
      <c r="AU617" s="11"/>
      <c r="AW617" s="2509"/>
      <c r="BH617" s="2509"/>
      <c r="BI617" s="772"/>
      <c r="BJ617" s="2173"/>
      <c r="BK617" s="2173"/>
      <c r="BO617" s="209"/>
      <c r="BP617" s="209"/>
      <c r="BQ617" s="859"/>
      <c r="BR617" s="859"/>
      <c r="BS617" s="885"/>
      <c r="BT617" s="209"/>
      <c r="BU617" s="209"/>
      <c r="BV617" s="209"/>
      <c r="BW617" s="209"/>
      <c r="BX617" s="209"/>
      <c r="BY617" s="11"/>
      <c r="BZ617" s="11"/>
      <c r="CA617" s="11"/>
      <c r="CB617" s="11"/>
      <c r="CC617" s="11"/>
    </row>
    <row r="618" spans="1:208" s="773" customFormat="1">
      <c r="A618" s="774"/>
      <c r="B618" s="3763" t="s">
        <v>1363</v>
      </c>
      <c r="C618" s="892">
        <v>6120004</v>
      </c>
      <c r="D618" s="199" t="s">
        <v>1364</v>
      </c>
      <c r="E618" s="798">
        <f>IFERROR(VLOOKUP(C618,'AJE 12 - INC'!$D$168:$F$771,3,0),0)</f>
        <v>0</v>
      </c>
      <c r="F618" s="108">
        <f>SUMIF('AJE 12 - INC'!B:B,'New TB INC'!C618,'AJE 12 - INC'!D:D)</f>
        <v>0</v>
      </c>
      <c r="G618" s="108"/>
      <c r="H618" s="108"/>
      <c r="I618" s="108"/>
      <c r="J618" s="108">
        <f t="shared" si="62"/>
        <v>0</v>
      </c>
      <c r="K618" s="209"/>
      <c r="L618" s="449"/>
      <c r="M618" s="834"/>
      <c r="N618" s="11">
        <v>0</v>
      </c>
      <c r="O618" s="11">
        <v>0</v>
      </c>
      <c r="P618" s="11">
        <v>0</v>
      </c>
      <c r="Q618" s="11">
        <v>0</v>
      </c>
      <c r="R618" s="773">
        <v>0</v>
      </c>
      <c r="S618" s="11">
        <v>0</v>
      </c>
      <c r="T618" s="773">
        <v>0</v>
      </c>
      <c r="U618" s="2173">
        <v>0</v>
      </c>
      <c r="V618" s="2509">
        <v>0</v>
      </c>
      <c r="W618" s="2509">
        <v>0</v>
      </c>
      <c r="X618" s="2509">
        <v>0</v>
      </c>
      <c r="Y618" s="2509">
        <v>0</v>
      </c>
      <c r="Z618" s="11">
        <f>'[26]New TB INC'!Z563</f>
        <v>0</v>
      </c>
      <c r="AA618" s="11">
        <f>'[27]New TB INC'!AA572</f>
        <v>0</v>
      </c>
      <c r="AB618" s="11">
        <f>'[28]New TB INC'!AB578</f>
        <v>0</v>
      </c>
      <c r="AC618" s="11">
        <f>'[29]New TB INC'!AC574</f>
        <v>0</v>
      </c>
      <c r="AD618" s="11">
        <f>'[30]New TB INC'!AD569</f>
        <v>0</v>
      </c>
      <c r="AE618" s="11">
        <f>'[31]New TB INC'!AE577</f>
        <v>0</v>
      </c>
      <c r="AF618" s="11">
        <v>0</v>
      </c>
      <c r="AG618" s="11">
        <v>0</v>
      </c>
      <c r="AH618" s="11">
        <v>0</v>
      </c>
      <c r="AI618" s="11">
        <v>0</v>
      </c>
      <c r="AJ618" s="11">
        <v>0</v>
      </c>
      <c r="AK618" s="11">
        <f>$J618-SUM($Z618:AJ618)</f>
        <v>0</v>
      </c>
      <c r="AL618" s="11"/>
      <c r="AM618" s="11"/>
      <c r="AN618" s="11"/>
      <c r="AO618" s="11"/>
      <c r="AP618" s="11"/>
      <c r="AQ618" s="11"/>
      <c r="AR618" s="11"/>
      <c r="AS618" s="11"/>
      <c r="AT618" s="11"/>
      <c r="AU618" s="11"/>
      <c r="AW618" s="2509"/>
      <c r="BH618" s="2509"/>
      <c r="BI618" s="772"/>
      <c r="BJ618" s="2173"/>
      <c r="BK618" s="2173"/>
      <c r="BO618" s="209"/>
      <c r="BP618" s="209"/>
      <c r="BQ618" s="859"/>
      <c r="BR618" s="859"/>
      <c r="BS618" s="885"/>
      <c r="BT618" s="209"/>
      <c r="BU618" s="209"/>
      <c r="BV618" s="209"/>
      <c r="BW618" s="209"/>
      <c r="BX618" s="209"/>
      <c r="BY618" s="11"/>
      <c r="BZ618" s="11"/>
      <c r="CA618" s="11"/>
      <c r="CB618" s="11"/>
      <c r="CC618" s="11"/>
    </row>
    <row r="619" spans="1:208" s="773" customFormat="1">
      <c r="A619" s="774"/>
      <c r="B619" s="3763" t="s">
        <v>929</v>
      </c>
      <c r="C619" s="892">
        <v>6120001</v>
      </c>
      <c r="D619" s="199" t="s">
        <v>1490</v>
      </c>
      <c r="E619" s="798">
        <f>IFERROR(VLOOKUP(C619,'AJE 12 - INC'!$D$168:$F$771,3,0),0)</f>
        <v>0</v>
      </c>
      <c r="F619" s="108">
        <f>SUMIF('AJE 12 - INC'!B:B,'New TB INC'!C619,'AJE 12 - INC'!D:D)</f>
        <v>0</v>
      </c>
      <c r="G619" s="108"/>
      <c r="H619" s="108"/>
      <c r="I619" s="108"/>
      <c r="J619" s="108">
        <f t="shared" si="62"/>
        <v>0</v>
      </c>
      <c r="K619" s="209"/>
      <c r="L619" s="449"/>
      <c r="M619" s="834"/>
      <c r="N619" s="11">
        <v>0</v>
      </c>
      <c r="O619" s="11">
        <v>0</v>
      </c>
      <c r="P619" s="11">
        <v>0</v>
      </c>
      <c r="Q619" s="11">
        <v>0</v>
      </c>
      <c r="R619" s="773">
        <v>0</v>
      </c>
      <c r="S619" s="11">
        <v>0</v>
      </c>
      <c r="T619" s="773">
        <v>0</v>
      </c>
      <c r="U619" s="2173">
        <v>0</v>
      </c>
      <c r="V619" s="2509">
        <v>0</v>
      </c>
      <c r="W619" s="2509">
        <v>0</v>
      </c>
      <c r="X619" s="2509">
        <v>0</v>
      </c>
      <c r="Y619" s="2509">
        <v>0</v>
      </c>
      <c r="Z619" s="11">
        <f>'[26]New TB INC'!Z564</f>
        <v>0</v>
      </c>
      <c r="AA619" s="11">
        <f>'[27]New TB INC'!AA573</f>
        <v>0</v>
      </c>
      <c r="AB619" s="11">
        <f>'[28]New TB INC'!AB579</f>
        <v>0</v>
      </c>
      <c r="AC619" s="11">
        <f>'[29]New TB INC'!AC575</f>
        <v>0</v>
      </c>
      <c r="AD619" s="11">
        <f>'[30]New TB INC'!AD570</f>
        <v>0</v>
      </c>
      <c r="AE619" s="11">
        <f>'[31]New TB INC'!AE578</f>
        <v>0</v>
      </c>
      <c r="AF619" s="11">
        <v>0</v>
      </c>
      <c r="AG619" s="11">
        <v>0</v>
      </c>
      <c r="AH619" s="11">
        <v>0</v>
      </c>
      <c r="AI619" s="11">
        <v>0</v>
      </c>
      <c r="AJ619" s="11">
        <v>0</v>
      </c>
      <c r="AK619" s="11">
        <f>$J619-SUM($Z619:AJ619)</f>
        <v>0</v>
      </c>
      <c r="AL619" s="11"/>
      <c r="AM619" s="11"/>
      <c r="AN619" s="11"/>
      <c r="AO619" s="11"/>
      <c r="AP619" s="11"/>
      <c r="AQ619" s="11"/>
      <c r="AR619" s="11"/>
      <c r="AS619" s="11"/>
      <c r="AT619" s="11"/>
      <c r="AU619" s="11"/>
      <c r="AW619" s="2509"/>
      <c r="BH619" s="2509"/>
      <c r="BI619" s="772"/>
      <c r="BJ619" s="2173"/>
      <c r="BK619" s="2173"/>
      <c r="BO619" s="209"/>
      <c r="BP619" s="209"/>
      <c r="BQ619" s="859"/>
      <c r="BR619" s="859"/>
      <c r="BS619" s="885"/>
      <c r="BT619" s="209"/>
      <c r="BU619" s="209"/>
      <c r="BV619" s="209"/>
      <c r="BW619" s="209"/>
      <c r="BX619" s="209"/>
      <c r="BY619" s="11"/>
      <c r="BZ619" s="11"/>
      <c r="CA619" s="11"/>
      <c r="CB619" s="11"/>
      <c r="CC619" s="11"/>
    </row>
    <row r="620" spans="1:208" s="773" customFormat="1">
      <c r="A620" s="774"/>
      <c r="B620" s="3763" t="s">
        <v>929</v>
      </c>
      <c r="C620" s="892">
        <v>6120002</v>
      </c>
      <c r="D620" s="199" t="s">
        <v>1491</v>
      </c>
      <c r="E620" s="798">
        <f>IFERROR(VLOOKUP(C620,'AJE 12 - INC'!$D$168:$F$771,3,0),0)</f>
        <v>0</v>
      </c>
      <c r="F620" s="108">
        <f>SUMIF('AJE 12 - INC'!B:B,'New TB INC'!C620,'AJE 12 - INC'!D:D)</f>
        <v>0</v>
      </c>
      <c r="G620" s="108"/>
      <c r="H620" s="108"/>
      <c r="I620" s="108"/>
      <c r="J620" s="108">
        <f t="shared" si="62"/>
        <v>0</v>
      </c>
      <c r="K620" s="209"/>
      <c r="L620" s="449"/>
      <c r="M620" s="834"/>
      <c r="N620" s="11">
        <v>0</v>
      </c>
      <c r="O620" s="11">
        <v>0</v>
      </c>
      <c r="P620" s="11">
        <v>0</v>
      </c>
      <c r="Q620" s="11">
        <v>0</v>
      </c>
      <c r="R620" s="773">
        <v>0</v>
      </c>
      <c r="S620" s="11">
        <v>0</v>
      </c>
      <c r="T620" s="773">
        <v>0</v>
      </c>
      <c r="U620" s="2173">
        <v>0</v>
      </c>
      <c r="V620" s="2509">
        <v>0</v>
      </c>
      <c r="W620" s="2509">
        <v>0</v>
      </c>
      <c r="X620" s="2509">
        <v>0</v>
      </c>
      <c r="Y620" s="2509">
        <v>0</v>
      </c>
      <c r="Z620" s="11">
        <f>'[26]New TB INC'!Z565</f>
        <v>0</v>
      </c>
      <c r="AA620" s="11">
        <f>'[27]New TB INC'!AA574</f>
        <v>0</v>
      </c>
      <c r="AB620" s="11">
        <f>'[28]New TB INC'!AB580</f>
        <v>0</v>
      </c>
      <c r="AC620" s="11">
        <f>'[29]New TB INC'!AC576</f>
        <v>0</v>
      </c>
      <c r="AD620" s="11">
        <f>'[30]New TB INC'!AD571</f>
        <v>0</v>
      </c>
      <c r="AE620" s="11">
        <f>'[31]New TB INC'!AE579</f>
        <v>0</v>
      </c>
      <c r="AF620" s="11">
        <v>0</v>
      </c>
      <c r="AG620" s="11">
        <v>0</v>
      </c>
      <c r="AH620" s="11">
        <v>0</v>
      </c>
      <c r="AI620" s="11">
        <v>0</v>
      </c>
      <c r="AJ620" s="11">
        <v>0</v>
      </c>
      <c r="AK620" s="11">
        <f>$J620-SUM($Z620:AJ620)</f>
        <v>0</v>
      </c>
      <c r="AL620" s="11"/>
      <c r="AM620" s="11"/>
      <c r="AN620" s="11"/>
      <c r="AO620" s="11"/>
      <c r="AP620" s="11"/>
      <c r="AQ620" s="11"/>
      <c r="AR620" s="11"/>
      <c r="AS620" s="11"/>
      <c r="AT620" s="11"/>
      <c r="AU620" s="11"/>
      <c r="AW620" s="2509"/>
      <c r="BH620" s="2509"/>
      <c r="BI620" s="772"/>
      <c r="BJ620" s="2173"/>
      <c r="BK620" s="2173"/>
      <c r="BO620" s="209"/>
      <c r="BP620" s="209"/>
      <c r="BQ620" s="859"/>
      <c r="BR620" s="859"/>
      <c r="BS620" s="885"/>
      <c r="BT620" s="209"/>
      <c r="BU620" s="209"/>
      <c r="BV620" s="209"/>
      <c r="BW620" s="209"/>
      <c r="BX620" s="209"/>
      <c r="BY620" s="11"/>
      <c r="BZ620" s="11"/>
      <c r="CA620" s="11"/>
      <c r="CB620" s="11"/>
      <c r="CC620" s="11"/>
    </row>
    <row r="621" spans="1:208" s="773" customFormat="1">
      <c r="A621" s="774"/>
      <c r="B621" s="3763" t="s">
        <v>1363</v>
      </c>
      <c r="C621" s="892">
        <v>6120005</v>
      </c>
      <c r="D621" s="199" t="s">
        <v>1365</v>
      </c>
      <c r="E621" s="798">
        <f>IFERROR(VLOOKUP(C621,'AJE 12 - INC'!$D$168:$F$771,3,0),0)</f>
        <v>0</v>
      </c>
      <c r="F621" s="108">
        <f>SUMIF('AJE 12 - INC'!B:B,'New TB INC'!C621,'AJE 12 - INC'!D:D)</f>
        <v>0</v>
      </c>
      <c r="G621" s="108"/>
      <c r="H621" s="108"/>
      <c r="I621" s="108"/>
      <c r="J621" s="108">
        <f t="shared" si="62"/>
        <v>0</v>
      </c>
      <c r="K621" s="209"/>
      <c r="L621" s="449"/>
      <c r="M621" s="834"/>
      <c r="N621" s="11">
        <v>0</v>
      </c>
      <c r="O621" s="11">
        <v>0</v>
      </c>
      <c r="P621" s="11">
        <v>0</v>
      </c>
      <c r="Q621" s="11">
        <v>0</v>
      </c>
      <c r="R621" s="773">
        <v>0</v>
      </c>
      <c r="S621" s="11">
        <v>0</v>
      </c>
      <c r="T621" s="773">
        <v>0</v>
      </c>
      <c r="U621" s="2173">
        <v>0</v>
      </c>
      <c r="V621" s="2509">
        <v>0</v>
      </c>
      <c r="W621" s="2509">
        <v>0</v>
      </c>
      <c r="X621" s="2509">
        <v>0</v>
      </c>
      <c r="Y621" s="2509">
        <v>0</v>
      </c>
      <c r="Z621" s="11">
        <f>'[26]New TB INC'!Z566</f>
        <v>0</v>
      </c>
      <c r="AA621" s="11">
        <f>'[27]New TB INC'!AA575</f>
        <v>0</v>
      </c>
      <c r="AB621" s="11">
        <f>'[28]New TB INC'!AB581</f>
        <v>0</v>
      </c>
      <c r="AC621" s="11">
        <f>'[29]New TB INC'!AC577</f>
        <v>0</v>
      </c>
      <c r="AD621" s="11">
        <f>'[30]New TB INC'!AD572</f>
        <v>0</v>
      </c>
      <c r="AE621" s="11">
        <f>'[31]New TB INC'!AE580</f>
        <v>0</v>
      </c>
      <c r="AF621" s="11">
        <v>0</v>
      </c>
      <c r="AG621" s="11">
        <v>0</v>
      </c>
      <c r="AH621" s="11">
        <v>0</v>
      </c>
      <c r="AI621" s="11">
        <v>0</v>
      </c>
      <c r="AJ621" s="11">
        <v>0</v>
      </c>
      <c r="AK621" s="11">
        <f>$J621-SUM($Z621:AJ621)</f>
        <v>0</v>
      </c>
      <c r="AL621" s="11"/>
      <c r="AM621" s="11"/>
      <c r="AN621" s="11"/>
      <c r="AO621" s="11"/>
      <c r="AP621" s="11"/>
      <c r="AQ621" s="11"/>
      <c r="AR621" s="11"/>
      <c r="AS621" s="11"/>
      <c r="AT621" s="11"/>
      <c r="AU621" s="11"/>
      <c r="AW621" s="2509"/>
      <c r="BH621" s="2509"/>
      <c r="BI621" s="772"/>
      <c r="BJ621" s="2173"/>
      <c r="BK621" s="2173"/>
      <c r="BO621" s="209"/>
      <c r="BP621" s="209"/>
      <c r="BQ621" s="859"/>
      <c r="BR621" s="859"/>
      <c r="BS621" s="885"/>
      <c r="BT621" s="209"/>
      <c r="BU621" s="209"/>
      <c r="BV621" s="209"/>
      <c r="BW621" s="209"/>
      <c r="BX621" s="209"/>
      <c r="BY621" s="11"/>
      <c r="BZ621" s="11"/>
      <c r="CA621" s="11"/>
      <c r="CB621" s="11"/>
      <c r="CC621" s="11"/>
    </row>
    <row r="622" spans="1:208" s="773" customFormat="1">
      <c r="A622" s="774"/>
      <c r="B622" s="3763" t="s">
        <v>1363</v>
      </c>
      <c r="C622" s="892">
        <v>6129999</v>
      </c>
      <c r="D622" s="200" t="s">
        <v>1613</v>
      </c>
      <c r="E622" s="798">
        <f>IFERROR(VLOOKUP(C622,'AJE 12 - INC'!$D$168:$F$771,3,0),0)</f>
        <v>49710.85</v>
      </c>
      <c r="F622" s="108">
        <f>SUMIF('AJE 12 - INC'!B:B,'New TB INC'!C622,'AJE 12 - INC'!D:D)</f>
        <v>0</v>
      </c>
      <c r="G622" s="108"/>
      <c r="H622" s="108"/>
      <c r="I622" s="108"/>
      <c r="J622" s="108">
        <f t="shared" si="62"/>
        <v>49710.85</v>
      </c>
      <c r="K622" s="209"/>
      <c r="L622" s="449"/>
      <c r="M622" s="834"/>
      <c r="N622" s="11">
        <v>19610.41007751938</v>
      </c>
      <c r="O622" s="11">
        <v>2303.0691860465122</v>
      </c>
      <c r="P622" s="11">
        <v>-6234.1464540420839</v>
      </c>
      <c r="Q622" s="11">
        <v>2249.1230000000014</v>
      </c>
      <c r="R622" s="773">
        <v>2256.9230000000025</v>
      </c>
      <c r="S622" s="11">
        <v>9970.4288571428551</v>
      </c>
      <c r="T622" s="773">
        <v>3975.8354285714286</v>
      </c>
      <c r="U622" s="2173">
        <v>3686.6435238095219</v>
      </c>
      <c r="V622" s="2509">
        <v>3736.2533809523811</v>
      </c>
      <c r="W622" s="2509">
        <v>6237.656476190481</v>
      </c>
      <c r="X622" s="2509">
        <v>4324.7604285714333</v>
      </c>
      <c r="Y622" s="2509">
        <v>-17433.366904761919</v>
      </c>
      <c r="Z622" s="11">
        <f>'[26]New TB INC'!Z567</f>
        <v>2313.9351724137928</v>
      </c>
      <c r="AA622" s="11">
        <f>'[27]New TB INC'!AA576</f>
        <v>1205.7610344827585</v>
      </c>
      <c r="AB622" s="11">
        <f>'[28]New TB INC'!AB582</f>
        <v>3614.2437931034483</v>
      </c>
      <c r="AC622" s="11">
        <f>'[29]New TB INC'!AC578</f>
        <v>3715.4300689655165</v>
      </c>
      <c r="AD622" s="11">
        <f>'[30]New TB INC'!AD573</f>
        <v>2393.2253793103446</v>
      </c>
      <c r="AE622" s="11">
        <f>'[31]New TB INC'!AE581</f>
        <v>3685.9145517241377</v>
      </c>
      <c r="AF622" s="11">
        <v>1819.3470172413799</v>
      </c>
      <c r="AG622" s="11">
        <v>2692.2533793103466</v>
      </c>
      <c r="AH622" s="11">
        <v>2471.1796034482759</v>
      </c>
      <c r="AI622" s="11">
        <v>3711.5211206896493</v>
      </c>
      <c r="AJ622" s="11">
        <v>2764.2642413793146</v>
      </c>
      <c r="AK622" s="11">
        <f>$J622-SUM($Z622:AJ622)</f>
        <v>19323.774637931034</v>
      </c>
      <c r="AL622" s="11"/>
      <c r="AM622" s="11"/>
      <c r="AN622" s="11"/>
      <c r="AO622" s="11"/>
      <c r="AP622" s="11"/>
      <c r="AQ622" s="11"/>
      <c r="AR622" s="11"/>
      <c r="AS622" s="11"/>
      <c r="AT622" s="11"/>
      <c r="AU622" s="11"/>
      <c r="AW622" s="2728" t="s">
        <v>3141</v>
      </c>
      <c r="BH622" s="2509"/>
      <c r="BI622" s="772"/>
      <c r="BJ622" s="2173"/>
      <c r="BK622" s="2173"/>
      <c r="BO622" s="209"/>
      <c r="BP622" s="209"/>
      <c r="BQ622" s="859"/>
      <c r="BR622" s="859"/>
      <c r="BS622" s="885"/>
      <c r="BT622" s="209"/>
      <c r="BU622" s="209"/>
      <c r="BV622" s="209"/>
      <c r="BW622" s="209"/>
      <c r="BX622" s="209"/>
      <c r="BY622" s="11"/>
      <c r="BZ622" s="11"/>
      <c r="CA622" s="11"/>
      <c r="CB622" s="11"/>
      <c r="CC622" s="11"/>
    </row>
    <row r="623" spans="1:208" s="11" customFormat="1">
      <c r="A623" s="780"/>
      <c r="B623" s="3763"/>
      <c r="C623" s="942"/>
      <c r="D623" s="1967" t="s">
        <v>581</v>
      </c>
      <c r="E623" s="1970">
        <f t="shared" ref="E623:J623" si="63">SUM(E585:E622)</f>
        <v>1230111.6600000001</v>
      </c>
      <c r="F623" s="1970">
        <f t="shared" si="63"/>
        <v>0</v>
      </c>
      <c r="G623" s="1970">
        <f t="shared" si="63"/>
        <v>0</v>
      </c>
      <c r="H623" s="1970">
        <f t="shared" si="63"/>
        <v>0</v>
      </c>
      <c r="I623" s="1970">
        <f t="shared" si="63"/>
        <v>0</v>
      </c>
      <c r="J623" s="1970">
        <f t="shared" si="63"/>
        <v>1230111.6600000001</v>
      </c>
      <c r="K623" s="209"/>
      <c r="L623" s="449"/>
      <c r="M623" s="1971"/>
      <c r="N623" s="11">
        <v>108655.09007751937</v>
      </c>
      <c r="O623" s="11">
        <v>101593.8791860465</v>
      </c>
      <c r="P623" s="11">
        <v>89286.120035707179</v>
      </c>
      <c r="Q623" s="11">
        <v>90275.113000000143</v>
      </c>
      <c r="R623" s="773">
        <v>89381.816510250661</v>
      </c>
      <c r="S623" s="11">
        <v>103571.53885714286</v>
      </c>
      <c r="T623" s="773">
        <v>90400.065428571354</v>
      </c>
      <c r="U623" s="2173">
        <v>93282.193523809663</v>
      </c>
      <c r="V623" s="2509">
        <v>90675.533380952431</v>
      </c>
      <c r="W623" s="2509">
        <v>96550.7664761903</v>
      </c>
      <c r="X623" s="2509">
        <v>85206.560428571654</v>
      </c>
      <c r="Y623" s="2509">
        <v>27881.203095237841</v>
      </c>
      <c r="Z623" s="11">
        <f>'[26]New TB INC'!Z568</f>
        <v>85859.665172413792</v>
      </c>
      <c r="AA623" s="11">
        <f>'[27]New TB INC'!AA577</f>
        <v>116445.12103448274</v>
      </c>
      <c r="AB623" s="11">
        <f>'[28]New TB INC'!AB583</f>
        <v>106189.71379310352</v>
      </c>
      <c r="AC623" s="11">
        <f>'[29]New TB INC'!AC579</f>
        <v>96778.200068965554</v>
      </c>
      <c r="AD623" s="11">
        <f>'[30]New TB INC'!AD574</f>
        <v>95305.055379310274</v>
      </c>
      <c r="AE623" s="11">
        <f>'[31]New TB INC'!AE582</f>
        <v>104985.05455172405</v>
      </c>
      <c r="AF623" s="11">
        <v>100270.43701724149</v>
      </c>
      <c r="AG623" s="11">
        <v>95667.213379310328</v>
      </c>
      <c r="AH623" s="11">
        <v>98833.809603448375</v>
      </c>
      <c r="AI623" s="11">
        <v>145372.19112068962</v>
      </c>
      <c r="AJ623" s="11">
        <v>88430.40424137935</v>
      </c>
      <c r="AK623" s="11">
        <f>$J623-SUM($Z623:AJ623)</f>
        <v>95974.794637931045</v>
      </c>
      <c r="AW623" s="2509"/>
      <c r="BH623" s="2509"/>
      <c r="BI623" s="772"/>
      <c r="BJ623" s="2173"/>
      <c r="BK623" s="2173"/>
      <c r="BL623" s="773"/>
      <c r="BN623" s="773"/>
      <c r="BO623" s="209"/>
      <c r="BP623" s="209"/>
      <c r="BQ623" s="859"/>
      <c r="BR623" s="859"/>
      <c r="BS623" s="885"/>
      <c r="BT623" s="209"/>
      <c r="BU623" s="209"/>
      <c r="BV623" s="209"/>
      <c r="BW623" s="209"/>
      <c r="BX623" s="209"/>
      <c r="DB623" s="773"/>
      <c r="DC623" s="773"/>
      <c r="DD623" s="773"/>
      <c r="DE623" s="773"/>
      <c r="DF623" s="773"/>
      <c r="DG623" s="773"/>
      <c r="DH623" s="773"/>
      <c r="DI623" s="773"/>
      <c r="DJ623" s="773"/>
      <c r="DK623" s="773"/>
      <c r="DL623" s="773"/>
      <c r="DM623" s="773"/>
      <c r="DN623" s="773"/>
      <c r="DO623" s="773"/>
      <c r="DP623" s="773"/>
      <c r="DQ623" s="773"/>
      <c r="DR623" s="773"/>
      <c r="DS623" s="773"/>
      <c r="DT623" s="773"/>
      <c r="DU623" s="773"/>
      <c r="DV623" s="773"/>
      <c r="DW623" s="773"/>
      <c r="DX623" s="773"/>
      <c r="DY623" s="773"/>
      <c r="DZ623" s="773"/>
      <c r="EA623" s="773"/>
      <c r="EB623" s="773"/>
      <c r="EC623" s="773"/>
      <c r="ED623" s="773"/>
      <c r="EE623" s="773"/>
      <c r="EF623" s="773"/>
      <c r="EG623" s="773"/>
      <c r="EH623" s="773"/>
      <c r="EI623" s="773"/>
      <c r="EJ623" s="773"/>
      <c r="EK623" s="773"/>
      <c r="EL623" s="773"/>
      <c r="EM623" s="773"/>
      <c r="EN623" s="773"/>
      <c r="EO623" s="773"/>
      <c r="EP623" s="773"/>
      <c r="EQ623" s="773"/>
      <c r="ER623" s="773"/>
      <c r="ES623" s="773"/>
      <c r="ET623" s="773"/>
      <c r="EU623" s="773"/>
      <c r="EV623" s="773"/>
      <c r="EW623" s="773"/>
      <c r="EX623" s="773"/>
      <c r="EY623" s="773"/>
      <c r="EZ623" s="773"/>
      <c r="FA623" s="773"/>
      <c r="FB623" s="773"/>
      <c r="FC623" s="773"/>
      <c r="FD623" s="773"/>
      <c r="FE623" s="773"/>
      <c r="FF623" s="773"/>
      <c r="FG623" s="773"/>
      <c r="FH623" s="773"/>
      <c r="FI623" s="773"/>
      <c r="FJ623" s="773"/>
      <c r="FK623" s="773"/>
      <c r="FL623" s="773"/>
      <c r="FM623" s="773"/>
      <c r="FN623" s="773"/>
      <c r="FO623" s="773"/>
      <c r="FP623" s="773"/>
      <c r="FQ623" s="773"/>
      <c r="FR623" s="773"/>
      <c r="FS623" s="773"/>
      <c r="FT623" s="773"/>
      <c r="FU623" s="773"/>
      <c r="FV623" s="773"/>
      <c r="FW623" s="773"/>
      <c r="FX623" s="773"/>
      <c r="FY623" s="773"/>
      <c r="FZ623" s="773"/>
      <c r="GA623" s="773"/>
      <c r="GB623" s="773"/>
      <c r="GC623" s="773"/>
      <c r="GD623" s="773"/>
      <c r="GE623" s="773"/>
      <c r="GF623" s="773"/>
      <c r="GG623" s="773"/>
      <c r="GH623" s="773"/>
      <c r="GI623" s="773"/>
      <c r="GJ623" s="773"/>
      <c r="GK623" s="773"/>
      <c r="GL623" s="773"/>
      <c r="GM623" s="773"/>
      <c r="GN623" s="773"/>
      <c r="GO623" s="773"/>
      <c r="GP623" s="773"/>
      <c r="GQ623" s="773"/>
      <c r="GR623" s="773"/>
      <c r="GS623" s="773"/>
      <c r="GT623" s="773"/>
      <c r="GU623" s="773"/>
      <c r="GV623" s="773"/>
      <c r="GW623" s="773"/>
      <c r="GX623" s="773"/>
      <c r="GY623" s="773"/>
      <c r="GZ623" s="773"/>
    </row>
    <row r="624" spans="1:208" s="11" customFormat="1">
      <c r="A624" s="774"/>
      <c r="B624" s="3763"/>
      <c r="C624" s="848"/>
      <c r="D624" s="948" t="s">
        <v>91</v>
      </c>
      <c r="E624" s="827"/>
      <c r="F624" s="769"/>
      <c r="G624" s="769"/>
      <c r="H624" s="769"/>
      <c r="I624" s="769"/>
      <c r="J624" s="796"/>
      <c r="K624" s="209"/>
      <c r="L624" s="434"/>
      <c r="M624" s="810"/>
      <c r="N624" s="11">
        <v>0</v>
      </c>
      <c r="O624" s="11">
        <v>0</v>
      </c>
      <c r="P624" s="11">
        <v>0</v>
      </c>
      <c r="Q624" s="11">
        <v>0</v>
      </c>
      <c r="R624" s="773">
        <v>0</v>
      </c>
      <c r="S624" s="11">
        <v>0</v>
      </c>
      <c r="T624" s="773">
        <v>0</v>
      </c>
      <c r="U624" s="2173">
        <v>0</v>
      </c>
      <c r="V624" s="2509">
        <v>0</v>
      </c>
      <c r="W624" s="2509">
        <v>0</v>
      </c>
      <c r="X624" s="2509">
        <v>0</v>
      </c>
      <c r="Y624" s="2509">
        <v>0</v>
      </c>
      <c r="Z624" s="11">
        <f>'[26]New TB INC'!Z569</f>
        <v>0</v>
      </c>
      <c r="AA624" s="11">
        <f>'[27]New TB INC'!AA578</f>
        <v>0</v>
      </c>
      <c r="AB624" s="11">
        <f>'[28]New TB INC'!AB584</f>
        <v>0</v>
      </c>
      <c r="AC624" s="11">
        <f>'[29]New TB INC'!AC580</f>
        <v>0</v>
      </c>
      <c r="AD624" s="11">
        <f>'[30]New TB INC'!AD575</f>
        <v>0</v>
      </c>
      <c r="AE624" s="11">
        <f>'[31]New TB INC'!AE583</f>
        <v>0</v>
      </c>
      <c r="AF624" s="11">
        <v>0</v>
      </c>
      <c r="AG624" s="11">
        <v>0</v>
      </c>
      <c r="AH624" s="11">
        <v>0</v>
      </c>
      <c r="AI624" s="11">
        <v>0</v>
      </c>
      <c r="AJ624" s="11">
        <v>0</v>
      </c>
      <c r="AK624" s="11">
        <f>$J624-SUM($Z624:AJ624)</f>
        <v>0</v>
      </c>
      <c r="AW624" s="2509"/>
      <c r="BH624" s="2509"/>
      <c r="BI624" s="772"/>
      <c r="BJ624" s="2173"/>
      <c r="BK624" s="2173"/>
      <c r="BL624" s="773"/>
      <c r="BN624" s="773"/>
      <c r="BO624" s="209"/>
      <c r="BP624" s="209"/>
      <c r="BQ624" s="859"/>
      <c r="BR624" s="859"/>
      <c r="BS624" s="209"/>
      <c r="BT624" s="209"/>
      <c r="BU624" s="209"/>
      <c r="BV624" s="209"/>
      <c r="BW624" s="209"/>
      <c r="BX624" s="209"/>
      <c r="DB624" s="773"/>
      <c r="DC624" s="773"/>
      <c r="DD624" s="773"/>
      <c r="DE624" s="773"/>
      <c r="DF624" s="773"/>
      <c r="DG624" s="773"/>
      <c r="DH624" s="773"/>
      <c r="DI624" s="773"/>
      <c r="DJ624" s="773"/>
      <c r="DK624" s="773"/>
      <c r="DL624" s="773"/>
      <c r="DM624" s="773"/>
      <c r="DN624" s="773"/>
      <c r="DO624" s="773"/>
      <c r="DP624" s="773"/>
      <c r="DQ624" s="773"/>
      <c r="DR624" s="773"/>
      <c r="DS624" s="773"/>
      <c r="DT624" s="773"/>
      <c r="DU624" s="773"/>
      <c r="DV624" s="773"/>
      <c r="DW624" s="773"/>
      <c r="DX624" s="773"/>
      <c r="DY624" s="773"/>
      <c r="DZ624" s="773"/>
      <c r="EA624" s="773"/>
      <c r="EB624" s="773"/>
      <c r="EC624" s="773"/>
      <c r="ED624" s="773"/>
      <c r="EE624" s="773"/>
      <c r="EF624" s="773"/>
      <c r="EG624" s="773"/>
      <c r="EH624" s="773"/>
      <c r="EI624" s="773"/>
      <c r="EJ624" s="773"/>
      <c r="EK624" s="773"/>
      <c r="EL624" s="773"/>
      <c r="EM624" s="773"/>
      <c r="EN624" s="773"/>
      <c r="EO624" s="773"/>
      <c r="EP624" s="773"/>
      <c r="EQ624" s="773"/>
      <c r="ER624" s="773"/>
      <c r="ES624" s="773"/>
      <c r="ET624" s="773"/>
      <c r="EU624" s="773"/>
      <c r="EV624" s="773"/>
      <c r="EW624" s="773"/>
      <c r="EX624" s="773"/>
      <c r="EY624" s="773"/>
      <c r="EZ624" s="773"/>
      <c r="FA624" s="773"/>
      <c r="FB624" s="773"/>
      <c r="FC624" s="773"/>
      <c r="FD624" s="773"/>
      <c r="FE624" s="773"/>
      <c r="FF624" s="773"/>
      <c r="FG624" s="773"/>
      <c r="FH624" s="773"/>
      <c r="FI624" s="773"/>
      <c r="FJ624" s="773"/>
      <c r="FK624" s="773"/>
      <c r="FL624" s="773"/>
      <c r="FM624" s="773"/>
      <c r="FN624" s="773"/>
      <c r="FO624" s="773"/>
      <c r="FP624" s="773"/>
      <c r="FQ624" s="773"/>
      <c r="FR624" s="773"/>
      <c r="FS624" s="773"/>
      <c r="FT624" s="773"/>
      <c r="FU624" s="773"/>
      <c r="FV624" s="773"/>
      <c r="FW624" s="773"/>
      <c r="FX624" s="773"/>
      <c r="FY624" s="773"/>
      <c r="FZ624" s="773"/>
      <c r="GA624" s="773"/>
      <c r="GB624" s="773"/>
      <c r="GC624" s="773"/>
      <c r="GD624" s="773"/>
      <c r="GE624" s="773"/>
      <c r="GF624" s="773"/>
      <c r="GG624" s="773"/>
      <c r="GH624" s="773"/>
      <c r="GI624" s="773"/>
      <c r="GJ624" s="773"/>
      <c r="GK624" s="773"/>
      <c r="GL624" s="773"/>
      <c r="GM624" s="773"/>
      <c r="GN624" s="773"/>
      <c r="GO624" s="773"/>
      <c r="GP624" s="773"/>
      <c r="GQ624" s="773"/>
      <c r="GR624" s="773"/>
      <c r="GS624" s="773"/>
      <c r="GT624" s="773"/>
      <c r="GU624" s="773"/>
      <c r="GV624" s="773"/>
      <c r="GW624" s="773"/>
      <c r="GX624" s="773"/>
      <c r="GY624" s="773"/>
      <c r="GZ624" s="773"/>
    </row>
    <row r="625" spans="1:208" s="11" customFormat="1">
      <c r="A625" s="774"/>
      <c r="B625" s="3763"/>
      <c r="C625" s="781"/>
      <c r="D625" s="948" t="s">
        <v>86</v>
      </c>
      <c r="E625" s="796"/>
      <c r="F625" s="769"/>
      <c r="G625" s="769"/>
      <c r="H625" s="769"/>
      <c r="I625" s="769"/>
      <c r="J625" s="796"/>
      <c r="K625" s="209"/>
      <c r="L625" s="434"/>
      <c r="M625" s="810"/>
      <c r="N625" s="11">
        <v>0</v>
      </c>
      <c r="O625" s="11">
        <v>0</v>
      </c>
      <c r="P625" s="11">
        <v>0</v>
      </c>
      <c r="Q625" s="11">
        <v>0</v>
      </c>
      <c r="R625" s="773">
        <v>0</v>
      </c>
      <c r="S625" s="11">
        <v>0</v>
      </c>
      <c r="T625" s="773">
        <v>0</v>
      </c>
      <c r="U625" s="2173">
        <v>0</v>
      </c>
      <c r="V625" s="2509">
        <v>0</v>
      </c>
      <c r="W625" s="2509">
        <v>0</v>
      </c>
      <c r="X625" s="2509">
        <v>0</v>
      </c>
      <c r="Y625" s="2509">
        <v>0</v>
      </c>
      <c r="Z625" s="11">
        <f>'[26]New TB INC'!Z570</f>
        <v>0</v>
      </c>
      <c r="AA625" s="11">
        <f>'[27]New TB INC'!AA579</f>
        <v>0</v>
      </c>
      <c r="AB625" s="11">
        <f>'[28]New TB INC'!AB585</f>
        <v>0</v>
      </c>
      <c r="AC625" s="11">
        <f>'[29]New TB INC'!AC581</f>
        <v>0</v>
      </c>
      <c r="AD625" s="11">
        <f>'[30]New TB INC'!AD576</f>
        <v>0</v>
      </c>
      <c r="AE625" s="11">
        <f>'[31]New TB INC'!AE584</f>
        <v>0</v>
      </c>
      <c r="AF625" s="11">
        <v>0</v>
      </c>
      <c r="AG625" s="11">
        <v>0</v>
      </c>
      <c r="AH625" s="11">
        <v>0</v>
      </c>
      <c r="AI625" s="11">
        <v>0</v>
      </c>
      <c r="AJ625" s="11">
        <v>0</v>
      </c>
      <c r="AK625" s="11">
        <f>$J625-SUM($Z625:AJ625)</f>
        <v>0</v>
      </c>
      <c r="AW625" s="2509"/>
      <c r="BH625" s="2509"/>
      <c r="BI625" s="772"/>
      <c r="BJ625" s="2173"/>
      <c r="BK625" s="2173"/>
      <c r="BL625" s="773"/>
      <c r="BN625" s="773"/>
      <c r="BO625" s="209"/>
      <c r="BP625" s="799"/>
      <c r="BQ625" s="209"/>
      <c r="BR625" s="209"/>
      <c r="BS625" s="885"/>
      <c r="BT625" s="209"/>
      <c r="BU625" s="209"/>
      <c r="BV625" s="209"/>
      <c r="BW625" s="209"/>
      <c r="BX625" s="209"/>
      <c r="DB625" s="773"/>
      <c r="DC625" s="773"/>
      <c r="DD625" s="773"/>
      <c r="DE625" s="773"/>
      <c r="DF625" s="773"/>
      <c r="DG625" s="773"/>
      <c r="DH625" s="773"/>
      <c r="DI625" s="773"/>
      <c r="DJ625" s="773"/>
      <c r="DK625" s="773"/>
      <c r="DL625" s="773"/>
      <c r="DM625" s="773"/>
      <c r="DN625" s="773"/>
      <c r="DO625" s="773"/>
      <c r="DP625" s="773"/>
      <c r="DQ625" s="773"/>
      <c r="DR625" s="773"/>
      <c r="DS625" s="773"/>
      <c r="DT625" s="773"/>
      <c r="DU625" s="773"/>
      <c r="DV625" s="773"/>
      <c r="DW625" s="773"/>
      <c r="DX625" s="773"/>
      <c r="DY625" s="773"/>
      <c r="DZ625" s="773"/>
      <c r="EA625" s="773"/>
      <c r="EB625" s="773"/>
      <c r="EC625" s="773"/>
      <c r="ED625" s="773"/>
      <c r="EE625" s="773"/>
      <c r="EF625" s="773"/>
      <c r="EG625" s="773"/>
      <c r="EH625" s="773"/>
      <c r="EI625" s="773"/>
      <c r="EJ625" s="773"/>
      <c r="EK625" s="773"/>
      <c r="EL625" s="773"/>
      <c r="EM625" s="773"/>
      <c r="EN625" s="773"/>
      <c r="EO625" s="773"/>
      <c r="EP625" s="773"/>
      <c r="EQ625" s="773"/>
      <c r="ER625" s="773"/>
      <c r="ES625" s="773"/>
      <c r="ET625" s="773"/>
      <c r="EU625" s="773"/>
      <c r="EV625" s="773"/>
      <c r="EW625" s="773"/>
      <c r="EX625" s="773"/>
      <c r="EY625" s="773"/>
      <c r="EZ625" s="773"/>
      <c r="FA625" s="773"/>
      <c r="FB625" s="773"/>
      <c r="FC625" s="773"/>
      <c r="FD625" s="773"/>
      <c r="FE625" s="773"/>
      <c r="FF625" s="773"/>
      <c r="FG625" s="773"/>
      <c r="FH625" s="773"/>
      <c r="FI625" s="773"/>
      <c r="FJ625" s="773"/>
      <c r="FK625" s="773"/>
      <c r="FL625" s="773"/>
      <c r="FM625" s="773"/>
      <c r="FN625" s="773"/>
      <c r="FO625" s="773"/>
      <c r="FP625" s="773"/>
      <c r="FQ625" s="773"/>
      <c r="FR625" s="773"/>
      <c r="FS625" s="773"/>
      <c r="FT625" s="773"/>
      <c r="FU625" s="773"/>
      <c r="FV625" s="773"/>
      <c r="FW625" s="773"/>
      <c r="FX625" s="773"/>
      <c r="FY625" s="773"/>
      <c r="FZ625" s="773"/>
      <c r="GA625" s="773"/>
      <c r="GB625" s="773"/>
      <c r="GC625" s="773"/>
      <c r="GD625" s="773"/>
      <c r="GE625" s="773"/>
      <c r="GF625" s="773"/>
      <c r="GG625" s="773"/>
      <c r="GH625" s="773"/>
      <c r="GI625" s="773"/>
      <c r="GJ625" s="773"/>
      <c r="GK625" s="773"/>
      <c r="GL625" s="773"/>
      <c r="GM625" s="773"/>
      <c r="GN625" s="773"/>
      <c r="GO625" s="773"/>
      <c r="GP625" s="773"/>
      <c r="GQ625" s="773"/>
      <c r="GR625" s="773"/>
      <c r="GS625" s="773"/>
      <c r="GT625" s="773"/>
      <c r="GU625" s="773"/>
      <c r="GV625" s="773"/>
      <c r="GW625" s="773"/>
      <c r="GX625" s="773"/>
      <c r="GY625" s="773"/>
      <c r="GZ625" s="773"/>
    </row>
    <row r="626" spans="1:208" s="773" customFormat="1">
      <c r="A626" s="774"/>
      <c r="B626" s="3763"/>
      <c r="C626" s="781"/>
      <c r="D626" s="174"/>
      <c r="E626" s="798"/>
      <c r="F626" s="108"/>
      <c r="G626" s="108"/>
      <c r="H626" s="108"/>
      <c r="I626" s="108"/>
      <c r="J626" s="798"/>
      <c r="K626" s="209"/>
      <c r="L626" s="449"/>
      <c r="M626" s="828"/>
      <c r="N626" s="11">
        <v>0</v>
      </c>
      <c r="O626" s="11">
        <v>0</v>
      </c>
      <c r="P626" s="11">
        <v>0</v>
      </c>
      <c r="Q626" s="11">
        <v>0</v>
      </c>
      <c r="R626" s="773">
        <v>0</v>
      </c>
      <c r="S626" s="11">
        <v>0</v>
      </c>
      <c r="T626" s="773">
        <v>0</v>
      </c>
      <c r="U626" s="2173">
        <v>0</v>
      </c>
      <c r="V626" s="2509">
        <v>0</v>
      </c>
      <c r="W626" s="2509">
        <v>0</v>
      </c>
      <c r="X626" s="2509">
        <v>0</v>
      </c>
      <c r="Y626" s="2509">
        <v>0</v>
      </c>
      <c r="Z626" s="11">
        <f>'[26]New TB INC'!Z571</f>
        <v>0</v>
      </c>
      <c r="AA626" s="11">
        <f>'[27]New TB INC'!AA580</f>
        <v>0</v>
      </c>
      <c r="AB626" s="11">
        <f>'[28]New TB INC'!AB586</f>
        <v>0</v>
      </c>
      <c r="AC626" s="11">
        <f>'[29]New TB INC'!AC582</f>
        <v>0</v>
      </c>
      <c r="AD626" s="11">
        <f>'[30]New TB INC'!AD577</f>
        <v>0</v>
      </c>
      <c r="AE626" s="11">
        <f>'[31]New TB INC'!AE585</f>
        <v>0</v>
      </c>
      <c r="AF626" s="11">
        <v>0</v>
      </c>
      <c r="AG626" s="11">
        <v>0</v>
      </c>
      <c r="AH626" s="11">
        <v>0</v>
      </c>
      <c r="AI626" s="11">
        <v>0</v>
      </c>
      <c r="AJ626" s="11">
        <v>0</v>
      </c>
      <c r="AK626" s="11">
        <f>$J626-SUM($Z626:AJ626)</f>
        <v>0</v>
      </c>
      <c r="AL626" s="11"/>
      <c r="AM626" s="11"/>
      <c r="AN626" s="11"/>
      <c r="AO626" s="11"/>
      <c r="AP626" s="11"/>
      <c r="AQ626" s="11"/>
      <c r="AR626" s="11"/>
      <c r="AS626" s="11"/>
      <c r="AT626" s="11"/>
      <c r="AU626" s="11"/>
      <c r="AW626" s="2509"/>
      <c r="BH626" s="2509"/>
      <c r="BI626" s="772"/>
      <c r="BJ626" s="2173"/>
      <c r="BK626" s="2173"/>
      <c r="BO626" s="209"/>
      <c r="BP626" s="799"/>
      <c r="BQ626" s="859"/>
      <c r="BR626" s="859"/>
      <c r="BS626" s="885"/>
      <c r="BT626" s="209"/>
      <c r="BU626" s="209"/>
      <c r="BV626" s="209"/>
      <c r="BW626" s="209"/>
      <c r="BX626" s="209"/>
      <c r="BY626" s="11"/>
      <c r="BZ626" s="11"/>
      <c r="CA626" s="11"/>
      <c r="CB626" s="11"/>
      <c r="CC626" s="11"/>
    </row>
    <row r="627" spans="1:208" s="773" customFormat="1">
      <c r="A627" s="774"/>
      <c r="B627" s="3763" t="s">
        <v>966</v>
      </c>
      <c r="C627" s="892">
        <v>8010004</v>
      </c>
      <c r="D627" s="199" t="s">
        <v>967</v>
      </c>
      <c r="E627" s="798">
        <f>IFERROR(VLOOKUP(C627,'AJE 12 - INC'!$D$168:$F$771,3,0),0)</f>
        <v>69791.740000000005</v>
      </c>
      <c r="F627" s="108">
        <f>SUMIF('AJE 12 - INC'!B:B,'New TB INC'!C627,'AJE 12 - INC'!D:D)</f>
        <v>0</v>
      </c>
      <c r="G627" s="108"/>
      <c r="H627" s="108"/>
      <c r="I627" s="108"/>
      <c r="J627" s="798">
        <f t="shared" ref="J627:J636" si="64">SUM(E627:I627)</f>
        <v>69791.740000000005</v>
      </c>
      <c r="K627" s="209"/>
      <c r="L627" s="449"/>
      <c r="M627" s="828"/>
      <c r="N627" s="893">
        <v>13333.34</v>
      </c>
      <c r="O627" s="893">
        <v>13958.34</v>
      </c>
      <c r="P627" s="893">
        <v>13958.339999999997</v>
      </c>
      <c r="Q627" s="893">
        <v>13958.340000000007</v>
      </c>
      <c r="R627" s="893">
        <v>13958.34</v>
      </c>
      <c r="S627" s="11">
        <v>13958.339999999997</v>
      </c>
      <c r="T627" s="773">
        <v>13958.340000000007</v>
      </c>
      <c r="U627" s="2173">
        <v>5625</v>
      </c>
      <c r="V627" s="2509">
        <v>5625</v>
      </c>
      <c r="W627" s="2509">
        <v>5625</v>
      </c>
      <c r="X627" s="2509">
        <v>5625</v>
      </c>
      <c r="Y627" s="2509">
        <v>5625</v>
      </c>
      <c r="Z627" s="11">
        <f>'[26]New TB INC'!Z572</f>
        <v>5625</v>
      </c>
      <c r="AA627" s="11">
        <f>'[27]New TB INC'!AA581</f>
        <v>5833.34</v>
      </c>
      <c r="AB627" s="11">
        <f>'[28]New TB INC'!AB587</f>
        <v>5833.34</v>
      </c>
      <c r="AC627" s="11">
        <f>'[29]New TB INC'!AC583</f>
        <v>5833.34</v>
      </c>
      <c r="AD627" s="11">
        <f>'[30]New TB INC'!AD578</f>
        <v>5833.34</v>
      </c>
      <c r="AE627" s="11">
        <f>'[31]New TB INC'!AE586</f>
        <v>5833.3399999999965</v>
      </c>
      <c r="AF627" s="11">
        <v>5833.3400000000038</v>
      </c>
      <c r="AG627" s="11">
        <v>5833.3399999999965</v>
      </c>
      <c r="AH627" s="11">
        <v>5833.3400000000038</v>
      </c>
      <c r="AI627" s="11">
        <v>5833.3399999999965</v>
      </c>
      <c r="AJ627" s="11">
        <v>5833.3400000000038</v>
      </c>
      <c r="AK627" s="11">
        <f>$J627-SUM($Z627:AJ627)</f>
        <v>5833.3400000000038</v>
      </c>
      <c r="AL627" s="11"/>
      <c r="AM627" s="11"/>
      <c r="AN627" s="11"/>
      <c r="AO627" s="11"/>
      <c r="AP627" s="11"/>
      <c r="AQ627" s="11"/>
      <c r="AR627" s="11"/>
      <c r="AS627" s="11"/>
      <c r="AT627" s="11"/>
      <c r="AU627" s="11"/>
      <c r="AW627" s="2509"/>
      <c r="BH627" s="2509"/>
      <c r="BI627" s="772"/>
      <c r="BJ627" s="2173"/>
      <c r="BK627" s="2173"/>
      <c r="BL627" s="2173"/>
      <c r="BO627" s="209"/>
      <c r="BP627" s="799"/>
      <c r="BQ627" s="859"/>
      <c r="BR627" s="859"/>
      <c r="BS627" s="885"/>
      <c r="BT627" s="209"/>
      <c r="BU627" s="209"/>
      <c r="BV627" s="209"/>
      <c r="BW627" s="209"/>
      <c r="BX627" s="209"/>
      <c r="BY627" s="11"/>
      <c r="BZ627" s="11"/>
      <c r="CA627" s="11"/>
      <c r="CB627" s="11"/>
      <c r="CC627" s="11"/>
    </row>
    <row r="628" spans="1:208" s="773" customFormat="1">
      <c r="A628" s="774"/>
      <c r="B628" s="3763" t="s">
        <v>966</v>
      </c>
      <c r="C628" s="892">
        <v>8010005</v>
      </c>
      <c r="D628" s="199" t="s">
        <v>1234</v>
      </c>
      <c r="E628" s="798">
        <f>IFERROR(VLOOKUP(C628,'AJE 12 - INC'!$D$168:$F$771,3,0),0)</f>
        <v>0</v>
      </c>
      <c r="F628" s="108">
        <f>SUMIF('AJE 12 - INC'!B:B,'New TB INC'!C628,'AJE 12 - INC'!D:D)</f>
        <v>0</v>
      </c>
      <c r="G628" s="108"/>
      <c r="H628" s="108"/>
      <c r="I628" s="108"/>
      <c r="J628" s="798">
        <f t="shared" si="64"/>
        <v>0</v>
      </c>
      <c r="K628" s="209"/>
      <c r="L628" s="449"/>
      <c r="M628" s="828"/>
      <c r="N628" s="888">
        <v>1333</v>
      </c>
      <c r="O628" s="888">
        <v>83</v>
      </c>
      <c r="P628" s="888">
        <v>708</v>
      </c>
      <c r="Q628" s="888">
        <v>708</v>
      </c>
      <c r="R628" s="888">
        <v>708</v>
      </c>
      <c r="S628" s="11">
        <v>708</v>
      </c>
      <c r="T628" s="773">
        <v>708</v>
      </c>
      <c r="U628" s="2173">
        <v>708</v>
      </c>
      <c r="V628" s="2509">
        <v>-5667</v>
      </c>
      <c r="W628" s="2509">
        <v>708</v>
      </c>
      <c r="X628" s="2509">
        <v>708</v>
      </c>
      <c r="Y628" s="2509">
        <v>-1413</v>
      </c>
      <c r="Z628" s="11">
        <f>'[26]New TB INC'!Z573</f>
        <v>708</v>
      </c>
      <c r="AA628" s="11">
        <f>'[27]New TB INC'!AA582</f>
        <v>708</v>
      </c>
      <c r="AB628" s="11">
        <f>'[28]New TB INC'!AB588</f>
        <v>-1416</v>
      </c>
      <c r="AC628" s="11">
        <f>'[29]New TB INC'!AC584</f>
        <v>0</v>
      </c>
      <c r="AD628" s="11">
        <f>'[30]New TB INC'!AD579</f>
        <v>0</v>
      </c>
      <c r="AE628" s="11">
        <f>'[31]New TB INC'!AE587</f>
        <v>0</v>
      </c>
      <c r="AF628" s="11">
        <v>0</v>
      </c>
      <c r="AG628" s="11">
        <v>0</v>
      </c>
      <c r="AH628" s="11">
        <v>0</v>
      </c>
      <c r="AI628" s="11">
        <v>0</v>
      </c>
      <c r="AJ628" s="11">
        <v>0</v>
      </c>
      <c r="AK628" s="11">
        <f>$J628-SUM($Z628:AJ628)</f>
        <v>0</v>
      </c>
      <c r="AL628" s="11"/>
      <c r="AM628" s="11"/>
      <c r="AN628" s="11"/>
      <c r="AO628" s="11"/>
      <c r="AP628" s="11"/>
      <c r="AQ628" s="11"/>
      <c r="AR628" s="11"/>
      <c r="AS628" s="11"/>
      <c r="AT628" s="11"/>
      <c r="AU628" s="11"/>
      <c r="AW628" s="2509"/>
      <c r="BH628" s="2509"/>
      <c r="BI628" s="772"/>
      <c r="BJ628" s="2173"/>
      <c r="BK628" s="2173"/>
      <c r="BO628" s="209"/>
      <c r="BP628" s="209"/>
      <c r="BQ628" s="859"/>
      <c r="BR628" s="859"/>
      <c r="BS628" s="885"/>
      <c r="BT628" s="209"/>
      <c r="BU628" s="209"/>
      <c r="BV628" s="209"/>
      <c r="BW628" s="209"/>
      <c r="BX628" s="209"/>
      <c r="BY628" s="11"/>
      <c r="BZ628" s="11"/>
      <c r="CA628" s="11"/>
      <c r="CB628" s="11"/>
      <c r="CC628" s="11"/>
    </row>
    <row r="629" spans="1:208" s="773" customFormat="1">
      <c r="A629" s="774"/>
      <c r="B629" s="3763" t="s">
        <v>966</v>
      </c>
      <c r="C629" s="892">
        <v>8010006</v>
      </c>
      <c r="D629" s="199" t="s">
        <v>1235</v>
      </c>
      <c r="E629" s="798">
        <f>IFERROR(VLOOKUP(C629,'AJE 12 - INC'!$D$168:$F$771,3,0),0)</f>
        <v>0</v>
      </c>
      <c r="F629" s="108">
        <f>SUMIF('AJE 12 - INC'!B:B,'New TB INC'!C629,'AJE 12 - INC'!D:D)</f>
        <v>0</v>
      </c>
      <c r="G629" s="108"/>
      <c r="H629" s="108"/>
      <c r="I629" s="108"/>
      <c r="J629" s="798">
        <f t="shared" si="64"/>
        <v>0</v>
      </c>
      <c r="K629" s="209"/>
      <c r="L629" s="449"/>
      <c r="M629" s="828"/>
      <c r="N629" s="11">
        <v>100</v>
      </c>
      <c r="O629" s="11">
        <v>0</v>
      </c>
      <c r="P629" s="11">
        <v>0</v>
      </c>
      <c r="Q629" s="11">
        <v>0</v>
      </c>
      <c r="R629" s="773">
        <v>0</v>
      </c>
      <c r="S629" s="11">
        <v>0</v>
      </c>
      <c r="T629" s="773">
        <v>3600</v>
      </c>
      <c r="U629" s="2173">
        <v>0</v>
      </c>
      <c r="V629" s="2509">
        <v>0</v>
      </c>
      <c r="W629" s="2509">
        <v>0</v>
      </c>
      <c r="X629" s="2509">
        <v>0</v>
      </c>
      <c r="Y629" s="2509">
        <v>0</v>
      </c>
      <c r="Z629" s="11">
        <f>'[26]New TB INC'!Z574</f>
        <v>0</v>
      </c>
      <c r="AA629" s="11">
        <f>'[27]New TB INC'!AA583</f>
        <v>0</v>
      </c>
      <c r="AB629" s="11">
        <f>'[28]New TB INC'!AB589</f>
        <v>0</v>
      </c>
      <c r="AC629" s="11">
        <f>'[29]New TB INC'!AC585</f>
        <v>0</v>
      </c>
      <c r="AD629" s="11">
        <f>'[30]New TB INC'!AD580</f>
        <v>0</v>
      </c>
      <c r="AE629" s="11">
        <f>'[31]New TB INC'!AE588</f>
        <v>0</v>
      </c>
      <c r="AF629" s="11">
        <v>0</v>
      </c>
      <c r="AG629" s="11">
        <v>0</v>
      </c>
      <c r="AH629" s="11">
        <v>0</v>
      </c>
      <c r="AI629" s="11">
        <v>0</v>
      </c>
      <c r="AJ629" s="11">
        <v>0</v>
      </c>
      <c r="AK629" s="11">
        <f>$J629-SUM($Z629:AJ629)</f>
        <v>0</v>
      </c>
      <c r="AL629" s="11"/>
      <c r="AM629" s="11"/>
      <c r="AN629" s="11"/>
      <c r="AO629" s="11"/>
      <c r="AP629" s="11"/>
      <c r="AQ629" s="11"/>
      <c r="AR629" s="11"/>
      <c r="AS629" s="11"/>
      <c r="AT629" s="11"/>
      <c r="AU629" s="11"/>
      <c r="AW629" s="2509"/>
      <c r="BH629" s="2509"/>
      <c r="BI629" s="772"/>
      <c r="BJ629" s="2173"/>
      <c r="BK629" s="2173"/>
      <c r="BO629" s="209"/>
      <c r="BP629" s="209"/>
      <c r="BQ629" s="859"/>
      <c r="BR629" s="859"/>
      <c r="BS629" s="885"/>
      <c r="BT629" s="209"/>
      <c r="BU629" s="209"/>
      <c r="BV629" s="209"/>
      <c r="BW629" s="209"/>
      <c r="BX629" s="209"/>
      <c r="BY629" s="11"/>
      <c r="BZ629" s="11"/>
      <c r="CA629" s="11"/>
      <c r="CB629" s="11"/>
      <c r="CC629" s="11"/>
    </row>
    <row r="630" spans="1:208" s="773" customFormat="1">
      <c r="A630" s="774"/>
      <c r="B630" s="3763" t="s">
        <v>966</v>
      </c>
      <c r="C630" s="892">
        <v>8010007</v>
      </c>
      <c r="D630" s="199" t="s">
        <v>1378</v>
      </c>
      <c r="E630" s="798">
        <f>IFERROR(VLOOKUP(C630,'AJE 12 - INC'!$D$168:$F$771,3,0),0)</f>
        <v>157.06</v>
      </c>
      <c r="F630" s="108">
        <f>SUMIF('AJE 12 - INC'!B:B,'New TB INC'!C630,'AJE 12 - INC'!D:D)</f>
        <v>0</v>
      </c>
      <c r="G630" s="108"/>
      <c r="H630" s="108"/>
      <c r="I630" s="108"/>
      <c r="J630" s="798">
        <f t="shared" si="64"/>
        <v>157.06</v>
      </c>
      <c r="K630" s="209"/>
      <c r="L630" s="449"/>
      <c r="M630" s="828"/>
      <c r="N630" s="11">
        <v>28.21</v>
      </c>
      <c r="O630" s="11">
        <v>51.309999999999995</v>
      </c>
      <c r="P630" s="11">
        <v>32.1</v>
      </c>
      <c r="Q630" s="11">
        <v>26.22999999999999</v>
      </c>
      <c r="R630" s="773">
        <v>29.319999999999986</v>
      </c>
      <c r="S630" s="11">
        <v>29.320000000000029</v>
      </c>
      <c r="T630" s="773">
        <v>40.91999999999998</v>
      </c>
      <c r="U630" s="2173">
        <v>11.819999999999993</v>
      </c>
      <c r="V630" s="2509">
        <v>11.820000000000022</v>
      </c>
      <c r="W630" s="2509">
        <v>11.819999999999993</v>
      </c>
      <c r="X630" s="2509">
        <v>11.819999999999993</v>
      </c>
      <c r="Y630" s="2509">
        <v>11.819999999999993</v>
      </c>
      <c r="Z630" s="11">
        <f>'[26]New TB INC'!Z575</f>
        <v>12.94</v>
      </c>
      <c r="AA630" s="11">
        <f>'[27]New TB INC'!AA584</f>
        <v>13.410000000000002</v>
      </c>
      <c r="AB630" s="11">
        <f>'[28]New TB INC'!AB590</f>
        <v>13.409999999999997</v>
      </c>
      <c r="AC630" s="11">
        <f>'[29]New TB INC'!AC586</f>
        <v>13.420000000000002</v>
      </c>
      <c r="AD630" s="11">
        <f>'[30]New TB INC'!AD581</f>
        <v>13.419999999999995</v>
      </c>
      <c r="AE630" s="11">
        <f>'[31]New TB INC'!AE589</f>
        <v>13.420000000000002</v>
      </c>
      <c r="AF630" s="11">
        <v>12.840000000000003</v>
      </c>
      <c r="AG630" s="11">
        <v>12.840000000000003</v>
      </c>
      <c r="AH630" s="11">
        <v>12.840000000000003</v>
      </c>
      <c r="AI630" s="11">
        <v>12.839999999999989</v>
      </c>
      <c r="AJ630" s="11">
        <v>12.840000000000003</v>
      </c>
      <c r="AK630" s="11">
        <f>$J630-SUM($Z630:AJ630)</f>
        <v>12.840000000000003</v>
      </c>
      <c r="AL630" s="11"/>
      <c r="AM630" s="11"/>
      <c r="AN630" s="11"/>
      <c r="AO630" s="11"/>
      <c r="AP630" s="11"/>
      <c r="AQ630" s="11"/>
      <c r="AR630" s="11"/>
      <c r="AS630" s="11"/>
      <c r="AT630" s="11"/>
      <c r="AU630" s="11"/>
      <c r="AW630" s="2509"/>
      <c r="BH630" s="2509"/>
      <c r="BI630" s="772"/>
      <c r="BJ630" s="2173"/>
      <c r="BK630" s="2173"/>
      <c r="BM630" s="2173"/>
      <c r="BO630" s="209"/>
      <c r="BP630" s="209"/>
      <c r="BQ630" s="859"/>
      <c r="BR630" s="859"/>
      <c r="BS630" s="885"/>
      <c r="BT630" s="209"/>
      <c r="BU630" s="209"/>
      <c r="BV630" s="209"/>
      <c r="BW630" s="209"/>
      <c r="BX630" s="209"/>
      <c r="BY630" s="11"/>
      <c r="BZ630" s="11"/>
      <c r="CA630" s="11"/>
      <c r="CB630" s="11"/>
      <c r="CC630" s="11"/>
    </row>
    <row r="631" spans="1:208" s="773" customFormat="1">
      <c r="A631" s="774"/>
      <c r="B631" s="3763" t="s">
        <v>966</v>
      </c>
      <c r="C631" s="892">
        <v>8010023</v>
      </c>
      <c r="D631" s="199" t="s">
        <v>1572</v>
      </c>
      <c r="E631" s="798">
        <f>IFERROR(VLOOKUP(C631,'AJE 12 - INC'!$D$168:$F$771,3,0),0)</f>
        <v>0</v>
      </c>
      <c r="F631" s="108">
        <f>SUMIF('AJE 12 - INC'!B:B,'New TB INC'!C631,'AJE 12 - INC'!D:D)</f>
        <v>0</v>
      </c>
      <c r="G631" s="108"/>
      <c r="H631" s="108"/>
      <c r="I631" s="108"/>
      <c r="J631" s="798">
        <f t="shared" si="64"/>
        <v>0</v>
      </c>
      <c r="K631" s="209"/>
      <c r="L631" s="449"/>
      <c r="M631" s="828"/>
      <c r="N631" s="11">
        <v>0</v>
      </c>
      <c r="O631" s="11">
        <v>0</v>
      </c>
      <c r="P631" s="11">
        <v>0</v>
      </c>
      <c r="Q631" s="11">
        <v>0</v>
      </c>
      <c r="R631" s="773">
        <v>0</v>
      </c>
      <c r="S631" s="11">
        <v>0</v>
      </c>
      <c r="T631" s="773">
        <v>1923.08</v>
      </c>
      <c r="U631" s="2173">
        <v>0</v>
      </c>
      <c r="V631" s="2509">
        <v>0</v>
      </c>
      <c r="W631" s="2509">
        <v>0</v>
      </c>
      <c r="X631" s="2509">
        <v>0</v>
      </c>
      <c r="Y631" s="2509">
        <v>0</v>
      </c>
      <c r="Z631" s="11">
        <f>'[26]New TB INC'!Z576</f>
        <v>0</v>
      </c>
      <c r="AA631" s="11">
        <f>'[27]New TB INC'!AA585</f>
        <v>0</v>
      </c>
      <c r="AB631" s="11">
        <f>'[28]New TB INC'!AB591</f>
        <v>0</v>
      </c>
      <c r="AC631" s="11">
        <f>'[29]New TB INC'!AC587</f>
        <v>0</v>
      </c>
      <c r="AD631" s="11">
        <f>'[30]New TB INC'!AD582</f>
        <v>0</v>
      </c>
      <c r="AE631" s="11">
        <f>'[31]New TB INC'!AE590</f>
        <v>0</v>
      </c>
      <c r="AF631" s="11">
        <v>0</v>
      </c>
      <c r="AG631" s="11">
        <v>0</v>
      </c>
      <c r="AH631" s="11">
        <v>0</v>
      </c>
      <c r="AI631" s="11">
        <v>0</v>
      </c>
      <c r="AJ631" s="11">
        <v>0</v>
      </c>
      <c r="AK631" s="11">
        <f>$J631-SUM($Z631:AJ631)</f>
        <v>0</v>
      </c>
      <c r="AL631" s="11"/>
      <c r="AM631" s="11"/>
      <c r="AN631" s="11"/>
      <c r="AO631" s="11"/>
      <c r="AP631" s="11"/>
      <c r="AQ631" s="11"/>
      <c r="AR631" s="11"/>
      <c r="AS631" s="11"/>
      <c r="AT631" s="11"/>
      <c r="AU631" s="11"/>
      <c r="AW631" s="2509"/>
      <c r="BH631" s="2509"/>
      <c r="BI631" s="772"/>
      <c r="BJ631" s="2173"/>
      <c r="BK631" s="2173"/>
      <c r="BM631" s="2173"/>
      <c r="BO631" s="209"/>
      <c r="BP631" s="209"/>
      <c r="BQ631" s="859"/>
      <c r="BR631" s="859"/>
      <c r="BS631" s="885"/>
      <c r="BT631" s="209"/>
      <c r="BU631" s="209"/>
      <c r="BV631" s="209"/>
      <c r="BW631" s="209"/>
      <c r="BX631" s="209"/>
      <c r="BY631" s="11"/>
      <c r="BZ631" s="11"/>
      <c r="CA631" s="11"/>
      <c r="CB631" s="11"/>
      <c r="CC631" s="11"/>
    </row>
    <row r="632" spans="1:208" s="773" customFormat="1">
      <c r="A632" s="774"/>
      <c r="B632" s="3763" t="s">
        <v>966</v>
      </c>
      <c r="C632" s="892">
        <v>8010026</v>
      </c>
      <c r="D632" s="199" t="s">
        <v>1429</v>
      </c>
      <c r="E632" s="798">
        <f>IFERROR(VLOOKUP(C632,'AJE 12 - INC'!$D$168:$F$771,3,0),0)</f>
        <v>0</v>
      </c>
      <c r="F632" s="108">
        <f>SUMIF('AJE 12 - INC'!B:B,'New TB INC'!C632,'AJE 12 - INC'!D:D)</f>
        <v>0</v>
      </c>
      <c r="G632" s="108"/>
      <c r="H632" s="108"/>
      <c r="I632" s="108"/>
      <c r="J632" s="798">
        <f t="shared" si="64"/>
        <v>0</v>
      </c>
      <c r="K632" s="209"/>
      <c r="L632" s="449"/>
      <c r="M632" s="828"/>
      <c r="N632" s="11">
        <v>0</v>
      </c>
      <c r="O632" s="11">
        <v>0</v>
      </c>
      <c r="P632" s="11">
        <v>0</v>
      </c>
      <c r="Q632" s="11">
        <v>0</v>
      </c>
      <c r="R632" s="773">
        <v>0</v>
      </c>
      <c r="S632" s="11">
        <v>0</v>
      </c>
      <c r="T632" s="773">
        <v>0</v>
      </c>
      <c r="U632" s="2173">
        <v>0</v>
      </c>
      <c r="V632" s="2509">
        <v>0</v>
      </c>
      <c r="W632" s="2509">
        <v>0</v>
      </c>
      <c r="X632" s="2509">
        <v>0</v>
      </c>
      <c r="Y632" s="2509">
        <v>0</v>
      </c>
      <c r="Z632" s="11">
        <f>'[26]New TB INC'!Z577</f>
        <v>0</v>
      </c>
      <c r="AA632" s="11">
        <f>'[27]New TB INC'!AA586</f>
        <v>0</v>
      </c>
      <c r="AB632" s="11">
        <f>'[28]New TB INC'!AB592</f>
        <v>0</v>
      </c>
      <c r="AC632" s="11">
        <f>'[29]New TB INC'!AC588</f>
        <v>0</v>
      </c>
      <c r="AD632" s="11">
        <f>'[30]New TB INC'!AD583</f>
        <v>0</v>
      </c>
      <c r="AE632" s="11">
        <f>'[31]New TB INC'!AE591</f>
        <v>0</v>
      </c>
      <c r="AF632" s="11">
        <v>0</v>
      </c>
      <c r="AG632" s="11">
        <v>0</v>
      </c>
      <c r="AH632" s="11">
        <v>0</v>
      </c>
      <c r="AI632" s="11">
        <v>0</v>
      </c>
      <c r="AJ632" s="11">
        <v>0</v>
      </c>
      <c r="AK632" s="11">
        <f>$J632-SUM($Z632:AJ632)</f>
        <v>0</v>
      </c>
      <c r="AL632" s="11"/>
      <c r="AM632" s="11"/>
      <c r="AN632" s="11"/>
      <c r="AO632" s="11"/>
      <c r="AP632" s="11"/>
      <c r="AQ632" s="11"/>
      <c r="AR632" s="11"/>
      <c r="AS632" s="11"/>
      <c r="AT632" s="11"/>
      <c r="AU632" s="11"/>
      <c r="AW632" s="2509"/>
      <c r="BH632" s="2509"/>
      <c r="BI632" s="772"/>
      <c r="BJ632" s="2173"/>
      <c r="BK632" s="2173"/>
      <c r="BM632" s="2173"/>
      <c r="BO632" s="209"/>
      <c r="BP632" s="209"/>
      <c r="BQ632" s="859"/>
      <c r="BR632" s="859"/>
      <c r="BS632" s="885"/>
      <c r="BT632" s="209"/>
      <c r="BU632" s="209"/>
      <c r="BV632" s="209"/>
      <c r="BW632" s="209"/>
      <c r="BX632" s="209"/>
      <c r="BY632" s="11"/>
      <c r="BZ632" s="11"/>
      <c r="CA632" s="11"/>
      <c r="CB632" s="11"/>
      <c r="CC632" s="11"/>
    </row>
    <row r="633" spans="1:208" s="773" customFormat="1">
      <c r="A633" s="774"/>
      <c r="B633" s="3763" t="s">
        <v>966</v>
      </c>
      <c r="C633" s="892">
        <v>8010027</v>
      </c>
      <c r="D633" s="199" t="s">
        <v>968</v>
      </c>
      <c r="E633" s="798">
        <f>IFERROR(VLOOKUP(C633,'AJE 12 - INC'!$D$168:$F$771,3,0),0)</f>
        <v>6036.12</v>
      </c>
      <c r="F633" s="108">
        <f>SUMIF('AJE 12 - INC'!B:B,'New TB INC'!C633,'AJE 12 - INC'!D:D)</f>
        <v>0</v>
      </c>
      <c r="G633" s="108"/>
      <c r="H633" s="108"/>
      <c r="I633" s="108"/>
      <c r="J633" s="798">
        <f t="shared" si="64"/>
        <v>6036.12</v>
      </c>
      <c r="K633" s="209"/>
      <c r="L633" s="449"/>
      <c r="M633" s="828"/>
      <c r="N633" s="11">
        <v>2211.29</v>
      </c>
      <c r="O633" s="11">
        <v>2211.29</v>
      </c>
      <c r="P633" s="11">
        <v>2211.29</v>
      </c>
      <c r="Q633" s="11">
        <v>2211.29</v>
      </c>
      <c r="R633" s="773">
        <v>2211.29</v>
      </c>
      <c r="S633" s="11">
        <v>2211.29</v>
      </c>
      <c r="T633" s="773">
        <v>2211.29</v>
      </c>
      <c r="U633" s="2173">
        <v>2650.3099999999977</v>
      </c>
      <c r="V633" s="2509">
        <v>-1739.869999999999</v>
      </c>
      <c r="W633" s="2509">
        <v>455.21999999999753</v>
      </c>
      <c r="X633" s="2509">
        <v>455.22000000000116</v>
      </c>
      <c r="Y633" s="2509">
        <v>455.22000000000116</v>
      </c>
      <c r="Z633" s="11">
        <f>'[26]New TB INC'!Z578</f>
        <v>503.01</v>
      </c>
      <c r="AA633" s="11">
        <f>'[27]New TB INC'!AA587</f>
        <v>503.01</v>
      </c>
      <c r="AB633" s="11">
        <f>'[28]New TB INC'!AB593</f>
        <v>503.01</v>
      </c>
      <c r="AC633" s="11">
        <f>'[29]New TB INC'!AC589</f>
        <v>503.01</v>
      </c>
      <c r="AD633" s="11">
        <f>'[30]New TB INC'!AD584</f>
        <v>503.01000000000022</v>
      </c>
      <c r="AE633" s="11">
        <f>'[31]New TB INC'!AE592</f>
        <v>503.00999999999976</v>
      </c>
      <c r="AF633" s="11">
        <v>503.01000000000022</v>
      </c>
      <c r="AG633" s="11">
        <v>503.00999999999976</v>
      </c>
      <c r="AH633" s="11">
        <v>503.01000000000022</v>
      </c>
      <c r="AI633" s="11">
        <v>503.01000000000022</v>
      </c>
      <c r="AJ633" s="11">
        <v>503.00999999999931</v>
      </c>
      <c r="AK633" s="11">
        <f>$J633-SUM($Z633:AJ633)</f>
        <v>503.01000000000022</v>
      </c>
      <c r="AL633" s="11"/>
      <c r="AM633" s="11"/>
      <c r="AN633" s="11"/>
      <c r="AO633" s="11"/>
      <c r="AP633" s="11"/>
      <c r="AQ633" s="11"/>
      <c r="AR633" s="11"/>
      <c r="AS633" s="11"/>
      <c r="AT633" s="11"/>
      <c r="AU633" s="11"/>
      <c r="AW633" s="2509"/>
      <c r="BH633" s="2509"/>
      <c r="BI633" s="772"/>
      <c r="BJ633" s="2173"/>
      <c r="BK633" s="2173"/>
      <c r="BM633" s="2173"/>
      <c r="BO633" s="209"/>
      <c r="BP633" s="209"/>
      <c r="BQ633" s="859"/>
      <c r="BR633" s="859"/>
      <c r="BS633" s="885"/>
      <c r="BT633" s="209"/>
      <c r="BU633" s="209"/>
      <c r="BV633" s="209"/>
      <c r="BW633" s="209"/>
      <c r="BX633" s="209"/>
      <c r="BY633" s="11"/>
      <c r="BZ633" s="11"/>
      <c r="CA633" s="11"/>
      <c r="CB633" s="11"/>
      <c r="CC633" s="11"/>
    </row>
    <row r="634" spans="1:208" s="773" customFormat="1">
      <c r="A634" s="774"/>
      <c r="B634" s="3763" t="s">
        <v>966</v>
      </c>
      <c r="C634" s="892">
        <v>8010028</v>
      </c>
      <c r="D634" s="199" t="s">
        <v>969</v>
      </c>
      <c r="E634" s="798">
        <f>IFERROR(VLOOKUP(C634,'AJE 12 - INC'!$D$168:$F$771,3,0),0)</f>
        <v>406.44</v>
      </c>
      <c r="F634" s="108">
        <f>SUMIF('AJE 12 - INC'!B:B,'New TB INC'!C634,'AJE 12 - INC'!D:D)</f>
        <v>0</v>
      </c>
      <c r="G634" s="108"/>
      <c r="H634" s="108"/>
      <c r="I634" s="108"/>
      <c r="J634" s="798">
        <f t="shared" si="64"/>
        <v>406.44</v>
      </c>
      <c r="K634" s="209"/>
      <c r="L634" s="449"/>
      <c r="M634" s="828"/>
      <c r="N634" s="11">
        <v>134.25</v>
      </c>
      <c r="O634" s="11">
        <v>134.25</v>
      </c>
      <c r="P634" s="11">
        <v>134.25</v>
      </c>
      <c r="Q634" s="11">
        <v>134.25</v>
      </c>
      <c r="R634" s="773">
        <v>134.25</v>
      </c>
      <c r="S634" s="11">
        <v>134.25</v>
      </c>
      <c r="T634" s="773">
        <v>69.12</v>
      </c>
      <c r="U634" s="2173">
        <v>134.25</v>
      </c>
      <c r="V634" s="2509">
        <v>-70.350000000000023</v>
      </c>
      <c r="W634" s="2509">
        <v>31.950000000000045</v>
      </c>
      <c r="X634" s="2509">
        <v>31.949999999999932</v>
      </c>
      <c r="Y634" s="2509">
        <v>31.949999999999932</v>
      </c>
      <c r="Z634" s="11">
        <f>'[26]New TB INC'!Z579</f>
        <v>33.869999999999997</v>
      </c>
      <c r="AA634" s="11">
        <f>'[27]New TB INC'!AA588</f>
        <v>33.869999999999997</v>
      </c>
      <c r="AB634" s="11">
        <f>'[28]New TB INC'!AB594</f>
        <v>33.870000000000005</v>
      </c>
      <c r="AC634" s="11">
        <f>'[29]New TB INC'!AC590</f>
        <v>33.86999999999999</v>
      </c>
      <c r="AD634" s="11">
        <f>'[30]New TB INC'!AD585</f>
        <v>33.870000000000005</v>
      </c>
      <c r="AE634" s="11">
        <f>'[31]New TB INC'!AE593</f>
        <v>33.870000000000005</v>
      </c>
      <c r="AF634" s="11">
        <v>33.870000000000005</v>
      </c>
      <c r="AG634" s="11">
        <v>33.869999999999976</v>
      </c>
      <c r="AH634" s="11">
        <v>33.870000000000005</v>
      </c>
      <c r="AI634" s="11">
        <v>33.870000000000005</v>
      </c>
      <c r="AJ634" s="11">
        <v>33.870000000000005</v>
      </c>
      <c r="AK634" s="11">
        <f>$J634-SUM($Z634:AJ634)</f>
        <v>33.870000000000005</v>
      </c>
      <c r="AL634" s="11"/>
      <c r="AM634" s="11"/>
      <c r="AN634" s="11"/>
      <c r="AO634" s="11"/>
      <c r="AP634" s="11"/>
      <c r="AQ634" s="11"/>
      <c r="AR634" s="11"/>
      <c r="AS634" s="11"/>
      <c r="AT634" s="11"/>
      <c r="AU634" s="11"/>
      <c r="AW634" s="2509"/>
      <c r="BH634" s="2509"/>
      <c r="BI634" s="772"/>
      <c r="BJ634" s="2173"/>
      <c r="BK634" s="2173"/>
      <c r="BM634" s="2165"/>
      <c r="BO634" s="209"/>
      <c r="BP634" s="209"/>
      <c r="BQ634" s="859"/>
      <c r="BR634" s="859"/>
      <c r="BS634" s="885"/>
      <c r="BT634" s="209"/>
      <c r="BU634" s="209"/>
      <c r="BV634" s="209"/>
      <c r="BW634" s="209"/>
      <c r="BX634" s="209"/>
      <c r="BY634" s="11"/>
      <c r="BZ634" s="11"/>
      <c r="CA634" s="11"/>
      <c r="CB634" s="11"/>
      <c r="CC634" s="11"/>
    </row>
    <row r="635" spans="1:208" s="773" customFormat="1">
      <c r="A635" s="774"/>
      <c r="B635" s="3763" t="s">
        <v>966</v>
      </c>
      <c r="C635" s="892">
        <v>8010030</v>
      </c>
      <c r="D635" s="199" t="s">
        <v>970</v>
      </c>
      <c r="E635" s="798">
        <f>IFERROR(VLOOKUP(C635,'AJE 12 - INC'!$D$168:$F$771,3,0),0)</f>
        <v>6469.92</v>
      </c>
      <c r="F635" s="108">
        <f>SUMIF('AJE 12 - INC'!B:B,'New TB INC'!C635,'AJE 12 - INC'!D:D)</f>
        <v>0</v>
      </c>
      <c r="G635" s="108"/>
      <c r="H635" s="108"/>
      <c r="I635" s="108"/>
      <c r="J635" s="798">
        <f t="shared" si="64"/>
        <v>6469.92</v>
      </c>
      <c r="K635" s="209"/>
      <c r="L635" s="449"/>
      <c r="M635" s="828"/>
      <c r="N635" s="11">
        <v>1440.78</v>
      </c>
      <c r="O635" s="11">
        <v>2375.13</v>
      </c>
      <c r="P635" s="11">
        <v>1423.33</v>
      </c>
      <c r="Q635" s="11">
        <v>-840.72999999999956</v>
      </c>
      <c r="R635" s="773">
        <v>1185.8199999999997</v>
      </c>
      <c r="S635" s="11">
        <v>1185.8199999999997</v>
      </c>
      <c r="T635" s="773">
        <v>1504.0900000000001</v>
      </c>
      <c r="U635" s="2173">
        <v>421.6200000000008</v>
      </c>
      <c r="V635" s="2509">
        <v>421.61999999999898</v>
      </c>
      <c r="W635" s="2509">
        <v>421.6200000000008</v>
      </c>
      <c r="X635" s="2509">
        <v>421.68000000000029</v>
      </c>
      <c r="Y635" s="2509">
        <v>421.61999999999898</v>
      </c>
      <c r="Z635" s="11">
        <f>'[26]New TB INC'!Z580</f>
        <v>636.52</v>
      </c>
      <c r="AA635" s="11">
        <f>'[27]New TB INC'!AA589</f>
        <v>635.21</v>
      </c>
      <c r="AB635" s="11">
        <f>'[28]New TB INC'!AB595</f>
        <v>626.22</v>
      </c>
      <c r="AC635" s="11">
        <f>'[29]New TB INC'!AC591</f>
        <v>626.20999999999981</v>
      </c>
      <c r="AD635" s="11">
        <f>'[30]New TB INC'!AD586</f>
        <v>626.22000000000025</v>
      </c>
      <c r="AE635" s="11">
        <f>'[31]New TB INC'!AE594</f>
        <v>626.19999999999982</v>
      </c>
      <c r="AF635" s="11">
        <v>510.19000000000051</v>
      </c>
      <c r="AG635" s="11">
        <v>436.63999999999942</v>
      </c>
      <c r="AH635" s="11">
        <v>436.63000000000011</v>
      </c>
      <c r="AI635" s="11">
        <v>436.63000000000011</v>
      </c>
      <c r="AJ635" s="11">
        <v>436.61999999999989</v>
      </c>
      <c r="AK635" s="11">
        <f>$J635-SUM($Z635:AJ635)</f>
        <v>436.63000000000011</v>
      </c>
      <c r="AL635" s="11"/>
      <c r="AM635" s="11"/>
      <c r="AN635" s="11"/>
      <c r="AO635" s="11"/>
      <c r="AP635" s="11"/>
      <c r="AQ635" s="11"/>
      <c r="AR635" s="11"/>
      <c r="AS635" s="11"/>
      <c r="AT635" s="11"/>
      <c r="AU635" s="11"/>
      <c r="AW635" s="2509"/>
      <c r="BH635" s="2509"/>
      <c r="BI635" s="772"/>
      <c r="BJ635" s="2173"/>
      <c r="BK635" s="2173"/>
      <c r="BM635" s="2173"/>
      <c r="BO635" s="209"/>
      <c r="BP635" s="209"/>
      <c r="BQ635" s="859"/>
      <c r="BR635" s="859"/>
      <c r="BS635" s="885"/>
      <c r="BT635" s="209"/>
      <c r="BU635" s="209"/>
      <c r="BV635" s="209"/>
      <c r="BW635" s="209"/>
      <c r="BX635" s="209"/>
      <c r="BY635" s="11"/>
      <c r="BZ635" s="11"/>
      <c r="CA635" s="11"/>
      <c r="CB635" s="11"/>
      <c r="CC635" s="11"/>
    </row>
    <row r="636" spans="1:208" s="773" customFormat="1">
      <c r="A636" s="774"/>
      <c r="B636" s="3763" t="s">
        <v>966</v>
      </c>
      <c r="C636" s="892">
        <v>8010032</v>
      </c>
      <c r="D636" s="199" t="s">
        <v>971</v>
      </c>
      <c r="E636" s="798">
        <f>IFERROR(VLOOKUP(C636,'AJE 12 - INC'!$D$168:$F$771,3,0),0)</f>
        <v>3000</v>
      </c>
      <c r="F636" s="108">
        <f>SUMIF('AJE 12 - INC'!B:B,'New TB INC'!C636,'AJE 12 - INC'!D:D)</f>
        <v>0</v>
      </c>
      <c r="G636" s="108"/>
      <c r="H636" s="108"/>
      <c r="I636" s="108"/>
      <c r="J636" s="798">
        <f t="shared" si="64"/>
        <v>3000</v>
      </c>
      <c r="K636" s="209"/>
      <c r="L636" s="449"/>
      <c r="M636" s="828"/>
      <c r="N636" s="11">
        <v>0</v>
      </c>
      <c r="O636" s="11">
        <v>0</v>
      </c>
      <c r="P636" s="11">
        <v>0</v>
      </c>
      <c r="Q636" s="11">
        <v>0</v>
      </c>
      <c r="R636" s="773">
        <v>0</v>
      </c>
      <c r="S636" s="11">
        <v>0</v>
      </c>
      <c r="T636" s="773">
        <v>0</v>
      </c>
      <c r="U636" s="2173">
        <v>0</v>
      </c>
      <c r="V636" s="2509">
        <v>0</v>
      </c>
      <c r="W636" s="2509">
        <v>0</v>
      </c>
      <c r="X636" s="2509">
        <v>0</v>
      </c>
      <c r="Y636" s="2509">
        <v>0</v>
      </c>
      <c r="Z636" s="11">
        <f>'[26]New TB INC'!Z581</f>
        <v>0</v>
      </c>
      <c r="AA636" s="11">
        <f>'[27]New TB INC'!AA590</f>
        <v>0</v>
      </c>
      <c r="AB636" s="11">
        <f>'[28]New TB INC'!AB596</f>
        <v>0</v>
      </c>
      <c r="AC636" s="11">
        <f>'[29]New TB INC'!AC592</f>
        <v>0</v>
      </c>
      <c r="AD636" s="11">
        <f>'[30]New TB INC'!AD587</f>
        <v>0</v>
      </c>
      <c r="AE636" s="11">
        <f>'[31]New TB INC'!AE595</f>
        <v>0</v>
      </c>
      <c r="AF636" s="11">
        <v>0</v>
      </c>
      <c r="AG636" s="11">
        <v>0</v>
      </c>
      <c r="AH636" s="11">
        <v>0</v>
      </c>
      <c r="AI636" s="11">
        <v>0</v>
      </c>
      <c r="AJ636" s="11">
        <v>0</v>
      </c>
      <c r="AK636" s="11">
        <f>$J636-SUM($Z636:AJ636)</f>
        <v>3000</v>
      </c>
      <c r="AL636" s="11"/>
      <c r="AM636" s="11"/>
      <c r="AN636" s="11"/>
      <c r="AO636" s="11"/>
      <c r="AP636" s="11"/>
      <c r="AQ636" s="11"/>
      <c r="AR636" s="11"/>
      <c r="AS636" s="11"/>
      <c r="AT636" s="11"/>
      <c r="AU636" s="11"/>
      <c r="AW636" s="2509"/>
      <c r="BH636" s="2509"/>
      <c r="BI636" s="772"/>
      <c r="BJ636" s="2173"/>
      <c r="BK636" s="2173"/>
      <c r="BM636" s="2173"/>
      <c r="BO636" s="209"/>
      <c r="BP636" s="209"/>
      <c r="BQ636" s="859"/>
      <c r="BR636" s="859"/>
      <c r="BS636" s="885"/>
      <c r="BT636" s="209"/>
      <c r="BU636" s="209"/>
      <c r="BV636" s="209"/>
      <c r="BW636" s="209"/>
      <c r="BX636" s="209"/>
      <c r="BY636" s="11"/>
      <c r="BZ636" s="11"/>
      <c r="CA636" s="11"/>
      <c r="CB636" s="11"/>
      <c r="CC636" s="11"/>
    </row>
    <row r="637" spans="1:208" s="773" customFormat="1">
      <c r="A637" s="774"/>
      <c r="B637" s="3763"/>
      <c r="C637" s="892"/>
      <c r="D637" s="200"/>
      <c r="E637" s="798"/>
      <c r="F637" s="108"/>
      <c r="G637" s="108"/>
      <c r="H637" s="108"/>
      <c r="I637" s="108"/>
      <c r="J637" s="798"/>
      <c r="K637" s="209"/>
      <c r="L637" s="449"/>
      <c r="M637" s="828"/>
      <c r="N637" s="11">
        <v>0</v>
      </c>
      <c r="O637" s="11">
        <v>0</v>
      </c>
      <c r="P637" s="11">
        <v>0</v>
      </c>
      <c r="Q637" s="11">
        <v>0</v>
      </c>
      <c r="R637" s="773">
        <v>0</v>
      </c>
      <c r="S637" s="11">
        <v>0</v>
      </c>
      <c r="T637" s="773">
        <v>0</v>
      </c>
      <c r="U637" s="2173">
        <v>0</v>
      </c>
      <c r="V637" s="2509">
        <v>0</v>
      </c>
      <c r="W637" s="2509">
        <v>0</v>
      </c>
      <c r="X637" s="2509">
        <v>0</v>
      </c>
      <c r="Y637" s="2509">
        <v>0</v>
      </c>
      <c r="Z637" s="11">
        <f>'[26]New TB INC'!Z582</f>
        <v>0</v>
      </c>
      <c r="AA637" s="11">
        <f>'[27]New TB INC'!AA591</f>
        <v>0</v>
      </c>
      <c r="AB637" s="11">
        <f>'[28]New TB INC'!AB597</f>
        <v>0</v>
      </c>
      <c r="AC637" s="11">
        <f>'[29]New TB INC'!AC593</f>
        <v>0</v>
      </c>
      <c r="AD637" s="11">
        <f>'[30]New TB INC'!AD588</f>
        <v>0</v>
      </c>
      <c r="AE637" s="11">
        <f>'[31]New TB INC'!AE596</f>
        <v>0</v>
      </c>
      <c r="AF637" s="11">
        <v>0</v>
      </c>
      <c r="AG637" s="11">
        <v>0</v>
      </c>
      <c r="AH637" s="11">
        <v>0</v>
      </c>
      <c r="AI637" s="11">
        <v>0</v>
      </c>
      <c r="AJ637" s="11">
        <v>0</v>
      </c>
      <c r="AK637" s="11">
        <f>$J637-SUM($Z637:AJ637)</f>
        <v>0</v>
      </c>
      <c r="AL637" s="11"/>
      <c r="AM637" s="11"/>
      <c r="AN637" s="11"/>
      <c r="AO637" s="11"/>
      <c r="AP637" s="11"/>
      <c r="AQ637" s="11"/>
      <c r="AR637" s="11"/>
      <c r="AS637" s="11"/>
      <c r="AT637" s="11"/>
      <c r="AU637" s="11"/>
      <c r="AW637" s="2509"/>
      <c r="BH637" s="2509"/>
      <c r="BI637" s="772"/>
      <c r="BJ637" s="2173"/>
      <c r="BK637" s="2173"/>
      <c r="BM637" s="2173"/>
      <c r="BO637" s="209"/>
      <c r="BP637" s="209"/>
      <c r="BQ637" s="859"/>
      <c r="BR637" s="859"/>
      <c r="BS637" s="885"/>
      <c r="BT637" s="209"/>
      <c r="BU637" s="209"/>
      <c r="BV637" s="209"/>
      <c r="BW637" s="209"/>
      <c r="BX637" s="209"/>
      <c r="BY637" s="11"/>
      <c r="BZ637" s="11"/>
      <c r="CA637" s="11"/>
      <c r="CB637" s="11"/>
      <c r="CC637" s="11"/>
    </row>
    <row r="638" spans="1:208" s="773" customFormat="1">
      <c r="A638" s="774"/>
      <c r="B638" s="3763" t="s">
        <v>1704</v>
      </c>
      <c r="C638" s="892">
        <v>8110001</v>
      </c>
      <c r="D638" s="200" t="s">
        <v>1705</v>
      </c>
      <c r="E638" s="798">
        <f>IFERROR(VLOOKUP(C638,'AJE 12 - INC'!$D$168:$F$771,3,0),0)</f>
        <v>84166.73</v>
      </c>
      <c r="F638" s="108">
        <f>SUMIF('AJE 12 - INC'!B:B,'New TB INC'!C638,'AJE 12 - INC'!D:D)</f>
        <v>0</v>
      </c>
      <c r="G638" s="108"/>
      <c r="H638" s="108"/>
      <c r="I638" s="108"/>
      <c r="J638" s="798">
        <f t="shared" ref="J638:J644" si="65">SUM(E638:I638)</f>
        <v>84166.73</v>
      </c>
      <c r="K638" s="209"/>
      <c r="L638" s="449"/>
      <c r="M638" s="828"/>
      <c r="N638" s="893">
        <v>5250</v>
      </c>
      <c r="O638" s="893">
        <v>6250</v>
      </c>
      <c r="P638" s="893">
        <v>6250</v>
      </c>
      <c r="Q638" s="893">
        <v>6250</v>
      </c>
      <c r="R638" s="893">
        <v>6250</v>
      </c>
      <c r="S638" s="11">
        <v>6250</v>
      </c>
      <c r="T638" s="773">
        <v>6250</v>
      </c>
      <c r="U638" s="2173">
        <v>6250</v>
      </c>
      <c r="V638" s="2509">
        <v>6250</v>
      </c>
      <c r="W638" s="2509">
        <v>6250</v>
      </c>
      <c r="X638" s="2509">
        <v>6250</v>
      </c>
      <c r="Y638" s="2509">
        <v>6250</v>
      </c>
      <c r="Z638" s="11">
        <f>'[26]New TB INC'!Z583</f>
        <v>6250</v>
      </c>
      <c r="AA638" s="11">
        <f>'[27]New TB INC'!AA592</f>
        <v>7083.33</v>
      </c>
      <c r="AB638" s="11">
        <f>'[28]New TB INC'!AB598</f>
        <v>7083.3399999999983</v>
      </c>
      <c r="AC638" s="11">
        <f>'[29]New TB INC'!AC594</f>
        <v>7083.34</v>
      </c>
      <c r="AD638" s="11">
        <f>'[30]New TB INC'!AD589</f>
        <v>7083.34</v>
      </c>
      <c r="AE638" s="11">
        <f>'[31]New TB INC'!AE597</f>
        <v>7083.3400000000038</v>
      </c>
      <c r="AF638" s="11">
        <v>7083.3399999999965</v>
      </c>
      <c r="AG638" s="11">
        <v>7083.3400000000038</v>
      </c>
      <c r="AH638" s="11">
        <v>7083.3399999999965</v>
      </c>
      <c r="AI638" s="11">
        <v>7083.3400000000038</v>
      </c>
      <c r="AJ638" s="11">
        <v>7083.3399999999965</v>
      </c>
      <c r="AK638" s="11">
        <f>$J638-SUM($Z638:AJ638)</f>
        <v>7083.3399999999965</v>
      </c>
      <c r="AL638" s="11"/>
      <c r="AM638" s="11"/>
      <c r="AN638" s="11"/>
      <c r="AO638" s="11"/>
      <c r="AP638" s="11"/>
      <c r="AQ638" s="11"/>
      <c r="AR638" s="11"/>
      <c r="AS638" s="11"/>
      <c r="AT638" s="11"/>
      <c r="AU638" s="11"/>
      <c r="AW638" s="2509"/>
      <c r="BH638" s="2509"/>
      <c r="BI638" s="772"/>
      <c r="BJ638" s="2173"/>
      <c r="BK638" s="2173"/>
      <c r="BM638" s="2173"/>
      <c r="BO638" s="209"/>
      <c r="BP638" s="209"/>
      <c r="BQ638" s="859"/>
      <c r="BR638" s="859"/>
      <c r="BS638" s="885"/>
      <c r="BT638" s="209"/>
      <c r="BU638" s="209"/>
      <c r="BV638" s="209"/>
      <c r="BW638" s="209"/>
      <c r="BX638" s="209"/>
      <c r="BY638" s="11"/>
      <c r="BZ638" s="11"/>
      <c r="CA638" s="11"/>
      <c r="CB638" s="11"/>
      <c r="CC638" s="11"/>
    </row>
    <row r="639" spans="1:208" s="773" customFormat="1">
      <c r="A639" s="774"/>
      <c r="B639" s="3763" t="s">
        <v>1704</v>
      </c>
      <c r="C639" s="892">
        <v>8110002</v>
      </c>
      <c r="D639" s="200" t="s">
        <v>1751</v>
      </c>
      <c r="E639" s="798">
        <f>IFERROR(VLOOKUP(C639,'AJE 12 - INC'!$D$168:$F$771,3,0),0)</f>
        <v>0</v>
      </c>
      <c r="F639" s="108">
        <f>SUMIF('AJE 12 - INC'!B:B,'New TB INC'!C639,'AJE 12 - INC'!D:D)</f>
        <v>0</v>
      </c>
      <c r="G639" s="108"/>
      <c r="H639" s="108"/>
      <c r="I639" s="108"/>
      <c r="J639" s="798">
        <f t="shared" si="65"/>
        <v>0</v>
      </c>
      <c r="K639" s="209"/>
      <c r="L639" s="449"/>
      <c r="M639" s="828"/>
      <c r="N639" s="11">
        <v>0</v>
      </c>
      <c r="O639" s="11">
        <v>0</v>
      </c>
      <c r="P639" s="11">
        <v>0</v>
      </c>
      <c r="Q639" s="11">
        <v>0</v>
      </c>
      <c r="R639" s="773">
        <v>0</v>
      </c>
      <c r="S639" s="11">
        <v>0</v>
      </c>
      <c r="T639" s="773">
        <v>0</v>
      </c>
      <c r="U639" s="2173">
        <v>0</v>
      </c>
      <c r="V639" s="2509">
        <v>100</v>
      </c>
      <c r="W639" s="2509">
        <v>0</v>
      </c>
      <c r="X639" s="2509">
        <v>0</v>
      </c>
      <c r="Y639" s="2509">
        <v>0</v>
      </c>
      <c r="Z639" s="11">
        <f>'[26]New TB INC'!Z584</f>
        <v>0</v>
      </c>
      <c r="AA639" s="11">
        <f>'[27]New TB INC'!AA593</f>
        <v>0</v>
      </c>
      <c r="AB639" s="11">
        <f>'[28]New TB INC'!AB599</f>
        <v>0</v>
      </c>
      <c r="AC639" s="11">
        <f>'[29]New TB INC'!AC595</f>
        <v>0</v>
      </c>
      <c r="AD639" s="11">
        <f>'[30]New TB INC'!AD590</f>
        <v>0</v>
      </c>
      <c r="AE639" s="11">
        <f>'[31]New TB INC'!AE598</f>
        <v>0</v>
      </c>
      <c r="AF639" s="11">
        <v>0</v>
      </c>
      <c r="AG639" s="11">
        <v>0</v>
      </c>
      <c r="AH639" s="11">
        <v>0</v>
      </c>
      <c r="AI639" s="11">
        <v>0</v>
      </c>
      <c r="AJ639" s="11">
        <v>0</v>
      </c>
      <c r="AK639" s="11">
        <f>$J639-SUM($Z639:AJ639)</f>
        <v>0</v>
      </c>
      <c r="AL639" s="11"/>
      <c r="AM639" s="11"/>
      <c r="AN639" s="11"/>
      <c r="AO639" s="11"/>
      <c r="AP639" s="11"/>
      <c r="AQ639" s="11"/>
      <c r="AR639" s="11"/>
      <c r="AS639" s="11"/>
      <c r="AT639" s="11"/>
      <c r="AU639" s="11"/>
      <c r="AW639" s="2509"/>
      <c r="BH639" s="2509"/>
      <c r="BI639" s="772"/>
      <c r="BJ639" s="2173"/>
      <c r="BK639" s="2173"/>
      <c r="BM639" s="2173"/>
      <c r="BO639" s="209"/>
      <c r="BP639" s="209"/>
      <c r="BQ639" s="859"/>
      <c r="BR639" s="859"/>
      <c r="BS639" s="885"/>
      <c r="BT639" s="209"/>
      <c r="BU639" s="209"/>
      <c r="BV639" s="209"/>
      <c r="BW639" s="209"/>
      <c r="BX639" s="209"/>
      <c r="BY639" s="11"/>
      <c r="BZ639" s="11"/>
      <c r="CA639" s="11"/>
      <c r="CB639" s="11"/>
      <c r="CC639" s="11"/>
    </row>
    <row r="640" spans="1:208" s="773" customFormat="1">
      <c r="A640" s="774"/>
      <c r="B640" s="3763" t="s">
        <v>1704</v>
      </c>
      <c r="C640" s="892">
        <v>8110004</v>
      </c>
      <c r="D640" s="200" t="s">
        <v>1706</v>
      </c>
      <c r="E640" s="798">
        <f>IFERROR(VLOOKUP(C640,'AJE 12 - INC'!$D$168:$F$771,3,0),0)</f>
        <v>7541.77</v>
      </c>
      <c r="F640" s="108">
        <f>SUMIF('AJE 12 - INC'!B:B,'New TB INC'!C640,'AJE 12 - INC'!D:D)</f>
        <v>0</v>
      </c>
      <c r="G640" s="108"/>
      <c r="H640" s="108"/>
      <c r="I640" s="108"/>
      <c r="J640" s="798">
        <f t="shared" si="65"/>
        <v>7541.77</v>
      </c>
      <c r="K640" s="209"/>
      <c r="L640" s="449"/>
      <c r="M640" s="828"/>
      <c r="N640" s="11">
        <v>575.72</v>
      </c>
      <c r="O640" s="11">
        <v>660.75</v>
      </c>
      <c r="P640" s="11">
        <v>649.74</v>
      </c>
      <c r="Q640" s="11">
        <v>649.73999999999978</v>
      </c>
      <c r="R640" s="773">
        <v>649.74000000000046</v>
      </c>
      <c r="S640" s="11">
        <v>615.54</v>
      </c>
      <c r="T640" s="773">
        <v>471.62000000000012</v>
      </c>
      <c r="U640" s="2173">
        <v>471.61999999999989</v>
      </c>
      <c r="V640" s="2509">
        <v>479.26999999999953</v>
      </c>
      <c r="W640" s="2509">
        <v>471.61999999999989</v>
      </c>
      <c r="X640" s="2509">
        <v>471.61999999999989</v>
      </c>
      <c r="Y640" s="2509">
        <v>471.69000000000051</v>
      </c>
      <c r="Z640" s="11">
        <f>'[26]New TB INC'!Z585</f>
        <v>708.36</v>
      </c>
      <c r="AA640" s="11">
        <f>'[27]New TB INC'!AA594</f>
        <v>767.70999999999992</v>
      </c>
      <c r="AB640" s="11">
        <f>'[28]New TB INC'!AB600</f>
        <v>762.46000000000026</v>
      </c>
      <c r="AC640" s="11">
        <f>'[29]New TB INC'!AC596</f>
        <v>762.48</v>
      </c>
      <c r="AD640" s="11">
        <f>'[30]New TB INC'!AD591</f>
        <v>762.45999999999958</v>
      </c>
      <c r="AE640" s="11">
        <f>'[31]New TB INC'!AE599</f>
        <v>584.79000000000042</v>
      </c>
      <c r="AF640" s="11">
        <v>532.26000000000022</v>
      </c>
      <c r="AG640" s="11">
        <v>532.25999999999931</v>
      </c>
      <c r="AH640" s="11">
        <v>532.25</v>
      </c>
      <c r="AI640" s="11">
        <v>532.25</v>
      </c>
      <c r="AJ640" s="11">
        <v>532.24000000000069</v>
      </c>
      <c r="AK640" s="11">
        <f>$J640-SUM($Z640:AJ640)</f>
        <v>532.25</v>
      </c>
      <c r="AL640" s="11"/>
      <c r="AM640" s="11"/>
      <c r="AN640" s="11"/>
      <c r="AO640" s="11"/>
      <c r="AP640" s="11"/>
      <c r="AQ640" s="11"/>
      <c r="AR640" s="11"/>
      <c r="AS640" s="11"/>
      <c r="AT640" s="11"/>
      <c r="AU640" s="11"/>
      <c r="AW640" s="2509"/>
      <c r="BH640" s="2509"/>
      <c r="BI640" s="772"/>
      <c r="BJ640" s="2173"/>
      <c r="BK640" s="2173"/>
      <c r="BM640" s="2173"/>
      <c r="BO640" s="209"/>
      <c r="BP640" s="209"/>
      <c r="BQ640" s="859"/>
      <c r="BR640" s="859"/>
      <c r="BS640" s="885"/>
      <c r="BT640" s="209"/>
      <c r="BU640" s="209"/>
      <c r="BV640" s="209"/>
      <c r="BW640" s="209"/>
      <c r="BX640" s="209"/>
      <c r="BY640" s="11"/>
      <c r="BZ640" s="11"/>
      <c r="CA640" s="11"/>
      <c r="CB640" s="11"/>
      <c r="CC640" s="11"/>
    </row>
    <row r="641" spans="1:81" s="773" customFormat="1">
      <c r="A641" s="774"/>
      <c r="B641" s="3763" t="s">
        <v>1704</v>
      </c>
      <c r="C641" s="892">
        <v>8110006</v>
      </c>
      <c r="D641" s="200" t="s">
        <v>1707</v>
      </c>
      <c r="E641" s="798">
        <f>IFERROR(VLOOKUP(C641,'AJE 12 - INC'!$D$168:$F$771,3,0),0)</f>
        <v>6036.12</v>
      </c>
      <c r="F641" s="108">
        <f>SUMIF('AJE 12 - INC'!B:B,'New TB INC'!C641,'AJE 12 - INC'!D:D)</f>
        <v>0</v>
      </c>
      <c r="G641" s="108"/>
      <c r="H641" s="108"/>
      <c r="I641" s="108"/>
      <c r="J641" s="798">
        <f t="shared" si="65"/>
        <v>6036.12</v>
      </c>
      <c r="K641" s="209"/>
      <c r="L641" s="449"/>
      <c r="M641" s="828"/>
      <c r="N641" s="11">
        <v>340.05</v>
      </c>
      <c r="O641" s="11">
        <v>340.05</v>
      </c>
      <c r="P641" s="11">
        <v>340.0499999999999</v>
      </c>
      <c r="Q641" s="11">
        <v>340.05000000000024</v>
      </c>
      <c r="R641" s="773">
        <v>340.0499999999999</v>
      </c>
      <c r="S641" s="11">
        <v>340.05</v>
      </c>
      <c r="T641" s="773">
        <v>340.0499999999999</v>
      </c>
      <c r="U641" s="2173">
        <v>340.05000000000018</v>
      </c>
      <c r="V641" s="2509">
        <v>340.04999999999973</v>
      </c>
      <c r="W641" s="2509">
        <v>340.05000000000018</v>
      </c>
      <c r="X641" s="2509">
        <v>340.05000000000018</v>
      </c>
      <c r="Y641" s="2509">
        <v>340.04999999999973</v>
      </c>
      <c r="Z641" s="11">
        <f>'[26]New TB INC'!Z586</f>
        <v>343.94</v>
      </c>
      <c r="AA641" s="11">
        <f>'[27]New TB INC'!AA595</f>
        <v>662.07999999999993</v>
      </c>
      <c r="AB641" s="11">
        <f>'[28]New TB INC'!AB601</f>
        <v>503.01</v>
      </c>
      <c r="AC641" s="11">
        <f>'[29]New TB INC'!AC597</f>
        <v>503.01</v>
      </c>
      <c r="AD641" s="11">
        <f>'[30]New TB INC'!AD592</f>
        <v>503.01000000000022</v>
      </c>
      <c r="AE641" s="11">
        <f>'[31]New TB INC'!AE600</f>
        <v>503.00999999999976</v>
      </c>
      <c r="AF641" s="11">
        <v>503.01000000000022</v>
      </c>
      <c r="AG641" s="11">
        <v>503.00999999999976</v>
      </c>
      <c r="AH641" s="11">
        <v>503.01000000000022</v>
      </c>
      <c r="AI641" s="11">
        <v>503.01000000000022</v>
      </c>
      <c r="AJ641" s="11">
        <v>503.00999999999931</v>
      </c>
      <c r="AK641" s="11">
        <f>$J641-SUM($Z641:AJ641)</f>
        <v>503.01000000000022</v>
      </c>
      <c r="AL641" s="11"/>
      <c r="AM641" s="11"/>
      <c r="AN641" s="11"/>
      <c r="AO641" s="11"/>
      <c r="AP641" s="11"/>
      <c r="AQ641" s="11"/>
      <c r="AR641" s="11"/>
      <c r="AS641" s="11"/>
      <c r="AT641" s="11"/>
      <c r="AU641" s="11"/>
      <c r="AW641" s="2509"/>
      <c r="BH641" s="2509"/>
      <c r="BI641" s="772"/>
      <c r="BJ641" s="2173"/>
      <c r="BK641" s="2173"/>
      <c r="BM641" s="2173"/>
      <c r="BO641" s="209"/>
      <c r="BP641" s="209"/>
      <c r="BQ641" s="859"/>
      <c r="BR641" s="859"/>
      <c r="BS641" s="885"/>
      <c r="BT641" s="209"/>
      <c r="BU641" s="209"/>
      <c r="BV641" s="209"/>
      <c r="BW641" s="209"/>
      <c r="BX641" s="209"/>
      <c r="BY641" s="11"/>
      <c r="BZ641" s="11"/>
      <c r="CA641" s="11"/>
      <c r="CB641" s="11"/>
      <c r="CC641" s="11"/>
    </row>
    <row r="642" spans="1:81" s="773" customFormat="1">
      <c r="A642" s="774"/>
      <c r="B642" s="3763" t="s">
        <v>1704</v>
      </c>
      <c r="C642" s="892">
        <v>8110007</v>
      </c>
      <c r="D642" s="200" t="s">
        <v>1708</v>
      </c>
      <c r="E642" s="798">
        <f>IFERROR(VLOOKUP(C642,'AJE 12 - INC'!$D$168:$F$771,3,0),0)</f>
        <v>406.44</v>
      </c>
      <c r="F642" s="108">
        <f>SUMIF('AJE 12 - INC'!B:B,'New TB INC'!C642,'AJE 12 - INC'!D:D)</f>
        <v>0</v>
      </c>
      <c r="G642" s="108"/>
      <c r="H642" s="108"/>
      <c r="I642" s="108"/>
      <c r="J642" s="798">
        <f t="shared" si="65"/>
        <v>406.44</v>
      </c>
      <c r="K642" s="209"/>
      <c r="L642" s="449"/>
      <c r="M642" s="828"/>
      <c r="N642" s="11">
        <v>31.95</v>
      </c>
      <c r="O642" s="11">
        <v>31.95</v>
      </c>
      <c r="P642" s="11">
        <v>31.949999999999992</v>
      </c>
      <c r="Q642" s="11">
        <v>31.95</v>
      </c>
      <c r="R642" s="773">
        <v>31.950000000000006</v>
      </c>
      <c r="S642" s="11">
        <v>31.95</v>
      </c>
      <c r="T642" s="773">
        <v>16.450000000000035</v>
      </c>
      <c r="U642" s="2173">
        <v>31.94999999999996</v>
      </c>
      <c r="V642" s="2509">
        <v>31.950000000000017</v>
      </c>
      <c r="W642" s="2509">
        <v>31.949999999999989</v>
      </c>
      <c r="X642" s="2509">
        <v>31.949999999999989</v>
      </c>
      <c r="Y642" s="2509">
        <v>31.949999999999989</v>
      </c>
      <c r="Z642" s="11">
        <f>'[26]New TB INC'!Z587</f>
        <v>33.869999999999997</v>
      </c>
      <c r="AA642" s="11">
        <f>'[27]New TB INC'!AA596</f>
        <v>33.869999999999997</v>
      </c>
      <c r="AB642" s="11">
        <f>'[28]New TB INC'!AB602</f>
        <v>33.870000000000005</v>
      </c>
      <c r="AC642" s="11">
        <f>'[29]New TB INC'!AC598</f>
        <v>33.86999999999999</v>
      </c>
      <c r="AD642" s="11">
        <f>'[30]New TB INC'!AD593</f>
        <v>33.870000000000005</v>
      </c>
      <c r="AE642" s="11">
        <f>'[31]New TB INC'!AE601</f>
        <v>33.870000000000005</v>
      </c>
      <c r="AF642" s="11">
        <v>33.870000000000005</v>
      </c>
      <c r="AG642" s="11">
        <v>33.869999999999976</v>
      </c>
      <c r="AH642" s="11">
        <v>33.870000000000005</v>
      </c>
      <c r="AI642" s="11">
        <v>33.870000000000005</v>
      </c>
      <c r="AJ642" s="11">
        <v>33.870000000000005</v>
      </c>
      <c r="AK642" s="11">
        <f>$J642-SUM($Z642:AJ642)</f>
        <v>33.870000000000005</v>
      </c>
      <c r="AL642" s="11"/>
      <c r="AM642" s="11"/>
      <c r="AN642" s="11"/>
      <c r="AO642" s="11"/>
      <c r="AP642" s="11"/>
      <c r="AQ642" s="11"/>
      <c r="AR642" s="11"/>
      <c r="AS642" s="11"/>
      <c r="AT642" s="11"/>
      <c r="AU642" s="11"/>
      <c r="AW642" s="2509"/>
      <c r="BH642" s="2509"/>
      <c r="BI642" s="772"/>
      <c r="BJ642" s="2173"/>
      <c r="BK642" s="2173"/>
      <c r="BM642" s="2173"/>
      <c r="BO642" s="209"/>
      <c r="BP642" s="209"/>
      <c r="BQ642" s="859"/>
      <c r="BR642" s="859"/>
      <c r="BS642" s="885"/>
      <c r="BT642" s="209"/>
      <c r="BU642" s="209"/>
      <c r="BV642" s="209"/>
      <c r="BW642" s="209"/>
      <c r="BX642" s="209"/>
      <c r="BY642" s="11"/>
      <c r="BZ642" s="11"/>
      <c r="CA642" s="11"/>
      <c r="CB642" s="11"/>
      <c r="CC642" s="11"/>
    </row>
    <row r="643" spans="1:81" s="773" customFormat="1">
      <c r="A643" s="774"/>
      <c r="B643" s="3763" t="s">
        <v>1704</v>
      </c>
      <c r="C643" s="892">
        <v>8110008</v>
      </c>
      <c r="D643" s="200" t="s">
        <v>1709</v>
      </c>
      <c r="E643" s="798">
        <f>IFERROR(VLOOKUP(C643,'AJE 12 - INC'!$D$168:$F$771,3,0),0)</f>
        <v>189.36</v>
      </c>
      <c r="F643" s="108">
        <f>SUMIF('AJE 12 - INC'!B:B,'New TB INC'!C643,'AJE 12 - INC'!D:D)</f>
        <v>0</v>
      </c>
      <c r="G643" s="108"/>
      <c r="H643" s="108"/>
      <c r="I643" s="108"/>
      <c r="J643" s="798">
        <f t="shared" si="65"/>
        <v>189.36</v>
      </c>
      <c r="K643" s="209"/>
      <c r="L643" s="449"/>
      <c r="M643" s="828"/>
      <c r="N643" s="11">
        <v>11.02</v>
      </c>
      <c r="O643" s="11">
        <v>13.75</v>
      </c>
      <c r="P643" s="11">
        <v>14.379999999999999</v>
      </c>
      <c r="Q643" s="11">
        <v>13.749999999999996</v>
      </c>
      <c r="R643" s="773">
        <v>13.120000000000005</v>
      </c>
      <c r="S643" s="11">
        <v>13.120000000000008</v>
      </c>
      <c r="T643" s="773">
        <v>13.109999999999996</v>
      </c>
      <c r="U643" s="2173">
        <v>13.120000000000005</v>
      </c>
      <c r="V643" s="2509">
        <v>13.329999999999998</v>
      </c>
      <c r="W643" s="2509">
        <v>13.11999999999999</v>
      </c>
      <c r="X643" s="2509">
        <v>13.120000000000005</v>
      </c>
      <c r="Y643" s="2509">
        <v>13.120000000000005</v>
      </c>
      <c r="Z643" s="11">
        <f>'[26]New TB INC'!Z588</f>
        <v>14.38</v>
      </c>
      <c r="AA643" s="11">
        <f>'[27]New TB INC'!AA597</f>
        <v>16.299999999999997</v>
      </c>
      <c r="AB643" s="11">
        <f>'[28]New TB INC'!AB603</f>
        <v>16.299999999999997</v>
      </c>
      <c r="AC643" s="11">
        <f>'[29]New TB INC'!AC599</f>
        <v>16.300000000000004</v>
      </c>
      <c r="AD643" s="11">
        <f>'[30]New TB INC'!AD594</f>
        <v>16.299999999999997</v>
      </c>
      <c r="AE643" s="11">
        <f>'[31]New TB INC'!AE602</f>
        <v>16.299999999999997</v>
      </c>
      <c r="AF643" s="11">
        <v>15.579999999999998</v>
      </c>
      <c r="AG643" s="11">
        <v>15.580000000000013</v>
      </c>
      <c r="AH643" s="11">
        <v>15.579999999999998</v>
      </c>
      <c r="AI643" s="11">
        <v>15.579999999999984</v>
      </c>
      <c r="AJ643" s="11">
        <v>15.580000000000013</v>
      </c>
      <c r="AK643" s="11">
        <f>$J643-SUM($Z643:AJ643)</f>
        <v>15.580000000000013</v>
      </c>
      <c r="AL643" s="11"/>
      <c r="AM643" s="11"/>
      <c r="AN643" s="11"/>
      <c r="AO643" s="11"/>
      <c r="AP643" s="11"/>
      <c r="AQ643" s="11"/>
      <c r="AR643" s="11"/>
      <c r="AS643" s="11"/>
      <c r="AT643" s="11"/>
      <c r="AU643" s="11"/>
      <c r="AW643" s="2509"/>
      <c r="BH643" s="2509"/>
      <c r="BI643" s="772"/>
      <c r="BJ643" s="2173"/>
      <c r="BK643" s="2173"/>
      <c r="BM643" s="2173"/>
      <c r="BO643" s="209"/>
      <c r="BP643" s="209"/>
      <c r="BQ643" s="859"/>
      <c r="BR643" s="859"/>
      <c r="BS643" s="885"/>
      <c r="BT643" s="209"/>
      <c r="BU643" s="209"/>
      <c r="BV643" s="209"/>
      <c r="BW643" s="209"/>
      <c r="BX643" s="209"/>
      <c r="BY643" s="11"/>
      <c r="BZ643" s="11"/>
      <c r="CA643" s="11"/>
      <c r="CB643" s="11"/>
      <c r="CC643" s="11"/>
    </row>
    <row r="644" spans="1:81" s="773" customFormat="1">
      <c r="A644" s="774"/>
      <c r="B644" s="3763" t="s">
        <v>1704</v>
      </c>
      <c r="C644" s="892">
        <v>811009</v>
      </c>
      <c r="D644" s="200" t="s">
        <v>2053</v>
      </c>
      <c r="E644" s="798">
        <f>IFERROR(VLOOKUP(C644,'AJE 12 - INC'!$D$168:$F$771,3,0),0)</f>
        <v>135</v>
      </c>
      <c r="F644" s="108">
        <f>SUMIF('AJE 12 - INC'!B:B,'New TB INC'!C644,'AJE 12 - INC'!D:D)</f>
        <v>0</v>
      </c>
      <c r="G644" s="108"/>
      <c r="H644" s="108"/>
      <c r="I644" s="108"/>
      <c r="J644" s="798">
        <f t="shared" si="65"/>
        <v>135</v>
      </c>
      <c r="K644" s="209"/>
      <c r="L644" s="449"/>
      <c r="M644" s="828"/>
      <c r="N644" s="11">
        <v>4.49</v>
      </c>
      <c r="O644" s="11">
        <v>173.88</v>
      </c>
      <c r="P644" s="11">
        <v>0</v>
      </c>
      <c r="Q644" s="11">
        <v>0</v>
      </c>
      <c r="R644" s="773">
        <v>0</v>
      </c>
      <c r="S644" s="11">
        <v>0</v>
      </c>
      <c r="T644" s="773">
        <v>15</v>
      </c>
      <c r="U644" s="2173">
        <v>96.259999999999991</v>
      </c>
      <c r="V644" s="2509">
        <v>102.22000000000003</v>
      </c>
      <c r="W644" s="2509">
        <v>75</v>
      </c>
      <c r="X644" s="2509">
        <v>221.80999999999995</v>
      </c>
      <c r="Y644" s="2509">
        <v>0</v>
      </c>
      <c r="Z644" s="11">
        <f>'[26]New TB INC'!Z589</f>
        <v>135</v>
      </c>
      <c r="AA644" s="11">
        <f>'[27]New TB INC'!AA598</f>
        <v>0</v>
      </c>
      <c r="AB644" s="11">
        <f>'[28]New TB INC'!AB604</f>
        <v>0</v>
      </c>
      <c r="AC644" s="11">
        <f>'[29]New TB INC'!AC600</f>
        <v>0</v>
      </c>
      <c r="AD644" s="11">
        <f>'[30]New TB INC'!AD595</f>
        <v>0</v>
      </c>
      <c r="AE644" s="11">
        <f>'[31]New TB INC'!AE603</f>
        <v>0</v>
      </c>
      <c r="AF644" s="11">
        <v>0</v>
      </c>
      <c r="AG644" s="11">
        <v>0</v>
      </c>
      <c r="AH644" s="11">
        <v>0</v>
      </c>
      <c r="AI644" s="11">
        <v>0</v>
      </c>
      <c r="AJ644" s="11">
        <v>0</v>
      </c>
      <c r="AK644" s="11">
        <f>$J644-SUM($Z644:AJ644)</f>
        <v>0</v>
      </c>
      <c r="AL644" s="11"/>
      <c r="AM644" s="11"/>
      <c r="AN644" s="11"/>
      <c r="AO644" s="11"/>
      <c r="AP644" s="11"/>
      <c r="AQ644" s="11"/>
      <c r="AR644" s="11"/>
      <c r="AS644" s="11"/>
      <c r="AT644" s="11"/>
      <c r="AU644" s="11"/>
      <c r="AW644" s="2509"/>
      <c r="BH644" s="2509"/>
      <c r="BI644" s="772"/>
      <c r="BJ644" s="2173"/>
      <c r="BK644" s="2173"/>
      <c r="BM644" s="2173"/>
      <c r="BO644" s="209"/>
      <c r="BP644" s="209"/>
      <c r="BQ644" s="859"/>
      <c r="BR644" s="859"/>
      <c r="BS644" s="885"/>
      <c r="BT644" s="209"/>
      <c r="BU644" s="209"/>
      <c r="BV644" s="209"/>
      <c r="BW644" s="209"/>
      <c r="BX644" s="209"/>
      <c r="BY644" s="11"/>
      <c r="BZ644" s="11"/>
      <c r="CA644" s="11"/>
      <c r="CB644" s="11"/>
      <c r="CC644" s="11"/>
    </row>
    <row r="645" spans="1:81" s="773" customFormat="1">
      <c r="A645" s="774"/>
      <c r="B645" s="3763"/>
      <c r="C645" s="892"/>
      <c r="D645" s="200"/>
      <c r="E645" s="798"/>
      <c r="F645" s="108"/>
      <c r="G645" s="108"/>
      <c r="H645" s="108"/>
      <c r="I645" s="108"/>
      <c r="J645" s="798"/>
      <c r="K645" s="209"/>
      <c r="L645" s="449"/>
      <c r="M645" s="828"/>
      <c r="N645" s="11">
        <v>0</v>
      </c>
      <c r="O645" s="11">
        <v>0</v>
      </c>
      <c r="P645" s="11">
        <v>0</v>
      </c>
      <c r="Q645" s="11">
        <v>0</v>
      </c>
      <c r="R645" s="773">
        <v>0</v>
      </c>
      <c r="S645" s="11">
        <v>0</v>
      </c>
      <c r="T645" s="773">
        <v>0</v>
      </c>
      <c r="U645" s="2173">
        <v>0</v>
      </c>
      <c r="V645" s="2509">
        <v>0</v>
      </c>
      <c r="W645" s="2509">
        <v>0</v>
      </c>
      <c r="X645" s="2509">
        <v>0</v>
      </c>
      <c r="Y645" s="2509">
        <v>0</v>
      </c>
      <c r="Z645" s="11">
        <f>'[26]New TB INC'!Z590</f>
        <v>0</v>
      </c>
      <c r="AA645" s="11">
        <f>'[27]New TB INC'!AA599</f>
        <v>0</v>
      </c>
      <c r="AB645" s="11">
        <f>'[28]New TB INC'!AB605</f>
        <v>0</v>
      </c>
      <c r="AC645" s="11">
        <f>'[29]New TB INC'!AC601</f>
        <v>0</v>
      </c>
      <c r="AD645" s="11">
        <f>'[30]New TB INC'!AD596</f>
        <v>0</v>
      </c>
      <c r="AE645" s="11">
        <f>'[31]New TB INC'!AE604</f>
        <v>0</v>
      </c>
      <c r="AF645" s="11">
        <v>0</v>
      </c>
      <c r="AG645" s="11">
        <v>0</v>
      </c>
      <c r="AH645" s="11">
        <v>0</v>
      </c>
      <c r="AI645" s="11">
        <v>0</v>
      </c>
      <c r="AJ645" s="11">
        <v>0</v>
      </c>
      <c r="AK645" s="11">
        <f>$J645-SUM($Z645:AJ645)</f>
        <v>0</v>
      </c>
      <c r="AL645" s="11"/>
      <c r="AM645" s="11"/>
      <c r="AN645" s="11"/>
      <c r="AO645" s="11"/>
      <c r="AP645" s="11"/>
      <c r="AQ645" s="11"/>
      <c r="AR645" s="11"/>
      <c r="AS645" s="11"/>
      <c r="AT645" s="11"/>
      <c r="AU645" s="11"/>
      <c r="AW645" s="2509"/>
      <c r="BH645" s="2509"/>
      <c r="BI645" s="772"/>
      <c r="BJ645" s="2173"/>
      <c r="BK645" s="2173"/>
      <c r="BM645" s="2173"/>
      <c r="BO645" s="209"/>
      <c r="BP645" s="209"/>
      <c r="BQ645" s="859"/>
      <c r="BR645" s="859"/>
      <c r="BS645" s="885"/>
      <c r="BT645" s="209"/>
      <c r="BU645" s="209"/>
      <c r="BV645" s="209"/>
      <c r="BW645" s="209"/>
      <c r="BX645" s="209"/>
      <c r="BY645" s="11"/>
      <c r="BZ645" s="11"/>
      <c r="CA645" s="11"/>
      <c r="CB645" s="11"/>
      <c r="CC645" s="11"/>
    </row>
    <row r="646" spans="1:81" s="773" customFormat="1" ht="17.25">
      <c r="A646" s="774"/>
      <c r="B646" s="3763" t="s">
        <v>1710</v>
      </c>
      <c r="C646" s="892">
        <v>8210001</v>
      </c>
      <c r="D646" s="200" t="s">
        <v>1711</v>
      </c>
      <c r="E646" s="798">
        <f>IFERROR(VLOOKUP(C646,'AJE 12 - INC'!$D$168:$F$771,3,0),0)</f>
        <v>121924.9</v>
      </c>
      <c r="F646" s="108">
        <f>SUMIF('AJE 12 - INC'!B:B,'New TB INC'!C646,'AJE 12 - INC'!D:D)</f>
        <v>0</v>
      </c>
      <c r="G646" s="108"/>
      <c r="H646" s="108"/>
      <c r="I646" s="108"/>
      <c r="J646" s="798">
        <f t="shared" ref="J646:J655" si="66">SUM(E646:I646)</f>
        <v>121924.9</v>
      </c>
      <c r="K646" s="209"/>
      <c r="L646" s="449"/>
      <c r="M646" s="828"/>
      <c r="N646" s="893">
        <v>7125</v>
      </c>
      <c r="O646" s="893">
        <v>10937.5</v>
      </c>
      <c r="P646" s="893">
        <v>10937.5</v>
      </c>
      <c r="Q646" s="893">
        <v>10937.5</v>
      </c>
      <c r="R646" s="893">
        <v>10937.5</v>
      </c>
      <c r="S646" s="11">
        <v>10937.5</v>
      </c>
      <c r="T646" s="773">
        <v>10937.5</v>
      </c>
      <c r="U646" s="2173">
        <v>10937.5</v>
      </c>
      <c r="V646" s="2509">
        <v>10937.5</v>
      </c>
      <c r="W646" s="2509">
        <v>10937.5</v>
      </c>
      <c r="X646" s="2509">
        <v>10937.5</v>
      </c>
      <c r="Y646" s="2509">
        <v>10937.5</v>
      </c>
      <c r="Z646" s="11">
        <f>'[26]New TB INC'!Z591</f>
        <v>10937.5</v>
      </c>
      <c r="AA646" s="11">
        <f>'[27]New TB INC'!AA600</f>
        <v>11395.84</v>
      </c>
      <c r="AB646" s="11">
        <f>'[28]New TB INC'!AB606</f>
        <v>11395.84</v>
      </c>
      <c r="AC646" s="11">
        <f>'[29]New TB INC'!AC602</f>
        <v>11395.839999999997</v>
      </c>
      <c r="AD646" s="11">
        <f>'[30]New TB INC'!AD597</f>
        <v>11395.840000000004</v>
      </c>
      <c r="AE646" s="11">
        <f>'[31]New TB INC'!AE605</f>
        <v>11395.839999999997</v>
      </c>
      <c r="AF646" s="11">
        <v>5759.9300000000076</v>
      </c>
      <c r="AG646" s="11">
        <v>9123.2699999999895</v>
      </c>
      <c r="AH646" s="11">
        <v>13729.160000000003</v>
      </c>
      <c r="AI646" s="11">
        <v>13729.160000000003</v>
      </c>
      <c r="AJ646" s="11">
        <v>5833.3399999999965</v>
      </c>
      <c r="AK646" s="11">
        <f>$J646-SUM($Z646:AJ646)</f>
        <v>5833.3399999999965</v>
      </c>
      <c r="AL646" s="11"/>
      <c r="AM646" s="11"/>
      <c r="AN646" s="3595" t="s">
        <v>4532</v>
      </c>
      <c r="AO646" s="11"/>
      <c r="AP646" s="11"/>
      <c r="AQ646" s="11"/>
      <c r="AR646" s="11" t="s">
        <v>3938</v>
      </c>
      <c r="AS646" s="11"/>
      <c r="AT646" s="11"/>
      <c r="AU646" s="11"/>
      <c r="AW646" s="2509"/>
      <c r="BH646" s="2509"/>
      <c r="BI646" s="772"/>
      <c r="BJ646" s="2173"/>
      <c r="BK646" s="2173"/>
      <c r="BM646" s="2173"/>
      <c r="BO646" s="209"/>
      <c r="BP646" s="209"/>
      <c r="BQ646" s="859"/>
      <c r="BR646" s="859"/>
      <c r="BS646" s="885"/>
      <c r="BT646" s="209"/>
      <c r="BU646" s="209"/>
      <c r="BV646" s="209"/>
      <c r="BW646" s="209"/>
      <c r="BX646" s="209"/>
      <c r="BY646" s="11"/>
      <c r="BZ646" s="11"/>
      <c r="CA646" s="11"/>
      <c r="CB646" s="11"/>
      <c r="CC646" s="11"/>
    </row>
    <row r="647" spans="1:81" s="773" customFormat="1">
      <c r="A647" s="774"/>
      <c r="B647" s="3763" t="s">
        <v>1710</v>
      </c>
      <c r="C647" s="892">
        <v>8210002</v>
      </c>
      <c r="D647" s="200" t="s">
        <v>1752</v>
      </c>
      <c r="E647" s="798">
        <f>IFERROR(VLOOKUP(C647,'AJE 12 - INC'!$D$168:$F$771,3,0),0)</f>
        <v>0</v>
      </c>
      <c r="F647" s="108">
        <f>SUMIF('AJE 12 - INC'!B:B,'New TB INC'!C647,'AJE 12 - INC'!D:D)</f>
        <v>0</v>
      </c>
      <c r="G647" s="108"/>
      <c r="H647" s="108"/>
      <c r="I647" s="108"/>
      <c r="J647" s="798">
        <f t="shared" si="66"/>
        <v>0</v>
      </c>
      <c r="K647" s="209"/>
      <c r="L647" s="449"/>
      <c r="M647" s="828"/>
      <c r="N647" s="11">
        <v>0</v>
      </c>
      <c r="O647" s="11">
        <v>0</v>
      </c>
      <c r="P647" s="11">
        <v>0</v>
      </c>
      <c r="Q647" s="11">
        <v>0</v>
      </c>
      <c r="R647" s="773">
        <v>0</v>
      </c>
      <c r="S647" s="11">
        <v>0</v>
      </c>
      <c r="T647" s="773">
        <v>0</v>
      </c>
      <c r="U647" s="2173">
        <v>0</v>
      </c>
      <c r="V647" s="2509">
        <v>0</v>
      </c>
      <c r="W647" s="2509">
        <v>0</v>
      </c>
      <c r="X647" s="2509">
        <v>0</v>
      </c>
      <c r="Y647" s="2509">
        <v>0</v>
      </c>
      <c r="Z647" s="11">
        <f>'[26]New TB INC'!Z592</f>
        <v>0</v>
      </c>
      <c r="AA647" s="11">
        <f>'[27]New TB INC'!AA601</f>
        <v>0</v>
      </c>
      <c r="AB647" s="11">
        <f>'[28]New TB INC'!AB607</f>
        <v>0</v>
      </c>
      <c r="AC647" s="11">
        <f>'[29]New TB INC'!AC603</f>
        <v>0</v>
      </c>
      <c r="AD647" s="11">
        <f>'[30]New TB INC'!AD598</f>
        <v>0</v>
      </c>
      <c r="AE647" s="11">
        <f>'[31]New TB INC'!AE606</f>
        <v>0</v>
      </c>
      <c r="AF647" s="11">
        <v>0</v>
      </c>
      <c r="AG647" s="11">
        <v>0</v>
      </c>
      <c r="AH647" s="11">
        <v>0</v>
      </c>
      <c r="AI647" s="11">
        <v>0</v>
      </c>
      <c r="AJ647" s="11">
        <v>0</v>
      </c>
      <c r="AK647" s="11">
        <f>$J647-SUM($Z647:AJ647)</f>
        <v>0</v>
      </c>
      <c r="AL647" s="11"/>
      <c r="AM647" s="11"/>
      <c r="AN647" s="11"/>
      <c r="AO647" s="11"/>
      <c r="AP647" s="11"/>
      <c r="AQ647" s="11"/>
      <c r="AR647" s="11"/>
      <c r="AS647" s="11"/>
      <c r="AT647" s="11"/>
      <c r="AU647" s="11"/>
      <c r="AW647" s="2509"/>
      <c r="BH647" s="2509"/>
      <c r="BI647" s="772"/>
      <c r="BJ647" s="2173"/>
      <c r="BK647" s="2173"/>
      <c r="BM647" s="2173"/>
      <c r="BO647" s="209"/>
      <c r="BP647" s="209"/>
      <c r="BQ647" s="859"/>
      <c r="BR647" s="859"/>
      <c r="BS647" s="885"/>
      <c r="BT647" s="209"/>
      <c r="BU647" s="209"/>
      <c r="BV647" s="209"/>
      <c r="BW647" s="209"/>
      <c r="BX647" s="209"/>
      <c r="BY647" s="11"/>
      <c r="BZ647" s="11"/>
      <c r="CA647" s="11"/>
      <c r="CB647" s="11"/>
      <c r="CC647" s="11"/>
    </row>
    <row r="648" spans="1:81" s="773" customFormat="1">
      <c r="A648" s="774"/>
      <c r="B648" s="3763" t="s">
        <v>1710</v>
      </c>
      <c r="C648" s="892">
        <v>8210003</v>
      </c>
      <c r="D648" s="200" t="s">
        <v>1753</v>
      </c>
      <c r="E648" s="798">
        <f>IFERROR(VLOOKUP(C648,'AJE 12 - INC'!$D$168:$F$771,3,0),0)</f>
        <v>-579.76</v>
      </c>
      <c r="F648" s="108">
        <f>SUMIF('AJE 12 - INC'!B:B,'New TB INC'!C648,'AJE 12 - INC'!D:D)</f>
        <v>0</v>
      </c>
      <c r="G648" s="108"/>
      <c r="H648" s="108"/>
      <c r="I648" s="108"/>
      <c r="J648" s="798">
        <f t="shared" si="66"/>
        <v>-579.76</v>
      </c>
      <c r="K648" s="209"/>
      <c r="L648" s="449"/>
      <c r="M648" s="828"/>
      <c r="N648" s="11">
        <v>0</v>
      </c>
      <c r="O648" s="11">
        <v>1250</v>
      </c>
      <c r="P648" s="11">
        <v>625</v>
      </c>
      <c r="Q648" s="11">
        <v>625</v>
      </c>
      <c r="R648" s="773">
        <v>625</v>
      </c>
      <c r="S648" s="11">
        <v>625</v>
      </c>
      <c r="T648" s="773">
        <v>625</v>
      </c>
      <c r="U648" s="2173">
        <v>625</v>
      </c>
      <c r="V648" s="2509">
        <v>625</v>
      </c>
      <c r="W648" s="2509">
        <v>625</v>
      </c>
      <c r="X648" s="2509">
        <v>625</v>
      </c>
      <c r="Y648" s="2509">
        <v>-6875</v>
      </c>
      <c r="Z648" s="11">
        <f>'[26]New TB INC'!Z593</f>
        <v>625</v>
      </c>
      <c r="AA648" s="11">
        <f>'[27]New TB INC'!AA602</f>
        <v>45.240000000000009</v>
      </c>
      <c r="AB648" s="11">
        <f>'[28]New TB INC'!AB608</f>
        <v>625</v>
      </c>
      <c r="AC648" s="11">
        <f>'[29]New TB INC'!AC604</f>
        <v>625</v>
      </c>
      <c r="AD648" s="11">
        <f>'[30]New TB INC'!AD599</f>
        <v>624.99999999999977</v>
      </c>
      <c r="AE648" s="11">
        <f>'[31]New TB INC'!AE607</f>
        <v>625</v>
      </c>
      <c r="AF648" s="11">
        <v>625</v>
      </c>
      <c r="AG648" s="11">
        <v>625</v>
      </c>
      <c r="AH648" s="11">
        <v>625</v>
      </c>
      <c r="AI648" s="11">
        <v>625</v>
      </c>
      <c r="AJ648" s="11">
        <v>625</v>
      </c>
      <c r="AK648" s="11">
        <f>$J648-SUM($Z648:AJ648)</f>
        <v>-6875</v>
      </c>
      <c r="AL648" s="11"/>
      <c r="AM648" s="11"/>
      <c r="AN648" s="11"/>
      <c r="AO648" s="11"/>
      <c r="AP648" s="11"/>
      <c r="AQ648" s="11"/>
      <c r="AR648" s="11"/>
      <c r="AS648" s="11"/>
      <c r="AT648" s="11"/>
      <c r="AU648" s="11"/>
      <c r="AW648" s="2509"/>
      <c r="BH648" s="2509"/>
      <c r="BI648" s="772"/>
      <c r="BJ648" s="2173"/>
      <c r="BK648" s="2173"/>
      <c r="BM648" s="2173"/>
      <c r="BO648" s="209"/>
      <c r="BP648" s="209"/>
      <c r="BQ648" s="859"/>
      <c r="BR648" s="859"/>
      <c r="BS648" s="885"/>
      <c r="BT648" s="209"/>
      <c r="BU648" s="209"/>
      <c r="BV648" s="209"/>
      <c r="BW648" s="209"/>
      <c r="BX648" s="209"/>
      <c r="BY648" s="11"/>
      <c r="BZ648" s="11"/>
      <c r="CA648" s="11"/>
      <c r="CB648" s="11"/>
      <c r="CC648" s="11"/>
    </row>
    <row r="649" spans="1:81" s="773" customFormat="1">
      <c r="A649" s="774"/>
      <c r="B649" s="3763" t="s">
        <v>1710</v>
      </c>
      <c r="C649" s="892">
        <v>8210004</v>
      </c>
      <c r="D649" s="200" t="s">
        <v>1712</v>
      </c>
      <c r="E649" s="798">
        <f>IFERROR(VLOOKUP(C649,'AJE 12 - INC'!$D$168:$F$771,3,0),0)</f>
        <v>11425.78</v>
      </c>
      <c r="F649" s="108">
        <f>SUMIF('AJE 12 - INC'!B:B,'New TB INC'!C649,'AJE 12 - INC'!D:D)</f>
        <v>0</v>
      </c>
      <c r="G649" s="108"/>
      <c r="H649" s="108"/>
      <c r="I649" s="108"/>
      <c r="J649" s="798">
        <f t="shared" si="66"/>
        <v>11425.78</v>
      </c>
      <c r="K649" s="209"/>
      <c r="L649" s="449"/>
      <c r="M649" s="828"/>
      <c r="N649" s="11">
        <v>779.75</v>
      </c>
      <c r="O649" s="11">
        <v>1956.52</v>
      </c>
      <c r="P649" s="11">
        <v>1158.1199999999999</v>
      </c>
      <c r="Q649" s="11">
        <v>1076.2599999999998</v>
      </c>
      <c r="R649" s="773">
        <v>921.39000000000033</v>
      </c>
      <c r="S649" s="11">
        <v>921.39999999999964</v>
      </c>
      <c r="T649" s="773">
        <v>921.38999999999987</v>
      </c>
      <c r="U649" s="2173">
        <v>928.05999999999949</v>
      </c>
      <c r="V649" s="2509">
        <v>934.71000000000095</v>
      </c>
      <c r="W649" s="2509">
        <v>934.70999999999913</v>
      </c>
      <c r="X649" s="2509">
        <v>934.72000000000116</v>
      </c>
      <c r="Y649" s="2509">
        <v>890.29999999999927</v>
      </c>
      <c r="Z649" s="11">
        <f>'[26]New TB INC'!Z594</f>
        <v>1012</v>
      </c>
      <c r="AA649" s="11">
        <f>'[27]New TB INC'!AA603</f>
        <v>1530.62</v>
      </c>
      <c r="AB649" s="11">
        <f>'[28]New TB INC'!AB609</f>
        <v>969.31</v>
      </c>
      <c r="AC649" s="11">
        <f>'[29]New TB INC'!AC605</f>
        <v>968.32000000000016</v>
      </c>
      <c r="AD649" s="11">
        <f>'[30]New TB INC'!AD600</f>
        <v>968.32999999999993</v>
      </c>
      <c r="AE649" s="11">
        <f>'[31]New TB INC'!AE608</f>
        <v>973.82999999999993</v>
      </c>
      <c r="AF649" s="11">
        <v>725.80000000000018</v>
      </c>
      <c r="AG649" s="11">
        <v>882.84000000000015</v>
      </c>
      <c r="AH649" s="11">
        <v>1218.4900000000007</v>
      </c>
      <c r="AI649" s="11">
        <v>1283.7599999999984</v>
      </c>
      <c r="AJ649" s="11">
        <v>446.2400000000016</v>
      </c>
      <c r="AK649" s="11">
        <f>$J649-SUM($Z649:AJ649)</f>
        <v>446.23999999999978</v>
      </c>
      <c r="AL649" s="11"/>
      <c r="AM649" s="11"/>
      <c r="AN649" s="11"/>
      <c r="AO649" s="11"/>
      <c r="AP649" s="11"/>
      <c r="AQ649" s="11"/>
      <c r="AR649" s="11"/>
      <c r="AS649" s="11"/>
      <c r="AT649" s="11"/>
      <c r="AU649" s="11"/>
      <c r="AW649" s="2509"/>
      <c r="BH649" s="2509"/>
      <c r="BI649" s="772"/>
      <c r="BJ649" s="2173"/>
      <c r="BK649" s="2173"/>
      <c r="BM649" s="2173"/>
      <c r="BO649" s="209"/>
      <c r="BP649" s="209"/>
      <c r="BQ649" s="859"/>
      <c r="BR649" s="859"/>
      <c r="BS649" s="885"/>
      <c r="BT649" s="209"/>
      <c r="BU649" s="209"/>
      <c r="BV649" s="209"/>
      <c r="BW649" s="209"/>
      <c r="BX649" s="209"/>
      <c r="BY649" s="11"/>
      <c r="BZ649" s="11"/>
      <c r="CA649" s="11"/>
      <c r="CB649" s="11"/>
      <c r="CC649" s="11"/>
    </row>
    <row r="650" spans="1:81" s="773" customFormat="1">
      <c r="A650" s="774"/>
      <c r="B650" s="3763" t="s">
        <v>1710</v>
      </c>
      <c r="C650" s="892">
        <v>8210006</v>
      </c>
      <c r="D650" s="200" t="s">
        <v>1713</v>
      </c>
      <c r="E650" s="798">
        <f>IFERROR(VLOOKUP(C650,'AJE 12 - INC'!$D$168:$F$771,3,0),0)</f>
        <v>5030.1000000000004</v>
      </c>
      <c r="F650" s="108">
        <f>SUMIF('AJE 12 - INC'!B:B,'New TB INC'!C650,'AJE 12 - INC'!D:D)</f>
        <v>0</v>
      </c>
      <c r="G650" s="108"/>
      <c r="H650" s="108"/>
      <c r="I650" s="108"/>
      <c r="J650" s="798">
        <f t="shared" si="66"/>
        <v>5030.1000000000004</v>
      </c>
      <c r="K650" s="209"/>
      <c r="L650" s="449"/>
      <c r="M650" s="828"/>
      <c r="N650" s="11">
        <v>340.05</v>
      </c>
      <c r="O650" s="11">
        <v>340.05</v>
      </c>
      <c r="P650" s="11">
        <v>340.0499999999999</v>
      </c>
      <c r="Q650" s="11">
        <v>340.05000000000024</v>
      </c>
      <c r="R650" s="773">
        <v>340.0499999999999</v>
      </c>
      <c r="S650" s="11">
        <v>340.05</v>
      </c>
      <c r="T650" s="773">
        <v>340.0499999999999</v>
      </c>
      <c r="U650" s="2173">
        <v>340.05000000000018</v>
      </c>
      <c r="V650" s="2509">
        <v>340.04999999999973</v>
      </c>
      <c r="W650" s="2509">
        <v>340.05000000000018</v>
      </c>
      <c r="X650" s="2509">
        <v>340.05000000000018</v>
      </c>
      <c r="Y650" s="2509">
        <v>340.04999999999973</v>
      </c>
      <c r="Z650" s="11">
        <f>'[26]New TB INC'!Z595</f>
        <v>343.94</v>
      </c>
      <c r="AA650" s="11">
        <f>'[27]New TB INC'!AA604</f>
        <v>662.07999999999993</v>
      </c>
      <c r="AB650" s="11">
        <f>'[28]New TB INC'!AB610</f>
        <v>503.01</v>
      </c>
      <c r="AC650" s="11">
        <f>'[29]New TB INC'!AC606</f>
        <v>503.01</v>
      </c>
      <c r="AD650" s="11">
        <f>'[30]New TB INC'!AD601</f>
        <v>503.01000000000022</v>
      </c>
      <c r="AE650" s="11">
        <f>'[31]New TB INC'!AE609</f>
        <v>503.00999999999976</v>
      </c>
      <c r="AF650" s="11">
        <v>503.01000000000022</v>
      </c>
      <c r="AG650" s="11">
        <v>503.00999999999976</v>
      </c>
      <c r="AH650" s="11">
        <v>503.01000000000022</v>
      </c>
      <c r="AI650" s="11">
        <v>503.01000000000022</v>
      </c>
      <c r="AJ650" s="11">
        <v>0</v>
      </c>
      <c r="AK650" s="11">
        <f>$J650-SUM($Z650:AJ650)</f>
        <v>0</v>
      </c>
      <c r="AL650" s="11"/>
      <c r="AM650" s="11"/>
      <c r="AN650" s="11"/>
      <c r="AO650" s="11"/>
      <c r="AP650" s="11"/>
      <c r="AQ650" s="11"/>
      <c r="AR650" s="11"/>
      <c r="AS650" s="11"/>
      <c r="AT650" s="11"/>
      <c r="AU650" s="11"/>
      <c r="AW650" s="2509"/>
      <c r="BH650" s="2509"/>
      <c r="BI650" s="772"/>
      <c r="BJ650" s="2173"/>
      <c r="BK650" s="2173"/>
      <c r="BM650" s="2173"/>
      <c r="BO650" s="209"/>
      <c r="BP650" s="209"/>
      <c r="BQ650" s="859"/>
      <c r="BR650" s="859"/>
      <c r="BS650" s="885"/>
      <c r="BT650" s="209"/>
      <c r="BU650" s="209"/>
      <c r="BV650" s="209"/>
      <c r="BW650" s="209"/>
      <c r="BX650" s="209"/>
      <c r="BY650" s="11"/>
      <c r="BZ650" s="11"/>
      <c r="CA650" s="11"/>
      <c r="CB650" s="11"/>
      <c r="CC650" s="11"/>
    </row>
    <row r="651" spans="1:81" s="773" customFormat="1">
      <c r="A651" s="774"/>
      <c r="B651" s="3763" t="s">
        <v>1710</v>
      </c>
      <c r="C651" s="892">
        <v>8210007</v>
      </c>
      <c r="D651" s="200" t="s">
        <v>1714</v>
      </c>
      <c r="E651" s="798">
        <f>IFERROR(VLOOKUP(C651,'AJE 12 - INC'!$D$168:$F$771,3,0),0)</f>
        <v>338.7</v>
      </c>
      <c r="F651" s="108">
        <f>SUMIF('AJE 12 - INC'!B:B,'New TB INC'!C651,'AJE 12 - INC'!D:D)</f>
        <v>0</v>
      </c>
      <c r="G651" s="108"/>
      <c r="H651" s="108"/>
      <c r="I651" s="108"/>
      <c r="J651" s="798">
        <f t="shared" si="66"/>
        <v>338.7</v>
      </c>
      <c r="K651" s="209"/>
      <c r="L651" s="449"/>
      <c r="M651" s="828"/>
      <c r="N651" s="11">
        <v>31.95</v>
      </c>
      <c r="O651" s="11">
        <v>31.95</v>
      </c>
      <c r="P651" s="11">
        <v>31.949999999999992</v>
      </c>
      <c r="Q651" s="11">
        <v>31.95</v>
      </c>
      <c r="R651" s="773">
        <v>31.950000000000006</v>
      </c>
      <c r="S651" s="11">
        <v>31.95</v>
      </c>
      <c r="T651" s="773">
        <v>16.450000000000035</v>
      </c>
      <c r="U651" s="2173">
        <v>31.94999999999996</v>
      </c>
      <c r="V651" s="2509">
        <v>31.950000000000017</v>
      </c>
      <c r="W651" s="2509">
        <v>31.949999999999989</v>
      </c>
      <c r="X651" s="2509">
        <v>31.949999999999989</v>
      </c>
      <c r="Y651" s="2509">
        <v>31.949999999999989</v>
      </c>
      <c r="Z651" s="11">
        <f>'[26]New TB INC'!Z596</f>
        <v>33.869999999999997</v>
      </c>
      <c r="AA651" s="11">
        <f>'[27]New TB INC'!AA605</f>
        <v>33.869999999999997</v>
      </c>
      <c r="AB651" s="11">
        <f>'[28]New TB INC'!AB611</f>
        <v>33.870000000000005</v>
      </c>
      <c r="AC651" s="11">
        <f>'[29]New TB INC'!AC607</f>
        <v>33.86999999999999</v>
      </c>
      <c r="AD651" s="11">
        <f>'[30]New TB INC'!AD602</f>
        <v>33.870000000000005</v>
      </c>
      <c r="AE651" s="11">
        <f>'[31]New TB INC'!AE610</f>
        <v>33.870000000000005</v>
      </c>
      <c r="AF651" s="11">
        <v>33.870000000000005</v>
      </c>
      <c r="AG651" s="11">
        <v>33.869999999999976</v>
      </c>
      <c r="AH651" s="11">
        <v>33.870000000000005</v>
      </c>
      <c r="AI651" s="11">
        <v>33.870000000000005</v>
      </c>
      <c r="AJ651" s="11">
        <v>0</v>
      </c>
      <c r="AK651" s="11">
        <f>$J651-SUM($Z651:AJ651)</f>
        <v>0</v>
      </c>
      <c r="AL651" s="11"/>
      <c r="AM651" s="11"/>
      <c r="AN651" s="11"/>
      <c r="AO651" s="11"/>
      <c r="AP651" s="11"/>
      <c r="AQ651" s="11"/>
      <c r="AR651" s="11"/>
      <c r="AS651" s="11"/>
      <c r="AT651" s="11"/>
      <c r="AU651" s="11"/>
      <c r="AW651" s="2509"/>
      <c r="BH651" s="2509"/>
      <c r="BI651" s="772"/>
      <c r="BJ651" s="2173"/>
      <c r="BK651" s="2173"/>
      <c r="BM651" s="2165"/>
      <c r="BO651" s="209"/>
      <c r="BP651" s="209"/>
      <c r="BQ651" s="859"/>
      <c r="BR651" s="859"/>
      <c r="BS651" s="885"/>
      <c r="BT651" s="209"/>
      <c r="BU651" s="209"/>
      <c r="BV651" s="209"/>
      <c r="BW651" s="209"/>
      <c r="BX651" s="209"/>
      <c r="BY651" s="11"/>
      <c r="BZ651" s="11"/>
      <c r="CA651" s="11"/>
      <c r="CB651" s="11"/>
      <c r="CC651" s="11"/>
    </row>
    <row r="652" spans="1:81" s="773" customFormat="1">
      <c r="A652" s="774"/>
      <c r="B652" s="3763" t="s">
        <v>1710</v>
      </c>
      <c r="C652" s="892">
        <v>8210008</v>
      </c>
      <c r="D652" s="200" t="s">
        <v>1715</v>
      </c>
      <c r="E652" s="798">
        <f>IFERROR(VLOOKUP(C652,'AJE 12 - INC'!$D$168:$F$771,3,0),0)</f>
        <v>199.08</v>
      </c>
      <c r="F652" s="108">
        <f>SUMIF('AJE 12 - INC'!B:B,'New TB INC'!C652,'AJE 12 - INC'!D:D)</f>
        <v>0</v>
      </c>
      <c r="G652" s="108"/>
      <c r="H652" s="108"/>
      <c r="I652" s="108"/>
      <c r="J652" s="798">
        <f t="shared" si="66"/>
        <v>199.08</v>
      </c>
      <c r="K652" s="209"/>
      <c r="L652" s="449"/>
      <c r="M652" s="828"/>
      <c r="N652" s="11">
        <v>14.96</v>
      </c>
      <c r="O652" s="11">
        <v>41.55</v>
      </c>
      <c r="P652" s="11">
        <v>25.14</v>
      </c>
      <c r="Q652" s="11">
        <v>24.050000000000011</v>
      </c>
      <c r="R652" s="773">
        <v>22.949999999999989</v>
      </c>
      <c r="S652" s="11">
        <v>22.960000000000008</v>
      </c>
      <c r="T652" s="773">
        <v>22.95999999999998</v>
      </c>
      <c r="U652" s="2173">
        <v>22.960000000000008</v>
      </c>
      <c r="V652" s="2509">
        <v>22.949999999999989</v>
      </c>
      <c r="W652" s="2509">
        <v>22.97</v>
      </c>
      <c r="X652" s="2509">
        <v>22.960000000000036</v>
      </c>
      <c r="Y652" s="2509">
        <v>22.95999999999998</v>
      </c>
      <c r="Z652" s="11">
        <f>'[26]New TB INC'!Z597</f>
        <v>13.46</v>
      </c>
      <c r="AA652" s="11">
        <f>'[27]New TB INC'!AA606</f>
        <v>25.119999999999997</v>
      </c>
      <c r="AB652" s="11">
        <f>'[28]New TB INC'!AB612</f>
        <v>16.079999999999998</v>
      </c>
      <c r="AC652" s="11">
        <f>'[29]New TB INC'!AC608</f>
        <v>16.079999999999998</v>
      </c>
      <c r="AD652" s="11">
        <f>'[30]New TB INC'!AD603</f>
        <v>16.070000000000007</v>
      </c>
      <c r="AE652" s="11">
        <f>'[31]New TB INC'!AE611</f>
        <v>16.149999999999991</v>
      </c>
      <c r="AF652" s="11">
        <v>11.350000000000009</v>
      </c>
      <c r="AG652" s="11">
        <v>16.189999999999998</v>
      </c>
      <c r="AH652" s="11">
        <v>20.860000000000014</v>
      </c>
      <c r="AI652" s="11">
        <v>22.039999999999992</v>
      </c>
      <c r="AJ652" s="11">
        <v>12.840000000000003</v>
      </c>
      <c r="AK652" s="11">
        <f>$J652-SUM($Z652:AJ652)</f>
        <v>12.840000000000003</v>
      </c>
      <c r="AL652" s="11"/>
      <c r="AM652" s="11"/>
      <c r="AN652" s="11"/>
      <c r="AO652" s="11"/>
      <c r="AP652" s="11"/>
      <c r="AQ652" s="11"/>
      <c r="AR652" s="11"/>
      <c r="AS652" s="11"/>
      <c r="AT652" s="11"/>
      <c r="AU652" s="11"/>
      <c r="AW652" s="2509"/>
      <c r="BH652" s="2509"/>
      <c r="BI652" s="772"/>
      <c r="BJ652" s="2173"/>
      <c r="BK652" s="2173"/>
      <c r="BM652" s="2173"/>
      <c r="BO652" s="209"/>
      <c r="BP652" s="209"/>
      <c r="BQ652" s="859"/>
      <c r="BR652" s="859"/>
      <c r="BS652" s="885"/>
      <c r="BT652" s="209"/>
      <c r="BU652" s="209"/>
      <c r="BV652" s="209"/>
      <c r="BW652" s="209"/>
      <c r="BX652" s="209"/>
      <c r="BY652" s="11"/>
      <c r="BZ652" s="11"/>
      <c r="CA652" s="11"/>
      <c r="CB652" s="11"/>
      <c r="CC652" s="11"/>
    </row>
    <row r="653" spans="1:81" s="773" customFormat="1">
      <c r="A653" s="774"/>
      <c r="B653" s="3763" t="s">
        <v>1710</v>
      </c>
      <c r="C653" s="892">
        <v>8210009</v>
      </c>
      <c r="D653" s="200" t="s">
        <v>1906</v>
      </c>
      <c r="E653" s="798">
        <f>IFERROR(VLOOKUP(C653,'AJE 12 - INC'!$D$168:$F$771,3,0),0)</f>
        <v>0</v>
      </c>
      <c r="F653" s="108">
        <f>SUMIF('AJE 12 - INC'!B:B,'New TB INC'!C653,'AJE 12 - INC'!D:D)</f>
        <v>0</v>
      </c>
      <c r="G653" s="108"/>
      <c r="H653" s="108"/>
      <c r="I653" s="108"/>
      <c r="J653" s="798">
        <f t="shared" si="66"/>
        <v>0</v>
      </c>
      <c r="K653" s="209"/>
      <c r="L653" s="449"/>
      <c r="M653" s="828"/>
      <c r="N653" s="11">
        <v>0</v>
      </c>
      <c r="O653" s="11">
        <v>0</v>
      </c>
      <c r="P653" s="11">
        <v>0</v>
      </c>
      <c r="Q653" s="11">
        <v>0</v>
      </c>
      <c r="R653" s="773">
        <v>0</v>
      </c>
      <c r="S653" s="11">
        <v>0</v>
      </c>
      <c r="T653" s="773">
        <v>0</v>
      </c>
      <c r="U653" s="2173">
        <v>0</v>
      </c>
      <c r="V653" s="2509">
        <v>0</v>
      </c>
      <c r="W653" s="2509">
        <v>0</v>
      </c>
      <c r="X653" s="2509">
        <v>0</v>
      </c>
      <c r="Y653" s="2509">
        <v>0</v>
      </c>
      <c r="Z653" s="11">
        <f>'[26]New TB INC'!Z598</f>
        <v>0</v>
      </c>
      <c r="AA653" s="11">
        <f>'[27]New TB INC'!AA607</f>
        <v>0</v>
      </c>
      <c r="AB653" s="11">
        <f>'[28]New TB INC'!AB613</f>
        <v>0</v>
      </c>
      <c r="AC653" s="11">
        <f>'[29]New TB INC'!AC609</f>
        <v>0</v>
      </c>
      <c r="AD653" s="11">
        <f>'[30]New TB INC'!AD604</f>
        <v>0</v>
      </c>
      <c r="AE653" s="11">
        <f>'[31]New TB INC'!AE612</f>
        <v>0</v>
      </c>
      <c r="AF653" s="11">
        <v>0</v>
      </c>
      <c r="AG653" s="11">
        <v>0</v>
      </c>
      <c r="AH653" s="11">
        <v>0</v>
      </c>
      <c r="AI653" s="11">
        <v>0</v>
      </c>
      <c r="AJ653" s="11">
        <v>0</v>
      </c>
      <c r="AK653" s="11">
        <f>$J653-SUM($Z653:AJ653)</f>
        <v>0</v>
      </c>
      <c r="AL653" s="11"/>
      <c r="AM653" s="11"/>
      <c r="AN653" s="11"/>
      <c r="AO653" s="11"/>
      <c r="AP653" s="11"/>
      <c r="AQ653" s="11"/>
      <c r="AR653" s="11"/>
      <c r="AS653" s="11"/>
      <c r="AT653" s="11"/>
      <c r="AU653" s="11"/>
      <c r="AW653" s="2509"/>
      <c r="BH653" s="2509"/>
      <c r="BI653" s="772"/>
      <c r="BJ653" s="2173"/>
      <c r="BK653" s="2173"/>
      <c r="BO653" s="209"/>
      <c r="BP653" s="209"/>
      <c r="BQ653" s="859"/>
      <c r="BR653" s="859"/>
      <c r="BS653" s="885"/>
      <c r="BT653" s="209"/>
      <c r="BU653" s="209"/>
      <c r="BV653" s="209"/>
      <c r="BW653" s="209"/>
      <c r="BX653" s="209"/>
      <c r="BY653" s="11"/>
      <c r="BZ653" s="11"/>
      <c r="CA653" s="11"/>
      <c r="CB653" s="11"/>
      <c r="CC653" s="11"/>
    </row>
    <row r="654" spans="1:81" s="773" customFormat="1">
      <c r="A654" s="774"/>
      <c r="B654" s="3763" t="s">
        <v>1710</v>
      </c>
      <c r="C654" s="892">
        <v>8210011</v>
      </c>
      <c r="D654" s="200" t="s">
        <v>2151</v>
      </c>
      <c r="E654" s="798">
        <f>IFERROR(VLOOKUP(C654,'AJE 12 - INC'!$D$168:$F$771,3,0),0)</f>
        <v>0</v>
      </c>
      <c r="F654" s="108">
        <f>SUMIF('AJE 12 - INC'!B:B,'New TB INC'!C654,'AJE 12 - INC'!D:D)</f>
        <v>0</v>
      </c>
      <c r="G654" s="108"/>
      <c r="H654" s="108"/>
      <c r="I654" s="108"/>
      <c r="J654" s="798">
        <f t="shared" si="66"/>
        <v>0</v>
      </c>
      <c r="K654" s="209"/>
      <c r="L654" s="449"/>
      <c r="M654" s="828"/>
      <c r="N654" s="11"/>
      <c r="O654" s="11">
        <v>0</v>
      </c>
      <c r="P654" s="11">
        <v>243.3</v>
      </c>
      <c r="Q654" s="11">
        <v>0</v>
      </c>
      <c r="R654" s="773">
        <v>0</v>
      </c>
      <c r="S654" s="11">
        <v>0</v>
      </c>
      <c r="T654" s="773">
        <v>0</v>
      </c>
      <c r="U654" s="2173">
        <v>0</v>
      </c>
      <c r="V654" s="2509">
        <v>0</v>
      </c>
      <c r="W654" s="2509">
        <v>0</v>
      </c>
      <c r="X654" s="2509">
        <v>0</v>
      </c>
      <c r="Y654" s="2509">
        <v>249.38</v>
      </c>
      <c r="Z654" s="11">
        <f>'[26]New TB INC'!Z599</f>
        <v>0</v>
      </c>
      <c r="AA654" s="11">
        <f>'[27]New TB INC'!AA608</f>
        <v>0</v>
      </c>
      <c r="AB654" s="11">
        <f>'[28]New TB INC'!AB614</f>
        <v>0</v>
      </c>
      <c r="AC654" s="11">
        <f>'[29]New TB INC'!AC610</f>
        <v>0</v>
      </c>
      <c r="AD654" s="11">
        <f>'[30]New TB INC'!AD605</f>
        <v>0</v>
      </c>
      <c r="AE654" s="11">
        <f>'[31]New TB INC'!AE613</f>
        <v>0</v>
      </c>
      <c r="AF654" s="11">
        <v>0</v>
      </c>
      <c r="AG654" s="11">
        <v>0</v>
      </c>
      <c r="AH654" s="11">
        <v>0</v>
      </c>
      <c r="AI654" s="11">
        <v>0</v>
      </c>
      <c r="AJ654" s="11">
        <v>0</v>
      </c>
      <c r="AK654" s="11">
        <f>$J654-SUM($Z654:AJ654)</f>
        <v>0</v>
      </c>
      <c r="AL654" s="11"/>
      <c r="AM654" s="11"/>
      <c r="AN654" s="11"/>
      <c r="AO654" s="11"/>
      <c r="AP654" s="11"/>
      <c r="AQ654" s="11"/>
      <c r="AR654" s="11"/>
      <c r="AS654" s="11"/>
      <c r="AT654" s="11"/>
      <c r="AU654" s="11"/>
      <c r="AW654" s="2509"/>
      <c r="BH654" s="2509"/>
      <c r="BI654" s="772"/>
      <c r="BJ654" s="2173"/>
      <c r="BK654" s="2173"/>
      <c r="BO654" s="209"/>
      <c r="BP654" s="209"/>
      <c r="BQ654" s="859"/>
      <c r="BR654" s="859"/>
      <c r="BS654" s="885"/>
      <c r="BT654" s="209"/>
      <c r="BU654" s="209"/>
      <c r="BV654" s="209"/>
      <c r="BW654" s="209"/>
      <c r="BX654" s="209"/>
      <c r="BY654" s="11"/>
      <c r="BZ654" s="11"/>
      <c r="CA654" s="11"/>
      <c r="CB654" s="11"/>
      <c r="CC654" s="11"/>
    </row>
    <row r="655" spans="1:81" s="773" customFormat="1">
      <c r="A655" s="774"/>
      <c r="B655" s="3763" t="s">
        <v>1710</v>
      </c>
      <c r="C655" s="892">
        <v>8210010</v>
      </c>
      <c r="D655" s="200" t="s">
        <v>1907</v>
      </c>
      <c r="E655" s="798">
        <f>IFERROR(VLOOKUP(C655,'AJE 12 - INC'!$D$168:$F$771,3,0),0)</f>
        <v>1177.0899999999999</v>
      </c>
      <c r="F655" s="108">
        <f>SUMIF('AJE 12 - INC'!B:B,'New TB INC'!C655,'AJE 12 - INC'!D:D)</f>
        <v>0</v>
      </c>
      <c r="G655" s="108"/>
      <c r="H655" s="108"/>
      <c r="I655" s="108"/>
      <c r="J655" s="798">
        <f t="shared" si="66"/>
        <v>1177.0899999999999</v>
      </c>
      <c r="K655" s="209"/>
      <c r="L655" s="449"/>
      <c r="M655" s="828"/>
      <c r="N655" s="11">
        <v>0</v>
      </c>
      <c r="O655" s="11">
        <v>0</v>
      </c>
      <c r="P655" s="11">
        <v>0</v>
      </c>
      <c r="Q655" s="11">
        <v>0</v>
      </c>
      <c r="R655" s="773">
        <v>0</v>
      </c>
      <c r="S655" s="11">
        <v>0</v>
      </c>
      <c r="T655" s="773">
        <v>0</v>
      </c>
      <c r="U655" s="2173">
        <v>0</v>
      </c>
      <c r="V655" s="2509">
        <v>0</v>
      </c>
      <c r="W655" s="2509">
        <v>0</v>
      </c>
      <c r="X655" s="2509">
        <v>0</v>
      </c>
      <c r="Y655" s="2509">
        <v>0</v>
      </c>
      <c r="Z655" s="11">
        <f>'[26]New TB INC'!Z600</f>
        <v>0</v>
      </c>
      <c r="AA655" s="11">
        <f>'[27]New TB INC'!AA609</f>
        <v>0</v>
      </c>
      <c r="AB655" s="11">
        <f>'[28]New TB INC'!AB615</f>
        <v>0</v>
      </c>
      <c r="AC655" s="11">
        <f>'[29]New TB INC'!AC611</f>
        <v>0</v>
      </c>
      <c r="AD655" s="11">
        <f>'[30]New TB INC'!AD606</f>
        <v>0</v>
      </c>
      <c r="AE655" s="11">
        <f>'[31]New TB INC'!AE614</f>
        <v>0</v>
      </c>
      <c r="AF655" s="11">
        <v>0</v>
      </c>
      <c r="AG655" s="11">
        <v>0</v>
      </c>
      <c r="AH655" s="11">
        <v>0</v>
      </c>
      <c r="AI655" s="11">
        <v>1177.0899999999999</v>
      </c>
      <c r="AJ655" s="11">
        <v>0</v>
      </c>
      <c r="AK655" s="11">
        <f>$J655-SUM($Z655:AJ655)</f>
        <v>0</v>
      </c>
      <c r="AL655" s="11"/>
      <c r="AM655" s="11"/>
      <c r="AN655" s="11"/>
      <c r="AO655" s="11"/>
      <c r="AP655" s="11"/>
      <c r="AQ655" s="11"/>
      <c r="AR655" s="11"/>
      <c r="AS655" s="11"/>
      <c r="AT655" s="11"/>
      <c r="AU655" s="11"/>
      <c r="AW655" s="2509"/>
      <c r="BH655" s="2509"/>
      <c r="BI655" s="772"/>
      <c r="BJ655" s="2173"/>
      <c r="BK655" s="2173"/>
      <c r="BO655" s="209"/>
      <c r="BP655" s="209"/>
      <c r="BQ655" s="859"/>
      <c r="BR655" s="859"/>
      <c r="BS655" s="885"/>
      <c r="BT655" s="209"/>
      <c r="BU655" s="209"/>
      <c r="BV655" s="209"/>
      <c r="BW655" s="209"/>
      <c r="BX655" s="209"/>
      <c r="BY655" s="11"/>
      <c r="BZ655" s="11"/>
      <c r="CA655" s="11"/>
      <c r="CB655" s="11"/>
      <c r="CC655" s="11"/>
    </row>
    <row r="656" spans="1:81" s="773" customFormat="1">
      <c r="A656" s="774"/>
      <c r="B656" s="3763"/>
      <c r="C656" s="892"/>
      <c r="D656" s="200"/>
      <c r="E656" s="798"/>
      <c r="F656" s="108"/>
      <c r="G656" s="108"/>
      <c r="H656" s="108"/>
      <c r="I656" s="108"/>
      <c r="J656" s="798"/>
      <c r="K656" s="209"/>
      <c r="L656" s="449"/>
      <c r="M656" s="828"/>
      <c r="N656" s="11">
        <v>0</v>
      </c>
      <c r="O656" s="11">
        <v>0</v>
      </c>
      <c r="P656" s="11">
        <v>0</v>
      </c>
      <c r="Q656" s="11">
        <v>0</v>
      </c>
      <c r="R656" s="773">
        <v>0</v>
      </c>
      <c r="S656" s="11">
        <v>0</v>
      </c>
      <c r="T656" s="773">
        <v>0</v>
      </c>
      <c r="U656" s="2173">
        <v>0</v>
      </c>
      <c r="V656" s="2509">
        <v>0</v>
      </c>
      <c r="W656" s="2509">
        <v>0</v>
      </c>
      <c r="X656" s="2509">
        <v>0</v>
      </c>
      <c r="Y656" s="2509">
        <v>0</v>
      </c>
      <c r="Z656" s="11">
        <f>'[26]New TB INC'!Z601</f>
        <v>0</v>
      </c>
      <c r="AA656" s="11">
        <f>'[27]New TB INC'!AA610</f>
        <v>0</v>
      </c>
      <c r="AB656" s="11">
        <f>'[28]New TB INC'!AB616</f>
        <v>0</v>
      </c>
      <c r="AC656" s="11">
        <f>'[29]New TB INC'!AC612</f>
        <v>0</v>
      </c>
      <c r="AD656" s="11">
        <f>'[30]New TB INC'!AD607</f>
        <v>0</v>
      </c>
      <c r="AE656" s="11">
        <f>'[31]New TB INC'!AE615</f>
        <v>0</v>
      </c>
      <c r="AF656" s="11">
        <v>0</v>
      </c>
      <c r="AG656" s="11">
        <v>0</v>
      </c>
      <c r="AH656" s="11">
        <v>0</v>
      </c>
      <c r="AI656" s="11">
        <v>0</v>
      </c>
      <c r="AJ656" s="11">
        <v>0</v>
      </c>
      <c r="AK656" s="11">
        <f>$J656-SUM($Z656:AJ656)</f>
        <v>0</v>
      </c>
      <c r="AL656" s="11"/>
      <c r="AM656" s="11"/>
      <c r="AN656" s="11"/>
      <c r="AO656" s="11"/>
      <c r="AP656" s="11"/>
      <c r="AQ656" s="11"/>
      <c r="AR656" s="11"/>
      <c r="AS656" s="11"/>
      <c r="AT656" s="11"/>
      <c r="AU656" s="11"/>
      <c r="AW656" s="2509"/>
      <c r="BH656" s="2509"/>
      <c r="BI656" s="772"/>
      <c r="BJ656" s="2173"/>
      <c r="BK656" s="2173"/>
      <c r="BO656" s="209"/>
      <c r="BP656" s="209"/>
      <c r="BQ656" s="209"/>
      <c r="BR656" s="209"/>
      <c r="BS656" s="209"/>
      <c r="BT656" s="209"/>
      <c r="BU656" s="209"/>
      <c r="BV656" s="209"/>
      <c r="BW656" s="209"/>
      <c r="BX656" s="209"/>
      <c r="BY656" s="11"/>
      <c r="BZ656" s="11"/>
      <c r="CA656" s="11"/>
      <c r="CB656" s="11"/>
      <c r="CC656" s="11"/>
    </row>
    <row r="657" spans="1:208" s="773" customFormat="1">
      <c r="A657" s="774"/>
      <c r="B657" s="3761" t="s">
        <v>1377</v>
      </c>
      <c r="C657" s="892">
        <v>8010008</v>
      </c>
      <c r="D657" s="111" t="s">
        <v>1428</v>
      </c>
      <c r="E657" s="798">
        <f>IFERROR(VLOOKUP(C657,'AJE 12 - INC'!$D$168:$F$771,3,0),0)</f>
        <v>1111.1199999999999</v>
      </c>
      <c r="F657" s="769">
        <f>SUMIF('AJE 12 - INC'!$B$1:$B$129,'New TB INC'!C657,'AJE 12 - INC'!$D$1:$D$129)</f>
        <v>0</v>
      </c>
      <c r="G657" s="769"/>
      <c r="H657" s="769"/>
      <c r="I657" s="769"/>
      <c r="J657" s="796">
        <f>SUM(E657:I657)</f>
        <v>1111.1199999999999</v>
      </c>
      <c r="K657" s="209"/>
      <c r="L657" s="434"/>
      <c r="M657" s="810"/>
      <c r="N657" s="11">
        <v>0</v>
      </c>
      <c r="O657" s="773">
        <v>0</v>
      </c>
      <c r="P657" s="11">
        <v>401.8186209022133</v>
      </c>
      <c r="Q657" s="11">
        <v>0</v>
      </c>
      <c r="R657" s="773">
        <v>0.18137909778670291</v>
      </c>
      <c r="S657" s="11">
        <v>1129</v>
      </c>
      <c r="T657" s="773">
        <v>-726</v>
      </c>
      <c r="U657" s="2173">
        <v>0</v>
      </c>
      <c r="V657" s="2509">
        <v>403.20000000000005</v>
      </c>
      <c r="W657" s="2509">
        <v>0</v>
      </c>
      <c r="X657" s="2509">
        <v>0</v>
      </c>
      <c r="Y657" s="2509">
        <v>405.32999999999993</v>
      </c>
      <c r="Z657" s="11">
        <f>'[26]New TB INC'!Z602</f>
        <v>0</v>
      </c>
      <c r="AA657" s="11">
        <f>'[27]New TB INC'!AA611</f>
        <v>0</v>
      </c>
      <c r="AB657" s="11">
        <f>'[28]New TB INC'!AB617</f>
        <v>400.98</v>
      </c>
      <c r="AC657" s="11">
        <f>'[29]New TB INC'!AC613</f>
        <v>0</v>
      </c>
      <c r="AD657" s="11">
        <f>'[30]New TB INC'!AD608</f>
        <v>0</v>
      </c>
      <c r="AE657" s="11">
        <f>'[31]New TB INC'!AE616</f>
        <v>213.44999999999993</v>
      </c>
      <c r="AF657" s="11">
        <v>0</v>
      </c>
      <c r="AG657" s="11">
        <v>0</v>
      </c>
      <c r="AH657" s="11">
        <v>122.36000000000001</v>
      </c>
      <c r="AI657" s="11">
        <v>0</v>
      </c>
      <c r="AJ657" s="11">
        <v>0</v>
      </c>
      <c r="AK657" s="11">
        <f>$J657-SUM($Z657:AJ657)</f>
        <v>374.32999999999993</v>
      </c>
      <c r="AL657" s="11"/>
      <c r="AM657" s="11"/>
      <c r="AN657" s="11"/>
      <c r="AO657" s="11"/>
      <c r="AP657" s="11"/>
      <c r="AQ657" s="11"/>
      <c r="AR657" s="11"/>
      <c r="AS657" s="11"/>
      <c r="AT657" s="11"/>
      <c r="AU657" s="11"/>
      <c r="AW657" s="2509"/>
      <c r="BH657" s="2509"/>
      <c r="BI657" s="772"/>
      <c r="BJ657" s="2173"/>
      <c r="BK657" s="2173"/>
      <c r="BO657" s="209"/>
      <c r="BP657" s="209"/>
      <c r="BQ657" s="209"/>
      <c r="BR657" s="209"/>
      <c r="BS657" s="209"/>
      <c r="BT657" s="209"/>
      <c r="BU657" s="209"/>
      <c r="BV657" s="209"/>
      <c r="BW657" s="209"/>
      <c r="BX657" s="209"/>
      <c r="BY657" s="11"/>
      <c r="BZ657" s="11"/>
      <c r="CA657" s="11"/>
      <c r="CB657" s="11"/>
      <c r="CC657" s="11"/>
      <c r="CD657" s="11"/>
      <c r="CE657" s="11"/>
      <c r="CF657" s="11"/>
      <c r="CG657" s="11"/>
      <c r="CH657" s="11"/>
    </row>
    <row r="658" spans="1:208" s="773" customFormat="1">
      <c r="A658" s="774"/>
      <c r="B658" s="3761"/>
      <c r="C658" s="157"/>
      <c r="D658" s="111"/>
      <c r="E658" s="769"/>
      <c r="F658" s="769"/>
      <c r="G658" s="769"/>
      <c r="H658" s="769"/>
      <c r="I658" s="769"/>
      <c r="J658" s="796"/>
      <c r="K658" s="209"/>
      <c r="L658" s="434"/>
      <c r="M658" s="810"/>
      <c r="N658" s="11">
        <v>0</v>
      </c>
      <c r="P658" s="11">
        <v>0</v>
      </c>
      <c r="Q658" s="11">
        <v>0</v>
      </c>
      <c r="R658" s="773">
        <v>0</v>
      </c>
      <c r="S658" s="11">
        <v>0</v>
      </c>
      <c r="T658" s="773">
        <v>0</v>
      </c>
      <c r="U658" s="2173">
        <v>0</v>
      </c>
      <c r="V658" s="2509">
        <v>0</v>
      </c>
      <c r="W658" s="2509">
        <v>0</v>
      </c>
      <c r="X658" s="2509">
        <v>0</v>
      </c>
      <c r="Y658" s="2509">
        <v>0</v>
      </c>
      <c r="Z658" s="11">
        <f>'[26]New TB INC'!Z603</f>
        <v>0</v>
      </c>
      <c r="AA658" s="11">
        <f>'[27]New TB INC'!AA612</f>
        <v>0</v>
      </c>
      <c r="AB658" s="11">
        <f>'[28]New TB INC'!AB618</f>
        <v>0</v>
      </c>
      <c r="AC658" s="11">
        <f>'[29]New TB INC'!AC614</f>
        <v>0</v>
      </c>
      <c r="AD658" s="11">
        <f>'[30]New TB INC'!AD609</f>
        <v>0</v>
      </c>
      <c r="AE658" s="11">
        <f>'[31]New TB INC'!AE617</f>
        <v>0</v>
      </c>
      <c r="AF658" s="11">
        <v>0</v>
      </c>
      <c r="AG658" s="11">
        <v>0</v>
      </c>
      <c r="AH658" s="11">
        <v>0</v>
      </c>
      <c r="AI658" s="11">
        <v>0</v>
      </c>
      <c r="AJ658" s="11">
        <v>0</v>
      </c>
      <c r="AK658" s="11">
        <f>$J658-SUM($Z658:AJ658)</f>
        <v>0</v>
      </c>
      <c r="AL658" s="11"/>
      <c r="AM658" s="11"/>
      <c r="AN658" s="11"/>
      <c r="AO658" s="11"/>
      <c r="AP658" s="11"/>
      <c r="AQ658" s="11"/>
      <c r="AR658" s="11"/>
      <c r="AS658" s="11"/>
      <c r="AT658" s="11"/>
      <c r="AU658" s="11"/>
      <c r="AW658" s="2509"/>
      <c r="BH658" s="2509"/>
      <c r="BI658" s="772"/>
      <c r="BJ658" s="2173"/>
      <c r="BK658" s="2173"/>
      <c r="BO658" s="209"/>
      <c r="BP658" s="209"/>
      <c r="BQ658" s="209"/>
      <c r="BR658" s="209"/>
      <c r="BS658" s="209"/>
      <c r="BT658" s="209"/>
      <c r="BU658" s="209"/>
      <c r="BV658" s="209"/>
      <c r="BW658" s="209"/>
      <c r="BX658" s="209"/>
      <c r="BY658" s="11"/>
      <c r="BZ658" s="11"/>
      <c r="CA658" s="11"/>
      <c r="CB658" s="11"/>
      <c r="CC658" s="11"/>
      <c r="CD658" s="11"/>
      <c r="CE658" s="11"/>
      <c r="CF658" s="11"/>
      <c r="CG658" s="11"/>
      <c r="CH658" s="11"/>
    </row>
    <row r="659" spans="1:208" s="11" customFormat="1">
      <c r="A659" s="774"/>
      <c r="B659" s="3777"/>
      <c r="C659" s="781"/>
      <c r="D659" s="935"/>
      <c r="E659" s="894">
        <f t="shared" ref="E659:J659" si="67">SUM(E627:E658)</f>
        <v>324963.71000000002</v>
      </c>
      <c r="F659" s="894">
        <f t="shared" si="67"/>
        <v>0</v>
      </c>
      <c r="G659" s="894">
        <f t="shared" si="67"/>
        <v>0</v>
      </c>
      <c r="H659" s="894">
        <f t="shared" si="67"/>
        <v>0</v>
      </c>
      <c r="I659" s="894">
        <f t="shared" si="67"/>
        <v>0</v>
      </c>
      <c r="J659" s="894">
        <f t="shared" si="67"/>
        <v>324963.71000000002</v>
      </c>
      <c r="K659" s="209"/>
      <c r="L659" s="449"/>
      <c r="M659" s="895"/>
      <c r="N659" s="11">
        <v>33085.81</v>
      </c>
      <c r="O659" s="11">
        <v>40841.270000000004</v>
      </c>
      <c r="P659" s="11">
        <v>39516.3086209022</v>
      </c>
      <c r="Q659" s="11">
        <v>36517.679999999993</v>
      </c>
      <c r="R659" s="773">
        <v>38390.901379097777</v>
      </c>
      <c r="S659" s="11">
        <v>39485.540000000023</v>
      </c>
      <c r="T659" s="773">
        <v>43258.42</v>
      </c>
      <c r="U659" s="2173">
        <v>29639.520000000019</v>
      </c>
      <c r="V659" s="2509">
        <v>19193.399999999965</v>
      </c>
      <c r="W659" s="2509">
        <v>27327.530000000028</v>
      </c>
      <c r="X659" s="2509">
        <v>27474.400000000023</v>
      </c>
      <c r="Y659" s="2509">
        <v>18241.890000000014</v>
      </c>
      <c r="Z659" s="11">
        <f>'[26]New TB INC'!Z604</f>
        <v>27970.659999999996</v>
      </c>
      <c r="AA659" s="11">
        <f>'[27]New TB INC'!AA613</f>
        <v>29982.9</v>
      </c>
      <c r="AB659" s="11">
        <f>'[28]New TB INC'!AB619</f>
        <v>27936.92</v>
      </c>
      <c r="AC659" s="11">
        <f>'[29]New TB INC'!AC615</f>
        <v>28950.97</v>
      </c>
      <c r="AD659" s="11">
        <f>'[30]New TB INC'!AD610</f>
        <v>28950.960000000006</v>
      </c>
      <c r="AE659" s="11">
        <f>'[31]New TB INC'!AE618</f>
        <v>28992.299999999959</v>
      </c>
      <c r="AF659" s="11">
        <v>22720.270000000019</v>
      </c>
      <c r="AG659" s="11">
        <v>26171.939999999944</v>
      </c>
      <c r="AH659" s="11">
        <v>31240.490000000049</v>
      </c>
      <c r="AI659" s="11">
        <v>32361.670000000042</v>
      </c>
      <c r="AJ659" s="11">
        <v>21905.139999999898</v>
      </c>
      <c r="AK659" s="11">
        <f>$J659-SUM($Z659:AJ659)</f>
        <v>17779.490000000107</v>
      </c>
      <c r="AW659" s="2509"/>
      <c r="BH659" s="2509"/>
      <c r="BI659" s="772"/>
      <c r="BJ659" s="2173"/>
      <c r="BK659" s="2173"/>
      <c r="BL659" s="773"/>
      <c r="BN659" s="773"/>
      <c r="BO659" s="209"/>
      <c r="BP659" s="209"/>
      <c r="BQ659" s="209"/>
      <c r="BR659" s="209"/>
      <c r="BS659" s="209"/>
      <c r="BT659" s="209"/>
      <c r="BU659" s="209"/>
      <c r="BV659" s="209"/>
      <c r="BW659" s="209"/>
      <c r="BX659" s="209"/>
      <c r="DB659" s="773"/>
      <c r="DC659" s="773"/>
      <c r="DD659" s="773"/>
      <c r="DE659" s="773"/>
      <c r="DF659" s="773"/>
      <c r="DG659" s="773"/>
      <c r="DH659" s="773"/>
      <c r="DI659" s="773"/>
      <c r="DJ659" s="773"/>
      <c r="DK659" s="773"/>
      <c r="DL659" s="773"/>
      <c r="DM659" s="773"/>
      <c r="DN659" s="773"/>
      <c r="DO659" s="773"/>
      <c r="DP659" s="773"/>
      <c r="DQ659" s="773"/>
      <c r="DR659" s="773"/>
      <c r="DS659" s="773"/>
      <c r="DT659" s="773"/>
      <c r="DU659" s="773"/>
      <c r="DV659" s="773"/>
      <c r="DW659" s="773"/>
      <c r="DX659" s="773"/>
      <c r="DY659" s="773"/>
      <c r="DZ659" s="773"/>
      <c r="EA659" s="773"/>
      <c r="EB659" s="773"/>
      <c r="EC659" s="773"/>
      <c r="ED659" s="773"/>
      <c r="EE659" s="773"/>
      <c r="EF659" s="773"/>
      <c r="EG659" s="773"/>
      <c r="EH659" s="773"/>
      <c r="EI659" s="773"/>
      <c r="EJ659" s="773"/>
      <c r="EK659" s="773"/>
      <c r="EL659" s="773"/>
      <c r="EM659" s="773"/>
      <c r="EN659" s="773"/>
      <c r="EO659" s="773"/>
      <c r="EP659" s="773"/>
      <c r="EQ659" s="773"/>
      <c r="ER659" s="773"/>
      <c r="ES659" s="773"/>
      <c r="ET659" s="773"/>
      <c r="EU659" s="773"/>
      <c r="EV659" s="773"/>
      <c r="EW659" s="773"/>
      <c r="EX659" s="773"/>
      <c r="EY659" s="773"/>
      <c r="EZ659" s="773"/>
      <c r="FA659" s="773"/>
      <c r="FB659" s="773"/>
      <c r="FC659" s="773"/>
      <c r="FD659" s="773"/>
      <c r="FE659" s="773"/>
      <c r="FF659" s="773"/>
      <c r="FG659" s="773"/>
      <c r="FH659" s="773"/>
      <c r="FI659" s="773"/>
      <c r="FJ659" s="773"/>
      <c r="FK659" s="773"/>
      <c r="FL659" s="773"/>
      <c r="FM659" s="773"/>
      <c r="FN659" s="773"/>
      <c r="FO659" s="773"/>
      <c r="FP659" s="773"/>
      <c r="FQ659" s="773"/>
      <c r="FR659" s="773"/>
      <c r="FS659" s="773"/>
      <c r="FT659" s="773"/>
      <c r="FU659" s="773"/>
      <c r="FV659" s="773"/>
      <c r="FW659" s="773"/>
      <c r="FX659" s="773"/>
      <c r="FY659" s="773"/>
      <c r="FZ659" s="773"/>
      <c r="GA659" s="773"/>
      <c r="GB659" s="773"/>
      <c r="GC659" s="773"/>
      <c r="GD659" s="773"/>
      <c r="GE659" s="773"/>
      <c r="GF659" s="773"/>
      <c r="GG659" s="773"/>
      <c r="GH659" s="773"/>
      <c r="GI659" s="773"/>
      <c r="GJ659" s="773"/>
      <c r="GK659" s="773"/>
      <c r="GL659" s="773"/>
      <c r="GM659" s="773"/>
      <c r="GN659" s="773"/>
      <c r="GO659" s="773"/>
      <c r="GP659" s="773"/>
      <c r="GQ659" s="773"/>
      <c r="GR659" s="773"/>
      <c r="GS659" s="773"/>
      <c r="GT659" s="773"/>
      <c r="GU659" s="773"/>
      <c r="GV659" s="773"/>
      <c r="GW659" s="773"/>
      <c r="GX659" s="773"/>
      <c r="GY659" s="773"/>
      <c r="GZ659" s="773"/>
    </row>
    <row r="660" spans="1:208" s="11" customFormat="1">
      <c r="A660" s="774"/>
      <c r="B660" s="3777"/>
      <c r="C660" s="767"/>
      <c r="D660" s="948" t="s">
        <v>87</v>
      </c>
      <c r="E660" s="896"/>
      <c r="F660" s="896"/>
      <c r="G660" s="896"/>
      <c r="H660" s="896"/>
      <c r="I660" s="896"/>
      <c r="J660" s="798"/>
      <c r="K660" s="209"/>
      <c r="L660" s="434"/>
      <c r="M660" s="828"/>
      <c r="N660" s="11">
        <v>0</v>
      </c>
      <c r="O660" s="11">
        <v>0</v>
      </c>
      <c r="P660" s="11">
        <v>0</v>
      </c>
      <c r="Q660" s="11">
        <v>0</v>
      </c>
      <c r="R660" s="773">
        <v>0</v>
      </c>
      <c r="S660" s="11">
        <v>0</v>
      </c>
      <c r="T660" s="773">
        <v>0</v>
      </c>
      <c r="U660" s="2173">
        <v>0</v>
      </c>
      <c r="V660" s="2509">
        <v>0</v>
      </c>
      <c r="W660" s="2509">
        <v>0</v>
      </c>
      <c r="X660" s="2509">
        <v>0</v>
      </c>
      <c r="Y660" s="2509">
        <v>0</v>
      </c>
      <c r="Z660" s="11">
        <f>'[26]New TB INC'!Z605</f>
        <v>0</v>
      </c>
      <c r="AA660" s="11">
        <f>'[27]New TB INC'!AA614</f>
        <v>0</v>
      </c>
      <c r="AB660" s="11">
        <f>'[28]New TB INC'!AB620</f>
        <v>0</v>
      </c>
      <c r="AC660" s="11">
        <f>'[29]New TB INC'!AC616</f>
        <v>0</v>
      </c>
      <c r="AD660" s="11">
        <f>'[30]New TB INC'!AD611</f>
        <v>0</v>
      </c>
      <c r="AE660" s="11">
        <f>'[31]New TB INC'!AE619</f>
        <v>0</v>
      </c>
      <c r="AF660" s="11">
        <v>0</v>
      </c>
      <c r="AG660" s="11">
        <v>0</v>
      </c>
      <c r="AH660" s="11">
        <v>0</v>
      </c>
      <c r="AI660" s="11">
        <v>0</v>
      </c>
      <c r="AJ660" s="11">
        <v>0</v>
      </c>
      <c r="AK660" s="11">
        <f>$J660-SUM($Z660:AJ660)</f>
        <v>0</v>
      </c>
      <c r="AW660" s="2509"/>
      <c r="BH660" s="2509"/>
      <c r="BI660" s="772"/>
      <c r="BJ660" s="2173"/>
      <c r="BK660" s="2173"/>
      <c r="BL660" s="773"/>
      <c r="BN660" s="773"/>
      <c r="BO660" s="209"/>
      <c r="BP660" s="209"/>
      <c r="BQ660" s="209"/>
      <c r="BR660" s="209"/>
      <c r="BS660" s="209"/>
      <c r="BT660" s="209"/>
      <c r="BU660" s="209"/>
      <c r="BV660" s="209"/>
      <c r="BW660" s="209"/>
      <c r="BX660" s="209"/>
      <c r="DB660" s="773"/>
      <c r="DC660" s="773"/>
      <c r="DD660" s="773"/>
      <c r="DE660" s="773"/>
      <c r="DF660" s="773"/>
      <c r="DG660" s="773"/>
      <c r="DH660" s="773"/>
      <c r="DI660" s="773"/>
      <c r="DJ660" s="773"/>
      <c r="DK660" s="773"/>
      <c r="DL660" s="773"/>
      <c r="DM660" s="773"/>
      <c r="DN660" s="773"/>
      <c r="DO660" s="773"/>
      <c r="DP660" s="773"/>
      <c r="DQ660" s="773"/>
      <c r="DR660" s="773"/>
      <c r="DS660" s="773"/>
      <c r="DT660" s="773"/>
      <c r="DU660" s="773"/>
      <c r="DV660" s="773"/>
      <c r="DW660" s="773"/>
      <c r="DX660" s="773"/>
      <c r="DY660" s="773"/>
      <c r="DZ660" s="773"/>
      <c r="EA660" s="773"/>
      <c r="EB660" s="773"/>
      <c r="EC660" s="773"/>
      <c r="ED660" s="773"/>
      <c r="EE660" s="773"/>
      <c r="EF660" s="773"/>
      <c r="EG660" s="773"/>
      <c r="EH660" s="773"/>
      <c r="EI660" s="773"/>
      <c r="EJ660" s="773"/>
      <c r="EK660" s="773"/>
      <c r="EL660" s="773"/>
      <c r="EM660" s="773"/>
      <c r="EN660" s="773"/>
      <c r="EO660" s="773"/>
      <c r="EP660" s="773"/>
      <c r="EQ660" s="773"/>
      <c r="ER660" s="773"/>
      <c r="ES660" s="773"/>
      <c r="ET660" s="773"/>
      <c r="EU660" s="773"/>
      <c r="EV660" s="773"/>
      <c r="EW660" s="773"/>
      <c r="EX660" s="773"/>
      <c r="EY660" s="773"/>
      <c r="EZ660" s="773"/>
      <c r="FA660" s="773"/>
      <c r="FB660" s="773"/>
      <c r="FC660" s="773"/>
      <c r="FD660" s="773"/>
      <c r="FE660" s="773"/>
      <c r="FF660" s="773"/>
      <c r="FG660" s="773"/>
      <c r="FH660" s="773"/>
      <c r="FI660" s="773"/>
      <c r="FJ660" s="773"/>
      <c r="FK660" s="773"/>
      <c r="FL660" s="773"/>
      <c r="FM660" s="773"/>
      <c r="FN660" s="773"/>
      <c r="FO660" s="773"/>
      <c r="FP660" s="773"/>
      <c r="FQ660" s="773"/>
      <c r="FR660" s="773"/>
      <c r="FS660" s="773"/>
      <c r="FT660" s="773"/>
      <c r="FU660" s="773"/>
      <c r="FV660" s="773"/>
      <c r="FW660" s="773"/>
      <c r="FX660" s="773"/>
      <c r="FY660" s="773"/>
      <c r="FZ660" s="773"/>
      <c r="GA660" s="773"/>
      <c r="GB660" s="773"/>
      <c r="GC660" s="773"/>
      <c r="GD660" s="773"/>
      <c r="GE660" s="773"/>
      <c r="GF660" s="773"/>
      <c r="GG660" s="773"/>
      <c r="GH660" s="773"/>
      <c r="GI660" s="773"/>
      <c r="GJ660" s="773"/>
      <c r="GK660" s="773"/>
      <c r="GL660" s="773"/>
      <c r="GM660" s="773"/>
      <c r="GN660" s="773"/>
      <c r="GO660" s="773"/>
      <c r="GP660" s="773"/>
      <c r="GQ660" s="773"/>
      <c r="GR660" s="773"/>
      <c r="GS660" s="773"/>
      <c r="GT660" s="773"/>
      <c r="GU660" s="773"/>
      <c r="GV660" s="773"/>
      <c r="GW660" s="773"/>
      <c r="GX660" s="773"/>
      <c r="GY660" s="773"/>
      <c r="GZ660" s="773"/>
    </row>
    <row r="661" spans="1:208" s="11" customFormat="1">
      <c r="A661" s="774"/>
      <c r="B661" s="3761" t="s">
        <v>766</v>
      </c>
      <c r="C661" s="197">
        <v>8030020</v>
      </c>
      <c r="D661" s="199" t="s">
        <v>481</v>
      </c>
      <c r="E661" s="798">
        <f>IFERROR(VLOOKUP(C661,'AJE 12 - INC'!$D$168:$F$771,3,0),0)</f>
        <v>87952</v>
      </c>
      <c r="F661" s="108">
        <f>SUMIF('AJE 12 - INC'!B:B,'New TB INC'!C661,'AJE 12 - INC'!D:D)</f>
        <v>0</v>
      </c>
      <c r="G661" s="108"/>
      <c r="H661" s="108"/>
      <c r="I661" s="108"/>
      <c r="J661" s="1303">
        <f>SUM(E661:I661)</f>
        <v>87952</v>
      </c>
      <c r="K661" s="209"/>
      <c r="L661" s="434"/>
      <c r="M661" s="803" t="s">
        <v>497</v>
      </c>
      <c r="N661" s="11">
        <v>0</v>
      </c>
      <c r="O661" s="11">
        <v>0</v>
      </c>
      <c r="P661" s="11">
        <v>23163</v>
      </c>
      <c r="Q661" s="11">
        <v>0</v>
      </c>
      <c r="R661" s="773">
        <v>0</v>
      </c>
      <c r="S661" s="11">
        <v>23896</v>
      </c>
      <c r="T661" s="773">
        <v>0</v>
      </c>
      <c r="U661" s="2173">
        <v>0</v>
      </c>
      <c r="V661" s="2509">
        <v>23977</v>
      </c>
      <c r="W661" s="2509">
        <v>0</v>
      </c>
      <c r="X661" s="2509">
        <v>0</v>
      </c>
      <c r="Y661" s="2509">
        <v>23248</v>
      </c>
      <c r="Z661" s="11">
        <f>'[26]New TB INC'!Z606</f>
        <v>0</v>
      </c>
      <c r="AA661" s="11">
        <f>'[27]New TB INC'!AA615</f>
        <v>0</v>
      </c>
      <c r="AB661" s="11">
        <f>'[28]New TB INC'!AB621</f>
        <v>22414</v>
      </c>
      <c r="AC661" s="11">
        <f>'[29]New TB INC'!AC617</f>
        <v>0</v>
      </c>
      <c r="AD661" s="11">
        <f>'[30]New TB INC'!AD612</f>
        <v>0</v>
      </c>
      <c r="AE661" s="11">
        <f>'[31]New TB INC'!AE620</f>
        <v>21644</v>
      </c>
      <c r="AF661" s="11">
        <v>0</v>
      </c>
      <c r="AG661" s="11">
        <v>0</v>
      </c>
      <c r="AH661" s="11">
        <v>22306</v>
      </c>
      <c r="AI661" s="11">
        <v>0</v>
      </c>
      <c r="AJ661" s="11">
        <v>0</v>
      </c>
      <c r="AK661" s="11">
        <f>$J661-SUM($Z661:AJ661)</f>
        <v>21588</v>
      </c>
      <c r="AW661" s="2509"/>
      <c r="BH661" s="2509"/>
      <c r="BI661" s="772"/>
      <c r="BJ661" s="2173"/>
      <c r="BK661" s="2173"/>
      <c r="BL661" s="773"/>
      <c r="BN661" s="773"/>
      <c r="BO661" s="209"/>
      <c r="BP661" s="209"/>
      <c r="BQ661" s="209"/>
      <c r="BR661" s="209"/>
      <c r="BS661" s="209"/>
      <c r="BT661" s="209"/>
      <c r="CI661" s="4"/>
      <c r="CJ661" s="4"/>
      <c r="DB661" s="773"/>
      <c r="DC661" s="773"/>
      <c r="DD661" s="773"/>
      <c r="DE661" s="773"/>
      <c r="DF661" s="773"/>
      <c r="DG661" s="773"/>
      <c r="DH661" s="773"/>
      <c r="DI661" s="773"/>
      <c r="DJ661" s="773"/>
      <c r="DK661" s="773"/>
      <c r="DL661" s="773"/>
      <c r="DM661" s="773"/>
      <c r="DN661" s="773"/>
      <c r="DO661" s="773"/>
      <c r="DP661" s="773"/>
      <c r="DQ661" s="773"/>
      <c r="DR661" s="773"/>
      <c r="DS661" s="773"/>
      <c r="DT661" s="773"/>
      <c r="DU661" s="773"/>
      <c r="DV661" s="773"/>
      <c r="DW661" s="773"/>
      <c r="DX661" s="773"/>
      <c r="DY661" s="773"/>
      <c r="DZ661" s="773"/>
      <c r="EA661" s="773"/>
      <c r="EB661" s="773"/>
      <c r="EC661" s="773"/>
      <c r="ED661" s="773"/>
      <c r="EE661" s="773"/>
      <c r="EF661" s="773"/>
      <c r="EG661" s="773"/>
      <c r="EH661" s="773"/>
      <c r="EI661" s="773"/>
      <c r="EJ661" s="773"/>
      <c r="EK661" s="773"/>
      <c r="EL661" s="773"/>
      <c r="EM661" s="773"/>
      <c r="EN661" s="773"/>
      <c r="EO661" s="773"/>
      <c r="EP661" s="773"/>
      <c r="EQ661" s="773"/>
      <c r="ER661" s="773"/>
      <c r="ES661" s="773"/>
      <c r="ET661" s="773"/>
      <c r="EU661" s="773"/>
      <c r="EV661" s="773"/>
      <c r="EW661" s="773"/>
      <c r="EX661" s="773"/>
      <c r="EY661" s="773"/>
      <c r="EZ661" s="773"/>
      <c r="FA661" s="773"/>
      <c r="FB661" s="773"/>
      <c r="FC661" s="773"/>
      <c r="FD661" s="773"/>
      <c r="FE661" s="773"/>
      <c r="FF661" s="773"/>
      <c r="FG661" s="773"/>
      <c r="FH661" s="773"/>
      <c r="FI661" s="773"/>
      <c r="FJ661" s="773"/>
      <c r="FK661" s="773"/>
      <c r="FL661" s="773"/>
      <c r="FM661" s="773"/>
      <c r="FN661" s="773"/>
      <c r="FO661" s="773"/>
      <c r="FP661" s="773"/>
      <c r="FQ661" s="773"/>
      <c r="FR661" s="773"/>
      <c r="FS661" s="773"/>
      <c r="FT661" s="773"/>
      <c r="FU661" s="773"/>
      <c r="FV661" s="773"/>
      <c r="FW661" s="773"/>
      <c r="FX661" s="773"/>
      <c r="FY661" s="773"/>
      <c r="FZ661" s="773"/>
      <c r="GA661" s="773"/>
      <c r="GB661" s="773"/>
      <c r="GC661" s="773"/>
      <c r="GD661" s="773"/>
      <c r="GE661" s="773"/>
      <c r="GF661" s="773"/>
      <c r="GG661" s="773"/>
      <c r="GH661" s="773"/>
      <c r="GI661" s="773"/>
      <c r="GJ661" s="773"/>
      <c r="GK661" s="773"/>
      <c r="GL661" s="773"/>
      <c r="GM661" s="773"/>
      <c r="GN661" s="773"/>
      <c r="GO661" s="773"/>
      <c r="GP661" s="773"/>
      <c r="GQ661" s="773"/>
      <c r="GR661" s="773"/>
      <c r="GS661" s="773"/>
      <c r="GT661" s="773"/>
      <c r="GU661" s="773"/>
      <c r="GV661" s="773"/>
      <c r="GW661" s="773"/>
      <c r="GX661" s="773"/>
      <c r="GY661" s="773"/>
      <c r="GZ661" s="773"/>
    </row>
    <row r="662" spans="1:208" s="11" customFormat="1">
      <c r="A662" s="774"/>
      <c r="B662" s="3763"/>
      <c r="C662" s="781"/>
      <c r="D662" s="935"/>
      <c r="E662" s="894">
        <f t="shared" ref="E662:J662" si="68">SUM(E661)</f>
        <v>87952</v>
      </c>
      <c r="F662" s="894">
        <f t="shared" si="68"/>
        <v>0</v>
      </c>
      <c r="G662" s="894">
        <f t="shared" si="68"/>
        <v>0</v>
      </c>
      <c r="H662" s="894">
        <f t="shared" si="68"/>
        <v>0</v>
      </c>
      <c r="I662" s="894">
        <f t="shared" si="68"/>
        <v>0</v>
      </c>
      <c r="J662" s="894">
        <f t="shared" si="68"/>
        <v>87952</v>
      </c>
      <c r="K662" s="209"/>
      <c r="L662" s="434"/>
      <c r="M662" s="895"/>
      <c r="N662" s="11">
        <v>0</v>
      </c>
      <c r="O662" s="11">
        <v>0</v>
      </c>
      <c r="P662" s="11">
        <v>23163</v>
      </c>
      <c r="Q662" s="11">
        <v>0</v>
      </c>
      <c r="R662" s="773">
        <v>0</v>
      </c>
      <c r="S662" s="11">
        <v>23896</v>
      </c>
      <c r="T662" s="773">
        <v>0</v>
      </c>
      <c r="U662" s="2173">
        <v>0</v>
      </c>
      <c r="V662" s="2509">
        <v>23977</v>
      </c>
      <c r="W662" s="2509">
        <v>0</v>
      </c>
      <c r="X662" s="2509">
        <v>0</v>
      </c>
      <c r="Y662" s="2509">
        <v>23248</v>
      </c>
      <c r="Z662" s="11">
        <f>'[26]New TB INC'!Z607</f>
        <v>0</v>
      </c>
      <c r="AA662" s="11">
        <f>'[27]New TB INC'!AA616</f>
        <v>0</v>
      </c>
      <c r="AB662" s="11">
        <f>'[28]New TB INC'!AB622</f>
        <v>22414</v>
      </c>
      <c r="AC662" s="11">
        <f>'[29]New TB INC'!AC618</f>
        <v>0</v>
      </c>
      <c r="AD662" s="11">
        <f>'[30]New TB INC'!AD613</f>
        <v>0</v>
      </c>
      <c r="AE662" s="11">
        <f>'[31]New TB INC'!AE621</f>
        <v>21644</v>
      </c>
      <c r="AF662" s="11">
        <v>0</v>
      </c>
      <c r="AG662" s="11">
        <v>0</v>
      </c>
      <c r="AH662" s="11">
        <v>22306</v>
      </c>
      <c r="AI662" s="11">
        <v>0</v>
      </c>
      <c r="AJ662" s="11">
        <v>0</v>
      </c>
      <c r="AK662" s="11">
        <f>$J662-SUM($Z662:AJ662)</f>
        <v>21588</v>
      </c>
      <c r="AW662" s="2509"/>
      <c r="BH662" s="2509"/>
      <c r="BI662" s="772"/>
      <c r="BJ662" s="2173"/>
      <c r="BK662" s="2173"/>
      <c r="BL662" s="773"/>
      <c r="BN662" s="773"/>
      <c r="BO662" s="209"/>
      <c r="BP662" s="209"/>
      <c r="BQ662" s="209"/>
      <c r="BR662" s="209"/>
      <c r="BS662" s="209"/>
      <c r="BT662" s="209"/>
      <c r="BU662" s="209"/>
      <c r="BV662" s="209"/>
      <c r="BW662" s="209"/>
      <c r="BX662" s="209"/>
      <c r="DB662" s="773"/>
      <c r="DC662" s="773"/>
      <c r="DD662" s="773"/>
      <c r="DE662" s="773"/>
      <c r="DF662" s="773"/>
      <c r="DG662" s="773"/>
      <c r="DH662" s="773"/>
      <c r="DI662" s="773"/>
      <c r="DJ662" s="773"/>
      <c r="DK662" s="773"/>
      <c r="DL662" s="773"/>
      <c r="DM662" s="773"/>
      <c r="DN662" s="773"/>
      <c r="DO662" s="773"/>
      <c r="DP662" s="773"/>
      <c r="DQ662" s="773"/>
      <c r="DR662" s="773"/>
      <c r="DS662" s="773"/>
      <c r="DT662" s="773"/>
      <c r="DU662" s="773"/>
      <c r="DV662" s="773"/>
      <c r="DW662" s="773"/>
      <c r="DX662" s="773"/>
      <c r="DY662" s="773"/>
      <c r="DZ662" s="773"/>
      <c r="EA662" s="773"/>
      <c r="EB662" s="773"/>
      <c r="EC662" s="773"/>
      <c r="ED662" s="773"/>
      <c r="EE662" s="773"/>
      <c r="EF662" s="773"/>
      <c r="EG662" s="773"/>
      <c r="EH662" s="773"/>
      <c r="EI662" s="773"/>
      <c r="EJ662" s="773"/>
      <c r="EK662" s="773"/>
      <c r="EL662" s="773"/>
      <c r="EM662" s="773"/>
      <c r="EN662" s="773"/>
      <c r="EO662" s="773"/>
      <c r="EP662" s="773"/>
      <c r="EQ662" s="773"/>
      <c r="ER662" s="773"/>
      <c r="ES662" s="773"/>
      <c r="ET662" s="773"/>
      <c r="EU662" s="773"/>
      <c r="EV662" s="773"/>
      <c r="EW662" s="773"/>
      <c r="EX662" s="773"/>
      <c r="EY662" s="773"/>
      <c r="EZ662" s="773"/>
      <c r="FA662" s="773"/>
      <c r="FB662" s="773"/>
      <c r="FC662" s="773"/>
      <c r="FD662" s="773"/>
      <c r="FE662" s="773"/>
      <c r="FF662" s="773"/>
      <c r="FG662" s="773"/>
      <c r="FH662" s="773"/>
      <c r="FI662" s="773"/>
      <c r="FJ662" s="773"/>
      <c r="FK662" s="773"/>
      <c r="FL662" s="773"/>
      <c r="FM662" s="773"/>
      <c r="FN662" s="773"/>
      <c r="FO662" s="773"/>
      <c r="FP662" s="773"/>
      <c r="FQ662" s="773"/>
      <c r="FR662" s="773"/>
      <c r="FS662" s="773"/>
      <c r="FT662" s="773"/>
      <c r="FU662" s="773"/>
      <c r="FV662" s="773"/>
      <c r="FW662" s="773"/>
      <c r="FX662" s="773"/>
      <c r="FY662" s="773"/>
      <c r="FZ662" s="773"/>
      <c r="GA662" s="773"/>
      <c r="GB662" s="773"/>
      <c r="GC662" s="773"/>
      <c r="GD662" s="773"/>
      <c r="GE662" s="773"/>
      <c r="GF662" s="773"/>
      <c r="GG662" s="773"/>
      <c r="GH662" s="773"/>
      <c r="GI662" s="773"/>
      <c r="GJ662" s="773"/>
      <c r="GK662" s="773"/>
      <c r="GL662" s="773"/>
      <c r="GM662" s="773"/>
      <c r="GN662" s="773"/>
      <c r="GO662" s="773"/>
      <c r="GP662" s="773"/>
      <c r="GQ662" s="773"/>
      <c r="GR662" s="773"/>
      <c r="GS662" s="773"/>
      <c r="GT662" s="773"/>
      <c r="GU662" s="773"/>
      <c r="GV662" s="773"/>
      <c r="GW662" s="773"/>
      <c r="GX662" s="773"/>
      <c r="GY662" s="773"/>
      <c r="GZ662" s="773"/>
    </row>
    <row r="663" spans="1:208" s="11" customFormat="1">
      <c r="A663" s="774"/>
      <c r="B663" s="3763"/>
      <c r="C663" s="767"/>
      <c r="D663" s="948" t="s">
        <v>92</v>
      </c>
      <c r="E663" s="769"/>
      <c r="F663" s="769"/>
      <c r="G663" s="769"/>
      <c r="H663" s="769"/>
      <c r="I663" s="769"/>
      <c r="J663" s="796"/>
      <c r="K663" s="209"/>
      <c r="L663" s="434"/>
      <c r="M663" s="810"/>
      <c r="N663" s="11">
        <v>0</v>
      </c>
      <c r="O663" s="11">
        <v>0</v>
      </c>
      <c r="P663" s="11">
        <v>0</v>
      </c>
      <c r="Q663" s="11">
        <v>0</v>
      </c>
      <c r="R663" s="773">
        <v>0</v>
      </c>
      <c r="S663" s="11">
        <v>0</v>
      </c>
      <c r="T663" s="773">
        <v>0</v>
      </c>
      <c r="U663" s="2173">
        <v>0</v>
      </c>
      <c r="V663" s="2509">
        <v>0</v>
      </c>
      <c r="W663" s="2509">
        <v>0</v>
      </c>
      <c r="X663" s="2509">
        <v>0</v>
      </c>
      <c r="Y663" s="2509">
        <v>0</v>
      </c>
      <c r="Z663" s="11">
        <f>'[26]New TB INC'!Z608</f>
        <v>0</v>
      </c>
      <c r="AA663" s="11">
        <f>'[27]New TB INC'!AA617</f>
        <v>0</v>
      </c>
      <c r="AB663" s="11">
        <f>'[28]New TB INC'!AB623</f>
        <v>0</v>
      </c>
      <c r="AC663" s="11">
        <f>'[29]New TB INC'!AC619</f>
        <v>0</v>
      </c>
      <c r="AD663" s="11">
        <f>'[30]New TB INC'!AD614</f>
        <v>0</v>
      </c>
      <c r="AE663" s="11">
        <f>'[31]New TB INC'!AE622</f>
        <v>0</v>
      </c>
      <c r="AF663" s="11">
        <v>0</v>
      </c>
      <c r="AG663" s="11">
        <v>0</v>
      </c>
      <c r="AH663" s="11">
        <v>0</v>
      </c>
      <c r="AI663" s="11">
        <v>0</v>
      </c>
      <c r="AJ663" s="11">
        <v>0</v>
      </c>
      <c r="AK663" s="11">
        <f>$J663-SUM($Z663:AJ663)</f>
        <v>0</v>
      </c>
      <c r="AW663" s="2509"/>
      <c r="BH663" s="2509"/>
      <c r="BI663" s="772"/>
      <c r="BJ663" s="2173"/>
      <c r="BK663" s="2173"/>
      <c r="BL663" s="773"/>
      <c r="BN663" s="773"/>
      <c r="BO663" s="209"/>
      <c r="BP663" s="209"/>
      <c r="BQ663" s="209"/>
      <c r="BR663" s="209"/>
      <c r="BS663" s="209"/>
      <c r="BT663" s="209"/>
      <c r="BU663" s="209"/>
      <c r="BV663" s="209"/>
      <c r="BW663" s="209"/>
      <c r="BX663" s="209"/>
      <c r="DB663" s="773"/>
      <c r="DC663" s="773"/>
      <c r="DD663" s="773"/>
      <c r="DE663" s="773"/>
      <c r="DF663" s="773"/>
      <c r="DG663" s="773"/>
      <c r="DH663" s="773"/>
      <c r="DI663" s="773"/>
      <c r="DJ663" s="773"/>
      <c r="DK663" s="773"/>
      <c r="DL663" s="773"/>
      <c r="DM663" s="773"/>
      <c r="DN663" s="773"/>
      <c r="DO663" s="773"/>
      <c r="DP663" s="773"/>
      <c r="DQ663" s="773"/>
      <c r="DR663" s="773"/>
      <c r="DS663" s="773"/>
      <c r="DT663" s="773"/>
      <c r="DU663" s="773"/>
      <c r="DV663" s="773"/>
      <c r="DW663" s="773"/>
      <c r="DX663" s="773"/>
      <c r="DY663" s="773"/>
      <c r="DZ663" s="773"/>
      <c r="EA663" s="773"/>
      <c r="EB663" s="773"/>
      <c r="EC663" s="773"/>
      <c r="ED663" s="773"/>
      <c r="EE663" s="773"/>
      <c r="EF663" s="773"/>
      <c r="EG663" s="773"/>
      <c r="EH663" s="773"/>
      <c r="EI663" s="773"/>
      <c r="EJ663" s="773"/>
      <c r="EK663" s="773"/>
      <c r="EL663" s="773"/>
      <c r="EM663" s="773"/>
      <c r="EN663" s="773"/>
      <c r="EO663" s="773"/>
      <c r="EP663" s="773"/>
      <c r="EQ663" s="773"/>
      <c r="ER663" s="773"/>
      <c r="ES663" s="773"/>
      <c r="ET663" s="773"/>
      <c r="EU663" s="773"/>
      <c r="EV663" s="773"/>
      <c r="EW663" s="773"/>
      <c r="EX663" s="773"/>
      <c r="EY663" s="773"/>
      <c r="EZ663" s="773"/>
      <c r="FA663" s="773"/>
      <c r="FB663" s="773"/>
      <c r="FC663" s="773"/>
      <c r="FD663" s="773"/>
      <c r="FE663" s="773"/>
      <c r="FF663" s="773"/>
      <c r="FG663" s="773"/>
      <c r="FH663" s="773"/>
      <c r="FI663" s="773"/>
      <c r="FJ663" s="773"/>
      <c r="FK663" s="773"/>
      <c r="FL663" s="773"/>
      <c r="FM663" s="773"/>
      <c r="FN663" s="773"/>
      <c r="FO663" s="773"/>
      <c r="FP663" s="773"/>
      <c r="FQ663" s="773"/>
      <c r="FR663" s="773"/>
      <c r="FS663" s="773"/>
      <c r="FT663" s="773"/>
      <c r="FU663" s="773"/>
      <c r="FV663" s="773"/>
      <c r="FW663" s="773"/>
      <c r="FX663" s="773"/>
      <c r="FY663" s="773"/>
      <c r="FZ663" s="773"/>
      <c r="GA663" s="773"/>
      <c r="GB663" s="773"/>
      <c r="GC663" s="773"/>
      <c r="GD663" s="773"/>
      <c r="GE663" s="773"/>
      <c r="GF663" s="773"/>
      <c r="GG663" s="773"/>
      <c r="GH663" s="773"/>
      <c r="GI663" s="773"/>
      <c r="GJ663" s="773"/>
      <c r="GK663" s="773"/>
      <c r="GL663" s="773"/>
      <c r="GM663" s="773"/>
      <c r="GN663" s="773"/>
      <c r="GO663" s="773"/>
      <c r="GP663" s="773"/>
      <c r="GQ663" s="773"/>
      <c r="GR663" s="773"/>
      <c r="GS663" s="773"/>
      <c r="GT663" s="773"/>
      <c r="GU663" s="773"/>
      <c r="GV663" s="773"/>
      <c r="GW663" s="773"/>
      <c r="GX663" s="773"/>
      <c r="GY663" s="773"/>
      <c r="GZ663" s="773"/>
    </row>
    <row r="664" spans="1:208" s="11" customFormat="1">
      <c r="A664" s="774"/>
      <c r="B664" s="3763"/>
      <c r="C664" s="767"/>
      <c r="D664" s="173"/>
      <c r="E664" s="769"/>
      <c r="F664" s="769"/>
      <c r="G664" s="769"/>
      <c r="H664" s="769"/>
      <c r="I664" s="769"/>
      <c r="J664" s="769"/>
      <c r="K664" s="773"/>
      <c r="L664" s="770"/>
      <c r="M664" s="825"/>
      <c r="N664" s="11">
        <v>0</v>
      </c>
      <c r="O664" s="11">
        <v>0</v>
      </c>
      <c r="P664" s="11">
        <v>0</v>
      </c>
      <c r="Q664" s="11">
        <v>0</v>
      </c>
      <c r="R664" s="773">
        <v>0</v>
      </c>
      <c r="S664" s="11">
        <v>0</v>
      </c>
      <c r="T664" s="773">
        <v>0</v>
      </c>
      <c r="U664" s="2173">
        <v>0</v>
      </c>
      <c r="V664" s="2509">
        <v>0</v>
      </c>
      <c r="W664" s="2509">
        <v>0</v>
      </c>
      <c r="X664" s="2509">
        <v>0</v>
      </c>
      <c r="Y664" s="2509">
        <v>0</v>
      </c>
      <c r="Z664" s="11">
        <f>'[26]New TB INC'!Z609</f>
        <v>0</v>
      </c>
      <c r="AA664" s="11">
        <f>'[27]New TB INC'!AA618</f>
        <v>0</v>
      </c>
      <c r="AB664" s="11">
        <f>'[28]New TB INC'!AB624</f>
        <v>0</v>
      </c>
      <c r="AC664" s="11">
        <f>'[29]New TB INC'!AC620</f>
        <v>0</v>
      </c>
      <c r="AD664" s="11">
        <f>'[30]New TB INC'!AD615</f>
        <v>0</v>
      </c>
      <c r="AE664" s="11">
        <f>'[31]New TB INC'!AE623</f>
        <v>0</v>
      </c>
      <c r="AF664" s="11">
        <v>0</v>
      </c>
      <c r="AG664" s="11">
        <v>0</v>
      </c>
      <c r="AH664" s="11">
        <v>0</v>
      </c>
      <c r="AI664" s="11">
        <v>0</v>
      </c>
      <c r="AJ664" s="11">
        <v>0</v>
      </c>
      <c r="AK664" s="11">
        <f>$J664-SUM($Z664:AJ664)</f>
        <v>0</v>
      </c>
      <c r="AW664" s="2509"/>
      <c r="BH664" s="2509"/>
      <c r="BI664" s="772"/>
      <c r="BJ664" s="2173"/>
      <c r="BK664" s="2173"/>
      <c r="BL664" s="773"/>
      <c r="BN664" s="773"/>
      <c r="BO664" s="209"/>
      <c r="BP664" s="209"/>
      <c r="BQ664" s="209"/>
      <c r="BR664" s="209"/>
      <c r="BS664" s="209"/>
      <c r="BT664" s="209"/>
      <c r="DB664" s="773"/>
      <c r="DC664" s="773"/>
      <c r="DD664" s="773"/>
      <c r="DE664" s="773"/>
      <c r="DF664" s="773"/>
      <c r="DG664" s="773"/>
      <c r="DH664" s="773"/>
      <c r="DI664" s="773"/>
      <c r="DJ664" s="773"/>
      <c r="DK664" s="773"/>
      <c r="DL664" s="773"/>
      <c r="DM664" s="773"/>
      <c r="DN664" s="773"/>
      <c r="DO664" s="773"/>
      <c r="DP664" s="773"/>
      <c r="DQ664" s="773"/>
      <c r="DR664" s="773"/>
      <c r="DS664" s="773"/>
      <c r="DT664" s="773"/>
      <c r="DU664" s="773"/>
      <c r="DV664" s="773"/>
      <c r="DW664" s="773"/>
      <c r="DX664" s="773"/>
      <c r="DY664" s="773"/>
      <c r="DZ664" s="773"/>
      <c r="EA664" s="773"/>
      <c r="EB664" s="773"/>
      <c r="EC664" s="773"/>
      <c r="ED664" s="773"/>
      <c r="EE664" s="773"/>
      <c r="EF664" s="773"/>
      <c r="EG664" s="773"/>
      <c r="EH664" s="773"/>
      <c r="EI664" s="773"/>
      <c r="EJ664" s="773"/>
      <c r="EK664" s="773"/>
      <c r="EL664" s="773"/>
      <c r="EM664" s="773"/>
      <c r="EN664" s="773"/>
      <c r="EO664" s="773"/>
      <c r="EP664" s="773"/>
      <c r="EQ664" s="773"/>
      <c r="ER664" s="773"/>
      <c r="ES664" s="773"/>
      <c r="ET664" s="773"/>
      <c r="EU664" s="773"/>
      <c r="EV664" s="773"/>
      <c r="EW664" s="773"/>
      <c r="EX664" s="773"/>
      <c r="EY664" s="773"/>
      <c r="EZ664" s="773"/>
      <c r="FA664" s="773"/>
      <c r="FB664" s="773"/>
      <c r="FC664" s="773"/>
      <c r="FD664" s="773"/>
      <c r="FE664" s="773"/>
      <c r="FF664" s="773"/>
      <c r="FG664" s="773"/>
      <c r="FH664" s="773"/>
      <c r="FI664" s="773"/>
      <c r="FJ664" s="773"/>
      <c r="FK664" s="773"/>
      <c r="FL664" s="773"/>
      <c r="FM664" s="773"/>
      <c r="FN664" s="773"/>
      <c r="FO664" s="773"/>
      <c r="FP664" s="773"/>
      <c r="FQ664" s="773"/>
      <c r="FR664" s="773"/>
      <c r="FS664" s="773"/>
      <c r="FT664" s="773"/>
      <c r="FU664" s="773"/>
      <c r="FV664" s="773"/>
      <c r="FW664" s="773"/>
      <c r="FX664" s="773"/>
      <c r="FY664" s="773"/>
      <c r="FZ664" s="773"/>
      <c r="GA664" s="773"/>
      <c r="GB664" s="773"/>
      <c r="GC664" s="773"/>
      <c r="GD664" s="773"/>
      <c r="GE664" s="773"/>
      <c r="GF664" s="773"/>
      <c r="GG664" s="773"/>
      <c r="GH664" s="773"/>
      <c r="GI664" s="773"/>
      <c r="GJ664" s="773"/>
      <c r="GK664" s="773"/>
      <c r="GL664" s="773"/>
      <c r="GM664" s="773"/>
      <c r="GN664" s="773"/>
      <c r="GO664" s="773"/>
      <c r="GP664" s="773"/>
      <c r="GQ664" s="773"/>
      <c r="GR664" s="773"/>
      <c r="GS664" s="773"/>
      <c r="GT664" s="773"/>
      <c r="GU664" s="773"/>
      <c r="GV664" s="773"/>
      <c r="GW664" s="773"/>
      <c r="GX664" s="773"/>
      <c r="GY664" s="773"/>
      <c r="GZ664" s="773"/>
    </row>
    <row r="665" spans="1:208" s="11" customFormat="1">
      <c r="A665" s="774"/>
      <c r="B665" s="3761" t="s">
        <v>764</v>
      </c>
      <c r="C665" s="197">
        <v>8410029</v>
      </c>
      <c r="D665" s="199" t="s">
        <v>483</v>
      </c>
      <c r="E665" s="798">
        <f>IFERROR(VLOOKUP(C665,'AJE 12 - INC'!$D$168:$F$771,3,0),0)</f>
        <v>38957.86</v>
      </c>
      <c r="F665" s="108">
        <f>SUMIF('AJE 12 - INC'!B:B,'New TB INC'!C665,'AJE 12 - INC'!D:D)</f>
        <v>0</v>
      </c>
      <c r="G665" s="769"/>
      <c r="H665" s="769"/>
      <c r="I665" s="769"/>
      <c r="J665" s="798">
        <f>SUM(E665:I665)</f>
        <v>38957.86</v>
      </c>
      <c r="K665" s="209"/>
      <c r="L665" s="434"/>
      <c r="M665" s="854"/>
      <c r="N665" s="893">
        <v>2727.47</v>
      </c>
      <c r="O665" s="893">
        <v>2743.1600000000003</v>
      </c>
      <c r="P665" s="893">
        <v>6977.4700000000012</v>
      </c>
      <c r="Q665" s="893">
        <v>2727.4699999999993</v>
      </c>
      <c r="R665" s="893">
        <v>144.47000000000116</v>
      </c>
      <c r="S665" s="11">
        <v>2560.4699999999975</v>
      </c>
      <c r="T665" s="773">
        <v>2560.4699999999993</v>
      </c>
      <c r="U665" s="2173">
        <v>3810.4699999999975</v>
      </c>
      <c r="V665" s="2509">
        <v>2560.4699999999975</v>
      </c>
      <c r="W665" s="2509">
        <v>3810.4700000000012</v>
      </c>
      <c r="X665" s="2509">
        <v>18560.47</v>
      </c>
      <c r="Y665" s="2509">
        <v>2477.4700000000012</v>
      </c>
      <c r="Z665" s="11">
        <f>'[26]New TB INC'!Z610</f>
        <v>2697.47</v>
      </c>
      <c r="AA665" s="11">
        <f>'[27]New TB INC'!AA619</f>
        <v>5121.0599999999995</v>
      </c>
      <c r="AB665" s="11">
        <f>'[28]New TB INC'!AB625</f>
        <v>3732.9000000000015</v>
      </c>
      <c r="AC665" s="11">
        <f>'[29]New TB INC'!AC621</f>
        <v>3732.8999999999996</v>
      </c>
      <c r="AD665" s="11">
        <f>'[30]New TB INC'!AD616</f>
        <v>2482.8999999999996</v>
      </c>
      <c r="AE665" s="11">
        <f>'[31]New TB INC'!AE624</f>
        <v>2482.9000000000015</v>
      </c>
      <c r="AF665" s="11">
        <v>3732.8999999999978</v>
      </c>
      <c r="AG665" s="11">
        <v>2482.9000000000015</v>
      </c>
      <c r="AH665" s="11">
        <v>3357.9000000000015</v>
      </c>
      <c r="AI665" s="11">
        <v>2482.8999999999978</v>
      </c>
      <c r="AJ665" s="11">
        <v>1168.2299999999996</v>
      </c>
      <c r="AK665" s="11">
        <f>$J665-SUM($Z665:AJ665)</f>
        <v>5482.9000000000015</v>
      </c>
      <c r="AW665" s="2509"/>
      <c r="BH665" s="2509"/>
      <c r="BI665" s="772"/>
      <c r="BJ665" s="2173"/>
      <c r="BK665" s="2173"/>
      <c r="BL665" s="773"/>
      <c r="BN665" s="773"/>
      <c r="BO665" s="209"/>
      <c r="BQ665" s="859"/>
      <c r="BR665" s="859"/>
      <c r="CI665" s="4"/>
      <c r="CJ665" s="4"/>
      <c r="DB665" s="773"/>
      <c r="DC665" s="773"/>
      <c r="DD665" s="773"/>
      <c r="DE665" s="773"/>
      <c r="DF665" s="773"/>
      <c r="DG665" s="773"/>
      <c r="DH665" s="773"/>
      <c r="DI665" s="773"/>
      <c r="DJ665" s="773"/>
      <c r="DK665" s="773"/>
      <c r="DL665" s="773"/>
      <c r="DM665" s="773"/>
      <c r="DN665" s="773"/>
      <c r="DO665" s="773"/>
      <c r="DP665" s="773"/>
      <c r="DQ665" s="773"/>
      <c r="DR665" s="773"/>
      <c r="DS665" s="773"/>
      <c r="DT665" s="773"/>
      <c r="DU665" s="773"/>
      <c r="DV665" s="773"/>
      <c r="DW665" s="773"/>
      <c r="DX665" s="773"/>
      <c r="DY665" s="773"/>
      <c r="DZ665" s="773"/>
      <c r="EA665" s="773"/>
      <c r="EB665" s="773"/>
      <c r="EC665" s="773"/>
      <c r="ED665" s="773"/>
      <c r="EE665" s="773"/>
      <c r="EF665" s="773"/>
      <c r="EG665" s="773"/>
      <c r="EH665" s="773"/>
      <c r="EI665" s="773"/>
      <c r="EJ665" s="773"/>
      <c r="EK665" s="773"/>
      <c r="EL665" s="773"/>
      <c r="EM665" s="773"/>
      <c r="EN665" s="773"/>
      <c r="EO665" s="773"/>
      <c r="EP665" s="773"/>
      <c r="EQ665" s="773"/>
      <c r="ER665" s="773"/>
      <c r="ES665" s="773"/>
      <c r="ET665" s="773"/>
      <c r="EU665" s="773"/>
      <c r="EV665" s="773"/>
      <c r="EW665" s="773"/>
      <c r="EX665" s="773"/>
      <c r="EY665" s="773"/>
      <c r="EZ665" s="773"/>
      <c r="FA665" s="773"/>
      <c r="FB665" s="773"/>
      <c r="FC665" s="773"/>
      <c r="FD665" s="773"/>
      <c r="FE665" s="773"/>
      <c r="FF665" s="773"/>
      <c r="FG665" s="773"/>
      <c r="FH665" s="773"/>
      <c r="FI665" s="773"/>
      <c r="FJ665" s="773"/>
      <c r="FK665" s="773"/>
      <c r="FL665" s="773"/>
      <c r="FM665" s="773"/>
      <c r="FN665" s="773"/>
      <c r="FO665" s="773"/>
      <c r="FP665" s="773"/>
      <c r="FQ665" s="773"/>
      <c r="FR665" s="773"/>
      <c r="FS665" s="773"/>
      <c r="FT665" s="773"/>
      <c r="FU665" s="773"/>
      <c r="FV665" s="773"/>
      <c r="FW665" s="773"/>
      <c r="FX665" s="773"/>
      <c r="FY665" s="773"/>
      <c r="FZ665" s="773"/>
      <c r="GA665" s="773"/>
      <c r="GB665" s="773"/>
      <c r="GC665" s="773"/>
      <c r="GD665" s="773"/>
      <c r="GE665" s="773"/>
      <c r="GF665" s="773"/>
      <c r="GG665" s="773"/>
      <c r="GH665" s="773"/>
      <c r="GI665" s="773"/>
      <c r="GJ665" s="773"/>
      <c r="GK665" s="773"/>
      <c r="GL665" s="773"/>
      <c r="GM665" s="773"/>
      <c r="GN665" s="773"/>
      <c r="GO665" s="773"/>
      <c r="GP665" s="773"/>
      <c r="GQ665" s="773"/>
      <c r="GR665" s="773"/>
      <c r="GS665" s="773"/>
      <c r="GT665" s="773"/>
      <c r="GU665" s="773"/>
      <c r="GV665" s="773"/>
      <c r="GW665" s="773"/>
      <c r="GX665" s="773"/>
      <c r="GY665" s="773"/>
      <c r="GZ665" s="773"/>
    </row>
    <row r="666" spans="1:208" s="11" customFormat="1">
      <c r="A666" s="774"/>
      <c r="B666" s="3761" t="s">
        <v>764</v>
      </c>
      <c r="C666" s="197">
        <v>8410068</v>
      </c>
      <c r="D666" s="199" t="s">
        <v>972</v>
      </c>
      <c r="E666" s="809"/>
      <c r="F666" s="108">
        <f>SUMIF('AJE 12 - INC'!B:B,'New TB INC'!C666,'AJE 12 - INC'!D:D)</f>
        <v>0</v>
      </c>
      <c r="G666" s="769"/>
      <c r="H666" s="769"/>
      <c r="I666" s="769"/>
      <c r="J666" s="798">
        <f>SUM(E666:I666)</f>
        <v>0</v>
      </c>
      <c r="K666" s="209"/>
      <c r="L666" s="434"/>
      <c r="M666" s="803"/>
      <c r="N666" s="11">
        <v>0</v>
      </c>
      <c r="O666" s="11">
        <v>0</v>
      </c>
      <c r="P666" s="11">
        <v>0</v>
      </c>
      <c r="Q666" s="11">
        <v>0</v>
      </c>
      <c r="R666" s="773">
        <v>0</v>
      </c>
      <c r="S666" s="11">
        <v>0</v>
      </c>
      <c r="T666" s="773">
        <v>0</v>
      </c>
      <c r="U666" s="2173">
        <v>0</v>
      </c>
      <c r="V666" s="2509">
        <v>0</v>
      </c>
      <c r="W666" s="2509">
        <v>0</v>
      </c>
      <c r="X666" s="2509">
        <v>0</v>
      </c>
      <c r="Y666" s="2509">
        <v>0</v>
      </c>
      <c r="Z666" s="11">
        <f>'[26]New TB INC'!Z611</f>
        <v>0</v>
      </c>
      <c r="AA666" s="11">
        <f>'[27]New TB INC'!AA620</f>
        <v>0</v>
      </c>
      <c r="AB666" s="11">
        <f>'[28]New TB INC'!AB626</f>
        <v>0</v>
      </c>
      <c r="AC666" s="11">
        <f>'[29]New TB INC'!AC622</f>
        <v>0</v>
      </c>
      <c r="AD666" s="11">
        <f>'[30]New TB INC'!AD617</f>
        <v>0</v>
      </c>
      <c r="AE666" s="11">
        <f>'[31]New TB INC'!AE625</f>
        <v>0</v>
      </c>
      <c r="AF666" s="11">
        <v>0</v>
      </c>
      <c r="AG666" s="11">
        <v>0</v>
      </c>
      <c r="AH666" s="11">
        <v>0</v>
      </c>
      <c r="AI666" s="11">
        <v>0</v>
      </c>
      <c r="AJ666" s="11">
        <v>0</v>
      </c>
      <c r="AK666" s="11">
        <f>$J666-SUM($Z666:AJ666)</f>
        <v>0</v>
      </c>
      <c r="AW666" s="2509"/>
      <c r="BH666" s="2509"/>
      <c r="BI666" s="772"/>
      <c r="BJ666" s="2173"/>
      <c r="BK666" s="2173"/>
      <c r="BL666" s="773"/>
      <c r="BN666" s="773"/>
      <c r="BO666" s="209"/>
      <c r="BS666" s="885"/>
      <c r="CI666" s="4"/>
      <c r="CJ666" s="4"/>
      <c r="DB666" s="773"/>
      <c r="DC666" s="773"/>
      <c r="DD666" s="773"/>
      <c r="DE666" s="773"/>
      <c r="DF666" s="773"/>
      <c r="DG666" s="773"/>
      <c r="DH666" s="773"/>
      <c r="DI666" s="773"/>
      <c r="DJ666" s="773"/>
      <c r="DK666" s="773"/>
      <c r="DL666" s="773"/>
      <c r="DM666" s="773"/>
      <c r="DN666" s="773"/>
      <c r="DO666" s="773"/>
      <c r="DP666" s="773"/>
      <c r="DQ666" s="773"/>
      <c r="DR666" s="773"/>
      <c r="DS666" s="773"/>
      <c r="DT666" s="773"/>
      <c r="DU666" s="773"/>
      <c r="DV666" s="773"/>
      <c r="DW666" s="773"/>
      <c r="DX666" s="773"/>
      <c r="DY666" s="773"/>
      <c r="DZ666" s="773"/>
      <c r="EA666" s="773"/>
      <c r="EB666" s="773"/>
      <c r="EC666" s="773"/>
      <c r="ED666" s="773"/>
      <c r="EE666" s="773"/>
      <c r="EF666" s="773"/>
      <c r="EG666" s="773"/>
      <c r="EH666" s="773"/>
      <c r="EI666" s="773"/>
      <c r="EJ666" s="773"/>
      <c r="EK666" s="773"/>
      <c r="EL666" s="773"/>
      <c r="EM666" s="773"/>
      <c r="EN666" s="773"/>
      <c r="EO666" s="773"/>
      <c r="EP666" s="773"/>
      <c r="EQ666" s="773"/>
      <c r="ER666" s="773"/>
      <c r="ES666" s="773"/>
      <c r="ET666" s="773"/>
      <c r="EU666" s="773"/>
      <c r="EV666" s="773"/>
      <c r="EW666" s="773"/>
      <c r="EX666" s="773"/>
      <c r="EY666" s="773"/>
      <c r="EZ666" s="773"/>
      <c r="FA666" s="773"/>
      <c r="FB666" s="773"/>
      <c r="FC666" s="773"/>
      <c r="FD666" s="773"/>
      <c r="FE666" s="773"/>
      <c r="FF666" s="773"/>
      <c r="FG666" s="773"/>
      <c r="FH666" s="773"/>
      <c r="FI666" s="773"/>
      <c r="FJ666" s="773"/>
      <c r="FK666" s="773"/>
      <c r="FL666" s="773"/>
      <c r="FM666" s="773"/>
      <c r="FN666" s="773"/>
      <c r="FO666" s="773"/>
      <c r="FP666" s="773"/>
      <c r="FQ666" s="773"/>
      <c r="FR666" s="773"/>
      <c r="FS666" s="773"/>
      <c r="FT666" s="773"/>
      <c r="FU666" s="773"/>
      <c r="FV666" s="773"/>
      <c r="FW666" s="773"/>
      <c r="FX666" s="773"/>
      <c r="FY666" s="773"/>
      <c r="FZ666" s="773"/>
      <c r="GA666" s="773"/>
      <c r="GB666" s="773"/>
      <c r="GC666" s="773"/>
      <c r="GD666" s="773"/>
      <c r="GE666" s="773"/>
      <c r="GF666" s="773"/>
      <c r="GG666" s="773"/>
      <c r="GH666" s="773"/>
      <c r="GI666" s="773"/>
      <c r="GJ666" s="773"/>
      <c r="GK666" s="773"/>
      <c r="GL666" s="773"/>
      <c r="GM666" s="773"/>
      <c r="GN666" s="773"/>
      <c r="GO666" s="773"/>
      <c r="GP666" s="773"/>
      <c r="GQ666" s="773"/>
      <c r="GR666" s="773"/>
      <c r="GS666" s="773"/>
      <c r="GT666" s="773"/>
      <c r="GU666" s="773"/>
      <c r="GV666" s="773"/>
      <c r="GW666" s="773"/>
      <c r="GX666" s="773"/>
      <c r="GY666" s="773"/>
      <c r="GZ666" s="773"/>
    </row>
    <row r="667" spans="1:208" s="11" customFormat="1">
      <c r="A667" s="774"/>
      <c r="B667" s="3761" t="s">
        <v>1351</v>
      </c>
      <c r="C667" s="197">
        <v>55009</v>
      </c>
      <c r="D667" s="199" t="s">
        <v>1414</v>
      </c>
      <c r="E667" s="809">
        <f>VLOOKUP(C667,'AJE 12 - INC'!$D$168:$F$871,3,0)</f>
        <v>206.08</v>
      </c>
      <c r="F667" s="108"/>
      <c r="G667" s="769"/>
      <c r="H667" s="769"/>
      <c r="I667" s="769"/>
      <c r="J667" s="798">
        <f>SUM(E667:I667)</f>
        <v>206.08</v>
      </c>
      <c r="K667" s="209"/>
      <c r="L667" s="434"/>
      <c r="M667" s="803"/>
      <c r="N667" s="11">
        <v>0</v>
      </c>
      <c r="O667" s="11">
        <v>35.840000000000003</v>
      </c>
      <c r="P667" s="11">
        <v>8.9599999999999937</v>
      </c>
      <c r="Q667" s="11">
        <v>17.920000000000002</v>
      </c>
      <c r="R667" s="773">
        <v>17.920000000000002</v>
      </c>
      <c r="S667" s="11">
        <v>17.920000000000002</v>
      </c>
      <c r="T667" s="773">
        <v>17.920000000000002</v>
      </c>
      <c r="U667" s="2173">
        <v>17.920000000000002</v>
      </c>
      <c r="V667" s="2509">
        <v>17.919999999999987</v>
      </c>
      <c r="W667" s="2509">
        <v>17.920000000000016</v>
      </c>
      <c r="X667" s="2509">
        <v>17.919999999999987</v>
      </c>
      <c r="Y667" s="2509">
        <v>26.879999999999995</v>
      </c>
      <c r="Z667" s="11">
        <f>'[26]New TB INC'!Z612</f>
        <v>8.9600000000000009</v>
      </c>
      <c r="AA667" s="11">
        <f>'[27]New TB INC'!AA621</f>
        <v>17.919999999999998</v>
      </c>
      <c r="AB667" s="11">
        <f>'[28]New TB INC'!AB627</f>
        <v>17.919999999999998</v>
      </c>
      <c r="AC667" s="11">
        <f>'[29]New TB INC'!AC623</f>
        <v>17.920000000000002</v>
      </c>
      <c r="AD667" s="11">
        <f>'[30]New TB INC'!AD618</f>
        <v>26.879999999999995</v>
      </c>
      <c r="AE667" s="11">
        <f>'[31]New TB INC'!AE626</f>
        <v>8.960000000000008</v>
      </c>
      <c r="AF667" s="11">
        <v>17.920000000000002</v>
      </c>
      <c r="AG667" s="11">
        <v>17.920000000000002</v>
      </c>
      <c r="AH667" s="11">
        <v>17.919999999999987</v>
      </c>
      <c r="AI667" s="11">
        <v>17.920000000000016</v>
      </c>
      <c r="AJ667" s="11">
        <v>17.919999999999987</v>
      </c>
      <c r="AK667" s="11">
        <f>$J667-SUM($Z667:AJ667)</f>
        <v>17.920000000000016</v>
      </c>
      <c r="AW667" s="2509"/>
      <c r="BH667" s="2509"/>
      <c r="BI667" s="772"/>
      <c r="BJ667" s="2173"/>
      <c r="BK667" s="2173"/>
      <c r="BL667" s="773"/>
      <c r="BN667" s="773"/>
      <c r="BO667" s="209"/>
      <c r="BQ667" s="209"/>
      <c r="BR667" s="859"/>
      <c r="BS667" s="885"/>
      <c r="CI667" s="4"/>
      <c r="CJ667" s="4"/>
      <c r="DB667" s="773"/>
      <c r="DC667" s="773"/>
      <c r="DD667" s="773"/>
      <c r="DE667" s="773"/>
      <c r="DF667" s="773"/>
      <c r="DG667" s="773"/>
      <c r="DH667" s="773"/>
      <c r="DI667" s="773"/>
      <c r="DJ667" s="773"/>
      <c r="DK667" s="773"/>
      <c r="DL667" s="773"/>
      <c r="DM667" s="773"/>
      <c r="DN667" s="773"/>
      <c r="DO667" s="773"/>
      <c r="DP667" s="773"/>
      <c r="DQ667" s="773"/>
      <c r="DR667" s="773"/>
      <c r="DS667" s="773"/>
      <c r="DT667" s="773"/>
      <c r="DU667" s="773"/>
      <c r="DV667" s="773"/>
      <c r="DW667" s="773"/>
      <c r="DX667" s="773"/>
      <c r="DY667" s="773"/>
      <c r="DZ667" s="773"/>
      <c r="EA667" s="773"/>
      <c r="EB667" s="773"/>
      <c r="EC667" s="773"/>
      <c r="ED667" s="773"/>
      <c r="EE667" s="773"/>
      <c r="EF667" s="773"/>
      <c r="EG667" s="773"/>
      <c r="EH667" s="773"/>
      <c r="EI667" s="773"/>
      <c r="EJ667" s="773"/>
      <c r="EK667" s="773"/>
      <c r="EL667" s="773"/>
      <c r="EM667" s="773"/>
      <c r="EN667" s="773"/>
      <c r="EO667" s="773"/>
      <c r="EP667" s="773"/>
      <c r="EQ667" s="773"/>
      <c r="ER667" s="773"/>
      <c r="ES667" s="773"/>
      <c r="ET667" s="773"/>
      <c r="EU667" s="773"/>
      <c r="EV667" s="773"/>
      <c r="EW667" s="773"/>
      <c r="EX667" s="773"/>
      <c r="EY667" s="773"/>
      <c r="EZ667" s="773"/>
      <c r="FA667" s="773"/>
      <c r="FB667" s="773"/>
      <c r="FC667" s="773"/>
      <c r="FD667" s="773"/>
      <c r="FE667" s="773"/>
      <c r="FF667" s="773"/>
      <c r="FG667" s="773"/>
      <c r="FH667" s="773"/>
      <c r="FI667" s="773"/>
      <c r="FJ667" s="773"/>
      <c r="FK667" s="773"/>
      <c r="FL667" s="773"/>
      <c r="FM667" s="773"/>
      <c r="FN667" s="773"/>
      <c r="FO667" s="773"/>
      <c r="FP667" s="773"/>
      <c r="FQ667" s="773"/>
      <c r="FR667" s="773"/>
      <c r="FS667" s="773"/>
      <c r="FT667" s="773"/>
      <c r="FU667" s="773"/>
      <c r="FV667" s="773"/>
      <c r="FW667" s="773"/>
      <c r="FX667" s="773"/>
      <c r="FY667" s="773"/>
      <c r="FZ667" s="773"/>
      <c r="GA667" s="773"/>
      <c r="GB667" s="773"/>
      <c r="GC667" s="773"/>
      <c r="GD667" s="773"/>
      <c r="GE667" s="773"/>
      <c r="GF667" s="773"/>
      <c r="GG667" s="773"/>
      <c r="GH667" s="773"/>
      <c r="GI667" s="773"/>
      <c r="GJ667" s="773"/>
      <c r="GK667" s="773"/>
      <c r="GL667" s="773"/>
      <c r="GM667" s="773"/>
      <c r="GN667" s="773"/>
      <c r="GO667" s="773"/>
      <c r="GP667" s="773"/>
      <c r="GQ667" s="773"/>
      <c r="GR667" s="773"/>
      <c r="GS667" s="773"/>
      <c r="GT667" s="773"/>
      <c r="GU667" s="773"/>
      <c r="GV667" s="773"/>
      <c r="GW667" s="773"/>
      <c r="GX667" s="773"/>
      <c r="GY667" s="773"/>
      <c r="GZ667" s="773"/>
    </row>
    <row r="668" spans="1:208" s="11" customFormat="1">
      <c r="A668" s="774"/>
      <c r="B668" s="3762" t="s">
        <v>764</v>
      </c>
      <c r="C668" s="197">
        <v>8410069</v>
      </c>
      <c r="D668" s="199" t="s">
        <v>765</v>
      </c>
      <c r="E668" s="809"/>
      <c r="F668" s="108">
        <f>SUMIF('AJE 12 - INC'!B:B,'New TB INC'!C668,'AJE 12 - INC'!D:D)</f>
        <v>0</v>
      </c>
      <c r="G668" s="769"/>
      <c r="H668" s="769"/>
      <c r="I668" s="769"/>
      <c r="J668" s="798">
        <f>SUM(E668:I668)</f>
        <v>0</v>
      </c>
      <c r="K668" s="209"/>
      <c r="L668" s="434"/>
      <c r="M668" s="883"/>
      <c r="N668" s="11">
        <v>0</v>
      </c>
      <c r="O668" s="11">
        <v>0</v>
      </c>
      <c r="P668" s="11">
        <v>0</v>
      </c>
      <c r="Q668" s="11">
        <v>0</v>
      </c>
      <c r="R668" s="773">
        <v>0</v>
      </c>
      <c r="S668" s="11">
        <v>0</v>
      </c>
      <c r="T668" s="773">
        <v>0</v>
      </c>
      <c r="U668" s="2173">
        <v>0</v>
      </c>
      <c r="V668" s="2509">
        <v>0</v>
      </c>
      <c r="W668" s="2509">
        <v>0</v>
      </c>
      <c r="X668" s="2509">
        <v>0</v>
      </c>
      <c r="Y668" s="2509">
        <v>0</v>
      </c>
      <c r="Z668" s="11">
        <f>'[26]New TB INC'!Z613</f>
        <v>0</v>
      </c>
      <c r="AA668" s="11">
        <f>'[27]New TB INC'!AA622</f>
        <v>0</v>
      </c>
      <c r="AB668" s="11">
        <f>'[28]New TB INC'!AB628</f>
        <v>0</v>
      </c>
      <c r="AC668" s="11">
        <f>'[29]New TB INC'!AC624</f>
        <v>0</v>
      </c>
      <c r="AD668" s="11">
        <f>'[30]New TB INC'!AD619</f>
        <v>0</v>
      </c>
      <c r="AE668" s="11">
        <f>'[31]New TB INC'!AE627</f>
        <v>0</v>
      </c>
      <c r="AF668" s="11">
        <v>0</v>
      </c>
      <c r="AG668" s="11">
        <v>0</v>
      </c>
      <c r="AH668" s="11">
        <v>0</v>
      </c>
      <c r="AI668" s="11">
        <v>0</v>
      </c>
      <c r="AJ668" s="11">
        <v>0</v>
      </c>
      <c r="AK668" s="11">
        <f>$J668-SUM($Z668:AJ668)</f>
        <v>0</v>
      </c>
      <c r="AW668" s="2509"/>
      <c r="BH668" s="2509"/>
      <c r="BI668" s="772"/>
      <c r="BJ668" s="2173"/>
      <c r="BK668" s="2173"/>
      <c r="BL668" s="773"/>
      <c r="BN668" s="773"/>
      <c r="BO668" s="209"/>
      <c r="BQ668" s="209"/>
      <c r="BR668" s="859"/>
      <c r="BS668" s="885"/>
      <c r="CI668" s="4"/>
      <c r="CJ668" s="4"/>
      <c r="DB668" s="773"/>
      <c r="DC668" s="773"/>
      <c r="DD668" s="773"/>
      <c r="DE668" s="773"/>
      <c r="DF668" s="773"/>
      <c r="DG668" s="773"/>
      <c r="DH668" s="773"/>
      <c r="DI668" s="773"/>
      <c r="DJ668" s="773"/>
      <c r="DK668" s="773"/>
      <c r="DL668" s="773"/>
      <c r="DM668" s="773"/>
      <c r="DN668" s="773"/>
      <c r="DO668" s="773"/>
      <c r="DP668" s="773"/>
      <c r="DQ668" s="773"/>
      <c r="DR668" s="773"/>
      <c r="DS668" s="773"/>
      <c r="DT668" s="773"/>
      <c r="DU668" s="773"/>
      <c r="DV668" s="773"/>
      <c r="DW668" s="773"/>
      <c r="DX668" s="773"/>
      <c r="DY668" s="773"/>
      <c r="DZ668" s="773"/>
      <c r="EA668" s="773"/>
      <c r="EB668" s="773"/>
      <c r="EC668" s="773"/>
      <c r="ED668" s="773"/>
      <c r="EE668" s="773"/>
      <c r="EF668" s="773"/>
      <c r="EG668" s="773"/>
      <c r="EH668" s="773"/>
      <c r="EI668" s="773"/>
      <c r="EJ668" s="773"/>
      <c r="EK668" s="773"/>
      <c r="EL668" s="773"/>
      <c r="EM668" s="773"/>
      <c r="EN668" s="773"/>
      <c r="EO668" s="773"/>
      <c r="EP668" s="773"/>
      <c r="EQ668" s="773"/>
      <c r="ER668" s="773"/>
      <c r="ES668" s="773"/>
      <c r="ET668" s="773"/>
      <c r="EU668" s="773"/>
      <c r="EV668" s="773"/>
      <c r="EW668" s="773"/>
      <c r="EX668" s="773"/>
      <c r="EY668" s="773"/>
      <c r="EZ668" s="773"/>
      <c r="FA668" s="773"/>
      <c r="FB668" s="773"/>
      <c r="FC668" s="773"/>
      <c r="FD668" s="773"/>
      <c r="FE668" s="773"/>
      <c r="FF668" s="773"/>
      <c r="FG668" s="773"/>
      <c r="FH668" s="773"/>
      <c r="FI668" s="773"/>
      <c r="FJ668" s="773"/>
      <c r="FK668" s="773"/>
      <c r="FL668" s="773"/>
      <c r="FM668" s="773"/>
      <c r="FN668" s="773"/>
      <c r="FO668" s="773"/>
      <c r="FP668" s="773"/>
      <c r="FQ668" s="773"/>
      <c r="FR668" s="773"/>
      <c r="FS668" s="773"/>
      <c r="FT668" s="773"/>
      <c r="FU668" s="773"/>
      <c r="FV668" s="773"/>
      <c r="FW668" s="773"/>
      <c r="FX668" s="773"/>
      <c r="FY668" s="773"/>
      <c r="FZ668" s="773"/>
      <c r="GA668" s="773"/>
      <c r="GB668" s="773"/>
      <c r="GC668" s="773"/>
      <c r="GD668" s="773"/>
      <c r="GE668" s="773"/>
      <c r="GF668" s="773"/>
      <c r="GG668" s="773"/>
      <c r="GH668" s="773"/>
      <c r="GI668" s="773"/>
      <c r="GJ668" s="773"/>
      <c r="GK668" s="773"/>
      <c r="GL668" s="773"/>
      <c r="GM668" s="773"/>
      <c r="GN668" s="773"/>
      <c r="GO668" s="773"/>
      <c r="GP668" s="773"/>
      <c r="GQ668" s="773"/>
      <c r="GR668" s="773"/>
      <c r="GS668" s="773"/>
      <c r="GT668" s="773"/>
      <c r="GU668" s="773"/>
      <c r="GV668" s="773"/>
      <c r="GW668" s="773"/>
      <c r="GX668" s="773"/>
      <c r="GY668" s="773"/>
      <c r="GZ668" s="773"/>
    </row>
    <row r="669" spans="1:208" s="11" customFormat="1">
      <c r="A669" s="774"/>
      <c r="B669" s="3761" t="s">
        <v>764</v>
      </c>
      <c r="C669" s="197">
        <v>8410070</v>
      </c>
      <c r="D669" s="199" t="s">
        <v>482</v>
      </c>
      <c r="E669" s="798">
        <f>IFERROR(VLOOKUP(C669,'AJE 12 - INC'!$D$168:$F$771,3,0),0)</f>
        <v>1365.5</v>
      </c>
      <c r="F669" s="108">
        <f>SUMIF('AJE 12 - INC'!B:B,'New TB INC'!C669,'AJE 12 - INC'!D:D)</f>
        <v>0</v>
      </c>
      <c r="G669" s="769"/>
      <c r="H669" s="769"/>
      <c r="I669" s="769"/>
      <c r="J669" s="798">
        <f>SUM(E669:I669)</f>
        <v>1365.5</v>
      </c>
      <c r="K669" s="209"/>
      <c r="L669" s="434"/>
      <c r="M669" s="854"/>
      <c r="N669" s="11">
        <v>150</v>
      </c>
      <c r="O669" s="11">
        <v>187.5</v>
      </c>
      <c r="P669" s="887">
        <v>5872.11</v>
      </c>
      <c r="Q669" s="11">
        <v>375</v>
      </c>
      <c r="R669" s="773">
        <v>1402</v>
      </c>
      <c r="S669" s="11">
        <v>0</v>
      </c>
      <c r="T669" s="773">
        <v>0</v>
      </c>
      <c r="U669" s="2173">
        <v>300.00000000000091</v>
      </c>
      <c r="V669" s="2509">
        <v>0</v>
      </c>
      <c r="W669" s="2509">
        <v>0</v>
      </c>
      <c r="X669" s="2509">
        <v>0</v>
      </c>
      <c r="Y669" s="2509">
        <v>0</v>
      </c>
      <c r="Z669" s="11">
        <f>'[26]New TB INC'!Z614</f>
        <v>0</v>
      </c>
      <c r="AA669" s="11">
        <f>'[27]New TB INC'!AA623</f>
        <v>375</v>
      </c>
      <c r="AB669" s="11">
        <f>'[28]New TB INC'!AB629</f>
        <v>176</v>
      </c>
      <c r="AC669" s="11">
        <f>'[29]New TB INC'!AC625</f>
        <v>607.5</v>
      </c>
      <c r="AD669" s="11">
        <f>'[30]New TB INC'!AD620</f>
        <v>0</v>
      </c>
      <c r="AE669" s="11">
        <f>'[31]New TB INC'!AE628</f>
        <v>75</v>
      </c>
      <c r="AF669" s="11">
        <v>0</v>
      </c>
      <c r="AG669" s="11">
        <v>0</v>
      </c>
      <c r="AH669" s="11">
        <v>0</v>
      </c>
      <c r="AI669" s="11">
        <v>0</v>
      </c>
      <c r="AJ669" s="11">
        <v>0</v>
      </c>
      <c r="AK669" s="11">
        <f>$J669-SUM($Z669:AJ669)</f>
        <v>132</v>
      </c>
      <c r="AW669" s="2509"/>
      <c r="BH669" s="2509"/>
      <c r="BI669" s="772"/>
      <c r="BJ669" s="2173"/>
      <c r="BK669" s="2173"/>
      <c r="BL669" s="773"/>
      <c r="BN669" s="773"/>
      <c r="BO669" s="209"/>
      <c r="BQ669" s="209"/>
      <c r="BR669" s="859"/>
      <c r="BS669" s="885"/>
      <c r="CI669" s="4"/>
      <c r="CJ669" s="4"/>
      <c r="DB669" s="773"/>
      <c r="DC669" s="773"/>
      <c r="DD669" s="773"/>
      <c r="DE669" s="773"/>
      <c r="DF669" s="773"/>
      <c r="DG669" s="773"/>
      <c r="DH669" s="773"/>
      <c r="DI669" s="773"/>
      <c r="DJ669" s="773"/>
      <c r="DK669" s="773"/>
      <c r="DL669" s="773"/>
      <c r="DM669" s="773"/>
      <c r="DN669" s="773"/>
      <c r="DO669" s="773"/>
      <c r="DP669" s="773"/>
      <c r="DQ669" s="773"/>
      <c r="DR669" s="773"/>
      <c r="DS669" s="773"/>
      <c r="DT669" s="773"/>
      <c r="DU669" s="773"/>
      <c r="DV669" s="773"/>
      <c r="DW669" s="773"/>
      <c r="DX669" s="773"/>
      <c r="DY669" s="773"/>
      <c r="DZ669" s="773"/>
      <c r="EA669" s="773"/>
      <c r="EB669" s="773"/>
      <c r="EC669" s="773"/>
      <c r="ED669" s="773"/>
      <c r="EE669" s="773"/>
      <c r="EF669" s="773"/>
      <c r="EG669" s="773"/>
      <c r="EH669" s="773"/>
      <c r="EI669" s="773"/>
      <c r="EJ669" s="773"/>
      <c r="EK669" s="773"/>
      <c r="EL669" s="773"/>
      <c r="EM669" s="773"/>
      <c r="EN669" s="773"/>
      <c r="EO669" s="773"/>
      <c r="EP669" s="773"/>
      <c r="EQ669" s="773"/>
      <c r="ER669" s="773"/>
      <c r="ES669" s="773"/>
      <c r="ET669" s="773"/>
      <c r="EU669" s="773"/>
      <c r="EV669" s="773"/>
      <c r="EW669" s="773"/>
      <c r="EX669" s="773"/>
      <c r="EY669" s="773"/>
      <c r="EZ669" s="773"/>
      <c r="FA669" s="773"/>
      <c r="FB669" s="773"/>
      <c r="FC669" s="773"/>
      <c r="FD669" s="773"/>
      <c r="FE669" s="773"/>
      <c r="FF669" s="773"/>
      <c r="FG669" s="773"/>
      <c r="FH669" s="773"/>
      <c r="FI669" s="773"/>
      <c r="FJ669" s="773"/>
      <c r="FK669" s="773"/>
      <c r="FL669" s="773"/>
      <c r="FM669" s="773"/>
      <c r="FN669" s="773"/>
      <c r="FO669" s="773"/>
      <c r="FP669" s="773"/>
      <c r="FQ669" s="773"/>
      <c r="FR669" s="773"/>
      <c r="FS669" s="773"/>
      <c r="FT669" s="773"/>
      <c r="FU669" s="773"/>
      <c r="FV669" s="773"/>
      <c r="FW669" s="773"/>
      <c r="FX669" s="773"/>
      <c r="FY669" s="773"/>
      <c r="FZ669" s="773"/>
      <c r="GA669" s="773"/>
      <c r="GB669" s="773"/>
      <c r="GC669" s="773"/>
      <c r="GD669" s="773"/>
      <c r="GE669" s="773"/>
      <c r="GF669" s="773"/>
      <c r="GG669" s="773"/>
      <c r="GH669" s="773"/>
      <c r="GI669" s="773"/>
      <c r="GJ669" s="773"/>
      <c r="GK669" s="773"/>
      <c r="GL669" s="773"/>
      <c r="GM669" s="773"/>
      <c r="GN669" s="773"/>
      <c r="GO669" s="773"/>
      <c r="GP669" s="773"/>
      <c r="GQ669" s="773"/>
      <c r="GR669" s="773"/>
      <c r="GS669" s="773"/>
      <c r="GT669" s="773"/>
      <c r="GU669" s="773"/>
      <c r="GV669" s="773"/>
      <c r="GW669" s="773"/>
      <c r="GX669" s="773"/>
      <c r="GY669" s="773"/>
      <c r="GZ669" s="773"/>
    </row>
    <row r="670" spans="1:208" s="11" customFormat="1">
      <c r="A670" s="774"/>
      <c r="B670" s="3761"/>
      <c r="C670" s="157"/>
      <c r="D670" s="173"/>
      <c r="E670" s="809"/>
      <c r="F670" s="108"/>
      <c r="G670" s="769"/>
      <c r="H670" s="769"/>
      <c r="I670" s="769"/>
      <c r="J670" s="796"/>
      <c r="K670" s="209"/>
      <c r="L670" s="434"/>
      <c r="M670" s="810"/>
      <c r="N670" s="11">
        <v>0</v>
      </c>
      <c r="O670" s="11">
        <v>0</v>
      </c>
      <c r="P670" s="11">
        <v>0</v>
      </c>
      <c r="Q670" s="11">
        <v>0</v>
      </c>
      <c r="R670" s="773">
        <v>0</v>
      </c>
      <c r="S670" s="11">
        <v>0</v>
      </c>
      <c r="T670" s="773">
        <v>0</v>
      </c>
      <c r="U670" s="2173">
        <v>0</v>
      </c>
      <c r="V670" s="2509">
        <v>0</v>
      </c>
      <c r="W670" s="2509">
        <v>0</v>
      </c>
      <c r="X670" s="2509">
        <v>0</v>
      </c>
      <c r="Y670" s="2509">
        <v>0</v>
      </c>
      <c r="Z670" s="11">
        <f>'[26]New TB INC'!Z615</f>
        <v>0</v>
      </c>
      <c r="AA670" s="11">
        <f>'[27]New TB INC'!AA624</f>
        <v>0</v>
      </c>
      <c r="AB670" s="11">
        <f>'[28]New TB INC'!AB630</f>
        <v>0</v>
      </c>
      <c r="AC670" s="11">
        <f>'[29]New TB INC'!AC626</f>
        <v>0</v>
      </c>
      <c r="AD670" s="11">
        <f>'[30]New TB INC'!AD621</f>
        <v>0</v>
      </c>
      <c r="AE670" s="11">
        <f>'[31]New TB INC'!AE629</f>
        <v>0</v>
      </c>
      <c r="AF670" s="11">
        <v>0</v>
      </c>
      <c r="AG670" s="11">
        <v>0</v>
      </c>
      <c r="AH670" s="11">
        <v>0</v>
      </c>
      <c r="AI670" s="11">
        <v>0</v>
      </c>
      <c r="AJ670" s="11">
        <v>0</v>
      </c>
      <c r="AK670" s="11">
        <f>$J670-SUM($Z670:AJ670)</f>
        <v>0</v>
      </c>
      <c r="AW670" s="2509"/>
      <c r="BH670" s="2509"/>
      <c r="BI670" s="772"/>
      <c r="BJ670" s="2173"/>
      <c r="BK670" s="2173"/>
      <c r="BL670" s="773"/>
      <c r="BN670" s="773"/>
      <c r="BO670" s="209"/>
      <c r="BQ670" s="209"/>
      <c r="BR670" s="859"/>
      <c r="BS670" s="885"/>
      <c r="BT670" s="209"/>
      <c r="CI670" s="4"/>
      <c r="CJ670" s="4"/>
      <c r="DB670" s="773"/>
      <c r="DC670" s="773"/>
      <c r="DD670" s="773"/>
      <c r="DE670" s="773"/>
      <c r="DF670" s="773"/>
      <c r="DG670" s="773"/>
      <c r="DH670" s="773"/>
      <c r="DI670" s="773"/>
      <c r="DJ670" s="773"/>
      <c r="DK670" s="773"/>
      <c r="DL670" s="773"/>
      <c r="DM670" s="773"/>
      <c r="DN670" s="773"/>
      <c r="DO670" s="773"/>
      <c r="DP670" s="773"/>
      <c r="DQ670" s="773"/>
      <c r="DR670" s="773"/>
      <c r="DS670" s="773"/>
      <c r="DT670" s="773"/>
      <c r="DU670" s="773"/>
      <c r="DV670" s="773"/>
      <c r="DW670" s="773"/>
      <c r="DX670" s="773"/>
      <c r="DY670" s="773"/>
      <c r="DZ670" s="773"/>
      <c r="EA670" s="773"/>
      <c r="EB670" s="773"/>
      <c r="EC670" s="773"/>
      <c r="ED670" s="773"/>
      <c r="EE670" s="773"/>
      <c r="EF670" s="773"/>
      <c r="EG670" s="773"/>
      <c r="EH670" s="773"/>
      <c r="EI670" s="773"/>
      <c r="EJ670" s="773"/>
      <c r="EK670" s="773"/>
      <c r="EL670" s="773"/>
      <c r="EM670" s="773"/>
      <c r="EN670" s="773"/>
      <c r="EO670" s="773"/>
      <c r="EP670" s="773"/>
      <c r="EQ670" s="773"/>
      <c r="ER670" s="773"/>
      <c r="ES670" s="773"/>
      <c r="ET670" s="773"/>
      <c r="EU670" s="773"/>
      <c r="EV670" s="773"/>
      <c r="EW670" s="773"/>
      <c r="EX670" s="773"/>
      <c r="EY670" s="773"/>
      <c r="EZ670" s="773"/>
      <c r="FA670" s="773"/>
      <c r="FB670" s="773"/>
      <c r="FC670" s="773"/>
      <c r="FD670" s="773"/>
      <c r="FE670" s="773"/>
      <c r="FF670" s="773"/>
      <c r="FG670" s="773"/>
      <c r="FH670" s="773"/>
      <c r="FI670" s="773"/>
      <c r="FJ670" s="773"/>
      <c r="FK670" s="773"/>
      <c r="FL670" s="773"/>
      <c r="FM670" s="773"/>
      <c r="FN670" s="773"/>
      <c r="FO670" s="773"/>
      <c r="FP670" s="773"/>
      <c r="FQ670" s="773"/>
      <c r="FR670" s="773"/>
      <c r="FS670" s="773"/>
      <c r="FT670" s="773"/>
      <c r="FU670" s="773"/>
      <c r="FV670" s="773"/>
      <c r="FW670" s="773"/>
      <c r="FX670" s="773"/>
      <c r="FY670" s="773"/>
      <c r="FZ670" s="773"/>
      <c r="GA670" s="773"/>
      <c r="GB670" s="773"/>
      <c r="GC670" s="773"/>
      <c r="GD670" s="773"/>
      <c r="GE670" s="773"/>
      <c r="GF670" s="773"/>
      <c r="GG670" s="773"/>
      <c r="GH670" s="773"/>
      <c r="GI670" s="773"/>
      <c r="GJ670" s="773"/>
      <c r="GK670" s="773"/>
      <c r="GL670" s="773"/>
      <c r="GM670" s="773"/>
      <c r="GN670" s="773"/>
      <c r="GO670" s="773"/>
      <c r="GP670" s="773"/>
      <c r="GQ670" s="773"/>
      <c r="GR670" s="773"/>
      <c r="GS670" s="773"/>
      <c r="GT670" s="773"/>
      <c r="GU670" s="773"/>
      <c r="GV670" s="773"/>
      <c r="GW670" s="773"/>
      <c r="GX670" s="773"/>
      <c r="GY670" s="773"/>
      <c r="GZ670" s="773"/>
    </row>
    <row r="671" spans="1:208" s="11" customFormat="1" ht="13.5" thickBot="1">
      <c r="A671" s="774"/>
      <c r="B671" s="3763"/>
      <c r="C671" s="438"/>
      <c r="D671" s="175"/>
      <c r="E671" s="897">
        <f t="shared" ref="E671:J671" si="69">SUM(E664:E670)</f>
        <v>40529.440000000002</v>
      </c>
      <c r="F671" s="897">
        <f t="shared" si="69"/>
        <v>0</v>
      </c>
      <c r="G671" s="897">
        <f t="shared" si="69"/>
        <v>0</v>
      </c>
      <c r="H671" s="897">
        <f t="shared" si="69"/>
        <v>0</v>
      </c>
      <c r="I671" s="897">
        <f t="shared" si="69"/>
        <v>0</v>
      </c>
      <c r="J671" s="897">
        <f t="shared" si="69"/>
        <v>40529.440000000002</v>
      </c>
      <c r="K671" s="209"/>
      <c r="L671" s="434"/>
      <c r="M671" s="898"/>
      <c r="N671" s="11">
        <v>2877.47</v>
      </c>
      <c r="O671" s="11">
        <v>2966.5000000000005</v>
      </c>
      <c r="P671" s="11">
        <v>12858.539999999999</v>
      </c>
      <c r="Q671" s="11">
        <v>3120.3899999999976</v>
      </c>
      <c r="R671" s="773">
        <v>1564.3900000000031</v>
      </c>
      <c r="S671" s="11">
        <v>2578.3899999999994</v>
      </c>
      <c r="T671" s="773">
        <v>2578.3899999999994</v>
      </c>
      <c r="U671" s="2173">
        <v>4128.3900000000067</v>
      </c>
      <c r="V671" s="2509">
        <v>2578.3899999999958</v>
      </c>
      <c r="W671" s="2509">
        <v>3828.3900000000067</v>
      </c>
      <c r="X671" s="2509">
        <v>18578.39</v>
      </c>
      <c r="Y671" s="2509">
        <v>2504.3499999999985</v>
      </c>
      <c r="Z671" s="11">
        <f>'[26]New TB INC'!Z616</f>
        <v>2706.43</v>
      </c>
      <c r="AA671" s="11">
        <f>'[27]New TB INC'!AA625</f>
        <v>5513.98</v>
      </c>
      <c r="AB671" s="11">
        <f>'[28]New TB INC'!AB631</f>
        <v>3926.8199999999997</v>
      </c>
      <c r="AC671" s="11">
        <f>'[29]New TB INC'!AC627</f>
        <v>4358.32</v>
      </c>
      <c r="AD671" s="11">
        <f>'[30]New TB INC'!AD622</f>
        <v>2509.7799999999988</v>
      </c>
      <c r="AE671" s="11">
        <f>'[31]New TB INC'!AE630</f>
        <v>2566.8600000000042</v>
      </c>
      <c r="AF671" s="11">
        <v>3750.8199999999961</v>
      </c>
      <c r="AG671" s="11">
        <v>2500.8200000000033</v>
      </c>
      <c r="AH671" s="11">
        <v>3375.8199999999997</v>
      </c>
      <c r="AI671" s="11">
        <v>2500.8199999999997</v>
      </c>
      <c r="AJ671" s="11">
        <v>1186.1500000000015</v>
      </c>
      <c r="AK671" s="11">
        <f>$J671-SUM($Z671:AJ671)</f>
        <v>5632.82</v>
      </c>
      <c r="AW671" s="2509"/>
      <c r="BH671" s="2509"/>
      <c r="BI671" s="772"/>
      <c r="BJ671" s="2173"/>
      <c r="BK671" s="2173"/>
      <c r="BL671" s="773"/>
      <c r="BN671" s="773"/>
      <c r="BO671" s="209"/>
      <c r="BQ671" s="209"/>
      <c r="BR671" s="859"/>
      <c r="BS671" s="885"/>
      <c r="CH671" s="878"/>
      <c r="CI671" s="4"/>
      <c r="CJ671" s="4"/>
      <c r="DB671" s="773"/>
      <c r="DC671" s="773"/>
      <c r="DD671" s="773"/>
      <c r="DE671" s="773"/>
      <c r="DF671" s="773"/>
      <c r="DG671" s="773"/>
      <c r="DH671" s="773"/>
      <c r="DI671" s="773"/>
      <c r="DJ671" s="773"/>
      <c r="DK671" s="773"/>
      <c r="DL671" s="773"/>
      <c r="DM671" s="773"/>
      <c r="DN671" s="773"/>
      <c r="DO671" s="773"/>
      <c r="DP671" s="773"/>
      <c r="DQ671" s="773"/>
      <c r="DR671" s="773"/>
      <c r="DS671" s="773"/>
      <c r="DT671" s="773"/>
      <c r="DU671" s="773"/>
      <c r="DV671" s="773"/>
      <c r="DW671" s="773"/>
      <c r="DX671" s="773"/>
      <c r="DY671" s="773"/>
      <c r="DZ671" s="773"/>
      <c r="EA671" s="773"/>
      <c r="EB671" s="773"/>
      <c r="EC671" s="773"/>
      <c r="ED671" s="773"/>
      <c r="EE671" s="773"/>
      <c r="EF671" s="773"/>
      <c r="EG671" s="773"/>
      <c r="EH671" s="773"/>
      <c r="EI671" s="773"/>
      <c r="EJ671" s="773"/>
      <c r="EK671" s="773"/>
      <c r="EL671" s="773"/>
      <c r="EM671" s="773"/>
      <c r="EN671" s="773"/>
      <c r="EO671" s="773"/>
      <c r="EP671" s="773"/>
      <c r="EQ671" s="773"/>
      <c r="ER671" s="773"/>
      <c r="ES671" s="773"/>
      <c r="ET671" s="773"/>
      <c r="EU671" s="773"/>
      <c r="EV671" s="773"/>
      <c r="EW671" s="773"/>
      <c r="EX671" s="773"/>
      <c r="EY671" s="773"/>
      <c r="EZ671" s="773"/>
      <c r="FA671" s="773"/>
      <c r="FB671" s="773"/>
      <c r="FC671" s="773"/>
      <c r="FD671" s="773"/>
      <c r="FE671" s="773"/>
      <c r="FF671" s="773"/>
      <c r="FG671" s="773"/>
      <c r="FH671" s="773"/>
      <c r="FI671" s="773"/>
      <c r="FJ671" s="773"/>
      <c r="FK671" s="773"/>
      <c r="FL671" s="773"/>
      <c r="FM671" s="773"/>
      <c r="FN671" s="773"/>
      <c r="FO671" s="773"/>
      <c r="FP671" s="773"/>
      <c r="FQ671" s="773"/>
      <c r="FR671" s="773"/>
      <c r="FS671" s="773"/>
      <c r="FT671" s="773"/>
      <c r="FU671" s="773"/>
      <c r="FV671" s="773"/>
      <c r="FW671" s="773"/>
      <c r="FX671" s="773"/>
      <c r="FY671" s="773"/>
      <c r="FZ671" s="773"/>
      <c r="GA671" s="773"/>
      <c r="GB671" s="773"/>
      <c r="GC671" s="773"/>
      <c r="GD671" s="773"/>
      <c r="GE671" s="773"/>
      <c r="GF671" s="773"/>
      <c r="GG671" s="773"/>
      <c r="GH671" s="773"/>
      <c r="GI671" s="773"/>
      <c r="GJ671" s="773"/>
      <c r="GK671" s="773"/>
      <c r="GL671" s="773"/>
      <c r="GM671" s="773"/>
      <c r="GN671" s="773"/>
      <c r="GO671" s="773"/>
      <c r="GP671" s="773"/>
      <c r="GQ671" s="773"/>
      <c r="GR671" s="773"/>
      <c r="GS671" s="773"/>
      <c r="GT671" s="773"/>
      <c r="GU671" s="773"/>
      <c r="GV671" s="773"/>
      <c r="GW671" s="773"/>
      <c r="GX671" s="773"/>
      <c r="GY671" s="773"/>
      <c r="GZ671" s="773"/>
    </row>
    <row r="672" spans="1:208" s="11" customFormat="1">
      <c r="A672" s="774"/>
      <c r="B672" s="3763"/>
      <c r="C672" s="890"/>
      <c r="D672" s="948" t="s">
        <v>93</v>
      </c>
      <c r="E672" s="796"/>
      <c r="F672" s="899"/>
      <c r="G672" s="769"/>
      <c r="H672" s="769"/>
      <c r="I672" s="769"/>
      <c r="J672" s="796"/>
      <c r="K672" s="209"/>
      <c r="L672" s="434"/>
      <c r="M672" s="810"/>
      <c r="N672" s="11">
        <v>0</v>
      </c>
      <c r="O672" s="11">
        <v>0</v>
      </c>
      <c r="P672" s="11">
        <v>0</v>
      </c>
      <c r="Q672" s="11">
        <v>0</v>
      </c>
      <c r="R672" s="773">
        <v>0</v>
      </c>
      <c r="S672" s="11">
        <v>0</v>
      </c>
      <c r="T672" s="773">
        <v>0</v>
      </c>
      <c r="U672" s="2173">
        <v>0</v>
      </c>
      <c r="V672" s="2509">
        <v>0</v>
      </c>
      <c r="W672" s="2509">
        <v>0</v>
      </c>
      <c r="X672" s="2509">
        <v>0</v>
      </c>
      <c r="Y672" s="2509">
        <v>0</v>
      </c>
      <c r="Z672" s="11">
        <f>'[26]New TB INC'!Z617</f>
        <v>0</v>
      </c>
      <c r="AA672" s="11">
        <f>'[27]New TB INC'!AA626</f>
        <v>0</v>
      </c>
      <c r="AB672" s="11">
        <f>'[28]New TB INC'!AB632</f>
        <v>0</v>
      </c>
      <c r="AC672" s="11">
        <f>'[29]New TB INC'!AC628</f>
        <v>0</v>
      </c>
      <c r="AD672" s="11">
        <f>'[30]New TB INC'!AD623</f>
        <v>0</v>
      </c>
      <c r="AE672" s="11">
        <f>'[31]New TB INC'!AE631</f>
        <v>0</v>
      </c>
      <c r="AF672" s="11">
        <v>0</v>
      </c>
      <c r="AG672" s="11">
        <v>0</v>
      </c>
      <c r="AH672" s="11">
        <v>0</v>
      </c>
      <c r="AI672" s="11">
        <v>0</v>
      </c>
      <c r="AJ672" s="11">
        <v>0</v>
      </c>
      <c r="AK672" s="11">
        <f>$J672-SUM($Z672:AJ672)</f>
        <v>0</v>
      </c>
      <c r="AW672" s="2509"/>
      <c r="BH672" s="2509"/>
      <c r="BI672" s="772"/>
      <c r="BJ672" s="2173"/>
      <c r="BK672" s="2173"/>
      <c r="BL672" s="773"/>
      <c r="BN672" s="773"/>
      <c r="BO672" s="209"/>
      <c r="BQ672" s="209"/>
      <c r="BR672" s="859"/>
      <c r="BS672" s="885"/>
      <c r="CH672" s="878"/>
      <c r="CI672" s="4"/>
      <c r="CJ672" s="4"/>
      <c r="DB672" s="773"/>
      <c r="DC672" s="773"/>
      <c r="DD672" s="773"/>
      <c r="DE672" s="773"/>
      <c r="DF672" s="773"/>
      <c r="DG672" s="773"/>
      <c r="DH672" s="773"/>
      <c r="DI672" s="773"/>
      <c r="DJ672" s="773"/>
      <c r="DK672" s="773"/>
      <c r="DL672" s="773"/>
      <c r="DM672" s="773"/>
      <c r="DN672" s="773"/>
      <c r="DO672" s="773"/>
      <c r="DP672" s="773"/>
      <c r="DQ672" s="773"/>
      <c r="DR672" s="773"/>
      <c r="DS672" s="773"/>
      <c r="DT672" s="773"/>
      <c r="DU672" s="773"/>
      <c r="DV672" s="773"/>
      <c r="DW672" s="773"/>
      <c r="DX672" s="773"/>
      <c r="DY672" s="773"/>
      <c r="DZ672" s="773"/>
      <c r="EA672" s="773"/>
      <c r="EB672" s="773"/>
      <c r="EC672" s="773"/>
      <c r="ED672" s="773"/>
      <c r="EE672" s="773"/>
      <c r="EF672" s="773"/>
      <c r="EG672" s="773"/>
      <c r="EH672" s="773"/>
      <c r="EI672" s="773"/>
      <c r="EJ672" s="773"/>
      <c r="EK672" s="773"/>
      <c r="EL672" s="773"/>
      <c r="EM672" s="773"/>
      <c r="EN672" s="773"/>
      <c r="EO672" s="773"/>
      <c r="EP672" s="773"/>
      <c r="EQ672" s="773"/>
      <c r="ER672" s="773"/>
      <c r="ES672" s="773"/>
      <c r="ET672" s="773"/>
      <c r="EU672" s="773"/>
      <c r="EV672" s="773"/>
      <c r="EW672" s="773"/>
      <c r="EX672" s="773"/>
      <c r="EY672" s="773"/>
      <c r="EZ672" s="773"/>
      <c r="FA672" s="773"/>
      <c r="FB672" s="773"/>
      <c r="FC672" s="773"/>
      <c r="FD672" s="773"/>
      <c r="FE672" s="773"/>
      <c r="FF672" s="773"/>
      <c r="FG672" s="773"/>
      <c r="FH672" s="773"/>
      <c r="FI672" s="773"/>
      <c r="FJ672" s="773"/>
      <c r="FK672" s="773"/>
      <c r="FL672" s="773"/>
      <c r="FM672" s="773"/>
      <c r="FN672" s="773"/>
      <c r="FO672" s="773"/>
      <c r="FP672" s="773"/>
      <c r="FQ672" s="773"/>
      <c r="FR672" s="773"/>
      <c r="FS672" s="773"/>
      <c r="FT672" s="773"/>
      <c r="FU672" s="773"/>
      <c r="FV672" s="773"/>
      <c r="FW672" s="773"/>
      <c r="FX672" s="773"/>
      <c r="FY672" s="773"/>
      <c r="FZ672" s="773"/>
      <c r="GA672" s="773"/>
      <c r="GB672" s="773"/>
      <c r="GC672" s="773"/>
      <c r="GD672" s="773"/>
      <c r="GE672" s="773"/>
      <c r="GF672" s="773"/>
      <c r="GG672" s="773"/>
      <c r="GH672" s="773"/>
      <c r="GI672" s="773"/>
      <c r="GJ672" s="773"/>
      <c r="GK672" s="773"/>
      <c r="GL672" s="773"/>
      <c r="GM672" s="773"/>
      <c r="GN672" s="773"/>
      <c r="GO672" s="773"/>
      <c r="GP672" s="773"/>
      <c r="GQ672" s="773"/>
      <c r="GR672" s="773"/>
      <c r="GS672" s="773"/>
      <c r="GT672" s="773"/>
      <c r="GU672" s="773"/>
      <c r="GV672" s="773"/>
      <c r="GW672" s="773"/>
      <c r="GX672" s="773"/>
      <c r="GY672" s="773"/>
      <c r="GZ672" s="773"/>
    </row>
    <row r="673" spans="1:208" s="11" customFormat="1">
      <c r="A673" s="774"/>
      <c r="B673" s="3763"/>
      <c r="C673" s="890"/>
      <c r="D673" s="32"/>
      <c r="E673" s="796"/>
      <c r="F673" s="108"/>
      <c r="G673" s="769"/>
      <c r="H673" s="769"/>
      <c r="I673" s="769"/>
      <c r="J673" s="796"/>
      <c r="K673" s="209"/>
      <c r="L673" s="434"/>
      <c r="M673" s="810"/>
      <c r="N673" s="11">
        <v>0</v>
      </c>
      <c r="O673" s="11">
        <v>0</v>
      </c>
      <c r="P673" s="11">
        <v>0</v>
      </c>
      <c r="Q673" s="11">
        <v>0</v>
      </c>
      <c r="R673" s="773">
        <v>0</v>
      </c>
      <c r="S673" s="11">
        <v>0</v>
      </c>
      <c r="T673" s="773">
        <v>0</v>
      </c>
      <c r="U673" s="2173">
        <v>0</v>
      </c>
      <c r="V673" s="2509">
        <v>0</v>
      </c>
      <c r="W673" s="2509">
        <v>0</v>
      </c>
      <c r="X673" s="2509">
        <v>0</v>
      </c>
      <c r="Y673" s="2509">
        <v>0</v>
      </c>
      <c r="Z673" s="11">
        <f>'[26]New TB INC'!Z618</f>
        <v>0</v>
      </c>
      <c r="AA673" s="11">
        <f>'[27]New TB INC'!AA627</f>
        <v>0</v>
      </c>
      <c r="AB673" s="11">
        <f>'[28]New TB INC'!AB633</f>
        <v>0</v>
      </c>
      <c r="AC673" s="11">
        <f>'[29]New TB INC'!AC629</f>
        <v>0</v>
      </c>
      <c r="AD673" s="11">
        <f>'[30]New TB INC'!AD624</f>
        <v>0</v>
      </c>
      <c r="AE673" s="11">
        <f>'[31]New TB INC'!AE632</f>
        <v>0</v>
      </c>
      <c r="AF673" s="11">
        <v>0</v>
      </c>
      <c r="AG673" s="11">
        <v>0</v>
      </c>
      <c r="AH673" s="11">
        <v>0</v>
      </c>
      <c r="AI673" s="11">
        <v>0</v>
      </c>
      <c r="AJ673" s="11">
        <v>0</v>
      </c>
      <c r="AK673" s="11">
        <f>$J673-SUM($Z673:AJ673)</f>
        <v>0</v>
      </c>
      <c r="AW673" s="2509"/>
      <c r="BH673" s="2509"/>
      <c r="BI673" s="772"/>
      <c r="BJ673" s="2173"/>
      <c r="BK673" s="2173"/>
      <c r="BL673" s="773"/>
      <c r="BN673" s="773"/>
      <c r="BO673" s="209"/>
      <c r="BQ673" s="209"/>
      <c r="BR673" s="859"/>
      <c r="BS673" s="885"/>
      <c r="CH673" s="878"/>
      <c r="CI673" s="4"/>
      <c r="CJ673" s="4"/>
      <c r="DB673" s="773"/>
      <c r="DC673" s="773"/>
      <c r="DD673" s="773"/>
      <c r="DE673" s="773"/>
      <c r="DF673" s="773"/>
      <c r="DG673" s="773"/>
      <c r="DH673" s="773"/>
      <c r="DI673" s="773"/>
      <c r="DJ673" s="773"/>
      <c r="DK673" s="773"/>
      <c r="DL673" s="773"/>
      <c r="DM673" s="773"/>
      <c r="DN673" s="773"/>
      <c r="DO673" s="773"/>
      <c r="DP673" s="773"/>
      <c r="DQ673" s="773"/>
      <c r="DR673" s="773"/>
      <c r="DS673" s="773"/>
      <c r="DT673" s="773"/>
      <c r="DU673" s="773"/>
      <c r="DV673" s="773"/>
      <c r="DW673" s="773"/>
      <c r="DX673" s="773"/>
      <c r="DY673" s="773"/>
      <c r="DZ673" s="773"/>
      <c r="EA673" s="773"/>
      <c r="EB673" s="773"/>
      <c r="EC673" s="773"/>
      <c r="ED673" s="773"/>
      <c r="EE673" s="773"/>
      <c r="EF673" s="773"/>
      <c r="EG673" s="773"/>
      <c r="EH673" s="773"/>
      <c r="EI673" s="773"/>
      <c r="EJ673" s="773"/>
      <c r="EK673" s="773"/>
      <c r="EL673" s="773"/>
      <c r="EM673" s="773"/>
      <c r="EN673" s="773"/>
      <c r="EO673" s="773"/>
      <c r="EP673" s="773"/>
      <c r="EQ673" s="773"/>
      <c r="ER673" s="773"/>
      <c r="ES673" s="773"/>
      <c r="ET673" s="773"/>
      <c r="EU673" s="773"/>
      <c r="EV673" s="773"/>
      <c r="EW673" s="773"/>
      <c r="EX673" s="773"/>
      <c r="EY673" s="773"/>
      <c r="EZ673" s="773"/>
      <c r="FA673" s="773"/>
      <c r="FB673" s="773"/>
      <c r="FC673" s="773"/>
      <c r="FD673" s="773"/>
      <c r="FE673" s="773"/>
      <c r="FF673" s="773"/>
      <c r="FG673" s="773"/>
      <c r="FH673" s="773"/>
      <c r="FI673" s="773"/>
      <c r="FJ673" s="773"/>
      <c r="FK673" s="773"/>
      <c r="FL673" s="773"/>
      <c r="FM673" s="773"/>
      <c r="FN673" s="773"/>
      <c r="FO673" s="773"/>
      <c r="FP673" s="773"/>
      <c r="FQ673" s="773"/>
      <c r="FR673" s="773"/>
      <c r="FS673" s="773"/>
      <c r="FT673" s="773"/>
      <c r="FU673" s="773"/>
      <c r="FV673" s="773"/>
      <c r="FW673" s="773"/>
      <c r="FX673" s="773"/>
      <c r="FY673" s="773"/>
      <c r="FZ673" s="773"/>
      <c r="GA673" s="773"/>
      <c r="GB673" s="773"/>
      <c r="GC673" s="773"/>
      <c r="GD673" s="773"/>
      <c r="GE673" s="773"/>
      <c r="GF673" s="773"/>
      <c r="GG673" s="773"/>
      <c r="GH673" s="773"/>
      <c r="GI673" s="773"/>
      <c r="GJ673" s="773"/>
      <c r="GK673" s="773"/>
      <c r="GL673" s="773"/>
      <c r="GM673" s="773"/>
      <c r="GN673" s="773"/>
      <c r="GO673" s="773"/>
      <c r="GP673" s="773"/>
      <c r="GQ673" s="773"/>
      <c r="GR673" s="773"/>
      <c r="GS673" s="773"/>
      <c r="GT673" s="773"/>
      <c r="GU673" s="773"/>
      <c r="GV673" s="773"/>
      <c r="GW673" s="773"/>
      <c r="GX673" s="773"/>
      <c r="GY673" s="773"/>
      <c r="GZ673" s="773"/>
    </row>
    <row r="674" spans="1:208" s="11" customFormat="1">
      <c r="A674" s="774"/>
      <c r="B674" s="3761" t="s">
        <v>3111</v>
      </c>
      <c r="C674" s="197">
        <v>8020006</v>
      </c>
      <c r="D674" s="199" t="s">
        <v>3112</v>
      </c>
      <c r="E674" s="798">
        <f>IFERROR(VLOOKUP(C674,'AJE 12 - INC'!$D$168:$F$771,3,0),0)</f>
        <v>109.99</v>
      </c>
      <c r="F674" s="108">
        <f>SUMIF('AJE 12 - INC'!B:B,'New TB INC'!C674,'AJE 12 - INC'!D:D)</f>
        <v>0</v>
      </c>
      <c r="G674" s="769"/>
      <c r="H674" s="769"/>
      <c r="I674" s="769"/>
      <c r="J674" s="798">
        <f>SUM(E674:I674)</f>
        <v>109.99</v>
      </c>
      <c r="K674" s="209"/>
      <c r="L674" s="434"/>
      <c r="M674" s="810"/>
      <c r="R674" s="773"/>
      <c r="T674" s="773"/>
      <c r="U674" s="2173"/>
      <c r="V674" s="2509"/>
      <c r="W674" s="2509"/>
      <c r="X674" s="2509"/>
      <c r="Y674" s="2509">
        <v>157.52000000000001</v>
      </c>
      <c r="Z674" s="11">
        <f>'[26]New TB INC'!Z619</f>
        <v>0</v>
      </c>
      <c r="AA674" s="11">
        <f>'[27]New TB INC'!AA628</f>
        <v>0</v>
      </c>
      <c r="AB674" s="11">
        <f>'[28]New TB INC'!AB634</f>
        <v>0</v>
      </c>
      <c r="AC674" s="11">
        <f>'[29]New TB INC'!AC630</f>
        <v>0</v>
      </c>
      <c r="AD674" s="11">
        <f>'[30]New TB INC'!AD625</f>
        <v>0</v>
      </c>
      <c r="AE674" s="11">
        <f>'[31]New TB INC'!AE633</f>
        <v>0</v>
      </c>
      <c r="AF674" s="11">
        <v>0</v>
      </c>
      <c r="AG674" s="11">
        <v>0</v>
      </c>
      <c r="AH674" s="11">
        <v>109.99</v>
      </c>
      <c r="AI674" s="11">
        <v>0</v>
      </c>
      <c r="AJ674" s="11">
        <v>0</v>
      </c>
      <c r="AK674" s="11">
        <f>$J674-SUM($Z674:AJ674)</f>
        <v>0</v>
      </c>
      <c r="AW674" s="2509"/>
      <c r="BH674" s="2509"/>
      <c r="BI674" s="772"/>
      <c r="BJ674" s="2173"/>
      <c r="BK674" s="2173"/>
      <c r="BL674" s="773"/>
      <c r="BN674" s="773"/>
      <c r="BO674" s="209"/>
      <c r="BQ674" s="209"/>
      <c r="BR674" s="859"/>
      <c r="BS674" s="885"/>
      <c r="CH674" s="878"/>
      <c r="CI674" s="4"/>
      <c r="CJ674" s="4"/>
      <c r="DB674" s="773"/>
      <c r="DC674" s="773"/>
      <c r="DD674" s="773"/>
      <c r="DE674" s="773"/>
      <c r="DF674" s="773"/>
      <c r="DG674" s="773"/>
      <c r="DH674" s="773"/>
      <c r="DI674" s="773"/>
      <c r="DJ674" s="773"/>
      <c r="DK674" s="773"/>
      <c r="DL674" s="773"/>
      <c r="DM674" s="773"/>
      <c r="DN674" s="773"/>
      <c r="DO674" s="773"/>
      <c r="DP674" s="773"/>
      <c r="DQ674" s="773"/>
      <c r="DR674" s="773"/>
      <c r="DS674" s="773"/>
      <c r="DT674" s="773"/>
      <c r="DU674" s="773"/>
      <c r="DV674" s="773"/>
      <c r="DW674" s="773"/>
      <c r="DX674" s="773"/>
      <c r="DY674" s="773"/>
      <c r="DZ674" s="773"/>
      <c r="EA674" s="773"/>
      <c r="EB674" s="773"/>
      <c r="EC674" s="773"/>
      <c r="ED674" s="773"/>
      <c r="EE674" s="773"/>
      <c r="EF674" s="773"/>
      <c r="EG674" s="773"/>
      <c r="EH674" s="773"/>
      <c r="EI674" s="773"/>
      <c r="EJ674" s="773"/>
      <c r="EK674" s="773"/>
      <c r="EL674" s="773"/>
      <c r="EM674" s="773"/>
      <c r="EN674" s="773"/>
      <c r="EO674" s="773"/>
      <c r="EP674" s="773"/>
      <c r="EQ674" s="773"/>
      <c r="ER674" s="773"/>
      <c r="ES674" s="773"/>
      <c r="ET674" s="773"/>
      <c r="EU674" s="773"/>
      <c r="EV674" s="773"/>
      <c r="EW674" s="773"/>
      <c r="EX674" s="773"/>
      <c r="EY674" s="773"/>
      <c r="EZ674" s="773"/>
      <c r="FA674" s="773"/>
      <c r="FB674" s="773"/>
      <c r="FC674" s="773"/>
      <c r="FD674" s="773"/>
      <c r="FE674" s="773"/>
      <c r="FF674" s="773"/>
      <c r="FG674" s="773"/>
      <c r="FH674" s="773"/>
      <c r="FI674" s="773"/>
      <c r="FJ674" s="773"/>
      <c r="FK674" s="773"/>
      <c r="FL674" s="773"/>
      <c r="FM674" s="773"/>
      <c r="FN674" s="773"/>
      <c r="FO674" s="773"/>
      <c r="FP674" s="773"/>
      <c r="FQ674" s="773"/>
      <c r="FR674" s="773"/>
      <c r="FS674" s="773"/>
      <c r="FT674" s="773"/>
      <c r="FU674" s="773"/>
      <c r="FV674" s="773"/>
      <c r="FW674" s="773"/>
      <c r="FX674" s="773"/>
      <c r="FY674" s="773"/>
      <c r="FZ674" s="773"/>
      <c r="GA674" s="773"/>
      <c r="GB674" s="773"/>
      <c r="GC674" s="773"/>
      <c r="GD674" s="773"/>
      <c r="GE674" s="773"/>
      <c r="GF674" s="773"/>
      <c r="GG674" s="773"/>
      <c r="GH674" s="773"/>
      <c r="GI674" s="773"/>
      <c r="GJ674" s="773"/>
      <c r="GK674" s="773"/>
      <c r="GL674" s="773"/>
      <c r="GM674" s="773"/>
      <c r="GN674" s="773"/>
      <c r="GO674" s="773"/>
      <c r="GP674" s="773"/>
      <c r="GQ674" s="773"/>
      <c r="GR674" s="773"/>
      <c r="GS674" s="773"/>
      <c r="GT674" s="773"/>
      <c r="GU674" s="773"/>
      <c r="GV674" s="773"/>
      <c r="GW674" s="773"/>
      <c r="GX674" s="773"/>
      <c r="GY674" s="773"/>
      <c r="GZ674" s="773"/>
    </row>
    <row r="675" spans="1:208" s="11" customFormat="1">
      <c r="A675" s="774"/>
      <c r="B675" s="3763"/>
      <c r="C675" s="890"/>
      <c r="D675" s="32"/>
      <c r="E675" s="796"/>
      <c r="F675" s="108"/>
      <c r="G675" s="769"/>
      <c r="H675" s="769"/>
      <c r="I675" s="769"/>
      <c r="J675" s="796"/>
      <c r="K675" s="209"/>
      <c r="L675" s="434"/>
      <c r="M675" s="810"/>
      <c r="R675" s="773"/>
      <c r="T675" s="773"/>
      <c r="U675" s="2173"/>
      <c r="V675" s="2509"/>
      <c r="W675" s="2509"/>
      <c r="X675" s="2509"/>
      <c r="Y675" s="2509">
        <v>0</v>
      </c>
      <c r="Z675" s="11">
        <f>'[26]New TB INC'!Z620</f>
        <v>0</v>
      </c>
      <c r="AA675" s="11">
        <f>'[27]New TB INC'!AA629</f>
        <v>0</v>
      </c>
      <c r="AB675" s="11">
        <f>'[28]New TB INC'!AB635</f>
        <v>0</v>
      </c>
      <c r="AC675" s="11">
        <f>'[29]New TB INC'!AC631</f>
        <v>0</v>
      </c>
      <c r="AD675" s="11">
        <f>'[30]New TB INC'!AD626</f>
        <v>0</v>
      </c>
      <c r="AE675" s="11">
        <f>'[31]New TB INC'!AE634</f>
        <v>0</v>
      </c>
      <c r="AF675" s="11">
        <v>0</v>
      </c>
      <c r="AG675" s="11">
        <v>0</v>
      </c>
      <c r="AH675" s="11">
        <v>0</v>
      </c>
      <c r="AI675" s="11">
        <v>0</v>
      </c>
      <c r="AJ675" s="11">
        <v>0</v>
      </c>
      <c r="AK675" s="11">
        <f>$J675-SUM($Z675:AJ675)</f>
        <v>0</v>
      </c>
      <c r="AW675" s="2509"/>
      <c r="BH675" s="2509"/>
      <c r="BI675" s="772"/>
      <c r="BJ675" s="2173"/>
      <c r="BK675" s="2173"/>
      <c r="BL675" s="773"/>
      <c r="BN675" s="773"/>
      <c r="BO675" s="209"/>
      <c r="BQ675" s="209"/>
      <c r="BR675" s="859"/>
      <c r="BS675" s="885"/>
      <c r="CH675" s="878"/>
      <c r="CI675" s="4"/>
      <c r="CJ675" s="4"/>
      <c r="DB675" s="773"/>
      <c r="DC675" s="773"/>
      <c r="DD675" s="773"/>
      <c r="DE675" s="773"/>
      <c r="DF675" s="773"/>
      <c r="DG675" s="773"/>
      <c r="DH675" s="773"/>
      <c r="DI675" s="773"/>
      <c r="DJ675" s="773"/>
      <c r="DK675" s="773"/>
      <c r="DL675" s="773"/>
      <c r="DM675" s="773"/>
      <c r="DN675" s="773"/>
      <c r="DO675" s="773"/>
      <c r="DP675" s="773"/>
      <c r="DQ675" s="773"/>
      <c r="DR675" s="773"/>
      <c r="DS675" s="773"/>
      <c r="DT675" s="773"/>
      <c r="DU675" s="773"/>
      <c r="DV675" s="773"/>
      <c r="DW675" s="773"/>
      <c r="DX675" s="773"/>
      <c r="DY675" s="773"/>
      <c r="DZ675" s="773"/>
      <c r="EA675" s="773"/>
      <c r="EB675" s="773"/>
      <c r="EC675" s="773"/>
      <c r="ED675" s="773"/>
      <c r="EE675" s="773"/>
      <c r="EF675" s="773"/>
      <c r="EG675" s="773"/>
      <c r="EH675" s="773"/>
      <c r="EI675" s="773"/>
      <c r="EJ675" s="773"/>
      <c r="EK675" s="773"/>
      <c r="EL675" s="773"/>
      <c r="EM675" s="773"/>
      <c r="EN675" s="773"/>
      <c r="EO675" s="773"/>
      <c r="EP675" s="773"/>
      <c r="EQ675" s="773"/>
      <c r="ER675" s="773"/>
      <c r="ES675" s="773"/>
      <c r="ET675" s="773"/>
      <c r="EU675" s="773"/>
      <c r="EV675" s="773"/>
      <c r="EW675" s="773"/>
      <c r="EX675" s="773"/>
      <c r="EY675" s="773"/>
      <c r="EZ675" s="773"/>
      <c r="FA675" s="773"/>
      <c r="FB675" s="773"/>
      <c r="FC675" s="773"/>
      <c r="FD675" s="773"/>
      <c r="FE675" s="773"/>
      <c r="FF675" s="773"/>
      <c r="FG675" s="773"/>
      <c r="FH675" s="773"/>
      <c r="FI675" s="773"/>
      <c r="FJ675" s="773"/>
      <c r="FK675" s="773"/>
      <c r="FL675" s="773"/>
      <c r="FM675" s="773"/>
      <c r="FN675" s="773"/>
      <c r="FO675" s="773"/>
      <c r="FP675" s="773"/>
      <c r="FQ675" s="773"/>
      <c r="FR675" s="773"/>
      <c r="FS675" s="773"/>
      <c r="FT675" s="773"/>
      <c r="FU675" s="773"/>
      <c r="FV675" s="773"/>
      <c r="FW675" s="773"/>
      <c r="FX675" s="773"/>
      <c r="FY675" s="773"/>
      <c r="FZ675" s="773"/>
      <c r="GA675" s="773"/>
      <c r="GB675" s="773"/>
      <c r="GC675" s="773"/>
      <c r="GD675" s="773"/>
      <c r="GE675" s="773"/>
      <c r="GF675" s="773"/>
      <c r="GG675" s="773"/>
      <c r="GH675" s="773"/>
      <c r="GI675" s="773"/>
      <c r="GJ675" s="773"/>
      <c r="GK675" s="773"/>
      <c r="GL675" s="773"/>
      <c r="GM675" s="773"/>
      <c r="GN675" s="773"/>
      <c r="GO675" s="773"/>
      <c r="GP675" s="773"/>
      <c r="GQ675" s="773"/>
      <c r="GR675" s="773"/>
      <c r="GS675" s="773"/>
      <c r="GT675" s="773"/>
      <c r="GU675" s="773"/>
      <c r="GV675" s="773"/>
      <c r="GW675" s="773"/>
      <c r="GX675" s="773"/>
      <c r="GY675" s="773"/>
      <c r="GZ675" s="773"/>
    </row>
    <row r="676" spans="1:208" s="11" customFormat="1">
      <c r="A676" s="774"/>
      <c r="B676" s="3761" t="s">
        <v>973</v>
      </c>
      <c r="C676" s="197">
        <v>8020001</v>
      </c>
      <c r="D676" s="199" t="s">
        <v>974</v>
      </c>
      <c r="E676" s="798">
        <f>IFERROR(VLOOKUP(C676,'AJE 12 - INC'!$D$168:$F$771,3,0),0)</f>
        <v>0</v>
      </c>
      <c r="F676" s="108">
        <f>SUMIF('AJE 12 - INC'!B:B,'New TB INC'!C676,'AJE 12 - INC'!D:D)</f>
        <v>0</v>
      </c>
      <c r="G676" s="108"/>
      <c r="H676" s="889"/>
      <c r="I676" s="889"/>
      <c r="J676" s="798">
        <f t="shared" ref="J676:J684" si="70">SUM(E676:I676)</f>
        <v>0</v>
      </c>
      <c r="K676" s="209"/>
      <c r="L676" s="434"/>
      <c r="M676" s="803"/>
      <c r="N676" s="11">
        <v>0</v>
      </c>
      <c r="O676" s="11">
        <v>0</v>
      </c>
      <c r="P676" s="11">
        <v>0</v>
      </c>
      <c r="Q676" s="11">
        <v>0</v>
      </c>
      <c r="R676" s="773">
        <v>0</v>
      </c>
      <c r="S676" s="11">
        <v>0</v>
      </c>
      <c r="T676" s="773">
        <v>0</v>
      </c>
      <c r="U676" s="2173">
        <v>0</v>
      </c>
      <c r="V676" s="2509">
        <v>0</v>
      </c>
      <c r="W676" s="2509">
        <v>0</v>
      </c>
      <c r="X676" s="2509">
        <v>0</v>
      </c>
      <c r="Y676" s="2509">
        <v>0</v>
      </c>
      <c r="Z676" s="11">
        <f>'[26]New TB INC'!Z621</f>
        <v>0</v>
      </c>
      <c r="AA676" s="11">
        <f>'[27]New TB INC'!AA630</f>
        <v>0</v>
      </c>
      <c r="AB676" s="11">
        <f>'[28]New TB INC'!AB636</f>
        <v>0</v>
      </c>
      <c r="AC676" s="11">
        <f>'[29]New TB INC'!AC632</f>
        <v>0</v>
      </c>
      <c r="AD676" s="11">
        <f>'[30]New TB INC'!AD627</f>
        <v>0</v>
      </c>
      <c r="AE676" s="11">
        <f>'[31]New TB INC'!AE635</f>
        <v>0</v>
      </c>
      <c r="AF676" s="11">
        <v>0</v>
      </c>
      <c r="AG676" s="11">
        <v>0</v>
      </c>
      <c r="AH676" s="11">
        <v>0</v>
      </c>
      <c r="AI676" s="11">
        <v>0</v>
      </c>
      <c r="AJ676" s="11">
        <v>0</v>
      </c>
      <c r="AK676" s="11">
        <f>$J676-SUM($Z676:AJ676)</f>
        <v>0</v>
      </c>
      <c r="AW676" s="2509"/>
      <c r="BH676" s="2509"/>
      <c r="BI676" s="772"/>
      <c r="BJ676" s="2173"/>
      <c r="BK676" s="2173"/>
      <c r="BL676" s="773"/>
      <c r="BN676" s="773"/>
      <c r="BO676" s="209"/>
      <c r="BQ676" s="209"/>
      <c r="BR676" s="859"/>
      <c r="BS676" s="885"/>
      <c r="CH676" s="878"/>
      <c r="CI676" s="4"/>
      <c r="CJ676" s="4"/>
      <c r="DB676" s="773"/>
      <c r="DC676" s="773"/>
      <c r="DD676" s="773"/>
      <c r="DE676" s="773"/>
      <c r="DF676" s="773"/>
      <c r="DG676" s="773"/>
      <c r="DH676" s="773"/>
      <c r="DI676" s="773"/>
      <c r="DJ676" s="773"/>
      <c r="DK676" s="773"/>
      <c r="DL676" s="773"/>
      <c r="DM676" s="773"/>
      <c r="DN676" s="773"/>
      <c r="DO676" s="773"/>
      <c r="DP676" s="773"/>
      <c r="DQ676" s="773"/>
      <c r="DR676" s="773"/>
      <c r="DS676" s="773"/>
      <c r="DT676" s="773"/>
      <c r="DU676" s="773"/>
      <c r="DV676" s="773"/>
      <c r="DW676" s="773"/>
      <c r="DX676" s="773"/>
      <c r="DY676" s="773"/>
      <c r="DZ676" s="773"/>
      <c r="EA676" s="773"/>
      <c r="EB676" s="773"/>
      <c r="EC676" s="773"/>
      <c r="ED676" s="773"/>
      <c r="EE676" s="773"/>
      <c r="EF676" s="773"/>
      <c r="EG676" s="773"/>
      <c r="EH676" s="773"/>
      <c r="EI676" s="773"/>
      <c r="EJ676" s="773"/>
      <c r="EK676" s="773"/>
      <c r="EL676" s="773"/>
      <c r="EM676" s="773"/>
      <c r="EN676" s="773"/>
      <c r="EO676" s="773"/>
      <c r="EP676" s="773"/>
      <c r="EQ676" s="773"/>
      <c r="ER676" s="773"/>
      <c r="ES676" s="773"/>
      <c r="ET676" s="773"/>
      <c r="EU676" s="773"/>
      <c r="EV676" s="773"/>
      <c r="EW676" s="773"/>
      <c r="EX676" s="773"/>
      <c r="EY676" s="773"/>
      <c r="EZ676" s="773"/>
      <c r="FA676" s="773"/>
      <c r="FB676" s="773"/>
      <c r="FC676" s="773"/>
      <c r="FD676" s="773"/>
      <c r="FE676" s="773"/>
      <c r="FF676" s="773"/>
      <c r="FG676" s="773"/>
      <c r="FH676" s="773"/>
      <c r="FI676" s="773"/>
      <c r="FJ676" s="773"/>
      <c r="FK676" s="773"/>
      <c r="FL676" s="773"/>
      <c r="FM676" s="773"/>
      <c r="FN676" s="773"/>
      <c r="FO676" s="773"/>
      <c r="FP676" s="773"/>
      <c r="FQ676" s="773"/>
      <c r="FR676" s="773"/>
      <c r="FS676" s="773"/>
      <c r="FT676" s="773"/>
      <c r="FU676" s="773"/>
      <c r="FV676" s="773"/>
      <c r="FW676" s="773"/>
      <c r="FX676" s="773"/>
      <c r="FY676" s="773"/>
      <c r="FZ676" s="773"/>
      <c r="GA676" s="773"/>
      <c r="GB676" s="773"/>
      <c r="GC676" s="773"/>
      <c r="GD676" s="773"/>
      <c r="GE676" s="773"/>
      <c r="GF676" s="773"/>
      <c r="GG676" s="773"/>
      <c r="GH676" s="773"/>
      <c r="GI676" s="773"/>
      <c r="GJ676" s="773"/>
      <c r="GK676" s="773"/>
      <c r="GL676" s="773"/>
      <c r="GM676" s="773"/>
      <c r="GN676" s="773"/>
      <c r="GO676" s="773"/>
      <c r="GP676" s="773"/>
      <c r="GQ676" s="773"/>
      <c r="GR676" s="773"/>
      <c r="GS676" s="773"/>
      <c r="GT676" s="773"/>
      <c r="GU676" s="773"/>
      <c r="GV676" s="773"/>
      <c r="GW676" s="773"/>
      <c r="GX676" s="773"/>
      <c r="GY676" s="773"/>
      <c r="GZ676" s="773"/>
    </row>
    <row r="677" spans="1:208" s="11" customFormat="1">
      <c r="A677" s="774"/>
      <c r="B677" s="3761" t="s">
        <v>973</v>
      </c>
      <c r="C677" s="197">
        <v>8020002</v>
      </c>
      <c r="D677" s="199" t="s">
        <v>975</v>
      </c>
      <c r="E677" s="798">
        <f>IFERROR(VLOOKUP(C677,'AJE 12 - INC'!$D$168:$F$771,3,0),0)</f>
        <v>0</v>
      </c>
      <c r="F677" s="108">
        <f>SUMIF('AJE 12 - INC'!B:B,'New TB INC'!C677,'AJE 12 - INC'!D:D)</f>
        <v>0</v>
      </c>
      <c r="G677" s="108"/>
      <c r="H677" s="889"/>
      <c r="I677" s="889"/>
      <c r="J677" s="798">
        <f t="shared" si="70"/>
        <v>0</v>
      </c>
      <c r="K677" s="209"/>
      <c r="L677" s="434"/>
      <c r="M677" s="803"/>
      <c r="N677" s="11">
        <v>0</v>
      </c>
      <c r="O677" s="11">
        <v>0</v>
      </c>
      <c r="P677" s="11">
        <v>0</v>
      </c>
      <c r="Q677" s="11">
        <v>0</v>
      </c>
      <c r="R677" s="773">
        <v>0</v>
      </c>
      <c r="S677" s="11">
        <v>0</v>
      </c>
      <c r="T677" s="773">
        <v>0</v>
      </c>
      <c r="U677" s="2173">
        <v>0</v>
      </c>
      <c r="V677" s="2509">
        <v>0</v>
      </c>
      <c r="W677" s="2509">
        <v>0</v>
      </c>
      <c r="X677" s="2509">
        <v>0</v>
      </c>
      <c r="Y677" s="2509">
        <v>0</v>
      </c>
      <c r="Z677" s="11">
        <f>'[26]New TB INC'!Z622</f>
        <v>0</v>
      </c>
      <c r="AA677" s="11">
        <f>'[27]New TB INC'!AA631</f>
        <v>0</v>
      </c>
      <c r="AB677" s="11">
        <f>'[28]New TB INC'!AB637</f>
        <v>0</v>
      </c>
      <c r="AC677" s="11">
        <f>'[29]New TB INC'!AC633</f>
        <v>0</v>
      </c>
      <c r="AD677" s="11">
        <f>'[30]New TB INC'!AD628</f>
        <v>0</v>
      </c>
      <c r="AE677" s="11">
        <f>'[31]New TB INC'!AE636</f>
        <v>0</v>
      </c>
      <c r="AF677" s="11">
        <v>0</v>
      </c>
      <c r="AG677" s="11">
        <v>0</v>
      </c>
      <c r="AH677" s="11">
        <v>0</v>
      </c>
      <c r="AI677" s="11">
        <v>0</v>
      </c>
      <c r="AJ677" s="11">
        <v>0</v>
      </c>
      <c r="AK677" s="11">
        <f>$J677-SUM($Z677:AJ677)</f>
        <v>0</v>
      </c>
      <c r="AW677" s="2509"/>
      <c r="BH677" s="2509"/>
      <c r="BI677" s="772"/>
      <c r="BJ677" s="2173"/>
      <c r="BK677" s="2173"/>
      <c r="BL677" s="773"/>
      <c r="BN677" s="773"/>
      <c r="BO677" s="209"/>
      <c r="BQ677" s="209"/>
      <c r="BR677" s="859"/>
      <c r="BS677" s="885"/>
      <c r="CI677" s="4"/>
      <c r="CJ677" s="4"/>
      <c r="DB677" s="773"/>
      <c r="DC677" s="773"/>
      <c r="DD677" s="773"/>
      <c r="DE677" s="773"/>
      <c r="DF677" s="773"/>
      <c r="DG677" s="773"/>
      <c r="DH677" s="773"/>
      <c r="DI677" s="773"/>
      <c r="DJ677" s="773"/>
      <c r="DK677" s="773"/>
      <c r="DL677" s="773"/>
      <c r="DM677" s="773"/>
      <c r="DN677" s="773"/>
      <c r="DO677" s="773"/>
      <c r="DP677" s="773"/>
      <c r="DQ677" s="773"/>
      <c r="DR677" s="773"/>
      <c r="DS677" s="773"/>
      <c r="DT677" s="773"/>
      <c r="DU677" s="773"/>
      <c r="DV677" s="773"/>
      <c r="DW677" s="773"/>
      <c r="DX677" s="773"/>
      <c r="DY677" s="773"/>
      <c r="DZ677" s="773"/>
      <c r="EA677" s="773"/>
      <c r="EB677" s="773"/>
      <c r="EC677" s="773"/>
      <c r="ED677" s="773"/>
      <c r="EE677" s="773"/>
      <c r="EF677" s="773"/>
      <c r="EG677" s="773"/>
      <c r="EH677" s="773"/>
      <c r="EI677" s="773"/>
      <c r="EJ677" s="773"/>
      <c r="EK677" s="773"/>
      <c r="EL677" s="773"/>
      <c r="EM677" s="773"/>
      <c r="EN677" s="773"/>
      <c r="EO677" s="773"/>
      <c r="EP677" s="773"/>
      <c r="EQ677" s="773"/>
      <c r="ER677" s="773"/>
      <c r="ES677" s="773"/>
      <c r="ET677" s="773"/>
      <c r="EU677" s="773"/>
      <c r="EV677" s="773"/>
      <c r="EW677" s="773"/>
      <c r="EX677" s="773"/>
      <c r="EY677" s="773"/>
      <c r="EZ677" s="773"/>
      <c r="FA677" s="773"/>
      <c r="FB677" s="773"/>
      <c r="FC677" s="773"/>
      <c r="FD677" s="773"/>
      <c r="FE677" s="773"/>
      <c r="FF677" s="773"/>
      <c r="FG677" s="773"/>
      <c r="FH677" s="773"/>
      <c r="FI677" s="773"/>
      <c r="FJ677" s="773"/>
      <c r="FK677" s="773"/>
      <c r="FL677" s="773"/>
      <c r="FM677" s="773"/>
      <c r="FN677" s="773"/>
      <c r="FO677" s="773"/>
      <c r="FP677" s="773"/>
      <c r="FQ677" s="773"/>
      <c r="FR677" s="773"/>
      <c r="FS677" s="773"/>
      <c r="FT677" s="773"/>
      <c r="FU677" s="773"/>
      <c r="FV677" s="773"/>
      <c r="FW677" s="773"/>
      <c r="FX677" s="773"/>
      <c r="FY677" s="773"/>
      <c r="FZ677" s="773"/>
      <c r="GA677" s="773"/>
      <c r="GB677" s="773"/>
      <c r="GC677" s="773"/>
      <c r="GD677" s="773"/>
      <c r="GE677" s="773"/>
      <c r="GF677" s="773"/>
      <c r="GG677" s="773"/>
      <c r="GH677" s="773"/>
      <c r="GI677" s="773"/>
      <c r="GJ677" s="773"/>
      <c r="GK677" s="773"/>
      <c r="GL677" s="773"/>
      <c r="GM677" s="773"/>
      <c r="GN677" s="773"/>
      <c r="GO677" s="773"/>
      <c r="GP677" s="773"/>
      <c r="GQ677" s="773"/>
      <c r="GR677" s="773"/>
      <c r="GS677" s="773"/>
      <c r="GT677" s="773"/>
      <c r="GU677" s="773"/>
      <c r="GV677" s="773"/>
      <c r="GW677" s="773"/>
      <c r="GX677" s="773"/>
      <c r="GY677" s="773"/>
      <c r="GZ677" s="773"/>
    </row>
    <row r="678" spans="1:208" s="11" customFormat="1">
      <c r="A678" s="774"/>
      <c r="B678" s="3761" t="s">
        <v>973</v>
      </c>
      <c r="C678" s="197">
        <v>8020003</v>
      </c>
      <c r="D678" s="199" t="s">
        <v>976</v>
      </c>
      <c r="E678" s="798">
        <f>IFERROR(VLOOKUP(C678,'AJE 12 - INC'!$D$168:$F$771,3,0),0)</f>
        <v>0</v>
      </c>
      <c r="F678" s="108">
        <f>SUMIF('AJE 12 - INC'!B:B,'New TB INC'!C678,'AJE 12 - INC'!D:D)</f>
        <v>0</v>
      </c>
      <c r="G678" s="108"/>
      <c r="H678" s="889"/>
      <c r="I678" s="889"/>
      <c r="J678" s="798">
        <f t="shared" si="70"/>
        <v>0</v>
      </c>
      <c r="K678" s="209"/>
      <c r="L678" s="434"/>
      <c r="M678" s="828"/>
      <c r="N678" s="11">
        <v>0</v>
      </c>
      <c r="O678" s="11">
        <v>0</v>
      </c>
      <c r="P678" s="11">
        <v>0</v>
      </c>
      <c r="Q678" s="11">
        <v>0</v>
      </c>
      <c r="R678" s="773">
        <v>0</v>
      </c>
      <c r="S678" s="11">
        <v>0</v>
      </c>
      <c r="T678" s="773">
        <v>0</v>
      </c>
      <c r="U678" s="2173">
        <v>0</v>
      </c>
      <c r="V678" s="2509">
        <v>0</v>
      </c>
      <c r="W678" s="2509">
        <v>0</v>
      </c>
      <c r="X678" s="2509">
        <v>0</v>
      </c>
      <c r="Y678" s="2509">
        <v>0</v>
      </c>
      <c r="Z678" s="11">
        <f>'[26]New TB INC'!Z623</f>
        <v>0</v>
      </c>
      <c r="AA678" s="11">
        <f>'[27]New TB INC'!AA632</f>
        <v>0</v>
      </c>
      <c r="AB678" s="11">
        <f>'[28]New TB INC'!AB638</f>
        <v>0</v>
      </c>
      <c r="AC678" s="11">
        <f>'[29]New TB INC'!AC634</f>
        <v>0</v>
      </c>
      <c r="AD678" s="11">
        <f>'[30]New TB INC'!AD629</f>
        <v>0</v>
      </c>
      <c r="AE678" s="11">
        <f>'[31]New TB INC'!AE637</f>
        <v>0</v>
      </c>
      <c r="AF678" s="11">
        <v>0</v>
      </c>
      <c r="AG678" s="11">
        <v>0</v>
      </c>
      <c r="AH678" s="11">
        <v>0</v>
      </c>
      <c r="AI678" s="11">
        <v>0</v>
      </c>
      <c r="AJ678" s="11">
        <v>0</v>
      </c>
      <c r="AK678" s="11">
        <f>$J678-SUM($Z678:AJ678)</f>
        <v>0</v>
      </c>
      <c r="AW678" s="2509"/>
      <c r="BH678" s="2509"/>
      <c r="BI678" s="772"/>
      <c r="BJ678" s="2173"/>
      <c r="BK678" s="2173"/>
      <c r="BL678" s="773"/>
      <c r="BN678" s="773"/>
      <c r="BO678" s="209"/>
      <c r="BQ678" s="209"/>
      <c r="BR678" s="859"/>
      <c r="BS678" s="885"/>
      <c r="CI678" s="4"/>
      <c r="CJ678" s="4"/>
      <c r="DB678" s="773"/>
      <c r="DC678" s="773"/>
      <c r="DD678" s="773"/>
      <c r="DE678" s="773"/>
      <c r="DF678" s="773"/>
      <c r="DG678" s="773"/>
      <c r="DH678" s="773"/>
      <c r="DI678" s="773"/>
      <c r="DJ678" s="773"/>
      <c r="DK678" s="773"/>
      <c r="DL678" s="773"/>
      <c r="DM678" s="773"/>
      <c r="DN678" s="773"/>
      <c r="DO678" s="773"/>
      <c r="DP678" s="773"/>
      <c r="DQ678" s="773"/>
      <c r="DR678" s="773"/>
      <c r="DS678" s="773"/>
      <c r="DT678" s="773"/>
      <c r="DU678" s="773"/>
      <c r="DV678" s="773"/>
      <c r="DW678" s="773"/>
      <c r="DX678" s="773"/>
      <c r="DY678" s="773"/>
      <c r="DZ678" s="773"/>
      <c r="EA678" s="773"/>
      <c r="EB678" s="773"/>
      <c r="EC678" s="773"/>
      <c r="ED678" s="773"/>
      <c r="EE678" s="773"/>
      <c r="EF678" s="773"/>
      <c r="EG678" s="773"/>
      <c r="EH678" s="773"/>
      <c r="EI678" s="773"/>
      <c r="EJ678" s="773"/>
      <c r="EK678" s="773"/>
      <c r="EL678" s="773"/>
      <c r="EM678" s="773"/>
      <c r="EN678" s="773"/>
      <c r="EO678" s="773"/>
      <c r="EP678" s="773"/>
      <c r="EQ678" s="773"/>
      <c r="ER678" s="773"/>
      <c r="ES678" s="773"/>
      <c r="ET678" s="773"/>
      <c r="EU678" s="773"/>
      <c r="EV678" s="773"/>
      <c r="EW678" s="773"/>
      <c r="EX678" s="773"/>
      <c r="EY678" s="773"/>
      <c r="EZ678" s="773"/>
      <c r="FA678" s="773"/>
      <c r="FB678" s="773"/>
      <c r="FC678" s="773"/>
      <c r="FD678" s="773"/>
      <c r="FE678" s="773"/>
      <c r="FF678" s="773"/>
      <c r="FG678" s="773"/>
      <c r="FH678" s="773"/>
      <c r="FI678" s="773"/>
      <c r="FJ678" s="773"/>
      <c r="FK678" s="773"/>
      <c r="FL678" s="773"/>
      <c r="FM678" s="773"/>
      <c r="FN678" s="773"/>
      <c r="FO678" s="773"/>
      <c r="FP678" s="773"/>
      <c r="FQ678" s="773"/>
      <c r="FR678" s="773"/>
      <c r="FS678" s="773"/>
      <c r="FT678" s="773"/>
      <c r="FU678" s="773"/>
      <c r="FV678" s="773"/>
      <c r="FW678" s="773"/>
      <c r="FX678" s="773"/>
      <c r="FY678" s="773"/>
      <c r="FZ678" s="773"/>
      <c r="GA678" s="773"/>
      <c r="GB678" s="773"/>
      <c r="GC678" s="773"/>
      <c r="GD678" s="773"/>
      <c r="GE678" s="773"/>
      <c r="GF678" s="773"/>
      <c r="GG678" s="773"/>
      <c r="GH678" s="773"/>
      <c r="GI678" s="773"/>
      <c r="GJ678" s="773"/>
      <c r="GK678" s="773"/>
      <c r="GL678" s="773"/>
      <c r="GM678" s="773"/>
      <c r="GN678" s="773"/>
      <c r="GO678" s="773"/>
      <c r="GP678" s="773"/>
      <c r="GQ678" s="773"/>
      <c r="GR678" s="773"/>
      <c r="GS678" s="773"/>
      <c r="GT678" s="773"/>
      <c r="GU678" s="773"/>
      <c r="GV678" s="773"/>
      <c r="GW678" s="773"/>
      <c r="GX678" s="773"/>
      <c r="GY678" s="773"/>
      <c r="GZ678" s="773"/>
    </row>
    <row r="679" spans="1:208" s="11" customFormat="1">
      <c r="A679" s="774"/>
      <c r="B679" s="3761" t="s">
        <v>973</v>
      </c>
      <c r="C679" s="197">
        <v>8020004</v>
      </c>
      <c r="D679" s="199" t="s">
        <v>977</v>
      </c>
      <c r="E679" s="798">
        <f>IFERROR(VLOOKUP(C679,'AJE 12 - INC'!$D$168:$F$771,3,0),0)</f>
        <v>0</v>
      </c>
      <c r="F679" s="108">
        <f>SUMIF('AJE 12 - INC'!B:B,'New TB INC'!C679,'AJE 12 - INC'!D:D)</f>
        <v>0</v>
      </c>
      <c r="G679" s="108"/>
      <c r="H679" s="889"/>
      <c r="I679" s="889"/>
      <c r="J679" s="798">
        <f t="shared" si="70"/>
        <v>0</v>
      </c>
      <c r="K679" s="209"/>
      <c r="L679" s="434"/>
      <c r="M679" s="828"/>
      <c r="N679" s="11">
        <v>0</v>
      </c>
      <c r="O679" s="11">
        <v>0</v>
      </c>
      <c r="P679" s="11">
        <v>0</v>
      </c>
      <c r="Q679" s="11">
        <v>0</v>
      </c>
      <c r="R679" s="773">
        <v>0</v>
      </c>
      <c r="S679" s="11">
        <v>0</v>
      </c>
      <c r="T679" s="773">
        <v>0</v>
      </c>
      <c r="U679" s="2173">
        <v>0</v>
      </c>
      <c r="V679" s="2509">
        <v>0</v>
      </c>
      <c r="W679" s="2509">
        <v>0</v>
      </c>
      <c r="X679" s="2509">
        <v>0</v>
      </c>
      <c r="Y679" s="2509">
        <v>0</v>
      </c>
      <c r="Z679" s="11">
        <f>'[26]New TB INC'!Z624</f>
        <v>0</v>
      </c>
      <c r="AA679" s="11">
        <f>'[27]New TB INC'!AA633</f>
        <v>0</v>
      </c>
      <c r="AB679" s="11">
        <f>'[28]New TB INC'!AB639</f>
        <v>0</v>
      </c>
      <c r="AC679" s="11">
        <f>'[29]New TB INC'!AC635</f>
        <v>0</v>
      </c>
      <c r="AD679" s="11">
        <f>'[30]New TB INC'!AD630</f>
        <v>0</v>
      </c>
      <c r="AE679" s="11">
        <f>'[31]New TB INC'!AE638</f>
        <v>0</v>
      </c>
      <c r="AF679" s="11">
        <v>0</v>
      </c>
      <c r="AG679" s="11">
        <v>0</v>
      </c>
      <c r="AH679" s="11">
        <v>0</v>
      </c>
      <c r="AI679" s="11">
        <v>0</v>
      </c>
      <c r="AJ679" s="11">
        <v>0</v>
      </c>
      <c r="AK679" s="11">
        <f>$J679-SUM($Z679:AJ679)</f>
        <v>0</v>
      </c>
      <c r="AW679" s="2509"/>
      <c r="BH679" s="2509"/>
      <c r="BI679" s="772"/>
      <c r="BJ679" s="2173"/>
      <c r="BK679" s="2173"/>
      <c r="BL679" s="773"/>
      <c r="BN679" s="773"/>
      <c r="BO679" s="209"/>
      <c r="BQ679" s="209"/>
      <c r="BR679" s="859"/>
      <c r="BS679" s="885"/>
      <c r="CI679" s="4"/>
      <c r="CJ679" s="4"/>
      <c r="DB679" s="773"/>
      <c r="DC679" s="773"/>
      <c r="DD679" s="773"/>
      <c r="DE679" s="773"/>
      <c r="DF679" s="773"/>
      <c r="DG679" s="773"/>
      <c r="DH679" s="773"/>
      <c r="DI679" s="773"/>
      <c r="DJ679" s="773"/>
      <c r="DK679" s="773"/>
      <c r="DL679" s="773"/>
      <c r="DM679" s="773"/>
      <c r="DN679" s="773"/>
      <c r="DO679" s="773"/>
      <c r="DP679" s="773"/>
      <c r="DQ679" s="773"/>
      <c r="DR679" s="773"/>
      <c r="DS679" s="773"/>
      <c r="DT679" s="773"/>
      <c r="DU679" s="773"/>
      <c r="DV679" s="773"/>
      <c r="DW679" s="773"/>
      <c r="DX679" s="773"/>
      <c r="DY679" s="773"/>
      <c r="DZ679" s="773"/>
      <c r="EA679" s="773"/>
      <c r="EB679" s="773"/>
      <c r="EC679" s="773"/>
      <c r="ED679" s="773"/>
      <c r="EE679" s="773"/>
      <c r="EF679" s="773"/>
      <c r="EG679" s="773"/>
      <c r="EH679" s="773"/>
      <c r="EI679" s="773"/>
      <c r="EJ679" s="773"/>
      <c r="EK679" s="773"/>
      <c r="EL679" s="773"/>
      <c r="EM679" s="773"/>
      <c r="EN679" s="773"/>
      <c r="EO679" s="773"/>
      <c r="EP679" s="773"/>
      <c r="EQ679" s="773"/>
      <c r="ER679" s="773"/>
      <c r="ES679" s="773"/>
      <c r="ET679" s="773"/>
      <c r="EU679" s="773"/>
      <c r="EV679" s="773"/>
      <c r="EW679" s="773"/>
      <c r="EX679" s="773"/>
      <c r="EY679" s="773"/>
      <c r="EZ679" s="773"/>
      <c r="FA679" s="773"/>
      <c r="FB679" s="773"/>
      <c r="FC679" s="773"/>
      <c r="FD679" s="773"/>
      <c r="FE679" s="773"/>
      <c r="FF679" s="773"/>
      <c r="FG679" s="773"/>
      <c r="FH679" s="773"/>
      <c r="FI679" s="773"/>
      <c r="FJ679" s="773"/>
      <c r="FK679" s="773"/>
      <c r="FL679" s="773"/>
      <c r="FM679" s="773"/>
      <c r="FN679" s="773"/>
      <c r="FO679" s="773"/>
      <c r="FP679" s="773"/>
      <c r="FQ679" s="773"/>
      <c r="FR679" s="773"/>
      <c r="FS679" s="773"/>
      <c r="FT679" s="773"/>
      <c r="FU679" s="773"/>
      <c r="FV679" s="773"/>
      <c r="FW679" s="773"/>
      <c r="FX679" s="773"/>
      <c r="FY679" s="773"/>
      <c r="FZ679" s="773"/>
      <c r="GA679" s="773"/>
      <c r="GB679" s="773"/>
      <c r="GC679" s="773"/>
      <c r="GD679" s="773"/>
      <c r="GE679" s="773"/>
      <c r="GF679" s="773"/>
      <c r="GG679" s="773"/>
      <c r="GH679" s="773"/>
      <c r="GI679" s="773"/>
      <c r="GJ679" s="773"/>
      <c r="GK679" s="773"/>
      <c r="GL679" s="773"/>
      <c r="GM679" s="773"/>
      <c r="GN679" s="773"/>
      <c r="GO679" s="773"/>
      <c r="GP679" s="773"/>
      <c r="GQ679" s="773"/>
      <c r="GR679" s="773"/>
      <c r="GS679" s="773"/>
      <c r="GT679" s="773"/>
      <c r="GU679" s="773"/>
      <c r="GV679" s="773"/>
      <c r="GW679" s="773"/>
      <c r="GX679" s="773"/>
      <c r="GY679" s="773"/>
      <c r="GZ679" s="773"/>
    </row>
    <row r="680" spans="1:208" s="11" customFormat="1">
      <c r="A680" s="774"/>
      <c r="B680" s="3761"/>
      <c r="C680" s="197"/>
      <c r="D680" s="199"/>
      <c r="E680" s="42"/>
      <c r="F680" s="108"/>
      <c r="G680" s="108"/>
      <c r="H680" s="889"/>
      <c r="I680" s="889"/>
      <c r="J680" s="798"/>
      <c r="K680" s="209"/>
      <c r="L680" s="434"/>
      <c r="M680" s="828"/>
      <c r="N680" s="11">
        <v>0</v>
      </c>
      <c r="O680" s="11">
        <v>0</v>
      </c>
      <c r="P680" s="11">
        <v>0</v>
      </c>
      <c r="Q680" s="11">
        <v>0</v>
      </c>
      <c r="R680" s="773">
        <v>0</v>
      </c>
      <c r="S680" s="11">
        <v>0</v>
      </c>
      <c r="T680" s="773">
        <v>0</v>
      </c>
      <c r="U680" s="2173">
        <v>0</v>
      </c>
      <c r="V680" s="2509">
        <v>0</v>
      </c>
      <c r="W680" s="2509">
        <v>0</v>
      </c>
      <c r="X680" s="2509">
        <v>0</v>
      </c>
      <c r="Y680" s="2509">
        <v>0</v>
      </c>
      <c r="Z680" s="11">
        <f>'[26]New TB INC'!Z625</f>
        <v>0</v>
      </c>
      <c r="AA680" s="11">
        <f>'[27]New TB INC'!AA634</f>
        <v>0</v>
      </c>
      <c r="AB680" s="11">
        <f>'[28]New TB INC'!AB640</f>
        <v>0</v>
      </c>
      <c r="AC680" s="11">
        <f>'[29]New TB INC'!AC636</f>
        <v>0</v>
      </c>
      <c r="AD680" s="11">
        <f>'[30]New TB INC'!AD631</f>
        <v>0</v>
      </c>
      <c r="AE680" s="11">
        <f>'[31]New TB INC'!AE639</f>
        <v>0</v>
      </c>
      <c r="AF680" s="11">
        <v>0</v>
      </c>
      <c r="AG680" s="11">
        <v>0</v>
      </c>
      <c r="AH680" s="11">
        <v>0</v>
      </c>
      <c r="AI680" s="11">
        <v>0</v>
      </c>
      <c r="AJ680" s="11">
        <v>0</v>
      </c>
      <c r="AK680" s="11">
        <f>$J680-SUM($Z680:AJ680)</f>
        <v>0</v>
      </c>
      <c r="AW680" s="2509"/>
      <c r="BH680" s="2509"/>
      <c r="BI680" s="772"/>
      <c r="BJ680" s="2173"/>
      <c r="BK680" s="2173"/>
      <c r="BL680" s="773"/>
      <c r="BN680" s="773"/>
      <c r="BO680" s="209"/>
      <c r="BQ680" s="209"/>
      <c r="BR680" s="859"/>
      <c r="BS680" s="885"/>
      <c r="CI680" s="4"/>
      <c r="CJ680" s="4"/>
      <c r="DB680" s="773"/>
      <c r="DC680" s="773"/>
      <c r="DD680" s="773"/>
      <c r="DE680" s="773"/>
      <c r="DF680" s="773"/>
      <c r="DG680" s="773"/>
      <c r="DH680" s="773"/>
      <c r="DI680" s="773"/>
      <c r="DJ680" s="773"/>
      <c r="DK680" s="773"/>
      <c r="DL680" s="773"/>
      <c r="DM680" s="773"/>
      <c r="DN680" s="773"/>
      <c r="DO680" s="773"/>
      <c r="DP680" s="773"/>
      <c r="DQ680" s="773"/>
      <c r="DR680" s="773"/>
      <c r="DS680" s="773"/>
      <c r="DT680" s="773"/>
      <c r="DU680" s="773"/>
      <c r="DV680" s="773"/>
      <c r="DW680" s="773"/>
      <c r="DX680" s="773"/>
      <c r="DY680" s="773"/>
      <c r="DZ680" s="773"/>
      <c r="EA680" s="773"/>
      <c r="EB680" s="773"/>
      <c r="EC680" s="773"/>
      <c r="ED680" s="773"/>
      <c r="EE680" s="773"/>
      <c r="EF680" s="773"/>
      <c r="EG680" s="773"/>
      <c r="EH680" s="773"/>
      <c r="EI680" s="773"/>
      <c r="EJ680" s="773"/>
      <c r="EK680" s="773"/>
      <c r="EL680" s="773"/>
      <c r="EM680" s="773"/>
      <c r="EN680" s="773"/>
      <c r="EO680" s="773"/>
      <c r="EP680" s="773"/>
      <c r="EQ680" s="773"/>
      <c r="ER680" s="773"/>
      <c r="ES680" s="773"/>
      <c r="ET680" s="773"/>
      <c r="EU680" s="773"/>
      <c r="EV680" s="773"/>
      <c r="EW680" s="773"/>
      <c r="EX680" s="773"/>
      <c r="EY680" s="773"/>
      <c r="EZ680" s="773"/>
      <c r="FA680" s="773"/>
      <c r="FB680" s="773"/>
      <c r="FC680" s="773"/>
      <c r="FD680" s="773"/>
      <c r="FE680" s="773"/>
      <c r="FF680" s="773"/>
      <c r="FG680" s="773"/>
      <c r="FH680" s="773"/>
      <c r="FI680" s="773"/>
      <c r="FJ680" s="773"/>
      <c r="FK680" s="773"/>
      <c r="FL680" s="773"/>
      <c r="FM680" s="773"/>
      <c r="FN680" s="773"/>
      <c r="FO680" s="773"/>
      <c r="FP680" s="773"/>
      <c r="FQ680" s="773"/>
      <c r="FR680" s="773"/>
      <c r="FS680" s="773"/>
      <c r="FT680" s="773"/>
      <c r="FU680" s="773"/>
      <c r="FV680" s="773"/>
      <c r="FW680" s="773"/>
      <c r="FX680" s="773"/>
      <c r="FY680" s="773"/>
      <c r="FZ680" s="773"/>
      <c r="GA680" s="773"/>
      <c r="GB680" s="773"/>
      <c r="GC680" s="773"/>
      <c r="GD680" s="773"/>
      <c r="GE680" s="773"/>
      <c r="GF680" s="773"/>
      <c r="GG680" s="773"/>
      <c r="GH680" s="773"/>
      <c r="GI680" s="773"/>
      <c r="GJ680" s="773"/>
      <c r="GK680" s="773"/>
      <c r="GL680" s="773"/>
      <c r="GM680" s="773"/>
      <c r="GN680" s="773"/>
      <c r="GO680" s="773"/>
      <c r="GP680" s="773"/>
      <c r="GQ680" s="773"/>
      <c r="GR680" s="773"/>
      <c r="GS680" s="773"/>
      <c r="GT680" s="773"/>
      <c r="GU680" s="773"/>
      <c r="GV680" s="773"/>
      <c r="GW680" s="773"/>
      <c r="GX680" s="773"/>
      <c r="GY680" s="773"/>
      <c r="GZ680" s="773"/>
    </row>
    <row r="681" spans="1:208" s="11" customFormat="1">
      <c r="A681" s="774"/>
      <c r="B681" s="3761" t="s">
        <v>1377</v>
      </c>
      <c r="C681" s="197">
        <v>8010009</v>
      </c>
      <c r="D681" s="199" t="s">
        <v>2036</v>
      </c>
      <c r="E681" s="798">
        <f>IFERROR(VLOOKUP(C681,'AJE 12 - INC'!$D$168:$F$771,3,0),0)</f>
        <v>0</v>
      </c>
      <c r="F681" s="108">
        <f>SUMIF('AJE 12 - INC'!B:B,'New TB INC'!C681,'AJE 12 - INC'!D:D)</f>
        <v>0</v>
      </c>
      <c r="G681" s="108"/>
      <c r="H681" s="889"/>
      <c r="I681" s="889"/>
      <c r="J681" s="798">
        <f t="shared" si="70"/>
        <v>0</v>
      </c>
      <c r="K681" s="209"/>
      <c r="L681" s="434"/>
      <c r="M681" s="828"/>
      <c r="N681" s="11">
        <v>0</v>
      </c>
      <c r="O681" s="11">
        <v>0</v>
      </c>
      <c r="P681" s="11">
        <v>0</v>
      </c>
      <c r="Q681" s="11">
        <v>0</v>
      </c>
      <c r="R681" s="773">
        <v>0</v>
      </c>
      <c r="S681" s="11">
        <v>0</v>
      </c>
      <c r="T681" s="773">
        <v>0</v>
      </c>
      <c r="U681" s="2173">
        <v>0</v>
      </c>
      <c r="V681" s="2509">
        <v>0</v>
      </c>
      <c r="W681" s="2509">
        <v>0</v>
      </c>
      <c r="X681" s="2509">
        <v>0</v>
      </c>
      <c r="Y681" s="2509">
        <v>0</v>
      </c>
      <c r="Z681" s="11">
        <f>'[26]New TB INC'!Z626</f>
        <v>0</v>
      </c>
      <c r="AA681" s="11">
        <f>'[27]New TB INC'!AA635</f>
        <v>0</v>
      </c>
      <c r="AB681" s="11">
        <f>'[28]New TB INC'!AB641</f>
        <v>0</v>
      </c>
      <c r="AC681" s="11">
        <f>'[29]New TB INC'!AC637</f>
        <v>0</v>
      </c>
      <c r="AD681" s="11">
        <f>'[30]New TB INC'!AD632</f>
        <v>0</v>
      </c>
      <c r="AE681" s="11">
        <f>'[31]New TB INC'!AE640</f>
        <v>0</v>
      </c>
      <c r="AF681" s="11">
        <v>0</v>
      </c>
      <c r="AG681" s="11">
        <v>0</v>
      </c>
      <c r="AH681" s="11">
        <v>0</v>
      </c>
      <c r="AI681" s="11">
        <v>0</v>
      </c>
      <c r="AJ681" s="11">
        <v>0</v>
      </c>
      <c r="AK681" s="11">
        <f>$J681-SUM($Z681:AJ681)</f>
        <v>0</v>
      </c>
      <c r="AW681" s="2509"/>
      <c r="BH681" s="2509"/>
      <c r="BI681" s="772"/>
      <c r="BJ681" s="2173"/>
      <c r="BK681" s="2173"/>
      <c r="BL681" s="773"/>
      <c r="BN681" s="773"/>
      <c r="BO681" s="209"/>
      <c r="BQ681" s="209"/>
      <c r="BR681" s="859"/>
      <c r="BS681" s="885"/>
      <c r="CI681" s="4"/>
      <c r="CJ681" s="4"/>
      <c r="DB681" s="773"/>
      <c r="DC681" s="773"/>
      <c r="DD681" s="773"/>
      <c r="DE681" s="773"/>
      <c r="DF681" s="773"/>
      <c r="DG681" s="773"/>
      <c r="DH681" s="773"/>
      <c r="DI681" s="773"/>
      <c r="DJ681" s="773"/>
      <c r="DK681" s="773"/>
      <c r="DL681" s="773"/>
      <c r="DM681" s="773"/>
      <c r="DN681" s="773"/>
      <c r="DO681" s="773"/>
      <c r="DP681" s="773"/>
      <c r="DQ681" s="773"/>
      <c r="DR681" s="773"/>
      <c r="DS681" s="773"/>
      <c r="DT681" s="773"/>
      <c r="DU681" s="773"/>
      <c r="DV681" s="773"/>
      <c r="DW681" s="773"/>
      <c r="DX681" s="773"/>
      <c r="DY681" s="773"/>
      <c r="DZ681" s="773"/>
      <c r="EA681" s="773"/>
      <c r="EB681" s="773"/>
      <c r="EC681" s="773"/>
      <c r="ED681" s="773"/>
      <c r="EE681" s="773"/>
      <c r="EF681" s="773"/>
      <c r="EG681" s="773"/>
      <c r="EH681" s="773"/>
      <c r="EI681" s="773"/>
      <c r="EJ681" s="773"/>
      <c r="EK681" s="773"/>
      <c r="EL681" s="773"/>
      <c r="EM681" s="773"/>
      <c r="EN681" s="773"/>
      <c r="EO681" s="773"/>
      <c r="EP681" s="773"/>
      <c r="EQ681" s="773"/>
      <c r="ER681" s="773"/>
      <c r="ES681" s="773"/>
      <c r="ET681" s="773"/>
      <c r="EU681" s="773"/>
      <c r="EV681" s="773"/>
      <c r="EW681" s="773"/>
      <c r="EX681" s="773"/>
      <c r="EY681" s="773"/>
      <c r="EZ681" s="773"/>
      <c r="FA681" s="773"/>
      <c r="FB681" s="773"/>
      <c r="FC681" s="773"/>
      <c r="FD681" s="773"/>
      <c r="FE681" s="773"/>
      <c r="FF681" s="773"/>
      <c r="FG681" s="773"/>
      <c r="FH681" s="773"/>
      <c r="FI681" s="773"/>
      <c r="FJ681" s="773"/>
      <c r="FK681" s="773"/>
      <c r="FL681" s="773"/>
      <c r="FM681" s="773"/>
      <c r="FN681" s="773"/>
      <c r="FO681" s="773"/>
      <c r="FP681" s="773"/>
      <c r="FQ681" s="773"/>
      <c r="FR681" s="773"/>
      <c r="FS681" s="773"/>
      <c r="FT681" s="773"/>
      <c r="FU681" s="773"/>
      <c r="FV681" s="773"/>
      <c r="FW681" s="773"/>
      <c r="FX681" s="773"/>
      <c r="FY681" s="773"/>
      <c r="FZ681" s="773"/>
      <c r="GA681" s="773"/>
      <c r="GB681" s="773"/>
      <c r="GC681" s="773"/>
      <c r="GD681" s="773"/>
      <c r="GE681" s="773"/>
      <c r="GF681" s="773"/>
      <c r="GG681" s="773"/>
      <c r="GH681" s="773"/>
      <c r="GI681" s="773"/>
      <c r="GJ681" s="773"/>
      <c r="GK681" s="773"/>
      <c r="GL681" s="773"/>
      <c r="GM681" s="773"/>
      <c r="GN681" s="773"/>
      <c r="GO681" s="773"/>
      <c r="GP681" s="773"/>
      <c r="GQ681" s="773"/>
      <c r="GR681" s="773"/>
      <c r="GS681" s="773"/>
      <c r="GT681" s="773"/>
      <c r="GU681" s="773"/>
      <c r="GV681" s="773"/>
      <c r="GW681" s="773"/>
      <c r="GX681" s="773"/>
      <c r="GY681" s="773"/>
      <c r="GZ681" s="773"/>
    </row>
    <row r="682" spans="1:208" s="11" customFormat="1">
      <c r="A682" s="774"/>
      <c r="B682" s="3761" t="s">
        <v>1377</v>
      </c>
      <c r="C682" s="197">
        <v>8010010</v>
      </c>
      <c r="D682" s="199" t="s">
        <v>2037</v>
      </c>
      <c r="E682" s="798">
        <f>IFERROR(VLOOKUP(C682,'AJE 12 - INC'!$D$168:$F$771,3,0),0)</f>
        <v>0</v>
      </c>
      <c r="F682" s="108">
        <f>SUMIF('AJE 12 - INC'!B:B,'New TB INC'!C682,'AJE 12 - INC'!D:D)</f>
        <v>0</v>
      </c>
      <c r="G682" s="108"/>
      <c r="H682" s="889"/>
      <c r="I682" s="889"/>
      <c r="J682" s="798">
        <f t="shared" si="70"/>
        <v>0</v>
      </c>
      <c r="K682" s="209"/>
      <c r="L682" s="434"/>
      <c r="M682" s="828"/>
      <c r="N682" s="11">
        <v>0</v>
      </c>
      <c r="O682" s="11">
        <v>0</v>
      </c>
      <c r="P682" s="11">
        <v>0</v>
      </c>
      <c r="Q682" s="11">
        <v>0</v>
      </c>
      <c r="R682" s="773">
        <v>0</v>
      </c>
      <c r="S682" s="11">
        <v>0</v>
      </c>
      <c r="T682" s="773">
        <v>0</v>
      </c>
      <c r="U682" s="2173">
        <v>0</v>
      </c>
      <c r="V682" s="2509">
        <v>0</v>
      </c>
      <c r="W682" s="2509">
        <v>0</v>
      </c>
      <c r="X682" s="2509">
        <v>0</v>
      </c>
      <c r="Y682" s="2509">
        <v>0</v>
      </c>
      <c r="Z682" s="11">
        <f>'[26]New TB INC'!Z627</f>
        <v>0</v>
      </c>
      <c r="AA682" s="11">
        <f>'[27]New TB INC'!AA636</f>
        <v>0</v>
      </c>
      <c r="AB682" s="11">
        <f>'[28]New TB INC'!AB642</f>
        <v>0</v>
      </c>
      <c r="AC682" s="11">
        <f>'[29]New TB INC'!AC638</f>
        <v>0</v>
      </c>
      <c r="AD682" s="11">
        <f>'[30]New TB INC'!AD633</f>
        <v>0</v>
      </c>
      <c r="AE682" s="11">
        <f>'[31]New TB INC'!AE641</f>
        <v>0</v>
      </c>
      <c r="AF682" s="11">
        <v>0</v>
      </c>
      <c r="AG682" s="11">
        <v>0</v>
      </c>
      <c r="AH682" s="11">
        <v>0</v>
      </c>
      <c r="AI682" s="11">
        <v>0</v>
      </c>
      <c r="AJ682" s="11">
        <v>0</v>
      </c>
      <c r="AK682" s="11">
        <f>$J682-SUM($Z682:AJ682)</f>
        <v>0</v>
      </c>
      <c r="AW682" s="2509"/>
      <c r="BH682" s="2509"/>
      <c r="BI682" s="772"/>
      <c r="BJ682" s="2173"/>
      <c r="BK682" s="2173"/>
      <c r="BL682" s="773"/>
      <c r="BN682" s="773"/>
      <c r="BO682" s="209"/>
      <c r="BQ682" s="209"/>
      <c r="BR682" s="859"/>
      <c r="BS682" s="885"/>
      <c r="CI682" s="4"/>
      <c r="CJ682" s="4"/>
      <c r="DB682" s="773"/>
      <c r="DC682" s="773"/>
      <c r="DD682" s="773"/>
      <c r="DE682" s="773"/>
      <c r="DF682" s="773"/>
      <c r="DG682" s="773"/>
      <c r="DH682" s="773"/>
      <c r="DI682" s="773"/>
      <c r="DJ682" s="773"/>
      <c r="DK682" s="773"/>
      <c r="DL682" s="773"/>
      <c r="DM682" s="773"/>
      <c r="DN682" s="773"/>
      <c r="DO682" s="773"/>
      <c r="DP682" s="773"/>
      <c r="DQ682" s="773"/>
      <c r="DR682" s="773"/>
      <c r="DS682" s="773"/>
      <c r="DT682" s="773"/>
      <c r="DU682" s="773"/>
      <c r="DV682" s="773"/>
      <c r="DW682" s="773"/>
      <c r="DX682" s="773"/>
      <c r="DY682" s="773"/>
      <c r="DZ682" s="773"/>
      <c r="EA682" s="773"/>
      <c r="EB682" s="773"/>
      <c r="EC682" s="773"/>
      <c r="ED682" s="773"/>
      <c r="EE682" s="773"/>
      <c r="EF682" s="773"/>
      <c r="EG682" s="773"/>
      <c r="EH682" s="773"/>
      <c r="EI682" s="773"/>
      <c r="EJ682" s="773"/>
      <c r="EK682" s="773"/>
      <c r="EL682" s="773"/>
      <c r="EM682" s="773"/>
      <c r="EN682" s="773"/>
      <c r="EO682" s="773"/>
      <c r="EP682" s="773"/>
      <c r="EQ682" s="773"/>
      <c r="ER682" s="773"/>
      <c r="ES682" s="773"/>
      <c r="ET682" s="773"/>
      <c r="EU682" s="773"/>
      <c r="EV682" s="773"/>
      <c r="EW682" s="773"/>
      <c r="EX682" s="773"/>
      <c r="EY682" s="773"/>
      <c r="EZ682" s="773"/>
      <c r="FA682" s="773"/>
      <c r="FB682" s="773"/>
      <c r="FC682" s="773"/>
      <c r="FD682" s="773"/>
      <c r="FE682" s="773"/>
      <c r="FF682" s="773"/>
      <c r="FG682" s="773"/>
      <c r="FH682" s="773"/>
      <c r="FI682" s="773"/>
      <c r="FJ682" s="773"/>
      <c r="FK682" s="773"/>
      <c r="FL682" s="773"/>
      <c r="FM682" s="773"/>
      <c r="FN682" s="773"/>
      <c r="FO682" s="773"/>
      <c r="FP682" s="773"/>
      <c r="FQ682" s="773"/>
      <c r="FR682" s="773"/>
      <c r="FS682" s="773"/>
      <c r="FT682" s="773"/>
      <c r="FU682" s="773"/>
      <c r="FV682" s="773"/>
      <c r="FW682" s="773"/>
      <c r="FX682" s="773"/>
      <c r="FY682" s="773"/>
      <c r="FZ682" s="773"/>
      <c r="GA682" s="773"/>
      <c r="GB682" s="773"/>
      <c r="GC682" s="773"/>
      <c r="GD682" s="773"/>
      <c r="GE682" s="773"/>
      <c r="GF682" s="773"/>
      <c r="GG682" s="773"/>
      <c r="GH682" s="773"/>
      <c r="GI682" s="773"/>
      <c r="GJ682" s="773"/>
      <c r="GK682" s="773"/>
      <c r="GL682" s="773"/>
      <c r="GM682" s="773"/>
      <c r="GN682" s="773"/>
      <c r="GO682" s="773"/>
      <c r="GP682" s="773"/>
      <c r="GQ682" s="773"/>
      <c r="GR682" s="773"/>
      <c r="GS682" s="773"/>
      <c r="GT682" s="773"/>
      <c r="GU682" s="773"/>
      <c r="GV682" s="773"/>
      <c r="GW682" s="773"/>
      <c r="GX682" s="773"/>
      <c r="GY682" s="773"/>
      <c r="GZ682" s="773"/>
    </row>
    <row r="683" spans="1:208" s="11" customFormat="1">
      <c r="A683" s="774"/>
      <c r="B683" s="3761" t="s">
        <v>1377</v>
      </c>
      <c r="C683" s="197">
        <v>8010011</v>
      </c>
      <c r="D683" s="199" t="s">
        <v>2038</v>
      </c>
      <c r="E683" s="798">
        <f>IFERROR(VLOOKUP(C683,'AJE 12 - INC'!$D$168:$F$771,3,0),0)</f>
        <v>0</v>
      </c>
      <c r="F683" s="108">
        <f>SUMIF('AJE 12 - INC'!B:B,'New TB INC'!C683,'AJE 12 - INC'!D:D)</f>
        <v>0</v>
      </c>
      <c r="G683" s="108"/>
      <c r="H683" s="889"/>
      <c r="I683" s="889"/>
      <c r="J683" s="798">
        <f t="shared" si="70"/>
        <v>0</v>
      </c>
      <c r="K683" s="209"/>
      <c r="L683" s="434"/>
      <c r="M683" s="828"/>
      <c r="N683" s="11">
        <v>0</v>
      </c>
      <c r="O683" s="11">
        <v>0</v>
      </c>
      <c r="P683" s="11">
        <v>0</v>
      </c>
      <c r="Q683" s="11">
        <v>0</v>
      </c>
      <c r="R683" s="773">
        <v>0</v>
      </c>
      <c r="S683" s="11">
        <v>0</v>
      </c>
      <c r="T683" s="773">
        <v>0</v>
      </c>
      <c r="U683" s="2173">
        <v>0</v>
      </c>
      <c r="V683" s="2509">
        <v>0</v>
      </c>
      <c r="W683" s="2509">
        <v>0</v>
      </c>
      <c r="X683" s="2509">
        <v>0</v>
      </c>
      <c r="Y683" s="2509">
        <v>0</v>
      </c>
      <c r="Z683" s="11">
        <f>'[26]New TB INC'!Z628</f>
        <v>0</v>
      </c>
      <c r="AA683" s="11">
        <f>'[27]New TB INC'!AA637</f>
        <v>0</v>
      </c>
      <c r="AB683" s="11">
        <f>'[28]New TB INC'!AB643</f>
        <v>0</v>
      </c>
      <c r="AC683" s="11">
        <f>'[29]New TB INC'!AC639</f>
        <v>0</v>
      </c>
      <c r="AD683" s="11">
        <f>'[30]New TB INC'!AD634</f>
        <v>0</v>
      </c>
      <c r="AE683" s="11">
        <f>'[31]New TB INC'!AE642</f>
        <v>0</v>
      </c>
      <c r="AF683" s="11">
        <v>0</v>
      </c>
      <c r="AG683" s="11">
        <v>0</v>
      </c>
      <c r="AH683" s="11">
        <v>0</v>
      </c>
      <c r="AI683" s="11">
        <v>0</v>
      </c>
      <c r="AJ683" s="11">
        <v>0</v>
      </c>
      <c r="AK683" s="11">
        <f>$J683-SUM($Z683:AJ683)</f>
        <v>0</v>
      </c>
      <c r="AW683" s="2509"/>
      <c r="BH683" s="2509"/>
      <c r="BI683" s="772"/>
      <c r="BJ683" s="2173"/>
      <c r="BK683" s="2173"/>
      <c r="BL683" s="773"/>
      <c r="BN683" s="773"/>
      <c r="BO683" s="209"/>
      <c r="BQ683" s="209"/>
      <c r="BR683" s="859"/>
      <c r="BS683" s="885"/>
      <c r="CI683" s="4"/>
      <c r="CJ683" s="4"/>
      <c r="DB683" s="773"/>
      <c r="DC683" s="773"/>
      <c r="DD683" s="773"/>
      <c r="DE683" s="773"/>
      <c r="DF683" s="773"/>
      <c r="DG683" s="773"/>
      <c r="DH683" s="773"/>
      <c r="DI683" s="773"/>
      <c r="DJ683" s="773"/>
      <c r="DK683" s="773"/>
      <c r="DL683" s="773"/>
      <c r="DM683" s="773"/>
      <c r="DN683" s="773"/>
      <c r="DO683" s="773"/>
      <c r="DP683" s="773"/>
      <c r="DQ683" s="773"/>
      <c r="DR683" s="773"/>
      <c r="DS683" s="773"/>
      <c r="DT683" s="773"/>
      <c r="DU683" s="773"/>
      <c r="DV683" s="773"/>
      <c r="DW683" s="773"/>
      <c r="DX683" s="773"/>
      <c r="DY683" s="773"/>
      <c r="DZ683" s="773"/>
      <c r="EA683" s="773"/>
      <c r="EB683" s="773"/>
      <c r="EC683" s="773"/>
      <c r="ED683" s="773"/>
      <c r="EE683" s="773"/>
      <c r="EF683" s="773"/>
      <c r="EG683" s="773"/>
      <c r="EH683" s="773"/>
      <c r="EI683" s="773"/>
      <c r="EJ683" s="773"/>
      <c r="EK683" s="773"/>
      <c r="EL683" s="773"/>
      <c r="EM683" s="773"/>
      <c r="EN683" s="773"/>
      <c r="EO683" s="773"/>
      <c r="EP683" s="773"/>
      <c r="EQ683" s="773"/>
      <c r="ER683" s="773"/>
      <c r="ES683" s="773"/>
      <c r="ET683" s="773"/>
      <c r="EU683" s="773"/>
      <c r="EV683" s="773"/>
      <c r="EW683" s="773"/>
      <c r="EX683" s="773"/>
      <c r="EY683" s="773"/>
      <c r="EZ683" s="773"/>
      <c r="FA683" s="773"/>
      <c r="FB683" s="773"/>
      <c r="FC683" s="773"/>
      <c r="FD683" s="773"/>
      <c r="FE683" s="773"/>
      <c r="FF683" s="773"/>
      <c r="FG683" s="773"/>
      <c r="FH683" s="773"/>
      <c r="FI683" s="773"/>
      <c r="FJ683" s="773"/>
      <c r="FK683" s="773"/>
      <c r="FL683" s="773"/>
      <c r="FM683" s="773"/>
      <c r="FN683" s="773"/>
      <c r="FO683" s="773"/>
      <c r="FP683" s="773"/>
      <c r="FQ683" s="773"/>
      <c r="FR683" s="773"/>
      <c r="FS683" s="773"/>
      <c r="FT683" s="773"/>
      <c r="FU683" s="773"/>
      <c r="FV683" s="773"/>
      <c r="FW683" s="773"/>
      <c r="FX683" s="773"/>
      <c r="FY683" s="773"/>
      <c r="FZ683" s="773"/>
      <c r="GA683" s="773"/>
      <c r="GB683" s="773"/>
      <c r="GC683" s="773"/>
      <c r="GD683" s="773"/>
      <c r="GE683" s="773"/>
      <c r="GF683" s="773"/>
      <c r="GG683" s="773"/>
      <c r="GH683" s="773"/>
      <c r="GI683" s="773"/>
      <c r="GJ683" s="773"/>
      <c r="GK683" s="773"/>
      <c r="GL683" s="773"/>
      <c r="GM683" s="773"/>
      <c r="GN683" s="773"/>
      <c r="GO683" s="773"/>
      <c r="GP683" s="773"/>
      <c r="GQ683" s="773"/>
      <c r="GR683" s="773"/>
      <c r="GS683" s="773"/>
      <c r="GT683" s="773"/>
      <c r="GU683" s="773"/>
      <c r="GV683" s="773"/>
      <c r="GW683" s="773"/>
      <c r="GX683" s="773"/>
      <c r="GY683" s="773"/>
      <c r="GZ683" s="773"/>
    </row>
    <row r="684" spans="1:208" s="11" customFormat="1">
      <c r="A684" s="774"/>
      <c r="B684" s="3761" t="s">
        <v>1377</v>
      </c>
      <c r="C684" s="197">
        <v>8010012</v>
      </c>
      <c r="D684" s="199" t="s">
        <v>2039</v>
      </c>
      <c r="E684" s="798">
        <f>IFERROR(VLOOKUP(C684,'AJE 12 - INC'!$D$168:$F$771,3,0),0)</f>
        <v>0</v>
      </c>
      <c r="F684" s="108">
        <f>SUMIF('AJE 12 - INC'!B:B,'New TB INC'!C684,'AJE 12 - INC'!D:D)</f>
        <v>0</v>
      </c>
      <c r="G684" s="108"/>
      <c r="H684" s="889"/>
      <c r="I684" s="889"/>
      <c r="J684" s="798">
        <f t="shared" si="70"/>
        <v>0</v>
      </c>
      <c r="K684" s="209"/>
      <c r="L684" s="434"/>
      <c r="M684" s="828"/>
      <c r="N684" s="11">
        <v>0</v>
      </c>
      <c r="O684" s="11">
        <v>0</v>
      </c>
      <c r="P684" s="11">
        <v>0</v>
      </c>
      <c r="Q684" s="11">
        <v>0</v>
      </c>
      <c r="R684" s="773">
        <v>0</v>
      </c>
      <c r="S684" s="11">
        <v>0</v>
      </c>
      <c r="T684" s="773">
        <v>0</v>
      </c>
      <c r="U684" s="2173">
        <v>0</v>
      </c>
      <c r="V684" s="2509">
        <v>0</v>
      </c>
      <c r="W684" s="2509">
        <v>0</v>
      </c>
      <c r="X684" s="2509">
        <v>0</v>
      </c>
      <c r="Y684" s="2509">
        <v>0</v>
      </c>
      <c r="Z684" s="11">
        <f>'[26]New TB INC'!Z629</f>
        <v>0</v>
      </c>
      <c r="AA684" s="11">
        <f>'[27]New TB INC'!AA638</f>
        <v>0</v>
      </c>
      <c r="AB684" s="11">
        <f>'[28]New TB INC'!AB644</f>
        <v>0</v>
      </c>
      <c r="AC684" s="11">
        <f>'[29]New TB INC'!AC640</f>
        <v>0</v>
      </c>
      <c r="AD684" s="11">
        <f>'[30]New TB INC'!AD635</f>
        <v>0</v>
      </c>
      <c r="AE684" s="11">
        <f>'[31]New TB INC'!AE643</f>
        <v>0</v>
      </c>
      <c r="AF684" s="11">
        <v>0</v>
      </c>
      <c r="AG684" s="11">
        <v>0</v>
      </c>
      <c r="AH684" s="11">
        <v>0</v>
      </c>
      <c r="AI684" s="11">
        <v>0</v>
      </c>
      <c r="AJ684" s="11">
        <v>0</v>
      </c>
      <c r="AK684" s="11">
        <f>$J684-SUM($Z684:AJ684)</f>
        <v>0</v>
      </c>
      <c r="AW684" s="2509"/>
      <c r="BH684" s="2509"/>
      <c r="BI684" s="772"/>
      <c r="BJ684" s="2173"/>
      <c r="BK684" s="2173"/>
      <c r="BL684" s="773"/>
      <c r="BN684" s="773"/>
      <c r="BO684" s="209"/>
      <c r="BQ684" s="209"/>
      <c r="BR684" s="859"/>
      <c r="BS684" s="885"/>
      <c r="CI684" s="4"/>
      <c r="CJ684" s="4"/>
      <c r="DB684" s="773"/>
      <c r="DC684" s="773"/>
      <c r="DD684" s="773"/>
      <c r="DE684" s="773"/>
      <c r="DF684" s="773"/>
      <c r="DG684" s="773"/>
      <c r="DH684" s="773"/>
      <c r="DI684" s="773"/>
      <c r="DJ684" s="773"/>
      <c r="DK684" s="773"/>
      <c r="DL684" s="773"/>
      <c r="DM684" s="773"/>
      <c r="DN684" s="773"/>
      <c r="DO684" s="773"/>
      <c r="DP684" s="773"/>
      <c r="DQ684" s="773"/>
      <c r="DR684" s="773"/>
      <c r="DS684" s="773"/>
      <c r="DT684" s="773"/>
      <c r="DU684" s="773"/>
      <c r="DV684" s="773"/>
      <c r="DW684" s="773"/>
      <c r="DX684" s="773"/>
      <c r="DY684" s="773"/>
      <c r="DZ684" s="773"/>
      <c r="EA684" s="773"/>
      <c r="EB684" s="773"/>
      <c r="EC684" s="773"/>
      <c r="ED684" s="773"/>
      <c r="EE684" s="773"/>
      <c r="EF684" s="773"/>
      <c r="EG684" s="773"/>
      <c r="EH684" s="773"/>
      <c r="EI684" s="773"/>
      <c r="EJ684" s="773"/>
      <c r="EK684" s="773"/>
      <c r="EL684" s="773"/>
      <c r="EM684" s="773"/>
      <c r="EN684" s="773"/>
      <c r="EO684" s="773"/>
      <c r="EP684" s="773"/>
      <c r="EQ684" s="773"/>
      <c r="ER684" s="773"/>
      <c r="ES684" s="773"/>
      <c r="ET684" s="773"/>
      <c r="EU684" s="773"/>
      <c r="EV684" s="773"/>
      <c r="EW684" s="773"/>
      <c r="EX684" s="773"/>
      <c r="EY684" s="773"/>
      <c r="EZ684" s="773"/>
      <c r="FA684" s="773"/>
      <c r="FB684" s="773"/>
      <c r="FC684" s="773"/>
      <c r="FD684" s="773"/>
      <c r="FE684" s="773"/>
      <c r="FF684" s="773"/>
      <c r="FG684" s="773"/>
      <c r="FH684" s="773"/>
      <c r="FI684" s="773"/>
      <c r="FJ684" s="773"/>
      <c r="FK684" s="773"/>
      <c r="FL684" s="773"/>
      <c r="FM684" s="773"/>
      <c r="FN684" s="773"/>
      <c r="FO684" s="773"/>
      <c r="FP684" s="773"/>
      <c r="FQ684" s="773"/>
      <c r="FR684" s="773"/>
      <c r="FS684" s="773"/>
      <c r="FT684" s="773"/>
      <c r="FU684" s="773"/>
      <c r="FV684" s="773"/>
      <c r="FW684" s="773"/>
      <c r="FX684" s="773"/>
      <c r="FY684" s="773"/>
      <c r="FZ684" s="773"/>
      <c r="GA684" s="773"/>
      <c r="GB684" s="773"/>
      <c r="GC684" s="773"/>
      <c r="GD684" s="773"/>
      <c r="GE684" s="773"/>
      <c r="GF684" s="773"/>
      <c r="GG684" s="773"/>
      <c r="GH684" s="773"/>
      <c r="GI684" s="773"/>
      <c r="GJ684" s="773"/>
      <c r="GK684" s="773"/>
      <c r="GL684" s="773"/>
      <c r="GM684" s="773"/>
      <c r="GN684" s="773"/>
      <c r="GO684" s="773"/>
      <c r="GP684" s="773"/>
      <c r="GQ684" s="773"/>
      <c r="GR684" s="773"/>
      <c r="GS684" s="773"/>
      <c r="GT684" s="773"/>
      <c r="GU684" s="773"/>
      <c r="GV684" s="773"/>
      <c r="GW684" s="773"/>
      <c r="GX684" s="773"/>
      <c r="GY684" s="773"/>
      <c r="GZ684" s="773"/>
    </row>
    <row r="685" spans="1:208" s="11" customFormat="1">
      <c r="A685" s="774"/>
      <c r="B685" s="3761"/>
      <c r="C685" s="197"/>
      <c r="D685" s="199"/>
      <c r="E685" s="42"/>
      <c r="F685" s="108"/>
      <c r="G685" s="108"/>
      <c r="H685" s="889"/>
      <c r="I685" s="889"/>
      <c r="J685" s="798"/>
      <c r="K685" s="209"/>
      <c r="L685" s="434"/>
      <c r="M685" s="828"/>
      <c r="N685" s="11">
        <v>0</v>
      </c>
      <c r="O685" s="11">
        <v>0</v>
      </c>
      <c r="P685" s="11">
        <v>0</v>
      </c>
      <c r="Q685" s="11">
        <v>0</v>
      </c>
      <c r="R685" s="773">
        <v>0</v>
      </c>
      <c r="S685" s="11">
        <v>0</v>
      </c>
      <c r="T685" s="773">
        <v>0</v>
      </c>
      <c r="U685" s="2173">
        <v>0</v>
      </c>
      <c r="V685" s="2509">
        <v>0</v>
      </c>
      <c r="W685" s="2509">
        <v>0</v>
      </c>
      <c r="X685" s="2509">
        <v>0</v>
      </c>
      <c r="Y685" s="2509">
        <v>0</v>
      </c>
      <c r="Z685" s="11">
        <f>'[26]New TB INC'!Z630</f>
        <v>0</v>
      </c>
      <c r="AA685" s="11">
        <f>'[27]New TB INC'!AA639</f>
        <v>0</v>
      </c>
      <c r="AB685" s="11">
        <f>'[28]New TB INC'!AB645</f>
        <v>0</v>
      </c>
      <c r="AC685" s="11">
        <f>'[29]New TB INC'!AC641</f>
        <v>0</v>
      </c>
      <c r="AD685" s="11">
        <f>'[30]New TB INC'!AD636</f>
        <v>0</v>
      </c>
      <c r="AE685" s="11">
        <f>'[31]New TB INC'!AE644</f>
        <v>0</v>
      </c>
      <c r="AF685" s="11">
        <v>0</v>
      </c>
      <c r="AG685" s="11">
        <v>0</v>
      </c>
      <c r="AH685" s="11">
        <v>0</v>
      </c>
      <c r="AI685" s="11">
        <v>0</v>
      </c>
      <c r="AJ685" s="11">
        <v>0</v>
      </c>
      <c r="AK685" s="11">
        <f>$J685-SUM($Z685:AJ685)</f>
        <v>0</v>
      </c>
      <c r="AW685" s="2509"/>
      <c r="BH685" s="2509"/>
      <c r="BI685" s="772"/>
      <c r="BJ685" s="2173"/>
      <c r="BK685" s="2173"/>
      <c r="BL685" s="773"/>
      <c r="BN685" s="773"/>
      <c r="BO685" s="209"/>
      <c r="BQ685" s="209"/>
      <c r="BR685" s="859"/>
      <c r="BS685" s="885"/>
      <c r="CI685" s="4"/>
      <c r="CJ685" s="4"/>
      <c r="DB685" s="773"/>
      <c r="DC685" s="773"/>
      <c r="DD685" s="773"/>
      <c r="DE685" s="773"/>
      <c r="DF685" s="773"/>
      <c r="DG685" s="773"/>
      <c r="DH685" s="773"/>
      <c r="DI685" s="773"/>
      <c r="DJ685" s="773"/>
      <c r="DK685" s="773"/>
      <c r="DL685" s="773"/>
      <c r="DM685" s="773"/>
      <c r="DN685" s="773"/>
      <c r="DO685" s="773"/>
      <c r="DP685" s="773"/>
      <c r="DQ685" s="773"/>
      <c r="DR685" s="773"/>
      <c r="DS685" s="773"/>
      <c r="DT685" s="773"/>
      <c r="DU685" s="773"/>
      <c r="DV685" s="773"/>
      <c r="DW685" s="773"/>
      <c r="DX685" s="773"/>
      <c r="DY685" s="773"/>
      <c r="DZ685" s="773"/>
      <c r="EA685" s="773"/>
      <c r="EB685" s="773"/>
      <c r="EC685" s="773"/>
      <c r="ED685" s="773"/>
      <c r="EE685" s="773"/>
      <c r="EF685" s="773"/>
      <c r="EG685" s="773"/>
      <c r="EH685" s="773"/>
      <c r="EI685" s="773"/>
      <c r="EJ685" s="773"/>
      <c r="EK685" s="773"/>
      <c r="EL685" s="773"/>
      <c r="EM685" s="773"/>
      <c r="EN685" s="773"/>
      <c r="EO685" s="773"/>
      <c r="EP685" s="773"/>
      <c r="EQ685" s="773"/>
      <c r="ER685" s="773"/>
      <c r="ES685" s="773"/>
      <c r="ET685" s="773"/>
      <c r="EU685" s="773"/>
      <c r="EV685" s="773"/>
      <c r="EW685" s="773"/>
      <c r="EX685" s="773"/>
      <c r="EY685" s="773"/>
      <c r="EZ685" s="773"/>
      <c r="FA685" s="773"/>
      <c r="FB685" s="773"/>
      <c r="FC685" s="773"/>
      <c r="FD685" s="773"/>
      <c r="FE685" s="773"/>
      <c r="FF685" s="773"/>
      <c r="FG685" s="773"/>
      <c r="FH685" s="773"/>
      <c r="FI685" s="773"/>
      <c r="FJ685" s="773"/>
      <c r="FK685" s="773"/>
      <c r="FL685" s="773"/>
      <c r="FM685" s="773"/>
      <c r="FN685" s="773"/>
      <c r="FO685" s="773"/>
      <c r="FP685" s="773"/>
      <c r="FQ685" s="773"/>
      <c r="FR685" s="773"/>
      <c r="FS685" s="773"/>
      <c r="FT685" s="773"/>
      <c r="FU685" s="773"/>
      <c r="FV685" s="773"/>
      <c r="FW685" s="773"/>
      <c r="FX685" s="773"/>
      <c r="FY685" s="773"/>
      <c r="FZ685" s="773"/>
      <c r="GA685" s="773"/>
      <c r="GB685" s="773"/>
      <c r="GC685" s="773"/>
      <c r="GD685" s="773"/>
      <c r="GE685" s="773"/>
      <c r="GF685" s="773"/>
      <c r="GG685" s="773"/>
      <c r="GH685" s="773"/>
      <c r="GI685" s="773"/>
      <c r="GJ685" s="773"/>
      <c r="GK685" s="773"/>
      <c r="GL685" s="773"/>
      <c r="GM685" s="773"/>
      <c r="GN685" s="773"/>
      <c r="GO685" s="773"/>
      <c r="GP685" s="773"/>
      <c r="GQ685" s="773"/>
      <c r="GR685" s="773"/>
      <c r="GS685" s="773"/>
      <c r="GT685" s="773"/>
      <c r="GU685" s="773"/>
      <c r="GV685" s="773"/>
      <c r="GW685" s="773"/>
      <c r="GX685" s="773"/>
      <c r="GY685" s="773"/>
      <c r="GZ685" s="773"/>
    </row>
    <row r="686" spans="1:208" s="11" customFormat="1">
      <c r="A686" s="774"/>
      <c r="B686" s="3761" t="s">
        <v>3111</v>
      </c>
      <c r="C686" s="197">
        <v>8020005</v>
      </c>
      <c r="D686" s="199" t="s">
        <v>3259</v>
      </c>
      <c r="E686" s="798">
        <f>IFERROR(VLOOKUP(C686,'AJE 12 - INC'!$D$168:$F$771,3,0),0)</f>
        <v>2266.94</v>
      </c>
      <c r="F686" s="108">
        <f>SUMIF('AJE 12 - INC'!B:B,'New TB INC'!C686,'AJE 12 - INC'!D:D)</f>
        <v>0</v>
      </c>
      <c r="G686" s="108"/>
      <c r="H686" s="889"/>
      <c r="I686" s="889"/>
      <c r="J686" s="1303">
        <f>SUM(E686:I686)</f>
        <v>2266.94</v>
      </c>
      <c r="K686" s="209"/>
      <c r="L686" s="434"/>
      <c r="M686" s="828"/>
      <c r="N686" s="11">
        <v>0</v>
      </c>
      <c r="O686" s="11">
        <v>0</v>
      </c>
      <c r="P686" s="11">
        <v>0</v>
      </c>
      <c r="Q686" s="11">
        <v>0</v>
      </c>
      <c r="R686" s="773">
        <v>0</v>
      </c>
      <c r="S686" s="11">
        <v>0</v>
      </c>
      <c r="T686" s="773">
        <v>0</v>
      </c>
      <c r="U686" s="2173">
        <v>0</v>
      </c>
      <c r="V686" s="2509">
        <v>0</v>
      </c>
      <c r="W686" s="2509">
        <v>0</v>
      </c>
      <c r="X686" s="2509">
        <v>0</v>
      </c>
      <c r="Y686" s="2509">
        <v>0</v>
      </c>
      <c r="Z686" s="11">
        <f>'[26]New TB INC'!Z631</f>
        <v>119.95</v>
      </c>
      <c r="AA686" s="11">
        <f>'[27]New TB INC'!AA640</f>
        <v>0</v>
      </c>
      <c r="AB686" s="11">
        <f>'[28]New TB INC'!AB646</f>
        <v>338.95</v>
      </c>
      <c r="AC686" s="11">
        <f>'[29]New TB INC'!AC642</f>
        <v>119.95000000000005</v>
      </c>
      <c r="AD686" s="11">
        <f>'[30]New TB INC'!AD637</f>
        <v>0</v>
      </c>
      <c r="AE686" s="11">
        <f>'[31]New TB INC'!AE645</f>
        <v>359.85</v>
      </c>
      <c r="AF686" s="11">
        <v>769.79</v>
      </c>
      <c r="AG686" s="11">
        <v>198.62999999999988</v>
      </c>
      <c r="AH686" s="11">
        <v>0</v>
      </c>
      <c r="AI686" s="11">
        <v>239</v>
      </c>
      <c r="AJ686" s="11">
        <v>119.95000000000027</v>
      </c>
      <c r="AK686" s="11">
        <f>$J686-SUM($Z686:AJ686)</f>
        <v>0.86999999999989086</v>
      </c>
      <c r="AW686" s="2509"/>
      <c r="BH686" s="2509"/>
      <c r="BI686" s="772"/>
      <c r="BJ686" s="2173"/>
      <c r="BK686" s="2173"/>
      <c r="BL686" s="773"/>
      <c r="BN686" s="773"/>
      <c r="BO686" s="209"/>
      <c r="BQ686" s="209"/>
      <c r="BR686" s="859"/>
      <c r="BS686" s="885"/>
      <c r="CI686" s="4"/>
      <c r="CJ686" s="4"/>
      <c r="DB686" s="773"/>
      <c r="DC686" s="773"/>
      <c r="DD686" s="773"/>
      <c r="DE686" s="773"/>
      <c r="DF686" s="773"/>
      <c r="DG686" s="773"/>
      <c r="DH686" s="773"/>
      <c r="DI686" s="773"/>
      <c r="DJ686" s="773"/>
      <c r="DK686" s="773"/>
      <c r="DL686" s="773"/>
      <c r="DM686" s="773"/>
      <c r="DN686" s="773"/>
      <c r="DO686" s="773"/>
      <c r="DP686" s="773"/>
      <c r="DQ686" s="773"/>
      <c r="DR686" s="773"/>
      <c r="DS686" s="773"/>
      <c r="DT686" s="773"/>
      <c r="DU686" s="773"/>
      <c r="DV686" s="773"/>
      <c r="DW686" s="773"/>
      <c r="DX686" s="773"/>
      <c r="DY686" s="773"/>
      <c r="DZ686" s="773"/>
      <c r="EA686" s="773"/>
      <c r="EB686" s="773"/>
      <c r="EC686" s="773"/>
      <c r="ED686" s="773"/>
      <c r="EE686" s="773"/>
      <c r="EF686" s="773"/>
      <c r="EG686" s="773"/>
      <c r="EH686" s="773"/>
      <c r="EI686" s="773"/>
      <c r="EJ686" s="773"/>
      <c r="EK686" s="773"/>
      <c r="EL686" s="773"/>
      <c r="EM686" s="773"/>
      <c r="EN686" s="773"/>
      <c r="EO686" s="773"/>
      <c r="EP686" s="773"/>
      <c r="EQ686" s="773"/>
      <c r="ER686" s="773"/>
      <c r="ES686" s="773"/>
      <c r="ET686" s="773"/>
      <c r="EU686" s="773"/>
      <c r="EV686" s="773"/>
      <c r="EW686" s="773"/>
      <c r="EX686" s="773"/>
      <c r="EY686" s="773"/>
      <c r="EZ686" s="773"/>
      <c r="FA686" s="773"/>
      <c r="FB686" s="773"/>
      <c r="FC686" s="773"/>
      <c r="FD686" s="773"/>
      <c r="FE686" s="773"/>
      <c r="FF686" s="773"/>
      <c r="FG686" s="773"/>
      <c r="FH686" s="773"/>
      <c r="FI686" s="773"/>
      <c r="FJ686" s="773"/>
      <c r="FK686" s="773"/>
      <c r="FL686" s="773"/>
      <c r="FM686" s="773"/>
      <c r="FN686" s="773"/>
      <c r="FO686" s="773"/>
      <c r="FP686" s="773"/>
      <c r="FQ686" s="773"/>
      <c r="FR686" s="773"/>
      <c r="FS686" s="773"/>
      <c r="FT686" s="773"/>
      <c r="FU686" s="773"/>
      <c r="FV686" s="773"/>
      <c r="FW686" s="773"/>
      <c r="FX686" s="773"/>
      <c r="FY686" s="773"/>
      <c r="FZ686" s="773"/>
      <c r="GA686" s="773"/>
      <c r="GB686" s="773"/>
      <c r="GC686" s="773"/>
      <c r="GD686" s="773"/>
      <c r="GE686" s="773"/>
      <c r="GF686" s="773"/>
      <c r="GG686" s="773"/>
      <c r="GH686" s="773"/>
      <c r="GI686" s="773"/>
      <c r="GJ686" s="773"/>
      <c r="GK686" s="773"/>
      <c r="GL686" s="773"/>
      <c r="GM686" s="773"/>
      <c r="GN686" s="773"/>
      <c r="GO686" s="773"/>
      <c r="GP686" s="773"/>
      <c r="GQ686" s="773"/>
      <c r="GR686" s="773"/>
      <c r="GS686" s="773"/>
      <c r="GT686" s="773"/>
      <c r="GU686" s="773"/>
      <c r="GV686" s="773"/>
      <c r="GW686" s="773"/>
      <c r="GX686" s="773"/>
      <c r="GY686" s="773"/>
      <c r="GZ686" s="773"/>
    </row>
    <row r="687" spans="1:208" s="11" customFormat="1">
      <c r="A687" s="774"/>
      <c r="B687" s="3761"/>
      <c r="C687" s="197"/>
      <c r="D687" s="199"/>
      <c r="E687" s="42"/>
      <c r="F687" s="108"/>
      <c r="G687" s="108"/>
      <c r="H687" s="889"/>
      <c r="I687" s="889"/>
      <c r="J687" s="798"/>
      <c r="K687" s="209"/>
      <c r="L687" s="434"/>
      <c r="M687" s="828"/>
      <c r="N687" s="11">
        <v>0</v>
      </c>
      <c r="O687" s="11">
        <v>0</v>
      </c>
      <c r="P687" s="11">
        <v>0</v>
      </c>
      <c r="Q687" s="11">
        <v>0</v>
      </c>
      <c r="R687" s="773">
        <v>0</v>
      </c>
      <c r="S687" s="11">
        <v>0</v>
      </c>
      <c r="T687" s="773">
        <v>0</v>
      </c>
      <c r="U687" s="2173">
        <v>0</v>
      </c>
      <c r="V687" s="2509">
        <v>0</v>
      </c>
      <c r="W687" s="2509">
        <v>0</v>
      </c>
      <c r="X687" s="2509">
        <v>0</v>
      </c>
      <c r="Y687" s="2509">
        <v>0</v>
      </c>
      <c r="Z687" s="11">
        <f>'[26]New TB INC'!Z632</f>
        <v>0</v>
      </c>
      <c r="AA687" s="11">
        <f>'[27]New TB INC'!AA641</f>
        <v>0</v>
      </c>
      <c r="AB687" s="11">
        <f>'[28]New TB INC'!AB647</f>
        <v>0</v>
      </c>
      <c r="AC687" s="11">
        <f>'[29]New TB INC'!AC643</f>
        <v>0</v>
      </c>
      <c r="AD687" s="11">
        <f>'[30]New TB INC'!AD638</f>
        <v>0</v>
      </c>
      <c r="AE687" s="11">
        <f>'[31]New TB INC'!AE646</f>
        <v>0</v>
      </c>
      <c r="AF687" s="11">
        <v>0</v>
      </c>
      <c r="AG687" s="11">
        <v>0</v>
      </c>
      <c r="AH687" s="11">
        <v>0</v>
      </c>
      <c r="AI687" s="11">
        <v>0</v>
      </c>
      <c r="AJ687" s="11">
        <v>0</v>
      </c>
      <c r="AK687" s="11">
        <f>$J687-SUM($Z687:AJ687)</f>
        <v>0</v>
      </c>
      <c r="AW687" s="2509"/>
      <c r="BH687" s="2509"/>
      <c r="BI687" s="772"/>
      <c r="BJ687" s="2173"/>
      <c r="BK687" s="2173"/>
      <c r="BL687" s="773"/>
      <c r="BN687" s="773"/>
      <c r="BO687" s="209"/>
      <c r="BQ687" s="209"/>
      <c r="BR687" s="859"/>
      <c r="BS687" s="885"/>
      <c r="CI687" s="4"/>
      <c r="CJ687" s="4"/>
      <c r="DB687" s="773"/>
      <c r="DC687" s="773"/>
      <c r="DD687" s="773"/>
      <c r="DE687" s="773"/>
      <c r="DF687" s="773"/>
      <c r="DG687" s="773"/>
      <c r="DH687" s="773"/>
      <c r="DI687" s="773"/>
      <c r="DJ687" s="773"/>
      <c r="DK687" s="773"/>
      <c r="DL687" s="773"/>
      <c r="DM687" s="773"/>
      <c r="DN687" s="773"/>
      <c r="DO687" s="773"/>
      <c r="DP687" s="773"/>
      <c r="DQ687" s="773"/>
      <c r="DR687" s="773"/>
      <c r="DS687" s="773"/>
      <c r="DT687" s="773"/>
      <c r="DU687" s="773"/>
      <c r="DV687" s="773"/>
      <c r="DW687" s="773"/>
      <c r="DX687" s="773"/>
      <c r="DY687" s="773"/>
      <c r="DZ687" s="773"/>
      <c r="EA687" s="773"/>
      <c r="EB687" s="773"/>
      <c r="EC687" s="773"/>
      <c r="ED687" s="773"/>
      <c r="EE687" s="773"/>
      <c r="EF687" s="773"/>
      <c r="EG687" s="773"/>
      <c r="EH687" s="773"/>
      <c r="EI687" s="773"/>
      <c r="EJ687" s="773"/>
      <c r="EK687" s="773"/>
      <c r="EL687" s="773"/>
      <c r="EM687" s="773"/>
      <c r="EN687" s="773"/>
      <c r="EO687" s="773"/>
      <c r="EP687" s="773"/>
      <c r="EQ687" s="773"/>
      <c r="ER687" s="773"/>
      <c r="ES687" s="773"/>
      <c r="ET687" s="773"/>
      <c r="EU687" s="773"/>
      <c r="EV687" s="773"/>
      <c r="EW687" s="773"/>
      <c r="EX687" s="773"/>
      <c r="EY687" s="773"/>
      <c r="EZ687" s="773"/>
      <c r="FA687" s="773"/>
      <c r="FB687" s="773"/>
      <c r="FC687" s="773"/>
      <c r="FD687" s="773"/>
      <c r="FE687" s="773"/>
      <c r="FF687" s="773"/>
      <c r="FG687" s="773"/>
      <c r="FH687" s="773"/>
      <c r="FI687" s="773"/>
      <c r="FJ687" s="773"/>
      <c r="FK687" s="773"/>
      <c r="FL687" s="773"/>
      <c r="FM687" s="773"/>
      <c r="FN687" s="773"/>
      <c r="FO687" s="773"/>
      <c r="FP687" s="773"/>
      <c r="FQ687" s="773"/>
      <c r="FR687" s="773"/>
      <c r="FS687" s="773"/>
      <c r="FT687" s="773"/>
      <c r="FU687" s="773"/>
      <c r="FV687" s="773"/>
      <c r="FW687" s="773"/>
      <c r="FX687" s="773"/>
      <c r="FY687" s="773"/>
      <c r="FZ687" s="773"/>
      <c r="GA687" s="773"/>
      <c r="GB687" s="773"/>
      <c r="GC687" s="773"/>
      <c r="GD687" s="773"/>
      <c r="GE687" s="773"/>
      <c r="GF687" s="773"/>
      <c r="GG687" s="773"/>
      <c r="GH687" s="773"/>
      <c r="GI687" s="773"/>
      <c r="GJ687" s="773"/>
      <c r="GK687" s="773"/>
      <c r="GL687" s="773"/>
      <c r="GM687" s="773"/>
      <c r="GN687" s="773"/>
      <c r="GO687" s="773"/>
      <c r="GP687" s="773"/>
      <c r="GQ687" s="773"/>
      <c r="GR687" s="773"/>
      <c r="GS687" s="773"/>
      <c r="GT687" s="773"/>
      <c r="GU687" s="773"/>
      <c r="GV687" s="773"/>
      <c r="GW687" s="773"/>
      <c r="GX687" s="773"/>
      <c r="GY687" s="773"/>
      <c r="GZ687" s="773"/>
    </row>
    <row r="688" spans="1:208" s="11" customFormat="1">
      <c r="A688" s="774"/>
      <c r="B688" s="3761" t="s">
        <v>2040</v>
      </c>
      <c r="C688" s="197">
        <v>8120009</v>
      </c>
      <c r="D688" s="199" t="s">
        <v>1730</v>
      </c>
      <c r="E688" s="798">
        <f>IFERROR(VLOOKUP(C688,'AJE 12 - INC'!$D$168:$F$771,3,0),0)</f>
        <v>0</v>
      </c>
      <c r="F688" s="108">
        <f>SUMIF('AJE 12 - INC'!B:B,'New TB INC'!C688,'AJE 12 - INC'!D:D)</f>
        <v>0</v>
      </c>
      <c r="G688" s="108"/>
      <c r="H688" s="889"/>
      <c r="I688" s="889"/>
      <c r="J688" s="798">
        <f>SUM(E688:I688)</f>
        <v>0</v>
      </c>
      <c r="K688" s="209"/>
      <c r="L688" s="434"/>
      <c r="M688" s="828"/>
      <c r="N688" s="11">
        <v>0</v>
      </c>
      <c r="O688" s="11">
        <v>0</v>
      </c>
      <c r="P688" s="11">
        <v>0</v>
      </c>
      <c r="Q688" s="11">
        <v>0</v>
      </c>
      <c r="R688" s="773">
        <v>0</v>
      </c>
      <c r="S688" s="11">
        <v>0</v>
      </c>
      <c r="T688" s="773">
        <v>0</v>
      </c>
      <c r="U688" s="2173">
        <v>0</v>
      </c>
      <c r="V688" s="2509">
        <v>0</v>
      </c>
      <c r="W688" s="2509">
        <v>0</v>
      </c>
      <c r="X688" s="2509">
        <v>0</v>
      </c>
      <c r="Y688" s="2509">
        <v>0</v>
      </c>
      <c r="Z688" s="11">
        <f>'[26]New TB INC'!Z633</f>
        <v>0</v>
      </c>
      <c r="AA688" s="11">
        <f>'[27]New TB INC'!AA642</f>
        <v>0</v>
      </c>
      <c r="AB688" s="11">
        <f>'[28]New TB INC'!AB648</f>
        <v>0</v>
      </c>
      <c r="AC688" s="11">
        <f>'[29]New TB INC'!AC644</f>
        <v>0</v>
      </c>
      <c r="AD688" s="11">
        <f>'[30]New TB INC'!AD639</f>
        <v>0</v>
      </c>
      <c r="AE688" s="11">
        <f>'[31]New TB INC'!AE647</f>
        <v>0</v>
      </c>
      <c r="AF688" s="11">
        <v>0</v>
      </c>
      <c r="AG688" s="11">
        <v>0</v>
      </c>
      <c r="AH688" s="11">
        <v>0</v>
      </c>
      <c r="AI688" s="11">
        <v>0</v>
      </c>
      <c r="AJ688" s="11">
        <v>0</v>
      </c>
      <c r="AK688" s="11">
        <f>$J688-SUM($Z688:AJ688)</f>
        <v>0</v>
      </c>
      <c r="AW688" s="2509"/>
      <c r="BH688" s="2509"/>
      <c r="BI688" s="772"/>
      <c r="BJ688" s="2173"/>
      <c r="BK688" s="2173"/>
      <c r="BL688" s="773"/>
      <c r="BN688" s="773"/>
      <c r="BO688" s="209"/>
      <c r="BQ688" s="209"/>
      <c r="BR688" s="859"/>
      <c r="BS688" s="885"/>
      <c r="CI688" s="4"/>
      <c r="CJ688" s="4"/>
      <c r="DB688" s="773"/>
      <c r="DC688" s="773"/>
      <c r="DD688" s="773"/>
      <c r="DE688" s="773"/>
      <c r="DF688" s="773"/>
      <c r="DG688" s="773"/>
      <c r="DH688" s="773"/>
      <c r="DI688" s="773"/>
      <c r="DJ688" s="773"/>
      <c r="DK688" s="773"/>
      <c r="DL688" s="773"/>
      <c r="DM688" s="773"/>
      <c r="DN688" s="773"/>
      <c r="DO688" s="773"/>
      <c r="DP688" s="773"/>
      <c r="DQ688" s="773"/>
      <c r="DR688" s="773"/>
      <c r="DS688" s="773"/>
      <c r="DT688" s="773"/>
      <c r="DU688" s="773"/>
      <c r="DV688" s="773"/>
      <c r="DW688" s="773"/>
      <c r="DX688" s="773"/>
      <c r="DY688" s="773"/>
      <c r="DZ688" s="773"/>
      <c r="EA688" s="773"/>
      <c r="EB688" s="773"/>
      <c r="EC688" s="773"/>
      <c r="ED688" s="773"/>
      <c r="EE688" s="773"/>
      <c r="EF688" s="773"/>
      <c r="EG688" s="773"/>
      <c r="EH688" s="773"/>
      <c r="EI688" s="773"/>
      <c r="EJ688" s="773"/>
      <c r="EK688" s="773"/>
      <c r="EL688" s="773"/>
      <c r="EM688" s="773"/>
      <c r="EN688" s="773"/>
      <c r="EO688" s="773"/>
      <c r="EP688" s="773"/>
      <c r="EQ688" s="773"/>
      <c r="ER688" s="773"/>
      <c r="ES688" s="773"/>
      <c r="ET688" s="773"/>
      <c r="EU688" s="773"/>
      <c r="EV688" s="773"/>
      <c r="EW688" s="773"/>
      <c r="EX688" s="773"/>
      <c r="EY688" s="773"/>
      <c r="EZ688" s="773"/>
      <c r="FA688" s="773"/>
      <c r="FB688" s="773"/>
      <c r="FC688" s="773"/>
      <c r="FD688" s="773"/>
      <c r="FE688" s="773"/>
      <c r="FF688" s="773"/>
      <c r="FG688" s="773"/>
      <c r="FH688" s="773"/>
      <c r="FI688" s="773"/>
      <c r="FJ688" s="773"/>
      <c r="FK688" s="773"/>
      <c r="FL688" s="773"/>
      <c r="FM688" s="773"/>
      <c r="FN688" s="773"/>
      <c r="FO688" s="773"/>
      <c r="FP688" s="773"/>
      <c r="FQ688" s="773"/>
      <c r="FR688" s="773"/>
      <c r="FS688" s="773"/>
      <c r="FT688" s="773"/>
      <c r="FU688" s="773"/>
      <c r="FV688" s="773"/>
      <c r="FW688" s="773"/>
      <c r="FX688" s="773"/>
      <c r="FY688" s="773"/>
      <c r="FZ688" s="773"/>
      <c r="GA688" s="773"/>
      <c r="GB688" s="773"/>
      <c r="GC688" s="773"/>
      <c r="GD688" s="773"/>
      <c r="GE688" s="773"/>
      <c r="GF688" s="773"/>
      <c r="GG688" s="773"/>
      <c r="GH688" s="773"/>
      <c r="GI688" s="773"/>
      <c r="GJ688" s="773"/>
      <c r="GK688" s="773"/>
      <c r="GL688" s="773"/>
      <c r="GM688" s="773"/>
      <c r="GN688" s="773"/>
      <c r="GO688" s="773"/>
      <c r="GP688" s="773"/>
      <c r="GQ688" s="773"/>
      <c r="GR688" s="773"/>
      <c r="GS688" s="773"/>
      <c r="GT688" s="773"/>
      <c r="GU688" s="773"/>
      <c r="GV688" s="773"/>
      <c r="GW688" s="773"/>
      <c r="GX688" s="773"/>
      <c r="GY688" s="773"/>
      <c r="GZ688" s="773"/>
    </row>
    <row r="689" spans="1:208" s="11" customFormat="1">
      <c r="A689" s="774"/>
      <c r="B689" s="3761" t="s">
        <v>2040</v>
      </c>
      <c r="C689" s="197">
        <v>8120010</v>
      </c>
      <c r="D689" s="199" t="s">
        <v>1731</v>
      </c>
      <c r="E689" s="798">
        <f>IFERROR(VLOOKUP(C689,'AJE 12 - INC'!$D$168:$F$771,3,0),0)</f>
        <v>0</v>
      </c>
      <c r="F689" s="108">
        <f>SUMIF('AJE 12 - INC'!B:B,'New TB INC'!C689,'AJE 12 - INC'!D:D)</f>
        <v>0</v>
      </c>
      <c r="G689" s="108"/>
      <c r="H689" s="889"/>
      <c r="I689" s="889"/>
      <c r="J689" s="798">
        <f>SUM(E689:I689)</f>
        <v>0</v>
      </c>
      <c r="K689" s="209"/>
      <c r="L689" s="434"/>
      <c r="M689" s="828"/>
      <c r="N689" s="11">
        <v>0</v>
      </c>
      <c r="O689" s="11">
        <v>0</v>
      </c>
      <c r="P689" s="11">
        <v>0</v>
      </c>
      <c r="Q689" s="11">
        <v>0</v>
      </c>
      <c r="R689" s="773">
        <v>0</v>
      </c>
      <c r="S689" s="11">
        <v>0</v>
      </c>
      <c r="T689" s="773">
        <v>0</v>
      </c>
      <c r="U689" s="2173">
        <v>0</v>
      </c>
      <c r="V689" s="2509">
        <v>0</v>
      </c>
      <c r="W689" s="2509">
        <v>0</v>
      </c>
      <c r="X689" s="2509">
        <v>0</v>
      </c>
      <c r="Y689" s="2509">
        <v>0</v>
      </c>
      <c r="Z689" s="11">
        <f>'[26]New TB INC'!Z634</f>
        <v>0</v>
      </c>
      <c r="AA689" s="11">
        <f>'[27]New TB INC'!AA643</f>
        <v>0</v>
      </c>
      <c r="AB689" s="11">
        <f>'[28]New TB INC'!AB649</f>
        <v>0</v>
      </c>
      <c r="AC689" s="11">
        <f>'[29]New TB INC'!AC645</f>
        <v>0</v>
      </c>
      <c r="AD689" s="11">
        <f>'[30]New TB INC'!AD640</f>
        <v>0</v>
      </c>
      <c r="AE689" s="11">
        <f>'[31]New TB INC'!AE648</f>
        <v>0</v>
      </c>
      <c r="AF689" s="11">
        <v>0</v>
      </c>
      <c r="AG689" s="11">
        <v>0</v>
      </c>
      <c r="AH689" s="11">
        <v>0</v>
      </c>
      <c r="AI689" s="11">
        <v>0</v>
      </c>
      <c r="AJ689" s="11">
        <v>0</v>
      </c>
      <c r="AK689" s="11">
        <f>$J689-SUM($Z689:AJ689)</f>
        <v>0</v>
      </c>
      <c r="AW689" s="2509"/>
      <c r="BH689" s="2509"/>
      <c r="BI689" s="772"/>
      <c r="BJ689" s="2173"/>
      <c r="BK689" s="2173"/>
      <c r="BL689" s="773"/>
      <c r="BN689" s="773"/>
      <c r="BO689" s="209"/>
      <c r="BQ689" s="209"/>
      <c r="BR689" s="859"/>
      <c r="BS689" s="885"/>
      <c r="CI689" s="4"/>
      <c r="CJ689" s="4"/>
      <c r="DB689" s="773"/>
      <c r="DC689" s="773"/>
      <c r="DD689" s="773"/>
      <c r="DE689" s="773"/>
      <c r="DF689" s="773"/>
      <c r="DG689" s="773"/>
      <c r="DH689" s="773"/>
      <c r="DI689" s="773"/>
      <c r="DJ689" s="773"/>
      <c r="DK689" s="773"/>
      <c r="DL689" s="773"/>
      <c r="DM689" s="773"/>
      <c r="DN689" s="773"/>
      <c r="DO689" s="773"/>
      <c r="DP689" s="773"/>
      <c r="DQ689" s="773"/>
      <c r="DR689" s="773"/>
      <c r="DS689" s="773"/>
      <c r="DT689" s="773"/>
      <c r="DU689" s="773"/>
      <c r="DV689" s="773"/>
      <c r="DW689" s="773"/>
      <c r="DX689" s="773"/>
      <c r="DY689" s="773"/>
      <c r="DZ689" s="773"/>
      <c r="EA689" s="773"/>
      <c r="EB689" s="773"/>
      <c r="EC689" s="773"/>
      <c r="ED689" s="773"/>
      <c r="EE689" s="773"/>
      <c r="EF689" s="773"/>
      <c r="EG689" s="773"/>
      <c r="EH689" s="773"/>
      <c r="EI689" s="773"/>
      <c r="EJ689" s="773"/>
      <c r="EK689" s="773"/>
      <c r="EL689" s="773"/>
      <c r="EM689" s="773"/>
      <c r="EN689" s="773"/>
      <c r="EO689" s="773"/>
      <c r="EP689" s="773"/>
      <c r="EQ689" s="773"/>
      <c r="ER689" s="773"/>
      <c r="ES689" s="773"/>
      <c r="ET689" s="773"/>
      <c r="EU689" s="773"/>
      <c r="EV689" s="773"/>
      <c r="EW689" s="773"/>
      <c r="EX689" s="773"/>
      <c r="EY689" s="773"/>
      <c r="EZ689" s="773"/>
      <c r="FA689" s="773"/>
      <c r="FB689" s="773"/>
      <c r="FC689" s="773"/>
      <c r="FD689" s="773"/>
      <c r="FE689" s="773"/>
      <c r="FF689" s="773"/>
      <c r="FG689" s="773"/>
      <c r="FH689" s="773"/>
      <c r="FI689" s="773"/>
      <c r="FJ689" s="773"/>
      <c r="FK689" s="773"/>
      <c r="FL689" s="773"/>
      <c r="FM689" s="773"/>
      <c r="FN689" s="773"/>
      <c r="FO689" s="773"/>
      <c r="FP689" s="773"/>
      <c r="FQ689" s="773"/>
      <c r="FR689" s="773"/>
      <c r="FS689" s="773"/>
      <c r="FT689" s="773"/>
      <c r="FU689" s="773"/>
      <c r="FV689" s="773"/>
      <c r="FW689" s="773"/>
      <c r="FX689" s="773"/>
      <c r="FY689" s="773"/>
      <c r="FZ689" s="773"/>
      <c r="GA689" s="773"/>
      <c r="GB689" s="773"/>
      <c r="GC689" s="773"/>
      <c r="GD689" s="773"/>
      <c r="GE689" s="773"/>
      <c r="GF689" s="773"/>
      <c r="GG689" s="773"/>
      <c r="GH689" s="773"/>
      <c r="GI689" s="773"/>
      <c r="GJ689" s="773"/>
      <c r="GK689" s="773"/>
      <c r="GL689" s="773"/>
      <c r="GM689" s="773"/>
      <c r="GN689" s="773"/>
      <c r="GO689" s="773"/>
      <c r="GP689" s="773"/>
      <c r="GQ689" s="773"/>
      <c r="GR689" s="773"/>
      <c r="GS689" s="773"/>
      <c r="GT689" s="773"/>
      <c r="GU689" s="773"/>
      <c r="GV689" s="773"/>
      <c r="GW689" s="773"/>
      <c r="GX689" s="773"/>
      <c r="GY689" s="773"/>
      <c r="GZ689" s="773"/>
    </row>
    <row r="690" spans="1:208" s="11" customFormat="1">
      <c r="A690" s="774"/>
      <c r="B690" s="3761" t="s">
        <v>2040</v>
      </c>
      <c r="C690" s="197">
        <v>8120011</v>
      </c>
      <c r="D690" s="199" t="s">
        <v>1732</v>
      </c>
      <c r="E690" s="798">
        <f>IFERROR(VLOOKUP(C690,'AJE 12 - INC'!$D$168:$F$771,3,0),0)</f>
        <v>0</v>
      </c>
      <c r="F690" s="108">
        <f>SUMIF('AJE 12 - INC'!B:B,'New TB INC'!C690,'AJE 12 - INC'!D:D)</f>
        <v>0</v>
      </c>
      <c r="G690" s="108"/>
      <c r="H690" s="889"/>
      <c r="I690" s="889"/>
      <c r="J690" s="798">
        <f>SUM(E690:I690)</f>
        <v>0</v>
      </c>
      <c r="K690" s="209"/>
      <c r="L690" s="434"/>
      <c r="M690" s="828"/>
      <c r="N690" s="11">
        <v>0</v>
      </c>
      <c r="O690" s="11">
        <v>0</v>
      </c>
      <c r="P690" s="11">
        <v>0</v>
      </c>
      <c r="Q690" s="11">
        <v>0</v>
      </c>
      <c r="R690" s="773">
        <v>0</v>
      </c>
      <c r="S690" s="11">
        <v>0</v>
      </c>
      <c r="T690" s="773">
        <v>0</v>
      </c>
      <c r="U690" s="2173">
        <v>0</v>
      </c>
      <c r="V690" s="2509">
        <v>0</v>
      </c>
      <c r="W690" s="2509">
        <v>0</v>
      </c>
      <c r="X690" s="2509">
        <v>0</v>
      </c>
      <c r="Y690" s="2509">
        <v>0</v>
      </c>
      <c r="Z690" s="11">
        <f>'[26]New TB INC'!Z635</f>
        <v>0</v>
      </c>
      <c r="AA690" s="11">
        <f>'[27]New TB INC'!AA644</f>
        <v>0</v>
      </c>
      <c r="AB690" s="11">
        <f>'[28]New TB INC'!AB650</f>
        <v>0</v>
      </c>
      <c r="AC690" s="11">
        <f>'[29]New TB INC'!AC646</f>
        <v>0</v>
      </c>
      <c r="AD690" s="11">
        <f>'[30]New TB INC'!AD641</f>
        <v>0</v>
      </c>
      <c r="AE690" s="11">
        <f>'[31]New TB INC'!AE649</f>
        <v>0</v>
      </c>
      <c r="AF690" s="11">
        <v>0</v>
      </c>
      <c r="AG690" s="11">
        <v>0</v>
      </c>
      <c r="AH690" s="11">
        <v>0</v>
      </c>
      <c r="AI690" s="11">
        <v>0</v>
      </c>
      <c r="AJ690" s="11">
        <v>0</v>
      </c>
      <c r="AK690" s="11">
        <f>$J690-SUM($Z690:AJ690)</f>
        <v>0</v>
      </c>
      <c r="AW690" s="2509"/>
      <c r="BH690" s="2509"/>
      <c r="BI690" s="772"/>
      <c r="BJ690" s="2173"/>
      <c r="BK690" s="2173"/>
      <c r="BL690" s="773"/>
      <c r="BN690" s="773"/>
      <c r="BO690" s="209"/>
      <c r="BQ690" s="209"/>
      <c r="BR690" s="859"/>
      <c r="BS690" s="885"/>
      <c r="CI690" s="4"/>
      <c r="CJ690" s="4"/>
      <c r="DB690" s="773"/>
      <c r="DC690" s="773"/>
      <c r="DD690" s="773"/>
      <c r="DE690" s="773"/>
      <c r="DF690" s="773"/>
      <c r="DG690" s="773"/>
      <c r="DH690" s="773"/>
      <c r="DI690" s="773"/>
      <c r="DJ690" s="773"/>
      <c r="DK690" s="773"/>
      <c r="DL690" s="773"/>
      <c r="DM690" s="773"/>
      <c r="DN690" s="773"/>
      <c r="DO690" s="773"/>
      <c r="DP690" s="773"/>
      <c r="DQ690" s="773"/>
      <c r="DR690" s="773"/>
      <c r="DS690" s="773"/>
      <c r="DT690" s="773"/>
      <c r="DU690" s="773"/>
      <c r="DV690" s="773"/>
      <c r="DW690" s="773"/>
      <c r="DX690" s="773"/>
      <c r="DY690" s="773"/>
      <c r="DZ690" s="773"/>
      <c r="EA690" s="773"/>
      <c r="EB690" s="773"/>
      <c r="EC690" s="773"/>
      <c r="ED690" s="773"/>
      <c r="EE690" s="773"/>
      <c r="EF690" s="773"/>
      <c r="EG690" s="773"/>
      <c r="EH690" s="773"/>
      <c r="EI690" s="773"/>
      <c r="EJ690" s="773"/>
      <c r="EK690" s="773"/>
      <c r="EL690" s="773"/>
      <c r="EM690" s="773"/>
      <c r="EN690" s="773"/>
      <c r="EO690" s="773"/>
      <c r="EP690" s="773"/>
      <c r="EQ690" s="773"/>
      <c r="ER690" s="773"/>
      <c r="ES690" s="773"/>
      <c r="ET690" s="773"/>
      <c r="EU690" s="773"/>
      <c r="EV690" s="773"/>
      <c r="EW690" s="773"/>
      <c r="EX690" s="773"/>
      <c r="EY690" s="773"/>
      <c r="EZ690" s="773"/>
      <c r="FA690" s="773"/>
      <c r="FB690" s="773"/>
      <c r="FC690" s="773"/>
      <c r="FD690" s="773"/>
      <c r="FE690" s="773"/>
      <c r="FF690" s="773"/>
      <c r="FG690" s="773"/>
      <c r="FH690" s="773"/>
      <c r="FI690" s="773"/>
      <c r="FJ690" s="773"/>
      <c r="FK690" s="773"/>
      <c r="FL690" s="773"/>
      <c r="FM690" s="773"/>
      <c r="FN690" s="773"/>
      <c r="FO690" s="773"/>
      <c r="FP690" s="773"/>
      <c r="FQ690" s="773"/>
      <c r="FR690" s="773"/>
      <c r="FS690" s="773"/>
      <c r="FT690" s="773"/>
      <c r="FU690" s="773"/>
      <c r="FV690" s="773"/>
      <c r="FW690" s="773"/>
      <c r="FX690" s="773"/>
      <c r="FY690" s="773"/>
      <c r="FZ690" s="773"/>
      <c r="GA690" s="773"/>
      <c r="GB690" s="773"/>
      <c r="GC690" s="773"/>
      <c r="GD690" s="773"/>
      <c r="GE690" s="773"/>
      <c r="GF690" s="773"/>
      <c r="GG690" s="773"/>
      <c r="GH690" s="773"/>
      <c r="GI690" s="773"/>
      <c r="GJ690" s="773"/>
      <c r="GK690" s="773"/>
      <c r="GL690" s="773"/>
      <c r="GM690" s="773"/>
      <c r="GN690" s="773"/>
      <c r="GO690" s="773"/>
      <c r="GP690" s="773"/>
      <c r="GQ690" s="773"/>
      <c r="GR690" s="773"/>
      <c r="GS690" s="773"/>
      <c r="GT690" s="773"/>
      <c r="GU690" s="773"/>
      <c r="GV690" s="773"/>
      <c r="GW690" s="773"/>
      <c r="GX690" s="773"/>
      <c r="GY690" s="773"/>
      <c r="GZ690" s="773"/>
    </row>
    <row r="691" spans="1:208" s="11" customFormat="1">
      <c r="A691" s="774"/>
      <c r="B691" s="3761" t="s">
        <v>2040</v>
      </c>
      <c r="C691" s="197">
        <v>8120012</v>
      </c>
      <c r="D691" s="199" t="s">
        <v>1733</v>
      </c>
      <c r="E691" s="798">
        <f>IFERROR(VLOOKUP(C691,'AJE 12 - INC'!$D$168:$F$771,3,0),0)</f>
        <v>0</v>
      </c>
      <c r="F691" s="108">
        <f>SUMIF('AJE 12 - INC'!B:B,'New TB INC'!C691,'AJE 12 - INC'!D:D)</f>
        <v>0</v>
      </c>
      <c r="G691" s="108"/>
      <c r="H691" s="889"/>
      <c r="I691" s="889"/>
      <c r="J691" s="798">
        <f>SUM(E691:I691)</f>
        <v>0</v>
      </c>
      <c r="K691" s="209"/>
      <c r="L691" s="434"/>
      <c r="M691" s="828"/>
      <c r="N691" s="11">
        <v>0</v>
      </c>
      <c r="O691" s="11">
        <v>0</v>
      </c>
      <c r="P691" s="11">
        <v>0</v>
      </c>
      <c r="Q691" s="11">
        <v>0</v>
      </c>
      <c r="R691" s="773">
        <v>0</v>
      </c>
      <c r="S691" s="11">
        <v>0</v>
      </c>
      <c r="T691" s="773">
        <v>0</v>
      </c>
      <c r="U691" s="2173">
        <v>0</v>
      </c>
      <c r="V691" s="2509">
        <v>0</v>
      </c>
      <c r="W691" s="2509">
        <v>0</v>
      </c>
      <c r="X691" s="2509">
        <v>0</v>
      </c>
      <c r="Y691" s="2509">
        <v>0</v>
      </c>
      <c r="Z691" s="11">
        <f>'[26]New TB INC'!Z636</f>
        <v>0</v>
      </c>
      <c r="AA691" s="11">
        <f>'[27]New TB INC'!AA645</f>
        <v>0</v>
      </c>
      <c r="AB691" s="11">
        <f>'[28]New TB INC'!AB651</f>
        <v>0</v>
      </c>
      <c r="AC691" s="11">
        <f>'[29]New TB INC'!AC647</f>
        <v>0</v>
      </c>
      <c r="AD691" s="11">
        <f>'[30]New TB INC'!AD642</f>
        <v>0</v>
      </c>
      <c r="AE691" s="11">
        <f>'[31]New TB INC'!AE650</f>
        <v>0</v>
      </c>
      <c r="AF691" s="11">
        <v>0</v>
      </c>
      <c r="AG691" s="11">
        <v>0</v>
      </c>
      <c r="AH691" s="11">
        <v>0</v>
      </c>
      <c r="AI691" s="11">
        <v>0</v>
      </c>
      <c r="AJ691" s="11">
        <v>0</v>
      </c>
      <c r="AK691" s="11">
        <f>$J691-SUM($Z691:AJ691)</f>
        <v>0</v>
      </c>
      <c r="AW691" s="2509"/>
      <c r="BH691" s="2509"/>
      <c r="BI691" s="772"/>
      <c r="BJ691" s="2173"/>
      <c r="BK691" s="2173"/>
      <c r="BL691" s="773"/>
      <c r="BN691" s="773"/>
      <c r="BO691" s="209"/>
      <c r="BQ691" s="209"/>
      <c r="BR691" s="859"/>
      <c r="BS691" s="885"/>
      <c r="CI691" s="4"/>
      <c r="CJ691" s="4"/>
      <c r="DB691" s="773"/>
      <c r="DC691" s="773"/>
      <c r="DD691" s="773"/>
      <c r="DE691" s="773"/>
      <c r="DF691" s="773"/>
      <c r="DG691" s="773"/>
      <c r="DH691" s="773"/>
      <c r="DI691" s="773"/>
      <c r="DJ691" s="773"/>
      <c r="DK691" s="773"/>
      <c r="DL691" s="773"/>
      <c r="DM691" s="773"/>
      <c r="DN691" s="773"/>
      <c r="DO691" s="773"/>
      <c r="DP691" s="773"/>
      <c r="DQ691" s="773"/>
      <c r="DR691" s="773"/>
      <c r="DS691" s="773"/>
      <c r="DT691" s="773"/>
      <c r="DU691" s="773"/>
      <c r="DV691" s="773"/>
      <c r="DW691" s="773"/>
      <c r="DX691" s="773"/>
      <c r="DY691" s="773"/>
      <c r="DZ691" s="773"/>
      <c r="EA691" s="773"/>
      <c r="EB691" s="773"/>
      <c r="EC691" s="773"/>
      <c r="ED691" s="773"/>
      <c r="EE691" s="773"/>
      <c r="EF691" s="773"/>
      <c r="EG691" s="773"/>
      <c r="EH691" s="773"/>
      <c r="EI691" s="773"/>
      <c r="EJ691" s="773"/>
      <c r="EK691" s="773"/>
      <c r="EL691" s="773"/>
      <c r="EM691" s="773"/>
      <c r="EN691" s="773"/>
      <c r="EO691" s="773"/>
      <c r="EP691" s="773"/>
      <c r="EQ691" s="773"/>
      <c r="ER691" s="773"/>
      <c r="ES691" s="773"/>
      <c r="ET691" s="773"/>
      <c r="EU691" s="773"/>
      <c r="EV691" s="773"/>
      <c r="EW691" s="773"/>
      <c r="EX691" s="773"/>
      <c r="EY691" s="773"/>
      <c r="EZ691" s="773"/>
      <c r="FA691" s="773"/>
      <c r="FB691" s="773"/>
      <c r="FC691" s="773"/>
      <c r="FD691" s="773"/>
      <c r="FE691" s="773"/>
      <c r="FF691" s="773"/>
      <c r="FG691" s="773"/>
      <c r="FH691" s="773"/>
      <c r="FI691" s="773"/>
      <c r="FJ691" s="773"/>
      <c r="FK691" s="773"/>
      <c r="FL691" s="773"/>
      <c r="FM691" s="773"/>
      <c r="FN691" s="773"/>
      <c r="FO691" s="773"/>
      <c r="FP691" s="773"/>
      <c r="FQ691" s="773"/>
      <c r="FR691" s="773"/>
      <c r="FS691" s="773"/>
      <c r="FT691" s="773"/>
      <c r="FU691" s="773"/>
      <c r="FV691" s="773"/>
      <c r="FW691" s="773"/>
      <c r="FX691" s="773"/>
      <c r="FY691" s="773"/>
      <c r="FZ691" s="773"/>
      <c r="GA691" s="773"/>
      <c r="GB691" s="773"/>
      <c r="GC691" s="773"/>
      <c r="GD691" s="773"/>
      <c r="GE691" s="773"/>
      <c r="GF691" s="773"/>
      <c r="GG691" s="773"/>
      <c r="GH691" s="773"/>
      <c r="GI691" s="773"/>
      <c r="GJ691" s="773"/>
      <c r="GK691" s="773"/>
      <c r="GL691" s="773"/>
      <c r="GM691" s="773"/>
      <c r="GN691" s="773"/>
      <c r="GO691" s="773"/>
      <c r="GP691" s="773"/>
      <c r="GQ691" s="773"/>
      <c r="GR691" s="773"/>
      <c r="GS691" s="773"/>
      <c r="GT691" s="773"/>
      <c r="GU691" s="773"/>
      <c r="GV691" s="773"/>
      <c r="GW691" s="773"/>
      <c r="GX691" s="773"/>
      <c r="GY691" s="773"/>
      <c r="GZ691" s="773"/>
    </row>
    <row r="692" spans="1:208" s="11" customFormat="1">
      <c r="A692" s="774"/>
      <c r="B692" s="3761"/>
      <c r="C692" s="197"/>
      <c r="D692" s="199"/>
      <c r="E692" s="42"/>
      <c r="F692" s="108"/>
      <c r="G692" s="108"/>
      <c r="H692" s="889"/>
      <c r="I692" s="889"/>
      <c r="J692" s="798"/>
      <c r="K692" s="209"/>
      <c r="L692" s="434"/>
      <c r="M692" s="828"/>
      <c r="N692" s="11">
        <v>0</v>
      </c>
      <c r="O692" s="11">
        <v>0</v>
      </c>
      <c r="P692" s="11">
        <v>0</v>
      </c>
      <c r="Q692" s="11">
        <v>0</v>
      </c>
      <c r="R692" s="773">
        <v>0</v>
      </c>
      <c r="S692" s="11">
        <v>0</v>
      </c>
      <c r="T692" s="773">
        <v>0</v>
      </c>
      <c r="U692" s="2173">
        <v>0</v>
      </c>
      <c r="V692" s="2509">
        <v>0</v>
      </c>
      <c r="W692" s="2509">
        <v>0</v>
      </c>
      <c r="X692" s="2509">
        <v>0</v>
      </c>
      <c r="Y692" s="2509">
        <v>0</v>
      </c>
      <c r="Z692" s="11">
        <f>'[26]New TB INC'!Z637</f>
        <v>0</v>
      </c>
      <c r="AA692" s="11">
        <f>'[27]New TB INC'!AA646</f>
        <v>0</v>
      </c>
      <c r="AB692" s="11">
        <f>'[28]New TB INC'!AB652</f>
        <v>0</v>
      </c>
      <c r="AC692" s="11">
        <f>'[29]New TB INC'!AC648</f>
        <v>0</v>
      </c>
      <c r="AD692" s="11">
        <f>'[30]New TB INC'!AD643</f>
        <v>0</v>
      </c>
      <c r="AE692" s="11">
        <f>'[31]New TB INC'!AE651</f>
        <v>0</v>
      </c>
      <c r="AF692" s="11">
        <v>0</v>
      </c>
      <c r="AG692" s="11">
        <v>0</v>
      </c>
      <c r="AH692" s="11">
        <v>0</v>
      </c>
      <c r="AI692" s="11">
        <v>0</v>
      </c>
      <c r="AJ692" s="11">
        <v>0</v>
      </c>
      <c r="AK692" s="11">
        <f>$J692-SUM($Z692:AJ692)</f>
        <v>0</v>
      </c>
      <c r="AW692" s="2509"/>
      <c r="BH692" s="2509"/>
      <c r="BI692" s="772"/>
      <c r="BJ692" s="2173"/>
      <c r="BK692" s="2173"/>
      <c r="BL692" s="773"/>
      <c r="BN692" s="773"/>
      <c r="BO692" s="209"/>
      <c r="BQ692" s="209"/>
      <c r="BR692" s="859"/>
      <c r="BS692" s="885"/>
      <c r="CI692" s="4"/>
      <c r="CJ692" s="4"/>
      <c r="DB692" s="773"/>
      <c r="DC692" s="773"/>
      <c r="DD692" s="773"/>
      <c r="DE692" s="773"/>
      <c r="DF692" s="773"/>
      <c r="DG692" s="773"/>
      <c r="DH692" s="773"/>
      <c r="DI692" s="773"/>
      <c r="DJ692" s="773"/>
      <c r="DK692" s="773"/>
      <c r="DL692" s="773"/>
      <c r="DM692" s="773"/>
      <c r="DN692" s="773"/>
      <c r="DO692" s="773"/>
      <c r="DP692" s="773"/>
      <c r="DQ692" s="773"/>
      <c r="DR692" s="773"/>
      <c r="DS692" s="773"/>
      <c r="DT692" s="773"/>
      <c r="DU692" s="773"/>
      <c r="DV692" s="773"/>
      <c r="DW692" s="773"/>
      <c r="DX692" s="773"/>
      <c r="DY692" s="773"/>
      <c r="DZ692" s="773"/>
      <c r="EA692" s="773"/>
      <c r="EB692" s="773"/>
      <c r="EC692" s="773"/>
      <c r="ED692" s="773"/>
      <c r="EE692" s="773"/>
      <c r="EF692" s="773"/>
      <c r="EG692" s="773"/>
      <c r="EH692" s="773"/>
      <c r="EI692" s="773"/>
      <c r="EJ692" s="773"/>
      <c r="EK692" s="773"/>
      <c r="EL692" s="773"/>
      <c r="EM692" s="773"/>
      <c r="EN692" s="773"/>
      <c r="EO692" s="773"/>
      <c r="EP692" s="773"/>
      <c r="EQ692" s="773"/>
      <c r="ER692" s="773"/>
      <c r="ES692" s="773"/>
      <c r="ET692" s="773"/>
      <c r="EU692" s="773"/>
      <c r="EV692" s="773"/>
      <c r="EW692" s="773"/>
      <c r="EX692" s="773"/>
      <c r="EY692" s="773"/>
      <c r="EZ692" s="773"/>
      <c r="FA692" s="773"/>
      <c r="FB692" s="773"/>
      <c r="FC692" s="773"/>
      <c r="FD692" s="773"/>
      <c r="FE692" s="773"/>
      <c r="FF692" s="773"/>
      <c r="FG692" s="773"/>
      <c r="FH692" s="773"/>
      <c r="FI692" s="773"/>
      <c r="FJ692" s="773"/>
      <c r="FK692" s="773"/>
      <c r="FL692" s="773"/>
      <c r="FM692" s="773"/>
      <c r="FN692" s="773"/>
      <c r="FO692" s="773"/>
      <c r="FP692" s="773"/>
      <c r="FQ692" s="773"/>
      <c r="FR692" s="773"/>
      <c r="FS692" s="773"/>
      <c r="FT692" s="773"/>
      <c r="FU692" s="773"/>
      <c r="FV692" s="773"/>
      <c r="FW692" s="773"/>
      <c r="FX692" s="773"/>
      <c r="FY692" s="773"/>
      <c r="FZ692" s="773"/>
      <c r="GA692" s="773"/>
      <c r="GB692" s="773"/>
      <c r="GC692" s="773"/>
      <c r="GD692" s="773"/>
      <c r="GE692" s="773"/>
      <c r="GF692" s="773"/>
      <c r="GG692" s="773"/>
      <c r="GH692" s="773"/>
      <c r="GI692" s="773"/>
      <c r="GJ692" s="773"/>
      <c r="GK692" s="773"/>
      <c r="GL692" s="773"/>
      <c r="GM692" s="773"/>
      <c r="GN692" s="773"/>
      <c r="GO692" s="773"/>
      <c r="GP692" s="773"/>
      <c r="GQ692" s="773"/>
      <c r="GR692" s="773"/>
      <c r="GS692" s="773"/>
      <c r="GT692" s="773"/>
      <c r="GU692" s="773"/>
      <c r="GV692" s="773"/>
      <c r="GW692" s="773"/>
      <c r="GX692" s="773"/>
      <c r="GY692" s="773"/>
      <c r="GZ692" s="773"/>
    </row>
    <row r="693" spans="1:208" s="11" customFormat="1">
      <c r="A693" s="774"/>
      <c r="B693" s="3761"/>
      <c r="C693" s="197"/>
      <c r="D693" s="199"/>
      <c r="E693" s="42"/>
      <c r="F693" s="108"/>
      <c r="G693" s="108"/>
      <c r="H693" s="889"/>
      <c r="I693" s="889"/>
      <c r="J693" s="798"/>
      <c r="K693" s="209"/>
      <c r="L693" s="434"/>
      <c r="M693" s="828"/>
      <c r="N693" s="11">
        <v>0</v>
      </c>
      <c r="O693" s="11">
        <v>0</v>
      </c>
      <c r="P693" s="11">
        <v>0</v>
      </c>
      <c r="Q693" s="11">
        <v>0</v>
      </c>
      <c r="R693" s="773">
        <v>0</v>
      </c>
      <c r="S693" s="11">
        <v>0</v>
      </c>
      <c r="T693" s="773">
        <v>0</v>
      </c>
      <c r="U693" s="2173">
        <v>0</v>
      </c>
      <c r="V693" s="2509">
        <v>0</v>
      </c>
      <c r="W693" s="2509">
        <v>0</v>
      </c>
      <c r="X693" s="2509">
        <v>0</v>
      </c>
      <c r="Y693" s="2509">
        <v>0</v>
      </c>
      <c r="Z693" s="11">
        <f>'[26]New TB INC'!Z638</f>
        <v>0</v>
      </c>
      <c r="AA693" s="11">
        <f>'[27]New TB INC'!AA647</f>
        <v>0</v>
      </c>
      <c r="AB693" s="11">
        <f>'[28]New TB INC'!AB653</f>
        <v>0</v>
      </c>
      <c r="AC693" s="11">
        <f>'[29]New TB INC'!AC649</f>
        <v>0</v>
      </c>
      <c r="AD693" s="11">
        <f>'[30]New TB INC'!AD644</f>
        <v>0</v>
      </c>
      <c r="AE693" s="11">
        <f>'[31]New TB INC'!AE652</f>
        <v>0</v>
      </c>
      <c r="AF693" s="11">
        <v>0</v>
      </c>
      <c r="AG693" s="11">
        <v>0</v>
      </c>
      <c r="AH693" s="11">
        <v>0</v>
      </c>
      <c r="AI693" s="11">
        <v>0</v>
      </c>
      <c r="AJ693" s="11">
        <v>0</v>
      </c>
      <c r="AK693" s="11">
        <f>$J693-SUM($Z693:AJ693)</f>
        <v>0</v>
      </c>
      <c r="AW693" s="2509"/>
      <c r="BH693" s="2509"/>
      <c r="BI693" s="772"/>
      <c r="BJ693" s="2173"/>
      <c r="BK693" s="2173"/>
      <c r="BL693" s="773"/>
      <c r="BN693" s="773"/>
      <c r="BO693" s="209"/>
      <c r="BQ693" s="209"/>
      <c r="BR693" s="859"/>
      <c r="BS693" s="885"/>
      <c r="CI693" s="4"/>
      <c r="CJ693" s="4"/>
      <c r="DB693" s="773"/>
      <c r="DC693" s="773"/>
      <c r="DD693" s="773"/>
      <c r="DE693" s="773"/>
      <c r="DF693" s="773"/>
      <c r="DG693" s="773"/>
      <c r="DH693" s="773"/>
      <c r="DI693" s="773"/>
      <c r="DJ693" s="773"/>
      <c r="DK693" s="773"/>
      <c r="DL693" s="773"/>
      <c r="DM693" s="773"/>
      <c r="DN693" s="773"/>
      <c r="DO693" s="773"/>
      <c r="DP693" s="773"/>
      <c r="DQ693" s="773"/>
      <c r="DR693" s="773"/>
      <c r="DS693" s="773"/>
      <c r="DT693" s="773"/>
      <c r="DU693" s="773"/>
      <c r="DV693" s="773"/>
      <c r="DW693" s="773"/>
      <c r="DX693" s="773"/>
      <c r="DY693" s="773"/>
      <c r="DZ693" s="773"/>
      <c r="EA693" s="773"/>
      <c r="EB693" s="773"/>
      <c r="EC693" s="773"/>
      <c r="ED693" s="773"/>
      <c r="EE693" s="773"/>
      <c r="EF693" s="773"/>
      <c r="EG693" s="773"/>
      <c r="EH693" s="773"/>
      <c r="EI693" s="773"/>
      <c r="EJ693" s="773"/>
      <c r="EK693" s="773"/>
      <c r="EL693" s="773"/>
      <c r="EM693" s="773"/>
      <c r="EN693" s="773"/>
      <c r="EO693" s="773"/>
      <c r="EP693" s="773"/>
      <c r="EQ693" s="773"/>
      <c r="ER693" s="773"/>
      <c r="ES693" s="773"/>
      <c r="ET693" s="773"/>
      <c r="EU693" s="773"/>
      <c r="EV693" s="773"/>
      <c r="EW693" s="773"/>
      <c r="EX693" s="773"/>
      <c r="EY693" s="773"/>
      <c r="EZ693" s="773"/>
      <c r="FA693" s="773"/>
      <c r="FB693" s="773"/>
      <c r="FC693" s="773"/>
      <c r="FD693" s="773"/>
      <c r="FE693" s="773"/>
      <c r="FF693" s="773"/>
      <c r="FG693" s="773"/>
      <c r="FH693" s="773"/>
      <c r="FI693" s="773"/>
      <c r="FJ693" s="773"/>
      <c r="FK693" s="773"/>
      <c r="FL693" s="773"/>
      <c r="FM693" s="773"/>
      <c r="FN693" s="773"/>
      <c r="FO693" s="773"/>
      <c r="FP693" s="773"/>
      <c r="FQ693" s="773"/>
      <c r="FR693" s="773"/>
      <c r="FS693" s="773"/>
      <c r="FT693" s="773"/>
      <c r="FU693" s="773"/>
      <c r="FV693" s="773"/>
      <c r="FW693" s="773"/>
      <c r="FX693" s="773"/>
      <c r="FY693" s="773"/>
      <c r="FZ693" s="773"/>
      <c r="GA693" s="773"/>
      <c r="GB693" s="773"/>
      <c r="GC693" s="773"/>
      <c r="GD693" s="773"/>
      <c r="GE693" s="773"/>
      <c r="GF693" s="773"/>
      <c r="GG693" s="773"/>
      <c r="GH693" s="773"/>
      <c r="GI693" s="773"/>
      <c r="GJ693" s="773"/>
      <c r="GK693" s="773"/>
      <c r="GL693" s="773"/>
      <c r="GM693" s="773"/>
      <c r="GN693" s="773"/>
      <c r="GO693" s="773"/>
      <c r="GP693" s="773"/>
      <c r="GQ693" s="773"/>
      <c r="GR693" s="773"/>
      <c r="GS693" s="773"/>
      <c r="GT693" s="773"/>
      <c r="GU693" s="773"/>
      <c r="GV693" s="773"/>
      <c r="GW693" s="773"/>
      <c r="GX693" s="773"/>
      <c r="GY693" s="773"/>
      <c r="GZ693" s="773"/>
    </row>
    <row r="694" spans="1:208" s="11" customFormat="1">
      <c r="A694" s="774"/>
      <c r="B694" s="3761" t="s">
        <v>766</v>
      </c>
      <c r="C694" s="197">
        <v>8030001</v>
      </c>
      <c r="D694" s="199" t="s">
        <v>410</v>
      </c>
      <c r="E694" s="798">
        <f>IFERROR(VLOOKUP(C694,'AJE 12 - INC'!$D$168:$F$771,3,0),0)</f>
        <v>148030.57</v>
      </c>
      <c r="F694" s="108">
        <f>SUMIF('AJE 12 - INC'!B:B,'New TB INC'!C694,'AJE 12 - INC'!D:D)</f>
        <v>0</v>
      </c>
      <c r="G694" s="108"/>
      <c r="H694" s="889"/>
      <c r="I694" s="889"/>
      <c r="J694" s="1303">
        <f t="shared" ref="J694:J717" si="71">SUM(E694:I694)</f>
        <v>148030.57</v>
      </c>
      <c r="K694" s="209"/>
      <c r="L694" s="434"/>
      <c r="M694" s="828"/>
      <c r="N694" s="887">
        <v>12651.04</v>
      </c>
      <c r="O694" s="887">
        <v>12651.04</v>
      </c>
      <c r="P694" s="887">
        <v>12651.04</v>
      </c>
      <c r="Q694" s="887">
        <v>12651.04</v>
      </c>
      <c r="R694" s="887">
        <v>12242.299999999996</v>
      </c>
      <c r="S694" s="11">
        <v>12602.04</v>
      </c>
      <c r="T694" s="773">
        <v>12242.30000000001</v>
      </c>
      <c r="U694" s="2173">
        <v>12422.169999999984</v>
      </c>
      <c r="V694" s="2509">
        <v>12768.580000000002</v>
      </c>
      <c r="W694" s="2509">
        <v>12768.580000000002</v>
      </c>
      <c r="X694" s="2509">
        <v>12768.579999999987</v>
      </c>
      <c r="Y694" s="2509">
        <v>12724.930000000022</v>
      </c>
      <c r="Z694" s="11">
        <f>'[26]New TB INC'!Z639</f>
        <v>12733.67</v>
      </c>
      <c r="AA694" s="11">
        <f>'[27]New TB INC'!AA648</f>
        <v>12733.67</v>
      </c>
      <c r="AB694" s="11">
        <f>'[28]New TB INC'!AB654</f>
        <v>12913.539999999997</v>
      </c>
      <c r="AC694" s="11">
        <f>'[29]New TB INC'!AC650</f>
        <v>12913.54</v>
      </c>
      <c r="AD694" s="11">
        <f>'[30]New TB INC'!AD645</f>
        <v>12913.54</v>
      </c>
      <c r="AE694" s="11">
        <f>'[31]New TB INC'!AE653</f>
        <v>12913.54</v>
      </c>
      <c r="AF694" s="11">
        <v>4705.6699999999983</v>
      </c>
      <c r="AG694" s="11">
        <v>13212.619999999995</v>
      </c>
      <c r="AH694" s="11">
        <v>13212.62000000001</v>
      </c>
      <c r="AI694" s="11">
        <v>13212.619999999995</v>
      </c>
      <c r="AJ694" s="11">
        <v>13212.619999999995</v>
      </c>
      <c r="AK694" s="11">
        <f>$J694-SUM($Z694:AJ694)</f>
        <v>13352.920000000013</v>
      </c>
      <c r="AW694" s="2509"/>
      <c r="BH694" s="2509"/>
      <c r="BI694" s="772"/>
      <c r="BJ694" s="2173"/>
      <c r="BK694" s="2173"/>
      <c r="BL694" s="773"/>
      <c r="BQ694" s="209"/>
      <c r="BR694" s="859"/>
      <c r="BS694" s="885"/>
      <c r="CI694" s="4"/>
      <c r="CJ694" s="4"/>
      <c r="DB694" s="773"/>
      <c r="DC694" s="773"/>
      <c r="DD694" s="773"/>
      <c r="DE694" s="773"/>
      <c r="DF694" s="773"/>
      <c r="DG694" s="773"/>
      <c r="DH694" s="773"/>
      <c r="DI694" s="773"/>
      <c r="DJ694" s="773"/>
      <c r="DK694" s="773"/>
      <c r="DL694" s="773"/>
      <c r="DM694" s="773"/>
      <c r="DN694" s="773"/>
      <c r="DO694" s="773"/>
      <c r="DP694" s="773"/>
      <c r="DQ694" s="773"/>
      <c r="DR694" s="773"/>
      <c r="DS694" s="773"/>
      <c r="DT694" s="773"/>
      <c r="DU694" s="773"/>
      <c r="DV694" s="773"/>
      <c r="DW694" s="773"/>
      <c r="DX694" s="773"/>
      <c r="DY694" s="773"/>
      <c r="DZ694" s="773"/>
      <c r="EA694" s="773"/>
      <c r="EB694" s="773"/>
      <c r="EC694" s="773"/>
      <c r="ED694" s="773"/>
      <c r="EE694" s="773"/>
      <c r="EF694" s="773"/>
      <c r="EG694" s="773"/>
      <c r="EH694" s="773"/>
      <c r="EI694" s="773"/>
      <c r="EJ694" s="773"/>
      <c r="EK694" s="773"/>
      <c r="EL694" s="773"/>
      <c r="EM694" s="773"/>
      <c r="EN694" s="773"/>
      <c r="EO694" s="773"/>
      <c r="EP694" s="773"/>
      <c r="EQ694" s="773"/>
      <c r="ER694" s="773"/>
      <c r="ES694" s="773"/>
      <c r="ET694" s="773"/>
      <c r="EU694" s="773"/>
      <c r="EV694" s="773"/>
      <c r="EW694" s="773"/>
      <c r="EX694" s="773"/>
      <c r="EY694" s="773"/>
      <c r="EZ694" s="773"/>
      <c r="FA694" s="773"/>
      <c r="FB694" s="773"/>
      <c r="FC694" s="773"/>
      <c r="FD694" s="773"/>
      <c r="FE694" s="773"/>
      <c r="FF694" s="773"/>
      <c r="FG694" s="773"/>
      <c r="FH694" s="773"/>
      <c r="FI694" s="773"/>
      <c r="FJ694" s="773"/>
      <c r="FK694" s="773"/>
      <c r="FL694" s="773"/>
      <c r="FM694" s="773"/>
      <c r="FN694" s="773"/>
      <c r="FO694" s="773"/>
      <c r="FP694" s="773"/>
      <c r="FQ694" s="773"/>
      <c r="FR694" s="773"/>
      <c r="FS694" s="773"/>
      <c r="FT694" s="773"/>
      <c r="FU694" s="773"/>
      <c r="FV694" s="773"/>
      <c r="FW694" s="773"/>
      <c r="FX694" s="773"/>
      <c r="FY694" s="773"/>
      <c r="FZ694" s="773"/>
      <c r="GA694" s="773"/>
      <c r="GB694" s="773"/>
      <c r="GC694" s="773"/>
      <c r="GD694" s="773"/>
      <c r="GE694" s="773"/>
      <c r="GF694" s="773"/>
      <c r="GG694" s="773"/>
      <c r="GH694" s="773"/>
      <c r="GI694" s="773"/>
      <c r="GJ694" s="773"/>
      <c r="GK694" s="773"/>
      <c r="GL694" s="773"/>
      <c r="GM694" s="773"/>
      <c r="GN694" s="773"/>
      <c r="GO694" s="773"/>
      <c r="GP694" s="773"/>
      <c r="GQ694" s="773"/>
      <c r="GR694" s="773"/>
      <c r="GS694" s="773"/>
      <c r="GT694" s="773"/>
      <c r="GU694" s="773"/>
      <c r="GV694" s="773"/>
      <c r="GW694" s="773"/>
      <c r="GX694" s="773"/>
      <c r="GY694" s="773"/>
      <c r="GZ694" s="773"/>
    </row>
    <row r="695" spans="1:208" s="11" customFormat="1">
      <c r="A695" s="774"/>
      <c r="B695" s="3761" t="s">
        <v>766</v>
      </c>
      <c r="C695" s="197">
        <v>8030004</v>
      </c>
      <c r="D695" s="199" t="s">
        <v>489</v>
      </c>
      <c r="E695" s="798">
        <f>IFERROR(VLOOKUP(C695,'AJE 12 - INC'!$D$168:$F$771,3,0),0)</f>
        <v>111649.92</v>
      </c>
      <c r="F695" s="108">
        <f>SUMIF('AJE 12 - INC'!B:B,'New TB INC'!C695,'AJE 12 - INC'!D:D)</f>
        <v>0</v>
      </c>
      <c r="G695" s="108"/>
      <c r="H695" s="889"/>
      <c r="I695" s="889"/>
      <c r="J695" s="1303">
        <f t="shared" si="71"/>
        <v>111649.92</v>
      </c>
      <c r="K695" s="209"/>
      <c r="L695" s="434"/>
      <c r="M695" s="771"/>
      <c r="N695" s="11">
        <v>9269.2900000000009</v>
      </c>
      <c r="O695" s="11">
        <v>9174.9699999999975</v>
      </c>
      <c r="P695" s="11">
        <v>8878.0600000000013</v>
      </c>
      <c r="Q695" s="11">
        <v>8947.760000000002</v>
      </c>
      <c r="R695" s="773">
        <v>8903.0299999999988</v>
      </c>
      <c r="S695" s="11">
        <v>8848.5199999999932</v>
      </c>
      <c r="T695" s="773">
        <v>8705.2200000000048</v>
      </c>
      <c r="U695" s="2173">
        <v>8725.4400000000023</v>
      </c>
      <c r="V695" s="2509">
        <v>8528.570000000007</v>
      </c>
      <c r="W695" s="2509">
        <v>8540.36</v>
      </c>
      <c r="X695" s="2509">
        <v>8667.5699999999924</v>
      </c>
      <c r="Y695" s="2509">
        <v>8620.4400000000023</v>
      </c>
      <c r="Z695" s="11">
        <f>'[26]New TB INC'!Z640</f>
        <v>9337.49</v>
      </c>
      <c r="AA695" s="11">
        <f>'[27]New TB INC'!AA649</f>
        <v>9039.2899999999991</v>
      </c>
      <c r="AB695" s="11">
        <f>'[28]New TB INC'!AB655</f>
        <v>8887.77</v>
      </c>
      <c r="AC695" s="11">
        <f>'[29]New TB INC'!AC651</f>
        <v>9053.5399999999972</v>
      </c>
      <c r="AD695" s="11">
        <f>'[30]New TB INC'!AD646</f>
        <v>9212.4700000000012</v>
      </c>
      <c r="AE695" s="11">
        <f>'[31]New TB INC'!AE654</f>
        <v>9353.8800000000047</v>
      </c>
      <c r="AF695" s="11">
        <v>9081.5</v>
      </c>
      <c r="AG695" s="11">
        <v>9645.9700000000012</v>
      </c>
      <c r="AH695" s="11">
        <v>9923.1699999999983</v>
      </c>
      <c r="AI695" s="11">
        <v>9598.5999999999913</v>
      </c>
      <c r="AJ695" s="11">
        <v>9268.4300000000076</v>
      </c>
      <c r="AK695" s="11">
        <f>$J695-SUM($Z695:AJ695)</f>
        <v>9247.8099999999977</v>
      </c>
      <c r="AW695" s="2509"/>
      <c r="BH695" s="2509"/>
      <c r="BI695" s="772"/>
      <c r="BJ695" s="2173"/>
      <c r="BK695" s="2173"/>
      <c r="BL695" s="773"/>
      <c r="BN695" s="773"/>
      <c r="BO695" s="209"/>
      <c r="BQ695" s="209"/>
      <c r="BR695" s="859"/>
      <c r="BS695" s="885"/>
      <c r="CI695" s="4"/>
      <c r="CJ695" s="4"/>
      <c r="DB695" s="773"/>
      <c r="DC695" s="773"/>
      <c r="DD695" s="773"/>
      <c r="DE695" s="773"/>
      <c r="DF695" s="773"/>
      <c r="DG695" s="773"/>
      <c r="DH695" s="773"/>
      <c r="DI695" s="773"/>
      <c r="DJ695" s="773"/>
      <c r="DK695" s="773"/>
      <c r="DL695" s="773"/>
      <c r="DM695" s="773"/>
      <c r="DN695" s="773"/>
      <c r="DO695" s="773"/>
      <c r="DP695" s="773"/>
      <c r="DQ695" s="773"/>
      <c r="DR695" s="773"/>
      <c r="DS695" s="773"/>
      <c r="DT695" s="773"/>
      <c r="DU695" s="773"/>
      <c r="DV695" s="773"/>
      <c r="DW695" s="773"/>
      <c r="DX695" s="773"/>
      <c r="DY695" s="773"/>
      <c r="DZ695" s="773"/>
      <c r="EA695" s="773"/>
      <c r="EB695" s="773"/>
      <c r="EC695" s="773"/>
      <c r="ED695" s="773"/>
      <c r="EE695" s="773"/>
      <c r="EF695" s="773"/>
      <c r="EG695" s="773"/>
      <c r="EH695" s="773"/>
      <c r="EI695" s="773"/>
      <c r="EJ695" s="773"/>
      <c r="EK695" s="773"/>
      <c r="EL695" s="773"/>
      <c r="EM695" s="773"/>
      <c r="EN695" s="773"/>
      <c r="EO695" s="773"/>
      <c r="EP695" s="773"/>
      <c r="EQ695" s="773"/>
      <c r="ER695" s="773"/>
      <c r="ES695" s="773"/>
      <c r="ET695" s="773"/>
      <c r="EU695" s="773"/>
      <c r="EV695" s="773"/>
      <c r="EW695" s="773"/>
      <c r="EX695" s="773"/>
      <c r="EY695" s="773"/>
      <c r="EZ695" s="773"/>
      <c r="FA695" s="773"/>
      <c r="FB695" s="773"/>
      <c r="FC695" s="773"/>
      <c r="FD695" s="773"/>
      <c r="FE695" s="773"/>
      <c r="FF695" s="773"/>
      <c r="FG695" s="773"/>
      <c r="FH695" s="773"/>
      <c r="FI695" s="773"/>
      <c r="FJ695" s="773"/>
      <c r="FK695" s="773"/>
      <c r="FL695" s="773"/>
      <c r="FM695" s="773"/>
      <c r="FN695" s="773"/>
      <c r="FO695" s="773"/>
      <c r="FP695" s="773"/>
      <c r="FQ695" s="773"/>
      <c r="FR695" s="773"/>
      <c r="FS695" s="773"/>
      <c r="FT695" s="773"/>
      <c r="FU695" s="773"/>
      <c r="FV695" s="773"/>
      <c r="FW695" s="773"/>
      <c r="FX695" s="773"/>
      <c r="FY695" s="773"/>
      <c r="FZ695" s="773"/>
      <c r="GA695" s="773"/>
      <c r="GB695" s="773"/>
      <c r="GC695" s="773"/>
      <c r="GD695" s="773"/>
      <c r="GE695" s="773"/>
      <c r="GF695" s="773"/>
      <c r="GG695" s="773"/>
      <c r="GH695" s="773"/>
      <c r="GI695" s="773"/>
      <c r="GJ695" s="773"/>
      <c r="GK695" s="773"/>
      <c r="GL695" s="773"/>
      <c r="GM695" s="773"/>
      <c r="GN695" s="773"/>
      <c r="GO695" s="773"/>
      <c r="GP695" s="773"/>
      <c r="GQ695" s="773"/>
      <c r="GR695" s="773"/>
      <c r="GS695" s="773"/>
      <c r="GT695" s="773"/>
      <c r="GU695" s="773"/>
      <c r="GV695" s="773"/>
      <c r="GW695" s="773"/>
      <c r="GX695" s="773"/>
      <c r="GY695" s="773"/>
      <c r="GZ695" s="773"/>
    </row>
    <row r="696" spans="1:208" s="11" customFormat="1">
      <c r="A696" s="774"/>
      <c r="B696" s="3761" t="s">
        <v>766</v>
      </c>
      <c r="C696" s="197">
        <v>8030005</v>
      </c>
      <c r="D696" s="199" t="s">
        <v>1703</v>
      </c>
      <c r="E696" s="798">
        <f>IFERROR(VLOOKUP(C696,'AJE 12 - INC'!$D$168:$F$771,3,0),0)</f>
        <v>48335.34</v>
      </c>
      <c r="F696" s="108">
        <f>SUMIF('AJE 12 - INC'!B:B,'New TB INC'!C696,'AJE 12 - INC'!D:D)</f>
        <v>0</v>
      </c>
      <c r="G696" s="108"/>
      <c r="H696" s="889"/>
      <c r="I696" s="889"/>
      <c r="J696" s="1303">
        <f t="shared" si="71"/>
        <v>48335.34</v>
      </c>
      <c r="K696" s="209"/>
      <c r="L696" s="434"/>
      <c r="M696" s="771"/>
      <c r="N696" s="11">
        <v>2994.69</v>
      </c>
      <c r="O696" s="11">
        <v>5694.7099999999991</v>
      </c>
      <c r="P696" s="11">
        <v>5265.6</v>
      </c>
      <c r="Q696" s="11">
        <v>5473.5000000000018</v>
      </c>
      <c r="R696" s="773">
        <v>5517.6500000000015</v>
      </c>
      <c r="S696" s="11">
        <v>5705.2899999999991</v>
      </c>
      <c r="T696" s="773">
        <v>5758.0099999999966</v>
      </c>
      <c r="U696" s="2173">
        <v>5536.2700000000041</v>
      </c>
      <c r="V696" s="2509">
        <v>5553.8899999999994</v>
      </c>
      <c r="W696" s="2509">
        <v>5255.18</v>
      </c>
      <c r="X696" s="2509">
        <v>5794.1900000000023</v>
      </c>
      <c r="Y696" s="2509">
        <v>5115.4599999999991</v>
      </c>
      <c r="Z696" s="11">
        <f>'[26]New TB INC'!Z641</f>
        <v>4817.1499999999996</v>
      </c>
      <c r="AA696" s="11">
        <f>'[27]New TB INC'!AA650</f>
        <v>5066.84</v>
      </c>
      <c r="AB696" s="11">
        <f>'[28]New TB INC'!AB656</f>
        <v>5014.0300000000007</v>
      </c>
      <c r="AC696" s="11">
        <f>'[29]New TB INC'!AC652</f>
        <v>5233.84</v>
      </c>
      <c r="AD696" s="11">
        <f>'[30]New TB INC'!AD647</f>
        <v>5660.0799999999981</v>
      </c>
      <c r="AE696" s="11">
        <f>'[31]New TB INC'!AE655</f>
        <v>5613.5600000000013</v>
      </c>
      <c r="AF696" s="11">
        <v>5152.6100000000006</v>
      </c>
      <c r="AG696" s="11">
        <v>6065.0899999999965</v>
      </c>
      <c r="AH696" s="11">
        <v>1881.4700000000012</v>
      </c>
      <c r="AI696" s="11">
        <v>1726.9500000000044</v>
      </c>
      <c r="AJ696" s="11">
        <v>1916.9599999999991</v>
      </c>
      <c r="AK696" s="11">
        <f>$J696-SUM($Z696:AJ696)</f>
        <v>186.75999999999476</v>
      </c>
      <c r="AW696" s="2509"/>
      <c r="BH696" s="2509"/>
      <c r="BI696" s="772"/>
      <c r="BJ696" s="2173"/>
      <c r="BK696" s="2173"/>
      <c r="BL696" s="773"/>
      <c r="BN696" s="773"/>
      <c r="BO696" s="209"/>
      <c r="BQ696" s="209"/>
      <c r="BR696" s="859"/>
      <c r="BS696" s="885"/>
      <c r="CI696" s="4"/>
      <c r="CJ696" s="4"/>
      <c r="DB696" s="773"/>
      <c r="DC696" s="773"/>
      <c r="DD696" s="773"/>
      <c r="DE696" s="773"/>
      <c r="DF696" s="773"/>
      <c r="DG696" s="773"/>
      <c r="DH696" s="773"/>
      <c r="DI696" s="773"/>
      <c r="DJ696" s="773"/>
      <c r="DK696" s="773"/>
      <c r="DL696" s="773"/>
      <c r="DM696" s="773"/>
      <c r="DN696" s="773"/>
      <c r="DO696" s="773"/>
      <c r="DP696" s="773"/>
      <c r="DQ696" s="773"/>
      <c r="DR696" s="773"/>
      <c r="DS696" s="773"/>
      <c r="DT696" s="773"/>
      <c r="DU696" s="773"/>
      <c r="DV696" s="773"/>
      <c r="DW696" s="773"/>
      <c r="DX696" s="773"/>
      <c r="DY696" s="773"/>
      <c r="DZ696" s="773"/>
      <c r="EA696" s="773"/>
      <c r="EB696" s="773"/>
      <c r="EC696" s="773"/>
      <c r="ED696" s="773"/>
      <c r="EE696" s="773"/>
      <c r="EF696" s="773"/>
      <c r="EG696" s="773"/>
      <c r="EH696" s="773"/>
      <c r="EI696" s="773"/>
      <c r="EJ696" s="773"/>
      <c r="EK696" s="773"/>
      <c r="EL696" s="773"/>
      <c r="EM696" s="773"/>
      <c r="EN696" s="773"/>
      <c r="EO696" s="773"/>
      <c r="EP696" s="773"/>
      <c r="EQ696" s="773"/>
      <c r="ER696" s="773"/>
      <c r="ES696" s="773"/>
      <c r="ET696" s="773"/>
      <c r="EU696" s="773"/>
      <c r="EV696" s="773"/>
      <c r="EW696" s="773"/>
      <c r="EX696" s="773"/>
      <c r="EY696" s="773"/>
      <c r="EZ696" s="773"/>
      <c r="FA696" s="773"/>
      <c r="FB696" s="773"/>
      <c r="FC696" s="773"/>
      <c r="FD696" s="773"/>
      <c r="FE696" s="773"/>
      <c r="FF696" s="773"/>
      <c r="FG696" s="773"/>
      <c r="FH696" s="773"/>
      <c r="FI696" s="773"/>
      <c r="FJ696" s="773"/>
      <c r="FK696" s="773"/>
      <c r="FL696" s="773"/>
      <c r="FM696" s="773"/>
      <c r="FN696" s="773"/>
      <c r="FO696" s="773"/>
      <c r="FP696" s="773"/>
      <c r="FQ696" s="773"/>
      <c r="FR696" s="773"/>
      <c r="FS696" s="773"/>
      <c r="FT696" s="773"/>
      <c r="FU696" s="773"/>
      <c r="FV696" s="773"/>
      <c r="FW696" s="773"/>
      <c r="FX696" s="773"/>
      <c r="FY696" s="773"/>
      <c r="FZ696" s="773"/>
      <c r="GA696" s="773"/>
      <c r="GB696" s="773"/>
      <c r="GC696" s="773"/>
      <c r="GD696" s="773"/>
      <c r="GE696" s="773"/>
      <c r="GF696" s="773"/>
      <c r="GG696" s="773"/>
      <c r="GH696" s="773"/>
      <c r="GI696" s="773"/>
      <c r="GJ696" s="773"/>
      <c r="GK696" s="773"/>
      <c r="GL696" s="773"/>
      <c r="GM696" s="773"/>
      <c r="GN696" s="773"/>
      <c r="GO696" s="773"/>
      <c r="GP696" s="773"/>
      <c r="GQ696" s="773"/>
      <c r="GR696" s="773"/>
      <c r="GS696" s="773"/>
      <c r="GT696" s="773"/>
      <c r="GU696" s="773"/>
      <c r="GV696" s="773"/>
      <c r="GW696" s="773"/>
      <c r="GX696" s="773"/>
      <c r="GY696" s="773"/>
      <c r="GZ696" s="773"/>
    </row>
    <row r="697" spans="1:208" s="11" customFormat="1">
      <c r="A697" s="774"/>
      <c r="B697" s="3761" t="s">
        <v>766</v>
      </c>
      <c r="C697" s="197">
        <v>8030006</v>
      </c>
      <c r="D697" s="199" t="s">
        <v>767</v>
      </c>
      <c r="E697" s="798">
        <f>IFERROR(VLOOKUP(C697,'AJE 12 - INC'!$D$168:$F$771,3,0),0)</f>
        <v>600.19000000000005</v>
      </c>
      <c r="F697" s="108">
        <f>SUMIF('AJE 12 - INC'!B:B,'New TB INC'!C697,'AJE 12 - INC'!D:D)</f>
        <v>0</v>
      </c>
      <c r="G697" s="108"/>
      <c r="H697" s="889"/>
      <c r="I697" s="889"/>
      <c r="J697" s="1303">
        <f t="shared" si="71"/>
        <v>600.19000000000005</v>
      </c>
      <c r="K697" s="209"/>
      <c r="L697" s="434"/>
      <c r="M697" s="828"/>
      <c r="N697" s="11">
        <v>929.36</v>
      </c>
      <c r="O697" s="11">
        <v>502.53000000000009</v>
      </c>
      <c r="P697" s="11">
        <v>460.33999999999992</v>
      </c>
      <c r="Q697" s="11">
        <v>15.920000000000073</v>
      </c>
      <c r="R697" s="773">
        <v>50.249999999999886</v>
      </c>
      <c r="S697" s="11">
        <v>367.58999999999969</v>
      </c>
      <c r="T697" s="773">
        <v>-41.029999999999745</v>
      </c>
      <c r="U697" s="2173">
        <v>621.73</v>
      </c>
      <c r="V697" s="2509">
        <v>96</v>
      </c>
      <c r="W697" s="2509">
        <v>175.21000000000004</v>
      </c>
      <c r="X697" s="2509">
        <v>0</v>
      </c>
      <c r="Y697" s="2509">
        <v>0</v>
      </c>
      <c r="Z697" s="11">
        <f>'[26]New TB INC'!Z642</f>
        <v>57.33</v>
      </c>
      <c r="AA697" s="11">
        <f>'[27]New TB INC'!AA651</f>
        <v>10</v>
      </c>
      <c r="AB697" s="11">
        <f>'[28]New TB INC'!AB657</f>
        <v>206.19</v>
      </c>
      <c r="AC697" s="11">
        <f>'[29]New TB INC'!AC653</f>
        <v>12.080000000000041</v>
      </c>
      <c r="AD697" s="11">
        <f>'[30]New TB INC'!AD648</f>
        <v>0</v>
      </c>
      <c r="AE697" s="11">
        <f>'[31]New TB INC'!AE656</f>
        <v>0</v>
      </c>
      <c r="AF697" s="11">
        <v>45.19</v>
      </c>
      <c r="AG697" s="11">
        <v>89.44</v>
      </c>
      <c r="AH697" s="11">
        <v>105.55999999999995</v>
      </c>
      <c r="AI697" s="11">
        <v>0</v>
      </c>
      <c r="AJ697" s="11">
        <v>74.400000000000091</v>
      </c>
      <c r="AK697" s="11">
        <f>$J697-SUM($Z697:AJ697)</f>
        <v>0</v>
      </c>
      <c r="AW697" s="2509"/>
      <c r="BH697" s="2509"/>
      <c r="BI697" s="772"/>
      <c r="BJ697" s="2173"/>
      <c r="BK697" s="2173"/>
      <c r="BL697" s="773"/>
      <c r="BN697" s="773"/>
      <c r="BO697" s="209"/>
      <c r="BQ697" s="209"/>
      <c r="BR697" s="859"/>
      <c r="BS697" s="885"/>
      <c r="CH697" s="878"/>
      <c r="CI697" s="4"/>
      <c r="CJ697" s="4"/>
      <c r="DB697" s="773"/>
      <c r="DC697" s="773"/>
      <c r="DD697" s="773"/>
      <c r="DE697" s="773"/>
      <c r="DF697" s="773"/>
      <c r="DG697" s="773"/>
      <c r="DH697" s="773"/>
      <c r="DI697" s="773"/>
      <c r="DJ697" s="773"/>
      <c r="DK697" s="773"/>
      <c r="DL697" s="773"/>
      <c r="DM697" s="773"/>
      <c r="DN697" s="773"/>
      <c r="DO697" s="773"/>
      <c r="DP697" s="773"/>
      <c r="DQ697" s="773"/>
      <c r="DR697" s="773"/>
      <c r="DS697" s="773"/>
      <c r="DT697" s="773"/>
      <c r="DU697" s="773"/>
      <c r="DV697" s="773"/>
      <c r="DW697" s="773"/>
      <c r="DX697" s="773"/>
      <c r="DY697" s="773"/>
      <c r="DZ697" s="773"/>
      <c r="EA697" s="773"/>
      <c r="EB697" s="773"/>
      <c r="EC697" s="773"/>
      <c r="ED697" s="773"/>
      <c r="EE697" s="773"/>
      <c r="EF697" s="773"/>
      <c r="EG697" s="773"/>
      <c r="EH697" s="773"/>
      <c r="EI697" s="773"/>
      <c r="EJ697" s="773"/>
      <c r="EK697" s="773"/>
      <c r="EL697" s="773"/>
      <c r="EM697" s="773"/>
      <c r="EN697" s="773"/>
      <c r="EO697" s="773"/>
      <c r="EP697" s="773"/>
      <c r="EQ697" s="773"/>
      <c r="ER697" s="773"/>
      <c r="ES697" s="773"/>
      <c r="ET697" s="773"/>
      <c r="EU697" s="773"/>
      <c r="EV697" s="773"/>
      <c r="EW697" s="773"/>
      <c r="EX697" s="773"/>
      <c r="EY697" s="773"/>
      <c r="EZ697" s="773"/>
      <c r="FA697" s="773"/>
      <c r="FB697" s="773"/>
      <c r="FC697" s="773"/>
      <c r="FD697" s="773"/>
      <c r="FE697" s="773"/>
      <c r="FF697" s="773"/>
      <c r="FG697" s="773"/>
      <c r="FH697" s="773"/>
      <c r="FI697" s="773"/>
      <c r="FJ697" s="773"/>
      <c r="FK697" s="773"/>
      <c r="FL697" s="773"/>
      <c r="FM697" s="773"/>
      <c r="FN697" s="773"/>
      <c r="FO697" s="773"/>
      <c r="FP697" s="773"/>
      <c r="FQ697" s="773"/>
      <c r="FR697" s="773"/>
      <c r="FS697" s="773"/>
      <c r="FT697" s="773"/>
      <c r="FU697" s="773"/>
      <c r="FV697" s="773"/>
      <c r="FW697" s="773"/>
      <c r="FX697" s="773"/>
      <c r="FY697" s="773"/>
      <c r="FZ697" s="773"/>
      <c r="GA697" s="773"/>
      <c r="GB697" s="773"/>
      <c r="GC697" s="773"/>
      <c r="GD697" s="773"/>
      <c r="GE697" s="773"/>
      <c r="GF697" s="773"/>
      <c r="GG697" s="773"/>
      <c r="GH697" s="773"/>
      <c r="GI697" s="773"/>
      <c r="GJ697" s="773"/>
      <c r="GK697" s="773"/>
      <c r="GL697" s="773"/>
      <c r="GM697" s="773"/>
      <c r="GN697" s="773"/>
      <c r="GO697" s="773"/>
      <c r="GP697" s="773"/>
      <c r="GQ697" s="773"/>
      <c r="GR697" s="773"/>
      <c r="GS697" s="773"/>
      <c r="GT697" s="773"/>
      <c r="GU697" s="773"/>
      <c r="GV697" s="773"/>
      <c r="GW697" s="773"/>
      <c r="GX697" s="773"/>
      <c r="GY697" s="773"/>
      <c r="GZ697" s="773"/>
    </row>
    <row r="698" spans="1:208" s="11" customFormat="1">
      <c r="A698" s="774"/>
      <c r="B698" s="3761" t="s">
        <v>2415</v>
      </c>
      <c r="C698" s="197">
        <v>8090002</v>
      </c>
      <c r="D698" s="199" t="s">
        <v>2877</v>
      </c>
      <c r="E698" s="798">
        <f>IFERROR(VLOOKUP(C698,'AJE 12 - INC'!$D$168:$F$771,3,0),0)</f>
        <v>6000</v>
      </c>
      <c r="F698" s="108">
        <f>SUMIF('AJE 12 - INC'!B:B,'New TB INC'!C698,'AJE 12 - INC'!D:D)</f>
        <v>0</v>
      </c>
      <c r="G698" s="108"/>
      <c r="H698" s="889"/>
      <c r="I698" s="889"/>
      <c r="J698" s="1303">
        <f t="shared" si="71"/>
        <v>6000</v>
      </c>
      <c r="K698" s="209"/>
      <c r="L698" s="434"/>
      <c r="M698" s="828"/>
      <c r="R698" s="773"/>
      <c r="T698" s="773"/>
      <c r="U698" s="2173"/>
      <c r="V698" s="2509"/>
      <c r="W698" s="2509">
        <v>2070.4499999999998</v>
      </c>
      <c r="X698" s="2509">
        <v>0</v>
      </c>
      <c r="Y698" s="2509">
        <v>0</v>
      </c>
      <c r="Z698" s="11">
        <f>'[26]New TB INC'!Z643</f>
        <v>6000</v>
      </c>
      <c r="AA698" s="11">
        <f>'[27]New TB INC'!AA652</f>
        <v>0</v>
      </c>
      <c r="AB698" s="11">
        <f>'[28]New TB INC'!AB658</f>
        <v>0</v>
      </c>
      <c r="AC698" s="11">
        <f>'[29]New TB INC'!AC654</f>
        <v>0</v>
      </c>
      <c r="AD698" s="11">
        <f>'[30]New TB INC'!AD649</f>
        <v>0</v>
      </c>
      <c r="AE698" s="11">
        <f>'[31]New TB INC'!AE657</f>
        <v>0</v>
      </c>
      <c r="AF698" s="11">
        <v>0</v>
      </c>
      <c r="AG698" s="11">
        <v>0</v>
      </c>
      <c r="AH698" s="11">
        <v>0</v>
      </c>
      <c r="AI698" s="11">
        <v>0</v>
      </c>
      <c r="AJ698" s="11">
        <v>0</v>
      </c>
      <c r="AK698" s="11">
        <f>$J698-SUM($Z698:AJ698)</f>
        <v>0</v>
      </c>
      <c r="AW698" s="2509"/>
      <c r="BH698" s="2509"/>
      <c r="BI698" s="772"/>
      <c r="BJ698" s="2173"/>
      <c r="BK698" s="2173"/>
      <c r="BL698" s="773"/>
      <c r="BN698" s="773"/>
      <c r="BO698" s="209"/>
      <c r="BQ698" s="209"/>
      <c r="BR698" s="859"/>
      <c r="BS698" s="885"/>
      <c r="CH698" s="878"/>
      <c r="CI698" s="4"/>
      <c r="CJ698" s="4"/>
      <c r="DB698" s="773"/>
      <c r="DC698" s="773"/>
      <c r="DD698" s="773"/>
      <c r="DE698" s="773"/>
      <c r="DF698" s="773"/>
      <c r="DG698" s="773"/>
      <c r="DH698" s="773"/>
      <c r="DI698" s="773"/>
      <c r="DJ698" s="773"/>
      <c r="DK698" s="773"/>
      <c r="DL698" s="773"/>
      <c r="DM698" s="773"/>
      <c r="DN698" s="773"/>
      <c r="DO698" s="773"/>
      <c r="DP698" s="773"/>
      <c r="DQ698" s="773"/>
      <c r="DR698" s="773"/>
      <c r="DS698" s="773"/>
      <c r="DT698" s="773"/>
      <c r="DU698" s="773"/>
      <c r="DV698" s="773"/>
      <c r="DW698" s="773"/>
      <c r="DX698" s="773"/>
      <c r="DY698" s="773"/>
      <c r="DZ698" s="773"/>
      <c r="EA698" s="773"/>
      <c r="EB698" s="773"/>
      <c r="EC698" s="773"/>
      <c r="ED698" s="773"/>
      <c r="EE698" s="773"/>
      <c r="EF698" s="773"/>
      <c r="EG698" s="773"/>
      <c r="EH698" s="773"/>
      <c r="EI698" s="773"/>
      <c r="EJ698" s="773"/>
      <c r="EK698" s="773"/>
      <c r="EL698" s="773"/>
      <c r="EM698" s="773"/>
      <c r="EN698" s="773"/>
      <c r="EO698" s="773"/>
      <c r="EP698" s="773"/>
      <c r="EQ698" s="773"/>
      <c r="ER698" s="773"/>
      <c r="ES698" s="773"/>
      <c r="ET698" s="773"/>
      <c r="EU698" s="773"/>
      <c r="EV698" s="773"/>
      <c r="EW698" s="773"/>
      <c r="EX698" s="773"/>
      <c r="EY698" s="773"/>
      <c r="EZ698" s="773"/>
      <c r="FA698" s="773"/>
      <c r="FB698" s="773"/>
      <c r="FC698" s="773"/>
      <c r="FD698" s="773"/>
      <c r="FE698" s="773"/>
      <c r="FF698" s="773"/>
      <c r="FG698" s="773"/>
      <c r="FH698" s="773"/>
      <c r="FI698" s="773"/>
      <c r="FJ698" s="773"/>
      <c r="FK698" s="773"/>
      <c r="FL698" s="773"/>
      <c r="FM698" s="773"/>
      <c r="FN698" s="773"/>
      <c r="FO698" s="773"/>
      <c r="FP698" s="773"/>
      <c r="FQ698" s="773"/>
      <c r="FR698" s="773"/>
      <c r="FS698" s="773"/>
      <c r="FT698" s="773"/>
      <c r="FU698" s="773"/>
      <c r="FV698" s="773"/>
      <c r="FW698" s="773"/>
      <c r="FX698" s="773"/>
      <c r="FY698" s="773"/>
      <c r="FZ698" s="773"/>
      <c r="GA698" s="773"/>
      <c r="GB698" s="773"/>
      <c r="GC698" s="773"/>
      <c r="GD698" s="773"/>
      <c r="GE698" s="773"/>
      <c r="GF698" s="773"/>
      <c r="GG698" s="773"/>
      <c r="GH698" s="773"/>
      <c r="GI698" s="773"/>
      <c r="GJ698" s="773"/>
      <c r="GK698" s="773"/>
      <c r="GL698" s="773"/>
      <c r="GM698" s="773"/>
      <c r="GN698" s="773"/>
      <c r="GO698" s="773"/>
      <c r="GP698" s="773"/>
      <c r="GQ698" s="773"/>
      <c r="GR698" s="773"/>
      <c r="GS698" s="773"/>
      <c r="GT698" s="773"/>
      <c r="GU698" s="773"/>
      <c r="GV698" s="773"/>
      <c r="GW698" s="773"/>
      <c r="GX698" s="773"/>
      <c r="GY698" s="773"/>
      <c r="GZ698" s="773"/>
    </row>
    <row r="699" spans="1:208" s="11" customFormat="1">
      <c r="A699" s="774"/>
      <c r="B699" s="3761" t="s">
        <v>766</v>
      </c>
      <c r="C699" s="197">
        <v>8030009</v>
      </c>
      <c r="D699" s="199" t="s">
        <v>545</v>
      </c>
      <c r="E699" s="798">
        <f>IFERROR(VLOOKUP(C699,'AJE 12 - INC'!$D$168:$F$771,3,0),0)</f>
        <v>187.43</v>
      </c>
      <c r="F699" s="108">
        <f>SUMIF('AJE 12 - INC'!B:B,'New TB INC'!C699,'AJE 12 - INC'!D:D)</f>
        <v>0</v>
      </c>
      <c r="G699" s="108"/>
      <c r="H699" s="889"/>
      <c r="I699" s="889"/>
      <c r="J699" s="1303">
        <f t="shared" si="71"/>
        <v>187.43</v>
      </c>
      <c r="K699" s="209"/>
      <c r="L699" s="434"/>
      <c r="M699" s="828"/>
      <c r="N699" s="11">
        <v>350</v>
      </c>
      <c r="O699" s="11">
        <v>133.27999999999997</v>
      </c>
      <c r="P699" s="11">
        <v>0</v>
      </c>
      <c r="Q699" s="11">
        <v>0</v>
      </c>
      <c r="R699" s="773">
        <v>0</v>
      </c>
      <c r="S699" s="11">
        <v>0</v>
      </c>
      <c r="T699" s="773">
        <v>0</v>
      </c>
      <c r="U699" s="2173">
        <v>107.43000000000006</v>
      </c>
      <c r="V699" s="2509">
        <v>0</v>
      </c>
      <c r="W699" s="2509">
        <v>0</v>
      </c>
      <c r="X699" s="2509">
        <v>0</v>
      </c>
      <c r="Y699" s="2509">
        <v>0</v>
      </c>
      <c r="Z699" s="11">
        <f>'[26]New TB INC'!Z644</f>
        <v>0</v>
      </c>
      <c r="AA699" s="11">
        <f>'[27]New TB INC'!AA653</f>
        <v>0</v>
      </c>
      <c r="AB699" s="11">
        <f>'[28]New TB INC'!AB659</f>
        <v>0</v>
      </c>
      <c r="AC699" s="11">
        <f>'[29]New TB INC'!AC655</f>
        <v>0</v>
      </c>
      <c r="AD699" s="11">
        <f>'[30]New TB INC'!AD650</f>
        <v>0</v>
      </c>
      <c r="AE699" s="11">
        <f>'[31]New TB INC'!AE658</f>
        <v>0</v>
      </c>
      <c r="AF699" s="11">
        <v>0</v>
      </c>
      <c r="AG699" s="11">
        <v>107.43</v>
      </c>
      <c r="AH699" s="11">
        <v>0</v>
      </c>
      <c r="AI699" s="11">
        <v>0</v>
      </c>
      <c r="AJ699" s="11">
        <v>80</v>
      </c>
      <c r="AK699" s="11">
        <f>$J699-SUM($Z699:AJ699)</f>
        <v>0</v>
      </c>
      <c r="AW699" s="2509"/>
      <c r="BH699" s="2509"/>
      <c r="BI699" s="772"/>
      <c r="BJ699" s="2173"/>
      <c r="BK699" s="2173"/>
      <c r="BL699" s="773"/>
      <c r="BN699" s="773"/>
      <c r="BO699" s="209"/>
      <c r="BQ699" s="209"/>
      <c r="BR699" s="859"/>
      <c r="CH699" s="878"/>
      <c r="CI699" s="4"/>
      <c r="CJ699" s="4"/>
      <c r="DB699" s="773"/>
      <c r="DC699" s="773"/>
      <c r="DD699" s="773"/>
      <c r="DE699" s="773"/>
      <c r="DF699" s="773"/>
      <c r="DG699" s="773"/>
      <c r="DH699" s="773"/>
      <c r="DI699" s="773"/>
      <c r="DJ699" s="773"/>
      <c r="DK699" s="773"/>
      <c r="DL699" s="773"/>
      <c r="DM699" s="773"/>
      <c r="DN699" s="773"/>
      <c r="DO699" s="773"/>
      <c r="DP699" s="773"/>
      <c r="DQ699" s="773"/>
      <c r="DR699" s="773"/>
      <c r="DS699" s="773"/>
      <c r="DT699" s="773"/>
      <c r="DU699" s="773"/>
      <c r="DV699" s="773"/>
      <c r="DW699" s="773"/>
      <c r="DX699" s="773"/>
      <c r="DY699" s="773"/>
      <c r="DZ699" s="773"/>
      <c r="EA699" s="773"/>
      <c r="EB699" s="773"/>
      <c r="EC699" s="773"/>
      <c r="ED699" s="773"/>
      <c r="EE699" s="773"/>
      <c r="EF699" s="773"/>
      <c r="EG699" s="773"/>
      <c r="EH699" s="773"/>
      <c r="EI699" s="773"/>
      <c r="EJ699" s="773"/>
      <c r="EK699" s="773"/>
      <c r="EL699" s="773"/>
      <c r="EM699" s="773"/>
      <c r="EN699" s="773"/>
      <c r="EO699" s="773"/>
      <c r="EP699" s="773"/>
      <c r="EQ699" s="773"/>
      <c r="ER699" s="773"/>
      <c r="ES699" s="773"/>
      <c r="ET699" s="773"/>
      <c r="EU699" s="773"/>
      <c r="EV699" s="773"/>
      <c r="EW699" s="773"/>
      <c r="EX699" s="773"/>
      <c r="EY699" s="773"/>
      <c r="EZ699" s="773"/>
      <c r="FA699" s="773"/>
      <c r="FB699" s="773"/>
      <c r="FC699" s="773"/>
      <c r="FD699" s="773"/>
      <c r="FE699" s="773"/>
      <c r="FF699" s="773"/>
      <c r="FG699" s="773"/>
      <c r="FH699" s="773"/>
      <c r="FI699" s="773"/>
      <c r="FJ699" s="773"/>
      <c r="FK699" s="773"/>
      <c r="FL699" s="773"/>
      <c r="FM699" s="773"/>
      <c r="FN699" s="773"/>
      <c r="FO699" s="773"/>
      <c r="FP699" s="773"/>
      <c r="FQ699" s="773"/>
      <c r="FR699" s="773"/>
      <c r="FS699" s="773"/>
      <c r="FT699" s="773"/>
      <c r="FU699" s="773"/>
      <c r="FV699" s="773"/>
      <c r="FW699" s="773"/>
      <c r="FX699" s="773"/>
      <c r="FY699" s="773"/>
      <c r="FZ699" s="773"/>
      <c r="GA699" s="773"/>
      <c r="GB699" s="773"/>
      <c r="GC699" s="773"/>
      <c r="GD699" s="773"/>
      <c r="GE699" s="773"/>
      <c r="GF699" s="773"/>
      <c r="GG699" s="773"/>
      <c r="GH699" s="773"/>
      <c r="GI699" s="773"/>
      <c r="GJ699" s="773"/>
      <c r="GK699" s="773"/>
      <c r="GL699" s="773"/>
      <c r="GM699" s="773"/>
      <c r="GN699" s="773"/>
      <c r="GO699" s="773"/>
      <c r="GP699" s="773"/>
      <c r="GQ699" s="773"/>
      <c r="GR699" s="773"/>
      <c r="GS699" s="773"/>
      <c r="GT699" s="773"/>
      <c r="GU699" s="773"/>
      <c r="GV699" s="773"/>
      <c r="GW699" s="773"/>
      <c r="GX699" s="773"/>
      <c r="GY699" s="773"/>
      <c r="GZ699" s="773"/>
    </row>
    <row r="700" spans="1:208" s="11" customFormat="1">
      <c r="A700" s="774"/>
      <c r="B700" s="3761" t="s">
        <v>766</v>
      </c>
      <c r="C700" s="197">
        <v>8030017</v>
      </c>
      <c r="D700" s="199" t="s">
        <v>1573</v>
      </c>
      <c r="E700" s="798">
        <f>IFERROR(VLOOKUP(C700,'AJE 12 - INC'!$D$168:$F$771,3,0),0)</f>
        <v>0</v>
      </c>
      <c r="F700" s="108">
        <f>SUMIF('AJE 12 - INC'!B:B,'New TB INC'!C700,'AJE 12 - INC'!D:D)</f>
        <v>0</v>
      </c>
      <c r="G700" s="108"/>
      <c r="H700" s="889"/>
      <c r="I700" s="889"/>
      <c r="J700" s="1303">
        <f t="shared" si="71"/>
        <v>0</v>
      </c>
      <c r="K700" s="209"/>
      <c r="L700" s="434"/>
      <c r="M700" s="828"/>
      <c r="N700" s="11">
        <v>0</v>
      </c>
      <c r="O700" s="11">
        <v>118.72</v>
      </c>
      <c r="P700" s="11">
        <v>0</v>
      </c>
      <c r="Q700" s="11">
        <v>0</v>
      </c>
      <c r="R700" s="773">
        <v>0</v>
      </c>
      <c r="S700" s="11">
        <v>0</v>
      </c>
      <c r="T700" s="773">
        <v>0</v>
      </c>
      <c r="U700" s="2173">
        <v>0</v>
      </c>
      <c r="V700" s="2509">
        <v>0</v>
      </c>
      <c r="W700" s="2509">
        <v>0</v>
      </c>
      <c r="X700" s="2509">
        <v>0</v>
      </c>
      <c r="Y700" s="2509">
        <v>0</v>
      </c>
      <c r="Z700" s="11">
        <f>'[26]New TB INC'!Z645</f>
        <v>0</v>
      </c>
      <c r="AA700" s="11">
        <f>'[27]New TB INC'!AA654</f>
        <v>0</v>
      </c>
      <c r="AB700" s="11">
        <f>'[28]New TB INC'!AB660</f>
        <v>0</v>
      </c>
      <c r="AC700" s="11">
        <f>'[29]New TB INC'!AC656</f>
        <v>0</v>
      </c>
      <c r="AD700" s="11">
        <f>'[30]New TB INC'!AD651</f>
        <v>0</v>
      </c>
      <c r="AE700" s="11">
        <f>'[31]New TB INC'!AE659</f>
        <v>0</v>
      </c>
      <c r="AF700" s="11">
        <v>0</v>
      </c>
      <c r="AG700" s="11">
        <v>0</v>
      </c>
      <c r="AH700" s="11">
        <v>0</v>
      </c>
      <c r="AI700" s="11">
        <v>0</v>
      </c>
      <c r="AJ700" s="11">
        <v>0</v>
      </c>
      <c r="AK700" s="11">
        <f>$J700-SUM($Z700:AJ700)</f>
        <v>0</v>
      </c>
      <c r="AW700" s="2509"/>
      <c r="BH700" s="2509"/>
      <c r="BI700" s="772"/>
      <c r="BJ700" s="2173"/>
      <c r="BK700" s="2173"/>
      <c r="BL700" s="773"/>
      <c r="BN700" s="773"/>
      <c r="BO700" s="209"/>
      <c r="BQ700" s="209"/>
      <c r="BR700" s="859"/>
      <c r="CH700" s="878"/>
      <c r="CI700" s="4"/>
      <c r="CJ700" s="4"/>
      <c r="DB700" s="773"/>
      <c r="DC700" s="773"/>
      <c r="DD700" s="773"/>
      <c r="DE700" s="773"/>
      <c r="DF700" s="773"/>
      <c r="DG700" s="773"/>
      <c r="DH700" s="773"/>
      <c r="DI700" s="773"/>
      <c r="DJ700" s="773"/>
      <c r="DK700" s="773"/>
      <c r="DL700" s="773"/>
      <c r="DM700" s="773"/>
      <c r="DN700" s="773"/>
      <c r="DO700" s="773"/>
      <c r="DP700" s="773"/>
      <c r="DQ700" s="773"/>
      <c r="DR700" s="773"/>
      <c r="DS700" s="773"/>
      <c r="DT700" s="773"/>
      <c r="DU700" s="773"/>
      <c r="DV700" s="773"/>
      <c r="DW700" s="773"/>
      <c r="DX700" s="773"/>
      <c r="DY700" s="773"/>
      <c r="DZ700" s="773"/>
      <c r="EA700" s="773"/>
      <c r="EB700" s="773"/>
      <c r="EC700" s="773"/>
      <c r="ED700" s="773"/>
      <c r="EE700" s="773"/>
      <c r="EF700" s="773"/>
      <c r="EG700" s="773"/>
      <c r="EH700" s="773"/>
      <c r="EI700" s="773"/>
      <c r="EJ700" s="773"/>
      <c r="EK700" s="773"/>
      <c r="EL700" s="773"/>
      <c r="EM700" s="773"/>
      <c r="EN700" s="773"/>
      <c r="EO700" s="773"/>
      <c r="EP700" s="773"/>
      <c r="EQ700" s="773"/>
      <c r="ER700" s="773"/>
      <c r="ES700" s="773"/>
      <c r="ET700" s="773"/>
      <c r="EU700" s="773"/>
      <c r="EV700" s="773"/>
      <c r="EW700" s="773"/>
      <c r="EX700" s="773"/>
      <c r="EY700" s="773"/>
      <c r="EZ700" s="773"/>
      <c r="FA700" s="773"/>
      <c r="FB700" s="773"/>
      <c r="FC700" s="773"/>
      <c r="FD700" s="773"/>
      <c r="FE700" s="773"/>
      <c r="FF700" s="773"/>
      <c r="FG700" s="773"/>
      <c r="FH700" s="773"/>
      <c r="FI700" s="773"/>
      <c r="FJ700" s="773"/>
      <c r="FK700" s="773"/>
      <c r="FL700" s="773"/>
      <c r="FM700" s="773"/>
      <c r="FN700" s="773"/>
      <c r="FO700" s="773"/>
      <c r="FP700" s="773"/>
      <c r="FQ700" s="773"/>
      <c r="FR700" s="773"/>
      <c r="FS700" s="773"/>
      <c r="FT700" s="773"/>
      <c r="FU700" s="773"/>
      <c r="FV700" s="773"/>
      <c r="FW700" s="773"/>
      <c r="FX700" s="773"/>
      <c r="FY700" s="773"/>
      <c r="FZ700" s="773"/>
      <c r="GA700" s="773"/>
      <c r="GB700" s="773"/>
      <c r="GC700" s="773"/>
      <c r="GD700" s="773"/>
      <c r="GE700" s="773"/>
      <c r="GF700" s="773"/>
      <c r="GG700" s="773"/>
      <c r="GH700" s="773"/>
      <c r="GI700" s="773"/>
      <c r="GJ700" s="773"/>
      <c r="GK700" s="773"/>
      <c r="GL700" s="773"/>
      <c r="GM700" s="773"/>
      <c r="GN700" s="773"/>
      <c r="GO700" s="773"/>
      <c r="GP700" s="773"/>
      <c r="GQ700" s="773"/>
      <c r="GR700" s="773"/>
      <c r="GS700" s="773"/>
      <c r="GT700" s="773"/>
      <c r="GU700" s="773"/>
      <c r="GV700" s="773"/>
      <c r="GW700" s="773"/>
      <c r="GX700" s="773"/>
      <c r="GY700" s="773"/>
      <c r="GZ700" s="773"/>
    </row>
    <row r="701" spans="1:208" s="11" customFormat="1">
      <c r="A701" s="774"/>
      <c r="B701" s="3761" t="s">
        <v>766</v>
      </c>
      <c r="C701" s="197">
        <v>8030018</v>
      </c>
      <c r="D701" s="199" t="s">
        <v>978</v>
      </c>
      <c r="E701" s="798">
        <f>IFERROR(VLOOKUP(C701,'AJE 12 - INC'!$D$168:$F$771,3,0),0)</f>
        <v>32.15</v>
      </c>
      <c r="F701" s="108">
        <f>SUMIF('AJE 12 - INC'!B:B,'New TB INC'!C701,'AJE 12 - INC'!D:D)</f>
        <v>0</v>
      </c>
      <c r="G701" s="108"/>
      <c r="H701" s="889"/>
      <c r="I701" s="889"/>
      <c r="J701" s="1303">
        <f t="shared" si="71"/>
        <v>32.15</v>
      </c>
      <c r="K701" s="209"/>
      <c r="L701" s="434"/>
      <c r="M701" s="828"/>
      <c r="N701" s="11">
        <v>74.44</v>
      </c>
      <c r="O701" s="11">
        <v>398</v>
      </c>
      <c r="P701" s="11">
        <v>0</v>
      </c>
      <c r="Q701" s="11">
        <v>0</v>
      </c>
      <c r="R701" s="773">
        <v>0</v>
      </c>
      <c r="S701" s="11">
        <v>0</v>
      </c>
      <c r="T701" s="773">
        <v>992.05</v>
      </c>
      <c r="U701" s="2173">
        <v>0</v>
      </c>
      <c r="V701" s="2509">
        <v>0</v>
      </c>
      <c r="W701" s="2509">
        <v>0</v>
      </c>
      <c r="X701" s="2509">
        <v>0</v>
      </c>
      <c r="Y701" s="2509">
        <v>135.15000000000009</v>
      </c>
      <c r="Z701" s="11">
        <f>'[26]New TB INC'!Z646</f>
        <v>0</v>
      </c>
      <c r="AA701" s="11">
        <f>'[27]New TB INC'!AA655</f>
        <v>0</v>
      </c>
      <c r="AB701" s="11">
        <f>'[28]New TB INC'!AB661</f>
        <v>0</v>
      </c>
      <c r="AC701" s="11">
        <f>'[29]New TB INC'!AC657</f>
        <v>32.15</v>
      </c>
      <c r="AD701" s="11">
        <f>'[30]New TB INC'!AD652</f>
        <v>0</v>
      </c>
      <c r="AE701" s="11">
        <f>'[31]New TB INC'!AE660</f>
        <v>0</v>
      </c>
      <c r="AF701" s="11">
        <v>0</v>
      </c>
      <c r="AG701" s="11">
        <v>0</v>
      </c>
      <c r="AH701" s="11">
        <v>0</v>
      </c>
      <c r="AI701" s="11">
        <v>0</v>
      </c>
      <c r="AJ701" s="11">
        <v>0</v>
      </c>
      <c r="AK701" s="11">
        <f>$J701-SUM($Z701:AJ701)</f>
        <v>0</v>
      </c>
      <c r="AW701" s="2509"/>
      <c r="BH701" s="2509"/>
      <c r="BI701" s="772"/>
      <c r="BJ701" s="2173"/>
      <c r="BK701" s="2173"/>
      <c r="BL701" s="773"/>
      <c r="BN701" s="773"/>
      <c r="BO701" s="209"/>
      <c r="BR701" s="799"/>
      <c r="CH701" s="878"/>
      <c r="CI701" s="4"/>
      <c r="CJ701" s="4"/>
      <c r="DB701" s="773"/>
      <c r="DC701" s="773"/>
      <c r="DD701" s="773"/>
      <c r="DE701" s="773"/>
      <c r="DF701" s="773"/>
      <c r="DG701" s="773"/>
      <c r="DH701" s="773"/>
      <c r="DI701" s="773"/>
      <c r="DJ701" s="773"/>
      <c r="DK701" s="773"/>
      <c r="DL701" s="773"/>
      <c r="DM701" s="773"/>
      <c r="DN701" s="773"/>
      <c r="DO701" s="773"/>
      <c r="DP701" s="773"/>
      <c r="DQ701" s="773"/>
      <c r="DR701" s="773"/>
      <c r="DS701" s="773"/>
      <c r="DT701" s="773"/>
      <c r="DU701" s="773"/>
      <c r="DV701" s="773"/>
      <c r="DW701" s="773"/>
      <c r="DX701" s="773"/>
      <c r="DY701" s="773"/>
      <c r="DZ701" s="773"/>
      <c r="EA701" s="773"/>
      <c r="EB701" s="773"/>
      <c r="EC701" s="773"/>
      <c r="ED701" s="773"/>
      <c r="EE701" s="773"/>
      <c r="EF701" s="773"/>
      <c r="EG701" s="773"/>
      <c r="EH701" s="773"/>
      <c r="EI701" s="773"/>
      <c r="EJ701" s="773"/>
      <c r="EK701" s="773"/>
      <c r="EL701" s="773"/>
      <c r="EM701" s="773"/>
      <c r="EN701" s="773"/>
      <c r="EO701" s="773"/>
      <c r="EP701" s="773"/>
      <c r="EQ701" s="773"/>
      <c r="ER701" s="773"/>
      <c r="ES701" s="773"/>
      <c r="ET701" s="773"/>
      <c r="EU701" s="773"/>
      <c r="EV701" s="773"/>
      <c r="EW701" s="773"/>
      <c r="EX701" s="773"/>
      <c r="EY701" s="773"/>
      <c r="EZ701" s="773"/>
      <c r="FA701" s="773"/>
      <c r="FB701" s="773"/>
      <c r="FC701" s="773"/>
      <c r="FD701" s="773"/>
      <c r="FE701" s="773"/>
      <c r="FF701" s="773"/>
      <c r="FG701" s="773"/>
      <c r="FH701" s="773"/>
      <c r="FI701" s="773"/>
      <c r="FJ701" s="773"/>
      <c r="FK701" s="773"/>
      <c r="FL701" s="773"/>
      <c r="FM701" s="773"/>
      <c r="FN701" s="773"/>
      <c r="FO701" s="773"/>
      <c r="FP701" s="773"/>
      <c r="FQ701" s="773"/>
      <c r="FR701" s="773"/>
      <c r="FS701" s="773"/>
      <c r="FT701" s="773"/>
      <c r="FU701" s="773"/>
      <c r="FV701" s="773"/>
      <c r="FW701" s="773"/>
      <c r="FX701" s="773"/>
      <c r="FY701" s="773"/>
      <c r="FZ701" s="773"/>
      <c r="GA701" s="773"/>
      <c r="GB701" s="773"/>
      <c r="GC701" s="773"/>
      <c r="GD701" s="773"/>
      <c r="GE701" s="773"/>
      <c r="GF701" s="773"/>
      <c r="GG701" s="773"/>
      <c r="GH701" s="773"/>
      <c r="GI701" s="773"/>
      <c r="GJ701" s="773"/>
      <c r="GK701" s="773"/>
      <c r="GL701" s="773"/>
      <c r="GM701" s="773"/>
      <c r="GN701" s="773"/>
      <c r="GO701" s="773"/>
      <c r="GP701" s="773"/>
      <c r="GQ701" s="773"/>
      <c r="GR701" s="773"/>
      <c r="GS701" s="773"/>
      <c r="GT701" s="773"/>
      <c r="GU701" s="773"/>
      <c r="GV701" s="773"/>
      <c r="GW701" s="773"/>
      <c r="GX701" s="773"/>
      <c r="GY701" s="773"/>
      <c r="GZ701" s="773"/>
    </row>
    <row r="702" spans="1:208" s="11" customFormat="1">
      <c r="A702" s="774"/>
      <c r="B702" s="3761" t="s">
        <v>1379</v>
      </c>
      <c r="C702" s="197">
        <v>8030019</v>
      </c>
      <c r="D702" s="199" t="s">
        <v>1430</v>
      </c>
      <c r="E702" s="798">
        <f>IFERROR(VLOOKUP(C702,'AJE 12 - INC'!$D$168:$F$771,3,0),0)</f>
        <v>22223.02</v>
      </c>
      <c r="F702" s="108">
        <f>SUMIF('AJE 12 - INC'!B:B,'New TB INC'!C702,'AJE 12 - INC'!D:D)</f>
        <v>0</v>
      </c>
      <c r="G702" s="108"/>
      <c r="H702" s="889"/>
      <c r="I702" s="889"/>
      <c r="J702" s="1303">
        <f t="shared" si="71"/>
        <v>22223.02</v>
      </c>
      <c r="K702" s="209"/>
      <c r="L702" s="434"/>
      <c r="M702" s="828">
        <f>29543/11</f>
        <v>2685.7272727272725</v>
      </c>
      <c r="N702" s="11">
        <v>541.45000000000005</v>
      </c>
      <c r="O702" s="11">
        <v>1240.97</v>
      </c>
      <c r="P702" s="11">
        <v>482.5</v>
      </c>
      <c r="Q702" s="11">
        <v>202.5</v>
      </c>
      <c r="R702" s="773">
        <v>202.50000000000023</v>
      </c>
      <c r="S702" s="11">
        <v>0</v>
      </c>
      <c r="T702" s="773">
        <v>1171.9999999999998</v>
      </c>
      <c r="U702" s="2173">
        <v>0</v>
      </c>
      <c r="V702" s="2509">
        <v>0</v>
      </c>
      <c r="W702" s="2509">
        <v>0</v>
      </c>
      <c r="X702" s="2509">
        <v>4839.0499999999993</v>
      </c>
      <c r="Y702" s="2509">
        <v>549.57999999999993</v>
      </c>
      <c r="Z702" s="11">
        <f>'[26]New TB INC'!Z647</f>
        <v>33.979999999999997</v>
      </c>
      <c r="AA702" s="11">
        <f>'[27]New TB INC'!AA656</f>
        <v>1648.8899999999999</v>
      </c>
      <c r="AB702" s="11">
        <f>'[28]New TB INC'!AB662</f>
        <v>1154.56</v>
      </c>
      <c r="AC702" s="11">
        <f>'[29]New TB INC'!AC658</f>
        <v>1834.0400000000004</v>
      </c>
      <c r="AD702" s="11">
        <f>'[30]New TB INC'!AD653</f>
        <v>509.82999999999993</v>
      </c>
      <c r="AE702" s="11">
        <f>'[31]New TB INC'!AE661</f>
        <v>1373.83</v>
      </c>
      <c r="AF702" s="11">
        <v>898.38000000000011</v>
      </c>
      <c r="AG702" s="11">
        <v>509.82999999999993</v>
      </c>
      <c r="AH702" s="11">
        <v>509.82999999999993</v>
      </c>
      <c r="AI702" s="11">
        <v>1114.5</v>
      </c>
      <c r="AJ702" s="11">
        <v>3298.74</v>
      </c>
      <c r="AK702" s="11">
        <f>$J702-SUM($Z702:AJ702)</f>
        <v>9336.61</v>
      </c>
      <c r="AW702" s="2509"/>
      <c r="BH702" s="2509"/>
      <c r="BI702" s="772"/>
      <c r="BJ702" s="2173"/>
      <c r="BK702" s="2173"/>
      <c r="BL702" s="773"/>
      <c r="BN702" s="773"/>
      <c r="BO702" s="209"/>
      <c r="BR702" s="799"/>
      <c r="CH702" s="878"/>
      <c r="CI702" s="4"/>
      <c r="CJ702" s="4"/>
      <c r="DB702" s="773"/>
      <c r="DC702" s="773"/>
      <c r="DD702" s="773"/>
      <c r="DE702" s="773"/>
      <c r="DF702" s="773"/>
      <c r="DG702" s="773"/>
      <c r="DH702" s="773"/>
      <c r="DI702" s="773"/>
      <c r="DJ702" s="773"/>
      <c r="DK702" s="773"/>
      <c r="DL702" s="773"/>
      <c r="DM702" s="773"/>
      <c r="DN702" s="773"/>
      <c r="DO702" s="773"/>
      <c r="DP702" s="773"/>
      <c r="DQ702" s="773"/>
      <c r="DR702" s="773"/>
      <c r="DS702" s="773"/>
      <c r="DT702" s="773"/>
      <c r="DU702" s="773"/>
      <c r="DV702" s="773"/>
      <c r="DW702" s="773"/>
      <c r="DX702" s="773"/>
      <c r="DY702" s="773"/>
      <c r="DZ702" s="773"/>
      <c r="EA702" s="773"/>
      <c r="EB702" s="773"/>
      <c r="EC702" s="773"/>
      <c r="ED702" s="773"/>
      <c r="EE702" s="773"/>
      <c r="EF702" s="773"/>
      <c r="EG702" s="773"/>
      <c r="EH702" s="773"/>
      <c r="EI702" s="773"/>
      <c r="EJ702" s="773"/>
      <c r="EK702" s="773"/>
      <c r="EL702" s="773"/>
      <c r="EM702" s="773"/>
      <c r="EN702" s="773"/>
      <c r="EO702" s="773"/>
      <c r="EP702" s="773"/>
      <c r="EQ702" s="773"/>
      <c r="ER702" s="773"/>
      <c r="ES702" s="773"/>
      <c r="ET702" s="773"/>
      <c r="EU702" s="773"/>
      <c r="EV702" s="773"/>
      <c r="EW702" s="773"/>
      <c r="EX702" s="773"/>
      <c r="EY702" s="773"/>
      <c r="EZ702" s="773"/>
      <c r="FA702" s="773"/>
      <c r="FB702" s="773"/>
      <c r="FC702" s="773"/>
      <c r="FD702" s="773"/>
      <c r="FE702" s="773"/>
      <c r="FF702" s="773"/>
      <c r="FG702" s="773"/>
      <c r="FH702" s="773"/>
      <c r="FI702" s="773"/>
      <c r="FJ702" s="773"/>
      <c r="FK702" s="773"/>
      <c r="FL702" s="773"/>
      <c r="FM702" s="773"/>
      <c r="FN702" s="773"/>
      <c r="FO702" s="773"/>
      <c r="FP702" s="773"/>
      <c r="FQ702" s="773"/>
      <c r="FR702" s="773"/>
      <c r="FS702" s="773"/>
      <c r="FT702" s="773"/>
      <c r="FU702" s="773"/>
      <c r="FV702" s="773"/>
      <c r="FW702" s="773"/>
      <c r="FX702" s="773"/>
      <c r="FY702" s="773"/>
      <c r="FZ702" s="773"/>
      <c r="GA702" s="773"/>
      <c r="GB702" s="773"/>
      <c r="GC702" s="773"/>
      <c r="GD702" s="773"/>
      <c r="GE702" s="773"/>
      <c r="GF702" s="773"/>
      <c r="GG702" s="773"/>
      <c r="GH702" s="773"/>
      <c r="GI702" s="773"/>
      <c r="GJ702" s="773"/>
      <c r="GK702" s="773"/>
      <c r="GL702" s="773"/>
      <c r="GM702" s="773"/>
      <c r="GN702" s="773"/>
      <c r="GO702" s="773"/>
      <c r="GP702" s="773"/>
      <c r="GQ702" s="773"/>
      <c r="GR702" s="773"/>
      <c r="GS702" s="773"/>
      <c r="GT702" s="773"/>
      <c r="GU702" s="773"/>
      <c r="GV702" s="773"/>
      <c r="GW702" s="773"/>
      <c r="GX702" s="773"/>
      <c r="GY702" s="773"/>
      <c r="GZ702" s="773"/>
    </row>
    <row r="703" spans="1:208" s="11" customFormat="1">
      <c r="A703" s="774"/>
      <c r="B703" s="3761" t="s">
        <v>766</v>
      </c>
      <c r="C703" s="197">
        <v>8030021</v>
      </c>
      <c r="D703" s="199" t="s">
        <v>1658</v>
      </c>
      <c r="E703" s="798">
        <f>IFERROR(VLOOKUP(C703,'AJE 12 - INC'!$D$168:$F$771,3,0),0)</f>
        <v>34784.71</v>
      </c>
      <c r="F703" s="108">
        <f>SUMIF('AJE 12 - INC'!B:B,'New TB INC'!C703,'AJE 12 - INC'!D:D)</f>
        <v>0</v>
      </c>
      <c r="G703" s="108"/>
      <c r="H703" s="889"/>
      <c r="I703" s="889"/>
      <c r="J703" s="2524">
        <f t="shared" si="71"/>
        <v>34784.71</v>
      </c>
      <c r="K703" s="209"/>
      <c r="L703" s="434"/>
      <c r="M703" s="852" t="s">
        <v>2192</v>
      </c>
      <c r="N703" s="11">
        <v>0</v>
      </c>
      <c r="O703" s="11">
        <v>0</v>
      </c>
      <c r="P703" s="11">
        <v>0</v>
      </c>
      <c r="Q703" s="11">
        <v>-21691.24</v>
      </c>
      <c r="R703" s="773">
        <v>0</v>
      </c>
      <c r="S703" s="11">
        <v>0</v>
      </c>
      <c r="T703" s="773">
        <v>0</v>
      </c>
      <c r="U703" s="2173">
        <v>0</v>
      </c>
      <c r="V703" s="2509">
        <v>0</v>
      </c>
      <c r="W703" s="2509">
        <v>0</v>
      </c>
      <c r="X703" s="2509">
        <v>0</v>
      </c>
      <c r="Y703" s="2509">
        <v>0</v>
      </c>
      <c r="Z703" s="11">
        <f>'[26]New TB INC'!Z648</f>
        <v>0</v>
      </c>
      <c r="AA703" s="11">
        <f>'[27]New TB INC'!AA657</f>
        <v>0</v>
      </c>
      <c r="AB703" s="11">
        <f>'[28]New TB INC'!AB663</f>
        <v>0</v>
      </c>
      <c r="AC703" s="11">
        <f>'[29]New TB INC'!AC659</f>
        <v>0</v>
      </c>
      <c r="AD703" s="11">
        <f>'[30]New TB INC'!AD654</f>
        <v>0</v>
      </c>
      <c r="AE703" s="11">
        <f>'[31]New TB INC'!AE662</f>
        <v>0</v>
      </c>
      <c r="AF703" s="11">
        <v>0</v>
      </c>
      <c r="AG703" s="11">
        <v>0</v>
      </c>
      <c r="AH703" s="11">
        <v>0</v>
      </c>
      <c r="AI703" s="11">
        <v>39388.5</v>
      </c>
      <c r="AJ703" s="11">
        <v>-4603.7900000000009</v>
      </c>
      <c r="AK703" s="11">
        <f>$J703-SUM($Z703:AJ703)</f>
        <v>0</v>
      </c>
      <c r="AW703" s="2509"/>
      <c r="BH703" s="2509"/>
      <c r="BI703" s="772"/>
      <c r="BJ703" s="2173"/>
      <c r="BK703" s="2173"/>
      <c r="BL703" s="773"/>
      <c r="BN703" s="773"/>
      <c r="BO703" s="209"/>
      <c r="BR703" s="799"/>
      <c r="CH703" s="878"/>
      <c r="CI703" s="4"/>
      <c r="CJ703" s="4"/>
      <c r="DB703" s="773"/>
      <c r="DC703" s="773"/>
      <c r="DD703" s="773"/>
      <c r="DE703" s="773"/>
      <c r="DF703" s="773"/>
      <c r="DG703" s="773"/>
      <c r="DH703" s="773"/>
      <c r="DI703" s="773"/>
      <c r="DJ703" s="773"/>
      <c r="DK703" s="773"/>
      <c r="DL703" s="773"/>
      <c r="DM703" s="773"/>
      <c r="DN703" s="773"/>
      <c r="DO703" s="773"/>
      <c r="DP703" s="773"/>
      <c r="DQ703" s="773"/>
      <c r="DR703" s="773"/>
      <c r="DS703" s="773"/>
      <c r="DT703" s="773"/>
      <c r="DU703" s="773"/>
      <c r="DV703" s="773"/>
      <c r="DW703" s="773"/>
      <c r="DX703" s="773"/>
      <c r="DY703" s="773"/>
      <c r="DZ703" s="773"/>
      <c r="EA703" s="773"/>
      <c r="EB703" s="773"/>
      <c r="EC703" s="773"/>
      <c r="ED703" s="773"/>
      <c r="EE703" s="773"/>
      <c r="EF703" s="773"/>
      <c r="EG703" s="773"/>
      <c r="EH703" s="773"/>
      <c r="EI703" s="773"/>
      <c r="EJ703" s="773"/>
      <c r="EK703" s="773"/>
      <c r="EL703" s="773"/>
      <c r="EM703" s="773"/>
      <c r="EN703" s="773"/>
      <c r="EO703" s="773"/>
      <c r="EP703" s="773"/>
      <c r="EQ703" s="773"/>
      <c r="ER703" s="773"/>
      <c r="ES703" s="773"/>
      <c r="ET703" s="773"/>
      <c r="EU703" s="773"/>
      <c r="EV703" s="773"/>
      <c r="EW703" s="773"/>
      <c r="EX703" s="773"/>
      <c r="EY703" s="773"/>
      <c r="EZ703" s="773"/>
      <c r="FA703" s="773"/>
      <c r="FB703" s="773"/>
      <c r="FC703" s="773"/>
      <c r="FD703" s="773"/>
      <c r="FE703" s="773"/>
      <c r="FF703" s="773"/>
      <c r="FG703" s="773"/>
      <c r="FH703" s="773"/>
      <c r="FI703" s="773"/>
      <c r="FJ703" s="773"/>
      <c r="FK703" s="773"/>
      <c r="FL703" s="773"/>
      <c r="FM703" s="773"/>
      <c r="FN703" s="773"/>
      <c r="FO703" s="773"/>
      <c r="FP703" s="773"/>
      <c r="FQ703" s="773"/>
      <c r="FR703" s="773"/>
      <c r="FS703" s="773"/>
      <c r="FT703" s="773"/>
      <c r="FU703" s="773"/>
      <c r="FV703" s="773"/>
      <c r="FW703" s="773"/>
      <c r="FX703" s="773"/>
      <c r="FY703" s="773"/>
      <c r="FZ703" s="773"/>
      <c r="GA703" s="773"/>
      <c r="GB703" s="773"/>
      <c r="GC703" s="773"/>
      <c r="GD703" s="773"/>
      <c r="GE703" s="773"/>
      <c r="GF703" s="773"/>
      <c r="GG703" s="773"/>
      <c r="GH703" s="773"/>
      <c r="GI703" s="773"/>
      <c r="GJ703" s="773"/>
      <c r="GK703" s="773"/>
      <c r="GL703" s="773"/>
      <c r="GM703" s="773"/>
      <c r="GN703" s="773"/>
      <c r="GO703" s="773"/>
      <c r="GP703" s="773"/>
      <c r="GQ703" s="773"/>
      <c r="GR703" s="773"/>
      <c r="GS703" s="773"/>
      <c r="GT703" s="773"/>
      <c r="GU703" s="773"/>
      <c r="GV703" s="773"/>
      <c r="GW703" s="773"/>
      <c r="GX703" s="773"/>
      <c r="GY703" s="773"/>
      <c r="GZ703" s="773"/>
    </row>
    <row r="704" spans="1:208" s="11" customFormat="1">
      <c r="A704" s="774"/>
      <c r="B704" s="3761" t="s">
        <v>766</v>
      </c>
      <c r="C704" s="197">
        <v>8030022</v>
      </c>
      <c r="D704" s="199" t="s">
        <v>488</v>
      </c>
      <c r="E704" s="798">
        <f>IFERROR(VLOOKUP(C704,'AJE 12 - INC'!$D$168:$F$771,3,0),0)</f>
        <v>8962.2000000000007</v>
      </c>
      <c r="F704" s="108">
        <f>SUMIF('AJE 12 - INC'!B:B,'New TB INC'!C704,'AJE 12 - INC'!D:D)</f>
        <v>0</v>
      </c>
      <c r="G704" s="108"/>
      <c r="H704" s="889"/>
      <c r="I704" s="889"/>
      <c r="J704" s="1303">
        <f t="shared" si="71"/>
        <v>8962.2000000000007</v>
      </c>
      <c r="K704" s="209"/>
      <c r="L704" s="434"/>
      <c r="M704" s="813"/>
      <c r="N704" s="11">
        <v>3189.93</v>
      </c>
      <c r="O704" s="11">
        <v>296.18000000000029</v>
      </c>
      <c r="P704" s="11">
        <v>340.58999999999969</v>
      </c>
      <c r="Q704" s="11">
        <v>536.15999999999985</v>
      </c>
      <c r="R704" s="773">
        <v>363.96000000000004</v>
      </c>
      <c r="S704" s="11">
        <v>856.51000000000022</v>
      </c>
      <c r="T704" s="773">
        <v>669.35999999999967</v>
      </c>
      <c r="U704" s="2173">
        <v>454.72000000000025</v>
      </c>
      <c r="V704" s="2509">
        <v>702.3100000000004</v>
      </c>
      <c r="W704" s="2509">
        <v>682.06999999999971</v>
      </c>
      <c r="X704" s="2509">
        <v>310.00000000000091</v>
      </c>
      <c r="Y704" s="2509">
        <v>6262.119999999999</v>
      </c>
      <c r="Z704" s="11">
        <f>'[26]New TB INC'!Z649</f>
        <v>276.23</v>
      </c>
      <c r="AA704" s="11">
        <f>'[27]New TB INC'!AA658</f>
        <v>360</v>
      </c>
      <c r="AB704" s="11">
        <f>'[28]New TB INC'!AB664</f>
        <v>515</v>
      </c>
      <c r="AC704" s="11">
        <f>'[29]New TB INC'!AC660</f>
        <v>530.19000000000005</v>
      </c>
      <c r="AD704" s="11">
        <f>'[30]New TB INC'!AD655</f>
        <v>652.61999999999989</v>
      </c>
      <c r="AE704" s="11">
        <f>'[31]New TB INC'!AE663</f>
        <v>643.36999999999989</v>
      </c>
      <c r="AF704" s="11">
        <v>1099.94</v>
      </c>
      <c r="AG704" s="11">
        <v>723.61000000000013</v>
      </c>
      <c r="AH704" s="11">
        <v>231.4399999999996</v>
      </c>
      <c r="AI704" s="11">
        <v>734.80000000000018</v>
      </c>
      <c r="AJ704" s="11">
        <v>755</v>
      </c>
      <c r="AK704" s="11">
        <f>$J704-SUM($Z704:AJ704)</f>
        <v>2440.0000000000009</v>
      </c>
      <c r="AW704" s="2509"/>
      <c r="BH704" s="2509"/>
      <c r="BI704" s="772"/>
      <c r="BJ704" s="2173"/>
      <c r="BK704" s="2173"/>
      <c r="BL704" s="773"/>
      <c r="BN704" s="773"/>
      <c r="BO704" s="209"/>
      <c r="BR704" s="799"/>
      <c r="CH704" s="878"/>
      <c r="CI704" s="4"/>
      <c r="CJ704" s="4"/>
      <c r="DB704" s="773"/>
      <c r="DC704" s="773"/>
      <c r="DD704" s="773"/>
      <c r="DE704" s="773"/>
      <c r="DF704" s="773"/>
      <c r="DG704" s="773"/>
      <c r="DH704" s="773"/>
      <c r="DI704" s="773"/>
      <c r="DJ704" s="773"/>
      <c r="DK704" s="773"/>
      <c r="DL704" s="773"/>
      <c r="DM704" s="773"/>
      <c r="DN704" s="773"/>
      <c r="DO704" s="773"/>
      <c r="DP704" s="773"/>
      <c r="DQ704" s="773"/>
      <c r="DR704" s="773"/>
      <c r="DS704" s="773"/>
      <c r="DT704" s="773"/>
      <c r="DU704" s="773"/>
      <c r="DV704" s="773"/>
      <c r="DW704" s="773"/>
      <c r="DX704" s="773"/>
      <c r="DY704" s="773"/>
      <c r="DZ704" s="773"/>
      <c r="EA704" s="773"/>
      <c r="EB704" s="773"/>
      <c r="EC704" s="773"/>
      <c r="ED704" s="773"/>
      <c r="EE704" s="773"/>
      <c r="EF704" s="773"/>
      <c r="EG704" s="773"/>
      <c r="EH704" s="773"/>
      <c r="EI704" s="773"/>
      <c r="EJ704" s="773"/>
      <c r="EK704" s="773"/>
      <c r="EL704" s="773"/>
      <c r="EM704" s="773"/>
      <c r="EN704" s="773"/>
      <c r="EO704" s="773"/>
      <c r="EP704" s="773"/>
      <c r="EQ704" s="773"/>
      <c r="ER704" s="773"/>
      <c r="ES704" s="773"/>
      <c r="ET704" s="773"/>
      <c r="EU704" s="773"/>
      <c r="EV704" s="773"/>
      <c r="EW704" s="773"/>
      <c r="EX704" s="773"/>
      <c r="EY704" s="773"/>
      <c r="EZ704" s="773"/>
      <c r="FA704" s="773"/>
      <c r="FB704" s="773"/>
      <c r="FC704" s="773"/>
      <c r="FD704" s="773"/>
      <c r="FE704" s="773"/>
      <c r="FF704" s="773"/>
      <c r="FG704" s="773"/>
      <c r="FH704" s="773"/>
      <c r="FI704" s="773"/>
      <c r="FJ704" s="773"/>
      <c r="FK704" s="773"/>
      <c r="FL704" s="773"/>
      <c r="FM704" s="773"/>
      <c r="FN704" s="773"/>
      <c r="FO704" s="773"/>
      <c r="FP704" s="773"/>
      <c r="FQ704" s="773"/>
      <c r="FR704" s="773"/>
      <c r="FS704" s="773"/>
      <c r="FT704" s="773"/>
      <c r="FU704" s="773"/>
      <c r="FV704" s="773"/>
      <c r="FW704" s="773"/>
      <c r="FX704" s="773"/>
      <c r="FY704" s="773"/>
      <c r="FZ704" s="773"/>
      <c r="GA704" s="773"/>
      <c r="GB704" s="773"/>
      <c r="GC704" s="773"/>
      <c r="GD704" s="773"/>
      <c r="GE704" s="773"/>
      <c r="GF704" s="773"/>
      <c r="GG704" s="773"/>
      <c r="GH704" s="773"/>
      <c r="GI704" s="773"/>
      <c r="GJ704" s="773"/>
      <c r="GK704" s="773"/>
      <c r="GL704" s="773"/>
      <c r="GM704" s="773"/>
      <c r="GN704" s="773"/>
      <c r="GO704" s="773"/>
      <c r="GP704" s="773"/>
      <c r="GQ704" s="773"/>
      <c r="GR704" s="773"/>
      <c r="GS704" s="773"/>
      <c r="GT704" s="773"/>
      <c r="GU704" s="773"/>
      <c r="GV704" s="773"/>
      <c r="GW704" s="773"/>
      <c r="GX704" s="773"/>
      <c r="GY704" s="773"/>
      <c r="GZ704" s="773"/>
    </row>
    <row r="705" spans="1:208" s="11" customFormat="1">
      <c r="A705" s="774"/>
      <c r="B705" s="3761" t="s">
        <v>766</v>
      </c>
      <c r="C705" s="197">
        <v>8030023</v>
      </c>
      <c r="D705" s="199" t="s">
        <v>546</v>
      </c>
      <c r="E705" s="798">
        <f>IFERROR(VLOOKUP(C705,'AJE 12 - INC'!$D$168:$F$771,3,0),0)</f>
        <v>2557.69</v>
      </c>
      <c r="F705" s="108">
        <f>SUMIF('AJE 12 - INC'!B:B,'New TB INC'!C705,'AJE 12 - INC'!D:D)</f>
        <v>0</v>
      </c>
      <c r="G705" s="108"/>
      <c r="H705" s="889"/>
      <c r="I705" s="889"/>
      <c r="J705" s="1303">
        <f t="shared" si="71"/>
        <v>2557.69</v>
      </c>
      <c r="K705" s="209"/>
      <c r="L705" s="434"/>
      <c r="M705" s="828"/>
      <c r="N705" s="11">
        <v>1452.11</v>
      </c>
      <c r="O705" s="11">
        <v>1108.2900000000002</v>
      </c>
      <c r="P705" s="11">
        <v>846.13000000000011</v>
      </c>
      <c r="Q705" s="11">
        <v>0</v>
      </c>
      <c r="R705" s="773">
        <v>0</v>
      </c>
      <c r="S705" s="11">
        <v>0</v>
      </c>
      <c r="T705" s="773">
        <v>0</v>
      </c>
      <c r="U705" s="2173">
        <v>0</v>
      </c>
      <c r="V705" s="2509">
        <v>15.919999999999618</v>
      </c>
      <c r="W705" s="2509">
        <v>15.920000000000073</v>
      </c>
      <c r="X705" s="2509">
        <v>15.920000000000073</v>
      </c>
      <c r="Y705" s="2509">
        <v>114.92000000000007</v>
      </c>
      <c r="Z705" s="11">
        <f>'[26]New TB INC'!Z650</f>
        <v>15.92</v>
      </c>
      <c r="AA705" s="11">
        <f>'[27]New TB INC'!AA659</f>
        <v>15.92</v>
      </c>
      <c r="AB705" s="11">
        <f>'[28]New TB INC'!AB665</f>
        <v>31.84</v>
      </c>
      <c r="AC705" s="11">
        <f>'[29]New TB INC'!AC661</f>
        <v>15.919999999999995</v>
      </c>
      <c r="AD705" s="11">
        <f>'[30]New TB INC'!AD656</f>
        <v>15.920000000000002</v>
      </c>
      <c r="AE705" s="11">
        <f>'[31]New TB INC'!AE664</f>
        <v>15.920000000000002</v>
      </c>
      <c r="AF705" s="11">
        <v>251.38</v>
      </c>
      <c r="AG705" s="11">
        <v>1203.71</v>
      </c>
      <c r="AH705" s="11">
        <v>222.16000000000008</v>
      </c>
      <c r="AI705" s="11">
        <v>179.56999999999994</v>
      </c>
      <c r="AJ705" s="11">
        <v>343.45000000000005</v>
      </c>
      <c r="AK705" s="11">
        <f>$J705-SUM($Z705:AJ705)</f>
        <v>245.98000000000002</v>
      </c>
      <c r="AW705" s="2509"/>
      <c r="BH705" s="2509"/>
      <c r="BI705" s="772"/>
      <c r="BJ705" s="2173"/>
      <c r="BK705" s="2173"/>
      <c r="BL705" s="773"/>
      <c r="BN705" s="773"/>
      <c r="BO705" s="209"/>
      <c r="BR705" s="799"/>
      <c r="CH705" s="878"/>
      <c r="CI705" s="4"/>
      <c r="CJ705" s="4"/>
      <c r="DB705" s="773"/>
      <c r="DC705" s="773"/>
      <c r="DD705" s="773"/>
      <c r="DE705" s="773"/>
      <c r="DF705" s="773"/>
      <c r="DG705" s="773"/>
      <c r="DH705" s="773"/>
      <c r="DI705" s="773"/>
      <c r="DJ705" s="773"/>
      <c r="DK705" s="773"/>
      <c r="DL705" s="773"/>
      <c r="DM705" s="773"/>
      <c r="DN705" s="773"/>
      <c r="DO705" s="773"/>
      <c r="DP705" s="773"/>
      <c r="DQ705" s="773"/>
      <c r="DR705" s="773"/>
      <c r="DS705" s="773"/>
      <c r="DT705" s="773"/>
      <c r="DU705" s="773"/>
      <c r="DV705" s="773"/>
      <c r="DW705" s="773"/>
      <c r="DX705" s="773"/>
      <c r="DY705" s="773"/>
      <c r="DZ705" s="773"/>
      <c r="EA705" s="773"/>
      <c r="EB705" s="773"/>
      <c r="EC705" s="773"/>
      <c r="ED705" s="773"/>
      <c r="EE705" s="773"/>
      <c r="EF705" s="773"/>
      <c r="EG705" s="773"/>
      <c r="EH705" s="773"/>
      <c r="EI705" s="773"/>
      <c r="EJ705" s="773"/>
      <c r="EK705" s="773"/>
      <c r="EL705" s="773"/>
      <c r="EM705" s="773"/>
      <c r="EN705" s="773"/>
      <c r="EO705" s="773"/>
      <c r="EP705" s="773"/>
      <c r="EQ705" s="773"/>
      <c r="ER705" s="773"/>
      <c r="ES705" s="773"/>
      <c r="ET705" s="773"/>
      <c r="EU705" s="773"/>
      <c r="EV705" s="773"/>
      <c r="EW705" s="773"/>
      <c r="EX705" s="773"/>
      <c r="EY705" s="773"/>
      <c r="EZ705" s="773"/>
      <c r="FA705" s="773"/>
      <c r="FB705" s="773"/>
      <c r="FC705" s="773"/>
      <c r="FD705" s="773"/>
      <c r="FE705" s="773"/>
      <c r="FF705" s="773"/>
      <c r="FG705" s="773"/>
      <c r="FH705" s="773"/>
      <c r="FI705" s="773"/>
      <c r="FJ705" s="773"/>
      <c r="FK705" s="773"/>
      <c r="FL705" s="773"/>
      <c r="FM705" s="773"/>
      <c r="FN705" s="773"/>
      <c r="FO705" s="773"/>
      <c r="FP705" s="773"/>
      <c r="FQ705" s="773"/>
      <c r="FR705" s="773"/>
      <c r="FS705" s="773"/>
      <c r="FT705" s="773"/>
      <c r="FU705" s="773"/>
      <c r="FV705" s="773"/>
      <c r="FW705" s="773"/>
      <c r="FX705" s="773"/>
      <c r="FY705" s="773"/>
      <c r="FZ705" s="773"/>
      <c r="GA705" s="773"/>
      <c r="GB705" s="773"/>
      <c r="GC705" s="773"/>
      <c r="GD705" s="773"/>
      <c r="GE705" s="773"/>
      <c r="GF705" s="773"/>
      <c r="GG705" s="773"/>
      <c r="GH705" s="773"/>
      <c r="GI705" s="773"/>
      <c r="GJ705" s="773"/>
      <c r="GK705" s="773"/>
      <c r="GL705" s="773"/>
      <c r="GM705" s="773"/>
      <c r="GN705" s="773"/>
      <c r="GO705" s="773"/>
      <c r="GP705" s="773"/>
      <c r="GQ705" s="773"/>
      <c r="GR705" s="773"/>
      <c r="GS705" s="773"/>
      <c r="GT705" s="773"/>
      <c r="GU705" s="773"/>
      <c r="GV705" s="773"/>
      <c r="GW705" s="773"/>
      <c r="GX705" s="773"/>
      <c r="GY705" s="773"/>
      <c r="GZ705" s="773"/>
    </row>
    <row r="706" spans="1:208" s="11" customFormat="1">
      <c r="A706" s="774"/>
      <c r="B706" s="3761" t="s">
        <v>766</v>
      </c>
      <c r="C706" s="197">
        <v>8030024</v>
      </c>
      <c r="D706" s="199" t="s">
        <v>768</v>
      </c>
      <c r="E706" s="798">
        <f>IFERROR(VLOOKUP(C706,'AJE 12 - INC'!$D$168:$F$771,3,0),0)</f>
        <v>815.67</v>
      </c>
      <c r="F706" s="108">
        <f>SUMIF('AJE 12 - INC'!B:B,'New TB INC'!C706,'AJE 12 - INC'!D:D)</f>
        <v>0</v>
      </c>
      <c r="G706" s="108"/>
      <c r="H706" s="889"/>
      <c r="I706" s="889"/>
      <c r="J706" s="1303">
        <f t="shared" si="71"/>
        <v>815.67</v>
      </c>
      <c r="K706" s="209"/>
      <c r="L706" s="434"/>
      <c r="M706" s="828"/>
      <c r="N706" s="11">
        <v>586.32000000000005</v>
      </c>
      <c r="O706" s="11">
        <v>679.63</v>
      </c>
      <c r="P706" s="11">
        <v>143.43000000000006</v>
      </c>
      <c r="Q706" s="11">
        <v>0</v>
      </c>
      <c r="R706" s="773">
        <v>276.68999999999994</v>
      </c>
      <c r="S706" s="11">
        <v>547.79999999999973</v>
      </c>
      <c r="T706" s="773">
        <v>24.599999999999909</v>
      </c>
      <c r="U706" s="2173">
        <v>224.97000000000025</v>
      </c>
      <c r="V706" s="2509">
        <v>37.389999999999873</v>
      </c>
      <c r="W706" s="2509">
        <v>69.659999999999854</v>
      </c>
      <c r="X706" s="2509">
        <v>153.07000000000016</v>
      </c>
      <c r="Y706" s="2509">
        <v>78.720000000000255</v>
      </c>
      <c r="Z706" s="11">
        <f>'[26]New TB INC'!Z651</f>
        <v>60.23</v>
      </c>
      <c r="AA706" s="11">
        <f>'[27]New TB INC'!AA660</f>
        <v>56.920000000000009</v>
      </c>
      <c r="AB706" s="11">
        <f>'[28]New TB INC'!AB666</f>
        <v>320.13</v>
      </c>
      <c r="AC706" s="11">
        <f>'[29]New TB INC'!AC662</f>
        <v>7.4600000000000364</v>
      </c>
      <c r="AD706" s="11">
        <f>'[30]New TB INC'!AD657</f>
        <v>84.730000000000018</v>
      </c>
      <c r="AE706" s="11">
        <f>'[31]New TB INC'!AE665</f>
        <v>157.26999999999998</v>
      </c>
      <c r="AF706" s="11">
        <v>60.439999999999941</v>
      </c>
      <c r="AG706" s="11">
        <v>2.0000000000095497E-2</v>
      </c>
      <c r="AH706" s="11">
        <v>7.5399999999999636</v>
      </c>
      <c r="AI706" s="11">
        <v>0</v>
      </c>
      <c r="AJ706" s="11">
        <v>8.6599999999999682</v>
      </c>
      <c r="AK706" s="11">
        <f>$J706-SUM($Z706:AJ706)</f>
        <v>52.269999999999982</v>
      </c>
      <c r="AW706" s="2509"/>
      <c r="BH706" s="2509"/>
      <c r="BI706" s="772"/>
      <c r="BJ706" s="2173"/>
      <c r="BK706" s="2173"/>
      <c r="BL706" s="773"/>
      <c r="BN706" s="773"/>
      <c r="BO706" s="209"/>
      <c r="BR706" s="799"/>
      <c r="CH706" s="878"/>
      <c r="CI706" s="4"/>
      <c r="CJ706" s="4"/>
      <c r="DB706" s="773"/>
      <c r="DC706" s="773"/>
      <c r="DD706" s="773"/>
      <c r="DE706" s="773"/>
      <c r="DF706" s="773"/>
      <c r="DG706" s="773"/>
      <c r="DH706" s="773"/>
      <c r="DI706" s="773"/>
      <c r="DJ706" s="773"/>
      <c r="DK706" s="773"/>
      <c r="DL706" s="773"/>
      <c r="DM706" s="773"/>
      <c r="DN706" s="773"/>
      <c r="DO706" s="773"/>
      <c r="DP706" s="773"/>
      <c r="DQ706" s="773"/>
      <c r="DR706" s="773"/>
      <c r="DS706" s="773"/>
      <c r="DT706" s="773"/>
      <c r="DU706" s="773"/>
      <c r="DV706" s="773"/>
      <c r="DW706" s="773"/>
      <c r="DX706" s="773"/>
      <c r="DY706" s="773"/>
      <c r="DZ706" s="773"/>
      <c r="EA706" s="773"/>
      <c r="EB706" s="773"/>
      <c r="EC706" s="773"/>
      <c r="ED706" s="773"/>
      <c r="EE706" s="773"/>
      <c r="EF706" s="773"/>
      <c r="EG706" s="773"/>
      <c r="EH706" s="773"/>
      <c r="EI706" s="773"/>
      <c r="EJ706" s="773"/>
      <c r="EK706" s="773"/>
      <c r="EL706" s="773"/>
      <c r="EM706" s="773"/>
      <c r="EN706" s="773"/>
      <c r="EO706" s="773"/>
      <c r="EP706" s="773"/>
      <c r="EQ706" s="773"/>
      <c r="ER706" s="773"/>
      <c r="ES706" s="773"/>
      <c r="ET706" s="773"/>
      <c r="EU706" s="773"/>
      <c r="EV706" s="773"/>
      <c r="EW706" s="773"/>
      <c r="EX706" s="773"/>
      <c r="EY706" s="773"/>
      <c r="EZ706" s="773"/>
      <c r="FA706" s="773"/>
      <c r="FB706" s="773"/>
      <c r="FC706" s="773"/>
      <c r="FD706" s="773"/>
      <c r="FE706" s="773"/>
      <c r="FF706" s="773"/>
      <c r="FG706" s="773"/>
      <c r="FH706" s="773"/>
      <c r="FI706" s="773"/>
      <c r="FJ706" s="773"/>
      <c r="FK706" s="773"/>
      <c r="FL706" s="773"/>
      <c r="FM706" s="773"/>
      <c r="FN706" s="773"/>
      <c r="FO706" s="773"/>
      <c r="FP706" s="773"/>
      <c r="FQ706" s="773"/>
      <c r="FR706" s="773"/>
      <c r="FS706" s="773"/>
      <c r="FT706" s="773"/>
      <c r="FU706" s="773"/>
      <c r="FV706" s="773"/>
      <c r="FW706" s="773"/>
      <c r="FX706" s="773"/>
      <c r="FY706" s="773"/>
      <c r="FZ706" s="773"/>
      <c r="GA706" s="773"/>
      <c r="GB706" s="773"/>
      <c r="GC706" s="773"/>
      <c r="GD706" s="773"/>
      <c r="GE706" s="773"/>
      <c r="GF706" s="773"/>
      <c r="GG706" s="773"/>
      <c r="GH706" s="773"/>
      <c r="GI706" s="773"/>
      <c r="GJ706" s="773"/>
      <c r="GK706" s="773"/>
      <c r="GL706" s="773"/>
      <c r="GM706" s="773"/>
      <c r="GN706" s="773"/>
      <c r="GO706" s="773"/>
      <c r="GP706" s="773"/>
      <c r="GQ706" s="773"/>
      <c r="GR706" s="773"/>
      <c r="GS706" s="773"/>
      <c r="GT706" s="773"/>
      <c r="GU706" s="773"/>
      <c r="GV706" s="773"/>
      <c r="GW706" s="773"/>
      <c r="GX706" s="773"/>
      <c r="GY706" s="773"/>
      <c r="GZ706" s="773"/>
    </row>
    <row r="707" spans="1:208" s="11" customFormat="1">
      <c r="A707" s="774"/>
      <c r="B707" s="3761" t="s">
        <v>1379</v>
      </c>
      <c r="C707" s="197">
        <v>8030015</v>
      </c>
      <c r="D707" s="199" t="s">
        <v>4516</v>
      </c>
      <c r="E707" s="798">
        <f>IFERROR(VLOOKUP(C707,'AJE 12 - INC'!$D$168:$F$771,3,0),0)</f>
        <v>246.3</v>
      </c>
      <c r="F707" s="108">
        <f>SUMIF('AJE 12 - INC'!B:B,'New TB INC'!C707,'AJE 12 - INC'!D:D)</f>
        <v>0</v>
      </c>
      <c r="G707" s="108"/>
      <c r="H707" s="889"/>
      <c r="I707" s="889"/>
      <c r="J707" s="1303">
        <f t="shared" ref="J707" si="72">SUM(E707:I707)</f>
        <v>246.3</v>
      </c>
      <c r="K707" s="209"/>
      <c r="L707" s="434"/>
      <c r="M707" s="828"/>
      <c r="R707" s="773"/>
      <c r="T707" s="773"/>
      <c r="U707" s="2173"/>
      <c r="V707" s="2509"/>
      <c r="W707" s="2509"/>
      <c r="X707" s="2509"/>
      <c r="Y707" s="2509"/>
      <c r="AJ707" s="11">
        <v>123</v>
      </c>
      <c r="AK707" s="11">
        <f>$J707-SUM($Z707:AJ707)</f>
        <v>123.30000000000001</v>
      </c>
      <c r="AW707" s="2509"/>
      <c r="BH707" s="2509"/>
      <c r="BI707" s="772"/>
      <c r="BJ707" s="2173"/>
      <c r="BK707" s="2173"/>
      <c r="BL707" s="773"/>
      <c r="BN707" s="773"/>
      <c r="BO707" s="209"/>
      <c r="BR707" s="799"/>
      <c r="CH707" s="878"/>
      <c r="CI707" s="4"/>
      <c r="CJ707" s="4"/>
      <c r="DB707" s="773"/>
      <c r="DC707" s="773"/>
      <c r="DD707" s="773"/>
      <c r="DE707" s="773"/>
      <c r="DF707" s="773"/>
      <c r="DG707" s="773"/>
      <c r="DH707" s="773"/>
      <c r="DI707" s="773"/>
      <c r="DJ707" s="773"/>
      <c r="DK707" s="773"/>
      <c r="DL707" s="773"/>
      <c r="DM707" s="773"/>
      <c r="DN707" s="773"/>
      <c r="DO707" s="773"/>
      <c r="DP707" s="773"/>
      <c r="DQ707" s="773"/>
      <c r="DR707" s="773"/>
      <c r="DS707" s="773"/>
      <c r="DT707" s="773"/>
      <c r="DU707" s="773"/>
      <c r="DV707" s="773"/>
      <c r="DW707" s="773"/>
      <c r="DX707" s="773"/>
      <c r="DY707" s="773"/>
      <c r="DZ707" s="773"/>
      <c r="EA707" s="773"/>
      <c r="EB707" s="773"/>
      <c r="EC707" s="773"/>
      <c r="ED707" s="773"/>
      <c r="EE707" s="773"/>
      <c r="EF707" s="773"/>
      <c r="EG707" s="773"/>
      <c r="EH707" s="773"/>
      <c r="EI707" s="773"/>
      <c r="EJ707" s="773"/>
      <c r="EK707" s="773"/>
      <c r="EL707" s="773"/>
      <c r="EM707" s="773"/>
      <c r="EN707" s="773"/>
      <c r="EO707" s="773"/>
      <c r="EP707" s="773"/>
      <c r="EQ707" s="773"/>
      <c r="ER707" s="773"/>
      <c r="ES707" s="773"/>
      <c r="ET707" s="773"/>
      <c r="EU707" s="773"/>
      <c r="EV707" s="773"/>
      <c r="EW707" s="773"/>
      <c r="EX707" s="773"/>
      <c r="EY707" s="773"/>
      <c r="EZ707" s="773"/>
      <c r="FA707" s="773"/>
      <c r="FB707" s="773"/>
      <c r="FC707" s="773"/>
      <c r="FD707" s="773"/>
      <c r="FE707" s="773"/>
      <c r="FF707" s="773"/>
      <c r="FG707" s="773"/>
      <c r="FH707" s="773"/>
      <c r="FI707" s="773"/>
      <c r="FJ707" s="773"/>
      <c r="FK707" s="773"/>
      <c r="FL707" s="773"/>
      <c r="FM707" s="773"/>
      <c r="FN707" s="773"/>
      <c r="FO707" s="773"/>
      <c r="FP707" s="773"/>
      <c r="FQ707" s="773"/>
      <c r="FR707" s="773"/>
      <c r="FS707" s="773"/>
      <c r="FT707" s="773"/>
      <c r="FU707" s="773"/>
      <c r="FV707" s="773"/>
      <c r="FW707" s="773"/>
      <c r="FX707" s="773"/>
      <c r="FY707" s="773"/>
      <c r="FZ707" s="773"/>
      <c r="GA707" s="773"/>
      <c r="GB707" s="773"/>
      <c r="GC707" s="773"/>
      <c r="GD707" s="773"/>
      <c r="GE707" s="773"/>
      <c r="GF707" s="773"/>
      <c r="GG707" s="773"/>
      <c r="GH707" s="773"/>
      <c r="GI707" s="773"/>
      <c r="GJ707" s="773"/>
      <c r="GK707" s="773"/>
      <c r="GL707" s="773"/>
      <c r="GM707" s="773"/>
      <c r="GN707" s="773"/>
      <c r="GO707" s="773"/>
      <c r="GP707" s="773"/>
      <c r="GQ707" s="773"/>
      <c r="GR707" s="773"/>
      <c r="GS707" s="773"/>
      <c r="GT707" s="773"/>
      <c r="GU707" s="773"/>
      <c r="GV707" s="773"/>
      <c r="GW707" s="773"/>
      <c r="GX707" s="773"/>
      <c r="GY707" s="773"/>
      <c r="GZ707" s="773"/>
    </row>
    <row r="708" spans="1:208" s="11" customFormat="1">
      <c r="A708" s="774"/>
      <c r="B708" s="3761" t="s">
        <v>766</v>
      </c>
      <c r="C708" s="197">
        <v>8030028</v>
      </c>
      <c r="D708" s="199" t="s">
        <v>484</v>
      </c>
      <c r="E708" s="798">
        <f>IFERROR(VLOOKUP(C708,'AJE 12 - INC'!$D$168:$F$771,3,0),0)</f>
        <v>5847.43</v>
      </c>
      <c r="F708" s="108">
        <f>SUMIF('AJE 12 - INC'!B:B,'New TB INC'!C708,'AJE 12 - INC'!D:D)</f>
        <v>0</v>
      </c>
      <c r="G708" s="108"/>
      <c r="H708" s="889"/>
      <c r="I708" s="889"/>
      <c r="J708" s="1303">
        <f t="shared" si="71"/>
        <v>5847.43</v>
      </c>
      <c r="K708" s="209"/>
      <c r="L708" s="434"/>
      <c r="M708" s="828"/>
      <c r="N708" s="11">
        <v>744.9</v>
      </c>
      <c r="O708" s="11">
        <v>744.9</v>
      </c>
      <c r="P708" s="11">
        <v>2173.12</v>
      </c>
      <c r="Q708" s="11">
        <v>3969.8700000000008</v>
      </c>
      <c r="R708" s="773">
        <v>1183.7300000000005</v>
      </c>
      <c r="S708" s="11">
        <v>1183.7299999999996</v>
      </c>
      <c r="T708" s="773">
        <v>1183.7299999999996</v>
      </c>
      <c r="U708" s="2173">
        <v>1183.7299999999996</v>
      </c>
      <c r="V708" s="2509">
        <v>667.03000000000065</v>
      </c>
      <c r="W708" s="2509">
        <v>667.03000000000065</v>
      </c>
      <c r="X708" s="2509">
        <v>667.02999999999884</v>
      </c>
      <c r="Y708" s="2509">
        <v>846.90000000000146</v>
      </c>
      <c r="Z708" s="11">
        <f>'[26]New TB INC'!Z652</f>
        <v>865.86</v>
      </c>
      <c r="AA708" s="11">
        <f>'[27]New TB INC'!AA661</f>
        <v>229.05000000000007</v>
      </c>
      <c r="AB708" s="11">
        <f>'[28]New TB INC'!AB667</f>
        <v>-79.6400000000001</v>
      </c>
      <c r="AC708" s="11">
        <f>'[29]New TB INC'!AC663</f>
        <v>865.86000000000013</v>
      </c>
      <c r="AD708" s="11">
        <f>'[30]New TB INC'!AD658</f>
        <v>506.11999999999989</v>
      </c>
      <c r="AE708" s="11">
        <f>'[31]New TB INC'!AE666</f>
        <v>-150.98000000000002</v>
      </c>
      <c r="AF708" s="11">
        <v>601.86000000000013</v>
      </c>
      <c r="AG708" s="11">
        <v>601.85999999999967</v>
      </c>
      <c r="AH708" s="11">
        <v>601.86000000000013</v>
      </c>
      <c r="AI708" s="11">
        <v>601.86000000000013</v>
      </c>
      <c r="AJ708" s="11">
        <v>601.85999999999967</v>
      </c>
      <c r="AK708" s="11">
        <f>$J708-SUM($Z708:AJ708)</f>
        <v>601.86000000000058</v>
      </c>
      <c r="AW708" s="2509"/>
      <c r="BH708" s="2509"/>
      <c r="BI708" s="772"/>
      <c r="BJ708" s="2173"/>
      <c r="BK708" s="2173"/>
      <c r="BL708" s="773"/>
      <c r="BN708" s="773"/>
      <c r="BO708" s="209"/>
      <c r="BR708" s="799"/>
      <c r="CH708" s="878"/>
      <c r="CI708" s="4"/>
      <c r="CJ708" s="4"/>
      <c r="DB708" s="773"/>
      <c r="DC708" s="773"/>
      <c r="DD708" s="773"/>
      <c r="DE708" s="773"/>
      <c r="DF708" s="773"/>
      <c r="DG708" s="773"/>
      <c r="DH708" s="773"/>
      <c r="DI708" s="773"/>
      <c r="DJ708" s="773"/>
      <c r="DK708" s="773"/>
      <c r="DL708" s="773"/>
      <c r="DM708" s="773"/>
      <c r="DN708" s="773"/>
      <c r="DO708" s="773"/>
      <c r="DP708" s="773"/>
      <c r="DQ708" s="773"/>
      <c r="DR708" s="773"/>
      <c r="DS708" s="773"/>
      <c r="DT708" s="773"/>
      <c r="DU708" s="773"/>
      <c r="DV708" s="773"/>
      <c r="DW708" s="773"/>
      <c r="DX708" s="773"/>
      <c r="DY708" s="773"/>
      <c r="DZ708" s="773"/>
      <c r="EA708" s="773"/>
      <c r="EB708" s="773"/>
      <c r="EC708" s="773"/>
      <c r="ED708" s="773"/>
      <c r="EE708" s="773"/>
      <c r="EF708" s="773"/>
      <c r="EG708" s="773"/>
      <c r="EH708" s="773"/>
      <c r="EI708" s="773"/>
      <c r="EJ708" s="773"/>
      <c r="EK708" s="773"/>
      <c r="EL708" s="773"/>
      <c r="EM708" s="773"/>
      <c r="EN708" s="773"/>
      <c r="EO708" s="773"/>
      <c r="EP708" s="773"/>
      <c r="EQ708" s="773"/>
      <c r="ER708" s="773"/>
      <c r="ES708" s="773"/>
      <c r="ET708" s="773"/>
      <c r="EU708" s="773"/>
      <c r="EV708" s="773"/>
      <c r="EW708" s="773"/>
      <c r="EX708" s="773"/>
      <c r="EY708" s="773"/>
      <c r="EZ708" s="773"/>
      <c r="FA708" s="773"/>
      <c r="FB708" s="773"/>
      <c r="FC708" s="773"/>
      <c r="FD708" s="773"/>
      <c r="FE708" s="773"/>
      <c r="FF708" s="773"/>
      <c r="FG708" s="773"/>
      <c r="FH708" s="773"/>
      <c r="FI708" s="773"/>
      <c r="FJ708" s="773"/>
      <c r="FK708" s="773"/>
      <c r="FL708" s="773"/>
      <c r="FM708" s="773"/>
      <c r="FN708" s="773"/>
      <c r="FO708" s="773"/>
      <c r="FP708" s="773"/>
      <c r="FQ708" s="773"/>
      <c r="FR708" s="773"/>
      <c r="FS708" s="773"/>
      <c r="FT708" s="773"/>
      <c r="FU708" s="773"/>
      <c r="FV708" s="773"/>
      <c r="FW708" s="773"/>
      <c r="FX708" s="773"/>
      <c r="FY708" s="773"/>
      <c r="FZ708" s="773"/>
      <c r="GA708" s="773"/>
      <c r="GB708" s="773"/>
      <c r="GC708" s="773"/>
      <c r="GD708" s="773"/>
      <c r="GE708" s="773"/>
      <c r="GF708" s="773"/>
      <c r="GG708" s="773"/>
      <c r="GH708" s="773"/>
      <c r="GI708" s="773"/>
      <c r="GJ708" s="773"/>
      <c r="GK708" s="773"/>
      <c r="GL708" s="773"/>
      <c r="GM708" s="773"/>
      <c r="GN708" s="773"/>
      <c r="GO708" s="773"/>
      <c r="GP708" s="773"/>
      <c r="GQ708" s="773"/>
      <c r="GR708" s="773"/>
      <c r="GS708" s="773"/>
      <c r="GT708" s="773"/>
      <c r="GU708" s="773"/>
      <c r="GV708" s="773"/>
      <c r="GW708" s="773"/>
      <c r="GX708" s="773"/>
      <c r="GY708" s="773"/>
      <c r="GZ708" s="773"/>
    </row>
    <row r="709" spans="1:208" s="11" customFormat="1">
      <c r="A709" s="774"/>
      <c r="B709" s="3761" t="s">
        <v>766</v>
      </c>
      <c r="C709" s="197">
        <v>8030029</v>
      </c>
      <c r="D709" s="199" t="s">
        <v>1979</v>
      </c>
      <c r="E709" s="798">
        <f>IFERROR(VLOOKUP(C709,'AJE 12 - INC'!$D$168:$F$771,3,0),0)</f>
        <v>0</v>
      </c>
      <c r="F709" s="108">
        <f>SUMIF('AJE 12 - INC'!B:B,'New TB INC'!C709,'AJE 12 - INC'!D:D)</f>
        <v>0</v>
      </c>
      <c r="G709" s="108"/>
      <c r="H709" s="889"/>
      <c r="I709" s="889"/>
      <c r="J709" s="1303">
        <f t="shared" si="71"/>
        <v>0</v>
      </c>
      <c r="K709" s="209"/>
      <c r="L709" s="434"/>
      <c r="M709" s="252"/>
      <c r="N709" s="11">
        <v>0</v>
      </c>
      <c r="O709" s="11">
        <v>1207.3599999999999</v>
      </c>
      <c r="P709" s="11">
        <v>489.90000000000009</v>
      </c>
      <c r="Q709" s="11">
        <v>0</v>
      </c>
      <c r="R709" s="773">
        <v>0</v>
      </c>
      <c r="S709" s="11">
        <v>0</v>
      </c>
      <c r="T709" s="773">
        <v>0</v>
      </c>
      <c r="U709" s="2173">
        <v>0</v>
      </c>
      <c r="V709" s="2509">
        <v>148</v>
      </c>
      <c r="W709" s="2509">
        <v>0</v>
      </c>
      <c r="X709" s="2509">
        <v>0</v>
      </c>
      <c r="Y709" s="2509">
        <v>756.81000000000017</v>
      </c>
      <c r="Z709" s="11">
        <f>'[26]New TB INC'!Z653</f>
        <v>0</v>
      </c>
      <c r="AA709" s="11">
        <f>'[27]New TB INC'!AA662</f>
        <v>0</v>
      </c>
      <c r="AB709" s="11">
        <f>'[28]New TB INC'!AB668</f>
        <v>0</v>
      </c>
      <c r="AC709" s="11">
        <f>'[29]New TB INC'!AC664</f>
        <v>0</v>
      </c>
      <c r="AD709" s="11">
        <f>'[30]New TB INC'!AD659</f>
        <v>0</v>
      </c>
      <c r="AE709" s="11">
        <f>'[31]New TB INC'!AE667</f>
        <v>0</v>
      </c>
      <c r="AF709" s="11">
        <v>0</v>
      </c>
      <c r="AG709" s="11">
        <v>0</v>
      </c>
      <c r="AH709" s="11">
        <v>0</v>
      </c>
      <c r="AI709" s="11">
        <v>0</v>
      </c>
      <c r="AJ709" s="11">
        <v>0</v>
      </c>
      <c r="AK709" s="11">
        <f>$J709-SUM($Z709:AJ709)</f>
        <v>0</v>
      </c>
      <c r="AW709" s="2509"/>
      <c r="BH709" s="2509"/>
      <c r="BI709" s="772"/>
      <c r="BJ709" s="2173"/>
      <c r="BK709" s="2173"/>
      <c r="BL709" s="773"/>
      <c r="BN709" s="773"/>
      <c r="BO709" s="209"/>
      <c r="BR709" s="799"/>
      <c r="CH709" s="878"/>
      <c r="CI709" s="4"/>
      <c r="CJ709" s="4"/>
      <c r="DB709" s="773"/>
      <c r="DC709" s="773"/>
      <c r="DD709" s="773"/>
      <c r="DE709" s="773"/>
      <c r="DF709" s="773"/>
      <c r="DG709" s="773"/>
      <c r="DH709" s="773"/>
      <c r="DI709" s="773"/>
      <c r="DJ709" s="773"/>
      <c r="DK709" s="773"/>
      <c r="DL709" s="773"/>
      <c r="DM709" s="773"/>
      <c r="DN709" s="773"/>
      <c r="DO709" s="773"/>
      <c r="DP709" s="773"/>
      <c r="DQ709" s="773"/>
      <c r="DR709" s="773"/>
      <c r="DS709" s="773"/>
      <c r="DT709" s="773"/>
      <c r="DU709" s="773"/>
      <c r="DV709" s="773"/>
      <c r="DW709" s="773"/>
      <c r="DX709" s="773"/>
      <c r="DY709" s="773"/>
      <c r="DZ709" s="773"/>
      <c r="EA709" s="773"/>
      <c r="EB709" s="773"/>
      <c r="EC709" s="773"/>
      <c r="ED709" s="773"/>
      <c r="EE709" s="773"/>
      <c r="EF709" s="773"/>
      <c r="EG709" s="773"/>
      <c r="EH709" s="773"/>
      <c r="EI709" s="773"/>
      <c r="EJ709" s="773"/>
      <c r="EK709" s="773"/>
      <c r="EL709" s="773"/>
      <c r="EM709" s="773"/>
      <c r="EN709" s="773"/>
      <c r="EO709" s="773"/>
      <c r="EP709" s="773"/>
      <c r="EQ709" s="773"/>
      <c r="ER709" s="773"/>
      <c r="ES709" s="773"/>
      <c r="ET709" s="773"/>
      <c r="EU709" s="773"/>
      <c r="EV709" s="773"/>
      <c r="EW709" s="773"/>
      <c r="EX709" s="773"/>
      <c r="EY709" s="773"/>
      <c r="EZ709" s="773"/>
      <c r="FA709" s="773"/>
      <c r="FB709" s="773"/>
      <c r="FC709" s="773"/>
      <c r="FD709" s="773"/>
      <c r="FE709" s="773"/>
      <c r="FF709" s="773"/>
      <c r="FG709" s="773"/>
      <c r="FH709" s="773"/>
      <c r="FI709" s="773"/>
      <c r="FJ709" s="773"/>
      <c r="FK709" s="773"/>
      <c r="FL709" s="773"/>
      <c r="FM709" s="773"/>
      <c r="FN709" s="773"/>
      <c r="FO709" s="773"/>
      <c r="FP709" s="773"/>
      <c r="FQ709" s="773"/>
      <c r="FR709" s="773"/>
      <c r="FS709" s="773"/>
      <c r="FT709" s="773"/>
      <c r="FU709" s="773"/>
      <c r="FV709" s="773"/>
      <c r="FW709" s="773"/>
      <c r="FX709" s="773"/>
      <c r="FY709" s="773"/>
      <c r="FZ709" s="773"/>
      <c r="GA709" s="773"/>
      <c r="GB709" s="773"/>
      <c r="GC709" s="773"/>
      <c r="GD709" s="773"/>
      <c r="GE709" s="773"/>
      <c r="GF709" s="773"/>
      <c r="GG709" s="773"/>
      <c r="GH709" s="773"/>
      <c r="GI709" s="773"/>
      <c r="GJ709" s="773"/>
      <c r="GK709" s="773"/>
      <c r="GL709" s="773"/>
      <c r="GM709" s="773"/>
      <c r="GN709" s="773"/>
      <c r="GO709" s="773"/>
      <c r="GP709" s="773"/>
      <c r="GQ709" s="773"/>
      <c r="GR709" s="773"/>
      <c r="GS709" s="773"/>
      <c r="GT709" s="773"/>
      <c r="GU709" s="773"/>
      <c r="GV709" s="773"/>
      <c r="GW709" s="773"/>
      <c r="GX709" s="773"/>
      <c r="GY709" s="773"/>
      <c r="GZ709" s="773"/>
    </row>
    <row r="710" spans="1:208" s="11" customFormat="1">
      <c r="A710" s="774"/>
      <c r="B710" s="3761" t="s">
        <v>979</v>
      </c>
      <c r="C710" s="197">
        <v>8020012</v>
      </c>
      <c r="D710" s="199" t="s">
        <v>980</v>
      </c>
      <c r="E710" s="798">
        <f>IFERROR(VLOOKUP(C710,'AJE 12 - INC'!$D$168:$F$771,3,0),0)</f>
        <v>5000</v>
      </c>
      <c r="F710" s="108">
        <f>SUMIF('AJE 12 - INC'!B:B,'New TB INC'!C710,'AJE 12 - INC'!D:D)</f>
        <v>0</v>
      </c>
      <c r="G710" s="108"/>
      <c r="H710" s="889"/>
      <c r="I710" s="889"/>
      <c r="J710" s="1303">
        <f t="shared" si="71"/>
        <v>5000</v>
      </c>
      <c r="K710" s="209"/>
      <c r="L710" s="434"/>
      <c r="M710" s="828"/>
      <c r="N710" s="11">
        <v>0</v>
      </c>
      <c r="O710" s="11">
        <v>0</v>
      </c>
      <c r="P710" s="11">
        <v>0</v>
      </c>
      <c r="Q710" s="11">
        <v>259.85000000000002</v>
      </c>
      <c r="R710" s="773">
        <v>0</v>
      </c>
      <c r="S710" s="11">
        <v>0</v>
      </c>
      <c r="T710" s="773">
        <v>0</v>
      </c>
      <c r="U710" s="2173">
        <v>0</v>
      </c>
      <c r="V710" s="2509">
        <v>0</v>
      </c>
      <c r="W710" s="2509">
        <v>0</v>
      </c>
      <c r="X710" s="2509">
        <v>0</v>
      </c>
      <c r="Y710" s="2509">
        <v>0</v>
      </c>
      <c r="Z710" s="11">
        <f>'[26]New TB INC'!Z654</f>
        <v>0</v>
      </c>
      <c r="AA710" s="11">
        <f>'[27]New TB INC'!AA663</f>
        <v>1250</v>
      </c>
      <c r="AB710" s="11">
        <f>'[28]New TB INC'!AB669</f>
        <v>0</v>
      </c>
      <c r="AC710" s="11">
        <f>'[29]New TB INC'!AC665</f>
        <v>416.67000000000007</v>
      </c>
      <c r="AD710" s="11">
        <f>'[30]New TB INC'!AD660</f>
        <v>416.67000000000007</v>
      </c>
      <c r="AE710" s="11">
        <f>'[31]New TB INC'!AE668</f>
        <v>416.67000000000007</v>
      </c>
      <c r="AF710" s="11">
        <v>416.66999999999962</v>
      </c>
      <c r="AG710" s="11">
        <v>416.67000000000007</v>
      </c>
      <c r="AH710" s="11">
        <v>416.67000000000007</v>
      </c>
      <c r="AI710" s="11">
        <v>416.66999999999962</v>
      </c>
      <c r="AJ710" s="11">
        <v>416.67000000000007</v>
      </c>
      <c r="AK710" s="11">
        <f>$J710-SUM($Z710:AJ710)</f>
        <v>416.64000000000033</v>
      </c>
      <c r="AW710" s="2509"/>
      <c r="BH710" s="2509"/>
      <c r="BI710" s="772"/>
      <c r="BJ710" s="2173"/>
      <c r="BK710" s="2173"/>
      <c r="BL710" s="773"/>
      <c r="BN710" s="773"/>
      <c r="BO710" s="209"/>
      <c r="BR710" s="799"/>
      <c r="CH710" s="878"/>
      <c r="CI710" s="4"/>
      <c r="CJ710" s="4"/>
      <c r="DB710" s="773"/>
      <c r="DC710" s="773"/>
      <c r="DD710" s="773"/>
      <c r="DE710" s="773"/>
      <c r="DF710" s="773"/>
      <c r="DG710" s="773"/>
      <c r="DH710" s="773"/>
      <c r="DI710" s="773"/>
      <c r="DJ710" s="773"/>
      <c r="DK710" s="773"/>
      <c r="DL710" s="773"/>
      <c r="DM710" s="773"/>
      <c r="DN710" s="773"/>
      <c r="DO710" s="773"/>
      <c r="DP710" s="773"/>
      <c r="DQ710" s="773"/>
      <c r="DR710" s="773"/>
      <c r="DS710" s="773"/>
      <c r="DT710" s="773"/>
      <c r="DU710" s="773"/>
      <c r="DV710" s="773"/>
      <c r="DW710" s="773"/>
      <c r="DX710" s="773"/>
      <c r="DY710" s="773"/>
      <c r="DZ710" s="773"/>
      <c r="EA710" s="773"/>
      <c r="EB710" s="773"/>
      <c r="EC710" s="773"/>
      <c r="ED710" s="773"/>
      <c r="EE710" s="773"/>
      <c r="EF710" s="773"/>
      <c r="EG710" s="773"/>
      <c r="EH710" s="773"/>
      <c r="EI710" s="773"/>
      <c r="EJ710" s="773"/>
      <c r="EK710" s="773"/>
      <c r="EL710" s="773"/>
      <c r="EM710" s="773"/>
      <c r="EN710" s="773"/>
      <c r="EO710" s="773"/>
      <c r="EP710" s="773"/>
      <c r="EQ710" s="773"/>
      <c r="ER710" s="773"/>
      <c r="ES710" s="773"/>
      <c r="ET710" s="773"/>
      <c r="EU710" s="773"/>
      <c r="EV710" s="773"/>
      <c r="EW710" s="773"/>
      <c r="EX710" s="773"/>
      <c r="EY710" s="773"/>
      <c r="EZ710" s="773"/>
      <c r="FA710" s="773"/>
      <c r="FB710" s="773"/>
      <c r="FC710" s="773"/>
      <c r="FD710" s="773"/>
      <c r="FE710" s="773"/>
      <c r="FF710" s="773"/>
      <c r="FG710" s="773"/>
      <c r="FH710" s="773"/>
      <c r="FI710" s="773"/>
      <c r="FJ710" s="773"/>
      <c r="FK710" s="773"/>
      <c r="FL710" s="773"/>
      <c r="FM710" s="773"/>
      <c r="FN710" s="773"/>
      <c r="FO710" s="773"/>
      <c r="FP710" s="773"/>
      <c r="FQ710" s="773"/>
      <c r="FR710" s="773"/>
      <c r="FS710" s="773"/>
      <c r="FT710" s="773"/>
      <c r="FU710" s="773"/>
      <c r="FV710" s="773"/>
      <c r="FW710" s="773"/>
      <c r="FX710" s="773"/>
      <c r="FY710" s="773"/>
      <c r="FZ710" s="773"/>
      <c r="GA710" s="773"/>
      <c r="GB710" s="773"/>
      <c r="GC710" s="773"/>
      <c r="GD710" s="773"/>
      <c r="GE710" s="773"/>
      <c r="GF710" s="773"/>
      <c r="GG710" s="773"/>
      <c r="GH710" s="773"/>
      <c r="GI710" s="773"/>
      <c r="GJ710" s="773"/>
      <c r="GK710" s="773"/>
      <c r="GL710" s="773"/>
      <c r="GM710" s="773"/>
      <c r="GN710" s="773"/>
      <c r="GO710" s="773"/>
      <c r="GP710" s="773"/>
      <c r="GQ710" s="773"/>
      <c r="GR710" s="773"/>
      <c r="GS710" s="773"/>
      <c r="GT710" s="773"/>
      <c r="GU710" s="773"/>
      <c r="GV710" s="773"/>
      <c r="GW710" s="773"/>
      <c r="GX710" s="773"/>
      <c r="GY710" s="773"/>
      <c r="GZ710" s="773"/>
    </row>
    <row r="711" spans="1:208" s="11" customFormat="1">
      <c r="A711" s="774"/>
      <c r="B711" s="3761" t="s">
        <v>764</v>
      </c>
      <c r="C711" s="197">
        <v>8410045</v>
      </c>
      <c r="D711" s="199" t="s">
        <v>485</v>
      </c>
      <c r="E711" s="798">
        <f>IFERROR(VLOOKUP(C711,'AJE 12 - INC'!$D$168:$F$771,3,0),0)</f>
        <v>18519.740000000002</v>
      </c>
      <c r="F711" s="108">
        <f>SUMIF('AJE 12 - INC'!B:B,'New TB INC'!C711,'AJE 12 - INC'!D:D)</f>
        <v>0</v>
      </c>
      <c r="G711" s="108"/>
      <c r="H711" s="889"/>
      <c r="I711" s="889"/>
      <c r="J711" s="1303">
        <f t="shared" si="71"/>
        <v>18519.740000000002</v>
      </c>
      <c r="K711" s="209"/>
      <c r="L711" s="434"/>
      <c r="M711" s="828"/>
      <c r="N711" s="11">
        <v>3936.96</v>
      </c>
      <c r="O711" s="11">
        <v>2535.21</v>
      </c>
      <c r="P711" s="11">
        <v>3014.34</v>
      </c>
      <c r="Q711" s="11">
        <v>2698.5300000000016</v>
      </c>
      <c r="R711" s="773">
        <v>2173.8599999999969</v>
      </c>
      <c r="S711" s="11">
        <v>2231.0500000000038</v>
      </c>
      <c r="T711" s="773">
        <v>2501.0799999999981</v>
      </c>
      <c r="U711" s="2173">
        <v>1196.1000000000022</v>
      </c>
      <c r="V711" s="2509">
        <v>1292.1599999999999</v>
      </c>
      <c r="W711" s="2509">
        <v>1961.3799999999974</v>
      </c>
      <c r="X711" s="2509">
        <v>3136.130000000001</v>
      </c>
      <c r="Y711" s="2509">
        <v>835.09000000000015</v>
      </c>
      <c r="Z711" s="11">
        <f>'[26]New TB INC'!Z655</f>
        <v>-4182.13</v>
      </c>
      <c r="AA711" s="11">
        <f>'[27]New TB INC'!AA664</f>
        <v>2119.7400000000002</v>
      </c>
      <c r="AB711" s="11">
        <f>'[28]New TB INC'!AB670</f>
        <v>1573.2299999999998</v>
      </c>
      <c r="AC711" s="11">
        <f>'[29]New TB INC'!AC666</f>
        <v>1776.4</v>
      </c>
      <c r="AD711" s="11">
        <f>'[30]New TB INC'!AD661</f>
        <v>1509.6899999999998</v>
      </c>
      <c r="AE711" s="11">
        <f>'[31]New TB INC'!AE669</f>
        <v>1476.1399999999999</v>
      </c>
      <c r="AF711" s="11">
        <v>2897.58</v>
      </c>
      <c r="AG711" s="11">
        <v>2181.2399999999998</v>
      </c>
      <c r="AH711" s="11">
        <v>1803.4700000000012</v>
      </c>
      <c r="AI711" s="11">
        <v>1052.9599999999991</v>
      </c>
      <c r="AJ711" s="11">
        <v>4504.369999999999</v>
      </c>
      <c r="AK711" s="11">
        <f>$J711-SUM($Z711:AJ711)</f>
        <v>1807.0500000000029</v>
      </c>
      <c r="AW711" s="2509"/>
      <c r="BH711" s="2509"/>
      <c r="BI711" s="772"/>
      <c r="BJ711" s="2173"/>
      <c r="BK711" s="2173"/>
      <c r="BL711" s="773"/>
      <c r="BN711" s="773"/>
      <c r="BO711" s="209"/>
      <c r="BR711" s="799"/>
      <c r="CH711" s="878"/>
      <c r="CI711" s="4"/>
      <c r="CJ711" s="4"/>
      <c r="DB711" s="773"/>
      <c r="DC711" s="773"/>
      <c r="DD711" s="773"/>
      <c r="DE711" s="773"/>
      <c r="DF711" s="773"/>
      <c r="DG711" s="773"/>
      <c r="DH711" s="773"/>
      <c r="DI711" s="773"/>
      <c r="DJ711" s="773"/>
      <c r="DK711" s="773"/>
      <c r="DL711" s="773"/>
      <c r="DM711" s="773"/>
      <c r="DN711" s="773"/>
      <c r="DO711" s="773"/>
      <c r="DP711" s="773"/>
      <c r="DQ711" s="773"/>
      <c r="DR711" s="773"/>
      <c r="DS711" s="773"/>
      <c r="DT711" s="773"/>
      <c r="DU711" s="773"/>
      <c r="DV711" s="773"/>
      <c r="DW711" s="773"/>
      <c r="DX711" s="773"/>
      <c r="DY711" s="773"/>
      <c r="DZ711" s="773"/>
      <c r="EA711" s="773"/>
      <c r="EB711" s="773"/>
      <c r="EC711" s="773"/>
      <c r="ED711" s="773"/>
      <c r="EE711" s="773"/>
      <c r="EF711" s="773"/>
      <c r="EG711" s="773"/>
      <c r="EH711" s="773"/>
      <c r="EI711" s="773"/>
      <c r="EJ711" s="773"/>
      <c r="EK711" s="773"/>
      <c r="EL711" s="773"/>
      <c r="EM711" s="773"/>
      <c r="EN711" s="773"/>
      <c r="EO711" s="773"/>
      <c r="EP711" s="773"/>
      <c r="EQ711" s="773"/>
      <c r="ER711" s="773"/>
      <c r="ES711" s="773"/>
      <c r="ET711" s="773"/>
      <c r="EU711" s="773"/>
      <c r="EV711" s="773"/>
      <c r="EW711" s="773"/>
      <c r="EX711" s="773"/>
      <c r="EY711" s="773"/>
      <c r="EZ711" s="773"/>
      <c r="FA711" s="773"/>
      <c r="FB711" s="773"/>
      <c r="FC711" s="773"/>
      <c r="FD711" s="773"/>
      <c r="FE711" s="773"/>
      <c r="FF711" s="773"/>
      <c r="FG711" s="773"/>
      <c r="FH711" s="773"/>
      <c r="FI711" s="773"/>
      <c r="FJ711" s="773"/>
      <c r="FK711" s="773"/>
      <c r="FL711" s="773"/>
      <c r="FM711" s="773"/>
      <c r="FN711" s="773"/>
      <c r="FO711" s="773"/>
      <c r="FP711" s="773"/>
      <c r="FQ711" s="773"/>
      <c r="FR711" s="773"/>
      <c r="FS711" s="773"/>
      <c r="FT711" s="773"/>
      <c r="FU711" s="773"/>
      <c r="FV711" s="773"/>
      <c r="FW711" s="773"/>
      <c r="FX711" s="773"/>
      <c r="FY711" s="773"/>
      <c r="FZ711" s="773"/>
      <c r="GA711" s="773"/>
      <c r="GB711" s="773"/>
      <c r="GC711" s="773"/>
      <c r="GD711" s="773"/>
      <c r="GE711" s="773"/>
      <c r="GF711" s="773"/>
      <c r="GG711" s="773"/>
      <c r="GH711" s="773"/>
      <c r="GI711" s="773"/>
      <c r="GJ711" s="773"/>
      <c r="GK711" s="773"/>
      <c r="GL711" s="773"/>
      <c r="GM711" s="773"/>
      <c r="GN711" s="773"/>
      <c r="GO711" s="773"/>
      <c r="GP711" s="773"/>
      <c r="GQ711" s="773"/>
      <c r="GR711" s="773"/>
      <c r="GS711" s="773"/>
      <c r="GT711" s="773"/>
      <c r="GU711" s="773"/>
      <c r="GV711" s="773"/>
      <c r="GW711" s="773"/>
      <c r="GX711" s="773"/>
      <c r="GY711" s="773"/>
      <c r="GZ711" s="773"/>
    </row>
    <row r="712" spans="1:208" s="11" customFormat="1">
      <c r="A712" s="774"/>
      <c r="B712" s="3761" t="s">
        <v>764</v>
      </c>
      <c r="C712" s="197">
        <v>8410047</v>
      </c>
      <c r="D712" s="199" t="s">
        <v>486</v>
      </c>
      <c r="E712" s="798">
        <f>IFERROR(VLOOKUP(C712,'AJE 12 - INC'!$D$168:$F$771,3,0),0)</f>
        <v>17147.18</v>
      </c>
      <c r="F712" s="108">
        <f>SUMIF('AJE 12 - INC'!B:B,'New TB INC'!C712,'AJE 12 - INC'!D:D)</f>
        <v>0</v>
      </c>
      <c r="G712" s="108"/>
      <c r="H712" s="889"/>
      <c r="I712" s="889"/>
      <c r="J712" s="1303">
        <f t="shared" si="71"/>
        <v>17147.18</v>
      </c>
      <c r="K712" s="209"/>
      <c r="L712" s="434"/>
      <c r="M712" s="828"/>
      <c r="N712" s="11">
        <v>660.58</v>
      </c>
      <c r="O712" s="11">
        <v>868.03999999999985</v>
      </c>
      <c r="P712" s="11">
        <v>532.66000000000042</v>
      </c>
      <c r="Q712" s="11">
        <v>179.2199999999998</v>
      </c>
      <c r="R712" s="773">
        <v>162</v>
      </c>
      <c r="S712" s="11">
        <v>487.57000000000005</v>
      </c>
      <c r="T712" s="773">
        <v>45</v>
      </c>
      <c r="U712" s="2173">
        <v>1382.1599999999994</v>
      </c>
      <c r="V712" s="2509">
        <v>1640.8900000000003</v>
      </c>
      <c r="W712" s="2509">
        <v>602.07999999999993</v>
      </c>
      <c r="X712" s="2509">
        <v>1898.5600000000004</v>
      </c>
      <c r="Y712" s="2509">
        <v>1002.4699999999993</v>
      </c>
      <c r="Z712" s="11">
        <f>'[26]New TB INC'!Z656</f>
        <v>-1131.8900000000001</v>
      </c>
      <c r="AA712" s="11">
        <f>'[27]New TB INC'!AA665</f>
        <v>902.11000000000013</v>
      </c>
      <c r="AB712" s="11">
        <f>'[28]New TB INC'!AB671</f>
        <v>934.42</v>
      </c>
      <c r="AC712" s="11">
        <f>'[29]New TB INC'!AC667</f>
        <v>681.33</v>
      </c>
      <c r="AD712" s="11">
        <f>'[30]New TB INC'!AD662</f>
        <v>292.72000000000003</v>
      </c>
      <c r="AE712" s="11">
        <f>'[31]New TB INC'!AE670</f>
        <v>1374.6</v>
      </c>
      <c r="AF712" s="11">
        <v>9773.119999999999</v>
      </c>
      <c r="AG712" s="11">
        <v>2038.2999999999993</v>
      </c>
      <c r="AH712" s="11">
        <v>221.30000000000109</v>
      </c>
      <c r="AI712" s="11">
        <v>156.30999999999949</v>
      </c>
      <c r="AJ712" s="11">
        <v>381.3700000000008</v>
      </c>
      <c r="AK712" s="11">
        <f>$J712-SUM($Z712:AJ712)</f>
        <v>1523.4899999999998</v>
      </c>
      <c r="AW712" s="2509"/>
      <c r="BH712" s="2509"/>
      <c r="BI712" s="772"/>
      <c r="BJ712" s="2173"/>
      <c r="BK712" s="2173"/>
      <c r="BL712" s="773"/>
      <c r="BN712" s="773"/>
      <c r="BO712" s="209"/>
      <c r="BR712" s="799"/>
      <c r="CH712" s="878"/>
      <c r="CI712" s="4"/>
      <c r="CJ712" s="4"/>
      <c r="DB712" s="773"/>
      <c r="DC712" s="773"/>
      <c r="DD712" s="773"/>
      <c r="DE712" s="773"/>
      <c r="DF712" s="773"/>
      <c r="DG712" s="773"/>
      <c r="DH712" s="773"/>
      <c r="DI712" s="773"/>
      <c r="DJ712" s="773"/>
      <c r="DK712" s="773"/>
      <c r="DL712" s="773"/>
      <c r="DM712" s="773"/>
      <c r="DN712" s="773"/>
      <c r="DO712" s="773"/>
      <c r="DP712" s="773"/>
      <c r="DQ712" s="773"/>
      <c r="DR712" s="773"/>
      <c r="DS712" s="773"/>
      <c r="DT712" s="773"/>
      <c r="DU712" s="773"/>
      <c r="DV712" s="773"/>
      <c r="DW712" s="773"/>
      <c r="DX712" s="773"/>
      <c r="DY712" s="773"/>
      <c r="DZ712" s="773"/>
      <c r="EA712" s="773"/>
      <c r="EB712" s="773"/>
      <c r="EC712" s="773"/>
      <c r="ED712" s="773"/>
      <c r="EE712" s="773"/>
      <c r="EF712" s="773"/>
      <c r="EG712" s="773"/>
      <c r="EH712" s="773"/>
      <c r="EI712" s="773"/>
      <c r="EJ712" s="773"/>
      <c r="EK712" s="773"/>
      <c r="EL712" s="773"/>
      <c r="EM712" s="773"/>
      <c r="EN712" s="773"/>
      <c r="EO712" s="773"/>
      <c r="EP712" s="773"/>
      <c r="EQ712" s="773"/>
      <c r="ER712" s="773"/>
      <c r="ES712" s="773"/>
      <c r="ET712" s="773"/>
      <c r="EU712" s="773"/>
      <c r="EV712" s="773"/>
      <c r="EW712" s="773"/>
      <c r="EX712" s="773"/>
      <c r="EY712" s="773"/>
      <c r="EZ712" s="773"/>
      <c r="FA712" s="773"/>
      <c r="FB712" s="773"/>
      <c r="FC712" s="773"/>
      <c r="FD712" s="773"/>
      <c r="FE712" s="773"/>
      <c r="FF712" s="773"/>
      <c r="FG712" s="773"/>
      <c r="FH712" s="773"/>
      <c r="FI712" s="773"/>
      <c r="FJ712" s="773"/>
      <c r="FK712" s="773"/>
      <c r="FL712" s="773"/>
      <c r="FM712" s="773"/>
      <c r="FN712" s="773"/>
      <c r="FO712" s="773"/>
      <c r="FP712" s="773"/>
      <c r="FQ712" s="773"/>
      <c r="FR712" s="773"/>
      <c r="FS712" s="773"/>
      <c r="FT712" s="773"/>
      <c r="FU712" s="773"/>
      <c r="FV712" s="773"/>
      <c r="FW712" s="773"/>
      <c r="FX712" s="773"/>
      <c r="FY712" s="773"/>
      <c r="FZ712" s="773"/>
      <c r="GA712" s="773"/>
      <c r="GB712" s="773"/>
      <c r="GC712" s="773"/>
      <c r="GD712" s="773"/>
      <c r="GE712" s="773"/>
      <c r="GF712" s="773"/>
      <c r="GG712" s="773"/>
      <c r="GH712" s="773"/>
      <c r="GI712" s="773"/>
      <c r="GJ712" s="773"/>
      <c r="GK712" s="773"/>
      <c r="GL712" s="773"/>
      <c r="GM712" s="773"/>
      <c r="GN712" s="773"/>
      <c r="GO712" s="773"/>
      <c r="GP712" s="773"/>
      <c r="GQ712" s="773"/>
      <c r="GR712" s="773"/>
      <c r="GS712" s="773"/>
      <c r="GT712" s="773"/>
      <c r="GU712" s="773"/>
      <c r="GV712" s="773"/>
      <c r="GW712" s="773"/>
      <c r="GX712" s="773"/>
      <c r="GY712" s="773"/>
      <c r="GZ712" s="773"/>
    </row>
    <row r="713" spans="1:208" s="11" customFormat="1">
      <c r="A713" s="774"/>
      <c r="B713" s="3761" t="s">
        <v>764</v>
      </c>
      <c r="C713" s="197">
        <v>8410048</v>
      </c>
      <c r="D713" s="199" t="s">
        <v>982</v>
      </c>
      <c r="E713" s="798">
        <f>IFERROR(VLOOKUP(C713,'AJE 12 - INC'!$D$168:$F$771,3,0),0)</f>
        <v>18085.7</v>
      </c>
      <c r="F713" s="108">
        <f>SUMIF('AJE 12 - INC'!B:B,'New TB INC'!C713,'AJE 12 - INC'!D:D)</f>
        <v>0</v>
      </c>
      <c r="G713" s="108"/>
      <c r="H713" s="889"/>
      <c r="I713" s="889"/>
      <c r="J713" s="1303">
        <f t="shared" si="71"/>
        <v>18085.7</v>
      </c>
      <c r="K713" s="209"/>
      <c r="L713" s="434"/>
      <c r="M713" s="828"/>
      <c r="N713" s="11">
        <v>159.88</v>
      </c>
      <c r="O713" s="11">
        <v>159.88</v>
      </c>
      <c r="P713" s="11">
        <v>159.88</v>
      </c>
      <c r="Q713" s="11">
        <v>159.88</v>
      </c>
      <c r="R713" s="773">
        <v>159.88</v>
      </c>
      <c r="S713" s="11">
        <v>159.88</v>
      </c>
      <c r="T713" s="773">
        <v>159.88000000000011</v>
      </c>
      <c r="U713" s="2173">
        <v>159.92999999999984</v>
      </c>
      <c r="V713" s="2509">
        <v>0</v>
      </c>
      <c r="W713" s="2509">
        <v>0</v>
      </c>
      <c r="X713" s="2509">
        <v>0</v>
      </c>
      <c r="Y713" s="2509">
        <v>254.84000000000015</v>
      </c>
      <c r="Z713" s="11">
        <f>'[26]New TB INC'!Z657</f>
        <v>284.64</v>
      </c>
      <c r="AA713" s="11">
        <f>'[27]New TB INC'!AA666</f>
        <v>390.5</v>
      </c>
      <c r="AB713" s="11">
        <f>'[28]New TB INC'!AB672</f>
        <v>390.50000000000011</v>
      </c>
      <c r="AC713" s="11">
        <f>'[29]New TB INC'!AC668</f>
        <v>390.5</v>
      </c>
      <c r="AD713" s="11">
        <f>'[30]New TB INC'!AD663</f>
        <v>390.5</v>
      </c>
      <c r="AE713" s="11">
        <f>'[31]New TB INC'!AE671</f>
        <v>390.49999999999977</v>
      </c>
      <c r="AF713" s="11">
        <v>390.5</v>
      </c>
      <c r="AG713" s="11">
        <v>390.5</v>
      </c>
      <c r="AH713" s="11">
        <v>3741.68</v>
      </c>
      <c r="AI713" s="11">
        <v>3741.6800000000003</v>
      </c>
      <c r="AJ713" s="11">
        <v>3741.5</v>
      </c>
      <c r="AK713" s="11">
        <f>$J713-SUM($Z713:AJ713)</f>
        <v>3842.7000000000007</v>
      </c>
      <c r="AW713" s="2509"/>
      <c r="BH713" s="2509"/>
      <c r="BI713" s="772"/>
      <c r="BJ713" s="2173"/>
      <c r="BK713" s="2173"/>
      <c r="BL713" s="773"/>
      <c r="BN713" s="773"/>
      <c r="BO713" s="209"/>
      <c r="BR713" s="799"/>
      <c r="CH713" s="878"/>
      <c r="CI713" s="4"/>
      <c r="CJ713" s="4"/>
      <c r="DB713" s="773"/>
      <c r="DC713" s="773"/>
      <c r="DD713" s="773"/>
      <c r="DE713" s="773"/>
      <c r="DF713" s="773"/>
      <c r="DG713" s="773"/>
      <c r="DH713" s="773"/>
      <c r="DI713" s="773"/>
      <c r="DJ713" s="773"/>
      <c r="DK713" s="773"/>
      <c r="DL713" s="773"/>
      <c r="DM713" s="773"/>
      <c r="DN713" s="773"/>
      <c r="DO713" s="773"/>
      <c r="DP713" s="773"/>
      <c r="DQ713" s="773"/>
      <c r="DR713" s="773"/>
      <c r="DS713" s="773"/>
      <c r="DT713" s="773"/>
      <c r="DU713" s="773"/>
      <c r="DV713" s="773"/>
      <c r="DW713" s="773"/>
      <c r="DX713" s="773"/>
      <c r="DY713" s="773"/>
      <c r="DZ713" s="773"/>
      <c r="EA713" s="773"/>
      <c r="EB713" s="773"/>
      <c r="EC713" s="773"/>
      <c r="ED713" s="773"/>
      <c r="EE713" s="773"/>
      <c r="EF713" s="773"/>
      <c r="EG713" s="773"/>
      <c r="EH713" s="773"/>
      <c r="EI713" s="773"/>
      <c r="EJ713" s="773"/>
      <c r="EK713" s="773"/>
      <c r="EL713" s="773"/>
      <c r="EM713" s="773"/>
      <c r="EN713" s="773"/>
      <c r="EO713" s="773"/>
      <c r="EP713" s="773"/>
      <c r="EQ713" s="773"/>
      <c r="ER713" s="773"/>
      <c r="ES713" s="773"/>
      <c r="ET713" s="773"/>
      <c r="EU713" s="773"/>
      <c r="EV713" s="773"/>
      <c r="EW713" s="773"/>
      <c r="EX713" s="773"/>
      <c r="EY713" s="773"/>
      <c r="EZ713" s="773"/>
      <c r="FA713" s="773"/>
      <c r="FB713" s="773"/>
      <c r="FC713" s="773"/>
      <c r="FD713" s="773"/>
      <c r="FE713" s="773"/>
      <c r="FF713" s="773"/>
      <c r="FG713" s="773"/>
      <c r="FH713" s="773"/>
      <c r="FI713" s="773"/>
      <c r="FJ713" s="773"/>
      <c r="FK713" s="773"/>
      <c r="FL713" s="773"/>
      <c r="FM713" s="773"/>
      <c r="FN713" s="773"/>
      <c r="FO713" s="773"/>
      <c r="FP713" s="773"/>
      <c r="FQ713" s="773"/>
      <c r="FR713" s="773"/>
      <c r="FS713" s="773"/>
      <c r="FT713" s="773"/>
      <c r="FU713" s="773"/>
      <c r="FV713" s="773"/>
      <c r="FW713" s="773"/>
      <c r="FX713" s="773"/>
      <c r="FY713" s="773"/>
      <c r="FZ713" s="773"/>
      <c r="GA713" s="773"/>
      <c r="GB713" s="773"/>
      <c r="GC713" s="773"/>
      <c r="GD713" s="773"/>
      <c r="GE713" s="773"/>
      <c r="GF713" s="773"/>
      <c r="GG713" s="773"/>
      <c r="GH713" s="773"/>
      <c r="GI713" s="773"/>
      <c r="GJ713" s="773"/>
      <c r="GK713" s="773"/>
      <c r="GL713" s="773"/>
      <c r="GM713" s="773"/>
      <c r="GN713" s="773"/>
      <c r="GO713" s="773"/>
      <c r="GP713" s="773"/>
      <c r="GQ713" s="773"/>
      <c r="GR713" s="773"/>
      <c r="GS713" s="773"/>
      <c r="GT713" s="773"/>
      <c r="GU713" s="773"/>
      <c r="GV713" s="773"/>
      <c r="GW713" s="773"/>
      <c r="GX713" s="773"/>
      <c r="GY713" s="773"/>
      <c r="GZ713" s="773"/>
    </row>
    <row r="714" spans="1:208" s="11" customFormat="1">
      <c r="A714" s="774"/>
      <c r="B714" s="3761" t="s">
        <v>764</v>
      </c>
      <c r="C714" s="197">
        <v>8410061</v>
      </c>
      <c r="D714" s="199" t="s">
        <v>547</v>
      </c>
      <c r="E714" s="798">
        <f>IFERROR(VLOOKUP(C714,'AJE 12 - INC'!$D$168:$F$771,3,0),0)</f>
        <v>2085</v>
      </c>
      <c r="F714" s="108">
        <f>SUMIF('AJE 12 - INC'!B:B,'New TB INC'!C714,'AJE 12 - INC'!D:D)</f>
        <v>0</v>
      </c>
      <c r="G714" s="108"/>
      <c r="H714" s="889"/>
      <c r="I714" s="889"/>
      <c r="J714" s="1303">
        <f t="shared" si="71"/>
        <v>2085</v>
      </c>
      <c r="K714" s="209"/>
      <c r="L714" s="434"/>
      <c r="M714" s="828"/>
      <c r="N714" s="11">
        <v>507.5</v>
      </c>
      <c r="O714" s="11">
        <v>0</v>
      </c>
      <c r="P714" s="11">
        <v>0</v>
      </c>
      <c r="Q714" s="11">
        <v>0</v>
      </c>
      <c r="R714" s="773">
        <v>497.5</v>
      </c>
      <c r="S714" s="11">
        <v>0</v>
      </c>
      <c r="T714" s="773">
        <v>677.5</v>
      </c>
      <c r="U714" s="2173">
        <v>0</v>
      </c>
      <c r="V714" s="2509">
        <v>497.5</v>
      </c>
      <c r="W714" s="2509">
        <v>0</v>
      </c>
      <c r="X714" s="2509">
        <v>0</v>
      </c>
      <c r="Y714" s="2509">
        <v>0</v>
      </c>
      <c r="Z714" s="11">
        <f>'[26]New TB INC'!Z659</f>
        <v>497.5</v>
      </c>
      <c r="AA714" s="11">
        <f>'[27]New TB INC'!AA668</f>
        <v>0</v>
      </c>
      <c r="AB714" s="11">
        <f>'[28]New TB INC'!AB674</f>
        <v>0</v>
      </c>
      <c r="AC714" s="11">
        <f>'[29]New TB INC'!AC670</f>
        <v>497.5</v>
      </c>
      <c r="AD714" s="11">
        <f>'[30]New TB INC'!AD665</f>
        <v>0</v>
      </c>
      <c r="AE714" s="11">
        <f>'[31]New TB INC'!AE673</f>
        <v>0</v>
      </c>
      <c r="AF714" s="11">
        <v>605</v>
      </c>
      <c r="AG714" s="11">
        <v>0</v>
      </c>
      <c r="AH714" s="11">
        <v>0</v>
      </c>
      <c r="AI714" s="11">
        <v>485</v>
      </c>
      <c r="AJ714" s="11">
        <v>0</v>
      </c>
      <c r="AK714" s="11">
        <f>$J714-SUM($Z714:AJ714)</f>
        <v>0</v>
      </c>
      <c r="AW714" s="2509"/>
      <c r="BH714" s="2509"/>
      <c r="BI714" s="772"/>
      <c r="BJ714" s="2173"/>
      <c r="BK714" s="2173"/>
      <c r="BL714" s="773"/>
      <c r="BN714" s="773"/>
      <c r="BO714" s="209"/>
      <c r="BR714" s="799"/>
      <c r="CH714" s="878"/>
      <c r="CI714" s="4"/>
      <c r="CJ714" s="4"/>
      <c r="DB714" s="773"/>
      <c r="DC714" s="773"/>
      <c r="DD714" s="773"/>
      <c r="DE714" s="773"/>
      <c r="DF714" s="773"/>
      <c r="DG714" s="773"/>
      <c r="DH714" s="773"/>
      <c r="DI714" s="773"/>
      <c r="DJ714" s="773"/>
      <c r="DK714" s="773"/>
      <c r="DL714" s="773"/>
      <c r="DM714" s="773"/>
      <c r="DN714" s="773"/>
      <c r="DO714" s="773"/>
      <c r="DP714" s="773"/>
      <c r="DQ714" s="773"/>
      <c r="DR714" s="773"/>
      <c r="DS714" s="773"/>
      <c r="DT714" s="773"/>
      <c r="DU714" s="773"/>
      <c r="DV714" s="773"/>
      <c r="DW714" s="773"/>
      <c r="DX714" s="773"/>
      <c r="DY714" s="773"/>
      <c r="DZ714" s="773"/>
      <c r="EA714" s="773"/>
      <c r="EB714" s="773"/>
      <c r="EC714" s="773"/>
      <c r="ED714" s="773"/>
      <c r="EE714" s="773"/>
      <c r="EF714" s="773"/>
      <c r="EG714" s="773"/>
      <c r="EH714" s="773"/>
      <c r="EI714" s="773"/>
      <c r="EJ714" s="773"/>
      <c r="EK714" s="773"/>
      <c r="EL714" s="773"/>
      <c r="EM714" s="773"/>
      <c r="EN714" s="773"/>
      <c r="EO714" s="773"/>
      <c r="EP714" s="773"/>
      <c r="EQ714" s="773"/>
      <c r="ER714" s="773"/>
      <c r="ES714" s="773"/>
      <c r="ET714" s="773"/>
      <c r="EU714" s="773"/>
      <c r="EV714" s="773"/>
      <c r="EW714" s="773"/>
      <c r="EX714" s="773"/>
      <c r="EY714" s="773"/>
      <c r="EZ714" s="773"/>
      <c r="FA714" s="773"/>
      <c r="FB714" s="773"/>
      <c r="FC714" s="773"/>
      <c r="FD714" s="773"/>
      <c r="FE714" s="773"/>
      <c r="FF714" s="773"/>
      <c r="FG714" s="773"/>
      <c r="FH714" s="773"/>
      <c r="FI714" s="773"/>
      <c r="FJ714" s="773"/>
      <c r="FK714" s="773"/>
      <c r="FL714" s="773"/>
      <c r="FM714" s="773"/>
      <c r="FN714" s="773"/>
      <c r="FO714" s="773"/>
      <c r="FP714" s="773"/>
      <c r="FQ714" s="773"/>
      <c r="FR714" s="773"/>
      <c r="FS714" s="773"/>
      <c r="FT714" s="773"/>
      <c r="FU714" s="773"/>
      <c r="FV714" s="773"/>
      <c r="FW714" s="773"/>
      <c r="FX714" s="773"/>
      <c r="FY714" s="773"/>
      <c r="FZ714" s="773"/>
      <c r="GA714" s="773"/>
      <c r="GB714" s="773"/>
      <c r="GC714" s="773"/>
      <c r="GD714" s="773"/>
      <c r="GE714" s="773"/>
      <c r="GF714" s="773"/>
      <c r="GG714" s="773"/>
      <c r="GH714" s="773"/>
      <c r="GI714" s="773"/>
      <c r="GJ714" s="773"/>
      <c r="GK714" s="773"/>
      <c r="GL714" s="773"/>
      <c r="GM714" s="773"/>
      <c r="GN714" s="773"/>
      <c r="GO714" s="773"/>
      <c r="GP714" s="773"/>
      <c r="GQ714" s="773"/>
      <c r="GR714" s="773"/>
      <c r="GS714" s="773"/>
      <c r="GT714" s="773"/>
      <c r="GU714" s="773"/>
      <c r="GV714" s="773"/>
      <c r="GW714" s="773"/>
      <c r="GX714" s="773"/>
      <c r="GY714" s="773"/>
      <c r="GZ714" s="773"/>
    </row>
    <row r="715" spans="1:208" s="11" customFormat="1">
      <c r="A715" s="774"/>
      <c r="B715" s="3761" t="s">
        <v>1337</v>
      </c>
      <c r="C715" s="197">
        <v>8410067</v>
      </c>
      <c r="D715" s="199" t="s">
        <v>1380</v>
      </c>
      <c r="E715" s="798">
        <f>IFERROR(VLOOKUP(C715,'AJE 12 - INC'!$D$168:$F$771,3,0),0)</f>
        <v>15041.89</v>
      </c>
      <c r="F715" s="108">
        <f>SUMIF('AJE 12 - INC'!B:B,'New TB INC'!C715,'AJE 12 - INC'!D:D)</f>
        <v>0</v>
      </c>
      <c r="G715" s="108"/>
      <c r="H715" s="889"/>
      <c r="I715" s="889"/>
      <c r="J715" s="1303">
        <f t="shared" si="71"/>
        <v>15041.89</v>
      </c>
      <c r="K715" s="209"/>
      <c r="L715" s="434"/>
      <c r="M715" s="828"/>
      <c r="N715" s="11">
        <v>1701.06</v>
      </c>
      <c r="O715" s="11">
        <v>1641.3000000000002</v>
      </c>
      <c r="P715" s="11">
        <v>1729.8600000000001</v>
      </c>
      <c r="Q715" s="11">
        <v>1359.2599999999998</v>
      </c>
      <c r="R715" s="773">
        <v>1359.2600000000002</v>
      </c>
      <c r="S715" s="11">
        <v>1338.8000000000011</v>
      </c>
      <c r="T715" s="773">
        <v>1235.4199999999987</v>
      </c>
      <c r="U715" s="2173">
        <v>1118.2800000000007</v>
      </c>
      <c r="V715" s="2509">
        <v>1118.2800000000007</v>
      </c>
      <c r="W715" s="2509">
        <v>1362.8999999999996</v>
      </c>
      <c r="X715" s="2509">
        <v>871.53999999999905</v>
      </c>
      <c r="Y715" s="2509">
        <v>1465.67</v>
      </c>
      <c r="Z715" s="11">
        <f>'[26]New TB INC'!Z660</f>
        <v>1306.3599999999999</v>
      </c>
      <c r="AA715" s="11">
        <f>'[27]New TB INC'!AA669</f>
        <v>1306.3599999999999</v>
      </c>
      <c r="AB715" s="11">
        <f>'[28]New TB INC'!AB675</f>
        <v>885.35000000000036</v>
      </c>
      <c r="AC715" s="11">
        <f>'[29]New TB INC'!AC671</f>
        <v>1272.56</v>
      </c>
      <c r="AD715" s="11">
        <f>'[30]New TB INC'!AD666</f>
        <v>1308.5199999999995</v>
      </c>
      <c r="AE715" s="11">
        <f>'[31]New TB INC'!AE674</f>
        <v>1297.9500000000007</v>
      </c>
      <c r="AF715" s="11">
        <v>1331.7999999999993</v>
      </c>
      <c r="AG715" s="11">
        <v>1234.5400000000009</v>
      </c>
      <c r="AH715" s="11">
        <v>1310.6599999999999</v>
      </c>
      <c r="AI715" s="11">
        <v>1289.5</v>
      </c>
      <c r="AJ715" s="11">
        <v>1248.3099999999995</v>
      </c>
      <c r="AK715" s="11">
        <f>$J715-SUM($Z715:AJ715)</f>
        <v>1249.9799999999996</v>
      </c>
      <c r="AW715" s="2509"/>
      <c r="BH715" s="2509"/>
      <c r="BI715" s="772"/>
      <c r="BJ715" s="2173"/>
      <c r="BK715" s="2173"/>
      <c r="BL715" s="773"/>
      <c r="BN715" s="773"/>
      <c r="BO715" s="209"/>
      <c r="BR715" s="799"/>
      <c r="CH715" s="878"/>
      <c r="CI715" s="4"/>
      <c r="CJ715" s="4"/>
      <c r="DB715" s="773"/>
      <c r="DC715" s="773"/>
      <c r="DD715" s="773"/>
      <c r="DE715" s="773"/>
      <c r="DF715" s="773"/>
      <c r="DG715" s="773"/>
      <c r="DH715" s="773"/>
      <c r="DI715" s="773"/>
      <c r="DJ715" s="773"/>
      <c r="DK715" s="773"/>
      <c r="DL715" s="773"/>
      <c r="DM715" s="773"/>
      <c r="DN715" s="773"/>
      <c r="DO715" s="773"/>
      <c r="DP715" s="773"/>
      <c r="DQ715" s="773"/>
      <c r="DR715" s="773"/>
      <c r="DS715" s="773"/>
      <c r="DT715" s="773"/>
      <c r="DU715" s="773"/>
      <c r="DV715" s="773"/>
      <c r="DW715" s="773"/>
      <c r="DX715" s="773"/>
      <c r="DY715" s="773"/>
      <c r="DZ715" s="773"/>
      <c r="EA715" s="773"/>
      <c r="EB715" s="773"/>
      <c r="EC715" s="773"/>
      <c r="ED715" s="773"/>
      <c r="EE715" s="773"/>
      <c r="EF715" s="773"/>
      <c r="EG715" s="773"/>
      <c r="EH715" s="773"/>
      <c r="EI715" s="773"/>
      <c r="EJ715" s="773"/>
      <c r="EK715" s="773"/>
      <c r="EL715" s="773"/>
      <c r="EM715" s="773"/>
      <c r="EN715" s="773"/>
      <c r="EO715" s="773"/>
      <c r="EP715" s="773"/>
      <c r="EQ715" s="773"/>
      <c r="ER715" s="773"/>
      <c r="ES715" s="773"/>
      <c r="ET715" s="773"/>
      <c r="EU715" s="773"/>
      <c r="EV715" s="773"/>
      <c r="EW715" s="773"/>
      <c r="EX715" s="773"/>
      <c r="EY715" s="773"/>
      <c r="EZ715" s="773"/>
      <c r="FA715" s="773"/>
      <c r="FB715" s="773"/>
      <c r="FC715" s="773"/>
      <c r="FD715" s="773"/>
      <c r="FE715" s="773"/>
      <c r="FF715" s="773"/>
      <c r="FG715" s="773"/>
      <c r="FH715" s="773"/>
      <c r="FI715" s="773"/>
      <c r="FJ715" s="773"/>
      <c r="FK715" s="773"/>
      <c r="FL715" s="773"/>
      <c r="FM715" s="773"/>
      <c r="FN715" s="773"/>
      <c r="FO715" s="773"/>
      <c r="FP715" s="773"/>
      <c r="FQ715" s="773"/>
      <c r="FR715" s="773"/>
      <c r="FS715" s="773"/>
      <c r="FT715" s="773"/>
      <c r="FU715" s="773"/>
      <c r="FV715" s="773"/>
      <c r="FW715" s="773"/>
      <c r="FX715" s="773"/>
      <c r="FY715" s="773"/>
      <c r="FZ715" s="773"/>
      <c r="GA715" s="773"/>
      <c r="GB715" s="773"/>
      <c r="GC715" s="773"/>
      <c r="GD715" s="773"/>
      <c r="GE715" s="773"/>
      <c r="GF715" s="773"/>
      <c r="GG715" s="773"/>
      <c r="GH715" s="773"/>
      <c r="GI715" s="773"/>
      <c r="GJ715" s="773"/>
      <c r="GK715" s="773"/>
      <c r="GL715" s="773"/>
      <c r="GM715" s="773"/>
      <c r="GN715" s="773"/>
      <c r="GO715" s="773"/>
      <c r="GP715" s="773"/>
      <c r="GQ715" s="773"/>
      <c r="GR715" s="773"/>
      <c r="GS715" s="773"/>
      <c r="GT715" s="773"/>
      <c r="GU715" s="773"/>
      <c r="GV715" s="773"/>
      <c r="GW715" s="773"/>
      <c r="GX715" s="773"/>
      <c r="GY715" s="773"/>
      <c r="GZ715" s="773"/>
    </row>
    <row r="716" spans="1:208" s="11" customFormat="1">
      <c r="A716" s="774"/>
      <c r="B716" s="3761" t="s">
        <v>764</v>
      </c>
      <c r="C716" s="197">
        <v>8410066</v>
      </c>
      <c r="D716" s="199" t="s">
        <v>491</v>
      </c>
      <c r="E716" s="798">
        <f>IFERROR(VLOOKUP(C716,'AJE 12 - INC'!$D$168:$F$771,3,0),0)</f>
        <v>5789.17</v>
      </c>
      <c r="F716" s="108">
        <f>SUMIF('AJE 12 - INC'!B:B,'New TB INC'!C716,'AJE 12 - INC'!D:D)</f>
        <v>0</v>
      </c>
      <c r="G716" s="108"/>
      <c r="H716" s="889"/>
      <c r="I716" s="889"/>
      <c r="J716" s="1303">
        <f t="shared" si="71"/>
        <v>5789.17</v>
      </c>
      <c r="K716" s="209"/>
      <c r="L716" s="434"/>
      <c r="M716" s="828"/>
      <c r="N716" s="11">
        <v>447.59</v>
      </c>
      <c r="O716" s="11">
        <v>441.84</v>
      </c>
      <c r="P716" s="11">
        <v>448.71000000000021</v>
      </c>
      <c r="Q716" s="11">
        <v>448.70999999999987</v>
      </c>
      <c r="R716" s="773">
        <v>448.71</v>
      </c>
      <c r="S716" s="11">
        <v>448.70999999999987</v>
      </c>
      <c r="T716" s="773">
        <v>448.70999999999975</v>
      </c>
      <c r="U716" s="2173">
        <v>448.71000000000049</v>
      </c>
      <c r="V716" s="2509">
        <v>448.71000000000004</v>
      </c>
      <c r="W716" s="2509">
        <v>448.70999999999958</v>
      </c>
      <c r="X716" s="2509">
        <v>448.71000000000004</v>
      </c>
      <c r="Y716" s="2509">
        <v>448.71000000000004</v>
      </c>
      <c r="Z716" s="11">
        <f>'[26]New TB INC'!Z661</f>
        <v>448.71</v>
      </c>
      <c r="AA716" s="11">
        <f>'[27]New TB INC'!AA670</f>
        <v>441.36000000000007</v>
      </c>
      <c r="AB716" s="11">
        <f>'[28]New TB INC'!AB676</f>
        <v>489.90999999999997</v>
      </c>
      <c r="AC716" s="11">
        <f>'[29]New TB INC'!AC672</f>
        <v>489.91000000000008</v>
      </c>
      <c r="AD716" s="11">
        <f>'[30]New TB INC'!AD667</f>
        <v>489.91000000000008</v>
      </c>
      <c r="AE716" s="11">
        <f>'[31]New TB INC'!AE675</f>
        <v>489.90999999999985</v>
      </c>
      <c r="AF716" s="11">
        <v>489.90999999999985</v>
      </c>
      <c r="AG716" s="11">
        <v>489.91000000000031</v>
      </c>
      <c r="AH716" s="11">
        <v>489.9099999999994</v>
      </c>
      <c r="AI716" s="11">
        <v>489.91000000000076</v>
      </c>
      <c r="AJ716" s="11">
        <v>489.90999999999985</v>
      </c>
      <c r="AK716" s="11">
        <f>$J716-SUM($Z716:AJ716)</f>
        <v>489.90999999999985</v>
      </c>
      <c r="AW716" s="2509"/>
      <c r="BH716" s="2509"/>
      <c r="BI716" s="772"/>
      <c r="BJ716" s="2173"/>
      <c r="BK716" s="2173"/>
      <c r="BL716" s="773"/>
      <c r="BN716" s="773"/>
      <c r="BO716" s="209"/>
      <c r="BR716" s="799"/>
      <c r="CH716" s="878"/>
      <c r="CI716" s="4"/>
      <c r="CJ716" s="4"/>
      <c r="DB716" s="773"/>
      <c r="DC716" s="773"/>
      <c r="DD716" s="773"/>
      <c r="DE716" s="773"/>
      <c r="DF716" s="773"/>
      <c r="DG716" s="773"/>
      <c r="DH716" s="773"/>
      <c r="DI716" s="773"/>
      <c r="DJ716" s="773"/>
      <c r="DK716" s="773"/>
      <c r="DL716" s="773"/>
      <c r="DM716" s="773"/>
      <c r="DN716" s="773"/>
      <c r="DO716" s="773"/>
      <c r="DP716" s="773"/>
      <c r="DQ716" s="773"/>
      <c r="DR716" s="773"/>
      <c r="DS716" s="773"/>
      <c r="DT716" s="773"/>
      <c r="DU716" s="773"/>
      <c r="DV716" s="773"/>
      <c r="DW716" s="773"/>
      <c r="DX716" s="773"/>
      <c r="DY716" s="773"/>
      <c r="DZ716" s="773"/>
      <c r="EA716" s="773"/>
      <c r="EB716" s="773"/>
      <c r="EC716" s="773"/>
      <c r="ED716" s="773"/>
      <c r="EE716" s="773"/>
      <c r="EF716" s="773"/>
      <c r="EG716" s="773"/>
      <c r="EH716" s="773"/>
      <c r="EI716" s="773"/>
      <c r="EJ716" s="773"/>
      <c r="EK716" s="773"/>
      <c r="EL716" s="773"/>
      <c r="EM716" s="773"/>
      <c r="EN716" s="773"/>
      <c r="EO716" s="773"/>
      <c r="EP716" s="773"/>
      <c r="EQ716" s="773"/>
      <c r="ER716" s="773"/>
      <c r="ES716" s="773"/>
      <c r="ET716" s="773"/>
      <c r="EU716" s="773"/>
      <c r="EV716" s="773"/>
      <c r="EW716" s="773"/>
      <c r="EX716" s="773"/>
      <c r="EY716" s="773"/>
      <c r="EZ716" s="773"/>
      <c r="FA716" s="773"/>
      <c r="FB716" s="773"/>
      <c r="FC716" s="773"/>
      <c r="FD716" s="773"/>
      <c r="FE716" s="773"/>
      <c r="FF716" s="773"/>
      <c r="FG716" s="773"/>
      <c r="FH716" s="773"/>
      <c r="FI716" s="773"/>
      <c r="FJ716" s="773"/>
      <c r="FK716" s="773"/>
      <c r="FL716" s="773"/>
      <c r="FM716" s="773"/>
      <c r="FN716" s="773"/>
      <c r="FO716" s="773"/>
      <c r="FP716" s="773"/>
      <c r="FQ716" s="773"/>
      <c r="FR716" s="773"/>
      <c r="FS716" s="773"/>
      <c r="FT716" s="773"/>
      <c r="FU716" s="773"/>
      <c r="FV716" s="773"/>
      <c r="FW716" s="773"/>
      <c r="FX716" s="773"/>
      <c r="FY716" s="773"/>
      <c r="FZ716" s="773"/>
      <c r="GA716" s="773"/>
      <c r="GB716" s="773"/>
      <c r="GC716" s="773"/>
      <c r="GD716" s="773"/>
      <c r="GE716" s="773"/>
      <c r="GF716" s="773"/>
      <c r="GG716" s="773"/>
      <c r="GH716" s="773"/>
      <c r="GI716" s="773"/>
      <c r="GJ716" s="773"/>
      <c r="GK716" s="773"/>
      <c r="GL716" s="773"/>
      <c r="GM716" s="773"/>
      <c r="GN716" s="773"/>
      <c r="GO716" s="773"/>
      <c r="GP716" s="773"/>
      <c r="GQ716" s="773"/>
      <c r="GR716" s="773"/>
      <c r="GS716" s="773"/>
      <c r="GT716" s="773"/>
      <c r="GU716" s="773"/>
      <c r="GV716" s="773"/>
      <c r="GW716" s="773"/>
      <c r="GX716" s="773"/>
      <c r="GY716" s="773"/>
      <c r="GZ716" s="773"/>
    </row>
    <row r="717" spans="1:208" s="11" customFormat="1">
      <c r="A717" s="774"/>
      <c r="B717" s="3761" t="s">
        <v>764</v>
      </c>
      <c r="C717" s="197">
        <v>8410101</v>
      </c>
      <c r="D717" s="199" t="s">
        <v>487</v>
      </c>
      <c r="E717" s="798">
        <f>IFERROR(VLOOKUP(C717,'AJE 12 - INC'!$D$168:$F$771,3,0),0)</f>
        <v>8231.2099999999991</v>
      </c>
      <c r="F717" s="108">
        <f>SUMIF('AJE 12 - INC'!B:B,'New TB INC'!C717,'AJE 12 - INC'!D:D)</f>
        <v>0</v>
      </c>
      <c r="G717" s="108"/>
      <c r="H717" s="889"/>
      <c r="I717" s="889"/>
      <c r="J717" s="1303">
        <f t="shared" si="71"/>
        <v>8231.2099999999991</v>
      </c>
      <c r="K717" s="209"/>
      <c r="L717" s="434"/>
      <c r="M717" s="828"/>
      <c r="N717" s="11">
        <v>2093.94</v>
      </c>
      <c r="O717" s="11">
        <v>2093.94</v>
      </c>
      <c r="P717" s="11">
        <v>3173.9399999999991</v>
      </c>
      <c r="Q717" s="11">
        <v>2209.94</v>
      </c>
      <c r="R717" s="773">
        <v>2453.940000000001</v>
      </c>
      <c r="S717" s="11">
        <v>2093.9399999999982</v>
      </c>
      <c r="T717" s="773">
        <v>1125.6400000000012</v>
      </c>
      <c r="U717" s="2173">
        <v>265</v>
      </c>
      <c r="V717" s="2509">
        <v>340</v>
      </c>
      <c r="W717" s="2509">
        <v>272.72999999999956</v>
      </c>
      <c r="X717" s="2509">
        <v>169.94999999999891</v>
      </c>
      <c r="Y717" s="2509">
        <v>269.90000000000146</v>
      </c>
      <c r="Z717" s="11">
        <f>'[26]New TB INC'!Z662</f>
        <v>477.4</v>
      </c>
      <c r="AA717" s="11">
        <f>'[27]New TB INC'!AA671</f>
        <v>703.44999999999993</v>
      </c>
      <c r="AB717" s="11">
        <f>'[28]New TB INC'!AB677</f>
        <v>1609.4</v>
      </c>
      <c r="AC717" s="11">
        <f>'[29]New TB INC'!AC673</f>
        <v>736.40000000000009</v>
      </c>
      <c r="AD717" s="11">
        <f>'[30]New TB INC'!AD668</f>
        <v>451.40000000000009</v>
      </c>
      <c r="AE717" s="11">
        <f>'[31]New TB INC'!AE676</f>
        <v>336.39999999999964</v>
      </c>
      <c r="AF717" s="11">
        <v>683.40000000000055</v>
      </c>
      <c r="AG717" s="11">
        <v>336.39999999999964</v>
      </c>
      <c r="AH717" s="11">
        <v>492.39999999999964</v>
      </c>
      <c r="AI717" s="11">
        <v>1805.6200000000008</v>
      </c>
      <c r="AJ717" s="11">
        <v>252.44999999999982</v>
      </c>
      <c r="AK717" s="11">
        <f>$J717-SUM($Z717:AJ717)</f>
        <v>346.48999999999887</v>
      </c>
      <c r="AW717" s="2509"/>
      <c r="BH717" s="2509"/>
      <c r="BI717" s="772"/>
      <c r="BJ717" s="2173"/>
      <c r="BK717" s="2173"/>
      <c r="BL717" s="773"/>
      <c r="BN717" s="773"/>
      <c r="BO717" s="209"/>
      <c r="BR717" s="799"/>
      <c r="CH717" s="878"/>
      <c r="CI717" s="4"/>
      <c r="CJ717" s="4"/>
      <c r="DB717" s="773"/>
      <c r="DC717" s="773"/>
      <c r="DD717" s="773"/>
      <c r="DE717" s="773"/>
      <c r="DF717" s="773"/>
      <c r="DG717" s="773"/>
      <c r="DH717" s="773"/>
      <c r="DI717" s="773"/>
      <c r="DJ717" s="773"/>
      <c r="DK717" s="773"/>
      <c r="DL717" s="773"/>
      <c r="DM717" s="773"/>
      <c r="DN717" s="773"/>
      <c r="DO717" s="773"/>
      <c r="DP717" s="773"/>
      <c r="DQ717" s="773"/>
      <c r="DR717" s="773"/>
      <c r="DS717" s="773"/>
      <c r="DT717" s="773"/>
      <c r="DU717" s="773"/>
      <c r="DV717" s="773"/>
      <c r="DW717" s="773"/>
      <c r="DX717" s="773"/>
      <c r="DY717" s="773"/>
      <c r="DZ717" s="773"/>
      <c r="EA717" s="773"/>
      <c r="EB717" s="773"/>
      <c r="EC717" s="773"/>
      <c r="ED717" s="773"/>
      <c r="EE717" s="773"/>
      <c r="EF717" s="773"/>
      <c r="EG717" s="773"/>
      <c r="EH717" s="773"/>
      <c r="EI717" s="773"/>
      <c r="EJ717" s="773"/>
      <c r="EK717" s="773"/>
      <c r="EL717" s="773"/>
      <c r="EM717" s="773"/>
      <c r="EN717" s="773"/>
      <c r="EO717" s="773"/>
      <c r="EP717" s="773"/>
      <c r="EQ717" s="773"/>
      <c r="ER717" s="773"/>
      <c r="ES717" s="773"/>
      <c r="ET717" s="773"/>
      <c r="EU717" s="773"/>
      <c r="EV717" s="773"/>
      <c r="EW717" s="773"/>
      <c r="EX717" s="773"/>
      <c r="EY717" s="773"/>
      <c r="EZ717" s="773"/>
      <c r="FA717" s="773"/>
      <c r="FB717" s="773"/>
      <c r="FC717" s="773"/>
      <c r="FD717" s="773"/>
      <c r="FE717" s="773"/>
      <c r="FF717" s="773"/>
      <c r="FG717" s="773"/>
      <c r="FH717" s="773"/>
      <c r="FI717" s="773"/>
      <c r="FJ717" s="773"/>
      <c r="FK717" s="773"/>
      <c r="FL717" s="773"/>
      <c r="FM717" s="773"/>
      <c r="FN717" s="773"/>
      <c r="FO717" s="773"/>
      <c r="FP717" s="773"/>
      <c r="FQ717" s="773"/>
      <c r="FR717" s="773"/>
      <c r="FS717" s="773"/>
      <c r="FT717" s="773"/>
      <c r="FU717" s="773"/>
      <c r="FV717" s="773"/>
      <c r="FW717" s="773"/>
      <c r="FX717" s="773"/>
      <c r="FY717" s="773"/>
      <c r="FZ717" s="773"/>
      <c r="GA717" s="773"/>
      <c r="GB717" s="773"/>
      <c r="GC717" s="773"/>
      <c r="GD717" s="773"/>
      <c r="GE717" s="773"/>
      <c r="GF717" s="773"/>
      <c r="GG717" s="773"/>
      <c r="GH717" s="773"/>
      <c r="GI717" s="773"/>
      <c r="GJ717" s="773"/>
      <c r="GK717" s="773"/>
      <c r="GL717" s="773"/>
      <c r="GM717" s="773"/>
      <c r="GN717" s="773"/>
      <c r="GO717" s="773"/>
      <c r="GP717" s="773"/>
      <c r="GQ717" s="773"/>
      <c r="GR717" s="773"/>
      <c r="GS717" s="773"/>
      <c r="GT717" s="773"/>
      <c r="GU717" s="773"/>
      <c r="GV717" s="773"/>
      <c r="GW717" s="773"/>
      <c r="GX717" s="773"/>
      <c r="GY717" s="773"/>
      <c r="GZ717" s="773"/>
    </row>
    <row r="718" spans="1:208" s="11" customFormat="1">
      <c r="B718" s="3761"/>
      <c r="C718" s="197"/>
      <c r="D718" s="200"/>
      <c r="E718" s="108"/>
      <c r="F718" s="108"/>
      <c r="G718" s="108"/>
      <c r="H718" s="108"/>
      <c r="I718" s="108"/>
      <c r="J718" s="798"/>
      <c r="K718" s="209"/>
      <c r="L718" s="434"/>
      <c r="M718" s="828"/>
      <c r="N718" s="11">
        <v>0</v>
      </c>
      <c r="O718" s="11">
        <v>0</v>
      </c>
      <c r="P718" s="11">
        <v>0</v>
      </c>
      <c r="Q718" s="11">
        <v>0</v>
      </c>
      <c r="R718" s="773">
        <v>0</v>
      </c>
      <c r="S718" s="11">
        <v>0</v>
      </c>
      <c r="T718" s="773">
        <v>0</v>
      </c>
      <c r="U718" s="2173">
        <v>0</v>
      </c>
      <c r="V718" s="2509">
        <v>0</v>
      </c>
      <c r="W718" s="2509">
        <v>0</v>
      </c>
      <c r="X718" s="2509">
        <v>0</v>
      </c>
      <c r="Y718" s="2509">
        <v>0</v>
      </c>
      <c r="Z718" s="11">
        <f>'[26]New TB INC'!Z664</f>
        <v>0</v>
      </c>
      <c r="AA718" s="11">
        <f>'[27]New TB INC'!AA673</f>
        <v>0</v>
      </c>
      <c r="AB718" s="11">
        <f>'[28]New TB INC'!AB679</f>
        <v>0</v>
      </c>
      <c r="AC718" s="11">
        <f>'[29]New TB INC'!AC675</f>
        <v>0</v>
      </c>
      <c r="AD718" s="11">
        <f>'[30]New TB INC'!AD670</f>
        <v>0</v>
      </c>
      <c r="AE718" s="11">
        <f>'[31]New TB INC'!AE678</f>
        <v>0</v>
      </c>
      <c r="AF718" s="11">
        <v>0</v>
      </c>
      <c r="AG718" s="11">
        <v>0</v>
      </c>
      <c r="AH718" s="11">
        <v>0</v>
      </c>
      <c r="AI718" s="11">
        <v>0</v>
      </c>
      <c r="AJ718" s="11">
        <v>0</v>
      </c>
      <c r="AK718" s="11">
        <f>$J718-SUM($Z718:AJ718)</f>
        <v>0</v>
      </c>
      <c r="AW718" s="2509"/>
      <c r="BH718" s="2509"/>
      <c r="BI718" s="772"/>
      <c r="BJ718" s="2173"/>
      <c r="BK718" s="2173"/>
      <c r="BL718" s="773"/>
      <c r="BN718" s="773"/>
      <c r="BO718" s="209"/>
      <c r="BR718" s="799"/>
      <c r="CI718" s="4"/>
      <c r="CJ718" s="4"/>
      <c r="DB718" s="773"/>
      <c r="DC718" s="773"/>
      <c r="DD718" s="773"/>
      <c r="DE718" s="773"/>
      <c r="DF718" s="773"/>
      <c r="DG718" s="773"/>
      <c r="DH718" s="773"/>
      <c r="DI718" s="773"/>
      <c r="DJ718" s="773"/>
      <c r="DK718" s="773"/>
      <c r="DL718" s="773"/>
      <c r="DM718" s="773"/>
      <c r="DN718" s="773"/>
      <c r="DO718" s="773"/>
      <c r="DP718" s="773"/>
      <c r="DQ718" s="773"/>
      <c r="DR718" s="773"/>
      <c r="DS718" s="773"/>
      <c r="DT718" s="773"/>
      <c r="DU718" s="773"/>
      <c r="DV718" s="773"/>
      <c r="DW718" s="773"/>
      <c r="DX718" s="773"/>
      <c r="DY718" s="773"/>
      <c r="DZ718" s="773"/>
      <c r="EA718" s="773"/>
      <c r="EB718" s="773"/>
      <c r="EC718" s="773"/>
      <c r="ED718" s="773"/>
      <c r="EE718" s="773"/>
      <c r="EF718" s="773"/>
      <c r="EG718" s="773"/>
      <c r="EH718" s="773"/>
      <c r="EI718" s="773"/>
      <c r="EJ718" s="773"/>
      <c r="EK718" s="773"/>
      <c r="EL718" s="773"/>
      <c r="EM718" s="773"/>
      <c r="EN718" s="773"/>
      <c r="EO718" s="773"/>
      <c r="EP718" s="773"/>
      <c r="EQ718" s="773"/>
      <c r="ER718" s="773"/>
      <c r="ES718" s="773"/>
      <c r="ET718" s="773"/>
      <c r="EU718" s="773"/>
      <c r="EV718" s="773"/>
      <c r="EW718" s="773"/>
      <c r="EX718" s="773"/>
      <c r="EY718" s="773"/>
      <c r="EZ718" s="773"/>
      <c r="FA718" s="773"/>
      <c r="FB718" s="773"/>
      <c r="FC718" s="773"/>
      <c r="FD718" s="773"/>
      <c r="FE718" s="773"/>
      <c r="FF718" s="773"/>
      <c r="FG718" s="773"/>
      <c r="FH718" s="773"/>
      <c r="FI718" s="773"/>
      <c r="FJ718" s="773"/>
      <c r="FK718" s="773"/>
      <c r="FL718" s="773"/>
      <c r="FM718" s="773"/>
      <c r="FN718" s="773"/>
      <c r="FO718" s="773"/>
      <c r="FP718" s="773"/>
      <c r="FQ718" s="773"/>
      <c r="FR718" s="773"/>
      <c r="FS718" s="773"/>
      <c r="FT718" s="773"/>
      <c r="FU718" s="773"/>
      <c r="FV718" s="773"/>
      <c r="FW718" s="773"/>
      <c r="FX718" s="773"/>
      <c r="FY718" s="773"/>
      <c r="FZ718" s="773"/>
      <c r="GA718" s="773"/>
      <c r="GB718" s="773"/>
      <c r="GC718" s="773"/>
      <c r="GD718" s="773"/>
      <c r="GE718" s="773"/>
      <c r="GF718" s="773"/>
      <c r="GG718" s="773"/>
      <c r="GH718" s="773"/>
      <c r="GI718" s="773"/>
      <c r="GJ718" s="773"/>
      <c r="GK718" s="773"/>
      <c r="GL718" s="773"/>
      <c r="GM718" s="773"/>
      <c r="GN718" s="773"/>
      <c r="GO718" s="773"/>
      <c r="GP718" s="773"/>
      <c r="GQ718" s="773"/>
      <c r="GR718" s="773"/>
      <c r="GS718" s="773"/>
      <c r="GT718" s="773"/>
      <c r="GU718" s="773"/>
      <c r="GV718" s="773"/>
      <c r="GW718" s="773"/>
      <c r="GX718" s="773"/>
      <c r="GY718" s="773"/>
      <c r="GZ718" s="773"/>
    </row>
    <row r="719" spans="1:208" s="11" customFormat="1" ht="13.5" thickBot="1">
      <c r="A719" s="774"/>
      <c r="B719" s="3763"/>
      <c r="C719" s="438"/>
      <c r="D719" s="175" t="s">
        <v>319</v>
      </c>
      <c r="E719" s="2023">
        <f t="shared" ref="E719:J719" si="73">SUM(E673:E718)</f>
        <v>482549.44000000006</v>
      </c>
      <c r="F719" s="2023">
        <f t="shared" si="73"/>
        <v>0</v>
      </c>
      <c r="G719" s="2023">
        <f t="shared" si="73"/>
        <v>0</v>
      </c>
      <c r="H719" s="2023">
        <f t="shared" si="73"/>
        <v>0</v>
      </c>
      <c r="I719" s="2023">
        <f t="shared" si="73"/>
        <v>0</v>
      </c>
      <c r="J719" s="2023">
        <f t="shared" si="73"/>
        <v>482549.44000000006</v>
      </c>
      <c r="K719" s="209"/>
      <c r="L719" s="434"/>
      <c r="M719" s="900"/>
      <c r="N719" s="11">
        <v>42291.039999999994</v>
      </c>
      <c r="O719" s="11">
        <v>41690.789999999994</v>
      </c>
      <c r="P719" s="11">
        <v>40790.100000000006</v>
      </c>
      <c r="Q719" s="11">
        <v>17420.900000000023</v>
      </c>
      <c r="R719" s="773">
        <v>35995.259999999966</v>
      </c>
      <c r="S719" s="11">
        <v>36871.430000000066</v>
      </c>
      <c r="T719" s="773">
        <v>36899.469999999972</v>
      </c>
      <c r="U719" s="2173">
        <v>33846.640000000072</v>
      </c>
      <c r="V719" s="2509">
        <v>33855.23000000004</v>
      </c>
      <c r="W719" s="2509">
        <v>34892.259999999893</v>
      </c>
      <c r="X719" s="2509">
        <v>39740.299999999988</v>
      </c>
      <c r="Y719" s="2509">
        <v>39639.230000000098</v>
      </c>
      <c r="Z719" s="11">
        <f>'[26]New TB INC'!Z665</f>
        <v>32018.400000000012</v>
      </c>
      <c r="AA719" s="11">
        <f>'[27]New TB INC'!AA674</f>
        <v>36274.100000000006</v>
      </c>
      <c r="AB719" s="11">
        <f>'[28]New TB INC'!AB680</f>
        <v>35185.179999999978</v>
      </c>
      <c r="AC719" s="11">
        <f>'[29]New TB INC'!AC676</f>
        <v>36879.840000000026</v>
      </c>
      <c r="AD719" s="11">
        <f>'[30]New TB INC'!AD671</f>
        <v>34414.719999999943</v>
      </c>
      <c r="AE719" s="11">
        <f>'[31]New TB INC'!AE679</f>
        <v>36062.410000000091</v>
      </c>
      <c r="AF719" s="11">
        <v>39254.739999999991</v>
      </c>
      <c r="AG719" s="11">
        <v>39445.770000000048</v>
      </c>
      <c r="AH719" s="11">
        <v>35281.729999999923</v>
      </c>
      <c r="AI719" s="11">
        <v>76234.049999999988</v>
      </c>
      <c r="AJ719" s="11">
        <v>36234.190000000061</v>
      </c>
      <c r="AK719" s="11">
        <f>$J719-SUM($Z719:AJ719)</f>
        <v>45264.31</v>
      </c>
      <c r="AW719" s="2509"/>
      <c r="BH719" s="2509"/>
      <c r="BI719" s="772"/>
      <c r="BJ719" s="2173"/>
      <c r="BK719" s="2173"/>
      <c r="BL719" s="773"/>
      <c r="BN719" s="773"/>
      <c r="BO719" s="209"/>
      <c r="BR719" s="799"/>
      <c r="BS719" s="885"/>
      <c r="CH719" s="878"/>
      <c r="CI719" s="4"/>
      <c r="CJ719" s="4"/>
      <c r="DB719" s="773"/>
      <c r="DC719" s="773"/>
      <c r="DD719" s="773"/>
      <c r="DE719" s="773"/>
      <c r="DF719" s="773"/>
      <c r="DG719" s="773"/>
      <c r="DH719" s="773"/>
      <c r="DI719" s="773"/>
      <c r="DJ719" s="773"/>
      <c r="DK719" s="773"/>
      <c r="DL719" s="773"/>
      <c r="DM719" s="773"/>
      <c r="DN719" s="773"/>
      <c r="DO719" s="773"/>
      <c r="DP719" s="773"/>
      <c r="DQ719" s="773"/>
      <c r="DR719" s="773"/>
      <c r="DS719" s="773"/>
      <c r="DT719" s="773"/>
      <c r="DU719" s="773"/>
      <c r="DV719" s="773"/>
      <c r="DW719" s="773"/>
      <c r="DX719" s="773"/>
      <c r="DY719" s="773"/>
      <c r="DZ719" s="773"/>
      <c r="EA719" s="773"/>
      <c r="EB719" s="773"/>
      <c r="EC719" s="773"/>
      <c r="ED719" s="773"/>
      <c r="EE719" s="773"/>
      <c r="EF719" s="773"/>
      <c r="EG719" s="773"/>
      <c r="EH719" s="773"/>
      <c r="EI719" s="773"/>
      <c r="EJ719" s="773"/>
      <c r="EK719" s="773"/>
      <c r="EL719" s="773"/>
      <c r="EM719" s="773"/>
      <c r="EN719" s="773"/>
      <c r="EO719" s="773"/>
      <c r="EP719" s="773"/>
      <c r="EQ719" s="773"/>
      <c r="ER719" s="773"/>
      <c r="ES719" s="773"/>
      <c r="ET719" s="773"/>
      <c r="EU719" s="773"/>
      <c r="EV719" s="773"/>
      <c r="EW719" s="773"/>
      <c r="EX719" s="773"/>
      <c r="EY719" s="773"/>
      <c r="EZ719" s="773"/>
      <c r="FA719" s="773"/>
      <c r="FB719" s="773"/>
      <c r="FC719" s="773"/>
      <c r="FD719" s="773"/>
      <c r="FE719" s="773"/>
      <c r="FF719" s="773"/>
      <c r="FG719" s="773"/>
      <c r="FH719" s="773"/>
      <c r="FI719" s="773"/>
      <c r="FJ719" s="773"/>
      <c r="FK719" s="773"/>
      <c r="FL719" s="773"/>
      <c r="FM719" s="773"/>
      <c r="FN719" s="773"/>
      <c r="FO719" s="773"/>
      <c r="FP719" s="773"/>
      <c r="FQ719" s="773"/>
      <c r="FR719" s="773"/>
      <c r="FS719" s="773"/>
      <c r="FT719" s="773"/>
      <c r="FU719" s="773"/>
      <c r="FV719" s="773"/>
      <c r="FW719" s="773"/>
      <c r="FX719" s="773"/>
      <c r="FY719" s="773"/>
      <c r="FZ719" s="773"/>
      <c r="GA719" s="773"/>
      <c r="GB719" s="773"/>
      <c r="GC719" s="773"/>
      <c r="GD719" s="773"/>
      <c r="GE719" s="773"/>
      <c r="GF719" s="773"/>
      <c r="GG719" s="773"/>
      <c r="GH719" s="773"/>
      <c r="GI719" s="773"/>
      <c r="GJ719" s="773"/>
      <c r="GK719" s="773"/>
      <c r="GL719" s="773"/>
      <c r="GM719" s="773"/>
      <c r="GN719" s="773"/>
      <c r="GO719" s="773"/>
      <c r="GP719" s="773"/>
      <c r="GQ719" s="773"/>
      <c r="GR719" s="773"/>
      <c r="GS719" s="773"/>
      <c r="GT719" s="773"/>
      <c r="GU719" s="773"/>
      <c r="GV719" s="773"/>
      <c r="GW719" s="773"/>
      <c r="GX719" s="773"/>
      <c r="GY719" s="773"/>
      <c r="GZ719" s="773"/>
    </row>
    <row r="720" spans="1:208" s="11" customFormat="1">
      <c r="A720" s="774"/>
      <c r="B720" s="3761"/>
      <c r="C720" s="157"/>
      <c r="D720" s="167"/>
      <c r="E720" s="40"/>
      <c r="F720" s="769"/>
      <c r="G720" s="769"/>
      <c r="H720" s="769"/>
      <c r="I720" s="769"/>
      <c r="J720" s="798"/>
      <c r="K720" s="209"/>
      <c r="L720" s="434"/>
      <c r="M720" s="828"/>
      <c r="N720" s="11">
        <v>0</v>
      </c>
      <c r="O720" s="11">
        <v>0</v>
      </c>
      <c r="P720" s="11">
        <v>0</v>
      </c>
      <c r="Q720" s="11">
        <v>0</v>
      </c>
      <c r="R720" s="773">
        <v>0</v>
      </c>
      <c r="S720" s="11">
        <v>0</v>
      </c>
      <c r="T720" s="773">
        <v>0</v>
      </c>
      <c r="U720" s="2173">
        <v>0</v>
      </c>
      <c r="V720" s="2509">
        <v>0</v>
      </c>
      <c r="W720" s="2509">
        <v>0</v>
      </c>
      <c r="X720" s="2509">
        <v>0</v>
      </c>
      <c r="Y720" s="2509">
        <v>0</v>
      </c>
      <c r="Z720" s="11">
        <f>'[26]New TB INC'!Z666</f>
        <v>0</v>
      </c>
      <c r="AA720" s="11">
        <f>'[27]New TB INC'!AA675</f>
        <v>0</v>
      </c>
      <c r="AB720" s="11">
        <f>'[28]New TB INC'!AB681</f>
        <v>0</v>
      </c>
      <c r="AC720" s="11">
        <f>'[29]New TB INC'!AC677</f>
        <v>0</v>
      </c>
      <c r="AD720" s="11">
        <f>'[30]New TB INC'!AD672</f>
        <v>0</v>
      </c>
      <c r="AE720" s="11">
        <f>'[31]New TB INC'!AE680</f>
        <v>0</v>
      </c>
      <c r="AF720" s="11">
        <v>0</v>
      </c>
      <c r="AG720" s="11">
        <v>0</v>
      </c>
      <c r="AH720" s="11">
        <v>0</v>
      </c>
      <c r="AI720" s="11">
        <v>0</v>
      </c>
      <c r="AJ720" s="11">
        <v>0</v>
      </c>
      <c r="AK720" s="11">
        <f>$J720-SUM($Z720:AJ720)</f>
        <v>0</v>
      </c>
      <c r="AW720" s="2509"/>
      <c r="BH720" s="2509"/>
      <c r="BI720" s="772"/>
      <c r="BJ720" s="2173"/>
      <c r="BK720" s="2173"/>
      <c r="BL720" s="773"/>
      <c r="BN720" s="773"/>
      <c r="BO720" s="209"/>
      <c r="BQ720" s="209"/>
      <c r="BR720" s="859"/>
      <c r="BS720" s="885"/>
      <c r="CI720" s="4"/>
      <c r="CJ720" s="4"/>
      <c r="DB720" s="773"/>
      <c r="DC720" s="773"/>
      <c r="DD720" s="773"/>
      <c r="DE720" s="773"/>
      <c r="DF720" s="773"/>
      <c r="DG720" s="773"/>
      <c r="DH720" s="773"/>
      <c r="DI720" s="773"/>
      <c r="DJ720" s="773"/>
      <c r="DK720" s="773"/>
      <c r="DL720" s="773"/>
      <c r="DM720" s="773"/>
      <c r="DN720" s="773"/>
      <c r="DO720" s="773"/>
      <c r="DP720" s="773"/>
      <c r="DQ720" s="773"/>
      <c r="DR720" s="773"/>
      <c r="DS720" s="773"/>
      <c r="DT720" s="773"/>
      <c r="DU720" s="773"/>
      <c r="DV720" s="773"/>
      <c r="DW720" s="773"/>
      <c r="DX720" s="773"/>
      <c r="DY720" s="773"/>
      <c r="DZ720" s="773"/>
      <c r="EA720" s="773"/>
      <c r="EB720" s="773"/>
      <c r="EC720" s="773"/>
      <c r="ED720" s="773"/>
      <c r="EE720" s="773"/>
      <c r="EF720" s="773"/>
      <c r="EG720" s="773"/>
      <c r="EH720" s="773"/>
      <c r="EI720" s="773"/>
      <c r="EJ720" s="773"/>
      <c r="EK720" s="773"/>
      <c r="EL720" s="773"/>
      <c r="EM720" s="773"/>
      <c r="EN720" s="773"/>
      <c r="EO720" s="773"/>
      <c r="EP720" s="773"/>
      <c r="EQ720" s="773"/>
      <c r="ER720" s="773"/>
      <c r="ES720" s="773"/>
      <c r="ET720" s="773"/>
      <c r="EU720" s="773"/>
      <c r="EV720" s="773"/>
      <c r="EW720" s="773"/>
      <c r="EX720" s="773"/>
      <c r="EY720" s="773"/>
      <c r="EZ720" s="773"/>
      <c r="FA720" s="773"/>
      <c r="FB720" s="773"/>
      <c r="FC720" s="773"/>
      <c r="FD720" s="773"/>
      <c r="FE720" s="773"/>
      <c r="FF720" s="773"/>
      <c r="FG720" s="773"/>
      <c r="FH720" s="773"/>
      <c r="FI720" s="773"/>
      <c r="FJ720" s="773"/>
      <c r="FK720" s="773"/>
      <c r="FL720" s="773"/>
      <c r="FM720" s="773"/>
      <c r="FN720" s="773"/>
      <c r="FO720" s="773"/>
      <c r="FP720" s="773"/>
      <c r="FQ720" s="773"/>
      <c r="FR720" s="773"/>
      <c r="FS720" s="773"/>
      <c r="FT720" s="773"/>
      <c r="FU720" s="773"/>
      <c r="FV720" s="773"/>
      <c r="FW720" s="773"/>
      <c r="FX720" s="773"/>
      <c r="FY720" s="773"/>
      <c r="FZ720" s="773"/>
      <c r="GA720" s="773"/>
      <c r="GB720" s="773"/>
      <c r="GC720" s="773"/>
      <c r="GD720" s="773"/>
      <c r="GE720" s="773"/>
      <c r="GF720" s="773"/>
      <c r="GG720" s="773"/>
      <c r="GH720" s="773"/>
      <c r="GI720" s="773"/>
      <c r="GJ720" s="773"/>
      <c r="GK720" s="773"/>
      <c r="GL720" s="773"/>
      <c r="GM720" s="773"/>
      <c r="GN720" s="773"/>
      <c r="GO720" s="773"/>
      <c r="GP720" s="773"/>
      <c r="GQ720" s="773"/>
      <c r="GR720" s="773"/>
      <c r="GS720" s="773"/>
      <c r="GT720" s="773"/>
      <c r="GU720" s="773"/>
      <c r="GV720" s="773"/>
      <c r="GW720" s="773"/>
      <c r="GX720" s="773"/>
      <c r="GY720" s="773"/>
      <c r="GZ720" s="773"/>
    </row>
    <row r="721" spans="1:208" s="11" customFormat="1">
      <c r="A721" s="774"/>
      <c r="B721" s="3761"/>
      <c r="C721" s="157"/>
      <c r="D721" s="167"/>
      <c r="E721" s="809"/>
      <c r="F721" s="809"/>
      <c r="G721" s="108"/>
      <c r="H721" s="108"/>
      <c r="I721" s="108"/>
      <c r="J721" s="798"/>
      <c r="K721" s="209"/>
      <c r="L721" s="449"/>
      <c r="M721" s="828"/>
      <c r="N721" s="11">
        <v>0</v>
      </c>
      <c r="O721" s="11">
        <v>0</v>
      </c>
      <c r="P721" s="11">
        <v>0</v>
      </c>
      <c r="Q721" s="11">
        <v>0</v>
      </c>
      <c r="R721" s="773">
        <v>0</v>
      </c>
      <c r="S721" s="11">
        <v>0</v>
      </c>
      <c r="T721" s="773">
        <v>0</v>
      </c>
      <c r="U721" s="2173">
        <v>0</v>
      </c>
      <c r="V721" s="2509">
        <v>0</v>
      </c>
      <c r="W721" s="2509">
        <v>0</v>
      </c>
      <c r="X721" s="2509">
        <v>0</v>
      </c>
      <c r="Y721" s="2509">
        <v>0</v>
      </c>
      <c r="Z721" s="11">
        <f>'[26]New TB INC'!Z667</f>
        <v>0</v>
      </c>
      <c r="AA721" s="11">
        <f>'[27]New TB INC'!AA676</f>
        <v>0</v>
      </c>
      <c r="AB721" s="11">
        <f>'[28]New TB INC'!AB682</f>
        <v>0</v>
      </c>
      <c r="AC721" s="11">
        <f>'[29]New TB INC'!AC678</f>
        <v>0</v>
      </c>
      <c r="AD721" s="11">
        <f>'[30]New TB INC'!AD673</f>
        <v>0</v>
      </c>
      <c r="AE721" s="11">
        <f>'[31]New TB INC'!AE681</f>
        <v>0</v>
      </c>
      <c r="AF721" s="11">
        <v>0</v>
      </c>
      <c r="AG721" s="11">
        <v>0</v>
      </c>
      <c r="AH721" s="11">
        <v>0</v>
      </c>
      <c r="AI721" s="11">
        <v>0</v>
      </c>
      <c r="AJ721" s="11">
        <v>0</v>
      </c>
      <c r="AK721" s="11">
        <f>$J721-SUM($Z721:AJ721)</f>
        <v>0</v>
      </c>
      <c r="AW721" s="2509"/>
      <c r="BH721" s="2509"/>
      <c r="BI721" s="772"/>
      <c r="BJ721" s="2173"/>
      <c r="BK721" s="2173"/>
      <c r="BL721" s="773"/>
      <c r="BN721" s="773"/>
      <c r="BO721" s="209"/>
      <c r="BQ721" s="209"/>
      <c r="BR721" s="859"/>
      <c r="BS721" s="885"/>
      <c r="CI721" s="4"/>
      <c r="CJ721" s="4"/>
      <c r="DB721" s="773"/>
      <c r="DC721" s="773"/>
      <c r="DD721" s="773"/>
      <c r="DE721" s="773"/>
      <c r="DF721" s="773"/>
      <c r="DG721" s="773"/>
      <c r="DH721" s="773"/>
      <c r="DI721" s="773"/>
      <c r="DJ721" s="773"/>
      <c r="DK721" s="773"/>
      <c r="DL721" s="773"/>
      <c r="DM721" s="773"/>
      <c r="DN721" s="773"/>
      <c r="DO721" s="773"/>
      <c r="DP721" s="773"/>
      <c r="DQ721" s="773"/>
      <c r="DR721" s="773"/>
      <c r="DS721" s="773"/>
      <c r="DT721" s="773"/>
      <c r="DU721" s="773"/>
      <c r="DV721" s="773"/>
      <c r="DW721" s="773"/>
      <c r="DX721" s="773"/>
      <c r="DY721" s="773"/>
      <c r="DZ721" s="773"/>
      <c r="EA721" s="773"/>
      <c r="EB721" s="773"/>
      <c r="EC721" s="773"/>
      <c r="ED721" s="773"/>
      <c r="EE721" s="773"/>
      <c r="EF721" s="773"/>
      <c r="EG721" s="773"/>
      <c r="EH721" s="773"/>
      <c r="EI721" s="773"/>
      <c r="EJ721" s="773"/>
      <c r="EK721" s="773"/>
      <c r="EL721" s="773"/>
      <c r="EM721" s="773"/>
      <c r="EN721" s="773"/>
      <c r="EO721" s="773"/>
      <c r="EP721" s="773"/>
      <c r="EQ721" s="773"/>
      <c r="ER721" s="773"/>
      <c r="ES721" s="773"/>
      <c r="ET721" s="773"/>
      <c r="EU721" s="773"/>
      <c r="EV721" s="773"/>
      <c r="EW721" s="773"/>
      <c r="EX721" s="773"/>
      <c r="EY721" s="773"/>
      <c r="EZ721" s="773"/>
      <c r="FA721" s="773"/>
      <c r="FB721" s="773"/>
      <c r="FC721" s="773"/>
      <c r="FD721" s="773"/>
      <c r="FE721" s="773"/>
      <c r="FF721" s="773"/>
      <c r="FG721" s="773"/>
      <c r="FH721" s="773"/>
      <c r="FI721" s="773"/>
      <c r="FJ721" s="773"/>
      <c r="FK721" s="773"/>
      <c r="FL721" s="773"/>
      <c r="FM721" s="773"/>
      <c r="FN721" s="773"/>
      <c r="FO721" s="773"/>
      <c r="FP721" s="773"/>
      <c r="FQ721" s="773"/>
      <c r="FR721" s="773"/>
      <c r="FS721" s="773"/>
      <c r="FT721" s="773"/>
      <c r="FU721" s="773"/>
      <c r="FV721" s="773"/>
      <c r="FW721" s="773"/>
      <c r="FX721" s="773"/>
      <c r="FY721" s="773"/>
      <c r="FZ721" s="773"/>
      <c r="GA721" s="773"/>
      <c r="GB721" s="773"/>
      <c r="GC721" s="773"/>
      <c r="GD721" s="773"/>
      <c r="GE721" s="773"/>
      <c r="GF721" s="773"/>
      <c r="GG721" s="773"/>
      <c r="GH721" s="773"/>
      <c r="GI721" s="773"/>
      <c r="GJ721" s="773"/>
      <c r="GK721" s="773"/>
      <c r="GL721" s="773"/>
      <c r="GM721" s="773"/>
      <c r="GN721" s="773"/>
      <c r="GO721" s="773"/>
      <c r="GP721" s="773"/>
      <c r="GQ721" s="773"/>
      <c r="GR721" s="773"/>
      <c r="GS721" s="773"/>
      <c r="GT721" s="773"/>
      <c r="GU721" s="773"/>
      <c r="GV721" s="773"/>
      <c r="GW721" s="773"/>
      <c r="GX721" s="773"/>
      <c r="GY721" s="773"/>
      <c r="GZ721" s="773"/>
    </row>
    <row r="722" spans="1:208" s="11" customFormat="1">
      <c r="A722" s="774"/>
      <c r="B722" s="3761"/>
      <c r="C722" s="781"/>
      <c r="D722" s="174" t="s">
        <v>94</v>
      </c>
      <c r="E722" s="798"/>
      <c r="F722" s="798"/>
      <c r="G722" s="108"/>
      <c r="H722" s="108"/>
      <c r="I722" s="108"/>
      <c r="J722" s="798"/>
      <c r="K722" s="209"/>
      <c r="L722" s="449"/>
      <c r="M722" s="828"/>
      <c r="N722" s="11">
        <v>0</v>
      </c>
      <c r="O722" s="11">
        <v>0</v>
      </c>
      <c r="P722" s="11">
        <v>0</v>
      </c>
      <c r="Q722" s="11">
        <v>0</v>
      </c>
      <c r="R722" s="773">
        <v>0</v>
      </c>
      <c r="S722" s="11">
        <v>0</v>
      </c>
      <c r="T722" s="773">
        <v>0</v>
      </c>
      <c r="U722" s="2173">
        <v>0</v>
      </c>
      <c r="V722" s="2509">
        <v>0</v>
      </c>
      <c r="W722" s="2509">
        <v>0</v>
      </c>
      <c r="X722" s="2509">
        <v>0</v>
      </c>
      <c r="Y722" s="2509">
        <v>0</v>
      </c>
      <c r="Z722" s="11">
        <f>'[26]New TB INC'!Z668</f>
        <v>0</v>
      </c>
      <c r="AA722" s="11">
        <f>'[27]New TB INC'!AA677</f>
        <v>0</v>
      </c>
      <c r="AB722" s="11">
        <f>'[28]New TB INC'!AB683</f>
        <v>0</v>
      </c>
      <c r="AC722" s="11">
        <f>'[29]New TB INC'!AC679</f>
        <v>0</v>
      </c>
      <c r="AD722" s="11">
        <f>'[30]New TB INC'!AD674</f>
        <v>0</v>
      </c>
      <c r="AE722" s="11">
        <f>'[31]New TB INC'!AE682</f>
        <v>0</v>
      </c>
      <c r="AF722" s="11">
        <v>0</v>
      </c>
      <c r="AG722" s="11">
        <v>0</v>
      </c>
      <c r="AH722" s="11">
        <v>0</v>
      </c>
      <c r="AI722" s="11">
        <v>0</v>
      </c>
      <c r="AJ722" s="11">
        <v>0</v>
      </c>
      <c r="AK722" s="11">
        <f>$J722-SUM($Z722:AJ722)</f>
        <v>0</v>
      </c>
      <c r="AW722" s="2509"/>
      <c r="BH722" s="2509"/>
      <c r="BI722" s="772"/>
      <c r="BJ722" s="2173"/>
      <c r="BK722" s="2173"/>
      <c r="BL722" s="773"/>
      <c r="BN722" s="773"/>
      <c r="BO722" s="209"/>
      <c r="BQ722" s="209"/>
      <c r="BR722" s="859"/>
      <c r="BS722" s="885"/>
      <c r="CH722" s="878"/>
      <c r="CI722" s="4"/>
      <c r="CJ722" s="4"/>
      <c r="DB722" s="773"/>
      <c r="DC722" s="773"/>
      <c r="DD722" s="773"/>
      <c r="DE722" s="773"/>
      <c r="DF722" s="773"/>
      <c r="DG722" s="773"/>
      <c r="DH722" s="773"/>
      <c r="DI722" s="773"/>
      <c r="DJ722" s="773"/>
      <c r="DK722" s="773"/>
      <c r="DL722" s="773"/>
      <c r="DM722" s="773"/>
      <c r="DN722" s="773"/>
      <c r="DO722" s="773"/>
      <c r="DP722" s="773"/>
      <c r="DQ722" s="773"/>
      <c r="DR722" s="773"/>
      <c r="DS722" s="773"/>
      <c r="DT722" s="773"/>
      <c r="DU722" s="773"/>
      <c r="DV722" s="773"/>
      <c r="DW722" s="773"/>
      <c r="DX722" s="773"/>
      <c r="DY722" s="773"/>
      <c r="DZ722" s="773"/>
      <c r="EA722" s="773"/>
      <c r="EB722" s="773"/>
      <c r="EC722" s="773"/>
      <c r="ED722" s="773"/>
      <c r="EE722" s="773"/>
      <c r="EF722" s="773"/>
      <c r="EG722" s="773"/>
      <c r="EH722" s="773"/>
      <c r="EI722" s="773"/>
      <c r="EJ722" s="773"/>
      <c r="EK722" s="773"/>
      <c r="EL722" s="773"/>
      <c r="EM722" s="773"/>
      <c r="EN722" s="773"/>
      <c r="EO722" s="773"/>
      <c r="EP722" s="773"/>
      <c r="EQ722" s="773"/>
      <c r="ER722" s="773"/>
      <c r="ES722" s="773"/>
      <c r="ET722" s="773"/>
      <c r="EU722" s="773"/>
      <c r="EV722" s="773"/>
      <c r="EW722" s="773"/>
      <c r="EX722" s="773"/>
      <c r="EY722" s="773"/>
      <c r="EZ722" s="773"/>
      <c r="FA722" s="773"/>
      <c r="FB722" s="773"/>
      <c r="FC722" s="773"/>
      <c r="FD722" s="773"/>
      <c r="FE722" s="773"/>
      <c r="FF722" s="773"/>
      <c r="FG722" s="773"/>
      <c r="FH722" s="773"/>
      <c r="FI722" s="773"/>
      <c r="FJ722" s="773"/>
      <c r="FK722" s="773"/>
      <c r="FL722" s="773"/>
      <c r="FM722" s="773"/>
      <c r="FN722" s="773"/>
      <c r="FO722" s="773"/>
      <c r="FP722" s="773"/>
      <c r="FQ722" s="773"/>
      <c r="FR722" s="773"/>
      <c r="FS722" s="773"/>
      <c r="FT722" s="773"/>
      <c r="FU722" s="773"/>
      <c r="FV722" s="773"/>
      <c r="FW722" s="773"/>
      <c r="FX722" s="773"/>
      <c r="FY722" s="773"/>
      <c r="FZ722" s="773"/>
      <c r="GA722" s="773"/>
      <c r="GB722" s="773"/>
      <c r="GC722" s="773"/>
      <c r="GD722" s="773"/>
      <c r="GE722" s="773"/>
      <c r="GF722" s="773"/>
      <c r="GG722" s="773"/>
      <c r="GH722" s="773"/>
      <c r="GI722" s="773"/>
      <c r="GJ722" s="773"/>
      <c r="GK722" s="773"/>
      <c r="GL722" s="773"/>
      <c r="GM722" s="773"/>
      <c r="GN722" s="773"/>
      <c r="GO722" s="773"/>
      <c r="GP722" s="773"/>
      <c r="GQ722" s="773"/>
      <c r="GR722" s="773"/>
      <c r="GS722" s="773"/>
      <c r="GT722" s="773"/>
      <c r="GU722" s="773"/>
      <c r="GV722" s="773"/>
      <c r="GW722" s="773"/>
      <c r="GX722" s="773"/>
      <c r="GY722" s="773"/>
      <c r="GZ722" s="773"/>
    </row>
    <row r="723" spans="1:208" s="11" customFormat="1">
      <c r="A723" s="774"/>
      <c r="B723" s="3761" t="s">
        <v>766</v>
      </c>
      <c r="C723" s="197">
        <v>93100</v>
      </c>
      <c r="D723" s="199" t="s">
        <v>1612</v>
      </c>
      <c r="E723" s="798">
        <f>IFERROR(VLOOKUP(C723,'AJE 12 - INC'!$D$168:$F$771,3,0),0)</f>
        <v>-500258.92</v>
      </c>
      <c r="F723" s="108">
        <f>SUMIF('AJE 12 - INC'!B:B,'New TB INC'!C723,'AJE 12 - INC'!D:D)</f>
        <v>0</v>
      </c>
      <c r="G723" s="108"/>
      <c r="H723" s="889"/>
      <c r="I723" s="889"/>
      <c r="J723" s="798">
        <f>SUM(E723:I723)</f>
        <v>-500258.92</v>
      </c>
      <c r="K723" s="209"/>
      <c r="L723" s="449"/>
      <c r="M723" s="828"/>
      <c r="R723" s="773"/>
      <c r="T723" s="773"/>
      <c r="U723" s="2173"/>
      <c r="V723" s="2509"/>
      <c r="W723" s="2509"/>
      <c r="X723" s="2509"/>
      <c r="Y723" s="2509"/>
      <c r="AB723" s="11">
        <f>'[28]New TB INC'!AB684</f>
        <v>-93965.63</v>
      </c>
      <c r="AC723" s="11">
        <f>'[29]New TB INC'!AC680</f>
        <v>-54339.933241379331</v>
      </c>
      <c r="AD723" s="11">
        <f>'[30]New TB INC'!AD675</f>
        <v>-31223.752827586199</v>
      </c>
      <c r="AE723" s="11">
        <f>'[31]New TB INC'!AE683</f>
        <v>-52971.723931034474</v>
      </c>
      <c r="AF723" s="11">
        <v>-36648.947310344811</v>
      </c>
      <c r="AG723" s="11">
        <v>-35856.09882758616</v>
      </c>
      <c r="AH723" s="11">
        <v>-31876.823862068995</v>
      </c>
      <c r="AI723" s="11">
        <v>-54202.86517241376</v>
      </c>
      <c r="AJ723" s="11">
        <v>-37152.294344827591</v>
      </c>
      <c r="AK723" s="11">
        <f>$J723-SUM($Z723:AJ723)</f>
        <v>-72020.850482758658</v>
      </c>
      <c r="AW723" s="2509"/>
      <c r="BH723" s="2509"/>
      <c r="BI723" s="772"/>
      <c r="BJ723" s="2173"/>
      <c r="BK723" s="2173"/>
      <c r="BL723" s="773"/>
      <c r="BN723" s="773"/>
      <c r="BO723" s="209"/>
      <c r="BQ723" s="209"/>
      <c r="BR723" s="859"/>
      <c r="BS723" s="885"/>
      <c r="CH723" s="878"/>
      <c r="CI723" s="4"/>
      <c r="CJ723" s="4"/>
      <c r="DB723" s="773"/>
      <c r="DC723" s="773"/>
      <c r="DD723" s="773"/>
      <c r="DE723" s="773"/>
      <c r="DF723" s="773"/>
      <c r="DG723" s="773"/>
      <c r="DH723" s="773"/>
      <c r="DI723" s="773"/>
      <c r="DJ723" s="773"/>
      <c r="DK723" s="773"/>
      <c r="DL723" s="773"/>
      <c r="DM723" s="773"/>
      <c r="DN723" s="773"/>
      <c r="DO723" s="773"/>
      <c r="DP723" s="773"/>
      <c r="DQ723" s="773"/>
      <c r="DR723" s="773"/>
      <c r="DS723" s="773"/>
      <c r="DT723" s="773"/>
      <c r="DU723" s="773"/>
      <c r="DV723" s="773"/>
      <c r="DW723" s="773"/>
      <c r="DX723" s="773"/>
      <c r="DY723" s="773"/>
      <c r="DZ723" s="773"/>
      <c r="EA723" s="773"/>
      <c r="EB723" s="773"/>
      <c r="EC723" s="773"/>
      <c r="ED723" s="773"/>
      <c r="EE723" s="773"/>
      <c r="EF723" s="773"/>
      <c r="EG723" s="773"/>
      <c r="EH723" s="773"/>
      <c r="EI723" s="773"/>
      <c r="EJ723" s="773"/>
      <c r="EK723" s="773"/>
      <c r="EL723" s="773"/>
      <c r="EM723" s="773"/>
      <c r="EN723" s="773"/>
      <c r="EO723" s="773"/>
      <c r="EP723" s="773"/>
      <c r="EQ723" s="773"/>
      <c r="ER723" s="773"/>
      <c r="ES723" s="773"/>
      <c r="ET723" s="773"/>
      <c r="EU723" s="773"/>
      <c r="EV723" s="773"/>
      <c r="EW723" s="773"/>
      <c r="EX723" s="773"/>
      <c r="EY723" s="773"/>
      <c r="EZ723" s="773"/>
      <c r="FA723" s="773"/>
      <c r="FB723" s="773"/>
      <c r="FC723" s="773"/>
      <c r="FD723" s="773"/>
      <c r="FE723" s="773"/>
      <c r="FF723" s="773"/>
      <c r="FG723" s="773"/>
      <c r="FH723" s="773"/>
      <c r="FI723" s="773"/>
      <c r="FJ723" s="773"/>
      <c r="FK723" s="773"/>
      <c r="FL723" s="773"/>
      <c r="FM723" s="773"/>
      <c r="FN723" s="773"/>
      <c r="FO723" s="773"/>
      <c r="FP723" s="773"/>
      <c r="FQ723" s="773"/>
      <c r="FR723" s="773"/>
      <c r="FS723" s="773"/>
      <c r="FT723" s="773"/>
      <c r="FU723" s="773"/>
      <c r="FV723" s="773"/>
      <c r="FW723" s="773"/>
      <c r="FX723" s="773"/>
      <c r="FY723" s="773"/>
      <c r="FZ723" s="773"/>
      <c r="GA723" s="773"/>
      <c r="GB723" s="773"/>
      <c r="GC723" s="773"/>
      <c r="GD723" s="773"/>
      <c r="GE723" s="773"/>
      <c r="GF723" s="773"/>
      <c r="GG723" s="773"/>
      <c r="GH723" s="773"/>
      <c r="GI723" s="773"/>
      <c r="GJ723" s="773"/>
      <c r="GK723" s="773"/>
      <c r="GL723" s="773"/>
      <c r="GM723" s="773"/>
      <c r="GN723" s="773"/>
      <c r="GO723" s="773"/>
      <c r="GP723" s="773"/>
      <c r="GQ723" s="773"/>
      <c r="GR723" s="773"/>
      <c r="GS723" s="773"/>
      <c r="GT723" s="773"/>
      <c r="GU723" s="773"/>
      <c r="GV723" s="773"/>
      <c r="GW723" s="773"/>
      <c r="GX723" s="773"/>
      <c r="GY723" s="773"/>
      <c r="GZ723" s="773"/>
    </row>
    <row r="724" spans="1:208" s="11" customFormat="1">
      <c r="A724" s="774"/>
      <c r="B724" s="3761"/>
      <c r="C724" s="2024"/>
      <c r="D724" s="200"/>
      <c r="E724" s="798"/>
      <c r="F724" s="108"/>
      <c r="G724" s="108"/>
      <c r="H724" s="108"/>
      <c r="I724" s="108"/>
      <c r="J724" s="798"/>
      <c r="K724" s="209"/>
      <c r="L724" s="449"/>
      <c r="M724" s="828"/>
      <c r="R724" s="773"/>
      <c r="T724" s="773"/>
      <c r="U724" s="2173"/>
      <c r="V724" s="2509"/>
      <c r="W724" s="2509"/>
      <c r="X724" s="2509"/>
      <c r="Y724" s="2509"/>
      <c r="AB724" s="11">
        <f>'[28]New TB INC'!AB685</f>
        <v>0</v>
      </c>
      <c r="AC724" s="11">
        <f>'[29]New TB INC'!AC681</f>
        <v>0</v>
      </c>
      <c r="AD724" s="11">
        <f>'[30]New TB INC'!AD676</f>
        <v>0</v>
      </c>
      <c r="AE724" s="11">
        <f>'[31]New TB INC'!AE684</f>
        <v>0</v>
      </c>
      <c r="AF724" s="11">
        <v>0</v>
      </c>
      <c r="AG724" s="11">
        <v>0</v>
      </c>
      <c r="AH724" s="11">
        <v>0</v>
      </c>
      <c r="AI724" s="11">
        <v>0</v>
      </c>
      <c r="AJ724" s="11">
        <v>0</v>
      </c>
      <c r="AK724" s="11">
        <f>$J724-SUM($Z724:AJ724)</f>
        <v>0</v>
      </c>
      <c r="AW724" s="2509"/>
      <c r="BH724" s="2509"/>
      <c r="BI724" s="772"/>
      <c r="BJ724" s="2173"/>
      <c r="BK724" s="2173"/>
      <c r="BL724" s="773"/>
      <c r="BN724" s="773"/>
      <c r="BO724" s="209"/>
      <c r="BQ724" s="209"/>
      <c r="BR724" s="859"/>
      <c r="BS724" s="885"/>
      <c r="CH724" s="878"/>
      <c r="CI724" s="4"/>
      <c r="CJ724" s="4"/>
      <c r="DB724" s="773"/>
      <c r="DC724" s="773"/>
      <c r="DD724" s="773"/>
      <c r="DE724" s="773"/>
      <c r="DF724" s="773"/>
      <c r="DG724" s="773"/>
      <c r="DH724" s="773"/>
      <c r="DI724" s="773"/>
      <c r="DJ724" s="773"/>
      <c r="DK724" s="773"/>
      <c r="DL724" s="773"/>
      <c r="DM724" s="773"/>
      <c r="DN724" s="773"/>
      <c r="DO724" s="773"/>
      <c r="DP724" s="773"/>
      <c r="DQ724" s="773"/>
      <c r="DR724" s="773"/>
      <c r="DS724" s="773"/>
      <c r="DT724" s="773"/>
      <c r="DU724" s="773"/>
      <c r="DV724" s="773"/>
      <c r="DW724" s="773"/>
      <c r="DX724" s="773"/>
      <c r="DY724" s="773"/>
      <c r="DZ724" s="773"/>
      <c r="EA724" s="773"/>
      <c r="EB724" s="773"/>
      <c r="EC724" s="773"/>
      <c r="ED724" s="773"/>
      <c r="EE724" s="773"/>
      <c r="EF724" s="773"/>
      <c r="EG724" s="773"/>
      <c r="EH724" s="773"/>
      <c r="EI724" s="773"/>
      <c r="EJ724" s="773"/>
      <c r="EK724" s="773"/>
      <c r="EL724" s="773"/>
      <c r="EM724" s="773"/>
      <c r="EN724" s="773"/>
      <c r="EO724" s="773"/>
      <c r="EP724" s="773"/>
      <c r="EQ724" s="773"/>
      <c r="ER724" s="773"/>
      <c r="ES724" s="773"/>
      <c r="ET724" s="773"/>
      <c r="EU724" s="773"/>
      <c r="EV724" s="773"/>
      <c r="EW724" s="773"/>
      <c r="EX724" s="773"/>
      <c r="EY724" s="773"/>
      <c r="EZ724" s="773"/>
      <c r="FA724" s="773"/>
      <c r="FB724" s="773"/>
      <c r="FC724" s="773"/>
      <c r="FD724" s="773"/>
      <c r="FE724" s="773"/>
      <c r="FF724" s="773"/>
      <c r="FG724" s="773"/>
      <c r="FH724" s="773"/>
      <c r="FI724" s="773"/>
      <c r="FJ724" s="773"/>
      <c r="FK724" s="773"/>
      <c r="FL724" s="773"/>
      <c r="FM724" s="773"/>
      <c r="FN724" s="773"/>
      <c r="FO724" s="773"/>
      <c r="FP724" s="773"/>
      <c r="FQ724" s="773"/>
      <c r="FR724" s="773"/>
      <c r="FS724" s="773"/>
      <c r="FT724" s="773"/>
      <c r="FU724" s="773"/>
      <c r="FV724" s="773"/>
      <c r="FW724" s="773"/>
      <c r="FX724" s="773"/>
      <c r="FY724" s="773"/>
      <c r="FZ724" s="773"/>
      <c r="GA724" s="773"/>
      <c r="GB724" s="773"/>
      <c r="GC724" s="773"/>
      <c r="GD724" s="773"/>
      <c r="GE724" s="773"/>
      <c r="GF724" s="773"/>
      <c r="GG724" s="773"/>
      <c r="GH724" s="773"/>
      <c r="GI724" s="773"/>
      <c r="GJ724" s="773"/>
      <c r="GK724" s="773"/>
      <c r="GL724" s="773"/>
      <c r="GM724" s="773"/>
      <c r="GN724" s="773"/>
      <c r="GO724" s="773"/>
      <c r="GP724" s="773"/>
      <c r="GQ724" s="773"/>
      <c r="GR724" s="773"/>
      <c r="GS724" s="773"/>
      <c r="GT724" s="773"/>
      <c r="GU724" s="773"/>
      <c r="GV724" s="773"/>
      <c r="GW724" s="773"/>
      <c r="GX724" s="773"/>
      <c r="GY724" s="773"/>
      <c r="GZ724" s="773"/>
    </row>
    <row r="725" spans="1:208" s="11" customFormat="1" ht="13.5" thickBot="1">
      <c r="A725" s="774"/>
      <c r="B725" s="3761"/>
      <c r="C725" s="928"/>
      <c r="D725" s="929"/>
      <c r="E725" s="897">
        <f t="shared" ref="E725:J725" si="74">SUM(E723:E724)</f>
        <v>-500258.92</v>
      </c>
      <c r="F725" s="897">
        <f t="shared" si="74"/>
        <v>0</v>
      </c>
      <c r="G725" s="897">
        <f t="shared" si="74"/>
        <v>0</v>
      </c>
      <c r="H725" s="897">
        <f t="shared" si="74"/>
        <v>0</v>
      </c>
      <c r="I725" s="897">
        <f t="shared" si="74"/>
        <v>0</v>
      </c>
      <c r="J725" s="897">
        <f t="shared" si="74"/>
        <v>-500258.92</v>
      </c>
      <c r="K725" s="209"/>
      <c r="L725" s="434"/>
      <c r="M725" s="900"/>
      <c r="N725" s="11">
        <v>-193321.86835271318</v>
      </c>
      <c r="O725" s="11">
        <v>-25333.761046511616</v>
      </c>
      <c r="P725" s="11">
        <v>81843.508351605764</v>
      </c>
      <c r="Q725" s="11">
        <v>-21206.01685714288</v>
      </c>
      <c r="R725" s="773">
        <v>-21279.559714285686</v>
      </c>
      <c r="S725" s="11">
        <v>-82855.290857142885</v>
      </c>
      <c r="T725" s="773">
        <v>-33931.569142857101</v>
      </c>
      <c r="U725" s="2173">
        <v>-31027.456761904818</v>
      </c>
      <c r="V725" s="2509">
        <v>-30994.095619047584</v>
      </c>
      <c r="W725" s="2509">
        <v>-54578.767523809569</v>
      </c>
      <c r="X725" s="2509">
        <v>-36542.883428571513</v>
      </c>
      <c r="Y725" s="2509">
        <v>-31029.609047618927</v>
      </c>
      <c r="Z725" s="11">
        <f>'[26]New TB INC'!Z670</f>
        <v>-28933.023103448271</v>
      </c>
      <c r="AA725" s="11">
        <f>'[27]New TB INC'!AA680</f>
        <v>-21703.698620689654</v>
      </c>
      <c r="AB725" s="11">
        <f>'[28]New TB INC'!AB686</f>
        <v>-43328.908275862079</v>
      </c>
      <c r="AC725" s="11">
        <f>'[29]New TB INC'!AC682</f>
        <v>-54339.933241379331</v>
      </c>
      <c r="AD725" s="11">
        <f>'[30]New TB INC'!AD677</f>
        <v>-31223.752827586199</v>
      </c>
      <c r="AE725" s="11">
        <f>'[31]New TB INC'!AE685</f>
        <v>-52971.723931034474</v>
      </c>
      <c r="AF725" s="11">
        <v>-36648.947310344811</v>
      </c>
      <c r="AG725" s="11">
        <v>-35856.09882758616</v>
      </c>
      <c r="AH725" s="11">
        <v>-31876.823862068995</v>
      </c>
      <c r="AI725" s="11">
        <v>-54202.86517241376</v>
      </c>
      <c r="AJ725" s="11">
        <v>-37152.294344827591</v>
      </c>
      <c r="AK725" s="11">
        <f>$J725-SUM($Z725:AJ725)</f>
        <v>-72020.850482758658</v>
      </c>
      <c r="AW725" s="2509"/>
      <c r="BH725" s="2509"/>
      <c r="BI725" s="772"/>
      <c r="BJ725" s="2173"/>
      <c r="BK725" s="2173"/>
      <c r="BL725" s="773"/>
      <c r="BN725" s="773"/>
      <c r="BO725" s="209"/>
      <c r="BQ725" s="209"/>
      <c r="BR725" s="859"/>
      <c r="BS725" s="885"/>
      <c r="BT725" s="773"/>
      <c r="BU725" s="773"/>
      <c r="BV725" s="773"/>
      <c r="BW725" s="773"/>
      <c r="BX725" s="773"/>
      <c r="BY725" s="773"/>
      <c r="BZ725" s="773"/>
      <c r="CA725" s="773"/>
      <c r="CB725" s="773"/>
      <c r="CC725" s="773"/>
      <c r="CD725" s="773"/>
      <c r="CE725" s="773"/>
      <c r="CF725" s="773"/>
      <c r="CG725" s="773"/>
      <c r="CH725" s="901"/>
      <c r="CI725" s="9"/>
      <c r="CJ725" s="9"/>
      <c r="CK725" s="773"/>
      <c r="CL725" s="773"/>
      <c r="CM725" s="773"/>
      <c r="CN725" s="773"/>
      <c r="CO725" s="773"/>
      <c r="CP725" s="773"/>
      <c r="DB725" s="773"/>
      <c r="DC725" s="773"/>
      <c r="DD725" s="773"/>
      <c r="DE725" s="773"/>
      <c r="DF725" s="773"/>
      <c r="DG725" s="773"/>
      <c r="DH725" s="773"/>
      <c r="DI725" s="773"/>
      <c r="DJ725" s="773"/>
      <c r="DK725" s="773"/>
      <c r="DL725" s="773"/>
      <c r="DM725" s="773"/>
      <c r="DN725" s="773"/>
      <c r="DO725" s="773"/>
      <c r="DP725" s="773"/>
      <c r="DQ725" s="773"/>
      <c r="DR725" s="773"/>
      <c r="DS725" s="773"/>
      <c r="DT725" s="773"/>
      <c r="DU725" s="773"/>
      <c r="DV725" s="773"/>
      <c r="DW725" s="773"/>
      <c r="DX725" s="773"/>
      <c r="DY725" s="773"/>
      <c r="DZ725" s="773"/>
      <c r="EA725" s="773"/>
      <c r="EB725" s="773"/>
      <c r="EC725" s="773"/>
      <c r="ED725" s="773"/>
      <c r="EE725" s="773"/>
      <c r="EF725" s="773"/>
      <c r="EG725" s="773"/>
      <c r="EH725" s="773"/>
      <c r="EI725" s="773"/>
      <c r="EJ725" s="773"/>
      <c r="EK725" s="773"/>
      <c r="EL725" s="773"/>
      <c r="EM725" s="773"/>
      <c r="EN725" s="773"/>
      <c r="EO725" s="773"/>
      <c r="EP725" s="773"/>
      <c r="EQ725" s="773"/>
      <c r="ER725" s="773"/>
      <c r="ES725" s="773"/>
      <c r="ET725" s="773"/>
      <c r="EU725" s="773"/>
      <c r="EV725" s="773"/>
      <c r="EW725" s="773"/>
      <c r="EX725" s="773"/>
      <c r="EY725" s="773"/>
      <c r="EZ725" s="773"/>
      <c r="FA725" s="773"/>
      <c r="FB725" s="773"/>
      <c r="FC725" s="773"/>
      <c r="FD725" s="773"/>
      <c r="FE725" s="773"/>
      <c r="FF725" s="773"/>
      <c r="FG725" s="773"/>
      <c r="FH725" s="773"/>
      <c r="FI725" s="773"/>
      <c r="FJ725" s="773"/>
      <c r="FK725" s="773"/>
      <c r="FL725" s="773"/>
      <c r="FM725" s="773"/>
      <c r="FN725" s="773"/>
      <c r="FO725" s="773"/>
      <c r="FP725" s="773"/>
      <c r="FQ725" s="773"/>
      <c r="FR725" s="773"/>
      <c r="FS725" s="773"/>
      <c r="FT725" s="773"/>
      <c r="FU725" s="773"/>
      <c r="FV725" s="773"/>
      <c r="FW725" s="773"/>
      <c r="FX725" s="773"/>
      <c r="FY725" s="773"/>
      <c r="FZ725" s="773"/>
      <c r="GA725" s="773"/>
      <c r="GB725" s="773"/>
      <c r="GC725" s="773"/>
      <c r="GD725" s="773"/>
      <c r="GE725" s="773"/>
      <c r="GF725" s="773"/>
      <c r="GG725" s="773"/>
      <c r="GH725" s="773"/>
      <c r="GI725" s="773"/>
      <c r="GJ725" s="773"/>
      <c r="GK725" s="773"/>
      <c r="GL725" s="773"/>
      <c r="GM725" s="773"/>
      <c r="GN725" s="773"/>
      <c r="GO725" s="773"/>
      <c r="GP725" s="773"/>
      <c r="GQ725" s="773"/>
      <c r="GR725" s="773"/>
      <c r="GS725" s="773"/>
      <c r="GT725" s="773"/>
      <c r="GU725" s="773"/>
      <c r="GV725" s="773"/>
      <c r="GW725" s="773"/>
      <c r="GX725" s="773"/>
      <c r="GY725" s="773"/>
      <c r="GZ725" s="773"/>
    </row>
    <row r="726" spans="1:208" s="11" customFormat="1">
      <c r="A726" s="774"/>
      <c r="B726" s="3761"/>
      <c r="C726" s="848"/>
      <c r="D726" s="930"/>
      <c r="E726" s="903"/>
      <c r="F726" s="903"/>
      <c r="G726" s="903"/>
      <c r="H726" s="903"/>
      <c r="I726" s="903"/>
      <c r="J726" s="903"/>
      <c r="K726" s="209"/>
      <c r="L726" s="434"/>
      <c r="M726" s="904"/>
      <c r="N726" s="11">
        <v>0</v>
      </c>
      <c r="O726" s="11">
        <v>0</v>
      </c>
      <c r="P726" s="11">
        <v>0</v>
      </c>
      <c r="Q726" s="11">
        <v>0</v>
      </c>
      <c r="R726" s="773">
        <v>0</v>
      </c>
      <c r="S726" s="11">
        <v>0</v>
      </c>
      <c r="T726" s="773">
        <v>0</v>
      </c>
      <c r="U726" s="2173">
        <v>0</v>
      </c>
      <c r="V726" s="2509">
        <v>0</v>
      </c>
      <c r="W726" s="2509">
        <v>0</v>
      </c>
      <c r="X726" s="2509">
        <v>0</v>
      </c>
      <c r="Y726" s="2509">
        <v>0</v>
      </c>
      <c r="Z726" s="11">
        <f>'[26]New TB INC'!Z671</f>
        <v>0</v>
      </c>
      <c r="AA726" s="11">
        <f>'[27]New TB INC'!AA681</f>
        <v>0</v>
      </c>
      <c r="AB726" s="11">
        <f>'[28]New TB INC'!AB687</f>
        <v>0</v>
      </c>
      <c r="AC726" s="11">
        <f>'[29]New TB INC'!AC683</f>
        <v>0</v>
      </c>
      <c r="AD726" s="11">
        <f>'[30]New TB INC'!AD678</f>
        <v>0</v>
      </c>
      <c r="AE726" s="11">
        <f>'[31]New TB INC'!AE686</f>
        <v>0</v>
      </c>
      <c r="AF726" s="11">
        <v>0</v>
      </c>
      <c r="AG726" s="11">
        <v>0</v>
      </c>
      <c r="AH726" s="11">
        <v>0</v>
      </c>
      <c r="AI726" s="11">
        <v>0</v>
      </c>
      <c r="AJ726" s="11">
        <v>0</v>
      </c>
      <c r="AK726" s="11">
        <f>$J726-SUM($Z726:AJ726)</f>
        <v>0</v>
      </c>
      <c r="AW726" s="2509"/>
      <c r="BH726" s="2509"/>
      <c r="BI726" s="772"/>
      <c r="BJ726" s="2173"/>
      <c r="BK726" s="2173"/>
      <c r="BL726" s="773"/>
      <c r="BN726" s="773"/>
      <c r="BO726" s="209"/>
      <c r="BQ726" s="209"/>
      <c r="BR726" s="859"/>
      <c r="BS726" s="885"/>
      <c r="CH726" s="878"/>
      <c r="CI726" s="4"/>
      <c r="CJ726" s="4"/>
      <c r="DB726" s="773"/>
      <c r="DC726" s="773"/>
      <c r="DD726" s="773"/>
      <c r="DE726" s="773"/>
      <c r="DF726" s="773"/>
      <c r="DG726" s="773"/>
      <c r="DH726" s="773"/>
      <c r="DI726" s="773"/>
      <c r="DJ726" s="773"/>
      <c r="DK726" s="773"/>
      <c r="DL726" s="773"/>
      <c r="DM726" s="773"/>
      <c r="DN726" s="773"/>
      <c r="DO726" s="773"/>
      <c r="DP726" s="773"/>
      <c r="DQ726" s="773"/>
      <c r="DR726" s="773"/>
      <c r="DS726" s="773"/>
      <c r="DT726" s="773"/>
      <c r="DU726" s="773"/>
      <c r="DV726" s="773"/>
      <c r="DW726" s="773"/>
      <c r="DX726" s="773"/>
      <c r="DY726" s="773"/>
      <c r="DZ726" s="773"/>
      <c r="EA726" s="773"/>
      <c r="EB726" s="773"/>
      <c r="EC726" s="773"/>
      <c r="ED726" s="773"/>
      <c r="EE726" s="773"/>
      <c r="EF726" s="773"/>
      <c r="EG726" s="773"/>
      <c r="EH726" s="773"/>
      <c r="EI726" s="773"/>
      <c r="EJ726" s="773"/>
      <c r="EK726" s="773"/>
      <c r="EL726" s="773"/>
      <c r="EM726" s="773"/>
      <c r="EN726" s="773"/>
      <c r="EO726" s="773"/>
      <c r="EP726" s="773"/>
      <c r="EQ726" s="773"/>
      <c r="ER726" s="773"/>
      <c r="ES726" s="773"/>
      <c r="ET726" s="773"/>
      <c r="EU726" s="773"/>
      <c r="EV726" s="773"/>
      <c r="EW726" s="773"/>
      <c r="EX726" s="773"/>
      <c r="EY726" s="773"/>
      <c r="EZ726" s="773"/>
      <c r="FA726" s="773"/>
      <c r="FB726" s="773"/>
      <c r="FC726" s="773"/>
      <c r="FD726" s="773"/>
      <c r="FE726" s="773"/>
      <c r="FF726" s="773"/>
      <c r="FG726" s="773"/>
      <c r="FH726" s="773"/>
      <c r="FI726" s="773"/>
      <c r="FJ726" s="773"/>
      <c r="FK726" s="773"/>
      <c r="FL726" s="773"/>
      <c r="FM726" s="773"/>
      <c r="FN726" s="773"/>
      <c r="FO726" s="773"/>
      <c r="FP726" s="773"/>
      <c r="FQ726" s="773"/>
      <c r="FR726" s="773"/>
      <c r="FS726" s="773"/>
      <c r="FT726" s="773"/>
      <c r="FU726" s="773"/>
      <c r="FV726" s="773"/>
      <c r="FW726" s="773"/>
      <c r="FX726" s="773"/>
      <c r="FY726" s="773"/>
      <c r="FZ726" s="773"/>
      <c r="GA726" s="773"/>
      <c r="GB726" s="773"/>
      <c r="GC726" s="773"/>
      <c r="GD726" s="773"/>
      <c r="GE726" s="773"/>
      <c r="GF726" s="773"/>
      <c r="GG726" s="773"/>
      <c r="GH726" s="773"/>
      <c r="GI726" s="773"/>
      <c r="GJ726" s="773"/>
      <c r="GK726" s="773"/>
      <c r="GL726" s="773"/>
      <c r="GM726" s="773"/>
      <c r="GN726" s="773"/>
      <c r="GO726" s="773"/>
      <c r="GP726" s="773"/>
      <c r="GQ726" s="773"/>
      <c r="GR726" s="773"/>
      <c r="GS726" s="773"/>
      <c r="GT726" s="773"/>
      <c r="GU726" s="773"/>
      <c r="GV726" s="773"/>
      <c r="GW726" s="773"/>
      <c r="GX726" s="773"/>
      <c r="GY726" s="773"/>
      <c r="GZ726" s="773"/>
    </row>
    <row r="727" spans="1:208" s="11" customFormat="1">
      <c r="A727" s="780"/>
      <c r="B727" s="3761"/>
      <c r="C727" s="942"/>
      <c r="D727" s="1967" t="s">
        <v>179</v>
      </c>
      <c r="E727" s="2023">
        <f t="shared" ref="E727:J727" si="75">+E659+E662+E671+E719+E725</f>
        <v>435735.6700000001</v>
      </c>
      <c r="F727" s="2023">
        <f t="shared" si="75"/>
        <v>0</v>
      </c>
      <c r="G727" s="2023">
        <f t="shared" si="75"/>
        <v>0</v>
      </c>
      <c r="H727" s="2023">
        <f t="shared" si="75"/>
        <v>0</v>
      </c>
      <c r="I727" s="2023">
        <f t="shared" si="75"/>
        <v>0</v>
      </c>
      <c r="J727" s="2023">
        <f t="shared" si="75"/>
        <v>435735.6700000001</v>
      </c>
      <c r="K727" s="209"/>
      <c r="L727" s="434"/>
      <c r="M727" s="864"/>
      <c r="N727" s="11">
        <v>-115067.54835271319</v>
      </c>
      <c r="O727" s="11">
        <v>60164.798953488396</v>
      </c>
      <c r="P727" s="11">
        <v>198171.45697250793</v>
      </c>
      <c r="Q727" s="11">
        <v>35852.953142857179</v>
      </c>
      <c r="R727" s="773">
        <v>54670.991664812027</v>
      </c>
      <c r="S727" s="11">
        <v>19976.069142857159</v>
      </c>
      <c r="T727" s="773">
        <v>48804.710857142869</v>
      </c>
      <c r="U727" s="2173">
        <v>36587.093238095229</v>
      </c>
      <c r="V727" s="2509">
        <v>48609.924380952434</v>
      </c>
      <c r="W727" s="2509">
        <v>11469.412476190366</v>
      </c>
      <c r="X727" s="2509">
        <v>49250.206571428571</v>
      </c>
      <c r="Y727" s="2509">
        <v>52603.860952381045</v>
      </c>
      <c r="Z727" s="11">
        <f>'[26]New TB INC'!Z672</f>
        <v>33762.466896551734</v>
      </c>
      <c r="AA727" s="11">
        <f>'[27]New TB INC'!AA682</f>
        <v>50067.281379310371</v>
      </c>
      <c r="AB727" s="11">
        <f>'[28]New TB INC'!AB688</f>
        <v>46134.011724137876</v>
      </c>
      <c r="AC727" s="11">
        <f>'[29]New TB INC'!AC684</f>
        <v>15849.196758620703</v>
      </c>
      <c r="AD727" s="11">
        <f>'[30]New TB INC'!AD679</f>
        <v>34651.707172413764</v>
      </c>
      <c r="AE727" s="11">
        <f>'[31]New TB INC'!AE687</f>
        <v>36293.846068965591</v>
      </c>
      <c r="AF727" s="11">
        <v>29076.882689655147</v>
      </c>
      <c r="AG727" s="11">
        <v>32262.431172413868</v>
      </c>
      <c r="AH727" s="11">
        <v>60327.216137930925</v>
      </c>
      <c r="AI727" s="11">
        <v>56893.674827586277</v>
      </c>
      <c r="AJ727" s="11">
        <v>22173.18565517239</v>
      </c>
      <c r="AK727" s="11">
        <f>$J727-SUM($Z727:AJ727)</f>
        <v>18243.769517241453</v>
      </c>
      <c r="AW727" s="2509"/>
      <c r="BH727" s="2509"/>
      <c r="BI727" s="772"/>
      <c r="BJ727" s="2173"/>
      <c r="BK727" s="2173"/>
      <c r="BL727" s="773"/>
      <c r="BN727" s="773"/>
      <c r="BO727" s="209"/>
      <c r="BP727" s="773"/>
      <c r="BQ727" s="209"/>
      <c r="BR727" s="859"/>
      <c r="BT727" s="209"/>
      <c r="BU727" s="209"/>
      <c r="BV727" s="209"/>
      <c r="BW727" s="209"/>
      <c r="BX727" s="209"/>
      <c r="BY727" s="209"/>
      <c r="BZ727" s="799"/>
      <c r="CA727" s="799"/>
      <c r="DB727" s="773"/>
      <c r="DC727" s="773"/>
      <c r="DD727" s="773"/>
      <c r="DE727" s="773"/>
      <c r="DF727" s="773"/>
      <c r="DG727" s="773"/>
      <c r="DH727" s="773"/>
      <c r="DI727" s="773"/>
      <c r="DJ727" s="773"/>
      <c r="DK727" s="773"/>
      <c r="DL727" s="773"/>
      <c r="DM727" s="773"/>
      <c r="DN727" s="773"/>
      <c r="DO727" s="773"/>
      <c r="DP727" s="773"/>
      <c r="DQ727" s="773"/>
      <c r="DR727" s="773"/>
      <c r="DS727" s="773"/>
      <c r="DT727" s="773"/>
      <c r="DU727" s="773"/>
      <c r="DV727" s="773"/>
      <c r="DW727" s="773"/>
      <c r="DX727" s="773"/>
      <c r="DY727" s="773"/>
      <c r="DZ727" s="773"/>
      <c r="EA727" s="773"/>
      <c r="EB727" s="773"/>
      <c r="EC727" s="773"/>
      <c r="ED727" s="773"/>
      <c r="EE727" s="773"/>
      <c r="EF727" s="773"/>
      <c r="EG727" s="773"/>
      <c r="EH727" s="773"/>
      <c r="EI727" s="773"/>
      <c r="EJ727" s="773"/>
      <c r="EK727" s="773"/>
      <c r="EL727" s="773"/>
      <c r="EM727" s="773"/>
      <c r="EN727" s="773"/>
      <c r="EO727" s="773"/>
      <c r="EP727" s="773"/>
      <c r="EQ727" s="773"/>
      <c r="ER727" s="773"/>
      <c r="ES727" s="773"/>
      <c r="ET727" s="773"/>
      <c r="EU727" s="773"/>
      <c r="EV727" s="773"/>
      <c r="EW727" s="773"/>
      <c r="EX727" s="773"/>
      <c r="EY727" s="773"/>
      <c r="EZ727" s="773"/>
      <c r="FA727" s="773"/>
      <c r="FB727" s="773"/>
      <c r="FC727" s="773"/>
      <c r="FD727" s="773"/>
      <c r="FE727" s="773"/>
      <c r="FF727" s="773"/>
      <c r="FG727" s="773"/>
      <c r="FH727" s="773"/>
      <c r="FI727" s="773"/>
      <c r="FJ727" s="773"/>
      <c r="FK727" s="773"/>
      <c r="FL727" s="773"/>
      <c r="FM727" s="773"/>
      <c r="FN727" s="773"/>
      <c r="FO727" s="773"/>
      <c r="FP727" s="773"/>
      <c r="FQ727" s="773"/>
      <c r="FR727" s="773"/>
      <c r="FS727" s="773"/>
      <c r="FT727" s="773"/>
      <c r="FU727" s="773"/>
      <c r="FV727" s="773"/>
      <c r="FW727" s="773"/>
      <c r="FX727" s="773"/>
      <c r="FY727" s="773"/>
      <c r="FZ727" s="773"/>
      <c r="GA727" s="773"/>
      <c r="GB727" s="773"/>
      <c r="GC727" s="773"/>
      <c r="GD727" s="773"/>
      <c r="GE727" s="773"/>
      <c r="GF727" s="773"/>
      <c r="GG727" s="773"/>
      <c r="GH727" s="773"/>
      <c r="GI727" s="773"/>
      <c r="GJ727" s="773"/>
      <c r="GK727" s="773"/>
      <c r="GL727" s="773"/>
      <c r="GM727" s="773"/>
      <c r="GN727" s="773"/>
      <c r="GO727" s="773"/>
      <c r="GP727" s="773"/>
      <c r="GQ727" s="773"/>
      <c r="GR727" s="773"/>
      <c r="GS727" s="773"/>
      <c r="GT727" s="773"/>
      <c r="GU727" s="773"/>
      <c r="GV727" s="773"/>
      <c r="GW727" s="773"/>
      <c r="GX727" s="773"/>
      <c r="GY727" s="773"/>
      <c r="GZ727" s="773"/>
    </row>
    <row r="728" spans="1:208" s="11" customFormat="1">
      <c r="A728" s="774"/>
      <c r="B728" s="3777"/>
      <c r="C728" s="902"/>
      <c r="D728" s="176"/>
      <c r="E728" s="903"/>
      <c r="F728" s="903"/>
      <c r="G728" s="903"/>
      <c r="H728" s="903"/>
      <c r="I728" s="903"/>
      <c r="J728" s="903"/>
      <c r="K728" s="209"/>
      <c r="L728" s="434"/>
      <c r="M728" s="904"/>
      <c r="N728" s="11">
        <v>0</v>
      </c>
      <c r="O728" s="11">
        <v>0</v>
      </c>
      <c r="P728" s="11">
        <v>0</v>
      </c>
      <c r="Q728" s="11">
        <v>0</v>
      </c>
      <c r="R728" s="773">
        <v>0</v>
      </c>
      <c r="S728" s="11">
        <v>0</v>
      </c>
      <c r="T728" s="773">
        <v>0</v>
      </c>
      <c r="U728" s="2173">
        <v>0</v>
      </c>
      <c r="V728" s="2509">
        <v>0</v>
      </c>
      <c r="W728" s="2509">
        <v>0</v>
      </c>
      <c r="X728" s="2509">
        <v>0</v>
      </c>
      <c r="Y728" s="2509">
        <v>0</v>
      </c>
      <c r="Z728" s="11">
        <f>'[26]New TB INC'!Z673</f>
        <v>0</v>
      </c>
      <c r="AA728" s="11">
        <f>'[27]New TB INC'!AA683</f>
        <v>0</v>
      </c>
      <c r="AB728" s="11">
        <f>'[28]New TB INC'!AB689</f>
        <v>0</v>
      </c>
      <c r="AC728" s="11">
        <f>'[29]New TB INC'!AC685</f>
        <v>0</v>
      </c>
      <c r="AD728" s="11">
        <f>'[30]New TB INC'!AD680</f>
        <v>0</v>
      </c>
      <c r="AE728" s="11">
        <f>'[31]New TB INC'!AE688</f>
        <v>0</v>
      </c>
      <c r="AF728" s="11">
        <v>0</v>
      </c>
      <c r="AG728" s="11">
        <v>0</v>
      </c>
      <c r="AH728" s="11">
        <v>0</v>
      </c>
      <c r="AI728" s="11">
        <v>0</v>
      </c>
      <c r="AJ728" s="11">
        <v>0</v>
      </c>
      <c r="AK728" s="11">
        <f>$J728-SUM($Z728:AJ728)</f>
        <v>0</v>
      </c>
      <c r="AW728" s="2509"/>
      <c r="BH728" s="2509"/>
      <c r="BI728" s="772"/>
      <c r="BJ728" s="2173"/>
      <c r="BK728" s="2173"/>
      <c r="BL728" s="773"/>
      <c r="BN728" s="773"/>
      <c r="BO728" s="209"/>
      <c r="BS728" s="209"/>
      <c r="CH728" s="878"/>
      <c r="CI728" s="4"/>
      <c r="CJ728" s="4"/>
      <c r="DB728" s="773"/>
      <c r="DC728" s="773"/>
      <c r="DD728" s="773"/>
      <c r="DE728" s="773"/>
      <c r="DF728" s="773"/>
      <c r="DG728" s="773"/>
      <c r="DH728" s="773"/>
      <c r="DI728" s="773"/>
      <c r="DJ728" s="773"/>
      <c r="DK728" s="773"/>
      <c r="DL728" s="773"/>
      <c r="DM728" s="773"/>
      <c r="DN728" s="773"/>
      <c r="DO728" s="773"/>
      <c r="DP728" s="773"/>
      <c r="DQ728" s="773"/>
      <c r="DR728" s="773"/>
      <c r="DS728" s="773"/>
      <c r="DT728" s="773"/>
      <c r="DU728" s="773"/>
      <c r="DV728" s="773"/>
      <c r="DW728" s="773"/>
      <c r="DX728" s="773"/>
      <c r="DY728" s="773"/>
      <c r="DZ728" s="773"/>
      <c r="EA728" s="773"/>
      <c r="EB728" s="773"/>
      <c r="EC728" s="773"/>
      <c r="ED728" s="773"/>
      <c r="EE728" s="773"/>
      <c r="EF728" s="773"/>
      <c r="EG728" s="773"/>
      <c r="EH728" s="773"/>
      <c r="EI728" s="773"/>
      <c r="EJ728" s="773"/>
      <c r="EK728" s="773"/>
      <c r="EL728" s="773"/>
      <c r="EM728" s="773"/>
      <c r="EN728" s="773"/>
      <c r="EO728" s="773"/>
      <c r="EP728" s="773"/>
      <c r="EQ728" s="773"/>
      <c r="ER728" s="773"/>
      <c r="ES728" s="773"/>
      <c r="ET728" s="773"/>
      <c r="EU728" s="773"/>
      <c r="EV728" s="773"/>
      <c r="EW728" s="773"/>
      <c r="EX728" s="773"/>
      <c r="EY728" s="773"/>
      <c r="EZ728" s="773"/>
      <c r="FA728" s="773"/>
      <c r="FB728" s="773"/>
      <c r="FC728" s="773"/>
      <c r="FD728" s="773"/>
      <c r="FE728" s="773"/>
      <c r="FF728" s="773"/>
      <c r="FG728" s="773"/>
      <c r="FH728" s="773"/>
      <c r="FI728" s="773"/>
      <c r="FJ728" s="773"/>
      <c r="FK728" s="773"/>
      <c r="FL728" s="773"/>
      <c r="FM728" s="773"/>
      <c r="FN728" s="773"/>
      <c r="FO728" s="773"/>
      <c r="FP728" s="773"/>
      <c r="FQ728" s="773"/>
      <c r="FR728" s="773"/>
      <c r="FS728" s="773"/>
      <c r="FT728" s="773"/>
      <c r="FU728" s="773"/>
      <c r="FV728" s="773"/>
      <c r="FW728" s="773"/>
      <c r="FX728" s="773"/>
      <c r="FY728" s="773"/>
      <c r="FZ728" s="773"/>
      <c r="GA728" s="773"/>
      <c r="GB728" s="773"/>
      <c r="GC728" s="773"/>
      <c r="GD728" s="773"/>
      <c r="GE728" s="773"/>
      <c r="GF728" s="773"/>
      <c r="GG728" s="773"/>
      <c r="GH728" s="773"/>
      <c r="GI728" s="773"/>
      <c r="GJ728" s="773"/>
      <c r="GK728" s="773"/>
      <c r="GL728" s="773"/>
      <c r="GM728" s="773"/>
      <c r="GN728" s="773"/>
      <c r="GO728" s="773"/>
      <c r="GP728" s="773"/>
      <c r="GQ728" s="773"/>
      <c r="GR728" s="773"/>
      <c r="GS728" s="773"/>
      <c r="GT728" s="773"/>
      <c r="GU728" s="773"/>
      <c r="GV728" s="773"/>
      <c r="GW728" s="773"/>
      <c r="GX728" s="773"/>
      <c r="GY728" s="773"/>
      <c r="GZ728" s="773"/>
    </row>
    <row r="729" spans="1:208" s="11" customFormat="1">
      <c r="A729" s="774"/>
      <c r="B729" s="3788"/>
      <c r="C729" s="767"/>
      <c r="D729" s="948" t="s">
        <v>97</v>
      </c>
      <c r="E729" s="905"/>
      <c r="F729" s="769"/>
      <c r="G729" s="769"/>
      <c r="H729" s="769"/>
      <c r="I729" s="769"/>
      <c r="J729" s="796"/>
      <c r="K729" s="209"/>
      <c r="L729" s="434"/>
      <c r="M729" s="810"/>
      <c r="N729" s="11">
        <v>0</v>
      </c>
      <c r="O729" s="11">
        <v>0</v>
      </c>
      <c r="P729" s="11">
        <v>0</v>
      </c>
      <c r="Q729" s="11">
        <v>0</v>
      </c>
      <c r="R729" s="773">
        <v>0</v>
      </c>
      <c r="S729" s="11">
        <v>0</v>
      </c>
      <c r="T729" s="773">
        <v>0</v>
      </c>
      <c r="U729" s="2173">
        <v>0</v>
      </c>
      <c r="V729" s="2509">
        <v>0</v>
      </c>
      <c r="W729" s="2509">
        <v>0</v>
      </c>
      <c r="X729" s="2509">
        <v>0</v>
      </c>
      <c r="Y729" s="2509">
        <v>0</v>
      </c>
      <c r="Z729" s="11">
        <f>'[26]New TB INC'!Z674</f>
        <v>0</v>
      </c>
      <c r="AA729" s="11">
        <f>'[27]New TB INC'!AA684</f>
        <v>0</v>
      </c>
      <c r="AB729" s="11">
        <f>'[28]New TB INC'!AB690</f>
        <v>0</v>
      </c>
      <c r="AC729" s="11">
        <f>'[29]New TB INC'!AC686</f>
        <v>0</v>
      </c>
      <c r="AD729" s="11">
        <f>'[30]New TB INC'!AD681</f>
        <v>0</v>
      </c>
      <c r="AE729" s="11">
        <f>'[31]New TB INC'!AE689</f>
        <v>0</v>
      </c>
      <c r="AF729" s="11">
        <v>0</v>
      </c>
      <c r="AG729" s="11">
        <v>0</v>
      </c>
      <c r="AH729" s="11">
        <v>0</v>
      </c>
      <c r="AI729" s="11">
        <v>0</v>
      </c>
      <c r="AJ729" s="11">
        <v>0</v>
      </c>
      <c r="AK729" s="11">
        <f>$J729-SUM($Z729:AJ729)</f>
        <v>0</v>
      </c>
      <c r="AW729" s="2509"/>
      <c r="BH729" s="2509"/>
      <c r="BI729" s="772"/>
      <c r="BJ729" s="2173"/>
      <c r="BK729" s="2173"/>
      <c r="BL729" s="773"/>
      <c r="BN729" s="773"/>
      <c r="BO729" s="209"/>
      <c r="BP729" s="799"/>
      <c r="BQ729" s="209"/>
      <c r="BR729" s="209"/>
      <c r="CH729" s="878"/>
      <c r="CI729" s="4"/>
      <c r="CJ729" s="4"/>
      <c r="DB729" s="773"/>
      <c r="DC729" s="773"/>
      <c r="DD729" s="773"/>
      <c r="DE729" s="773"/>
      <c r="DF729" s="773"/>
      <c r="DG729" s="773"/>
      <c r="DH729" s="773"/>
      <c r="DI729" s="773"/>
      <c r="DJ729" s="773"/>
      <c r="DK729" s="773"/>
      <c r="DL729" s="773"/>
      <c r="DM729" s="773"/>
      <c r="DN729" s="773"/>
      <c r="DO729" s="773"/>
      <c r="DP729" s="773"/>
      <c r="DQ729" s="773"/>
      <c r="DR729" s="773"/>
      <c r="DS729" s="773"/>
      <c r="DT729" s="773"/>
      <c r="DU729" s="773"/>
      <c r="DV729" s="773"/>
      <c r="DW729" s="773"/>
      <c r="DX729" s="773"/>
      <c r="DY729" s="773"/>
      <c r="DZ729" s="773"/>
      <c r="EA729" s="773"/>
      <c r="EB729" s="773"/>
      <c r="EC729" s="773"/>
      <c r="ED729" s="773"/>
      <c r="EE729" s="773"/>
      <c r="EF729" s="773"/>
      <c r="EG729" s="773"/>
      <c r="EH729" s="773"/>
      <c r="EI729" s="773"/>
      <c r="EJ729" s="773"/>
      <c r="EK729" s="773"/>
      <c r="EL729" s="773"/>
      <c r="EM729" s="773"/>
      <c r="EN729" s="773"/>
      <c r="EO729" s="773"/>
      <c r="EP729" s="773"/>
      <c r="EQ729" s="773"/>
      <c r="ER729" s="773"/>
      <c r="ES729" s="773"/>
      <c r="ET729" s="773"/>
      <c r="EU729" s="773"/>
      <c r="EV729" s="773"/>
      <c r="EW729" s="773"/>
      <c r="EX729" s="773"/>
      <c r="EY729" s="773"/>
      <c r="EZ729" s="773"/>
      <c r="FA729" s="773"/>
      <c r="FB729" s="773"/>
      <c r="FC729" s="773"/>
      <c r="FD729" s="773"/>
      <c r="FE729" s="773"/>
      <c r="FF729" s="773"/>
      <c r="FG729" s="773"/>
      <c r="FH729" s="773"/>
      <c r="FI729" s="773"/>
      <c r="FJ729" s="773"/>
      <c r="FK729" s="773"/>
      <c r="FL729" s="773"/>
      <c r="FM729" s="773"/>
      <c r="FN729" s="773"/>
      <c r="FO729" s="773"/>
      <c r="FP729" s="773"/>
      <c r="FQ729" s="773"/>
      <c r="FR729" s="773"/>
      <c r="FS729" s="773"/>
      <c r="FT729" s="773"/>
      <c r="FU729" s="773"/>
      <c r="FV729" s="773"/>
      <c r="FW729" s="773"/>
      <c r="FX729" s="773"/>
      <c r="FY729" s="773"/>
      <c r="FZ729" s="773"/>
      <c r="GA729" s="773"/>
      <c r="GB729" s="773"/>
      <c r="GC729" s="773"/>
      <c r="GD729" s="773"/>
      <c r="GE729" s="773"/>
      <c r="GF729" s="773"/>
      <c r="GG729" s="773"/>
      <c r="GH729" s="773"/>
      <c r="GI729" s="773"/>
      <c r="GJ729" s="773"/>
      <c r="GK729" s="773"/>
      <c r="GL729" s="773"/>
      <c r="GM729" s="773"/>
      <c r="GN729" s="773"/>
      <c r="GO729" s="773"/>
      <c r="GP729" s="773"/>
      <c r="GQ729" s="773"/>
      <c r="GR729" s="773"/>
      <c r="GS729" s="773"/>
      <c r="GT729" s="773"/>
      <c r="GU729" s="773"/>
      <c r="GV729" s="773"/>
      <c r="GW729" s="773"/>
      <c r="GX729" s="773"/>
      <c r="GY729" s="773"/>
      <c r="GZ729" s="773"/>
    </row>
    <row r="730" spans="1:208" s="11" customFormat="1">
      <c r="A730" s="774"/>
      <c r="B730" s="3788"/>
      <c r="C730" s="767"/>
      <c r="D730" s="174"/>
      <c r="E730" s="905"/>
      <c r="F730" s="769"/>
      <c r="G730" s="769"/>
      <c r="H730" s="769"/>
      <c r="I730" s="769"/>
      <c r="J730" s="796"/>
      <c r="K730" s="209"/>
      <c r="L730" s="434"/>
      <c r="M730" s="810"/>
      <c r="N730" s="11">
        <v>0</v>
      </c>
      <c r="O730" s="11">
        <v>0</v>
      </c>
      <c r="P730" s="11">
        <v>0</v>
      </c>
      <c r="Q730" s="11">
        <v>0</v>
      </c>
      <c r="R730" s="773">
        <v>0</v>
      </c>
      <c r="S730" s="11">
        <v>0</v>
      </c>
      <c r="T730" s="773">
        <v>0</v>
      </c>
      <c r="U730" s="2173">
        <v>0</v>
      </c>
      <c r="V730" s="2509">
        <v>0</v>
      </c>
      <c r="W730" s="2509">
        <v>0</v>
      </c>
      <c r="X730" s="2509">
        <v>0</v>
      </c>
      <c r="Y730" s="2509">
        <v>0</v>
      </c>
      <c r="Z730" s="11">
        <f>'[26]New TB INC'!Z675</f>
        <v>0</v>
      </c>
      <c r="AA730" s="11">
        <f>'[27]New TB INC'!AA685</f>
        <v>0</v>
      </c>
      <c r="AB730" s="11">
        <f>'[28]New TB INC'!AB691</f>
        <v>0</v>
      </c>
      <c r="AC730" s="11">
        <f>'[29]New TB INC'!AC687</f>
        <v>0</v>
      </c>
      <c r="AD730" s="11">
        <f>'[30]New TB INC'!AD682</f>
        <v>0</v>
      </c>
      <c r="AE730" s="11">
        <f>'[31]New TB INC'!AE690</f>
        <v>0</v>
      </c>
      <c r="AF730" s="11">
        <v>0</v>
      </c>
      <c r="AG730" s="11">
        <v>0</v>
      </c>
      <c r="AH730" s="11">
        <v>0</v>
      </c>
      <c r="AI730" s="11">
        <v>0</v>
      </c>
      <c r="AJ730" s="11">
        <v>0</v>
      </c>
      <c r="AK730" s="11">
        <f>$J730-SUM($Z730:AJ730)</f>
        <v>0</v>
      </c>
      <c r="AW730" s="2509"/>
      <c r="BH730" s="2509"/>
      <c r="BI730" s="772"/>
      <c r="BJ730" s="2173"/>
      <c r="BK730" s="2173"/>
      <c r="BL730" s="773"/>
      <c r="BN730" s="773"/>
      <c r="BO730" s="209"/>
      <c r="CH730" s="878"/>
      <c r="CI730" s="4"/>
      <c r="CJ730" s="4"/>
      <c r="DB730" s="773"/>
      <c r="DC730" s="773"/>
      <c r="DD730" s="773"/>
      <c r="DE730" s="773"/>
      <c r="DF730" s="773"/>
      <c r="DG730" s="773"/>
      <c r="DH730" s="773"/>
      <c r="DI730" s="773"/>
      <c r="DJ730" s="773"/>
      <c r="DK730" s="773"/>
      <c r="DL730" s="773"/>
      <c r="DM730" s="773"/>
      <c r="DN730" s="773"/>
      <c r="DO730" s="773"/>
      <c r="DP730" s="773"/>
      <c r="DQ730" s="773"/>
      <c r="DR730" s="773"/>
      <c r="DS730" s="773"/>
      <c r="DT730" s="773"/>
      <c r="DU730" s="773"/>
      <c r="DV730" s="773"/>
      <c r="DW730" s="773"/>
      <c r="DX730" s="773"/>
      <c r="DY730" s="773"/>
      <c r="DZ730" s="773"/>
      <c r="EA730" s="773"/>
      <c r="EB730" s="773"/>
      <c r="EC730" s="773"/>
      <c r="ED730" s="773"/>
      <c r="EE730" s="773"/>
      <c r="EF730" s="773"/>
      <c r="EG730" s="773"/>
      <c r="EH730" s="773"/>
      <c r="EI730" s="773"/>
      <c r="EJ730" s="773"/>
      <c r="EK730" s="773"/>
      <c r="EL730" s="773"/>
      <c r="EM730" s="773"/>
      <c r="EN730" s="773"/>
      <c r="EO730" s="773"/>
      <c r="EP730" s="773"/>
      <c r="EQ730" s="773"/>
      <c r="ER730" s="773"/>
      <c r="ES730" s="773"/>
      <c r="ET730" s="773"/>
      <c r="EU730" s="773"/>
      <c r="EV730" s="773"/>
      <c r="EW730" s="773"/>
      <c r="EX730" s="773"/>
      <c r="EY730" s="773"/>
      <c r="EZ730" s="773"/>
      <c r="FA730" s="773"/>
      <c r="FB730" s="773"/>
      <c r="FC730" s="773"/>
      <c r="FD730" s="773"/>
      <c r="FE730" s="773"/>
      <c r="FF730" s="773"/>
      <c r="FG730" s="773"/>
      <c r="FH730" s="773"/>
      <c r="FI730" s="773"/>
      <c r="FJ730" s="773"/>
      <c r="FK730" s="773"/>
      <c r="FL730" s="773"/>
      <c r="FM730" s="773"/>
      <c r="FN730" s="773"/>
      <c r="FO730" s="773"/>
      <c r="FP730" s="773"/>
      <c r="FQ730" s="773"/>
      <c r="FR730" s="773"/>
      <c r="FS730" s="773"/>
      <c r="FT730" s="773"/>
      <c r="FU730" s="773"/>
      <c r="FV730" s="773"/>
      <c r="FW730" s="773"/>
      <c r="FX730" s="773"/>
      <c r="FY730" s="773"/>
      <c r="FZ730" s="773"/>
      <c r="GA730" s="773"/>
      <c r="GB730" s="773"/>
      <c r="GC730" s="773"/>
      <c r="GD730" s="773"/>
      <c r="GE730" s="773"/>
      <c r="GF730" s="773"/>
      <c r="GG730" s="773"/>
      <c r="GH730" s="773"/>
      <c r="GI730" s="773"/>
      <c r="GJ730" s="773"/>
      <c r="GK730" s="773"/>
      <c r="GL730" s="773"/>
      <c r="GM730" s="773"/>
      <c r="GN730" s="773"/>
      <c r="GO730" s="773"/>
      <c r="GP730" s="773"/>
      <c r="GQ730" s="773"/>
      <c r="GR730" s="773"/>
      <c r="GS730" s="773"/>
      <c r="GT730" s="773"/>
      <c r="GU730" s="773"/>
      <c r="GV730" s="773"/>
      <c r="GW730" s="773"/>
      <c r="GX730" s="773"/>
      <c r="GY730" s="773"/>
      <c r="GZ730" s="773"/>
    </row>
    <row r="731" spans="1:208" s="11" customFormat="1">
      <c r="A731" s="774"/>
      <c r="B731" s="3761"/>
      <c r="C731" s="157"/>
      <c r="D731" s="953" t="s">
        <v>580</v>
      </c>
      <c r="E731" s="42"/>
      <c r="F731" s="769"/>
      <c r="G731" s="769"/>
      <c r="H731" s="769"/>
      <c r="I731" s="769"/>
      <c r="J731" s="796"/>
      <c r="K731" s="209"/>
      <c r="L731" s="434"/>
      <c r="M731" s="883"/>
      <c r="N731" s="11">
        <v>0</v>
      </c>
      <c r="O731" s="11">
        <v>0</v>
      </c>
      <c r="P731" s="11">
        <v>0</v>
      </c>
      <c r="Q731" s="11">
        <v>0</v>
      </c>
      <c r="R731" s="773">
        <v>0</v>
      </c>
      <c r="S731" s="11">
        <v>0</v>
      </c>
      <c r="T731" s="773">
        <v>0</v>
      </c>
      <c r="U731" s="2173">
        <v>0</v>
      </c>
      <c r="V731" s="2509">
        <v>0</v>
      </c>
      <c r="W731" s="2509">
        <v>0</v>
      </c>
      <c r="X731" s="2509">
        <v>0</v>
      </c>
      <c r="Y731" s="2509">
        <v>0</v>
      </c>
      <c r="Z731" s="11">
        <f>'[26]New TB INC'!Z676</f>
        <v>0</v>
      </c>
      <c r="AA731" s="11">
        <f>'[27]New TB INC'!AA686</f>
        <v>0</v>
      </c>
      <c r="AB731" s="11">
        <f>'[28]New TB INC'!AB692</f>
        <v>0</v>
      </c>
      <c r="AC731" s="11">
        <f>'[29]New TB INC'!AC688</f>
        <v>0</v>
      </c>
      <c r="AD731" s="11">
        <f>'[30]New TB INC'!AD683</f>
        <v>0</v>
      </c>
      <c r="AE731" s="11">
        <f>'[31]New TB INC'!AE691</f>
        <v>0</v>
      </c>
      <c r="AF731" s="11">
        <v>0</v>
      </c>
      <c r="AG731" s="11">
        <v>0</v>
      </c>
      <c r="AH731" s="11">
        <v>0</v>
      </c>
      <c r="AI731" s="11">
        <v>0</v>
      </c>
      <c r="AJ731" s="11">
        <v>0</v>
      </c>
      <c r="AK731" s="11">
        <f>$J731-SUM($Z731:AJ731)</f>
        <v>0</v>
      </c>
      <c r="AW731" s="2509"/>
      <c r="BH731" s="2509"/>
      <c r="BI731" s="772"/>
      <c r="BJ731" s="2173"/>
      <c r="BK731" s="2173"/>
      <c r="BL731" s="773"/>
      <c r="BN731" s="773"/>
      <c r="BO731" s="209"/>
      <c r="CI731" s="4"/>
      <c r="CJ731" s="4"/>
      <c r="DB731" s="773"/>
      <c r="DC731" s="773"/>
      <c r="DD731" s="773"/>
      <c r="DE731" s="773"/>
      <c r="DF731" s="773"/>
      <c r="DG731" s="773"/>
      <c r="DH731" s="773"/>
      <c r="DI731" s="773"/>
      <c r="DJ731" s="773"/>
      <c r="DK731" s="773"/>
      <c r="DL731" s="773"/>
      <c r="DM731" s="773"/>
      <c r="DN731" s="773"/>
      <c r="DO731" s="773"/>
      <c r="DP731" s="773"/>
      <c r="DQ731" s="773"/>
      <c r="DR731" s="773"/>
      <c r="DS731" s="773"/>
      <c r="DT731" s="773"/>
      <c r="DU731" s="773"/>
      <c r="DV731" s="773"/>
      <c r="DW731" s="773"/>
      <c r="DX731" s="773"/>
      <c r="DY731" s="773"/>
      <c r="DZ731" s="773"/>
      <c r="EA731" s="773"/>
      <c r="EB731" s="773"/>
      <c r="EC731" s="773"/>
      <c r="ED731" s="773"/>
      <c r="EE731" s="773"/>
      <c r="EF731" s="773"/>
      <c r="EG731" s="773"/>
      <c r="EH731" s="773"/>
      <c r="EI731" s="773"/>
      <c r="EJ731" s="773"/>
      <c r="EK731" s="773"/>
      <c r="EL731" s="773"/>
      <c r="EM731" s="773"/>
      <c r="EN731" s="773"/>
      <c r="EO731" s="773"/>
      <c r="EP731" s="773"/>
      <c r="EQ731" s="773"/>
      <c r="ER731" s="773"/>
      <c r="ES731" s="773"/>
      <c r="ET731" s="773"/>
      <c r="EU731" s="773"/>
      <c r="EV731" s="773"/>
      <c r="EW731" s="773"/>
      <c r="EX731" s="773"/>
      <c r="EY731" s="773"/>
      <c r="EZ731" s="773"/>
      <c r="FA731" s="773"/>
      <c r="FB731" s="773"/>
      <c r="FC731" s="773"/>
      <c r="FD731" s="773"/>
      <c r="FE731" s="773"/>
      <c r="FF731" s="773"/>
      <c r="FG731" s="773"/>
      <c r="FH731" s="773"/>
      <c r="FI731" s="773"/>
      <c r="FJ731" s="773"/>
      <c r="FK731" s="773"/>
      <c r="FL731" s="773"/>
      <c r="FM731" s="773"/>
      <c r="FN731" s="773"/>
      <c r="FO731" s="773"/>
      <c r="FP731" s="773"/>
      <c r="FQ731" s="773"/>
      <c r="FR731" s="773"/>
      <c r="FS731" s="773"/>
      <c r="FT731" s="773"/>
      <c r="FU731" s="773"/>
      <c r="FV731" s="773"/>
      <c r="FW731" s="773"/>
      <c r="FX731" s="773"/>
      <c r="FY731" s="773"/>
      <c r="FZ731" s="773"/>
      <c r="GA731" s="773"/>
      <c r="GB731" s="773"/>
      <c r="GC731" s="773"/>
      <c r="GD731" s="773"/>
      <c r="GE731" s="773"/>
      <c r="GF731" s="773"/>
      <c r="GG731" s="773"/>
      <c r="GH731" s="773"/>
      <c r="GI731" s="773"/>
      <c r="GJ731" s="773"/>
      <c r="GK731" s="773"/>
      <c r="GL731" s="773"/>
      <c r="GM731" s="773"/>
      <c r="GN731" s="773"/>
      <c r="GO731" s="773"/>
      <c r="GP731" s="773"/>
      <c r="GQ731" s="773"/>
      <c r="GR731" s="773"/>
      <c r="GS731" s="773"/>
      <c r="GT731" s="773"/>
      <c r="GU731" s="773"/>
      <c r="GV731" s="773"/>
      <c r="GW731" s="773"/>
      <c r="GX731" s="773"/>
      <c r="GY731" s="773"/>
      <c r="GZ731" s="773"/>
    </row>
    <row r="732" spans="1:208" s="11" customFormat="1">
      <c r="A732" s="774"/>
      <c r="B732" s="3761" t="s">
        <v>891</v>
      </c>
      <c r="C732" s="197">
        <v>7010001</v>
      </c>
      <c r="D732" s="199" t="s">
        <v>892</v>
      </c>
      <c r="E732" s="798">
        <f>IFERROR(VLOOKUP(C732,'AJE 12 - INC'!$D$168:$F$771,3,0),0)</f>
        <v>448389.13</v>
      </c>
      <c r="F732" s="108">
        <f>SUMIF('AJE 12 - INC'!B:B,'New TB INC'!C732,'AJE 12 - INC'!D:D)</f>
        <v>0</v>
      </c>
      <c r="G732" s="769"/>
      <c r="H732" s="769"/>
      <c r="I732" s="769"/>
      <c r="J732" s="796">
        <f t="shared" ref="J732:J742" si="76">SUM(E732:I732)</f>
        <v>448389.13</v>
      </c>
      <c r="K732" s="209"/>
      <c r="L732" s="434"/>
      <c r="M732" s="881"/>
      <c r="N732" s="882">
        <v>34225</v>
      </c>
      <c r="O732" s="773">
        <v>37208.339999999997</v>
      </c>
      <c r="P732" s="773">
        <v>37208.339999999997</v>
      </c>
      <c r="Q732" s="773">
        <v>37208.339999999997</v>
      </c>
      <c r="R732" s="773">
        <v>37208.339999999997</v>
      </c>
      <c r="S732" s="11">
        <v>37208.340000000026</v>
      </c>
      <c r="T732" s="773">
        <v>37208.339999999997</v>
      </c>
      <c r="U732" s="2173">
        <v>37208.339999999997</v>
      </c>
      <c r="V732" s="2509">
        <v>37208.339999999967</v>
      </c>
      <c r="W732" s="2509">
        <v>37208.340000000026</v>
      </c>
      <c r="X732" s="2509">
        <v>37208.340000000026</v>
      </c>
      <c r="Y732" s="2509">
        <v>37208.339999999967</v>
      </c>
      <c r="Z732" s="11">
        <f>'[26]New TB INC'!Z677</f>
        <v>37208.339999999997</v>
      </c>
      <c r="AA732" s="11">
        <f>'[27]New TB INC'!AA687</f>
        <v>40350</v>
      </c>
      <c r="AB732" s="11">
        <f>'[28]New TB INC'!AB693</f>
        <v>35266.67</v>
      </c>
      <c r="AC732" s="11">
        <f>'[29]New TB INC'!AC689</f>
        <v>30183.340000000011</v>
      </c>
      <c r="AD732" s="11">
        <f>'[30]New TB INC'!AD684</f>
        <v>30183.339999999997</v>
      </c>
      <c r="AE732" s="11">
        <f>'[31]New TB INC'!AE692</f>
        <v>30183.339999999997</v>
      </c>
      <c r="AF732" s="11">
        <v>28264.100000000006</v>
      </c>
      <c r="AG732" s="11">
        <v>30350</v>
      </c>
      <c r="AH732" s="11">
        <v>46600</v>
      </c>
      <c r="AI732" s="11">
        <v>46600</v>
      </c>
      <c r="AJ732" s="11">
        <v>46600</v>
      </c>
      <c r="AK732" s="11">
        <f>$J732-SUM($Z732:AJ732)</f>
        <v>46600</v>
      </c>
      <c r="AP732" s="11" t="s">
        <v>4193</v>
      </c>
      <c r="AS732" s="11" t="s">
        <v>3434</v>
      </c>
      <c r="AT732" s="11" t="s">
        <v>3434</v>
      </c>
      <c r="AW732" s="2509"/>
      <c r="BH732" s="2509"/>
      <c r="BI732" s="772"/>
      <c r="BJ732" s="2173"/>
      <c r="BK732" s="2173"/>
      <c r="BL732" s="773"/>
      <c r="BN732" s="773"/>
      <c r="BO732" s="209"/>
      <c r="BS732" s="885"/>
      <c r="CI732" s="4"/>
      <c r="CJ732" s="4"/>
      <c r="DB732" s="773"/>
      <c r="DC732" s="773"/>
      <c r="DD732" s="773"/>
      <c r="DE732" s="773"/>
      <c r="DF732" s="773"/>
      <c r="DG732" s="773"/>
      <c r="DH732" s="773"/>
      <c r="DI732" s="773"/>
      <c r="DJ732" s="773"/>
      <c r="DK732" s="773"/>
      <c r="DL732" s="773"/>
      <c r="DM732" s="773"/>
      <c r="DN732" s="773"/>
      <c r="DO732" s="773"/>
      <c r="DP732" s="773"/>
      <c r="DQ732" s="773"/>
      <c r="DR732" s="773"/>
      <c r="DS732" s="773"/>
      <c r="DT732" s="773"/>
      <c r="DU732" s="773"/>
      <c r="DV732" s="773"/>
      <c r="DW732" s="773"/>
      <c r="DX732" s="773"/>
      <c r="DY732" s="773"/>
      <c r="DZ732" s="773"/>
      <c r="EA732" s="773"/>
      <c r="EB732" s="773"/>
      <c r="EC732" s="773"/>
      <c r="ED732" s="773"/>
      <c r="EE732" s="773"/>
      <c r="EF732" s="773"/>
      <c r="EG732" s="773"/>
      <c r="EH732" s="773"/>
      <c r="EI732" s="773"/>
      <c r="EJ732" s="773"/>
      <c r="EK732" s="773"/>
      <c r="EL732" s="773"/>
      <c r="EM732" s="773"/>
      <c r="EN732" s="773"/>
      <c r="EO732" s="773"/>
      <c r="EP732" s="773"/>
      <c r="EQ732" s="773"/>
      <c r="ER732" s="773"/>
      <c r="ES732" s="773"/>
      <c r="ET732" s="773"/>
      <c r="EU732" s="773"/>
      <c r="EV732" s="773"/>
      <c r="EW732" s="773"/>
      <c r="EX732" s="773"/>
      <c r="EY732" s="773"/>
      <c r="EZ732" s="773"/>
      <c r="FA732" s="773"/>
      <c r="FB732" s="773"/>
      <c r="FC732" s="773"/>
      <c r="FD732" s="773"/>
      <c r="FE732" s="773"/>
      <c r="FF732" s="773"/>
      <c r="FG732" s="773"/>
      <c r="FH732" s="773"/>
      <c r="FI732" s="773"/>
      <c r="FJ732" s="773"/>
      <c r="FK732" s="773"/>
      <c r="FL732" s="773"/>
      <c r="FM732" s="773"/>
      <c r="FN732" s="773"/>
      <c r="FO732" s="773"/>
      <c r="FP732" s="773"/>
      <c r="FQ732" s="773"/>
      <c r="FR732" s="773"/>
      <c r="FS732" s="773"/>
      <c r="FT732" s="773"/>
      <c r="FU732" s="773"/>
      <c r="FV732" s="773"/>
      <c r="FW732" s="773"/>
      <c r="FX732" s="773"/>
      <c r="FY732" s="773"/>
      <c r="FZ732" s="773"/>
      <c r="GA732" s="773"/>
      <c r="GB732" s="773"/>
      <c r="GC732" s="773"/>
      <c r="GD732" s="773"/>
      <c r="GE732" s="773"/>
      <c r="GF732" s="773"/>
      <c r="GG732" s="773"/>
      <c r="GH732" s="773"/>
      <c r="GI732" s="773"/>
      <c r="GJ732" s="773"/>
      <c r="GK732" s="773"/>
      <c r="GL732" s="773"/>
      <c r="GM732" s="773"/>
      <c r="GN732" s="773"/>
      <c r="GO732" s="773"/>
      <c r="GP732" s="773"/>
      <c r="GQ732" s="773"/>
      <c r="GR732" s="773"/>
      <c r="GS732" s="773"/>
      <c r="GT732" s="773"/>
      <c r="GU732" s="773"/>
      <c r="GV732" s="773"/>
      <c r="GW732" s="773"/>
      <c r="GX732" s="773"/>
      <c r="GY732" s="773"/>
      <c r="GZ732" s="773"/>
    </row>
    <row r="733" spans="1:208" s="11" customFormat="1">
      <c r="A733" s="774"/>
      <c r="B733" s="3761" t="s">
        <v>891</v>
      </c>
      <c r="C733" s="197">
        <v>7010003</v>
      </c>
      <c r="D733" s="199" t="s">
        <v>893</v>
      </c>
      <c r="E733" s="798">
        <f>IFERROR(VLOOKUP(C733,'AJE 12 - INC'!$D$168:$F$771,3,0),0)</f>
        <v>69486.13</v>
      </c>
      <c r="F733" s="108">
        <f>SUMIF('AJE 12 - INC'!B:B,'New TB INC'!C733,'AJE 12 - INC'!D:D)</f>
        <v>0</v>
      </c>
      <c r="G733" s="769"/>
      <c r="H733" s="769"/>
      <c r="I733" s="769"/>
      <c r="J733" s="796">
        <f t="shared" si="76"/>
        <v>69486.13</v>
      </c>
      <c r="K733" s="209"/>
      <c r="L733" s="434"/>
      <c r="M733" s="883"/>
      <c r="N733" s="884">
        <v>24908</v>
      </c>
      <c r="O733" s="773">
        <v>9734.25</v>
      </c>
      <c r="P733" s="773">
        <v>6918</v>
      </c>
      <c r="Q733" s="773">
        <v>13494</v>
      </c>
      <c r="R733" s="773">
        <v>8078</v>
      </c>
      <c r="S733" s="11">
        <v>6918</v>
      </c>
      <c r="T733" s="773">
        <v>16555</v>
      </c>
      <c r="U733" s="2173">
        <v>6918</v>
      </c>
      <c r="V733" s="2509">
        <v>-29082</v>
      </c>
      <c r="W733" s="2509">
        <v>19801</v>
      </c>
      <c r="X733" s="2509">
        <v>6918</v>
      </c>
      <c r="Y733" s="2509">
        <v>-40098</v>
      </c>
      <c r="Z733" s="11">
        <f>'[26]New TB INC'!Z679</f>
        <v>20007</v>
      </c>
      <c r="AA733" s="11">
        <f>'[27]New TB INC'!AA689</f>
        <v>4187.130000000001</v>
      </c>
      <c r="AB733" s="11">
        <f>'[28]New TB INC'!AB695</f>
        <v>-6336</v>
      </c>
      <c r="AC733" s="11">
        <f>'[29]New TB INC'!AC691</f>
        <v>13444</v>
      </c>
      <c r="AD733" s="11">
        <f>'[30]New TB INC'!AD686</f>
        <v>2499.9999999999964</v>
      </c>
      <c r="AE733" s="11">
        <f>'[31]New TB INC'!AE694</f>
        <v>2500</v>
      </c>
      <c r="AF733" s="11">
        <v>15030</v>
      </c>
      <c r="AG733" s="11">
        <v>2500</v>
      </c>
      <c r="AH733" s="11">
        <v>2500</v>
      </c>
      <c r="AI733" s="11">
        <v>11004.000000000007</v>
      </c>
      <c r="AJ733" s="11">
        <v>2500</v>
      </c>
      <c r="AK733" s="11">
        <f>$J733-SUM($Z733:AJ733)</f>
        <v>-350</v>
      </c>
      <c r="AW733" s="2509"/>
      <c r="BH733" s="2509"/>
      <c r="BI733" s="772"/>
      <c r="BJ733" s="2173"/>
      <c r="BK733" s="2173"/>
      <c r="BL733" s="773"/>
      <c r="BN733" s="773"/>
      <c r="BO733" s="209"/>
      <c r="BQ733" s="209"/>
      <c r="BR733" s="859"/>
      <c r="BS733" s="885"/>
      <c r="CI733" s="4"/>
      <c r="CJ733" s="4"/>
      <c r="DB733" s="773"/>
      <c r="DC733" s="773"/>
      <c r="DD733" s="773"/>
      <c r="DE733" s="773"/>
      <c r="DF733" s="773"/>
      <c r="DG733" s="773"/>
      <c r="DH733" s="773"/>
      <c r="DI733" s="773"/>
      <c r="DJ733" s="773"/>
      <c r="DK733" s="773"/>
      <c r="DL733" s="773"/>
      <c r="DM733" s="773"/>
      <c r="DN733" s="773"/>
      <c r="DO733" s="773"/>
      <c r="DP733" s="773"/>
      <c r="DQ733" s="773"/>
      <c r="DR733" s="773"/>
      <c r="DS733" s="773"/>
      <c r="DT733" s="773"/>
      <c r="DU733" s="773"/>
      <c r="DV733" s="773"/>
      <c r="DW733" s="773"/>
      <c r="DX733" s="773"/>
      <c r="DY733" s="773"/>
      <c r="DZ733" s="773"/>
      <c r="EA733" s="773"/>
      <c r="EB733" s="773"/>
      <c r="EC733" s="773"/>
      <c r="ED733" s="773"/>
      <c r="EE733" s="773"/>
      <c r="EF733" s="773"/>
      <c r="EG733" s="773"/>
      <c r="EH733" s="773"/>
      <c r="EI733" s="773"/>
      <c r="EJ733" s="773"/>
      <c r="EK733" s="773"/>
      <c r="EL733" s="773"/>
      <c r="EM733" s="773"/>
      <c r="EN733" s="773"/>
      <c r="EO733" s="773"/>
      <c r="EP733" s="773"/>
      <c r="EQ733" s="773"/>
      <c r="ER733" s="773"/>
      <c r="ES733" s="773"/>
      <c r="ET733" s="773"/>
      <c r="EU733" s="773"/>
      <c r="EV733" s="773"/>
      <c r="EW733" s="773"/>
      <c r="EX733" s="773"/>
      <c r="EY733" s="773"/>
      <c r="EZ733" s="773"/>
      <c r="FA733" s="773"/>
      <c r="FB733" s="773"/>
      <c r="FC733" s="773"/>
      <c r="FD733" s="773"/>
      <c r="FE733" s="773"/>
      <c r="FF733" s="773"/>
      <c r="FG733" s="773"/>
      <c r="FH733" s="773"/>
      <c r="FI733" s="773"/>
      <c r="FJ733" s="773"/>
      <c r="FK733" s="773"/>
      <c r="FL733" s="773"/>
      <c r="FM733" s="773"/>
      <c r="FN733" s="773"/>
      <c r="FO733" s="773"/>
      <c r="FP733" s="773"/>
      <c r="FQ733" s="773"/>
      <c r="FR733" s="773"/>
      <c r="FS733" s="773"/>
      <c r="FT733" s="773"/>
      <c r="FU733" s="773"/>
      <c r="FV733" s="773"/>
      <c r="FW733" s="773"/>
      <c r="FX733" s="773"/>
      <c r="FY733" s="773"/>
      <c r="FZ733" s="773"/>
      <c r="GA733" s="773"/>
      <c r="GB733" s="773"/>
      <c r="GC733" s="773"/>
      <c r="GD733" s="773"/>
      <c r="GE733" s="773"/>
      <c r="GF733" s="773"/>
      <c r="GG733" s="773"/>
      <c r="GH733" s="773"/>
      <c r="GI733" s="773"/>
      <c r="GJ733" s="773"/>
      <c r="GK733" s="773"/>
      <c r="GL733" s="773"/>
      <c r="GM733" s="773"/>
      <c r="GN733" s="773"/>
      <c r="GO733" s="773"/>
      <c r="GP733" s="773"/>
      <c r="GQ733" s="773"/>
      <c r="GR733" s="773"/>
      <c r="GS733" s="773"/>
      <c r="GT733" s="773"/>
      <c r="GU733" s="773"/>
      <c r="GV733" s="773"/>
      <c r="GW733" s="773"/>
      <c r="GX733" s="773"/>
      <c r="GY733" s="773"/>
      <c r="GZ733" s="773"/>
    </row>
    <row r="734" spans="1:208" s="11" customFormat="1">
      <c r="A734" s="774"/>
      <c r="B734" s="3761" t="s">
        <v>891</v>
      </c>
      <c r="C734" s="197">
        <v>7010005</v>
      </c>
      <c r="D734" s="199" t="s">
        <v>894</v>
      </c>
      <c r="E734" s="798">
        <f>IFERROR(VLOOKUP(C734,'AJE 12 - INC'!$D$168:$F$771,3,0),0)</f>
        <v>45826.46</v>
      </c>
      <c r="F734" s="108">
        <f>SUMIF('AJE 12 - INC'!B:B,'New TB INC'!C734,'AJE 12 - INC'!D:D)</f>
        <v>0</v>
      </c>
      <c r="G734" s="769"/>
      <c r="H734" s="769"/>
      <c r="I734" s="769"/>
      <c r="J734" s="796">
        <f t="shared" si="76"/>
        <v>45826.46</v>
      </c>
      <c r="K734" s="209"/>
      <c r="L734" s="434"/>
      <c r="M734" s="883"/>
      <c r="N734" s="11">
        <v>4159.72</v>
      </c>
      <c r="O734" s="11">
        <v>7424.2399999999989</v>
      </c>
      <c r="P734" s="11">
        <v>3503.5100000000011</v>
      </c>
      <c r="Q734" s="11">
        <v>3931.369999999999</v>
      </c>
      <c r="R734" s="773">
        <v>3182.55</v>
      </c>
      <c r="S734" s="11">
        <v>3027.2799999999979</v>
      </c>
      <c r="T734" s="773">
        <v>3752.5800000000017</v>
      </c>
      <c r="U734" s="2173">
        <v>2806.0400000000009</v>
      </c>
      <c r="V734" s="2509">
        <v>3070.1399999999994</v>
      </c>
      <c r="W734" s="2509">
        <v>3513.9800000000032</v>
      </c>
      <c r="X734" s="2509">
        <v>2108.75</v>
      </c>
      <c r="Y734" s="2509">
        <v>2064.6199999999953</v>
      </c>
      <c r="Z734" s="11">
        <f>'[26]New TB INC'!Z680</f>
        <v>5643</v>
      </c>
      <c r="AA734" s="11">
        <f>'[27]New TB INC'!AA690</f>
        <v>7304.85</v>
      </c>
      <c r="AB734" s="11">
        <f>'[28]New TB INC'!AB696</f>
        <v>3975.17</v>
      </c>
      <c r="AC734" s="11">
        <f>'[29]New TB INC'!AC692</f>
        <v>3768.3600000000006</v>
      </c>
      <c r="AD734" s="11">
        <f>'[30]New TB INC'!AD687</f>
        <v>2531.59</v>
      </c>
      <c r="AE734" s="11">
        <f>'[31]New TB INC'!AE695</f>
        <v>2428.0799999999981</v>
      </c>
      <c r="AF734" s="11">
        <v>3469.5800000000017</v>
      </c>
      <c r="AG734" s="11">
        <v>2568.0799999999981</v>
      </c>
      <c r="AH734" s="11">
        <v>4129.93</v>
      </c>
      <c r="AI734" s="11">
        <v>4216.2799999999988</v>
      </c>
      <c r="AJ734" s="11">
        <v>3010.9199999999983</v>
      </c>
      <c r="AK734" s="11">
        <f>$J734-SUM($Z734:AJ734)</f>
        <v>2780.6200000000026</v>
      </c>
      <c r="AW734" s="2509"/>
      <c r="BH734" s="2509"/>
      <c r="BI734" s="772"/>
      <c r="BJ734" s="2173"/>
      <c r="BK734" s="2173"/>
      <c r="BL734" s="773"/>
      <c r="BN734" s="773"/>
      <c r="BO734" s="209"/>
      <c r="BQ734" s="209"/>
      <c r="BR734" s="859"/>
      <c r="BS734" s="885"/>
      <c r="CI734" s="4"/>
      <c r="CJ734" s="4"/>
      <c r="DB734" s="773"/>
      <c r="DC734" s="773"/>
      <c r="DD734" s="773"/>
      <c r="DE734" s="773"/>
      <c r="DF734" s="773"/>
      <c r="DG734" s="773"/>
      <c r="DH734" s="773"/>
      <c r="DI734" s="773"/>
      <c r="DJ734" s="773"/>
      <c r="DK734" s="773"/>
      <c r="DL734" s="773"/>
      <c r="DM734" s="773"/>
      <c r="DN734" s="773"/>
      <c r="DO734" s="773"/>
      <c r="DP734" s="773"/>
      <c r="DQ734" s="773"/>
      <c r="DR734" s="773"/>
      <c r="DS734" s="773"/>
      <c r="DT734" s="773"/>
      <c r="DU734" s="773"/>
      <c r="DV734" s="773"/>
      <c r="DW734" s="773"/>
      <c r="DX734" s="773"/>
      <c r="DY734" s="773"/>
      <c r="DZ734" s="773"/>
      <c r="EA734" s="773"/>
      <c r="EB734" s="773"/>
      <c r="EC734" s="773"/>
      <c r="ED734" s="773"/>
      <c r="EE734" s="773"/>
      <c r="EF734" s="773"/>
      <c r="EG734" s="773"/>
      <c r="EH734" s="773"/>
      <c r="EI734" s="773"/>
      <c r="EJ734" s="773"/>
      <c r="EK734" s="773"/>
      <c r="EL734" s="773"/>
      <c r="EM734" s="773"/>
      <c r="EN734" s="773"/>
      <c r="EO734" s="773"/>
      <c r="EP734" s="773"/>
      <c r="EQ734" s="773"/>
      <c r="ER734" s="773"/>
      <c r="ES734" s="773"/>
      <c r="ET734" s="773"/>
      <c r="EU734" s="773"/>
      <c r="EV734" s="773"/>
      <c r="EW734" s="773"/>
      <c r="EX734" s="773"/>
      <c r="EY734" s="773"/>
      <c r="EZ734" s="773"/>
      <c r="FA734" s="773"/>
      <c r="FB734" s="773"/>
      <c r="FC734" s="773"/>
      <c r="FD734" s="773"/>
      <c r="FE734" s="773"/>
      <c r="FF734" s="773"/>
      <c r="FG734" s="773"/>
      <c r="FH734" s="773"/>
      <c r="FI734" s="773"/>
      <c r="FJ734" s="773"/>
      <c r="FK734" s="773"/>
      <c r="FL734" s="773"/>
      <c r="FM734" s="773"/>
      <c r="FN734" s="773"/>
      <c r="FO734" s="773"/>
      <c r="FP734" s="773"/>
      <c r="FQ734" s="773"/>
      <c r="FR734" s="773"/>
      <c r="FS734" s="773"/>
      <c r="FT734" s="773"/>
      <c r="FU734" s="773"/>
      <c r="FV734" s="773"/>
      <c r="FW734" s="773"/>
      <c r="FX734" s="773"/>
      <c r="FY734" s="773"/>
      <c r="FZ734" s="773"/>
      <c r="GA734" s="773"/>
      <c r="GB734" s="773"/>
      <c r="GC734" s="773"/>
      <c r="GD734" s="773"/>
      <c r="GE734" s="773"/>
      <c r="GF734" s="773"/>
      <c r="GG734" s="773"/>
      <c r="GH734" s="773"/>
      <c r="GI734" s="773"/>
      <c r="GJ734" s="773"/>
      <c r="GK734" s="773"/>
      <c r="GL734" s="773"/>
      <c r="GM734" s="773"/>
      <c r="GN734" s="773"/>
      <c r="GO734" s="773"/>
      <c r="GP734" s="773"/>
      <c r="GQ734" s="773"/>
      <c r="GR734" s="773"/>
      <c r="GS734" s="773"/>
      <c r="GT734" s="773"/>
      <c r="GU734" s="773"/>
      <c r="GV734" s="773"/>
      <c r="GW734" s="773"/>
      <c r="GX734" s="773"/>
      <c r="GY734" s="773"/>
      <c r="GZ734" s="773"/>
    </row>
    <row r="735" spans="1:208" s="11" customFormat="1">
      <c r="A735" s="774"/>
      <c r="B735" s="3761" t="s">
        <v>891</v>
      </c>
      <c r="C735" s="197">
        <v>7010006</v>
      </c>
      <c r="D735" s="199" t="s">
        <v>536</v>
      </c>
      <c r="E735" s="798">
        <f>IFERROR(VLOOKUP(C735,'AJE 12 - INC'!$D$168:$F$771,3,0),0)</f>
        <v>1451.39</v>
      </c>
      <c r="F735" s="108">
        <f>SUMIF('AJE 12 - INC'!B:B,'New TB INC'!C735,'AJE 12 - INC'!D:D)</f>
        <v>0</v>
      </c>
      <c r="G735" s="769"/>
      <c r="H735" s="769"/>
      <c r="I735" s="769"/>
      <c r="J735" s="796">
        <f t="shared" si="76"/>
        <v>1451.39</v>
      </c>
      <c r="K735" s="209"/>
      <c r="L735" s="434"/>
      <c r="M735" s="883"/>
      <c r="N735" s="11">
        <v>163.51</v>
      </c>
      <c r="O735" s="11">
        <v>347.08</v>
      </c>
      <c r="P735" s="11">
        <v>169.40000000000003</v>
      </c>
      <c r="Q735" s="11">
        <v>195.87</v>
      </c>
      <c r="R735" s="773">
        <v>162.37000000000006</v>
      </c>
      <c r="S735" s="11">
        <v>156.55999999999989</v>
      </c>
      <c r="T735" s="773">
        <v>204.75</v>
      </c>
      <c r="U735" s="2173">
        <v>156.60000000000014</v>
      </c>
      <c r="V735" s="2509">
        <v>156.54999999999995</v>
      </c>
      <c r="W735" s="2509">
        <v>221.47000000000003</v>
      </c>
      <c r="X735" s="2509">
        <v>157.04999999999995</v>
      </c>
      <c r="Y735" s="2509">
        <v>156.55999999999995</v>
      </c>
      <c r="Z735" s="11">
        <f>'[26]New TB INC'!Z681</f>
        <v>186.01</v>
      </c>
      <c r="AA735" s="11">
        <f>'[27]New TB INC'!AA691</f>
        <v>254.53000000000003</v>
      </c>
      <c r="AB735" s="11">
        <f>'[28]New TB INC'!AB697</f>
        <v>105.98999999999995</v>
      </c>
      <c r="AC735" s="11">
        <f>'[29]New TB INC'!AC693</f>
        <v>116.13</v>
      </c>
      <c r="AD735" s="11">
        <f>'[30]New TB INC'!AD688</f>
        <v>90.960000000000036</v>
      </c>
      <c r="AE735" s="11">
        <f>'[31]New TB INC'!AE696</f>
        <v>90.960000000000036</v>
      </c>
      <c r="AF735" s="11">
        <v>112.36000000000001</v>
      </c>
      <c r="AG735" s="11">
        <v>83.3599999999999</v>
      </c>
      <c r="AH735" s="11">
        <v>98.100000000000136</v>
      </c>
      <c r="AI735" s="11">
        <v>116.79999999999995</v>
      </c>
      <c r="AJ735" s="11">
        <v>98.089999999999918</v>
      </c>
      <c r="AK735" s="11">
        <f>$J735-SUM($Z735:AJ735)</f>
        <v>98.100000000000136</v>
      </c>
      <c r="AW735" s="2509"/>
      <c r="BH735" s="2509"/>
      <c r="BI735" s="772"/>
      <c r="BJ735" s="2173"/>
      <c r="BK735" s="2173"/>
      <c r="BL735" s="773"/>
      <c r="BN735" s="773"/>
      <c r="BO735" s="209"/>
      <c r="BQ735" s="209"/>
      <c r="BR735" s="859"/>
      <c r="BS735" s="885"/>
      <c r="CI735" s="4"/>
      <c r="CJ735" s="4"/>
      <c r="DB735" s="773"/>
      <c r="DC735" s="773"/>
      <c r="DD735" s="773"/>
      <c r="DE735" s="773"/>
      <c r="DF735" s="773"/>
      <c r="DG735" s="773"/>
      <c r="DH735" s="773"/>
      <c r="DI735" s="773"/>
      <c r="DJ735" s="773"/>
      <c r="DK735" s="773"/>
      <c r="DL735" s="773"/>
      <c r="DM735" s="773"/>
      <c r="DN735" s="773"/>
      <c r="DO735" s="773"/>
      <c r="DP735" s="773"/>
      <c r="DQ735" s="773"/>
      <c r="DR735" s="773"/>
      <c r="DS735" s="773"/>
      <c r="DT735" s="773"/>
      <c r="DU735" s="773"/>
      <c r="DV735" s="773"/>
      <c r="DW735" s="773"/>
      <c r="DX735" s="773"/>
      <c r="DY735" s="773"/>
      <c r="DZ735" s="773"/>
      <c r="EA735" s="773"/>
      <c r="EB735" s="773"/>
      <c r="EC735" s="773"/>
      <c r="ED735" s="773"/>
      <c r="EE735" s="773"/>
      <c r="EF735" s="773"/>
      <c r="EG735" s="773"/>
      <c r="EH735" s="773"/>
      <c r="EI735" s="773"/>
      <c r="EJ735" s="773"/>
      <c r="EK735" s="773"/>
      <c r="EL735" s="773"/>
      <c r="EM735" s="773"/>
      <c r="EN735" s="773"/>
      <c r="EO735" s="773"/>
      <c r="EP735" s="773"/>
      <c r="EQ735" s="773"/>
      <c r="ER735" s="773"/>
      <c r="ES735" s="773"/>
      <c r="ET735" s="773"/>
      <c r="EU735" s="773"/>
      <c r="EV735" s="773"/>
      <c r="EW735" s="773"/>
      <c r="EX735" s="773"/>
      <c r="EY735" s="773"/>
      <c r="EZ735" s="773"/>
      <c r="FA735" s="773"/>
      <c r="FB735" s="773"/>
      <c r="FC735" s="773"/>
      <c r="FD735" s="773"/>
      <c r="FE735" s="773"/>
      <c r="FF735" s="773"/>
      <c r="FG735" s="773"/>
      <c r="FH735" s="773"/>
      <c r="FI735" s="773"/>
      <c r="FJ735" s="773"/>
      <c r="FK735" s="773"/>
      <c r="FL735" s="773"/>
      <c r="FM735" s="773"/>
      <c r="FN735" s="773"/>
      <c r="FO735" s="773"/>
      <c r="FP735" s="773"/>
      <c r="FQ735" s="773"/>
      <c r="FR735" s="773"/>
      <c r="FS735" s="773"/>
      <c r="FT735" s="773"/>
      <c r="FU735" s="773"/>
      <c r="FV735" s="773"/>
      <c r="FW735" s="773"/>
      <c r="FX735" s="773"/>
      <c r="FY735" s="773"/>
      <c r="FZ735" s="773"/>
      <c r="GA735" s="773"/>
      <c r="GB735" s="773"/>
      <c r="GC735" s="773"/>
      <c r="GD735" s="773"/>
      <c r="GE735" s="773"/>
      <c r="GF735" s="773"/>
      <c r="GG735" s="773"/>
      <c r="GH735" s="773"/>
      <c r="GI735" s="773"/>
      <c r="GJ735" s="773"/>
      <c r="GK735" s="773"/>
      <c r="GL735" s="773"/>
      <c r="GM735" s="773"/>
      <c r="GN735" s="773"/>
      <c r="GO735" s="773"/>
      <c r="GP735" s="773"/>
      <c r="GQ735" s="773"/>
      <c r="GR735" s="773"/>
      <c r="GS735" s="773"/>
      <c r="GT735" s="773"/>
      <c r="GU735" s="773"/>
      <c r="GV735" s="773"/>
      <c r="GW735" s="773"/>
      <c r="GX735" s="773"/>
      <c r="GY735" s="773"/>
      <c r="GZ735" s="773"/>
    </row>
    <row r="736" spans="1:208" s="11" customFormat="1">
      <c r="A736" s="774"/>
      <c r="B736" s="3761" t="s">
        <v>891</v>
      </c>
      <c r="C736" s="197">
        <v>7010007</v>
      </c>
      <c r="D736" s="199" t="s">
        <v>1367</v>
      </c>
      <c r="E736" s="798">
        <f>IFERROR(VLOOKUP(C736,'AJE 12 - INC'!$D$168:$F$771,3,0),0)</f>
        <v>0</v>
      </c>
      <c r="F736" s="108">
        <f>SUMIF('AJE 12 - INC'!B:B,'New TB INC'!C736,'AJE 12 - INC'!D:D)</f>
        <v>0</v>
      </c>
      <c r="G736" s="769"/>
      <c r="H736" s="769"/>
      <c r="I736" s="769"/>
      <c r="J736" s="796">
        <f t="shared" si="76"/>
        <v>0</v>
      </c>
      <c r="K736" s="209"/>
      <c r="L736" s="434"/>
      <c r="M736" s="883"/>
      <c r="N736" s="11">
        <v>0</v>
      </c>
      <c r="O736" s="11">
        <v>0</v>
      </c>
      <c r="P736" s="11">
        <v>0</v>
      </c>
      <c r="Q736" s="11">
        <v>0</v>
      </c>
      <c r="R736" s="773">
        <v>0</v>
      </c>
      <c r="S736" s="11">
        <v>0</v>
      </c>
      <c r="T736" s="773">
        <v>0</v>
      </c>
      <c r="U736" s="2173">
        <v>0</v>
      </c>
      <c r="V736" s="2509">
        <v>0</v>
      </c>
      <c r="W736" s="2509">
        <v>100</v>
      </c>
      <c r="X736" s="2509">
        <v>100</v>
      </c>
      <c r="Y736" s="2509">
        <v>0</v>
      </c>
      <c r="Z736" s="11">
        <f>'[26]New TB INC'!Z682</f>
        <v>0</v>
      </c>
      <c r="AA736" s="11">
        <f>'[27]New TB INC'!AA692</f>
        <v>0</v>
      </c>
      <c r="AB736" s="11">
        <f>'[28]New TB INC'!AB698</f>
        <v>0</v>
      </c>
      <c r="AC736" s="11">
        <f>'[29]New TB INC'!AC694</f>
        <v>0</v>
      </c>
      <c r="AD736" s="11">
        <f>'[30]New TB INC'!AD689</f>
        <v>0</v>
      </c>
      <c r="AE736" s="11">
        <f>'[31]New TB INC'!AE697</f>
        <v>0</v>
      </c>
      <c r="AF736" s="11">
        <v>0</v>
      </c>
      <c r="AG736" s="11">
        <v>0</v>
      </c>
      <c r="AH736" s="11">
        <v>0</v>
      </c>
      <c r="AI736" s="11">
        <v>0</v>
      </c>
      <c r="AJ736" s="11">
        <v>0</v>
      </c>
      <c r="AK736" s="11">
        <f>$J736-SUM($Z736:AJ736)</f>
        <v>0</v>
      </c>
      <c r="AW736" s="2509"/>
      <c r="BH736" s="2509"/>
      <c r="BI736" s="772"/>
      <c r="BJ736" s="2173"/>
      <c r="BK736" s="2173"/>
      <c r="BL736" s="773"/>
      <c r="BN736" s="773"/>
      <c r="BO736" s="209"/>
      <c r="BQ736" s="209"/>
      <c r="BR736" s="859"/>
      <c r="BS736" s="885"/>
      <c r="CI736" s="4"/>
      <c r="CJ736" s="4"/>
      <c r="DB736" s="773"/>
      <c r="DC736" s="773"/>
      <c r="DD736" s="773"/>
      <c r="DE736" s="773"/>
      <c r="DF736" s="773"/>
      <c r="DG736" s="773"/>
      <c r="DH736" s="773"/>
      <c r="DI736" s="773"/>
      <c r="DJ736" s="773"/>
      <c r="DK736" s="773"/>
      <c r="DL736" s="773"/>
      <c r="DM736" s="773"/>
      <c r="DN736" s="773"/>
      <c r="DO736" s="773"/>
      <c r="DP736" s="773"/>
      <c r="DQ736" s="773"/>
      <c r="DR736" s="773"/>
      <c r="DS736" s="773"/>
      <c r="DT736" s="773"/>
      <c r="DU736" s="773"/>
      <c r="DV736" s="773"/>
      <c r="DW736" s="773"/>
      <c r="DX736" s="773"/>
      <c r="DY736" s="773"/>
      <c r="DZ736" s="773"/>
      <c r="EA736" s="773"/>
      <c r="EB736" s="773"/>
      <c r="EC736" s="773"/>
      <c r="ED736" s="773"/>
      <c r="EE736" s="773"/>
      <c r="EF736" s="773"/>
      <c r="EG736" s="773"/>
      <c r="EH736" s="773"/>
      <c r="EI736" s="773"/>
      <c r="EJ736" s="773"/>
      <c r="EK736" s="773"/>
      <c r="EL736" s="773"/>
      <c r="EM736" s="773"/>
      <c r="EN736" s="773"/>
      <c r="EO736" s="773"/>
      <c r="EP736" s="773"/>
      <c r="EQ736" s="773"/>
      <c r="ER736" s="773"/>
      <c r="ES736" s="773"/>
      <c r="ET736" s="773"/>
      <c r="EU736" s="773"/>
      <c r="EV736" s="773"/>
      <c r="EW736" s="773"/>
      <c r="EX736" s="773"/>
      <c r="EY736" s="773"/>
      <c r="EZ736" s="773"/>
      <c r="FA736" s="773"/>
      <c r="FB736" s="773"/>
      <c r="FC736" s="773"/>
      <c r="FD736" s="773"/>
      <c r="FE736" s="773"/>
      <c r="FF736" s="773"/>
      <c r="FG736" s="773"/>
      <c r="FH736" s="773"/>
      <c r="FI736" s="773"/>
      <c r="FJ736" s="773"/>
      <c r="FK736" s="773"/>
      <c r="FL736" s="773"/>
      <c r="FM736" s="773"/>
      <c r="FN736" s="773"/>
      <c r="FO736" s="773"/>
      <c r="FP736" s="773"/>
      <c r="FQ736" s="773"/>
      <c r="FR736" s="773"/>
      <c r="FS736" s="773"/>
      <c r="FT736" s="773"/>
      <c r="FU736" s="773"/>
      <c r="FV736" s="773"/>
      <c r="FW736" s="773"/>
      <c r="FX736" s="773"/>
      <c r="FY736" s="773"/>
      <c r="FZ736" s="773"/>
      <c r="GA736" s="773"/>
      <c r="GB736" s="773"/>
      <c r="GC736" s="773"/>
      <c r="GD736" s="773"/>
      <c r="GE736" s="773"/>
      <c r="GF736" s="773"/>
      <c r="GG736" s="773"/>
      <c r="GH736" s="773"/>
      <c r="GI736" s="773"/>
      <c r="GJ736" s="773"/>
      <c r="GK736" s="773"/>
      <c r="GL736" s="773"/>
      <c r="GM736" s="773"/>
      <c r="GN736" s="773"/>
      <c r="GO736" s="773"/>
      <c r="GP736" s="773"/>
      <c r="GQ736" s="773"/>
      <c r="GR736" s="773"/>
      <c r="GS736" s="773"/>
      <c r="GT736" s="773"/>
      <c r="GU736" s="773"/>
      <c r="GV736" s="773"/>
      <c r="GW736" s="773"/>
      <c r="GX736" s="773"/>
      <c r="GY736" s="773"/>
      <c r="GZ736" s="773"/>
    </row>
    <row r="737" spans="1:208" s="11" customFormat="1">
      <c r="A737" s="774"/>
      <c r="B737" s="3761" t="s">
        <v>891</v>
      </c>
      <c r="C737" s="197">
        <v>7010010</v>
      </c>
      <c r="D737" s="199" t="s">
        <v>1423</v>
      </c>
      <c r="E737" s="798">
        <f>IFERROR(VLOOKUP(C737,'AJE 12 - INC'!$D$168:$F$771,3,0),0)</f>
        <v>61479.65</v>
      </c>
      <c r="F737" s="108">
        <f>SUMIF('AJE 12 - INC'!B:B,'New TB INC'!C737,'AJE 12 - INC'!D:D)</f>
        <v>0</v>
      </c>
      <c r="G737" s="769"/>
      <c r="H737" s="769"/>
      <c r="I737" s="769"/>
      <c r="J737" s="796">
        <f t="shared" si="76"/>
        <v>61479.65</v>
      </c>
      <c r="K737" s="209"/>
      <c r="L737" s="434"/>
      <c r="M737" s="881" t="s">
        <v>2193</v>
      </c>
      <c r="N737" s="11">
        <v>10503.1</v>
      </c>
      <c r="O737" s="11">
        <v>0</v>
      </c>
      <c r="P737" s="11">
        <v>0</v>
      </c>
      <c r="Q737" s="11">
        <v>36000</v>
      </c>
      <c r="R737" s="773">
        <v>0</v>
      </c>
      <c r="S737" s="11">
        <v>0</v>
      </c>
      <c r="T737" s="773">
        <v>0</v>
      </c>
      <c r="U737" s="2173">
        <v>0</v>
      </c>
      <c r="V737" s="2509">
        <v>0</v>
      </c>
      <c r="W737" s="2509">
        <v>205</v>
      </c>
      <c r="X737" s="2509">
        <v>0</v>
      </c>
      <c r="Y737" s="2509">
        <v>0</v>
      </c>
      <c r="Z737" s="11">
        <f>'[26]New TB INC'!Z683</f>
        <v>0</v>
      </c>
      <c r="AA737" s="11">
        <f>'[27]New TB INC'!AA693</f>
        <v>0</v>
      </c>
      <c r="AB737" s="11">
        <f>'[28]New TB INC'!AB699</f>
        <v>0</v>
      </c>
      <c r="AC737" s="11">
        <f>'[29]New TB INC'!AC695</f>
        <v>0</v>
      </c>
      <c r="AD737" s="11">
        <f>'[30]New TB INC'!AD690</f>
        <v>0</v>
      </c>
      <c r="AE737" s="11">
        <f>'[31]New TB INC'!AE698</f>
        <v>159.15</v>
      </c>
      <c r="AF737" s="11">
        <v>22000</v>
      </c>
      <c r="AG737" s="11">
        <v>105</v>
      </c>
      <c r="AH737" s="11">
        <v>0</v>
      </c>
      <c r="AI737" s="11">
        <v>0</v>
      </c>
      <c r="AJ737" s="11">
        <v>39110.5</v>
      </c>
      <c r="AK737" s="11">
        <f>$J737-SUM($Z737:AJ737)</f>
        <v>105</v>
      </c>
      <c r="AW737" s="2509"/>
      <c r="BH737" s="2509"/>
      <c r="BI737" s="772"/>
      <c r="BJ737" s="2173"/>
      <c r="BK737" s="2173"/>
      <c r="BL737" s="773"/>
      <c r="BN737" s="773"/>
      <c r="BO737" s="209"/>
      <c r="BQ737" s="209"/>
      <c r="BR737" s="859"/>
      <c r="BS737" s="885"/>
      <c r="CI737" s="4"/>
      <c r="CJ737" s="4"/>
      <c r="DB737" s="773"/>
      <c r="DC737" s="773"/>
      <c r="DD737" s="773"/>
      <c r="DE737" s="773"/>
      <c r="DF737" s="773"/>
      <c r="DG737" s="773"/>
      <c r="DH737" s="773"/>
      <c r="DI737" s="773"/>
      <c r="DJ737" s="773"/>
      <c r="DK737" s="773"/>
      <c r="DL737" s="773"/>
      <c r="DM737" s="773"/>
      <c r="DN737" s="773"/>
      <c r="DO737" s="773"/>
      <c r="DP737" s="773"/>
      <c r="DQ737" s="773"/>
      <c r="DR737" s="773"/>
      <c r="DS737" s="773"/>
      <c r="DT737" s="773"/>
      <c r="DU737" s="773"/>
      <c r="DV737" s="773"/>
      <c r="DW737" s="773"/>
      <c r="DX737" s="773"/>
      <c r="DY737" s="773"/>
      <c r="DZ737" s="773"/>
      <c r="EA737" s="773"/>
      <c r="EB737" s="773"/>
      <c r="EC737" s="773"/>
      <c r="ED737" s="773"/>
      <c r="EE737" s="773"/>
      <c r="EF737" s="773"/>
      <c r="EG737" s="773"/>
      <c r="EH737" s="773"/>
      <c r="EI737" s="773"/>
      <c r="EJ737" s="773"/>
      <c r="EK737" s="773"/>
      <c r="EL737" s="773"/>
      <c r="EM737" s="773"/>
      <c r="EN737" s="773"/>
      <c r="EO737" s="773"/>
      <c r="EP737" s="773"/>
      <c r="EQ737" s="773"/>
      <c r="ER737" s="773"/>
      <c r="ES737" s="773"/>
      <c r="ET737" s="773"/>
      <c r="EU737" s="773"/>
      <c r="EV737" s="773"/>
      <c r="EW737" s="773"/>
      <c r="EX737" s="773"/>
      <c r="EY737" s="773"/>
      <c r="EZ737" s="773"/>
      <c r="FA737" s="773"/>
      <c r="FB737" s="773"/>
      <c r="FC737" s="773"/>
      <c r="FD737" s="773"/>
      <c r="FE737" s="773"/>
      <c r="FF737" s="773"/>
      <c r="FG737" s="773"/>
      <c r="FH737" s="773"/>
      <c r="FI737" s="773"/>
      <c r="FJ737" s="773"/>
      <c r="FK737" s="773"/>
      <c r="FL737" s="773"/>
      <c r="FM737" s="773"/>
      <c r="FN737" s="773"/>
      <c r="FO737" s="773"/>
      <c r="FP737" s="773"/>
      <c r="FQ737" s="773"/>
      <c r="FR737" s="773"/>
      <c r="FS737" s="773"/>
      <c r="FT737" s="773"/>
      <c r="FU737" s="773"/>
      <c r="FV737" s="773"/>
      <c r="FW737" s="773"/>
      <c r="FX737" s="773"/>
      <c r="FY737" s="773"/>
      <c r="FZ737" s="773"/>
      <c r="GA737" s="773"/>
      <c r="GB737" s="773"/>
      <c r="GC737" s="773"/>
      <c r="GD737" s="773"/>
      <c r="GE737" s="773"/>
      <c r="GF737" s="773"/>
      <c r="GG737" s="773"/>
      <c r="GH737" s="773"/>
      <c r="GI737" s="773"/>
      <c r="GJ737" s="773"/>
      <c r="GK737" s="773"/>
      <c r="GL737" s="773"/>
      <c r="GM737" s="773"/>
      <c r="GN737" s="773"/>
      <c r="GO737" s="773"/>
      <c r="GP737" s="773"/>
      <c r="GQ737" s="773"/>
      <c r="GR737" s="773"/>
      <c r="GS737" s="773"/>
      <c r="GT737" s="773"/>
      <c r="GU737" s="773"/>
      <c r="GV737" s="773"/>
      <c r="GW737" s="773"/>
      <c r="GX737" s="773"/>
      <c r="GY737" s="773"/>
      <c r="GZ737" s="773"/>
    </row>
    <row r="738" spans="1:208" s="11" customFormat="1">
      <c r="A738" s="774"/>
      <c r="B738" s="3761" t="s">
        <v>891</v>
      </c>
      <c r="C738" s="197">
        <v>7010011</v>
      </c>
      <c r="D738" s="199" t="s">
        <v>1903</v>
      </c>
      <c r="E738" s="798">
        <f>IFERROR(VLOOKUP(C738,'AJE 12 - INC'!$D$168:$F$771,3,0),0)</f>
        <v>7038.52</v>
      </c>
      <c r="F738" s="108">
        <f>SUMIF('AJE 12 - INC'!B:B,'New TB INC'!C738,'AJE 12 - INC'!D:D)</f>
        <v>0</v>
      </c>
      <c r="G738" s="769"/>
      <c r="H738" s="769"/>
      <c r="I738" s="769"/>
      <c r="J738" s="796">
        <f t="shared" si="76"/>
        <v>7038.52</v>
      </c>
      <c r="K738" s="209"/>
      <c r="L738" s="434"/>
      <c r="M738" s="883"/>
      <c r="N738" s="11">
        <v>0</v>
      </c>
      <c r="O738" s="11">
        <v>0</v>
      </c>
      <c r="P738" s="11">
        <v>0</v>
      </c>
      <c r="Q738" s="11">
        <v>0</v>
      </c>
      <c r="R738" s="773">
        <v>0</v>
      </c>
      <c r="S738" s="11">
        <v>0</v>
      </c>
      <c r="T738" s="773">
        <v>0</v>
      </c>
      <c r="U738" s="2173">
        <v>0</v>
      </c>
      <c r="V738" s="2509">
        <v>0</v>
      </c>
      <c r="W738" s="2509">
        <v>0</v>
      </c>
      <c r="X738" s="2509">
        <v>0</v>
      </c>
      <c r="Y738" s="2509">
        <v>0</v>
      </c>
      <c r="Z738" s="11">
        <f>'[26]New TB INC'!Z684</f>
        <v>0</v>
      </c>
      <c r="AA738" s="11">
        <f>'[27]New TB INC'!AA694</f>
        <v>0</v>
      </c>
      <c r="AB738" s="11">
        <f>'[28]New TB INC'!AB700</f>
        <v>7038.52</v>
      </c>
      <c r="AC738" s="11">
        <f>'[29]New TB INC'!AC696</f>
        <v>0</v>
      </c>
      <c r="AD738" s="11">
        <f>'[30]New TB INC'!AD691</f>
        <v>0</v>
      </c>
      <c r="AE738" s="11">
        <f>'[31]New TB INC'!AE699</f>
        <v>0</v>
      </c>
      <c r="AF738" s="11">
        <v>0</v>
      </c>
      <c r="AG738" s="11">
        <v>0</v>
      </c>
      <c r="AH738" s="11">
        <v>0</v>
      </c>
      <c r="AI738" s="11">
        <v>0</v>
      </c>
      <c r="AJ738" s="11">
        <v>0</v>
      </c>
      <c r="AK738" s="11">
        <f>$J738-SUM($Z738:AJ738)</f>
        <v>0</v>
      </c>
      <c r="AW738" s="2509"/>
      <c r="BH738" s="2509"/>
      <c r="BI738" s="772"/>
      <c r="BJ738" s="2173"/>
      <c r="BK738" s="2173"/>
      <c r="BL738" s="773"/>
      <c r="BN738" s="773"/>
      <c r="BO738" s="209"/>
      <c r="BQ738" s="209"/>
      <c r="BR738" s="859"/>
      <c r="BS738" s="885"/>
      <c r="CI738" s="4"/>
      <c r="CJ738" s="4"/>
      <c r="DB738" s="773"/>
      <c r="DC738" s="773"/>
      <c r="DD738" s="773"/>
      <c r="DE738" s="773"/>
      <c r="DF738" s="773"/>
      <c r="DG738" s="773"/>
      <c r="DH738" s="773"/>
      <c r="DI738" s="773"/>
      <c r="DJ738" s="773"/>
      <c r="DK738" s="773"/>
      <c r="DL738" s="773"/>
      <c r="DM738" s="773"/>
      <c r="DN738" s="773"/>
      <c r="DO738" s="773"/>
      <c r="DP738" s="773"/>
      <c r="DQ738" s="773"/>
      <c r="DR738" s="773"/>
      <c r="DS738" s="773"/>
      <c r="DT738" s="773"/>
      <c r="DU738" s="773"/>
      <c r="DV738" s="773"/>
      <c r="DW738" s="773"/>
      <c r="DX738" s="773"/>
      <c r="DY738" s="773"/>
      <c r="DZ738" s="773"/>
      <c r="EA738" s="773"/>
      <c r="EB738" s="773"/>
      <c r="EC738" s="773"/>
      <c r="ED738" s="773"/>
      <c r="EE738" s="773"/>
      <c r="EF738" s="773"/>
      <c r="EG738" s="773"/>
      <c r="EH738" s="773"/>
      <c r="EI738" s="773"/>
      <c r="EJ738" s="773"/>
      <c r="EK738" s="773"/>
      <c r="EL738" s="773"/>
      <c r="EM738" s="773"/>
      <c r="EN738" s="773"/>
      <c r="EO738" s="773"/>
      <c r="EP738" s="773"/>
      <c r="EQ738" s="773"/>
      <c r="ER738" s="773"/>
      <c r="ES738" s="773"/>
      <c r="ET738" s="773"/>
      <c r="EU738" s="773"/>
      <c r="EV738" s="773"/>
      <c r="EW738" s="773"/>
      <c r="EX738" s="773"/>
      <c r="EY738" s="773"/>
      <c r="EZ738" s="773"/>
      <c r="FA738" s="773"/>
      <c r="FB738" s="773"/>
      <c r="FC738" s="773"/>
      <c r="FD738" s="773"/>
      <c r="FE738" s="773"/>
      <c r="FF738" s="773"/>
      <c r="FG738" s="773"/>
      <c r="FH738" s="773"/>
      <c r="FI738" s="773"/>
      <c r="FJ738" s="773"/>
      <c r="FK738" s="773"/>
      <c r="FL738" s="773"/>
      <c r="FM738" s="773"/>
      <c r="FN738" s="773"/>
      <c r="FO738" s="773"/>
      <c r="FP738" s="773"/>
      <c r="FQ738" s="773"/>
      <c r="FR738" s="773"/>
      <c r="FS738" s="773"/>
      <c r="FT738" s="773"/>
      <c r="FU738" s="773"/>
      <c r="FV738" s="773"/>
      <c r="FW738" s="773"/>
      <c r="FX738" s="773"/>
      <c r="FY738" s="773"/>
      <c r="FZ738" s="773"/>
      <c r="GA738" s="773"/>
      <c r="GB738" s="773"/>
      <c r="GC738" s="773"/>
      <c r="GD738" s="773"/>
      <c r="GE738" s="773"/>
      <c r="GF738" s="773"/>
      <c r="GG738" s="773"/>
      <c r="GH738" s="773"/>
      <c r="GI738" s="773"/>
      <c r="GJ738" s="773"/>
      <c r="GK738" s="773"/>
      <c r="GL738" s="773"/>
      <c r="GM738" s="773"/>
      <c r="GN738" s="773"/>
      <c r="GO738" s="773"/>
      <c r="GP738" s="773"/>
      <c r="GQ738" s="773"/>
      <c r="GR738" s="773"/>
      <c r="GS738" s="773"/>
      <c r="GT738" s="773"/>
      <c r="GU738" s="773"/>
      <c r="GV738" s="773"/>
      <c r="GW738" s="773"/>
      <c r="GX738" s="773"/>
      <c r="GY738" s="773"/>
      <c r="GZ738" s="773"/>
    </row>
    <row r="739" spans="1:208" s="11" customFormat="1">
      <c r="A739" s="774"/>
      <c r="B739" s="3761" t="s">
        <v>891</v>
      </c>
      <c r="C739" s="197">
        <v>7010016</v>
      </c>
      <c r="D739" s="199" t="s">
        <v>895</v>
      </c>
      <c r="E739" s="798">
        <f>IFERROR(VLOOKUP(C739,'AJE 12 - INC'!$D$168:$F$771,3,0),0)</f>
        <v>1581.01</v>
      </c>
      <c r="F739" s="108">
        <f>SUMIF('AJE 12 - INC'!B:B,'New TB INC'!C739,'AJE 12 - INC'!D:D)</f>
        <v>0</v>
      </c>
      <c r="G739" s="769"/>
      <c r="H739" s="769"/>
      <c r="I739" s="769"/>
      <c r="J739" s="796">
        <f t="shared" si="76"/>
        <v>1581.01</v>
      </c>
      <c r="K739" s="209"/>
      <c r="L739" s="434"/>
      <c r="M739" s="883"/>
      <c r="N739" s="11">
        <v>95.85</v>
      </c>
      <c r="O739" s="11">
        <v>95.85</v>
      </c>
      <c r="P739" s="11">
        <v>95.850000000000023</v>
      </c>
      <c r="Q739" s="11">
        <v>159.75000000000003</v>
      </c>
      <c r="R739" s="773">
        <v>218.83999999999989</v>
      </c>
      <c r="S739" s="11">
        <v>127.8000000000001</v>
      </c>
      <c r="T739" s="773">
        <v>65.799999999999955</v>
      </c>
      <c r="U739" s="2173">
        <v>127.79999999999995</v>
      </c>
      <c r="V739" s="2509">
        <v>127.79999999999995</v>
      </c>
      <c r="W739" s="2509">
        <v>127.80000000000018</v>
      </c>
      <c r="X739" s="2509">
        <v>127.79999999999995</v>
      </c>
      <c r="Y739" s="2509">
        <v>127.79999999999995</v>
      </c>
      <c r="Z739" s="11">
        <f>'[26]New TB INC'!Z685</f>
        <v>135.47999999999999</v>
      </c>
      <c r="AA739" s="11">
        <f>'[27]New TB INC'!AA695</f>
        <v>135.47999999999999</v>
      </c>
      <c r="AB739" s="11">
        <f>'[28]New TB INC'!AB701</f>
        <v>135.48000000000002</v>
      </c>
      <c r="AC739" s="11">
        <f>'[29]New TB INC'!AC697</f>
        <v>101.61000000000001</v>
      </c>
      <c r="AD739" s="11">
        <f>'[30]New TB INC'!AD692</f>
        <v>101.60999999999996</v>
      </c>
      <c r="AE739" s="11">
        <f>'[31]New TB INC'!AE700</f>
        <v>101.61000000000001</v>
      </c>
      <c r="AF739" s="11">
        <v>101.61000000000001</v>
      </c>
      <c r="AG739" s="11">
        <v>36.129999999999995</v>
      </c>
      <c r="AH739" s="11">
        <v>101.61000000000001</v>
      </c>
      <c r="AI739" s="11">
        <v>101.61000000000001</v>
      </c>
      <c r="AJ739" s="11">
        <v>318.65000000000009</v>
      </c>
      <c r="AK739" s="11">
        <f>$J739-SUM($Z739:AJ739)</f>
        <v>210.12999999999988</v>
      </c>
      <c r="AW739" s="2509"/>
      <c r="BH739" s="2509"/>
      <c r="BI739" s="772"/>
      <c r="BJ739" s="2173"/>
      <c r="BK739" s="2173"/>
      <c r="BL739" s="773"/>
      <c r="BM739" s="639"/>
      <c r="BO739" s="209"/>
      <c r="BQ739" s="209"/>
      <c r="BR739" s="859"/>
      <c r="BS739" s="885"/>
      <c r="CI739" s="4"/>
      <c r="CJ739" s="4"/>
      <c r="DB739" s="773"/>
      <c r="DC739" s="773"/>
      <c r="DD739" s="773"/>
      <c r="DE739" s="773"/>
      <c r="DF739" s="773"/>
      <c r="DG739" s="773"/>
      <c r="DH739" s="773"/>
      <c r="DI739" s="773"/>
      <c r="DJ739" s="773"/>
      <c r="DK739" s="773"/>
      <c r="DL739" s="773"/>
      <c r="DM739" s="773"/>
      <c r="DN739" s="773"/>
      <c r="DO739" s="773"/>
      <c r="DP739" s="773"/>
      <c r="DQ739" s="773"/>
      <c r="DR739" s="773"/>
      <c r="DS739" s="773"/>
      <c r="DT739" s="773"/>
      <c r="DU739" s="773"/>
      <c r="DV739" s="773"/>
      <c r="DW739" s="773"/>
      <c r="DX739" s="773"/>
      <c r="DY739" s="773"/>
      <c r="DZ739" s="773"/>
      <c r="EA739" s="773"/>
      <c r="EB739" s="773"/>
      <c r="EC739" s="773"/>
      <c r="ED739" s="773"/>
      <c r="EE739" s="773"/>
      <c r="EF739" s="773"/>
      <c r="EG739" s="773"/>
      <c r="EH739" s="773"/>
      <c r="EI739" s="773"/>
      <c r="EJ739" s="773"/>
      <c r="EK739" s="773"/>
      <c r="EL739" s="773"/>
      <c r="EM739" s="773"/>
      <c r="EN739" s="773"/>
      <c r="EO739" s="773"/>
      <c r="EP739" s="773"/>
      <c r="EQ739" s="773"/>
      <c r="ER739" s="773"/>
      <c r="ES739" s="773"/>
      <c r="ET739" s="773"/>
      <c r="EU739" s="773"/>
      <c r="EV739" s="773"/>
      <c r="EW739" s="773"/>
      <c r="EX739" s="773"/>
      <c r="EY739" s="773"/>
      <c r="EZ739" s="773"/>
      <c r="FA739" s="773"/>
      <c r="FB739" s="773"/>
      <c r="FC739" s="773"/>
      <c r="FD739" s="773"/>
      <c r="FE739" s="773"/>
      <c r="FF739" s="773"/>
      <c r="FG739" s="773"/>
      <c r="FH739" s="773"/>
      <c r="FI739" s="773"/>
      <c r="FJ739" s="773"/>
      <c r="FK739" s="773"/>
      <c r="FL739" s="773"/>
      <c r="FM739" s="773"/>
      <c r="FN739" s="773"/>
      <c r="FO739" s="773"/>
      <c r="FP739" s="773"/>
      <c r="FQ739" s="773"/>
      <c r="FR739" s="773"/>
      <c r="FS739" s="773"/>
      <c r="FT739" s="773"/>
      <c r="FU739" s="773"/>
      <c r="FV739" s="773"/>
      <c r="FW739" s="773"/>
      <c r="FX739" s="773"/>
      <c r="FY739" s="773"/>
      <c r="FZ739" s="773"/>
      <c r="GA739" s="773"/>
      <c r="GB739" s="773"/>
      <c r="GC739" s="773"/>
      <c r="GD739" s="773"/>
      <c r="GE739" s="773"/>
      <c r="GF739" s="773"/>
      <c r="GG739" s="773"/>
      <c r="GH739" s="773"/>
      <c r="GI739" s="773"/>
      <c r="GJ739" s="773"/>
      <c r="GK739" s="773"/>
      <c r="GL739" s="773"/>
      <c r="GM739" s="773"/>
      <c r="GN739" s="773"/>
      <c r="GO739" s="773"/>
      <c r="GP739" s="773"/>
      <c r="GQ739" s="773"/>
      <c r="GR739" s="773"/>
      <c r="GS739" s="773"/>
      <c r="GT739" s="773"/>
      <c r="GU739" s="773"/>
      <c r="GV739" s="773"/>
      <c r="GW739" s="773"/>
      <c r="GX739" s="773"/>
      <c r="GY739" s="773"/>
      <c r="GZ739" s="773"/>
    </row>
    <row r="740" spans="1:208" s="11" customFormat="1">
      <c r="A740" s="774"/>
      <c r="B740" s="3761" t="s">
        <v>891</v>
      </c>
      <c r="C740" s="197">
        <v>7010019</v>
      </c>
      <c r="D740" s="199" t="s">
        <v>537</v>
      </c>
      <c r="E740" s="798">
        <f>IFERROR(VLOOKUP(C740,'AJE 12 - INC'!$D$168:$F$771,3,0),0)</f>
        <v>708.8</v>
      </c>
      <c r="F740" s="108">
        <f>SUMIF('AJE 12 - INC'!B:B,'New TB INC'!C740,'AJE 12 - INC'!D:D)</f>
        <v>0</v>
      </c>
      <c r="G740" s="769"/>
      <c r="H740" s="769"/>
      <c r="I740" s="769"/>
      <c r="J740" s="796">
        <f t="shared" si="76"/>
        <v>708.8</v>
      </c>
      <c r="K740" s="209"/>
      <c r="L740" s="434"/>
      <c r="M740" s="883"/>
      <c r="N740" s="11">
        <v>0</v>
      </c>
      <c r="O740" s="11">
        <v>0</v>
      </c>
      <c r="P740" s="11">
        <v>0</v>
      </c>
      <c r="Q740" s="11">
        <v>0</v>
      </c>
      <c r="R740" s="773">
        <v>103</v>
      </c>
      <c r="S740" s="11">
        <v>336.88</v>
      </c>
      <c r="T740" s="773">
        <v>248.22000000000003</v>
      </c>
      <c r="U740" s="2173">
        <v>0</v>
      </c>
      <c r="V740" s="2509">
        <v>23.990000000000009</v>
      </c>
      <c r="W740" s="2509">
        <v>23.939999999999941</v>
      </c>
      <c r="X740" s="2509">
        <v>23.940000000000055</v>
      </c>
      <c r="Y740" s="2509">
        <v>0</v>
      </c>
      <c r="Z740" s="11">
        <f>'[26]New TB INC'!Z686</f>
        <v>0</v>
      </c>
      <c r="AA740" s="11">
        <f>'[27]New TB INC'!AA696</f>
        <v>0</v>
      </c>
      <c r="AB740" s="11">
        <f>'[28]New TB INC'!AB702</f>
        <v>0</v>
      </c>
      <c r="AC740" s="11">
        <f>'[29]New TB INC'!AC698</f>
        <v>46.94</v>
      </c>
      <c r="AD740" s="11">
        <f>'[30]New TB INC'!AD693</f>
        <v>171.53</v>
      </c>
      <c r="AE740" s="11">
        <f>'[31]New TB INC'!AE701</f>
        <v>0</v>
      </c>
      <c r="AF740" s="11">
        <v>46.039999999999992</v>
      </c>
      <c r="AG740" s="11">
        <v>40.230000000000018</v>
      </c>
      <c r="AH740" s="11">
        <v>32.94</v>
      </c>
      <c r="AI740" s="11">
        <v>13.099999999999966</v>
      </c>
      <c r="AJ740" s="11">
        <v>129.11000000000001</v>
      </c>
      <c r="AK740" s="11">
        <f>$J740-SUM($Z740:AJ740)</f>
        <v>228.90999999999997</v>
      </c>
      <c r="AW740" s="2509"/>
      <c r="BH740" s="2509"/>
      <c r="BI740" s="772"/>
      <c r="BJ740" s="2173"/>
      <c r="BK740" s="2173"/>
      <c r="BL740" s="773"/>
      <c r="BN740" s="773"/>
      <c r="BO740" s="209"/>
      <c r="BQ740" s="209"/>
      <c r="BR740" s="859"/>
      <c r="BS740" s="885"/>
      <c r="CI740" s="4"/>
      <c r="CJ740" s="4"/>
      <c r="DB740" s="773"/>
      <c r="DC740" s="773"/>
      <c r="DD740" s="773"/>
      <c r="DE740" s="773"/>
      <c r="DF740" s="773"/>
      <c r="DG740" s="773"/>
      <c r="DH740" s="773"/>
      <c r="DI740" s="773"/>
      <c r="DJ740" s="773"/>
      <c r="DK740" s="773"/>
      <c r="DL740" s="773"/>
      <c r="DM740" s="773"/>
      <c r="DN740" s="773"/>
      <c r="DO740" s="773"/>
      <c r="DP740" s="773"/>
      <c r="DQ740" s="773"/>
      <c r="DR740" s="773"/>
      <c r="DS740" s="773"/>
      <c r="DT740" s="773"/>
      <c r="DU740" s="773"/>
      <c r="DV740" s="773"/>
      <c r="DW740" s="773"/>
      <c r="DX740" s="773"/>
      <c r="DY740" s="773"/>
      <c r="DZ740" s="773"/>
      <c r="EA740" s="773"/>
      <c r="EB740" s="773"/>
      <c r="EC740" s="773"/>
      <c r="ED740" s="773"/>
      <c r="EE740" s="773"/>
      <c r="EF740" s="773"/>
      <c r="EG740" s="773"/>
      <c r="EH740" s="773"/>
      <c r="EI740" s="773"/>
      <c r="EJ740" s="773"/>
      <c r="EK740" s="773"/>
      <c r="EL740" s="773"/>
      <c r="EM740" s="773"/>
      <c r="EN740" s="773"/>
      <c r="EO740" s="773"/>
      <c r="EP740" s="773"/>
      <c r="EQ740" s="773"/>
      <c r="ER740" s="773"/>
      <c r="ES740" s="773"/>
      <c r="ET740" s="773"/>
      <c r="EU740" s="773"/>
      <c r="EV740" s="773"/>
      <c r="EW740" s="773"/>
      <c r="EX740" s="773"/>
      <c r="EY740" s="773"/>
      <c r="EZ740" s="773"/>
      <c r="FA740" s="773"/>
      <c r="FB740" s="773"/>
      <c r="FC740" s="773"/>
      <c r="FD740" s="773"/>
      <c r="FE740" s="773"/>
      <c r="FF740" s="773"/>
      <c r="FG740" s="773"/>
      <c r="FH740" s="773"/>
      <c r="FI740" s="773"/>
      <c r="FJ740" s="773"/>
      <c r="FK740" s="773"/>
      <c r="FL740" s="773"/>
      <c r="FM740" s="773"/>
      <c r="FN740" s="773"/>
      <c r="FO740" s="773"/>
      <c r="FP740" s="773"/>
      <c r="FQ740" s="773"/>
      <c r="FR740" s="773"/>
      <c r="FS740" s="773"/>
      <c r="FT740" s="773"/>
      <c r="FU740" s="773"/>
      <c r="FV740" s="773"/>
      <c r="FW740" s="773"/>
      <c r="FX740" s="773"/>
      <c r="FY740" s="773"/>
      <c r="FZ740" s="773"/>
      <c r="GA740" s="773"/>
      <c r="GB740" s="773"/>
      <c r="GC740" s="773"/>
      <c r="GD740" s="773"/>
      <c r="GE740" s="773"/>
      <c r="GF740" s="773"/>
      <c r="GG740" s="773"/>
      <c r="GH740" s="773"/>
      <c r="GI740" s="773"/>
      <c r="GJ740" s="773"/>
      <c r="GK740" s="773"/>
      <c r="GL740" s="773"/>
      <c r="GM740" s="773"/>
      <c r="GN740" s="773"/>
      <c r="GO740" s="773"/>
      <c r="GP740" s="773"/>
      <c r="GQ740" s="773"/>
      <c r="GR740" s="773"/>
      <c r="GS740" s="773"/>
      <c r="GT740" s="773"/>
      <c r="GU740" s="773"/>
      <c r="GV740" s="773"/>
      <c r="GW740" s="773"/>
      <c r="GX740" s="773"/>
      <c r="GY740" s="773"/>
      <c r="GZ740" s="773"/>
    </row>
    <row r="741" spans="1:208" s="11" customFormat="1">
      <c r="A741" s="774"/>
      <c r="B741" s="3761" t="s">
        <v>891</v>
      </c>
      <c r="C741" s="197">
        <v>7010022</v>
      </c>
      <c r="D741" s="199" t="s">
        <v>1492</v>
      </c>
      <c r="E741" s="798">
        <f>IFERROR(VLOOKUP(C741,'AJE 12 - INC'!$D$168:$F$771,3,0),0)</f>
        <v>2946.62</v>
      </c>
      <c r="F741" s="108">
        <f>SUMIF('AJE 12 - INC'!B:B,'New TB INC'!C741,'AJE 12 - INC'!D:D)</f>
        <v>0</v>
      </c>
      <c r="G741" s="769"/>
      <c r="H741" s="769"/>
      <c r="I741" s="769"/>
      <c r="J741" s="796">
        <f t="shared" si="76"/>
        <v>2946.62</v>
      </c>
      <c r="K741" s="209"/>
      <c r="L741" s="434"/>
      <c r="M741" s="883"/>
      <c r="N741" s="11">
        <v>0</v>
      </c>
      <c r="O741" s="11">
        <v>0</v>
      </c>
      <c r="P741" s="11">
        <v>0</v>
      </c>
      <c r="Q741" s="11">
        <v>0</v>
      </c>
      <c r="R741" s="773">
        <v>0</v>
      </c>
      <c r="S741" s="11">
        <v>0</v>
      </c>
      <c r="T741" s="773">
        <v>0</v>
      </c>
      <c r="U741" s="2173">
        <v>0</v>
      </c>
      <c r="V741" s="2509">
        <v>0</v>
      </c>
      <c r="W741" s="2509">
        <v>0</v>
      </c>
      <c r="X741" s="2509">
        <v>0</v>
      </c>
      <c r="Y741" s="2509">
        <v>0</v>
      </c>
      <c r="Z741" s="11">
        <f>'[26]New TB INC'!Z687</f>
        <v>0</v>
      </c>
      <c r="AA741" s="11">
        <f>'[27]New TB INC'!AA697</f>
        <v>0</v>
      </c>
      <c r="AB741" s="11">
        <f>'[28]New TB INC'!AB703</f>
        <v>2356.54</v>
      </c>
      <c r="AC741" s="11">
        <f>'[29]New TB INC'!AC699</f>
        <v>0</v>
      </c>
      <c r="AD741" s="11">
        <f>'[30]New TB INC'!AD694</f>
        <v>0</v>
      </c>
      <c r="AE741" s="11">
        <f>'[31]New TB INC'!AE702</f>
        <v>709</v>
      </c>
      <c r="AF741" s="11">
        <v>1487.08</v>
      </c>
      <c r="AG741" s="11">
        <v>0</v>
      </c>
      <c r="AH741" s="11">
        <v>-1606</v>
      </c>
      <c r="AI741" s="11">
        <v>0</v>
      </c>
      <c r="AJ741" s="11">
        <v>0</v>
      </c>
      <c r="AK741" s="11">
        <f>$J741-SUM($Z741:AJ741)</f>
        <v>0</v>
      </c>
      <c r="AW741" s="2509"/>
      <c r="BH741" s="2509"/>
      <c r="BI741" s="772"/>
      <c r="BJ741" s="2173"/>
      <c r="BK741" s="2173"/>
      <c r="BL741" s="773"/>
      <c r="BN741" s="773"/>
      <c r="BO741" s="209"/>
      <c r="BQ741" s="209"/>
      <c r="BR741" s="859"/>
      <c r="BS741" s="885"/>
      <c r="CI741" s="4"/>
      <c r="CJ741" s="4"/>
      <c r="DB741" s="773"/>
      <c r="DC741" s="773"/>
      <c r="DD741" s="773"/>
      <c r="DE741" s="773"/>
      <c r="DF741" s="773"/>
      <c r="DG741" s="773"/>
      <c r="DH741" s="773"/>
      <c r="DI741" s="773"/>
      <c r="DJ741" s="773"/>
      <c r="DK741" s="773"/>
      <c r="DL741" s="773"/>
      <c r="DM741" s="773"/>
      <c r="DN741" s="773"/>
      <c r="DO741" s="773"/>
      <c r="DP741" s="773"/>
      <c r="DQ741" s="773"/>
      <c r="DR741" s="773"/>
      <c r="DS741" s="773"/>
      <c r="DT741" s="773"/>
      <c r="DU741" s="773"/>
      <c r="DV741" s="773"/>
      <c r="DW741" s="773"/>
      <c r="DX741" s="773"/>
      <c r="DY741" s="773"/>
      <c r="DZ741" s="773"/>
      <c r="EA741" s="773"/>
      <c r="EB741" s="773"/>
      <c r="EC741" s="773"/>
      <c r="ED741" s="773"/>
      <c r="EE741" s="773"/>
      <c r="EF741" s="773"/>
      <c r="EG741" s="773"/>
      <c r="EH741" s="773"/>
      <c r="EI741" s="773"/>
      <c r="EJ741" s="773"/>
      <c r="EK741" s="773"/>
      <c r="EL741" s="773"/>
      <c r="EM741" s="773"/>
      <c r="EN741" s="773"/>
      <c r="EO741" s="773"/>
      <c r="EP741" s="773"/>
      <c r="EQ741" s="773"/>
      <c r="ER741" s="773"/>
      <c r="ES741" s="773"/>
      <c r="ET741" s="773"/>
      <c r="EU741" s="773"/>
      <c r="EV741" s="773"/>
      <c r="EW741" s="773"/>
      <c r="EX741" s="773"/>
      <c r="EY741" s="773"/>
      <c r="EZ741" s="773"/>
      <c r="FA741" s="773"/>
      <c r="FB741" s="773"/>
      <c r="FC741" s="773"/>
      <c r="FD741" s="773"/>
      <c r="FE741" s="773"/>
      <c r="FF741" s="773"/>
      <c r="FG741" s="773"/>
      <c r="FH741" s="773"/>
      <c r="FI741" s="773"/>
      <c r="FJ741" s="773"/>
      <c r="FK741" s="773"/>
      <c r="FL741" s="773"/>
      <c r="FM741" s="773"/>
      <c r="FN741" s="773"/>
      <c r="FO741" s="773"/>
      <c r="FP741" s="773"/>
      <c r="FQ741" s="773"/>
      <c r="FR741" s="773"/>
      <c r="FS741" s="773"/>
      <c r="FT741" s="773"/>
      <c r="FU741" s="773"/>
      <c r="FV741" s="773"/>
      <c r="FW741" s="773"/>
      <c r="FX741" s="773"/>
      <c r="FY741" s="773"/>
      <c r="FZ741" s="773"/>
      <c r="GA741" s="773"/>
      <c r="GB741" s="773"/>
      <c r="GC741" s="773"/>
      <c r="GD741" s="773"/>
      <c r="GE741" s="773"/>
      <c r="GF741" s="773"/>
      <c r="GG741" s="773"/>
      <c r="GH741" s="773"/>
      <c r="GI741" s="773"/>
      <c r="GJ741" s="773"/>
      <c r="GK741" s="773"/>
      <c r="GL741" s="773"/>
      <c r="GM741" s="773"/>
      <c r="GN741" s="773"/>
      <c r="GO741" s="773"/>
      <c r="GP741" s="773"/>
      <c r="GQ741" s="773"/>
      <c r="GR741" s="773"/>
      <c r="GS741" s="773"/>
      <c r="GT741" s="773"/>
      <c r="GU741" s="773"/>
      <c r="GV741" s="773"/>
      <c r="GW741" s="773"/>
      <c r="GX741" s="773"/>
      <c r="GY741" s="773"/>
      <c r="GZ741" s="773"/>
    </row>
    <row r="742" spans="1:208" s="773" customFormat="1">
      <c r="A742" s="774"/>
      <c r="B742" s="3761" t="s">
        <v>891</v>
      </c>
      <c r="C742" s="197">
        <v>7010020</v>
      </c>
      <c r="D742" s="199" t="s">
        <v>896</v>
      </c>
      <c r="E742" s="798">
        <f>IFERROR(VLOOKUP(C742,'AJE 12 - INC'!$D$168:$F$771,3,0),0)</f>
        <v>18360.73</v>
      </c>
      <c r="F742" s="108">
        <f>SUMIF('AJE 12 - INC'!B:B,'New TB INC'!C742,'AJE 12 - INC'!D:D)</f>
        <v>0</v>
      </c>
      <c r="G742" s="769"/>
      <c r="H742" s="769"/>
      <c r="I742" s="769"/>
      <c r="J742" s="796">
        <f t="shared" si="76"/>
        <v>18360.73</v>
      </c>
      <c r="K742" s="209"/>
      <c r="L742" s="434"/>
      <c r="M742" s="883"/>
      <c r="N742" s="11">
        <v>795.27</v>
      </c>
      <c r="O742" s="11">
        <v>795.27</v>
      </c>
      <c r="P742" s="11">
        <v>710.25</v>
      </c>
      <c r="Q742" s="11">
        <v>1560.3899999999999</v>
      </c>
      <c r="R742" s="773">
        <v>1135.3199999999997</v>
      </c>
      <c r="S742" s="11">
        <v>1135.3199999999993</v>
      </c>
      <c r="T742" s="773">
        <v>1135.3200000000015</v>
      </c>
      <c r="U742" s="2173">
        <v>1135.3199999999979</v>
      </c>
      <c r="V742" s="2509">
        <v>1135.3200000000015</v>
      </c>
      <c r="W742" s="2509">
        <v>1135.3199999999997</v>
      </c>
      <c r="X742" s="2509">
        <v>1135.3199999999997</v>
      </c>
      <c r="Y742" s="2509">
        <v>1135.3199999999997</v>
      </c>
      <c r="Z742" s="11">
        <f>'[26]New TB INC'!Z688</f>
        <v>1254.53</v>
      </c>
      <c r="AA742" s="11">
        <f>'[27]New TB INC'!AA698</f>
        <v>1254.53</v>
      </c>
      <c r="AB742" s="11">
        <f>'[28]New TB INC'!AB704</f>
        <v>1254.54</v>
      </c>
      <c r="AC742" s="11">
        <f>'[29]New TB INC'!AC700</f>
        <v>751.52</v>
      </c>
      <c r="AD742" s="11">
        <f>'[30]New TB INC'!AD695</f>
        <v>751.52000000000044</v>
      </c>
      <c r="AE742" s="11">
        <f>'[31]New TB INC'!AE703</f>
        <v>751.51999999999953</v>
      </c>
      <c r="AF742" s="11">
        <v>751.52000000000044</v>
      </c>
      <c r="AG742" s="11">
        <v>751.51999999999953</v>
      </c>
      <c r="AH742" s="11">
        <v>1254.5299999999997</v>
      </c>
      <c r="AI742" s="11">
        <v>769.43000000000029</v>
      </c>
      <c r="AJ742" s="11">
        <v>5620.57</v>
      </c>
      <c r="AK742" s="11">
        <f>$J742-SUM($Z742:AJ742)</f>
        <v>3195</v>
      </c>
      <c r="AL742" s="11"/>
      <c r="AM742" s="11"/>
      <c r="AN742" s="11"/>
      <c r="AO742" s="11"/>
      <c r="AP742" s="11"/>
      <c r="AQ742" s="11"/>
      <c r="AR742" s="11"/>
      <c r="AS742" s="11"/>
      <c r="AT742" s="11"/>
      <c r="AU742" s="11"/>
      <c r="AW742" s="2509"/>
      <c r="BH742" s="2509"/>
      <c r="BI742" s="772"/>
      <c r="BJ742" s="2173"/>
      <c r="BK742" s="2173"/>
      <c r="BM742" s="11"/>
      <c r="BO742" s="209"/>
      <c r="BP742" s="11"/>
      <c r="BQ742" s="209"/>
      <c r="BR742" s="859"/>
      <c r="BS742" s="885"/>
      <c r="BT742" s="11"/>
      <c r="BU742" s="11"/>
      <c r="BV742" s="11"/>
      <c r="BW742" s="11"/>
      <c r="BX742" s="11"/>
      <c r="BY742" s="11"/>
      <c r="BZ742" s="11"/>
      <c r="CA742" s="11"/>
      <c r="CB742" s="11"/>
      <c r="CC742" s="11"/>
      <c r="CD742" s="11"/>
      <c r="CE742" s="11"/>
      <c r="CF742" s="11"/>
      <c r="CG742" s="11"/>
      <c r="CH742" s="11"/>
      <c r="CI742" s="4"/>
      <c r="CJ742" s="4"/>
      <c r="CK742" s="11"/>
      <c r="CL742" s="11"/>
      <c r="CM742" s="11"/>
      <c r="CN742" s="11"/>
      <c r="CO742" s="11"/>
      <c r="CP742" s="11"/>
      <c r="CQ742" s="11"/>
      <c r="CR742" s="11"/>
      <c r="CS742" s="11"/>
      <c r="CT742" s="11"/>
      <c r="CU742" s="11"/>
      <c r="CV742" s="11"/>
      <c r="CW742" s="11"/>
      <c r="CX742" s="11"/>
      <c r="CY742" s="11"/>
      <c r="CZ742" s="11"/>
      <c r="DA742" s="11"/>
    </row>
    <row r="743" spans="1:208" s="773" customFormat="1">
      <c r="A743" s="774"/>
      <c r="B743" s="3761"/>
      <c r="C743" s="197"/>
      <c r="D743" s="200"/>
      <c r="E743" s="42"/>
      <c r="F743" s="769"/>
      <c r="G743" s="769"/>
      <c r="H743" s="769"/>
      <c r="I743" s="769"/>
      <c r="J743" s="796"/>
      <c r="K743" s="209"/>
      <c r="L743" s="434"/>
      <c r="M743" s="883"/>
      <c r="N743" s="11">
        <v>0</v>
      </c>
      <c r="O743" s="11">
        <v>0</v>
      </c>
      <c r="P743" s="11">
        <v>0</v>
      </c>
      <c r="Q743" s="11">
        <v>0</v>
      </c>
      <c r="R743" s="773">
        <v>0</v>
      </c>
      <c r="S743" s="11">
        <v>0</v>
      </c>
      <c r="T743" s="773">
        <v>0</v>
      </c>
      <c r="U743" s="2173">
        <v>0</v>
      </c>
      <c r="V743" s="2509">
        <v>0</v>
      </c>
      <c r="W743" s="2509">
        <v>0</v>
      </c>
      <c r="X743" s="2509">
        <v>0</v>
      </c>
      <c r="Y743" s="2509">
        <v>0</v>
      </c>
      <c r="Z743" s="11">
        <f>'[26]New TB INC'!Z689</f>
        <v>0</v>
      </c>
      <c r="AA743" s="11">
        <f>'[27]New TB INC'!AA699</f>
        <v>0</v>
      </c>
      <c r="AB743" s="11">
        <f>'[28]New TB INC'!AB705</f>
        <v>0</v>
      </c>
      <c r="AC743" s="11">
        <f>'[29]New TB INC'!AC701</f>
        <v>0</v>
      </c>
      <c r="AD743" s="11">
        <f>'[30]New TB INC'!AD696</f>
        <v>0</v>
      </c>
      <c r="AE743" s="11">
        <f>'[31]New TB INC'!AE704</f>
        <v>0</v>
      </c>
      <c r="AF743" s="11">
        <v>0</v>
      </c>
      <c r="AG743" s="11">
        <v>0</v>
      </c>
      <c r="AH743" s="11">
        <v>0</v>
      </c>
      <c r="AI743" s="11">
        <v>0</v>
      </c>
      <c r="AJ743" s="11">
        <v>0</v>
      </c>
      <c r="AK743" s="11">
        <f>$J743-SUM($Z743:AJ743)</f>
        <v>0</v>
      </c>
      <c r="AL743" s="11"/>
      <c r="AM743" s="11"/>
      <c r="AN743" s="11"/>
      <c r="AO743" s="11"/>
      <c r="AP743" s="11"/>
      <c r="AQ743" s="11"/>
      <c r="AR743" s="11"/>
      <c r="AS743" s="11"/>
      <c r="AT743" s="11"/>
      <c r="AU743" s="11"/>
      <c r="AW743" s="2509"/>
      <c r="BH743" s="2509"/>
      <c r="BI743" s="772"/>
      <c r="BJ743" s="2173"/>
      <c r="BK743" s="2173"/>
      <c r="BO743" s="209"/>
      <c r="BQ743" s="209"/>
      <c r="BR743" s="859"/>
      <c r="BS743" s="885"/>
      <c r="CI743" s="9"/>
      <c r="CJ743" s="9"/>
    </row>
    <row r="744" spans="1:208" s="773" customFormat="1">
      <c r="A744" s="774"/>
      <c r="B744" s="3761" t="s">
        <v>1366</v>
      </c>
      <c r="C744" s="197">
        <v>7010018</v>
      </c>
      <c r="D744" s="199" t="s">
        <v>1424</v>
      </c>
      <c r="E744" s="798">
        <f>IFERROR(VLOOKUP(C744,'AJE 12 - INC'!$D$168:$F$771,3,0),0)</f>
        <v>4688.8999999999996</v>
      </c>
      <c r="F744" s="108">
        <f>SUMIF('AJE 12 - INC'!$B$1:$B$129,'New TB INC'!C744,'AJE 12 - INC'!$D$1:$D$129)</f>
        <v>0</v>
      </c>
      <c r="G744" s="108"/>
      <c r="H744" s="108"/>
      <c r="I744" s="108"/>
      <c r="J744" s="798">
        <f>SUM(E744:I744)</f>
        <v>4688.8999999999996</v>
      </c>
      <c r="K744" s="209"/>
      <c r="L744" s="449"/>
      <c r="M744" s="883"/>
      <c r="N744" s="773">
        <v>0</v>
      </c>
      <c r="O744" s="773">
        <v>0</v>
      </c>
      <c r="P744" s="773">
        <v>1879.0920294609491</v>
      </c>
      <c r="Q744" s="773">
        <v>0</v>
      </c>
      <c r="R744" s="773">
        <v>-9.2029460949106578E-2</v>
      </c>
      <c r="S744" s="773">
        <v>1905</v>
      </c>
      <c r="T744" s="773">
        <v>175</v>
      </c>
      <c r="U744" s="2173">
        <v>0</v>
      </c>
      <c r="V744" s="2509">
        <v>1869.5600000000004</v>
      </c>
      <c r="W744" s="2509">
        <v>0</v>
      </c>
      <c r="X744" s="2509">
        <v>0</v>
      </c>
      <c r="Y744" s="2509">
        <v>1958.8599999999997</v>
      </c>
      <c r="Z744" s="11">
        <f>'[26]New TB INC'!Z690</f>
        <v>0</v>
      </c>
      <c r="AA744" s="11">
        <f>'[27]New TB INC'!AA700</f>
        <v>0</v>
      </c>
      <c r="AB744" s="11">
        <f>'[28]New TB INC'!AB706</f>
        <v>2014.64</v>
      </c>
      <c r="AC744" s="11">
        <f>'[29]New TB INC'!AC702</f>
        <v>0</v>
      </c>
      <c r="AD744" s="11">
        <f>'[30]New TB INC'!AD697</f>
        <v>0</v>
      </c>
      <c r="AE744" s="11">
        <f>'[31]New TB INC'!AE705</f>
        <v>1886.8700000000001</v>
      </c>
      <c r="AF744" s="11">
        <v>0</v>
      </c>
      <c r="AG744" s="11">
        <v>0</v>
      </c>
      <c r="AH744" s="11">
        <v>90.449999999999818</v>
      </c>
      <c r="AI744" s="11">
        <v>0</v>
      </c>
      <c r="AJ744" s="11">
        <v>0</v>
      </c>
      <c r="AK744" s="11">
        <f>$J744-SUM($Z744:AJ744)</f>
        <v>696.9399999999996</v>
      </c>
      <c r="AL744" s="11"/>
      <c r="AM744" s="11"/>
      <c r="AN744" s="11"/>
      <c r="AO744" s="11"/>
      <c r="AP744" s="11"/>
      <c r="AQ744" s="11"/>
      <c r="AR744" s="11"/>
      <c r="AS744" s="11"/>
      <c r="AT744" s="11"/>
      <c r="AU744" s="11"/>
      <c r="AW744" s="2509"/>
      <c r="BH744" s="2509"/>
      <c r="BI744" s="772"/>
      <c r="BJ744" s="2173"/>
      <c r="BK744" s="2173"/>
      <c r="BO744" s="859"/>
      <c r="BP744" s="859"/>
      <c r="BQ744" s="859"/>
      <c r="BR744" s="859"/>
      <c r="BS744" s="859"/>
      <c r="CI744" s="9"/>
      <c r="CJ744" s="9"/>
    </row>
    <row r="745" spans="1:208" s="773" customFormat="1">
      <c r="A745" s="780"/>
      <c r="B745" s="3761"/>
      <c r="C745" s="157"/>
      <c r="D745" s="111"/>
      <c r="E745" s="42"/>
      <c r="F745" s="108"/>
      <c r="G745" s="108"/>
      <c r="H745" s="108"/>
      <c r="I745" s="108"/>
      <c r="J745" s="798"/>
      <c r="K745" s="209"/>
      <c r="L745" s="434"/>
      <c r="M745" s="810"/>
      <c r="N745" s="11">
        <v>0</v>
      </c>
      <c r="O745" s="11">
        <v>0</v>
      </c>
      <c r="P745" s="11">
        <v>0</v>
      </c>
      <c r="Q745" s="11">
        <v>0</v>
      </c>
      <c r="R745" s="773">
        <v>0</v>
      </c>
      <c r="S745" s="11">
        <v>0</v>
      </c>
      <c r="T745" s="773">
        <v>0</v>
      </c>
      <c r="U745" s="2173">
        <v>0</v>
      </c>
      <c r="V745" s="2509">
        <v>0</v>
      </c>
      <c r="W745" s="2509">
        <v>0</v>
      </c>
      <c r="X745" s="2509">
        <v>0</v>
      </c>
      <c r="Y745" s="2509">
        <v>0</v>
      </c>
      <c r="Z745" s="11">
        <f>'[26]New TB INC'!Z691</f>
        <v>0</v>
      </c>
      <c r="AA745" s="11">
        <f>'[27]New TB INC'!AA701</f>
        <v>0</v>
      </c>
      <c r="AB745" s="11">
        <f>'[28]New TB INC'!AB707</f>
        <v>0</v>
      </c>
      <c r="AC745" s="11">
        <f>'[29]New TB INC'!AC703</f>
        <v>0</v>
      </c>
      <c r="AD745" s="11">
        <f>'[30]New TB INC'!AD698</f>
        <v>0</v>
      </c>
      <c r="AE745" s="11">
        <f>'[31]New TB INC'!AE706</f>
        <v>0</v>
      </c>
      <c r="AF745" s="11">
        <v>0</v>
      </c>
      <c r="AG745" s="11">
        <v>0</v>
      </c>
      <c r="AH745" s="11">
        <v>0</v>
      </c>
      <c r="AI745" s="11">
        <v>0</v>
      </c>
      <c r="AJ745" s="11">
        <v>0</v>
      </c>
      <c r="AK745" s="11">
        <f>$J745-SUM($Z745:AJ745)</f>
        <v>0</v>
      </c>
      <c r="AL745" s="11"/>
      <c r="AM745" s="11"/>
      <c r="AN745" s="11"/>
      <c r="AO745" s="11"/>
      <c r="AP745" s="11"/>
      <c r="AQ745" s="11"/>
      <c r="AR745" s="11"/>
      <c r="AS745" s="11"/>
      <c r="AT745" s="11">
        <f>500000*0.1/100/12</f>
        <v>41.666666666666664</v>
      </c>
      <c r="AU745" s="11"/>
      <c r="AW745" s="2509"/>
      <c r="BH745" s="2509"/>
      <c r="BI745" s="772"/>
      <c r="BJ745" s="2173"/>
      <c r="BK745" s="2173"/>
      <c r="BO745" s="859"/>
      <c r="BP745" s="859"/>
      <c r="BQ745" s="859"/>
      <c r="BR745" s="859"/>
      <c r="BS745" s="859"/>
      <c r="BT745" s="209"/>
      <c r="BU745" s="209"/>
      <c r="BV745" s="209"/>
      <c r="BW745" s="820"/>
      <c r="BX745" s="209"/>
      <c r="BY745" s="209"/>
      <c r="BZ745" s="209"/>
      <c r="CA745" s="209"/>
    </row>
    <row r="746" spans="1:208" s="773" customFormat="1">
      <c r="A746" s="774"/>
      <c r="B746" s="3763"/>
      <c r="C746" s="157"/>
      <c r="D746" s="953" t="s">
        <v>890</v>
      </c>
      <c r="E746" s="42"/>
      <c r="F746" s="108"/>
      <c r="G746" s="42"/>
      <c r="H746" s="42"/>
      <c r="I746" s="42"/>
      <c r="J746" s="42"/>
      <c r="K746" s="209"/>
      <c r="L746" s="434"/>
      <c r="M746" s="186"/>
      <c r="N746" s="11">
        <v>0</v>
      </c>
      <c r="O746" s="11">
        <v>0</v>
      </c>
      <c r="P746" s="11">
        <v>0</v>
      </c>
      <c r="Q746" s="11">
        <v>0</v>
      </c>
      <c r="R746" s="773">
        <v>0</v>
      </c>
      <c r="S746" s="11">
        <v>0</v>
      </c>
      <c r="T746" s="773">
        <v>0</v>
      </c>
      <c r="U746" s="2173">
        <v>0</v>
      </c>
      <c r="V746" s="2509">
        <v>0</v>
      </c>
      <c r="W746" s="2509">
        <v>0</v>
      </c>
      <c r="X746" s="2509">
        <v>0</v>
      </c>
      <c r="Y746" s="2509">
        <v>0</v>
      </c>
      <c r="Z746" s="11">
        <f>'[26]New TB INC'!Z692</f>
        <v>0</v>
      </c>
      <c r="AA746" s="11">
        <f>'[27]New TB INC'!AA702</f>
        <v>0</v>
      </c>
      <c r="AB746" s="11">
        <f>'[28]New TB INC'!AB708</f>
        <v>0</v>
      </c>
      <c r="AC746" s="11">
        <f>'[29]New TB INC'!AC704</f>
        <v>0</v>
      </c>
      <c r="AD746" s="11">
        <f>'[30]New TB INC'!AD699</f>
        <v>0</v>
      </c>
      <c r="AE746" s="11">
        <f>'[31]New TB INC'!AE707</f>
        <v>0</v>
      </c>
      <c r="AF746" s="11">
        <v>0</v>
      </c>
      <c r="AG746" s="11">
        <v>0</v>
      </c>
      <c r="AH746" s="11">
        <v>0</v>
      </c>
      <c r="AI746" s="11">
        <v>0</v>
      </c>
      <c r="AJ746" s="11">
        <v>0</v>
      </c>
      <c r="AK746" s="11">
        <f>$J746-SUM($Z746:AJ746)</f>
        <v>0</v>
      </c>
      <c r="AL746" s="11"/>
      <c r="AM746" s="11"/>
      <c r="AN746" s="11"/>
      <c r="AO746" s="11"/>
      <c r="AP746" s="11"/>
      <c r="AQ746" s="11"/>
      <c r="AR746" s="11"/>
      <c r="AS746" s="11"/>
      <c r="AT746" s="11"/>
      <c r="AU746" s="11"/>
      <c r="AW746" s="2509"/>
      <c r="BH746" s="2509"/>
      <c r="BI746" s="772"/>
      <c r="BJ746" s="2173"/>
      <c r="BK746" s="2173"/>
      <c r="BM746" s="11"/>
      <c r="BO746" s="859"/>
      <c r="BP746" s="859"/>
      <c r="BQ746" s="859"/>
      <c r="BR746" s="859"/>
      <c r="BS746" s="859"/>
      <c r="BT746" s="11"/>
      <c r="BU746" s="11"/>
      <c r="BV746" s="11"/>
      <c r="BW746" s="11"/>
      <c r="BX746" s="11"/>
      <c r="BY746" s="11"/>
      <c r="BZ746" s="11"/>
      <c r="CA746" s="11"/>
      <c r="CB746" s="11"/>
      <c r="CC746" s="11"/>
      <c r="CD746" s="11"/>
      <c r="CE746" s="11"/>
      <c r="CF746" s="11"/>
      <c r="CG746" s="11"/>
      <c r="CH746" s="878"/>
      <c r="CI746" s="4"/>
      <c r="CJ746" s="4"/>
      <c r="CK746" s="11"/>
      <c r="CL746" s="11"/>
      <c r="CM746" s="11"/>
      <c r="CN746" s="11"/>
      <c r="CO746" s="11"/>
      <c r="CP746" s="11"/>
      <c r="CQ746" s="11"/>
      <c r="CR746" s="11"/>
      <c r="CS746" s="11"/>
      <c r="CT746" s="11"/>
      <c r="CU746" s="11"/>
      <c r="CV746" s="11"/>
      <c r="CW746" s="11"/>
      <c r="CX746" s="11"/>
      <c r="CY746" s="11"/>
      <c r="CZ746" s="11"/>
      <c r="DA746" s="11"/>
    </row>
    <row r="747" spans="1:208" s="773" customFormat="1">
      <c r="A747" s="774"/>
      <c r="B747" s="3761"/>
      <c r="C747" s="197"/>
      <c r="D747" s="199"/>
      <c r="E747" s="42"/>
      <c r="F747" s="108"/>
      <c r="G747" s="108"/>
      <c r="H747" s="108"/>
      <c r="I747" s="108"/>
      <c r="J747" s="798"/>
      <c r="K747" s="209"/>
      <c r="L747" s="434"/>
      <c r="M747" s="810"/>
      <c r="N747" s="11">
        <v>0</v>
      </c>
      <c r="O747" s="11">
        <v>0</v>
      </c>
      <c r="P747" s="11">
        <v>0</v>
      </c>
      <c r="Q747" s="11">
        <v>0</v>
      </c>
      <c r="R747" s="773">
        <v>0</v>
      </c>
      <c r="S747" s="11">
        <v>0</v>
      </c>
      <c r="T747" s="773">
        <v>0</v>
      </c>
      <c r="U747" s="2173">
        <v>0</v>
      </c>
      <c r="V747" s="2509">
        <v>0</v>
      </c>
      <c r="W747" s="2509">
        <v>0</v>
      </c>
      <c r="X747" s="2509">
        <v>0</v>
      </c>
      <c r="Y747" s="2509">
        <v>0</v>
      </c>
      <c r="Z747" s="11">
        <f>'[26]New TB INC'!Z693</f>
        <v>0</v>
      </c>
      <c r="AA747" s="11">
        <f>'[27]New TB INC'!AA703</f>
        <v>0</v>
      </c>
      <c r="AB747" s="11">
        <f>'[28]New TB INC'!AB709</f>
        <v>0</v>
      </c>
      <c r="AC747" s="11">
        <f>'[29]New TB INC'!AC705</f>
        <v>0</v>
      </c>
      <c r="AD747" s="11">
        <f>'[30]New TB INC'!AD700</f>
        <v>0</v>
      </c>
      <c r="AE747" s="11">
        <f>'[31]New TB INC'!AE708</f>
        <v>0</v>
      </c>
      <c r="AF747" s="11">
        <v>0</v>
      </c>
      <c r="AG747" s="11">
        <v>0</v>
      </c>
      <c r="AH747" s="11">
        <v>0</v>
      </c>
      <c r="AI747" s="11">
        <v>0</v>
      </c>
      <c r="AJ747" s="11">
        <v>0</v>
      </c>
      <c r="AK747" s="11">
        <f>$J747-SUM($Z747:AJ747)</f>
        <v>0</v>
      </c>
      <c r="AL747" s="11"/>
      <c r="AM747" s="11"/>
      <c r="AN747" s="11"/>
      <c r="AO747" s="11"/>
      <c r="AP747" s="11"/>
      <c r="AQ747" s="11"/>
      <c r="AR747" s="11"/>
      <c r="AS747" s="11"/>
      <c r="AT747" s="11"/>
      <c r="AU747" s="11"/>
      <c r="AW747" s="2509"/>
      <c r="BH747" s="2509"/>
      <c r="BI747" s="772"/>
      <c r="BJ747" s="2173"/>
      <c r="BK747" s="2173"/>
      <c r="BM747" s="11"/>
      <c r="BO747" s="859"/>
      <c r="BP747" s="859"/>
      <c r="BQ747" s="859"/>
      <c r="BR747" s="859"/>
      <c r="BS747" s="859"/>
      <c r="BT747" s="11"/>
      <c r="BU747" s="11"/>
      <c r="BV747" s="11"/>
      <c r="BW747" s="11"/>
      <c r="BX747" s="11"/>
      <c r="BY747" s="11"/>
      <c r="BZ747" s="11"/>
      <c r="CA747" s="11"/>
      <c r="CB747" s="11"/>
      <c r="CC747" s="11"/>
      <c r="CD747" s="11"/>
      <c r="CE747" s="11"/>
      <c r="CF747" s="11"/>
      <c r="CG747" s="11"/>
      <c r="CH747" s="878"/>
      <c r="CI747" s="4"/>
      <c r="CJ747" s="4"/>
      <c r="CK747" s="11"/>
      <c r="CL747" s="11"/>
      <c r="CM747" s="11"/>
      <c r="CN747" s="11"/>
      <c r="CO747" s="11"/>
      <c r="CP747" s="11"/>
      <c r="CQ747" s="11"/>
      <c r="CR747" s="11"/>
      <c r="CS747" s="11"/>
      <c r="CT747" s="11"/>
      <c r="CU747" s="11"/>
      <c r="CV747" s="11"/>
      <c r="CW747" s="11"/>
      <c r="CX747" s="11"/>
      <c r="CY747" s="11"/>
      <c r="CZ747" s="11"/>
      <c r="DA747" s="11"/>
    </row>
    <row r="748" spans="1:208" s="773" customFormat="1">
      <c r="A748" s="774"/>
      <c r="B748" s="3761" t="s">
        <v>736</v>
      </c>
      <c r="C748" s="197">
        <v>7020001</v>
      </c>
      <c r="D748" s="199" t="s">
        <v>930</v>
      </c>
      <c r="E748" s="42">
        <f>IFERROR(VLOOKUP(C748,'AJE 12 - INC'!$D$168:$F$771,3,0),0)</f>
        <v>2373.86</v>
      </c>
      <c r="F748" s="108">
        <f>SUMIF('AJE 12 - INC'!B:B,'New TB INC'!C748,'AJE 12 - INC'!D:D)</f>
        <v>0</v>
      </c>
      <c r="G748" s="108"/>
      <c r="H748" s="108"/>
      <c r="I748" s="108"/>
      <c r="J748" s="798">
        <f t="shared" ref="J748:J768" si="77">SUM(E748:I748)</f>
        <v>2373.86</v>
      </c>
      <c r="K748" s="209"/>
      <c r="L748" s="434"/>
      <c r="M748" s="810"/>
      <c r="N748" s="11">
        <v>471.8</v>
      </c>
      <c r="O748" s="11">
        <v>1230.4000000000001</v>
      </c>
      <c r="P748" s="11">
        <v>0</v>
      </c>
      <c r="Q748" s="11">
        <v>0</v>
      </c>
      <c r="R748" s="773">
        <v>0</v>
      </c>
      <c r="S748" s="11">
        <v>0</v>
      </c>
      <c r="T748" s="773">
        <v>0</v>
      </c>
      <c r="U748" s="2173">
        <v>0</v>
      </c>
      <c r="V748" s="2509">
        <v>0</v>
      </c>
      <c r="W748" s="2509">
        <v>0</v>
      </c>
      <c r="X748" s="2509">
        <v>0</v>
      </c>
      <c r="Y748" s="2509">
        <v>0</v>
      </c>
      <c r="Z748" s="11">
        <f>'[26]New TB INC'!Z694</f>
        <v>0</v>
      </c>
      <c r="AA748" s="11">
        <f>'[27]New TB INC'!AA704</f>
        <v>0</v>
      </c>
      <c r="AB748" s="11">
        <f>'[28]New TB INC'!AB710</f>
        <v>0</v>
      </c>
      <c r="AC748" s="11">
        <f>'[29]New TB INC'!AC706</f>
        <v>0</v>
      </c>
      <c r="AD748" s="11">
        <f>'[30]New TB INC'!AD701</f>
        <v>0</v>
      </c>
      <c r="AE748" s="11">
        <f>'[31]New TB INC'!AE709</f>
        <v>555.79999999999995</v>
      </c>
      <c r="AF748" s="11">
        <v>906.78</v>
      </c>
      <c r="AG748" s="11">
        <v>0</v>
      </c>
      <c r="AH748" s="11">
        <v>316.88000000000011</v>
      </c>
      <c r="AI748" s="11">
        <v>0</v>
      </c>
      <c r="AJ748" s="11">
        <v>0</v>
      </c>
      <c r="AK748" s="11">
        <f>$J748-SUM($Z748:AJ748)</f>
        <v>594.40000000000009</v>
      </c>
      <c r="AL748" s="11"/>
      <c r="AM748" s="11"/>
      <c r="AN748" s="11"/>
      <c r="AO748" s="11"/>
      <c r="AP748" s="11"/>
      <c r="AQ748" s="11"/>
      <c r="AR748" s="11"/>
      <c r="AS748" s="11"/>
      <c r="AT748" s="11"/>
      <c r="AU748" s="11"/>
      <c r="AW748" s="2509"/>
      <c r="BH748" s="2509"/>
      <c r="BI748" s="772"/>
      <c r="BJ748" s="2173"/>
      <c r="BK748" s="2173"/>
      <c r="BM748" s="11"/>
      <c r="BO748" s="859"/>
      <c r="BP748" s="859"/>
      <c r="BQ748" s="859"/>
      <c r="BR748" s="859"/>
      <c r="BS748" s="859"/>
      <c r="BT748" s="11"/>
      <c r="BU748" s="11"/>
      <c r="BV748" s="11"/>
      <c r="BW748" s="11"/>
      <c r="BX748" s="11"/>
      <c r="BY748" s="11"/>
      <c r="BZ748" s="11"/>
      <c r="CA748" s="11"/>
      <c r="CB748" s="11"/>
      <c r="CC748" s="11"/>
      <c r="CD748" s="11"/>
      <c r="CE748" s="11"/>
      <c r="CF748" s="11"/>
      <c r="CG748" s="11"/>
      <c r="CH748" s="878"/>
      <c r="CI748" s="4"/>
      <c r="CJ748" s="4"/>
      <c r="CK748" s="11"/>
      <c r="CL748" s="11"/>
      <c r="CM748" s="11"/>
      <c r="CN748" s="11"/>
      <c r="CO748" s="11"/>
      <c r="CP748" s="11"/>
      <c r="CQ748" s="11"/>
      <c r="CR748" s="11"/>
      <c r="CS748" s="11"/>
      <c r="CT748" s="11"/>
      <c r="CU748" s="11"/>
      <c r="CV748" s="11"/>
      <c r="CW748" s="11"/>
      <c r="CX748" s="11"/>
      <c r="CY748" s="11"/>
      <c r="CZ748" s="11"/>
      <c r="DA748" s="11"/>
    </row>
    <row r="749" spans="1:208" s="773" customFormat="1">
      <c r="A749" s="774"/>
      <c r="B749" s="3761" t="s">
        <v>1818</v>
      </c>
      <c r="C749" s="197">
        <v>7020025</v>
      </c>
      <c r="D749" s="199" t="s">
        <v>4509</v>
      </c>
      <c r="E749" s="42">
        <f>IFERROR(VLOOKUP(C749,'AJE 12 - INC'!$D$168:$F$771,3,0),0)</f>
        <v>200</v>
      </c>
      <c r="F749" s="108">
        <f>SUMIF('AJE 12 - INC'!B:B,'New TB INC'!C749,'AJE 12 - INC'!D:D)</f>
        <v>0</v>
      </c>
      <c r="G749" s="108"/>
      <c r="H749" s="108"/>
      <c r="I749" s="108"/>
      <c r="J749" s="798">
        <f t="shared" ref="J749" si="78">SUM(E749:I749)</f>
        <v>200</v>
      </c>
      <c r="K749" s="209"/>
      <c r="L749" s="434"/>
      <c r="M749" s="810"/>
      <c r="N749" s="11"/>
      <c r="O749" s="11"/>
      <c r="P749" s="11"/>
      <c r="Q749" s="11"/>
      <c r="S749" s="11"/>
      <c r="U749" s="2173"/>
      <c r="V749" s="2509"/>
      <c r="W749" s="2509"/>
      <c r="X749" s="2509"/>
      <c r="Y749" s="2509"/>
      <c r="Z749" s="11"/>
      <c r="AA749" s="11"/>
      <c r="AB749" s="11"/>
      <c r="AC749" s="11"/>
      <c r="AD749" s="11"/>
      <c r="AE749" s="11"/>
      <c r="AF749" s="11"/>
      <c r="AG749" s="11"/>
      <c r="AH749" s="11"/>
      <c r="AI749" s="11"/>
      <c r="AJ749" s="11">
        <v>200</v>
      </c>
      <c r="AK749" s="11">
        <f>$J749-SUM($Z749:AJ749)</f>
        <v>0</v>
      </c>
      <c r="AL749" s="11"/>
      <c r="AM749" s="11"/>
      <c r="AN749" s="11"/>
      <c r="AO749" s="11"/>
      <c r="AP749" s="11"/>
      <c r="AQ749" s="11"/>
      <c r="AR749" s="11"/>
      <c r="AS749" s="11"/>
      <c r="AT749" s="11"/>
      <c r="AU749" s="11"/>
      <c r="AW749" s="2509"/>
      <c r="BH749" s="2509"/>
      <c r="BI749" s="772"/>
      <c r="BJ749" s="2173"/>
      <c r="BK749" s="2173"/>
      <c r="BM749" s="11"/>
      <c r="BO749" s="859"/>
      <c r="BP749" s="859"/>
      <c r="BQ749" s="859"/>
      <c r="BR749" s="859"/>
      <c r="BS749" s="859"/>
      <c r="BT749" s="11"/>
      <c r="BU749" s="11"/>
      <c r="BV749" s="11"/>
      <c r="BW749" s="11"/>
      <c r="BX749" s="11"/>
      <c r="BY749" s="11"/>
      <c r="BZ749" s="11"/>
      <c r="CA749" s="11"/>
      <c r="CB749" s="11"/>
      <c r="CC749" s="11"/>
      <c r="CD749" s="11"/>
      <c r="CE749" s="11"/>
      <c r="CF749" s="11"/>
      <c r="CG749" s="11"/>
      <c r="CH749" s="878"/>
      <c r="CI749" s="4"/>
      <c r="CJ749" s="4"/>
      <c r="CK749" s="11"/>
      <c r="CL749" s="11"/>
      <c r="CM749" s="11"/>
      <c r="CN749" s="11"/>
      <c r="CO749" s="11"/>
      <c r="CP749" s="11"/>
      <c r="CQ749" s="11"/>
      <c r="CR749" s="11"/>
      <c r="CS749" s="11"/>
      <c r="CT749" s="11"/>
      <c r="CU749" s="11"/>
      <c r="CV749" s="11"/>
      <c r="CW749" s="11"/>
      <c r="CX749" s="11"/>
      <c r="CY749" s="11"/>
      <c r="CZ749" s="11"/>
      <c r="DA749" s="11"/>
    </row>
    <row r="750" spans="1:208" s="773" customFormat="1">
      <c r="A750" s="774"/>
      <c r="B750" s="3761" t="s">
        <v>1818</v>
      </c>
      <c r="C750" s="197">
        <v>7020040</v>
      </c>
      <c r="D750" s="199" t="s">
        <v>3256</v>
      </c>
      <c r="E750" s="42">
        <f>IFERROR(VLOOKUP(C750,'AJE 12 - INC'!$D$168:$F$771,3,0),0)</f>
        <v>1235</v>
      </c>
      <c r="F750" s="108">
        <f>SUMIF('AJE 12 - INC'!B:B,'New TB INC'!C750,'AJE 12 - INC'!D:D)</f>
        <v>0</v>
      </c>
      <c r="G750" s="108"/>
      <c r="H750" s="108"/>
      <c r="I750" s="108"/>
      <c r="J750" s="798">
        <f t="shared" si="77"/>
        <v>1235</v>
      </c>
      <c r="K750" s="209"/>
      <c r="L750" s="434"/>
      <c r="M750" s="810"/>
      <c r="N750" s="11"/>
      <c r="O750" s="11"/>
      <c r="P750" s="11"/>
      <c r="Q750" s="11"/>
      <c r="S750" s="11"/>
      <c r="U750" s="2173"/>
      <c r="V750" s="2509"/>
      <c r="W750" s="2509"/>
      <c r="X750" s="2509"/>
      <c r="Y750" s="2509"/>
      <c r="Z750" s="11">
        <f>'[26]New TB INC'!Z695</f>
        <v>0</v>
      </c>
      <c r="AA750" s="11">
        <f>'[27]New TB INC'!AA705</f>
        <v>192</v>
      </c>
      <c r="AB750" s="11">
        <f>'[28]New TB INC'!AB711</f>
        <v>0</v>
      </c>
      <c r="AC750" s="11">
        <f>'[29]New TB INC'!AC707</f>
        <v>1043</v>
      </c>
      <c r="AD750" s="11">
        <f>'[30]New TB INC'!AD702</f>
        <v>0</v>
      </c>
      <c r="AE750" s="11">
        <f>'[31]New TB INC'!AE710</f>
        <v>0</v>
      </c>
      <c r="AF750" s="11">
        <v>0</v>
      </c>
      <c r="AG750" s="11">
        <v>0</v>
      </c>
      <c r="AH750" s="11">
        <v>0</v>
      </c>
      <c r="AI750" s="11">
        <v>0</v>
      </c>
      <c r="AJ750" s="11">
        <v>0</v>
      </c>
      <c r="AK750" s="11">
        <f>$J750-SUM($Z750:AJ750)</f>
        <v>0</v>
      </c>
      <c r="AL750" s="11"/>
      <c r="AM750" s="11"/>
      <c r="AN750" s="11"/>
      <c r="AO750" s="11"/>
      <c r="AP750" s="11"/>
      <c r="AQ750" s="11"/>
      <c r="AR750" s="11"/>
      <c r="AS750" s="11"/>
      <c r="AT750" s="11"/>
      <c r="AU750" s="11"/>
      <c r="AW750" s="2509"/>
      <c r="BH750" s="2509"/>
      <c r="BI750" s="772"/>
      <c r="BJ750" s="2173"/>
      <c r="BK750" s="2173"/>
      <c r="BM750" s="11"/>
      <c r="BO750" s="859"/>
      <c r="BP750" s="859"/>
      <c r="BQ750" s="859"/>
      <c r="BR750" s="859"/>
      <c r="BS750" s="859"/>
      <c r="BT750" s="11"/>
      <c r="BU750" s="11"/>
      <c r="BV750" s="11"/>
      <c r="BW750" s="11"/>
      <c r="BX750" s="11"/>
      <c r="BY750" s="11"/>
      <c r="BZ750" s="11"/>
      <c r="CA750" s="11"/>
      <c r="CB750" s="11"/>
      <c r="CC750" s="11"/>
      <c r="CD750" s="11"/>
      <c r="CE750" s="11"/>
      <c r="CF750" s="11"/>
      <c r="CG750" s="11"/>
      <c r="CH750" s="878"/>
      <c r="CI750" s="4"/>
      <c r="CJ750" s="4"/>
      <c r="CK750" s="11"/>
      <c r="CL750" s="11"/>
      <c r="CM750" s="11"/>
      <c r="CN750" s="11"/>
      <c r="CO750" s="11"/>
      <c r="CP750" s="11"/>
      <c r="CQ750" s="11"/>
      <c r="CR750" s="11"/>
      <c r="CS750" s="11"/>
      <c r="CT750" s="11"/>
      <c r="CU750" s="11"/>
      <c r="CV750" s="11"/>
      <c r="CW750" s="11"/>
      <c r="CX750" s="11"/>
      <c r="CY750" s="11"/>
      <c r="CZ750" s="11"/>
      <c r="DA750" s="11"/>
    </row>
    <row r="751" spans="1:208" s="773" customFormat="1">
      <c r="A751" s="774"/>
      <c r="B751" s="3761" t="s">
        <v>1818</v>
      </c>
      <c r="C751" s="197">
        <v>7020005</v>
      </c>
      <c r="D751" s="199" t="s">
        <v>3108</v>
      </c>
      <c r="E751" s="42">
        <f>IFERROR(VLOOKUP(C751,'AJE 12 - INC'!$D$168:$F$771,3,0),0)</f>
        <v>3712.2</v>
      </c>
      <c r="F751" s="108">
        <f>SUMIF('AJE 12 - INC'!B:B,'New TB INC'!C751,'AJE 12 - INC'!D:D)</f>
        <v>0</v>
      </c>
      <c r="G751" s="108"/>
      <c r="H751" s="108"/>
      <c r="I751" s="108"/>
      <c r="J751" s="798">
        <f t="shared" si="77"/>
        <v>3712.2</v>
      </c>
      <c r="K751" s="209"/>
      <c r="L751" s="434"/>
      <c r="M751" s="810"/>
      <c r="N751" s="11"/>
      <c r="O751" s="11"/>
      <c r="P751" s="11"/>
      <c r="Q751" s="11"/>
      <c r="S751" s="11"/>
      <c r="U751" s="2173"/>
      <c r="V751" s="2509"/>
      <c r="W751" s="2509"/>
      <c r="X751" s="2509"/>
      <c r="Y751" s="2509">
        <v>0</v>
      </c>
      <c r="Z751" s="11">
        <f>'[26]New TB INC'!Z696</f>
        <v>12.78</v>
      </c>
      <c r="AA751" s="11">
        <f>'[27]New TB INC'!AA706</f>
        <v>0</v>
      </c>
      <c r="AB751" s="11">
        <f>'[28]New TB INC'!AB712</f>
        <v>0</v>
      </c>
      <c r="AC751" s="11">
        <f>'[29]New TB INC'!AC708</f>
        <v>0</v>
      </c>
      <c r="AD751" s="11">
        <f>'[30]New TB INC'!AD703</f>
        <v>779.88</v>
      </c>
      <c r="AE751" s="11">
        <f>'[31]New TB INC'!AE711</f>
        <v>0</v>
      </c>
      <c r="AF751" s="11">
        <v>74.910000000000082</v>
      </c>
      <c r="AG751" s="11">
        <v>392.40999999999997</v>
      </c>
      <c r="AH751" s="11">
        <v>87.089999999999918</v>
      </c>
      <c r="AI751" s="11">
        <v>87.090000000000146</v>
      </c>
      <c r="AJ751" s="11">
        <v>1302.49</v>
      </c>
      <c r="AK751" s="11">
        <f>$J751-SUM($Z751:AJ751)</f>
        <v>975.54999999999973</v>
      </c>
      <c r="AL751" s="11"/>
      <c r="AM751" s="11"/>
      <c r="AN751" s="11"/>
      <c r="AO751" s="11"/>
      <c r="AP751" s="11"/>
      <c r="AQ751" s="11"/>
      <c r="AR751" s="11"/>
      <c r="AS751" s="11"/>
      <c r="AT751" s="11"/>
      <c r="AU751" s="11"/>
      <c r="AW751" s="2509"/>
      <c r="BH751" s="2509"/>
      <c r="BI751" s="772"/>
      <c r="BJ751" s="2173"/>
      <c r="BK751" s="2173"/>
      <c r="BM751" s="11"/>
      <c r="BO751" s="859"/>
      <c r="BP751" s="859"/>
      <c r="BQ751" s="859"/>
      <c r="BR751" s="859"/>
      <c r="BS751" s="859"/>
      <c r="BT751" s="11"/>
      <c r="BU751" s="11"/>
      <c r="BV751" s="11"/>
      <c r="BW751" s="11"/>
      <c r="BX751" s="11"/>
      <c r="BY751" s="11"/>
      <c r="BZ751" s="11"/>
      <c r="CA751" s="11"/>
      <c r="CB751" s="11"/>
      <c r="CC751" s="11"/>
      <c r="CD751" s="11"/>
      <c r="CE751" s="11"/>
      <c r="CF751" s="11"/>
      <c r="CG751" s="11"/>
      <c r="CH751" s="878"/>
      <c r="CI751" s="4"/>
      <c r="CJ751" s="4"/>
      <c r="CK751" s="11"/>
      <c r="CL751" s="11"/>
      <c r="CM751" s="11"/>
      <c r="CN751" s="11"/>
      <c r="CO751" s="11"/>
      <c r="CP751" s="11"/>
      <c r="CQ751" s="11"/>
      <c r="CR751" s="11"/>
      <c r="CS751" s="11"/>
      <c r="CT751" s="11"/>
      <c r="CU751" s="11"/>
      <c r="CV751" s="11"/>
      <c r="CW751" s="11"/>
      <c r="CX751" s="11"/>
      <c r="CY751" s="11"/>
      <c r="CZ751" s="11"/>
      <c r="DA751" s="11"/>
    </row>
    <row r="752" spans="1:208" s="773" customFormat="1">
      <c r="A752" s="774"/>
      <c r="B752" s="3761" t="s">
        <v>736</v>
      </c>
      <c r="C752" s="197">
        <v>7020002</v>
      </c>
      <c r="D752" s="199" t="s">
        <v>931</v>
      </c>
      <c r="E752" s="42">
        <f>IFERROR(VLOOKUP(C752,'AJE 12 - INC'!$D$168:$F$771,3,0),0)</f>
        <v>2615.33</v>
      </c>
      <c r="F752" s="108">
        <f>SUMIF('AJE 12 - INC'!B:B,'New TB INC'!C752,'AJE 12 - INC'!D:D)</f>
        <v>0</v>
      </c>
      <c r="G752" s="108"/>
      <c r="H752" s="108"/>
      <c r="I752" s="108"/>
      <c r="J752" s="798">
        <f t="shared" si="77"/>
        <v>2615.33</v>
      </c>
      <c r="K752" s="209"/>
      <c r="L752" s="434"/>
      <c r="M752" s="810"/>
      <c r="N752" s="11">
        <v>0</v>
      </c>
      <c r="O752" s="11">
        <v>4869.57</v>
      </c>
      <c r="P752" s="11">
        <v>0</v>
      </c>
      <c r="Q752" s="11">
        <v>0</v>
      </c>
      <c r="R752" s="773">
        <v>0</v>
      </c>
      <c r="S752" s="11">
        <v>0</v>
      </c>
      <c r="T752" s="773">
        <v>0</v>
      </c>
      <c r="U752" s="2173">
        <v>0</v>
      </c>
      <c r="V752" s="2509">
        <v>0</v>
      </c>
      <c r="W752" s="2509">
        <v>0</v>
      </c>
      <c r="X752" s="2509">
        <v>0</v>
      </c>
      <c r="Y752" s="2509">
        <v>0</v>
      </c>
      <c r="Z752" s="11">
        <f>'[26]New TB INC'!Z697</f>
        <v>0</v>
      </c>
      <c r="AA752" s="11">
        <f>'[27]New TB INC'!AA707</f>
        <v>0</v>
      </c>
      <c r="AB752" s="11">
        <f>'[28]New TB INC'!AB713</f>
        <v>0</v>
      </c>
      <c r="AC752" s="11">
        <f>'[29]New TB INC'!AC709</f>
        <v>0</v>
      </c>
      <c r="AD752" s="11">
        <f>'[30]New TB INC'!AD704</f>
        <v>0</v>
      </c>
      <c r="AE752" s="11">
        <f>'[31]New TB INC'!AE712</f>
        <v>341.58</v>
      </c>
      <c r="AF752" s="11">
        <v>707.34000000000015</v>
      </c>
      <c r="AG752" s="11">
        <v>0</v>
      </c>
      <c r="AH752" s="11">
        <v>0</v>
      </c>
      <c r="AI752" s="11">
        <v>0</v>
      </c>
      <c r="AJ752" s="11">
        <v>1566.4099999999999</v>
      </c>
      <c r="AK752" s="11">
        <f>$J752-SUM($Z752:AJ752)</f>
        <v>0</v>
      </c>
      <c r="AL752" s="11"/>
      <c r="AM752" s="11"/>
      <c r="AN752" s="11"/>
      <c r="AO752" s="11"/>
      <c r="AP752" s="11"/>
      <c r="AQ752" s="11"/>
      <c r="AR752" s="11"/>
      <c r="AS752" s="11"/>
      <c r="AT752" s="11"/>
      <c r="AU752" s="11"/>
      <c r="AW752" s="2509"/>
      <c r="BH752" s="2509"/>
      <c r="BI752" s="772"/>
      <c r="BJ752" s="2173"/>
      <c r="BK752" s="2173"/>
      <c r="BM752" s="11"/>
      <c r="BO752" s="859"/>
      <c r="BP752" s="859"/>
      <c r="BQ752" s="859"/>
      <c r="BR752" s="859"/>
      <c r="BS752" s="859"/>
      <c r="BT752" s="11"/>
      <c r="BU752" s="11"/>
      <c r="BV752" s="11"/>
      <c r="BW752" s="11"/>
      <c r="BX752" s="11"/>
      <c r="BY752" s="11"/>
      <c r="BZ752" s="11"/>
      <c r="CA752" s="11"/>
      <c r="CB752" s="11"/>
      <c r="CC752" s="11"/>
      <c r="CD752" s="11"/>
      <c r="CE752" s="11"/>
      <c r="CF752" s="11"/>
      <c r="CG752" s="11"/>
      <c r="CH752" s="878"/>
      <c r="CI752" s="4"/>
      <c r="CJ752" s="4"/>
      <c r="CK752" s="11"/>
      <c r="CL752" s="11"/>
      <c r="CM752" s="11"/>
      <c r="CN752" s="11"/>
      <c r="CO752" s="11"/>
      <c r="CP752" s="11"/>
      <c r="CQ752" s="11"/>
      <c r="CR752" s="11"/>
      <c r="CS752" s="11"/>
      <c r="CT752" s="11"/>
      <c r="CU752" s="11"/>
      <c r="CV752" s="11"/>
      <c r="CW752" s="11"/>
      <c r="CX752" s="11"/>
      <c r="CY752" s="11"/>
      <c r="CZ752" s="11"/>
      <c r="DA752" s="11"/>
    </row>
    <row r="753" spans="1:105" s="773" customFormat="1">
      <c r="A753" s="774"/>
      <c r="B753" s="3761" t="s">
        <v>736</v>
      </c>
      <c r="C753" s="197">
        <v>7020003</v>
      </c>
      <c r="D753" s="199" t="s">
        <v>932</v>
      </c>
      <c r="E753" s="42">
        <f>IFERROR(VLOOKUP(C753,'AJE 12 - INC'!$D$168:$F$771,3,0),0)</f>
        <v>257.39999999999998</v>
      </c>
      <c r="F753" s="108">
        <f>SUMIF('AJE 12 - INC'!B:B,'New TB INC'!C753,'AJE 12 - INC'!D:D)</f>
        <v>0</v>
      </c>
      <c r="G753" s="108"/>
      <c r="H753" s="108"/>
      <c r="I753" s="108"/>
      <c r="J753" s="798">
        <f t="shared" si="77"/>
        <v>257.39999999999998</v>
      </c>
      <c r="K753" s="209"/>
      <c r="L753" s="434"/>
      <c r="M753" s="810"/>
      <c r="N753" s="11">
        <v>0</v>
      </c>
      <c r="O753" s="11">
        <v>506.41</v>
      </c>
      <c r="P753" s="11">
        <v>0</v>
      </c>
      <c r="Q753" s="11">
        <v>0</v>
      </c>
      <c r="R753" s="773">
        <v>0</v>
      </c>
      <c r="S753" s="11">
        <v>0</v>
      </c>
      <c r="T753" s="773">
        <v>0</v>
      </c>
      <c r="U753" s="2173">
        <v>0</v>
      </c>
      <c r="V753" s="2509">
        <v>0</v>
      </c>
      <c r="W753" s="2509">
        <v>0</v>
      </c>
      <c r="X753" s="2509">
        <v>0</v>
      </c>
      <c r="Y753" s="2509">
        <v>0</v>
      </c>
      <c r="Z753" s="11">
        <f>'[26]New TB INC'!Z698</f>
        <v>0</v>
      </c>
      <c r="AA753" s="11">
        <f>'[27]New TB INC'!AA708</f>
        <v>0</v>
      </c>
      <c r="AB753" s="11">
        <f>'[28]New TB INC'!AB714</f>
        <v>0</v>
      </c>
      <c r="AC753" s="11">
        <f>'[29]New TB INC'!AC710</f>
        <v>0</v>
      </c>
      <c r="AD753" s="11">
        <f>'[30]New TB INC'!AD705</f>
        <v>0</v>
      </c>
      <c r="AE753" s="11">
        <f>'[31]New TB INC'!AE713</f>
        <v>0</v>
      </c>
      <c r="AF753" s="11">
        <v>74.349999999999994</v>
      </c>
      <c r="AG753" s="11">
        <v>0</v>
      </c>
      <c r="AH753" s="11">
        <v>0</v>
      </c>
      <c r="AI753" s="11">
        <v>0</v>
      </c>
      <c r="AJ753" s="11">
        <v>112.61000000000001</v>
      </c>
      <c r="AK753" s="11">
        <f>$J753-SUM($Z753:AJ753)</f>
        <v>70.439999999999969</v>
      </c>
      <c r="AL753" s="11"/>
      <c r="AM753" s="11"/>
      <c r="AN753" s="11"/>
      <c r="AO753" s="11"/>
      <c r="AP753" s="11"/>
      <c r="AQ753" s="11"/>
      <c r="AR753" s="11"/>
      <c r="AS753" s="11"/>
      <c r="AT753" s="11"/>
      <c r="AU753" s="11"/>
      <c r="AW753" s="2509"/>
      <c r="BH753" s="2509"/>
      <c r="BI753" s="772"/>
      <c r="BJ753" s="2173"/>
      <c r="BK753" s="2173"/>
      <c r="BM753" s="11"/>
      <c r="BO753" s="209"/>
      <c r="BP753" s="11"/>
      <c r="BQ753" s="11"/>
      <c r="BR753" s="11"/>
      <c r="BS753" s="11"/>
      <c r="BT753" s="11"/>
      <c r="BU753" s="11"/>
      <c r="BV753" s="11"/>
      <c r="BW753" s="11"/>
      <c r="BX753" s="11"/>
      <c r="BY753" s="11"/>
      <c r="BZ753" s="11"/>
      <c r="CA753" s="11"/>
      <c r="CB753" s="11"/>
      <c r="CC753" s="11"/>
      <c r="CD753" s="11"/>
      <c r="CE753" s="11"/>
      <c r="CF753" s="11"/>
      <c r="CG753" s="11"/>
      <c r="CH753" s="878"/>
      <c r="CI753" s="4"/>
      <c r="CJ753" s="4"/>
      <c r="CK753" s="11"/>
      <c r="CL753" s="11"/>
      <c r="CM753" s="11"/>
      <c r="CN753" s="11"/>
      <c r="CO753" s="11"/>
      <c r="CP753" s="11"/>
      <c r="CQ753" s="11"/>
      <c r="CR753" s="11"/>
      <c r="CS753" s="11"/>
      <c r="CT753" s="11"/>
      <c r="CU753" s="11"/>
      <c r="CV753" s="11"/>
      <c r="CW753" s="11"/>
      <c r="CX753" s="11"/>
      <c r="CY753" s="11"/>
      <c r="CZ753" s="11"/>
      <c r="DA753" s="11"/>
    </row>
    <row r="754" spans="1:105" s="773" customFormat="1">
      <c r="A754" s="774"/>
      <c r="B754" s="3761" t="s">
        <v>736</v>
      </c>
      <c r="C754" s="197">
        <v>7020004</v>
      </c>
      <c r="D754" s="199" t="s">
        <v>933</v>
      </c>
      <c r="E754" s="42">
        <f>IFERROR(VLOOKUP(C754,'AJE 12 - INC'!$D$168:$F$771,3,0),0)</f>
        <v>900.49</v>
      </c>
      <c r="F754" s="108">
        <f>SUMIF('AJE 12 - INC'!B:B,'New TB INC'!C754,'AJE 12 - INC'!D:D)</f>
        <v>0</v>
      </c>
      <c r="G754" s="108"/>
      <c r="H754" s="108"/>
      <c r="I754" s="108"/>
      <c r="J754" s="798">
        <f t="shared" si="77"/>
        <v>900.49</v>
      </c>
      <c r="K754" s="209"/>
      <c r="L754" s="434"/>
      <c r="M754" s="810"/>
      <c r="N754" s="11">
        <v>0</v>
      </c>
      <c r="O754" s="11">
        <v>688.55</v>
      </c>
      <c r="P754" s="11">
        <v>0</v>
      </c>
      <c r="Q754" s="11">
        <v>0</v>
      </c>
      <c r="R754" s="773">
        <v>0</v>
      </c>
      <c r="S754" s="11">
        <v>0</v>
      </c>
      <c r="T754" s="773">
        <v>0</v>
      </c>
      <c r="U754" s="2173">
        <v>0</v>
      </c>
      <c r="V754" s="2509">
        <v>0</v>
      </c>
      <c r="W754" s="2509">
        <v>0</v>
      </c>
      <c r="X754" s="2509">
        <v>0</v>
      </c>
      <c r="Y754" s="2509">
        <v>0</v>
      </c>
      <c r="Z754" s="11">
        <f>'[26]New TB INC'!Z699</f>
        <v>0</v>
      </c>
      <c r="AA754" s="11">
        <f>'[27]New TB INC'!AA709</f>
        <v>0</v>
      </c>
      <c r="AB754" s="11">
        <f>'[28]New TB INC'!AB715</f>
        <v>0</v>
      </c>
      <c r="AC754" s="11">
        <f>'[29]New TB INC'!AC711</f>
        <v>0</v>
      </c>
      <c r="AD754" s="11">
        <f>'[30]New TB INC'!AD706</f>
        <v>0</v>
      </c>
      <c r="AE754" s="11">
        <f>'[31]New TB INC'!AE714</f>
        <v>0</v>
      </c>
      <c r="AF754" s="11">
        <v>64.41</v>
      </c>
      <c r="AG754" s="11">
        <v>0</v>
      </c>
      <c r="AH754" s="11">
        <v>0</v>
      </c>
      <c r="AI754" s="11">
        <v>0</v>
      </c>
      <c r="AJ754" s="11">
        <v>647.9</v>
      </c>
      <c r="AK754" s="11">
        <f>$J754-SUM($Z754:AJ754)</f>
        <v>188.18000000000006</v>
      </c>
      <c r="AL754" s="11"/>
      <c r="AM754" s="11"/>
      <c r="AN754" s="11"/>
      <c r="AO754" s="11"/>
      <c r="AP754" s="11"/>
      <c r="AQ754" s="11"/>
      <c r="AR754" s="11"/>
      <c r="AS754" s="11"/>
      <c r="AT754" s="11"/>
      <c r="AU754" s="11"/>
      <c r="AW754" s="2509"/>
      <c r="BH754" s="2509"/>
      <c r="BI754" s="772"/>
      <c r="BJ754" s="2173"/>
      <c r="BK754" s="2173"/>
      <c r="BM754" s="11"/>
      <c r="BO754" s="209"/>
      <c r="BP754" s="11"/>
      <c r="BQ754" s="11"/>
      <c r="BR754" s="11"/>
      <c r="BS754" s="11"/>
      <c r="BT754" s="11"/>
      <c r="BU754" s="11"/>
      <c r="BV754" s="11"/>
      <c r="BW754" s="11"/>
      <c r="BX754" s="11"/>
      <c r="BY754" s="11"/>
      <c r="BZ754" s="11"/>
      <c r="CA754" s="11"/>
      <c r="CB754" s="11"/>
      <c r="CC754" s="11"/>
      <c r="CD754" s="11"/>
      <c r="CE754" s="11"/>
      <c r="CF754" s="11"/>
      <c r="CG754" s="11"/>
      <c r="CH754" s="878"/>
      <c r="CI754" s="4"/>
      <c r="CJ754" s="4"/>
      <c r="CK754" s="11"/>
      <c r="CL754" s="11"/>
      <c r="CM754" s="11"/>
      <c r="CN754" s="11"/>
      <c r="CO754" s="11"/>
      <c r="CP754" s="11"/>
      <c r="CQ754" s="11"/>
      <c r="CR754" s="11"/>
      <c r="CS754" s="11"/>
      <c r="CT754" s="11"/>
      <c r="CU754" s="11"/>
      <c r="CV754" s="11"/>
      <c r="CW754" s="11"/>
      <c r="CX754" s="11"/>
      <c r="CY754" s="11"/>
      <c r="CZ754" s="11"/>
      <c r="DA754" s="11"/>
    </row>
    <row r="755" spans="1:105" s="773" customFormat="1">
      <c r="A755" s="774"/>
      <c r="B755" s="3761" t="s">
        <v>736</v>
      </c>
      <c r="C755" s="197">
        <v>7020026</v>
      </c>
      <c r="D755" s="199" t="s">
        <v>934</v>
      </c>
      <c r="E755" s="42">
        <f>IFERROR(VLOOKUP(C755,'AJE 12 - INC'!$D$168:$F$771,3,0),0)</f>
        <v>2320.7399999999998</v>
      </c>
      <c r="F755" s="108">
        <f>SUMIF('AJE 12 - INC'!B:B,'New TB INC'!C755,'AJE 12 - INC'!D:D)</f>
        <v>0</v>
      </c>
      <c r="G755" s="108"/>
      <c r="H755" s="108"/>
      <c r="I755" s="108"/>
      <c r="J755" s="798">
        <f t="shared" si="77"/>
        <v>2320.7399999999998</v>
      </c>
      <c r="K755" s="209"/>
      <c r="L755" s="434"/>
      <c r="M755" s="810"/>
      <c r="N755" s="11">
        <v>450</v>
      </c>
      <c r="O755" s="11">
        <v>2222.7199999999998</v>
      </c>
      <c r="P755" s="11">
        <v>450</v>
      </c>
      <c r="Q755" s="11">
        <v>2222.7199999999998</v>
      </c>
      <c r="R755" s="773">
        <v>450</v>
      </c>
      <c r="S755" s="11">
        <v>139.32000000000062</v>
      </c>
      <c r="T755" s="773">
        <v>888.20999999999958</v>
      </c>
      <c r="U755" s="2173">
        <v>438.21000000000095</v>
      </c>
      <c r="V755" s="2509">
        <v>438.21000000000004</v>
      </c>
      <c r="W755" s="2509">
        <v>438.21000000000004</v>
      </c>
      <c r="X755" s="2509">
        <v>438.20999999999913</v>
      </c>
      <c r="Y755" s="2509">
        <v>438.21000000000095</v>
      </c>
      <c r="Z755" s="11">
        <f>'[26]New TB INC'!Z701</f>
        <v>438.21</v>
      </c>
      <c r="AA755" s="11">
        <f>'[27]New TB INC'!AA711</f>
        <v>438.21</v>
      </c>
      <c r="AB755" s="11">
        <f>'[28]New TB INC'!AB717</f>
        <v>438.21000000000015</v>
      </c>
      <c r="AC755" s="11">
        <f>'[29]New TB INC'!AC713</f>
        <v>438.20999999999981</v>
      </c>
      <c r="AD755" s="11">
        <f>'[30]New TB INC'!AD708</f>
        <v>438.21000000000026</v>
      </c>
      <c r="AE755" s="11">
        <f>'[31]New TB INC'!AE716</f>
        <v>129.6899999999996</v>
      </c>
      <c r="AF755" s="11">
        <v>0</v>
      </c>
      <c r="AG755" s="11">
        <v>0</v>
      </c>
      <c r="AH755" s="11">
        <v>0</v>
      </c>
      <c r="AI755" s="11">
        <v>0</v>
      </c>
      <c r="AJ755" s="11">
        <v>0</v>
      </c>
      <c r="AK755" s="11">
        <f>$J755-SUM($Z755:AJ755)</f>
        <v>0</v>
      </c>
      <c r="AL755" s="11"/>
      <c r="AM755" s="11"/>
      <c r="AN755" s="11"/>
      <c r="AO755" s="11"/>
      <c r="AP755" s="11"/>
      <c r="AQ755" s="11"/>
      <c r="AR755" s="11"/>
      <c r="AS755" s="11"/>
      <c r="AT755" s="11"/>
      <c r="AU755" s="11"/>
      <c r="AW755" s="2509"/>
      <c r="BH755" s="2509"/>
      <c r="BI755" s="772"/>
      <c r="BJ755" s="2173"/>
      <c r="BK755" s="2173"/>
      <c r="BM755" s="11"/>
      <c r="BO755" s="209"/>
      <c r="BP755" s="273"/>
      <c r="BQ755" s="11"/>
      <c r="BR755" s="11"/>
      <c r="BS755" s="11"/>
      <c r="BT755" s="11"/>
      <c r="BU755" s="11"/>
      <c r="BV755" s="11"/>
      <c r="BW755" s="11"/>
      <c r="BX755" s="11"/>
      <c r="BY755" s="11"/>
      <c r="BZ755" s="11"/>
      <c r="CA755" s="11"/>
      <c r="CB755" s="11"/>
      <c r="CC755" s="11"/>
      <c r="CD755" s="11"/>
      <c r="CE755" s="11"/>
      <c r="CF755" s="11"/>
      <c r="CG755" s="11"/>
      <c r="CH755" s="878"/>
      <c r="CI755" s="4"/>
      <c r="CJ755" s="4"/>
      <c r="CK755" s="11"/>
      <c r="CL755" s="11"/>
      <c r="CM755" s="11"/>
      <c r="CN755" s="11"/>
      <c r="CO755" s="11"/>
      <c r="CP755" s="11"/>
      <c r="CQ755" s="11"/>
      <c r="CR755" s="11"/>
      <c r="CS755" s="11"/>
      <c r="CT755" s="11"/>
      <c r="CU755" s="11"/>
      <c r="CV755" s="11"/>
      <c r="CW755" s="11"/>
      <c r="CX755" s="11"/>
      <c r="CY755" s="11"/>
      <c r="CZ755" s="11"/>
      <c r="DA755" s="11"/>
    </row>
    <row r="756" spans="1:105" s="773" customFormat="1">
      <c r="A756" s="774"/>
      <c r="B756" s="3761" t="s">
        <v>736</v>
      </c>
      <c r="C756" s="197">
        <v>7020027</v>
      </c>
      <c r="D756" s="199" t="s">
        <v>737</v>
      </c>
      <c r="E756" s="42">
        <f>IFERROR(VLOOKUP(C756,'AJE 12 - INC'!$D$168:$F$771,3,0),0)</f>
        <v>88060</v>
      </c>
      <c r="F756" s="108">
        <f>SUMIF('AJE 12 - INC'!B:B,'New TB INC'!C756,'AJE 12 - INC'!D:D)</f>
        <v>0</v>
      </c>
      <c r="G756" s="108"/>
      <c r="H756" s="108"/>
      <c r="I756" s="108"/>
      <c r="J756" s="798">
        <f t="shared" si="77"/>
        <v>88060</v>
      </c>
      <c r="K756" s="209"/>
      <c r="L756" s="434"/>
      <c r="M756" s="810"/>
      <c r="N756" s="11">
        <v>7130</v>
      </c>
      <c r="O756" s="11">
        <v>7130</v>
      </c>
      <c r="P756" s="11">
        <v>7130</v>
      </c>
      <c r="Q756" s="11">
        <v>7130</v>
      </c>
      <c r="R756" s="773">
        <v>7130</v>
      </c>
      <c r="S756" s="11">
        <v>7130</v>
      </c>
      <c r="T756" s="773">
        <v>8035</v>
      </c>
      <c r="U756" s="2173">
        <v>7130</v>
      </c>
      <c r="V756" s="2509">
        <v>7130</v>
      </c>
      <c r="W756" s="2509">
        <v>7130</v>
      </c>
      <c r="X756" s="2509">
        <v>28630</v>
      </c>
      <c r="Y756" s="2509">
        <v>7130</v>
      </c>
      <c r="Z756" s="11">
        <f>'[26]New TB INC'!Z702</f>
        <v>7130</v>
      </c>
      <c r="AA756" s="11">
        <f>'[27]New TB INC'!AA712</f>
        <v>9630</v>
      </c>
      <c r="AB756" s="11">
        <f>'[28]New TB INC'!AB718</f>
        <v>7130</v>
      </c>
      <c r="AC756" s="11">
        <f>'[29]New TB INC'!AC714</f>
        <v>7130</v>
      </c>
      <c r="AD756" s="11">
        <f>'[30]New TB INC'!AD709</f>
        <v>7130</v>
      </c>
      <c r="AE756" s="11">
        <f>'[31]New TB INC'!AE717</f>
        <v>7130</v>
      </c>
      <c r="AF756" s="11">
        <v>7130</v>
      </c>
      <c r="AG756" s="11">
        <v>7130</v>
      </c>
      <c r="AH756" s="11">
        <v>7130</v>
      </c>
      <c r="AI756" s="11">
        <v>7130</v>
      </c>
      <c r="AJ756" s="11">
        <v>7130</v>
      </c>
      <c r="AK756" s="11">
        <f>$J756-SUM($Z756:AJ756)</f>
        <v>7130</v>
      </c>
      <c r="AL756" s="11"/>
      <c r="AM756" s="11"/>
      <c r="AN756" s="11"/>
      <c r="AO756" s="11"/>
      <c r="AP756" s="11"/>
      <c r="AQ756" s="11"/>
      <c r="AR756" s="11"/>
      <c r="AS756" s="11"/>
      <c r="AT756" s="11"/>
      <c r="AU756" s="11"/>
      <c r="AW756" s="2509"/>
      <c r="BH756" s="2509"/>
      <c r="BI756" s="772"/>
      <c r="BJ756" s="2173"/>
      <c r="BK756" s="2173"/>
      <c r="BM756" s="11"/>
      <c r="BO756" s="209"/>
      <c r="BP756" s="11"/>
      <c r="BQ756" s="11"/>
      <c r="BR756" s="11"/>
      <c r="BS756" s="11"/>
      <c r="BT756" s="11"/>
      <c r="BU756" s="11"/>
      <c r="BV756" s="11"/>
      <c r="BW756" s="11"/>
      <c r="BX756" s="11"/>
      <c r="BY756" s="11"/>
      <c r="BZ756" s="11"/>
      <c r="CA756" s="11"/>
      <c r="CB756" s="11"/>
      <c r="CC756" s="11"/>
      <c r="CD756" s="11"/>
      <c r="CE756" s="11"/>
      <c r="CF756" s="11"/>
      <c r="CG756" s="11"/>
      <c r="CH756" s="878"/>
      <c r="CI756" s="4"/>
      <c r="CJ756" s="4"/>
      <c r="CK756" s="11"/>
      <c r="CL756" s="11"/>
      <c r="CM756" s="11"/>
      <c r="CN756" s="11"/>
      <c r="CO756" s="11"/>
      <c r="CP756" s="11"/>
      <c r="CQ756" s="11"/>
      <c r="CR756" s="11"/>
      <c r="CS756" s="11"/>
      <c r="CT756" s="11"/>
      <c r="CU756" s="11"/>
      <c r="CV756" s="11"/>
      <c r="CW756" s="11"/>
      <c r="CX756" s="11"/>
      <c r="CY756" s="11"/>
      <c r="CZ756" s="11"/>
      <c r="DA756" s="11"/>
    </row>
    <row r="757" spans="1:105" s="773" customFormat="1">
      <c r="A757" s="774"/>
      <c r="B757" s="3761" t="s">
        <v>736</v>
      </c>
      <c r="C757" s="197">
        <v>7020028</v>
      </c>
      <c r="D757" s="199" t="s">
        <v>935</v>
      </c>
      <c r="E757" s="42">
        <f>IFERROR(VLOOKUP(C757,'AJE 12 - INC'!$D$168:$F$771,3,0),0)</f>
        <v>102610.11</v>
      </c>
      <c r="F757" s="108">
        <f>SUMIF('AJE 12 - INC'!B:B,'New TB INC'!C757,'AJE 12 - INC'!D:D)</f>
        <v>0</v>
      </c>
      <c r="G757" s="108"/>
      <c r="H757" s="108"/>
      <c r="I757" s="108"/>
      <c r="J757" s="798">
        <f t="shared" si="77"/>
        <v>102610.11</v>
      </c>
      <c r="K757" s="209"/>
      <c r="L757" s="434"/>
      <c r="M757" s="810"/>
      <c r="N757" s="11">
        <v>5075.3500000000004</v>
      </c>
      <c r="O757" s="11">
        <v>4933.2899999999991</v>
      </c>
      <c r="P757" s="11">
        <v>4933.2900000000009</v>
      </c>
      <c r="Q757" s="11">
        <v>4933.2900000000009</v>
      </c>
      <c r="R757" s="773">
        <v>6310.649999999996</v>
      </c>
      <c r="S757" s="11">
        <v>5112.8000000000011</v>
      </c>
      <c r="T757" s="773">
        <v>5112.8000000000029</v>
      </c>
      <c r="U757" s="2173">
        <v>5112.7999999999956</v>
      </c>
      <c r="V757" s="2509">
        <v>5112.8000000000029</v>
      </c>
      <c r="W757" s="2509">
        <v>5112.8000000000029</v>
      </c>
      <c r="X757" s="2509">
        <v>17779.469999999994</v>
      </c>
      <c r="Y757" s="2509">
        <v>17779.48000000001</v>
      </c>
      <c r="Z757" s="11">
        <f>'[26]New TB INC'!Z703</f>
        <v>179.51</v>
      </c>
      <c r="AA757" s="11">
        <f>'[27]New TB INC'!AA713</f>
        <v>21027.760000000002</v>
      </c>
      <c r="AB757" s="11">
        <f>'[28]New TB INC'!AB719</f>
        <v>4185.2599999999984</v>
      </c>
      <c r="AC757" s="11">
        <f>'[29]New TB INC'!AC715</f>
        <v>4090.8500000000022</v>
      </c>
      <c r="AD757" s="11">
        <f>'[30]New TB INC'!AD710</f>
        <v>4090.8500000000022</v>
      </c>
      <c r="AE757" s="11">
        <f>'[31]New TB INC'!AE718</f>
        <v>16757.519999999997</v>
      </c>
      <c r="AF757" s="11">
        <v>4090.8499999999985</v>
      </c>
      <c r="AG757" s="11">
        <v>4090.8499999999985</v>
      </c>
      <c r="AH757" s="11">
        <v>6490.8500000000058</v>
      </c>
      <c r="AI757" s="11">
        <v>16757.520000000004</v>
      </c>
      <c r="AJ757" s="11">
        <v>16757.51999999999</v>
      </c>
      <c r="AK757" s="11">
        <f>$J757-SUM($Z757:AJ757)</f>
        <v>4090.7700000000041</v>
      </c>
      <c r="AL757" s="11"/>
      <c r="AM757" s="11"/>
      <c r="AN757" s="11"/>
      <c r="AO757" s="11"/>
      <c r="AP757" s="11"/>
      <c r="AQ757" s="11"/>
      <c r="AR757" s="11"/>
      <c r="AS757" s="11"/>
      <c r="AT757" s="11"/>
      <c r="AU757" s="11"/>
      <c r="AW757" s="2509"/>
      <c r="BH757" s="2509"/>
      <c r="BI757" s="772"/>
      <c r="BJ757" s="2173"/>
      <c r="BK757" s="2173"/>
      <c r="BM757" s="11"/>
      <c r="BO757" s="209"/>
      <c r="BP757" s="11"/>
      <c r="BQ757" s="11"/>
      <c r="BR757" s="11"/>
      <c r="BS757" s="11"/>
      <c r="BT757" s="11"/>
      <c r="BU757" s="11"/>
      <c r="BV757" s="11"/>
      <c r="BW757" s="11"/>
      <c r="BX757" s="11"/>
      <c r="BY757" s="11"/>
      <c r="BZ757" s="11"/>
      <c r="CA757" s="11"/>
      <c r="CB757" s="11"/>
      <c r="CC757" s="11"/>
      <c r="CD757" s="11"/>
      <c r="CE757" s="11"/>
      <c r="CF757" s="11"/>
      <c r="CG757" s="11"/>
      <c r="CH757" s="878"/>
      <c r="CI757" s="4"/>
      <c r="CJ757" s="4"/>
      <c r="CK757" s="11"/>
      <c r="CL757" s="11"/>
      <c r="CM757" s="11"/>
      <c r="CN757" s="11"/>
      <c r="CO757" s="11"/>
      <c r="CP757" s="11"/>
      <c r="CQ757" s="11"/>
      <c r="CR757" s="11"/>
      <c r="CS757" s="11"/>
      <c r="CT757" s="11"/>
      <c r="CU757" s="11"/>
      <c r="CV757" s="11"/>
      <c r="CW757" s="11"/>
      <c r="CX757" s="11"/>
      <c r="CY757" s="11"/>
      <c r="CZ757" s="11"/>
      <c r="DA757" s="11"/>
    </row>
    <row r="758" spans="1:105" s="773" customFormat="1">
      <c r="A758" s="774"/>
      <c r="B758" s="3761" t="s">
        <v>736</v>
      </c>
      <c r="C758" s="197">
        <v>7020029</v>
      </c>
      <c r="D758" s="199" t="s">
        <v>936</v>
      </c>
      <c r="E758" s="42">
        <f>IFERROR(VLOOKUP(C758,'AJE 12 - INC'!$D$168:$F$771,3,0),0)</f>
        <v>4908.1499999999996</v>
      </c>
      <c r="F758" s="108">
        <f>SUMIF('AJE 12 - INC'!B:B,'New TB INC'!C758,'AJE 12 - INC'!D:D)</f>
        <v>0</v>
      </c>
      <c r="G758" s="108"/>
      <c r="H758" s="108"/>
      <c r="I758" s="108"/>
      <c r="J758" s="798">
        <f t="shared" si="77"/>
        <v>4908.1499999999996</v>
      </c>
      <c r="K758" s="209"/>
      <c r="L758" s="434"/>
      <c r="M758" s="810"/>
      <c r="N758" s="11">
        <v>0</v>
      </c>
      <c r="O758" s="11">
        <v>0</v>
      </c>
      <c r="P758" s="11">
        <v>0</v>
      </c>
      <c r="Q758" s="11">
        <v>0</v>
      </c>
      <c r="R758" s="773">
        <v>0</v>
      </c>
      <c r="S758" s="11">
        <v>0</v>
      </c>
      <c r="T758" s="773">
        <v>0</v>
      </c>
      <c r="U758" s="2173">
        <v>0</v>
      </c>
      <c r="V758" s="2509">
        <v>0</v>
      </c>
      <c r="W758" s="2509">
        <v>0</v>
      </c>
      <c r="X758" s="2509">
        <v>0</v>
      </c>
      <c r="Y758" s="2509">
        <v>0</v>
      </c>
      <c r="Z758" s="11">
        <f>'[26]New TB INC'!Z704</f>
        <v>0</v>
      </c>
      <c r="AA758" s="11">
        <f>'[27]New TB INC'!AA714</f>
        <v>0</v>
      </c>
      <c r="AB758" s="11">
        <f>'[28]New TB INC'!AB720</f>
        <v>0</v>
      </c>
      <c r="AC758" s="11">
        <f>'[29]New TB INC'!AC716</f>
        <v>0</v>
      </c>
      <c r="AD758" s="11">
        <f>'[30]New TB INC'!AD711</f>
        <v>0</v>
      </c>
      <c r="AE758" s="11">
        <f>'[31]New TB INC'!AE719</f>
        <v>708.33</v>
      </c>
      <c r="AF758" s="11">
        <v>699.96999999999991</v>
      </c>
      <c r="AG758" s="11">
        <v>699.97</v>
      </c>
      <c r="AH758" s="11">
        <v>699.9699999999998</v>
      </c>
      <c r="AI758" s="11">
        <v>699.97000000000025</v>
      </c>
      <c r="AJ758" s="11">
        <v>699.97000000000025</v>
      </c>
      <c r="AK758" s="11">
        <f>$J758-SUM($Z758:AJ758)</f>
        <v>699.96999999999935</v>
      </c>
      <c r="AL758" s="11"/>
      <c r="AM758" s="11"/>
      <c r="AN758" s="11"/>
      <c r="AO758" s="11"/>
      <c r="AP758" s="11"/>
      <c r="AQ758" s="11"/>
      <c r="AR758" s="11"/>
      <c r="AS758" s="11"/>
      <c r="AT758" s="11"/>
      <c r="AU758" s="11"/>
      <c r="AW758" s="2509"/>
      <c r="BH758" s="2509"/>
      <c r="BI758" s="772"/>
      <c r="BJ758" s="2173"/>
      <c r="BK758" s="2173"/>
      <c r="BM758" s="11"/>
      <c r="BO758" s="209"/>
      <c r="BP758" s="11"/>
      <c r="BQ758" s="11"/>
      <c r="BR758" s="11"/>
      <c r="BS758" s="11"/>
      <c r="BT758" s="11"/>
      <c r="BU758" s="11"/>
      <c r="BV758" s="11"/>
      <c r="BW758" s="11"/>
      <c r="BX758" s="11"/>
      <c r="BY758" s="11"/>
      <c r="BZ758" s="11"/>
      <c r="CA758" s="11"/>
      <c r="CB758" s="11"/>
      <c r="CC758" s="11"/>
      <c r="CD758" s="11"/>
      <c r="CE758" s="11"/>
      <c r="CF758" s="11"/>
      <c r="CG758" s="11"/>
      <c r="CH758" s="878"/>
      <c r="CI758" s="4"/>
      <c r="CJ758" s="4"/>
      <c r="CK758" s="11"/>
      <c r="CL758" s="11"/>
      <c r="CM758" s="11"/>
      <c r="CN758" s="11"/>
      <c r="CO758" s="11"/>
      <c r="CP758" s="11"/>
      <c r="CQ758" s="11"/>
      <c r="CR758" s="11"/>
      <c r="CS758" s="11"/>
      <c r="CT758" s="11"/>
      <c r="CU758" s="11"/>
      <c r="CV758" s="11"/>
      <c r="CW758" s="11"/>
      <c r="CX758" s="11"/>
      <c r="CY758" s="11"/>
      <c r="CZ758" s="11"/>
      <c r="DA758" s="11"/>
    </row>
    <row r="759" spans="1:105" s="773" customFormat="1">
      <c r="A759" s="774"/>
      <c r="B759" s="3761" t="s">
        <v>736</v>
      </c>
      <c r="C759" s="197">
        <v>7020030</v>
      </c>
      <c r="D759" s="199" t="s">
        <v>937</v>
      </c>
      <c r="E759" s="42">
        <f>IFERROR(VLOOKUP(C759,'AJE 12 - INC'!$D$168:$F$771,3,0),0)</f>
        <v>15228</v>
      </c>
      <c r="F759" s="108">
        <f>SUMIF('AJE 12 - INC'!B:B,'New TB INC'!C759,'AJE 12 - INC'!D:D)</f>
        <v>0</v>
      </c>
      <c r="G759" s="108"/>
      <c r="H759" s="108"/>
      <c r="I759" s="108"/>
      <c r="J759" s="798">
        <f t="shared" si="77"/>
        <v>15228</v>
      </c>
      <c r="K759" s="209"/>
      <c r="L759" s="434"/>
      <c r="M759" s="810"/>
      <c r="N759" s="11">
        <v>0</v>
      </c>
      <c r="O759" s="11">
        <v>0</v>
      </c>
      <c r="P759" s="11">
        <v>0</v>
      </c>
      <c r="Q759" s="11">
        <v>0</v>
      </c>
      <c r="R759" s="773">
        <v>0</v>
      </c>
      <c r="S759" s="11">
        <v>0</v>
      </c>
      <c r="T759" s="773">
        <v>0</v>
      </c>
      <c r="U759" s="2173">
        <v>0</v>
      </c>
      <c r="V759" s="2509">
        <v>0</v>
      </c>
      <c r="W759" s="2509">
        <v>0</v>
      </c>
      <c r="X759" s="2509">
        <v>0</v>
      </c>
      <c r="Y759" s="2509">
        <v>0</v>
      </c>
      <c r="Z759" s="11">
        <f>'[26]New TB INC'!Z705</f>
        <v>0</v>
      </c>
      <c r="AA759" s="11">
        <f>'[27]New TB INC'!AA715</f>
        <v>0</v>
      </c>
      <c r="AB759" s="11">
        <f>'[28]New TB INC'!AB721</f>
        <v>0</v>
      </c>
      <c r="AC759" s="11">
        <f>'[29]New TB INC'!AC717</f>
        <v>0</v>
      </c>
      <c r="AD759" s="11">
        <f>'[30]New TB INC'!AD712</f>
        <v>0</v>
      </c>
      <c r="AE759" s="11">
        <f>'[31]New TB INC'!AE720</f>
        <v>0</v>
      </c>
      <c r="AF759" s="11">
        <v>7614</v>
      </c>
      <c r="AG759" s="11">
        <v>7614</v>
      </c>
      <c r="AH759" s="11">
        <v>0</v>
      </c>
      <c r="AI759" s="11">
        <v>0</v>
      </c>
      <c r="AJ759" s="11">
        <v>0</v>
      </c>
      <c r="AK759" s="11">
        <f>$J759-SUM($Z759:AJ759)</f>
        <v>0</v>
      </c>
      <c r="AL759" s="11"/>
      <c r="AM759" s="11"/>
      <c r="AN759" s="11"/>
      <c r="AO759" s="11"/>
      <c r="AP759" s="11"/>
      <c r="AQ759" s="11"/>
      <c r="AR759" s="11"/>
      <c r="AS759" s="11"/>
      <c r="AT759" s="11"/>
      <c r="AU759" s="11"/>
      <c r="AW759" s="2509"/>
      <c r="BH759" s="2509"/>
      <c r="BI759" s="772"/>
      <c r="BJ759" s="2173"/>
      <c r="BK759" s="2173"/>
      <c r="BM759" s="11"/>
      <c r="BO759" s="209"/>
      <c r="BP759" s="11"/>
      <c r="BQ759" s="11"/>
      <c r="BR759" s="11"/>
      <c r="BS759" s="11"/>
      <c r="BT759" s="11"/>
      <c r="BU759" s="11"/>
      <c r="BV759" s="11"/>
      <c r="BW759" s="11"/>
      <c r="BX759" s="11"/>
      <c r="BY759" s="11"/>
      <c r="BZ759" s="11"/>
      <c r="CA759" s="11"/>
      <c r="CB759" s="11"/>
      <c r="CC759" s="11"/>
      <c r="CD759" s="11"/>
      <c r="CE759" s="11"/>
      <c r="CF759" s="11"/>
      <c r="CG759" s="11"/>
      <c r="CH759" s="878"/>
      <c r="CI759" s="4"/>
      <c r="CJ759" s="4"/>
      <c r="CK759" s="11"/>
      <c r="CL759" s="11"/>
      <c r="CM759" s="11"/>
      <c r="CN759" s="11"/>
      <c r="CO759" s="11"/>
      <c r="CP759" s="11"/>
      <c r="CQ759" s="11"/>
      <c r="CR759" s="11"/>
      <c r="CS759" s="11"/>
      <c r="CT759" s="11"/>
      <c r="CU759" s="11"/>
      <c r="CV759" s="11"/>
      <c r="CW759" s="11"/>
      <c r="CX759" s="11"/>
      <c r="CY759" s="11"/>
      <c r="CZ759" s="11"/>
      <c r="DA759" s="11"/>
    </row>
    <row r="760" spans="1:105" s="773" customFormat="1">
      <c r="A760" s="774"/>
      <c r="B760" s="3761" t="s">
        <v>736</v>
      </c>
      <c r="C760" s="197">
        <v>7020034</v>
      </c>
      <c r="D760" s="199" t="s">
        <v>738</v>
      </c>
      <c r="E760" s="42">
        <f>IFERROR(VLOOKUP(C760,'AJE 12 - INC'!$D$168:$F$771,3,0),0)</f>
        <v>649.9</v>
      </c>
      <c r="F760" s="108">
        <f>SUMIF('AJE 12 - INC'!B:B,'New TB INC'!C760,'AJE 12 - INC'!D:D)</f>
        <v>0</v>
      </c>
      <c r="G760" s="108"/>
      <c r="H760" s="108"/>
      <c r="I760" s="108"/>
      <c r="J760" s="798">
        <f t="shared" si="77"/>
        <v>649.9</v>
      </c>
      <c r="K760" s="209"/>
      <c r="L760" s="434"/>
      <c r="M760" s="810"/>
      <c r="N760" s="11">
        <v>0</v>
      </c>
      <c r="O760" s="11">
        <v>0</v>
      </c>
      <c r="P760" s="11">
        <v>0</v>
      </c>
      <c r="Q760" s="11">
        <v>978</v>
      </c>
      <c r="R760" s="773">
        <v>0</v>
      </c>
      <c r="S760" s="11">
        <v>0</v>
      </c>
      <c r="T760" s="773">
        <v>0</v>
      </c>
      <c r="U760" s="2173">
        <v>0</v>
      </c>
      <c r="V760" s="2509">
        <v>0</v>
      </c>
      <c r="W760" s="2509">
        <v>0</v>
      </c>
      <c r="X760" s="2509">
        <v>0</v>
      </c>
      <c r="Y760" s="2509">
        <v>0</v>
      </c>
      <c r="Z760" s="11">
        <f>'[26]New TB INC'!Z706</f>
        <v>0</v>
      </c>
      <c r="AA760" s="11">
        <f>'[27]New TB INC'!AA716</f>
        <v>0</v>
      </c>
      <c r="AB760" s="11">
        <f>'[28]New TB INC'!AB722</f>
        <v>0</v>
      </c>
      <c r="AC760" s="11">
        <f>'[29]New TB INC'!AC718</f>
        <v>0</v>
      </c>
      <c r="AD760" s="11">
        <f>'[30]New TB INC'!AD713</f>
        <v>0</v>
      </c>
      <c r="AE760" s="11">
        <f>'[31]New TB INC'!AE721</f>
        <v>0</v>
      </c>
      <c r="AF760" s="11">
        <v>0</v>
      </c>
      <c r="AG760" s="11">
        <v>0</v>
      </c>
      <c r="AH760" s="11">
        <v>649.9</v>
      </c>
      <c r="AI760" s="11">
        <v>0</v>
      </c>
      <c r="AJ760" s="11">
        <v>0</v>
      </c>
      <c r="AK760" s="11">
        <f>$J760-SUM($Z760:AJ760)</f>
        <v>0</v>
      </c>
      <c r="AL760" s="11"/>
      <c r="AM760" s="11"/>
      <c r="AN760" s="11"/>
      <c r="AO760" s="11"/>
      <c r="AP760" s="11"/>
      <c r="AQ760" s="11"/>
      <c r="AR760" s="11"/>
      <c r="AS760" s="11"/>
      <c r="AT760" s="11"/>
      <c r="AU760" s="11"/>
      <c r="AW760" s="2509"/>
      <c r="BH760" s="2509"/>
      <c r="BI760" s="772"/>
      <c r="BJ760" s="2173"/>
      <c r="BK760" s="2173"/>
      <c r="BM760" s="11"/>
      <c r="BO760" s="209"/>
      <c r="BP760" s="11"/>
      <c r="BQ760" s="11"/>
      <c r="BR760" s="11"/>
      <c r="BS760" s="11"/>
      <c r="BT760" s="11"/>
      <c r="BU760" s="11"/>
      <c r="BV760" s="11"/>
      <c r="BW760" s="11"/>
      <c r="BX760" s="11"/>
      <c r="BY760" s="11"/>
      <c r="BZ760" s="11"/>
      <c r="CA760" s="11"/>
      <c r="CB760" s="11"/>
      <c r="CC760" s="11"/>
      <c r="CD760" s="11"/>
      <c r="CE760" s="11"/>
      <c r="CF760" s="11"/>
      <c r="CG760" s="11"/>
      <c r="CH760" s="878"/>
      <c r="CI760" s="4"/>
      <c r="CJ760" s="4"/>
      <c r="CK760" s="11"/>
      <c r="CL760" s="11"/>
      <c r="CM760" s="11"/>
      <c r="CN760" s="11"/>
      <c r="CO760" s="11"/>
      <c r="CP760" s="11"/>
      <c r="CQ760" s="11"/>
      <c r="CR760" s="11"/>
      <c r="CS760" s="11"/>
      <c r="CT760" s="11"/>
      <c r="CU760" s="11"/>
      <c r="CV760" s="11"/>
      <c r="CW760" s="11"/>
      <c r="CX760" s="11"/>
      <c r="CY760" s="11"/>
      <c r="CZ760" s="11"/>
      <c r="DA760" s="11"/>
    </row>
    <row r="761" spans="1:105" s="773" customFormat="1">
      <c r="A761" s="774"/>
      <c r="B761" s="3761" t="s">
        <v>736</v>
      </c>
      <c r="C761" s="197">
        <v>7020037</v>
      </c>
      <c r="D761" s="199" t="s">
        <v>739</v>
      </c>
      <c r="E761" s="42">
        <f>IFERROR(VLOOKUP(C761,'AJE 12 - INC'!$D$168:$F$771,3,0),0)</f>
        <v>85243.839999999997</v>
      </c>
      <c r="F761" s="108">
        <f>SUMIF('AJE 12 - INC'!B:B,'New TB INC'!C761,'AJE 12 - INC'!D:D)</f>
        <v>0</v>
      </c>
      <c r="G761" s="108"/>
      <c r="H761" s="108"/>
      <c r="I761" s="108"/>
      <c r="J761" s="798">
        <f t="shared" si="77"/>
        <v>85243.839999999997</v>
      </c>
      <c r="K761" s="209"/>
      <c r="L761" s="434"/>
      <c r="M761" s="811"/>
      <c r="N761" s="11">
        <v>34730.83</v>
      </c>
      <c r="O761" s="11">
        <v>267784.17</v>
      </c>
      <c r="P761" s="11">
        <v>42936.140000000014</v>
      </c>
      <c r="Q761" s="11">
        <v>2497.0299999999697</v>
      </c>
      <c r="R761" s="773">
        <v>7091.0800000000163</v>
      </c>
      <c r="S761" s="11">
        <v>665.30999999999767</v>
      </c>
      <c r="T761" s="773">
        <v>782.26000000000931</v>
      </c>
      <c r="U761" s="2173">
        <v>2556.640000000014</v>
      </c>
      <c r="V761" s="2509">
        <v>26029.099999999977</v>
      </c>
      <c r="W761" s="2509">
        <v>71106.950000000012</v>
      </c>
      <c r="X761" s="2509">
        <v>46714.200000000012</v>
      </c>
      <c r="Y761" s="2509">
        <v>16452.479999999981</v>
      </c>
      <c r="Z761" s="11">
        <f>'[26]New TB INC'!Z707</f>
        <v>3094.85</v>
      </c>
      <c r="AA761" s="11">
        <f>'[27]New TB INC'!AA717</f>
        <v>23424.31</v>
      </c>
      <c r="AB761" s="11">
        <f>'[28]New TB INC'!AB723</f>
        <v>21287.570000000003</v>
      </c>
      <c r="AC761" s="11">
        <f>'[29]New TB INC'!AC719</f>
        <v>7762.1299999999974</v>
      </c>
      <c r="AD761" s="11">
        <f>'[30]New TB INC'!AD714</f>
        <v>4537.3099999999977</v>
      </c>
      <c r="AE761" s="11">
        <f>'[31]New TB INC'!AE722</f>
        <v>3021.3100000000049</v>
      </c>
      <c r="AF761" s="11">
        <v>3816.6500000000015</v>
      </c>
      <c r="AG761" s="11">
        <v>3244.6499999999942</v>
      </c>
      <c r="AH761" s="11">
        <v>4460.1999999999971</v>
      </c>
      <c r="AI761" s="11">
        <v>2391.1999999999971</v>
      </c>
      <c r="AJ761" s="11">
        <v>2945.4600000000064</v>
      </c>
      <c r="AK761" s="11">
        <f>$J761-SUM($Z761:AJ761)</f>
        <v>5258.1999999999971</v>
      </c>
      <c r="AL761" s="11"/>
      <c r="AM761" s="11"/>
      <c r="AN761" s="11"/>
      <c r="AO761" s="11"/>
      <c r="AP761" s="11"/>
      <c r="AQ761" s="11"/>
      <c r="AR761" s="11"/>
      <c r="AS761" s="11"/>
      <c r="AT761" s="11"/>
      <c r="AU761" s="11"/>
      <c r="AW761" s="2509"/>
      <c r="BH761" s="2509"/>
      <c r="BI761" s="772"/>
      <c r="BJ761" s="2173"/>
      <c r="BK761" s="2173"/>
      <c r="BM761" s="11"/>
      <c r="BO761" s="209"/>
      <c r="BP761" s="11"/>
      <c r="BQ761" s="11"/>
      <c r="BR761" s="11"/>
      <c r="BS761" s="11"/>
      <c r="BT761" s="11"/>
      <c r="BU761" s="11"/>
      <c r="BV761" s="11"/>
      <c r="BW761" s="11"/>
      <c r="BX761" s="11"/>
      <c r="BY761" s="11"/>
      <c r="BZ761" s="11"/>
      <c r="CA761" s="11"/>
      <c r="CB761" s="11"/>
      <c r="CC761" s="11"/>
      <c r="CD761" s="11"/>
      <c r="CE761" s="11"/>
      <c r="CF761" s="11"/>
      <c r="CG761" s="11"/>
      <c r="CH761" s="878"/>
      <c r="CI761" s="4"/>
      <c r="CJ761" s="4"/>
      <c r="CK761" s="11"/>
      <c r="CL761" s="11"/>
      <c r="CM761" s="11"/>
      <c r="CN761" s="11"/>
      <c r="CO761" s="11"/>
      <c r="CP761" s="11"/>
      <c r="CQ761" s="11"/>
      <c r="CR761" s="11"/>
      <c r="CS761" s="11"/>
      <c r="CT761" s="11"/>
      <c r="CU761" s="11"/>
      <c r="CV761" s="11"/>
      <c r="CW761" s="11"/>
      <c r="CX761" s="11"/>
      <c r="CY761" s="11"/>
      <c r="CZ761" s="11"/>
      <c r="DA761" s="11"/>
    </row>
    <row r="762" spans="1:105" s="773" customFormat="1">
      <c r="A762" s="774"/>
      <c r="B762" s="3761" t="s">
        <v>1818</v>
      </c>
      <c r="C762" s="197">
        <v>7020038</v>
      </c>
      <c r="D762" s="199" t="s">
        <v>2163</v>
      </c>
      <c r="E762" s="42">
        <f>IFERROR(VLOOKUP(C762,'AJE 12 - INC'!$D$168:$F$771,3,0),0)</f>
        <v>222500</v>
      </c>
      <c r="F762" s="108">
        <f>SUMIF('AJE 12 - INC'!B:B,'New TB INC'!C762,'AJE 12 - INC'!D:D)</f>
        <v>0</v>
      </c>
      <c r="G762" s="108"/>
      <c r="H762" s="108"/>
      <c r="I762" s="108"/>
      <c r="J762" s="798">
        <f t="shared" si="77"/>
        <v>222500</v>
      </c>
      <c r="K762" s="209"/>
      <c r="L762" s="434"/>
      <c r="M762" s="811"/>
      <c r="N762" s="11"/>
      <c r="O762" s="11"/>
      <c r="P762" s="11"/>
      <c r="Q762" s="11"/>
      <c r="R762" s="773">
        <v>30132</v>
      </c>
      <c r="S762" s="11">
        <v>18500</v>
      </c>
      <c r="T762" s="773">
        <v>0</v>
      </c>
      <c r="U762" s="2173">
        <v>0</v>
      </c>
      <c r="V762" s="2509">
        <v>0</v>
      </c>
      <c r="W762" s="2509">
        <v>0</v>
      </c>
      <c r="X762" s="2509">
        <v>44900</v>
      </c>
      <c r="Y762" s="2509">
        <v>0</v>
      </c>
      <c r="Z762" s="11">
        <f>'[26]New TB INC'!Z708</f>
        <v>0</v>
      </c>
      <c r="AA762" s="11">
        <f>'[27]New TB INC'!AA718</f>
        <v>0</v>
      </c>
      <c r="AB762" s="11">
        <f>'[28]New TB INC'!AB724</f>
        <v>0</v>
      </c>
      <c r="AC762" s="11">
        <f>'[29]New TB INC'!AC720</f>
        <v>0</v>
      </c>
      <c r="AD762" s="11">
        <f>'[30]New TB INC'!AD715</f>
        <v>0</v>
      </c>
      <c r="AE762" s="11">
        <f>'[31]New TB INC'!AE723</f>
        <v>0</v>
      </c>
      <c r="AF762" s="11">
        <v>0</v>
      </c>
      <c r="AG762" s="11">
        <v>0</v>
      </c>
      <c r="AH762" s="11">
        <v>0</v>
      </c>
      <c r="AI762" s="11">
        <v>11250</v>
      </c>
      <c r="AJ762" s="11">
        <v>211250</v>
      </c>
      <c r="AK762" s="11">
        <f>$J762-SUM($Z762:AJ762)</f>
        <v>0</v>
      </c>
      <c r="AL762" s="11"/>
      <c r="AM762" s="11"/>
      <c r="AN762" s="11" t="s">
        <v>4533</v>
      </c>
      <c r="AO762" s="11"/>
      <c r="AP762" s="11"/>
      <c r="AQ762" s="11"/>
      <c r="AR762" s="11"/>
      <c r="AS762" s="11"/>
      <c r="AT762" s="11"/>
      <c r="AU762" s="11"/>
      <c r="AW762" s="2509"/>
      <c r="BH762" s="2509"/>
      <c r="BI762" s="772"/>
      <c r="BJ762" s="2173"/>
      <c r="BK762" s="2173"/>
      <c r="BM762" s="11"/>
      <c r="BO762" s="209"/>
      <c r="BP762" s="11"/>
      <c r="BQ762" s="11"/>
      <c r="BR762" s="11"/>
      <c r="BS762" s="11"/>
      <c r="BT762" s="11"/>
      <c r="BU762" s="11"/>
      <c r="BV762" s="11"/>
      <c r="BW762" s="11"/>
      <c r="BX762" s="11"/>
      <c r="BY762" s="11"/>
      <c r="BZ762" s="11"/>
      <c r="CA762" s="11"/>
      <c r="CB762" s="11"/>
      <c r="CC762" s="11"/>
      <c r="CD762" s="11"/>
      <c r="CE762" s="11"/>
      <c r="CF762" s="11"/>
      <c r="CG762" s="11"/>
      <c r="CH762" s="878"/>
      <c r="CI762" s="4"/>
      <c r="CJ762" s="4"/>
      <c r="CK762" s="11"/>
      <c r="CL762" s="11"/>
      <c r="CM762" s="11"/>
      <c r="CN762" s="11"/>
      <c r="CO762" s="11"/>
      <c r="CP762" s="11"/>
      <c r="CQ762" s="11"/>
      <c r="CR762" s="11"/>
      <c r="CS762" s="11"/>
      <c r="CT762" s="11"/>
      <c r="CU762" s="11"/>
      <c r="CV762" s="11"/>
      <c r="CW762" s="11"/>
      <c r="CX762" s="11"/>
      <c r="CY762" s="11"/>
      <c r="CZ762" s="11"/>
      <c r="DA762" s="11"/>
    </row>
    <row r="763" spans="1:105" s="773" customFormat="1">
      <c r="A763" s="774"/>
      <c r="B763" s="3761" t="s">
        <v>736</v>
      </c>
      <c r="C763" s="197">
        <v>7020039</v>
      </c>
      <c r="D763" s="199" t="s">
        <v>1951</v>
      </c>
      <c r="E763" s="42">
        <f>IFERROR(VLOOKUP(C763,'AJE 12 - INC'!$D$168:$F$771,3,0),0)</f>
        <v>12289.72</v>
      </c>
      <c r="F763" s="108">
        <f>SUMIF('AJE 12 - INC'!B:B,'New TB INC'!C763,'AJE 12 - INC'!D:D)</f>
        <v>0</v>
      </c>
      <c r="G763" s="108"/>
      <c r="H763" s="108"/>
      <c r="I763" s="108"/>
      <c r="J763" s="798">
        <f t="shared" si="77"/>
        <v>12289.72</v>
      </c>
      <c r="K763" s="209"/>
      <c r="L763" s="434"/>
      <c r="M763" s="810"/>
      <c r="N763" s="11">
        <v>0</v>
      </c>
      <c r="O763" s="11">
        <v>400</v>
      </c>
      <c r="P763" s="11">
        <v>0</v>
      </c>
      <c r="Q763" s="11">
        <v>0</v>
      </c>
      <c r="R763" s="773">
        <v>987</v>
      </c>
      <c r="S763" s="11">
        <v>0</v>
      </c>
      <c r="T763" s="773">
        <v>0</v>
      </c>
      <c r="U763" s="2173">
        <v>0</v>
      </c>
      <c r="V763" s="2509">
        <v>0</v>
      </c>
      <c r="W763" s="2509">
        <v>0</v>
      </c>
      <c r="X763" s="2509">
        <v>0</v>
      </c>
      <c r="Y763" s="2509">
        <v>19.980000000000018</v>
      </c>
      <c r="Z763" s="11">
        <f>'[26]New TB INC'!Z709</f>
        <v>1000</v>
      </c>
      <c r="AA763" s="11">
        <f>'[27]New TB INC'!AA719</f>
        <v>0</v>
      </c>
      <c r="AB763" s="11">
        <f>'[28]New TB INC'!AB725</f>
        <v>0</v>
      </c>
      <c r="AC763" s="11">
        <f>'[29]New TB INC'!AC721</f>
        <v>0</v>
      </c>
      <c r="AD763" s="11">
        <f>'[30]New TB INC'!AD716</f>
        <v>0</v>
      </c>
      <c r="AE763" s="11">
        <f>'[31]New TB INC'!AE724</f>
        <v>0</v>
      </c>
      <c r="AF763" s="11">
        <v>0</v>
      </c>
      <c r="AG763" s="11">
        <v>0</v>
      </c>
      <c r="AH763" s="11">
        <v>2251.27</v>
      </c>
      <c r="AI763" s="11">
        <v>3903.72</v>
      </c>
      <c r="AJ763" s="11">
        <v>637.25</v>
      </c>
      <c r="AK763" s="11">
        <f>$J763-SUM($Z763:AJ763)</f>
        <v>4497.4799999999996</v>
      </c>
      <c r="AL763" s="11"/>
      <c r="AM763" s="11"/>
      <c r="AN763" s="11"/>
      <c r="AO763" s="11"/>
      <c r="AP763" s="11"/>
      <c r="AQ763" s="11"/>
      <c r="AR763" s="11"/>
      <c r="AS763" s="11"/>
      <c r="AT763" s="11"/>
      <c r="AU763" s="11"/>
      <c r="AW763" s="2509"/>
      <c r="BH763" s="2509"/>
      <c r="BI763" s="772"/>
      <c r="BJ763" s="2173"/>
      <c r="BK763" s="2173"/>
      <c r="BM763" s="11"/>
      <c r="BO763" s="209"/>
      <c r="BP763" s="11"/>
      <c r="BQ763" s="11"/>
      <c r="BR763" s="11"/>
      <c r="BS763" s="11"/>
      <c r="BT763" s="11"/>
      <c r="BU763" s="11"/>
      <c r="BV763" s="11"/>
      <c r="BW763" s="11"/>
      <c r="BX763" s="11"/>
      <c r="BY763" s="11"/>
      <c r="BZ763" s="11"/>
      <c r="CA763" s="11"/>
      <c r="CB763" s="11"/>
      <c r="CC763" s="11"/>
      <c r="CD763" s="11"/>
      <c r="CE763" s="11"/>
      <c r="CF763" s="11"/>
      <c r="CG763" s="11"/>
      <c r="CH763" s="878"/>
      <c r="CI763" s="4"/>
      <c r="CJ763" s="4"/>
      <c r="CK763" s="11"/>
      <c r="CL763" s="11"/>
      <c r="CM763" s="11"/>
      <c r="CN763" s="11"/>
      <c r="CO763" s="11"/>
      <c r="CP763" s="11"/>
      <c r="CQ763" s="11"/>
      <c r="CR763" s="11"/>
      <c r="CS763" s="11"/>
      <c r="CT763" s="11"/>
      <c r="CU763" s="11"/>
      <c r="CV763" s="11"/>
      <c r="CW763" s="11"/>
      <c r="CX763" s="11"/>
      <c r="CY763" s="11"/>
      <c r="CZ763" s="11"/>
      <c r="DA763" s="11"/>
    </row>
    <row r="764" spans="1:105" s="773" customFormat="1">
      <c r="A764" s="774"/>
      <c r="B764" s="3761" t="s">
        <v>736</v>
      </c>
      <c r="C764" s="197">
        <v>7020046</v>
      </c>
      <c r="D764" s="199" t="s">
        <v>938</v>
      </c>
      <c r="E764" s="42">
        <f>IFERROR(VLOOKUP(C764,'AJE 12 - INC'!$D$168:$F$771,3,0),0)</f>
        <v>0</v>
      </c>
      <c r="F764" s="108">
        <f>SUMIF('AJE 12 - INC'!B:B,'New TB INC'!C764,'AJE 12 - INC'!D:D)</f>
        <v>0</v>
      </c>
      <c r="G764" s="108"/>
      <c r="H764" s="108"/>
      <c r="I764" s="108"/>
      <c r="J764" s="798">
        <f t="shared" si="77"/>
        <v>0</v>
      </c>
      <c r="K764" s="209"/>
      <c r="L764" s="434"/>
      <c r="M764" s="810"/>
      <c r="N764" s="11">
        <v>536.66999999999996</v>
      </c>
      <c r="O764" s="11">
        <v>536.66999999999996</v>
      </c>
      <c r="P764" s="11">
        <v>536.67000000000019</v>
      </c>
      <c r="Q764" s="11">
        <v>536.6699999999995</v>
      </c>
      <c r="R764" s="773">
        <v>536.67000000000019</v>
      </c>
      <c r="S764" s="11">
        <v>536.66999999999996</v>
      </c>
      <c r="T764" s="773">
        <v>2309.3700000000003</v>
      </c>
      <c r="U764" s="2173">
        <v>536.63000000000011</v>
      </c>
      <c r="V764" s="2509">
        <v>170</v>
      </c>
      <c r="W764" s="2509">
        <v>170</v>
      </c>
      <c r="X764" s="2509">
        <v>7.9199999999991633</v>
      </c>
      <c r="Y764" s="2509">
        <v>0</v>
      </c>
      <c r="Z764" s="11">
        <f>'[26]New TB INC'!Z711</f>
        <v>0</v>
      </c>
      <c r="AA764" s="11">
        <f>'[27]New TB INC'!AA721</f>
        <v>0</v>
      </c>
      <c r="AB764" s="11">
        <f>'[28]New TB INC'!AB727</f>
        <v>0</v>
      </c>
      <c r="AC764" s="11">
        <f>'[29]New TB INC'!AC723</f>
        <v>0</v>
      </c>
      <c r="AD764" s="11">
        <f>'[30]New TB INC'!AD718</f>
        <v>0</v>
      </c>
      <c r="AE764" s="11">
        <f>'[31]New TB INC'!AE726</f>
        <v>0</v>
      </c>
      <c r="AF764" s="11">
        <v>0</v>
      </c>
      <c r="AG764" s="11">
        <v>0</v>
      </c>
      <c r="AH764" s="11">
        <v>0</v>
      </c>
      <c r="AI764" s="11">
        <v>0</v>
      </c>
      <c r="AJ764" s="11">
        <v>0</v>
      </c>
      <c r="AK764" s="11">
        <f>$J764-SUM($Z764:AJ764)</f>
        <v>0</v>
      </c>
      <c r="AL764" s="11"/>
      <c r="AM764" s="11"/>
      <c r="AN764" s="11"/>
      <c r="AO764" s="11"/>
      <c r="AP764" s="11"/>
      <c r="AQ764" s="11"/>
      <c r="AR764" s="11"/>
      <c r="AS764" s="11"/>
      <c r="AT764" s="11"/>
      <c r="AU764" s="11"/>
      <c r="AW764" s="2509"/>
      <c r="BH764" s="2509"/>
      <c r="BI764" s="772"/>
      <c r="BJ764" s="2173"/>
      <c r="BK764" s="2173"/>
      <c r="BM764" s="11"/>
      <c r="BO764" s="209"/>
      <c r="BP764" s="11"/>
      <c r="BQ764" s="11"/>
      <c r="BR764" s="11"/>
      <c r="BS764" s="11"/>
      <c r="BT764" s="11"/>
      <c r="BU764" s="11"/>
      <c r="BV764" s="11"/>
      <c r="BW764" s="11"/>
      <c r="BX764" s="11"/>
      <c r="BY764" s="11"/>
      <c r="BZ764" s="11"/>
      <c r="CA764" s="11"/>
      <c r="CB764" s="11"/>
      <c r="CC764" s="11"/>
      <c r="CD764" s="11"/>
      <c r="CE764" s="11"/>
      <c r="CF764" s="11"/>
      <c r="CG764" s="11"/>
      <c r="CH764" s="878"/>
      <c r="CI764" s="4"/>
      <c r="CJ764" s="4"/>
      <c r="CK764" s="11"/>
      <c r="CL764" s="11"/>
      <c r="CM764" s="11"/>
      <c r="CN764" s="11"/>
      <c r="CO764" s="11"/>
      <c r="CP764" s="11"/>
      <c r="CQ764" s="11"/>
      <c r="CR764" s="11"/>
      <c r="CS764" s="11"/>
      <c r="CT764" s="11"/>
      <c r="CU764" s="11"/>
      <c r="CV764" s="11"/>
      <c r="CW764" s="11"/>
      <c r="CX764" s="11"/>
      <c r="CY764" s="11"/>
      <c r="CZ764" s="11"/>
      <c r="DA764" s="11"/>
    </row>
    <row r="765" spans="1:105" s="773" customFormat="1">
      <c r="A765" s="774"/>
      <c r="B765" s="3761" t="s">
        <v>1818</v>
      </c>
      <c r="C765" s="197">
        <v>7020006</v>
      </c>
      <c r="D765" s="199" t="s">
        <v>3005</v>
      </c>
      <c r="E765" s="42">
        <f>IFERROR(VLOOKUP(C765,'AJE 12 - INC'!$D$168:$F$771,3,0),0)</f>
        <v>518.61</v>
      </c>
      <c r="F765" s="108">
        <f>SUMIF('AJE 12 - INC'!B:B,'New TB INC'!C765,'AJE 12 - INC'!D:D)</f>
        <v>0</v>
      </c>
      <c r="G765" s="108"/>
      <c r="H765" s="108"/>
      <c r="I765" s="108"/>
      <c r="J765" s="798">
        <f t="shared" si="77"/>
        <v>518.61</v>
      </c>
      <c r="K765" s="209"/>
      <c r="L765" s="434"/>
      <c r="M765" s="810"/>
      <c r="N765" s="11"/>
      <c r="O765" s="11"/>
      <c r="P765" s="11"/>
      <c r="Q765" s="11"/>
      <c r="S765" s="11"/>
      <c r="U765" s="2173"/>
      <c r="V765" s="2509"/>
      <c r="W765" s="2509"/>
      <c r="X765" s="2509">
        <v>37.31</v>
      </c>
      <c r="Y765" s="2509">
        <v>0</v>
      </c>
      <c r="Z765" s="11">
        <f>'[26]New TB INC'!Z712</f>
        <v>0</v>
      </c>
      <c r="AA765" s="11">
        <f>'[27]New TB INC'!AA722</f>
        <v>0</v>
      </c>
      <c r="AB765" s="11">
        <f>'[28]New TB INC'!AB728</f>
        <v>138.61000000000001</v>
      </c>
      <c r="AC765" s="11">
        <f>'[29]New TB INC'!AC724</f>
        <v>0</v>
      </c>
      <c r="AD765" s="11">
        <f>'[30]New TB INC'!AD719</f>
        <v>0</v>
      </c>
      <c r="AE765" s="11">
        <f>'[31]New TB INC'!AE727</f>
        <v>0</v>
      </c>
      <c r="AF765" s="11">
        <v>380</v>
      </c>
      <c r="AG765" s="11">
        <v>0</v>
      </c>
      <c r="AH765" s="11">
        <v>0</v>
      </c>
      <c r="AI765" s="11">
        <v>0</v>
      </c>
      <c r="AJ765" s="11">
        <v>0</v>
      </c>
      <c r="AK765" s="11">
        <f>$J765-SUM($Z765:AJ765)</f>
        <v>0</v>
      </c>
      <c r="AL765" s="11"/>
      <c r="AM765" s="11"/>
      <c r="AN765" s="11"/>
      <c r="AO765" s="11"/>
      <c r="AP765" s="11"/>
      <c r="AQ765" s="11"/>
      <c r="AR765" s="11"/>
      <c r="AS765" s="11"/>
      <c r="AT765" s="11"/>
      <c r="AU765" s="11"/>
      <c r="AW765" s="2509"/>
      <c r="BE765" s="2173"/>
      <c r="BF765" s="2173"/>
      <c r="BG765" s="2173"/>
      <c r="BH765" s="2173"/>
      <c r="BI765" s="2173"/>
      <c r="BJ765" s="2173"/>
      <c r="BK765" s="2173"/>
      <c r="BM765" s="11"/>
      <c r="BO765" s="209"/>
      <c r="BP765" s="11"/>
      <c r="BQ765" s="11"/>
      <c r="BR765" s="11"/>
      <c r="BS765" s="11"/>
      <c r="BT765" s="11"/>
      <c r="BU765" s="11"/>
      <c r="BV765" s="11"/>
      <c r="BW765" s="11"/>
      <c r="BX765" s="11"/>
      <c r="BY765" s="11"/>
      <c r="BZ765" s="11"/>
      <c r="CA765" s="11"/>
      <c r="CB765" s="11"/>
      <c r="CC765" s="11"/>
      <c r="CD765" s="11"/>
      <c r="CE765" s="11"/>
      <c r="CF765" s="11"/>
      <c r="CG765" s="11"/>
      <c r="CH765" s="878"/>
      <c r="CI765" s="4"/>
      <c r="CJ765" s="4"/>
      <c r="CK765" s="11"/>
      <c r="CL765" s="11"/>
      <c r="CM765" s="11"/>
      <c r="CN765" s="11"/>
      <c r="CO765" s="11"/>
      <c r="CP765" s="11"/>
      <c r="CQ765" s="11"/>
      <c r="CR765" s="11"/>
      <c r="CS765" s="11"/>
      <c r="CT765" s="11"/>
      <c r="CU765" s="11"/>
      <c r="CV765" s="11"/>
      <c r="CW765" s="11"/>
      <c r="CX765" s="11"/>
      <c r="CY765" s="11"/>
      <c r="CZ765" s="11"/>
      <c r="DA765" s="11"/>
    </row>
    <row r="766" spans="1:105" s="773" customFormat="1">
      <c r="A766" s="774"/>
      <c r="B766" s="3761" t="s">
        <v>736</v>
      </c>
      <c r="C766" s="197">
        <v>7020070</v>
      </c>
      <c r="D766" s="199" t="s">
        <v>1855</v>
      </c>
      <c r="E766" s="42">
        <f>IFERROR(VLOOKUP(C766,'AJE 12 - INC'!$D$168:$F$771,3,0),0)</f>
        <v>8921.9</v>
      </c>
      <c r="F766" s="108">
        <f>SUMIF('AJE 12 - INC'!B:B,'New TB INC'!C766,'AJE 12 - INC'!D:D)</f>
        <v>0</v>
      </c>
      <c r="G766" s="108"/>
      <c r="H766" s="108"/>
      <c r="I766" s="108"/>
      <c r="J766" s="798">
        <f t="shared" si="77"/>
        <v>8921.9</v>
      </c>
      <c r="K766" s="209"/>
      <c r="L766" s="434"/>
      <c r="M766" s="810"/>
      <c r="N766" s="11">
        <v>0</v>
      </c>
      <c r="O766" s="11">
        <v>0</v>
      </c>
      <c r="P766" s="11">
        <v>0</v>
      </c>
      <c r="Q766" s="11">
        <v>0</v>
      </c>
      <c r="R766" s="773">
        <v>0</v>
      </c>
      <c r="S766" s="11">
        <v>0</v>
      </c>
      <c r="T766" s="773">
        <v>548.87</v>
      </c>
      <c r="U766" s="2173">
        <v>0</v>
      </c>
      <c r="V766" s="2509">
        <v>0</v>
      </c>
      <c r="W766" s="2509">
        <v>1400</v>
      </c>
      <c r="X766" s="2509">
        <v>225</v>
      </c>
      <c r="Y766" s="2509">
        <v>529.47000000000025</v>
      </c>
      <c r="Z766" s="11">
        <f>'[26]New TB INC'!Z713</f>
        <v>211.9</v>
      </c>
      <c r="AA766" s="11">
        <f>'[27]New TB INC'!AA723</f>
        <v>0</v>
      </c>
      <c r="AB766" s="11">
        <f>'[28]New TB INC'!AB729</f>
        <v>0</v>
      </c>
      <c r="AC766" s="11">
        <f>'[29]New TB INC'!AC725</f>
        <v>0</v>
      </c>
      <c r="AD766" s="11">
        <f>'[30]New TB INC'!AD720</f>
        <v>0</v>
      </c>
      <c r="AE766" s="11">
        <f>'[31]New TB INC'!AE728</f>
        <v>0</v>
      </c>
      <c r="AF766" s="11">
        <v>0</v>
      </c>
      <c r="AG766" s="11">
        <v>2750</v>
      </c>
      <c r="AH766" s="11">
        <v>0</v>
      </c>
      <c r="AI766" s="11">
        <v>4500</v>
      </c>
      <c r="AJ766" s="11">
        <v>0</v>
      </c>
      <c r="AK766" s="11">
        <f>$J766-SUM($Z766:AJ766)</f>
        <v>1460</v>
      </c>
      <c r="AL766" s="11"/>
      <c r="AM766" s="11"/>
      <c r="AN766" s="11"/>
      <c r="AO766" s="11"/>
      <c r="AP766" s="11"/>
      <c r="AQ766" s="11"/>
      <c r="AR766" s="11"/>
      <c r="AS766" s="11"/>
      <c r="AT766" s="11"/>
      <c r="AU766" s="11"/>
      <c r="AW766" s="2509"/>
      <c r="BE766" s="2173"/>
      <c r="BF766" s="2173"/>
      <c r="BG766" s="2173"/>
      <c r="BH766" s="2173"/>
      <c r="BI766" s="2173"/>
      <c r="BJ766" s="2173"/>
      <c r="BK766" s="2173"/>
      <c r="BM766" s="11"/>
      <c r="BO766" s="209"/>
      <c r="BP766" s="11"/>
      <c r="BQ766" s="11"/>
      <c r="BR766" s="11"/>
      <c r="BS766" s="11"/>
      <c r="BT766" s="11"/>
      <c r="BU766" s="11"/>
      <c r="BV766" s="11"/>
      <c r="BW766" s="11"/>
      <c r="BX766" s="11"/>
      <c r="BY766" s="11"/>
      <c r="BZ766" s="11"/>
      <c r="CA766" s="11"/>
      <c r="CB766" s="11"/>
      <c r="CC766" s="11"/>
      <c r="CD766" s="11"/>
      <c r="CE766" s="11"/>
      <c r="CF766" s="11"/>
      <c r="CG766" s="11"/>
      <c r="CH766" s="878"/>
      <c r="CI766" s="4"/>
      <c r="CJ766" s="4"/>
      <c r="CK766" s="11"/>
      <c r="CL766" s="11"/>
      <c r="CM766" s="11"/>
      <c r="CN766" s="11"/>
      <c r="CO766" s="11"/>
      <c r="CP766" s="11"/>
      <c r="CQ766" s="11"/>
      <c r="CR766" s="11"/>
      <c r="CS766" s="11"/>
      <c r="CT766" s="11"/>
      <c r="CU766" s="11"/>
      <c r="CV766" s="11"/>
      <c r="CW766" s="11"/>
      <c r="CX766" s="11"/>
      <c r="CY766" s="11"/>
      <c r="CZ766" s="11"/>
      <c r="DA766" s="11"/>
    </row>
    <row r="767" spans="1:105" s="773" customFormat="1">
      <c r="A767" s="774"/>
      <c r="B767" s="3761" t="s">
        <v>1818</v>
      </c>
      <c r="C767" s="197">
        <v>7020008</v>
      </c>
      <c r="D767" s="199" t="s">
        <v>4014</v>
      </c>
      <c r="E767" s="42">
        <f>IFERROR(VLOOKUP(C767,'AJE 12 - INC'!$D$168:$F$771,3,0),0)</f>
        <v>3553.53</v>
      </c>
      <c r="F767" s="108">
        <f>SUMIF('AJE 12 - INC'!B:B,'New TB INC'!C767,'AJE 12 - INC'!D:D)</f>
        <v>0</v>
      </c>
      <c r="G767" s="108"/>
      <c r="H767" s="108"/>
      <c r="I767" s="108"/>
      <c r="J767" s="798">
        <f>SUM(E767:I767)</f>
        <v>3553.53</v>
      </c>
      <c r="K767" s="209"/>
      <c r="L767" s="434"/>
      <c r="M767" s="810"/>
      <c r="N767" s="11"/>
      <c r="O767" s="11"/>
      <c r="P767" s="11"/>
      <c r="Q767" s="11"/>
      <c r="S767" s="11"/>
      <c r="U767" s="2173"/>
      <c r="V767" s="2509"/>
      <c r="W767" s="2509"/>
      <c r="X767" s="2509"/>
      <c r="Y767" s="2509"/>
      <c r="Z767" s="11"/>
      <c r="AA767" s="11"/>
      <c r="AB767" s="11"/>
      <c r="AC767" s="11"/>
      <c r="AD767" s="11"/>
      <c r="AE767" s="11"/>
      <c r="AF767" s="11"/>
      <c r="AG767" s="11">
        <v>345.41</v>
      </c>
      <c r="AH767" s="11">
        <v>0</v>
      </c>
      <c r="AI767" s="11">
        <v>0</v>
      </c>
      <c r="AJ767" s="11">
        <v>3208.1200000000003</v>
      </c>
      <c r="AK767" s="11">
        <f>$J767-SUM($Z767:AJ767)</f>
        <v>0</v>
      </c>
      <c r="AL767" s="11"/>
      <c r="AM767" s="11"/>
      <c r="AN767" s="11"/>
      <c r="AO767" s="11"/>
      <c r="AP767" s="11"/>
      <c r="AQ767" s="11"/>
      <c r="AR767" s="11"/>
      <c r="AS767" s="11"/>
      <c r="AT767" s="11"/>
      <c r="AU767" s="11"/>
      <c r="AW767" s="2509"/>
      <c r="BE767" s="2173"/>
      <c r="BF767" s="2173"/>
      <c r="BG767" s="2173"/>
      <c r="BH767" s="2173"/>
      <c r="BI767" s="2173"/>
      <c r="BJ767" s="2173"/>
      <c r="BK767" s="2173"/>
      <c r="BM767" s="11"/>
      <c r="BO767" s="209"/>
      <c r="BP767" s="11"/>
      <c r="BQ767" s="11"/>
      <c r="BR767" s="11"/>
      <c r="BS767" s="11"/>
      <c r="BT767" s="11"/>
      <c r="BU767" s="11"/>
      <c r="BV767" s="11"/>
      <c r="BW767" s="11"/>
      <c r="BX767" s="11"/>
      <c r="BY767" s="11"/>
      <c r="BZ767" s="11"/>
      <c r="CA767" s="11"/>
      <c r="CB767" s="11"/>
      <c r="CC767" s="11"/>
      <c r="CD767" s="11"/>
      <c r="CE767" s="11"/>
      <c r="CF767" s="11"/>
      <c r="CG767" s="11"/>
      <c r="CH767" s="878"/>
      <c r="CI767" s="4"/>
      <c r="CJ767" s="4"/>
      <c r="CK767" s="11"/>
      <c r="CL767" s="11"/>
      <c r="CM767" s="11"/>
      <c r="CN767" s="11"/>
      <c r="CO767" s="11"/>
      <c r="CP767" s="11"/>
      <c r="CQ767" s="11"/>
      <c r="CR767" s="11"/>
      <c r="CS767" s="11"/>
      <c r="CT767" s="11"/>
      <c r="CU767" s="11"/>
      <c r="CV767" s="11"/>
      <c r="CW767" s="11"/>
      <c r="CX767" s="11"/>
      <c r="CY767" s="11"/>
      <c r="CZ767" s="11"/>
      <c r="DA767" s="11"/>
    </row>
    <row r="768" spans="1:105" s="773" customFormat="1">
      <c r="A768" s="774"/>
      <c r="B768" s="3761" t="s">
        <v>736</v>
      </c>
      <c r="C768" s="197">
        <v>7020050</v>
      </c>
      <c r="D768" s="199" t="s">
        <v>492</v>
      </c>
      <c r="E768" s="42">
        <f>IFERROR(VLOOKUP(C768,'AJE 12 - INC'!$D$168:$F$771,3,0),0)</f>
        <v>14880</v>
      </c>
      <c r="F768" s="108">
        <f>SUMIF('AJE 12 - INC'!B:B,'New TB INC'!C768,'AJE 12 - INC'!D:D)</f>
        <v>0</v>
      </c>
      <c r="G768" s="108"/>
      <c r="H768" s="108"/>
      <c r="I768" s="108"/>
      <c r="J768" s="798">
        <f t="shared" si="77"/>
        <v>14880</v>
      </c>
      <c r="K768" s="209"/>
      <c r="L768" s="434"/>
      <c r="M768" s="810"/>
      <c r="N768" s="11">
        <v>1240</v>
      </c>
      <c r="O768" s="11">
        <v>1240</v>
      </c>
      <c r="P768" s="11">
        <v>1240</v>
      </c>
      <c r="Q768" s="11">
        <v>1240</v>
      </c>
      <c r="R768" s="773">
        <v>1240</v>
      </c>
      <c r="S768" s="11">
        <v>1240</v>
      </c>
      <c r="T768" s="773">
        <v>1240</v>
      </c>
      <c r="U768" s="2173">
        <v>1240</v>
      </c>
      <c r="V768" s="2509">
        <v>1240</v>
      </c>
      <c r="W768" s="2509">
        <v>1240</v>
      </c>
      <c r="X768" s="2509">
        <v>1240</v>
      </c>
      <c r="Y768" s="2509">
        <v>1240</v>
      </c>
      <c r="Z768" s="11">
        <f>'[26]New TB INC'!Z714</f>
        <v>1240</v>
      </c>
      <c r="AA768" s="11">
        <f>'[27]New TB INC'!AA724</f>
        <v>1240</v>
      </c>
      <c r="AB768" s="11">
        <f>'[28]New TB INC'!AB730</f>
        <v>1240</v>
      </c>
      <c r="AC768" s="11">
        <f>'[29]New TB INC'!AC726</f>
        <v>1240</v>
      </c>
      <c r="AD768" s="11">
        <f>'[30]New TB INC'!AD721</f>
        <v>1240</v>
      </c>
      <c r="AE768" s="11">
        <f>'[31]New TB INC'!AE729</f>
        <v>1240</v>
      </c>
      <c r="AF768" s="11">
        <v>1240</v>
      </c>
      <c r="AG768" s="11">
        <v>1240</v>
      </c>
      <c r="AH768" s="11">
        <v>1240</v>
      </c>
      <c r="AI768" s="11">
        <v>1240</v>
      </c>
      <c r="AJ768" s="11">
        <v>1240</v>
      </c>
      <c r="AK768" s="11">
        <f>$J768-SUM($Z768:AJ768)</f>
        <v>1240</v>
      </c>
      <c r="AL768" s="11"/>
      <c r="AM768" s="11"/>
      <c r="AN768" s="11"/>
      <c r="AO768" s="11"/>
      <c r="AP768" s="11"/>
      <c r="AQ768" s="11"/>
      <c r="AR768" s="11"/>
      <c r="AS768" s="11"/>
      <c r="AT768" s="11"/>
      <c r="AU768" s="11"/>
      <c r="AW768" s="2509"/>
      <c r="BE768" s="2173"/>
      <c r="BF768" s="2173"/>
      <c r="BG768" s="2173"/>
      <c r="BH768" s="2173"/>
      <c r="BI768" s="2173"/>
      <c r="BJ768" s="2173"/>
      <c r="BK768" s="2173"/>
      <c r="BM768" s="11"/>
      <c r="BO768" s="209"/>
      <c r="BP768" s="11"/>
      <c r="BQ768" s="11"/>
      <c r="BR768" s="11"/>
      <c r="BS768" s="11"/>
      <c r="BT768" s="11"/>
      <c r="BU768" s="11"/>
      <c r="BV768" s="11"/>
      <c r="BW768" s="11"/>
      <c r="BX768" s="11"/>
      <c r="BY768" s="11"/>
      <c r="BZ768" s="11"/>
      <c r="CA768" s="11"/>
      <c r="CB768" s="11"/>
      <c r="CC768" s="11"/>
      <c r="CD768" s="11"/>
      <c r="CE768" s="11"/>
      <c r="CF768" s="11"/>
      <c r="CG768" s="11"/>
      <c r="CH768" s="878"/>
      <c r="CI768" s="4"/>
      <c r="CJ768" s="4"/>
      <c r="CK768" s="11"/>
      <c r="CL768" s="11"/>
      <c r="CM768" s="11"/>
      <c r="CN768" s="11"/>
      <c r="CO768" s="11"/>
      <c r="CP768" s="11"/>
      <c r="CQ768" s="11"/>
      <c r="CR768" s="11"/>
      <c r="CS768" s="11"/>
      <c r="CT768" s="11"/>
      <c r="CU768" s="11"/>
      <c r="CV768" s="11"/>
      <c r="CW768" s="11"/>
      <c r="CX768" s="11"/>
      <c r="CY768" s="11"/>
      <c r="CZ768" s="11"/>
      <c r="DA768" s="11"/>
    </row>
    <row r="769" spans="1:105" s="773" customFormat="1" ht="13.5" thickBot="1">
      <c r="A769" s="780"/>
      <c r="B769" s="3761"/>
      <c r="C769" s="157"/>
      <c r="D769" s="111"/>
      <c r="E769" s="42"/>
      <c r="F769" s="108"/>
      <c r="G769" s="108"/>
      <c r="H769" s="108"/>
      <c r="I769" s="108"/>
      <c r="J769" s="798"/>
      <c r="K769" s="209"/>
      <c r="L769" s="434"/>
      <c r="M769" s="810"/>
      <c r="N769" s="11">
        <v>0</v>
      </c>
      <c r="O769" s="11">
        <v>0</v>
      </c>
      <c r="P769" s="11">
        <v>0</v>
      </c>
      <c r="Q769" s="11">
        <v>0</v>
      </c>
      <c r="R769" s="773">
        <v>0</v>
      </c>
      <c r="S769" s="11">
        <v>0</v>
      </c>
      <c r="T769" s="773">
        <v>0</v>
      </c>
      <c r="U769" s="2173">
        <v>0</v>
      </c>
      <c r="V769" s="2509">
        <v>0</v>
      </c>
      <c r="W769" s="2509">
        <v>0</v>
      </c>
      <c r="X769" s="2509">
        <v>0</v>
      </c>
      <c r="Y769" s="2509">
        <v>0</v>
      </c>
      <c r="Z769" s="11">
        <f>'[26]New TB INC'!Z715</f>
        <v>0</v>
      </c>
      <c r="AA769" s="11">
        <f>'[27]New TB INC'!AA725</f>
        <v>0</v>
      </c>
      <c r="AB769" s="11">
        <f>'[28]New TB INC'!AB731</f>
        <v>0</v>
      </c>
      <c r="AC769" s="11">
        <f>'[29]New TB INC'!AC727</f>
        <v>0</v>
      </c>
      <c r="AD769" s="11">
        <f>'[30]New TB INC'!AD722</f>
        <v>0</v>
      </c>
      <c r="AE769" s="11">
        <f>'[31]New TB INC'!AE730</f>
        <v>0</v>
      </c>
      <c r="AF769" s="11">
        <v>0</v>
      </c>
      <c r="AG769" s="11">
        <v>0</v>
      </c>
      <c r="AH769" s="11">
        <v>0</v>
      </c>
      <c r="AI769" s="11">
        <v>0</v>
      </c>
      <c r="AJ769" s="11">
        <v>0</v>
      </c>
      <c r="AK769" s="11">
        <f>$J769-SUM($Z769:AJ769)</f>
        <v>0</v>
      </c>
      <c r="AL769" s="11"/>
      <c r="AM769" s="11"/>
      <c r="AN769" s="11"/>
      <c r="AO769" s="11"/>
      <c r="AP769" s="11"/>
      <c r="AQ769" s="11"/>
      <c r="AR769" s="11"/>
      <c r="AS769" s="11"/>
      <c r="AT769" s="11"/>
      <c r="AU769" s="11"/>
      <c r="AW769" s="2509"/>
      <c r="BE769" s="2173"/>
      <c r="BF769" s="2173"/>
      <c r="BG769" s="2173"/>
      <c r="BH769" s="2173"/>
      <c r="BI769" s="2173"/>
      <c r="BJ769" s="2173"/>
      <c r="BK769" s="2173"/>
      <c r="BM769" s="11"/>
      <c r="BO769" s="209"/>
      <c r="BP769" s="11"/>
      <c r="BQ769" s="11"/>
      <c r="BR769" s="11"/>
      <c r="BS769" s="11"/>
      <c r="BT769" s="209"/>
      <c r="BU769" s="209"/>
      <c r="BV769" s="209"/>
      <c r="BW769" s="820"/>
      <c r="BX769" s="209"/>
      <c r="BY769" s="209"/>
      <c r="BZ769" s="799"/>
      <c r="CA769" s="799"/>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row>
    <row r="770" spans="1:105" s="773" customFormat="1" ht="13.5" thickBot="1">
      <c r="A770" s="774"/>
      <c r="B770" s="3763"/>
      <c r="C770" s="906"/>
      <c r="D770" s="954"/>
      <c r="E770" s="907">
        <f t="shared" ref="E770:J770" si="79">SUM(E731:E769)</f>
        <v>1234936.1199999999</v>
      </c>
      <c r="F770" s="907">
        <f t="shared" si="79"/>
        <v>0</v>
      </c>
      <c r="G770" s="907">
        <f t="shared" si="79"/>
        <v>0</v>
      </c>
      <c r="H770" s="907">
        <f t="shared" si="79"/>
        <v>0</v>
      </c>
      <c r="I770" s="907">
        <f t="shared" si="79"/>
        <v>0</v>
      </c>
      <c r="J770" s="907">
        <f t="shared" si="79"/>
        <v>1234936.1199999999</v>
      </c>
      <c r="K770" s="209"/>
      <c r="L770" s="434"/>
      <c r="M770" s="908"/>
      <c r="N770" s="11">
        <v>124485.10000000002</v>
      </c>
      <c r="O770" s="11">
        <v>347146.81</v>
      </c>
      <c r="P770" s="11">
        <v>107710.54202946089</v>
      </c>
      <c r="Q770" s="11">
        <v>112087.43</v>
      </c>
      <c r="R770" s="773">
        <v>103965.72797053913</v>
      </c>
      <c r="S770" s="11">
        <v>84139.279999999912</v>
      </c>
      <c r="T770" s="773">
        <v>78261.520000000019</v>
      </c>
      <c r="U770" s="2173">
        <v>65366.379999999888</v>
      </c>
      <c r="V770" s="2509">
        <v>54629.810000000172</v>
      </c>
      <c r="W770" s="2509">
        <v>148934.81000000006</v>
      </c>
      <c r="X770" s="2509">
        <v>187751.31000000006</v>
      </c>
      <c r="Y770" s="2509">
        <v>46469.95999999973</v>
      </c>
      <c r="Z770" s="11">
        <f>'[26]New TB INC'!Z716</f>
        <v>77933.61</v>
      </c>
      <c r="AA770" s="11">
        <f>'[27]New TB INC'!AA726</f>
        <v>109246.8</v>
      </c>
      <c r="AB770" s="11">
        <f>'[28]New TB INC'!AB732</f>
        <v>80231.200000000041</v>
      </c>
      <c r="AC770" s="11">
        <f>'[29]New TB INC'!AC728</f>
        <v>70116.089999999967</v>
      </c>
      <c r="AD770" s="11">
        <f>'[30]New TB INC'!AD723</f>
        <v>54546.799999999988</v>
      </c>
      <c r="AE770" s="11">
        <f>'[31]New TB INC'!AE731</f>
        <v>68694.760000000009</v>
      </c>
      <c r="AF770" s="11">
        <v>98061.550000000047</v>
      </c>
      <c r="AG770" s="11">
        <v>63941.609999999986</v>
      </c>
      <c r="AH770" s="11">
        <v>76527.720000000088</v>
      </c>
      <c r="AI770" s="11">
        <v>110780.71999999986</v>
      </c>
      <c r="AJ770" s="11">
        <v>345085.56999999995</v>
      </c>
      <c r="AK770" s="11">
        <f>$J770-SUM($Z770:AJ770)</f>
        <v>79769.689999999944</v>
      </c>
      <c r="AL770" s="11"/>
      <c r="AM770" s="11"/>
      <c r="AN770" s="11"/>
      <c r="AO770" s="11"/>
      <c r="AP770" s="11"/>
      <c r="AQ770" s="11"/>
      <c r="AR770" s="11"/>
      <c r="AS770" s="11"/>
      <c r="AT770" s="11"/>
      <c r="AU770" s="11"/>
      <c r="AW770" s="2509"/>
      <c r="BE770" s="2173"/>
      <c r="BF770" s="2173"/>
      <c r="BG770" s="2173"/>
      <c r="BH770" s="2173"/>
      <c r="BI770" s="2173"/>
      <c r="BJ770" s="2173"/>
      <c r="BK770" s="2173"/>
      <c r="BM770" s="11"/>
      <c r="BO770" s="209"/>
      <c r="BP770" s="11"/>
      <c r="BQ770" s="11"/>
      <c r="BR770" s="11"/>
      <c r="BS770" s="209"/>
      <c r="BT770" s="11"/>
      <c r="BU770" s="11"/>
      <c r="BV770" s="11"/>
      <c r="BW770" s="11"/>
      <c r="BX770" s="11"/>
      <c r="BY770" s="11"/>
      <c r="BZ770" s="11"/>
      <c r="CA770" s="11"/>
      <c r="CB770" s="11"/>
      <c r="CC770" s="11"/>
      <c r="CD770" s="11"/>
      <c r="CE770" s="11"/>
      <c r="CF770" s="11"/>
      <c r="CG770" s="11"/>
      <c r="CH770" s="878"/>
      <c r="CI770" s="4"/>
      <c r="CJ770" s="4"/>
      <c r="CK770" s="11"/>
      <c r="CL770" s="11"/>
      <c r="CM770" s="11"/>
      <c r="CN770" s="11"/>
      <c r="CO770" s="11"/>
      <c r="CP770" s="11"/>
      <c r="CQ770" s="11"/>
      <c r="CR770" s="11"/>
      <c r="CS770" s="11"/>
      <c r="CT770" s="11"/>
      <c r="CU770" s="11"/>
      <c r="CV770" s="11"/>
      <c r="CW770" s="11"/>
      <c r="CX770" s="11"/>
      <c r="CY770" s="11"/>
      <c r="CZ770" s="11"/>
      <c r="DA770" s="11"/>
    </row>
    <row r="771" spans="1:105" s="773" customFormat="1">
      <c r="A771" s="774"/>
      <c r="B771" s="3763"/>
      <c r="C771" s="438"/>
      <c r="D771" s="172"/>
      <c r="E771" s="42"/>
      <c r="F771" s="42"/>
      <c r="G771" s="42"/>
      <c r="H771" s="909"/>
      <c r="I771" s="42"/>
      <c r="J771" s="42"/>
      <c r="K771" s="209"/>
      <c r="L771" s="434"/>
      <c r="M771" s="186"/>
      <c r="N771" s="11">
        <v>0</v>
      </c>
      <c r="O771" s="11">
        <v>0</v>
      </c>
      <c r="P771" s="11">
        <v>0</v>
      </c>
      <c r="Q771" s="11">
        <v>0</v>
      </c>
      <c r="R771" s="773">
        <v>0</v>
      </c>
      <c r="S771" s="11">
        <v>0</v>
      </c>
      <c r="T771" s="773">
        <v>0</v>
      </c>
      <c r="U771" s="2173">
        <v>0</v>
      </c>
      <c r="V771" s="2509">
        <v>0</v>
      </c>
      <c r="W771" s="2509">
        <v>0</v>
      </c>
      <c r="X771" s="2509">
        <v>0</v>
      </c>
      <c r="Y771" s="2509">
        <v>0</v>
      </c>
      <c r="Z771" s="11">
        <f>'[26]New TB INC'!Z717</f>
        <v>0</v>
      </c>
      <c r="AA771" s="11">
        <f>'[27]New TB INC'!AA727</f>
        <v>0</v>
      </c>
      <c r="AB771" s="11">
        <f>'[28]New TB INC'!AB733</f>
        <v>0</v>
      </c>
      <c r="AC771" s="11">
        <f>'[29]New TB INC'!AC729</f>
        <v>0</v>
      </c>
      <c r="AD771" s="11">
        <f>'[30]New TB INC'!AD724</f>
        <v>0</v>
      </c>
      <c r="AE771" s="11">
        <f>'[31]New TB INC'!AE732</f>
        <v>0</v>
      </c>
      <c r="AF771" s="11">
        <v>0</v>
      </c>
      <c r="AG771" s="11">
        <v>0</v>
      </c>
      <c r="AH771" s="11">
        <v>0</v>
      </c>
      <c r="AI771" s="11">
        <v>0</v>
      </c>
      <c r="AJ771" s="11">
        <v>0</v>
      </c>
      <c r="AK771" s="11">
        <f>$J771-SUM($Z771:AJ771)</f>
        <v>0</v>
      </c>
      <c r="AL771" s="11"/>
      <c r="AM771" s="11"/>
      <c r="AN771" s="11"/>
      <c r="AO771" s="11"/>
      <c r="AP771" s="11"/>
      <c r="AQ771" s="11"/>
      <c r="AR771" s="11"/>
      <c r="AS771" s="11"/>
      <c r="AT771" s="11"/>
      <c r="AU771" s="11"/>
      <c r="AW771" s="2509"/>
      <c r="BE771" s="2173"/>
      <c r="BF771" s="2173"/>
      <c r="BG771" s="2173"/>
      <c r="BH771" s="2173"/>
      <c r="BI771" s="2173"/>
      <c r="BJ771" s="2173"/>
      <c r="BK771" s="2173"/>
      <c r="BM771" s="11"/>
      <c r="BO771" s="209"/>
      <c r="BP771" s="799"/>
      <c r="BQ771" s="209"/>
      <c r="BR771" s="209"/>
      <c r="BS771" s="11"/>
      <c r="BT771" s="11"/>
      <c r="BU771" s="11"/>
      <c r="BV771" s="11"/>
      <c r="BW771" s="11"/>
      <c r="BX771" s="11"/>
      <c r="BY771" s="11"/>
      <c r="BZ771" s="11"/>
      <c r="CA771" s="11"/>
      <c r="CB771" s="11"/>
      <c r="CC771" s="11"/>
      <c r="CD771" s="11"/>
      <c r="CE771" s="11"/>
      <c r="CF771" s="11"/>
      <c r="CG771" s="11"/>
      <c r="CH771" s="878"/>
      <c r="CI771" s="4"/>
      <c r="CJ771" s="4"/>
      <c r="CK771" s="11"/>
      <c r="CL771" s="11"/>
      <c r="CM771" s="11"/>
      <c r="CN771" s="11"/>
      <c r="CO771" s="11"/>
      <c r="CP771" s="11"/>
      <c r="CQ771" s="11"/>
      <c r="CR771" s="11"/>
      <c r="CS771" s="11"/>
      <c r="CT771" s="11"/>
      <c r="CU771" s="11"/>
      <c r="CV771" s="11"/>
      <c r="CW771" s="11"/>
      <c r="CX771" s="11"/>
      <c r="CY771" s="11"/>
      <c r="CZ771" s="11"/>
      <c r="DA771" s="11"/>
    </row>
    <row r="772" spans="1:105" s="773" customFormat="1">
      <c r="A772" s="774"/>
      <c r="B772" s="3763"/>
      <c r="C772" s="157"/>
      <c r="D772" s="948" t="s">
        <v>579</v>
      </c>
      <c r="E772" s="42"/>
      <c r="F772" s="42"/>
      <c r="G772" s="42"/>
      <c r="H772" s="42"/>
      <c r="I772" s="42"/>
      <c r="J772" s="42"/>
      <c r="K772" s="209"/>
      <c r="L772" s="434"/>
      <c r="M772" s="186"/>
      <c r="N772" s="11">
        <v>0</v>
      </c>
      <c r="O772" s="11">
        <v>0</v>
      </c>
      <c r="P772" s="11">
        <v>0</v>
      </c>
      <c r="Q772" s="11">
        <v>0</v>
      </c>
      <c r="R772" s="773">
        <v>0</v>
      </c>
      <c r="S772" s="11">
        <v>0</v>
      </c>
      <c r="T772" s="773">
        <v>0</v>
      </c>
      <c r="U772" s="2173">
        <v>0</v>
      </c>
      <c r="V772" s="2509">
        <v>0</v>
      </c>
      <c r="W772" s="2509">
        <v>0</v>
      </c>
      <c r="X772" s="2509">
        <v>0</v>
      </c>
      <c r="Y772" s="2509">
        <v>0</v>
      </c>
      <c r="Z772" s="11">
        <f>'[26]New TB INC'!Z718</f>
        <v>0</v>
      </c>
      <c r="AA772" s="11">
        <f>'[27]New TB INC'!AA728</f>
        <v>0</v>
      </c>
      <c r="AB772" s="11">
        <f>'[28]New TB INC'!AB734</f>
        <v>0</v>
      </c>
      <c r="AC772" s="11">
        <f>'[29]New TB INC'!AC730</f>
        <v>0</v>
      </c>
      <c r="AD772" s="11">
        <f>'[30]New TB INC'!AD725</f>
        <v>0</v>
      </c>
      <c r="AE772" s="11">
        <f>'[31]New TB INC'!AE733</f>
        <v>0</v>
      </c>
      <c r="AF772" s="11">
        <v>0</v>
      </c>
      <c r="AG772" s="11">
        <v>0</v>
      </c>
      <c r="AH772" s="11">
        <v>0</v>
      </c>
      <c r="AI772" s="11">
        <v>0</v>
      </c>
      <c r="AJ772" s="11">
        <v>0</v>
      </c>
      <c r="AK772" s="11">
        <f>$J772-SUM($Z772:AJ772)</f>
        <v>0</v>
      </c>
      <c r="AL772" s="11"/>
      <c r="AM772" s="11"/>
      <c r="AN772" s="11"/>
      <c r="AO772" s="11"/>
      <c r="AP772" s="11"/>
      <c r="AQ772" s="11"/>
      <c r="AR772" s="11"/>
      <c r="AS772" s="11"/>
      <c r="AT772" s="11"/>
      <c r="AU772" s="11"/>
      <c r="AW772" s="2509"/>
      <c r="BE772" s="2173"/>
      <c r="BF772" s="2173"/>
      <c r="BG772" s="2173"/>
      <c r="BH772" s="2173"/>
      <c r="BI772" s="2173"/>
      <c r="BJ772" s="2173"/>
      <c r="BK772" s="2173"/>
      <c r="BM772" s="11"/>
      <c r="BO772" s="209"/>
      <c r="BP772" s="11"/>
      <c r="BQ772" s="11"/>
      <c r="BR772" s="11"/>
      <c r="BS772" s="11"/>
      <c r="BT772" s="11"/>
      <c r="BU772" s="11"/>
      <c r="BV772" s="11"/>
      <c r="BW772" s="11"/>
      <c r="BX772" s="11"/>
      <c r="BY772" s="11"/>
      <c r="BZ772" s="11"/>
      <c r="CA772" s="11"/>
      <c r="CB772" s="11"/>
      <c r="CC772" s="11"/>
      <c r="CD772" s="11"/>
      <c r="CE772" s="11"/>
      <c r="CF772" s="11"/>
      <c r="CG772" s="11"/>
      <c r="CH772" s="878"/>
      <c r="CI772" s="4"/>
      <c r="CJ772" s="4"/>
      <c r="CK772" s="11"/>
      <c r="CL772" s="11"/>
      <c r="CM772" s="11"/>
      <c r="CN772" s="11"/>
      <c r="CO772" s="11"/>
      <c r="CP772" s="11"/>
      <c r="CQ772" s="11"/>
      <c r="CR772" s="11"/>
      <c r="CS772" s="11"/>
      <c r="CT772" s="11"/>
      <c r="CU772" s="11"/>
      <c r="CV772" s="11"/>
      <c r="CW772" s="11"/>
      <c r="CX772" s="11"/>
      <c r="CY772" s="11"/>
      <c r="CZ772" s="11"/>
      <c r="DA772" s="11"/>
    </row>
    <row r="773" spans="1:105" s="773" customFormat="1">
      <c r="A773" s="774"/>
      <c r="B773" s="3763"/>
      <c r="C773" s="157"/>
      <c r="D773" s="174"/>
      <c r="E773" s="42"/>
      <c r="F773" s="42"/>
      <c r="G773" s="42"/>
      <c r="H773" s="42"/>
      <c r="I773" s="42"/>
      <c r="J773" s="42"/>
      <c r="K773" s="209"/>
      <c r="L773" s="434"/>
      <c r="M773" s="186"/>
      <c r="N773" s="11">
        <v>0</v>
      </c>
      <c r="O773" s="11">
        <v>0</v>
      </c>
      <c r="P773" s="11">
        <v>0</v>
      </c>
      <c r="Q773" s="11">
        <v>0</v>
      </c>
      <c r="R773" s="773">
        <v>0</v>
      </c>
      <c r="S773" s="11">
        <v>0</v>
      </c>
      <c r="T773" s="773">
        <v>0</v>
      </c>
      <c r="U773" s="2173">
        <v>0</v>
      </c>
      <c r="V773" s="2509">
        <v>0</v>
      </c>
      <c r="W773" s="2509">
        <v>0</v>
      </c>
      <c r="X773" s="2509">
        <v>0</v>
      </c>
      <c r="Y773" s="2509">
        <v>0</v>
      </c>
      <c r="Z773" s="11">
        <f>'[26]New TB INC'!Z719</f>
        <v>0</v>
      </c>
      <c r="AA773" s="11">
        <f>'[27]New TB INC'!AA729</f>
        <v>0</v>
      </c>
      <c r="AB773" s="11">
        <f>'[28]New TB INC'!AB735</f>
        <v>0</v>
      </c>
      <c r="AC773" s="11">
        <f>'[29]New TB INC'!AC731</f>
        <v>0</v>
      </c>
      <c r="AD773" s="11">
        <f>'[30]New TB INC'!AD726</f>
        <v>0</v>
      </c>
      <c r="AE773" s="11">
        <f>'[31]New TB INC'!AE734</f>
        <v>0</v>
      </c>
      <c r="AF773" s="11">
        <v>0</v>
      </c>
      <c r="AG773" s="11">
        <v>0</v>
      </c>
      <c r="AH773" s="11">
        <v>0</v>
      </c>
      <c r="AI773" s="11">
        <v>0</v>
      </c>
      <c r="AJ773" s="11">
        <v>0</v>
      </c>
      <c r="AK773" s="11">
        <f>$J773-SUM($Z773:AJ773)</f>
        <v>0</v>
      </c>
      <c r="AL773" s="11"/>
      <c r="AM773" s="11"/>
      <c r="AN773" s="11"/>
      <c r="AO773" s="11"/>
      <c r="AP773" s="11"/>
      <c r="AQ773" s="11"/>
      <c r="AR773" s="11"/>
      <c r="AS773" s="11"/>
      <c r="AT773" s="11"/>
      <c r="AU773" s="11"/>
      <c r="AW773" s="2509"/>
      <c r="BE773" s="2173"/>
      <c r="BF773" s="2173"/>
      <c r="BG773" s="2173"/>
      <c r="BH773" s="2173"/>
      <c r="BI773" s="2173"/>
      <c r="BJ773" s="2173"/>
      <c r="BK773" s="2173"/>
      <c r="BM773" s="11"/>
      <c r="BO773" s="209"/>
      <c r="BP773" s="11"/>
      <c r="BQ773" s="11"/>
      <c r="BR773" s="11"/>
      <c r="BS773" s="11"/>
      <c r="BT773" s="11"/>
      <c r="BU773" s="11"/>
      <c r="BV773" s="11"/>
      <c r="BW773" s="11"/>
      <c r="BX773" s="11"/>
      <c r="BY773" s="11"/>
      <c r="BZ773" s="11"/>
      <c r="CA773" s="11"/>
      <c r="CB773" s="11"/>
      <c r="CC773" s="11"/>
      <c r="CD773" s="11"/>
      <c r="CE773" s="11"/>
      <c r="CF773" s="11"/>
      <c r="CG773" s="11"/>
      <c r="CH773" s="878"/>
      <c r="CI773" s="4"/>
      <c r="CJ773" s="4"/>
      <c r="CK773" s="11"/>
      <c r="CL773" s="11"/>
      <c r="CM773" s="11"/>
      <c r="CN773" s="11"/>
      <c r="CO773" s="11"/>
      <c r="CP773" s="11"/>
      <c r="CQ773" s="11"/>
      <c r="CR773" s="11"/>
      <c r="CS773" s="11"/>
      <c r="CT773" s="11"/>
      <c r="CU773" s="11"/>
      <c r="CV773" s="11"/>
      <c r="CW773" s="11"/>
      <c r="CX773" s="11"/>
      <c r="CY773" s="11"/>
      <c r="CZ773" s="11"/>
      <c r="DA773" s="11"/>
    </row>
    <row r="774" spans="1:105" s="773" customFormat="1" ht="13.5" thickBot="1">
      <c r="A774" s="780"/>
      <c r="B774" s="3763"/>
      <c r="C774" s="157"/>
      <c r="D774" s="953" t="s">
        <v>965</v>
      </c>
      <c r="E774" s="42"/>
      <c r="F774" s="108"/>
      <c r="G774" s="108"/>
      <c r="H774" s="108"/>
      <c r="I774" s="108"/>
      <c r="J774" s="798"/>
      <c r="K774" s="209"/>
      <c r="L774" s="449"/>
      <c r="M774" s="828"/>
      <c r="N774" s="11">
        <v>0</v>
      </c>
      <c r="O774" s="11">
        <v>0</v>
      </c>
      <c r="P774" s="11">
        <v>0</v>
      </c>
      <c r="Q774" s="11">
        <v>0</v>
      </c>
      <c r="R774" s="773">
        <v>0</v>
      </c>
      <c r="S774" s="11">
        <v>0</v>
      </c>
      <c r="T774" s="773">
        <v>0</v>
      </c>
      <c r="U774" s="2173">
        <v>0</v>
      </c>
      <c r="V774" s="2509">
        <v>0</v>
      </c>
      <c r="W774" s="2509">
        <v>0</v>
      </c>
      <c r="X774" s="2509">
        <v>0</v>
      </c>
      <c r="Y774" s="2509">
        <v>0</v>
      </c>
      <c r="Z774" s="11">
        <f>'[26]New TB INC'!Z720</f>
        <v>0</v>
      </c>
      <c r="AA774" s="11">
        <f>'[27]New TB INC'!AA730</f>
        <v>0</v>
      </c>
      <c r="AB774" s="11">
        <f>'[28]New TB INC'!AB736</f>
        <v>0</v>
      </c>
      <c r="AC774" s="11">
        <f>'[29]New TB INC'!AC732</f>
        <v>0</v>
      </c>
      <c r="AD774" s="11">
        <f>'[30]New TB INC'!AD727</f>
        <v>0</v>
      </c>
      <c r="AE774" s="11">
        <f>'[31]New TB INC'!AE735</f>
        <v>0</v>
      </c>
      <c r="AF774" s="11">
        <v>0</v>
      </c>
      <c r="AG774" s="11">
        <v>0</v>
      </c>
      <c r="AH774" s="11">
        <v>0</v>
      </c>
      <c r="AI774" s="11">
        <v>0</v>
      </c>
      <c r="AJ774" s="11">
        <v>0</v>
      </c>
      <c r="AK774" s="11">
        <f>$J774-SUM($Z774:AJ774)</f>
        <v>0</v>
      </c>
      <c r="AL774" s="11"/>
      <c r="AM774" s="11"/>
      <c r="AN774" s="11"/>
      <c r="AO774" s="11"/>
      <c r="AP774" s="11"/>
      <c r="AQ774" s="11"/>
      <c r="AR774" s="11"/>
      <c r="AS774" s="11"/>
      <c r="AT774" s="11"/>
      <c r="AU774" s="11"/>
      <c r="AW774" s="2509"/>
      <c r="BE774" s="2173"/>
      <c r="BF774" s="2173"/>
      <c r="BG774" s="2173"/>
      <c r="BH774" s="2173"/>
      <c r="BI774" s="2173"/>
      <c r="BJ774" s="2173"/>
      <c r="BK774" s="2173"/>
      <c r="BM774" s="11"/>
      <c r="BO774" s="209"/>
      <c r="BP774" s="799"/>
      <c r="BQ774" s="11"/>
      <c r="BR774" s="11"/>
      <c r="BS774" s="11"/>
      <c r="BT774" s="209"/>
      <c r="BU774" s="209"/>
      <c r="BV774" s="209"/>
      <c r="BW774" s="820"/>
      <c r="BX774" s="209"/>
      <c r="BY774" s="209"/>
      <c r="BZ774" s="209"/>
      <c r="CA774" s="209"/>
    </row>
    <row r="775" spans="1:105" s="773" customFormat="1" ht="15">
      <c r="A775" s="780"/>
      <c r="B775" s="3789" t="s">
        <v>741</v>
      </c>
      <c r="C775" s="2885">
        <v>7110001</v>
      </c>
      <c r="D775" s="2886" t="s">
        <v>742</v>
      </c>
      <c r="E775" s="2887">
        <f>IFERROR(VLOOKUP(C775,'AJE 12 - INC'!$D$168:$F$771,3,0),0)</f>
        <v>780015.75</v>
      </c>
      <c r="F775" s="899">
        <f>SUMIF('AJE 12 - INC'!B:B,'New TB INC'!C775,'AJE 12 - INC'!D:D)</f>
        <v>0</v>
      </c>
      <c r="G775" s="899"/>
      <c r="H775" s="899"/>
      <c r="I775" s="899"/>
      <c r="J775" s="2887">
        <f t="shared" ref="J775:J795" si="80">SUM(E775:I775)</f>
        <v>780015.75</v>
      </c>
      <c r="K775" s="4515"/>
      <c r="L775" s="434"/>
      <c r="M775" s="813"/>
      <c r="N775" s="773">
        <v>70416.679999999993</v>
      </c>
      <c r="O775" s="773">
        <v>71666.679999999993</v>
      </c>
      <c r="P775" s="773">
        <v>71666.680000000022</v>
      </c>
      <c r="Q775" s="773">
        <v>71666.679999999964</v>
      </c>
      <c r="R775" s="773">
        <v>71666.680000000051</v>
      </c>
      <c r="S775" s="11">
        <v>71666.679999999993</v>
      </c>
      <c r="T775" s="773">
        <v>71666.679999999964</v>
      </c>
      <c r="U775" s="2173">
        <v>71666.679999999935</v>
      </c>
      <c r="V775" s="2509">
        <v>71666.680000000051</v>
      </c>
      <c r="W775" s="2509">
        <v>71666.680000000051</v>
      </c>
      <c r="X775" s="2509">
        <v>71666.679999999935</v>
      </c>
      <c r="Y775" s="2509">
        <v>71666.680000000051</v>
      </c>
      <c r="Z775" s="11">
        <f>'[26]New TB INC'!Z721</f>
        <v>71666.679999999993</v>
      </c>
      <c r="AA775" s="11">
        <f>'[27]New TB INC'!AA731</f>
        <v>68333.330000000016</v>
      </c>
      <c r="AB775" s="11">
        <f>'[28]New TB INC'!AB737</f>
        <v>62916.66</v>
      </c>
      <c r="AC775" s="11">
        <f>'[29]New TB INC'!AC733</f>
        <v>62916.66</v>
      </c>
      <c r="AD775" s="11">
        <f>'[30]New TB INC'!AD728</f>
        <v>62916.659999999974</v>
      </c>
      <c r="AE775" s="11">
        <f>'[31]New TB INC'!AE736</f>
        <v>69144.520000000019</v>
      </c>
      <c r="AF775" s="11">
        <v>72537.88</v>
      </c>
      <c r="AG775" s="11">
        <v>76250</v>
      </c>
      <c r="AH775" s="11">
        <v>58333.339999999967</v>
      </c>
      <c r="AI775" s="11">
        <v>58333.339999999967</v>
      </c>
      <c r="AJ775" s="11">
        <v>58333.340000000084</v>
      </c>
      <c r="AK775" s="11">
        <f>$J775-SUM($Z775:AJ775)</f>
        <v>58333.339999999967</v>
      </c>
      <c r="AL775" s="11"/>
      <c r="AM775" s="11"/>
      <c r="AN775" s="11"/>
      <c r="AO775" s="11"/>
      <c r="AP775" s="3412" t="s">
        <v>4216</v>
      </c>
      <c r="AQ775" s="11"/>
      <c r="AR775" s="11"/>
      <c r="AS775" s="11" t="s">
        <v>3769</v>
      </c>
      <c r="AT775" s="11"/>
      <c r="AU775" s="11"/>
      <c r="AW775" s="2509"/>
      <c r="BE775" s="2173"/>
      <c r="BF775" s="2173"/>
      <c r="BG775" s="2173"/>
      <c r="BH775" s="2173"/>
      <c r="BI775" s="2173"/>
      <c r="BJ775" s="2173"/>
      <c r="BK775" s="2173"/>
      <c r="BM775" s="11"/>
      <c r="BO775" s="209"/>
      <c r="BP775" s="799"/>
      <c r="BQ775" s="11"/>
      <c r="BR775" s="11"/>
      <c r="BS775" s="209"/>
      <c r="BT775" s="209"/>
      <c r="BU775" s="209"/>
      <c r="BV775" s="209"/>
      <c r="BW775" s="820"/>
      <c r="BX775" s="209"/>
      <c r="BY775" s="209"/>
      <c r="BZ775" s="799"/>
      <c r="CA775" s="799"/>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row>
    <row r="776" spans="1:105" s="773" customFormat="1" ht="13.5" thickBot="1">
      <c r="A776" s="780"/>
      <c r="B776" s="3790" t="s">
        <v>741</v>
      </c>
      <c r="C776" s="197">
        <v>7110002</v>
      </c>
      <c r="D776" s="199" t="s">
        <v>743</v>
      </c>
      <c r="E776" s="798">
        <f>IFERROR(VLOOKUP(C776,'AJE 12 - INC'!$D$168:$F$771,3,0),0)</f>
        <v>-3736.9</v>
      </c>
      <c r="F776" s="108">
        <f>SUMIF('AJE 12 - INC'!B:B,'New TB INC'!C776,'AJE 12 - INC'!D:D)</f>
        <v>0</v>
      </c>
      <c r="G776" s="108"/>
      <c r="H776" s="108"/>
      <c r="I776" s="108"/>
      <c r="J776" s="798">
        <f t="shared" si="80"/>
        <v>-3736.9</v>
      </c>
      <c r="K776" s="4516"/>
      <c r="L776" s="434"/>
      <c r="M776" s="828"/>
      <c r="N776" s="773">
        <v>13819</v>
      </c>
      <c r="O776" s="773">
        <v>-3831</v>
      </c>
      <c r="P776" s="773">
        <v>4994</v>
      </c>
      <c r="Q776" s="773">
        <v>4994</v>
      </c>
      <c r="R776" s="773">
        <v>4994</v>
      </c>
      <c r="S776" s="11">
        <v>4994</v>
      </c>
      <c r="T776" s="773">
        <v>4994</v>
      </c>
      <c r="U776" s="2173">
        <v>4994</v>
      </c>
      <c r="V776" s="2509">
        <v>1584.5800000000017</v>
      </c>
      <c r="W776" s="2509">
        <v>4994</v>
      </c>
      <c r="X776" s="2509">
        <v>4994</v>
      </c>
      <c r="Y776" s="2509">
        <v>-51524.58</v>
      </c>
      <c r="Z776" s="11">
        <f>'[26]New TB INC'!Z722</f>
        <v>4994</v>
      </c>
      <c r="AA776" s="11">
        <f>'[27]New TB INC'!AA732</f>
        <v>-14570.9</v>
      </c>
      <c r="AB776" s="11">
        <f>'[28]New TB INC'!AB738</f>
        <v>2512</v>
      </c>
      <c r="AC776" s="11">
        <f>'[29]New TB INC'!AC734</f>
        <v>4167</v>
      </c>
      <c r="AD776" s="11">
        <f>'[30]New TB INC'!AD729</f>
        <v>4167</v>
      </c>
      <c r="AE776" s="11">
        <f>'[31]New TB INC'!AE737</f>
        <v>4167</v>
      </c>
      <c r="AF776" s="11">
        <v>4167</v>
      </c>
      <c r="AG776" s="11">
        <v>4167</v>
      </c>
      <c r="AH776" s="11">
        <v>4166.9999999999982</v>
      </c>
      <c r="AI776" s="11">
        <v>4167</v>
      </c>
      <c r="AJ776" s="11">
        <v>4167</v>
      </c>
      <c r="AK776" s="11">
        <f>$J776-SUM($Z776:AJ776)</f>
        <v>-30008</v>
      </c>
      <c r="AL776" s="11"/>
      <c r="AM776" s="11"/>
      <c r="AN776" s="11"/>
      <c r="AO776" s="11"/>
      <c r="AP776" s="11"/>
      <c r="AQ776" s="11"/>
      <c r="AR776" s="11"/>
      <c r="AS776" s="11"/>
      <c r="AT776" s="11"/>
      <c r="AU776" s="11"/>
      <c r="AW776" s="2509"/>
      <c r="BE776" s="2173"/>
      <c r="BF776" s="2173"/>
      <c r="BG776" s="2173"/>
      <c r="BH776" s="2173"/>
      <c r="BI776" s="2173"/>
      <c r="BJ776" s="2173"/>
      <c r="BK776" s="2173"/>
      <c r="BM776" s="11"/>
      <c r="BO776" s="209"/>
      <c r="BP776" s="799"/>
      <c r="BQ776" s="209"/>
      <c r="BR776" s="209"/>
      <c r="BS776" s="209"/>
      <c r="BT776" s="209"/>
      <c r="BU776" s="209"/>
      <c r="BV776" s="209"/>
      <c r="BW776" s="820"/>
      <c r="BX776" s="209"/>
      <c r="BY776" s="209"/>
      <c r="BZ776" s="799"/>
      <c r="CA776" s="799"/>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row>
    <row r="777" spans="1:105" s="773" customFormat="1" ht="13.5" thickBot="1">
      <c r="A777" s="780"/>
      <c r="B777" s="3790" t="s">
        <v>741</v>
      </c>
      <c r="C777" s="197">
        <v>7110003</v>
      </c>
      <c r="D777" s="2522" t="s">
        <v>744</v>
      </c>
      <c r="E777" s="798">
        <f>IFERROR(VLOOKUP(C777,'AJE 12 - INC'!$D$168:$F$771,3,0),0)</f>
        <v>-389910.37</v>
      </c>
      <c r="F777" s="108">
        <f>SUMIF('AJE 12 - INC'!B:B,'New TB INC'!C777,'AJE 12 - INC'!D:D)</f>
        <v>0</v>
      </c>
      <c r="G777" s="108"/>
      <c r="H777" s="108"/>
      <c r="I777" s="108"/>
      <c r="J777" s="803">
        <f t="shared" si="80"/>
        <v>-389910.37</v>
      </c>
      <c r="K777" s="3016">
        <f>'Accrued expenses'!L127-'New TB INC'!AI779-'New TB INC'!AI793-'New TB INC'!AI801-'New TB INC'!AI815-'New TB INC'!AI825-'New TB INC'!AI832-'New TB INC'!AI848-'New TB INC'!AI863-'New TB INC'!AI875-'New TB INC'!AI876-'New TB INC'!AI888-'New TB INC'!AI898-'New TB INC'!AI911-'New TB INC'!AI916</f>
        <v>1668.0053411102781</v>
      </c>
      <c r="L777" s="434"/>
      <c r="M777" s="813"/>
      <c r="N777" s="2125">
        <v>-587459</v>
      </c>
      <c r="O777" s="2125">
        <v>-400400</v>
      </c>
      <c r="P777" s="2125">
        <v>247912.50108619477</v>
      </c>
      <c r="Q777" s="2125">
        <v>-196612.50108619477</v>
      </c>
      <c r="R777" s="2125">
        <v>-51300</v>
      </c>
      <c r="S777" s="2125">
        <v>1290765</v>
      </c>
      <c r="T777" s="2125">
        <v>-119727.18999999994</v>
      </c>
      <c r="U777" s="2521">
        <v>-66589.360000000059</v>
      </c>
      <c r="V777" s="2523">
        <v>-78198.76999999999</v>
      </c>
      <c r="W777" s="2523">
        <v>-319303.26</v>
      </c>
      <c r="X777" s="2523">
        <v>-36096.729999999981</v>
      </c>
      <c r="Y777" s="2523">
        <v>693236.85</v>
      </c>
      <c r="Z777" s="2125">
        <f>'[26]New TB INC'!Z723</f>
        <v>-646267</v>
      </c>
      <c r="AA777" s="2125">
        <f>'[27]New TB INC'!AA733</f>
        <v>-144097.55000000005</v>
      </c>
      <c r="AB777" s="2125">
        <f>'[28]New TB INC'!AB739</f>
        <v>339229.42000000004</v>
      </c>
      <c r="AC777" s="2125">
        <f>'[29]New TB INC'!AC735</f>
        <v>-284441.70999999996</v>
      </c>
      <c r="AD777" s="2125">
        <f>'[30]New TB INC'!AD730</f>
        <v>-124158.02000000002</v>
      </c>
      <c r="AE777" s="2125">
        <f>'[31]New TB INC'!AE738</f>
        <v>420919.22</v>
      </c>
      <c r="AF777" s="2125">
        <v>-297178.83999999997</v>
      </c>
      <c r="AG777" s="2125">
        <v>-724933.90999999992</v>
      </c>
      <c r="AH777" s="2125">
        <v>388537.97</v>
      </c>
      <c r="AI777" s="2125">
        <v>-175930.31000000006</v>
      </c>
      <c r="AJ777" s="11">
        <v>-220240.60000000009</v>
      </c>
      <c r="AK777" s="11">
        <f>$J777-SUM($Z777:AJ777)</f>
        <v>1078650.96</v>
      </c>
      <c r="AL777" s="11"/>
      <c r="AM777" s="11"/>
      <c r="AN777" s="2125"/>
      <c r="AO777" s="11"/>
      <c r="AP777" s="2125"/>
      <c r="AQ777" s="2125"/>
      <c r="AR777" s="3070">
        <f>AF777+AF779+AF793+AF801+AF815+AF825+AF832+AF863+AF875+AF876+AF888+AF898+AF911+AF848</f>
        <v>-865.31999999997788</v>
      </c>
      <c r="AT777" s="2125"/>
      <c r="AU777" s="11"/>
      <c r="AW777" s="2509"/>
      <c r="BE777" s="2173"/>
      <c r="BF777" s="2173"/>
      <c r="BG777" s="2173"/>
      <c r="BH777" s="2173"/>
      <c r="BI777" s="2173"/>
      <c r="BJ777" s="2173"/>
      <c r="BK777" s="2173"/>
      <c r="BO777" s="209"/>
      <c r="BP777" s="799"/>
      <c r="BQ777" s="209"/>
      <c r="BR777" s="209"/>
      <c r="BS777" s="209"/>
      <c r="BT777" s="209"/>
      <c r="BU777" s="209"/>
      <c r="BV777" s="209"/>
      <c r="BW777" s="820"/>
      <c r="BX777" s="209"/>
      <c r="BY777" s="209"/>
      <c r="BZ777" s="799"/>
      <c r="CA777" s="799"/>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row>
    <row r="778" spans="1:105" s="773" customFormat="1">
      <c r="A778" s="780"/>
      <c r="B778" s="3790" t="s">
        <v>1368</v>
      </c>
      <c r="C778" s="197" t="s">
        <v>3529</v>
      </c>
      <c r="D778" s="199" t="s">
        <v>3499</v>
      </c>
      <c r="E778" s="798">
        <f>IFERROR(VLOOKUP(C778,'AJE 12 - INC'!$D$168:$F$771,3,0),0)</f>
        <v>0</v>
      </c>
      <c r="F778" s="108">
        <f>SUMIF('AJE 12 - INC'!B:B,'New TB INC'!C778,'AJE 12 - INC'!D:D)</f>
        <v>0</v>
      </c>
      <c r="G778" s="108"/>
      <c r="H778" s="108"/>
      <c r="I778" s="108"/>
      <c r="J778" s="2920">
        <f>SUM(E778:I778)</f>
        <v>0</v>
      </c>
      <c r="K778" s="4500" t="s">
        <v>578</v>
      </c>
      <c r="L778" s="434"/>
      <c r="M778" s="813"/>
      <c r="N778" s="2125"/>
      <c r="O778" s="2125"/>
      <c r="P778" s="2125"/>
      <c r="Q778" s="2125"/>
      <c r="R778" s="2125"/>
      <c r="S778" s="2125"/>
      <c r="T778" s="2125"/>
      <c r="U778" s="2521"/>
      <c r="V778" s="2523"/>
      <c r="W778" s="2523"/>
      <c r="X778" s="2523"/>
      <c r="Y778" s="2523"/>
      <c r="AB778" s="11">
        <v>27529.39</v>
      </c>
      <c r="AC778" s="11">
        <f>'[29]New TB INC'!AC736</f>
        <v>-22076.84</v>
      </c>
      <c r="AD778" s="11">
        <f>'[30]New TB INC'!AD731</f>
        <v>-5452.5499999999993</v>
      </c>
      <c r="AE778" s="11">
        <f>'[31]New TB INC'!AE739</f>
        <v>0</v>
      </c>
      <c r="AF778" s="11">
        <v>0</v>
      </c>
      <c r="AG778" s="11">
        <v>0</v>
      </c>
      <c r="AH778" s="11">
        <v>0</v>
      </c>
      <c r="AI778" s="11">
        <v>0</v>
      </c>
      <c r="AJ778" s="11">
        <v>0</v>
      </c>
      <c r="AK778" s="11">
        <f>$J778-SUM($Z778:AJ778)</f>
        <v>0</v>
      </c>
      <c r="AL778" s="11"/>
      <c r="AM778" s="11"/>
      <c r="AN778" s="11"/>
      <c r="AO778" s="11"/>
      <c r="AP778" s="11"/>
      <c r="AQ778" s="11"/>
      <c r="AR778" s="11"/>
      <c r="AS778" s="2125"/>
      <c r="AT778" s="2125"/>
      <c r="AU778" s="11"/>
      <c r="AW778" s="2509"/>
      <c r="BE778" s="2173"/>
      <c r="BF778" s="2173"/>
      <c r="BG778" s="2173"/>
      <c r="BH778" s="2173"/>
      <c r="BI778" s="2173"/>
      <c r="BJ778" s="2173"/>
      <c r="BK778" s="2173"/>
      <c r="BO778" s="209"/>
      <c r="BP778" s="799"/>
      <c r="BQ778" s="209"/>
      <c r="BR778" s="209"/>
      <c r="BS778" s="209"/>
      <c r="BT778" s="209"/>
      <c r="BU778" s="209"/>
      <c r="BV778" s="209"/>
      <c r="BW778" s="820"/>
      <c r="BX778" s="209"/>
      <c r="BY778" s="209"/>
      <c r="BZ778" s="799"/>
      <c r="CA778" s="799"/>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row>
    <row r="779" spans="1:105" s="773" customFormat="1">
      <c r="A779" s="780"/>
      <c r="B779" s="3790" t="s">
        <v>741</v>
      </c>
      <c r="C779" s="197">
        <v>7110004</v>
      </c>
      <c r="D779" s="2522" t="s">
        <v>745</v>
      </c>
      <c r="E779" s="798">
        <f>IFERROR(VLOOKUP(C779,'AJE 12 - INC'!$D$168:$F$771,3,0),0)</f>
        <v>1230439.06</v>
      </c>
      <c r="F779" s="108">
        <f>SUMIF('AJE 12 - INC'!B:B,'New TB INC'!C779,'AJE 12 - INC'!D:D)</f>
        <v>0</v>
      </c>
      <c r="G779" s="108"/>
      <c r="H779" s="108"/>
      <c r="I779" s="108"/>
      <c r="J779" s="2920">
        <f t="shared" si="80"/>
        <v>1230439.06</v>
      </c>
      <c r="K779" s="4501"/>
      <c r="L779" s="434"/>
      <c r="M779" s="813"/>
      <c r="N779" s="2125">
        <v>109827</v>
      </c>
      <c r="O779" s="2125">
        <v>341333</v>
      </c>
      <c r="P779" s="2125">
        <v>10293</v>
      </c>
      <c r="Q779" s="2125">
        <v>81885</v>
      </c>
      <c r="R779" s="2125">
        <v>56752</v>
      </c>
      <c r="S779" s="2125">
        <v>35982</v>
      </c>
      <c r="T779" s="2125">
        <v>26259</v>
      </c>
      <c r="U779" s="2125">
        <v>59029</v>
      </c>
      <c r="V779" s="2125">
        <v>285621</v>
      </c>
      <c r="W779" s="2523">
        <v>35955</v>
      </c>
      <c r="X779" s="2523">
        <v>142251</v>
      </c>
      <c r="Y779" s="2523">
        <v>23217</v>
      </c>
      <c r="Z779" s="2125">
        <f>'[26]New TB INC'!Z724</f>
        <v>268902</v>
      </c>
      <c r="AA779" s="2125">
        <f>'[27]New TB INC'!AA734</f>
        <v>51800</v>
      </c>
      <c r="AB779" s="2125">
        <f>'[28]New TB INC'!AB741</f>
        <v>19449</v>
      </c>
      <c r="AC779" s="2125">
        <f>'[29]New TB INC'!AC737</f>
        <v>45702</v>
      </c>
      <c r="AD779" s="2125">
        <f>'[30]New TB INC'!AD732</f>
        <v>61511</v>
      </c>
      <c r="AE779" s="2125">
        <f>'[31]New TB INC'!AE740</f>
        <v>54838</v>
      </c>
      <c r="AF779" s="2125">
        <v>52276</v>
      </c>
      <c r="AG779" s="2125">
        <v>515787.06000000006</v>
      </c>
      <c r="AH779" s="2125">
        <v>62235</v>
      </c>
      <c r="AI779" s="2125">
        <v>21044</v>
      </c>
      <c r="AJ779" s="11">
        <v>14800</v>
      </c>
      <c r="AK779" s="11">
        <f>$J779-SUM($Z779:AJ779)</f>
        <v>62095</v>
      </c>
      <c r="AL779" s="11"/>
      <c r="AM779" s="11"/>
      <c r="AN779" s="2125"/>
      <c r="AO779" s="11"/>
      <c r="AP779" s="2125"/>
      <c r="AQ779" s="2125"/>
      <c r="AR779" s="2125"/>
      <c r="AS779" s="2125"/>
      <c r="AT779" s="2125"/>
      <c r="AU779" s="11"/>
      <c r="AW779" s="2509"/>
      <c r="BE779" s="2173"/>
      <c r="BF779" s="2173"/>
      <c r="BG779" s="2173"/>
      <c r="BH779" s="2173"/>
      <c r="BI779" s="2173"/>
      <c r="BJ779" s="2173"/>
      <c r="BK779" s="2173"/>
      <c r="BN779" s="209"/>
      <c r="BP779" s="799"/>
      <c r="BQ779" s="209"/>
      <c r="BR779" s="209"/>
      <c r="BS779" s="209"/>
      <c r="BT779" s="209"/>
      <c r="BU779" s="209"/>
      <c r="BV779" s="209"/>
      <c r="BW779" s="820"/>
      <c r="BX779" s="209"/>
      <c r="BY779" s="209"/>
      <c r="BZ779" s="799"/>
      <c r="CA779" s="799"/>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row>
    <row r="780" spans="1:105" s="773" customFormat="1">
      <c r="A780" s="780"/>
      <c r="B780" s="3790" t="s">
        <v>741</v>
      </c>
      <c r="C780" s="197">
        <v>7110005</v>
      </c>
      <c r="D780" s="199" t="s">
        <v>1236</v>
      </c>
      <c r="E780" s="798">
        <f>IFERROR(VLOOKUP(C780,'AJE 12 - INC'!$D$168:$F$771,3,0),0)</f>
        <v>3452.08</v>
      </c>
      <c r="F780" s="108">
        <f>SUMIF('AJE 12 - INC'!B:B,'New TB INC'!C780,'AJE 12 - INC'!D:D)</f>
        <v>0</v>
      </c>
      <c r="G780" s="108"/>
      <c r="H780" s="108"/>
      <c r="I780" s="108"/>
      <c r="J780" s="859">
        <f t="shared" si="80"/>
        <v>3452.08</v>
      </c>
      <c r="K780" s="4501"/>
      <c r="L780" s="434"/>
      <c r="M780" s="810"/>
      <c r="N780" s="11">
        <v>0</v>
      </c>
      <c r="O780" s="11">
        <v>-23000</v>
      </c>
      <c r="P780" s="11">
        <v>0</v>
      </c>
      <c r="Q780" s="11">
        <v>0</v>
      </c>
      <c r="R780" s="773">
        <v>0</v>
      </c>
      <c r="S780" s="11">
        <v>0</v>
      </c>
      <c r="T780" s="773">
        <v>0</v>
      </c>
      <c r="U780" s="2173">
        <v>0</v>
      </c>
      <c r="V780" s="2509">
        <v>100</v>
      </c>
      <c r="W780" s="2509">
        <v>0</v>
      </c>
      <c r="X780" s="2509">
        <v>0</v>
      </c>
      <c r="Y780" s="2509">
        <v>0</v>
      </c>
      <c r="Z780" s="11">
        <f>'[26]New TB INC'!Z725</f>
        <v>0</v>
      </c>
      <c r="AA780" s="11">
        <f>'[27]New TB INC'!AA735</f>
        <v>-1547.92</v>
      </c>
      <c r="AB780" s="11">
        <f>'[28]New TB INC'!AB742</f>
        <v>0</v>
      </c>
      <c r="AC780" s="11">
        <f>'[29]New TB INC'!AC738</f>
        <v>0</v>
      </c>
      <c r="AD780" s="11">
        <f>'[30]New TB INC'!AD733</f>
        <v>0</v>
      </c>
      <c r="AE780" s="11">
        <f>'[31]New TB INC'!AE741</f>
        <v>0</v>
      </c>
      <c r="AF780" s="11">
        <v>0</v>
      </c>
      <c r="AG780" s="11">
        <v>0</v>
      </c>
      <c r="AH780" s="11">
        <v>0</v>
      </c>
      <c r="AI780" s="11">
        <v>0</v>
      </c>
      <c r="AJ780" s="11">
        <v>0</v>
      </c>
      <c r="AK780" s="11">
        <f>$J780-SUM($Z780:AJ780)</f>
        <v>5000</v>
      </c>
      <c r="AL780" s="11"/>
      <c r="AM780" s="11"/>
      <c r="AN780" s="11"/>
      <c r="AO780" s="11"/>
      <c r="AP780" s="11"/>
      <c r="AQ780" s="11"/>
      <c r="AR780" s="11"/>
      <c r="AS780" s="11"/>
      <c r="AT780" s="11"/>
      <c r="AU780" s="11"/>
      <c r="AW780" s="2509"/>
      <c r="BE780" s="2173"/>
      <c r="BF780" s="2173"/>
      <c r="BG780" s="2173"/>
      <c r="BH780" s="2173"/>
      <c r="BI780" s="2173"/>
      <c r="BJ780" s="2173"/>
      <c r="BK780" s="2173"/>
      <c r="BM780" s="910"/>
      <c r="BP780" s="799"/>
      <c r="BQ780" s="209"/>
      <c r="BR780" s="209"/>
      <c r="BS780" s="209"/>
      <c r="BT780" s="209"/>
      <c r="BU780" s="209"/>
      <c r="BV780" s="209"/>
      <c r="BW780" s="820"/>
      <c r="BX780" s="209"/>
      <c r="BY780" s="209"/>
      <c r="BZ780" s="799"/>
      <c r="CA780" s="799"/>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row>
    <row r="781" spans="1:105" s="773" customFormat="1">
      <c r="A781" s="780"/>
      <c r="B781" s="3790" t="s">
        <v>741</v>
      </c>
      <c r="C781" s="197">
        <v>7111016</v>
      </c>
      <c r="D781" s="199" t="s">
        <v>901</v>
      </c>
      <c r="E781" s="798">
        <f>IFERROR(VLOOKUP(C781,'AJE 12 - INC'!$D$168:$F$771,3,0),0)</f>
        <v>0</v>
      </c>
      <c r="F781" s="108">
        <f>SUMIF('AJE 12 - INC'!B:B,'New TB INC'!C781,'AJE 12 - INC'!D:D)</f>
        <v>0</v>
      </c>
      <c r="G781" s="108"/>
      <c r="H781" s="108"/>
      <c r="I781" s="108"/>
      <c r="J781" s="859">
        <f t="shared" ref="J781:J788" si="81">SUM(E781:I781)</f>
        <v>0</v>
      </c>
      <c r="K781" s="4501"/>
      <c r="L781" s="434"/>
      <c r="M781" s="810"/>
      <c r="N781" s="11">
        <v>0</v>
      </c>
      <c r="O781" s="11">
        <v>0</v>
      </c>
      <c r="P781" s="11">
        <v>0</v>
      </c>
      <c r="Q781" s="11">
        <v>0</v>
      </c>
      <c r="R781" s="773">
        <v>0</v>
      </c>
      <c r="S781" s="11">
        <v>0</v>
      </c>
      <c r="T781" s="773">
        <v>0</v>
      </c>
      <c r="U781" s="2173">
        <v>0</v>
      </c>
      <c r="V781" s="2509">
        <v>0</v>
      </c>
      <c r="W781" s="2509">
        <v>0</v>
      </c>
      <c r="X781" s="2509">
        <v>0</v>
      </c>
      <c r="Y781" s="2509">
        <v>0</v>
      </c>
      <c r="Z781" s="11">
        <f>'[26]New TB INC'!Z736</f>
        <v>0</v>
      </c>
      <c r="AA781" s="11">
        <f>'[27]New TB INC'!AA746</f>
        <v>0</v>
      </c>
      <c r="AB781" s="11">
        <f>'[28]New TB INC'!AB753</f>
        <v>0</v>
      </c>
      <c r="AC781" s="11">
        <f>'[29]New TB INC'!AC749</f>
        <v>0</v>
      </c>
      <c r="AD781" s="11">
        <f>'[30]New TB INC'!AD734</f>
        <v>0</v>
      </c>
      <c r="AE781" s="11">
        <f>'[31]New TB INC'!AE742</f>
        <v>0</v>
      </c>
      <c r="AF781" s="11">
        <v>0</v>
      </c>
      <c r="AG781" s="11">
        <v>0</v>
      </c>
      <c r="AH781" s="11">
        <v>0</v>
      </c>
      <c r="AI781" s="11">
        <v>0</v>
      </c>
      <c r="AJ781" s="11">
        <v>0</v>
      </c>
      <c r="AK781" s="11">
        <f>$J781-SUM($Z781:AJ781)</f>
        <v>0</v>
      </c>
      <c r="AL781" s="11"/>
      <c r="AM781" s="11"/>
      <c r="AN781" s="11"/>
      <c r="AO781" s="11"/>
      <c r="AP781" s="11"/>
      <c r="AQ781" s="11"/>
      <c r="AR781" s="11"/>
      <c r="AS781" s="11"/>
      <c r="AT781" s="11"/>
      <c r="AU781" s="11"/>
      <c r="AW781" s="2509"/>
      <c r="BE781" s="2173"/>
      <c r="BF781" s="2173"/>
      <c r="BG781" s="2173"/>
      <c r="BH781" s="2173"/>
      <c r="BI781" s="2173"/>
      <c r="BJ781" s="2173"/>
      <c r="BK781" s="2173"/>
      <c r="BM781" s="11"/>
      <c r="BO781" s="209"/>
      <c r="BP781" s="799"/>
      <c r="BQ781" s="209"/>
      <c r="BR781" s="209"/>
      <c r="BS781" s="209"/>
      <c r="BT781" s="209"/>
      <c r="BU781" s="209"/>
      <c r="BV781" s="209"/>
      <c r="BW781" s="820"/>
      <c r="BX781" s="209"/>
      <c r="BY781" s="209"/>
      <c r="BZ781" s="799"/>
      <c r="CA781" s="799"/>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row>
    <row r="782" spans="1:105" s="773" customFormat="1">
      <c r="A782" s="780"/>
      <c r="B782" s="3790" t="s">
        <v>741</v>
      </c>
      <c r="C782" s="197">
        <v>7111017</v>
      </c>
      <c r="D782" s="199" t="s">
        <v>542</v>
      </c>
      <c r="E782" s="798">
        <f>IFERROR(VLOOKUP(C782,'AJE 12 - INC'!$D$168:$F$771,3,0),0)</f>
        <v>1883.72</v>
      </c>
      <c r="F782" s="108">
        <f>SUMIF('AJE 12 - INC'!B:B,'New TB INC'!C782,'AJE 12 - INC'!D:D)</f>
        <v>0</v>
      </c>
      <c r="G782" s="108"/>
      <c r="H782" s="108"/>
      <c r="I782" s="108"/>
      <c r="J782" s="859">
        <f t="shared" si="81"/>
        <v>1883.72</v>
      </c>
      <c r="K782" s="4501"/>
      <c r="L782" s="434"/>
      <c r="M782" s="810"/>
      <c r="N782" s="11">
        <v>0</v>
      </c>
      <c r="O782" s="11">
        <v>0</v>
      </c>
      <c r="P782" s="11">
        <v>647.47</v>
      </c>
      <c r="Q782" s="11">
        <v>588.32999999999993</v>
      </c>
      <c r="R782" s="773">
        <v>0</v>
      </c>
      <c r="S782" s="11">
        <v>268.95000000000005</v>
      </c>
      <c r="T782" s="773">
        <v>521.3900000000001</v>
      </c>
      <c r="U782" s="2173">
        <v>0</v>
      </c>
      <c r="V782" s="2509">
        <v>0</v>
      </c>
      <c r="W782" s="2509">
        <v>0</v>
      </c>
      <c r="X782" s="2509">
        <v>0</v>
      </c>
      <c r="Y782" s="2509">
        <v>179.16999999999985</v>
      </c>
      <c r="Z782" s="11">
        <f>'[26]New TB INC'!Z737</f>
        <v>0</v>
      </c>
      <c r="AA782" s="11">
        <f>'[27]New TB INC'!AA747</f>
        <v>0</v>
      </c>
      <c r="AB782" s="11">
        <f>'[28]New TB INC'!AB754</f>
        <v>0</v>
      </c>
      <c r="AC782" s="11">
        <f>'[29]New TB INC'!AC750</f>
        <v>326.67</v>
      </c>
      <c r="AD782" s="11">
        <f>'[30]New TB INC'!AD735</f>
        <v>249.99999999999994</v>
      </c>
      <c r="AE782" s="11">
        <f>'[31]New TB INC'!AE743</f>
        <v>1307.0500000000002</v>
      </c>
      <c r="AF782" s="11">
        <v>0</v>
      </c>
      <c r="AG782" s="11">
        <v>0</v>
      </c>
      <c r="AH782" s="11">
        <v>0</v>
      </c>
      <c r="AI782" s="11">
        <v>0</v>
      </c>
      <c r="AJ782" s="11">
        <v>0</v>
      </c>
      <c r="AK782" s="11">
        <f>$J782-SUM($Z782:AJ782)</f>
        <v>0</v>
      </c>
      <c r="AL782" s="11"/>
      <c r="AM782" s="11"/>
      <c r="AN782" s="11"/>
      <c r="AO782" s="11"/>
      <c r="AP782" s="11"/>
      <c r="AQ782" s="11"/>
      <c r="AR782" s="11"/>
      <c r="AS782" s="11"/>
      <c r="AT782" s="11"/>
      <c r="AU782" s="11"/>
      <c r="AW782" s="2509"/>
      <c r="BE782" s="2173"/>
      <c r="BF782" s="2173"/>
      <c r="BG782" s="2173"/>
      <c r="BH782" s="2173"/>
      <c r="BI782" s="2173"/>
      <c r="BJ782" s="2173"/>
      <c r="BK782" s="2173"/>
      <c r="BM782" s="11"/>
      <c r="BO782" s="209"/>
      <c r="BP782" s="799"/>
      <c r="BQ782" s="209"/>
      <c r="BR782" s="209"/>
      <c r="BS782" s="209"/>
      <c r="BT782" s="209"/>
      <c r="BU782" s="209"/>
      <c r="BV782" s="209"/>
      <c r="BW782" s="820"/>
      <c r="BX782" s="209"/>
      <c r="BY782" s="209"/>
      <c r="BZ782" s="799"/>
      <c r="CA782" s="799"/>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row>
    <row r="783" spans="1:105" s="773" customFormat="1">
      <c r="A783" s="780"/>
      <c r="B783" s="3790" t="s">
        <v>741</v>
      </c>
      <c r="C783" s="197">
        <v>7111048</v>
      </c>
      <c r="D783" s="199" t="s">
        <v>913</v>
      </c>
      <c r="E783" s="798">
        <f>IFERROR(VLOOKUP(C783,'AJE 12 - INC'!$D$168:$F$771,3,0),0)</f>
        <v>99269.31</v>
      </c>
      <c r="F783" s="108">
        <f>SUMIF('AJE 12 - INC'!B:B,'New TB INC'!C783,'AJE 12 - INC'!D:D)</f>
        <v>0</v>
      </c>
      <c r="G783" s="108"/>
      <c r="H783" s="108"/>
      <c r="I783" s="108"/>
      <c r="J783" s="859">
        <f t="shared" si="81"/>
        <v>99269.31</v>
      </c>
      <c r="K783" s="4501"/>
      <c r="L783" s="434"/>
      <c r="M783" s="810"/>
      <c r="N783" s="11">
        <v>15696.88</v>
      </c>
      <c r="O783" s="11">
        <v>30940.190000000002</v>
      </c>
      <c r="P783" s="11">
        <v>5329.8499999999985</v>
      </c>
      <c r="Q783" s="11">
        <v>7990.5900000000038</v>
      </c>
      <c r="R783" s="773">
        <v>6638.2799999999916</v>
      </c>
      <c r="S783" s="11">
        <v>4155.3100000000122</v>
      </c>
      <c r="T783" s="773">
        <v>3405.3299999999872</v>
      </c>
      <c r="U783" s="2173">
        <v>3985.6000000000058</v>
      </c>
      <c r="V783" s="2509">
        <v>7779.1199999999953</v>
      </c>
      <c r="W783" s="2509">
        <v>4161.8500000000058</v>
      </c>
      <c r="X783" s="2509">
        <v>4922.429999999993</v>
      </c>
      <c r="Y783" s="2509">
        <v>2245.4700000000012</v>
      </c>
      <c r="Z783" s="11">
        <f>'[26]New TB INC'!Z768</f>
        <v>27661.55</v>
      </c>
      <c r="AA783" s="11">
        <f>'[27]New TB INC'!AA778</f>
        <v>11320.59</v>
      </c>
      <c r="AB783" s="11">
        <f>'[28]New TB INC'!AB785</f>
        <v>5253.1699999999983</v>
      </c>
      <c r="AC783" s="11">
        <f>'[29]New TB INC'!AC781</f>
        <v>6697.68</v>
      </c>
      <c r="AD783" s="11">
        <f>'[30]New TB INC'!AD736</f>
        <v>4040.7700000000041</v>
      </c>
      <c r="AE783" s="11">
        <f>'[31]New TB INC'!AE744</f>
        <v>7002.9700000000012</v>
      </c>
      <c r="AF783" s="11">
        <v>6306.7999999999956</v>
      </c>
      <c r="AG783" s="11">
        <v>12647.820000000007</v>
      </c>
      <c r="AH783" s="11">
        <v>5909.2699999999895</v>
      </c>
      <c r="AI783" s="11">
        <v>4546.25</v>
      </c>
      <c r="AJ783" s="11">
        <v>4016.4600000000064</v>
      </c>
      <c r="AK783" s="11">
        <f>$J783-SUM($Z783:AJ783)</f>
        <v>3865.9799999999959</v>
      </c>
      <c r="AL783" s="11"/>
      <c r="AM783" s="11"/>
      <c r="AN783" s="11"/>
      <c r="AO783" s="11"/>
      <c r="AP783" s="11"/>
      <c r="AQ783" s="11"/>
      <c r="AR783" s="11"/>
      <c r="AS783" s="11"/>
      <c r="AT783" s="11"/>
      <c r="AU783" s="11"/>
      <c r="AW783" s="2509"/>
      <c r="BE783" s="2173"/>
      <c r="BF783" s="2173"/>
      <c r="BG783" s="2173"/>
      <c r="BH783" s="2173"/>
      <c r="BI783" s="2173"/>
      <c r="BJ783" s="2173"/>
      <c r="BK783" s="2173"/>
      <c r="BM783" s="11"/>
      <c r="BO783" s="209"/>
      <c r="BP783" s="799"/>
      <c r="BQ783" s="209"/>
      <c r="BR783" s="209"/>
      <c r="BS783" s="209"/>
      <c r="BT783" s="209"/>
      <c r="BU783" s="209"/>
      <c r="BV783" s="209"/>
      <c r="BW783" s="820"/>
      <c r="BX783" s="209"/>
      <c r="BY783" s="209"/>
      <c r="BZ783" s="799"/>
      <c r="CA783" s="799"/>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row>
    <row r="784" spans="1:105" s="773" customFormat="1">
      <c r="A784" s="780"/>
      <c r="B784" s="3790" t="s">
        <v>741</v>
      </c>
      <c r="C784" s="197">
        <v>7111005</v>
      </c>
      <c r="D784" s="199" t="s">
        <v>1369</v>
      </c>
      <c r="E784" s="798">
        <f>IFERROR(VLOOKUP(C784,'AJE 12 - INC'!$D$168:$F$771,3,0),0)</f>
        <v>4376.1499999999996</v>
      </c>
      <c r="F784" s="108">
        <f>SUMIF('AJE 12 - INC'!B:B,'New TB INC'!C784,'AJE 12 - INC'!D:D)</f>
        <v>0</v>
      </c>
      <c r="G784" s="108"/>
      <c r="H784" s="108"/>
      <c r="I784" s="108"/>
      <c r="J784" s="859">
        <f t="shared" si="81"/>
        <v>4376.1499999999996</v>
      </c>
      <c r="K784" s="4501"/>
      <c r="L784" s="434"/>
      <c r="M784" s="810"/>
      <c r="N784" s="11">
        <v>0</v>
      </c>
      <c r="O784" s="11">
        <v>0</v>
      </c>
      <c r="P784" s="11">
        <v>0</v>
      </c>
      <c r="Q784" s="11">
        <v>0</v>
      </c>
      <c r="R784" s="773">
        <v>0</v>
      </c>
      <c r="S784" s="11">
        <v>0</v>
      </c>
      <c r="T784" s="773">
        <v>0</v>
      </c>
      <c r="U784" s="2173">
        <v>0</v>
      </c>
      <c r="V784" s="2509">
        <v>0</v>
      </c>
      <c r="W784" s="2509">
        <v>0</v>
      </c>
      <c r="X784" s="2509">
        <v>0</v>
      </c>
      <c r="Y784" s="2509">
        <v>0</v>
      </c>
      <c r="Z784" s="11">
        <f>'[26]New TB INC'!Z769</f>
        <v>0</v>
      </c>
      <c r="AA784" s="11">
        <f>'[27]New TB INC'!AA779</f>
        <v>1280</v>
      </c>
      <c r="AB784" s="11">
        <f>'[28]New TB INC'!AB786</f>
        <v>0</v>
      </c>
      <c r="AC784" s="11">
        <f>'[29]New TB INC'!AC782</f>
        <v>0</v>
      </c>
      <c r="AD784" s="11">
        <f>'[30]New TB INC'!AD737</f>
        <v>0</v>
      </c>
      <c r="AE784" s="11">
        <f>'[31]New TB INC'!AE745</f>
        <v>0</v>
      </c>
      <c r="AF784" s="11">
        <v>3096.1499999999996</v>
      </c>
      <c r="AG784" s="11">
        <v>0</v>
      </c>
      <c r="AH784" s="11">
        <v>0</v>
      </c>
      <c r="AI784" s="11">
        <v>0</v>
      </c>
      <c r="AJ784" s="11">
        <v>0</v>
      </c>
      <c r="AK784" s="11">
        <f>$J784-SUM($Z784:AJ784)</f>
        <v>0</v>
      </c>
      <c r="AL784" s="11"/>
      <c r="AM784" s="11"/>
      <c r="AN784" s="11"/>
      <c r="AO784" s="11"/>
      <c r="AP784" s="11"/>
      <c r="AQ784" s="11"/>
      <c r="AR784" s="11"/>
      <c r="AS784" s="11"/>
      <c r="AT784" s="11"/>
      <c r="AU784" s="11"/>
      <c r="AW784" s="2509"/>
      <c r="BE784" s="2173"/>
      <c r="BF784" s="2173"/>
      <c r="BG784" s="2173"/>
      <c r="BH784" s="2173"/>
      <c r="BI784" s="2173"/>
      <c r="BJ784" s="2173"/>
      <c r="BK784" s="2173"/>
      <c r="BO784" s="209"/>
      <c r="BP784" s="209"/>
      <c r="BQ784" s="209"/>
      <c r="BR784" s="209"/>
      <c r="BS784" s="209"/>
      <c r="BT784" s="209"/>
      <c r="BU784" s="209"/>
      <c r="BV784" s="209"/>
      <c r="BW784" s="820"/>
      <c r="BX784" s="209"/>
      <c r="BY784" s="209"/>
      <c r="BZ784" s="799"/>
      <c r="CA784" s="799"/>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row>
    <row r="785" spans="1:105" s="773" customFormat="1">
      <c r="A785" s="780"/>
      <c r="B785" s="3790" t="s">
        <v>741</v>
      </c>
      <c r="C785" s="197">
        <v>7111007</v>
      </c>
      <c r="D785" s="199" t="s">
        <v>1370</v>
      </c>
      <c r="E785" s="798">
        <f>IFERROR(VLOOKUP(C785,'AJE 12 - INC'!$D$168:$F$771,3,0),0)</f>
        <v>0</v>
      </c>
      <c r="F785" s="108">
        <f>SUMIF('AJE 12 - INC'!B:B,'New TB INC'!C785,'AJE 12 - INC'!D:D)</f>
        <v>0</v>
      </c>
      <c r="G785" s="108"/>
      <c r="H785" s="108"/>
      <c r="I785" s="108"/>
      <c r="J785" s="859">
        <f t="shared" si="81"/>
        <v>0</v>
      </c>
      <c r="K785" s="4501"/>
      <c r="L785" s="434"/>
      <c r="M785" s="810"/>
      <c r="N785" s="11">
        <v>0</v>
      </c>
      <c r="O785" s="11">
        <v>0</v>
      </c>
      <c r="P785" s="11">
        <v>0</v>
      </c>
      <c r="Q785" s="11">
        <v>0</v>
      </c>
      <c r="R785" s="773">
        <v>0</v>
      </c>
      <c r="S785" s="11">
        <v>0</v>
      </c>
      <c r="T785" s="773">
        <v>0</v>
      </c>
      <c r="U785" s="2173">
        <v>0</v>
      </c>
      <c r="V785" s="2509">
        <v>0</v>
      </c>
      <c r="W785" s="2509">
        <v>0</v>
      </c>
      <c r="X785" s="2509">
        <v>0</v>
      </c>
      <c r="Y785" s="2509">
        <v>0</v>
      </c>
      <c r="Z785" s="11">
        <f>'[26]New TB INC'!Z770</f>
        <v>0</v>
      </c>
      <c r="AA785" s="11">
        <f>'[27]New TB INC'!AA780</f>
        <v>0</v>
      </c>
      <c r="AB785" s="11">
        <f>'[28]New TB INC'!AB787</f>
        <v>0</v>
      </c>
      <c r="AC785" s="11">
        <f>'[29]New TB INC'!AC783</f>
        <v>0</v>
      </c>
      <c r="AD785" s="11">
        <f>'[30]New TB INC'!AD738</f>
        <v>0</v>
      </c>
      <c r="AE785" s="11">
        <f>'[31]New TB INC'!AE746</f>
        <v>0</v>
      </c>
      <c r="AF785" s="11">
        <v>0</v>
      </c>
      <c r="AG785" s="11">
        <v>0</v>
      </c>
      <c r="AH785" s="11">
        <v>0</v>
      </c>
      <c r="AI785" s="11">
        <v>0</v>
      </c>
      <c r="AJ785" s="11">
        <v>0</v>
      </c>
      <c r="AK785" s="11">
        <f>$J785-SUM($Z785:AJ785)</f>
        <v>0</v>
      </c>
      <c r="AL785" s="11"/>
      <c r="AM785" s="11"/>
      <c r="AN785" s="11"/>
      <c r="AO785" s="11"/>
      <c r="AP785" s="11"/>
      <c r="AQ785" s="11"/>
      <c r="AR785" s="11"/>
      <c r="AS785" s="11"/>
      <c r="AT785" s="11"/>
      <c r="AU785" s="11"/>
      <c r="AW785" s="2509"/>
      <c r="BE785" s="2173"/>
      <c r="BF785" s="2173"/>
      <c r="BG785" s="2173"/>
      <c r="BH785" s="2173"/>
      <c r="BI785" s="2173"/>
      <c r="BJ785" s="2173"/>
      <c r="BK785" s="2173"/>
      <c r="BO785" s="209"/>
      <c r="BP785" s="209"/>
      <c r="BQ785" s="209"/>
      <c r="BR785" s="209"/>
      <c r="BS785" s="209"/>
      <c r="BT785" s="209"/>
      <c r="BU785" s="209"/>
      <c r="BV785" s="209"/>
      <c r="BW785" s="820"/>
      <c r="BX785" s="209"/>
      <c r="BY785" s="209"/>
      <c r="BZ785" s="799"/>
      <c r="CA785" s="799"/>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row>
    <row r="786" spans="1:105" s="773" customFormat="1">
      <c r="A786" s="780"/>
      <c r="B786" s="3790" t="s">
        <v>741</v>
      </c>
      <c r="C786" s="197">
        <v>7111018</v>
      </c>
      <c r="D786" s="199" t="s">
        <v>902</v>
      </c>
      <c r="E786" s="798">
        <f>IFERROR(VLOOKUP(C786,'AJE 12 - INC'!$D$168:$F$771,3,0),0)</f>
        <v>67037.69</v>
      </c>
      <c r="F786" s="108">
        <f>SUMIF('AJE 12 - INC'!B:B,'New TB INC'!C786,'AJE 12 - INC'!D:D)</f>
        <v>0</v>
      </c>
      <c r="G786" s="108"/>
      <c r="H786" s="108"/>
      <c r="I786" s="108"/>
      <c r="J786" s="859">
        <f t="shared" si="81"/>
        <v>67037.69</v>
      </c>
      <c r="K786" s="4501"/>
      <c r="L786" s="434"/>
      <c r="M786" s="810"/>
      <c r="N786" s="11">
        <v>6118.65</v>
      </c>
      <c r="O786" s="11">
        <v>6118.65</v>
      </c>
      <c r="P786" s="11">
        <v>7825.7099999999991</v>
      </c>
      <c r="Q786" s="11">
        <v>6687.67</v>
      </c>
      <c r="R786" s="773">
        <v>6687.6699999999964</v>
      </c>
      <c r="S786" s="11">
        <v>6687.6699999999983</v>
      </c>
      <c r="T786" s="773">
        <v>6687.6700000000073</v>
      </c>
      <c r="U786" s="2173">
        <v>6687.6699999999983</v>
      </c>
      <c r="V786" s="2509">
        <v>6687.6699999999983</v>
      </c>
      <c r="W786" s="2509">
        <v>6687.6699999999983</v>
      </c>
      <c r="X786" s="2509">
        <v>6687.6699999999983</v>
      </c>
      <c r="Y786" s="2509">
        <v>6687.6699999999983</v>
      </c>
      <c r="Z786" s="11">
        <f>'[26]New TB INC'!Z738</f>
        <v>7358.08</v>
      </c>
      <c r="AA786" s="11">
        <f>'[27]New TB INC'!AA748</f>
        <v>8842.3799999999992</v>
      </c>
      <c r="AB786" s="11">
        <f>'[28]New TB INC'!AB755</f>
        <v>7544.1500000000015</v>
      </c>
      <c r="AC786" s="11">
        <f>'[29]New TB INC'!AC751</f>
        <v>6378</v>
      </c>
      <c r="AD786" s="11">
        <f>'[30]New TB INC'!AD739</f>
        <v>4045.6999999999971</v>
      </c>
      <c r="AE786" s="11">
        <f>'[31]New TB INC'!AE747</f>
        <v>6378</v>
      </c>
      <c r="AF786" s="11">
        <v>6751.1200000000026</v>
      </c>
      <c r="AG786" s="11">
        <v>2894</v>
      </c>
      <c r="AH786" s="11">
        <v>6502.32</v>
      </c>
      <c r="AI786" s="11">
        <v>3447.9800000000032</v>
      </c>
      <c r="AJ786" s="11">
        <v>3447.9799999999959</v>
      </c>
      <c r="AK786" s="11">
        <f>$J786-SUM($Z786:AJ786)</f>
        <v>3447.9800000000032</v>
      </c>
      <c r="AL786" s="11"/>
      <c r="AM786" s="11"/>
      <c r="AN786" s="11"/>
      <c r="AO786" s="11"/>
      <c r="AP786" s="11"/>
      <c r="AQ786" s="11"/>
      <c r="AR786" s="11"/>
      <c r="AS786" s="11"/>
      <c r="AT786" s="11"/>
      <c r="AU786" s="11"/>
      <c r="AW786" s="2509"/>
      <c r="BE786" s="2173"/>
      <c r="BF786" s="2173"/>
      <c r="BG786" s="2173"/>
      <c r="BH786" s="2173"/>
      <c r="BI786" s="2173"/>
      <c r="BJ786" s="2173"/>
      <c r="BK786" s="2173"/>
      <c r="BM786" s="11"/>
      <c r="BO786" s="209"/>
      <c r="BP786" s="799"/>
      <c r="BQ786" s="209"/>
      <c r="BR786" s="209"/>
      <c r="BS786" s="209"/>
      <c r="BT786" s="209"/>
      <c r="BU786" s="209"/>
      <c r="BV786" s="209"/>
      <c r="BW786" s="820"/>
      <c r="BX786" s="209"/>
      <c r="BY786" s="209"/>
      <c r="BZ786" s="799"/>
      <c r="CA786" s="799"/>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row>
    <row r="787" spans="1:105" s="773" customFormat="1">
      <c r="A787" s="780"/>
      <c r="B787" s="3790" t="s">
        <v>741</v>
      </c>
      <c r="C787" s="197">
        <v>7111019</v>
      </c>
      <c r="D787" s="199" t="s">
        <v>903</v>
      </c>
      <c r="E787" s="798">
        <f>IFERROR(VLOOKUP(C787,'AJE 12 - INC'!$D$168:$F$771,3,0),0)</f>
        <v>4429.49</v>
      </c>
      <c r="F787" s="108">
        <f>SUMIF('AJE 12 - INC'!B:B,'New TB INC'!C787,'AJE 12 - INC'!D:D)</f>
        <v>0</v>
      </c>
      <c r="G787" s="108"/>
      <c r="H787" s="108"/>
      <c r="I787" s="108"/>
      <c r="J787" s="859">
        <f t="shared" si="81"/>
        <v>4429.49</v>
      </c>
      <c r="K787" s="4501"/>
      <c r="L787" s="434"/>
      <c r="M787" s="810"/>
      <c r="N787" s="11">
        <v>438.2</v>
      </c>
      <c r="O787" s="11">
        <v>438.2</v>
      </c>
      <c r="P787" s="11">
        <v>534.04999999999995</v>
      </c>
      <c r="Q787" s="11">
        <v>470.14999999999986</v>
      </c>
      <c r="R787" s="773">
        <v>470.15000000000009</v>
      </c>
      <c r="S787" s="11">
        <v>470.15000000000032</v>
      </c>
      <c r="T787" s="773">
        <v>242.06000000000017</v>
      </c>
      <c r="U787" s="2173">
        <v>470.14999999999918</v>
      </c>
      <c r="V787" s="2509">
        <v>470.15000000000009</v>
      </c>
      <c r="W787" s="2509">
        <v>470.14999999999964</v>
      </c>
      <c r="X787" s="2509">
        <v>470.15000000000055</v>
      </c>
      <c r="Y787" s="2509">
        <v>470.14999999999964</v>
      </c>
      <c r="Z787" s="11">
        <f>'[26]New TB INC'!Z739</f>
        <v>498.61</v>
      </c>
      <c r="AA787" s="11">
        <f>'[27]New TB INC'!AA749</f>
        <v>498.61</v>
      </c>
      <c r="AB787" s="11">
        <f>'[28]New TB INC'!AB756</f>
        <v>423.96000000000004</v>
      </c>
      <c r="AC787" s="11">
        <f>'[29]New TB INC'!AC752</f>
        <v>423.96000000000004</v>
      </c>
      <c r="AD787" s="11">
        <f>'[30]New TB INC'!AD740</f>
        <v>423.95999999999981</v>
      </c>
      <c r="AE787" s="11">
        <f>'[31]New TB INC'!AE748</f>
        <v>423.96000000000004</v>
      </c>
      <c r="AF787" s="11">
        <v>423.96000000000004</v>
      </c>
      <c r="AG787" s="11">
        <v>206.92000000000007</v>
      </c>
      <c r="AH787" s="11">
        <v>383.17999999999984</v>
      </c>
      <c r="AI787" s="11">
        <v>240.78999999999996</v>
      </c>
      <c r="AJ787" s="11">
        <v>240.78999999999996</v>
      </c>
      <c r="AK787" s="11">
        <f>$J787-SUM($Z787:AJ787)</f>
        <v>240.78999999999996</v>
      </c>
      <c r="AL787" s="11"/>
      <c r="AM787" s="11"/>
      <c r="AN787" s="11"/>
      <c r="AO787" s="11"/>
      <c r="AP787" s="11"/>
      <c r="AQ787" s="11"/>
      <c r="AR787" s="11"/>
      <c r="AS787" s="11"/>
      <c r="AT787" s="11"/>
      <c r="AU787" s="11"/>
      <c r="AW787" s="2509"/>
      <c r="BE787" s="2173"/>
      <c r="BF787" s="2173"/>
      <c r="BG787" s="2173"/>
      <c r="BH787" s="2173"/>
      <c r="BI787" s="2173"/>
      <c r="BJ787" s="2173"/>
      <c r="BK787" s="2173"/>
      <c r="BM787" s="11"/>
      <c r="BN787" s="639"/>
      <c r="BO787" s="209"/>
      <c r="BP787" s="799"/>
      <c r="BQ787" s="209"/>
      <c r="BR787" s="209"/>
      <c r="BS787" s="209"/>
      <c r="BT787" s="209"/>
      <c r="BU787" s="209"/>
      <c r="BV787" s="209"/>
      <c r="BW787" s="820"/>
      <c r="BX787" s="209"/>
      <c r="BY787" s="209"/>
      <c r="BZ787" s="799"/>
      <c r="CA787" s="799"/>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row>
    <row r="788" spans="1:105" s="773" customFormat="1">
      <c r="A788" s="780"/>
      <c r="B788" s="3790" t="s">
        <v>741</v>
      </c>
      <c r="C788" s="197">
        <v>7111020</v>
      </c>
      <c r="D788" s="199" t="s">
        <v>904</v>
      </c>
      <c r="E788" s="798">
        <f>IFERROR(VLOOKUP(C788,'AJE 12 - INC'!$D$168:$F$771,3,0),0)</f>
        <v>0</v>
      </c>
      <c r="F788" s="108">
        <f>SUMIF('AJE 12 - INC'!B:B,'New TB INC'!C788,'AJE 12 - INC'!D:D)</f>
        <v>0</v>
      </c>
      <c r="G788" s="108"/>
      <c r="H788" s="108"/>
      <c r="I788" s="108"/>
      <c r="J788" s="859">
        <f t="shared" si="81"/>
        <v>0</v>
      </c>
      <c r="K788" s="4501"/>
      <c r="L788" s="434"/>
      <c r="M788" s="810" t="s">
        <v>169</v>
      </c>
      <c r="N788" s="11">
        <v>0</v>
      </c>
      <c r="O788" s="11">
        <v>0</v>
      </c>
      <c r="P788" s="11">
        <v>0</v>
      </c>
      <c r="Q788" s="11">
        <v>0</v>
      </c>
      <c r="R788" s="773">
        <v>0</v>
      </c>
      <c r="S788" s="11">
        <v>0</v>
      </c>
      <c r="T788" s="773">
        <v>0</v>
      </c>
      <c r="U788" s="2173">
        <v>0</v>
      </c>
      <c r="V788" s="2509">
        <v>0</v>
      </c>
      <c r="W788" s="2509">
        <v>0</v>
      </c>
      <c r="X788" s="2509">
        <v>0</v>
      </c>
      <c r="Y788" s="2509">
        <v>0</v>
      </c>
      <c r="Z788" s="11">
        <f>'[26]New TB INC'!Z740</f>
        <v>0</v>
      </c>
      <c r="AA788" s="11">
        <f>'[27]New TB INC'!AA750</f>
        <v>0</v>
      </c>
      <c r="AB788" s="11">
        <f>'[28]New TB INC'!AB757</f>
        <v>0</v>
      </c>
      <c r="AC788" s="11">
        <f>'[29]New TB INC'!AC753</f>
        <v>0</v>
      </c>
      <c r="AD788" s="11">
        <f>'[30]New TB INC'!AD741</f>
        <v>0</v>
      </c>
      <c r="AE788" s="11">
        <f>'[31]New TB INC'!AE749</f>
        <v>0</v>
      </c>
      <c r="AF788" s="11">
        <v>0</v>
      </c>
      <c r="AG788" s="11">
        <v>0</v>
      </c>
      <c r="AH788" s="11">
        <v>0</v>
      </c>
      <c r="AI788" s="11">
        <v>0</v>
      </c>
      <c r="AJ788" s="11">
        <v>0</v>
      </c>
      <c r="AK788" s="11">
        <f>$J788-SUM($Z788:AJ788)</f>
        <v>0</v>
      </c>
      <c r="AL788" s="11"/>
      <c r="AM788" s="11"/>
      <c r="AN788" s="11"/>
      <c r="AO788" s="11"/>
      <c r="AP788" s="11"/>
      <c r="AQ788" s="11"/>
      <c r="AR788" s="11"/>
      <c r="AS788" s="11"/>
      <c r="AT788" s="11"/>
      <c r="AU788" s="11"/>
      <c r="AW788" s="2509"/>
      <c r="BE788" s="2173"/>
      <c r="BF788" s="2173"/>
      <c r="BG788" s="2173"/>
      <c r="BH788" s="2173"/>
      <c r="BI788" s="2173"/>
      <c r="BJ788" s="2173"/>
      <c r="BK788" s="2173"/>
      <c r="BM788" s="11"/>
      <c r="BO788" s="209"/>
      <c r="BP788" s="799"/>
      <c r="BQ788" s="209"/>
      <c r="BR788" s="209"/>
      <c r="BS788" s="209"/>
      <c r="BT788" s="209"/>
      <c r="BU788" s="209"/>
      <c r="BV788" s="209"/>
      <c r="BW788" s="820"/>
      <c r="BX788" s="209"/>
      <c r="BY788" s="209"/>
      <c r="BZ788" s="799"/>
      <c r="CA788" s="799"/>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row>
    <row r="789" spans="1:105" s="773" customFormat="1">
      <c r="A789" s="780"/>
      <c r="B789" s="3790" t="s">
        <v>741</v>
      </c>
      <c r="C789" s="197">
        <v>7110030</v>
      </c>
      <c r="D789" s="199" t="s">
        <v>748</v>
      </c>
      <c r="E789" s="798">
        <f>IFERROR(VLOOKUP(C789,'AJE 12 - INC'!$D$168:$F$771,3,0),0)</f>
        <v>83391.399999999994</v>
      </c>
      <c r="F789" s="108">
        <f>SUMIF('AJE 12 - INC'!B:B,'New TB INC'!C789,'AJE 12 - INC'!D:D)</f>
        <v>0</v>
      </c>
      <c r="G789" s="108"/>
      <c r="H789" s="108"/>
      <c r="I789" s="108"/>
      <c r="J789" s="859">
        <f t="shared" si="80"/>
        <v>83391.399999999994</v>
      </c>
      <c r="K789" s="4501"/>
      <c r="L789" s="434"/>
      <c r="M789" s="811"/>
      <c r="N789" s="11">
        <v>0</v>
      </c>
      <c r="O789" s="11">
        <v>0</v>
      </c>
      <c r="P789" s="11">
        <v>0</v>
      </c>
      <c r="Q789" s="11">
        <v>0</v>
      </c>
      <c r="R789" s="773">
        <v>0</v>
      </c>
      <c r="S789" s="11">
        <v>0</v>
      </c>
      <c r="T789" s="773">
        <v>0</v>
      </c>
      <c r="U789" s="2173">
        <v>0</v>
      </c>
      <c r="V789" s="2509">
        <v>11250</v>
      </c>
      <c r="W789" s="2509">
        <v>0</v>
      </c>
      <c r="X789" s="2509">
        <v>105</v>
      </c>
      <c r="Y789" s="2509">
        <v>0</v>
      </c>
      <c r="Z789" s="11">
        <f>'[26]New TB INC'!Z726</f>
        <v>0</v>
      </c>
      <c r="AA789" s="11">
        <f>'[27]New TB INC'!AA736</f>
        <v>142.15</v>
      </c>
      <c r="AB789" s="11">
        <f>'[28]New TB INC'!AB743</f>
        <v>151.15</v>
      </c>
      <c r="AC789" s="11">
        <f>'[29]New TB INC'!AC739</f>
        <v>0</v>
      </c>
      <c r="AD789" s="11">
        <f>'[30]New TB INC'!AD742</f>
        <v>0</v>
      </c>
      <c r="AE789" s="11">
        <f>'[31]New TB INC'!AE750</f>
        <v>193</v>
      </c>
      <c r="AF789" s="11">
        <v>196.99999999999994</v>
      </c>
      <c r="AG789" s="11">
        <v>55303.1</v>
      </c>
      <c r="AH789" s="11">
        <v>27299.999999999993</v>
      </c>
      <c r="AI789" s="11">
        <v>105</v>
      </c>
      <c r="AJ789" s="11">
        <v>0</v>
      </c>
      <c r="AK789" s="11">
        <f>$J789-SUM($Z789:AJ789)</f>
        <v>0</v>
      </c>
      <c r="AL789" s="11"/>
      <c r="AM789" s="11"/>
      <c r="AN789" s="11"/>
      <c r="AO789" s="11"/>
      <c r="AP789" s="11" t="s">
        <v>4194</v>
      </c>
      <c r="AQ789" s="11"/>
      <c r="AR789" s="11"/>
      <c r="AS789" s="11"/>
      <c r="AT789" s="11"/>
      <c r="AU789" s="11"/>
      <c r="AW789" s="2509"/>
      <c r="BE789" s="2173"/>
      <c r="BF789" s="2173"/>
      <c r="BG789" s="2173"/>
      <c r="BH789" s="2173"/>
      <c r="BI789" s="2173"/>
      <c r="BJ789" s="2173"/>
      <c r="BK789" s="2173"/>
      <c r="BM789" s="910"/>
      <c r="BO789" s="384"/>
      <c r="BP789" s="799"/>
      <c r="BQ789" s="209"/>
      <c r="BR789" s="209"/>
      <c r="BS789" s="209"/>
      <c r="BT789" s="209"/>
      <c r="BU789" s="209"/>
      <c r="BV789" s="209"/>
      <c r="BW789" s="820"/>
      <c r="BX789" s="209"/>
      <c r="BY789" s="209"/>
      <c r="BZ789" s="799"/>
      <c r="CA789" s="799"/>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row>
    <row r="790" spans="1:105" s="773" customFormat="1">
      <c r="A790" s="780"/>
      <c r="B790" s="3790" t="s">
        <v>741</v>
      </c>
      <c r="C790" s="197">
        <v>7110100</v>
      </c>
      <c r="D790" s="199" t="s">
        <v>897</v>
      </c>
      <c r="E790" s="798">
        <f>IFERROR(VLOOKUP(C790,'AJE 12 - INC'!$D$168:$F$771,3,0),0)</f>
        <v>0</v>
      </c>
      <c r="F790" s="108">
        <f>SUMIF('AJE 12 - INC'!B:B,'New TB INC'!C790,'AJE 12 - INC'!D:D)</f>
        <v>0</v>
      </c>
      <c r="G790" s="108"/>
      <c r="H790" s="108"/>
      <c r="I790" s="108"/>
      <c r="J790" s="859">
        <f t="shared" si="80"/>
        <v>0</v>
      </c>
      <c r="K790" s="4501"/>
      <c r="L790" s="434"/>
      <c r="M790" s="810"/>
      <c r="N790" s="11">
        <v>0</v>
      </c>
      <c r="O790" s="11">
        <v>0</v>
      </c>
      <c r="P790" s="11">
        <v>0</v>
      </c>
      <c r="Q790" s="11">
        <v>0</v>
      </c>
      <c r="R790" s="773">
        <v>0</v>
      </c>
      <c r="S790" s="11">
        <v>0</v>
      </c>
      <c r="T790" s="773">
        <v>0</v>
      </c>
      <c r="U790" s="2173">
        <v>0</v>
      </c>
      <c r="V790" s="2509">
        <v>0</v>
      </c>
      <c r="W790" s="2509">
        <v>0</v>
      </c>
      <c r="X790" s="2509">
        <v>0</v>
      </c>
      <c r="Y790" s="2509">
        <v>0</v>
      </c>
      <c r="Z790" s="11">
        <f>'[26]New TB INC'!Z727</f>
        <v>0</v>
      </c>
      <c r="AA790" s="11">
        <f>'[27]New TB INC'!AA737</f>
        <v>0</v>
      </c>
      <c r="AB790" s="11">
        <f>'[28]New TB INC'!AB744</f>
        <v>0</v>
      </c>
      <c r="AC790" s="11">
        <f>'[29]New TB INC'!AC740</f>
        <v>0</v>
      </c>
      <c r="AD790" s="11">
        <f>'[30]New TB INC'!AD743</f>
        <v>0</v>
      </c>
      <c r="AE790" s="11">
        <f>'[31]New TB INC'!AE751</f>
        <v>0</v>
      </c>
      <c r="AF790" s="11">
        <v>0</v>
      </c>
      <c r="AG790" s="11">
        <v>0</v>
      </c>
      <c r="AH790" s="11">
        <v>0</v>
      </c>
      <c r="AI790" s="11">
        <v>0</v>
      </c>
      <c r="AJ790" s="11">
        <v>0</v>
      </c>
      <c r="AK790" s="11">
        <f>$J790-SUM($Z790:AJ790)</f>
        <v>0</v>
      </c>
      <c r="AL790" s="11"/>
      <c r="AM790" s="11"/>
      <c r="AN790" s="11"/>
      <c r="AO790" s="11"/>
      <c r="AP790" s="11"/>
      <c r="AQ790" s="11"/>
      <c r="AR790" s="11"/>
      <c r="AS790" s="11"/>
      <c r="AT790" s="11"/>
      <c r="AU790" s="11"/>
      <c r="AW790" s="2509"/>
      <c r="BE790" s="2173"/>
      <c r="BF790" s="2173"/>
      <c r="BG790" s="2173"/>
      <c r="BH790" s="2173"/>
      <c r="BI790" s="2173"/>
      <c r="BJ790" s="2173"/>
      <c r="BK790" s="2173"/>
      <c r="BM790" s="910"/>
      <c r="BP790" s="799"/>
      <c r="BQ790" s="209"/>
      <c r="BR790" s="209"/>
      <c r="BS790" s="209"/>
      <c r="BT790" s="209"/>
      <c r="BU790" s="209"/>
      <c r="BV790" s="209"/>
      <c r="BW790" s="820"/>
      <c r="BX790" s="209"/>
      <c r="BY790" s="209"/>
      <c r="BZ790" s="799"/>
      <c r="CA790" s="799"/>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row>
    <row r="791" spans="1:105" s="773" customFormat="1" ht="13.5" thickBot="1">
      <c r="A791" s="780"/>
      <c r="B791" s="3791" t="s">
        <v>741</v>
      </c>
      <c r="C791" s="2889">
        <v>7111004</v>
      </c>
      <c r="D791" s="2890" t="s">
        <v>538</v>
      </c>
      <c r="E791" s="2891">
        <f>IFERROR(VLOOKUP(C791,'AJE 12 - INC'!$D$168:$F$771,3,0),0)</f>
        <v>4686.93</v>
      </c>
      <c r="F791" s="2892">
        <f>SUMIF('AJE 12 - INC'!B:B,'New TB INC'!C791,'AJE 12 - INC'!D:D)</f>
        <v>0</v>
      </c>
      <c r="G791" s="2892"/>
      <c r="H791" s="2892"/>
      <c r="I791" s="2892"/>
      <c r="J791" s="2893">
        <f t="shared" si="80"/>
        <v>4686.93</v>
      </c>
      <c r="K791" s="4502"/>
      <c r="L791" s="434"/>
      <c r="M791" s="810"/>
      <c r="N791" s="11">
        <v>198.03</v>
      </c>
      <c r="O791" s="11">
        <v>457.61</v>
      </c>
      <c r="P791" s="11">
        <v>131.31000000000006</v>
      </c>
      <c r="Q791" s="11">
        <v>216.15999999999997</v>
      </c>
      <c r="R791" s="773">
        <v>209.20999999999992</v>
      </c>
      <c r="S791" s="11">
        <v>153.98000000000002</v>
      </c>
      <c r="T791" s="773">
        <v>148.34000000000015</v>
      </c>
      <c r="U791" s="2173">
        <v>212.13999999999987</v>
      </c>
      <c r="V791" s="2509">
        <v>474.18999999999983</v>
      </c>
      <c r="W791" s="2509">
        <v>185.92000000000007</v>
      </c>
      <c r="X791" s="2509">
        <v>318.09999999999991</v>
      </c>
      <c r="Y791" s="2509">
        <v>167.70000000000027</v>
      </c>
      <c r="Z791" s="11">
        <f>'[26]New TB INC'!Z728</f>
        <v>892.86</v>
      </c>
      <c r="AA791" s="11">
        <f>'[27]New TB INC'!AA738</f>
        <v>506.78000000000009</v>
      </c>
      <c r="AB791" s="11">
        <f>'[28]New TB INC'!AB745</f>
        <v>250.01</v>
      </c>
      <c r="AC791" s="11">
        <f>'[29]New TB INC'!AC741</f>
        <v>303.15999999999985</v>
      </c>
      <c r="AD791" s="11">
        <f>'[30]New TB INC'!AD744</f>
        <v>339.74000000000024</v>
      </c>
      <c r="AE791" s="11">
        <f>'[31]New TB INC'!AE752</f>
        <v>287.83999999999969</v>
      </c>
      <c r="AF791" s="11">
        <v>229.51000000000022</v>
      </c>
      <c r="AG791" s="11">
        <v>1307.2400000000002</v>
      </c>
      <c r="AH791" s="11">
        <v>192.81999999999971</v>
      </c>
      <c r="AI791" s="11">
        <v>104.25</v>
      </c>
      <c r="AJ791" s="11">
        <v>108.40999999999985</v>
      </c>
      <c r="AK791" s="11">
        <f>$J791-SUM($Z791:AJ791)</f>
        <v>164.3100000000004</v>
      </c>
      <c r="AL791" s="11"/>
      <c r="AM791" s="11"/>
      <c r="AN791" s="11"/>
      <c r="AO791" s="11"/>
      <c r="AP791" s="11"/>
      <c r="AQ791" s="11"/>
      <c r="AR791" s="11"/>
      <c r="AS791" s="11"/>
      <c r="AT791" s="11"/>
      <c r="AU791" s="11"/>
      <c r="AW791" s="2509"/>
      <c r="BE791" s="2173"/>
      <c r="BF791" s="2173"/>
      <c r="BG791" s="2173"/>
      <c r="BH791" s="2173"/>
      <c r="BI791" s="2173"/>
      <c r="BJ791" s="2173"/>
      <c r="BK791" s="2173"/>
      <c r="BM791" s="911"/>
      <c r="BO791" s="384"/>
      <c r="BP791" s="799"/>
      <c r="BQ791" s="209"/>
      <c r="BR791" s="209"/>
      <c r="BS791" s="209"/>
      <c r="BT791" s="209"/>
      <c r="BU791" s="209"/>
      <c r="BV791" s="209"/>
      <c r="BW791" s="820"/>
      <c r="BX791" s="209"/>
      <c r="BY791" s="209"/>
      <c r="BZ791" s="799"/>
      <c r="CA791" s="799"/>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row>
    <row r="792" spans="1:105" s="773" customFormat="1">
      <c r="A792" s="780"/>
      <c r="B792" s="3789" t="s">
        <v>741</v>
      </c>
      <c r="C792" s="2885">
        <v>7111009</v>
      </c>
      <c r="D792" s="2886" t="s">
        <v>898</v>
      </c>
      <c r="E792" s="2887">
        <f>IFERROR(VLOOKUP(C792,'AJE 12 - INC'!$D$168:$F$771,3,0),0)</f>
        <v>185003.93</v>
      </c>
      <c r="F792" s="899">
        <f>SUMIF('AJE 12 - INC'!B:B,'New TB INC'!C792,'AJE 12 - INC'!D:D)</f>
        <v>0</v>
      </c>
      <c r="G792" s="899"/>
      <c r="H792" s="899"/>
      <c r="I792" s="899"/>
      <c r="J792" s="2888">
        <f t="shared" si="80"/>
        <v>185003.93</v>
      </c>
      <c r="K792" s="4500" t="s">
        <v>3671</v>
      </c>
      <c r="L792" s="434"/>
      <c r="M792" s="810"/>
      <c r="N792" s="773">
        <v>10806.77</v>
      </c>
      <c r="O792" s="773">
        <v>10665.509999999998</v>
      </c>
      <c r="P792" s="773">
        <v>10171.080000000002</v>
      </c>
      <c r="Q792" s="773">
        <v>10171.080000000002</v>
      </c>
      <c r="R792" s="773">
        <v>10241.710000000003</v>
      </c>
      <c r="S792" s="773">
        <v>10453.619999999999</v>
      </c>
      <c r="T792" s="773">
        <v>10524.25</v>
      </c>
      <c r="U792" s="2173">
        <v>10806.76999999999</v>
      </c>
      <c r="V792" s="2509">
        <v>10665.510000000009</v>
      </c>
      <c r="W792" s="2509">
        <v>10665.479999999996</v>
      </c>
      <c r="X792" s="2509">
        <v>10877.399999999994</v>
      </c>
      <c r="Y792" s="2509">
        <v>11094.010000000009</v>
      </c>
      <c r="Z792" s="773">
        <f>'[26]New TB INC'!Z729</f>
        <v>11061.38</v>
      </c>
      <c r="AA792" s="773">
        <f>'[27]New TB INC'!AA739</f>
        <v>11199.74</v>
      </c>
      <c r="AB792" s="11">
        <f>'[28]New TB INC'!AB746</f>
        <v>11183.619999999999</v>
      </c>
      <c r="AC792" s="11">
        <f>'[29]New TB INC'!AC742</f>
        <v>11290.89</v>
      </c>
      <c r="AD792" s="11">
        <f>'[30]New TB INC'!AD745</f>
        <v>11662.870000000003</v>
      </c>
      <c r="AE792" s="11">
        <f>'[31]New TB INC'!AE753</f>
        <v>11551.330000000002</v>
      </c>
      <c r="AF792" s="11">
        <v>11251.669999999998</v>
      </c>
      <c r="AG792" s="11">
        <v>14635.61</v>
      </c>
      <c r="AH792" s="11">
        <v>22662.42</v>
      </c>
      <c r="AI792" s="11">
        <v>23258.799999999988</v>
      </c>
      <c r="AJ792" s="11">
        <v>22713.170000000013</v>
      </c>
      <c r="AK792" s="11">
        <f>$J792-SUM($Z792:AJ792)</f>
        <v>22532.429999999993</v>
      </c>
      <c r="AL792" s="11"/>
      <c r="AM792" s="11"/>
      <c r="AN792" s="11"/>
      <c r="AO792" s="11"/>
      <c r="AP792" s="11" t="s">
        <v>4195</v>
      </c>
      <c r="AQ792" s="11"/>
      <c r="AR792" s="11"/>
      <c r="AU792" s="11"/>
      <c r="AW792" s="2509"/>
      <c r="BE792" s="2173"/>
      <c r="BF792" s="2173"/>
      <c r="BG792" s="2173"/>
      <c r="BH792" s="2173"/>
      <c r="BI792" s="2173"/>
      <c r="BJ792" s="2173"/>
      <c r="BK792" s="2173"/>
      <c r="BM792" s="912"/>
      <c r="BO792" s="384"/>
      <c r="BP792" s="799"/>
      <c r="BQ792" s="209"/>
      <c r="BR792" s="209"/>
      <c r="BS792" s="209"/>
      <c r="BT792" s="209"/>
      <c r="BU792" s="209"/>
      <c r="BV792" s="209"/>
      <c r="BW792" s="820"/>
      <c r="BX792" s="209"/>
      <c r="BY792" s="209"/>
      <c r="BZ792" s="799"/>
      <c r="CA792" s="799"/>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row>
    <row r="793" spans="1:105" s="773" customFormat="1">
      <c r="A793" s="780"/>
      <c r="B793" s="3790" t="s">
        <v>741</v>
      </c>
      <c r="C793" s="197">
        <v>7111010</v>
      </c>
      <c r="D793" s="2522" t="s">
        <v>899</v>
      </c>
      <c r="E793" s="798">
        <f>IFERROR(VLOOKUP(C793,'AJE 12 - INC'!$D$168:$F$771,3,0),0)</f>
        <v>377861.88</v>
      </c>
      <c r="F793" s="108">
        <f>SUMIF('AJE 12 - INC'!B:B,'New TB INC'!C793,'AJE 12 - INC'!D:D)</f>
        <v>0</v>
      </c>
      <c r="G793" s="108"/>
      <c r="H793" s="108"/>
      <c r="I793" s="108"/>
      <c r="J793" s="859">
        <f t="shared" si="80"/>
        <v>377861.88</v>
      </c>
      <c r="K793" s="4501"/>
      <c r="L793" s="434"/>
      <c r="M793" s="810"/>
      <c r="N793" s="2125">
        <v>23172.400000000001</v>
      </c>
      <c r="O793" s="2125">
        <v>0</v>
      </c>
      <c r="P793" s="2125">
        <v>1833.2199999999975</v>
      </c>
      <c r="Q793" s="2125">
        <v>3165.84</v>
      </c>
      <c r="R793" s="2125">
        <v>14207.260000000002</v>
      </c>
      <c r="S793" s="2125">
        <v>3476.5199999999968</v>
      </c>
      <c r="T793" s="2125">
        <v>9837</v>
      </c>
      <c r="U793" s="2125">
        <v>4090.2400000000052</v>
      </c>
      <c r="V793" s="2125">
        <v>4339.5</v>
      </c>
      <c r="W793" s="2523">
        <v>10256.999999999993</v>
      </c>
      <c r="X793" s="2523">
        <v>2875.9499999999971</v>
      </c>
      <c r="Y793" s="2523">
        <v>2295.1600000000035</v>
      </c>
      <c r="Z793" s="2125">
        <f>'[26]New TB INC'!Z730</f>
        <v>5983.84</v>
      </c>
      <c r="AA793" s="2125">
        <f>'[27]New TB INC'!AA740</f>
        <v>0</v>
      </c>
      <c r="AB793" s="2125">
        <f>'[28]New TB INC'!AB747</f>
        <v>1741.75</v>
      </c>
      <c r="AC793" s="2125">
        <f>'[29]New TB INC'!AC743</f>
        <v>56575.97</v>
      </c>
      <c r="AD793" s="2125">
        <f>'[30]New TB INC'!AD746</f>
        <v>513.4800000000032</v>
      </c>
      <c r="AE793" s="2125">
        <f>'[31]New TB INC'!AE754</f>
        <v>1014.2800000000061</v>
      </c>
      <c r="AF793" s="2125">
        <v>39684.649999999994</v>
      </c>
      <c r="AG793" s="2125">
        <v>4928.6699999999983</v>
      </c>
      <c r="AH793" s="2125">
        <v>21087.699999999997</v>
      </c>
      <c r="AI793" s="2125">
        <v>16194.410000000003</v>
      </c>
      <c r="AJ793" s="11">
        <v>193880.43</v>
      </c>
      <c r="AK793" s="11">
        <f>$J793-SUM($Z793:AJ793)</f>
        <v>36256.700000000012</v>
      </c>
      <c r="AL793" s="11"/>
      <c r="AM793" s="11"/>
      <c r="AN793" s="2125"/>
      <c r="AO793" s="2125"/>
      <c r="AP793" s="2125"/>
      <c r="AQ793" s="2125"/>
      <c r="AR793" s="2125"/>
      <c r="AS793" s="2125"/>
      <c r="AT793" s="2125"/>
      <c r="AU793" s="11"/>
      <c r="AW793" s="2509"/>
      <c r="BE793" s="2173"/>
      <c r="BF793" s="2173"/>
      <c r="BG793" s="2173"/>
      <c r="BH793" s="2173"/>
      <c r="BI793" s="2173"/>
      <c r="BJ793" s="2173"/>
      <c r="BK793" s="2173"/>
      <c r="BM793" s="912"/>
      <c r="BO793" s="384"/>
      <c r="BP793" s="799"/>
      <c r="BQ793" s="209"/>
      <c r="BR793" s="209"/>
      <c r="BS793" s="209"/>
      <c r="BT793" s="209"/>
      <c r="BU793" s="209"/>
      <c r="BV793" s="209"/>
      <c r="BW793" s="820"/>
      <c r="BX793" s="209"/>
      <c r="BY793" s="209"/>
      <c r="BZ793" s="799"/>
      <c r="CA793" s="799"/>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row>
    <row r="794" spans="1:105" s="773" customFormat="1">
      <c r="A794" s="780"/>
      <c r="B794" s="3790" t="s">
        <v>741</v>
      </c>
      <c r="C794" s="197">
        <v>7111011</v>
      </c>
      <c r="D794" s="199" t="s">
        <v>539</v>
      </c>
      <c r="E794" s="798">
        <f>IFERROR(VLOOKUP(C794,'AJE 12 - INC'!$D$168:$F$771,3,0),0)</f>
        <v>0</v>
      </c>
      <c r="F794" s="108">
        <f>SUMIF('AJE 12 - INC'!B:B,'New TB INC'!C794,'AJE 12 - INC'!D:D)</f>
        <v>0</v>
      </c>
      <c r="G794" s="108"/>
      <c r="H794" s="108"/>
      <c r="I794" s="108"/>
      <c r="J794" s="859">
        <f t="shared" si="80"/>
        <v>0</v>
      </c>
      <c r="K794" s="4501"/>
      <c r="L794" s="434"/>
      <c r="M794" s="810"/>
      <c r="N794" s="11">
        <v>0</v>
      </c>
      <c r="O794" s="11">
        <v>0</v>
      </c>
      <c r="P794" s="11">
        <v>0</v>
      </c>
      <c r="Q794" s="11">
        <v>0</v>
      </c>
      <c r="R794" s="773">
        <v>0</v>
      </c>
      <c r="S794" s="11">
        <v>0</v>
      </c>
      <c r="T794" s="773">
        <v>0</v>
      </c>
      <c r="U794" s="2173">
        <v>0</v>
      </c>
      <c r="V794" s="2509">
        <v>0</v>
      </c>
      <c r="W794" s="2509">
        <v>0</v>
      </c>
      <c r="X794" s="2509">
        <v>0</v>
      </c>
      <c r="Y794" s="2509">
        <v>0</v>
      </c>
      <c r="Z794" s="11">
        <f>'[26]New TB INC'!Z731</f>
        <v>0</v>
      </c>
      <c r="AA794" s="11">
        <f>'[27]New TB INC'!AA741</f>
        <v>0</v>
      </c>
      <c r="AB794" s="11">
        <f>'[28]New TB INC'!AB748</f>
        <v>0</v>
      </c>
      <c r="AC794" s="11">
        <f>'[29]New TB INC'!AC744</f>
        <v>0</v>
      </c>
      <c r="AD794" s="11">
        <f>'[30]New TB INC'!AD747</f>
        <v>0</v>
      </c>
      <c r="AE794" s="11">
        <f>'[31]New TB INC'!AE755</f>
        <v>0</v>
      </c>
      <c r="AF794" s="11">
        <v>0</v>
      </c>
      <c r="AG794" s="11">
        <v>0</v>
      </c>
      <c r="AH794" s="11">
        <v>0</v>
      </c>
      <c r="AI794" s="11">
        <v>0</v>
      </c>
      <c r="AJ794" s="11">
        <v>0</v>
      </c>
      <c r="AK794" s="11">
        <f>$J794-SUM($Z794:AJ794)</f>
        <v>0</v>
      </c>
      <c r="AL794" s="11"/>
      <c r="AM794" s="11"/>
      <c r="AN794" s="11"/>
      <c r="AO794" s="11"/>
      <c r="AP794" s="11"/>
      <c r="AQ794" s="11"/>
      <c r="AR794" s="11"/>
      <c r="AS794" s="11"/>
      <c r="AT794" s="11"/>
      <c r="AU794" s="11"/>
      <c r="AW794" s="2509"/>
      <c r="BE794" s="2173"/>
      <c r="BF794" s="2173"/>
      <c r="BG794" s="2173"/>
      <c r="BH794" s="2173"/>
      <c r="BI794" s="2173"/>
      <c r="BJ794" s="2173"/>
      <c r="BK794" s="2173"/>
      <c r="BO794" s="384"/>
      <c r="BP794" s="799"/>
      <c r="BQ794" s="209"/>
      <c r="BR794" s="209"/>
      <c r="BS794" s="209"/>
      <c r="BT794" s="209"/>
      <c r="BU794" s="209"/>
      <c r="BV794" s="209"/>
      <c r="BW794" s="820"/>
      <c r="BX794" s="209"/>
      <c r="BY794" s="209"/>
      <c r="BZ794" s="799"/>
      <c r="CA794" s="799"/>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row>
    <row r="795" spans="1:105" s="773" customFormat="1">
      <c r="A795" s="780"/>
      <c r="B795" s="3790" t="s">
        <v>1368</v>
      </c>
      <c r="C795" s="197" t="s">
        <v>1844</v>
      </c>
      <c r="D795" s="199" t="s">
        <v>1845</v>
      </c>
      <c r="E795" s="798">
        <f>IFERROR(VLOOKUP(C795,'AJE 12 - INC'!$D$168:$F$771,3,0),0)</f>
        <v>2354.94</v>
      </c>
      <c r="F795" s="108"/>
      <c r="G795" s="108"/>
      <c r="H795" s="108"/>
      <c r="I795" s="108"/>
      <c r="J795" s="859">
        <f t="shared" si="80"/>
        <v>2354.94</v>
      </c>
      <c r="K795" s="4501"/>
      <c r="L795" s="434"/>
      <c r="M795" s="810"/>
      <c r="N795" s="11">
        <v>163.51</v>
      </c>
      <c r="O795" s="11">
        <v>429.11</v>
      </c>
      <c r="P795" s="11">
        <v>166.10000000000002</v>
      </c>
      <c r="Q795" s="11">
        <v>146.89999999999998</v>
      </c>
      <c r="R795" s="773">
        <v>151.71999999999991</v>
      </c>
      <c r="S795" s="11">
        <v>66.940000000000055</v>
      </c>
      <c r="T795" s="773">
        <v>158.70000000000005</v>
      </c>
      <c r="U795" s="2173">
        <v>204.27999999999997</v>
      </c>
      <c r="V795" s="2509">
        <v>205.3900000000001</v>
      </c>
      <c r="W795" s="2509">
        <v>205.38999999999987</v>
      </c>
      <c r="X795" s="2509">
        <v>204.2800000000002</v>
      </c>
      <c r="Y795" s="2509">
        <v>211.25999999999976</v>
      </c>
      <c r="Z795" s="11">
        <f>'[26]New TB INC'!Z732</f>
        <v>215.13</v>
      </c>
      <c r="AA795" s="11">
        <f>'[27]New TB INC'!AA742</f>
        <v>213.87</v>
      </c>
      <c r="AB795" s="11">
        <f>'[28]New TB INC'!AB749</f>
        <v>215.67999999999995</v>
      </c>
      <c r="AC795" s="11">
        <f>'[29]New TB INC'!AC745</f>
        <v>214.98000000000002</v>
      </c>
      <c r="AD795" s="11">
        <f>'[30]New TB INC'!AD748</f>
        <v>217.04000000000008</v>
      </c>
      <c r="AE795" s="11">
        <f>'[31]New TB INC'!AE756</f>
        <v>228.57999999999993</v>
      </c>
      <c r="AF795" s="11">
        <v>222.21000000000004</v>
      </c>
      <c r="AG795" s="11">
        <v>245.6099999999999</v>
      </c>
      <c r="AH795" s="11">
        <v>-343.59999999999991</v>
      </c>
      <c r="AI795" s="11">
        <v>237.84999999999991</v>
      </c>
      <c r="AJ795" s="11">
        <v>203.95000000000005</v>
      </c>
      <c r="AK795" s="11">
        <f>$J795-SUM($Z795:AJ795)</f>
        <v>483.6400000000001</v>
      </c>
      <c r="AL795" s="11"/>
      <c r="AM795" s="11"/>
      <c r="AN795" s="11"/>
      <c r="AO795" s="11"/>
      <c r="AP795" s="11"/>
      <c r="AQ795" s="11"/>
      <c r="AR795" s="11"/>
      <c r="AS795" s="11"/>
      <c r="AT795" s="11"/>
      <c r="AU795" s="11"/>
      <c r="AW795" s="2509"/>
      <c r="BE795" s="2173"/>
      <c r="BF795" s="2173"/>
      <c r="BG795" s="2173"/>
      <c r="BH795" s="2173"/>
      <c r="BI795" s="2173"/>
      <c r="BJ795" s="2173"/>
      <c r="BK795" s="2173"/>
      <c r="BO795" s="384"/>
      <c r="BP795" s="799"/>
      <c r="BQ795" s="209"/>
      <c r="BR795" s="209"/>
      <c r="BS795" s="209"/>
      <c r="BT795" s="209"/>
      <c r="BU795" s="209"/>
      <c r="BV795" s="209"/>
      <c r="BW795" s="820"/>
      <c r="BX795" s="209"/>
      <c r="BY795" s="209"/>
      <c r="BZ795" s="799"/>
      <c r="CA795" s="799"/>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row>
    <row r="796" spans="1:105" s="773" customFormat="1">
      <c r="A796" s="780"/>
      <c r="B796" s="3790" t="s">
        <v>741</v>
      </c>
      <c r="C796" s="197">
        <v>7111012</v>
      </c>
      <c r="D796" s="199" t="s">
        <v>900</v>
      </c>
      <c r="E796" s="798">
        <f>IFERROR(VLOOKUP(C796,'AJE 12 - INC'!$D$168:$F$771,3,0),0)</f>
        <v>9013.36</v>
      </c>
      <c r="F796" s="108">
        <f>SUMIF('AJE 12 - INC'!B:B,'New TB INC'!C796,'AJE 12 - INC'!D:D)</f>
        <v>0</v>
      </c>
      <c r="G796" s="108"/>
      <c r="H796" s="108"/>
      <c r="I796" s="108"/>
      <c r="J796" s="859">
        <f t="shared" ref="J796:J826" si="82">SUM(E796:I796)</f>
        <v>9013.36</v>
      </c>
      <c r="K796" s="4501"/>
      <c r="L796" s="434"/>
      <c r="M796" s="810"/>
      <c r="N796" s="11">
        <v>0</v>
      </c>
      <c r="O796" s="11">
        <v>0</v>
      </c>
      <c r="P796" s="11">
        <v>0</v>
      </c>
      <c r="Q796" s="11">
        <v>0</v>
      </c>
      <c r="R796" s="773">
        <v>0</v>
      </c>
      <c r="S796" s="11">
        <v>0</v>
      </c>
      <c r="T796" s="773">
        <v>0</v>
      </c>
      <c r="U796" s="2173">
        <v>0</v>
      </c>
      <c r="V796" s="2509">
        <v>0</v>
      </c>
      <c r="W796" s="2509">
        <v>0</v>
      </c>
      <c r="X796" s="2509">
        <v>0</v>
      </c>
      <c r="Y796" s="2509">
        <v>0</v>
      </c>
      <c r="Z796" s="11">
        <f>'[26]New TB INC'!Z733</f>
        <v>0</v>
      </c>
      <c r="AA796" s="11">
        <f>'[27]New TB INC'!AA743</f>
        <v>3723.36</v>
      </c>
      <c r="AB796" s="11">
        <f>'[28]New TB INC'!AB750</f>
        <v>1394.9999999999995</v>
      </c>
      <c r="AC796" s="11">
        <f>'[29]New TB INC'!AC746</f>
        <v>465</v>
      </c>
      <c r="AD796" s="11">
        <f>'[30]New TB INC'!AD749</f>
        <v>465</v>
      </c>
      <c r="AE796" s="11">
        <f>'[31]New TB INC'!AE757</f>
        <v>465</v>
      </c>
      <c r="AF796" s="11">
        <v>465</v>
      </c>
      <c r="AG796" s="11">
        <v>465</v>
      </c>
      <c r="AH796" s="11">
        <v>465</v>
      </c>
      <c r="AI796" s="11">
        <v>465.00000000000091</v>
      </c>
      <c r="AJ796" s="11">
        <v>465</v>
      </c>
      <c r="AK796" s="11">
        <f>$J796-SUM($Z796:AJ796)</f>
        <v>175</v>
      </c>
      <c r="AL796" s="11"/>
      <c r="AM796" s="11"/>
      <c r="AN796" s="11"/>
      <c r="AO796" s="11"/>
      <c r="AP796" s="11"/>
      <c r="AQ796" s="11"/>
      <c r="AR796" s="11"/>
      <c r="AS796" s="11"/>
      <c r="AT796" s="11"/>
      <c r="AU796" s="11"/>
      <c r="AW796" s="2509"/>
      <c r="BE796" s="2173"/>
      <c r="BF796" s="2173"/>
      <c r="BG796" s="2173"/>
      <c r="BH796" s="2173"/>
      <c r="BI796" s="2173"/>
      <c r="BJ796" s="2173"/>
      <c r="BK796" s="2173"/>
      <c r="BO796" s="209"/>
      <c r="BP796" s="799"/>
      <c r="BQ796" s="209"/>
      <c r="BR796" s="209"/>
      <c r="BS796" s="209"/>
      <c r="BT796" s="209"/>
      <c r="BU796" s="209"/>
      <c r="BV796" s="209"/>
      <c r="BW796" s="820"/>
      <c r="BX796" s="209"/>
      <c r="BY796" s="209"/>
      <c r="BZ796" s="799"/>
      <c r="CA796" s="799"/>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row>
    <row r="797" spans="1:105" s="773" customFormat="1">
      <c r="A797" s="780"/>
      <c r="B797" s="3790" t="s">
        <v>741</v>
      </c>
      <c r="C797" s="197">
        <v>7111013</v>
      </c>
      <c r="D797" s="199" t="s">
        <v>1371</v>
      </c>
      <c r="E797" s="798">
        <f>IFERROR(VLOOKUP(C797,'AJE 12 - INC'!$D$168:$F$771,3,0),0)</f>
        <v>0</v>
      </c>
      <c r="F797" s="108">
        <f>SUMIF('AJE 12 - INC'!B:B,'New TB INC'!C797,'AJE 12 - INC'!D:D)</f>
        <v>0</v>
      </c>
      <c r="G797" s="108"/>
      <c r="H797" s="108"/>
      <c r="I797" s="108"/>
      <c r="J797" s="859">
        <f>SUM(E797:I797)</f>
        <v>0</v>
      </c>
      <c r="K797" s="4501"/>
      <c r="L797" s="434"/>
      <c r="M797" s="810"/>
      <c r="N797" s="11">
        <v>0</v>
      </c>
      <c r="O797" s="11">
        <v>0</v>
      </c>
      <c r="P797" s="11">
        <v>0</v>
      </c>
      <c r="Q797" s="11">
        <v>0</v>
      </c>
      <c r="R797" s="773">
        <v>0</v>
      </c>
      <c r="S797" s="11">
        <v>0</v>
      </c>
      <c r="T797" s="773">
        <v>0</v>
      </c>
      <c r="U797" s="2173">
        <v>0</v>
      </c>
      <c r="V797" s="2509">
        <v>0</v>
      </c>
      <c r="W797" s="2509">
        <v>0</v>
      </c>
      <c r="X797" s="2509">
        <v>0</v>
      </c>
      <c r="Y797" s="2509">
        <v>0</v>
      </c>
      <c r="Z797" s="11">
        <f>'[26]New TB INC'!Z771</f>
        <v>0</v>
      </c>
      <c r="AA797" s="11">
        <f>'[27]New TB INC'!AA781</f>
        <v>0</v>
      </c>
      <c r="AB797" s="11">
        <f>'[28]New TB INC'!AB788</f>
        <v>0</v>
      </c>
      <c r="AC797" s="11">
        <f>'[29]New TB INC'!AC784</f>
        <v>0</v>
      </c>
      <c r="AD797" s="11">
        <f>'[30]New TB INC'!AD750</f>
        <v>0</v>
      </c>
      <c r="AE797" s="11">
        <f>'[31]New TB INC'!AE758</f>
        <v>0</v>
      </c>
      <c r="AF797" s="11">
        <v>0</v>
      </c>
      <c r="AG797" s="11">
        <v>0</v>
      </c>
      <c r="AH797" s="11">
        <v>0</v>
      </c>
      <c r="AI797" s="11">
        <v>0</v>
      </c>
      <c r="AJ797" s="11">
        <v>0</v>
      </c>
      <c r="AK797" s="11">
        <f>$J797-SUM($Z797:AJ797)</f>
        <v>0</v>
      </c>
      <c r="AL797" s="11"/>
      <c r="AM797" s="11"/>
      <c r="AN797" s="11"/>
      <c r="AO797" s="11"/>
      <c r="AP797" s="11"/>
      <c r="AQ797" s="11"/>
      <c r="AR797" s="11"/>
      <c r="AS797" s="11"/>
      <c r="AT797" s="11"/>
      <c r="AU797" s="11"/>
      <c r="AW797" s="2509"/>
      <c r="BE797" s="2173"/>
      <c r="BF797" s="2173"/>
      <c r="BG797" s="2173"/>
      <c r="BH797" s="2173"/>
      <c r="BI797" s="2173"/>
      <c r="BJ797" s="2173"/>
      <c r="BK797" s="2173"/>
      <c r="BO797" s="209"/>
      <c r="BP797" s="209"/>
      <c r="BQ797" s="209"/>
      <c r="BR797" s="209"/>
      <c r="BS797" s="209"/>
      <c r="BT797" s="209"/>
      <c r="BU797" s="209"/>
      <c r="BV797" s="209"/>
      <c r="BW797" s="820"/>
      <c r="BX797" s="209"/>
      <c r="BY797" s="209"/>
      <c r="BZ797" s="799"/>
      <c r="CA797" s="799"/>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row>
    <row r="798" spans="1:105" s="773" customFormat="1">
      <c r="A798" s="780"/>
      <c r="B798" s="3790" t="s">
        <v>741</v>
      </c>
      <c r="C798" s="197">
        <v>7111014</v>
      </c>
      <c r="D798" s="199" t="s">
        <v>540</v>
      </c>
      <c r="E798" s="798">
        <f>IFERROR(VLOOKUP(C798,'AJE 12 - INC'!$D$168:$F$771,3,0),0)</f>
        <v>7006.77</v>
      </c>
      <c r="F798" s="108">
        <f>SUMIF('AJE 12 - INC'!B:B,'New TB INC'!C798,'AJE 12 - INC'!D:D)</f>
        <v>0</v>
      </c>
      <c r="G798" s="108"/>
      <c r="H798" s="108"/>
      <c r="I798" s="108"/>
      <c r="J798" s="859">
        <f t="shared" si="82"/>
        <v>7006.77</v>
      </c>
      <c r="K798" s="4501"/>
      <c r="L798" s="434"/>
      <c r="M798" s="810"/>
      <c r="N798" s="11">
        <v>2533.96</v>
      </c>
      <c r="O798" s="11">
        <v>581.52999999999975</v>
      </c>
      <c r="P798" s="11">
        <v>0</v>
      </c>
      <c r="Q798" s="11">
        <v>0</v>
      </c>
      <c r="R798" s="773">
        <v>0</v>
      </c>
      <c r="S798" s="11">
        <v>0</v>
      </c>
      <c r="T798" s="773">
        <v>0</v>
      </c>
      <c r="U798" s="2173">
        <v>0</v>
      </c>
      <c r="V798" s="2509">
        <v>0</v>
      </c>
      <c r="W798" s="2509">
        <v>0</v>
      </c>
      <c r="X798" s="2509">
        <v>0</v>
      </c>
      <c r="Y798" s="2509">
        <v>0</v>
      </c>
      <c r="Z798" s="11">
        <f>'[26]New TB INC'!Z734</f>
        <v>1305.0999999999999</v>
      </c>
      <c r="AA798" s="11">
        <f>'[27]New TB INC'!AA744</f>
        <v>1142.69</v>
      </c>
      <c r="AB798" s="11">
        <f>'[28]New TB INC'!AB751</f>
        <v>969.82999999999993</v>
      </c>
      <c r="AC798" s="11">
        <f>'[29]New TB INC'!AC747</f>
        <v>62.849999999999909</v>
      </c>
      <c r="AD798" s="11">
        <f>'[30]New TB INC'!AD751</f>
        <v>0</v>
      </c>
      <c r="AE798" s="11">
        <f>'[31]New TB INC'!AE759</f>
        <v>0</v>
      </c>
      <c r="AF798" s="11">
        <v>0</v>
      </c>
      <c r="AG798" s="11">
        <v>263.11000000000013</v>
      </c>
      <c r="AH798" s="11">
        <v>1394.6000000000004</v>
      </c>
      <c r="AI798" s="11">
        <v>1430.7199999999993</v>
      </c>
      <c r="AJ798" s="11">
        <v>437.8700000000008</v>
      </c>
      <c r="AK798" s="11">
        <f>$J798-SUM($Z798:AJ798)</f>
        <v>0</v>
      </c>
      <c r="AL798" s="11"/>
      <c r="AM798" s="11"/>
      <c r="AN798" s="11"/>
      <c r="AO798" s="11"/>
      <c r="AP798" s="11"/>
      <c r="AQ798" s="11"/>
      <c r="AR798" s="11"/>
      <c r="AS798" s="11"/>
      <c r="AT798" s="11"/>
      <c r="AU798" s="11"/>
      <c r="AW798" s="2509"/>
      <c r="BE798" s="2173"/>
      <c r="BF798" s="2173"/>
      <c r="BG798" s="2173"/>
      <c r="BH798" s="2173"/>
      <c r="BI798" s="2173"/>
      <c r="BJ798" s="2173"/>
      <c r="BK798" s="2173"/>
      <c r="BO798" s="209"/>
      <c r="BP798" s="799"/>
      <c r="BQ798" s="209"/>
      <c r="BR798" s="209"/>
      <c r="BS798" s="209"/>
      <c r="BT798" s="209"/>
      <c r="BU798" s="209"/>
      <c r="BV798" s="209"/>
      <c r="BW798" s="820"/>
      <c r="BX798" s="209"/>
      <c r="BY798" s="209"/>
      <c r="BZ798" s="799"/>
      <c r="CA798" s="799"/>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row>
    <row r="799" spans="1:105" s="773" customFormat="1" ht="13.5" thickBot="1">
      <c r="A799" s="780"/>
      <c r="B799" s="3791" t="s">
        <v>741</v>
      </c>
      <c r="C799" s="2889">
        <v>7111015</v>
      </c>
      <c r="D799" s="2890" t="s">
        <v>541</v>
      </c>
      <c r="E799" s="2891">
        <f>IFERROR(VLOOKUP(C799,'AJE 12 - INC'!$D$168:$F$771,3,0),0)</f>
        <v>216.57</v>
      </c>
      <c r="F799" s="2892">
        <f>SUMIF('AJE 12 - INC'!B:B,'New TB INC'!C799,'AJE 12 - INC'!D:D)</f>
        <v>0</v>
      </c>
      <c r="G799" s="2892"/>
      <c r="H799" s="2892"/>
      <c r="I799" s="2892"/>
      <c r="J799" s="2893">
        <f t="shared" si="82"/>
        <v>216.57</v>
      </c>
      <c r="K799" s="4502"/>
      <c r="L799" s="434"/>
      <c r="M799" s="810"/>
      <c r="N799" s="11">
        <v>0</v>
      </c>
      <c r="O799" s="11">
        <v>0</v>
      </c>
      <c r="P799" s="11">
        <v>0</v>
      </c>
      <c r="Q799" s="11">
        <v>0</v>
      </c>
      <c r="R799" s="773">
        <v>0</v>
      </c>
      <c r="S799" s="11">
        <v>0</v>
      </c>
      <c r="T799" s="773">
        <v>0</v>
      </c>
      <c r="U799" s="2173">
        <v>0</v>
      </c>
      <c r="V799" s="2509">
        <v>67.540000000000006</v>
      </c>
      <c r="W799" s="2509">
        <v>145.40999999999997</v>
      </c>
      <c r="X799" s="2509">
        <v>95.980000000000018</v>
      </c>
      <c r="Y799" s="2509">
        <v>93.480000000000018</v>
      </c>
      <c r="Z799" s="11">
        <f>'[26]New TB INC'!Z735</f>
        <v>48.17</v>
      </c>
      <c r="AA799" s="11">
        <f>'[27]New TB INC'!AA745</f>
        <v>42.230000000000004</v>
      </c>
      <c r="AB799" s="11">
        <f>'[28]New TB INC'!AB752</f>
        <v>36.64</v>
      </c>
      <c r="AC799" s="11">
        <f>'[29]New TB INC'!AC748</f>
        <v>89.529999999999987</v>
      </c>
      <c r="AD799" s="11">
        <f>'[30]New TB INC'!AD752</f>
        <v>0</v>
      </c>
      <c r="AE799" s="11">
        <f>'[31]New TB INC'!AE760</f>
        <v>0</v>
      </c>
      <c r="AF799" s="11">
        <v>0</v>
      </c>
      <c r="AG799" s="11">
        <v>0</v>
      </c>
      <c r="AH799" s="11">
        <v>0</v>
      </c>
      <c r="AI799" s="11">
        <v>0</v>
      </c>
      <c r="AJ799" s="11">
        <v>0</v>
      </c>
      <c r="AK799" s="11">
        <f>$J799-SUM($Z799:AJ799)</f>
        <v>0</v>
      </c>
      <c r="AL799" s="11"/>
      <c r="AM799" s="11"/>
      <c r="AN799" s="11"/>
      <c r="AO799" s="11"/>
      <c r="AP799" s="11"/>
      <c r="AQ799" s="11"/>
      <c r="AR799" s="11"/>
      <c r="AS799" s="11"/>
      <c r="AT799" s="11"/>
      <c r="AU799" s="11"/>
      <c r="AW799" s="2509"/>
      <c r="BE799" s="2173"/>
      <c r="BF799" s="2173"/>
      <c r="BG799" s="2173"/>
      <c r="BH799" s="2173"/>
      <c r="BI799" s="2173"/>
      <c r="BJ799" s="2173"/>
      <c r="BK799" s="2173"/>
      <c r="BO799" s="209"/>
      <c r="BP799" s="799"/>
      <c r="BQ799" s="209"/>
      <c r="BR799" s="209"/>
      <c r="BS799" s="209"/>
      <c r="BT799" s="209"/>
      <c r="BU799" s="209"/>
      <c r="BV799" s="209"/>
      <c r="BW799" s="820"/>
      <c r="BX799" s="209"/>
      <c r="BY799" s="209"/>
      <c r="BZ799" s="799"/>
      <c r="CA799" s="799"/>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row>
    <row r="800" spans="1:105" s="2901" customFormat="1" ht="12.75" customHeight="1">
      <c r="A800" s="2894"/>
      <c r="B800" s="3789" t="s">
        <v>741</v>
      </c>
      <c r="C800" s="2885">
        <v>7111021</v>
      </c>
      <c r="D800" s="2886" t="s">
        <v>905</v>
      </c>
      <c r="E800" s="2895">
        <f>IFERROR(VLOOKUP(C800,'AJE 12 - INC'!$D$168:$F$771,3,0),0)</f>
        <v>300000</v>
      </c>
      <c r="F800" s="2896">
        <f>SUMIF('AJE 12 - INC'!B:B,'New TB INC'!C800,'AJE 12 - INC'!D:D)</f>
        <v>0</v>
      </c>
      <c r="G800" s="2896"/>
      <c r="H800" s="2896"/>
      <c r="I800" s="2896"/>
      <c r="J800" s="2897">
        <f t="shared" si="82"/>
        <v>300000</v>
      </c>
      <c r="K800" s="4500" t="s">
        <v>3356</v>
      </c>
      <c r="L800" s="2898"/>
      <c r="M800" s="811"/>
      <c r="N800" s="2899">
        <v>25000</v>
      </c>
      <c r="O800" s="2899">
        <v>25000</v>
      </c>
      <c r="P800" s="2899">
        <v>25000</v>
      </c>
      <c r="Q800" s="2899">
        <v>25000</v>
      </c>
      <c r="R800" s="2899">
        <v>25000</v>
      </c>
      <c r="S800" s="2900">
        <v>25000</v>
      </c>
      <c r="T800" s="2901">
        <v>25000</v>
      </c>
      <c r="U800" s="2902">
        <v>25000</v>
      </c>
      <c r="V800" s="2903">
        <v>25000</v>
      </c>
      <c r="W800" s="2903">
        <v>25000</v>
      </c>
      <c r="X800" s="2903">
        <v>25000</v>
      </c>
      <c r="Y800" s="2903">
        <v>25000</v>
      </c>
      <c r="Z800" s="2900">
        <f>'[26]New TB INC'!Z741</f>
        <v>25000</v>
      </c>
      <c r="AA800" s="2900">
        <f>'[27]New TB INC'!AA751</f>
        <v>25000</v>
      </c>
      <c r="AB800" s="11">
        <f>'[28]New TB INC'!AB758</f>
        <v>25000</v>
      </c>
      <c r="AC800" s="11">
        <f>'[29]New TB INC'!AC754</f>
        <v>25000</v>
      </c>
      <c r="AD800" s="11">
        <f>'[30]New TB INC'!AD753</f>
        <v>25000</v>
      </c>
      <c r="AE800" s="11">
        <f>'[31]New TB INC'!AE761</f>
        <v>25000</v>
      </c>
      <c r="AF800" s="11">
        <v>25000</v>
      </c>
      <c r="AG800" s="11">
        <v>25000</v>
      </c>
      <c r="AH800" s="11">
        <v>25000</v>
      </c>
      <c r="AI800" s="11">
        <v>25000</v>
      </c>
      <c r="AJ800" s="11">
        <v>25000</v>
      </c>
      <c r="AK800" s="11">
        <f>$J800-SUM($Z800:AJ800)</f>
        <v>25000</v>
      </c>
      <c r="AL800" s="11"/>
      <c r="AM800" s="11"/>
      <c r="AN800" s="11"/>
      <c r="AO800" s="11"/>
      <c r="AP800" s="11"/>
      <c r="AQ800" s="11"/>
      <c r="AR800" s="11"/>
      <c r="AS800" s="2900"/>
      <c r="AT800" s="2900"/>
      <c r="AU800" s="2900"/>
      <c r="AW800" s="2903"/>
      <c r="BE800" s="2902"/>
      <c r="BF800" s="2902"/>
      <c r="BG800" s="2902"/>
      <c r="BH800" s="2902"/>
      <c r="BI800" s="2902"/>
      <c r="BJ800" s="2902"/>
      <c r="BK800" s="2902"/>
      <c r="BM800" s="2900"/>
      <c r="BO800" s="2904"/>
      <c r="BP800" s="2905"/>
      <c r="BQ800" s="2904"/>
      <c r="BR800" s="2904"/>
      <c r="BS800" s="2904"/>
      <c r="BT800" s="2904"/>
      <c r="BU800" s="2904"/>
      <c r="BV800" s="2904"/>
      <c r="BW800" s="2906"/>
      <c r="BX800" s="2904"/>
      <c r="BY800" s="2904"/>
      <c r="BZ800" s="2905"/>
      <c r="CA800" s="2905"/>
      <c r="CB800" s="2900"/>
      <c r="CC800" s="2900"/>
      <c r="CD800" s="2900"/>
      <c r="CE800" s="2900"/>
      <c r="CF800" s="2900"/>
      <c r="CG800" s="2900"/>
      <c r="CH800" s="2900"/>
      <c r="CI800" s="2900"/>
      <c r="CJ800" s="2900"/>
      <c r="CK800" s="2900"/>
      <c r="CL800" s="2900"/>
      <c r="CM800" s="2900"/>
      <c r="CN800" s="2900"/>
      <c r="CO800" s="2900"/>
      <c r="CP800" s="2900"/>
      <c r="CQ800" s="2900"/>
      <c r="CR800" s="2900"/>
      <c r="CS800" s="2900"/>
      <c r="CT800" s="2900"/>
      <c r="CU800" s="2900"/>
      <c r="CV800" s="2900"/>
      <c r="CW800" s="2900"/>
      <c r="CX800" s="2900"/>
      <c r="CY800" s="2900"/>
      <c r="CZ800" s="2900"/>
      <c r="DA800" s="2900"/>
    </row>
    <row r="801" spans="1:105" s="2901" customFormat="1">
      <c r="A801" s="2894"/>
      <c r="B801" s="3790" t="s">
        <v>741</v>
      </c>
      <c r="C801" s="197">
        <v>7111025</v>
      </c>
      <c r="D801" s="2522" t="s">
        <v>907</v>
      </c>
      <c r="E801" s="2907">
        <f>IFERROR(VLOOKUP(C801,'AJE 12 - INC'!$D$168:$F$771,3,0),0)</f>
        <v>225224</v>
      </c>
      <c r="F801" s="2908">
        <f>SUMIF('AJE 12 - INC'!B:B,'New TB INC'!C801,'AJE 12 - INC'!D:D)</f>
        <v>0</v>
      </c>
      <c r="G801" s="2908"/>
      <c r="H801" s="2908"/>
      <c r="I801" s="2908"/>
      <c r="J801" s="2909">
        <f t="shared" si="82"/>
        <v>225224</v>
      </c>
      <c r="K801" s="4501"/>
      <c r="L801" s="2898"/>
      <c r="M801" s="2910"/>
      <c r="N801" s="2900">
        <v>85501</v>
      </c>
      <c r="O801" s="2900">
        <v>26957</v>
      </c>
      <c r="P801" s="2900">
        <v>4459</v>
      </c>
      <c r="Q801" s="2900">
        <v>11003</v>
      </c>
      <c r="R801" s="2901">
        <v>15895</v>
      </c>
      <c r="S801" s="2900">
        <v>5169</v>
      </c>
      <c r="T801" s="2911">
        <v>7676</v>
      </c>
      <c r="U801" s="2911">
        <v>21194</v>
      </c>
      <c r="V801" s="2911">
        <v>14628</v>
      </c>
      <c r="W801" s="2912">
        <v>14132</v>
      </c>
      <c r="X801" s="2912">
        <v>26911</v>
      </c>
      <c r="Y801" s="2912">
        <v>5886</v>
      </c>
      <c r="Z801" s="2911">
        <f>'[26]New TB INC'!Z744</f>
        <v>43563</v>
      </c>
      <c r="AA801" s="2911">
        <f>'[27]New TB INC'!AA752</f>
        <v>2587</v>
      </c>
      <c r="AB801" s="2125">
        <f>'[28]New TB INC'!AB759</f>
        <v>4181</v>
      </c>
      <c r="AC801" s="2125">
        <f>'[29]New TB INC'!AC755</f>
        <v>21278</v>
      </c>
      <c r="AD801" s="2125">
        <f>'[30]New TB INC'!AD754</f>
        <v>18344</v>
      </c>
      <c r="AE801" s="2125">
        <f>'[31]New TB INC'!AE762</f>
        <v>6533</v>
      </c>
      <c r="AF801" s="2125">
        <v>11970</v>
      </c>
      <c r="AG801" s="2125">
        <v>45683</v>
      </c>
      <c r="AH801" s="2125">
        <v>8725</v>
      </c>
      <c r="AI801" s="2125">
        <v>17142</v>
      </c>
      <c r="AJ801" s="11">
        <v>32918</v>
      </c>
      <c r="AK801" s="11">
        <f>$J801-SUM($Z801:AJ801)</f>
        <v>12300</v>
      </c>
      <c r="AL801" s="11"/>
      <c r="AM801" s="11"/>
      <c r="AN801" s="2125"/>
      <c r="AO801" s="2125"/>
      <c r="AP801" s="2125"/>
      <c r="AQ801" s="2125"/>
      <c r="AR801" s="2125"/>
      <c r="AS801" s="2911"/>
      <c r="AT801" s="2911"/>
      <c r="AU801" s="2900"/>
      <c r="AW801" s="2903"/>
      <c r="BE801" s="2902"/>
      <c r="BF801" s="2902"/>
      <c r="BG801" s="2902"/>
      <c r="BH801" s="2902"/>
      <c r="BI801" s="2902"/>
      <c r="BJ801" s="2902"/>
      <c r="BK801" s="2902"/>
      <c r="BM801" s="2900"/>
      <c r="BO801" s="2904"/>
      <c r="BP801" s="2905"/>
      <c r="BQ801" s="2904"/>
      <c r="BR801" s="2904"/>
      <c r="BS801" s="2904"/>
      <c r="BT801" s="2904"/>
      <c r="BU801" s="2904"/>
      <c r="BV801" s="2904"/>
      <c r="BW801" s="2906"/>
      <c r="BX801" s="2904"/>
      <c r="BY801" s="2904"/>
      <c r="BZ801" s="2905"/>
      <c r="CA801" s="2905"/>
      <c r="CB801" s="2900"/>
      <c r="CC801" s="2900"/>
      <c r="CD801" s="2900"/>
      <c r="CE801" s="2900"/>
      <c r="CF801" s="2900"/>
      <c r="CG801" s="2900"/>
      <c r="CH801" s="2900"/>
      <c r="CI801" s="2900"/>
      <c r="CJ801" s="2900"/>
      <c r="CK801" s="2900"/>
      <c r="CL801" s="2900"/>
      <c r="CM801" s="2900"/>
      <c r="CN801" s="2900"/>
      <c r="CO801" s="2900"/>
      <c r="CP801" s="2900"/>
      <c r="CQ801" s="2900"/>
      <c r="CR801" s="2900"/>
      <c r="CS801" s="2900"/>
      <c r="CT801" s="2900"/>
      <c r="CU801" s="2900"/>
      <c r="CV801" s="2900"/>
      <c r="CW801" s="2900"/>
      <c r="CX801" s="2900"/>
      <c r="CY801" s="2900"/>
      <c r="CZ801" s="2900"/>
      <c r="DA801" s="2900"/>
    </row>
    <row r="802" spans="1:105" s="2901" customFormat="1">
      <c r="A802" s="2894"/>
      <c r="B802" s="3790" t="s">
        <v>741</v>
      </c>
      <c r="C802" s="197">
        <v>7111023</v>
      </c>
      <c r="D802" s="199" t="s">
        <v>1372</v>
      </c>
      <c r="E802" s="2907">
        <f>IFERROR(VLOOKUP(C802,'AJE 12 - INC'!$D$168:$F$771,3,0),0)</f>
        <v>10558.8</v>
      </c>
      <c r="F802" s="2908">
        <f>SUMIF('AJE 12 - INC'!B:B,'New TB INC'!C802,'AJE 12 - INC'!D:D)</f>
        <v>0</v>
      </c>
      <c r="G802" s="2908"/>
      <c r="H802" s="2908"/>
      <c r="I802" s="2908"/>
      <c r="J802" s="2909">
        <f t="shared" si="82"/>
        <v>10558.8</v>
      </c>
      <c r="K802" s="4501"/>
      <c r="L802" s="2898"/>
      <c r="M802" s="2910"/>
      <c r="N802" s="2900">
        <v>0</v>
      </c>
      <c r="O802" s="2914">
        <v>2500</v>
      </c>
      <c r="P802" s="2914">
        <v>1250</v>
      </c>
      <c r="Q802" s="2914">
        <v>1250</v>
      </c>
      <c r="R802" s="2914">
        <v>1250</v>
      </c>
      <c r="S802" s="2900">
        <v>1250</v>
      </c>
      <c r="T802" s="2901">
        <v>1250</v>
      </c>
      <c r="U802" s="2902">
        <v>1250</v>
      </c>
      <c r="V802" s="2903">
        <v>1250</v>
      </c>
      <c r="W802" s="2903">
        <v>1250</v>
      </c>
      <c r="X802" s="2903">
        <v>1250</v>
      </c>
      <c r="Y802" s="2903">
        <v>-13750</v>
      </c>
      <c r="Z802" s="2900">
        <f>'[26]New TB INC'!Z772</f>
        <v>1250</v>
      </c>
      <c r="AA802" s="2900">
        <f>'[27]New TB INC'!AA753</f>
        <v>499.79999999999995</v>
      </c>
      <c r="AB802" s="11">
        <f>'[28]New TB INC'!AB760</f>
        <v>1250.0000000000002</v>
      </c>
      <c r="AC802" s="11">
        <f>'[29]New TB INC'!AC756</f>
        <v>1250</v>
      </c>
      <c r="AD802" s="11">
        <f>'[30]New TB INC'!AD755</f>
        <v>1250</v>
      </c>
      <c r="AE802" s="11">
        <f>'[31]New TB INC'!AE763</f>
        <v>1250</v>
      </c>
      <c r="AF802" s="11">
        <v>1250</v>
      </c>
      <c r="AG802" s="11">
        <v>1249.9999999999991</v>
      </c>
      <c r="AH802" s="11">
        <v>1250</v>
      </c>
      <c r="AI802" s="11">
        <v>1250</v>
      </c>
      <c r="AJ802" s="11">
        <v>1250</v>
      </c>
      <c r="AK802" s="11">
        <f>$J802-SUM($Z802:AJ802)</f>
        <v>-2441</v>
      </c>
      <c r="AL802" s="11"/>
      <c r="AM802" s="11"/>
      <c r="AN802" s="11"/>
      <c r="AO802" s="11"/>
      <c r="AP802" s="11"/>
      <c r="AQ802" s="11"/>
      <c r="AR802" s="11"/>
      <c r="AS802" s="2900"/>
      <c r="AT802" s="2900"/>
      <c r="AU802" s="2900"/>
      <c r="AW802" s="2903"/>
      <c r="BE802" s="2902"/>
      <c r="BF802" s="2902"/>
      <c r="BG802" s="2902"/>
      <c r="BH802" s="2902"/>
      <c r="BI802" s="2902"/>
      <c r="BJ802" s="2902"/>
      <c r="BK802" s="2902"/>
      <c r="BO802" s="2904"/>
      <c r="BP802" s="2904"/>
      <c r="BQ802" s="2904"/>
      <c r="BR802" s="2904"/>
      <c r="BS802" s="2904"/>
      <c r="BT802" s="2904"/>
      <c r="BU802" s="2904"/>
      <c r="BV802" s="2904"/>
      <c r="BW802" s="2906"/>
      <c r="BX802" s="2904"/>
      <c r="BY802" s="2904"/>
      <c r="BZ802" s="2905"/>
      <c r="CA802" s="2905"/>
      <c r="CB802" s="2900"/>
      <c r="CC802" s="2900"/>
      <c r="CD802" s="2900"/>
      <c r="CE802" s="2900"/>
      <c r="CF802" s="2900"/>
      <c r="CG802" s="2900"/>
      <c r="CH802" s="2900"/>
      <c r="CI802" s="2900"/>
      <c r="CJ802" s="2900"/>
      <c r="CK802" s="2900"/>
      <c r="CL802" s="2900"/>
      <c r="CM802" s="2900"/>
      <c r="CN802" s="2900"/>
      <c r="CO802" s="2900"/>
      <c r="CP802" s="2900"/>
      <c r="CQ802" s="2900"/>
      <c r="CR802" s="2900"/>
      <c r="CS802" s="2900"/>
      <c r="CT802" s="2900"/>
      <c r="CU802" s="2900"/>
      <c r="CV802" s="2900"/>
      <c r="CW802" s="2900"/>
      <c r="CX802" s="2900"/>
      <c r="CY802" s="2900"/>
      <c r="CZ802" s="2900"/>
      <c r="DA802" s="2900"/>
    </row>
    <row r="803" spans="1:105" s="2901" customFormat="1">
      <c r="A803" s="2894"/>
      <c r="B803" s="3790" t="s">
        <v>741</v>
      </c>
      <c r="C803" s="197">
        <v>7111031</v>
      </c>
      <c r="D803" s="199" t="s">
        <v>1233</v>
      </c>
      <c r="E803" s="2907">
        <f>IFERROR(VLOOKUP(C803,'AJE 12 - INC'!$D$168:$F$771,3,0),0)</f>
        <v>-6177.24</v>
      </c>
      <c r="F803" s="2908">
        <f>SUMIF('AJE 12 - INC'!B:B,'New TB INC'!C803,'AJE 12 - INC'!D:D)</f>
        <v>0</v>
      </c>
      <c r="G803" s="2908"/>
      <c r="H803" s="2908"/>
      <c r="I803" s="2908"/>
      <c r="J803" s="2909">
        <f t="shared" si="82"/>
        <v>-6177.24</v>
      </c>
      <c r="K803" s="4501"/>
      <c r="L803" s="2898"/>
      <c r="M803" s="2910"/>
      <c r="N803" s="2900">
        <v>0</v>
      </c>
      <c r="O803" s="2900">
        <v>0</v>
      </c>
      <c r="P803" s="2900">
        <v>0</v>
      </c>
      <c r="Q803" s="2900">
        <v>0</v>
      </c>
      <c r="R803" s="2901">
        <v>0</v>
      </c>
      <c r="S803" s="2900">
        <v>0</v>
      </c>
      <c r="T803" s="2901">
        <v>0</v>
      </c>
      <c r="U803" s="2902">
        <v>0</v>
      </c>
      <c r="V803" s="2903">
        <v>0</v>
      </c>
      <c r="W803" s="2903">
        <v>0</v>
      </c>
      <c r="X803" s="2903">
        <v>0</v>
      </c>
      <c r="Y803" s="2903">
        <v>0</v>
      </c>
      <c r="Z803" s="2900">
        <f>'[26]New TB INC'!Z749</f>
        <v>0</v>
      </c>
      <c r="AA803" s="2900">
        <f>'[27]New TB INC'!AA754</f>
        <v>-6177.24</v>
      </c>
      <c r="AB803" s="11">
        <f>'[28]New TB INC'!AB761</f>
        <v>0</v>
      </c>
      <c r="AC803" s="11">
        <f>'[29]New TB INC'!AC757</f>
        <v>0</v>
      </c>
      <c r="AD803" s="11">
        <f>'[30]New TB INC'!AD756</f>
        <v>0</v>
      </c>
      <c r="AE803" s="11">
        <f>'[31]New TB INC'!AE764</f>
        <v>0</v>
      </c>
      <c r="AF803" s="11">
        <v>0</v>
      </c>
      <c r="AG803" s="11">
        <v>0</v>
      </c>
      <c r="AH803" s="11">
        <v>0</v>
      </c>
      <c r="AI803" s="11">
        <v>0</v>
      </c>
      <c r="AJ803" s="11">
        <v>0</v>
      </c>
      <c r="AK803" s="11">
        <f>$J803-SUM($Z803:AJ803)</f>
        <v>0</v>
      </c>
      <c r="AL803" s="11"/>
      <c r="AM803" s="11"/>
      <c r="AN803" s="11"/>
      <c r="AO803" s="11"/>
      <c r="AP803" s="11"/>
      <c r="AQ803" s="11"/>
      <c r="AR803" s="11"/>
      <c r="AS803" s="2900"/>
      <c r="AT803" s="2900"/>
      <c r="AU803" s="2900"/>
      <c r="AW803" s="2903"/>
      <c r="BE803" s="2902"/>
      <c r="BF803" s="2902"/>
      <c r="BG803" s="2902"/>
      <c r="BH803" s="2902"/>
      <c r="BI803" s="2902"/>
      <c r="BJ803" s="2902"/>
      <c r="BK803" s="2902"/>
      <c r="BM803" s="2900"/>
      <c r="BO803" s="2904"/>
      <c r="BP803" s="2905"/>
      <c r="BQ803" s="2904"/>
      <c r="BR803" s="2904"/>
      <c r="BS803" s="2904"/>
      <c r="BT803" s="2904"/>
      <c r="BU803" s="2904"/>
      <c r="BV803" s="2904"/>
      <c r="BW803" s="2906"/>
      <c r="BX803" s="2904"/>
      <c r="BY803" s="2904"/>
      <c r="BZ803" s="2905"/>
      <c r="CA803" s="2905"/>
      <c r="CB803" s="2900"/>
      <c r="CC803" s="2900"/>
      <c r="CD803" s="2900"/>
      <c r="CE803" s="2900"/>
      <c r="CF803" s="2900"/>
      <c r="CG803" s="2900"/>
      <c r="CH803" s="2900"/>
      <c r="CI803" s="2900"/>
      <c r="CJ803" s="2900"/>
      <c r="CK803" s="2900"/>
      <c r="CL803" s="2900"/>
      <c r="CM803" s="2900"/>
      <c r="CN803" s="2900"/>
      <c r="CO803" s="2900"/>
      <c r="CP803" s="2900"/>
      <c r="CQ803" s="2900"/>
      <c r="CR803" s="2900"/>
      <c r="CS803" s="2900"/>
      <c r="CT803" s="2900"/>
      <c r="CU803" s="2900"/>
      <c r="CV803" s="2900"/>
      <c r="CW803" s="2900"/>
      <c r="CX803" s="2900"/>
      <c r="CY803" s="2900"/>
      <c r="CZ803" s="2900"/>
      <c r="DA803" s="2900"/>
    </row>
    <row r="804" spans="1:105" s="2901" customFormat="1">
      <c r="A804" s="2894"/>
      <c r="B804" s="3790" t="s">
        <v>741</v>
      </c>
      <c r="C804" s="197">
        <v>7111022</v>
      </c>
      <c r="D804" s="199" t="s">
        <v>906</v>
      </c>
      <c r="E804" s="2907">
        <f>IFERROR(VLOOKUP(C804,'AJE 12 - INC'!$D$168:$F$771,3,0),0)</f>
        <v>18879.5</v>
      </c>
      <c r="F804" s="2908">
        <f>SUMIF('AJE 12 - INC'!B:B,'New TB INC'!C804,'AJE 12 - INC'!D:D)</f>
        <v>0</v>
      </c>
      <c r="G804" s="2908"/>
      <c r="H804" s="2908"/>
      <c r="I804" s="2908"/>
      <c r="J804" s="2909">
        <f t="shared" si="82"/>
        <v>18879.5</v>
      </c>
      <c r="K804" s="4501"/>
      <c r="L804" s="2898"/>
      <c r="M804" s="2910"/>
      <c r="N804" s="2900">
        <v>9477.5499999999993</v>
      </c>
      <c r="O804" s="2900">
        <v>2454.4000000000015</v>
      </c>
      <c r="P804" s="2900">
        <v>422.67999999999847</v>
      </c>
      <c r="Q804" s="2900">
        <v>517.56000000000131</v>
      </c>
      <c r="R804" s="2901">
        <v>588.5</v>
      </c>
      <c r="S804" s="2900">
        <v>432.96999999999935</v>
      </c>
      <c r="T804" s="2901">
        <v>469.31999999999971</v>
      </c>
      <c r="U804" s="2902">
        <v>665.32999999999993</v>
      </c>
      <c r="V804" s="2903">
        <v>570.13000000000102</v>
      </c>
      <c r="W804" s="2903">
        <v>660.57999999999993</v>
      </c>
      <c r="X804" s="2903">
        <v>748.22999999999956</v>
      </c>
      <c r="Y804" s="2903">
        <v>443.36999999999898</v>
      </c>
      <c r="Z804" s="2900">
        <f>'[26]New TB INC'!Z742</f>
        <v>6436.4</v>
      </c>
      <c r="AA804" s="2900">
        <f>'[27]New TB INC'!AA755</f>
        <v>5939.33</v>
      </c>
      <c r="AB804" s="11">
        <f>'[28]New TB INC'!AB762</f>
        <v>417.97999999999956</v>
      </c>
      <c r="AC804" s="11">
        <f>'[29]New TB INC'!AC758</f>
        <v>665.89000000000124</v>
      </c>
      <c r="AD804" s="11">
        <f>'[30]New TB INC'!AD757</f>
        <v>623.35000000000036</v>
      </c>
      <c r="AE804" s="11">
        <f>'[31]New TB INC'!AE765</f>
        <v>452.09000000000015</v>
      </c>
      <c r="AF804" s="11">
        <v>530.91999999999825</v>
      </c>
      <c r="AG804" s="11">
        <v>1019.7600000000002</v>
      </c>
      <c r="AH804" s="11">
        <v>483.8700000000008</v>
      </c>
      <c r="AI804" s="11">
        <v>664.90000000000146</v>
      </c>
      <c r="AJ804" s="11">
        <v>1109.2999999999993</v>
      </c>
      <c r="AK804" s="11">
        <f>$J804-SUM($Z804:AJ804)</f>
        <v>535.70999999999913</v>
      </c>
      <c r="AL804" s="11"/>
      <c r="AM804" s="11"/>
      <c r="AN804" s="11"/>
      <c r="AO804" s="11"/>
      <c r="AP804" s="11"/>
      <c r="AQ804" s="11"/>
      <c r="AR804" s="11"/>
      <c r="AS804" s="2900"/>
      <c r="AT804" s="2900"/>
      <c r="AU804" s="2900"/>
      <c r="AW804" s="2903"/>
      <c r="BE804" s="2902"/>
      <c r="BF804" s="2902"/>
      <c r="BG804" s="2902"/>
      <c r="BH804" s="2902"/>
      <c r="BI804" s="2902"/>
      <c r="BJ804" s="2902"/>
      <c r="BK804" s="2902"/>
      <c r="BM804" s="2900"/>
      <c r="BO804" s="2904"/>
      <c r="BP804" s="2905"/>
      <c r="BQ804" s="2904"/>
      <c r="BR804" s="2904"/>
      <c r="BS804" s="2904"/>
      <c r="BT804" s="2904"/>
      <c r="BU804" s="2904"/>
      <c r="BV804" s="2904"/>
      <c r="BW804" s="2906"/>
      <c r="BX804" s="2904"/>
      <c r="BY804" s="2904"/>
      <c r="BZ804" s="2905"/>
      <c r="CA804" s="2905"/>
      <c r="CB804" s="2900"/>
      <c r="CC804" s="2900"/>
      <c r="CD804" s="2900"/>
      <c r="CE804" s="2900"/>
      <c r="CF804" s="2900"/>
      <c r="CG804" s="2900"/>
      <c r="CH804" s="2900"/>
      <c r="CI804" s="2900"/>
      <c r="CJ804" s="2900"/>
      <c r="CK804" s="2900"/>
      <c r="CL804" s="2900"/>
      <c r="CM804" s="2900"/>
      <c r="CN804" s="2900"/>
      <c r="CO804" s="2900"/>
      <c r="CP804" s="2900"/>
      <c r="CQ804" s="2900"/>
      <c r="CR804" s="2900"/>
      <c r="CS804" s="2900"/>
      <c r="CT804" s="2900"/>
      <c r="CU804" s="2900"/>
      <c r="CV804" s="2900"/>
      <c r="CW804" s="2900"/>
      <c r="CX804" s="2900"/>
      <c r="CY804" s="2900"/>
      <c r="CZ804" s="2900"/>
      <c r="DA804" s="2900"/>
    </row>
    <row r="805" spans="1:105" s="2901" customFormat="1">
      <c r="A805" s="2894"/>
      <c r="B805" s="3790" t="s">
        <v>741</v>
      </c>
      <c r="C805" s="197">
        <v>7111024</v>
      </c>
      <c r="D805" s="199" t="s">
        <v>1517</v>
      </c>
      <c r="E805" s="2907">
        <f>IFERROR(VLOOKUP(C805,'AJE 12 - INC'!$D$168:$F$771,3,0),0)</f>
        <v>0</v>
      </c>
      <c r="F805" s="2908">
        <f>SUMIF('AJE 12 - INC'!B:B,'New TB INC'!C805,'AJE 12 - INC'!D:D)</f>
        <v>0</v>
      </c>
      <c r="G805" s="2908"/>
      <c r="H805" s="2908"/>
      <c r="I805" s="2908"/>
      <c r="J805" s="2909">
        <f t="shared" si="82"/>
        <v>0</v>
      </c>
      <c r="K805" s="4501"/>
      <c r="L805" s="2898"/>
      <c r="M805" s="2910"/>
      <c r="N805" s="2900">
        <v>0</v>
      </c>
      <c r="O805" s="2900">
        <v>0</v>
      </c>
      <c r="P805" s="2900">
        <v>0</v>
      </c>
      <c r="Q805" s="2900">
        <v>0</v>
      </c>
      <c r="R805" s="2901">
        <v>0</v>
      </c>
      <c r="S805" s="2900">
        <v>0</v>
      </c>
      <c r="T805" s="2901">
        <v>0</v>
      </c>
      <c r="U805" s="2902">
        <v>0</v>
      </c>
      <c r="V805" s="2903">
        <v>0</v>
      </c>
      <c r="W805" s="2903">
        <v>0</v>
      </c>
      <c r="X805" s="2903">
        <v>0</v>
      </c>
      <c r="Y805" s="2903">
        <v>0</v>
      </c>
      <c r="Z805" s="2900">
        <f>'[26]New TB INC'!Z743</f>
        <v>0</v>
      </c>
      <c r="AA805" s="2900">
        <f>'[27]New TB INC'!AA756</f>
        <v>0</v>
      </c>
      <c r="AB805" s="11">
        <f>'[28]New TB INC'!AB763</f>
        <v>0</v>
      </c>
      <c r="AC805" s="11">
        <f>'[29]New TB INC'!AC759</f>
        <v>0</v>
      </c>
      <c r="AD805" s="11">
        <f>'[30]New TB INC'!AD758</f>
        <v>0</v>
      </c>
      <c r="AE805" s="11">
        <f>'[31]New TB INC'!AE766</f>
        <v>0</v>
      </c>
      <c r="AF805" s="11">
        <v>0</v>
      </c>
      <c r="AG805" s="11">
        <v>0</v>
      </c>
      <c r="AH805" s="11">
        <v>0</v>
      </c>
      <c r="AI805" s="11">
        <v>0</v>
      </c>
      <c r="AJ805" s="11">
        <v>0</v>
      </c>
      <c r="AK805" s="11">
        <f>$J805-SUM($Z805:AJ805)</f>
        <v>0</v>
      </c>
      <c r="AL805" s="11"/>
      <c r="AM805" s="11"/>
      <c r="AN805" s="11"/>
      <c r="AO805" s="11"/>
      <c r="AP805" s="11"/>
      <c r="AQ805" s="11"/>
      <c r="AR805" s="11"/>
      <c r="AS805" s="2900"/>
      <c r="AT805" s="2900"/>
      <c r="AU805" s="2900"/>
      <c r="AW805" s="2903"/>
      <c r="BE805" s="2902"/>
      <c r="BF805" s="2902"/>
      <c r="BG805" s="2902"/>
      <c r="BH805" s="2902"/>
      <c r="BI805" s="2902"/>
      <c r="BJ805" s="2902"/>
      <c r="BK805" s="2902"/>
      <c r="BM805" s="2900"/>
      <c r="BO805" s="2904"/>
      <c r="BP805" s="2905"/>
      <c r="BQ805" s="2904"/>
      <c r="BR805" s="2904"/>
      <c r="BS805" s="2904"/>
      <c r="BT805" s="2904"/>
      <c r="BU805" s="2904"/>
      <c r="BV805" s="2904"/>
      <c r="BW805" s="2906"/>
      <c r="BX805" s="2904"/>
      <c r="BY805" s="2904"/>
      <c r="BZ805" s="2905"/>
      <c r="CA805" s="2905"/>
      <c r="CB805" s="2900"/>
      <c r="CC805" s="2900"/>
      <c r="CD805" s="2900"/>
      <c r="CE805" s="2900"/>
      <c r="CF805" s="2900"/>
      <c r="CG805" s="2900"/>
      <c r="CH805" s="2900"/>
      <c r="CI805" s="2900"/>
      <c r="CJ805" s="2900"/>
      <c r="CK805" s="2900"/>
      <c r="CL805" s="2900"/>
      <c r="CM805" s="2900"/>
      <c r="CN805" s="2900"/>
      <c r="CO805" s="2900"/>
      <c r="CP805" s="2900"/>
      <c r="CQ805" s="2900"/>
      <c r="CR805" s="2900"/>
      <c r="CS805" s="2900"/>
      <c r="CT805" s="2900"/>
      <c r="CU805" s="2900"/>
      <c r="CV805" s="2900"/>
      <c r="CW805" s="2900"/>
      <c r="CX805" s="2900"/>
      <c r="CY805" s="2900"/>
      <c r="CZ805" s="2900"/>
      <c r="DA805" s="2900"/>
    </row>
    <row r="806" spans="1:105" s="2901" customFormat="1">
      <c r="A806" s="2894"/>
      <c r="B806" s="3790" t="s">
        <v>741</v>
      </c>
      <c r="C806" s="197">
        <v>7111027</v>
      </c>
      <c r="D806" s="199" t="s">
        <v>908</v>
      </c>
      <c r="E806" s="2907">
        <f>IFERROR(VLOOKUP(C806,'AJE 12 - INC'!$D$168:$F$771,3,0),0)</f>
        <v>0</v>
      </c>
      <c r="F806" s="2908">
        <f>SUMIF('AJE 12 - INC'!B:B,'New TB INC'!C806,'AJE 12 - INC'!D:D)</f>
        <v>0</v>
      </c>
      <c r="G806" s="2908"/>
      <c r="H806" s="2908"/>
      <c r="I806" s="2908"/>
      <c r="J806" s="2909">
        <f t="shared" si="82"/>
        <v>0</v>
      </c>
      <c r="K806" s="4501"/>
      <c r="L806" s="2898"/>
      <c r="M806" s="2910"/>
      <c r="N806" s="2900">
        <v>0</v>
      </c>
      <c r="O806" s="2900">
        <v>0</v>
      </c>
      <c r="P806" s="2900">
        <v>0</v>
      </c>
      <c r="Q806" s="2900">
        <v>0</v>
      </c>
      <c r="R806" s="2901">
        <v>0</v>
      </c>
      <c r="S806" s="2900">
        <v>0</v>
      </c>
      <c r="T806" s="2901">
        <v>0</v>
      </c>
      <c r="U806" s="2902">
        <v>0</v>
      </c>
      <c r="V806" s="2903">
        <v>0</v>
      </c>
      <c r="W806" s="2903">
        <v>0</v>
      </c>
      <c r="X806" s="2903">
        <v>0</v>
      </c>
      <c r="Y806" s="2903">
        <v>0</v>
      </c>
      <c r="Z806" s="2900">
        <f>'[26]New TB INC'!Z745</f>
        <v>0</v>
      </c>
      <c r="AA806" s="2900">
        <f>'[27]New TB INC'!AA757</f>
        <v>0</v>
      </c>
      <c r="AB806" s="11">
        <f>'[28]New TB INC'!AB764</f>
        <v>0</v>
      </c>
      <c r="AC806" s="11">
        <f>'[29]New TB INC'!AC760</f>
        <v>0</v>
      </c>
      <c r="AD806" s="11">
        <f>'[30]New TB INC'!AD759</f>
        <v>0</v>
      </c>
      <c r="AE806" s="11">
        <f>'[31]New TB INC'!AE767</f>
        <v>0</v>
      </c>
      <c r="AF806" s="11">
        <v>0</v>
      </c>
      <c r="AG806" s="11">
        <v>0</v>
      </c>
      <c r="AH806" s="11">
        <v>0</v>
      </c>
      <c r="AI806" s="11">
        <v>0</v>
      </c>
      <c r="AJ806" s="11">
        <v>0</v>
      </c>
      <c r="AK806" s="11">
        <f>$J806-SUM($Z806:AJ806)</f>
        <v>0</v>
      </c>
      <c r="AL806" s="11"/>
      <c r="AM806" s="11"/>
      <c r="AN806" s="11"/>
      <c r="AO806" s="11"/>
      <c r="AP806" s="11"/>
      <c r="AQ806" s="11"/>
      <c r="AR806" s="11"/>
      <c r="AS806" s="2900"/>
      <c r="AT806" s="2900"/>
      <c r="AU806" s="2900"/>
      <c r="AW806" s="2903"/>
      <c r="BE806" s="2902"/>
      <c r="BF806" s="2902"/>
      <c r="BG806" s="2902"/>
      <c r="BH806" s="2902"/>
      <c r="BI806" s="2902"/>
      <c r="BJ806" s="2902"/>
      <c r="BK806" s="2902"/>
      <c r="BM806" s="2900"/>
      <c r="BO806" s="2904"/>
      <c r="BP806" s="2905"/>
      <c r="BQ806" s="2904"/>
      <c r="BR806" s="2904"/>
      <c r="BS806" s="2904"/>
      <c r="BT806" s="2904"/>
      <c r="BU806" s="2904"/>
      <c r="BV806" s="2904"/>
      <c r="BW806" s="2906"/>
      <c r="BX806" s="2904"/>
      <c r="BY806" s="2904"/>
      <c r="BZ806" s="2905"/>
      <c r="CA806" s="2905"/>
      <c r="CB806" s="2900"/>
      <c r="CC806" s="2900"/>
      <c r="CD806" s="2900"/>
      <c r="CE806" s="2900"/>
      <c r="CF806" s="2900"/>
      <c r="CG806" s="2900"/>
      <c r="CH806" s="2900"/>
      <c r="CI806" s="2900"/>
      <c r="CJ806" s="2900"/>
      <c r="CK806" s="2900"/>
      <c r="CL806" s="2900"/>
      <c r="CM806" s="2900"/>
      <c r="CN806" s="2900"/>
      <c r="CO806" s="2900"/>
      <c r="CP806" s="2900"/>
      <c r="CQ806" s="2900"/>
      <c r="CR806" s="2900"/>
      <c r="CS806" s="2900"/>
      <c r="CT806" s="2900"/>
      <c r="CU806" s="2900"/>
      <c r="CV806" s="2900"/>
      <c r="CW806" s="2900"/>
      <c r="CX806" s="2900"/>
      <c r="CY806" s="2900"/>
      <c r="CZ806" s="2900"/>
      <c r="DA806" s="2900"/>
    </row>
    <row r="807" spans="1:105" s="2901" customFormat="1">
      <c r="A807" s="2894"/>
      <c r="B807" s="3790" t="s">
        <v>741</v>
      </c>
      <c r="C807" s="197">
        <v>7111028</v>
      </c>
      <c r="D807" s="199" t="s">
        <v>909</v>
      </c>
      <c r="E807" s="2907">
        <f>IFERROR(VLOOKUP(C807,'AJE 12 - INC'!$D$168:$F$771,3,0),0)</f>
        <v>23285.64</v>
      </c>
      <c r="F807" s="2908">
        <f>SUMIF('AJE 12 - INC'!B:B,'New TB INC'!C807,'AJE 12 - INC'!D:D)</f>
        <v>0</v>
      </c>
      <c r="G807" s="2908"/>
      <c r="H807" s="2908"/>
      <c r="I807" s="2908"/>
      <c r="J807" s="2909">
        <f t="shared" si="82"/>
        <v>23285.64</v>
      </c>
      <c r="K807" s="4501"/>
      <c r="L807" s="2898"/>
      <c r="M807" s="2910"/>
      <c r="N807" s="2900">
        <v>1756.07</v>
      </c>
      <c r="O807" s="2900">
        <v>1756.07</v>
      </c>
      <c r="P807" s="2900">
        <v>1756.0700000000004</v>
      </c>
      <c r="Q807" s="2900">
        <v>1756.07</v>
      </c>
      <c r="R807" s="2901">
        <v>1756.0700000000004</v>
      </c>
      <c r="S807" s="2900">
        <v>1756.07</v>
      </c>
      <c r="T807" s="2901">
        <v>1756.0699999999995</v>
      </c>
      <c r="U807" s="2902">
        <v>1756.0699999999997</v>
      </c>
      <c r="V807" s="2903">
        <v>1756.0699999999997</v>
      </c>
      <c r="W807" s="2903">
        <v>1756.0700000000015</v>
      </c>
      <c r="X807" s="2903">
        <v>1756.0699999999997</v>
      </c>
      <c r="Y807" s="2903">
        <v>1756.0699999999997</v>
      </c>
      <c r="Z807" s="2900">
        <f>'[26]New TB INC'!Z746</f>
        <v>1940.47</v>
      </c>
      <c r="AA807" s="2900">
        <f>'[27]New TB INC'!AA758</f>
        <v>1940.47</v>
      </c>
      <c r="AB807" s="11">
        <f>'[28]New TB INC'!AB765</f>
        <v>1940.4699999999998</v>
      </c>
      <c r="AC807" s="11">
        <f>'[29]New TB INC'!AC761</f>
        <v>1940.4700000000003</v>
      </c>
      <c r="AD807" s="11">
        <f>'[30]New TB INC'!AD760</f>
        <v>1940.4700000000003</v>
      </c>
      <c r="AE807" s="11">
        <f>'[31]New TB INC'!AE768</f>
        <v>1940.4699999999993</v>
      </c>
      <c r="AF807" s="11">
        <v>1940.4700000000012</v>
      </c>
      <c r="AG807" s="11">
        <v>1940.4699999999993</v>
      </c>
      <c r="AH807" s="11">
        <v>1940.4699999999993</v>
      </c>
      <c r="AI807" s="11">
        <v>1940.4700000000012</v>
      </c>
      <c r="AJ807" s="11">
        <v>1940.4699999999975</v>
      </c>
      <c r="AK807" s="11">
        <f>$J807-SUM($Z807:AJ807)</f>
        <v>1940.4700000000012</v>
      </c>
      <c r="AL807" s="11"/>
      <c r="AM807" s="11"/>
      <c r="AN807" s="11"/>
      <c r="AO807" s="11"/>
      <c r="AP807" s="11"/>
      <c r="AQ807" s="11"/>
      <c r="AR807" s="11"/>
      <c r="AS807" s="2900"/>
      <c r="AT807" s="2900"/>
      <c r="AU807" s="2900"/>
      <c r="AW807" s="2903"/>
      <c r="BE807" s="2902"/>
      <c r="BF807" s="2902"/>
      <c r="BG807" s="2902"/>
      <c r="BH807" s="2902"/>
      <c r="BI807" s="2902"/>
      <c r="BJ807" s="2902"/>
      <c r="BK807" s="2902"/>
      <c r="BM807" s="2900"/>
      <c r="BO807" s="2904"/>
      <c r="BP807" s="2905"/>
      <c r="BQ807" s="2904"/>
      <c r="BR807" s="2904"/>
      <c r="BS807" s="2904"/>
      <c r="BT807" s="2904"/>
      <c r="BU807" s="2904"/>
      <c r="BV807" s="2904"/>
      <c r="BW807" s="2906"/>
      <c r="BX807" s="2904"/>
      <c r="BY807" s="2904"/>
      <c r="BZ807" s="2905"/>
      <c r="CA807" s="2905"/>
      <c r="CB807" s="2900"/>
      <c r="CC807" s="2900"/>
      <c r="CD807" s="2900"/>
      <c r="CE807" s="2900"/>
      <c r="CF807" s="2900"/>
      <c r="CG807" s="2900"/>
      <c r="CH807" s="2900"/>
      <c r="CI807" s="2900"/>
      <c r="CJ807" s="2900"/>
      <c r="CK807" s="2900"/>
      <c r="CL807" s="2900"/>
      <c r="CM807" s="2900"/>
      <c r="CN807" s="2900"/>
      <c r="CO807" s="2900"/>
      <c r="CP807" s="2900"/>
      <c r="CQ807" s="2900"/>
      <c r="CR807" s="2900"/>
      <c r="CS807" s="2900"/>
      <c r="CT807" s="2900"/>
      <c r="CU807" s="2900"/>
      <c r="CV807" s="2900"/>
      <c r="CW807" s="2900"/>
      <c r="CX807" s="2900"/>
      <c r="CY807" s="2900"/>
      <c r="CZ807" s="2900"/>
      <c r="DA807" s="2900"/>
    </row>
    <row r="808" spans="1:105" s="2901" customFormat="1">
      <c r="A808" s="2894"/>
      <c r="B808" s="3790" t="s">
        <v>741</v>
      </c>
      <c r="C808" s="197">
        <v>7111029</v>
      </c>
      <c r="D808" s="199" t="s">
        <v>910</v>
      </c>
      <c r="E808" s="2907">
        <f>IFERROR(VLOOKUP(C808,'AJE 12 - INC'!$D$168:$F$771,3,0),0)</f>
        <v>1302.24</v>
      </c>
      <c r="F808" s="2908">
        <f>SUMIF('AJE 12 - INC'!B:B,'New TB INC'!C808,'AJE 12 - INC'!D:D)</f>
        <v>0</v>
      </c>
      <c r="G808" s="2908"/>
      <c r="H808" s="2908"/>
      <c r="I808" s="2908"/>
      <c r="J808" s="2909">
        <f t="shared" si="82"/>
        <v>1302.24</v>
      </c>
      <c r="K808" s="4501"/>
      <c r="L808" s="2898"/>
      <c r="M808" s="2910"/>
      <c r="N808" s="2900">
        <v>102.3</v>
      </c>
      <c r="O808" s="2900">
        <v>102.3</v>
      </c>
      <c r="P808" s="2900">
        <v>102.29999999999997</v>
      </c>
      <c r="Q808" s="2900">
        <v>102.3</v>
      </c>
      <c r="R808" s="2901">
        <v>102.30000000000003</v>
      </c>
      <c r="S808" s="2900">
        <v>102.29999999999994</v>
      </c>
      <c r="T808" s="2901">
        <v>52.670000000000144</v>
      </c>
      <c r="U808" s="2902">
        <v>102.29999999999984</v>
      </c>
      <c r="V808" s="2903">
        <v>102.30000000000007</v>
      </c>
      <c r="W808" s="2903">
        <v>102.29999999999995</v>
      </c>
      <c r="X808" s="2903">
        <v>102.30000000000007</v>
      </c>
      <c r="Y808" s="2903">
        <v>102.29999999999995</v>
      </c>
      <c r="Z808" s="2900">
        <f>'[26]New TB INC'!Z747</f>
        <v>108.52</v>
      </c>
      <c r="AA808" s="2900">
        <f>'[27]New TB INC'!AA759</f>
        <v>108.52</v>
      </c>
      <c r="AB808" s="11">
        <f>'[28]New TB INC'!AB766</f>
        <v>108.52000000000001</v>
      </c>
      <c r="AC808" s="11">
        <f>'[29]New TB INC'!AC762</f>
        <v>108.51999999999998</v>
      </c>
      <c r="AD808" s="11">
        <f>'[30]New TB INC'!AD761</f>
        <v>108.52000000000004</v>
      </c>
      <c r="AE808" s="11">
        <f>'[31]New TB INC'!AE769</f>
        <v>108.51999999999998</v>
      </c>
      <c r="AF808" s="11">
        <v>108.51999999999998</v>
      </c>
      <c r="AG808" s="11">
        <v>108.51999999999998</v>
      </c>
      <c r="AH808" s="11">
        <v>108.51999999999998</v>
      </c>
      <c r="AI808" s="11">
        <v>108.5200000000001</v>
      </c>
      <c r="AJ808" s="11">
        <v>108.51999999999998</v>
      </c>
      <c r="AK808" s="11">
        <f>$J808-SUM($Z808:AJ808)</f>
        <v>108.51999999999998</v>
      </c>
      <c r="AL808" s="11"/>
      <c r="AM808" s="11"/>
      <c r="AN808" s="11"/>
      <c r="AO808" s="11"/>
      <c r="AP808" s="11"/>
      <c r="AQ808" s="11"/>
      <c r="AR808" s="11"/>
      <c r="AS808" s="2900"/>
      <c r="AT808" s="2900"/>
      <c r="AU808" s="2900"/>
      <c r="AW808" s="2903"/>
      <c r="BE808" s="2902"/>
      <c r="BF808" s="2902"/>
      <c r="BG808" s="2902"/>
      <c r="BH808" s="2902"/>
      <c r="BI808" s="2902"/>
      <c r="BJ808" s="2902"/>
      <c r="BK808" s="2902"/>
      <c r="BM808" s="2900"/>
      <c r="BN808" s="2913"/>
      <c r="BO808" s="2904"/>
      <c r="BP808" s="2905"/>
      <c r="BQ808" s="2904"/>
      <c r="BR808" s="2904"/>
      <c r="BS808" s="2904"/>
      <c r="BT808" s="2904"/>
      <c r="BU808" s="2904"/>
      <c r="BV808" s="2904"/>
      <c r="BW808" s="2906"/>
      <c r="BX808" s="2904"/>
      <c r="BY808" s="2904"/>
      <c r="BZ808" s="2905"/>
      <c r="CA808" s="2905"/>
      <c r="CB808" s="2900"/>
      <c r="CC808" s="2900"/>
      <c r="CD808" s="2900"/>
      <c r="CE808" s="2900"/>
      <c r="CF808" s="2900"/>
      <c r="CG808" s="2900"/>
      <c r="CH808" s="2900"/>
      <c r="CI808" s="2900"/>
      <c r="CJ808" s="2900"/>
      <c r="CK808" s="2900"/>
      <c r="CL808" s="2900"/>
      <c r="CM808" s="2900"/>
      <c r="CN808" s="2900"/>
      <c r="CO808" s="2900"/>
      <c r="CP808" s="2900"/>
      <c r="CQ808" s="2900"/>
      <c r="CR808" s="2900"/>
      <c r="CS808" s="2900"/>
      <c r="CT808" s="2900"/>
      <c r="CU808" s="2900"/>
      <c r="CV808" s="2900"/>
      <c r="CW808" s="2900"/>
      <c r="CX808" s="2900"/>
      <c r="CY808" s="2900"/>
      <c r="CZ808" s="2900"/>
      <c r="DA808" s="2900"/>
    </row>
    <row r="809" spans="1:105" s="2901" customFormat="1">
      <c r="A809" s="2894"/>
      <c r="B809" s="3790" t="s">
        <v>741</v>
      </c>
      <c r="C809" s="197">
        <v>7111030</v>
      </c>
      <c r="D809" s="199" t="s">
        <v>1976</v>
      </c>
      <c r="E809" s="2907">
        <f>IFERROR(VLOOKUP(C809,'AJE 12 - INC'!$D$168:$F$771,3,0),0)</f>
        <v>0</v>
      </c>
      <c r="F809" s="2908">
        <f>SUMIF('AJE 12 - INC'!B:B,'New TB INC'!C809,'AJE 12 - INC'!D:D)</f>
        <v>0</v>
      </c>
      <c r="G809" s="2908"/>
      <c r="H809" s="2908"/>
      <c r="I809" s="2908"/>
      <c r="J809" s="2909">
        <f t="shared" si="82"/>
        <v>0</v>
      </c>
      <c r="K809" s="4501"/>
      <c r="L809" s="2898"/>
      <c r="M809" s="2910"/>
      <c r="N809" s="2900">
        <v>0</v>
      </c>
      <c r="O809" s="2900">
        <v>0</v>
      </c>
      <c r="P809" s="2900">
        <v>0</v>
      </c>
      <c r="Q809" s="2900">
        <v>0</v>
      </c>
      <c r="R809" s="2901">
        <v>0</v>
      </c>
      <c r="S809" s="2900">
        <v>0</v>
      </c>
      <c r="T809" s="2901">
        <v>0</v>
      </c>
      <c r="U809" s="2902">
        <v>11250</v>
      </c>
      <c r="V809" s="2903">
        <v>-11250</v>
      </c>
      <c r="W809" s="2903">
        <v>0</v>
      </c>
      <c r="X809" s="2903">
        <v>0</v>
      </c>
      <c r="Y809" s="2903">
        <v>0</v>
      </c>
      <c r="Z809" s="2900">
        <f>'[26]New TB INC'!Z748</f>
        <v>32000</v>
      </c>
      <c r="AA809" s="2900">
        <f>'[27]New TB INC'!AA760</f>
        <v>-32000</v>
      </c>
      <c r="AB809" s="11">
        <f>'[28]New TB INC'!AB767</f>
        <v>0</v>
      </c>
      <c r="AC809" s="11">
        <f>'[29]New TB INC'!AC763</f>
        <v>0</v>
      </c>
      <c r="AD809" s="11">
        <f>'[30]New TB INC'!AD762</f>
        <v>0</v>
      </c>
      <c r="AE809" s="11">
        <f>'[31]New TB INC'!AE770</f>
        <v>27303.1</v>
      </c>
      <c r="AF809" s="11">
        <v>28000</v>
      </c>
      <c r="AG809" s="11">
        <v>-55303.1</v>
      </c>
      <c r="AH809" s="11">
        <v>0</v>
      </c>
      <c r="AI809" s="11">
        <v>0</v>
      </c>
      <c r="AJ809" s="11">
        <v>0</v>
      </c>
      <c r="AK809" s="11">
        <f>$J809-SUM($Z809:AJ809)</f>
        <v>0</v>
      </c>
      <c r="AL809" s="11"/>
      <c r="AM809" s="11"/>
      <c r="AN809" s="11"/>
      <c r="AO809" s="11"/>
      <c r="AP809" s="11"/>
      <c r="AQ809" s="11"/>
      <c r="AR809" s="11"/>
      <c r="AS809" s="2900"/>
      <c r="AT809" s="2900"/>
      <c r="AU809" s="2900" t="s">
        <v>3349</v>
      </c>
      <c r="AV809" s="2901" t="s">
        <v>3268</v>
      </c>
      <c r="AW809" s="2903"/>
      <c r="BE809" s="2902"/>
      <c r="BF809" s="2902"/>
      <c r="BG809" s="2902"/>
      <c r="BH809" s="2902"/>
      <c r="BI809" s="2902"/>
      <c r="BJ809" s="2902"/>
      <c r="BK809" s="2902"/>
      <c r="BM809" s="2900"/>
      <c r="BO809" s="2904"/>
      <c r="BP809" s="2905"/>
      <c r="BQ809" s="2904"/>
      <c r="BR809" s="2904"/>
      <c r="BS809" s="2904"/>
      <c r="BT809" s="2904"/>
      <c r="BU809" s="2904"/>
      <c r="BV809" s="2904"/>
      <c r="BW809" s="2906"/>
      <c r="BX809" s="2904"/>
      <c r="BY809" s="2904"/>
      <c r="BZ809" s="2905"/>
      <c r="CA809" s="2905"/>
      <c r="CB809" s="2900"/>
      <c r="CC809" s="2900"/>
      <c r="CD809" s="2900"/>
      <c r="CE809" s="2900"/>
      <c r="CF809" s="2900"/>
      <c r="CG809" s="2900"/>
      <c r="CH809" s="2900"/>
      <c r="CI809" s="2900"/>
      <c r="CJ809" s="2900"/>
      <c r="CK809" s="2900"/>
      <c r="CL809" s="2900"/>
      <c r="CM809" s="2900"/>
      <c r="CN809" s="2900"/>
      <c r="CO809" s="2900"/>
      <c r="CP809" s="2900"/>
      <c r="CQ809" s="2900"/>
      <c r="CR809" s="2900"/>
      <c r="CS809" s="2900"/>
      <c r="CT809" s="2900"/>
      <c r="CU809" s="2900"/>
      <c r="CV809" s="2900"/>
      <c r="CW809" s="2900"/>
      <c r="CX809" s="2900"/>
      <c r="CY809" s="2900"/>
      <c r="CZ809" s="2900"/>
      <c r="DA809" s="2900"/>
    </row>
    <row r="810" spans="1:105" s="773" customFormat="1">
      <c r="A810" s="780"/>
      <c r="B810" s="3790" t="s">
        <v>741</v>
      </c>
      <c r="C810" s="197">
        <v>7111050</v>
      </c>
      <c r="D810" s="199" t="s">
        <v>914</v>
      </c>
      <c r="E810" s="798">
        <f>IFERROR(VLOOKUP(C810,'AJE 12 - INC'!$D$168:$F$771,3,0),0)</f>
        <v>3069.61</v>
      </c>
      <c r="F810" s="108">
        <f>SUMIF('AJE 12 - INC'!B:B,'New TB INC'!C810,'AJE 12 - INC'!D:D)</f>
        <v>0</v>
      </c>
      <c r="G810" s="108"/>
      <c r="H810" s="108"/>
      <c r="I810" s="108"/>
      <c r="J810" s="859">
        <f t="shared" si="82"/>
        <v>3069.61</v>
      </c>
      <c r="K810" s="4501"/>
      <c r="L810" s="434"/>
      <c r="M810" s="810"/>
      <c r="N810" s="11">
        <v>232.33</v>
      </c>
      <c r="O810" s="11">
        <v>-74.350000000000023</v>
      </c>
      <c r="P810" s="11">
        <v>68.06</v>
      </c>
      <c r="Q810" s="11">
        <v>78.400000000000006</v>
      </c>
      <c r="R810" s="773">
        <v>86.160000000000025</v>
      </c>
      <c r="S810" s="11">
        <v>63.629999999999967</v>
      </c>
      <c r="T810" s="773">
        <v>68.899999999999977</v>
      </c>
      <c r="U810" s="2173">
        <v>97.289999999999964</v>
      </c>
      <c r="V810" s="2509">
        <v>83.5</v>
      </c>
      <c r="W810" s="2509">
        <v>82.460000000000036</v>
      </c>
      <c r="X810" s="2509">
        <v>109.28999999999996</v>
      </c>
      <c r="Y810" s="2509">
        <v>65.139999999999986</v>
      </c>
      <c r="Z810" s="11">
        <f>'[26]New TB INC'!Z775</f>
        <v>331.99</v>
      </c>
      <c r="AA810" s="11">
        <f>'[27]New TB INC'!AA761</f>
        <v>484.6</v>
      </c>
      <c r="AB810" s="11">
        <f>'[28]New TB INC'!AB768</f>
        <v>155.33999999999992</v>
      </c>
      <c r="AC810" s="11">
        <f>'[29]New TB INC'!AC764</f>
        <v>245.95000000000016</v>
      </c>
      <c r="AD810" s="11">
        <f>'[30]New TB INC'!AD763</f>
        <v>230.39999999999986</v>
      </c>
      <c r="AE810" s="11">
        <f>'[31]New TB INC'!AE771</f>
        <v>167.79999999999995</v>
      </c>
      <c r="AF810" s="11">
        <v>192.92000000000007</v>
      </c>
      <c r="AG810" s="11">
        <v>368.25</v>
      </c>
      <c r="AH810" s="11">
        <v>176.05000000000018</v>
      </c>
      <c r="AI810" s="11">
        <v>219.81999999999971</v>
      </c>
      <c r="AJ810" s="11">
        <v>301.84999999999991</v>
      </c>
      <c r="AK810" s="11">
        <f>$J810-SUM($Z810:AJ810)</f>
        <v>194.64000000000033</v>
      </c>
      <c r="AL810" s="11"/>
      <c r="AM810" s="11"/>
      <c r="AN810" s="11"/>
      <c r="AO810" s="11"/>
      <c r="AP810" s="11"/>
      <c r="AQ810" s="11"/>
      <c r="AR810" s="11"/>
      <c r="AS810" s="11"/>
      <c r="AT810" s="11"/>
      <c r="AU810" s="11"/>
      <c r="AW810" s="2509"/>
      <c r="BE810" s="2173"/>
      <c r="BF810" s="2173"/>
      <c r="BG810" s="2173"/>
      <c r="BH810" s="2173"/>
      <c r="BI810" s="2173"/>
      <c r="BJ810" s="2173"/>
      <c r="BK810" s="2173"/>
      <c r="BO810" s="209"/>
      <c r="BP810" s="209"/>
      <c r="BQ810" s="209"/>
      <c r="BR810" s="209"/>
      <c r="BS810" s="209"/>
      <c r="BT810" s="209"/>
      <c r="BU810" s="209"/>
      <c r="BV810" s="209"/>
      <c r="BW810" s="820"/>
      <c r="BX810" s="209"/>
      <c r="BY810" s="209"/>
      <c r="BZ810" s="799"/>
      <c r="CA810" s="799"/>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row>
    <row r="811" spans="1:105" s="773" customFormat="1">
      <c r="A811" s="780"/>
      <c r="B811" s="3790" t="s">
        <v>741</v>
      </c>
      <c r="C811" s="197">
        <v>7111051</v>
      </c>
      <c r="D811" s="199" t="s">
        <v>2035</v>
      </c>
      <c r="E811" s="798">
        <f>IFERROR(VLOOKUP(C811,'AJE 12 - INC'!$D$168:$F$771,3,0),0)</f>
        <v>0</v>
      </c>
      <c r="F811" s="779">
        <f>SUMIF('AJE 12 - INC'!B:B,'New TB INC'!C811,'AJE 12 - INC'!D:D)</f>
        <v>0</v>
      </c>
      <c r="G811" s="108"/>
      <c r="H811" s="779"/>
      <c r="I811" s="779"/>
      <c r="J811" s="2920">
        <f t="shared" si="82"/>
        <v>0</v>
      </c>
      <c r="K811" s="4501"/>
      <c r="L811" s="434"/>
      <c r="M811" s="810"/>
      <c r="N811" s="11">
        <v>0</v>
      </c>
      <c r="O811" s="11">
        <v>0</v>
      </c>
      <c r="P811" s="11">
        <v>0</v>
      </c>
      <c r="Q811" s="11">
        <v>0</v>
      </c>
      <c r="R811" s="773">
        <v>0</v>
      </c>
      <c r="S811" s="11">
        <v>0</v>
      </c>
      <c r="T811" s="773">
        <v>0</v>
      </c>
      <c r="U811" s="2173">
        <v>0</v>
      </c>
      <c r="V811" s="2509">
        <v>0</v>
      </c>
      <c r="W811" s="2509">
        <v>0</v>
      </c>
      <c r="X811" s="2509">
        <v>0</v>
      </c>
      <c r="Y811" s="2509">
        <v>0</v>
      </c>
      <c r="Z811" s="11">
        <f>'[26]New TB INC'!Z776</f>
        <v>0</v>
      </c>
      <c r="AA811" s="11">
        <f>'[27]New TB INC'!AA762</f>
        <v>0</v>
      </c>
      <c r="AB811" s="11">
        <f>'[28]New TB INC'!AB769</f>
        <v>0</v>
      </c>
      <c r="AC811" s="11">
        <f>'[29]New TB INC'!AC765</f>
        <v>0</v>
      </c>
      <c r="AD811" s="11">
        <f>'[30]New TB INC'!AD764</f>
        <v>0</v>
      </c>
      <c r="AE811" s="11">
        <f>'[31]New TB INC'!AE772</f>
        <v>0</v>
      </c>
      <c r="AF811" s="11">
        <v>0</v>
      </c>
      <c r="AG811" s="11">
        <v>0</v>
      </c>
      <c r="AH811" s="11">
        <v>0</v>
      </c>
      <c r="AI811" s="11">
        <v>0</v>
      </c>
      <c r="AJ811" s="11">
        <v>0</v>
      </c>
      <c r="AK811" s="11">
        <f>$J811-SUM($Z811:AJ811)</f>
        <v>0</v>
      </c>
      <c r="AL811" s="11"/>
      <c r="AM811" s="11"/>
      <c r="AN811" s="11"/>
      <c r="AO811" s="11"/>
      <c r="AP811" s="11"/>
      <c r="AQ811" s="11"/>
      <c r="AR811" s="11"/>
      <c r="AS811" s="11"/>
      <c r="AT811" s="11"/>
      <c r="AU811" s="11"/>
      <c r="AW811" s="2509"/>
      <c r="BE811" s="2173"/>
      <c r="BF811" s="2173"/>
      <c r="BG811" s="2173"/>
      <c r="BH811" s="2173"/>
      <c r="BI811" s="2173"/>
      <c r="BJ811" s="2173"/>
      <c r="BK811" s="2173"/>
      <c r="BO811" s="209"/>
      <c r="BP811" s="209"/>
      <c r="BQ811" s="209"/>
      <c r="BR811" s="209"/>
      <c r="BS811" s="209"/>
      <c r="BT811" s="209"/>
      <c r="BU811" s="209"/>
      <c r="BV811" s="209"/>
      <c r="BW811" s="820"/>
      <c r="BX811" s="209"/>
      <c r="BY811" s="209"/>
      <c r="BZ811" s="799"/>
      <c r="CA811" s="799"/>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row>
    <row r="812" spans="1:105" s="2901" customFormat="1" ht="13.5" thickBot="1">
      <c r="A812" s="2894"/>
      <c r="B812" s="3791" t="s">
        <v>741</v>
      </c>
      <c r="C812" s="2889">
        <v>7111032</v>
      </c>
      <c r="D812" s="2890" t="s">
        <v>1518</v>
      </c>
      <c r="E812" s="2915">
        <f>IFERROR(VLOOKUP(C812,'AJE 12 - INC'!$D$168:$F$771,3,0),0)</f>
        <v>0</v>
      </c>
      <c r="F812" s="2916">
        <f>SUMIF('AJE 12 - INC'!B:B,'New TB INC'!C812,'AJE 12 - INC'!D:D)</f>
        <v>0</v>
      </c>
      <c r="G812" s="2916"/>
      <c r="H812" s="2916"/>
      <c r="I812" s="2916"/>
      <c r="J812" s="2917">
        <f t="shared" si="82"/>
        <v>0</v>
      </c>
      <c r="K812" s="4502"/>
      <c r="L812" s="2898"/>
      <c r="M812" s="2910"/>
      <c r="N812" s="2900">
        <v>0</v>
      </c>
      <c r="O812" s="2900">
        <v>0</v>
      </c>
      <c r="P812" s="2900">
        <v>0</v>
      </c>
      <c r="Q812" s="2900">
        <v>0</v>
      </c>
      <c r="R812" s="2901">
        <v>0</v>
      </c>
      <c r="S812" s="2900">
        <v>0</v>
      </c>
      <c r="T812" s="2901">
        <v>0</v>
      </c>
      <c r="U812" s="2902">
        <v>0</v>
      </c>
      <c r="V812" s="2903">
        <v>0</v>
      </c>
      <c r="W812" s="2903">
        <v>0</v>
      </c>
      <c r="X812" s="2903">
        <v>0</v>
      </c>
      <c r="Y812" s="2903">
        <v>0</v>
      </c>
      <c r="Z812" s="2900">
        <f>'[26]New TB INC'!Z750</f>
        <v>0</v>
      </c>
      <c r="AA812" s="2900">
        <f>'[27]New TB INC'!AA763</f>
        <v>0</v>
      </c>
      <c r="AB812" s="11">
        <f>'[28]New TB INC'!AB770</f>
        <v>0</v>
      </c>
      <c r="AC812" s="11">
        <f>'[29]New TB INC'!AC766</f>
        <v>0</v>
      </c>
      <c r="AD812" s="11">
        <f>'[30]New TB INC'!AD765</f>
        <v>0</v>
      </c>
      <c r="AE812" s="11">
        <f>'[31]New TB INC'!AE773</f>
        <v>0</v>
      </c>
      <c r="AF812" s="11">
        <v>0</v>
      </c>
      <c r="AG812" s="11">
        <v>0</v>
      </c>
      <c r="AH812" s="11">
        <v>0</v>
      </c>
      <c r="AI812" s="11">
        <v>0</v>
      </c>
      <c r="AJ812" s="11">
        <v>0</v>
      </c>
      <c r="AK812" s="11">
        <f>$J812-SUM($Z812:AJ812)</f>
        <v>0</v>
      </c>
      <c r="AL812" s="11"/>
      <c r="AM812" s="11"/>
      <c r="AN812" s="11"/>
      <c r="AO812" s="11"/>
      <c r="AP812" s="11"/>
      <c r="AQ812" s="11"/>
      <c r="AR812" s="11"/>
      <c r="AS812" s="2900"/>
      <c r="AT812" s="2900"/>
      <c r="AU812" s="2900"/>
      <c r="AW812" s="2903"/>
      <c r="BE812" s="2902"/>
      <c r="BF812" s="2902"/>
      <c r="BG812" s="2902"/>
      <c r="BH812" s="2902"/>
      <c r="BI812" s="2902"/>
      <c r="BJ812" s="2902"/>
      <c r="BK812" s="2902"/>
      <c r="BM812" s="2900"/>
      <c r="BO812" s="2904"/>
      <c r="BP812" s="2905"/>
      <c r="BQ812" s="2904"/>
      <c r="BR812" s="2904"/>
      <c r="BS812" s="2904"/>
      <c r="BT812" s="2904"/>
      <c r="BU812" s="2904"/>
      <c r="BV812" s="2904"/>
      <c r="BW812" s="2906"/>
      <c r="BX812" s="2904"/>
      <c r="BY812" s="2904"/>
      <c r="BZ812" s="2905"/>
      <c r="CA812" s="2905"/>
      <c r="CB812" s="2900"/>
      <c r="CC812" s="2900"/>
      <c r="CD812" s="2900"/>
      <c r="CE812" s="2900"/>
      <c r="CF812" s="2900"/>
      <c r="CG812" s="2900"/>
      <c r="CH812" s="2900"/>
      <c r="CI812" s="2900"/>
      <c r="CJ812" s="2900"/>
      <c r="CK812" s="2900"/>
      <c r="CL812" s="2900"/>
      <c r="CM812" s="2900"/>
      <c r="CN812" s="2900"/>
      <c r="CO812" s="2900"/>
      <c r="CP812" s="2900"/>
      <c r="CQ812" s="2900"/>
      <c r="CR812" s="2900"/>
      <c r="CS812" s="2900"/>
      <c r="CT812" s="2900"/>
      <c r="CU812" s="2900"/>
      <c r="CV812" s="2900"/>
      <c r="CW812" s="2900"/>
      <c r="CX812" s="2900"/>
      <c r="CY812" s="2900"/>
      <c r="CZ812" s="2900"/>
      <c r="DA812" s="2900"/>
    </row>
    <row r="813" spans="1:105" s="773" customFormat="1" ht="17.25">
      <c r="A813" s="780"/>
      <c r="B813" s="3789" t="s">
        <v>741</v>
      </c>
      <c r="C813" s="2885">
        <v>7130001</v>
      </c>
      <c r="D813" s="2886" t="s">
        <v>1683</v>
      </c>
      <c r="E813" s="2887">
        <f>IFERROR(VLOOKUP(C813,'AJE 12 - INC'!$D$168:$F$771,3,0),0)</f>
        <v>1127649.81</v>
      </c>
      <c r="F813" s="899">
        <f>SUMIF('AJE 12 - INC'!B:B,'New TB INC'!C813,'AJE 12 - INC'!D:D)</f>
        <v>0</v>
      </c>
      <c r="G813" s="899"/>
      <c r="H813" s="899"/>
      <c r="I813" s="899"/>
      <c r="J813" s="2888">
        <f t="shared" si="82"/>
        <v>1127649.81</v>
      </c>
      <c r="K813" s="4500" t="s">
        <v>3355</v>
      </c>
      <c r="L813" s="434"/>
      <c r="M813" s="810"/>
      <c r="N813" s="882">
        <v>96390.15</v>
      </c>
      <c r="O813" s="882">
        <v>99083.34</v>
      </c>
      <c r="P813" s="882">
        <v>99083.340000000026</v>
      </c>
      <c r="Q813" s="882">
        <v>99083.34</v>
      </c>
      <c r="R813" s="882">
        <v>99083.34</v>
      </c>
      <c r="S813" s="11">
        <v>99083.339999999967</v>
      </c>
      <c r="T813" s="773">
        <v>94708.339999999938</v>
      </c>
      <c r="U813" s="2173">
        <v>89500</v>
      </c>
      <c r="V813" s="2509">
        <v>89500</v>
      </c>
      <c r="W813" s="2509">
        <v>89500</v>
      </c>
      <c r="X813" s="2509">
        <v>89500</v>
      </c>
      <c r="Y813" s="2509">
        <v>89500</v>
      </c>
      <c r="Z813" s="11">
        <f>'[26]New TB INC'!Z752</f>
        <v>115352.28</v>
      </c>
      <c r="AA813" s="11">
        <f>'[27]New TB INC'!AA764</f>
        <v>118250</v>
      </c>
      <c r="AB813" s="11">
        <f>'[28]New TB INC'!AB771</f>
        <v>118250.00000000003</v>
      </c>
      <c r="AC813" s="11">
        <f>'[29]New TB INC'!AC767</f>
        <v>111158.64999999997</v>
      </c>
      <c r="AD813" s="11">
        <f>'[30]New TB INC'!AD766</f>
        <v>102625.00000000006</v>
      </c>
      <c r="AE813" s="11">
        <f>'[31]New TB INC'!AE774</f>
        <v>102625</v>
      </c>
      <c r="AF813" s="11">
        <v>97625</v>
      </c>
      <c r="AG813" s="11">
        <v>91555.559999999939</v>
      </c>
      <c r="AH813" s="11">
        <v>79791.660000000033</v>
      </c>
      <c r="AI813" s="11">
        <v>66666.660000000033</v>
      </c>
      <c r="AJ813" s="11">
        <v>65000</v>
      </c>
      <c r="AK813" s="11">
        <f>$J813-SUM($Z813:AJ813)</f>
        <v>58750</v>
      </c>
      <c r="AL813" s="344" t="s">
        <v>4762</v>
      </c>
      <c r="AM813" s="11"/>
      <c r="AN813" s="11"/>
      <c r="AO813" s="3476" t="s">
        <v>4336</v>
      </c>
      <c r="AP813" s="11" t="s">
        <v>4031</v>
      </c>
      <c r="AQ813" s="11" t="s">
        <v>4031</v>
      </c>
      <c r="AR813" s="11" t="s">
        <v>3621</v>
      </c>
      <c r="AS813" s="2629" t="s">
        <v>3621</v>
      </c>
      <c r="AT813" s="11"/>
      <c r="AU813" s="11"/>
      <c r="AV813" s="773" t="s">
        <v>3271</v>
      </c>
      <c r="AW813" s="2509"/>
      <c r="BE813" s="2173"/>
      <c r="BF813" s="2173"/>
      <c r="BG813" s="2173"/>
      <c r="BH813" s="2173"/>
      <c r="BI813" s="2173"/>
      <c r="BJ813" s="2173"/>
      <c r="BK813" s="2173"/>
      <c r="BL813" s="32"/>
      <c r="BM813" s="11"/>
      <c r="BO813" s="209"/>
      <c r="BP813" s="799"/>
      <c r="BQ813" s="209"/>
      <c r="BR813" s="209"/>
      <c r="BS813" s="209"/>
      <c r="BT813" s="209"/>
      <c r="BU813" s="209"/>
      <c r="BV813" s="209"/>
      <c r="BW813" s="820"/>
      <c r="BX813" s="209"/>
      <c r="BY813" s="209"/>
      <c r="BZ813" s="799"/>
      <c r="CA813" s="799"/>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row>
    <row r="814" spans="1:105" s="773" customFormat="1">
      <c r="A814" s="780"/>
      <c r="B814" s="3790" t="s">
        <v>741</v>
      </c>
      <c r="C814" s="197">
        <v>7130002</v>
      </c>
      <c r="D814" s="199" t="s">
        <v>1746</v>
      </c>
      <c r="E814" s="798">
        <f>IFERROR(VLOOKUP(C814,'AJE 12 - INC'!$D$168:$F$771,3,0),0)</f>
        <v>21308.79</v>
      </c>
      <c r="F814" s="108">
        <f>SUMIF('AJE 12 - INC'!B:B,'New TB INC'!C814,'AJE 12 - INC'!D:D)</f>
        <v>0</v>
      </c>
      <c r="G814" s="108"/>
      <c r="H814" s="108"/>
      <c r="I814" s="108"/>
      <c r="J814" s="859">
        <f t="shared" si="82"/>
        <v>21308.79</v>
      </c>
      <c r="K814" s="4501"/>
      <c r="L814" s="434"/>
      <c r="M814" s="810"/>
      <c r="N814" s="11">
        <v>0</v>
      </c>
      <c r="O814" s="884">
        <v>6666</v>
      </c>
      <c r="P814" s="884">
        <v>3333</v>
      </c>
      <c r="Q814" s="884">
        <v>3333</v>
      </c>
      <c r="R814" s="884">
        <v>3333</v>
      </c>
      <c r="S814" s="11">
        <v>3333</v>
      </c>
      <c r="T814" s="773">
        <v>3333</v>
      </c>
      <c r="U814" s="2173">
        <v>3333</v>
      </c>
      <c r="V814" s="2509">
        <v>-7917</v>
      </c>
      <c r="W814" s="2509">
        <v>3333</v>
      </c>
      <c r="X814" s="2509">
        <v>3333</v>
      </c>
      <c r="Y814" s="2509">
        <v>-25413</v>
      </c>
      <c r="Z814" s="11">
        <f>'[26]New TB INC'!Z753</f>
        <v>3333</v>
      </c>
      <c r="AA814" s="11">
        <f>'[27]New TB INC'!AA765</f>
        <v>14514.79</v>
      </c>
      <c r="AB814" s="11">
        <f>'[28]New TB INC'!AB772</f>
        <v>834</v>
      </c>
      <c r="AC814" s="11">
        <f>'[29]New TB INC'!AC768</f>
        <v>2500</v>
      </c>
      <c r="AD814" s="11">
        <f>'[30]New TB INC'!AD767</f>
        <v>2500</v>
      </c>
      <c r="AE814" s="11">
        <f>'[31]New TB INC'!AE775</f>
        <v>2500</v>
      </c>
      <c r="AF814" s="11">
        <v>2500</v>
      </c>
      <c r="AG814" s="11">
        <v>2500</v>
      </c>
      <c r="AH814" s="11">
        <v>2500</v>
      </c>
      <c r="AI814" s="11">
        <v>2500</v>
      </c>
      <c r="AJ814" s="11">
        <v>2500</v>
      </c>
      <c r="AK814" s="11">
        <f>$J814-SUM($Z814:AJ814)</f>
        <v>-17373</v>
      </c>
      <c r="AL814" s="11"/>
      <c r="AM814" s="11"/>
      <c r="AN814" s="11"/>
      <c r="AO814" s="11"/>
      <c r="AP814" s="11"/>
      <c r="AQ814" s="11"/>
      <c r="AR814" s="11"/>
      <c r="AS814" s="11"/>
      <c r="AT814" s="11"/>
      <c r="AU814" s="11"/>
      <c r="AW814" s="2509"/>
      <c r="BE814" s="2173"/>
      <c r="BF814" s="2173"/>
      <c r="BG814" s="2173"/>
      <c r="BH814" s="2173"/>
      <c r="BI814" s="2173"/>
      <c r="BJ814" s="2173"/>
      <c r="BK814" s="2173"/>
      <c r="BM814" s="11"/>
      <c r="BO814" s="209"/>
      <c r="BP814" s="799"/>
      <c r="BQ814" s="209"/>
      <c r="BR814" s="209"/>
      <c r="BS814" s="209"/>
      <c r="BT814" s="209"/>
      <c r="BU814" s="209"/>
      <c r="BV814" s="209"/>
      <c r="BW814" s="820"/>
      <c r="BX814" s="209"/>
      <c r="BY814" s="209"/>
      <c r="BZ814" s="799"/>
      <c r="CA814" s="799"/>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row>
    <row r="815" spans="1:105" s="773" customFormat="1">
      <c r="A815" s="780"/>
      <c r="B815" s="3790" t="s">
        <v>741</v>
      </c>
      <c r="C815" s="197">
        <v>7130004</v>
      </c>
      <c r="D815" s="2522" t="s">
        <v>1684</v>
      </c>
      <c r="E815" s="798">
        <f>IFERROR(VLOOKUP(C815,'AJE 12 - INC'!$D$168:$F$771,3,0),0)</f>
        <v>822463.01</v>
      </c>
      <c r="F815" s="108">
        <f>SUMIF('AJE 12 - INC'!B:B,'New TB INC'!C815,'AJE 12 - INC'!D:D)</f>
        <v>0</v>
      </c>
      <c r="G815" s="108"/>
      <c r="H815" s="108"/>
      <c r="I815" s="108"/>
      <c r="J815" s="859">
        <f t="shared" si="82"/>
        <v>822463.01</v>
      </c>
      <c r="K815" s="4501"/>
      <c r="L815" s="434"/>
      <c r="M815" s="810"/>
      <c r="N815" s="11">
        <v>238121</v>
      </c>
      <c r="O815" s="11">
        <v>22228.329999999987</v>
      </c>
      <c r="P815" s="11">
        <v>27344.000000000029</v>
      </c>
      <c r="Q815" s="11">
        <v>28329</v>
      </c>
      <c r="R815" s="773">
        <v>35616</v>
      </c>
      <c r="S815" s="11">
        <v>67637</v>
      </c>
      <c r="T815" s="2125">
        <v>39677</v>
      </c>
      <c r="U815" s="2125">
        <v>70833.999999999942</v>
      </c>
      <c r="V815" s="2125">
        <v>54492</v>
      </c>
      <c r="W815" s="2523">
        <v>158288</v>
      </c>
      <c r="X815" s="2523">
        <v>33354</v>
      </c>
      <c r="Y815" s="2523">
        <v>23972</v>
      </c>
      <c r="Z815" s="2125">
        <f>'[26]New TB INC'!Z754</f>
        <v>179636</v>
      </c>
      <c r="AA815" s="2125">
        <f>'[27]New TB INC'!AA766</f>
        <v>14153.670000000013</v>
      </c>
      <c r="AB815" s="2125">
        <f>'[28]New TB INC'!AB773</f>
        <v>43243.669999999984</v>
      </c>
      <c r="AC815" s="2125">
        <f>'[29]New TB INC'!AC769</f>
        <v>63606.670000000013</v>
      </c>
      <c r="AD815" s="2125">
        <f>'[30]New TB INC'!AD768</f>
        <v>9803</v>
      </c>
      <c r="AE815" s="2125">
        <f>'[31]New TB INC'!AE776</f>
        <v>19255</v>
      </c>
      <c r="AF815" s="2125">
        <v>96504</v>
      </c>
      <c r="AG815" s="2125">
        <v>101839</v>
      </c>
      <c r="AH815" s="2125">
        <v>41117</v>
      </c>
      <c r="AI815" s="2125">
        <v>21692</v>
      </c>
      <c r="AJ815" s="11">
        <v>65946</v>
      </c>
      <c r="AK815" s="11">
        <f>$J815-SUM($Z815:AJ815)</f>
        <v>165667</v>
      </c>
      <c r="AL815" s="11"/>
      <c r="AM815" s="11"/>
      <c r="AN815" s="2125"/>
      <c r="AO815" s="2125">
        <f>AH813-AI813</f>
        <v>13125</v>
      </c>
      <c r="AP815" s="2125"/>
      <c r="AQ815" s="2125"/>
      <c r="AR815" s="2125"/>
      <c r="AS815" s="2125"/>
      <c r="AT815" s="2125"/>
      <c r="AU815" s="11"/>
      <c r="AW815" s="2509"/>
      <c r="BE815" s="2173"/>
      <c r="BF815" s="2173"/>
      <c r="BG815" s="2173"/>
      <c r="BH815" s="2173"/>
      <c r="BI815" s="2173"/>
      <c r="BJ815" s="2173"/>
      <c r="BK815" s="2173"/>
      <c r="BM815" s="11"/>
      <c r="BO815" s="209"/>
      <c r="BP815" s="799"/>
      <c r="BQ815" s="209"/>
      <c r="BR815" s="209"/>
      <c r="BS815" s="209"/>
      <c r="BT815" s="209"/>
      <c r="BU815" s="209"/>
      <c r="BV815" s="209"/>
      <c r="BW815" s="820"/>
      <c r="BX815" s="209"/>
      <c r="BY815" s="209"/>
      <c r="BZ815" s="799"/>
      <c r="CA815" s="799"/>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row>
    <row r="816" spans="1:105" s="773" customFormat="1">
      <c r="A816" s="780"/>
      <c r="B816" s="3790" t="s">
        <v>741</v>
      </c>
      <c r="C816" s="197">
        <v>7130005</v>
      </c>
      <c r="D816" s="199" t="s">
        <v>2050</v>
      </c>
      <c r="E816" s="798">
        <f>IFERROR(VLOOKUP(C816,'AJE 12 - INC'!$D$168:$F$771,3,0),0)</f>
        <v>-269.83999999999997</v>
      </c>
      <c r="F816" s="108">
        <f>SUMIF('AJE 12 - INC'!B:B,'New TB INC'!C816,'AJE 12 - INC'!D:D)</f>
        <v>0</v>
      </c>
      <c r="G816" s="108"/>
      <c r="H816" s="108"/>
      <c r="I816" s="108"/>
      <c r="J816" s="859">
        <f t="shared" si="82"/>
        <v>-269.83999999999997</v>
      </c>
      <c r="K816" s="4501"/>
      <c r="L816" s="434"/>
      <c r="M816" s="810"/>
      <c r="N816" s="11">
        <v>0</v>
      </c>
      <c r="O816" s="11">
        <v>3500</v>
      </c>
      <c r="P816" s="11">
        <v>0</v>
      </c>
      <c r="Q816" s="11">
        <v>0</v>
      </c>
      <c r="R816" s="773">
        <v>0</v>
      </c>
      <c r="S816" s="11">
        <v>0</v>
      </c>
      <c r="T816" s="773">
        <v>7000</v>
      </c>
      <c r="U816" s="2173">
        <v>0</v>
      </c>
      <c r="V816" s="2509">
        <v>0</v>
      </c>
      <c r="W816" s="2509">
        <v>0</v>
      </c>
      <c r="X816" s="2509">
        <v>0</v>
      </c>
      <c r="Y816" s="2509">
        <v>0</v>
      </c>
      <c r="Z816" s="11">
        <f>'[26]New TB INC'!Z755</f>
        <v>0</v>
      </c>
      <c r="AA816" s="11">
        <f>'[27]New TB INC'!AA767</f>
        <v>-369.84</v>
      </c>
      <c r="AB816" s="11">
        <f>'[28]New TB INC'!AB774</f>
        <v>0</v>
      </c>
      <c r="AC816" s="11">
        <f>'[29]New TB INC'!AC770</f>
        <v>0</v>
      </c>
      <c r="AD816" s="11">
        <f>'[30]New TB INC'!AD769</f>
        <v>0</v>
      </c>
      <c r="AE816" s="11">
        <f>'[31]New TB INC'!AE777</f>
        <v>0</v>
      </c>
      <c r="AF816" s="11">
        <v>0</v>
      </c>
      <c r="AG816" s="11">
        <v>0</v>
      </c>
      <c r="AH816" s="11">
        <v>0</v>
      </c>
      <c r="AI816" s="11">
        <v>0</v>
      </c>
      <c r="AJ816" s="11">
        <v>100</v>
      </c>
      <c r="AK816" s="11">
        <f>$J816-SUM($Z816:AJ816)</f>
        <v>0</v>
      </c>
      <c r="AL816" s="11"/>
      <c r="AM816" s="11"/>
      <c r="AN816" s="11"/>
      <c r="AO816" s="11"/>
      <c r="AP816" s="11"/>
      <c r="AQ816" s="11"/>
      <c r="AR816" s="11"/>
      <c r="AS816" s="11"/>
      <c r="AT816" s="11"/>
      <c r="AU816" s="11"/>
      <c r="AW816" s="2509"/>
      <c r="BE816" s="2173"/>
      <c r="BF816" s="2173"/>
      <c r="BG816" s="2173"/>
      <c r="BH816" s="2173"/>
      <c r="BI816" s="2173"/>
      <c r="BJ816" s="2173"/>
      <c r="BK816" s="2173"/>
      <c r="BM816" s="11"/>
      <c r="BO816" s="209"/>
      <c r="BP816" s="799"/>
      <c r="BQ816" s="209"/>
      <c r="BR816" s="209"/>
      <c r="BS816" s="209"/>
      <c r="BT816" s="209"/>
      <c r="BU816" s="209"/>
      <c r="BV816" s="209"/>
      <c r="BW816" s="820"/>
      <c r="BX816" s="209"/>
      <c r="BY816" s="209"/>
      <c r="BZ816" s="799"/>
      <c r="CA816" s="799"/>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row>
    <row r="817" spans="1:105" s="773" customFormat="1">
      <c r="A817" s="780"/>
      <c r="B817" s="3790" t="s">
        <v>741</v>
      </c>
      <c r="C817" s="197">
        <v>7130007</v>
      </c>
      <c r="D817" s="199" t="s">
        <v>1685</v>
      </c>
      <c r="E817" s="798">
        <f>IFERROR(VLOOKUP(C817,'AJE 12 - INC'!$D$168:$F$771,3,0),0)</f>
        <v>124979.09</v>
      </c>
      <c r="F817" s="108">
        <f>SUMIF('AJE 12 - INC'!B:B,'New TB INC'!C817,'AJE 12 - INC'!D:D)</f>
        <v>0</v>
      </c>
      <c r="G817" s="108"/>
      <c r="H817" s="108"/>
      <c r="I817" s="108"/>
      <c r="J817" s="859">
        <f t="shared" si="82"/>
        <v>124979.09</v>
      </c>
      <c r="K817" s="4501"/>
      <c r="L817" s="434"/>
      <c r="M817" s="810"/>
      <c r="N817" s="11">
        <v>29978.6</v>
      </c>
      <c r="O817" s="11">
        <v>12523.779999999999</v>
      </c>
      <c r="P817" s="11">
        <v>9346.9500000000044</v>
      </c>
      <c r="Q817" s="11">
        <v>9239.3799999999974</v>
      </c>
      <c r="R817" s="773">
        <v>9449.07</v>
      </c>
      <c r="S817" s="11">
        <v>8619.7799999999988</v>
      </c>
      <c r="T817" s="773">
        <v>7410.2600000000093</v>
      </c>
      <c r="U817" s="2173">
        <v>7029.6899999999878</v>
      </c>
      <c r="V817" s="2509">
        <v>4917.8500000000058</v>
      </c>
      <c r="W817" s="2509">
        <v>6579.7599999999948</v>
      </c>
      <c r="X817" s="2509">
        <v>3249.8800000000047</v>
      </c>
      <c r="Y817" s="2509">
        <v>3105.4499999999971</v>
      </c>
      <c r="Z817" s="11">
        <f>'[26]New TB INC'!Z756</f>
        <v>25151.97</v>
      </c>
      <c r="AA817" s="11">
        <f>'[27]New TB INC'!AA768</f>
        <v>14033.86</v>
      </c>
      <c r="AB817" s="11">
        <f>'[28]New TB INC'!AB775</f>
        <v>12993.32</v>
      </c>
      <c r="AC817" s="11">
        <f>'[29]New TB INC'!AC771</f>
        <v>14798.200000000004</v>
      </c>
      <c r="AD817" s="11">
        <f>'[30]New TB INC'!AD770</f>
        <v>8493.929999999993</v>
      </c>
      <c r="AE817" s="11">
        <f>'[31]New TB INC'!AE778</f>
        <v>8605.1699999999983</v>
      </c>
      <c r="AF817" s="11">
        <v>13609</v>
      </c>
      <c r="AG817" s="11">
        <v>9476.8000000000029</v>
      </c>
      <c r="AH817" s="11">
        <v>4552.8699999999953</v>
      </c>
      <c r="AI817" s="11">
        <v>3103.0299999999988</v>
      </c>
      <c r="AJ817" s="11">
        <v>4525.6100000000006</v>
      </c>
      <c r="AK817" s="11">
        <f>$J817-SUM($Z817:AJ817)</f>
        <v>5635.3300000000017</v>
      </c>
      <c r="AL817" s="11"/>
      <c r="AM817" s="11"/>
      <c r="AN817" s="11"/>
      <c r="AO817" s="11"/>
      <c r="AP817" s="11"/>
      <c r="AQ817" s="11"/>
      <c r="AR817" s="11"/>
      <c r="AS817" s="11"/>
      <c r="AT817" s="11"/>
      <c r="AU817" s="11"/>
      <c r="AW817" s="2509"/>
      <c r="BE817" s="2173"/>
      <c r="BF817" s="2173"/>
      <c r="BG817" s="2173"/>
      <c r="BH817" s="2173"/>
      <c r="BI817" s="2173"/>
      <c r="BJ817" s="2173"/>
      <c r="BK817" s="2173"/>
      <c r="BO817" s="209"/>
      <c r="BP817" s="799"/>
      <c r="BQ817" s="209"/>
      <c r="BR817" s="209"/>
      <c r="BS817" s="209"/>
      <c r="BT817" s="209"/>
      <c r="BU817" s="209"/>
      <c r="BV817" s="209"/>
      <c r="BW817" s="820"/>
      <c r="BX817" s="209"/>
      <c r="BY817" s="209"/>
      <c r="BZ817" s="799"/>
      <c r="CA817" s="799"/>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row>
    <row r="818" spans="1:105" s="773" customFormat="1">
      <c r="A818" s="780"/>
      <c r="B818" s="3790" t="s">
        <v>741</v>
      </c>
      <c r="C818" s="197">
        <v>7131004</v>
      </c>
      <c r="D818" s="199" t="s">
        <v>1686</v>
      </c>
      <c r="E818" s="798">
        <f>IFERROR(VLOOKUP(C818,'AJE 12 - INC'!$D$168:$F$771,3,0),0)</f>
        <v>3494.23</v>
      </c>
      <c r="F818" s="108">
        <f>SUMIF('AJE 12 - INC'!B:B,'New TB INC'!C818,'AJE 12 - INC'!D:D)</f>
        <v>0</v>
      </c>
      <c r="G818" s="108"/>
      <c r="H818" s="108"/>
      <c r="I818" s="108"/>
      <c r="J818" s="859">
        <f t="shared" si="82"/>
        <v>3494.23</v>
      </c>
      <c r="K818" s="4501"/>
      <c r="L818" s="434"/>
      <c r="M818" s="810"/>
      <c r="N818" s="11">
        <v>768.57</v>
      </c>
      <c r="O818" s="11">
        <v>-90.300000000000068</v>
      </c>
      <c r="P818" s="11">
        <v>123.86000000000001</v>
      </c>
      <c r="Q818" s="11">
        <v>494.05000000000007</v>
      </c>
      <c r="R818" s="773">
        <v>144.36999999999989</v>
      </c>
      <c r="S818" s="11">
        <v>201.30999999999995</v>
      </c>
      <c r="T818" s="773">
        <v>165.88000000000034</v>
      </c>
      <c r="U818" s="2173">
        <v>153.30999999999972</v>
      </c>
      <c r="V818" s="2509">
        <v>191.68000000000006</v>
      </c>
      <c r="W818" s="2509">
        <v>229.07999999999993</v>
      </c>
      <c r="X818" s="2509">
        <v>127.26999999999998</v>
      </c>
      <c r="Y818" s="2509">
        <v>127.7800000000002</v>
      </c>
      <c r="Z818" s="11">
        <f>'[26]New TB INC'!Z757</f>
        <v>349.16</v>
      </c>
      <c r="AA818" s="11">
        <f>'[27]New TB INC'!AA769</f>
        <v>296.33999999999997</v>
      </c>
      <c r="AB818" s="11">
        <f>'[28]New TB INC'!AB776</f>
        <v>296.32000000000005</v>
      </c>
      <c r="AC818" s="11">
        <f>'[29]New TB INC'!AC772</f>
        <v>376.50999999999988</v>
      </c>
      <c r="AD818" s="11">
        <f>'[30]New TB INC'!AD771</f>
        <v>236.57000000000016</v>
      </c>
      <c r="AE818" s="11">
        <f>'[31]New TB INC'!AE779</f>
        <v>281.15999999999985</v>
      </c>
      <c r="AF818" s="11">
        <v>404.28999999999996</v>
      </c>
      <c r="AG818" s="11">
        <v>335.5</v>
      </c>
      <c r="AH818" s="11">
        <v>291.34999999999991</v>
      </c>
      <c r="AI818" s="11">
        <v>193.03999999999996</v>
      </c>
      <c r="AJ818" s="11">
        <v>204.10000000000036</v>
      </c>
      <c r="AK818" s="11">
        <f>$J818-SUM($Z818:AJ818)</f>
        <v>229.88999999999987</v>
      </c>
      <c r="AL818" s="11"/>
      <c r="AM818" s="11"/>
      <c r="AN818" s="11"/>
      <c r="AO818" s="11"/>
      <c r="AP818" s="11"/>
      <c r="AQ818" s="11"/>
      <c r="AR818" s="11"/>
      <c r="AS818" s="11"/>
      <c r="AT818" s="11"/>
      <c r="AU818" s="11"/>
      <c r="AW818" s="2509"/>
      <c r="BE818" s="2173"/>
      <c r="BF818" s="2173"/>
      <c r="BG818" s="2173"/>
      <c r="BH818" s="2173"/>
      <c r="BI818" s="2173"/>
      <c r="BJ818" s="2173"/>
      <c r="BK818" s="2173"/>
      <c r="BM818" s="11"/>
      <c r="BO818" s="209"/>
      <c r="BP818" s="799"/>
      <c r="BQ818" s="209"/>
      <c r="BR818" s="209"/>
      <c r="BS818" s="209"/>
      <c r="BT818" s="209"/>
      <c r="BU818" s="209"/>
      <c r="BV818" s="209"/>
      <c r="BW818" s="820"/>
      <c r="BX818" s="209"/>
      <c r="BY818" s="209"/>
      <c r="BZ818" s="799"/>
      <c r="CA818" s="799"/>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row>
    <row r="819" spans="1:105" s="773" customFormat="1">
      <c r="A819" s="780"/>
      <c r="B819" s="3790" t="s">
        <v>741</v>
      </c>
      <c r="C819" s="197">
        <v>7131007</v>
      </c>
      <c r="D819" s="199" t="s">
        <v>1747</v>
      </c>
      <c r="E819" s="798">
        <f>IFERROR(VLOOKUP(C819,'AJE 12 - INC'!$D$168:$F$771,3,0),0)</f>
        <v>6154</v>
      </c>
      <c r="F819" s="108">
        <f>SUMIF('AJE 12 - INC'!B:B,'New TB INC'!C819,'AJE 12 - INC'!D:D)</f>
        <v>0</v>
      </c>
      <c r="G819" s="108"/>
      <c r="H819" s="108"/>
      <c r="I819" s="108"/>
      <c r="J819" s="859">
        <f t="shared" si="82"/>
        <v>6154</v>
      </c>
      <c r="K819" s="4501"/>
      <c r="L819" s="434"/>
      <c r="M819" s="810"/>
      <c r="N819" s="11">
        <v>0</v>
      </c>
      <c r="O819" s="11">
        <v>0</v>
      </c>
      <c r="P819" s="11">
        <v>0</v>
      </c>
      <c r="Q819" s="11">
        <v>0</v>
      </c>
      <c r="R819" s="773">
        <v>0</v>
      </c>
      <c r="S819" s="11">
        <v>0</v>
      </c>
      <c r="T819" s="773">
        <v>0</v>
      </c>
      <c r="U819" s="2173">
        <v>0</v>
      </c>
      <c r="V819" s="2509">
        <v>0</v>
      </c>
      <c r="W819" s="2509">
        <v>0</v>
      </c>
      <c r="X819" s="2509">
        <v>0</v>
      </c>
      <c r="Y819" s="2509">
        <v>0</v>
      </c>
      <c r="Z819" s="11">
        <f>'[26]New TB INC'!Z758</f>
        <v>0</v>
      </c>
      <c r="AA819" s="11">
        <f>'[27]New TB INC'!AA770</f>
        <v>0</v>
      </c>
      <c r="AB819" s="11">
        <f>'[28]New TB INC'!AB777</f>
        <v>0</v>
      </c>
      <c r="AC819" s="11">
        <f>'[29]New TB INC'!AC773</f>
        <v>0</v>
      </c>
      <c r="AD819" s="11">
        <f>'[30]New TB INC'!AD772</f>
        <v>0</v>
      </c>
      <c r="AE819" s="11">
        <f>'[31]New TB INC'!AE780</f>
        <v>0</v>
      </c>
      <c r="AF819" s="11">
        <v>0</v>
      </c>
      <c r="AG819" s="11">
        <v>0</v>
      </c>
      <c r="AH819" s="11">
        <v>0</v>
      </c>
      <c r="AI819" s="11">
        <v>0</v>
      </c>
      <c r="AJ819" s="11">
        <v>6154</v>
      </c>
      <c r="AK819" s="11">
        <f>$J819-SUM($Z819:AJ819)</f>
        <v>0</v>
      </c>
      <c r="AL819" s="11"/>
      <c r="AM819" s="11"/>
      <c r="AN819" s="11"/>
      <c r="AO819" s="11"/>
      <c r="AP819" s="11"/>
      <c r="AQ819" s="11"/>
      <c r="AR819" s="11"/>
      <c r="AS819" s="11"/>
      <c r="AT819" s="11"/>
      <c r="AU819" s="11"/>
      <c r="AW819" s="2509"/>
      <c r="BE819" s="2173"/>
      <c r="BF819" s="2173"/>
      <c r="BG819" s="2173"/>
      <c r="BH819" s="2173"/>
      <c r="BI819" s="2173"/>
      <c r="BJ819" s="2173"/>
      <c r="BK819" s="2173"/>
      <c r="BM819" s="11"/>
      <c r="BO819" s="209"/>
      <c r="BP819" s="209"/>
      <c r="BQ819" s="209"/>
      <c r="BR819" s="209"/>
      <c r="BS819" s="209"/>
      <c r="BT819" s="209"/>
      <c r="BU819" s="209"/>
      <c r="BV819" s="209"/>
      <c r="BW819" s="820"/>
      <c r="BX819" s="209"/>
      <c r="BY819" s="209"/>
      <c r="BZ819" s="799"/>
      <c r="CA819" s="799"/>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row>
    <row r="820" spans="1:105" s="773" customFormat="1">
      <c r="A820" s="780"/>
      <c r="B820" s="3790" t="s">
        <v>741</v>
      </c>
      <c r="C820" s="197">
        <v>7131018</v>
      </c>
      <c r="D820" s="199" t="s">
        <v>1687</v>
      </c>
      <c r="E820" s="798">
        <f>IFERROR(VLOOKUP(C820,'AJE 12 - INC'!$D$168:$F$771,3,0),0)</f>
        <v>82716.12</v>
      </c>
      <c r="F820" s="108">
        <f>SUMIF('AJE 12 - INC'!B:B,'New TB INC'!C820,'AJE 12 - INC'!D:D)</f>
        <v>0</v>
      </c>
      <c r="G820" s="108"/>
      <c r="H820" s="108"/>
      <c r="I820" s="108"/>
      <c r="J820" s="859">
        <f t="shared" si="82"/>
        <v>82716.12</v>
      </c>
      <c r="K820" s="4501"/>
      <c r="L820" s="434"/>
      <c r="M820" s="810"/>
      <c r="N820" s="11">
        <v>6518.7</v>
      </c>
      <c r="O820" s="11">
        <v>6518.7</v>
      </c>
      <c r="P820" s="11">
        <v>6147.1600000000008</v>
      </c>
      <c r="Q820" s="11">
        <v>9862.5</v>
      </c>
      <c r="R820" s="773">
        <v>8004.8299999999981</v>
      </c>
      <c r="S820" s="11">
        <v>8004.8300000000054</v>
      </c>
      <c r="T820" s="773">
        <v>8004.8300000000017</v>
      </c>
      <c r="U820" s="2173">
        <v>7664.7799999999988</v>
      </c>
      <c r="V820" s="2509">
        <v>7664.7799999999988</v>
      </c>
      <c r="W820" s="2509">
        <v>7664.7799999999988</v>
      </c>
      <c r="X820" s="2509">
        <v>7664.7799999999988</v>
      </c>
      <c r="Y820" s="2509">
        <v>7664.7799999999988</v>
      </c>
      <c r="Z820" s="11">
        <f>'[26]New TB INC'!Z759</f>
        <v>8381.27</v>
      </c>
      <c r="AA820" s="11">
        <f>'[27]New TB INC'!AA771</f>
        <v>9264.73</v>
      </c>
      <c r="AB820" s="11">
        <f>'[28]New TB INC'!AB778</f>
        <v>8823</v>
      </c>
      <c r="AC820" s="11">
        <f>'[29]New TB INC'!AC774</f>
        <v>8823</v>
      </c>
      <c r="AD820" s="11">
        <f>'[30]New TB INC'!AD773</f>
        <v>9308.0999999999985</v>
      </c>
      <c r="AE820" s="11">
        <f>'[31]New TB INC'!AE781</f>
        <v>4456.9599999999991</v>
      </c>
      <c r="AF820" s="11">
        <v>6882.5299999999988</v>
      </c>
      <c r="AG820" s="11">
        <v>6882.5300000000061</v>
      </c>
      <c r="AH820" s="11">
        <v>7367.6299999999974</v>
      </c>
      <c r="AI820" s="11">
        <v>2516.4900000000052</v>
      </c>
      <c r="AJ820" s="11">
        <v>4942.0599999999977</v>
      </c>
      <c r="AK820" s="11">
        <f>$J820-SUM($Z820:AJ820)</f>
        <v>5067.8199999999924</v>
      </c>
      <c r="AL820" s="11"/>
      <c r="AM820" s="11"/>
      <c r="AN820" s="11"/>
      <c r="AO820" s="11"/>
      <c r="AP820" s="11"/>
      <c r="AQ820" s="11"/>
      <c r="AR820" s="11"/>
      <c r="AS820" s="11"/>
      <c r="AT820" s="11"/>
      <c r="AU820" s="11"/>
      <c r="AW820" s="2509"/>
      <c r="BE820" s="2173"/>
      <c r="BF820" s="2173"/>
      <c r="BG820" s="2173"/>
      <c r="BH820" s="2173"/>
      <c r="BI820" s="2173"/>
      <c r="BJ820" s="2173"/>
      <c r="BK820" s="2173"/>
      <c r="BM820" s="11"/>
      <c r="BO820" s="209"/>
      <c r="BP820" s="799"/>
      <c r="BQ820" s="209"/>
      <c r="BR820" s="209"/>
      <c r="BS820" s="209"/>
      <c r="BT820" s="209"/>
      <c r="BU820" s="209"/>
      <c r="BV820" s="209"/>
      <c r="BW820" s="820"/>
      <c r="BX820" s="209"/>
      <c r="BY820" s="209"/>
      <c r="BZ820" s="799"/>
      <c r="CA820" s="799"/>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row>
    <row r="821" spans="1:105" s="773" customFormat="1">
      <c r="A821" s="780"/>
      <c r="B821" s="3790" t="s">
        <v>741</v>
      </c>
      <c r="C821" s="197">
        <v>7131019</v>
      </c>
      <c r="D821" s="199" t="s">
        <v>1688</v>
      </c>
      <c r="E821" s="798">
        <f>IFERROR(VLOOKUP(C821,'AJE 12 - INC'!$D$168:$F$771,3,0),0)</f>
        <v>5994.2</v>
      </c>
      <c r="F821" s="108">
        <f>SUMIF('AJE 12 - INC'!B:B,'New TB INC'!C821,'AJE 12 - INC'!D:D)</f>
        <v>0</v>
      </c>
      <c r="G821" s="108"/>
      <c r="H821" s="108"/>
      <c r="I821" s="108"/>
      <c r="J821" s="859">
        <f t="shared" si="82"/>
        <v>5994.2</v>
      </c>
      <c r="K821" s="4501"/>
      <c r="L821" s="434"/>
      <c r="M821" s="810"/>
      <c r="N821" s="11">
        <v>434.7</v>
      </c>
      <c r="O821" s="11">
        <v>434.7</v>
      </c>
      <c r="P821" s="11">
        <v>434.69999999999987</v>
      </c>
      <c r="Q821" s="11">
        <v>623.26</v>
      </c>
      <c r="R821" s="773">
        <v>437.94000000000028</v>
      </c>
      <c r="S821" s="11">
        <v>528.98000000000025</v>
      </c>
      <c r="T821" s="773">
        <v>272.33999999999992</v>
      </c>
      <c r="U821" s="2173">
        <v>497.02999999999929</v>
      </c>
      <c r="V821" s="2509">
        <v>553.45000000000027</v>
      </c>
      <c r="W821" s="2509">
        <v>505.08999999999924</v>
      </c>
      <c r="X821" s="2509">
        <v>505.09000000000015</v>
      </c>
      <c r="Y821" s="2509">
        <v>505.09000000000015</v>
      </c>
      <c r="Z821" s="11">
        <f>'[26]New TB INC'!Z760</f>
        <v>535.69000000000005</v>
      </c>
      <c r="AA821" s="11">
        <f>'[27]New TB INC'!AA772</f>
        <v>535.69000000000005</v>
      </c>
      <c r="AB821" s="11">
        <f>'[28]New TB INC'!AB779</f>
        <v>752.72999999999979</v>
      </c>
      <c r="AC821" s="11">
        <f>'[29]New TB INC'!AC775</f>
        <v>644.21000000000026</v>
      </c>
      <c r="AD821" s="11">
        <f>'[30]New TB INC'!AD774</f>
        <v>644.21</v>
      </c>
      <c r="AE821" s="11">
        <f>'[31]New TB INC'!AE782</f>
        <v>427.16999999999962</v>
      </c>
      <c r="AF821" s="11">
        <v>535.69000000000005</v>
      </c>
      <c r="AG821" s="11">
        <v>535.69000000000005</v>
      </c>
      <c r="AH821" s="11">
        <v>535.69000000000051</v>
      </c>
      <c r="AI821" s="11">
        <v>318.64999999999964</v>
      </c>
      <c r="AJ821" s="11">
        <v>210.13000000000011</v>
      </c>
      <c r="AK821" s="11">
        <f>$J821-SUM($Z821:AJ821)</f>
        <v>318.64999999999964</v>
      </c>
      <c r="AL821" s="11"/>
      <c r="AM821" s="11"/>
      <c r="AN821" s="11"/>
      <c r="AO821" s="11"/>
      <c r="AP821" s="11"/>
      <c r="AQ821" s="11"/>
      <c r="AR821" s="11"/>
      <c r="AS821" s="11"/>
      <c r="AT821" s="11"/>
      <c r="AU821" s="11"/>
      <c r="AW821" s="2509"/>
      <c r="BE821" s="2173"/>
      <c r="BF821" s="2173"/>
      <c r="BG821" s="2173"/>
      <c r="BH821" s="2173"/>
      <c r="BI821" s="2173"/>
      <c r="BJ821" s="2173"/>
      <c r="BK821" s="2173"/>
      <c r="BM821" s="11"/>
      <c r="BO821" s="209"/>
      <c r="BP821" s="799"/>
      <c r="BQ821" s="209"/>
      <c r="BR821" s="209"/>
      <c r="BS821" s="209"/>
      <c r="BT821" s="209"/>
      <c r="BU821" s="209"/>
      <c r="BV821" s="209"/>
      <c r="BW821" s="820"/>
      <c r="BX821" s="209"/>
      <c r="BY821" s="209"/>
      <c r="BZ821" s="799"/>
      <c r="CA821" s="799"/>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row>
    <row r="822" spans="1:105" s="773" customFormat="1">
      <c r="A822" s="780"/>
      <c r="B822" s="3790" t="s">
        <v>741</v>
      </c>
      <c r="C822" s="197">
        <v>7130030</v>
      </c>
      <c r="D822" s="199" t="s">
        <v>1856</v>
      </c>
      <c r="E822" s="798">
        <f>IFERROR(VLOOKUP(C822,'AJE 12 - INC'!$D$168:$F$771,3,0),0)</f>
        <v>60098</v>
      </c>
      <c r="F822" s="108">
        <f>SUMIF('AJE 12 - INC'!B:B,'New TB INC'!C822,'AJE 12 - INC'!D:D)</f>
        <v>0</v>
      </c>
      <c r="G822" s="108"/>
      <c r="H822" s="108"/>
      <c r="I822" s="108"/>
      <c r="J822" s="859">
        <f t="shared" si="82"/>
        <v>60098</v>
      </c>
      <c r="K822" s="4501"/>
      <c r="L822" s="434"/>
      <c r="M822" s="810"/>
      <c r="N822" s="11">
        <v>40250</v>
      </c>
      <c r="O822" s="11">
        <v>0</v>
      </c>
      <c r="P822" s="11">
        <v>0</v>
      </c>
      <c r="Q822" s="11">
        <v>0</v>
      </c>
      <c r="R822" s="773">
        <v>0</v>
      </c>
      <c r="S822" s="11">
        <v>0</v>
      </c>
      <c r="T822" s="773">
        <v>0</v>
      </c>
      <c r="U822" s="2173">
        <v>0</v>
      </c>
      <c r="V822" s="2509">
        <v>0</v>
      </c>
      <c r="W822" s="2509">
        <v>0</v>
      </c>
      <c r="X822" s="2509">
        <v>0</v>
      </c>
      <c r="Y822" s="2509">
        <v>0</v>
      </c>
      <c r="Z822" s="11">
        <f>'[26]New TB INC'!Z761</f>
        <v>0</v>
      </c>
      <c r="AA822" s="11">
        <f>'[27]New TB INC'!AA773</f>
        <v>32000</v>
      </c>
      <c r="AB822" s="11">
        <f>'[28]New TB INC'!AB780</f>
        <v>0</v>
      </c>
      <c r="AC822" s="11">
        <f>'[29]New TB INC'!AC776</f>
        <v>0</v>
      </c>
      <c r="AD822" s="11">
        <f>'[30]New TB INC'!AD775</f>
        <v>0</v>
      </c>
      <c r="AE822" s="11">
        <f>'[31]New TB INC'!AE783</f>
        <v>0</v>
      </c>
      <c r="AF822" s="11">
        <v>0</v>
      </c>
      <c r="AG822" s="11">
        <v>0</v>
      </c>
      <c r="AH822" s="11">
        <v>0</v>
      </c>
      <c r="AI822" s="11">
        <v>0</v>
      </c>
      <c r="AJ822" s="11">
        <v>0</v>
      </c>
      <c r="AK822" s="11">
        <f>$J822-SUM($Z822:AJ822)</f>
        <v>28098</v>
      </c>
      <c r="AL822" s="11"/>
      <c r="AM822" s="11"/>
      <c r="AN822" s="11"/>
      <c r="AO822" s="11"/>
      <c r="AP822" s="11"/>
      <c r="AQ822" s="11"/>
      <c r="AR822" s="11"/>
      <c r="AS822" s="11"/>
      <c r="AT822" s="11"/>
      <c r="AU822" s="775" t="s">
        <v>3349</v>
      </c>
      <c r="AW822" s="2509"/>
      <c r="BE822" s="2173"/>
      <c r="BF822" s="2173"/>
      <c r="BG822" s="2173"/>
      <c r="BH822" s="2173"/>
      <c r="BI822" s="2173"/>
      <c r="BJ822" s="2173"/>
      <c r="BK822" s="2173"/>
      <c r="BM822" s="11"/>
      <c r="BO822" s="209"/>
      <c r="BP822" s="799"/>
      <c r="BQ822" s="209"/>
      <c r="BR822" s="209"/>
      <c r="BS822" s="209"/>
      <c r="BT822" s="209"/>
      <c r="BU822" s="209"/>
      <c r="BV822" s="209"/>
      <c r="BW822" s="820"/>
      <c r="BX822" s="209"/>
      <c r="BY822" s="209"/>
      <c r="BZ822" s="799"/>
      <c r="CA822" s="799"/>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row>
    <row r="823" spans="1:105" s="773" customFormat="1" ht="13.5" thickBot="1">
      <c r="A823" s="780"/>
      <c r="B823" s="3791" t="s">
        <v>741</v>
      </c>
      <c r="C823" s="2889">
        <v>7131005</v>
      </c>
      <c r="D823" s="2890" t="s">
        <v>1654</v>
      </c>
      <c r="E823" s="2891">
        <f>IFERROR(VLOOKUP(C823,'AJE 12 - INC'!$D$168:$F$771,3,0),0)</f>
        <v>25852.17</v>
      </c>
      <c r="F823" s="2892">
        <f>SUMIF('AJE 12 - INC'!B:B,'New TB INC'!C823,'AJE 12 - INC'!D:D)</f>
        <v>0</v>
      </c>
      <c r="G823" s="2892"/>
      <c r="H823" s="2892"/>
      <c r="I823" s="2892"/>
      <c r="J823" s="2893">
        <f t="shared" si="82"/>
        <v>25852.17</v>
      </c>
      <c r="K823" s="4502"/>
      <c r="L823" s="434"/>
      <c r="M823" s="810"/>
      <c r="N823" s="11">
        <v>0</v>
      </c>
      <c r="O823" s="11">
        <v>0</v>
      </c>
      <c r="P823" s="11">
        <v>1531.73</v>
      </c>
      <c r="Q823" s="11">
        <v>0</v>
      </c>
      <c r="R823" s="773">
        <v>0</v>
      </c>
      <c r="S823" s="11">
        <v>2128.85</v>
      </c>
      <c r="T823" s="773">
        <v>11057.69</v>
      </c>
      <c r="U823" s="2173">
        <v>0</v>
      </c>
      <c r="V823" s="2509">
        <v>-12487.51</v>
      </c>
      <c r="W823" s="2509">
        <v>0</v>
      </c>
      <c r="X823" s="2509">
        <v>0</v>
      </c>
      <c r="Y823" s="2509">
        <v>2725.9699999999993</v>
      </c>
      <c r="Z823" s="11">
        <f>'[26]New TB INC'!Z762</f>
        <v>0</v>
      </c>
      <c r="AA823" s="11">
        <f>'[27]New TB INC'!AA774</f>
        <v>0</v>
      </c>
      <c r="AB823" s="11">
        <f>'[28]New TB INC'!AB781</f>
        <v>6306.78</v>
      </c>
      <c r="AC823" s="11">
        <f>'[29]New TB INC'!AC777</f>
        <v>11848.560000000001</v>
      </c>
      <c r="AD823" s="11">
        <f>'[30]New TB INC'!AD776</f>
        <v>0</v>
      </c>
      <c r="AE823" s="11">
        <f>'[31]New TB INC'!AE784</f>
        <v>-11579</v>
      </c>
      <c r="AF823" s="11">
        <v>2681.5399999999991</v>
      </c>
      <c r="AG823" s="11">
        <v>5265.6200000000008</v>
      </c>
      <c r="AH823" s="11">
        <v>7338.1500000000015</v>
      </c>
      <c r="AI823" s="11">
        <v>0</v>
      </c>
      <c r="AJ823" s="11">
        <v>11387.689999999995</v>
      </c>
      <c r="AK823" s="11">
        <f>$J823-SUM($Z823:AJ823)</f>
        <v>-7397.1699999999983</v>
      </c>
      <c r="AL823" s="11"/>
      <c r="AM823" s="11"/>
      <c r="AN823" s="11"/>
      <c r="AO823" s="11"/>
      <c r="AP823" s="11"/>
      <c r="AQ823" s="11"/>
      <c r="AR823" s="11"/>
      <c r="AS823" s="11"/>
      <c r="AT823" s="11"/>
      <c r="AU823" s="11"/>
      <c r="AW823" s="2509"/>
      <c r="BE823" s="2173"/>
      <c r="BF823" s="2173"/>
      <c r="BG823" s="2173"/>
      <c r="BH823" s="2173"/>
      <c r="BI823" s="2173"/>
      <c r="BJ823" s="2173"/>
      <c r="BK823" s="2173"/>
      <c r="BM823" s="11"/>
      <c r="BO823" s="209"/>
      <c r="BP823" s="799"/>
      <c r="BQ823" s="209"/>
      <c r="BR823" s="209"/>
      <c r="BS823" s="209"/>
      <c r="BT823" s="209"/>
      <c r="BU823" s="209"/>
      <c r="BV823" s="209"/>
      <c r="BW823" s="820"/>
      <c r="BX823" s="209"/>
      <c r="BY823" s="209"/>
      <c r="BZ823" s="799"/>
      <c r="CA823" s="799"/>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row>
    <row r="824" spans="1:105" s="773" customFormat="1">
      <c r="A824" s="780"/>
      <c r="B824" s="3792" t="s">
        <v>741</v>
      </c>
      <c r="C824" s="603">
        <v>7111043</v>
      </c>
      <c r="D824" s="199" t="s">
        <v>911</v>
      </c>
      <c r="E824" s="798">
        <f>IFERROR(VLOOKUP(C824,'AJE 12 - INC'!$D$168:$F$771,3,0),0)</f>
        <v>0</v>
      </c>
      <c r="F824" s="108">
        <f>SUMIF('AJE 12 - INC'!B:B,'New TB INC'!C824,'AJE 12 - INC'!D:D)</f>
        <v>0</v>
      </c>
      <c r="G824" s="108"/>
      <c r="H824" s="108"/>
      <c r="I824" s="108"/>
      <c r="J824" s="798">
        <f t="shared" si="82"/>
        <v>0</v>
      </c>
      <c r="K824" s="209"/>
      <c r="L824" s="449"/>
      <c r="M824" s="828"/>
      <c r="N824" s="882">
        <v>12500</v>
      </c>
      <c r="O824" s="882">
        <v>15798.029999999999</v>
      </c>
      <c r="P824" s="882">
        <v>12500</v>
      </c>
      <c r="Q824" s="882">
        <v>12500</v>
      </c>
      <c r="R824" s="882">
        <v>12500</v>
      </c>
      <c r="S824" s="11">
        <v>12500</v>
      </c>
      <c r="T824" s="773">
        <v>12500</v>
      </c>
      <c r="U824" s="2173">
        <v>12500</v>
      </c>
      <c r="V824" s="2509">
        <v>12500</v>
      </c>
      <c r="W824" s="2509">
        <v>12500</v>
      </c>
      <c r="X824" s="2509">
        <v>12500</v>
      </c>
      <c r="Y824" s="2509">
        <v>18750</v>
      </c>
      <c r="Z824" s="11">
        <f>'[26]New TB INC'!Z764</f>
        <v>0</v>
      </c>
      <c r="AA824" s="11">
        <f>'[27]New TB INC'!AA775</f>
        <v>0</v>
      </c>
      <c r="AB824" s="11">
        <f>'[28]New TB INC'!AB782</f>
        <v>0</v>
      </c>
      <c r="AC824" s="11">
        <f>'[29]New TB INC'!AC778</f>
        <v>0</v>
      </c>
      <c r="AD824" s="11">
        <f>'[30]New TB INC'!AD777</f>
        <v>0</v>
      </c>
      <c r="AE824" s="11">
        <f>'[31]New TB INC'!AE785</f>
        <v>0</v>
      </c>
      <c r="AF824" s="11">
        <v>0</v>
      </c>
      <c r="AG824" s="11">
        <v>0</v>
      </c>
      <c r="AH824" s="11">
        <v>0</v>
      </c>
      <c r="AI824" s="11">
        <v>0</v>
      </c>
      <c r="AJ824" s="11">
        <v>0</v>
      </c>
      <c r="AK824" s="11">
        <f>$J824-SUM($Z824:AJ824)</f>
        <v>0</v>
      </c>
      <c r="AL824" s="11"/>
      <c r="AM824" s="11"/>
      <c r="AN824" s="11"/>
      <c r="AO824" s="11"/>
      <c r="AP824" s="11"/>
      <c r="AQ824" s="11"/>
      <c r="AR824" s="11"/>
      <c r="AS824" s="11"/>
      <c r="AT824" s="11"/>
      <c r="AU824" s="11"/>
      <c r="AV824" s="773" t="s">
        <v>3269</v>
      </c>
      <c r="AW824" s="2509"/>
      <c r="BE824" s="2173"/>
      <c r="BF824" s="2173"/>
      <c r="BG824" s="2173"/>
      <c r="BH824" s="2173"/>
      <c r="BI824" s="2173"/>
      <c r="BJ824" s="2173"/>
      <c r="BK824" s="2173"/>
      <c r="BM824" s="11"/>
      <c r="BO824" s="209"/>
      <c r="BP824" s="799"/>
      <c r="BQ824" s="209"/>
      <c r="BR824" s="209"/>
      <c r="BS824" s="209"/>
      <c r="BT824" s="209"/>
      <c r="BU824" s="209"/>
      <c r="BV824" s="209"/>
      <c r="BW824" s="820"/>
      <c r="BX824" s="209"/>
      <c r="BY824" s="209"/>
      <c r="BZ824" s="209"/>
      <c r="CA824" s="209"/>
    </row>
    <row r="825" spans="1:105" s="773" customFormat="1">
      <c r="A825" s="780"/>
      <c r="B825" s="3793" t="s">
        <v>741</v>
      </c>
      <c r="C825" s="603">
        <v>7111044</v>
      </c>
      <c r="D825" s="2522" t="s">
        <v>912</v>
      </c>
      <c r="E825" s="798">
        <f>IFERROR(VLOOKUP(C825,'AJE 12 - INC'!$D$168:$F$771,3,0),0)</f>
        <v>4888.76</v>
      </c>
      <c r="F825" s="108">
        <f>SUMIF('AJE 12 - INC'!B:B,'New TB INC'!C825,'AJE 12 - INC'!D:D)</f>
        <v>0</v>
      </c>
      <c r="G825" s="108"/>
      <c r="H825" s="108"/>
      <c r="I825" s="108"/>
      <c r="J825" s="798">
        <f t="shared" si="82"/>
        <v>4888.76</v>
      </c>
      <c r="K825" s="209"/>
      <c r="L825" s="434"/>
      <c r="M825" s="810"/>
      <c r="N825" s="11">
        <v>0</v>
      </c>
      <c r="O825" s="11">
        <v>4503</v>
      </c>
      <c r="P825" s="11">
        <v>4956</v>
      </c>
      <c r="Q825" s="11">
        <v>316</v>
      </c>
      <c r="R825" s="773">
        <v>0</v>
      </c>
      <c r="S825" s="11">
        <v>3407.5400000000009</v>
      </c>
      <c r="T825" s="2125">
        <v>1663</v>
      </c>
      <c r="U825" s="2125">
        <v>0</v>
      </c>
      <c r="V825" s="2125">
        <v>2104.0400000000009</v>
      </c>
      <c r="W825" s="2523">
        <v>27411.83</v>
      </c>
      <c r="X825" s="2523">
        <v>545.40999999999622</v>
      </c>
      <c r="Y825" s="2523">
        <v>41.540000000000873</v>
      </c>
      <c r="Z825" s="2125">
        <f>'[26]New TB INC'!Z765</f>
        <v>0.46</v>
      </c>
      <c r="AA825" s="2125">
        <f>'[27]New TB INC'!AA776</f>
        <v>0</v>
      </c>
      <c r="AB825" s="2125">
        <f>'[28]New TB INC'!AB783</f>
        <v>4888.3</v>
      </c>
      <c r="AC825" s="2125">
        <f>'[29]New TB INC'!AC779</f>
        <v>0</v>
      </c>
      <c r="AD825" s="2125">
        <f>'[30]New TB INC'!AD778</f>
        <v>0</v>
      </c>
      <c r="AE825" s="2125">
        <f>'[31]New TB INC'!AE786</f>
        <v>0</v>
      </c>
      <c r="AF825" s="2125">
        <v>0</v>
      </c>
      <c r="AG825" s="2125">
        <v>0</v>
      </c>
      <c r="AH825" s="2125">
        <v>0</v>
      </c>
      <c r="AI825" s="2125">
        <v>0</v>
      </c>
      <c r="AJ825" s="11">
        <v>0</v>
      </c>
      <c r="AK825" s="11">
        <f>$J825-SUM($Z825:AJ825)</f>
        <v>0</v>
      </c>
      <c r="AL825" s="11"/>
      <c r="AM825" s="11"/>
      <c r="AN825" s="2125"/>
      <c r="AO825" s="2125"/>
      <c r="AP825" s="2125"/>
      <c r="AQ825" s="2125"/>
      <c r="AR825" s="2125"/>
      <c r="AS825" s="2125"/>
      <c r="AT825" s="2125"/>
      <c r="AU825" s="11"/>
      <c r="AW825" s="2509"/>
      <c r="BE825" s="2173"/>
      <c r="BF825" s="2173"/>
      <c r="BG825" s="2173"/>
      <c r="BH825" s="2173"/>
      <c r="BI825" s="2173"/>
      <c r="BJ825" s="2173"/>
      <c r="BK825" s="2173"/>
      <c r="BM825" s="11"/>
      <c r="BO825" s="209"/>
      <c r="BP825" s="799"/>
      <c r="BQ825" s="209"/>
      <c r="BR825" s="209"/>
      <c r="BS825" s="209"/>
      <c r="BT825" s="209"/>
      <c r="BU825" s="209"/>
      <c r="BV825" s="209"/>
      <c r="BW825" s="820"/>
      <c r="BX825" s="209"/>
      <c r="BY825" s="209"/>
      <c r="BZ825" s="799"/>
      <c r="CA825" s="799"/>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row>
    <row r="826" spans="1:105" s="773" customFormat="1">
      <c r="A826" s="780"/>
      <c r="B826" s="3793" t="s">
        <v>1368</v>
      </c>
      <c r="C826" s="603">
        <v>7111047</v>
      </c>
      <c r="D826" s="199" t="s">
        <v>2132</v>
      </c>
      <c r="E826" s="798">
        <f>IFERROR(VLOOKUP(C826,'AJE 12 - INC'!$D$168:$F$771,3,0),0)</f>
        <v>5000</v>
      </c>
      <c r="F826" s="108">
        <f>SUMIF('AJE 12 - INC'!B:B,'New TB INC'!C826,'AJE 12 - INC'!D:D)</f>
        <v>0</v>
      </c>
      <c r="G826" s="108"/>
      <c r="H826" s="108"/>
      <c r="I826" s="108"/>
      <c r="J826" s="798">
        <f t="shared" si="82"/>
        <v>5000</v>
      </c>
      <c r="K826" s="209"/>
      <c r="L826" s="434"/>
      <c r="M826" s="810"/>
      <c r="N826" s="11">
        <v>0</v>
      </c>
      <c r="O826" s="11">
        <v>5000</v>
      </c>
      <c r="P826" s="11">
        <v>0</v>
      </c>
      <c r="Q826" s="11">
        <v>0</v>
      </c>
      <c r="R826" s="773">
        <v>0</v>
      </c>
      <c r="S826" s="11">
        <v>0</v>
      </c>
      <c r="T826" s="773">
        <v>0</v>
      </c>
      <c r="U826" s="2173">
        <v>0</v>
      </c>
      <c r="V826" s="2509">
        <v>0</v>
      </c>
      <c r="W826" s="2509">
        <v>0</v>
      </c>
      <c r="X826" s="2509">
        <v>0</v>
      </c>
      <c r="Y826" s="2509">
        <v>0</v>
      </c>
      <c r="Z826" s="11">
        <f>'[26]New TB INC'!Z766</f>
        <v>0</v>
      </c>
      <c r="AA826" s="11">
        <f>'[27]New TB INC'!AA777</f>
        <v>5000</v>
      </c>
      <c r="AB826" s="11">
        <f>'[28]New TB INC'!AB784</f>
        <v>0</v>
      </c>
      <c r="AC826" s="11">
        <f>'[29]New TB INC'!AC780</f>
        <v>0</v>
      </c>
      <c r="AD826" s="11">
        <f>'[30]New TB INC'!AD779</f>
        <v>0</v>
      </c>
      <c r="AE826" s="11">
        <f>'[31]New TB INC'!AE787</f>
        <v>0</v>
      </c>
      <c r="AF826" s="11">
        <v>0</v>
      </c>
      <c r="AG826" s="11">
        <v>0</v>
      </c>
      <c r="AH826" s="11">
        <v>0</v>
      </c>
      <c r="AI826" s="11">
        <v>0</v>
      </c>
      <c r="AJ826" s="11">
        <v>0</v>
      </c>
      <c r="AK826" s="11">
        <f>$J826-SUM($Z826:AJ826)</f>
        <v>0</v>
      </c>
      <c r="AL826" s="11"/>
      <c r="AM826" s="11"/>
      <c r="AN826" s="11"/>
      <c r="AO826" s="11"/>
      <c r="AP826" s="11"/>
      <c r="AQ826" s="11"/>
      <c r="AR826" s="11"/>
      <c r="AS826" s="11"/>
      <c r="AT826" s="11"/>
      <c r="AU826" s="11" t="s">
        <v>3359</v>
      </c>
      <c r="AW826" s="2509"/>
      <c r="BE826" s="2173"/>
      <c r="BF826" s="2173"/>
      <c r="BG826" s="2173"/>
      <c r="BH826" s="2173"/>
      <c r="BI826" s="2173"/>
      <c r="BJ826" s="2173"/>
      <c r="BK826" s="2173"/>
      <c r="BM826" s="11"/>
      <c r="BO826" s="209"/>
      <c r="BP826" s="799"/>
      <c r="BQ826" s="209"/>
      <c r="BR826" s="209"/>
      <c r="BS826" s="209"/>
      <c r="BT826" s="209"/>
      <c r="BU826" s="209"/>
      <c r="BV826" s="209"/>
      <c r="BW826" s="820"/>
      <c r="BX826" s="209"/>
      <c r="BY826" s="209"/>
      <c r="BZ826" s="799"/>
      <c r="CA826" s="799"/>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row>
    <row r="827" spans="1:105" s="773" customFormat="1" ht="13.5" thickBot="1">
      <c r="A827" s="780"/>
      <c r="B827" s="3794" t="s">
        <v>741</v>
      </c>
      <c r="C827" s="603">
        <v>7111045</v>
      </c>
      <c r="D827" s="199" t="s">
        <v>1374</v>
      </c>
      <c r="E827" s="798">
        <f>IFERROR(VLOOKUP(C827,'AJE 12 - INC'!$D$168:$F$771,3,0),0)</f>
        <v>2825</v>
      </c>
      <c r="F827" s="108">
        <f>SUMIF('AJE 12 - INC'!B:B,'New TB INC'!C827,'AJE 12 - INC'!D:D)</f>
        <v>0</v>
      </c>
      <c r="G827" s="108"/>
      <c r="H827" s="108"/>
      <c r="I827" s="108"/>
      <c r="J827" s="798">
        <f>SUM(E827:I827)</f>
        <v>2825</v>
      </c>
      <c r="K827" s="209"/>
      <c r="L827" s="434"/>
      <c r="M827" s="810"/>
      <c r="N827" s="11">
        <v>0</v>
      </c>
      <c r="O827" s="11">
        <v>0</v>
      </c>
      <c r="P827" s="11">
        <v>2488</v>
      </c>
      <c r="Q827" s="11">
        <v>0</v>
      </c>
      <c r="R827" s="773">
        <v>0</v>
      </c>
      <c r="S827" s="11">
        <v>0</v>
      </c>
      <c r="T827" s="773">
        <v>0</v>
      </c>
      <c r="U827" s="2173">
        <v>0</v>
      </c>
      <c r="V827" s="2509">
        <v>0</v>
      </c>
      <c r="W827" s="2509">
        <v>0</v>
      </c>
      <c r="X827" s="2509">
        <v>0</v>
      </c>
      <c r="Y827" s="2509">
        <v>0</v>
      </c>
      <c r="Z827" s="11">
        <f>'[26]New TB INC'!Z774</f>
        <v>0</v>
      </c>
      <c r="AA827" s="11">
        <f>'[27]New TB INC'!AA783</f>
        <v>2825</v>
      </c>
      <c r="AB827" s="11">
        <f>'[28]New TB INC'!AB790</f>
        <v>0</v>
      </c>
      <c r="AC827" s="11">
        <f>'[29]New TB INC'!AC786</f>
        <v>0</v>
      </c>
      <c r="AD827" s="11">
        <f>'[30]New TB INC'!AD780</f>
        <v>0</v>
      </c>
      <c r="AE827" s="11">
        <f>'[31]New TB INC'!AE788</f>
        <v>0</v>
      </c>
      <c r="AF827" s="11">
        <v>0</v>
      </c>
      <c r="AG827" s="11">
        <v>0</v>
      </c>
      <c r="AH827" s="11">
        <v>0</v>
      </c>
      <c r="AI827" s="11">
        <v>0</v>
      </c>
      <c r="AJ827" s="11">
        <v>0</v>
      </c>
      <c r="AK827" s="11">
        <f>$J827-SUM($Z827:AJ827)</f>
        <v>0</v>
      </c>
      <c r="AL827" s="11"/>
      <c r="AM827" s="11"/>
      <c r="AN827" s="11"/>
      <c r="AO827" s="11"/>
      <c r="AP827" s="11"/>
      <c r="AQ827" s="11"/>
      <c r="AR827" s="11"/>
      <c r="AS827" s="11"/>
      <c r="AT827" s="11"/>
      <c r="AU827" s="11"/>
      <c r="AW827" s="2509"/>
      <c r="BE827" s="2173"/>
      <c r="BF827" s="2173"/>
      <c r="BG827" s="2173"/>
      <c r="BH827" s="2173"/>
      <c r="BI827" s="2173"/>
      <c r="BJ827" s="2173"/>
      <c r="BK827" s="2173"/>
      <c r="BO827" s="209"/>
      <c r="BP827" s="209"/>
      <c r="BQ827" s="209"/>
      <c r="BR827" s="209"/>
      <c r="BS827" s="209"/>
      <c r="BT827" s="209"/>
      <c r="BU827" s="209"/>
      <c r="BV827" s="209"/>
      <c r="BW827" s="820"/>
      <c r="BX827" s="209"/>
      <c r="BY827" s="209"/>
      <c r="BZ827" s="799"/>
      <c r="CA827" s="799"/>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row>
    <row r="828" spans="1:105" s="773" customFormat="1">
      <c r="A828" s="780"/>
      <c r="B828" s="3789" t="s">
        <v>1368</v>
      </c>
      <c r="C828" s="2885">
        <v>7112021</v>
      </c>
      <c r="D828" s="2886" t="s">
        <v>2133</v>
      </c>
      <c r="E828" s="2887">
        <f>IFERROR(VLOOKUP(C828,'AJE 12 - INC'!$D$168:$F$771,3,0),0)</f>
        <v>363439.25</v>
      </c>
      <c r="F828" s="2953">
        <f>SUMIF('AJE 12 - INC'!B:B,'New TB INC'!C828,'AJE 12 - INC'!D:D)</f>
        <v>0</v>
      </c>
      <c r="G828" s="2953"/>
      <c r="H828" s="2953"/>
      <c r="I828" s="899"/>
      <c r="J828" s="2888">
        <f t="shared" ref="J828:J837" si="83">SUM(E828:I828)</f>
        <v>363439.25</v>
      </c>
      <c r="K828" s="4500" t="s">
        <v>4756</v>
      </c>
      <c r="L828" s="434"/>
      <c r="M828" s="469"/>
      <c r="N828" s="11">
        <v>0</v>
      </c>
      <c r="O828" s="882">
        <v>10000</v>
      </c>
      <c r="P828" s="882">
        <v>10000</v>
      </c>
      <c r="Q828" s="882">
        <v>13541.669999999998</v>
      </c>
      <c r="R828" s="882">
        <v>17083.340000000004</v>
      </c>
      <c r="S828" s="11">
        <v>17083.340000000004</v>
      </c>
      <c r="T828" s="773">
        <v>17083.429999999993</v>
      </c>
      <c r="U828" s="2173">
        <v>17083.339999999997</v>
      </c>
      <c r="V828" s="2509">
        <v>17083.340000000011</v>
      </c>
      <c r="W828" s="2509">
        <v>17083.339999999982</v>
      </c>
      <c r="X828" s="2509">
        <v>17083.340000000026</v>
      </c>
      <c r="Y828" s="2509">
        <v>17083.339999999997</v>
      </c>
      <c r="Z828" s="11">
        <f>'[26]New TB INC'!Z778</f>
        <v>17083.34</v>
      </c>
      <c r="AA828" s="11">
        <f>'[27]New TB INC'!AA785</f>
        <v>17083.34</v>
      </c>
      <c r="AB828" s="11">
        <f>'[28]New TB INC'!AB792</f>
        <v>25275.64</v>
      </c>
      <c r="AC828" s="11">
        <f>'[29]New TB INC'!AC788</f>
        <v>32083.340000000004</v>
      </c>
      <c r="AD828" s="11">
        <f>'[30]New TB INC'!AD781</f>
        <v>32083.339999999997</v>
      </c>
      <c r="AE828" s="11">
        <f>'[31]New TB INC'!AE789</f>
        <v>32083.339999999997</v>
      </c>
      <c r="AF828" s="11">
        <v>32083.339999999997</v>
      </c>
      <c r="AG828" s="11">
        <v>32083.339999999997</v>
      </c>
      <c r="AH828" s="11">
        <v>32083.339999999997</v>
      </c>
      <c r="AI828" s="11">
        <v>32083.340000000026</v>
      </c>
      <c r="AJ828" s="11">
        <v>41008.339999999967</v>
      </c>
      <c r="AK828" s="11">
        <f>$J828-SUM($Z828:AJ828)</f>
        <v>38405.210000000021</v>
      </c>
      <c r="AL828" s="11"/>
      <c r="AM828" s="11"/>
      <c r="AN828" s="11" t="s">
        <v>4530</v>
      </c>
      <c r="AO828" s="11"/>
      <c r="AP828" s="11"/>
      <c r="AQ828" s="11"/>
      <c r="AR828" s="11"/>
      <c r="AS828" s="11" t="s">
        <v>3433</v>
      </c>
      <c r="AT828" s="11" t="s">
        <v>3433</v>
      </c>
      <c r="AU828" s="11"/>
      <c r="AW828" s="2509"/>
      <c r="BE828" s="2173"/>
      <c r="BF828" s="2173"/>
      <c r="BG828" s="2173"/>
      <c r="BH828" s="2173"/>
      <c r="BI828" s="2173"/>
      <c r="BJ828" s="2173"/>
      <c r="BK828" s="2173"/>
      <c r="BO828" s="209"/>
      <c r="BP828" s="209"/>
      <c r="BQ828" s="209"/>
      <c r="BR828" s="209"/>
      <c r="BS828" s="209"/>
      <c r="BT828" s="209"/>
      <c r="BU828" s="209"/>
      <c r="BV828" s="209"/>
      <c r="BW828" s="820"/>
      <c r="BX828" s="209"/>
      <c r="BY828" s="209"/>
      <c r="BZ828" s="799"/>
      <c r="CA828" s="799"/>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row>
    <row r="829" spans="1:105" s="773" customFormat="1">
      <c r="A829" s="780"/>
      <c r="B829" s="3790" t="s">
        <v>1368</v>
      </c>
      <c r="C829" s="197">
        <v>7112022</v>
      </c>
      <c r="D829" s="199" t="s">
        <v>2134</v>
      </c>
      <c r="E829" s="798">
        <f>IFERROR(VLOOKUP(C829,'AJE 12 - INC'!$D$168:$F$771,3,0),0)</f>
        <v>37271.910000000003</v>
      </c>
      <c r="F829" s="108">
        <f>SUMIF('AJE 12 - INC'!B:B,'New TB INC'!C829,'AJE 12 - INC'!D:D)</f>
        <v>0</v>
      </c>
      <c r="G829" s="108"/>
      <c r="H829" s="108"/>
      <c r="I829" s="108"/>
      <c r="J829" s="859">
        <f t="shared" si="83"/>
        <v>37271.910000000003</v>
      </c>
      <c r="K829" s="4501"/>
      <c r="L829" s="434"/>
      <c r="M829" s="810"/>
      <c r="N829" s="11">
        <v>0</v>
      </c>
      <c r="O829" s="11">
        <v>1245.1300000000001</v>
      </c>
      <c r="P829" s="11">
        <v>1203.08</v>
      </c>
      <c r="Q829" s="11">
        <v>1635.1799999999998</v>
      </c>
      <c r="R829" s="773">
        <v>1623.1600000000003</v>
      </c>
      <c r="S829" s="11">
        <v>2734.86</v>
      </c>
      <c r="T829" s="773">
        <v>2167.8399999999988</v>
      </c>
      <c r="U829" s="2173">
        <v>2181.5200000000023</v>
      </c>
      <c r="V829" s="2509">
        <v>1858.6000000000004</v>
      </c>
      <c r="W829" s="2509">
        <v>2715.2499999999982</v>
      </c>
      <c r="X829" s="2509">
        <v>2084.2700000000004</v>
      </c>
      <c r="Y829" s="2509">
        <v>1447.9099999999999</v>
      </c>
      <c r="Z829" s="11">
        <f>'[26]New TB INC'!Z779</f>
        <v>3991.5</v>
      </c>
      <c r="AA829" s="11">
        <f>'[27]New TB INC'!AA786</f>
        <v>2770.96</v>
      </c>
      <c r="AB829" s="11">
        <f>'[28]New TB INC'!AB793</f>
        <v>4341.0999999999995</v>
      </c>
      <c r="AC829" s="11">
        <f>'[29]New TB INC'!AC789</f>
        <v>4016.1100000000006</v>
      </c>
      <c r="AD829" s="11">
        <f>'[30]New TB INC'!AD782</f>
        <v>2602.1400000000012</v>
      </c>
      <c r="AE829" s="11">
        <f>'[31]New TB INC'!AE790</f>
        <v>2974.7199999999975</v>
      </c>
      <c r="AF829" s="11">
        <v>2785.7400000000016</v>
      </c>
      <c r="AG829" s="11">
        <v>3241.7099999999991</v>
      </c>
      <c r="AH829" s="11">
        <v>2538.6000000000022</v>
      </c>
      <c r="AI829" s="11">
        <v>3055.16</v>
      </c>
      <c r="AJ829" s="11">
        <v>2657.8499999999949</v>
      </c>
      <c r="AK829" s="11">
        <f>$J829-SUM($Z829:AJ829)</f>
        <v>2296.320000000007</v>
      </c>
      <c r="AL829" s="11"/>
      <c r="AM829" s="11"/>
      <c r="AN829" s="11"/>
      <c r="AO829" s="11"/>
      <c r="AP829" s="11"/>
      <c r="AQ829" s="11"/>
      <c r="AR829" s="11"/>
      <c r="AS829" s="11"/>
      <c r="AT829" s="11"/>
      <c r="AU829" s="11"/>
      <c r="AW829" s="2509"/>
      <c r="BE829" s="2173"/>
      <c r="BF829" s="2173"/>
      <c r="BG829" s="2173"/>
      <c r="BH829" s="2173"/>
      <c r="BI829" s="2173"/>
      <c r="BJ829" s="2173"/>
      <c r="BK829" s="2173"/>
      <c r="BO829" s="209"/>
      <c r="BP829" s="209"/>
      <c r="BQ829" s="209"/>
      <c r="BR829" s="209"/>
      <c r="BS829" s="209"/>
      <c r="BT829" s="209"/>
      <c r="BU829" s="209"/>
      <c r="BV829" s="209"/>
      <c r="BW829" s="820"/>
      <c r="BX829" s="209"/>
      <c r="BY829" s="209"/>
      <c r="BZ829" s="799"/>
      <c r="CA829" s="799"/>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row>
    <row r="830" spans="1:105" s="773" customFormat="1">
      <c r="A830" s="780"/>
      <c r="B830" s="3790" t="s">
        <v>741</v>
      </c>
      <c r="C830" s="197">
        <v>7112031</v>
      </c>
      <c r="D830" s="199" t="s">
        <v>3202</v>
      </c>
      <c r="E830" s="798">
        <f>IFERROR(VLOOKUP(C830,'AJE 12 - INC'!$D$168:$F$771,3,0),0)</f>
        <v>3600</v>
      </c>
      <c r="F830" s="108">
        <f>SUMIF('AJE 12 - INC'!B:B,'New TB INC'!C830,'AJE 12 - INC'!D:D)</f>
        <v>0</v>
      </c>
      <c r="G830" s="108"/>
      <c r="H830" s="108"/>
      <c r="I830" s="108"/>
      <c r="J830" s="859">
        <f t="shared" si="83"/>
        <v>3600</v>
      </c>
      <c r="K830" s="4501"/>
      <c r="L830" s="434"/>
      <c r="M830" s="810"/>
      <c r="N830" s="11">
        <v>0</v>
      </c>
      <c r="O830" s="11">
        <v>0</v>
      </c>
      <c r="P830" s="11">
        <v>0</v>
      </c>
      <c r="Q830" s="11">
        <v>0</v>
      </c>
      <c r="R830" s="773">
        <v>0</v>
      </c>
      <c r="S830" s="11">
        <v>0</v>
      </c>
      <c r="T830" s="773">
        <v>0</v>
      </c>
      <c r="U830" s="2173">
        <v>0</v>
      </c>
      <c r="V830" s="2509">
        <v>0</v>
      </c>
      <c r="W830" s="2509">
        <v>0</v>
      </c>
      <c r="X830" s="2509">
        <v>0</v>
      </c>
      <c r="Y830" s="2509">
        <v>10000</v>
      </c>
      <c r="Z830" s="11">
        <f>'[26]New TB INC'!Z780</f>
        <v>0</v>
      </c>
      <c r="AA830" s="11">
        <f>'[27]New TB INC'!AA787</f>
        <v>0</v>
      </c>
      <c r="AB830" s="11">
        <f>'[28]New TB INC'!AB794</f>
        <v>-800</v>
      </c>
      <c r="AC830" s="11">
        <f>'[29]New TB INC'!AC790</f>
        <v>0</v>
      </c>
      <c r="AD830" s="11">
        <f>'[30]New TB INC'!AD783</f>
        <v>0</v>
      </c>
      <c r="AE830" s="11">
        <f>'[31]New TB INC'!AE791</f>
        <v>0</v>
      </c>
      <c r="AF830" s="11">
        <v>0</v>
      </c>
      <c r="AG830" s="11">
        <v>0</v>
      </c>
      <c r="AH830" s="11">
        <v>0</v>
      </c>
      <c r="AI830" s="11">
        <v>0</v>
      </c>
      <c r="AJ830" s="11">
        <v>0</v>
      </c>
      <c r="AK830" s="11">
        <f>$J830-SUM($Z830:AJ830)</f>
        <v>4400</v>
      </c>
      <c r="AL830" s="11"/>
      <c r="AM830" s="11"/>
      <c r="AN830" s="11"/>
      <c r="AO830" s="11"/>
      <c r="AP830" s="11"/>
      <c r="AQ830" s="11"/>
      <c r="AR830" s="11"/>
      <c r="AS830" s="11"/>
      <c r="AT830" s="11"/>
      <c r="AU830" s="11"/>
      <c r="AW830" s="2509"/>
      <c r="BE830" s="2173"/>
      <c r="BF830" s="2173"/>
      <c r="BG830" s="2173"/>
      <c r="BH830" s="2173"/>
      <c r="BI830" s="2173"/>
      <c r="BJ830" s="2173"/>
      <c r="BK830" s="2173"/>
      <c r="BO830" s="209"/>
      <c r="BP830" s="209"/>
      <c r="BQ830" s="209"/>
      <c r="BR830" s="209"/>
      <c r="BS830" s="209"/>
      <c r="BT830" s="209"/>
      <c r="BU830" s="209"/>
      <c r="BV830" s="209"/>
      <c r="BW830" s="820"/>
      <c r="BX830" s="209"/>
      <c r="BY830" s="209"/>
      <c r="BZ830" s="799"/>
      <c r="CA830" s="799"/>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row>
    <row r="831" spans="1:105" s="773" customFormat="1">
      <c r="A831" s="780"/>
      <c r="B831" s="3790" t="s">
        <v>1368</v>
      </c>
      <c r="C831" s="197">
        <v>7112023</v>
      </c>
      <c r="D831" s="199" t="s">
        <v>2135</v>
      </c>
      <c r="E831" s="798">
        <f>IFERROR(VLOOKUP(C831,'AJE 12 - INC'!$D$168:$F$771,3,0),0)</f>
        <v>8612.8799999999992</v>
      </c>
      <c r="F831" s="108">
        <f>SUMIF('AJE 12 - INC'!B:B,'New TB INC'!C831,'AJE 12 - INC'!D:D)</f>
        <v>0</v>
      </c>
      <c r="G831" s="108"/>
      <c r="H831" s="108"/>
      <c r="I831" s="108"/>
      <c r="J831" s="859">
        <f t="shared" si="83"/>
        <v>8612.8799999999992</v>
      </c>
      <c r="K831" s="4501"/>
      <c r="L831" s="434"/>
      <c r="M831" s="810"/>
      <c r="N831" s="11">
        <v>0</v>
      </c>
      <c r="O831" s="884">
        <v>834</v>
      </c>
      <c r="P831" s="884">
        <v>417</v>
      </c>
      <c r="Q831" s="884">
        <v>417</v>
      </c>
      <c r="R831" s="884">
        <v>417</v>
      </c>
      <c r="S831" s="11">
        <v>417</v>
      </c>
      <c r="T831" s="773">
        <v>417</v>
      </c>
      <c r="U831" s="2173">
        <v>417</v>
      </c>
      <c r="V831" s="2509">
        <v>4167</v>
      </c>
      <c r="W831" s="2509">
        <v>417</v>
      </c>
      <c r="X831" s="2509">
        <v>417</v>
      </c>
      <c r="Y831" s="2509">
        <v>-8337</v>
      </c>
      <c r="Z831" s="11">
        <f>'[26]New TB INC'!Z781</f>
        <v>417</v>
      </c>
      <c r="AA831" s="11">
        <f>'[27]New TB INC'!AA788</f>
        <v>-1463.12</v>
      </c>
      <c r="AB831" s="11">
        <f>'[28]New TB INC'!AB795</f>
        <v>12916</v>
      </c>
      <c r="AC831" s="11">
        <f>'[29]New TB INC'!AC791</f>
        <v>7745</v>
      </c>
      <c r="AD831" s="11">
        <f>'[30]New TB INC'!AD784</f>
        <v>4583</v>
      </c>
      <c r="AE831" s="11">
        <f>'[31]New TB INC'!AE792</f>
        <v>4583</v>
      </c>
      <c r="AF831" s="11">
        <v>4582.9999999999964</v>
      </c>
      <c r="AG831" s="11">
        <v>4583</v>
      </c>
      <c r="AH831" s="11">
        <v>4583</v>
      </c>
      <c r="AI831" s="11">
        <v>4583</v>
      </c>
      <c r="AJ831" s="11">
        <v>4583</v>
      </c>
      <c r="AK831" s="11">
        <f>$J831-SUM($Z831:AJ831)</f>
        <v>-43083</v>
      </c>
      <c r="AL831" s="11"/>
      <c r="AM831" s="11"/>
      <c r="AN831" s="11"/>
      <c r="AO831" s="11"/>
      <c r="AP831" s="11"/>
      <c r="AQ831" s="11"/>
      <c r="AR831" s="11"/>
      <c r="AS831" s="11"/>
      <c r="AT831" s="11"/>
      <c r="AU831" s="11"/>
      <c r="AW831" s="2509"/>
      <c r="BE831" s="2173"/>
      <c r="BF831" s="2173"/>
      <c r="BG831" s="2173"/>
      <c r="BH831" s="2173"/>
      <c r="BI831" s="2173"/>
      <c r="BJ831" s="2173"/>
      <c r="BK831" s="2173"/>
      <c r="BO831" s="209"/>
      <c r="BP831" s="209"/>
      <c r="BQ831" s="209"/>
      <c r="BR831" s="209"/>
      <c r="BS831" s="209"/>
      <c r="BT831" s="209"/>
      <c r="BU831" s="209"/>
      <c r="BV831" s="209"/>
      <c r="BW831" s="820"/>
      <c r="BX831" s="209"/>
      <c r="BY831" s="209"/>
      <c r="BZ831" s="799"/>
      <c r="CA831" s="799"/>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row>
    <row r="832" spans="1:105" s="773" customFormat="1">
      <c r="A832" s="780"/>
      <c r="B832" s="3790" t="s">
        <v>1368</v>
      </c>
      <c r="C832" s="197">
        <v>7112025</v>
      </c>
      <c r="D832" s="2522" t="s">
        <v>2136</v>
      </c>
      <c r="E832" s="798">
        <f>IFERROR(VLOOKUP(C832,'AJE 12 - INC'!$D$168:$F$771,3,0),0)</f>
        <v>156263</v>
      </c>
      <c r="F832" s="108">
        <f>SUMIF('AJE 12 - INC'!B:B,'New TB INC'!C832,'AJE 12 - INC'!D:D)</f>
        <v>0</v>
      </c>
      <c r="G832" s="108"/>
      <c r="H832" s="108"/>
      <c r="I832" s="108"/>
      <c r="J832" s="859">
        <f t="shared" si="83"/>
        <v>156263</v>
      </c>
      <c r="K832" s="4501"/>
      <c r="L832" s="449"/>
      <c r="M832" s="828"/>
      <c r="N832" s="2125">
        <v>0</v>
      </c>
      <c r="O832" s="2125">
        <v>1458.33</v>
      </c>
      <c r="P832" s="2125">
        <v>1458</v>
      </c>
      <c r="Q832" s="2125">
        <v>2149</v>
      </c>
      <c r="R832" s="2125">
        <v>1188</v>
      </c>
      <c r="S832" s="2125">
        <v>14121</v>
      </c>
      <c r="T832" s="2125">
        <v>8524</v>
      </c>
      <c r="U832" s="2521">
        <v>12197</v>
      </c>
      <c r="V832" s="2523">
        <v>7976</v>
      </c>
      <c r="W832" s="2523">
        <v>19174</v>
      </c>
      <c r="X832" s="2523">
        <v>10926</v>
      </c>
      <c r="Y832" s="2523">
        <v>9626</v>
      </c>
      <c r="Z832" s="2125">
        <f>'[26]New TB INC'!Z782</f>
        <v>19355</v>
      </c>
      <c r="AA832" s="2125">
        <f>'[27]New TB INC'!AA789</f>
        <v>1790</v>
      </c>
      <c r="AB832" s="2125">
        <f>'[28]New TB INC'!AB796</f>
        <v>15601</v>
      </c>
      <c r="AC832" s="2125">
        <f>'[29]New TB INC'!AC792</f>
        <v>15133</v>
      </c>
      <c r="AD832" s="2125">
        <f>'[30]New TB INC'!AD785</f>
        <v>3140</v>
      </c>
      <c r="AE832" s="2125">
        <f>'[31]New TB INC'!AE793</f>
        <v>8011</v>
      </c>
      <c r="AF832" s="2125">
        <v>18331</v>
      </c>
      <c r="AG832" s="2125">
        <v>11501</v>
      </c>
      <c r="AH832" s="2125">
        <v>10126</v>
      </c>
      <c r="AI832" s="2125">
        <v>22405</v>
      </c>
      <c r="AJ832" s="11">
        <v>4790</v>
      </c>
      <c r="AK832" s="11">
        <f>$J832-SUM($Z832:AJ832)</f>
        <v>26080</v>
      </c>
      <c r="AL832" s="11"/>
      <c r="AM832" s="11"/>
      <c r="AN832" s="2125"/>
      <c r="AO832" s="2125"/>
      <c r="AP832" s="2125"/>
      <c r="AQ832" s="2125"/>
      <c r="AR832" s="2125"/>
      <c r="AS832" s="2125"/>
      <c r="AT832" s="2125"/>
      <c r="AU832" s="11"/>
      <c r="AW832" s="2509"/>
      <c r="BE832" s="2173"/>
      <c r="BF832" s="2173"/>
      <c r="BG832" s="2173"/>
      <c r="BH832" s="2173"/>
      <c r="BI832" s="2173"/>
      <c r="BJ832" s="2173"/>
      <c r="BK832" s="2173"/>
      <c r="BO832" s="209"/>
      <c r="BP832" s="209"/>
      <c r="BQ832" s="209"/>
      <c r="BR832" s="209"/>
      <c r="BS832" s="209"/>
      <c r="BT832" s="209"/>
      <c r="BU832" s="209"/>
      <c r="BV832" s="209"/>
      <c r="BW832" s="820"/>
      <c r="BX832" s="209"/>
      <c r="BY832" s="209"/>
      <c r="BZ832" s="799"/>
      <c r="CA832" s="799"/>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row>
    <row r="833" spans="1:208" s="773" customFormat="1">
      <c r="A833" s="780"/>
      <c r="B833" s="3790" t="s">
        <v>2174</v>
      </c>
      <c r="C833" s="197">
        <v>7112028</v>
      </c>
      <c r="D833" s="199" t="s">
        <v>2184</v>
      </c>
      <c r="E833" s="798">
        <f>IFERROR(VLOOKUP(C833,'AJE 12 - INC'!$D$168:$F$771,3,0),0)</f>
        <v>42264.65</v>
      </c>
      <c r="F833" s="108">
        <f>SUMIF('AJE 12 - INC'!B:B,'New TB INC'!C833,'AJE 12 - INC'!D:D)</f>
        <v>0</v>
      </c>
      <c r="G833" s="108"/>
      <c r="H833" s="108"/>
      <c r="I833" s="108"/>
      <c r="J833" s="859">
        <f t="shared" si="83"/>
        <v>42264.65</v>
      </c>
      <c r="K833" s="4501"/>
      <c r="L833" s="434"/>
      <c r="M833" s="810"/>
      <c r="N833" s="11"/>
      <c r="O833" s="11"/>
      <c r="P833" s="11">
        <v>26.35</v>
      </c>
      <c r="Q833" s="11">
        <v>1729.72</v>
      </c>
      <c r="R833" s="773">
        <v>1756.07</v>
      </c>
      <c r="S833" s="11">
        <v>3055.5499999999993</v>
      </c>
      <c r="T833" s="773">
        <v>3055.55</v>
      </c>
      <c r="U833" s="2173">
        <v>3055.5500000000029</v>
      </c>
      <c r="V833" s="2509">
        <v>3055.5499999999993</v>
      </c>
      <c r="W833" s="2509">
        <v>3055.5499999999993</v>
      </c>
      <c r="X833" s="2509">
        <v>3055.5499999999993</v>
      </c>
      <c r="Y833" s="2509">
        <v>3055.5500000000029</v>
      </c>
      <c r="Z833" s="11">
        <f>'[26]New TB INC'!Z783</f>
        <v>3609.63</v>
      </c>
      <c r="AA833" s="11">
        <f>'[27]New TB INC'!AA790</f>
        <v>1277.33</v>
      </c>
      <c r="AB833" s="11">
        <f>'[28]New TB INC'!AB797</f>
        <v>2443.4799999999996</v>
      </c>
      <c r="AC833" s="11">
        <f>'[29]New TB INC'!AC793</f>
        <v>2443.4800000000005</v>
      </c>
      <c r="AD833" s="11">
        <f>'[30]New TB INC'!AD786</f>
        <v>3879.42</v>
      </c>
      <c r="AE833" s="11">
        <f>'[31]New TB INC'!AE794</f>
        <v>3879.4199999999983</v>
      </c>
      <c r="AF833" s="11">
        <v>3879.4200000000019</v>
      </c>
      <c r="AG833" s="11">
        <v>3879.4199999999983</v>
      </c>
      <c r="AH833" s="11">
        <v>3879.4200000000019</v>
      </c>
      <c r="AI833" s="11">
        <v>3879.4200000000019</v>
      </c>
      <c r="AJ833" s="11">
        <v>3394.3199999999997</v>
      </c>
      <c r="AK833" s="11">
        <f>$J833-SUM($Z833:AJ833)</f>
        <v>5819.8899999999994</v>
      </c>
      <c r="AL833" s="11"/>
      <c r="AM833" s="11"/>
      <c r="AN833" s="11"/>
      <c r="AO833" s="11"/>
      <c r="AP833" s="11"/>
      <c r="AQ833" s="11"/>
      <c r="AR833" s="11"/>
      <c r="AS833" s="11"/>
      <c r="AT833" s="11"/>
      <c r="AU833" s="11"/>
      <c r="AW833" s="2509"/>
      <c r="BE833" s="2173"/>
      <c r="BF833" s="2173"/>
      <c r="BG833" s="2173"/>
      <c r="BH833" s="2173"/>
      <c r="BI833" s="2173"/>
      <c r="BJ833" s="2173"/>
      <c r="BK833" s="2173"/>
      <c r="BO833" s="209"/>
      <c r="BP833" s="209"/>
      <c r="BQ833" s="209"/>
      <c r="BR833" s="209"/>
      <c r="BS833" s="209"/>
      <c r="BT833" s="209"/>
      <c r="BU833" s="209"/>
      <c r="BV833" s="209"/>
      <c r="BW833" s="820"/>
      <c r="BX833" s="209"/>
      <c r="BY833" s="209"/>
      <c r="BZ833" s="799"/>
      <c r="CA833" s="799"/>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row>
    <row r="834" spans="1:208" s="773" customFormat="1">
      <c r="A834" s="780"/>
      <c r="B834" s="3790" t="s">
        <v>1368</v>
      </c>
      <c r="C834" s="197">
        <v>7112027</v>
      </c>
      <c r="D834" s="199" t="s">
        <v>4713</v>
      </c>
      <c r="E834" s="798">
        <f>IFERROR(VLOOKUP(C834,'AJE 12 - INC'!$D$168:$F$771,3,0),0)</f>
        <v>2735.17</v>
      </c>
      <c r="F834" s="108">
        <f>SUMIF('AJE 12 - INC'!B:B,'New TB INC'!C834,'AJE 12 - INC'!D:D)</f>
        <v>0</v>
      </c>
      <c r="G834" s="108"/>
      <c r="H834" s="108"/>
      <c r="I834" s="108"/>
      <c r="J834" s="859">
        <f t="shared" ref="J834" si="84">SUM(E834:I834)</f>
        <v>2735.17</v>
      </c>
      <c r="K834" s="4501"/>
      <c r="L834" s="434"/>
      <c r="M834" s="810"/>
      <c r="N834" s="11"/>
      <c r="O834" s="11"/>
      <c r="P834" s="11"/>
      <c r="Q834" s="11"/>
      <c r="S834" s="11"/>
      <c r="U834" s="2173"/>
      <c r="V834" s="2509"/>
      <c r="W834" s="2509"/>
      <c r="X834" s="2509"/>
      <c r="Y834" s="2509"/>
      <c r="Z834" s="11"/>
      <c r="AA834" s="11"/>
      <c r="AB834" s="11"/>
      <c r="AC834" s="11"/>
      <c r="AD834" s="11"/>
      <c r="AE834" s="11"/>
      <c r="AF834" s="11"/>
      <c r="AG834" s="11"/>
      <c r="AH834" s="11"/>
      <c r="AI834" s="11"/>
      <c r="AJ834" s="11"/>
      <c r="AK834" s="11">
        <f>$J834-SUM($Z834:AJ834)</f>
        <v>2735.17</v>
      </c>
      <c r="AL834" s="11"/>
      <c r="AM834" s="11"/>
      <c r="AN834" s="11"/>
      <c r="AO834" s="11"/>
      <c r="AP834" s="11"/>
      <c r="AQ834" s="11"/>
      <c r="AR834" s="11"/>
      <c r="AS834" s="11"/>
      <c r="AT834" s="11"/>
      <c r="AU834" s="11"/>
      <c r="AW834" s="2509"/>
      <c r="BE834" s="2173"/>
      <c r="BF834" s="2173"/>
      <c r="BG834" s="2173"/>
      <c r="BH834" s="2173"/>
      <c r="BI834" s="2173"/>
      <c r="BJ834" s="2173"/>
      <c r="BK834" s="2173"/>
      <c r="BO834" s="209"/>
      <c r="BP834" s="209"/>
      <c r="BQ834" s="209"/>
      <c r="BR834" s="209"/>
      <c r="BS834" s="209"/>
      <c r="BT834" s="209"/>
      <c r="BU834" s="209"/>
      <c r="BV834" s="209"/>
      <c r="BW834" s="820"/>
      <c r="BX834" s="209"/>
      <c r="BY834" s="209"/>
      <c r="BZ834" s="799"/>
      <c r="CA834" s="799"/>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row>
    <row r="835" spans="1:208" s="773" customFormat="1">
      <c r="A835" s="780"/>
      <c r="B835" s="3790" t="s">
        <v>1819</v>
      </c>
      <c r="C835" s="197">
        <v>7123006</v>
      </c>
      <c r="D835" s="199" t="s">
        <v>3593</v>
      </c>
      <c r="E835" s="798">
        <f>IFERROR(VLOOKUP(C835,'AJE 12 - INC'!$D$168:$F$771,3,0),0)</f>
        <v>3729.95</v>
      </c>
      <c r="F835" s="108">
        <f>SUMIF('AJE 12 - INC'!B:B,'New TB INC'!C835,'AJE 12 - INC'!D:D)</f>
        <v>0</v>
      </c>
      <c r="G835" s="108"/>
      <c r="H835" s="108"/>
      <c r="I835" s="108"/>
      <c r="J835" s="859">
        <f>SUM(E835:I835)</f>
        <v>3729.95</v>
      </c>
      <c r="K835" s="4501"/>
      <c r="L835" s="434"/>
      <c r="M835" s="810"/>
      <c r="N835" s="11"/>
      <c r="O835" s="11"/>
      <c r="P835" s="11"/>
      <c r="Q835" s="11"/>
      <c r="S835" s="11"/>
      <c r="U835" s="2173"/>
      <c r="V835" s="2509"/>
      <c r="W835" s="2509"/>
      <c r="X835" s="2509"/>
      <c r="Y835" s="2509"/>
      <c r="Z835" s="11"/>
      <c r="AA835" s="11"/>
      <c r="AB835" s="11"/>
      <c r="AC835" s="11">
        <f>'[29]New TB INC'!AC795</f>
        <v>0</v>
      </c>
      <c r="AD835" s="11">
        <f>'[30]New TB INC'!AD787</f>
        <v>543.16</v>
      </c>
      <c r="AE835" s="11">
        <f>'[31]New TB INC'!AE795</f>
        <v>3026.79</v>
      </c>
      <c r="AF835" s="11">
        <v>160</v>
      </c>
      <c r="AG835" s="11">
        <v>0</v>
      </c>
      <c r="AH835" s="11">
        <v>0</v>
      </c>
      <c r="AI835" s="11">
        <v>0</v>
      </c>
      <c r="AJ835" s="11">
        <v>0</v>
      </c>
      <c r="AK835" s="11">
        <f>$J835-SUM($Z835:AJ835)</f>
        <v>0</v>
      </c>
      <c r="AL835" s="11"/>
      <c r="AM835" s="11"/>
      <c r="AN835" s="11"/>
      <c r="AO835" s="11"/>
      <c r="AP835" s="11"/>
      <c r="AQ835" s="11"/>
      <c r="AR835" s="11"/>
      <c r="AS835" s="11"/>
      <c r="AT835" s="11"/>
      <c r="AU835" s="11"/>
      <c r="AW835" s="2509"/>
      <c r="BE835" s="2173"/>
      <c r="BF835" s="2173"/>
      <c r="BG835" s="2173"/>
      <c r="BH835" s="2173"/>
      <c r="BI835" s="2173"/>
      <c r="BJ835" s="2173"/>
      <c r="BK835" s="2173"/>
      <c r="BO835" s="209"/>
      <c r="BP835" s="209"/>
      <c r="BQ835" s="209"/>
      <c r="BR835" s="209"/>
      <c r="BS835" s="209"/>
      <c r="BT835" s="209"/>
      <c r="BU835" s="209"/>
      <c r="BV835" s="209"/>
      <c r="BW835" s="820"/>
      <c r="BX835" s="209"/>
      <c r="BY835" s="209"/>
      <c r="BZ835" s="799"/>
      <c r="CA835" s="799"/>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row>
    <row r="836" spans="1:208" s="773" customFormat="1">
      <c r="A836" s="780"/>
      <c r="B836" s="3790" t="s">
        <v>2187</v>
      </c>
      <c r="C836" s="197">
        <v>7112029</v>
      </c>
      <c r="D836" s="199" t="s">
        <v>2185</v>
      </c>
      <c r="E836" s="798">
        <f>IFERROR(VLOOKUP(C836,'AJE 12 - INC'!$D$168:$F$771,3,0),0)</f>
        <v>2373.92</v>
      </c>
      <c r="F836" s="108">
        <f>SUMIF('AJE 12 - INC'!B:B,'New TB INC'!C836,'AJE 12 - INC'!D:D)</f>
        <v>0</v>
      </c>
      <c r="G836" s="108"/>
      <c r="H836" s="108"/>
      <c r="I836" s="108"/>
      <c r="J836" s="859">
        <f t="shared" si="83"/>
        <v>2373.92</v>
      </c>
      <c r="K836" s="4501"/>
      <c r="L836" s="434"/>
      <c r="M836" s="810"/>
      <c r="N836" s="11"/>
      <c r="O836" s="11"/>
      <c r="P836" s="11">
        <v>0</v>
      </c>
      <c r="Q836" s="11">
        <v>102.3</v>
      </c>
      <c r="R836" s="773">
        <v>102.3</v>
      </c>
      <c r="S836" s="11">
        <v>167.92999999999995</v>
      </c>
      <c r="T836" s="773">
        <v>86.460000000000036</v>
      </c>
      <c r="U836" s="2173">
        <v>167.92999999999995</v>
      </c>
      <c r="V836" s="2509">
        <v>167.93000000000006</v>
      </c>
      <c r="W836" s="2509">
        <v>167.92999999999995</v>
      </c>
      <c r="X836" s="2509">
        <v>167.93000000000006</v>
      </c>
      <c r="Y836" s="2509">
        <v>167.93000000000006</v>
      </c>
      <c r="Z836" s="11">
        <f>'[26]New TB INC'!Z785</f>
        <v>178.11</v>
      </c>
      <c r="AA836" s="11">
        <f>'[27]New TB INC'!AA792</f>
        <v>106.66999999999996</v>
      </c>
      <c r="AB836" s="11">
        <f>'[28]New TB INC'!AB799</f>
        <v>142.39000000000004</v>
      </c>
      <c r="AC836" s="11">
        <f>'[29]New TB INC'!AC796</f>
        <v>142.38999999999993</v>
      </c>
      <c r="AD836" s="11">
        <f>'[30]New TB INC'!AD788</f>
        <v>211.98000000000002</v>
      </c>
      <c r="AE836" s="11">
        <f>'[31]New TB INC'!AE796</f>
        <v>211.98000000000002</v>
      </c>
      <c r="AF836" s="11">
        <v>211.98000000000002</v>
      </c>
      <c r="AG836" s="11">
        <v>211.98000000000002</v>
      </c>
      <c r="AH836" s="11">
        <v>211.98000000000002</v>
      </c>
      <c r="AI836" s="11">
        <v>211.98000000000002</v>
      </c>
      <c r="AJ836" s="11">
        <v>211.98000000000002</v>
      </c>
      <c r="AK836" s="11">
        <f>$J836-SUM($Z836:AJ836)</f>
        <v>320.5</v>
      </c>
      <c r="AL836" s="11"/>
      <c r="AM836" s="11"/>
      <c r="AN836" s="11"/>
      <c r="AO836" s="11"/>
      <c r="AP836" s="11"/>
      <c r="AQ836" s="11"/>
      <c r="AR836" s="11"/>
      <c r="AS836" s="11"/>
      <c r="AT836" s="11"/>
      <c r="AU836" s="11"/>
      <c r="AW836" s="2509"/>
      <c r="BE836" s="2173"/>
      <c r="BF836" s="2173"/>
      <c r="BG836" s="2173"/>
      <c r="BH836" s="2173"/>
      <c r="BI836" s="2173"/>
      <c r="BJ836" s="2173"/>
      <c r="BK836" s="2173"/>
      <c r="BO836" s="209"/>
      <c r="BP836" s="209"/>
      <c r="BQ836" s="209"/>
      <c r="BR836" s="209"/>
      <c r="BS836" s="209"/>
      <c r="BT836" s="209"/>
      <c r="BU836" s="209"/>
      <c r="BV836" s="209"/>
      <c r="BW836" s="820"/>
      <c r="BX836" s="209"/>
      <c r="BY836" s="209"/>
      <c r="BZ836" s="799"/>
      <c r="CA836" s="799"/>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row>
    <row r="837" spans="1:208" s="773" customFormat="1">
      <c r="A837" s="780"/>
      <c r="B837" s="3790" t="s">
        <v>1368</v>
      </c>
      <c r="C837" s="197">
        <v>7112026</v>
      </c>
      <c r="D837" s="199" t="s">
        <v>2137</v>
      </c>
      <c r="E837" s="798">
        <f>IFERROR(VLOOKUP(C837,'AJE 12 - INC'!$D$168:$F$771,3,0),0)</f>
        <v>987.3</v>
      </c>
      <c r="F837" s="108">
        <f>SUMIF('AJE 12 - INC'!B:B,'New TB INC'!C837,'AJE 12 - INC'!D:D)</f>
        <v>0</v>
      </c>
      <c r="G837" s="108"/>
      <c r="H837" s="108"/>
      <c r="I837" s="108"/>
      <c r="J837" s="859">
        <f t="shared" si="83"/>
        <v>987.3</v>
      </c>
      <c r="K837" s="4501"/>
      <c r="L837" s="434"/>
      <c r="M837" s="810"/>
      <c r="N837" s="11"/>
      <c r="O837" s="11">
        <v>25.35</v>
      </c>
      <c r="P837" s="11">
        <v>0</v>
      </c>
      <c r="Q837" s="11">
        <v>60.300000000000004</v>
      </c>
      <c r="R837" s="773">
        <v>38.369999999999983</v>
      </c>
      <c r="S837" s="11">
        <v>65.53000000000003</v>
      </c>
      <c r="T837" s="773">
        <v>53.78</v>
      </c>
      <c r="U837" s="2173">
        <v>61.499999999999972</v>
      </c>
      <c r="V837" s="2509">
        <v>52.629999999999995</v>
      </c>
      <c r="W837" s="2509">
        <v>76.140000000000043</v>
      </c>
      <c r="X837" s="2509">
        <v>58.829999999999984</v>
      </c>
      <c r="Y837" s="2509">
        <v>56.099999999999966</v>
      </c>
      <c r="Z837" s="11">
        <f>'[26]New TB INC'!Z786</f>
        <v>83.81</v>
      </c>
      <c r="AA837" s="11">
        <f>'[27]New TB INC'!AA793</f>
        <v>61.079999999999984</v>
      </c>
      <c r="AB837" s="11">
        <f>'[28]New TB INC'!AB800</f>
        <v>110.54000000000002</v>
      </c>
      <c r="AC837" s="11">
        <f>'[29]New TB INC'!AC797</f>
        <v>101.50999999999999</v>
      </c>
      <c r="AD837" s="11">
        <f>'[30]New TB INC'!AD789</f>
        <v>69.199999999999989</v>
      </c>
      <c r="AE837" s="11">
        <f>'[31]New TB INC'!AE797</f>
        <v>80.389999999999986</v>
      </c>
      <c r="AF837" s="11">
        <v>79.040000000000077</v>
      </c>
      <c r="AG837" s="11">
        <v>73.479999999999905</v>
      </c>
      <c r="AH837" s="11">
        <v>70.450000000000045</v>
      </c>
      <c r="AI837" s="11">
        <v>89.110000000000014</v>
      </c>
      <c r="AJ837" s="11">
        <v>63.17999999999995</v>
      </c>
      <c r="AK837" s="11">
        <f>$J837-SUM($Z837:AJ837)</f>
        <v>105.50999999999999</v>
      </c>
      <c r="AL837" s="11"/>
      <c r="AM837" s="11"/>
      <c r="AN837" s="11"/>
      <c r="AO837" s="11"/>
      <c r="AP837" s="11"/>
      <c r="AQ837" s="11"/>
      <c r="AR837" s="11"/>
      <c r="AS837" s="11"/>
      <c r="AT837" s="11"/>
      <c r="AU837" s="11"/>
      <c r="AW837" s="2509"/>
      <c r="BE837" s="2173"/>
      <c r="BF837" s="2173"/>
      <c r="BG837" s="2173"/>
      <c r="BH837" s="2173"/>
      <c r="BI837" s="2173"/>
      <c r="BJ837" s="2173"/>
      <c r="BK837" s="2173"/>
      <c r="BO837" s="209"/>
      <c r="BP837" s="209"/>
      <c r="BQ837" s="209"/>
      <c r="BR837" s="209"/>
      <c r="BS837" s="209"/>
      <c r="BT837" s="209"/>
      <c r="BU837" s="209"/>
      <c r="BV837" s="209"/>
      <c r="BW837" s="820"/>
      <c r="BX837" s="209"/>
      <c r="BY837" s="209"/>
      <c r="BZ837" s="799"/>
      <c r="CA837" s="799"/>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row>
    <row r="838" spans="1:208" s="773" customFormat="1">
      <c r="A838" s="780"/>
      <c r="B838" s="3790" t="s">
        <v>1368</v>
      </c>
      <c r="C838" s="197">
        <v>7112030</v>
      </c>
      <c r="D838" s="199" t="s">
        <v>3592</v>
      </c>
      <c r="E838" s="798">
        <f>IFERROR(VLOOKUP(C838,'AJE 12 - INC'!$D$168:$F$771,3,0),0)</f>
        <v>0</v>
      </c>
      <c r="F838" s="108">
        <f>SUMIF('AJE 12 - INC'!B:B,'New TB INC'!C838,'AJE 12 - INC'!D:D)</f>
        <v>0</v>
      </c>
      <c r="G838" s="108"/>
      <c r="H838" s="108"/>
      <c r="I838" s="108"/>
      <c r="J838" s="859">
        <f t="shared" ref="J838:J843" si="85">SUM(E838:I838)</f>
        <v>0</v>
      </c>
      <c r="K838" s="4501"/>
      <c r="L838" s="434"/>
      <c r="M838" s="810"/>
      <c r="N838" s="11"/>
      <c r="O838" s="11">
        <v>0</v>
      </c>
      <c r="P838" s="11">
        <v>0</v>
      </c>
      <c r="Q838" s="11">
        <v>0</v>
      </c>
      <c r="R838" s="773">
        <v>0</v>
      </c>
      <c r="S838" s="11">
        <v>0</v>
      </c>
      <c r="T838" s="773">
        <v>0</v>
      </c>
      <c r="U838" s="2173">
        <v>0</v>
      </c>
      <c r="V838" s="2509">
        <v>0</v>
      </c>
      <c r="W838" s="2509">
        <v>0</v>
      </c>
      <c r="X838" s="2509">
        <v>0</v>
      </c>
      <c r="Y838" s="2509">
        <v>0</v>
      </c>
      <c r="Z838" s="11">
        <f>'[26]New TB INC'!Z787</f>
        <v>0</v>
      </c>
      <c r="AA838" s="11">
        <f>'[27]New TB INC'!AA794</f>
        <v>0</v>
      </c>
      <c r="AB838" s="11">
        <f>'[28]New TB INC'!AB801</f>
        <v>0</v>
      </c>
      <c r="AC838" s="11">
        <f>'[29]New TB INC'!AC798</f>
        <v>0</v>
      </c>
      <c r="AD838" s="11">
        <f>'[30]New TB INC'!AD790</f>
        <v>0</v>
      </c>
      <c r="AE838" s="11">
        <f>'[31]New TB INC'!AE798</f>
        <v>0</v>
      </c>
      <c r="AF838" s="11">
        <v>0</v>
      </c>
      <c r="AG838" s="11">
        <v>0</v>
      </c>
      <c r="AH838" s="11">
        <v>0</v>
      </c>
      <c r="AI838" s="11">
        <v>0</v>
      </c>
      <c r="AJ838" s="11">
        <v>0</v>
      </c>
      <c r="AK838" s="11">
        <f>$J838-SUM($Z838:AJ838)</f>
        <v>0</v>
      </c>
      <c r="AL838" s="11"/>
      <c r="AM838" s="11"/>
      <c r="AN838" s="11"/>
      <c r="AO838" s="11"/>
      <c r="AP838" s="11"/>
      <c r="AQ838" s="11"/>
      <c r="AR838" s="11"/>
      <c r="AS838" s="11"/>
      <c r="AT838" s="11"/>
      <c r="AU838" s="11"/>
      <c r="AW838" s="2509"/>
      <c r="BE838" s="2173"/>
      <c r="BF838" s="2173"/>
      <c r="BG838" s="2173"/>
      <c r="BH838" s="2173"/>
      <c r="BI838" s="2173"/>
      <c r="BJ838" s="2173"/>
      <c r="BK838" s="2173"/>
      <c r="BO838" s="209"/>
      <c r="BP838" s="209"/>
      <c r="BQ838" s="209"/>
      <c r="BR838" s="209"/>
      <c r="BS838" s="209"/>
      <c r="BT838" s="209"/>
      <c r="BU838" s="209"/>
      <c r="BV838" s="209"/>
      <c r="BW838" s="820"/>
      <c r="BX838" s="209"/>
      <c r="BY838" s="209"/>
      <c r="BZ838" s="799"/>
      <c r="CA838" s="799"/>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row>
    <row r="839" spans="1:208" s="11" customFormat="1" ht="13.5" thickBot="1">
      <c r="A839" s="774"/>
      <c r="B839" s="3791" t="s">
        <v>752</v>
      </c>
      <c r="C839" s="2889">
        <v>7112024</v>
      </c>
      <c r="D839" s="2918" t="s">
        <v>2052</v>
      </c>
      <c r="E839" s="2891">
        <f>IFERROR(VLOOKUP(C839,'AJE 12 - INC'!$D$168:$F$771,3,0),0)</f>
        <v>27105</v>
      </c>
      <c r="F839" s="2892">
        <f>SUMIF('AJE 12 - INC'!B:B,'New TB INC'!C839,'AJE 12 - INC'!D:D)</f>
        <v>0</v>
      </c>
      <c r="G839" s="2892"/>
      <c r="H839" s="2892"/>
      <c r="I839" s="2892"/>
      <c r="J839" s="2893">
        <f t="shared" si="85"/>
        <v>27105</v>
      </c>
      <c r="K839" s="4502"/>
      <c r="L839" s="434"/>
      <c r="M839" s="810"/>
      <c r="N839" s="11">
        <v>11.6</v>
      </c>
      <c r="O839" s="11">
        <v>0</v>
      </c>
      <c r="P839" s="11">
        <v>0</v>
      </c>
      <c r="Q839" s="11">
        <v>191.6</v>
      </c>
      <c r="R839" s="773">
        <v>0</v>
      </c>
      <c r="S839" s="11">
        <v>0</v>
      </c>
      <c r="T839" s="773">
        <v>0</v>
      </c>
      <c r="U839" s="2173">
        <v>217</v>
      </c>
      <c r="V839" s="2509">
        <v>30000</v>
      </c>
      <c r="W839" s="2509">
        <v>0</v>
      </c>
      <c r="X839" s="2509">
        <v>0</v>
      </c>
      <c r="Y839" s="2509">
        <v>0</v>
      </c>
      <c r="Z839" s="11">
        <f>'[26]New TB INC'!Z823</f>
        <v>0</v>
      </c>
      <c r="AA839" s="11">
        <f>'[27]New TB INC'!AA831</f>
        <v>0</v>
      </c>
      <c r="AB839" s="11">
        <f>'[28]New TB INC'!AB840</f>
        <v>27105</v>
      </c>
      <c r="AC839" s="11">
        <f>'[29]New TB INC'!AC837</f>
        <v>0</v>
      </c>
      <c r="AD839" s="11">
        <f>'[30]New TB INC'!AD791</f>
        <v>0</v>
      </c>
      <c r="AE839" s="11">
        <f>'[31]New TB INC'!AE799</f>
        <v>0</v>
      </c>
      <c r="AF839" s="11">
        <v>0</v>
      </c>
      <c r="AG839" s="11">
        <v>0</v>
      </c>
      <c r="AH839" s="11">
        <v>0</v>
      </c>
      <c r="AI839" s="11">
        <v>0</v>
      </c>
      <c r="AJ839" s="11">
        <v>0</v>
      </c>
      <c r="AK839" s="11">
        <f>$J839-SUM($Z839:AJ839)</f>
        <v>0</v>
      </c>
      <c r="AT839" s="11" t="s">
        <v>3420</v>
      </c>
      <c r="AW839" s="2509"/>
      <c r="BE839" s="2173"/>
      <c r="BF839" s="2173"/>
      <c r="BG839" s="2173"/>
      <c r="BH839" s="2173"/>
      <c r="BI839" s="2173"/>
      <c r="BJ839" s="2173"/>
      <c r="BK839" s="2173"/>
      <c r="BL839" s="773"/>
      <c r="BN839" s="773"/>
      <c r="BO839" s="209"/>
      <c r="BP839" s="773"/>
      <c r="BQ839" s="773"/>
      <c r="BR839" s="773"/>
      <c r="CH839" s="878"/>
      <c r="CI839" s="4"/>
      <c r="CJ839" s="4"/>
      <c r="DB839" s="773"/>
      <c r="DC839" s="773"/>
      <c r="DD839" s="773"/>
      <c r="DE839" s="773"/>
      <c r="DF839" s="773"/>
      <c r="DG839" s="773"/>
      <c r="DH839" s="773"/>
      <c r="DI839" s="773"/>
      <c r="DJ839" s="773"/>
      <c r="DK839" s="773"/>
      <c r="DL839" s="773"/>
      <c r="DM839" s="773"/>
      <c r="DN839" s="773"/>
      <c r="DO839" s="773"/>
      <c r="DP839" s="773"/>
      <c r="DQ839" s="773"/>
      <c r="DR839" s="773"/>
      <c r="DS839" s="773"/>
      <c r="DT839" s="773"/>
      <c r="DU839" s="773"/>
      <c r="DV839" s="773"/>
      <c r="DW839" s="773"/>
      <c r="DX839" s="773"/>
      <c r="DY839" s="773"/>
      <c r="DZ839" s="773"/>
      <c r="EA839" s="773"/>
      <c r="EB839" s="773"/>
      <c r="EC839" s="773"/>
      <c r="ED839" s="773"/>
      <c r="EE839" s="773"/>
      <c r="EF839" s="773"/>
      <c r="EG839" s="773"/>
      <c r="EH839" s="773"/>
      <c r="EI839" s="773"/>
      <c r="EJ839" s="773"/>
      <c r="EK839" s="773"/>
      <c r="EL839" s="773"/>
      <c r="EM839" s="773"/>
      <c r="EN839" s="773"/>
      <c r="EO839" s="773"/>
      <c r="EP839" s="773"/>
      <c r="EQ839" s="773"/>
      <c r="ER839" s="773"/>
      <c r="ES839" s="773"/>
      <c r="ET839" s="773"/>
      <c r="EU839" s="773"/>
      <c r="EV839" s="773"/>
      <c r="EW839" s="773"/>
      <c r="EX839" s="773"/>
      <c r="EY839" s="773"/>
      <c r="EZ839" s="773"/>
      <c r="FA839" s="773"/>
      <c r="FB839" s="773"/>
      <c r="FC839" s="773"/>
      <c r="FD839" s="773"/>
      <c r="FE839" s="773"/>
      <c r="FF839" s="773"/>
      <c r="FG839" s="773"/>
      <c r="FH839" s="773"/>
      <c r="FI839" s="773"/>
      <c r="FJ839" s="773"/>
      <c r="FK839" s="773"/>
      <c r="FL839" s="773"/>
      <c r="FM839" s="773"/>
      <c r="FN839" s="773"/>
      <c r="FO839" s="773"/>
      <c r="FP839" s="773"/>
      <c r="FQ839" s="773"/>
      <c r="FR839" s="773"/>
      <c r="FS839" s="773"/>
      <c r="FT839" s="773"/>
      <c r="FU839" s="773"/>
      <c r="FV839" s="773"/>
      <c r="FW839" s="773"/>
      <c r="FX839" s="773"/>
      <c r="FY839" s="773"/>
      <c r="FZ839" s="773"/>
      <c r="GA839" s="773"/>
      <c r="GB839" s="773"/>
      <c r="GC839" s="773"/>
      <c r="GD839" s="773"/>
      <c r="GE839" s="773"/>
      <c r="GF839" s="773"/>
      <c r="GG839" s="773"/>
      <c r="GH839" s="773"/>
      <c r="GI839" s="773"/>
      <c r="GJ839" s="773"/>
      <c r="GK839" s="773"/>
      <c r="GL839" s="773"/>
      <c r="GM839" s="773"/>
      <c r="GN839" s="773"/>
      <c r="GO839" s="773"/>
      <c r="GP839" s="773"/>
      <c r="GQ839" s="773"/>
      <c r="GR839" s="773"/>
      <c r="GS839" s="773"/>
      <c r="GT839" s="773"/>
      <c r="GU839" s="773"/>
      <c r="GV839" s="773"/>
      <c r="GW839" s="773"/>
      <c r="GX839" s="773"/>
      <c r="GY839" s="773"/>
      <c r="GZ839" s="773"/>
    </row>
    <row r="840" spans="1:208" s="773" customFormat="1">
      <c r="A840" s="780"/>
      <c r="B840" s="3761" t="s">
        <v>1368</v>
      </c>
      <c r="C840" s="197">
        <v>7110055</v>
      </c>
      <c r="D840" s="199" t="s">
        <v>1815</v>
      </c>
      <c r="E840" s="798">
        <f>IFERROR(VLOOKUP(C840,'AJE 12 - INC'!$D$168:$F$771,3,0),0)</f>
        <v>173321.59</v>
      </c>
      <c r="F840" s="108">
        <f>SUMIF('AJE 12 - INC'!$B$1:$B$129,'New TB INC'!C840,'AJE 12 - INC'!$D$1:$D$129)</f>
        <v>0</v>
      </c>
      <c r="G840" s="108"/>
      <c r="H840" s="108"/>
      <c r="I840" s="108"/>
      <c r="J840" s="798">
        <f t="shared" si="85"/>
        <v>173321.59</v>
      </c>
      <c r="K840" s="209"/>
      <c r="L840" s="886"/>
      <c r="M840" s="883"/>
      <c r="O840" s="773">
        <v>0</v>
      </c>
      <c r="P840" s="773">
        <v>60450.519800127615</v>
      </c>
      <c r="Q840" s="773">
        <v>0</v>
      </c>
      <c r="R840" s="773">
        <v>-0.5198001276148716</v>
      </c>
      <c r="S840" s="773">
        <v>59598</v>
      </c>
      <c r="T840" s="773">
        <v>0</v>
      </c>
      <c r="U840" s="2173">
        <v>0</v>
      </c>
      <c r="V840" s="2509">
        <v>58345</v>
      </c>
      <c r="W840" s="2509">
        <v>0</v>
      </c>
      <c r="X840" s="2509">
        <v>0</v>
      </c>
      <c r="Y840" s="2509">
        <v>51040.399999999994</v>
      </c>
      <c r="Z840" s="11">
        <f>'[26]New TB INC'!Z790</f>
        <v>0</v>
      </c>
      <c r="AA840" s="11">
        <f>'[27]New TB INC'!AA797</f>
        <v>0</v>
      </c>
      <c r="AB840" s="11">
        <f>'[28]New TB INC'!AB804</f>
        <v>43337.17</v>
      </c>
      <c r="AC840" s="11">
        <f>'[29]New TB INC'!AC801</f>
        <v>0</v>
      </c>
      <c r="AD840" s="11">
        <f>'[30]New TB INC'!AD792</f>
        <v>0</v>
      </c>
      <c r="AE840" s="11">
        <f>'[31]New TB INC'!AE800</f>
        <v>43328.14</v>
      </c>
      <c r="AF840" s="11">
        <v>0</v>
      </c>
      <c r="AG840" s="11">
        <v>0</v>
      </c>
      <c r="AH840" s="11">
        <v>43328.14</v>
      </c>
      <c r="AI840" s="11">
        <v>0</v>
      </c>
      <c r="AJ840" s="11">
        <v>0</v>
      </c>
      <c r="AK840" s="11">
        <f>$J840-SUM($Z840:AJ840)</f>
        <v>43328.14</v>
      </c>
      <c r="AL840" s="11"/>
      <c r="AM840" s="11"/>
      <c r="AN840" s="11"/>
      <c r="AO840" s="11"/>
      <c r="AP840" s="11"/>
      <c r="AQ840" s="11"/>
      <c r="AR840" s="11"/>
      <c r="AS840" s="11"/>
      <c r="AT840" s="11"/>
      <c r="AU840" s="11"/>
      <c r="AW840" s="2509"/>
      <c r="BE840" s="2173"/>
      <c r="BF840" s="2173"/>
      <c r="BG840" s="2173"/>
      <c r="BH840" s="2173"/>
      <c r="BI840" s="2173"/>
      <c r="BJ840" s="2173"/>
      <c r="BK840" s="2173"/>
      <c r="BO840" s="209"/>
      <c r="BP840" s="209"/>
      <c r="BQ840" s="209"/>
      <c r="BR840" s="209"/>
      <c r="BS840" s="209"/>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row>
    <row r="841" spans="1:208" s="773" customFormat="1">
      <c r="A841" s="780"/>
      <c r="B841" s="3761" t="s">
        <v>1368</v>
      </c>
      <c r="C841" s="197">
        <v>7110044</v>
      </c>
      <c r="D841" s="199" t="s">
        <v>1812</v>
      </c>
      <c r="E841" s="798">
        <f>IFERROR(VLOOKUP(C841,'AJE 12 - INC'!$D$168:$F$771,3,0),0)</f>
        <v>144050</v>
      </c>
      <c r="F841" s="108">
        <f>SUMIF('AJE 12 - INC'!$B$1:$B$129,'New TB INC'!C841,'AJE 12 - INC'!$D$1:$D$129)</f>
        <v>0</v>
      </c>
      <c r="G841" s="108"/>
      <c r="H841" s="108"/>
      <c r="I841" s="108"/>
      <c r="J841" s="798">
        <f t="shared" si="85"/>
        <v>144050</v>
      </c>
      <c r="K841" s="209"/>
      <c r="L841" s="886"/>
      <c r="M841" s="883"/>
      <c r="O841" s="773">
        <v>0</v>
      </c>
      <c r="P841" s="773">
        <v>72831.519430574815</v>
      </c>
      <c r="Q841" s="773">
        <v>0</v>
      </c>
      <c r="R841" s="773">
        <v>0.48056942518451251</v>
      </c>
      <c r="S841" s="773">
        <v>66028</v>
      </c>
      <c r="T841" s="773">
        <v>0</v>
      </c>
      <c r="U841" s="2173">
        <v>0</v>
      </c>
      <c r="V841" s="2509">
        <v>59224</v>
      </c>
      <c r="W841" s="2509">
        <v>0</v>
      </c>
      <c r="X841" s="2509">
        <v>0</v>
      </c>
      <c r="Y841" s="2509">
        <v>52420.790000000008</v>
      </c>
      <c r="Z841" s="11">
        <f>'[26]New TB INC'!Z791</f>
        <v>0</v>
      </c>
      <c r="AA841" s="11">
        <f>'[27]New TB INC'!AA798</f>
        <v>0</v>
      </c>
      <c r="AB841" s="11">
        <f>'[28]New TB INC'!AB805</f>
        <v>45617</v>
      </c>
      <c r="AC841" s="11">
        <f>'[29]New TB INC'!AC802</f>
        <v>0</v>
      </c>
      <c r="AD841" s="11">
        <f>'[30]New TB INC'!AD793</f>
        <v>0</v>
      </c>
      <c r="AE841" s="11">
        <f>'[31]New TB INC'!AE801</f>
        <v>39214</v>
      </c>
      <c r="AF841" s="11">
        <v>0</v>
      </c>
      <c r="AG841" s="11">
        <v>0</v>
      </c>
      <c r="AH841" s="11">
        <v>32811</v>
      </c>
      <c r="AI841" s="11">
        <v>0</v>
      </c>
      <c r="AJ841" s="11">
        <v>0</v>
      </c>
      <c r="AK841" s="11">
        <f>$J841-SUM($Z841:AJ841)</f>
        <v>26408</v>
      </c>
      <c r="AL841" s="11"/>
      <c r="AM841" s="11"/>
      <c r="AN841" s="11"/>
      <c r="AO841" s="11"/>
      <c r="AP841" s="11"/>
      <c r="AQ841" s="11"/>
      <c r="AR841" s="11"/>
      <c r="AS841" s="11"/>
      <c r="AT841" s="11"/>
      <c r="AU841" s="11"/>
      <c r="AW841" s="2509"/>
      <c r="BE841" s="2173"/>
      <c r="BF841" s="2173"/>
      <c r="BG841" s="2173"/>
      <c r="BH841" s="2173"/>
      <c r="BI841" s="2173"/>
      <c r="BJ841" s="2173"/>
      <c r="BK841" s="2173"/>
      <c r="BO841" s="209"/>
      <c r="BP841" s="209"/>
      <c r="BQ841" s="209"/>
      <c r="BR841" s="209"/>
      <c r="BS841" s="209"/>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row>
    <row r="842" spans="1:208" s="773" customFormat="1">
      <c r="A842" s="780"/>
      <c r="B842" s="3761" t="s">
        <v>1368</v>
      </c>
      <c r="C842" s="197">
        <v>7110066</v>
      </c>
      <c r="D842" s="199" t="s">
        <v>2175</v>
      </c>
      <c r="E842" s="798">
        <f>IFERROR(VLOOKUP(C842,'AJE 12 - INC'!$D$168:$F$771,3,0),0)</f>
        <v>395054.2</v>
      </c>
      <c r="F842" s="108">
        <f>SUMIF('AJE 12 - INC'!$B$1:$B$129,'New TB INC'!C842,'AJE 12 - INC'!$D$1:$D$129)</f>
        <v>0</v>
      </c>
      <c r="G842" s="108"/>
      <c r="H842" s="108"/>
      <c r="I842" s="108"/>
      <c r="J842" s="798">
        <f t="shared" si="85"/>
        <v>395054.2</v>
      </c>
      <c r="K842" s="209"/>
      <c r="L842" s="886"/>
      <c r="M842" s="883"/>
      <c r="P842" s="773">
        <v>-120393</v>
      </c>
      <c r="Q842" s="773">
        <v>1.89669520186726E-2</v>
      </c>
      <c r="R842" s="773">
        <v>-1.89669520186726E-2</v>
      </c>
      <c r="S842" s="773">
        <v>-589633</v>
      </c>
      <c r="T842" s="773">
        <v>0</v>
      </c>
      <c r="U842" s="2173">
        <v>0</v>
      </c>
      <c r="V842" s="2509">
        <v>-121981</v>
      </c>
      <c r="W842" s="2509">
        <v>0</v>
      </c>
      <c r="X842" s="2509">
        <v>0</v>
      </c>
      <c r="Y842" s="2509">
        <v>-238528.74</v>
      </c>
      <c r="Z842" s="11">
        <f>'[26]New TB INC'!Z792</f>
        <v>0</v>
      </c>
      <c r="AA842" s="11">
        <f>'[27]New TB INC'!AA799</f>
        <v>0</v>
      </c>
      <c r="AB842" s="11">
        <f>'[28]New TB INC'!AB806</f>
        <v>100833.03</v>
      </c>
      <c r="AC842" s="11">
        <f>'[29]New TB INC'!AC803</f>
        <v>0</v>
      </c>
      <c r="AD842" s="11">
        <f>'[30]New TB INC'!AD794</f>
        <v>0</v>
      </c>
      <c r="AE842" s="11">
        <f>'[31]New TB INC'!AE802</f>
        <v>98580.09</v>
      </c>
      <c r="AF842" s="11">
        <v>0</v>
      </c>
      <c r="AG842" s="11">
        <v>0</v>
      </c>
      <c r="AH842" s="11">
        <v>98114.18</v>
      </c>
      <c r="AI842" s="11">
        <v>0</v>
      </c>
      <c r="AJ842" s="11">
        <v>0</v>
      </c>
      <c r="AK842" s="11">
        <f>$J842-SUM($Z842:AJ842)</f>
        <v>97526.900000000023</v>
      </c>
      <c r="AL842" s="11"/>
      <c r="AM842" s="11"/>
      <c r="AN842" s="11"/>
      <c r="AO842" s="11"/>
      <c r="AP842" s="11"/>
      <c r="AQ842" s="11"/>
      <c r="AR842" s="11"/>
      <c r="AS842" s="11"/>
      <c r="AT842" s="11"/>
      <c r="AU842" s="11"/>
      <c r="AW842" s="2509"/>
      <c r="BE842" s="2173"/>
      <c r="BF842" s="2173"/>
      <c r="BG842" s="2173"/>
      <c r="BH842" s="2173"/>
      <c r="BI842" s="2173"/>
      <c r="BJ842" s="2173"/>
      <c r="BK842" s="2173"/>
      <c r="BO842" s="209"/>
      <c r="BP842" s="209"/>
      <c r="BQ842" s="209"/>
      <c r="BR842" s="209"/>
      <c r="BS842" s="209"/>
    </row>
    <row r="843" spans="1:208" s="773" customFormat="1">
      <c r="A843" s="780"/>
      <c r="B843" s="3761" t="s">
        <v>1368</v>
      </c>
      <c r="C843" s="197">
        <v>7110077</v>
      </c>
      <c r="D843" s="199" t="s">
        <v>3547</v>
      </c>
      <c r="E843" s="798">
        <f>IFERROR(VLOOKUP(C843,'AJE 12 - INC'!$D$168:$F$771,3,0),0)</f>
        <v>-1183211.6299999999</v>
      </c>
      <c r="F843" s="108">
        <f>SUMIF('AJE 12 - INC'!$B$1:$B$165,'New TB INC'!C843,'AJE 12 - INC'!$D$1:$D$165)</f>
        <v>0</v>
      </c>
      <c r="G843" s="108"/>
      <c r="H843" s="108"/>
      <c r="I843" s="108"/>
      <c r="J843" s="798">
        <f t="shared" si="85"/>
        <v>-1183211.6299999999</v>
      </c>
      <c r="K843" s="209"/>
      <c r="L843" s="886"/>
      <c r="M843" s="883"/>
      <c r="U843" s="2173"/>
      <c r="V843" s="2509"/>
      <c r="W843" s="2509"/>
      <c r="X843" s="2509"/>
      <c r="Y843" s="2509"/>
      <c r="Z843" s="11"/>
      <c r="AA843" s="11"/>
      <c r="AB843" s="11">
        <v>-154308.25</v>
      </c>
      <c r="AC843" s="11">
        <f>'[29]New TB INC'!AC804</f>
        <v>0</v>
      </c>
      <c r="AD843" s="11">
        <f>'[30]New TB INC'!AD795</f>
        <v>0</v>
      </c>
      <c r="AE843" s="11">
        <f>'[31]New TB INC'!AE803</f>
        <v>-225263.14</v>
      </c>
      <c r="AF843" s="11">
        <v>0</v>
      </c>
      <c r="AG843" s="11">
        <v>0</v>
      </c>
      <c r="AH843" s="11">
        <v>-377633.17000000004</v>
      </c>
      <c r="AI843" s="11">
        <v>11273.380000000005</v>
      </c>
      <c r="AJ843" s="11">
        <v>0</v>
      </c>
      <c r="AK843" s="11">
        <f>$J843-SUM($Z843:AJ843)</f>
        <v>-437280.44999999984</v>
      </c>
      <c r="AL843" s="11"/>
      <c r="AM843" s="11"/>
      <c r="AN843" s="11"/>
      <c r="AO843" s="11"/>
      <c r="AP843" s="11"/>
      <c r="AQ843" s="11"/>
      <c r="AR843" s="11"/>
      <c r="AS843" s="11"/>
      <c r="AT843" s="11"/>
      <c r="AU843" s="11"/>
      <c r="AW843" s="2509"/>
      <c r="BE843" s="2173"/>
      <c r="BF843" s="2173"/>
      <c r="BG843" s="2173"/>
      <c r="BH843" s="2173"/>
      <c r="BI843" s="2173"/>
      <c r="BJ843" s="2173"/>
      <c r="BK843" s="2173"/>
      <c r="BO843" s="209"/>
      <c r="BP843" s="209"/>
      <c r="BQ843" s="209"/>
      <c r="BR843" s="209"/>
      <c r="BS843" s="209"/>
    </row>
    <row r="844" spans="1:208" s="773" customFormat="1">
      <c r="A844" s="780"/>
      <c r="B844" s="3761"/>
      <c r="C844" s="197"/>
      <c r="D844" s="199"/>
      <c r="E844" s="798"/>
      <c r="F844" s="108"/>
      <c r="G844" s="108"/>
      <c r="H844" s="108"/>
      <c r="I844" s="108"/>
      <c r="J844" s="798"/>
      <c r="K844" s="209"/>
      <c r="L844" s="886"/>
      <c r="M844" s="883"/>
      <c r="U844" s="2173"/>
      <c r="V844" s="2509"/>
      <c r="W844" s="2509"/>
      <c r="X844" s="2509"/>
      <c r="Y844" s="2509"/>
      <c r="Z844" s="11"/>
      <c r="AA844" s="11"/>
      <c r="AB844" s="11">
        <f>'[28]New TB INC'!AB808</f>
        <v>0</v>
      </c>
      <c r="AC844" s="11">
        <f>'[29]New TB INC'!AC805</f>
        <v>0</v>
      </c>
      <c r="AD844" s="11">
        <f>'[30]New TB INC'!AD796</f>
        <v>0</v>
      </c>
      <c r="AE844" s="11">
        <f>'[31]New TB INC'!AE804</f>
        <v>0</v>
      </c>
      <c r="AF844" s="11">
        <v>0</v>
      </c>
      <c r="AG844" s="11">
        <v>0</v>
      </c>
      <c r="AH844" s="11">
        <v>0</v>
      </c>
      <c r="AI844" s="11">
        <v>0</v>
      </c>
      <c r="AJ844" s="11">
        <v>0</v>
      </c>
      <c r="AK844" s="11">
        <f>$J844-SUM($Z844:AJ844)</f>
        <v>0</v>
      </c>
      <c r="AL844" s="11"/>
      <c r="AM844" s="11"/>
      <c r="AN844" s="11"/>
      <c r="AO844" s="11"/>
      <c r="AP844" s="11"/>
      <c r="AQ844" s="11"/>
      <c r="AR844" s="11"/>
      <c r="AS844" s="11"/>
      <c r="AT844" s="11"/>
      <c r="AU844" s="11"/>
      <c r="AW844" s="2509"/>
      <c r="BE844" s="2173"/>
      <c r="BF844" s="2173"/>
      <c r="BG844" s="2173"/>
      <c r="BH844" s="2173"/>
      <c r="BI844" s="2173"/>
      <c r="BJ844" s="2173"/>
      <c r="BK844" s="2173"/>
      <c r="BO844" s="209"/>
      <c r="BP844" s="209"/>
      <c r="BQ844" s="209"/>
      <c r="BR844" s="209"/>
      <c r="BS844" s="209"/>
    </row>
    <row r="845" spans="1:208" s="773" customFormat="1">
      <c r="A845" s="780"/>
      <c r="B845" s="3761" t="s">
        <v>1368</v>
      </c>
      <c r="C845" s="197">
        <v>7110006</v>
      </c>
      <c r="D845" s="199" t="s">
        <v>1248</v>
      </c>
      <c r="E845" s="798">
        <f>IFERROR(VLOOKUP(C845,'AJE 12 - INC'!$D$168:$F$771,3,0),0)</f>
        <v>301086.28000000003</v>
      </c>
      <c r="F845" s="108">
        <f>SUMIF('AJE 12 - INC'!$B$1:$B$129,'New TB INC'!C845,'AJE 12 - INC'!$D$1:$D$129)</f>
        <v>0</v>
      </c>
      <c r="G845" s="108"/>
      <c r="H845" s="108"/>
      <c r="I845" s="108"/>
      <c r="J845" s="798">
        <f>SUM(E845:I845)</f>
        <v>301086.28000000003</v>
      </c>
      <c r="K845" s="209"/>
      <c r="L845" s="886"/>
      <c r="M845" s="883"/>
      <c r="O845" s="773">
        <v>0</v>
      </c>
      <c r="P845" s="773">
        <v>51008.732068959151</v>
      </c>
      <c r="Q845" s="773">
        <v>0</v>
      </c>
      <c r="R845" s="773">
        <v>-0.73206895915063797</v>
      </c>
      <c r="S845" s="773">
        <v>63532</v>
      </c>
      <c r="T845" s="773">
        <v>18360</v>
      </c>
      <c r="U845" s="2173">
        <v>0</v>
      </c>
      <c r="V845" s="2509">
        <v>53135.329999999987</v>
      </c>
      <c r="W845" s="2509">
        <v>0</v>
      </c>
      <c r="X845" s="2509">
        <v>0</v>
      </c>
      <c r="Y845" s="2509">
        <v>60045.73000000001</v>
      </c>
      <c r="Z845" s="11">
        <f>'[26]New TB INC'!Z793</f>
        <v>0</v>
      </c>
      <c r="AA845" s="11">
        <f>'[27]New TB INC'!AA800</f>
        <v>0</v>
      </c>
      <c r="AB845" s="11">
        <f>'[28]New TB INC'!AB809</f>
        <v>116606.31</v>
      </c>
      <c r="AC845" s="11">
        <f>'[29]New TB INC'!AC806</f>
        <v>0</v>
      </c>
      <c r="AD845" s="11">
        <f>'[30]New TB INC'!AD797</f>
        <v>0</v>
      </c>
      <c r="AE845" s="11">
        <f>'[31]New TB INC'!AE805</f>
        <v>62404.600000000006</v>
      </c>
      <c r="AF845" s="11">
        <v>0</v>
      </c>
      <c r="AG845" s="11">
        <v>0</v>
      </c>
      <c r="AH845" s="11">
        <v>60670.139999999985</v>
      </c>
      <c r="AI845" s="11">
        <v>0</v>
      </c>
      <c r="AJ845" s="11">
        <v>0</v>
      </c>
      <c r="AK845" s="11">
        <f>$J845-SUM($Z845:AJ845)</f>
        <v>61405.23000000004</v>
      </c>
      <c r="AL845" s="11"/>
      <c r="AM845" s="11"/>
      <c r="AN845" s="11"/>
      <c r="AO845" s="11"/>
      <c r="AP845" s="11"/>
      <c r="AQ845" s="11"/>
      <c r="AR845" s="11"/>
      <c r="AS845" s="11"/>
      <c r="AT845" s="11"/>
      <c r="AU845" s="11"/>
      <c r="AW845" s="2509"/>
      <c r="BE845" s="2173"/>
      <c r="BF845" s="2173"/>
      <c r="BG845" s="2173"/>
      <c r="BH845" s="2173"/>
      <c r="BI845" s="2173"/>
      <c r="BJ845" s="2173"/>
      <c r="BK845" s="2173"/>
      <c r="BO845" s="209"/>
      <c r="BP845" s="209"/>
      <c r="BQ845" s="209"/>
      <c r="BR845" s="209"/>
      <c r="BS845" s="209"/>
      <c r="CI845" s="9"/>
      <c r="CJ845" s="9"/>
    </row>
    <row r="846" spans="1:208" s="11" customFormat="1" ht="13.5" thickBot="1">
      <c r="A846" s="780"/>
      <c r="B846" s="3761"/>
      <c r="C846" s="197"/>
      <c r="D846" s="199"/>
      <c r="E846" s="42"/>
      <c r="F846" s="108"/>
      <c r="G846" s="108"/>
      <c r="H846" s="108"/>
      <c r="I846" s="108"/>
      <c r="J846" s="798"/>
      <c r="K846" s="209"/>
      <c r="L846" s="434"/>
      <c r="M846" s="828"/>
      <c r="N846" s="773"/>
      <c r="O846" s="773">
        <v>0</v>
      </c>
      <c r="P846" s="773">
        <v>0</v>
      </c>
      <c r="Q846" s="773">
        <v>0</v>
      </c>
      <c r="R846" s="773">
        <v>0</v>
      </c>
      <c r="S846" s="773">
        <v>0</v>
      </c>
      <c r="T846" s="773">
        <v>0</v>
      </c>
      <c r="U846" s="2173">
        <v>0</v>
      </c>
      <c r="V846" s="2509">
        <v>0</v>
      </c>
      <c r="W846" s="2509">
        <v>0</v>
      </c>
      <c r="X846" s="2509">
        <v>0</v>
      </c>
      <c r="Y846" s="2509">
        <v>0</v>
      </c>
      <c r="Z846" s="11">
        <f>'[26]New TB INC'!Z794</f>
        <v>0</v>
      </c>
      <c r="AA846" s="11">
        <f>'[27]New TB INC'!AA801</f>
        <v>0</v>
      </c>
      <c r="AB846" s="11">
        <f>'[28]New TB INC'!AB810</f>
        <v>0</v>
      </c>
      <c r="AC846" s="11">
        <f>'[29]New TB INC'!AC807</f>
        <v>0</v>
      </c>
      <c r="AD846" s="11">
        <f>'[30]New TB INC'!AD798</f>
        <v>0</v>
      </c>
      <c r="AE846" s="11">
        <f>'[31]New TB INC'!AE806</f>
        <v>0</v>
      </c>
      <c r="AF846" s="11">
        <v>0</v>
      </c>
      <c r="AG846" s="11">
        <v>0</v>
      </c>
      <c r="AH846" s="11">
        <v>0</v>
      </c>
      <c r="AI846" s="11">
        <v>0</v>
      </c>
      <c r="AJ846" s="11">
        <v>0</v>
      </c>
      <c r="AK846" s="11">
        <f>$J846-SUM($Z846:AJ846)</f>
        <v>0</v>
      </c>
      <c r="AW846" s="2509"/>
      <c r="BE846" s="2173"/>
      <c r="BF846" s="2173"/>
      <c r="BG846" s="2173"/>
      <c r="BH846" s="2173"/>
      <c r="BI846" s="2173"/>
      <c r="BJ846" s="2173"/>
      <c r="BK846" s="2173"/>
      <c r="BL846" s="773"/>
      <c r="BM846" s="773"/>
      <c r="BN846" s="773"/>
      <c r="BO846" s="209"/>
      <c r="BP846" s="209"/>
      <c r="BQ846" s="209"/>
      <c r="BR846" s="209"/>
      <c r="BS846" s="209"/>
      <c r="BT846" s="773"/>
      <c r="BU846" s="773"/>
      <c r="BV846" s="773"/>
      <c r="BW846" s="773"/>
      <c r="BX846" s="773"/>
      <c r="BY846" s="773"/>
      <c r="BZ846" s="773"/>
      <c r="CA846" s="773"/>
      <c r="CB846" s="773"/>
      <c r="CC846" s="773"/>
      <c r="CD846" s="773"/>
      <c r="CE846" s="773"/>
      <c r="CF846" s="773"/>
      <c r="CG846" s="773"/>
      <c r="CH846" s="773"/>
      <c r="CI846" s="773"/>
      <c r="CJ846" s="773"/>
      <c r="CK846" s="773"/>
      <c r="CL846" s="773"/>
      <c r="CM846" s="773"/>
      <c r="CN846" s="773"/>
      <c r="CO846" s="773"/>
      <c r="CP846" s="773"/>
      <c r="CQ846" s="773"/>
      <c r="CR846" s="773"/>
      <c r="CS846" s="773"/>
      <c r="CT846" s="773"/>
      <c r="CU846" s="773"/>
      <c r="CV846" s="773"/>
      <c r="CW846" s="773"/>
      <c r="CX846" s="773"/>
      <c r="CY846" s="773"/>
      <c r="CZ846" s="773"/>
      <c r="DA846" s="773"/>
      <c r="DB846" s="773"/>
      <c r="DC846" s="773"/>
      <c r="DD846" s="773"/>
      <c r="DE846" s="773"/>
      <c r="DF846" s="773"/>
      <c r="DG846" s="773"/>
      <c r="DH846" s="773"/>
      <c r="DI846" s="773"/>
      <c r="DJ846" s="773"/>
      <c r="DK846" s="773"/>
      <c r="DL846" s="773"/>
      <c r="DM846" s="773"/>
      <c r="DN846" s="773"/>
      <c r="DO846" s="773"/>
      <c r="DP846" s="773"/>
      <c r="DQ846" s="773"/>
      <c r="DR846" s="773"/>
      <c r="DS846" s="773"/>
      <c r="DT846" s="773"/>
      <c r="DU846" s="773"/>
      <c r="DV846" s="773"/>
      <c r="DW846" s="773"/>
      <c r="DX846" s="773"/>
      <c r="DY846" s="773"/>
      <c r="DZ846" s="773"/>
      <c r="EA846" s="773"/>
      <c r="EB846" s="773"/>
      <c r="EC846" s="773"/>
      <c r="ED846" s="773"/>
      <c r="EE846" s="773"/>
      <c r="EF846" s="773"/>
      <c r="EG846" s="773"/>
      <c r="EH846" s="773"/>
      <c r="EI846" s="773"/>
      <c r="EJ846" s="773"/>
      <c r="EK846" s="773"/>
      <c r="EL846" s="773"/>
      <c r="EM846" s="773"/>
      <c r="EN846" s="773"/>
      <c r="EO846" s="773"/>
      <c r="EP846" s="773"/>
      <c r="EQ846" s="773"/>
      <c r="ER846" s="773"/>
      <c r="ES846" s="773"/>
      <c r="ET846" s="773"/>
      <c r="EU846" s="773"/>
      <c r="EV846" s="773"/>
      <c r="EW846" s="773"/>
      <c r="EX846" s="773"/>
      <c r="EY846" s="773"/>
      <c r="EZ846" s="773"/>
      <c r="FA846" s="773"/>
      <c r="FB846" s="773"/>
      <c r="FC846" s="773"/>
      <c r="FD846" s="773"/>
      <c r="FE846" s="773"/>
      <c r="FF846" s="773"/>
      <c r="FG846" s="773"/>
      <c r="FH846" s="773"/>
      <c r="FI846" s="773"/>
      <c r="FJ846" s="773"/>
      <c r="FK846" s="773"/>
      <c r="FL846" s="773"/>
      <c r="FM846" s="773"/>
      <c r="FN846" s="773"/>
      <c r="FO846" s="773"/>
      <c r="FP846" s="773"/>
      <c r="FQ846" s="773"/>
      <c r="FR846" s="773"/>
      <c r="FS846" s="773"/>
      <c r="FT846" s="773"/>
      <c r="FU846" s="773"/>
      <c r="FV846" s="773"/>
      <c r="FW846" s="773"/>
      <c r="FX846" s="773"/>
      <c r="FY846" s="773"/>
      <c r="FZ846" s="773"/>
      <c r="GA846" s="773"/>
      <c r="GB846" s="773"/>
      <c r="GC846" s="773"/>
      <c r="GD846" s="773"/>
      <c r="GE846" s="773"/>
      <c r="GF846" s="773"/>
      <c r="GG846" s="773"/>
      <c r="GH846" s="773"/>
      <c r="GI846" s="773"/>
      <c r="GJ846" s="773"/>
      <c r="GK846" s="773"/>
      <c r="GL846" s="773"/>
      <c r="GM846" s="773"/>
      <c r="GN846" s="773"/>
      <c r="GO846" s="773"/>
      <c r="GP846" s="773"/>
      <c r="GQ846" s="773"/>
      <c r="GR846" s="773"/>
      <c r="GS846" s="773"/>
      <c r="GT846" s="773"/>
      <c r="GU846" s="773"/>
      <c r="GV846" s="773"/>
      <c r="GW846" s="773"/>
      <c r="GX846" s="773"/>
      <c r="GY846" s="773"/>
      <c r="GZ846" s="773"/>
    </row>
    <row r="847" spans="1:208" s="11" customFormat="1" ht="17.25">
      <c r="A847" s="780"/>
      <c r="B847" s="3789" t="s">
        <v>1375</v>
      </c>
      <c r="C847" s="2885">
        <v>7141001</v>
      </c>
      <c r="D847" s="2886" t="s">
        <v>3659</v>
      </c>
      <c r="E847" s="2887">
        <f>IFERROR(VLOOKUP(C847,'AJE 12 - INC'!$D$168:$F$771,3,0),0)</f>
        <v>187965.93</v>
      </c>
      <c r="F847" s="899">
        <f>SUMIF('AJE 12 - INC'!B:B,'New TB INC'!C847,'AJE 12 - INC'!D:D)</f>
        <v>0</v>
      </c>
      <c r="G847" s="899"/>
      <c r="H847" s="899"/>
      <c r="I847" s="899"/>
      <c r="J847" s="2888">
        <f t="shared" ref="J847:J859" si="86">SUM(E847:I847)</f>
        <v>187965.93</v>
      </c>
      <c r="K847" s="4500" t="s">
        <v>3678</v>
      </c>
      <c r="L847" s="434"/>
      <c r="M847" s="828"/>
      <c r="N847" s="773"/>
      <c r="O847" s="773"/>
      <c r="P847" s="773"/>
      <c r="Q847" s="773"/>
      <c r="R847" s="773"/>
      <c r="S847" s="773"/>
      <c r="T847" s="773"/>
      <c r="U847" s="2173"/>
      <c r="V847" s="2509"/>
      <c r="W847" s="2509"/>
      <c r="X847" s="2509"/>
      <c r="Y847" s="2509"/>
      <c r="AD847" s="11">
        <f>'[30]New TB INC'!AD799</f>
        <v>13125</v>
      </c>
      <c r="AE847" s="11">
        <f>'[31]New TB INC'!AE807</f>
        <v>17500</v>
      </c>
      <c r="AF847" s="11">
        <v>17500</v>
      </c>
      <c r="AG847" s="11">
        <v>17500</v>
      </c>
      <c r="AH847" s="11">
        <v>28715.910000000003</v>
      </c>
      <c r="AI847" s="11">
        <v>31208.339999999997</v>
      </c>
      <c r="AJ847" s="11">
        <v>31208.339999999997</v>
      </c>
      <c r="AK847" s="11">
        <f>$J847-SUM($Z847:AJ847)</f>
        <v>31208.339999999997</v>
      </c>
      <c r="AP847" s="3412" t="s">
        <v>4217</v>
      </c>
      <c r="AW847" s="2509"/>
      <c r="BE847" s="2173"/>
      <c r="BF847" s="2173"/>
      <c r="BG847" s="2173"/>
      <c r="BH847" s="2173"/>
      <c r="BI847" s="2173"/>
      <c r="BJ847" s="2173"/>
      <c r="BK847" s="2173"/>
      <c r="BL847" s="773"/>
      <c r="BM847" s="773"/>
      <c r="BN847" s="773"/>
      <c r="BO847" s="209"/>
      <c r="BP847" s="209"/>
      <c r="BQ847" s="209"/>
      <c r="BR847" s="209"/>
      <c r="BS847" s="209"/>
      <c r="BT847" s="773"/>
      <c r="BU847" s="773"/>
      <c r="BV847" s="773"/>
      <c r="BW847" s="773"/>
      <c r="BX847" s="773"/>
      <c r="BY847" s="773"/>
      <c r="BZ847" s="773"/>
      <c r="CA847" s="773"/>
      <c r="CB847" s="773"/>
      <c r="CC847" s="773"/>
      <c r="CD847" s="773"/>
      <c r="CE847" s="773"/>
      <c r="CF847" s="773"/>
      <c r="CG847" s="773"/>
      <c r="CH847" s="773"/>
      <c r="CI847" s="773"/>
      <c r="CJ847" s="773"/>
      <c r="CK847" s="773"/>
      <c r="CL847" s="773"/>
      <c r="CM847" s="773"/>
      <c r="CN847" s="773"/>
      <c r="CO847" s="773"/>
      <c r="CP847" s="773"/>
      <c r="CQ847" s="773"/>
      <c r="CR847" s="773"/>
      <c r="CS847" s="773"/>
      <c r="CT847" s="773"/>
      <c r="CU847" s="773"/>
      <c r="CV847" s="773"/>
      <c r="CW847" s="773"/>
      <c r="CX847" s="773"/>
      <c r="CY847" s="773"/>
      <c r="CZ847" s="773"/>
      <c r="DA847" s="773"/>
      <c r="DB847" s="773"/>
      <c r="DC847" s="773"/>
      <c r="DD847" s="773"/>
      <c r="DE847" s="773"/>
      <c r="DF847" s="773"/>
      <c r="DG847" s="773"/>
      <c r="DH847" s="773"/>
      <c r="DI847" s="773"/>
      <c r="DJ847" s="773"/>
      <c r="DK847" s="773"/>
      <c r="DL847" s="773"/>
      <c r="DM847" s="773"/>
      <c r="DN847" s="773"/>
      <c r="DO847" s="773"/>
      <c r="DP847" s="773"/>
      <c r="DQ847" s="773"/>
      <c r="DR847" s="773"/>
      <c r="DS847" s="773"/>
      <c r="DT847" s="773"/>
      <c r="DU847" s="773"/>
      <c r="DV847" s="773"/>
      <c r="DW847" s="773"/>
      <c r="DX847" s="773"/>
      <c r="DY847" s="773"/>
      <c r="DZ847" s="773"/>
      <c r="EA847" s="773"/>
      <c r="EB847" s="773"/>
      <c r="EC847" s="773"/>
      <c r="ED847" s="773"/>
      <c r="EE847" s="773"/>
      <c r="EF847" s="773"/>
      <c r="EG847" s="773"/>
      <c r="EH847" s="773"/>
      <c r="EI847" s="773"/>
      <c r="EJ847" s="773"/>
      <c r="EK847" s="773"/>
      <c r="EL847" s="773"/>
      <c r="EM847" s="773"/>
      <c r="EN847" s="773"/>
      <c r="EO847" s="773"/>
      <c r="EP847" s="773"/>
      <c r="EQ847" s="773"/>
      <c r="ER847" s="773"/>
      <c r="ES847" s="773"/>
      <c r="ET847" s="773"/>
      <c r="EU847" s="773"/>
      <c r="EV847" s="773"/>
      <c r="EW847" s="773"/>
      <c r="EX847" s="773"/>
      <c r="EY847" s="773"/>
      <c r="EZ847" s="773"/>
      <c r="FA847" s="773"/>
      <c r="FB847" s="773"/>
      <c r="FC847" s="773"/>
      <c r="FD847" s="773"/>
      <c r="FE847" s="773"/>
      <c r="FF847" s="773"/>
      <c r="FG847" s="773"/>
      <c r="FH847" s="773"/>
      <c r="FI847" s="773"/>
      <c r="FJ847" s="773"/>
      <c r="FK847" s="773"/>
      <c r="FL847" s="773"/>
      <c r="FM847" s="773"/>
      <c r="FN847" s="773"/>
      <c r="FO847" s="773"/>
      <c r="FP847" s="773"/>
      <c r="FQ847" s="773"/>
      <c r="FR847" s="773"/>
      <c r="FS847" s="773"/>
      <c r="FT847" s="773"/>
      <c r="FU847" s="773"/>
      <c r="FV847" s="773"/>
      <c r="FW847" s="773"/>
      <c r="FX847" s="773"/>
      <c r="FY847" s="773"/>
      <c r="FZ847" s="773"/>
      <c r="GA847" s="773"/>
      <c r="GB847" s="773"/>
      <c r="GC847" s="773"/>
      <c r="GD847" s="773"/>
      <c r="GE847" s="773"/>
      <c r="GF847" s="773"/>
      <c r="GG847" s="773"/>
      <c r="GH847" s="773"/>
      <c r="GI847" s="773"/>
      <c r="GJ847" s="773"/>
      <c r="GK847" s="773"/>
      <c r="GL847" s="773"/>
      <c r="GM847" s="773"/>
      <c r="GN847" s="773"/>
      <c r="GO847" s="773"/>
      <c r="GP847" s="773"/>
      <c r="GQ847" s="773"/>
      <c r="GR847" s="773"/>
      <c r="GS847" s="773"/>
      <c r="GT847" s="773"/>
      <c r="GU847" s="773"/>
      <c r="GV847" s="773"/>
      <c r="GW847" s="773"/>
      <c r="GX847" s="773"/>
      <c r="GY847" s="773"/>
      <c r="GZ847" s="773"/>
    </row>
    <row r="848" spans="1:208" s="11" customFormat="1">
      <c r="A848" s="780"/>
      <c r="B848" s="3790" t="s">
        <v>1375</v>
      </c>
      <c r="C848" s="197">
        <v>7141004</v>
      </c>
      <c r="D848" s="2522" t="s">
        <v>3762</v>
      </c>
      <c r="E848" s="798">
        <f>IFERROR(VLOOKUP(C848,'AJE 12 - INC'!$D$168:$F$771,3,0),0)</f>
        <v>48705</v>
      </c>
      <c r="F848" s="108">
        <f>SUMIF('AJE 12 - INC'!B:B,'New TB INC'!C848,'AJE 12 - INC'!D:D)</f>
        <v>0</v>
      </c>
      <c r="G848" s="108"/>
      <c r="H848" s="108"/>
      <c r="I848" s="108"/>
      <c r="J848" s="859">
        <f>SUM(E848:I848)</f>
        <v>48705</v>
      </c>
      <c r="K848" s="4501"/>
      <c r="L848" s="434"/>
      <c r="M848" s="828"/>
      <c r="N848" s="773"/>
      <c r="O848" s="773"/>
      <c r="P848" s="773"/>
      <c r="Q848" s="773"/>
      <c r="R848" s="773"/>
      <c r="S848" s="773"/>
      <c r="T848" s="773"/>
      <c r="U848" s="2521"/>
      <c r="V848" s="2523"/>
      <c r="W848" s="2523"/>
      <c r="X848" s="2523"/>
      <c r="Y848" s="2523"/>
      <c r="Z848" s="2125"/>
      <c r="AA848" s="2125"/>
      <c r="AB848" s="2125"/>
      <c r="AC848" s="2125"/>
      <c r="AD848" s="2125"/>
      <c r="AE848" s="2125">
        <v>7083</v>
      </c>
      <c r="AF848" s="2125">
        <v>7083</v>
      </c>
      <c r="AG848" s="2125">
        <v>7083</v>
      </c>
      <c r="AH848" s="2125">
        <v>2557</v>
      </c>
      <c r="AI848" s="2125">
        <v>7141</v>
      </c>
      <c r="AJ848" s="11">
        <v>8533</v>
      </c>
      <c r="AK848" s="11">
        <f>$J848-SUM($Z848:AJ848)</f>
        <v>9225</v>
      </c>
      <c r="AN848" s="2125"/>
      <c r="AO848" s="2125"/>
      <c r="AP848" s="2125"/>
      <c r="AQ848" s="2125"/>
      <c r="AW848" s="2509"/>
      <c r="BE848" s="2173"/>
      <c r="BF848" s="2173"/>
      <c r="BG848" s="2173"/>
      <c r="BH848" s="2173"/>
      <c r="BI848" s="2173"/>
      <c r="BJ848" s="2173"/>
      <c r="BK848" s="2173"/>
      <c r="BL848" s="773"/>
      <c r="BM848" s="773"/>
      <c r="BN848" s="773"/>
      <c r="BO848" s="209"/>
      <c r="BP848" s="209"/>
      <c r="BQ848" s="209"/>
      <c r="BR848" s="209"/>
      <c r="BS848" s="209"/>
      <c r="BT848" s="773"/>
      <c r="BU848" s="773"/>
      <c r="BV848" s="773"/>
      <c r="BW848" s="773"/>
      <c r="BX848" s="773"/>
      <c r="BY848" s="773"/>
      <c r="BZ848" s="773"/>
      <c r="CA848" s="773"/>
      <c r="CB848" s="773"/>
      <c r="CC848" s="773"/>
      <c r="CD848" s="773"/>
      <c r="CE848" s="773"/>
      <c r="CF848" s="773"/>
      <c r="CG848" s="773"/>
      <c r="CH848" s="773"/>
      <c r="CI848" s="773"/>
      <c r="CJ848" s="773"/>
      <c r="CK848" s="773"/>
      <c r="CL848" s="773"/>
      <c r="CM848" s="773"/>
      <c r="CN848" s="773"/>
      <c r="CO848" s="773"/>
      <c r="CP848" s="773"/>
      <c r="CQ848" s="773"/>
      <c r="CR848" s="773"/>
      <c r="CS848" s="773"/>
      <c r="CT848" s="773"/>
      <c r="CU848" s="773"/>
      <c r="CV848" s="773"/>
      <c r="CW848" s="773"/>
      <c r="CX848" s="773"/>
      <c r="CY848" s="773"/>
      <c r="CZ848" s="773"/>
      <c r="DA848" s="773"/>
      <c r="DB848" s="773"/>
      <c r="DC848" s="773"/>
      <c r="DD848" s="773"/>
      <c r="DE848" s="773"/>
      <c r="DF848" s="773"/>
      <c r="DG848" s="773"/>
      <c r="DH848" s="773"/>
      <c r="DI848" s="773"/>
      <c r="DJ848" s="773"/>
      <c r="DK848" s="773"/>
      <c r="DL848" s="773"/>
      <c r="DM848" s="773"/>
      <c r="DN848" s="773"/>
      <c r="DO848" s="773"/>
      <c r="DP848" s="773"/>
      <c r="DQ848" s="773"/>
      <c r="DR848" s="773"/>
      <c r="DS848" s="773"/>
      <c r="DT848" s="773"/>
      <c r="DU848" s="773"/>
      <c r="DV848" s="773"/>
      <c r="DW848" s="773"/>
      <c r="DX848" s="773"/>
      <c r="DY848" s="773"/>
      <c r="DZ848" s="773"/>
      <c r="EA848" s="773"/>
      <c r="EB848" s="773"/>
      <c r="EC848" s="773"/>
      <c r="ED848" s="773"/>
      <c r="EE848" s="773"/>
      <c r="EF848" s="773"/>
      <c r="EG848" s="773"/>
      <c r="EH848" s="773"/>
      <c r="EI848" s="773"/>
      <c r="EJ848" s="773"/>
      <c r="EK848" s="773"/>
      <c r="EL848" s="773"/>
      <c r="EM848" s="773"/>
      <c r="EN848" s="773"/>
      <c r="EO848" s="773"/>
      <c r="EP848" s="773"/>
      <c r="EQ848" s="773"/>
      <c r="ER848" s="773"/>
      <c r="ES848" s="773"/>
      <c r="ET848" s="773"/>
      <c r="EU848" s="773"/>
      <c r="EV848" s="773"/>
      <c r="EW848" s="773"/>
      <c r="EX848" s="773"/>
      <c r="EY848" s="773"/>
      <c r="EZ848" s="773"/>
      <c r="FA848" s="773"/>
      <c r="FB848" s="773"/>
      <c r="FC848" s="773"/>
      <c r="FD848" s="773"/>
      <c r="FE848" s="773"/>
      <c r="FF848" s="773"/>
      <c r="FG848" s="773"/>
      <c r="FH848" s="773"/>
      <c r="FI848" s="773"/>
      <c r="FJ848" s="773"/>
      <c r="FK848" s="773"/>
      <c r="FL848" s="773"/>
      <c r="FM848" s="773"/>
      <c r="FN848" s="773"/>
      <c r="FO848" s="773"/>
      <c r="FP848" s="773"/>
      <c r="FQ848" s="773"/>
      <c r="FR848" s="773"/>
      <c r="FS848" s="773"/>
      <c r="FT848" s="773"/>
      <c r="FU848" s="773"/>
      <c r="FV848" s="773"/>
      <c r="FW848" s="773"/>
      <c r="FX848" s="773"/>
      <c r="FY848" s="773"/>
      <c r="FZ848" s="773"/>
      <c r="GA848" s="773"/>
      <c r="GB848" s="773"/>
      <c r="GC848" s="773"/>
      <c r="GD848" s="773"/>
      <c r="GE848" s="773"/>
      <c r="GF848" s="773"/>
      <c r="GG848" s="773"/>
      <c r="GH848" s="773"/>
      <c r="GI848" s="773"/>
      <c r="GJ848" s="773"/>
      <c r="GK848" s="773"/>
      <c r="GL848" s="773"/>
      <c r="GM848" s="773"/>
      <c r="GN848" s="773"/>
      <c r="GO848" s="773"/>
      <c r="GP848" s="773"/>
      <c r="GQ848" s="773"/>
      <c r="GR848" s="773"/>
      <c r="GS848" s="773"/>
      <c r="GT848" s="773"/>
      <c r="GU848" s="773"/>
      <c r="GV848" s="773"/>
      <c r="GW848" s="773"/>
      <c r="GX848" s="773"/>
      <c r="GY848" s="773"/>
      <c r="GZ848" s="773"/>
    </row>
    <row r="849" spans="1:208" s="11" customFormat="1">
      <c r="A849" s="780"/>
      <c r="B849" s="3790" t="s">
        <v>1375</v>
      </c>
      <c r="C849" s="197">
        <v>7141003</v>
      </c>
      <c r="D849" s="199" t="s">
        <v>3660</v>
      </c>
      <c r="E849" s="798">
        <f>IFERROR(VLOOKUP(C849,'AJE 12 - INC'!$D$168:$F$771,3,0),0)</f>
        <v>25000</v>
      </c>
      <c r="F849" s="108">
        <f>SUMIF('AJE 12 - INC'!B:B,'New TB INC'!C849,'AJE 12 - INC'!D:D)</f>
        <v>0</v>
      </c>
      <c r="G849" s="108"/>
      <c r="H849" s="108"/>
      <c r="I849" s="108"/>
      <c r="J849" s="859">
        <f t="shared" si="86"/>
        <v>25000</v>
      </c>
      <c r="K849" s="4501"/>
      <c r="L849" s="434"/>
      <c r="M849" s="828"/>
      <c r="N849" s="773"/>
      <c r="O849" s="773"/>
      <c r="P849" s="773"/>
      <c r="Q849" s="773"/>
      <c r="R849" s="773"/>
      <c r="S849" s="773"/>
      <c r="T849" s="773"/>
      <c r="U849" s="2173"/>
      <c r="V849" s="2509"/>
      <c r="W849" s="2509"/>
      <c r="X849" s="2509"/>
      <c r="Y849" s="2509"/>
      <c r="AD849" s="11">
        <f>'[30]New TB INC'!AD800</f>
        <v>12500</v>
      </c>
      <c r="AE849" s="11">
        <f>'[31]New TB INC'!AE809</f>
        <v>12500</v>
      </c>
      <c r="AF849" s="11">
        <v>0</v>
      </c>
      <c r="AG849" s="11">
        <v>0</v>
      </c>
      <c r="AH849" s="11">
        <v>0</v>
      </c>
      <c r="AI849" s="11">
        <v>0</v>
      </c>
      <c r="AJ849" s="11">
        <v>0</v>
      </c>
      <c r="AK849" s="11">
        <f>$J849-SUM($Z849:AJ849)</f>
        <v>0</v>
      </c>
      <c r="AW849" s="2509"/>
      <c r="BE849" s="2173"/>
      <c r="BF849" s="2173"/>
      <c r="BG849" s="2173"/>
      <c r="BH849" s="2173"/>
      <c r="BI849" s="2173"/>
      <c r="BJ849" s="2173"/>
      <c r="BK849" s="2173"/>
      <c r="BL849" s="773"/>
      <c r="BM849" s="773"/>
      <c r="BN849" s="773"/>
      <c r="BO849" s="209"/>
      <c r="BP849" s="209"/>
      <c r="BQ849" s="209"/>
      <c r="BR849" s="209"/>
      <c r="BS849" s="209"/>
      <c r="BT849" s="773"/>
      <c r="BU849" s="773"/>
      <c r="BV849" s="773"/>
      <c r="BW849" s="773"/>
      <c r="BX849" s="773"/>
      <c r="BY849" s="773"/>
      <c r="BZ849" s="773"/>
      <c r="CA849" s="773"/>
      <c r="CB849" s="773"/>
      <c r="CC849" s="773"/>
      <c r="CD849" s="773"/>
      <c r="CE849" s="773"/>
      <c r="CF849" s="773"/>
      <c r="CG849" s="773"/>
      <c r="CH849" s="773"/>
      <c r="CI849" s="773"/>
      <c r="CJ849" s="773"/>
      <c r="CK849" s="773"/>
      <c r="CL849" s="773"/>
      <c r="CM849" s="773"/>
      <c r="CN849" s="773"/>
      <c r="CO849" s="773"/>
      <c r="CP849" s="773"/>
      <c r="CQ849" s="773"/>
      <c r="CR849" s="773"/>
      <c r="CS849" s="773"/>
      <c r="CT849" s="773"/>
      <c r="CU849" s="773"/>
      <c r="CV849" s="773"/>
      <c r="CW849" s="773"/>
      <c r="CX849" s="773"/>
      <c r="CY849" s="773"/>
      <c r="CZ849" s="773"/>
      <c r="DA849" s="773"/>
      <c r="DB849" s="773"/>
      <c r="DC849" s="773"/>
      <c r="DD849" s="773"/>
      <c r="DE849" s="773"/>
      <c r="DF849" s="773"/>
      <c r="DG849" s="773"/>
      <c r="DH849" s="773"/>
      <c r="DI849" s="773"/>
      <c r="DJ849" s="773"/>
      <c r="DK849" s="773"/>
      <c r="DL849" s="773"/>
      <c r="DM849" s="773"/>
      <c r="DN849" s="773"/>
      <c r="DO849" s="773"/>
      <c r="DP849" s="773"/>
      <c r="DQ849" s="773"/>
      <c r="DR849" s="773"/>
      <c r="DS849" s="773"/>
      <c r="DT849" s="773"/>
      <c r="DU849" s="773"/>
      <c r="DV849" s="773"/>
      <c r="DW849" s="773"/>
      <c r="DX849" s="773"/>
      <c r="DY849" s="773"/>
      <c r="DZ849" s="773"/>
      <c r="EA849" s="773"/>
      <c r="EB849" s="773"/>
      <c r="EC849" s="773"/>
      <c r="ED849" s="773"/>
      <c r="EE849" s="773"/>
      <c r="EF849" s="773"/>
      <c r="EG849" s="773"/>
      <c r="EH849" s="773"/>
      <c r="EI849" s="773"/>
      <c r="EJ849" s="773"/>
      <c r="EK849" s="773"/>
      <c r="EL849" s="773"/>
      <c r="EM849" s="773"/>
      <c r="EN849" s="773"/>
      <c r="EO849" s="773"/>
      <c r="EP849" s="773"/>
      <c r="EQ849" s="773"/>
      <c r="ER849" s="773"/>
      <c r="ES849" s="773"/>
      <c r="ET849" s="773"/>
      <c r="EU849" s="773"/>
      <c r="EV849" s="773"/>
      <c r="EW849" s="773"/>
      <c r="EX849" s="773"/>
      <c r="EY849" s="773"/>
      <c r="EZ849" s="773"/>
      <c r="FA849" s="773"/>
      <c r="FB849" s="773"/>
      <c r="FC849" s="773"/>
      <c r="FD849" s="773"/>
      <c r="FE849" s="773"/>
      <c r="FF849" s="773"/>
      <c r="FG849" s="773"/>
      <c r="FH849" s="773"/>
      <c r="FI849" s="773"/>
      <c r="FJ849" s="773"/>
      <c r="FK849" s="773"/>
      <c r="FL849" s="773"/>
      <c r="FM849" s="773"/>
      <c r="FN849" s="773"/>
      <c r="FO849" s="773"/>
      <c r="FP849" s="773"/>
      <c r="FQ849" s="773"/>
      <c r="FR849" s="773"/>
      <c r="FS849" s="773"/>
      <c r="FT849" s="773"/>
      <c r="FU849" s="773"/>
      <c r="FV849" s="773"/>
      <c r="FW849" s="773"/>
      <c r="FX849" s="773"/>
      <c r="FY849" s="773"/>
      <c r="FZ849" s="773"/>
      <c r="GA849" s="773"/>
      <c r="GB849" s="773"/>
      <c r="GC849" s="773"/>
      <c r="GD849" s="773"/>
      <c r="GE849" s="773"/>
      <c r="GF849" s="773"/>
      <c r="GG849" s="773"/>
      <c r="GH849" s="773"/>
      <c r="GI849" s="773"/>
      <c r="GJ849" s="773"/>
      <c r="GK849" s="773"/>
      <c r="GL849" s="773"/>
      <c r="GM849" s="773"/>
      <c r="GN849" s="773"/>
      <c r="GO849" s="773"/>
      <c r="GP849" s="773"/>
      <c r="GQ849" s="773"/>
      <c r="GR849" s="773"/>
      <c r="GS849" s="773"/>
      <c r="GT849" s="773"/>
      <c r="GU849" s="773"/>
      <c r="GV849" s="773"/>
      <c r="GW849" s="773"/>
      <c r="GX849" s="773"/>
      <c r="GY849" s="773"/>
      <c r="GZ849" s="773"/>
    </row>
    <row r="850" spans="1:208" s="11" customFormat="1">
      <c r="A850" s="780"/>
      <c r="B850" s="3790" t="s">
        <v>1375</v>
      </c>
      <c r="C850" s="197">
        <v>7141013</v>
      </c>
      <c r="D850" s="199" t="s">
        <v>3928</v>
      </c>
      <c r="E850" s="798">
        <f>IFERROR(VLOOKUP(C850,'AJE 12 - INC'!$D$168:$F$771,3,0),0)</f>
        <v>15523.76</v>
      </c>
      <c r="F850" s="108">
        <f>SUMIF('AJE 12 - INC'!B:B,'New TB INC'!C850,'AJE 12 - INC'!D:D)</f>
        <v>0</v>
      </c>
      <c r="G850" s="108"/>
      <c r="H850" s="108"/>
      <c r="I850" s="108"/>
      <c r="J850" s="859">
        <f>SUM(E850:I850)</f>
        <v>15523.76</v>
      </c>
      <c r="K850" s="4501"/>
      <c r="L850" s="434"/>
      <c r="M850" s="828"/>
      <c r="N850" s="773"/>
      <c r="O850" s="773"/>
      <c r="P850" s="773"/>
      <c r="Q850" s="773"/>
      <c r="R850" s="773"/>
      <c r="S850" s="773"/>
      <c r="T850" s="773"/>
      <c r="U850" s="2173"/>
      <c r="V850" s="2509"/>
      <c r="W850" s="2509"/>
      <c r="X850" s="2509"/>
      <c r="Y850" s="2509"/>
      <c r="AF850" s="11">
        <v>-485</v>
      </c>
      <c r="AG850" s="11">
        <v>4365.9400000000005</v>
      </c>
      <c r="AH850" s="11">
        <v>1940.4699999999993</v>
      </c>
      <c r="AI850" s="11">
        <v>1940.4700000000003</v>
      </c>
      <c r="AJ850" s="11">
        <v>1455.37</v>
      </c>
      <c r="AK850" s="11">
        <f>$J850-SUM($Z850:AJ850)</f>
        <v>6306.51</v>
      </c>
      <c r="AW850" s="2509"/>
      <c r="BE850" s="2173"/>
      <c r="BF850" s="2173"/>
      <c r="BG850" s="2173"/>
      <c r="BH850" s="2173"/>
      <c r="BI850" s="2173"/>
      <c r="BJ850" s="2173"/>
      <c r="BK850" s="2173"/>
      <c r="BL850" s="773"/>
      <c r="BM850" s="773"/>
      <c r="BN850" s="773"/>
      <c r="BO850" s="209"/>
      <c r="BP850" s="209"/>
      <c r="BQ850" s="209"/>
      <c r="BR850" s="209"/>
      <c r="BS850" s="209"/>
      <c r="BT850" s="773"/>
      <c r="BU850" s="773"/>
      <c r="BV850" s="773"/>
      <c r="BW850" s="773"/>
      <c r="BX850" s="773"/>
      <c r="BY850" s="773"/>
      <c r="BZ850" s="773"/>
      <c r="CA850" s="773"/>
      <c r="CB850" s="773"/>
      <c r="CC850" s="773"/>
      <c r="CD850" s="773"/>
      <c r="CE850" s="773"/>
      <c r="CF850" s="773"/>
      <c r="CG850" s="773"/>
      <c r="CH850" s="773"/>
      <c r="CI850" s="773"/>
      <c r="CJ850" s="773"/>
      <c r="CK850" s="773"/>
      <c r="CL850" s="773"/>
      <c r="CM850" s="773"/>
      <c r="CN850" s="773"/>
      <c r="CO850" s="773"/>
      <c r="CP850" s="773"/>
      <c r="CQ850" s="773"/>
      <c r="CR850" s="773"/>
      <c r="CS850" s="773"/>
      <c r="CT850" s="773"/>
      <c r="CU850" s="773"/>
      <c r="CV850" s="773"/>
      <c r="CW850" s="773"/>
      <c r="CX850" s="773"/>
      <c r="CY850" s="773"/>
      <c r="CZ850" s="773"/>
      <c r="DA850" s="773"/>
      <c r="DB850" s="773"/>
      <c r="DC850" s="773"/>
      <c r="DD850" s="773"/>
      <c r="DE850" s="773"/>
      <c r="DF850" s="773"/>
      <c r="DG850" s="773"/>
      <c r="DH850" s="773"/>
      <c r="DI850" s="773"/>
      <c r="DJ850" s="773"/>
      <c r="DK850" s="773"/>
      <c r="DL850" s="773"/>
      <c r="DM850" s="773"/>
      <c r="DN850" s="773"/>
      <c r="DO850" s="773"/>
      <c r="DP850" s="773"/>
      <c r="DQ850" s="773"/>
      <c r="DR850" s="773"/>
      <c r="DS850" s="773"/>
      <c r="DT850" s="773"/>
      <c r="DU850" s="773"/>
      <c r="DV850" s="773"/>
      <c r="DW850" s="773"/>
      <c r="DX850" s="773"/>
      <c r="DY850" s="773"/>
      <c r="DZ850" s="773"/>
      <c r="EA850" s="773"/>
      <c r="EB850" s="773"/>
      <c r="EC850" s="773"/>
      <c r="ED850" s="773"/>
      <c r="EE850" s="773"/>
      <c r="EF850" s="773"/>
      <c r="EG850" s="773"/>
      <c r="EH850" s="773"/>
      <c r="EI850" s="773"/>
      <c r="EJ850" s="773"/>
      <c r="EK850" s="773"/>
      <c r="EL850" s="773"/>
      <c r="EM850" s="773"/>
      <c r="EN850" s="773"/>
      <c r="EO850" s="773"/>
      <c r="EP850" s="773"/>
      <c r="EQ850" s="773"/>
      <c r="ER850" s="773"/>
      <c r="ES850" s="773"/>
      <c r="ET850" s="773"/>
      <c r="EU850" s="773"/>
      <c r="EV850" s="773"/>
      <c r="EW850" s="773"/>
      <c r="EX850" s="773"/>
      <c r="EY850" s="773"/>
      <c r="EZ850" s="773"/>
      <c r="FA850" s="773"/>
      <c r="FB850" s="773"/>
      <c r="FC850" s="773"/>
      <c r="FD850" s="773"/>
      <c r="FE850" s="773"/>
      <c r="FF850" s="773"/>
      <c r="FG850" s="773"/>
      <c r="FH850" s="773"/>
      <c r="FI850" s="773"/>
      <c r="FJ850" s="773"/>
      <c r="FK850" s="773"/>
      <c r="FL850" s="773"/>
      <c r="FM850" s="773"/>
      <c r="FN850" s="773"/>
      <c r="FO850" s="773"/>
      <c r="FP850" s="773"/>
      <c r="FQ850" s="773"/>
      <c r="FR850" s="773"/>
      <c r="FS850" s="773"/>
      <c r="FT850" s="773"/>
      <c r="FU850" s="773"/>
      <c r="FV850" s="773"/>
      <c r="FW850" s="773"/>
      <c r="FX850" s="773"/>
      <c r="FY850" s="773"/>
      <c r="FZ850" s="773"/>
      <c r="GA850" s="773"/>
      <c r="GB850" s="773"/>
      <c r="GC850" s="773"/>
      <c r="GD850" s="773"/>
      <c r="GE850" s="773"/>
      <c r="GF850" s="773"/>
      <c r="GG850" s="773"/>
      <c r="GH850" s="773"/>
      <c r="GI850" s="773"/>
      <c r="GJ850" s="773"/>
      <c r="GK850" s="773"/>
      <c r="GL850" s="773"/>
      <c r="GM850" s="773"/>
      <c r="GN850" s="773"/>
      <c r="GO850" s="773"/>
      <c r="GP850" s="773"/>
      <c r="GQ850" s="773"/>
      <c r="GR850" s="773"/>
      <c r="GS850" s="773"/>
      <c r="GT850" s="773"/>
      <c r="GU850" s="773"/>
      <c r="GV850" s="773"/>
      <c r="GW850" s="773"/>
      <c r="GX850" s="773"/>
      <c r="GY850" s="773"/>
      <c r="GZ850" s="773"/>
    </row>
    <row r="851" spans="1:208" s="11" customFormat="1">
      <c r="A851" s="780"/>
      <c r="B851" s="3790" t="s">
        <v>1375</v>
      </c>
      <c r="C851" s="197">
        <v>7141005</v>
      </c>
      <c r="D851" s="199" t="s">
        <v>3661</v>
      </c>
      <c r="E851" s="798">
        <f>IFERROR(VLOOKUP(C851,'AJE 12 - INC'!$D$168:$F$771,3,0),0)</f>
        <v>16921.39</v>
      </c>
      <c r="F851" s="108">
        <f>SUMIF('AJE 12 - INC'!B:B,'New TB INC'!C851,'AJE 12 - INC'!D:D)</f>
        <v>0</v>
      </c>
      <c r="G851" s="108"/>
      <c r="H851" s="108"/>
      <c r="I851" s="108"/>
      <c r="J851" s="859">
        <f t="shared" si="86"/>
        <v>16921.39</v>
      </c>
      <c r="K851" s="4501"/>
      <c r="L851" s="434"/>
      <c r="M851" s="828"/>
      <c r="N851" s="773"/>
      <c r="O851" s="773"/>
      <c r="P851" s="773"/>
      <c r="Q851" s="773"/>
      <c r="R851" s="773"/>
      <c r="S851" s="773"/>
      <c r="T851" s="773"/>
      <c r="U851" s="2173"/>
      <c r="V851" s="2509"/>
      <c r="W851" s="2509"/>
      <c r="X851" s="2509"/>
      <c r="Y851" s="2509"/>
      <c r="AD851" s="11">
        <f>'[30]New TB INC'!AD801</f>
        <v>2389.85</v>
      </c>
      <c r="AE851" s="11">
        <f>'[31]New TB INC'!AE810</f>
        <v>1890.5499999999997</v>
      </c>
      <c r="AF851" s="11">
        <v>1845.79</v>
      </c>
      <c r="AG851" s="11">
        <v>2802.04</v>
      </c>
      <c r="AH851" s="11">
        <v>2437.42</v>
      </c>
      <c r="AI851" s="11">
        <v>2354.7900000000009</v>
      </c>
      <c r="AJ851" s="11">
        <v>1595.4599999999991</v>
      </c>
      <c r="AK851" s="11">
        <f>$J851-SUM($Z851:AJ851)</f>
        <v>1605.4899999999998</v>
      </c>
      <c r="AW851" s="2509"/>
      <c r="BE851" s="2173"/>
      <c r="BF851" s="2173"/>
      <c r="BG851" s="2173"/>
      <c r="BH851" s="2173"/>
      <c r="BI851" s="2173"/>
      <c r="BJ851" s="2173"/>
      <c r="BK851" s="2173"/>
      <c r="BL851" s="773"/>
      <c r="BM851" s="773"/>
      <c r="BN851" s="773"/>
      <c r="BO851" s="209"/>
      <c r="BP851" s="209"/>
      <c r="BQ851" s="209"/>
      <c r="BR851" s="209"/>
      <c r="BS851" s="209"/>
      <c r="BT851" s="773"/>
      <c r="BU851" s="773"/>
      <c r="BV851" s="773"/>
      <c r="BW851" s="773"/>
      <c r="BX851" s="773"/>
      <c r="BY851" s="773"/>
      <c r="BZ851" s="773"/>
      <c r="CA851" s="773"/>
      <c r="CB851" s="773"/>
      <c r="CC851" s="773"/>
      <c r="CD851" s="773"/>
      <c r="CE851" s="773"/>
      <c r="CF851" s="773"/>
      <c r="CG851" s="773"/>
      <c r="CH851" s="773"/>
      <c r="CI851" s="773"/>
      <c r="CJ851" s="773"/>
      <c r="CK851" s="773"/>
      <c r="CL851" s="773"/>
      <c r="CM851" s="773"/>
      <c r="CN851" s="773"/>
      <c r="CO851" s="773"/>
      <c r="CP851" s="773"/>
      <c r="CQ851" s="773"/>
      <c r="CR851" s="773"/>
      <c r="CS851" s="773"/>
      <c r="CT851" s="773"/>
      <c r="CU851" s="773"/>
      <c r="CV851" s="773"/>
      <c r="CW851" s="773"/>
      <c r="CX851" s="773"/>
      <c r="CY851" s="773"/>
      <c r="CZ851" s="773"/>
      <c r="DA851" s="773"/>
      <c r="DB851" s="773"/>
      <c r="DC851" s="773"/>
      <c r="DD851" s="773"/>
      <c r="DE851" s="773"/>
      <c r="DF851" s="773"/>
      <c r="DG851" s="773"/>
      <c r="DH851" s="773"/>
      <c r="DI851" s="773"/>
      <c r="DJ851" s="773"/>
      <c r="DK851" s="773"/>
      <c r="DL851" s="773"/>
      <c r="DM851" s="773"/>
      <c r="DN851" s="773"/>
      <c r="DO851" s="773"/>
      <c r="DP851" s="773"/>
      <c r="DQ851" s="773"/>
      <c r="DR851" s="773"/>
      <c r="DS851" s="773"/>
      <c r="DT851" s="773"/>
      <c r="DU851" s="773"/>
      <c r="DV851" s="773"/>
      <c r="DW851" s="773"/>
      <c r="DX851" s="773"/>
      <c r="DY851" s="773"/>
      <c r="DZ851" s="773"/>
      <c r="EA851" s="773"/>
      <c r="EB851" s="773"/>
      <c r="EC851" s="773"/>
      <c r="ED851" s="773"/>
      <c r="EE851" s="773"/>
      <c r="EF851" s="773"/>
      <c r="EG851" s="773"/>
      <c r="EH851" s="773"/>
      <c r="EI851" s="773"/>
      <c r="EJ851" s="773"/>
      <c r="EK851" s="773"/>
      <c r="EL851" s="773"/>
      <c r="EM851" s="773"/>
      <c r="EN851" s="773"/>
      <c r="EO851" s="773"/>
      <c r="EP851" s="773"/>
      <c r="EQ851" s="773"/>
      <c r="ER851" s="773"/>
      <c r="ES851" s="773"/>
      <c r="ET851" s="773"/>
      <c r="EU851" s="773"/>
      <c r="EV851" s="773"/>
      <c r="EW851" s="773"/>
      <c r="EX851" s="773"/>
      <c r="EY851" s="773"/>
      <c r="EZ851" s="773"/>
      <c r="FA851" s="773"/>
      <c r="FB851" s="773"/>
      <c r="FC851" s="773"/>
      <c r="FD851" s="773"/>
      <c r="FE851" s="773"/>
      <c r="FF851" s="773"/>
      <c r="FG851" s="773"/>
      <c r="FH851" s="773"/>
      <c r="FI851" s="773"/>
      <c r="FJ851" s="773"/>
      <c r="FK851" s="773"/>
      <c r="FL851" s="773"/>
      <c r="FM851" s="773"/>
      <c r="FN851" s="773"/>
      <c r="FO851" s="773"/>
      <c r="FP851" s="773"/>
      <c r="FQ851" s="773"/>
      <c r="FR851" s="773"/>
      <c r="FS851" s="773"/>
      <c r="FT851" s="773"/>
      <c r="FU851" s="773"/>
      <c r="FV851" s="773"/>
      <c r="FW851" s="773"/>
      <c r="FX851" s="773"/>
      <c r="FY851" s="773"/>
      <c r="FZ851" s="773"/>
      <c r="GA851" s="773"/>
      <c r="GB851" s="773"/>
      <c r="GC851" s="773"/>
      <c r="GD851" s="773"/>
      <c r="GE851" s="773"/>
      <c r="GF851" s="773"/>
      <c r="GG851" s="773"/>
      <c r="GH851" s="773"/>
      <c r="GI851" s="773"/>
      <c r="GJ851" s="773"/>
      <c r="GK851" s="773"/>
      <c r="GL851" s="773"/>
      <c r="GM851" s="773"/>
      <c r="GN851" s="773"/>
      <c r="GO851" s="773"/>
      <c r="GP851" s="773"/>
      <c r="GQ851" s="773"/>
      <c r="GR851" s="773"/>
      <c r="GS851" s="773"/>
      <c r="GT851" s="773"/>
      <c r="GU851" s="773"/>
      <c r="GV851" s="773"/>
      <c r="GW851" s="773"/>
      <c r="GX851" s="773"/>
      <c r="GY851" s="773"/>
      <c r="GZ851" s="773"/>
    </row>
    <row r="852" spans="1:208" s="11" customFormat="1" ht="13.5" thickBot="1">
      <c r="A852" s="780"/>
      <c r="B852" s="3791" t="s">
        <v>1375</v>
      </c>
      <c r="C852" s="2889">
        <v>7141016</v>
      </c>
      <c r="D852" s="2890" t="s">
        <v>3662</v>
      </c>
      <c r="E852" s="2891">
        <f>IFERROR(VLOOKUP(C852,'AJE 12 - INC'!$D$168:$F$771,3,0),0)</f>
        <v>804.43</v>
      </c>
      <c r="F852" s="2892">
        <f>SUMIF('AJE 12 - INC'!B:B,'New TB INC'!C852,'AJE 12 - INC'!D:D)</f>
        <v>0</v>
      </c>
      <c r="G852" s="2892"/>
      <c r="H852" s="2892"/>
      <c r="I852" s="2892"/>
      <c r="J852" s="2893">
        <f t="shared" si="86"/>
        <v>804.43</v>
      </c>
      <c r="K852" s="4502"/>
      <c r="L852" s="434"/>
      <c r="M852" s="828"/>
      <c r="N852" s="773"/>
      <c r="O852" s="773"/>
      <c r="P852" s="773"/>
      <c r="Q852" s="773"/>
      <c r="R852" s="773"/>
      <c r="S852" s="773"/>
      <c r="T852" s="773"/>
      <c r="U852" s="2173"/>
      <c r="V852" s="2509"/>
      <c r="W852" s="2509"/>
      <c r="X852" s="2509"/>
      <c r="Y852" s="2509"/>
      <c r="AD852" s="11">
        <f>'[30]New TB INC'!AD802</f>
        <v>97.87</v>
      </c>
      <c r="AE852" s="11">
        <f>'[31]New TB INC'!AE811</f>
        <v>93.919999999999987</v>
      </c>
      <c r="AF852" s="11">
        <v>92.330000000000013</v>
      </c>
      <c r="AG852" s="11">
        <v>137.69</v>
      </c>
      <c r="AH852" s="11">
        <v>84.910000000000025</v>
      </c>
      <c r="AI852" s="11">
        <v>94.949999999999932</v>
      </c>
      <c r="AJ852" s="11">
        <v>100.10000000000002</v>
      </c>
      <c r="AK852" s="11">
        <f>$J852-SUM($Z852:AJ852)</f>
        <v>102.65999999999997</v>
      </c>
      <c r="AW852" s="2509"/>
      <c r="BE852" s="2173"/>
      <c r="BF852" s="2173"/>
      <c r="BG852" s="2173"/>
      <c r="BH852" s="2173"/>
      <c r="BI852" s="2173"/>
      <c r="BJ852" s="2173"/>
      <c r="BK852" s="2173"/>
      <c r="BL852" s="773"/>
      <c r="BM852" s="773"/>
      <c r="BN852" s="773"/>
      <c r="BO852" s="209"/>
      <c r="BP852" s="209"/>
      <c r="BQ852" s="209"/>
      <c r="BR852" s="209"/>
      <c r="BS852" s="209"/>
      <c r="BT852" s="773"/>
      <c r="BU852" s="773"/>
      <c r="BV852" s="773"/>
      <c r="BW852" s="773"/>
      <c r="BX852" s="773"/>
      <c r="BY852" s="773"/>
      <c r="BZ852" s="773"/>
      <c r="CA852" s="773"/>
      <c r="CB852" s="773"/>
      <c r="CC852" s="773"/>
      <c r="CD852" s="773"/>
      <c r="CE852" s="773"/>
      <c r="CF852" s="773"/>
      <c r="CG852" s="773"/>
      <c r="CH852" s="773"/>
      <c r="CI852" s="773"/>
      <c r="CJ852" s="773"/>
      <c r="CK852" s="773"/>
      <c r="CL852" s="773"/>
      <c r="CM852" s="773"/>
      <c r="CN852" s="773"/>
      <c r="CO852" s="773"/>
      <c r="CP852" s="773"/>
      <c r="CQ852" s="773"/>
      <c r="CR852" s="773"/>
      <c r="CS852" s="773"/>
      <c r="CT852" s="773"/>
      <c r="CU852" s="773"/>
      <c r="CV852" s="773"/>
      <c r="CW852" s="773"/>
      <c r="CX852" s="773"/>
      <c r="CY852" s="773"/>
      <c r="CZ852" s="773"/>
      <c r="DA852" s="773"/>
      <c r="DB852" s="773"/>
      <c r="DC852" s="773"/>
      <c r="DD852" s="773"/>
      <c r="DE852" s="773"/>
      <c r="DF852" s="773"/>
      <c r="DG852" s="773"/>
      <c r="DH852" s="773"/>
      <c r="DI852" s="773"/>
      <c r="DJ852" s="773"/>
      <c r="DK852" s="773"/>
      <c r="DL852" s="773"/>
      <c r="DM852" s="773"/>
      <c r="DN852" s="773"/>
      <c r="DO852" s="773"/>
      <c r="DP852" s="773"/>
      <c r="DQ852" s="773"/>
      <c r="DR852" s="773"/>
      <c r="DS852" s="773"/>
      <c r="DT852" s="773"/>
      <c r="DU852" s="773"/>
      <c r="DV852" s="773"/>
      <c r="DW852" s="773"/>
      <c r="DX852" s="773"/>
      <c r="DY852" s="773"/>
      <c r="DZ852" s="773"/>
      <c r="EA852" s="773"/>
      <c r="EB852" s="773"/>
      <c r="EC852" s="773"/>
      <c r="ED852" s="773"/>
      <c r="EE852" s="773"/>
      <c r="EF852" s="773"/>
      <c r="EG852" s="773"/>
      <c r="EH852" s="773"/>
      <c r="EI852" s="773"/>
      <c r="EJ852" s="773"/>
      <c r="EK852" s="773"/>
      <c r="EL852" s="773"/>
      <c r="EM852" s="773"/>
      <c r="EN852" s="773"/>
      <c r="EO852" s="773"/>
      <c r="EP852" s="773"/>
      <c r="EQ852" s="773"/>
      <c r="ER852" s="773"/>
      <c r="ES852" s="773"/>
      <c r="ET852" s="773"/>
      <c r="EU852" s="773"/>
      <c r="EV852" s="773"/>
      <c r="EW852" s="773"/>
      <c r="EX852" s="773"/>
      <c r="EY852" s="773"/>
      <c r="EZ852" s="773"/>
      <c r="FA852" s="773"/>
      <c r="FB852" s="773"/>
      <c r="FC852" s="773"/>
      <c r="FD852" s="773"/>
      <c r="FE852" s="773"/>
      <c r="FF852" s="773"/>
      <c r="FG852" s="773"/>
      <c r="FH852" s="773"/>
      <c r="FI852" s="773"/>
      <c r="FJ852" s="773"/>
      <c r="FK852" s="773"/>
      <c r="FL852" s="773"/>
      <c r="FM852" s="773"/>
      <c r="FN852" s="773"/>
      <c r="FO852" s="773"/>
      <c r="FP852" s="773"/>
      <c r="FQ852" s="773"/>
      <c r="FR852" s="773"/>
      <c r="FS852" s="773"/>
      <c r="FT852" s="773"/>
      <c r="FU852" s="773"/>
      <c r="FV852" s="773"/>
      <c r="FW852" s="773"/>
      <c r="FX852" s="773"/>
      <c r="FY852" s="773"/>
      <c r="FZ852" s="773"/>
      <c r="GA852" s="773"/>
      <c r="GB852" s="773"/>
      <c r="GC852" s="773"/>
      <c r="GD852" s="773"/>
      <c r="GE852" s="773"/>
      <c r="GF852" s="773"/>
      <c r="GG852" s="773"/>
      <c r="GH852" s="773"/>
      <c r="GI852" s="773"/>
      <c r="GJ852" s="773"/>
      <c r="GK852" s="773"/>
      <c r="GL852" s="773"/>
      <c r="GM852" s="773"/>
      <c r="GN852" s="773"/>
      <c r="GO852" s="773"/>
      <c r="GP852" s="773"/>
      <c r="GQ852" s="773"/>
      <c r="GR852" s="773"/>
      <c r="GS852" s="773"/>
      <c r="GT852" s="773"/>
      <c r="GU852" s="773"/>
      <c r="GV852" s="773"/>
      <c r="GW852" s="773"/>
      <c r="GX852" s="773"/>
      <c r="GY852" s="773"/>
      <c r="GZ852" s="773"/>
    </row>
    <row r="853" spans="1:208" s="11" customFormat="1" ht="12.6" customHeight="1">
      <c r="A853" s="780"/>
      <c r="B853" s="3789" t="s">
        <v>752</v>
      </c>
      <c r="C853" s="2885">
        <v>7140001</v>
      </c>
      <c r="D853" s="2886" t="s">
        <v>753</v>
      </c>
      <c r="E853" s="2887">
        <f>IFERROR(VLOOKUP(C853,'AJE 12 - INC'!$D$168:$F$771,3,0),0)</f>
        <v>300499.92</v>
      </c>
      <c r="F853" s="899">
        <f>SUMIF('AJE 12 - INC'!B:B,'New TB INC'!C853,'AJE 12 - INC'!D:D)</f>
        <v>0</v>
      </c>
      <c r="G853" s="899"/>
      <c r="H853" s="899"/>
      <c r="I853" s="899"/>
      <c r="J853" s="2888">
        <f t="shared" si="86"/>
        <v>300499.92</v>
      </c>
      <c r="K853" s="4500" t="s">
        <v>1827</v>
      </c>
      <c r="L853" s="449"/>
      <c r="M853" s="828"/>
      <c r="N853" s="773">
        <v>37541.660000000003</v>
      </c>
      <c r="O853" s="773">
        <v>37541.660000000003</v>
      </c>
      <c r="P853" s="773">
        <v>19368.589999999997</v>
      </c>
      <c r="Q853" s="773">
        <v>12541.660000000003</v>
      </c>
      <c r="R853" s="773">
        <v>12541.659999999989</v>
      </c>
      <c r="S853" s="11">
        <v>12541.660000000018</v>
      </c>
      <c r="T853" s="773">
        <v>12541.659999999974</v>
      </c>
      <c r="U853" s="2173">
        <v>12541.660000000003</v>
      </c>
      <c r="V853" s="2509">
        <v>19928.03</v>
      </c>
      <c r="W853" s="2509">
        <v>25041.660000000003</v>
      </c>
      <c r="X853" s="2509">
        <v>25041.660000000003</v>
      </c>
      <c r="Y853" s="2509">
        <v>25041.660000000003</v>
      </c>
      <c r="Z853" s="11">
        <f>'[26]New TB INC'!Z795</f>
        <v>25041.66</v>
      </c>
      <c r="AA853" s="11">
        <f>'[27]New TB INC'!AA802</f>
        <v>25041.66</v>
      </c>
      <c r="AB853" s="11">
        <f>'[28]New TB INC'!AB811</f>
        <v>25041.659999999996</v>
      </c>
      <c r="AC853" s="11">
        <f>'[29]New TB INC'!AC808</f>
        <v>25041.660000000003</v>
      </c>
      <c r="AD853" s="11">
        <f>'[30]New TB INC'!AD803</f>
        <v>25041.660000000003</v>
      </c>
      <c r="AE853" s="11">
        <f>'[31]New TB INC'!AE812</f>
        <v>25041.659999999989</v>
      </c>
      <c r="AF853" s="11">
        <v>25041.660000000003</v>
      </c>
      <c r="AG853" s="11">
        <v>25041.660000000003</v>
      </c>
      <c r="AH853" s="11">
        <v>25041.660000000003</v>
      </c>
      <c r="AI853" s="11">
        <v>25041.660000000003</v>
      </c>
      <c r="AJ853" s="11">
        <v>25041.660000000003</v>
      </c>
      <c r="AK853" s="11">
        <f>$J853-SUM($Z853:AJ853)</f>
        <v>25041.659999999974</v>
      </c>
      <c r="AW853" s="2509"/>
      <c r="BE853" s="2173"/>
      <c r="BF853" s="2173"/>
      <c r="BG853" s="2173"/>
      <c r="BH853" s="2173"/>
      <c r="BI853" s="2173"/>
      <c r="BJ853" s="2173"/>
      <c r="BK853" s="2173"/>
      <c r="BL853" s="773"/>
      <c r="BN853" s="773"/>
      <c r="BO853" s="209"/>
      <c r="BP853" s="799"/>
      <c r="BQ853" s="209"/>
      <c r="BR853" s="209"/>
      <c r="BS853" s="209"/>
      <c r="BT853" s="773"/>
      <c r="BU853" s="773"/>
      <c r="BV853" s="773"/>
      <c r="BW853" s="773"/>
      <c r="BX853" s="773"/>
      <c r="BY853" s="773"/>
      <c r="BZ853" s="773"/>
      <c r="CA853" s="773"/>
      <c r="CB853" s="773"/>
      <c r="CC853" s="773"/>
      <c r="CD853" s="773"/>
      <c r="CE853" s="773"/>
      <c r="CF853" s="773"/>
      <c r="CG853" s="773"/>
      <c r="CH853" s="773"/>
      <c r="CI853" s="773"/>
      <c r="CJ853" s="773"/>
      <c r="CK853" s="773"/>
      <c r="CL853" s="773"/>
      <c r="CM853" s="773"/>
      <c r="CN853" s="773"/>
      <c r="CO853" s="773"/>
      <c r="CP853" s="773"/>
      <c r="CQ853" s="773"/>
      <c r="CR853" s="773"/>
      <c r="CS853" s="773"/>
      <c r="CT853" s="773"/>
      <c r="CU853" s="773"/>
      <c r="CV853" s="773"/>
      <c r="CW853" s="773"/>
      <c r="CX853" s="773"/>
      <c r="CY853" s="773"/>
      <c r="CZ853" s="773"/>
      <c r="DA853" s="773"/>
      <c r="DB853" s="773"/>
      <c r="DC853" s="773"/>
      <c r="DD853" s="773"/>
      <c r="DE853" s="773"/>
      <c r="DF853" s="773"/>
      <c r="DG853" s="773"/>
      <c r="DH853" s="773"/>
      <c r="DI853" s="773"/>
      <c r="DJ853" s="773"/>
      <c r="DK853" s="773"/>
      <c r="DL853" s="773"/>
      <c r="DM853" s="773"/>
      <c r="DN853" s="773"/>
      <c r="DO853" s="773"/>
      <c r="DP853" s="773"/>
      <c r="DQ853" s="773"/>
      <c r="DR853" s="773"/>
      <c r="DS853" s="773"/>
      <c r="DT853" s="773"/>
      <c r="DU853" s="773"/>
      <c r="DV853" s="773"/>
      <c r="DW853" s="773"/>
      <c r="DX853" s="773"/>
      <c r="DY853" s="773"/>
      <c r="DZ853" s="773"/>
      <c r="EA853" s="773"/>
      <c r="EB853" s="773"/>
      <c r="EC853" s="773"/>
      <c r="ED853" s="773"/>
      <c r="EE853" s="773"/>
      <c r="EF853" s="773"/>
      <c r="EG853" s="773"/>
      <c r="EH853" s="773"/>
      <c r="EI853" s="773"/>
      <c r="EJ853" s="773"/>
      <c r="EK853" s="773"/>
      <c r="EL853" s="773"/>
      <c r="EM853" s="773"/>
      <c r="EN853" s="773"/>
      <c r="EO853" s="773"/>
      <c r="EP853" s="773"/>
      <c r="EQ853" s="773"/>
      <c r="ER853" s="773"/>
      <c r="ES853" s="773"/>
      <c r="ET853" s="773"/>
      <c r="EU853" s="773"/>
      <c r="EV853" s="773"/>
      <c r="EW853" s="773"/>
      <c r="EX853" s="773"/>
      <c r="EY853" s="773"/>
      <c r="EZ853" s="773"/>
      <c r="FA853" s="773"/>
      <c r="FB853" s="773"/>
      <c r="FC853" s="773"/>
      <c r="FD853" s="773"/>
      <c r="FE853" s="773"/>
      <c r="FF853" s="773"/>
      <c r="FG853" s="773"/>
      <c r="FH853" s="773"/>
      <c r="FI853" s="773"/>
      <c r="FJ853" s="773"/>
      <c r="FK853" s="773"/>
      <c r="FL853" s="773"/>
      <c r="FM853" s="773"/>
      <c r="FN853" s="773"/>
      <c r="FO853" s="773"/>
      <c r="FP853" s="773"/>
      <c r="FQ853" s="773"/>
      <c r="FR853" s="773"/>
      <c r="FS853" s="773"/>
      <c r="FT853" s="773"/>
      <c r="FU853" s="773"/>
      <c r="FV853" s="773"/>
      <c r="FW853" s="773"/>
      <c r="FX853" s="773"/>
      <c r="FY853" s="773"/>
      <c r="FZ853" s="773"/>
      <c r="GA853" s="773"/>
      <c r="GB853" s="773"/>
      <c r="GC853" s="773"/>
      <c r="GD853" s="773"/>
      <c r="GE853" s="773"/>
      <c r="GF853" s="773"/>
      <c r="GG853" s="773"/>
      <c r="GH853" s="773"/>
      <c r="GI853" s="773"/>
      <c r="GJ853" s="773"/>
      <c r="GK853" s="773"/>
      <c r="GL853" s="773"/>
      <c r="GM853" s="773"/>
      <c r="GN853" s="773"/>
      <c r="GO853" s="773"/>
      <c r="GP853" s="773"/>
      <c r="GQ853" s="773"/>
      <c r="GR853" s="773"/>
      <c r="GS853" s="773"/>
      <c r="GT853" s="773"/>
      <c r="GU853" s="773"/>
      <c r="GV853" s="773"/>
      <c r="GW853" s="773"/>
      <c r="GX853" s="773"/>
      <c r="GY853" s="773"/>
      <c r="GZ853" s="773"/>
    </row>
    <row r="854" spans="1:208" s="11" customFormat="1" ht="12.95" customHeight="1">
      <c r="A854" s="774"/>
      <c r="B854" s="3790" t="s">
        <v>752</v>
      </c>
      <c r="C854" s="197">
        <v>7140013</v>
      </c>
      <c r="D854" s="199" t="s">
        <v>924</v>
      </c>
      <c r="E854" s="798">
        <f>IFERROR(VLOOKUP(C854,'AJE 12 - INC'!$D$168:$F$771,3,0),0)</f>
        <v>31580.28</v>
      </c>
      <c r="F854" s="108">
        <f>SUMIF('AJE 12 - INC'!B:B,'New TB INC'!C854,'AJE 12 - INC'!D:D)</f>
        <v>0</v>
      </c>
      <c r="G854" s="108"/>
      <c r="H854" s="108"/>
      <c r="I854" s="108"/>
      <c r="J854" s="859">
        <f t="shared" si="86"/>
        <v>31580.28</v>
      </c>
      <c r="K854" s="4501"/>
      <c r="L854" s="434"/>
      <c r="M854" s="883"/>
      <c r="N854" s="11">
        <v>4099.51</v>
      </c>
      <c r="O854" s="11">
        <v>4099.51</v>
      </c>
      <c r="P854" s="11">
        <v>3193.0699999999997</v>
      </c>
      <c r="Q854" s="11">
        <v>3711.08</v>
      </c>
      <c r="R854" s="773">
        <v>1030.9099999999999</v>
      </c>
      <c r="S854" s="11">
        <v>1030.9100000000017</v>
      </c>
      <c r="T854" s="773">
        <v>-1289.2900000000009</v>
      </c>
      <c r="U854" s="2173">
        <v>1030.9099999999999</v>
      </c>
      <c r="V854" s="2509">
        <v>1030.9099999999999</v>
      </c>
      <c r="W854" s="2509">
        <v>1030.9099999999999</v>
      </c>
      <c r="X854" s="2509">
        <v>1030.9099999999999</v>
      </c>
      <c r="Y854" s="2509">
        <v>1030.9099999999999</v>
      </c>
      <c r="Z854" s="11">
        <f>'[26]New TB INC'!Z814</f>
        <v>766.01</v>
      </c>
      <c r="AA854" s="11">
        <f>'[27]New TB INC'!AA823</f>
        <v>4497.37</v>
      </c>
      <c r="AB854" s="11">
        <f>'[28]New TB INC'!AB832</f>
        <v>2631.6899999999996</v>
      </c>
      <c r="AC854" s="11">
        <f>'[29]New TB INC'!AC829</f>
        <v>2631.6900000000005</v>
      </c>
      <c r="AD854" s="11">
        <f>'[30]New TB INC'!AD804</f>
        <v>2631.6900000000005</v>
      </c>
      <c r="AE854" s="11">
        <f>'[31]New TB INC'!AE813</f>
        <v>2631.6899999999987</v>
      </c>
      <c r="AF854" s="11">
        <v>2631.6900000000023</v>
      </c>
      <c r="AG854" s="11">
        <v>2631.6899999999987</v>
      </c>
      <c r="AH854" s="11">
        <v>2631.6899999999987</v>
      </c>
      <c r="AI854" s="11">
        <v>2631.6900000000023</v>
      </c>
      <c r="AJ854" s="11">
        <v>2631.6899999999987</v>
      </c>
      <c r="AK854" s="11">
        <f>$J854-SUM($Z854:AJ854)</f>
        <v>2631.6899999999987</v>
      </c>
      <c r="AW854" s="2509"/>
      <c r="BE854" s="2173"/>
      <c r="BF854" s="2173"/>
      <c r="BG854" s="2173"/>
      <c r="BH854" s="2173"/>
      <c r="BI854" s="2173"/>
      <c r="BJ854" s="2173"/>
      <c r="BK854" s="2173"/>
      <c r="BL854" s="773"/>
      <c r="BN854" s="773"/>
      <c r="BO854" s="209"/>
      <c r="BP854" s="773"/>
      <c r="BQ854" s="209"/>
      <c r="BR854" s="859"/>
      <c r="BS854" s="885"/>
      <c r="CI854" s="4"/>
      <c r="CJ854" s="4"/>
      <c r="DB854" s="773"/>
      <c r="DC854" s="773"/>
      <c r="DD854" s="773"/>
      <c r="DE854" s="773"/>
      <c r="DF854" s="773"/>
      <c r="DG854" s="773"/>
      <c r="DH854" s="773"/>
      <c r="DI854" s="773"/>
      <c r="DJ854" s="773"/>
      <c r="DK854" s="773"/>
      <c r="DL854" s="773"/>
      <c r="DM854" s="773"/>
      <c r="DN854" s="773"/>
      <c r="DO854" s="773"/>
      <c r="DP854" s="773"/>
      <c r="DQ854" s="773"/>
      <c r="DR854" s="773"/>
      <c r="DS854" s="773"/>
      <c r="DT854" s="773"/>
      <c r="DU854" s="773"/>
      <c r="DV854" s="773"/>
      <c r="DW854" s="773"/>
      <c r="DX854" s="773"/>
      <c r="DY854" s="773"/>
      <c r="DZ854" s="773"/>
      <c r="EA854" s="773"/>
      <c r="EB854" s="773"/>
      <c r="EC854" s="773"/>
      <c r="ED854" s="773"/>
      <c r="EE854" s="773"/>
      <c r="EF854" s="773"/>
      <c r="EG854" s="773"/>
      <c r="EH854" s="773"/>
      <c r="EI854" s="773"/>
      <c r="EJ854" s="773"/>
      <c r="EK854" s="773"/>
      <c r="EL854" s="773"/>
      <c r="EM854" s="773"/>
      <c r="EN854" s="773"/>
      <c r="EO854" s="773"/>
      <c r="EP854" s="773"/>
      <c r="EQ854" s="773"/>
      <c r="ER854" s="773"/>
      <c r="ES854" s="773"/>
      <c r="ET854" s="773"/>
      <c r="EU854" s="773"/>
      <c r="EV854" s="773"/>
      <c r="EW854" s="773"/>
      <c r="EX854" s="773"/>
      <c r="EY854" s="773"/>
      <c r="EZ854" s="773"/>
      <c r="FA854" s="773"/>
      <c r="FB854" s="773"/>
      <c r="FC854" s="773"/>
      <c r="FD854" s="773"/>
      <c r="FE854" s="773"/>
      <c r="FF854" s="773"/>
      <c r="FG854" s="773"/>
      <c r="FH854" s="773"/>
      <c r="FI854" s="773"/>
      <c r="FJ854" s="773"/>
      <c r="FK854" s="773"/>
      <c r="FL854" s="773"/>
      <c r="FM854" s="773"/>
      <c r="FN854" s="773"/>
      <c r="FO854" s="773"/>
      <c r="FP854" s="773"/>
      <c r="FQ854" s="773"/>
      <c r="FR854" s="773"/>
      <c r="FS854" s="773"/>
      <c r="FT854" s="773"/>
      <c r="FU854" s="773"/>
      <c r="FV854" s="773"/>
      <c r="FW854" s="773"/>
      <c r="FX854" s="773"/>
      <c r="FY854" s="773"/>
      <c r="FZ854" s="773"/>
      <c r="GA854" s="773"/>
      <c r="GB854" s="773"/>
      <c r="GC854" s="773"/>
      <c r="GD854" s="773"/>
      <c r="GE854" s="773"/>
      <c r="GF854" s="773"/>
      <c r="GG854" s="773"/>
      <c r="GH854" s="773"/>
      <c r="GI854" s="773"/>
      <c r="GJ854" s="773"/>
      <c r="GK854" s="773"/>
      <c r="GL854" s="773"/>
      <c r="GM854" s="773"/>
      <c r="GN854" s="773"/>
      <c r="GO854" s="773"/>
      <c r="GP854" s="773"/>
      <c r="GQ854" s="773"/>
      <c r="GR854" s="773"/>
      <c r="GS854" s="773"/>
      <c r="GT854" s="773"/>
      <c r="GU854" s="773"/>
      <c r="GV854" s="773"/>
      <c r="GW854" s="773"/>
      <c r="GX854" s="773"/>
      <c r="GY854" s="773"/>
      <c r="GZ854" s="773"/>
    </row>
    <row r="855" spans="1:208" s="11" customFormat="1" ht="12.95" customHeight="1">
      <c r="A855" s="774"/>
      <c r="B855" s="3790" t="s">
        <v>752</v>
      </c>
      <c r="C855" s="197">
        <v>7140014</v>
      </c>
      <c r="D855" s="199" t="s">
        <v>925</v>
      </c>
      <c r="E855" s="798">
        <f>IFERROR(VLOOKUP(C855,'AJE 12 - INC'!$D$168:$F$771,3,0),0)</f>
        <v>2198.04</v>
      </c>
      <c r="F855" s="108">
        <f>SUMIF('AJE 12 - INC'!B:B,'New TB INC'!C855,'AJE 12 - INC'!D:D)</f>
        <v>0</v>
      </c>
      <c r="G855" s="108"/>
      <c r="H855" s="108"/>
      <c r="I855" s="108"/>
      <c r="J855" s="859">
        <f t="shared" si="86"/>
        <v>2198.04</v>
      </c>
      <c r="K855" s="4501"/>
      <c r="L855" s="434"/>
      <c r="M855" s="810"/>
      <c r="N855" s="11">
        <v>270.23</v>
      </c>
      <c r="O855" s="11">
        <v>270.23</v>
      </c>
      <c r="P855" s="11">
        <v>238.31999999999994</v>
      </c>
      <c r="Q855" s="11">
        <v>70.389999999999986</v>
      </c>
      <c r="R855" s="773">
        <v>70.389999999999986</v>
      </c>
      <c r="S855" s="11">
        <v>70.3900000000001</v>
      </c>
      <c r="T855" s="773">
        <v>36.240000000000009</v>
      </c>
      <c r="U855" s="2173">
        <v>70.389999999999873</v>
      </c>
      <c r="V855" s="2509">
        <v>70.3900000000001</v>
      </c>
      <c r="W855" s="2509">
        <v>70.389999999999873</v>
      </c>
      <c r="X855" s="2509">
        <v>172.69000000000005</v>
      </c>
      <c r="Y855" s="2509">
        <v>172.69000000000005</v>
      </c>
      <c r="Z855" s="11">
        <f>'[26]New TB INC'!Z815</f>
        <v>183.17</v>
      </c>
      <c r="AA855" s="11">
        <f>'[27]New TB INC'!AA824</f>
        <v>183.17</v>
      </c>
      <c r="AB855" s="11">
        <f>'[28]New TB INC'!AB833</f>
        <v>183.17000000000002</v>
      </c>
      <c r="AC855" s="11">
        <f>'[29]New TB INC'!AC830</f>
        <v>183.16999999999996</v>
      </c>
      <c r="AD855" s="11">
        <f>'[30]New TB INC'!AD805</f>
        <v>183.17000000000007</v>
      </c>
      <c r="AE855" s="11">
        <f>'[31]New TB INC'!AE814</f>
        <v>183.16999999999996</v>
      </c>
      <c r="AF855" s="11">
        <v>183.17000000000007</v>
      </c>
      <c r="AG855" s="11">
        <v>183.16999999999985</v>
      </c>
      <c r="AH855" s="11">
        <v>183.17000000000007</v>
      </c>
      <c r="AI855" s="11">
        <v>183.17000000000007</v>
      </c>
      <c r="AJ855" s="11">
        <v>183.16999999999985</v>
      </c>
      <c r="AK855" s="11">
        <f>$J855-SUM($Z855:AJ855)</f>
        <v>183.17000000000007</v>
      </c>
      <c r="AW855" s="2509"/>
      <c r="BE855" s="2173"/>
      <c r="BF855" s="2173"/>
      <c r="BG855" s="2173"/>
      <c r="BH855" s="2173"/>
      <c r="BI855" s="2173"/>
      <c r="BJ855" s="2173"/>
      <c r="BK855" s="2173"/>
      <c r="BL855" s="773"/>
      <c r="BN855" s="773"/>
      <c r="BO855" s="209"/>
      <c r="BP855" s="773"/>
      <c r="BQ855" s="209"/>
      <c r="BR855" s="859"/>
      <c r="BS855" s="885"/>
      <c r="CH855" s="878"/>
      <c r="CI855" s="4"/>
      <c r="CJ855" s="4"/>
      <c r="DB855" s="773"/>
      <c r="DC855" s="773"/>
      <c r="DD855" s="773"/>
      <c r="DE855" s="773"/>
      <c r="DF855" s="773"/>
      <c r="DG855" s="773"/>
      <c r="DH855" s="773"/>
      <c r="DI855" s="773"/>
      <c r="DJ855" s="773"/>
      <c r="DK855" s="773"/>
      <c r="DL855" s="773"/>
      <c r="DM855" s="773"/>
      <c r="DN855" s="773"/>
      <c r="DO855" s="773"/>
      <c r="DP855" s="773"/>
      <c r="DQ855" s="773"/>
      <c r="DR855" s="773"/>
      <c r="DS855" s="773"/>
      <c r="DT855" s="773"/>
      <c r="DU855" s="773"/>
      <c r="DV855" s="773"/>
      <c r="DW855" s="773"/>
      <c r="DX855" s="773"/>
      <c r="DY855" s="773"/>
      <c r="DZ855" s="773"/>
      <c r="EA855" s="773"/>
      <c r="EB855" s="773"/>
      <c r="EC855" s="773"/>
      <c r="ED855" s="773"/>
      <c r="EE855" s="773"/>
      <c r="EF855" s="773"/>
      <c r="EG855" s="773"/>
      <c r="EH855" s="773"/>
      <c r="EI855" s="773"/>
      <c r="EJ855" s="773"/>
      <c r="EK855" s="773"/>
      <c r="EL855" s="773"/>
      <c r="EM855" s="773"/>
      <c r="EN855" s="773"/>
      <c r="EO855" s="773"/>
      <c r="EP855" s="773"/>
      <c r="EQ855" s="773"/>
      <c r="ER855" s="773"/>
      <c r="ES855" s="773"/>
      <c r="ET855" s="773"/>
      <c r="EU855" s="773"/>
      <c r="EV855" s="773"/>
      <c r="EW855" s="773"/>
      <c r="EX855" s="773"/>
      <c r="EY855" s="773"/>
      <c r="EZ855" s="773"/>
      <c r="FA855" s="773"/>
      <c r="FB855" s="773"/>
      <c r="FC855" s="773"/>
      <c r="FD855" s="773"/>
      <c r="FE855" s="773"/>
      <c r="FF855" s="773"/>
      <c r="FG855" s="773"/>
      <c r="FH855" s="773"/>
      <c r="FI855" s="773"/>
      <c r="FJ855" s="773"/>
      <c r="FK855" s="773"/>
      <c r="FL855" s="773"/>
      <c r="FM855" s="773"/>
      <c r="FN855" s="773"/>
      <c r="FO855" s="773"/>
      <c r="FP855" s="773"/>
      <c r="FQ855" s="773"/>
      <c r="FR855" s="773"/>
      <c r="FS855" s="773"/>
      <c r="FT855" s="773"/>
      <c r="FU855" s="773"/>
      <c r="FV855" s="773"/>
      <c r="FW855" s="773"/>
      <c r="FX855" s="773"/>
      <c r="FY855" s="773"/>
      <c r="FZ855" s="773"/>
      <c r="GA855" s="773"/>
      <c r="GB855" s="773"/>
      <c r="GC855" s="773"/>
      <c r="GD855" s="773"/>
      <c r="GE855" s="773"/>
      <c r="GF855" s="773"/>
      <c r="GG855" s="773"/>
      <c r="GH855" s="773"/>
      <c r="GI855" s="773"/>
      <c r="GJ855" s="773"/>
      <c r="GK855" s="773"/>
      <c r="GL855" s="773"/>
      <c r="GM855" s="773"/>
      <c r="GN855" s="773"/>
      <c r="GO855" s="773"/>
      <c r="GP855" s="773"/>
      <c r="GQ855" s="773"/>
      <c r="GR855" s="773"/>
      <c r="GS855" s="773"/>
      <c r="GT855" s="773"/>
      <c r="GU855" s="773"/>
      <c r="GV855" s="773"/>
      <c r="GW855" s="773"/>
      <c r="GX855" s="773"/>
      <c r="GY855" s="773"/>
      <c r="GZ855" s="773"/>
    </row>
    <row r="856" spans="1:208" s="773" customFormat="1" ht="12.95" customHeight="1">
      <c r="A856" s="774"/>
      <c r="B856" s="3790" t="s">
        <v>752</v>
      </c>
      <c r="C856" s="197">
        <v>7140016</v>
      </c>
      <c r="D856" s="199" t="s">
        <v>926</v>
      </c>
      <c r="E856" s="798">
        <f>IFERROR(VLOOKUP(C856,'AJE 12 - INC'!$D$168:$F$771,3,0),0)</f>
        <v>1721.65</v>
      </c>
      <c r="F856" s="108">
        <f>SUMIF('AJE 12 - INC'!B:B,'New TB INC'!C856,'AJE 12 - INC'!D:D)</f>
        <v>0</v>
      </c>
      <c r="G856" s="108"/>
      <c r="H856" s="108"/>
      <c r="I856" s="108"/>
      <c r="J856" s="859">
        <f t="shared" si="86"/>
        <v>1721.65</v>
      </c>
      <c r="K856" s="4501"/>
      <c r="L856" s="449"/>
      <c r="M856" s="828"/>
      <c r="N856" s="11">
        <v>74.37</v>
      </c>
      <c r="O856" s="11">
        <v>85.789999999999992</v>
      </c>
      <c r="P856" s="11">
        <v>53.03</v>
      </c>
      <c r="Q856" s="11">
        <v>128.29000000000002</v>
      </c>
      <c r="R856" s="773">
        <v>43.930000000000007</v>
      </c>
      <c r="S856" s="11">
        <v>77.649999999999949</v>
      </c>
      <c r="T856" s="773">
        <v>53.270000000000124</v>
      </c>
      <c r="U856" s="2173">
        <v>36.990000000000009</v>
      </c>
      <c r="V856" s="2509">
        <v>422.95999999999992</v>
      </c>
      <c r="W856" s="2509">
        <v>65.190000000000055</v>
      </c>
      <c r="X856" s="2509">
        <v>173.52999999999997</v>
      </c>
      <c r="Y856" s="2509">
        <v>71.200000000000045</v>
      </c>
      <c r="Z856" s="11">
        <f>'[26]New TB INC'!Z816</f>
        <v>185.16</v>
      </c>
      <c r="AA856" s="11">
        <f>'[27]New TB INC'!AA825</f>
        <v>103.63000000000002</v>
      </c>
      <c r="AB856" s="11">
        <f>'[28]New TB INC'!AB834</f>
        <v>86.62</v>
      </c>
      <c r="AC856" s="11">
        <f>'[29]New TB INC'!AC831</f>
        <v>95.399999999999977</v>
      </c>
      <c r="AD856" s="11">
        <f>'[30]New TB INC'!AD806</f>
        <v>125.44</v>
      </c>
      <c r="AE856" s="11">
        <f>'[31]New TB INC'!AE815</f>
        <v>113.15999999999997</v>
      </c>
      <c r="AF856" s="11">
        <v>121.13999999999999</v>
      </c>
      <c r="AG856" s="11">
        <v>442.93000000000006</v>
      </c>
      <c r="AH856" s="11">
        <v>109.71000000000004</v>
      </c>
      <c r="AI856" s="11">
        <v>83.589999999999918</v>
      </c>
      <c r="AJ856" s="11">
        <v>86.360000000000127</v>
      </c>
      <c r="AK856" s="11">
        <f>$J856-SUM($Z856:AJ856)</f>
        <v>168.51</v>
      </c>
      <c r="AL856" s="11"/>
      <c r="AM856" s="11"/>
      <c r="AN856" s="11"/>
      <c r="AO856" s="11"/>
      <c r="AP856" s="11"/>
      <c r="AQ856" s="11"/>
      <c r="AR856" s="11"/>
      <c r="AS856" s="11"/>
      <c r="AT856" s="11"/>
      <c r="AU856" s="11"/>
      <c r="AW856" s="2509"/>
      <c r="BE856" s="2173"/>
      <c r="BF856" s="2173"/>
      <c r="BG856" s="2173"/>
      <c r="BH856" s="2173"/>
      <c r="BI856" s="2173"/>
      <c r="BJ856" s="2173"/>
      <c r="BK856" s="2173"/>
      <c r="BM856" s="11"/>
      <c r="BO856" s="209"/>
      <c r="BQ856" s="209"/>
      <c r="BR856" s="859"/>
      <c r="BS856" s="11"/>
      <c r="CH856" s="901"/>
      <c r="CI856" s="9"/>
      <c r="CJ856" s="9"/>
    </row>
    <row r="857" spans="1:208" s="11" customFormat="1" ht="12.95" customHeight="1">
      <c r="A857" s="774"/>
      <c r="B857" s="3790" t="s">
        <v>752</v>
      </c>
      <c r="C857" s="197">
        <v>7140042</v>
      </c>
      <c r="D857" s="199" t="s">
        <v>928</v>
      </c>
      <c r="E857" s="798">
        <f>IFERROR(VLOOKUP(C857,'AJE 12 - INC'!$D$168:$F$771,3,0),0)</f>
        <v>0</v>
      </c>
      <c r="F857" s="108">
        <f>SUMIF('AJE 12 - INC'!B:B,'New TB INC'!C857,'AJE 12 - INC'!D:D)</f>
        <v>0</v>
      </c>
      <c r="G857" s="108"/>
      <c r="H857" s="108"/>
      <c r="I857" s="108"/>
      <c r="J857" s="859">
        <f t="shared" si="86"/>
        <v>0</v>
      </c>
      <c r="K857" s="4501"/>
      <c r="L857" s="434"/>
      <c r="M857" s="810"/>
      <c r="N857" s="11">
        <v>0</v>
      </c>
      <c r="O857" s="11">
        <v>0</v>
      </c>
      <c r="P857" s="11">
        <v>0</v>
      </c>
      <c r="Q857" s="11">
        <v>0</v>
      </c>
      <c r="R857" s="773">
        <v>0</v>
      </c>
      <c r="S857" s="11">
        <v>0</v>
      </c>
      <c r="T857" s="773">
        <v>0</v>
      </c>
      <c r="U857" s="2173">
        <v>0</v>
      </c>
      <c r="V857" s="2509">
        <v>0</v>
      </c>
      <c r="W857" s="2509">
        <v>0</v>
      </c>
      <c r="X857" s="2509">
        <v>0</v>
      </c>
      <c r="Y857" s="2509">
        <v>0</v>
      </c>
      <c r="Z857" s="11">
        <f>'[26]New TB INC'!Z822</f>
        <v>0</v>
      </c>
      <c r="AA857" s="11">
        <f>'[27]New TB INC'!AA830</f>
        <v>0</v>
      </c>
      <c r="AB857" s="11">
        <f>'[28]New TB INC'!AB839</f>
        <v>0</v>
      </c>
      <c r="AC857" s="11">
        <f>'[29]New TB INC'!AC836</f>
        <v>0</v>
      </c>
      <c r="AD857" s="11">
        <f>'[30]New TB INC'!AD807</f>
        <v>0</v>
      </c>
      <c r="AE857" s="11">
        <f>'[31]New TB INC'!AE816</f>
        <v>0</v>
      </c>
      <c r="AF857" s="11">
        <v>0</v>
      </c>
      <c r="AG857" s="11">
        <v>0</v>
      </c>
      <c r="AH857" s="11">
        <v>0</v>
      </c>
      <c r="AI857" s="11">
        <v>0</v>
      </c>
      <c r="AJ857" s="11">
        <v>0</v>
      </c>
      <c r="AK857" s="11">
        <f>$J857-SUM($Z857:AJ857)</f>
        <v>0</v>
      </c>
      <c r="AW857" s="2509"/>
      <c r="BE857" s="2173"/>
      <c r="BF857" s="2173"/>
      <c r="BG857" s="2173"/>
      <c r="BH857" s="2173"/>
      <c r="BI857" s="2173"/>
      <c r="BJ857" s="2173"/>
      <c r="BK857" s="2173"/>
      <c r="BL857" s="773"/>
      <c r="BN857" s="773"/>
      <c r="BO857" s="209"/>
      <c r="BP857" s="773"/>
      <c r="BQ857" s="773"/>
      <c r="BR857" s="773"/>
      <c r="CH857" s="878"/>
      <c r="CI857" s="4"/>
      <c r="CJ857" s="4"/>
      <c r="DB857" s="773"/>
      <c r="DC857" s="773"/>
      <c r="DD857" s="773"/>
      <c r="DE857" s="773"/>
      <c r="DF857" s="773"/>
      <c r="DG857" s="773"/>
      <c r="DH857" s="773"/>
      <c r="DI857" s="773"/>
      <c r="DJ857" s="773"/>
      <c r="DK857" s="773"/>
      <c r="DL857" s="773"/>
      <c r="DM857" s="773"/>
      <c r="DN857" s="773"/>
      <c r="DO857" s="773"/>
      <c r="DP857" s="773"/>
      <c r="DQ857" s="773"/>
      <c r="DR857" s="773"/>
      <c r="DS857" s="773"/>
      <c r="DT857" s="773"/>
      <c r="DU857" s="773"/>
      <c r="DV857" s="773"/>
      <c r="DW857" s="773"/>
      <c r="DX857" s="773"/>
      <c r="DY857" s="773"/>
      <c r="DZ857" s="773"/>
      <c r="EA857" s="773"/>
      <c r="EB857" s="773"/>
      <c r="EC857" s="773"/>
      <c r="ED857" s="773"/>
      <c r="EE857" s="773"/>
      <c r="EF857" s="773"/>
      <c r="EG857" s="773"/>
      <c r="EH857" s="773"/>
      <c r="EI857" s="773"/>
      <c r="EJ857" s="773"/>
      <c r="EK857" s="773"/>
      <c r="EL857" s="773"/>
      <c r="EM857" s="773"/>
      <c r="EN857" s="773"/>
      <c r="EO857" s="773"/>
      <c r="EP857" s="773"/>
      <c r="EQ857" s="773"/>
      <c r="ER857" s="773"/>
      <c r="ES857" s="773"/>
      <c r="ET857" s="773"/>
      <c r="EU857" s="773"/>
      <c r="EV857" s="773"/>
      <c r="EW857" s="773"/>
      <c r="EX857" s="773"/>
      <c r="EY857" s="773"/>
      <c r="EZ857" s="773"/>
      <c r="FA857" s="773"/>
      <c r="FB857" s="773"/>
      <c r="FC857" s="773"/>
      <c r="FD857" s="773"/>
      <c r="FE857" s="773"/>
      <c r="FF857" s="773"/>
      <c r="FG857" s="773"/>
      <c r="FH857" s="773"/>
      <c r="FI857" s="773"/>
      <c r="FJ857" s="773"/>
      <c r="FK857" s="773"/>
      <c r="FL857" s="773"/>
      <c r="FM857" s="773"/>
      <c r="FN857" s="773"/>
      <c r="FO857" s="773"/>
      <c r="FP857" s="773"/>
      <c r="FQ857" s="773"/>
      <c r="FR857" s="773"/>
      <c r="FS857" s="773"/>
      <c r="FT857" s="773"/>
      <c r="FU857" s="773"/>
      <c r="FV857" s="773"/>
      <c r="FW857" s="773"/>
      <c r="FX857" s="773"/>
      <c r="FY857" s="773"/>
      <c r="FZ857" s="773"/>
      <c r="GA857" s="773"/>
      <c r="GB857" s="773"/>
      <c r="GC857" s="773"/>
      <c r="GD857" s="773"/>
      <c r="GE857" s="773"/>
      <c r="GF857" s="773"/>
      <c r="GG857" s="773"/>
      <c r="GH857" s="773"/>
      <c r="GI857" s="773"/>
      <c r="GJ857" s="773"/>
      <c r="GK857" s="773"/>
      <c r="GL857" s="773"/>
      <c r="GM857" s="773"/>
      <c r="GN857" s="773"/>
      <c r="GO857" s="773"/>
      <c r="GP857" s="773"/>
      <c r="GQ857" s="773"/>
      <c r="GR857" s="773"/>
      <c r="GS857" s="773"/>
      <c r="GT857" s="773"/>
      <c r="GU857" s="773"/>
      <c r="GV857" s="773"/>
      <c r="GW857" s="773"/>
      <c r="GX857" s="773"/>
      <c r="GY857" s="773"/>
      <c r="GZ857" s="773"/>
    </row>
    <row r="858" spans="1:208" s="11" customFormat="1" ht="14.1" customHeight="1">
      <c r="A858" s="774"/>
      <c r="B858" s="3790" t="s">
        <v>1375</v>
      </c>
      <c r="C858" s="197">
        <v>7140012</v>
      </c>
      <c r="D858" s="199" t="s">
        <v>3258</v>
      </c>
      <c r="E858" s="798">
        <f>IFERROR(VLOOKUP(C858,'AJE 12 - INC'!$D$168:$F$771,3,0),0)</f>
        <v>2000</v>
      </c>
      <c r="F858" s="108">
        <f>SUMIF('AJE 12 - INC'!B:B,'New TB INC'!C858,'AJE 12 - INC'!D:D)</f>
        <v>0</v>
      </c>
      <c r="G858" s="108"/>
      <c r="H858" s="108"/>
      <c r="I858" s="108"/>
      <c r="J858" s="859">
        <f t="shared" si="86"/>
        <v>2000</v>
      </c>
      <c r="K858" s="4501"/>
      <c r="L858" s="449"/>
      <c r="M858" s="883"/>
      <c r="N858" s="773"/>
      <c r="O858" s="773"/>
      <c r="P858" s="773"/>
      <c r="Q858" s="773"/>
      <c r="R858" s="773"/>
      <c r="T858" s="773"/>
      <c r="U858" s="2173"/>
      <c r="V858" s="2509"/>
      <c r="W858" s="2509"/>
      <c r="X858" s="2509"/>
      <c r="Y858" s="2509"/>
      <c r="Z858" s="11">
        <f>'[26]New TB INC'!Z806</f>
        <v>0</v>
      </c>
      <c r="AA858" s="11">
        <f>'[27]New TB INC'!AA815</f>
        <v>220.54</v>
      </c>
      <c r="AB858" s="11">
        <f>'[28]New TB INC'!AB824</f>
        <v>33.25</v>
      </c>
      <c r="AC858" s="11">
        <f>'[29]New TB INC'!AC821</f>
        <v>137.26000000000002</v>
      </c>
      <c r="AD858" s="11">
        <f>'[30]New TB INC'!AD808</f>
        <v>58.729999999999961</v>
      </c>
      <c r="AE858" s="11">
        <f>'[31]New TB INC'!AE817</f>
        <v>202.31000000000006</v>
      </c>
      <c r="AF858" s="11">
        <v>58.110000000000014</v>
      </c>
      <c r="AG858" s="11">
        <v>7.2899999999999636</v>
      </c>
      <c r="AH858" s="11">
        <v>0</v>
      </c>
      <c r="AI858" s="11">
        <v>150.74</v>
      </c>
      <c r="AJ858" s="11">
        <v>1131.77</v>
      </c>
      <c r="AK858" s="11">
        <f>$J858-SUM($Z858:AJ858)</f>
        <v>0</v>
      </c>
      <c r="AW858" s="2509"/>
      <c r="BE858" s="2173"/>
      <c r="BF858" s="2173"/>
      <c r="BG858" s="2173"/>
      <c r="BH858" s="2173"/>
      <c r="BI858" s="2173"/>
      <c r="BJ858" s="2173"/>
      <c r="BK858" s="2173"/>
      <c r="BL858" s="773"/>
      <c r="BN858" s="773"/>
      <c r="BO858" s="209"/>
      <c r="BQ858" s="209"/>
      <c r="BR858" s="209"/>
      <c r="BS858" s="209"/>
      <c r="CI858" s="4"/>
      <c r="CJ858" s="4"/>
      <c r="DB858" s="773"/>
      <c r="DC858" s="773"/>
      <c r="DD858" s="773"/>
      <c r="DE858" s="773"/>
      <c r="DF858" s="773"/>
      <c r="DG858" s="773"/>
      <c r="DH858" s="773"/>
      <c r="DI858" s="773"/>
      <c r="DJ858" s="773"/>
      <c r="DK858" s="773"/>
      <c r="DL858" s="773"/>
      <c r="DM858" s="773"/>
      <c r="DN858" s="773"/>
      <c r="DO858" s="773"/>
      <c r="DP858" s="773"/>
      <c r="DQ858" s="773"/>
      <c r="DR858" s="773"/>
      <c r="DS858" s="773"/>
      <c r="DT858" s="773"/>
      <c r="DU858" s="773"/>
      <c r="DV858" s="773"/>
      <c r="DW858" s="773"/>
      <c r="DX858" s="773"/>
      <c r="DY858" s="773"/>
      <c r="DZ858" s="773"/>
      <c r="EA858" s="773"/>
      <c r="EB858" s="773"/>
      <c r="EC858" s="773"/>
      <c r="ED858" s="773"/>
      <c r="EE858" s="773"/>
      <c r="EF858" s="773"/>
      <c r="EG858" s="773"/>
      <c r="EH858" s="773"/>
      <c r="EI858" s="773"/>
      <c r="EJ858" s="773"/>
      <c r="EK858" s="773"/>
      <c r="EL858" s="773"/>
      <c r="EM858" s="773"/>
      <c r="EN858" s="773"/>
      <c r="EO858" s="773"/>
      <c r="EP858" s="773"/>
      <c r="EQ858" s="773"/>
      <c r="ER858" s="773"/>
      <c r="ES858" s="773"/>
      <c r="ET858" s="773"/>
      <c r="EU858" s="773"/>
      <c r="EV858" s="773"/>
      <c r="EW858" s="773"/>
      <c r="EX858" s="773"/>
      <c r="EY858" s="773"/>
      <c r="EZ858" s="773"/>
      <c r="FA858" s="773"/>
      <c r="FB858" s="773"/>
      <c r="FC858" s="773"/>
      <c r="FD858" s="773"/>
      <c r="FE858" s="773"/>
      <c r="FF858" s="773"/>
      <c r="FG858" s="773"/>
      <c r="FH858" s="773"/>
      <c r="FI858" s="773"/>
      <c r="FJ858" s="773"/>
      <c r="FK858" s="773"/>
      <c r="FL858" s="773"/>
      <c r="FM858" s="773"/>
      <c r="FN858" s="773"/>
      <c r="FO858" s="773"/>
      <c r="FP858" s="773"/>
      <c r="FQ858" s="773"/>
      <c r="FR858" s="773"/>
      <c r="FS858" s="773"/>
      <c r="FT858" s="773"/>
      <c r="FU858" s="773"/>
      <c r="FV858" s="773"/>
      <c r="FW858" s="773"/>
      <c r="FX858" s="773"/>
      <c r="FY858" s="773"/>
      <c r="FZ858" s="773"/>
      <c r="GA858" s="773"/>
      <c r="GB858" s="773"/>
      <c r="GC858" s="773"/>
      <c r="GD858" s="773"/>
      <c r="GE858" s="773"/>
      <c r="GF858" s="773"/>
      <c r="GG858" s="773"/>
      <c r="GH858" s="773"/>
      <c r="GI858" s="773"/>
      <c r="GJ858" s="773"/>
      <c r="GK858" s="773"/>
      <c r="GL858" s="773"/>
      <c r="GM858" s="773"/>
      <c r="GN858" s="773"/>
      <c r="GO858" s="773"/>
      <c r="GP858" s="773"/>
      <c r="GQ858" s="773"/>
      <c r="GR858" s="773"/>
      <c r="GS858" s="773"/>
      <c r="GT858" s="773"/>
      <c r="GU858" s="773"/>
      <c r="GV858" s="773"/>
      <c r="GW858" s="773"/>
      <c r="GX858" s="773"/>
      <c r="GY858" s="773"/>
      <c r="GZ858" s="773"/>
    </row>
    <row r="859" spans="1:208" s="11" customFormat="1" ht="12.95" customHeight="1">
      <c r="A859" s="780"/>
      <c r="B859" s="3790" t="s">
        <v>752</v>
      </c>
      <c r="C859" s="197">
        <v>7140002</v>
      </c>
      <c r="D859" s="199" t="s">
        <v>754</v>
      </c>
      <c r="E859" s="798">
        <f>IFERROR(VLOOKUP(C859,'AJE 12 - INC'!$D$168:$F$771,3,0),0)</f>
        <v>-3278.96</v>
      </c>
      <c r="F859" s="108">
        <f>SUMIF('AJE 12 - INC'!B:B,'New TB INC'!C859,'AJE 12 - INC'!D:D)</f>
        <v>0</v>
      </c>
      <c r="G859" s="108"/>
      <c r="H859" s="108"/>
      <c r="I859" s="108"/>
      <c r="J859" s="859">
        <f t="shared" si="86"/>
        <v>-3278.96</v>
      </c>
      <c r="K859" s="4501"/>
      <c r="L859" s="449"/>
      <c r="M859" s="828"/>
      <c r="N859" s="773">
        <v>5828</v>
      </c>
      <c r="O859" s="773">
        <v>-3368</v>
      </c>
      <c r="P859" s="773">
        <v>1230</v>
      </c>
      <c r="Q859" s="773">
        <v>1230</v>
      </c>
      <c r="R859" s="773">
        <v>1230</v>
      </c>
      <c r="S859" s="11">
        <v>1230</v>
      </c>
      <c r="T859" s="773">
        <v>1230</v>
      </c>
      <c r="U859" s="2173">
        <v>1230</v>
      </c>
      <c r="V859" s="2509">
        <v>16445.330000000002</v>
      </c>
      <c r="W859" s="2509">
        <v>1230</v>
      </c>
      <c r="X859" s="2509">
        <v>1230</v>
      </c>
      <c r="Y859" s="2509">
        <v>-28745.34</v>
      </c>
      <c r="Z859" s="11">
        <f>'[26]New TB INC'!Z796</f>
        <v>1230</v>
      </c>
      <c r="AA859" s="11">
        <f>'[27]New TB INC'!AA803</f>
        <v>-9726.9599999999991</v>
      </c>
      <c r="AB859" s="11">
        <f>'[28]New TB INC'!AB812</f>
        <v>2539.9999999999991</v>
      </c>
      <c r="AC859" s="11">
        <f>'[29]New TB INC'!AC809</f>
        <v>1667</v>
      </c>
      <c r="AD859" s="11">
        <f>'[30]New TB INC'!AD809</f>
        <v>1667</v>
      </c>
      <c r="AE859" s="11">
        <f>'[31]New TB INC'!AE818</f>
        <v>1667</v>
      </c>
      <c r="AF859" s="11">
        <v>1667</v>
      </c>
      <c r="AG859" s="11">
        <v>1667</v>
      </c>
      <c r="AH859" s="11">
        <v>1667</v>
      </c>
      <c r="AI859" s="11">
        <v>1667</v>
      </c>
      <c r="AJ859" s="11">
        <v>1667</v>
      </c>
      <c r="AK859" s="11">
        <f>$J859-SUM($Z859:AJ859)</f>
        <v>-10658</v>
      </c>
      <c r="AW859" s="2509"/>
      <c r="BE859" s="2173"/>
      <c r="BF859" s="2173"/>
      <c r="BG859" s="2173"/>
      <c r="BH859" s="2173"/>
      <c r="BI859" s="2173"/>
      <c r="BJ859" s="2173"/>
      <c r="BK859" s="2173"/>
      <c r="BL859" s="773"/>
      <c r="BN859" s="773"/>
      <c r="BO859" s="209"/>
      <c r="BP859" s="799"/>
      <c r="BQ859" s="209"/>
      <c r="BR859" s="209"/>
      <c r="BS859" s="209"/>
      <c r="BT859" s="773"/>
      <c r="BU859" s="773"/>
      <c r="BV859" s="773"/>
      <c r="BW859" s="773"/>
      <c r="BX859" s="773"/>
      <c r="BY859" s="773"/>
      <c r="BZ859" s="773"/>
      <c r="CA859" s="773"/>
      <c r="CB859" s="773"/>
      <c r="CC859" s="773"/>
      <c r="CD859" s="773"/>
      <c r="CE859" s="773"/>
      <c r="CF859" s="773"/>
      <c r="CG859" s="773"/>
      <c r="CH859" s="773"/>
      <c r="CI859" s="773"/>
      <c r="CJ859" s="773"/>
      <c r="CK859" s="773"/>
      <c r="CL859" s="773"/>
      <c r="CM859" s="773"/>
      <c r="CN859" s="773"/>
      <c r="CO859" s="773"/>
      <c r="CP859" s="773"/>
      <c r="CQ859" s="773"/>
      <c r="CR859" s="773"/>
      <c r="CS859" s="773"/>
      <c r="CT859" s="773"/>
      <c r="CU859" s="773"/>
      <c r="CV859" s="773"/>
      <c r="CW859" s="773"/>
      <c r="CX859" s="773"/>
      <c r="CY859" s="773"/>
      <c r="CZ859" s="773"/>
      <c r="DA859" s="773"/>
      <c r="DB859" s="773"/>
      <c r="DC859" s="773"/>
      <c r="DD859" s="773"/>
      <c r="DE859" s="773"/>
      <c r="DF859" s="773"/>
      <c r="DG859" s="773"/>
      <c r="DH859" s="773"/>
      <c r="DI859" s="773"/>
      <c r="DJ859" s="773"/>
      <c r="DK859" s="773"/>
      <c r="DL859" s="773"/>
      <c r="DM859" s="773"/>
      <c r="DN859" s="773"/>
      <c r="DO859" s="773"/>
      <c r="DP859" s="773"/>
      <c r="DQ859" s="773"/>
      <c r="DR859" s="773"/>
      <c r="DS859" s="773"/>
      <c r="DT859" s="773"/>
      <c r="DU859" s="773"/>
      <c r="DV859" s="773"/>
      <c r="DW859" s="773"/>
      <c r="DX859" s="773"/>
      <c r="DY859" s="773"/>
      <c r="DZ859" s="773"/>
      <c r="EA859" s="773"/>
      <c r="EB859" s="773"/>
      <c r="EC859" s="773"/>
      <c r="ED859" s="773"/>
      <c r="EE859" s="773"/>
      <c r="EF859" s="773"/>
      <c r="EG859" s="773"/>
      <c r="EH859" s="773"/>
      <c r="EI859" s="773"/>
      <c r="EJ859" s="773"/>
      <c r="EK859" s="773"/>
      <c r="EL859" s="773"/>
      <c r="EM859" s="773"/>
      <c r="EN859" s="773"/>
      <c r="EO859" s="773"/>
      <c r="EP859" s="773"/>
      <c r="EQ859" s="773"/>
      <c r="ER859" s="773"/>
      <c r="ES859" s="773"/>
      <c r="ET859" s="773"/>
      <c r="EU859" s="773"/>
      <c r="EV859" s="773"/>
      <c r="EW859" s="773"/>
      <c r="EX859" s="773"/>
      <c r="EY859" s="773"/>
      <c r="EZ859" s="773"/>
      <c r="FA859" s="773"/>
      <c r="FB859" s="773"/>
      <c r="FC859" s="773"/>
      <c r="FD859" s="773"/>
      <c r="FE859" s="773"/>
      <c r="FF859" s="773"/>
      <c r="FG859" s="773"/>
      <c r="FH859" s="773"/>
      <c r="FI859" s="773"/>
      <c r="FJ859" s="773"/>
      <c r="FK859" s="773"/>
      <c r="FL859" s="773"/>
      <c r="FM859" s="773"/>
      <c r="FN859" s="773"/>
      <c r="FO859" s="773"/>
      <c r="FP859" s="773"/>
      <c r="FQ859" s="773"/>
      <c r="FR859" s="773"/>
      <c r="FS859" s="773"/>
      <c r="FT859" s="773"/>
      <c r="FU859" s="773"/>
      <c r="FV859" s="773"/>
      <c r="FW859" s="773"/>
      <c r="FX859" s="773"/>
      <c r="FY859" s="773"/>
      <c r="FZ859" s="773"/>
      <c r="GA859" s="773"/>
      <c r="GB859" s="773"/>
      <c r="GC859" s="773"/>
      <c r="GD859" s="773"/>
      <c r="GE859" s="773"/>
      <c r="GF859" s="773"/>
      <c r="GG859" s="773"/>
      <c r="GH859" s="773"/>
      <c r="GI859" s="773"/>
      <c r="GJ859" s="773"/>
      <c r="GK859" s="773"/>
      <c r="GL859" s="773"/>
      <c r="GM859" s="773"/>
      <c r="GN859" s="773"/>
      <c r="GO859" s="773"/>
      <c r="GP859" s="773"/>
      <c r="GQ859" s="773"/>
      <c r="GR859" s="773"/>
      <c r="GS859" s="773"/>
      <c r="GT859" s="773"/>
      <c r="GU859" s="773"/>
      <c r="GV859" s="773"/>
      <c r="GW859" s="773"/>
      <c r="GX859" s="773"/>
      <c r="GY859" s="773"/>
      <c r="GZ859" s="773"/>
    </row>
    <row r="860" spans="1:208" s="11" customFormat="1" ht="12.95" customHeight="1">
      <c r="A860" s="780"/>
      <c r="B860" s="3790" t="s">
        <v>752</v>
      </c>
      <c r="C860" s="197">
        <v>7140003</v>
      </c>
      <c r="D860" s="199" t="s">
        <v>915</v>
      </c>
      <c r="E860" s="798">
        <f>IFERROR(VLOOKUP(C860,'AJE 12 - INC'!$D$168:$F$771,3,0),0)</f>
        <v>5000</v>
      </c>
      <c r="F860" s="108">
        <f>SUMIF('AJE 12 - INC'!B:B,'New TB INC'!C860,'AJE 12 - INC'!D:D)</f>
        <v>0</v>
      </c>
      <c r="G860" s="108"/>
      <c r="H860" s="108"/>
      <c r="I860" s="108"/>
      <c r="J860" s="859">
        <f t="shared" ref="J860:J874" si="87">SUM(E860:I860)</f>
        <v>5000</v>
      </c>
      <c r="K860" s="4501"/>
      <c r="L860" s="449"/>
      <c r="M860" s="828"/>
      <c r="N860" s="773">
        <v>0</v>
      </c>
      <c r="O860" s="773">
        <v>0</v>
      </c>
      <c r="P860" s="773">
        <v>0</v>
      </c>
      <c r="Q860" s="773">
        <v>0</v>
      </c>
      <c r="R860" s="773">
        <v>0</v>
      </c>
      <c r="S860" s="11">
        <v>0</v>
      </c>
      <c r="T860" s="773">
        <v>0</v>
      </c>
      <c r="U860" s="2173">
        <v>0</v>
      </c>
      <c r="V860" s="2509">
        <v>0</v>
      </c>
      <c r="W860" s="2509">
        <v>0</v>
      </c>
      <c r="X860" s="2509">
        <v>0</v>
      </c>
      <c r="Y860" s="2509">
        <v>0</v>
      </c>
      <c r="Z860" s="11">
        <f>'[26]New TB INC'!Z797</f>
        <v>0</v>
      </c>
      <c r="AA860" s="11">
        <f>'[27]New TB INC'!AA805</f>
        <v>0</v>
      </c>
      <c r="AB860" s="11">
        <f>'[28]New TB INC'!AB814</f>
        <v>0</v>
      </c>
      <c r="AC860" s="11">
        <f>'[29]New TB INC'!AC811</f>
        <v>0</v>
      </c>
      <c r="AD860" s="11">
        <f>'[30]New TB INC'!AD810</f>
        <v>0</v>
      </c>
      <c r="AE860" s="11">
        <f>'[31]New TB INC'!AE819</f>
        <v>0</v>
      </c>
      <c r="AF860" s="11">
        <v>0</v>
      </c>
      <c r="AG860" s="11">
        <v>0</v>
      </c>
      <c r="AH860" s="11">
        <v>0</v>
      </c>
      <c r="AI860" s="11">
        <v>0</v>
      </c>
      <c r="AJ860" s="11">
        <v>0</v>
      </c>
      <c r="AK860" s="11">
        <f>$J860-SUM($Z860:AJ860)</f>
        <v>5000</v>
      </c>
      <c r="AW860" s="2509"/>
      <c r="BE860" s="2173"/>
      <c r="BF860" s="2173"/>
      <c r="BG860" s="2173"/>
      <c r="BH860" s="2173"/>
      <c r="BI860" s="2173"/>
      <c r="BJ860" s="2173"/>
      <c r="BK860" s="2173"/>
      <c r="BL860" s="773"/>
      <c r="BN860" s="773"/>
      <c r="BO860" s="209"/>
      <c r="BP860" s="799"/>
      <c r="BQ860" s="209"/>
      <c r="BR860" s="209"/>
      <c r="BS860" s="209"/>
      <c r="BT860" s="773"/>
      <c r="BU860" s="773"/>
      <c r="BV860" s="773"/>
      <c r="BW860" s="773"/>
      <c r="BX860" s="773"/>
      <c r="BY860" s="773"/>
      <c r="BZ860" s="773"/>
      <c r="CA860" s="773"/>
      <c r="CB860" s="773"/>
      <c r="CC860" s="773"/>
      <c r="CD860" s="773"/>
      <c r="CE860" s="773"/>
      <c r="CF860" s="773"/>
      <c r="CG860" s="773"/>
      <c r="CH860" s="773"/>
      <c r="CI860" s="773"/>
      <c r="CJ860" s="773"/>
      <c r="CK860" s="773"/>
      <c r="CL860" s="773"/>
      <c r="CM860" s="773"/>
      <c r="CN860" s="773"/>
      <c r="CO860" s="773"/>
      <c r="CP860" s="773"/>
      <c r="CQ860" s="773"/>
      <c r="CR860" s="773"/>
      <c r="CS860" s="773"/>
      <c r="CT860" s="773"/>
      <c r="CU860" s="773"/>
      <c r="CV860" s="773"/>
      <c r="CW860" s="773"/>
      <c r="CX860" s="773"/>
      <c r="CY860" s="773"/>
      <c r="CZ860" s="773"/>
      <c r="DA860" s="773"/>
      <c r="DB860" s="773"/>
      <c r="DC860" s="773"/>
      <c r="DD860" s="773"/>
      <c r="DE860" s="773"/>
      <c r="DF860" s="773"/>
      <c r="DG860" s="773"/>
      <c r="DH860" s="773"/>
      <c r="DI860" s="773"/>
      <c r="DJ860" s="773"/>
      <c r="DK860" s="773"/>
      <c r="DL860" s="773"/>
      <c r="DM860" s="773"/>
      <c r="DN860" s="773"/>
      <c r="DO860" s="773"/>
      <c r="DP860" s="773"/>
      <c r="DQ860" s="773"/>
      <c r="DR860" s="773"/>
      <c r="DS860" s="773"/>
      <c r="DT860" s="773"/>
      <c r="DU860" s="773"/>
      <c r="DV860" s="773"/>
      <c r="DW860" s="773"/>
      <c r="DX860" s="773"/>
      <c r="DY860" s="773"/>
      <c r="DZ860" s="773"/>
      <c r="EA860" s="773"/>
      <c r="EB860" s="773"/>
      <c r="EC860" s="773"/>
      <c r="ED860" s="773"/>
      <c r="EE860" s="773"/>
      <c r="EF860" s="773"/>
      <c r="EG860" s="773"/>
      <c r="EH860" s="773"/>
      <c r="EI860" s="773"/>
      <c r="EJ860" s="773"/>
      <c r="EK860" s="773"/>
      <c r="EL860" s="773"/>
      <c r="EM860" s="773"/>
      <c r="EN860" s="773"/>
      <c r="EO860" s="773"/>
      <c r="EP860" s="773"/>
      <c r="EQ860" s="773"/>
      <c r="ER860" s="773"/>
      <c r="ES860" s="773"/>
      <c r="ET860" s="773"/>
      <c r="EU860" s="773"/>
      <c r="EV860" s="773"/>
      <c r="EW860" s="773"/>
      <c r="EX860" s="773"/>
      <c r="EY860" s="773"/>
      <c r="EZ860" s="773"/>
      <c r="FA860" s="773"/>
      <c r="FB860" s="773"/>
      <c r="FC860" s="773"/>
      <c r="FD860" s="773"/>
      <c r="FE860" s="773"/>
      <c r="FF860" s="773"/>
      <c r="FG860" s="773"/>
      <c r="FH860" s="773"/>
      <c r="FI860" s="773"/>
      <c r="FJ860" s="773"/>
      <c r="FK860" s="773"/>
      <c r="FL860" s="773"/>
      <c r="FM860" s="773"/>
      <c r="FN860" s="773"/>
      <c r="FO860" s="773"/>
      <c r="FP860" s="773"/>
      <c r="FQ860" s="773"/>
      <c r="FR860" s="773"/>
      <c r="FS860" s="773"/>
      <c r="FT860" s="773"/>
      <c r="FU860" s="773"/>
      <c r="FV860" s="773"/>
      <c r="FW860" s="773"/>
      <c r="FX860" s="773"/>
      <c r="FY860" s="773"/>
      <c r="FZ860" s="773"/>
      <c r="GA860" s="773"/>
      <c r="GB860" s="773"/>
      <c r="GC860" s="773"/>
      <c r="GD860" s="773"/>
      <c r="GE860" s="773"/>
      <c r="GF860" s="773"/>
      <c r="GG860" s="773"/>
      <c r="GH860" s="773"/>
      <c r="GI860" s="773"/>
      <c r="GJ860" s="773"/>
      <c r="GK860" s="773"/>
      <c r="GL860" s="773"/>
      <c r="GM860" s="773"/>
      <c r="GN860" s="773"/>
      <c r="GO860" s="773"/>
      <c r="GP860" s="773"/>
      <c r="GQ860" s="773"/>
      <c r="GR860" s="773"/>
      <c r="GS860" s="773"/>
      <c r="GT860" s="773"/>
      <c r="GU860" s="773"/>
      <c r="GV860" s="773"/>
      <c r="GW860" s="773"/>
      <c r="GX860" s="773"/>
      <c r="GY860" s="773"/>
      <c r="GZ860" s="773"/>
    </row>
    <row r="861" spans="1:208" s="11" customFormat="1" ht="12.95" customHeight="1">
      <c r="A861" s="780"/>
      <c r="B861" s="3790" t="s">
        <v>752</v>
      </c>
      <c r="C861" s="197">
        <v>7140005</v>
      </c>
      <c r="D861" s="199" t="s">
        <v>918</v>
      </c>
      <c r="E861" s="798">
        <f>IFERROR(VLOOKUP(C861,'AJE 12 - INC'!$D$168:$F$771,3,0),0)</f>
        <v>26480.35</v>
      </c>
      <c r="F861" s="108">
        <f>SUMIF('AJE 12 - INC'!B:B,'New TB INC'!C861,'AJE 12 - INC'!D:D)</f>
        <v>0</v>
      </c>
      <c r="G861" s="108"/>
      <c r="H861" s="108"/>
      <c r="I861" s="108"/>
      <c r="J861" s="859">
        <f t="shared" si="87"/>
        <v>26480.35</v>
      </c>
      <c r="K861" s="4501"/>
      <c r="L861" s="449"/>
      <c r="M861" s="828"/>
      <c r="N861" s="773">
        <v>4713.6099999999997</v>
      </c>
      <c r="O861" s="773">
        <v>5675.81</v>
      </c>
      <c r="P861" s="773">
        <v>1841.4500000000007</v>
      </c>
      <c r="Q861" s="773">
        <v>3158.4299999999976</v>
      </c>
      <c r="R861" s="773">
        <v>1122.0300000000025</v>
      </c>
      <c r="S861" s="11">
        <v>2011.5699999999997</v>
      </c>
      <c r="T861" s="773">
        <v>1085.9099999999989</v>
      </c>
      <c r="U861" s="2173">
        <v>177.98999999999796</v>
      </c>
      <c r="V861" s="2509">
        <v>2895</v>
      </c>
      <c r="W861" s="2509">
        <v>1388.4799999999996</v>
      </c>
      <c r="X861" s="2509">
        <v>1875.3700000000026</v>
      </c>
      <c r="Y861" s="2509">
        <v>1363.6800000000003</v>
      </c>
      <c r="Z861" s="11">
        <f>'[26]New TB INC'!Z800</f>
        <v>6332.47</v>
      </c>
      <c r="AA861" s="11">
        <f>'[27]New TB INC'!AA809</f>
        <v>3030.9800000000005</v>
      </c>
      <c r="AB861" s="11">
        <f>'[28]New TB INC'!AB818</f>
        <v>2027.6799999999985</v>
      </c>
      <c r="AC861" s="11">
        <f>'[29]New TB INC'!AC815</f>
        <v>2190.75</v>
      </c>
      <c r="AD861" s="11">
        <f>'[30]New TB INC'!AD811</f>
        <v>2555.83</v>
      </c>
      <c r="AE861" s="11">
        <f>'[31]New TB INC'!AE820</f>
        <v>1718.7200000000012</v>
      </c>
      <c r="AF861" s="11">
        <v>1879.0200000000004</v>
      </c>
      <c r="AG861" s="11">
        <v>3225.2599999999984</v>
      </c>
      <c r="AH861" s="11">
        <v>1064.0200000000004</v>
      </c>
      <c r="AI861" s="11">
        <v>1160.4900000000016</v>
      </c>
      <c r="AJ861" s="11">
        <v>597.36000000000058</v>
      </c>
      <c r="AK861" s="11">
        <f>$J861-SUM($Z861:AJ861)</f>
        <v>697.7699999999968</v>
      </c>
      <c r="AW861" s="2509"/>
      <c r="BE861" s="2173"/>
      <c r="BF861" s="2173"/>
      <c r="BG861" s="2173"/>
      <c r="BH861" s="2173"/>
      <c r="BI861" s="2173"/>
      <c r="BJ861" s="2173"/>
      <c r="BK861" s="2173"/>
      <c r="BL861" s="773"/>
      <c r="BN861" s="773"/>
      <c r="BO861" s="209"/>
      <c r="BQ861" s="209"/>
      <c r="BR861" s="209"/>
      <c r="BS861" s="209"/>
      <c r="BT861" s="773"/>
      <c r="BU861" s="773"/>
      <c r="BV861" s="773"/>
      <c r="BW861" s="773"/>
      <c r="BX861" s="773"/>
      <c r="BY861" s="773"/>
      <c r="BZ861" s="773"/>
      <c r="CA861" s="773"/>
      <c r="DB861" s="773"/>
      <c r="DC861" s="773"/>
      <c r="DD861" s="773"/>
      <c r="DE861" s="773"/>
      <c r="DF861" s="773"/>
      <c r="DG861" s="773"/>
      <c r="DH861" s="773"/>
      <c r="DI861" s="773"/>
      <c r="DJ861" s="773"/>
      <c r="DK861" s="773"/>
      <c r="DL861" s="773"/>
      <c r="DM861" s="773"/>
      <c r="DN861" s="773"/>
      <c r="DO861" s="773"/>
      <c r="DP861" s="773"/>
      <c r="DQ861" s="773"/>
      <c r="DR861" s="773"/>
      <c r="DS861" s="773"/>
      <c r="DT861" s="773"/>
      <c r="DU861" s="773"/>
      <c r="DV861" s="773"/>
      <c r="DW861" s="773"/>
      <c r="DX861" s="773"/>
      <c r="DY861" s="773"/>
      <c r="DZ861" s="773"/>
      <c r="EA861" s="773"/>
      <c r="EB861" s="773"/>
      <c r="EC861" s="773"/>
      <c r="ED861" s="773"/>
      <c r="EE861" s="773"/>
      <c r="EF861" s="773"/>
      <c r="EG861" s="773"/>
      <c r="EH861" s="773"/>
      <c r="EI861" s="773"/>
      <c r="EJ861" s="773"/>
      <c r="EK861" s="773"/>
      <c r="EL861" s="773"/>
      <c r="EM861" s="773"/>
      <c r="EN861" s="773"/>
      <c r="EO861" s="773"/>
      <c r="EP861" s="773"/>
      <c r="EQ861" s="773"/>
      <c r="ER861" s="773"/>
      <c r="ES861" s="773"/>
      <c r="ET861" s="773"/>
      <c r="EU861" s="773"/>
      <c r="EV861" s="773"/>
      <c r="EW861" s="773"/>
      <c r="EX861" s="773"/>
      <c r="EY861" s="773"/>
      <c r="EZ861" s="773"/>
      <c r="FA861" s="773"/>
      <c r="FB861" s="773"/>
      <c r="FC861" s="773"/>
      <c r="FD861" s="773"/>
      <c r="FE861" s="773"/>
      <c r="FF861" s="773"/>
      <c r="FG861" s="773"/>
      <c r="FH861" s="773"/>
      <c r="FI861" s="773"/>
      <c r="FJ861" s="773"/>
      <c r="FK861" s="773"/>
      <c r="FL861" s="773"/>
      <c r="FM861" s="773"/>
      <c r="FN861" s="773"/>
      <c r="FO861" s="773"/>
      <c r="FP861" s="773"/>
      <c r="FQ861" s="773"/>
      <c r="FR861" s="773"/>
      <c r="FS861" s="773"/>
      <c r="FT861" s="773"/>
      <c r="FU861" s="773"/>
      <c r="FV861" s="773"/>
      <c r="FW861" s="773"/>
      <c r="FX861" s="773"/>
      <c r="FY861" s="773"/>
      <c r="FZ861" s="773"/>
      <c r="GA861" s="773"/>
      <c r="GB861" s="773"/>
      <c r="GC861" s="773"/>
      <c r="GD861" s="773"/>
      <c r="GE861" s="773"/>
      <c r="GF861" s="773"/>
      <c r="GG861" s="773"/>
      <c r="GH861" s="773"/>
      <c r="GI861" s="773"/>
      <c r="GJ861" s="773"/>
      <c r="GK861" s="773"/>
      <c r="GL861" s="773"/>
      <c r="GM861" s="773"/>
      <c r="GN861" s="773"/>
      <c r="GO861" s="773"/>
      <c r="GP861" s="773"/>
      <c r="GQ861" s="773"/>
      <c r="GR861" s="773"/>
      <c r="GS861" s="773"/>
      <c r="GT861" s="773"/>
      <c r="GU861" s="773"/>
      <c r="GV861" s="773"/>
      <c r="GW861" s="773"/>
      <c r="GX861" s="773"/>
      <c r="GY861" s="773"/>
      <c r="GZ861" s="773"/>
    </row>
    <row r="862" spans="1:208" s="11" customFormat="1" ht="12.95" customHeight="1">
      <c r="A862" s="780"/>
      <c r="B862" s="3790" t="s">
        <v>1375</v>
      </c>
      <c r="C862" s="197">
        <v>7141042</v>
      </c>
      <c r="D862" s="199" t="s">
        <v>3597</v>
      </c>
      <c r="E862" s="798">
        <f>IFERROR(VLOOKUP(C862,'AJE 12 - INC'!$D$168:$F$771,3,0),0)</f>
        <v>32900</v>
      </c>
      <c r="F862" s="108">
        <f>SUMIF('AJE 12 - INC'!B:B,'New TB INC'!C862,'AJE 12 - INC'!D:D)</f>
        <v>0</v>
      </c>
      <c r="G862" s="108"/>
      <c r="H862" s="108"/>
      <c r="I862" s="108"/>
      <c r="J862" s="859">
        <f>SUM(E862:I862)</f>
        <v>32900</v>
      </c>
      <c r="K862" s="4501"/>
      <c r="L862" s="449"/>
      <c r="M862" s="828"/>
      <c r="N862" s="773"/>
      <c r="O862" s="773"/>
      <c r="P862" s="773"/>
      <c r="Q862" s="773"/>
      <c r="R862" s="773"/>
      <c r="T862" s="773"/>
      <c r="U862" s="2173"/>
      <c r="V862" s="2509"/>
      <c r="W862" s="2509"/>
      <c r="X862" s="2509"/>
      <c r="Y862" s="2509"/>
      <c r="AH862" s="11">
        <v>32900</v>
      </c>
      <c r="AI862" s="11">
        <v>0</v>
      </c>
      <c r="AJ862" s="11">
        <v>0</v>
      </c>
      <c r="AK862" s="11">
        <f>$J862-SUM($Z862:AJ862)</f>
        <v>0</v>
      </c>
      <c r="AP862" s="11" t="s">
        <v>4196</v>
      </c>
      <c r="AW862" s="2509"/>
      <c r="BE862" s="2173"/>
      <c r="BF862" s="2173"/>
      <c r="BG862" s="2173"/>
      <c r="BH862" s="2173"/>
      <c r="BI862" s="2173"/>
      <c r="BJ862" s="2173"/>
      <c r="BK862" s="2173"/>
      <c r="BL862" s="773"/>
      <c r="BN862" s="773"/>
      <c r="BO862" s="209"/>
      <c r="BQ862" s="209"/>
      <c r="BR862" s="209"/>
      <c r="BS862" s="209"/>
      <c r="BT862" s="773"/>
      <c r="BU862" s="773"/>
      <c r="BV862" s="773"/>
      <c r="BW862" s="773"/>
      <c r="BX862" s="773"/>
      <c r="BY862" s="773"/>
      <c r="BZ862" s="773"/>
      <c r="CA862" s="773"/>
      <c r="DB862" s="773"/>
      <c r="DC862" s="773"/>
      <c r="DD862" s="773"/>
      <c r="DE862" s="773"/>
      <c r="DF862" s="773"/>
      <c r="DG862" s="773"/>
      <c r="DH862" s="773"/>
      <c r="DI862" s="773"/>
      <c r="DJ862" s="773"/>
      <c r="DK862" s="773"/>
      <c r="DL862" s="773"/>
      <c r="DM862" s="773"/>
      <c r="DN862" s="773"/>
      <c r="DO862" s="773"/>
      <c r="DP862" s="773"/>
      <c r="DQ862" s="773"/>
      <c r="DR862" s="773"/>
      <c r="DS862" s="773"/>
      <c r="DT862" s="773"/>
      <c r="DU862" s="773"/>
      <c r="DV862" s="773"/>
      <c r="DW862" s="773"/>
      <c r="DX862" s="773"/>
      <c r="DY862" s="773"/>
      <c r="DZ862" s="773"/>
      <c r="EA862" s="773"/>
      <c r="EB862" s="773"/>
      <c r="EC862" s="773"/>
      <c r="ED862" s="773"/>
      <c r="EE862" s="773"/>
      <c r="EF862" s="773"/>
      <c r="EG862" s="773"/>
      <c r="EH862" s="773"/>
      <c r="EI862" s="773"/>
      <c r="EJ862" s="773"/>
      <c r="EK862" s="773"/>
      <c r="EL862" s="773"/>
      <c r="EM862" s="773"/>
      <c r="EN862" s="773"/>
      <c r="EO862" s="773"/>
      <c r="EP862" s="773"/>
      <c r="EQ862" s="773"/>
      <c r="ER862" s="773"/>
      <c r="ES862" s="773"/>
      <c r="ET862" s="773"/>
      <c r="EU862" s="773"/>
      <c r="EV862" s="773"/>
      <c r="EW862" s="773"/>
      <c r="EX862" s="773"/>
      <c r="EY862" s="773"/>
      <c r="EZ862" s="773"/>
      <c r="FA862" s="773"/>
      <c r="FB862" s="773"/>
      <c r="FC862" s="773"/>
      <c r="FD862" s="773"/>
      <c r="FE862" s="773"/>
      <c r="FF862" s="773"/>
      <c r="FG862" s="773"/>
      <c r="FH862" s="773"/>
      <c r="FI862" s="773"/>
      <c r="FJ862" s="773"/>
      <c r="FK862" s="773"/>
      <c r="FL862" s="773"/>
      <c r="FM862" s="773"/>
      <c r="FN862" s="773"/>
      <c r="FO862" s="773"/>
      <c r="FP862" s="773"/>
      <c r="FQ862" s="773"/>
      <c r="FR862" s="773"/>
      <c r="FS862" s="773"/>
      <c r="FT862" s="773"/>
      <c r="FU862" s="773"/>
      <c r="FV862" s="773"/>
      <c r="FW862" s="773"/>
      <c r="FX862" s="773"/>
      <c r="FY862" s="773"/>
      <c r="FZ862" s="773"/>
      <c r="GA862" s="773"/>
      <c r="GB862" s="773"/>
      <c r="GC862" s="773"/>
      <c r="GD862" s="773"/>
      <c r="GE862" s="773"/>
      <c r="GF862" s="773"/>
      <c r="GG862" s="773"/>
      <c r="GH862" s="773"/>
      <c r="GI862" s="773"/>
      <c r="GJ862" s="773"/>
      <c r="GK862" s="773"/>
      <c r="GL862" s="773"/>
      <c r="GM862" s="773"/>
      <c r="GN862" s="773"/>
      <c r="GO862" s="773"/>
      <c r="GP862" s="773"/>
      <c r="GQ862" s="773"/>
      <c r="GR862" s="773"/>
      <c r="GS862" s="773"/>
      <c r="GT862" s="773"/>
      <c r="GU862" s="773"/>
      <c r="GV862" s="773"/>
      <c r="GW862" s="773"/>
      <c r="GX862" s="773"/>
      <c r="GY862" s="773"/>
      <c r="GZ862" s="773"/>
    </row>
    <row r="863" spans="1:208" s="773" customFormat="1" ht="12.95" customHeight="1">
      <c r="A863" s="780"/>
      <c r="B863" s="3790" t="s">
        <v>752</v>
      </c>
      <c r="C863" s="197">
        <v>7140004</v>
      </c>
      <c r="D863" s="2522" t="s">
        <v>755</v>
      </c>
      <c r="E863" s="798">
        <f>IFERROR(VLOOKUP(C863,'AJE 12 - INC'!$D$168:$F$771,3,0),0)</f>
        <v>297489</v>
      </c>
      <c r="F863" s="108">
        <f>SUMIF('AJE 12 - INC'!B:B,'New TB INC'!C863,'AJE 12 - INC'!D:D)</f>
        <v>0</v>
      </c>
      <c r="G863" s="108"/>
      <c r="H863" s="108"/>
      <c r="I863" s="108"/>
      <c r="J863" s="859">
        <f t="shared" si="87"/>
        <v>297489</v>
      </c>
      <c r="K863" s="4501"/>
      <c r="L863" s="449"/>
      <c r="M863" s="828"/>
      <c r="N863" s="773">
        <v>20342.439999999999</v>
      </c>
      <c r="O863" s="773">
        <v>28273.000000000004</v>
      </c>
      <c r="P863" s="773">
        <v>3580</v>
      </c>
      <c r="Q863" s="773">
        <v>30913</v>
      </c>
      <c r="R863" s="773">
        <v>2478</v>
      </c>
      <c r="S863" s="11">
        <v>14106</v>
      </c>
      <c r="T863" s="2125">
        <v>5698</v>
      </c>
      <c r="U863" s="2125">
        <v>86</v>
      </c>
      <c r="V863" s="2125">
        <v>128810</v>
      </c>
      <c r="W863" s="2523">
        <v>2878</v>
      </c>
      <c r="X863" s="2523">
        <v>40713</v>
      </c>
      <c r="Y863" s="2523">
        <v>5424</v>
      </c>
      <c r="Z863" s="2125">
        <f>'[26]New TB INC'!Z798</f>
        <v>52714</v>
      </c>
      <c r="AA863" s="2125">
        <f>'[27]New TB INC'!AA806</f>
        <v>10502</v>
      </c>
      <c r="AB863" s="2125">
        <f>'[28]New TB INC'!AB815</f>
        <v>2737</v>
      </c>
      <c r="AC863" s="2125">
        <f>'[29]New TB INC'!AC812</f>
        <v>5564</v>
      </c>
      <c r="AD863" s="2125">
        <f>'[30]New TB INC'!AD812</f>
        <v>18148</v>
      </c>
      <c r="AE863" s="2125">
        <f>'[31]New TB INC'!AE821</f>
        <v>9008</v>
      </c>
      <c r="AF863" s="2125">
        <v>11871</v>
      </c>
      <c r="AG863" s="2125">
        <v>145399</v>
      </c>
      <c r="AH863" s="2125">
        <v>12517</v>
      </c>
      <c r="AI863" s="2125">
        <v>1496</v>
      </c>
      <c r="AJ863" s="11">
        <v>3179</v>
      </c>
      <c r="AK863" s="11">
        <f>$J863-SUM($Z863:AJ863)</f>
        <v>24354</v>
      </c>
      <c r="AL863" s="11"/>
      <c r="AM863" s="11"/>
      <c r="AN863" s="2125"/>
      <c r="AO863" s="2125"/>
      <c r="AP863" s="2125"/>
      <c r="AQ863" s="2125"/>
      <c r="AR863" s="2125"/>
      <c r="AS863" s="2125"/>
      <c r="AT863" s="2125"/>
      <c r="AU863" s="11"/>
      <c r="AW863" s="2509"/>
      <c r="BE863" s="2173"/>
      <c r="BF863" s="2173"/>
      <c r="BG863" s="2173"/>
      <c r="BH863" s="2173"/>
      <c r="BI863" s="2173"/>
      <c r="BJ863" s="2173"/>
      <c r="BK863" s="2173"/>
      <c r="BM863" s="11"/>
      <c r="BO863" s="209"/>
      <c r="BP863" s="11"/>
      <c r="BQ863" s="209"/>
      <c r="BR863" s="209"/>
      <c r="BS863" s="209"/>
    </row>
    <row r="864" spans="1:208" s="11" customFormat="1" ht="13.5" customHeight="1" thickBot="1">
      <c r="A864" s="780"/>
      <c r="B864" s="3791" t="s">
        <v>752</v>
      </c>
      <c r="C864" s="3099" t="s">
        <v>916</v>
      </c>
      <c r="D864" s="2890" t="s">
        <v>917</v>
      </c>
      <c r="E864" s="2891">
        <f>IFERROR(VLOOKUP(C864,'AJE 12 - INC'!$D$168:$F$771,3,0),0)</f>
        <v>0</v>
      </c>
      <c r="F864" s="2892">
        <f>SUMIF('AJE 12 - INC'!B:B,'New TB INC'!C864,'AJE 12 - INC'!D:D)</f>
        <v>0</v>
      </c>
      <c r="G864" s="2892"/>
      <c r="H864" s="2892"/>
      <c r="I864" s="2892"/>
      <c r="J864" s="2893">
        <f t="shared" si="87"/>
        <v>0</v>
      </c>
      <c r="K864" s="4502"/>
      <c r="L864" s="449"/>
      <c r="M864" s="828"/>
      <c r="N864" s="773">
        <v>0</v>
      </c>
      <c r="O864" s="773">
        <v>0</v>
      </c>
      <c r="P864" s="773">
        <v>2307.69</v>
      </c>
      <c r="Q864" s="773">
        <v>0</v>
      </c>
      <c r="R864" s="773">
        <v>0</v>
      </c>
      <c r="S864" s="11">
        <v>0</v>
      </c>
      <c r="T864" s="773">
        <v>0</v>
      </c>
      <c r="U864" s="2173">
        <v>0</v>
      </c>
      <c r="V864" s="2509">
        <v>0</v>
      </c>
      <c r="W864" s="2509">
        <v>0</v>
      </c>
      <c r="X864" s="2509">
        <v>0</v>
      </c>
      <c r="Y864" s="2509">
        <v>0</v>
      </c>
      <c r="Z864" s="11">
        <f>'[26]New TB INC'!Z799</f>
        <v>0</v>
      </c>
      <c r="AA864" s="11">
        <f>'[27]New TB INC'!AA807</f>
        <v>0</v>
      </c>
      <c r="AB864" s="11">
        <f>'[28]New TB INC'!AB816</f>
        <v>0</v>
      </c>
      <c r="AC864" s="11">
        <f>'[29]New TB INC'!AC813</f>
        <v>0</v>
      </c>
      <c r="AD864" s="11">
        <f>'[30]New TB INC'!AD813</f>
        <v>0</v>
      </c>
      <c r="AE864" s="11">
        <f>'[31]New TB INC'!AE822</f>
        <v>0</v>
      </c>
      <c r="AF864" s="11">
        <v>0</v>
      </c>
      <c r="AG864" s="11">
        <v>0</v>
      </c>
      <c r="AH864" s="11">
        <v>0</v>
      </c>
      <c r="AI864" s="11">
        <v>0</v>
      </c>
      <c r="AJ864" s="11">
        <v>0</v>
      </c>
      <c r="AK864" s="11">
        <f>$J864-SUM($Z864:AJ864)</f>
        <v>0</v>
      </c>
      <c r="AW864" s="2509"/>
      <c r="BE864" s="2173"/>
      <c r="BF864" s="2173"/>
      <c r="BG864" s="2173"/>
      <c r="BH864" s="2173"/>
      <c r="BI864" s="2173"/>
      <c r="BJ864" s="2173"/>
      <c r="BK864" s="2173"/>
      <c r="BL864" s="773"/>
      <c r="BN864" s="773"/>
      <c r="BO864" s="209"/>
      <c r="BQ864" s="209"/>
      <c r="BR864" s="209"/>
      <c r="BS864" s="209"/>
      <c r="BT864" s="773"/>
      <c r="BU864" s="773"/>
      <c r="BV864" s="773"/>
      <c r="BW864" s="773"/>
      <c r="BX864" s="773"/>
      <c r="BY864" s="773"/>
      <c r="BZ864" s="773"/>
      <c r="CA864" s="773"/>
      <c r="DB864" s="773"/>
      <c r="DC864" s="773"/>
      <c r="DD864" s="773"/>
      <c r="DE864" s="773"/>
      <c r="DF864" s="773"/>
      <c r="DG864" s="773"/>
      <c r="DH864" s="773"/>
      <c r="DI864" s="773"/>
      <c r="DJ864" s="773"/>
      <c r="DK864" s="773"/>
      <c r="DL864" s="773"/>
      <c r="DM864" s="773"/>
      <c r="DN864" s="773"/>
      <c r="DO864" s="773"/>
      <c r="DP864" s="773"/>
      <c r="DQ864" s="773"/>
      <c r="DR864" s="773"/>
      <c r="DS864" s="773"/>
      <c r="DT864" s="773"/>
      <c r="DU864" s="773"/>
      <c r="DV864" s="773"/>
      <c r="DW864" s="773"/>
      <c r="DX864" s="773"/>
      <c r="DY864" s="773"/>
      <c r="DZ864" s="773"/>
      <c r="EA864" s="773"/>
      <c r="EB864" s="773"/>
      <c r="EC864" s="773"/>
      <c r="ED864" s="773"/>
      <c r="EE864" s="773"/>
      <c r="EF864" s="773"/>
      <c r="EG864" s="773"/>
      <c r="EH864" s="773"/>
      <c r="EI864" s="773"/>
      <c r="EJ864" s="773"/>
      <c r="EK864" s="773"/>
      <c r="EL864" s="773"/>
      <c r="EM864" s="773"/>
      <c r="EN864" s="773"/>
      <c r="EO864" s="773"/>
      <c r="EP864" s="773"/>
      <c r="EQ864" s="773"/>
      <c r="ER864" s="773"/>
      <c r="ES864" s="773"/>
      <c r="ET864" s="773"/>
      <c r="EU864" s="773"/>
      <c r="EV864" s="773"/>
      <c r="EW864" s="773"/>
      <c r="EX864" s="773"/>
      <c r="EY864" s="773"/>
      <c r="EZ864" s="773"/>
      <c r="FA864" s="773"/>
      <c r="FB864" s="773"/>
      <c r="FC864" s="773"/>
      <c r="FD864" s="773"/>
      <c r="FE864" s="773"/>
      <c r="FF864" s="773"/>
      <c r="FG864" s="773"/>
      <c r="FH864" s="773"/>
      <c r="FI864" s="773"/>
      <c r="FJ864" s="773"/>
      <c r="FK864" s="773"/>
      <c r="FL864" s="773"/>
      <c r="FM864" s="773"/>
      <c r="FN864" s="773"/>
      <c r="FO864" s="773"/>
      <c r="FP864" s="773"/>
      <c r="FQ864" s="773"/>
      <c r="FR864" s="773"/>
      <c r="FS864" s="773"/>
      <c r="FT864" s="773"/>
      <c r="FU864" s="773"/>
      <c r="FV864" s="773"/>
      <c r="FW864" s="773"/>
      <c r="FX864" s="773"/>
      <c r="FY864" s="773"/>
      <c r="FZ864" s="773"/>
      <c r="GA864" s="773"/>
      <c r="GB864" s="773"/>
      <c r="GC864" s="773"/>
      <c r="GD864" s="773"/>
      <c r="GE864" s="773"/>
      <c r="GF864" s="773"/>
      <c r="GG864" s="773"/>
      <c r="GH864" s="773"/>
      <c r="GI864" s="773"/>
      <c r="GJ864" s="773"/>
      <c r="GK864" s="773"/>
      <c r="GL864" s="773"/>
      <c r="GM864" s="773"/>
      <c r="GN864" s="773"/>
      <c r="GO864" s="773"/>
      <c r="GP864" s="773"/>
      <c r="GQ864" s="773"/>
      <c r="GR864" s="773"/>
      <c r="GS864" s="773"/>
      <c r="GT864" s="773"/>
      <c r="GU864" s="773"/>
      <c r="GV864" s="773"/>
      <c r="GW864" s="773"/>
      <c r="GX864" s="773"/>
      <c r="GY864" s="773"/>
      <c r="GZ864" s="773"/>
    </row>
    <row r="865" spans="1:208" s="11" customFormat="1" ht="12.6" customHeight="1">
      <c r="A865" s="780"/>
      <c r="B865" s="3789" t="s">
        <v>752</v>
      </c>
      <c r="C865" s="2885">
        <v>7140006</v>
      </c>
      <c r="D865" s="2886" t="s">
        <v>919</v>
      </c>
      <c r="E865" s="2887">
        <f>IFERROR(VLOOKUP(C865,'AJE 12 - INC'!$D$168:$F$771,3,0),0)</f>
        <v>168701.05</v>
      </c>
      <c r="F865" s="899">
        <f>SUMIF('AJE 12 - INC'!B:B,'New TB INC'!C865,'AJE 12 - INC'!D:D)</f>
        <v>0</v>
      </c>
      <c r="G865" s="899"/>
      <c r="H865" s="899"/>
      <c r="I865" s="899"/>
      <c r="J865" s="2888">
        <f t="shared" si="87"/>
        <v>168701.05</v>
      </c>
      <c r="K865" s="4500" t="s">
        <v>3669</v>
      </c>
      <c r="L865" s="449"/>
      <c r="M865" s="828"/>
      <c r="N865" s="773">
        <v>12240</v>
      </c>
      <c r="O865" s="773">
        <v>12080</v>
      </c>
      <c r="P865" s="773">
        <v>13136.150000000001</v>
      </c>
      <c r="Q865" s="773">
        <v>12322.5</v>
      </c>
      <c r="R865" s="773">
        <v>12408.07</v>
      </c>
      <c r="S865" s="11">
        <v>12664.800000000003</v>
      </c>
      <c r="T865" s="773">
        <v>12750.369999999995</v>
      </c>
      <c r="U865" s="2173">
        <v>13092.649999999994</v>
      </c>
      <c r="V865" s="2509">
        <v>12921.510000000009</v>
      </c>
      <c r="W865" s="2509">
        <v>12921.509999999995</v>
      </c>
      <c r="X865" s="2509">
        <v>13178.220000000001</v>
      </c>
      <c r="Y865" s="2509">
        <v>13440.649999999994</v>
      </c>
      <c r="Z865" s="11">
        <f>'[26]New TB INC'!Z801</f>
        <v>13401.14</v>
      </c>
      <c r="AA865" s="11">
        <f>'[27]New TB INC'!AA810</f>
        <v>13998.29</v>
      </c>
      <c r="AB865" s="11">
        <f>'[28]New TB INC'!AB819</f>
        <v>13978.150000000001</v>
      </c>
      <c r="AC865" s="11">
        <f>'[29]New TB INC'!AC816</f>
        <v>14112.229999999996</v>
      </c>
      <c r="AD865" s="11">
        <f>'[30]New TB INC'!AD814</f>
        <v>14577.160000000003</v>
      </c>
      <c r="AE865" s="11">
        <f>'[31]New TB INC'!AE823</f>
        <v>14437.75</v>
      </c>
      <c r="AF865" s="11">
        <v>14063.199999999997</v>
      </c>
      <c r="AG865" s="11">
        <v>14066.449999999997</v>
      </c>
      <c r="AH865" s="11">
        <v>13937.160000000003</v>
      </c>
      <c r="AI865" s="11">
        <v>14303.929999999993</v>
      </c>
      <c r="AJ865" s="11">
        <v>13968.369999999995</v>
      </c>
      <c r="AK865" s="11">
        <f>$J865-SUM($Z865:AJ865)</f>
        <v>13857.220000000001</v>
      </c>
      <c r="AW865" s="2509"/>
      <c r="BE865" s="2173"/>
      <c r="BF865" s="2173"/>
      <c r="BG865" s="2173"/>
      <c r="BH865" s="2173"/>
      <c r="BI865" s="2173"/>
      <c r="BJ865" s="2173"/>
      <c r="BK865" s="2173"/>
      <c r="BL865" s="773"/>
      <c r="BN865" s="773"/>
      <c r="BO865" s="209"/>
      <c r="BQ865" s="209"/>
      <c r="BR865" s="209"/>
      <c r="BS865" s="209"/>
      <c r="BT865" s="773"/>
      <c r="BU865" s="773"/>
      <c r="BV865" s="773"/>
      <c r="BW865" s="773"/>
      <c r="BX865" s="773"/>
      <c r="BY865" s="773"/>
      <c r="BZ865" s="773"/>
      <c r="CA865" s="773"/>
      <c r="DB865" s="773"/>
      <c r="DC865" s="773"/>
      <c r="DD865" s="773"/>
      <c r="DE865" s="773"/>
      <c r="DF865" s="773"/>
      <c r="DG865" s="773"/>
      <c r="DH865" s="773"/>
      <c r="DI865" s="773"/>
      <c r="DJ865" s="773"/>
      <c r="DK865" s="773"/>
      <c r="DL865" s="773"/>
      <c r="DM865" s="773"/>
      <c r="DN865" s="773"/>
      <c r="DO865" s="773"/>
      <c r="DP865" s="773"/>
      <c r="DQ865" s="773"/>
      <c r="DR865" s="773"/>
      <c r="DS865" s="773"/>
      <c r="DT865" s="773"/>
      <c r="DU865" s="773"/>
      <c r="DV865" s="773"/>
      <c r="DW865" s="773"/>
      <c r="DX865" s="773"/>
      <c r="DY865" s="773"/>
      <c r="DZ865" s="773"/>
      <c r="EA865" s="773"/>
      <c r="EB865" s="773"/>
      <c r="EC865" s="773"/>
      <c r="ED865" s="773"/>
      <c r="EE865" s="773"/>
      <c r="EF865" s="773"/>
      <c r="EG865" s="773"/>
      <c r="EH865" s="773"/>
      <c r="EI865" s="773"/>
      <c r="EJ865" s="773"/>
      <c r="EK865" s="773"/>
      <c r="EL865" s="773"/>
      <c r="EM865" s="773"/>
      <c r="EN865" s="773"/>
      <c r="EO865" s="773"/>
      <c r="EP865" s="773"/>
      <c r="EQ865" s="773"/>
      <c r="ER865" s="773"/>
      <c r="ES865" s="773"/>
      <c r="ET865" s="773"/>
      <c r="EU865" s="773"/>
      <c r="EV865" s="773"/>
      <c r="EW865" s="773"/>
      <c r="EX865" s="773"/>
      <c r="EY865" s="773"/>
      <c r="EZ865" s="773"/>
      <c r="FA865" s="773"/>
      <c r="FB865" s="773"/>
      <c r="FC865" s="773"/>
      <c r="FD865" s="773"/>
      <c r="FE865" s="773"/>
      <c r="FF865" s="773"/>
      <c r="FG865" s="773"/>
      <c r="FH865" s="773"/>
      <c r="FI865" s="773"/>
      <c r="FJ865" s="773"/>
      <c r="FK865" s="773"/>
      <c r="FL865" s="773"/>
      <c r="FM865" s="773"/>
      <c r="FN865" s="773"/>
      <c r="FO865" s="773"/>
      <c r="FP865" s="773"/>
      <c r="FQ865" s="773"/>
      <c r="FR865" s="773"/>
      <c r="FS865" s="773"/>
      <c r="FT865" s="773"/>
      <c r="FU865" s="773"/>
      <c r="FV865" s="773"/>
      <c r="FW865" s="773"/>
      <c r="FX865" s="773"/>
      <c r="FY865" s="773"/>
      <c r="FZ865" s="773"/>
      <c r="GA865" s="773"/>
      <c r="GB865" s="773"/>
      <c r="GC865" s="773"/>
      <c r="GD865" s="773"/>
      <c r="GE865" s="773"/>
      <c r="GF865" s="773"/>
      <c r="GG865" s="773"/>
      <c r="GH865" s="773"/>
      <c r="GI865" s="773"/>
      <c r="GJ865" s="773"/>
      <c r="GK865" s="773"/>
      <c r="GL865" s="773"/>
      <c r="GM865" s="773"/>
      <c r="GN865" s="773"/>
      <c r="GO865" s="773"/>
      <c r="GP865" s="773"/>
      <c r="GQ865" s="773"/>
      <c r="GR865" s="773"/>
      <c r="GS865" s="773"/>
      <c r="GT865" s="773"/>
      <c r="GU865" s="773"/>
      <c r="GV865" s="773"/>
      <c r="GW865" s="773"/>
      <c r="GX865" s="773"/>
      <c r="GY865" s="773"/>
      <c r="GZ865" s="773"/>
    </row>
    <row r="866" spans="1:208" s="11" customFormat="1">
      <c r="A866" s="780"/>
      <c r="B866" s="3790" t="s">
        <v>752</v>
      </c>
      <c r="C866" s="197" t="s">
        <v>2096</v>
      </c>
      <c r="D866" s="199" t="s">
        <v>2097</v>
      </c>
      <c r="E866" s="798">
        <f>IFERROR(VLOOKUP(C866,'AJE 12 - INC'!$D$168:$F$771,3,0),0)</f>
        <v>26526.78</v>
      </c>
      <c r="F866" s="108">
        <f>SUMIF('AJE 12 - INC'!B:B,'New TB INC'!C866,'AJE 12 - INC'!D:D)</f>
        <v>0</v>
      </c>
      <c r="G866" s="108"/>
      <c r="H866" s="108"/>
      <c r="I866" s="108"/>
      <c r="J866" s="859">
        <f t="shared" si="87"/>
        <v>26526.78</v>
      </c>
      <c r="K866" s="4501"/>
      <c r="L866" s="449"/>
      <c r="M866" s="828"/>
      <c r="N866" s="773">
        <v>12877.51</v>
      </c>
      <c r="O866" s="773">
        <v>12709.1</v>
      </c>
      <c r="P866" s="773">
        <v>12120.01</v>
      </c>
      <c r="Q866" s="773">
        <v>12120.000000000002</v>
      </c>
      <c r="R866" s="773">
        <v>12204.169999999996</v>
      </c>
      <c r="S866" s="11">
        <v>12456.680000000002</v>
      </c>
      <c r="T866" s="773">
        <v>12540.840000000002</v>
      </c>
      <c r="U866" s="2173">
        <v>12877.510000000009</v>
      </c>
      <c r="V866" s="2509">
        <v>12709.169999999998</v>
      </c>
      <c r="W866" s="2509">
        <v>12709.169999999998</v>
      </c>
      <c r="X866" s="2509">
        <v>12961.679999999993</v>
      </c>
      <c r="Y866" s="2509">
        <v>13219.779999999999</v>
      </c>
      <c r="Z866" s="11">
        <f>'[26]New TB INC'!Z802</f>
        <v>13180.91</v>
      </c>
      <c r="AA866" s="11">
        <f>'[27]New TB INC'!AA811</f>
        <v>13345.869999999999</v>
      </c>
      <c r="AB866" s="11">
        <f>'[28]New TB INC'!AB820</f>
        <v>0</v>
      </c>
      <c r="AC866" s="11">
        <f>'[29]New TB INC'!AC817</f>
        <v>0</v>
      </c>
      <c r="AD866" s="11">
        <f>'[30]New TB INC'!AD815</f>
        <v>0</v>
      </c>
      <c r="AE866" s="11">
        <f>'[31]New TB INC'!AE824</f>
        <v>0</v>
      </c>
      <c r="AF866" s="11">
        <v>0</v>
      </c>
      <c r="AG866" s="11">
        <v>0</v>
      </c>
      <c r="AH866" s="11">
        <v>0</v>
      </c>
      <c r="AI866" s="11">
        <v>0</v>
      </c>
      <c r="AJ866" s="11">
        <v>0</v>
      </c>
      <c r="AK866" s="11">
        <f>$J866-SUM($Z866:AJ866)</f>
        <v>0</v>
      </c>
      <c r="AT866" s="11" t="s">
        <v>3432</v>
      </c>
      <c r="AW866" s="2509"/>
      <c r="BE866" s="2173"/>
      <c r="BF866" s="2173"/>
      <c r="BG866" s="2173"/>
      <c r="BH866" s="2173"/>
      <c r="BI866" s="2173"/>
      <c r="BJ866" s="2173"/>
      <c r="BK866" s="2173"/>
      <c r="BL866" s="773"/>
      <c r="BN866" s="773"/>
      <c r="BO866" s="209"/>
      <c r="BQ866" s="209"/>
      <c r="BR866" s="209"/>
      <c r="BS866" s="209"/>
      <c r="BT866" s="209"/>
      <c r="BU866" s="209"/>
      <c r="BV866" s="209"/>
      <c r="BW866" s="820"/>
      <c r="BX866" s="209"/>
      <c r="BY866" s="209"/>
      <c r="BZ866" s="799"/>
      <c r="CA866" s="799"/>
      <c r="DB866" s="773"/>
      <c r="DC866" s="773"/>
      <c r="DD866" s="773"/>
      <c r="DE866" s="773"/>
      <c r="DF866" s="773"/>
      <c r="DG866" s="773"/>
      <c r="DH866" s="773"/>
      <c r="DI866" s="773"/>
      <c r="DJ866" s="773"/>
      <c r="DK866" s="773"/>
      <c r="DL866" s="773"/>
      <c r="DM866" s="773"/>
      <c r="DN866" s="773"/>
      <c r="DO866" s="773"/>
      <c r="DP866" s="773"/>
      <c r="DQ866" s="773"/>
      <c r="DR866" s="773"/>
      <c r="DS866" s="773"/>
      <c r="DT866" s="773"/>
      <c r="DU866" s="773"/>
      <c r="DV866" s="773"/>
      <c r="DW866" s="773"/>
      <c r="DX866" s="773"/>
      <c r="DY866" s="773"/>
      <c r="DZ866" s="773"/>
      <c r="EA866" s="773"/>
      <c r="EB866" s="773"/>
      <c r="EC866" s="773"/>
      <c r="ED866" s="773"/>
      <c r="EE866" s="773"/>
      <c r="EF866" s="773"/>
      <c r="EG866" s="773"/>
      <c r="EH866" s="773"/>
      <c r="EI866" s="773"/>
      <c r="EJ866" s="773"/>
      <c r="EK866" s="773"/>
      <c r="EL866" s="773"/>
      <c r="EM866" s="773"/>
      <c r="EN866" s="773"/>
      <c r="EO866" s="773"/>
      <c r="EP866" s="773"/>
      <c r="EQ866" s="773"/>
      <c r="ER866" s="773"/>
      <c r="ES866" s="773"/>
      <c r="ET866" s="773"/>
      <c r="EU866" s="773"/>
      <c r="EV866" s="773"/>
      <c r="EW866" s="773"/>
      <c r="EX866" s="773"/>
      <c r="EY866" s="773"/>
      <c r="EZ866" s="773"/>
      <c r="FA866" s="773"/>
      <c r="FB866" s="773"/>
      <c r="FC866" s="773"/>
      <c r="FD866" s="773"/>
      <c r="FE866" s="773"/>
      <c r="FF866" s="773"/>
      <c r="FG866" s="773"/>
      <c r="FH866" s="773"/>
      <c r="FI866" s="773"/>
      <c r="FJ866" s="773"/>
      <c r="FK866" s="773"/>
      <c r="FL866" s="773"/>
      <c r="FM866" s="773"/>
      <c r="FN866" s="773"/>
      <c r="FO866" s="773"/>
      <c r="FP866" s="773"/>
      <c r="FQ866" s="773"/>
      <c r="FR866" s="773"/>
      <c r="FS866" s="773"/>
      <c r="FT866" s="773"/>
      <c r="FU866" s="773"/>
      <c r="FV866" s="773"/>
      <c r="FW866" s="773"/>
      <c r="FX866" s="773"/>
      <c r="FY866" s="773"/>
      <c r="FZ866" s="773"/>
      <c r="GA866" s="773"/>
      <c r="GB866" s="773"/>
      <c r="GC866" s="773"/>
      <c r="GD866" s="773"/>
      <c r="GE866" s="773"/>
      <c r="GF866" s="773"/>
      <c r="GG866" s="773"/>
      <c r="GH866" s="773"/>
      <c r="GI866" s="773"/>
      <c r="GJ866" s="773"/>
      <c r="GK866" s="773"/>
      <c r="GL866" s="773"/>
      <c r="GM866" s="773"/>
      <c r="GN866" s="773"/>
      <c r="GO866" s="773"/>
      <c r="GP866" s="773"/>
      <c r="GQ866" s="773"/>
      <c r="GR866" s="773"/>
      <c r="GS866" s="773"/>
      <c r="GT866" s="773"/>
      <c r="GU866" s="773"/>
      <c r="GV866" s="773"/>
      <c r="GW866" s="773"/>
      <c r="GX866" s="773"/>
      <c r="GY866" s="773"/>
      <c r="GZ866" s="773"/>
    </row>
    <row r="867" spans="1:208" s="11" customFormat="1" ht="12.95" customHeight="1">
      <c r="A867" s="780"/>
      <c r="B867" s="3790" t="s">
        <v>1375</v>
      </c>
      <c r="C867" s="157" t="s">
        <v>3342</v>
      </c>
      <c r="D867" s="199" t="s">
        <v>2097</v>
      </c>
      <c r="E867" s="798">
        <f>IFERROR(VLOOKUP(C867,'AJE 12 - INC'!$D$168:$F$771,3,0),0)</f>
        <v>40453.89</v>
      </c>
      <c r="F867" s="108">
        <f>SUMIF('AJE 12 - INC'!B:B,'New TB INC'!C867,'AJE 12 - INC'!D:D)</f>
        <v>0</v>
      </c>
      <c r="G867" s="108"/>
      <c r="H867" s="108"/>
      <c r="I867" s="108"/>
      <c r="J867" s="859">
        <f t="shared" si="87"/>
        <v>40453.89</v>
      </c>
      <c r="K867" s="4501"/>
      <c r="L867" s="449"/>
      <c r="M867" s="828"/>
      <c r="N867" s="773"/>
      <c r="O867" s="773"/>
      <c r="P867" s="773"/>
      <c r="Q867" s="773"/>
      <c r="R867" s="773"/>
      <c r="T867" s="773"/>
      <c r="U867" s="2173"/>
      <c r="V867" s="2509"/>
      <c r="W867" s="2509"/>
      <c r="X867" s="2509"/>
      <c r="Y867" s="2509"/>
      <c r="AB867" s="11">
        <f>'[28]New TB INC'!AB817</f>
        <v>40453.89</v>
      </c>
      <c r="AC867" s="11">
        <f>'[29]New TB INC'!AC814</f>
        <v>0</v>
      </c>
      <c r="AD867" s="11">
        <f>'[30]New TB INC'!AD816</f>
        <v>0</v>
      </c>
      <c r="AE867" s="11">
        <f>'[31]New TB INC'!AE825</f>
        <v>0</v>
      </c>
      <c r="AF867" s="11">
        <v>0</v>
      </c>
      <c r="AG867" s="11">
        <v>0</v>
      </c>
      <c r="AH867" s="11">
        <v>0</v>
      </c>
      <c r="AI867" s="11">
        <v>0</v>
      </c>
      <c r="AJ867" s="11">
        <v>0</v>
      </c>
      <c r="AK867" s="11">
        <f>$J867-SUM($Z867:AJ867)</f>
        <v>0</v>
      </c>
      <c r="AW867" s="2509"/>
      <c r="BE867" s="2173"/>
      <c r="BF867" s="2173"/>
      <c r="BG867" s="2173"/>
      <c r="BH867" s="2173"/>
      <c r="BI867" s="2173"/>
      <c r="BJ867" s="2173"/>
      <c r="BK867" s="2173"/>
      <c r="BL867" s="773"/>
      <c r="BN867" s="773"/>
      <c r="BO867" s="209"/>
      <c r="BQ867" s="209"/>
      <c r="BR867" s="209"/>
      <c r="BS867" s="209"/>
      <c r="BT867" s="773"/>
      <c r="BU867" s="773"/>
      <c r="BV867" s="773"/>
      <c r="BW867" s="773"/>
      <c r="BX867" s="773"/>
      <c r="BY867" s="773"/>
      <c r="BZ867" s="773"/>
      <c r="CA867" s="773"/>
      <c r="DB867" s="773"/>
      <c r="DC867" s="773"/>
      <c r="DD867" s="773"/>
      <c r="DE867" s="773"/>
      <c r="DF867" s="773"/>
      <c r="DG867" s="773"/>
      <c r="DH867" s="773"/>
      <c r="DI867" s="773"/>
      <c r="DJ867" s="773"/>
      <c r="DK867" s="773"/>
      <c r="DL867" s="773"/>
      <c r="DM867" s="773"/>
      <c r="DN867" s="773"/>
      <c r="DO867" s="773"/>
      <c r="DP867" s="773"/>
      <c r="DQ867" s="773"/>
      <c r="DR867" s="773"/>
      <c r="DS867" s="773"/>
      <c r="DT867" s="773"/>
      <c r="DU867" s="773"/>
      <c r="DV867" s="773"/>
      <c r="DW867" s="773"/>
      <c r="DX867" s="773"/>
      <c r="DY867" s="773"/>
      <c r="DZ867" s="773"/>
      <c r="EA867" s="773"/>
      <c r="EB867" s="773"/>
      <c r="EC867" s="773"/>
      <c r="ED867" s="773"/>
      <c r="EE867" s="773"/>
      <c r="EF867" s="773"/>
      <c r="EG867" s="773"/>
      <c r="EH867" s="773"/>
      <c r="EI867" s="773"/>
      <c r="EJ867" s="773"/>
      <c r="EK867" s="773"/>
      <c r="EL867" s="773"/>
      <c r="EM867" s="773"/>
      <c r="EN867" s="773"/>
      <c r="EO867" s="773"/>
      <c r="EP867" s="773"/>
      <c r="EQ867" s="773"/>
      <c r="ER867" s="773"/>
      <c r="ES867" s="773"/>
      <c r="ET867" s="773"/>
      <c r="EU867" s="773"/>
      <c r="EV867" s="773"/>
      <c r="EW867" s="773"/>
      <c r="EX867" s="773"/>
      <c r="EY867" s="773"/>
      <c r="EZ867" s="773"/>
      <c r="FA867" s="773"/>
      <c r="FB867" s="773"/>
      <c r="FC867" s="773"/>
      <c r="FD867" s="773"/>
      <c r="FE867" s="773"/>
      <c r="FF867" s="773"/>
      <c r="FG867" s="773"/>
      <c r="FH867" s="773"/>
      <c r="FI867" s="773"/>
      <c r="FJ867" s="773"/>
      <c r="FK867" s="773"/>
      <c r="FL867" s="773"/>
      <c r="FM867" s="773"/>
      <c r="FN867" s="773"/>
      <c r="FO867" s="773"/>
      <c r="FP867" s="773"/>
      <c r="FQ867" s="773"/>
      <c r="FR867" s="773"/>
      <c r="FS867" s="773"/>
      <c r="FT867" s="773"/>
      <c r="FU867" s="773"/>
      <c r="FV867" s="773"/>
      <c r="FW867" s="773"/>
      <c r="FX867" s="773"/>
      <c r="FY867" s="773"/>
      <c r="FZ867" s="773"/>
      <c r="GA867" s="773"/>
      <c r="GB867" s="773"/>
      <c r="GC867" s="773"/>
      <c r="GD867" s="773"/>
      <c r="GE867" s="773"/>
      <c r="GF867" s="773"/>
      <c r="GG867" s="773"/>
      <c r="GH867" s="773"/>
      <c r="GI867" s="773"/>
      <c r="GJ867" s="773"/>
      <c r="GK867" s="773"/>
      <c r="GL867" s="773"/>
      <c r="GM867" s="773"/>
      <c r="GN867" s="773"/>
      <c r="GO867" s="773"/>
      <c r="GP867" s="773"/>
      <c r="GQ867" s="773"/>
      <c r="GR867" s="773"/>
      <c r="GS867" s="773"/>
      <c r="GT867" s="773"/>
      <c r="GU867" s="773"/>
      <c r="GV867" s="773"/>
      <c r="GW867" s="773"/>
      <c r="GX867" s="773"/>
      <c r="GY867" s="773"/>
      <c r="GZ867" s="773"/>
    </row>
    <row r="868" spans="1:208" s="773" customFormat="1" ht="12.95" customHeight="1">
      <c r="A868" s="774"/>
      <c r="B868" s="3790" t="s">
        <v>752</v>
      </c>
      <c r="C868" s="197" t="s">
        <v>1689</v>
      </c>
      <c r="D868" s="199" t="s">
        <v>1690</v>
      </c>
      <c r="E868" s="798">
        <f>IFERROR(VLOOKUP(C868,'AJE 12 - INC'!$D$168:$F$771,3,0),0)</f>
        <v>216.28</v>
      </c>
      <c r="F868" s="108">
        <f>SUMIF('AJE 12 - INC'!B:B,'New TB INC'!C868,'AJE 12 - INC'!D:D)</f>
        <v>0</v>
      </c>
      <c r="G868" s="108"/>
      <c r="H868" s="108"/>
      <c r="I868" s="108"/>
      <c r="J868" s="859">
        <f t="shared" si="87"/>
        <v>216.28</v>
      </c>
      <c r="K868" s="4501"/>
      <c r="L868" s="449"/>
      <c r="M868" s="828"/>
      <c r="N868" s="11">
        <v>127.03</v>
      </c>
      <c r="O868" s="11">
        <v>118.31</v>
      </c>
      <c r="P868" s="11">
        <v>95.570000000000022</v>
      </c>
      <c r="Q868" s="11">
        <v>102.49999999999997</v>
      </c>
      <c r="R868" s="773">
        <v>43.029999999999973</v>
      </c>
      <c r="S868" s="11">
        <v>0</v>
      </c>
      <c r="T868" s="773">
        <v>0</v>
      </c>
      <c r="U868" s="2173">
        <v>0</v>
      </c>
      <c r="V868" s="2509">
        <v>0</v>
      </c>
      <c r="W868" s="2509">
        <v>0</v>
      </c>
      <c r="X868" s="2509">
        <v>0</v>
      </c>
      <c r="Y868" s="2509">
        <v>0</v>
      </c>
      <c r="Z868" s="11">
        <f>'[26]New TB INC'!Z817</f>
        <v>47.17</v>
      </c>
      <c r="AA868" s="11">
        <f>'[27]New TB INC'!AA826</f>
        <v>49.459999999999994</v>
      </c>
      <c r="AB868" s="11">
        <f>'[28]New TB INC'!AB835</f>
        <v>46.129999999999995</v>
      </c>
      <c r="AC868" s="11">
        <f>'[29]New TB INC'!AC832</f>
        <v>73.52000000000001</v>
      </c>
      <c r="AD868" s="11">
        <f>'[30]New TB INC'!AD817</f>
        <v>0</v>
      </c>
      <c r="AE868" s="11">
        <f>'[31]New TB INC'!AE826</f>
        <v>0</v>
      </c>
      <c r="AF868" s="11">
        <v>0</v>
      </c>
      <c r="AG868" s="11">
        <v>0</v>
      </c>
      <c r="AH868" s="11">
        <v>0</v>
      </c>
      <c r="AI868" s="11">
        <v>0</v>
      </c>
      <c r="AJ868" s="11">
        <v>0</v>
      </c>
      <c r="AK868" s="11">
        <f>$J868-SUM($Z868:AJ868)</f>
        <v>0</v>
      </c>
      <c r="AL868" s="11"/>
      <c r="AM868" s="11"/>
      <c r="AN868" s="11"/>
      <c r="AO868" s="11"/>
      <c r="AP868" s="11"/>
      <c r="AQ868" s="11"/>
      <c r="AR868" s="11"/>
      <c r="AS868" s="11"/>
      <c r="AT868" s="11"/>
      <c r="AU868" s="11"/>
      <c r="AW868" s="2509"/>
      <c r="BE868" s="2173"/>
      <c r="BF868" s="2173"/>
      <c r="BG868" s="2173"/>
      <c r="BH868" s="2173"/>
      <c r="BI868" s="2173"/>
      <c r="BJ868" s="2173"/>
      <c r="BK868" s="2173"/>
      <c r="BM868" s="11"/>
      <c r="BO868" s="209"/>
      <c r="BQ868" s="209"/>
      <c r="BR868" s="859"/>
      <c r="BS868" s="11"/>
      <c r="CH868" s="901"/>
      <c r="CI868" s="9"/>
      <c r="CJ868" s="9"/>
    </row>
    <row r="869" spans="1:208" s="773" customFormat="1" ht="12.95" customHeight="1">
      <c r="A869" s="774"/>
      <c r="B869" s="3790" t="s">
        <v>752</v>
      </c>
      <c r="C869" s="197" t="s">
        <v>2663</v>
      </c>
      <c r="D869" s="199" t="s">
        <v>2664</v>
      </c>
      <c r="E869" s="798">
        <f>IFERROR(VLOOKUP(C869,'AJE 12 - INC'!$D$168:$F$771,3,0),0)</f>
        <v>141.71</v>
      </c>
      <c r="F869" s="108">
        <f>SUMIF('AJE 12 - INC'!B:B,'New TB INC'!C869,'AJE 12 - INC'!D:D)</f>
        <v>0</v>
      </c>
      <c r="G869" s="108"/>
      <c r="H869" s="108"/>
      <c r="I869" s="108"/>
      <c r="J869" s="859">
        <f t="shared" si="87"/>
        <v>141.71</v>
      </c>
      <c r="K869" s="4501"/>
      <c r="L869" s="449"/>
      <c r="M869" s="828"/>
      <c r="N869" s="11"/>
      <c r="O869" s="11"/>
      <c r="P869" s="11"/>
      <c r="Q869" s="11"/>
      <c r="S869" s="11"/>
      <c r="U869" s="2173"/>
      <c r="V869" s="2509">
        <v>78.209999999999994</v>
      </c>
      <c r="W869" s="2509">
        <v>141.51999999999998</v>
      </c>
      <c r="X869" s="2509">
        <v>109.86000000000001</v>
      </c>
      <c r="Y869" s="2509">
        <v>115.37</v>
      </c>
      <c r="Z869" s="11">
        <f>'[26]New TB INC'!Z818</f>
        <v>74.23</v>
      </c>
      <c r="AA869" s="11">
        <f>'[27]New TB INC'!AA827</f>
        <v>59.309999999999988</v>
      </c>
      <c r="AB869" s="11">
        <f>'[28]New TB INC'!AB836</f>
        <v>8.1700000000000159</v>
      </c>
      <c r="AC869" s="11">
        <f>'[29]New TB INC'!AC833</f>
        <v>0</v>
      </c>
      <c r="AD869" s="11">
        <f>'[30]New TB INC'!AD818</f>
        <v>0</v>
      </c>
      <c r="AE869" s="11">
        <f>'[31]New TB INC'!AE827</f>
        <v>0</v>
      </c>
      <c r="AF869" s="11">
        <v>0</v>
      </c>
      <c r="AG869" s="11">
        <v>0</v>
      </c>
      <c r="AH869" s="11">
        <v>0</v>
      </c>
      <c r="AI869" s="11">
        <v>0</v>
      </c>
      <c r="AJ869" s="11">
        <v>0</v>
      </c>
      <c r="AK869" s="11">
        <f>$J869-SUM($Z869:AJ869)</f>
        <v>0</v>
      </c>
      <c r="AL869" s="11"/>
      <c r="AM869" s="11"/>
      <c r="AN869" s="11"/>
      <c r="AO869" s="11"/>
      <c r="AP869" s="11"/>
      <c r="AQ869" s="11"/>
      <c r="AR869" s="11"/>
      <c r="AS869" s="11"/>
      <c r="AT869" s="11"/>
      <c r="AU869" s="11"/>
      <c r="AW869" s="2509"/>
      <c r="BE869" s="2173"/>
      <c r="BF869" s="2173"/>
      <c r="BG869" s="2173"/>
      <c r="BH869" s="2173"/>
      <c r="BI869" s="2173"/>
      <c r="BJ869" s="2173"/>
      <c r="BK869" s="2173"/>
      <c r="BM869" s="11"/>
      <c r="BO869" s="209"/>
      <c r="BQ869" s="209"/>
      <c r="BR869" s="859"/>
      <c r="BS869" s="11"/>
      <c r="CH869" s="901"/>
      <c r="CI869" s="9"/>
      <c r="CJ869" s="9"/>
    </row>
    <row r="870" spans="1:208" s="773" customFormat="1" ht="12.95" customHeight="1">
      <c r="A870" s="774"/>
      <c r="B870" s="3790" t="s">
        <v>1375</v>
      </c>
      <c r="C870" s="197">
        <v>7141002</v>
      </c>
      <c r="D870" s="199" t="s">
        <v>4961</v>
      </c>
      <c r="E870" s="798">
        <f>IFERROR(VLOOKUP(C870,'AJE 12 - INC'!$D$168:$F$771,3,0),0)</f>
        <v>3524</v>
      </c>
      <c r="F870" s="108">
        <f>SUMIF('AJE 12 - INC'!B:B,'New TB INC'!C870,'AJE 12 - INC'!D:D)</f>
        <v>0</v>
      </c>
      <c r="G870" s="108"/>
      <c r="H870" s="108"/>
      <c r="I870" s="108"/>
      <c r="J870" s="859">
        <f t="shared" ref="J870" si="88">SUM(E870:I870)</f>
        <v>3524</v>
      </c>
      <c r="K870" s="4501"/>
      <c r="L870" s="449"/>
      <c r="M870" s="828"/>
      <c r="N870" s="11"/>
      <c r="O870" s="11"/>
      <c r="P870" s="11"/>
      <c r="Q870" s="11"/>
      <c r="S870" s="11"/>
      <c r="U870" s="2173"/>
      <c r="V870" s="2509"/>
      <c r="W870" s="2509"/>
      <c r="X870" s="2509"/>
      <c r="Y870" s="2509"/>
      <c r="Z870" s="11"/>
      <c r="AA870" s="11"/>
      <c r="AB870" s="11"/>
      <c r="AC870" s="11"/>
      <c r="AD870" s="11"/>
      <c r="AE870" s="11"/>
      <c r="AF870" s="11"/>
      <c r="AG870" s="11"/>
      <c r="AH870" s="11"/>
      <c r="AI870" s="11"/>
      <c r="AJ870" s="11"/>
      <c r="AK870" s="11">
        <f>$J870-SUM($Z870:AJ870)</f>
        <v>3524</v>
      </c>
      <c r="AL870" s="11"/>
      <c r="AM870" s="11"/>
      <c r="AN870" s="11"/>
      <c r="AO870" s="11"/>
      <c r="AP870" s="11"/>
      <c r="AQ870" s="11"/>
      <c r="AR870" s="11"/>
      <c r="AS870" s="11"/>
      <c r="AT870" s="11"/>
      <c r="AU870" s="11"/>
      <c r="AW870" s="2509"/>
      <c r="BE870" s="2173"/>
      <c r="BF870" s="2173"/>
      <c r="BG870" s="2173"/>
      <c r="BH870" s="2173"/>
      <c r="BI870" s="2173"/>
      <c r="BJ870" s="2173"/>
      <c r="BK870" s="2173"/>
      <c r="BM870" s="11"/>
      <c r="BO870" s="209"/>
      <c r="BQ870" s="209"/>
      <c r="BR870" s="859"/>
      <c r="BS870" s="11"/>
      <c r="CH870" s="901"/>
      <c r="CI870" s="9"/>
      <c r="CJ870" s="9"/>
    </row>
    <row r="871" spans="1:208" s="773" customFormat="1" ht="12.75" customHeight="1">
      <c r="A871" s="774"/>
      <c r="B871" s="3790" t="s">
        <v>752</v>
      </c>
      <c r="C871" s="197" t="s">
        <v>2102</v>
      </c>
      <c r="D871" s="199" t="s">
        <v>2103</v>
      </c>
      <c r="E871" s="798">
        <f>IFERROR(VLOOKUP(C871,'AJE 12 - INC'!$D$168:$F$771,3,0),0)</f>
        <v>1127.96</v>
      </c>
      <c r="F871" s="108">
        <f>SUMIF('AJE 12 - INC'!B:B,'New TB INC'!C871,'AJE 12 - INC'!D:D)</f>
        <v>0</v>
      </c>
      <c r="G871" s="108"/>
      <c r="H871" s="108"/>
      <c r="I871" s="108"/>
      <c r="J871" s="859">
        <f t="shared" si="87"/>
        <v>1127.96</v>
      </c>
      <c r="K871" s="4501"/>
      <c r="L871" s="449"/>
      <c r="M871" s="828"/>
      <c r="N871" s="11">
        <v>163.51</v>
      </c>
      <c r="O871" s="11">
        <v>164.03000000000003</v>
      </c>
      <c r="P871" s="11">
        <v>166.09999999999997</v>
      </c>
      <c r="Q871" s="11">
        <v>146.89999999999998</v>
      </c>
      <c r="R871" s="773">
        <v>151.72000000000003</v>
      </c>
      <c r="S871" s="11">
        <v>66.940000000000111</v>
      </c>
      <c r="T871" s="773">
        <v>158.69999999999987</v>
      </c>
      <c r="U871" s="2173">
        <v>204.2800000000002</v>
      </c>
      <c r="V871" s="2509">
        <v>205.38999999999987</v>
      </c>
      <c r="W871" s="2509">
        <v>205.3900000000001</v>
      </c>
      <c r="X871" s="2509">
        <v>204.27999999999997</v>
      </c>
      <c r="Y871" s="2509">
        <v>211.26</v>
      </c>
      <c r="Z871" s="11">
        <f>'[26]New TB INC'!Z819</f>
        <v>215.13</v>
      </c>
      <c r="AA871" s="11">
        <f>'[27]New TB INC'!AA828</f>
        <v>213.87</v>
      </c>
      <c r="AB871" s="11">
        <f>'[28]New TB INC'!AB837</f>
        <v>259.55999999999995</v>
      </c>
      <c r="AC871" s="11">
        <f>'[29]New TB INC'!AC834</f>
        <v>259.56000000000006</v>
      </c>
      <c r="AD871" s="11">
        <f>'[30]New TB INC'!AD819</f>
        <v>262.86</v>
      </c>
      <c r="AE871" s="11">
        <f>'[31]New TB INC'!AE828</f>
        <v>273.53999999999996</v>
      </c>
      <c r="AF871" s="11">
        <v>-356.55999999999995</v>
      </c>
      <c r="AG871" s="11">
        <v>0</v>
      </c>
      <c r="AH871" s="11">
        <v>0</v>
      </c>
      <c r="AI871" s="11">
        <v>0</v>
      </c>
      <c r="AJ871" s="11">
        <v>0</v>
      </c>
      <c r="AK871" s="11">
        <f>$J871-SUM($Z871:AJ871)</f>
        <v>0</v>
      </c>
      <c r="AL871" s="11"/>
      <c r="AM871" s="11"/>
      <c r="AN871" s="11"/>
      <c r="AO871" s="11"/>
      <c r="AP871" s="11"/>
      <c r="AQ871" s="11"/>
      <c r="AR871" s="11"/>
      <c r="AS871" s="11"/>
      <c r="AT871" s="11"/>
      <c r="AU871" s="11"/>
      <c r="AW871" s="2509"/>
      <c r="BE871" s="2173"/>
      <c r="BF871" s="2173"/>
      <c r="BG871" s="2173"/>
      <c r="BH871" s="2173"/>
      <c r="BI871" s="2173"/>
      <c r="BJ871" s="2173"/>
      <c r="BK871" s="2173"/>
      <c r="BM871" s="11"/>
      <c r="BO871" s="209"/>
      <c r="BQ871" s="209"/>
      <c r="BR871" s="859"/>
      <c r="BS871" s="11"/>
      <c r="CH871" s="901"/>
      <c r="CI871" s="9"/>
      <c r="CJ871" s="9"/>
    </row>
    <row r="872" spans="1:208" s="773" customFormat="1" ht="12.75" customHeight="1">
      <c r="A872" s="774"/>
      <c r="B872" s="3790" t="s">
        <v>1375</v>
      </c>
      <c r="C872" s="197">
        <v>7141014</v>
      </c>
      <c r="D872" s="199" t="s">
        <v>4021</v>
      </c>
      <c r="E872" s="798">
        <f>IFERROR(VLOOKUP(C872,'AJE 12 - INC'!$D$168:$F$771,3,0),0)</f>
        <v>868.16</v>
      </c>
      <c r="F872" s="108">
        <f>SUMIF('AJE 12 - INC'!B:B,'New TB INC'!C872,'AJE 12 - INC'!D:D)</f>
        <v>0</v>
      </c>
      <c r="G872" s="108"/>
      <c r="H872" s="108"/>
      <c r="I872" s="108"/>
      <c r="J872" s="859">
        <f>SUM(E872:I872)</f>
        <v>868.16</v>
      </c>
      <c r="K872" s="4501"/>
      <c r="L872" s="449"/>
      <c r="M872" s="828"/>
      <c r="N872" s="11"/>
      <c r="O872" s="11"/>
      <c r="P872" s="11"/>
      <c r="Q872" s="11"/>
      <c r="S872" s="11"/>
      <c r="U872" s="2173"/>
      <c r="V872" s="2509"/>
      <c r="W872" s="2509"/>
      <c r="X872" s="2509"/>
      <c r="Y872" s="2509"/>
      <c r="Z872" s="11"/>
      <c r="AA872" s="11"/>
      <c r="AB872" s="11"/>
      <c r="AC872" s="11"/>
      <c r="AD872" s="11"/>
      <c r="AE872" s="11"/>
      <c r="AF872" s="11"/>
      <c r="AG872" s="11">
        <v>217.04</v>
      </c>
      <c r="AH872" s="11">
        <v>108.52000000000001</v>
      </c>
      <c r="AI872" s="11">
        <v>108.51999999999998</v>
      </c>
      <c r="AJ872" s="11">
        <v>108.52000000000004</v>
      </c>
      <c r="AK872" s="11">
        <f>$J872-SUM($Z872:AJ872)</f>
        <v>325.55999999999995</v>
      </c>
      <c r="AL872" s="11"/>
      <c r="AM872" s="11"/>
      <c r="AN872" s="11"/>
      <c r="AO872" s="11"/>
      <c r="AP872" s="11"/>
      <c r="AQ872" s="11"/>
      <c r="AR872" s="11"/>
      <c r="AS872" s="11"/>
      <c r="AT872" s="11"/>
      <c r="AU872" s="11"/>
      <c r="AW872" s="2509"/>
      <c r="BE872" s="2173"/>
      <c r="BF872" s="2173"/>
      <c r="BG872" s="2173"/>
      <c r="BH872" s="2173"/>
      <c r="BI872" s="2173"/>
      <c r="BJ872" s="2173"/>
      <c r="BK872" s="2173"/>
      <c r="BM872" s="11"/>
      <c r="BO872" s="209"/>
      <c r="BQ872" s="209"/>
      <c r="BR872" s="859"/>
      <c r="BS872" s="11"/>
      <c r="CH872" s="901"/>
      <c r="CI872" s="9"/>
      <c r="CJ872" s="9"/>
    </row>
    <row r="873" spans="1:208" s="11" customFormat="1" ht="12.75" customHeight="1">
      <c r="A873" s="774"/>
      <c r="B873" s="3790" t="s">
        <v>752</v>
      </c>
      <c r="C873" s="197">
        <v>7140017</v>
      </c>
      <c r="D873" s="199" t="s">
        <v>927</v>
      </c>
      <c r="E873" s="798">
        <f>IFERROR(VLOOKUP(C873,'AJE 12 - INC'!$D$168:$F$771,3,0),0)</f>
        <v>2743.71</v>
      </c>
      <c r="F873" s="108">
        <f>SUMIF('AJE 12 - INC'!B:B,'New TB INC'!C873,'AJE 12 - INC'!D:D)</f>
        <v>0</v>
      </c>
      <c r="G873" s="108"/>
      <c r="H873" s="108"/>
      <c r="I873" s="108"/>
      <c r="J873" s="859">
        <f t="shared" si="87"/>
        <v>2743.71</v>
      </c>
      <c r="K873" s="4501"/>
      <c r="L873" s="434"/>
      <c r="M873" s="810"/>
      <c r="N873" s="11">
        <v>163.51</v>
      </c>
      <c r="O873" s="11">
        <v>164.03000000000003</v>
      </c>
      <c r="P873" s="11">
        <v>166.09999999999997</v>
      </c>
      <c r="Q873" s="11">
        <v>146.89999999999998</v>
      </c>
      <c r="R873" s="773">
        <v>151.72000000000003</v>
      </c>
      <c r="S873" s="11">
        <v>66.940000000000111</v>
      </c>
      <c r="T873" s="773">
        <v>158.69999999999987</v>
      </c>
      <c r="U873" s="2173">
        <v>204.2800000000002</v>
      </c>
      <c r="V873" s="2509">
        <v>205.38999999999987</v>
      </c>
      <c r="W873" s="2509">
        <v>205.3900000000001</v>
      </c>
      <c r="X873" s="2509">
        <v>204.27999999999997</v>
      </c>
      <c r="Y873" s="2509">
        <v>211.26</v>
      </c>
      <c r="Z873" s="11">
        <f>'[26]New TB INC'!Z820</f>
        <v>215.13</v>
      </c>
      <c r="AA873" s="11">
        <f>'[27]New TB INC'!AA829</f>
        <v>213.87</v>
      </c>
      <c r="AB873" s="11">
        <f>'[28]New TB INC'!AB838</f>
        <v>215.67999999999995</v>
      </c>
      <c r="AC873" s="11">
        <f>'[29]New TB INC'!AC835</f>
        <v>214.98000000000002</v>
      </c>
      <c r="AD873" s="11">
        <f>'[30]New TB INC'!AD820</f>
        <v>217.04000000000008</v>
      </c>
      <c r="AE873" s="11">
        <f>'[31]New TB INC'!AE829</f>
        <v>228.57999999999993</v>
      </c>
      <c r="AF873" s="11">
        <v>222.21000000000004</v>
      </c>
      <c r="AG873" s="11">
        <v>245.6099999999999</v>
      </c>
      <c r="AH873" s="11">
        <v>242.0300000000002</v>
      </c>
      <c r="AI873" s="11">
        <v>237.84999999999991</v>
      </c>
      <c r="AJ873" s="11">
        <v>248.90000000000009</v>
      </c>
      <c r="AK873" s="11">
        <f>$J873-SUM($Z873:AJ873)</f>
        <v>241.82999999999993</v>
      </c>
      <c r="AW873" s="2509"/>
      <c r="BE873" s="2173"/>
      <c r="BF873" s="2173"/>
      <c r="BG873" s="2173"/>
      <c r="BH873" s="2173"/>
      <c r="BI873" s="2173"/>
      <c r="BJ873" s="2173"/>
      <c r="BK873" s="2173"/>
      <c r="BL873" s="773"/>
      <c r="BN873" s="773"/>
      <c r="BO873" s="209"/>
      <c r="BP873" s="773"/>
      <c r="BS873" s="773"/>
      <c r="CH873" s="878"/>
      <c r="CI873" s="4"/>
      <c r="CJ873" s="4"/>
      <c r="DB873" s="773"/>
      <c r="DC873" s="773"/>
      <c r="DD873" s="773"/>
      <c r="DE873" s="773"/>
      <c r="DF873" s="773"/>
      <c r="DG873" s="773"/>
      <c r="DH873" s="773"/>
      <c r="DI873" s="773"/>
      <c r="DJ873" s="773"/>
      <c r="DK873" s="773"/>
      <c r="DL873" s="773"/>
      <c r="DM873" s="773"/>
      <c r="DN873" s="773"/>
      <c r="DO873" s="773"/>
      <c r="DP873" s="773"/>
      <c r="DQ873" s="773"/>
      <c r="DR873" s="773"/>
      <c r="DS873" s="773"/>
      <c r="DT873" s="773"/>
      <c r="DU873" s="773"/>
      <c r="DV873" s="773"/>
      <c r="DW873" s="773"/>
      <c r="DX873" s="773"/>
      <c r="DY873" s="773"/>
      <c r="DZ873" s="773"/>
      <c r="EA873" s="773"/>
      <c r="EB873" s="773"/>
      <c r="EC873" s="773"/>
      <c r="ED873" s="773"/>
      <c r="EE873" s="773"/>
      <c r="EF873" s="773"/>
      <c r="EG873" s="773"/>
      <c r="EH873" s="773"/>
      <c r="EI873" s="773"/>
      <c r="EJ873" s="773"/>
      <c r="EK873" s="773"/>
      <c r="EL873" s="773"/>
      <c r="EM873" s="773"/>
      <c r="EN873" s="773"/>
      <c r="EO873" s="773"/>
      <c r="EP873" s="773"/>
      <c r="EQ873" s="773"/>
      <c r="ER873" s="773"/>
      <c r="ES873" s="773"/>
      <c r="ET873" s="773"/>
      <c r="EU873" s="773"/>
      <c r="EV873" s="773"/>
      <c r="EW873" s="773"/>
      <c r="EX873" s="773"/>
      <c r="EY873" s="773"/>
      <c r="EZ873" s="773"/>
      <c r="FA873" s="773"/>
      <c r="FB873" s="773"/>
      <c r="FC873" s="773"/>
      <c r="FD873" s="773"/>
      <c r="FE873" s="773"/>
      <c r="FF873" s="773"/>
      <c r="FG873" s="773"/>
      <c r="FH873" s="773"/>
      <c r="FI873" s="773"/>
      <c r="FJ873" s="773"/>
      <c r="FK873" s="773"/>
      <c r="FL873" s="773"/>
      <c r="FM873" s="773"/>
      <c r="FN873" s="773"/>
      <c r="FO873" s="773"/>
      <c r="FP873" s="773"/>
      <c r="FQ873" s="773"/>
      <c r="FR873" s="773"/>
      <c r="FS873" s="773"/>
      <c r="FT873" s="773"/>
      <c r="FU873" s="773"/>
      <c r="FV873" s="773"/>
      <c r="FW873" s="773"/>
      <c r="FX873" s="773"/>
      <c r="FY873" s="773"/>
      <c r="FZ873" s="773"/>
      <c r="GA873" s="773"/>
      <c r="GB873" s="773"/>
      <c r="GC873" s="773"/>
      <c r="GD873" s="773"/>
      <c r="GE873" s="773"/>
      <c r="GF873" s="773"/>
      <c r="GG873" s="773"/>
      <c r="GH873" s="773"/>
      <c r="GI873" s="773"/>
      <c r="GJ873" s="773"/>
      <c r="GK873" s="773"/>
      <c r="GL873" s="773"/>
      <c r="GM873" s="773"/>
      <c r="GN873" s="773"/>
      <c r="GO873" s="773"/>
      <c r="GP873" s="773"/>
      <c r="GQ873" s="773"/>
      <c r="GR873" s="773"/>
      <c r="GS873" s="773"/>
      <c r="GT873" s="773"/>
      <c r="GU873" s="773"/>
      <c r="GV873" s="773"/>
      <c r="GW873" s="773"/>
      <c r="GX873" s="773"/>
      <c r="GY873" s="773"/>
      <c r="GZ873" s="773"/>
    </row>
    <row r="874" spans="1:208" s="11" customFormat="1" ht="12.95" customHeight="1">
      <c r="A874" s="780"/>
      <c r="B874" s="3790" t="s">
        <v>1375</v>
      </c>
      <c r="C874" s="197">
        <v>7140019</v>
      </c>
      <c r="D874" s="199" t="s">
        <v>3344</v>
      </c>
      <c r="E874" s="798">
        <f>IFERROR(VLOOKUP(C874,'AJE 12 - INC'!$D$168:$F$771,3,0),0)</f>
        <v>7086.24</v>
      </c>
      <c r="F874" s="108">
        <f>SUMIF('AJE 12 - INC'!B:B,'New TB INC'!C874,'AJE 12 - INC'!D:D)</f>
        <v>0</v>
      </c>
      <c r="G874" s="108"/>
      <c r="H874" s="108"/>
      <c r="I874" s="108"/>
      <c r="J874" s="859">
        <f t="shared" si="87"/>
        <v>7086.24</v>
      </c>
      <c r="K874" s="4501"/>
      <c r="L874" s="449"/>
      <c r="M874" s="828"/>
      <c r="N874" s="773"/>
      <c r="O874" s="773"/>
      <c r="P874" s="773"/>
      <c r="Q874" s="773"/>
      <c r="R874" s="773"/>
      <c r="T874" s="773"/>
      <c r="U874" s="2173"/>
      <c r="V874" s="2509"/>
      <c r="W874" s="2509"/>
      <c r="X874" s="2509"/>
      <c r="Y874" s="2509"/>
      <c r="AA874" s="11">
        <f>'[27]New TB INC'!AA804</f>
        <v>7086.24</v>
      </c>
      <c r="AB874" s="11">
        <f>'[28]New TB INC'!AB813</f>
        <v>0</v>
      </c>
      <c r="AC874" s="11">
        <f>'[29]New TB INC'!AC810</f>
        <v>0</v>
      </c>
      <c r="AD874" s="11">
        <f>'[30]New TB INC'!AD821</f>
        <v>0</v>
      </c>
      <c r="AE874" s="11">
        <f>'[31]New TB INC'!AE830</f>
        <v>0</v>
      </c>
      <c r="AF874" s="11">
        <v>0</v>
      </c>
      <c r="AG874" s="11">
        <v>0</v>
      </c>
      <c r="AH874" s="11">
        <v>0</v>
      </c>
      <c r="AI874" s="11">
        <v>0</v>
      </c>
      <c r="AJ874" s="11">
        <v>0</v>
      </c>
      <c r="AK874" s="11">
        <f>$J874-SUM($Z874:AJ874)</f>
        <v>0</v>
      </c>
      <c r="AW874" s="2509"/>
      <c r="BE874" s="2173"/>
      <c r="BF874" s="2173"/>
      <c r="BG874" s="2173"/>
      <c r="BH874" s="2173"/>
      <c r="BI874" s="2173"/>
      <c r="BJ874" s="2173"/>
      <c r="BK874" s="2173"/>
      <c r="BL874" s="773"/>
      <c r="BN874" s="773"/>
      <c r="BO874" s="209"/>
      <c r="BP874" s="799"/>
      <c r="BQ874" s="209"/>
      <c r="BR874" s="209"/>
      <c r="BS874" s="209"/>
      <c r="BT874" s="773"/>
      <c r="BU874" s="773"/>
      <c r="BV874" s="773"/>
      <c r="BW874" s="773"/>
      <c r="BX874" s="773"/>
      <c r="BY874" s="773"/>
      <c r="BZ874" s="773"/>
      <c r="CA874" s="773"/>
      <c r="CB874" s="773"/>
      <c r="CC874" s="773"/>
      <c r="CD874" s="773"/>
      <c r="CE874" s="773"/>
      <c r="CF874" s="773"/>
      <c r="CG874" s="773"/>
      <c r="CH874" s="773"/>
      <c r="CI874" s="773"/>
      <c r="CJ874" s="773"/>
      <c r="CK874" s="773"/>
      <c r="CL874" s="773"/>
      <c r="CM874" s="773"/>
      <c r="CN874" s="773"/>
      <c r="CO874" s="773"/>
      <c r="CP874" s="773"/>
      <c r="CQ874" s="773"/>
      <c r="CR874" s="773"/>
      <c r="CS874" s="773"/>
      <c r="CT874" s="773"/>
      <c r="CU874" s="773"/>
      <c r="CV874" s="773"/>
      <c r="CW874" s="773"/>
      <c r="CX874" s="773"/>
      <c r="CY874" s="773"/>
      <c r="CZ874" s="773"/>
      <c r="DA874" s="773"/>
      <c r="DB874" s="773"/>
      <c r="DC874" s="773"/>
      <c r="DD874" s="773"/>
      <c r="DE874" s="773"/>
      <c r="DF874" s="773"/>
      <c r="DG874" s="773"/>
      <c r="DH874" s="773"/>
      <c r="DI874" s="773"/>
      <c r="DJ874" s="773"/>
      <c r="DK874" s="773"/>
      <c r="DL874" s="773"/>
      <c r="DM874" s="773"/>
      <c r="DN874" s="773"/>
      <c r="DO874" s="773"/>
      <c r="DP874" s="773"/>
      <c r="DQ874" s="773"/>
      <c r="DR874" s="773"/>
      <c r="DS874" s="773"/>
      <c r="DT874" s="773"/>
      <c r="DU874" s="773"/>
      <c r="DV874" s="773"/>
      <c r="DW874" s="773"/>
      <c r="DX874" s="773"/>
      <c r="DY874" s="773"/>
      <c r="DZ874" s="773"/>
      <c r="EA874" s="773"/>
      <c r="EB874" s="773"/>
      <c r="EC874" s="773"/>
      <c r="ED874" s="773"/>
      <c r="EE874" s="773"/>
      <c r="EF874" s="773"/>
      <c r="EG874" s="773"/>
      <c r="EH874" s="773"/>
      <c r="EI874" s="773"/>
      <c r="EJ874" s="773"/>
      <c r="EK874" s="773"/>
      <c r="EL874" s="773"/>
      <c r="EM874" s="773"/>
      <c r="EN874" s="773"/>
      <c r="EO874" s="773"/>
      <c r="EP874" s="773"/>
      <c r="EQ874" s="773"/>
      <c r="ER874" s="773"/>
      <c r="ES874" s="773"/>
      <c r="ET874" s="773"/>
      <c r="EU874" s="773"/>
      <c r="EV874" s="773"/>
      <c r="EW874" s="773"/>
      <c r="EX874" s="773"/>
      <c r="EY874" s="773"/>
      <c r="EZ874" s="773"/>
      <c r="FA874" s="773"/>
      <c r="FB874" s="773"/>
      <c r="FC874" s="773"/>
      <c r="FD874" s="773"/>
      <c r="FE874" s="773"/>
      <c r="FF874" s="773"/>
      <c r="FG874" s="773"/>
      <c r="FH874" s="773"/>
      <c r="FI874" s="773"/>
      <c r="FJ874" s="773"/>
      <c r="FK874" s="773"/>
      <c r="FL874" s="773"/>
      <c r="FM874" s="773"/>
      <c r="FN874" s="773"/>
      <c r="FO874" s="773"/>
      <c r="FP874" s="773"/>
      <c r="FQ874" s="773"/>
      <c r="FR874" s="773"/>
      <c r="FS874" s="773"/>
      <c r="FT874" s="773"/>
      <c r="FU874" s="773"/>
      <c r="FV874" s="773"/>
      <c r="FW874" s="773"/>
      <c r="FX874" s="773"/>
      <c r="FY874" s="773"/>
      <c r="FZ874" s="773"/>
      <c r="GA874" s="773"/>
      <c r="GB874" s="773"/>
      <c r="GC874" s="773"/>
      <c r="GD874" s="773"/>
      <c r="GE874" s="773"/>
      <c r="GF874" s="773"/>
      <c r="GG874" s="773"/>
      <c r="GH874" s="773"/>
      <c r="GI874" s="773"/>
      <c r="GJ874" s="773"/>
      <c r="GK874" s="773"/>
      <c r="GL874" s="773"/>
      <c r="GM874" s="773"/>
      <c r="GN874" s="773"/>
      <c r="GO874" s="773"/>
      <c r="GP874" s="773"/>
      <c r="GQ874" s="773"/>
      <c r="GR874" s="773"/>
      <c r="GS874" s="773"/>
      <c r="GT874" s="773"/>
      <c r="GU874" s="773"/>
      <c r="GV874" s="773"/>
      <c r="GW874" s="773"/>
      <c r="GX874" s="773"/>
      <c r="GY874" s="773"/>
      <c r="GZ874" s="773"/>
    </row>
    <row r="875" spans="1:208" s="11" customFormat="1">
      <c r="A875" s="780"/>
      <c r="B875" s="3790" t="s">
        <v>752</v>
      </c>
      <c r="C875" s="197" t="s">
        <v>2098</v>
      </c>
      <c r="D875" s="2522" t="s">
        <v>2099</v>
      </c>
      <c r="E875" s="798">
        <f>IFERROR(VLOOKUP(C875,'AJE 12 - INC'!$D$168:$F$771,3,0),0)</f>
        <v>16676.650000000001</v>
      </c>
      <c r="F875" s="108">
        <f>SUMIF('AJE 12 - INC'!B:B,'New TB INC'!C875,'AJE 12 - INC'!D:D)</f>
        <v>0</v>
      </c>
      <c r="G875" s="108"/>
      <c r="H875" s="108"/>
      <c r="I875" s="108"/>
      <c r="J875" s="859">
        <f>SUM(E875:I875)</f>
        <v>16676.650000000001</v>
      </c>
      <c r="K875" s="4501"/>
      <c r="L875" s="449"/>
      <c r="M875" s="828"/>
      <c r="N875" s="2125">
        <v>11192.52</v>
      </c>
      <c r="O875" s="2125">
        <v>6612.75</v>
      </c>
      <c r="P875" s="2125">
        <v>2228.6899999999987</v>
      </c>
      <c r="Q875" s="2125">
        <v>3373.9200000000019</v>
      </c>
      <c r="R875" s="2125">
        <v>3424.4300000000003</v>
      </c>
      <c r="S875" s="2125">
        <v>3374.3999999999978</v>
      </c>
      <c r="T875" s="2125">
        <v>2982.75</v>
      </c>
      <c r="U875" s="2125">
        <v>4353.5800000000017</v>
      </c>
      <c r="V875" s="2125">
        <v>9663.82</v>
      </c>
      <c r="W875" s="2523">
        <v>7649.25</v>
      </c>
      <c r="X875" s="2523">
        <v>2803.5699999999997</v>
      </c>
      <c r="Y875" s="2523">
        <v>3342.8099999999977</v>
      </c>
      <c r="Z875" s="2125">
        <f>'[26]New TB INC'!Z803</f>
        <v>13169.43</v>
      </c>
      <c r="AA875" s="2125">
        <f>'[27]New TB INC'!AA812</f>
        <v>588.44000000000051</v>
      </c>
      <c r="AB875" s="2125">
        <f>'[28]New TB INC'!AB821</f>
        <v>2918.7800000000007</v>
      </c>
      <c r="AC875" s="2125">
        <f>'[29]New TB INC'!AC818</f>
        <v>0</v>
      </c>
      <c r="AD875" s="2125">
        <f>'[30]New TB INC'!AD822</f>
        <v>0</v>
      </c>
      <c r="AE875" s="2125">
        <f>'[31]New TB INC'!AE831</f>
        <v>0</v>
      </c>
      <c r="AF875" s="2125">
        <v>0</v>
      </c>
      <c r="AG875" s="2125">
        <v>0</v>
      </c>
      <c r="AH875" s="2125">
        <v>0</v>
      </c>
      <c r="AI875" s="2125">
        <v>0</v>
      </c>
      <c r="AJ875" s="11">
        <v>0</v>
      </c>
      <c r="AK875" s="11">
        <f>$J875-SUM($Z875:AJ875)</f>
        <v>0</v>
      </c>
      <c r="AN875" s="2125"/>
      <c r="AO875" s="2125"/>
      <c r="AP875" s="2125"/>
      <c r="AQ875" s="2125"/>
      <c r="AR875" s="2125"/>
      <c r="AS875" s="2125"/>
      <c r="AT875" s="2125"/>
      <c r="AW875" s="2509"/>
      <c r="BE875" s="2173"/>
      <c r="BF875" s="2173"/>
      <c r="BG875" s="2173"/>
      <c r="BH875" s="2173"/>
      <c r="BI875" s="2173"/>
      <c r="BJ875" s="2173"/>
      <c r="BK875" s="2173"/>
      <c r="BL875" s="773"/>
      <c r="BN875" s="773"/>
      <c r="BO875" s="209"/>
      <c r="BQ875" s="209"/>
      <c r="BR875" s="209"/>
      <c r="BS875" s="209"/>
      <c r="BT875" s="209"/>
      <c r="BU875" s="209"/>
      <c r="BV875" s="209"/>
      <c r="BW875" s="820"/>
      <c r="BX875" s="209"/>
      <c r="BY875" s="209"/>
      <c r="BZ875" s="799"/>
      <c r="CA875" s="799"/>
      <c r="DB875" s="773"/>
      <c r="DC875" s="773"/>
      <c r="DD875" s="773"/>
      <c r="DE875" s="773"/>
      <c r="DF875" s="773"/>
      <c r="DG875" s="773"/>
      <c r="DH875" s="773"/>
      <c r="DI875" s="773"/>
      <c r="DJ875" s="773"/>
      <c r="DK875" s="773"/>
      <c r="DL875" s="773"/>
      <c r="DM875" s="773"/>
      <c r="DN875" s="773"/>
      <c r="DO875" s="773"/>
      <c r="DP875" s="773"/>
      <c r="DQ875" s="773"/>
      <c r="DR875" s="773"/>
      <c r="DS875" s="773"/>
      <c r="DT875" s="773"/>
      <c r="DU875" s="773"/>
      <c r="DV875" s="773"/>
      <c r="DW875" s="773"/>
      <c r="DX875" s="773"/>
      <c r="DY875" s="773"/>
      <c r="DZ875" s="773"/>
      <c r="EA875" s="773"/>
      <c r="EB875" s="773"/>
      <c r="EC875" s="773"/>
      <c r="ED875" s="773"/>
      <c r="EE875" s="773"/>
      <c r="EF875" s="773"/>
      <c r="EG875" s="773"/>
      <c r="EH875" s="773"/>
      <c r="EI875" s="773"/>
      <c r="EJ875" s="773"/>
      <c r="EK875" s="773"/>
      <c r="EL875" s="773"/>
      <c r="EM875" s="773"/>
      <c r="EN875" s="773"/>
      <c r="EO875" s="773"/>
      <c r="EP875" s="773"/>
      <c r="EQ875" s="773"/>
      <c r="ER875" s="773"/>
      <c r="ES875" s="773"/>
      <c r="ET875" s="773"/>
      <c r="EU875" s="773"/>
      <c r="EV875" s="773"/>
      <c r="EW875" s="773"/>
      <c r="EX875" s="773"/>
      <c r="EY875" s="773"/>
      <c r="EZ875" s="773"/>
      <c r="FA875" s="773"/>
      <c r="FB875" s="773"/>
      <c r="FC875" s="773"/>
      <c r="FD875" s="773"/>
      <c r="FE875" s="773"/>
      <c r="FF875" s="773"/>
      <c r="FG875" s="773"/>
      <c r="FH875" s="773"/>
      <c r="FI875" s="773"/>
      <c r="FJ875" s="773"/>
      <c r="FK875" s="773"/>
      <c r="FL875" s="773"/>
      <c r="FM875" s="773"/>
      <c r="FN875" s="773"/>
      <c r="FO875" s="773"/>
      <c r="FP875" s="773"/>
      <c r="FQ875" s="773"/>
      <c r="FR875" s="773"/>
      <c r="FS875" s="773"/>
      <c r="FT875" s="773"/>
      <c r="FU875" s="773"/>
      <c r="FV875" s="773"/>
      <c r="FW875" s="773"/>
      <c r="FX875" s="773"/>
      <c r="FY875" s="773"/>
      <c r="FZ875" s="773"/>
      <c r="GA875" s="773"/>
      <c r="GB875" s="773"/>
      <c r="GC875" s="773"/>
      <c r="GD875" s="773"/>
      <c r="GE875" s="773"/>
      <c r="GF875" s="773"/>
      <c r="GG875" s="773"/>
      <c r="GH875" s="773"/>
      <c r="GI875" s="773"/>
      <c r="GJ875" s="773"/>
      <c r="GK875" s="773"/>
      <c r="GL875" s="773"/>
      <c r="GM875" s="773"/>
      <c r="GN875" s="773"/>
      <c r="GO875" s="773"/>
      <c r="GP875" s="773"/>
      <c r="GQ875" s="773"/>
      <c r="GR875" s="773"/>
      <c r="GS875" s="773"/>
      <c r="GT875" s="773"/>
      <c r="GU875" s="773"/>
      <c r="GV875" s="773"/>
      <c r="GW875" s="773"/>
      <c r="GX875" s="773"/>
      <c r="GY875" s="773"/>
      <c r="GZ875" s="773"/>
    </row>
    <row r="876" spans="1:208" s="11" customFormat="1">
      <c r="A876" s="780"/>
      <c r="B876" s="3790" t="s">
        <v>752</v>
      </c>
      <c r="C876" s="197">
        <v>7140007</v>
      </c>
      <c r="D876" s="2522" t="s">
        <v>920</v>
      </c>
      <c r="E876" s="798">
        <f>IFERROR(VLOOKUP(C876,'AJE 12 - INC'!$D$168:$F$771,3,0),0)</f>
        <v>151195.73000000001</v>
      </c>
      <c r="F876" s="108">
        <f>SUMIF('AJE 12 - INC'!B:B,'New TB INC'!C876,'AJE 12 - INC'!D:D)</f>
        <v>0</v>
      </c>
      <c r="G876" s="108"/>
      <c r="H876" s="108"/>
      <c r="I876" s="108"/>
      <c r="J876" s="859">
        <f>SUM(E876:I876)</f>
        <v>151195.73000000001</v>
      </c>
      <c r="K876" s="4501"/>
      <c r="L876" s="449"/>
      <c r="M876" s="828"/>
      <c r="N876" s="2125">
        <v>0</v>
      </c>
      <c r="O876" s="2125">
        <v>0</v>
      </c>
      <c r="P876" s="2125">
        <v>571.54999999999995</v>
      </c>
      <c r="Q876" s="2125">
        <v>2386.8000000000002</v>
      </c>
      <c r="R876" s="2125">
        <v>6195.5100000000011</v>
      </c>
      <c r="S876" s="2125">
        <v>1374.92</v>
      </c>
      <c r="T876" s="2125">
        <v>3935.2499999999991</v>
      </c>
      <c r="U876" s="2125">
        <v>4291.2100000000028</v>
      </c>
      <c r="V876" s="2125">
        <v>1722</v>
      </c>
      <c r="W876" s="2523">
        <v>5014.5</v>
      </c>
      <c r="X876" s="2523">
        <v>2984.5199999999968</v>
      </c>
      <c r="Y876" s="2523">
        <v>4075.8600000000006</v>
      </c>
      <c r="Z876" s="2125">
        <f>'[26]New TB INC'!Z804</f>
        <v>3287.69</v>
      </c>
      <c r="AA876" s="2125">
        <f>'[27]New TB INC'!AA813</f>
        <v>0</v>
      </c>
      <c r="AB876" s="2125">
        <f>'[28]New TB INC'!AB822</f>
        <v>2337.4100000000003</v>
      </c>
      <c r="AC876" s="2125">
        <f>'[29]New TB INC'!AC819</f>
        <v>22052.050000000003</v>
      </c>
      <c r="AD876" s="2125">
        <f>'[30]New TB INC'!AD823</f>
        <v>3523.9399999999987</v>
      </c>
      <c r="AE876" s="2125">
        <f>'[31]New TB INC'!AE832</f>
        <v>433.9900000000016</v>
      </c>
      <c r="AF876" s="2125">
        <v>14021.809999999998</v>
      </c>
      <c r="AG876" s="2125">
        <v>1008</v>
      </c>
      <c r="AH876" s="2125">
        <v>9042.6699999999983</v>
      </c>
      <c r="AI876" s="2125">
        <v>6438.2099999999991</v>
      </c>
      <c r="AJ876" s="11">
        <v>74565.960000000021</v>
      </c>
      <c r="AK876" s="11">
        <f>$J876-SUM($Z876:AJ876)</f>
        <v>14484</v>
      </c>
      <c r="AN876" s="2125"/>
      <c r="AO876" s="2125"/>
      <c r="AP876" s="2125"/>
      <c r="AQ876" s="2125"/>
      <c r="AR876" s="2125"/>
      <c r="AS876" s="2125"/>
      <c r="AT876" s="2125"/>
      <c r="AW876" s="2509"/>
      <c r="BE876" s="2173"/>
      <c r="BF876" s="2173"/>
      <c r="BG876" s="2173"/>
      <c r="BH876" s="2173"/>
      <c r="BI876" s="2173"/>
      <c r="BJ876" s="2173"/>
      <c r="BK876" s="2173"/>
      <c r="BL876" s="773"/>
      <c r="BN876" s="773"/>
      <c r="BO876" s="209"/>
      <c r="BQ876" s="209"/>
      <c r="BR876" s="209"/>
      <c r="BS876" s="209"/>
      <c r="BT876" s="209"/>
      <c r="BU876" s="209"/>
      <c r="BV876" s="209"/>
      <c r="BW876" s="820"/>
      <c r="BX876" s="209"/>
      <c r="BY876" s="209"/>
      <c r="BZ876" s="799"/>
      <c r="CA876" s="799"/>
      <c r="DB876" s="773"/>
      <c r="DC876" s="773"/>
      <c r="DD876" s="773"/>
      <c r="DE876" s="773"/>
      <c r="DF876" s="773"/>
      <c r="DG876" s="773"/>
      <c r="DH876" s="773"/>
      <c r="DI876" s="773"/>
      <c r="DJ876" s="773"/>
      <c r="DK876" s="773"/>
      <c r="DL876" s="773"/>
      <c r="DM876" s="773"/>
      <c r="DN876" s="773"/>
      <c r="DO876" s="773"/>
      <c r="DP876" s="773"/>
      <c r="DQ876" s="773"/>
      <c r="DR876" s="773"/>
      <c r="DS876" s="773"/>
      <c r="DT876" s="773"/>
      <c r="DU876" s="773"/>
      <c r="DV876" s="773"/>
      <c r="DW876" s="773"/>
      <c r="DX876" s="773"/>
      <c r="DY876" s="773"/>
      <c r="DZ876" s="773"/>
      <c r="EA876" s="773"/>
      <c r="EB876" s="773"/>
      <c r="EC876" s="773"/>
      <c r="ED876" s="773"/>
      <c r="EE876" s="773"/>
      <c r="EF876" s="773"/>
      <c r="EG876" s="773"/>
      <c r="EH876" s="773"/>
      <c r="EI876" s="773"/>
      <c r="EJ876" s="773"/>
      <c r="EK876" s="773"/>
      <c r="EL876" s="773"/>
      <c r="EM876" s="773"/>
      <c r="EN876" s="773"/>
      <c r="EO876" s="773"/>
      <c r="EP876" s="773"/>
      <c r="EQ876" s="773"/>
      <c r="ER876" s="773"/>
      <c r="ES876" s="773"/>
      <c r="ET876" s="773"/>
      <c r="EU876" s="773"/>
      <c r="EV876" s="773"/>
      <c r="EW876" s="773"/>
      <c r="EX876" s="773"/>
      <c r="EY876" s="773"/>
      <c r="EZ876" s="773"/>
      <c r="FA876" s="773"/>
      <c r="FB876" s="773"/>
      <c r="FC876" s="773"/>
      <c r="FD876" s="773"/>
      <c r="FE876" s="773"/>
      <c r="FF876" s="773"/>
      <c r="FG876" s="773"/>
      <c r="FH876" s="773"/>
      <c r="FI876" s="773"/>
      <c r="FJ876" s="773"/>
      <c r="FK876" s="773"/>
      <c r="FL876" s="773"/>
      <c r="FM876" s="773"/>
      <c r="FN876" s="773"/>
      <c r="FO876" s="773"/>
      <c r="FP876" s="773"/>
      <c r="FQ876" s="773"/>
      <c r="FR876" s="773"/>
      <c r="FS876" s="773"/>
      <c r="FT876" s="773"/>
      <c r="FU876" s="773"/>
      <c r="FV876" s="773"/>
      <c r="FW876" s="773"/>
      <c r="FX876" s="773"/>
      <c r="FY876" s="773"/>
      <c r="FZ876" s="773"/>
      <c r="GA876" s="773"/>
      <c r="GB876" s="773"/>
      <c r="GC876" s="773"/>
      <c r="GD876" s="773"/>
      <c r="GE876" s="773"/>
      <c r="GF876" s="773"/>
      <c r="GG876" s="773"/>
      <c r="GH876" s="773"/>
      <c r="GI876" s="773"/>
      <c r="GJ876" s="773"/>
      <c r="GK876" s="773"/>
      <c r="GL876" s="773"/>
      <c r="GM876" s="773"/>
      <c r="GN876" s="773"/>
      <c r="GO876" s="773"/>
      <c r="GP876" s="773"/>
      <c r="GQ876" s="773"/>
      <c r="GR876" s="773"/>
      <c r="GS876" s="773"/>
      <c r="GT876" s="773"/>
      <c r="GU876" s="773"/>
      <c r="GV876" s="773"/>
      <c r="GW876" s="773"/>
      <c r="GX876" s="773"/>
      <c r="GY876" s="773"/>
      <c r="GZ876" s="773"/>
    </row>
    <row r="877" spans="1:208" s="11" customFormat="1" ht="13.5" customHeight="1">
      <c r="A877" s="774"/>
      <c r="B877" s="3790" t="s">
        <v>752</v>
      </c>
      <c r="C877" s="197">
        <v>7140008</v>
      </c>
      <c r="D877" s="199" t="s">
        <v>921</v>
      </c>
      <c r="E877" s="803">
        <f>IFERROR(VLOOKUP(C877,'AJE 12 - INC'!$D$168:$F$771,3,0),0)</f>
        <v>0</v>
      </c>
      <c r="F877" s="108">
        <f>SUMIF('AJE 12 - INC'!B:B,'New TB INC'!C877,'AJE 12 - INC'!D:D)</f>
        <v>0</v>
      </c>
      <c r="G877" s="108"/>
      <c r="H877" s="108"/>
      <c r="I877" s="779"/>
      <c r="J877" s="859">
        <f>SUM(E877:I877)</f>
        <v>0</v>
      </c>
      <c r="K877" s="4501"/>
      <c r="L877" s="449"/>
      <c r="M877" s="883"/>
      <c r="N877" s="773">
        <v>0</v>
      </c>
      <c r="O877" s="773">
        <v>0</v>
      </c>
      <c r="P877" s="773">
        <v>0</v>
      </c>
      <c r="Q877" s="773">
        <v>0</v>
      </c>
      <c r="R877" s="773">
        <v>0</v>
      </c>
      <c r="S877" s="11">
        <v>0</v>
      </c>
      <c r="T877" s="773">
        <v>0</v>
      </c>
      <c r="U877" s="2173">
        <v>0</v>
      </c>
      <c r="V877" s="2509">
        <v>0</v>
      </c>
      <c r="W877" s="2509">
        <v>0</v>
      </c>
      <c r="X877" s="2509">
        <v>0</v>
      </c>
      <c r="Y877" s="2509">
        <v>0</v>
      </c>
      <c r="Z877" s="11">
        <f>'[26]New TB INC'!Z805</f>
        <v>0</v>
      </c>
      <c r="AA877" s="11">
        <f>'[27]New TB INC'!AA814</f>
        <v>0</v>
      </c>
      <c r="AB877" s="11">
        <f>'[28]New TB INC'!AB823</f>
        <v>0</v>
      </c>
      <c r="AC877" s="11">
        <f>'[29]New TB INC'!AC820</f>
        <v>0</v>
      </c>
      <c r="AD877" s="11">
        <f>'[30]New TB INC'!AD824</f>
        <v>0</v>
      </c>
      <c r="AE877" s="11">
        <f>'[31]New TB INC'!AE833</f>
        <v>0</v>
      </c>
      <c r="AF877" s="11">
        <v>0</v>
      </c>
      <c r="AG877" s="11">
        <v>0</v>
      </c>
      <c r="AH877" s="11">
        <v>0</v>
      </c>
      <c r="AI877" s="11">
        <v>0</v>
      </c>
      <c r="AJ877" s="11">
        <v>0</v>
      </c>
      <c r="AK877" s="11">
        <f>$J877-SUM($Z877:AJ877)</f>
        <v>0</v>
      </c>
      <c r="AW877" s="2509"/>
      <c r="BE877" s="2173"/>
      <c r="BF877" s="2173"/>
      <c r="BG877" s="2173"/>
      <c r="BH877" s="2173"/>
      <c r="BI877" s="2173"/>
      <c r="BJ877" s="2173"/>
      <c r="BK877" s="2173"/>
      <c r="BL877" s="773"/>
      <c r="BN877" s="773"/>
      <c r="BO877" s="209"/>
      <c r="BQ877" s="209"/>
      <c r="BR877" s="209"/>
      <c r="BS877" s="209"/>
      <c r="CI877" s="4"/>
      <c r="CJ877" s="4"/>
      <c r="DB877" s="773"/>
      <c r="DC877" s="773"/>
      <c r="DD877" s="773"/>
      <c r="DE877" s="773"/>
      <c r="DF877" s="773"/>
      <c r="DG877" s="773"/>
      <c r="DH877" s="773"/>
      <c r="DI877" s="773"/>
      <c r="DJ877" s="773"/>
      <c r="DK877" s="773"/>
      <c r="DL877" s="773"/>
      <c r="DM877" s="773"/>
      <c r="DN877" s="773"/>
      <c r="DO877" s="773"/>
      <c r="DP877" s="773"/>
      <c r="DQ877" s="773"/>
      <c r="DR877" s="773"/>
      <c r="DS877" s="773"/>
      <c r="DT877" s="773"/>
      <c r="DU877" s="773"/>
      <c r="DV877" s="773"/>
      <c r="DW877" s="773"/>
      <c r="DX877" s="773"/>
      <c r="DY877" s="773"/>
      <c r="DZ877" s="773"/>
      <c r="EA877" s="773"/>
      <c r="EB877" s="773"/>
      <c r="EC877" s="773"/>
      <c r="ED877" s="773"/>
      <c r="EE877" s="773"/>
      <c r="EF877" s="773"/>
      <c r="EG877" s="773"/>
      <c r="EH877" s="773"/>
      <c r="EI877" s="773"/>
      <c r="EJ877" s="773"/>
      <c r="EK877" s="773"/>
      <c r="EL877" s="773"/>
      <c r="EM877" s="773"/>
      <c r="EN877" s="773"/>
      <c r="EO877" s="773"/>
      <c r="EP877" s="773"/>
      <c r="EQ877" s="773"/>
      <c r="ER877" s="773"/>
      <c r="ES877" s="773"/>
      <c r="ET877" s="773"/>
      <c r="EU877" s="773"/>
      <c r="EV877" s="773"/>
      <c r="EW877" s="773"/>
      <c r="EX877" s="773"/>
      <c r="EY877" s="773"/>
      <c r="EZ877" s="773"/>
      <c r="FA877" s="773"/>
      <c r="FB877" s="773"/>
      <c r="FC877" s="773"/>
      <c r="FD877" s="773"/>
      <c r="FE877" s="773"/>
      <c r="FF877" s="773"/>
      <c r="FG877" s="773"/>
      <c r="FH877" s="773"/>
      <c r="FI877" s="773"/>
      <c r="FJ877" s="773"/>
      <c r="FK877" s="773"/>
      <c r="FL877" s="773"/>
      <c r="FM877" s="773"/>
      <c r="FN877" s="773"/>
      <c r="FO877" s="773"/>
      <c r="FP877" s="773"/>
      <c r="FQ877" s="773"/>
      <c r="FR877" s="773"/>
      <c r="FS877" s="773"/>
      <c r="FT877" s="773"/>
      <c r="FU877" s="773"/>
      <c r="FV877" s="773"/>
      <c r="FW877" s="773"/>
      <c r="FX877" s="773"/>
      <c r="FY877" s="773"/>
      <c r="FZ877" s="773"/>
      <c r="GA877" s="773"/>
      <c r="GB877" s="773"/>
      <c r="GC877" s="773"/>
      <c r="GD877" s="773"/>
      <c r="GE877" s="773"/>
      <c r="GF877" s="773"/>
      <c r="GG877" s="773"/>
      <c r="GH877" s="773"/>
      <c r="GI877" s="773"/>
      <c r="GJ877" s="773"/>
      <c r="GK877" s="773"/>
      <c r="GL877" s="773"/>
      <c r="GM877" s="773"/>
      <c r="GN877" s="773"/>
      <c r="GO877" s="773"/>
      <c r="GP877" s="773"/>
      <c r="GQ877" s="773"/>
      <c r="GR877" s="773"/>
      <c r="GS877" s="773"/>
      <c r="GT877" s="773"/>
      <c r="GU877" s="773"/>
      <c r="GV877" s="773"/>
      <c r="GW877" s="773"/>
      <c r="GX877" s="773"/>
      <c r="GY877" s="773"/>
      <c r="GZ877" s="773"/>
    </row>
    <row r="878" spans="1:208" s="11" customFormat="1" ht="12.75" customHeight="1">
      <c r="A878" s="774"/>
      <c r="B878" s="3795" t="s">
        <v>752</v>
      </c>
      <c r="C878" s="197" t="s">
        <v>1570</v>
      </c>
      <c r="D878" s="199" t="s">
        <v>1571</v>
      </c>
      <c r="E878" s="798">
        <f>IFERROR(VLOOKUP(C878,'AJE 12 - INC'!$D$168:$F$771,3,0),0)</f>
        <v>0</v>
      </c>
      <c r="F878" s="779">
        <f>SUMIF('AJE 12 - INC'!B:B,'New TB INC'!C878,'AJE 12 - INC'!D:D)</f>
        <v>0</v>
      </c>
      <c r="G878" s="779"/>
      <c r="H878" s="779"/>
      <c r="I878" s="108"/>
      <c r="J878" s="2920">
        <f t="shared" ref="J878:J883" si="89">SUM(E878:I878)</f>
        <v>0</v>
      </c>
      <c r="K878" s="4501"/>
      <c r="L878" s="449"/>
      <c r="M878" s="883"/>
      <c r="N878" s="773">
        <v>0</v>
      </c>
      <c r="O878" s="773">
        <v>0</v>
      </c>
      <c r="P878" s="773">
        <v>0</v>
      </c>
      <c r="Q878" s="773">
        <v>0</v>
      </c>
      <c r="R878" s="773">
        <v>0</v>
      </c>
      <c r="S878" s="11">
        <v>0</v>
      </c>
      <c r="T878" s="773">
        <v>0</v>
      </c>
      <c r="U878" s="2173">
        <v>0</v>
      </c>
      <c r="V878" s="2509">
        <v>0</v>
      </c>
      <c r="W878" s="2509">
        <v>0</v>
      </c>
      <c r="X878" s="2509">
        <v>0</v>
      </c>
      <c r="Y878" s="2509">
        <v>0</v>
      </c>
      <c r="Z878" s="11">
        <f>'[26]New TB INC'!Z807</f>
        <v>0</v>
      </c>
      <c r="AA878" s="11">
        <f>'[27]New TB INC'!AA816</f>
        <v>0</v>
      </c>
      <c r="AB878" s="11">
        <f>'[28]New TB INC'!AB825</f>
        <v>0</v>
      </c>
      <c r="AC878" s="11">
        <f>'[29]New TB INC'!AC822</f>
        <v>0</v>
      </c>
      <c r="AD878" s="11">
        <f>'[30]New TB INC'!AD825</f>
        <v>0</v>
      </c>
      <c r="AE878" s="11">
        <f>'[31]New TB INC'!AE834</f>
        <v>0</v>
      </c>
      <c r="AF878" s="11">
        <v>0</v>
      </c>
      <c r="AG878" s="11">
        <v>0</v>
      </c>
      <c r="AH878" s="11">
        <v>0</v>
      </c>
      <c r="AI878" s="11">
        <v>0</v>
      </c>
      <c r="AJ878" s="11">
        <v>0</v>
      </c>
      <c r="AK878" s="11">
        <f>$J878-SUM($Z878:AJ878)</f>
        <v>0</v>
      </c>
      <c r="AW878" s="2509"/>
      <c r="BE878" s="2173"/>
      <c r="BF878" s="2173"/>
      <c r="BG878" s="2173"/>
      <c r="BH878" s="2173"/>
      <c r="BI878" s="2173"/>
      <c r="BJ878" s="2173"/>
      <c r="BK878" s="2173"/>
      <c r="BL878" s="773"/>
      <c r="BM878" s="773"/>
      <c r="BN878" s="773"/>
      <c r="BO878" s="209"/>
      <c r="BQ878" s="209"/>
      <c r="BR878" s="209"/>
      <c r="BS878" s="209"/>
      <c r="CI878" s="4"/>
      <c r="CJ878" s="4"/>
      <c r="DB878" s="773"/>
      <c r="DC878" s="773"/>
      <c r="DD878" s="773"/>
      <c r="DE878" s="773"/>
      <c r="DF878" s="773"/>
      <c r="DG878" s="773"/>
      <c r="DH878" s="773"/>
      <c r="DI878" s="773"/>
      <c r="DJ878" s="773"/>
      <c r="DK878" s="773"/>
      <c r="DL878" s="773"/>
      <c r="DM878" s="773"/>
      <c r="DN878" s="773"/>
      <c r="DO878" s="773"/>
      <c r="DP878" s="773"/>
      <c r="DQ878" s="773"/>
      <c r="DR878" s="773"/>
      <c r="DS878" s="773"/>
      <c r="DT878" s="773"/>
      <c r="DU878" s="773"/>
      <c r="DV878" s="773"/>
      <c r="DW878" s="773"/>
      <c r="DX878" s="773"/>
      <c r="DY878" s="773"/>
      <c r="DZ878" s="773"/>
      <c r="EA878" s="773"/>
      <c r="EB878" s="773"/>
      <c r="EC878" s="773"/>
      <c r="ED878" s="773"/>
      <c r="EE878" s="773"/>
      <c r="EF878" s="773"/>
      <c r="EG878" s="773"/>
      <c r="EH878" s="773"/>
      <c r="EI878" s="773"/>
      <c r="EJ878" s="773"/>
      <c r="EK878" s="773"/>
      <c r="EL878" s="773"/>
      <c r="EM878" s="773"/>
      <c r="EN878" s="773"/>
      <c r="EO878" s="773"/>
      <c r="EP878" s="773"/>
      <c r="EQ878" s="773"/>
      <c r="ER878" s="773"/>
      <c r="ES878" s="773"/>
      <c r="ET878" s="773"/>
      <c r="EU878" s="773"/>
      <c r="EV878" s="773"/>
      <c r="EW878" s="773"/>
      <c r="EX878" s="773"/>
      <c r="EY878" s="773"/>
      <c r="EZ878" s="773"/>
      <c r="FA878" s="773"/>
      <c r="FB878" s="773"/>
      <c r="FC878" s="773"/>
      <c r="FD878" s="773"/>
      <c r="FE878" s="773"/>
      <c r="FF878" s="773"/>
      <c r="FG878" s="773"/>
      <c r="FH878" s="773"/>
      <c r="FI878" s="773"/>
      <c r="FJ878" s="773"/>
      <c r="FK878" s="773"/>
      <c r="FL878" s="773"/>
      <c r="FM878" s="773"/>
      <c r="FN878" s="773"/>
      <c r="FO878" s="773"/>
      <c r="FP878" s="773"/>
      <c r="FQ878" s="773"/>
      <c r="FR878" s="773"/>
      <c r="FS878" s="773"/>
      <c r="FT878" s="773"/>
      <c r="FU878" s="773"/>
      <c r="FV878" s="773"/>
      <c r="FW878" s="773"/>
      <c r="FX878" s="773"/>
      <c r="FY878" s="773"/>
      <c r="FZ878" s="773"/>
      <c r="GA878" s="773"/>
      <c r="GB878" s="773"/>
      <c r="GC878" s="773"/>
      <c r="GD878" s="773"/>
      <c r="GE878" s="773"/>
      <c r="GF878" s="773"/>
      <c r="GG878" s="773"/>
      <c r="GH878" s="773"/>
      <c r="GI878" s="773"/>
      <c r="GJ878" s="773"/>
      <c r="GK878" s="773"/>
      <c r="GL878" s="773"/>
      <c r="GM878" s="773"/>
      <c r="GN878" s="773"/>
      <c r="GO878" s="773"/>
      <c r="GP878" s="773"/>
      <c r="GQ878" s="773"/>
      <c r="GR878" s="773"/>
      <c r="GS878" s="773"/>
      <c r="GT878" s="773"/>
      <c r="GU878" s="773"/>
      <c r="GV878" s="773"/>
      <c r="GW878" s="773"/>
      <c r="GX878" s="773"/>
      <c r="GY878" s="773"/>
      <c r="GZ878" s="773"/>
    </row>
    <row r="879" spans="1:208" s="11" customFormat="1" ht="12.95" customHeight="1">
      <c r="A879" s="774"/>
      <c r="B879" s="3790" t="s">
        <v>752</v>
      </c>
      <c r="C879" s="197">
        <v>7140009</v>
      </c>
      <c r="D879" s="199" t="s">
        <v>922</v>
      </c>
      <c r="E879" s="798">
        <f>IFERROR(VLOOKUP(C879,'AJE 12 - INC'!$D$168:$F$771,3,0),0)</f>
        <v>9478.4699999999993</v>
      </c>
      <c r="F879" s="108">
        <f>SUMIF('AJE 12 - INC'!B:B,'New TB INC'!C879,'AJE 12 - INC'!D:D)</f>
        <v>0</v>
      </c>
      <c r="G879" s="108"/>
      <c r="H879" s="108"/>
      <c r="I879" s="108"/>
      <c r="J879" s="859">
        <f t="shared" si="89"/>
        <v>9478.4699999999993</v>
      </c>
      <c r="K879" s="4501"/>
      <c r="L879" s="449"/>
      <c r="M879" s="883"/>
      <c r="N879" s="773">
        <v>0</v>
      </c>
      <c r="O879" s="773">
        <v>0</v>
      </c>
      <c r="P879" s="773">
        <v>0</v>
      </c>
      <c r="Q879" s="773">
        <v>0</v>
      </c>
      <c r="R879" s="773">
        <v>0</v>
      </c>
      <c r="S879" s="11">
        <v>0</v>
      </c>
      <c r="T879" s="773">
        <v>0</v>
      </c>
      <c r="U879" s="2173">
        <v>0</v>
      </c>
      <c r="V879" s="2509">
        <v>0</v>
      </c>
      <c r="W879" s="2509">
        <v>0</v>
      </c>
      <c r="X879" s="2509">
        <v>0</v>
      </c>
      <c r="Y879" s="2509">
        <v>0</v>
      </c>
      <c r="Z879" s="11">
        <f>'[26]New TB INC'!Z808</f>
        <v>0</v>
      </c>
      <c r="AA879" s="11">
        <f>'[27]New TB INC'!AA817</f>
        <v>3505.47</v>
      </c>
      <c r="AB879" s="11">
        <f>'[28]New TB INC'!AB826</f>
        <v>1333.0000000000005</v>
      </c>
      <c r="AC879" s="11">
        <f>'[29]New TB INC'!AC823</f>
        <v>444</v>
      </c>
      <c r="AD879" s="11">
        <f>'[30]New TB INC'!AD826</f>
        <v>444</v>
      </c>
      <c r="AE879" s="11">
        <f>'[31]New TB INC'!AE835</f>
        <v>444</v>
      </c>
      <c r="AF879" s="11">
        <v>444</v>
      </c>
      <c r="AG879" s="11">
        <v>444</v>
      </c>
      <c r="AH879" s="11">
        <v>444</v>
      </c>
      <c r="AI879" s="11">
        <v>444</v>
      </c>
      <c r="AJ879" s="11">
        <v>443.99999999999909</v>
      </c>
      <c r="AK879" s="11">
        <f>$J879-SUM($Z879:AJ879)</f>
        <v>1088</v>
      </c>
      <c r="AW879" s="2509"/>
      <c r="BE879" s="2173"/>
      <c r="BF879" s="2173"/>
      <c r="BG879" s="2173"/>
      <c r="BH879" s="2173"/>
      <c r="BI879" s="2173"/>
      <c r="BJ879" s="2173"/>
      <c r="BK879" s="2173"/>
      <c r="BL879" s="773"/>
      <c r="BM879" s="773"/>
      <c r="BN879" s="773"/>
      <c r="BO879" s="209"/>
      <c r="BQ879" s="209"/>
      <c r="BR879" s="209"/>
      <c r="BS879" s="885"/>
      <c r="CI879" s="4"/>
      <c r="CJ879" s="4"/>
      <c r="DB879" s="773"/>
      <c r="DC879" s="773"/>
      <c r="DD879" s="773"/>
      <c r="DE879" s="773"/>
      <c r="DF879" s="773"/>
      <c r="DG879" s="773"/>
      <c r="DH879" s="773"/>
      <c r="DI879" s="773"/>
      <c r="DJ879" s="773"/>
      <c r="DK879" s="773"/>
      <c r="DL879" s="773"/>
      <c r="DM879" s="773"/>
      <c r="DN879" s="773"/>
      <c r="DO879" s="773"/>
      <c r="DP879" s="773"/>
      <c r="DQ879" s="773"/>
      <c r="DR879" s="773"/>
      <c r="DS879" s="773"/>
      <c r="DT879" s="773"/>
      <c r="DU879" s="773"/>
      <c r="DV879" s="773"/>
      <c r="DW879" s="773"/>
      <c r="DX879" s="773"/>
      <c r="DY879" s="773"/>
      <c r="DZ879" s="773"/>
      <c r="EA879" s="773"/>
      <c r="EB879" s="773"/>
      <c r="EC879" s="773"/>
      <c r="ED879" s="773"/>
      <c r="EE879" s="773"/>
      <c r="EF879" s="773"/>
      <c r="EG879" s="773"/>
      <c r="EH879" s="773"/>
      <c r="EI879" s="773"/>
      <c r="EJ879" s="773"/>
      <c r="EK879" s="773"/>
      <c r="EL879" s="773"/>
      <c r="EM879" s="773"/>
      <c r="EN879" s="773"/>
      <c r="EO879" s="773"/>
      <c r="EP879" s="773"/>
      <c r="EQ879" s="773"/>
      <c r="ER879" s="773"/>
      <c r="ES879" s="773"/>
      <c r="ET879" s="773"/>
      <c r="EU879" s="773"/>
      <c r="EV879" s="773"/>
      <c r="EW879" s="773"/>
      <c r="EX879" s="773"/>
      <c r="EY879" s="773"/>
      <c r="EZ879" s="773"/>
      <c r="FA879" s="773"/>
      <c r="FB879" s="773"/>
      <c r="FC879" s="773"/>
      <c r="FD879" s="773"/>
      <c r="FE879" s="773"/>
      <c r="FF879" s="773"/>
      <c r="FG879" s="773"/>
      <c r="FH879" s="773"/>
      <c r="FI879" s="773"/>
      <c r="FJ879" s="773"/>
      <c r="FK879" s="773"/>
      <c r="FL879" s="773"/>
      <c r="FM879" s="773"/>
      <c r="FN879" s="773"/>
      <c r="FO879" s="773"/>
      <c r="FP879" s="773"/>
      <c r="FQ879" s="773"/>
      <c r="FR879" s="773"/>
      <c r="FS879" s="773"/>
      <c r="FT879" s="773"/>
      <c r="FU879" s="773"/>
      <c r="FV879" s="773"/>
      <c r="FW879" s="773"/>
      <c r="FX879" s="773"/>
      <c r="FY879" s="773"/>
      <c r="FZ879" s="773"/>
      <c r="GA879" s="773"/>
      <c r="GB879" s="773"/>
      <c r="GC879" s="773"/>
      <c r="GD879" s="773"/>
      <c r="GE879" s="773"/>
      <c r="GF879" s="773"/>
      <c r="GG879" s="773"/>
      <c r="GH879" s="773"/>
      <c r="GI879" s="773"/>
      <c r="GJ879" s="773"/>
      <c r="GK879" s="773"/>
      <c r="GL879" s="773"/>
      <c r="GM879" s="773"/>
      <c r="GN879" s="773"/>
      <c r="GO879" s="773"/>
      <c r="GP879" s="773"/>
      <c r="GQ879" s="773"/>
      <c r="GR879" s="773"/>
      <c r="GS879" s="773"/>
      <c r="GT879" s="773"/>
      <c r="GU879" s="773"/>
      <c r="GV879" s="773"/>
      <c r="GW879" s="773"/>
      <c r="GX879" s="773"/>
      <c r="GY879" s="773"/>
      <c r="GZ879" s="773"/>
    </row>
    <row r="880" spans="1:208" s="11" customFormat="1" ht="12.95" customHeight="1">
      <c r="A880" s="774"/>
      <c r="B880" s="3790" t="s">
        <v>752</v>
      </c>
      <c r="C880" s="197" t="s">
        <v>1425</v>
      </c>
      <c r="D880" s="199" t="s">
        <v>1426</v>
      </c>
      <c r="E880" s="798">
        <f>IFERROR(VLOOKUP(C880,'AJE 12 - INC'!$D$168:$F$771,3,0),0)</f>
        <v>0</v>
      </c>
      <c r="F880" s="108"/>
      <c r="G880" s="108"/>
      <c r="H880" s="108"/>
      <c r="I880" s="108"/>
      <c r="J880" s="859">
        <f t="shared" si="89"/>
        <v>0</v>
      </c>
      <c r="K880" s="4501"/>
      <c r="L880" s="434"/>
      <c r="M880" s="883"/>
      <c r="N880" s="11">
        <v>0</v>
      </c>
      <c r="O880" s="11">
        <v>0</v>
      </c>
      <c r="P880" s="11">
        <v>0</v>
      </c>
      <c r="Q880" s="11">
        <v>0</v>
      </c>
      <c r="R880" s="773">
        <v>101.42</v>
      </c>
      <c r="S880" s="11">
        <v>0</v>
      </c>
      <c r="T880" s="773">
        <v>0</v>
      </c>
      <c r="U880" s="2173">
        <v>0</v>
      </c>
      <c r="V880" s="2509">
        <v>0</v>
      </c>
      <c r="W880" s="2509">
        <v>0</v>
      </c>
      <c r="X880" s="2509">
        <v>0</v>
      </c>
      <c r="Y880" s="2509">
        <v>0</v>
      </c>
      <c r="Z880" s="11">
        <f>'[26]New TB INC'!Z809</f>
        <v>0</v>
      </c>
      <c r="AA880" s="11">
        <f>'[27]New TB INC'!AA818</f>
        <v>0</v>
      </c>
      <c r="AB880" s="11">
        <f>'[28]New TB INC'!AB827</f>
        <v>0</v>
      </c>
      <c r="AC880" s="11">
        <f>'[29]New TB INC'!AC824</f>
        <v>0</v>
      </c>
      <c r="AD880" s="11">
        <f>'[30]New TB INC'!AD827</f>
        <v>0</v>
      </c>
      <c r="AE880" s="11">
        <f>'[31]New TB INC'!AE836</f>
        <v>0</v>
      </c>
      <c r="AF880" s="11">
        <v>0</v>
      </c>
      <c r="AG880" s="11">
        <v>0</v>
      </c>
      <c r="AH880" s="11">
        <v>0</v>
      </c>
      <c r="AI880" s="11">
        <v>0</v>
      </c>
      <c r="AJ880" s="11">
        <v>0</v>
      </c>
      <c r="AK880" s="11">
        <f>$J880-SUM($Z880:AJ880)</f>
        <v>0</v>
      </c>
      <c r="AW880" s="2509"/>
      <c r="BE880" s="2173"/>
      <c r="BF880" s="2173"/>
      <c r="BG880" s="2173"/>
      <c r="BH880" s="2173"/>
      <c r="BI880" s="2173"/>
      <c r="BJ880" s="2173"/>
      <c r="BK880" s="2173"/>
      <c r="BL880" s="773"/>
      <c r="BN880" s="773"/>
      <c r="BO880" s="209"/>
      <c r="BQ880" s="209"/>
      <c r="BR880" s="859"/>
      <c r="BS880" s="885"/>
      <c r="CI880" s="4"/>
      <c r="CJ880" s="4"/>
      <c r="DB880" s="773"/>
      <c r="DC880" s="773"/>
      <c r="DD880" s="773"/>
      <c r="DE880" s="773"/>
      <c r="DF880" s="773"/>
      <c r="DG880" s="773"/>
      <c r="DH880" s="773"/>
      <c r="DI880" s="773"/>
      <c r="DJ880" s="773"/>
      <c r="DK880" s="773"/>
      <c r="DL880" s="773"/>
      <c r="DM880" s="773"/>
      <c r="DN880" s="773"/>
      <c r="DO880" s="773"/>
      <c r="DP880" s="773"/>
      <c r="DQ880" s="773"/>
      <c r="DR880" s="773"/>
      <c r="DS880" s="773"/>
      <c r="DT880" s="773"/>
      <c r="DU880" s="773"/>
      <c r="DV880" s="773"/>
      <c r="DW880" s="773"/>
      <c r="DX880" s="773"/>
      <c r="DY880" s="773"/>
      <c r="DZ880" s="773"/>
      <c r="EA880" s="773"/>
      <c r="EB880" s="773"/>
      <c r="EC880" s="773"/>
      <c r="ED880" s="773"/>
      <c r="EE880" s="773"/>
      <c r="EF880" s="773"/>
      <c r="EG880" s="773"/>
      <c r="EH880" s="773"/>
      <c r="EI880" s="773"/>
      <c r="EJ880" s="773"/>
      <c r="EK880" s="773"/>
      <c r="EL880" s="773"/>
      <c r="EM880" s="773"/>
      <c r="EN880" s="773"/>
      <c r="EO880" s="773"/>
      <c r="EP880" s="773"/>
      <c r="EQ880" s="773"/>
      <c r="ER880" s="773"/>
      <c r="ES880" s="773"/>
      <c r="ET880" s="773"/>
      <c r="EU880" s="773"/>
      <c r="EV880" s="773"/>
      <c r="EW880" s="773"/>
      <c r="EX880" s="773"/>
      <c r="EY880" s="773"/>
      <c r="EZ880" s="773"/>
      <c r="FA880" s="773"/>
      <c r="FB880" s="773"/>
      <c r="FC880" s="773"/>
      <c r="FD880" s="773"/>
      <c r="FE880" s="773"/>
      <c r="FF880" s="773"/>
      <c r="FG880" s="773"/>
      <c r="FH880" s="773"/>
      <c r="FI880" s="773"/>
      <c r="FJ880" s="773"/>
      <c r="FK880" s="773"/>
      <c r="FL880" s="773"/>
      <c r="FM880" s="773"/>
      <c r="FN880" s="773"/>
      <c r="FO880" s="773"/>
      <c r="FP880" s="773"/>
      <c r="FQ880" s="773"/>
      <c r="FR880" s="773"/>
      <c r="FS880" s="773"/>
      <c r="FT880" s="773"/>
      <c r="FU880" s="773"/>
      <c r="FV880" s="773"/>
      <c r="FW880" s="773"/>
      <c r="FX880" s="773"/>
      <c r="FY880" s="773"/>
      <c r="FZ880" s="773"/>
      <c r="GA880" s="773"/>
      <c r="GB880" s="773"/>
      <c r="GC880" s="773"/>
      <c r="GD880" s="773"/>
      <c r="GE880" s="773"/>
      <c r="GF880" s="773"/>
      <c r="GG880" s="773"/>
      <c r="GH880" s="773"/>
      <c r="GI880" s="773"/>
      <c r="GJ880" s="773"/>
      <c r="GK880" s="773"/>
      <c r="GL880" s="773"/>
      <c r="GM880" s="773"/>
      <c r="GN880" s="773"/>
      <c r="GO880" s="773"/>
      <c r="GP880" s="773"/>
      <c r="GQ880" s="773"/>
      <c r="GR880" s="773"/>
      <c r="GS880" s="773"/>
      <c r="GT880" s="773"/>
      <c r="GU880" s="773"/>
      <c r="GV880" s="773"/>
      <c r="GW880" s="773"/>
      <c r="GX880" s="773"/>
      <c r="GY880" s="773"/>
      <c r="GZ880" s="773"/>
    </row>
    <row r="881" spans="1:208" s="11" customFormat="1" ht="12.95" customHeight="1">
      <c r="A881" s="774"/>
      <c r="B881" s="3790" t="s">
        <v>752</v>
      </c>
      <c r="C881" s="197" t="s">
        <v>1596</v>
      </c>
      <c r="D881" s="199" t="s">
        <v>1597</v>
      </c>
      <c r="E881" s="798">
        <f>IFERROR(VLOOKUP(C881,'AJE 12 - INC'!$D$168:$F$771,3,0),0)</f>
        <v>0</v>
      </c>
      <c r="F881" s="108"/>
      <c r="G881" s="108"/>
      <c r="H881" s="108"/>
      <c r="I881" s="108"/>
      <c r="J881" s="859">
        <f t="shared" si="89"/>
        <v>0</v>
      </c>
      <c r="K881" s="4501"/>
      <c r="L881" s="434"/>
      <c r="M881" s="883"/>
      <c r="N881" s="11">
        <v>0</v>
      </c>
      <c r="O881" s="11">
        <v>0</v>
      </c>
      <c r="P881" s="11">
        <v>0</v>
      </c>
      <c r="Q881" s="11">
        <v>0</v>
      </c>
      <c r="R881" s="773">
        <v>0</v>
      </c>
      <c r="S881" s="11">
        <v>0</v>
      </c>
      <c r="T881" s="773">
        <v>0</v>
      </c>
      <c r="U881" s="2173">
        <v>0</v>
      </c>
      <c r="V881" s="2509">
        <v>0</v>
      </c>
      <c r="W881" s="2509">
        <v>0</v>
      </c>
      <c r="X881" s="2509">
        <v>0</v>
      </c>
      <c r="Y881" s="2509">
        <v>0</v>
      </c>
      <c r="Z881" s="11">
        <f>'[26]New TB INC'!Z810</f>
        <v>0</v>
      </c>
      <c r="AA881" s="11">
        <f>'[27]New TB INC'!AA819</f>
        <v>0</v>
      </c>
      <c r="AB881" s="11">
        <f>'[28]New TB INC'!AB828</f>
        <v>0</v>
      </c>
      <c r="AC881" s="11">
        <f>'[29]New TB INC'!AC825</f>
        <v>0</v>
      </c>
      <c r="AD881" s="11">
        <f>'[30]New TB INC'!AD828</f>
        <v>0</v>
      </c>
      <c r="AE881" s="11">
        <f>'[31]New TB INC'!AE837</f>
        <v>0</v>
      </c>
      <c r="AF881" s="11">
        <v>0</v>
      </c>
      <c r="AG881" s="11">
        <v>0</v>
      </c>
      <c r="AH881" s="11">
        <v>0</v>
      </c>
      <c r="AI881" s="11">
        <v>0</v>
      </c>
      <c r="AJ881" s="11">
        <v>0</v>
      </c>
      <c r="AK881" s="11">
        <f>$J881-SUM($Z881:AJ881)</f>
        <v>0</v>
      </c>
      <c r="AW881" s="2509"/>
      <c r="BE881" s="2173"/>
      <c r="BF881" s="2173"/>
      <c r="BG881" s="2173"/>
      <c r="BH881" s="2173"/>
      <c r="BI881" s="2173"/>
      <c r="BJ881" s="2173"/>
      <c r="BK881" s="2173"/>
      <c r="BL881" s="773"/>
      <c r="BN881" s="773"/>
      <c r="BO881" s="209"/>
      <c r="BQ881" s="209"/>
      <c r="BR881" s="859"/>
      <c r="BS881" s="885"/>
      <c r="CI881" s="4"/>
      <c r="CJ881" s="4"/>
      <c r="DB881" s="773"/>
      <c r="DC881" s="773"/>
      <c r="DD881" s="773"/>
      <c r="DE881" s="773"/>
      <c r="DF881" s="773"/>
      <c r="DG881" s="773"/>
      <c r="DH881" s="773"/>
      <c r="DI881" s="773"/>
      <c r="DJ881" s="773"/>
      <c r="DK881" s="773"/>
      <c r="DL881" s="773"/>
      <c r="DM881" s="773"/>
      <c r="DN881" s="773"/>
      <c r="DO881" s="773"/>
      <c r="DP881" s="773"/>
      <c r="DQ881" s="773"/>
      <c r="DR881" s="773"/>
      <c r="DS881" s="773"/>
      <c r="DT881" s="773"/>
      <c r="DU881" s="773"/>
      <c r="DV881" s="773"/>
      <c r="DW881" s="773"/>
      <c r="DX881" s="773"/>
      <c r="DY881" s="773"/>
      <c r="DZ881" s="773"/>
      <c r="EA881" s="773"/>
      <c r="EB881" s="773"/>
      <c r="EC881" s="773"/>
      <c r="ED881" s="773"/>
      <c r="EE881" s="773"/>
      <c r="EF881" s="773"/>
      <c r="EG881" s="773"/>
      <c r="EH881" s="773"/>
      <c r="EI881" s="773"/>
      <c r="EJ881" s="773"/>
      <c r="EK881" s="773"/>
      <c r="EL881" s="773"/>
      <c r="EM881" s="773"/>
      <c r="EN881" s="773"/>
      <c r="EO881" s="773"/>
      <c r="EP881" s="773"/>
      <c r="EQ881" s="773"/>
      <c r="ER881" s="773"/>
      <c r="ES881" s="773"/>
      <c r="ET881" s="773"/>
      <c r="EU881" s="773"/>
      <c r="EV881" s="773"/>
      <c r="EW881" s="773"/>
      <c r="EX881" s="773"/>
      <c r="EY881" s="773"/>
      <c r="EZ881" s="773"/>
      <c r="FA881" s="773"/>
      <c r="FB881" s="773"/>
      <c r="FC881" s="773"/>
      <c r="FD881" s="773"/>
      <c r="FE881" s="773"/>
      <c r="FF881" s="773"/>
      <c r="FG881" s="773"/>
      <c r="FH881" s="773"/>
      <c r="FI881" s="773"/>
      <c r="FJ881" s="773"/>
      <c r="FK881" s="773"/>
      <c r="FL881" s="773"/>
      <c r="FM881" s="773"/>
      <c r="FN881" s="773"/>
      <c r="FO881" s="773"/>
      <c r="FP881" s="773"/>
      <c r="FQ881" s="773"/>
      <c r="FR881" s="773"/>
      <c r="FS881" s="773"/>
      <c r="FT881" s="773"/>
      <c r="FU881" s="773"/>
      <c r="FV881" s="773"/>
      <c r="FW881" s="773"/>
      <c r="FX881" s="773"/>
      <c r="FY881" s="773"/>
      <c r="FZ881" s="773"/>
      <c r="GA881" s="773"/>
      <c r="GB881" s="773"/>
      <c r="GC881" s="773"/>
      <c r="GD881" s="773"/>
      <c r="GE881" s="773"/>
      <c r="GF881" s="773"/>
      <c r="GG881" s="773"/>
      <c r="GH881" s="773"/>
      <c r="GI881" s="773"/>
      <c r="GJ881" s="773"/>
      <c r="GK881" s="773"/>
      <c r="GL881" s="773"/>
      <c r="GM881" s="773"/>
      <c r="GN881" s="773"/>
      <c r="GO881" s="773"/>
      <c r="GP881" s="773"/>
      <c r="GQ881" s="773"/>
      <c r="GR881" s="773"/>
      <c r="GS881" s="773"/>
      <c r="GT881" s="773"/>
      <c r="GU881" s="773"/>
      <c r="GV881" s="773"/>
      <c r="GW881" s="773"/>
      <c r="GX881" s="773"/>
      <c r="GY881" s="773"/>
      <c r="GZ881" s="773"/>
    </row>
    <row r="882" spans="1:208" s="11" customFormat="1" ht="12.95" customHeight="1">
      <c r="A882" s="774"/>
      <c r="B882" s="3790" t="s">
        <v>752</v>
      </c>
      <c r="C882" s="197">
        <v>7140010</v>
      </c>
      <c r="D882" s="199" t="s">
        <v>923</v>
      </c>
      <c r="E882" s="798">
        <f>IFERROR(VLOOKUP(C882,'AJE 12 - INC'!$D$168:$F$771,3,0),0)</f>
        <v>3481.47</v>
      </c>
      <c r="F882" s="108">
        <f>SUMIF('AJE 12 - INC'!B:B,'New TB INC'!C882,'AJE 12 - INC'!D:D)</f>
        <v>0</v>
      </c>
      <c r="G882" s="108"/>
      <c r="H882" s="108"/>
      <c r="I882" s="108"/>
      <c r="J882" s="859">
        <f t="shared" si="89"/>
        <v>3481.47</v>
      </c>
      <c r="K882" s="4501"/>
      <c r="L882" s="434"/>
      <c r="M882" s="883"/>
      <c r="N882" s="11">
        <v>1361.61</v>
      </c>
      <c r="O882" s="11">
        <v>1267.3799999999999</v>
      </c>
      <c r="P882" s="11">
        <v>460.70000000000027</v>
      </c>
      <c r="Q882" s="11">
        <v>0</v>
      </c>
      <c r="R882" s="773">
        <v>0</v>
      </c>
      <c r="S882" s="11">
        <v>0</v>
      </c>
      <c r="T882" s="773">
        <v>0</v>
      </c>
      <c r="U882" s="2173">
        <v>0</v>
      </c>
      <c r="V882" s="2509">
        <v>0</v>
      </c>
      <c r="W882" s="2509">
        <v>0</v>
      </c>
      <c r="X882" s="2509">
        <v>0</v>
      </c>
      <c r="Y882" s="2509">
        <v>0</v>
      </c>
      <c r="Z882" s="11">
        <f>'[26]New TB INC'!Z811</f>
        <v>1277.78</v>
      </c>
      <c r="AA882" s="11">
        <f>'[27]New TB INC'!AA820</f>
        <v>1340.3999999999999</v>
      </c>
      <c r="AB882" s="11">
        <f>'[28]New TB INC'!AB829</f>
        <v>863.29</v>
      </c>
      <c r="AC882" s="11">
        <f>'[29]New TB INC'!AC826</f>
        <v>0</v>
      </c>
      <c r="AD882" s="11">
        <f>'[30]New TB INC'!AD829</f>
        <v>0</v>
      </c>
      <c r="AE882" s="11">
        <f>'[31]New TB INC'!AE838</f>
        <v>0</v>
      </c>
      <c r="AF882" s="11">
        <v>0</v>
      </c>
      <c r="AG882" s="11">
        <v>0</v>
      </c>
      <c r="AH882" s="11">
        <v>0</v>
      </c>
      <c r="AI882" s="11">
        <v>0</v>
      </c>
      <c r="AJ882" s="11">
        <v>0</v>
      </c>
      <c r="AK882" s="11">
        <f>$J882-SUM($Z882:AJ882)</f>
        <v>0</v>
      </c>
      <c r="AW882" s="2509"/>
      <c r="BE882" s="2173"/>
      <c r="BF882" s="2173"/>
      <c r="BG882" s="2173"/>
      <c r="BH882" s="2173"/>
      <c r="BI882" s="2173"/>
      <c r="BJ882" s="2173"/>
      <c r="BK882" s="2173"/>
      <c r="BL882" s="773"/>
      <c r="BN882" s="773"/>
      <c r="BO882" s="209"/>
      <c r="BP882" s="773"/>
      <c r="BQ882" s="209"/>
      <c r="BR882" s="859"/>
      <c r="BS882" s="885"/>
      <c r="CI882" s="4"/>
      <c r="CJ882" s="4"/>
      <c r="DB882" s="773"/>
      <c r="DC882" s="773"/>
      <c r="DD882" s="773"/>
      <c r="DE882" s="773"/>
      <c r="DF882" s="773"/>
      <c r="DG882" s="773"/>
      <c r="DH882" s="773"/>
      <c r="DI882" s="773"/>
      <c r="DJ882" s="773"/>
      <c r="DK882" s="773"/>
      <c r="DL882" s="773"/>
      <c r="DM882" s="773"/>
      <c r="DN882" s="773"/>
      <c r="DO882" s="773"/>
      <c r="DP882" s="773"/>
      <c r="DQ882" s="773"/>
      <c r="DR882" s="773"/>
      <c r="DS882" s="773"/>
      <c r="DT882" s="773"/>
      <c r="DU882" s="773"/>
      <c r="DV882" s="773"/>
      <c r="DW882" s="773"/>
      <c r="DX882" s="773"/>
      <c r="DY882" s="773"/>
      <c r="DZ882" s="773"/>
      <c r="EA882" s="773"/>
      <c r="EB882" s="773"/>
      <c r="EC882" s="773"/>
      <c r="ED882" s="773"/>
      <c r="EE882" s="773"/>
      <c r="EF882" s="773"/>
      <c r="EG882" s="773"/>
      <c r="EH882" s="773"/>
      <c r="EI882" s="773"/>
      <c r="EJ882" s="773"/>
      <c r="EK882" s="773"/>
      <c r="EL882" s="773"/>
      <c r="EM882" s="773"/>
      <c r="EN882" s="773"/>
      <c r="EO882" s="773"/>
      <c r="EP882" s="773"/>
      <c r="EQ882" s="773"/>
      <c r="ER882" s="773"/>
      <c r="ES882" s="773"/>
      <c r="ET882" s="773"/>
      <c r="EU882" s="773"/>
      <c r="EV882" s="773"/>
      <c r="EW882" s="773"/>
      <c r="EX882" s="773"/>
      <c r="EY882" s="773"/>
      <c r="EZ882" s="773"/>
      <c r="FA882" s="773"/>
      <c r="FB882" s="773"/>
      <c r="FC882" s="773"/>
      <c r="FD882" s="773"/>
      <c r="FE882" s="773"/>
      <c r="FF882" s="773"/>
      <c r="FG882" s="773"/>
      <c r="FH882" s="773"/>
      <c r="FI882" s="773"/>
      <c r="FJ882" s="773"/>
      <c r="FK882" s="773"/>
      <c r="FL882" s="773"/>
      <c r="FM882" s="773"/>
      <c r="FN882" s="773"/>
      <c r="FO882" s="773"/>
      <c r="FP882" s="773"/>
      <c r="FQ882" s="773"/>
      <c r="FR882" s="773"/>
      <c r="FS882" s="773"/>
      <c r="FT882" s="773"/>
      <c r="FU882" s="773"/>
      <c r="FV882" s="773"/>
      <c r="FW882" s="773"/>
      <c r="FX882" s="773"/>
      <c r="FY882" s="773"/>
      <c r="FZ882" s="773"/>
      <c r="GA882" s="773"/>
      <c r="GB882" s="773"/>
      <c r="GC882" s="773"/>
      <c r="GD882" s="773"/>
      <c r="GE882" s="773"/>
      <c r="GF882" s="773"/>
      <c r="GG882" s="773"/>
      <c r="GH882" s="773"/>
      <c r="GI882" s="773"/>
      <c r="GJ882" s="773"/>
      <c r="GK882" s="773"/>
      <c r="GL882" s="773"/>
      <c r="GM882" s="773"/>
      <c r="GN882" s="773"/>
      <c r="GO882" s="773"/>
      <c r="GP882" s="773"/>
      <c r="GQ882" s="773"/>
      <c r="GR882" s="773"/>
      <c r="GS882" s="773"/>
      <c r="GT882" s="773"/>
      <c r="GU882" s="773"/>
      <c r="GV882" s="773"/>
      <c r="GW882" s="773"/>
      <c r="GX882" s="773"/>
      <c r="GY882" s="773"/>
      <c r="GZ882" s="773"/>
    </row>
    <row r="883" spans="1:208" s="11" customFormat="1" ht="12.95" customHeight="1" thickBot="1">
      <c r="A883" s="774"/>
      <c r="B883" s="3791" t="s">
        <v>752</v>
      </c>
      <c r="C883" s="2889" t="s">
        <v>2100</v>
      </c>
      <c r="D883" s="2890" t="s">
        <v>2101</v>
      </c>
      <c r="E883" s="2891">
        <f>IFERROR(VLOOKUP(C883,'AJE 12 - INC'!$D$168:$F$771,3,0),0)</f>
        <v>3469.92</v>
      </c>
      <c r="F883" s="2892">
        <f>SUMIF('AJE 12 - INC'!B:B,'New TB INC'!C883,'AJE 12 - INC'!D:D)</f>
        <v>0</v>
      </c>
      <c r="G883" s="2892"/>
      <c r="H883" s="2892"/>
      <c r="I883" s="2892"/>
      <c r="J883" s="2893">
        <f t="shared" si="89"/>
        <v>3469.92</v>
      </c>
      <c r="K883" s="4502"/>
      <c r="L883" s="434"/>
      <c r="M883" s="883"/>
      <c r="N883" s="11">
        <v>1795.27</v>
      </c>
      <c r="O883" s="11">
        <v>1313.3600000000001</v>
      </c>
      <c r="P883" s="11">
        <v>0</v>
      </c>
      <c r="Q883" s="11">
        <v>0</v>
      </c>
      <c r="R883" s="773">
        <v>0</v>
      </c>
      <c r="S883" s="11">
        <v>0</v>
      </c>
      <c r="T883" s="773">
        <v>0</v>
      </c>
      <c r="U883" s="2173">
        <v>0</v>
      </c>
      <c r="V883" s="2509">
        <v>0</v>
      </c>
      <c r="W883" s="2509">
        <v>0</v>
      </c>
      <c r="X883" s="2509">
        <v>0</v>
      </c>
      <c r="Y883" s="2509">
        <v>0</v>
      </c>
      <c r="Z883" s="11">
        <f>'[26]New TB INC'!Z812</f>
        <v>2018.06</v>
      </c>
      <c r="AA883" s="11">
        <f>'[27]New TB INC'!AA821</f>
        <v>1451.8600000000001</v>
      </c>
      <c r="AB883" s="11">
        <f>'[28]New TB INC'!AB830</f>
        <v>0</v>
      </c>
      <c r="AC883" s="11">
        <f>'[29]New TB INC'!AC827</f>
        <v>0</v>
      </c>
      <c r="AD883" s="11">
        <f>'[30]New TB INC'!AD830</f>
        <v>0</v>
      </c>
      <c r="AE883" s="11">
        <f>'[31]New TB INC'!AE839</f>
        <v>0</v>
      </c>
      <c r="AF883" s="11">
        <v>0</v>
      </c>
      <c r="AG883" s="11">
        <v>0</v>
      </c>
      <c r="AH883" s="11">
        <v>0</v>
      </c>
      <c r="AI883" s="11">
        <v>0</v>
      </c>
      <c r="AJ883" s="11">
        <v>0</v>
      </c>
      <c r="AK883" s="11">
        <f>$J883-SUM($Z883:AJ883)</f>
        <v>0</v>
      </c>
      <c r="AW883" s="2509"/>
      <c r="BE883" s="2173"/>
      <c r="BF883" s="2173"/>
      <c r="BG883" s="2173"/>
      <c r="BH883" s="2173"/>
      <c r="BI883" s="2173"/>
      <c r="BJ883" s="2173"/>
      <c r="BK883" s="2173"/>
      <c r="BL883" s="773"/>
      <c r="BN883" s="773"/>
      <c r="BO883" s="209"/>
      <c r="BP883" s="773"/>
      <c r="BQ883" s="209"/>
      <c r="BR883" s="859"/>
      <c r="BS883" s="885"/>
      <c r="CI883" s="4"/>
      <c r="CJ883" s="4"/>
      <c r="DB883" s="773"/>
      <c r="DC883" s="773"/>
      <c r="DD883" s="773"/>
      <c r="DE883" s="773"/>
      <c r="DF883" s="773"/>
      <c r="DG883" s="773"/>
      <c r="DH883" s="773"/>
      <c r="DI883" s="773"/>
      <c r="DJ883" s="773"/>
      <c r="DK883" s="773"/>
      <c r="DL883" s="773"/>
      <c r="DM883" s="773"/>
      <c r="DN883" s="773"/>
      <c r="DO883" s="773"/>
      <c r="DP883" s="773"/>
      <c r="DQ883" s="773"/>
      <c r="DR883" s="773"/>
      <c r="DS883" s="773"/>
      <c r="DT883" s="773"/>
      <c r="DU883" s="773"/>
      <c r="DV883" s="773"/>
      <c r="DW883" s="773"/>
      <c r="DX883" s="773"/>
      <c r="DY883" s="773"/>
      <c r="DZ883" s="773"/>
      <c r="EA883" s="773"/>
      <c r="EB883" s="773"/>
      <c r="EC883" s="773"/>
      <c r="ED883" s="773"/>
      <c r="EE883" s="773"/>
      <c r="EF883" s="773"/>
      <c r="EG883" s="773"/>
      <c r="EH883" s="773"/>
      <c r="EI883" s="773"/>
      <c r="EJ883" s="773"/>
      <c r="EK883" s="773"/>
      <c r="EL883" s="773"/>
      <c r="EM883" s="773"/>
      <c r="EN883" s="773"/>
      <c r="EO883" s="773"/>
      <c r="EP883" s="773"/>
      <c r="EQ883" s="773"/>
      <c r="ER883" s="773"/>
      <c r="ES883" s="773"/>
      <c r="ET883" s="773"/>
      <c r="EU883" s="773"/>
      <c r="EV883" s="773"/>
      <c r="EW883" s="773"/>
      <c r="EX883" s="773"/>
      <c r="EY883" s="773"/>
      <c r="EZ883" s="773"/>
      <c r="FA883" s="773"/>
      <c r="FB883" s="773"/>
      <c r="FC883" s="773"/>
      <c r="FD883" s="773"/>
      <c r="FE883" s="773"/>
      <c r="FF883" s="773"/>
      <c r="FG883" s="773"/>
      <c r="FH883" s="773"/>
      <c r="FI883" s="773"/>
      <c r="FJ883" s="773"/>
      <c r="FK883" s="773"/>
      <c r="FL883" s="773"/>
      <c r="FM883" s="773"/>
      <c r="FN883" s="773"/>
      <c r="FO883" s="773"/>
      <c r="FP883" s="773"/>
      <c r="FQ883" s="773"/>
      <c r="FR883" s="773"/>
      <c r="FS883" s="773"/>
      <c r="FT883" s="773"/>
      <c r="FU883" s="773"/>
      <c r="FV883" s="773"/>
      <c r="FW883" s="773"/>
      <c r="FX883" s="773"/>
      <c r="FY883" s="773"/>
      <c r="FZ883" s="773"/>
      <c r="GA883" s="773"/>
      <c r="GB883" s="773"/>
      <c r="GC883" s="773"/>
      <c r="GD883" s="773"/>
      <c r="GE883" s="773"/>
      <c r="GF883" s="773"/>
      <c r="GG883" s="773"/>
      <c r="GH883" s="773"/>
      <c r="GI883" s="773"/>
      <c r="GJ883" s="773"/>
      <c r="GK883" s="773"/>
      <c r="GL883" s="773"/>
      <c r="GM883" s="773"/>
      <c r="GN883" s="773"/>
      <c r="GO883" s="773"/>
      <c r="GP883" s="773"/>
      <c r="GQ883" s="773"/>
      <c r="GR883" s="773"/>
      <c r="GS883" s="773"/>
      <c r="GT883" s="773"/>
      <c r="GU883" s="773"/>
      <c r="GV883" s="773"/>
      <c r="GW883" s="773"/>
      <c r="GX883" s="773"/>
      <c r="GY883" s="773"/>
      <c r="GZ883" s="773"/>
    </row>
    <row r="884" spans="1:208" s="11" customFormat="1">
      <c r="A884" s="774"/>
      <c r="B884" s="3789" t="s">
        <v>752</v>
      </c>
      <c r="C884" s="2885" t="s">
        <v>1655</v>
      </c>
      <c r="D884" s="2886" t="s">
        <v>1656</v>
      </c>
      <c r="E884" s="2887">
        <f>IFERROR(VLOOKUP(C884,'AJE 12 - INC'!$D$168:$F$771,3,0),0)</f>
        <v>703.5</v>
      </c>
      <c r="F884" s="899">
        <f>SUMIF('AJE 12 - INC'!B:B,'New TB INC'!C884,'AJE 12 - INC'!D:D)</f>
        <v>0</v>
      </c>
      <c r="G884" s="899"/>
      <c r="H884" s="899"/>
      <c r="I884" s="899"/>
      <c r="J884" s="2888">
        <f t="shared" ref="J884:J895" si="90">SUM(E884:I884)</f>
        <v>703.5</v>
      </c>
      <c r="K884" s="4504" t="s">
        <v>3670</v>
      </c>
      <c r="L884" s="434"/>
      <c r="M884" s="810"/>
      <c r="N884" s="11">
        <v>0</v>
      </c>
      <c r="O884" s="11">
        <v>2343.75</v>
      </c>
      <c r="P884" s="11">
        <v>2336.54</v>
      </c>
      <c r="Q884" s="11">
        <v>0</v>
      </c>
      <c r="R884" s="773">
        <v>0</v>
      </c>
      <c r="S884" s="11">
        <v>2336.5299999999997</v>
      </c>
      <c r="T884" s="773">
        <v>0</v>
      </c>
      <c r="U884" s="2173">
        <v>0</v>
      </c>
      <c r="V884" s="2509">
        <v>2336.5400000000009</v>
      </c>
      <c r="W884" s="2509">
        <v>0</v>
      </c>
      <c r="X884" s="2509">
        <v>0</v>
      </c>
      <c r="Y884" s="2509">
        <v>7067.2999999999993</v>
      </c>
      <c r="Z884" s="11">
        <f>'[26]New TB INC'!Z825</f>
        <v>0</v>
      </c>
      <c r="AA884" s="11">
        <f>'[27]New TB INC'!AA832</f>
        <v>0</v>
      </c>
      <c r="AB884" s="11">
        <f>'[28]New TB INC'!AB841</f>
        <v>703.5</v>
      </c>
      <c r="AC884" s="11">
        <f>'[29]New TB INC'!AC838</f>
        <v>0</v>
      </c>
      <c r="AD884" s="11">
        <f>'[30]New TB INC'!AD831</f>
        <v>0</v>
      </c>
      <c r="AE884" s="11">
        <f>'[31]New TB INC'!AE840</f>
        <v>0</v>
      </c>
      <c r="AF884" s="11">
        <v>0</v>
      </c>
      <c r="AG884" s="11">
        <v>0</v>
      </c>
      <c r="AH884" s="11">
        <v>0</v>
      </c>
      <c r="AI884" s="11">
        <v>0</v>
      </c>
      <c r="AJ884" s="11">
        <v>0</v>
      </c>
      <c r="AK884" s="11">
        <f>$J884-SUM($Z884:AJ884)</f>
        <v>0</v>
      </c>
      <c r="AW884" s="2509"/>
      <c r="BE884" s="2173"/>
      <c r="BF884" s="2173"/>
      <c r="BG884" s="2173"/>
      <c r="BH884" s="2173"/>
      <c r="BI884" s="2173"/>
      <c r="BJ884" s="2173"/>
      <c r="BK884" s="2173"/>
      <c r="BL884" s="773"/>
      <c r="BN884" s="773"/>
      <c r="BO884" s="209"/>
      <c r="BP884" s="773"/>
      <c r="BQ884" s="773"/>
      <c r="BR884" s="773"/>
      <c r="CH884" s="878"/>
      <c r="CI884" s="4"/>
      <c r="CJ884" s="4"/>
      <c r="DB884" s="773"/>
      <c r="DC884" s="773"/>
      <c r="DD884" s="773"/>
      <c r="DE884" s="773"/>
      <c r="DF884" s="773"/>
      <c r="DG884" s="773"/>
      <c r="DH884" s="773"/>
      <c r="DI884" s="773"/>
      <c r="DJ884" s="773"/>
      <c r="DK884" s="773"/>
      <c r="DL884" s="773"/>
      <c r="DM884" s="773"/>
      <c r="DN884" s="773"/>
      <c r="DO884" s="773"/>
      <c r="DP884" s="773"/>
      <c r="DQ884" s="773"/>
      <c r="DR884" s="773"/>
      <c r="DS884" s="773"/>
      <c r="DT884" s="773"/>
      <c r="DU884" s="773"/>
      <c r="DV884" s="773"/>
      <c r="DW884" s="773"/>
      <c r="DX884" s="773"/>
      <c r="DY884" s="773"/>
      <c r="DZ884" s="773"/>
      <c r="EA884" s="773"/>
      <c r="EB884" s="773"/>
      <c r="EC884" s="773"/>
      <c r="ED884" s="773"/>
      <c r="EE884" s="773"/>
      <c r="EF884" s="773"/>
      <c r="EG884" s="773"/>
      <c r="EH884" s="773"/>
      <c r="EI884" s="773"/>
      <c r="EJ884" s="773"/>
      <c r="EK884" s="773"/>
      <c r="EL884" s="773"/>
      <c r="EM884" s="773"/>
      <c r="EN884" s="773"/>
      <c r="EO884" s="773"/>
      <c r="EP884" s="773"/>
      <c r="EQ884" s="773"/>
      <c r="ER884" s="773"/>
      <c r="ES884" s="773"/>
      <c r="ET884" s="773"/>
      <c r="EU884" s="773"/>
      <c r="EV884" s="773"/>
      <c r="EW884" s="773"/>
      <c r="EX884" s="773"/>
      <c r="EY884" s="773"/>
      <c r="EZ884" s="773"/>
      <c r="FA884" s="773"/>
      <c r="FB884" s="773"/>
      <c r="FC884" s="773"/>
      <c r="FD884" s="773"/>
      <c r="FE884" s="773"/>
      <c r="FF884" s="773"/>
      <c r="FG884" s="773"/>
      <c r="FH884" s="773"/>
      <c r="FI884" s="773"/>
      <c r="FJ884" s="773"/>
      <c r="FK884" s="773"/>
      <c r="FL884" s="773"/>
      <c r="FM884" s="773"/>
      <c r="FN884" s="773"/>
      <c r="FO884" s="773"/>
      <c r="FP884" s="773"/>
      <c r="FQ884" s="773"/>
      <c r="FR884" s="773"/>
      <c r="FS884" s="773"/>
      <c r="FT884" s="773"/>
      <c r="FU884" s="773"/>
      <c r="FV884" s="773"/>
      <c r="FW884" s="773"/>
      <c r="FX884" s="773"/>
      <c r="FY884" s="773"/>
      <c r="FZ884" s="773"/>
      <c r="GA884" s="773"/>
      <c r="GB884" s="773"/>
      <c r="GC884" s="773"/>
      <c r="GD884" s="773"/>
      <c r="GE884" s="773"/>
      <c r="GF884" s="773"/>
      <c r="GG884" s="773"/>
      <c r="GH884" s="773"/>
      <c r="GI884" s="773"/>
      <c r="GJ884" s="773"/>
      <c r="GK884" s="773"/>
      <c r="GL884" s="773"/>
      <c r="GM884" s="773"/>
      <c r="GN884" s="773"/>
      <c r="GO884" s="773"/>
      <c r="GP884" s="773"/>
      <c r="GQ884" s="773"/>
      <c r="GR884" s="773"/>
      <c r="GS884" s="773"/>
      <c r="GT884" s="773"/>
      <c r="GU884" s="773"/>
      <c r="GV884" s="773"/>
      <c r="GW884" s="773"/>
      <c r="GX884" s="773"/>
      <c r="GY884" s="773"/>
      <c r="GZ884" s="773"/>
    </row>
    <row r="885" spans="1:208" s="11" customFormat="1" ht="15">
      <c r="A885" s="774"/>
      <c r="B885" s="3790" t="s">
        <v>752</v>
      </c>
      <c r="C885" s="197">
        <v>7190001</v>
      </c>
      <c r="D885" s="200" t="s">
        <v>1691</v>
      </c>
      <c r="E885" s="798">
        <f>IFERROR(VLOOKUP(C885,'AJE 12 - INC'!$D$168:$F$771,3,0),0)</f>
        <v>469473.33</v>
      </c>
      <c r="F885" s="108">
        <f>SUMIF('AJE 12 - INC'!B:B,'New TB INC'!C885,'AJE 12 - INC'!D:D)</f>
        <v>0</v>
      </c>
      <c r="G885" s="108"/>
      <c r="H885" s="108"/>
      <c r="I885" s="108"/>
      <c r="J885" s="859">
        <f t="shared" si="90"/>
        <v>469473.33</v>
      </c>
      <c r="K885" s="4505"/>
      <c r="L885" s="434"/>
      <c r="M885" s="810"/>
      <c r="N885" s="773">
        <v>95392.62</v>
      </c>
      <c r="O885" s="773">
        <v>79959.929999999993</v>
      </c>
      <c r="P885" s="773">
        <v>62395.830000000016</v>
      </c>
      <c r="Q885" s="773">
        <v>61250</v>
      </c>
      <c r="R885" s="773">
        <v>61250</v>
      </c>
      <c r="S885" s="11">
        <v>61250</v>
      </c>
      <c r="T885" s="773">
        <v>61250</v>
      </c>
      <c r="U885" s="2173">
        <v>61250</v>
      </c>
      <c r="V885" s="2509">
        <v>61250</v>
      </c>
      <c r="W885" s="2509">
        <v>61250</v>
      </c>
      <c r="X885" s="2509">
        <v>61250</v>
      </c>
      <c r="Y885" s="2509">
        <v>55000</v>
      </c>
      <c r="Z885" s="11">
        <f>'[26]New TB INC'!Z826</f>
        <v>48750</v>
      </c>
      <c r="AA885" s="11">
        <f>'[27]New TB INC'!AA833</f>
        <v>48750</v>
      </c>
      <c r="AB885" s="11">
        <f>'[28]New TB INC'!AB842</f>
        <v>39090.910000000003</v>
      </c>
      <c r="AC885" s="11">
        <f>'[29]New TB INC'!AC839</f>
        <v>39100.380000000005</v>
      </c>
      <c r="AD885" s="11">
        <f>'[30]New TB INC'!AD832</f>
        <v>48791.66</v>
      </c>
      <c r="AE885" s="11">
        <f>'[31]New TB INC'!AE841</f>
        <v>37240.379999999976</v>
      </c>
      <c r="AF885" s="11">
        <v>34625.000000000029</v>
      </c>
      <c r="AG885" s="11">
        <v>34625</v>
      </c>
      <c r="AH885" s="11">
        <v>34625</v>
      </c>
      <c r="AI885" s="11">
        <v>34625</v>
      </c>
      <c r="AJ885" s="11">
        <v>34625</v>
      </c>
      <c r="AK885" s="11">
        <f>$J885-SUM($Z885:AJ885)</f>
        <v>34625</v>
      </c>
      <c r="AS885" s="3100" t="s">
        <v>3677</v>
      </c>
      <c r="AT885" s="2629" t="s">
        <v>3431</v>
      </c>
      <c r="AW885" s="2696" t="s">
        <v>3132</v>
      </c>
      <c r="BE885" s="2173"/>
      <c r="BF885" s="2173"/>
      <c r="BG885" s="2173"/>
      <c r="BH885" s="2173"/>
      <c r="BI885" s="2173"/>
      <c r="BJ885" s="2173"/>
      <c r="BK885" s="2173"/>
      <c r="BL885" s="773"/>
      <c r="BN885" s="773"/>
      <c r="BO885" s="209"/>
      <c r="BQ885" s="773"/>
      <c r="BR885" s="773"/>
      <c r="CH885" s="878"/>
      <c r="CI885" s="4"/>
      <c r="CJ885" s="4"/>
      <c r="DB885" s="773"/>
      <c r="DC885" s="773"/>
      <c r="DD885" s="773"/>
      <c r="DE885" s="773"/>
      <c r="DF885" s="773"/>
      <c r="DG885" s="773"/>
      <c r="DH885" s="773"/>
      <c r="DI885" s="773"/>
      <c r="DJ885" s="773"/>
      <c r="DK885" s="773"/>
      <c r="DL885" s="773"/>
      <c r="DM885" s="773"/>
      <c r="DN885" s="773"/>
      <c r="DO885" s="773"/>
      <c r="DP885" s="773"/>
      <c r="DQ885" s="773"/>
      <c r="DR885" s="773"/>
      <c r="DS885" s="773"/>
      <c r="DT885" s="773"/>
      <c r="DU885" s="773"/>
      <c r="DV885" s="773"/>
      <c r="DW885" s="773"/>
      <c r="DX885" s="773"/>
      <c r="DY885" s="773"/>
      <c r="DZ885" s="773"/>
      <c r="EA885" s="773"/>
      <c r="EB885" s="773"/>
      <c r="EC885" s="773"/>
      <c r="ED885" s="773"/>
      <c r="EE885" s="773"/>
      <c r="EF885" s="773"/>
      <c r="EG885" s="773"/>
      <c r="EH885" s="773"/>
      <c r="EI885" s="773"/>
      <c r="EJ885" s="773"/>
      <c r="EK885" s="773"/>
      <c r="EL885" s="773"/>
      <c r="EM885" s="773"/>
      <c r="EN885" s="773"/>
      <c r="EO885" s="773"/>
      <c r="EP885" s="773"/>
      <c r="EQ885" s="773"/>
      <c r="ER885" s="773"/>
      <c r="ES885" s="773"/>
      <c r="ET885" s="773"/>
      <c r="EU885" s="773"/>
      <c r="EV885" s="773"/>
      <c r="EW885" s="773"/>
      <c r="EX885" s="773"/>
      <c r="EY885" s="773"/>
      <c r="EZ885" s="773"/>
      <c r="FA885" s="773"/>
      <c r="FB885" s="773"/>
      <c r="FC885" s="773"/>
      <c r="FD885" s="773"/>
      <c r="FE885" s="773"/>
      <c r="FF885" s="773"/>
      <c r="FG885" s="773"/>
      <c r="FH885" s="773"/>
      <c r="FI885" s="773"/>
      <c r="FJ885" s="773"/>
      <c r="FK885" s="773"/>
      <c r="FL885" s="773"/>
      <c r="FM885" s="773"/>
      <c r="FN885" s="773"/>
      <c r="FO885" s="773"/>
      <c r="FP885" s="773"/>
      <c r="FQ885" s="773"/>
      <c r="FR885" s="773"/>
      <c r="FS885" s="773"/>
      <c r="FT885" s="773"/>
      <c r="FU885" s="773"/>
      <c r="FV885" s="773"/>
      <c r="FW885" s="773"/>
      <c r="FX885" s="773"/>
      <c r="FY885" s="773"/>
      <c r="FZ885" s="773"/>
      <c r="GA885" s="773"/>
      <c r="GB885" s="773"/>
      <c r="GC885" s="773"/>
      <c r="GD885" s="773"/>
      <c r="GE885" s="773"/>
      <c r="GF885" s="773"/>
      <c r="GG885" s="773"/>
      <c r="GH885" s="773"/>
      <c r="GI885" s="773"/>
      <c r="GJ885" s="773"/>
      <c r="GK885" s="773"/>
      <c r="GL885" s="773"/>
      <c r="GM885" s="773"/>
      <c r="GN885" s="773"/>
      <c r="GO885" s="773"/>
      <c r="GP885" s="773"/>
      <c r="GQ885" s="773"/>
      <c r="GR885" s="773"/>
      <c r="GS885" s="773"/>
      <c r="GT885" s="773"/>
      <c r="GU885" s="773"/>
      <c r="GV885" s="773"/>
      <c r="GW885" s="773"/>
      <c r="GX885" s="773"/>
      <c r="GY885" s="773"/>
      <c r="GZ885" s="773"/>
    </row>
    <row r="886" spans="1:208" s="773" customFormat="1" ht="12.95" customHeight="1">
      <c r="A886" s="774"/>
      <c r="B886" s="3790" t="s">
        <v>752</v>
      </c>
      <c r="C886" s="197">
        <v>7190002</v>
      </c>
      <c r="D886" s="337" t="s">
        <v>1748</v>
      </c>
      <c r="E886" s="798">
        <f>IFERROR(VLOOKUP(C886,'AJE 12 - INC'!$D$168:$F$771,3,0),0)</f>
        <v>1103.5899999999999</v>
      </c>
      <c r="F886" s="108">
        <f>SUMIF('AJE 12 - INC'!B:B,'New TB INC'!C886,'AJE 12 - INC'!D:D)</f>
        <v>0</v>
      </c>
      <c r="G886" s="108"/>
      <c r="H886" s="108"/>
      <c r="I886" s="108"/>
      <c r="J886" s="859">
        <f t="shared" si="90"/>
        <v>1103.5899999999999</v>
      </c>
      <c r="K886" s="4505"/>
      <c r="L886" s="434"/>
      <c r="M886" s="810"/>
      <c r="N886" s="11">
        <v>0</v>
      </c>
      <c r="O886" s="11">
        <v>4166</v>
      </c>
      <c r="P886" s="11">
        <v>2083</v>
      </c>
      <c r="Q886" s="11">
        <v>2083</v>
      </c>
      <c r="R886" s="773">
        <v>2083</v>
      </c>
      <c r="S886" s="11">
        <v>2083</v>
      </c>
      <c r="T886" s="773">
        <v>2083</v>
      </c>
      <c r="U886" s="2173">
        <v>2083</v>
      </c>
      <c r="V886" s="2509">
        <v>-1667</v>
      </c>
      <c r="W886" s="2509">
        <v>2083</v>
      </c>
      <c r="X886" s="2509">
        <v>2083</v>
      </c>
      <c r="Y886" s="2509">
        <v>-19163</v>
      </c>
      <c r="Z886" s="11">
        <f>'[26]New TB INC'!Z827</f>
        <v>2083</v>
      </c>
      <c r="AA886" s="11">
        <f>'[27]New TB INC'!AA834</f>
        <v>-1977.41</v>
      </c>
      <c r="AB886" s="11">
        <f>'[28]New TB INC'!AB843</f>
        <v>-1666</v>
      </c>
      <c r="AC886" s="11">
        <f>'[29]New TB INC'!AC840</f>
        <v>833.00000000000011</v>
      </c>
      <c r="AD886" s="11">
        <f>'[30]New TB INC'!AD833</f>
        <v>833</v>
      </c>
      <c r="AE886" s="11">
        <f>'[31]New TB INC'!AE842</f>
        <v>833</v>
      </c>
      <c r="AF886" s="11">
        <v>832.99999999999989</v>
      </c>
      <c r="AG886" s="11">
        <v>833.00000000000023</v>
      </c>
      <c r="AH886" s="11">
        <v>833</v>
      </c>
      <c r="AI886" s="11">
        <v>833</v>
      </c>
      <c r="AJ886" s="11">
        <v>833</v>
      </c>
      <c r="AK886" s="11">
        <f>$J886-SUM($Z886:AJ886)</f>
        <v>-4000</v>
      </c>
      <c r="AL886" s="11"/>
      <c r="AM886" s="11"/>
      <c r="AW886" s="2509"/>
      <c r="BE886" s="2173"/>
      <c r="BF886" s="2173"/>
      <c r="BG886" s="2173"/>
      <c r="BH886" s="2173"/>
      <c r="BI886" s="2173"/>
      <c r="BJ886" s="2173"/>
      <c r="BK886" s="2173"/>
      <c r="BO886" s="209"/>
      <c r="CH886" s="901"/>
      <c r="CI886" s="9"/>
      <c r="CJ886" s="9"/>
    </row>
    <row r="887" spans="1:208" s="773" customFormat="1" ht="12.95" customHeight="1">
      <c r="A887" s="774"/>
      <c r="B887" s="3790" t="s">
        <v>752</v>
      </c>
      <c r="C887" s="197">
        <v>7190003</v>
      </c>
      <c r="D887" s="337" t="s">
        <v>2138</v>
      </c>
      <c r="E887" s="798">
        <f>IFERROR(VLOOKUP(C887,'AJE 12 - INC'!$D$168:$F$771,3,0),0)</f>
        <v>-400</v>
      </c>
      <c r="F887" s="108">
        <f>SUMIF('AJE 12 - INC'!B:B,'New TB INC'!C887,'AJE 12 - INC'!D:D)</f>
        <v>0</v>
      </c>
      <c r="G887" s="108"/>
      <c r="H887" s="108"/>
      <c r="I887" s="108"/>
      <c r="J887" s="859">
        <f t="shared" si="90"/>
        <v>-400</v>
      </c>
      <c r="K887" s="4505"/>
      <c r="L887" s="434"/>
      <c r="M887" s="810"/>
      <c r="N887" s="11">
        <v>61915</v>
      </c>
      <c r="O887" s="11">
        <v>-51915</v>
      </c>
      <c r="P887" s="11">
        <v>0</v>
      </c>
      <c r="Q887" s="11">
        <v>0</v>
      </c>
      <c r="R887" s="773">
        <v>0</v>
      </c>
      <c r="S887" s="11">
        <v>0</v>
      </c>
      <c r="T887" s="773">
        <v>0</v>
      </c>
      <c r="U887" s="2173">
        <v>0</v>
      </c>
      <c r="V887" s="2509">
        <v>0</v>
      </c>
      <c r="W887" s="2509">
        <v>0</v>
      </c>
      <c r="X887" s="2509">
        <v>0</v>
      </c>
      <c r="Y887" s="2509">
        <v>5000</v>
      </c>
      <c r="Z887" s="11">
        <f>'[26]New TB INC'!Z828</f>
        <v>0</v>
      </c>
      <c r="AA887" s="11">
        <f>'[27]New TB INC'!AA835</f>
        <v>0</v>
      </c>
      <c r="AB887" s="11">
        <f>'[28]New TB INC'!AB844</f>
        <v>-400</v>
      </c>
      <c r="AC887" s="11">
        <f>'[29]New TB INC'!AC841</f>
        <v>0</v>
      </c>
      <c r="AD887" s="11">
        <f>'[30]New TB INC'!AD834</f>
        <v>0</v>
      </c>
      <c r="AE887" s="11">
        <f>'[31]New TB INC'!AE843</f>
        <v>0</v>
      </c>
      <c r="AF887" s="11">
        <v>0</v>
      </c>
      <c r="AG887" s="11">
        <v>0</v>
      </c>
      <c r="AH887" s="11">
        <v>0</v>
      </c>
      <c r="AI887" s="11">
        <v>0</v>
      </c>
      <c r="AJ887" s="11">
        <v>0</v>
      </c>
      <c r="AK887" s="11">
        <f>$J887-SUM($Z887:AJ887)</f>
        <v>0</v>
      </c>
      <c r="AL887" s="11"/>
      <c r="AM887" s="11"/>
      <c r="AW887" s="2509"/>
      <c r="BE887" s="2173"/>
      <c r="BF887" s="2173"/>
      <c r="BG887" s="2173"/>
      <c r="BH887" s="2173"/>
      <c r="BI887" s="2173"/>
      <c r="BJ887" s="2173"/>
      <c r="BK887" s="2173"/>
      <c r="BO887" s="209"/>
      <c r="CH887" s="901"/>
      <c r="CI887" s="9"/>
      <c r="CJ887" s="9"/>
    </row>
    <row r="888" spans="1:208" s="773" customFormat="1" ht="12.95" customHeight="1">
      <c r="A888" s="774"/>
      <c r="B888" s="3790" t="s">
        <v>752</v>
      </c>
      <c r="C888" s="197">
        <v>7190004</v>
      </c>
      <c r="D888" s="2522" t="s">
        <v>1692</v>
      </c>
      <c r="E888" s="798">
        <f>IFERROR(VLOOKUP(C888,'AJE 12 - INC'!$D$168:$F$771,3,0),0)</f>
        <v>218520.35</v>
      </c>
      <c r="F888" s="108">
        <f>SUMIF('AJE 12 - INC'!B:B,'New TB INC'!C888,'AJE 12 - INC'!D:D)</f>
        <v>0</v>
      </c>
      <c r="G888" s="108"/>
      <c r="H888" s="108"/>
      <c r="I888" s="108"/>
      <c r="J888" s="859">
        <f t="shared" si="90"/>
        <v>218520.35</v>
      </c>
      <c r="K888" s="4505"/>
      <c r="L888" s="434"/>
      <c r="M888" s="810"/>
      <c r="N888" s="2125">
        <v>14472.97</v>
      </c>
      <c r="O888" s="2125">
        <v>84970.03</v>
      </c>
      <c r="P888" s="2125">
        <v>7512</v>
      </c>
      <c r="Q888" s="2125">
        <v>25486</v>
      </c>
      <c r="R888" s="2125">
        <v>21869</v>
      </c>
      <c r="S888" s="2125">
        <v>12029</v>
      </c>
      <c r="T888" s="2125">
        <v>23854</v>
      </c>
      <c r="U888" s="2125">
        <v>25638</v>
      </c>
      <c r="V888" s="2125">
        <v>104557</v>
      </c>
      <c r="W888" s="2523">
        <v>31982</v>
      </c>
      <c r="X888" s="2523">
        <v>6391</v>
      </c>
      <c r="Y888" s="2523">
        <v>18632</v>
      </c>
      <c r="Z888" s="2125">
        <f>'[26]New TB INC'!Z829</f>
        <v>56945</v>
      </c>
      <c r="AA888" s="2125">
        <f>'[27]New TB INC'!AA836</f>
        <v>4476</v>
      </c>
      <c r="AB888" s="2125">
        <f>'[28]New TB INC'!AB845</f>
        <v>11586.350000000006</v>
      </c>
      <c r="AC888" s="2125">
        <f>'[29]New TB INC'!AC842</f>
        <v>8346</v>
      </c>
      <c r="AD888" s="2125">
        <f>'[30]New TB INC'!AD835</f>
        <v>5031</v>
      </c>
      <c r="AE888" s="2125">
        <f>'[31]New TB INC'!AE844</f>
        <v>9847</v>
      </c>
      <c r="AF888" s="2125">
        <v>5502</v>
      </c>
      <c r="AG888" s="2125">
        <v>86311</v>
      </c>
      <c r="AH888" s="2125">
        <v>1149</v>
      </c>
      <c r="AI888" s="2125">
        <v>5004</v>
      </c>
      <c r="AJ888" s="11">
        <v>14888</v>
      </c>
      <c r="AK888" s="11">
        <f>$J888-SUM($Z888:AJ888)</f>
        <v>9435</v>
      </c>
      <c r="AL888" s="11"/>
      <c r="AM888" s="11"/>
      <c r="AW888" s="2509"/>
      <c r="BE888" s="2173"/>
      <c r="BF888" s="2173"/>
      <c r="BG888" s="2173"/>
      <c r="BH888" s="2173"/>
      <c r="BI888" s="2173"/>
      <c r="BJ888" s="2173"/>
      <c r="BK888" s="2173"/>
      <c r="BO888" s="209"/>
      <c r="CH888" s="901"/>
      <c r="CI888" s="9"/>
      <c r="CJ888" s="9"/>
    </row>
    <row r="889" spans="1:208" s="773" customFormat="1" ht="12.95" customHeight="1">
      <c r="A889" s="774"/>
      <c r="B889" s="3790" t="s">
        <v>752</v>
      </c>
      <c r="C889" s="197">
        <v>7190005</v>
      </c>
      <c r="D889" s="200" t="s">
        <v>1693</v>
      </c>
      <c r="E889" s="798">
        <f>IFERROR(VLOOKUP(C889,'AJE 12 - INC'!$D$168:$F$771,3,0),0)</f>
        <v>46489.46</v>
      </c>
      <c r="F889" s="108">
        <f>SUMIF('AJE 12 - INC'!B:B,'New TB INC'!C889,'AJE 12 - INC'!D:D)</f>
        <v>0</v>
      </c>
      <c r="G889" s="108"/>
      <c r="H889" s="108"/>
      <c r="I889" s="108"/>
      <c r="J889" s="859">
        <f t="shared" si="90"/>
        <v>46489.46</v>
      </c>
      <c r="K889" s="4505"/>
      <c r="L889" s="434"/>
      <c r="M889" s="810"/>
      <c r="N889" s="11">
        <v>12110.28</v>
      </c>
      <c r="O889" s="11">
        <v>14107.62</v>
      </c>
      <c r="P889" s="11">
        <v>6002.2100000000009</v>
      </c>
      <c r="Q889" s="11">
        <v>6534.32</v>
      </c>
      <c r="R889" s="773">
        <v>6237.9099999999944</v>
      </c>
      <c r="S889" s="11">
        <v>4518.8100000000068</v>
      </c>
      <c r="T889" s="773">
        <v>6972.32</v>
      </c>
      <c r="U889" s="2173">
        <v>4022.7200000000012</v>
      </c>
      <c r="V889" s="2509">
        <v>4224.6299999999974</v>
      </c>
      <c r="W889" s="2509">
        <v>2106.0199999999968</v>
      </c>
      <c r="X889" s="2509">
        <v>978.55999999999767</v>
      </c>
      <c r="Y889" s="2509">
        <v>1304.1800000000076</v>
      </c>
      <c r="Z889" s="11">
        <f>'[26]New TB INC'!Z830</f>
        <v>8385.75</v>
      </c>
      <c r="AA889" s="11">
        <f>'[27]New TB INC'!AA837</f>
        <v>4904.2199999999993</v>
      </c>
      <c r="AB889" s="11">
        <f>'[28]New TB INC'!AB846</f>
        <v>5087.6000000000004</v>
      </c>
      <c r="AC889" s="11">
        <f>'[29]New TB INC'!AC843</f>
        <v>3660.3100000000013</v>
      </c>
      <c r="AD889" s="11">
        <f>'[30]New TB INC'!AD836</f>
        <v>4502.5399999999972</v>
      </c>
      <c r="AE889" s="11">
        <f>'[31]New TB INC'!AE845</f>
        <v>3957.8300000000017</v>
      </c>
      <c r="AF889" s="11">
        <v>3284.9400000000023</v>
      </c>
      <c r="AG889" s="11">
        <v>6832.9700000000012</v>
      </c>
      <c r="AH889" s="11">
        <v>1563.4399999999951</v>
      </c>
      <c r="AI889" s="11">
        <v>1371.7000000000044</v>
      </c>
      <c r="AJ889" s="11">
        <v>1491.1399999999994</v>
      </c>
      <c r="AK889" s="11">
        <f>$J889-SUM($Z889:AJ889)</f>
        <v>1447.0199999999968</v>
      </c>
      <c r="AL889" s="11"/>
      <c r="AM889" s="11"/>
      <c r="AW889" s="2509"/>
      <c r="BE889" s="2173"/>
      <c r="BF889" s="2173"/>
      <c r="BG889" s="2173"/>
      <c r="BH889" s="2173"/>
      <c r="BI889" s="2173"/>
      <c r="BJ889" s="2173"/>
      <c r="BK889" s="2173"/>
      <c r="BO889" s="209"/>
      <c r="CH889" s="901"/>
      <c r="CI889" s="9"/>
      <c r="CJ889" s="9"/>
    </row>
    <row r="890" spans="1:208" s="773" customFormat="1" ht="12.95" customHeight="1">
      <c r="A890" s="774"/>
      <c r="B890" s="3790" t="s">
        <v>752</v>
      </c>
      <c r="C890" s="197">
        <v>7190006</v>
      </c>
      <c r="D890" s="200" t="s">
        <v>2139</v>
      </c>
      <c r="E890" s="798">
        <f>IFERROR(VLOOKUP(C890,'AJE 12 - INC'!$D$168:$F$771,3,0),0)</f>
        <v>0</v>
      </c>
      <c r="F890" s="108">
        <f>SUMIF('AJE 12 - INC'!B:B,'New TB INC'!C890,'AJE 12 - INC'!D:D)</f>
        <v>0</v>
      </c>
      <c r="G890" s="108"/>
      <c r="H890" s="108"/>
      <c r="I890" s="108"/>
      <c r="J890" s="859">
        <f t="shared" si="90"/>
        <v>0</v>
      </c>
      <c r="K890" s="4505"/>
      <c r="L890" s="434"/>
      <c r="M890" s="810"/>
      <c r="N890" s="11">
        <v>610.85</v>
      </c>
      <c r="O890" s="11">
        <v>5158.3799999999992</v>
      </c>
      <c r="P890" s="11">
        <v>5769.23</v>
      </c>
      <c r="Q890" s="11">
        <v>0</v>
      </c>
      <c r="R890" s="773">
        <v>0</v>
      </c>
      <c r="S890" s="11">
        <v>0</v>
      </c>
      <c r="T890" s="773">
        <v>0</v>
      </c>
      <c r="U890" s="2173">
        <v>0</v>
      </c>
      <c r="V890" s="2509">
        <v>0</v>
      </c>
      <c r="W890" s="2509">
        <v>0</v>
      </c>
      <c r="X890" s="2509">
        <v>0</v>
      </c>
      <c r="Y890" s="2509">
        <v>11538.46</v>
      </c>
      <c r="Z890" s="11">
        <f>'[26]New TB INC'!Z831</f>
        <v>0</v>
      </c>
      <c r="AA890" s="11">
        <f>'[27]New TB INC'!AA838</f>
        <v>0</v>
      </c>
      <c r="AB890" s="11">
        <f>'[28]New TB INC'!AB847</f>
        <v>0</v>
      </c>
      <c r="AC890" s="11">
        <f>'[29]New TB INC'!AC844</f>
        <v>0</v>
      </c>
      <c r="AD890" s="11">
        <f>'[30]New TB INC'!AD837</f>
        <v>0</v>
      </c>
      <c r="AE890" s="11">
        <f>'[31]New TB INC'!AE846</f>
        <v>0</v>
      </c>
      <c r="AF890" s="11">
        <v>0</v>
      </c>
      <c r="AG890" s="11">
        <v>0</v>
      </c>
      <c r="AH890" s="11">
        <v>0</v>
      </c>
      <c r="AI890" s="11">
        <v>0</v>
      </c>
      <c r="AJ890" s="11">
        <v>0</v>
      </c>
      <c r="AK890" s="11">
        <f>$J890-SUM($Z890:AJ890)</f>
        <v>0</v>
      </c>
      <c r="AL890" s="11"/>
      <c r="AM890" s="11"/>
      <c r="AW890" s="2509"/>
      <c r="BE890" s="2173"/>
      <c r="BF890" s="2173"/>
      <c r="BG890" s="2173"/>
      <c r="BH890" s="2173"/>
      <c r="BI890" s="2173"/>
      <c r="BJ890" s="2173"/>
      <c r="BK890" s="2173"/>
      <c r="BO890" s="209"/>
      <c r="CH890" s="901"/>
      <c r="CI890" s="9"/>
      <c r="CJ890" s="9"/>
    </row>
    <row r="891" spans="1:208" s="773" customFormat="1" ht="12.95" customHeight="1">
      <c r="A891" s="774"/>
      <c r="B891" s="3790" t="s">
        <v>752</v>
      </c>
      <c r="C891" s="197">
        <v>7190012</v>
      </c>
      <c r="D891" s="200" t="s">
        <v>2186</v>
      </c>
      <c r="E891" s="798">
        <f>IFERROR(VLOOKUP(C891,'AJE 12 - INC'!$D$168:$F$771,3,0),0)</f>
        <v>2387.9499999999998</v>
      </c>
      <c r="F891" s="108">
        <f>SUMIF('AJE 12 - INC'!B:B,'New TB INC'!C891,'AJE 12 - INC'!D:D)</f>
        <v>0</v>
      </c>
      <c r="G891" s="108"/>
      <c r="H891" s="108"/>
      <c r="I891" s="108"/>
      <c r="J891" s="859">
        <f t="shared" si="90"/>
        <v>2387.9499999999998</v>
      </c>
      <c r="K891" s="4505"/>
      <c r="L891" s="434"/>
      <c r="M891" s="810"/>
      <c r="N891" s="11"/>
      <c r="O891" s="11"/>
      <c r="P891" s="11"/>
      <c r="Q891" s="11">
        <v>1429.97</v>
      </c>
      <c r="R891" s="773">
        <v>0</v>
      </c>
      <c r="S891" s="11">
        <v>0</v>
      </c>
      <c r="T891" s="773">
        <v>151.97000000000003</v>
      </c>
      <c r="U891" s="2173">
        <v>0</v>
      </c>
      <c r="V891" s="2509">
        <v>0</v>
      </c>
      <c r="W891" s="2509">
        <v>0</v>
      </c>
      <c r="X891" s="2509">
        <v>0</v>
      </c>
      <c r="Y891" s="2509">
        <v>0</v>
      </c>
      <c r="Z891" s="11">
        <f>'[26]New TB INC'!Z832</f>
        <v>0</v>
      </c>
      <c r="AA891" s="11">
        <f>'[27]New TB INC'!AA839</f>
        <v>418.06</v>
      </c>
      <c r="AB891" s="11">
        <f>'[28]New TB INC'!AB848</f>
        <v>0</v>
      </c>
      <c r="AC891" s="11">
        <f>'[29]New TB INC'!AC845</f>
        <v>0</v>
      </c>
      <c r="AD891" s="11">
        <f>'[30]New TB INC'!AD838</f>
        <v>50</v>
      </c>
      <c r="AE891" s="11">
        <f>'[31]New TB INC'!AE847</f>
        <v>0</v>
      </c>
      <c r="AF891" s="11">
        <v>1734.38</v>
      </c>
      <c r="AG891" s="11">
        <v>0</v>
      </c>
      <c r="AH891" s="11">
        <v>15.509999999999764</v>
      </c>
      <c r="AI891" s="11">
        <v>170</v>
      </c>
      <c r="AJ891" s="11">
        <v>0</v>
      </c>
      <c r="AK891" s="11">
        <f>$J891-SUM($Z891:AJ891)</f>
        <v>0</v>
      </c>
      <c r="AL891" s="11"/>
      <c r="AM891" s="11"/>
      <c r="AW891" s="2509"/>
      <c r="BE891" s="2173"/>
      <c r="BF891" s="2173"/>
      <c r="BG891" s="2173"/>
      <c r="BH891" s="2173"/>
      <c r="BI891" s="2173"/>
      <c r="BJ891" s="2173"/>
      <c r="BK891" s="2173"/>
      <c r="BO891" s="209"/>
      <c r="CH891" s="901"/>
      <c r="CI891" s="9"/>
      <c r="CJ891" s="9"/>
    </row>
    <row r="892" spans="1:208" s="773" customFormat="1" ht="12.95" customHeight="1">
      <c r="A892" s="774"/>
      <c r="B892" s="3790" t="s">
        <v>752</v>
      </c>
      <c r="C892" s="197">
        <v>7190013</v>
      </c>
      <c r="D892" s="200" t="s">
        <v>1694</v>
      </c>
      <c r="E892" s="798">
        <f>IFERROR(VLOOKUP(C892,'AJE 12 - INC'!$D$168:$F$771,3,0),0)</f>
        <v>41360.730000000003</v>
      </c>
      <c r="F892" s="108">
        <f>SUMIF('AJE 12 - INC'!B:B,'New TB INC'!C892,'AJE 12 - INC'!D:D)</f>
        <v>0</v>
      </c>
      <c r="G892" s="108"/>
      <c r="H892" s="108"/>
      <c r="I892" s="108"/>
      <c r="J892" s="859">
        <f t="shared" si="90"/>
        <v>41360.730000000003</v>
      </c>
      <c r="K892" s="4505"/>
      <c r="L892" s="434"/>
      <c r="M892" s="810"/>
      <c r="N892" s="11">
        <v>496.26</v>
      </c>
      <c r="O892" s="11">
        <v>23724.300000000003</v>
      </c>
      <c r="P892" s="11">
        <v>11085.909999999996</v>
      </c>
      <c r="Q892" s="11">
        <v>6842.07</v>
      </c>
      <c r="R892" s="773">
        <v>9037.1599999999962</v>
      </c>
      <c r="S892" s="11">
        <v>6842.07</v>
      </c>
      <c r="T892" s="773">
        <v>7720.1100000000079</v>
      </c>
      <c r="U892" s="2173">
        <v>695.81999999999243</v>
      </c>
      <c r="V892" s="2509">
        <v>5086</v>
      </c>
      <c r="W892" s="2509">
        <v>5086</v>
      </c>
      <c r="X892" s="2509">
        <v>5086</v>
      </c>
      <c r="Y892" s="2509">
        <v>5086</v>
      </c>
      <c r="Z892" s="11">
        <f>'[26]New TB INC'!Z833</f>
        <v>5620.05</v>
      </c>
      <c r="AA892" s="11">
        <f>'[27]New TB INC'!AA840</f>
        <v>5620.05</v>
      </c>
      <c r="AB892" s="11">
        <f>'[28]New TB INC'!AB849</f>
        <v>5620.0500000000011</v>
      </c>
      <c r="AC892" s="11">
        <f>'[29]New TB INC'!AC846</f>
        <v>3679.5799999999981</v>
      </c>
      <c r="AD892" s="11">
        <f>'[30]New TB INC'!AD839</f>
        <v>3679.5800000000017</v>
      </c>
      <c r="AE892" s="11">
        <f>'[31]New TB INC'!AE848</f>
        <v>3679.5799999999981</v>
      </c>
      <c r="AF892" s="11">
        <v>2243.6399999999994</v>
      </c>
      <c r="AG892" s="11">
        <v>2243.6399999999994</v>
      </c>
      <c r="AH892" s="11">
        <v>2243.6399999999994</v>
      </c>
      <c r="AI892" s="11">
        <v>2243.6399999999994</v>
      </c>
      <c r="AJ892" s="11">
        <v>2243.6399999999994</v>
      </c>
      <c r="AK892" s="11">
        <f>$J892-SUM($Z892:AJ892)</f>
        <v>2243.6400000000067</v>
      </c>
      <c r="AL892" s="11"/>
      <c r="AM892" s="11"/>
      <c r="AW892" s="2509"/>
      <c r="BE892" s="2173"/>
      <c r="BF892" s="2173"/>
      <c r="BG892" s="2173"/>
      <c r="BH892" s="2173"/>
      <c r="BI892" s="2173"/>
      <c r="BJ892" s="2173"/>
      <c r="BK892" s="2173"/>
      <c r="BO892" s="209"/>
      <c r="CH892" s="901"/>
      <c r="CI892" s="9"/>
      <c r="CJ892" s="9"/>
    </row>
    <row r="893" spans="1:208" s="773" customFormat="1" ht="12.95" customHeight="1">
      <c r="A893" s="774"/>
      <c r="B893" s="3790" t="s">
        <v>752</v>
      </c>
      <c r="C893" s="197">
        <v>7190014</v>
      </c>
      <c r="D893" s="200" t="s">
        <v>1695</v>
      </c>
      <c r="E893" s="798">
        <f>IFERROR(VLOOKUP(C893,'AJE 12 - INC'!$D$168:$F$771,3,0),0)</f>
        <v>2473.98</v>
      </c>
      <c r="F893" s="108">
        <f>SUMIF('AJE 12 - INC'!B:B,'New TB INC'!C893,'AJE 12 - INC'!D:D)</f>
        <v>0</v>
      </c>
      <c r="G893" s="108"/>
      <c r="H893" s="108"/>
      <c r="I893" s="108"/>
      <c r="J893" s="859">
        <f t="shared" si="90"/>
        <v>2473.98</v>
      </c>
      <c r="K893" s="4505"/>
      <c r="L893" s="434"/>
      <c r="M893" s="810"/>
      <c r="N893" s="11">
        <v>0</v>
      </c>
      <c r="O893" s="11">
        <v>1221.7</v>
      </c>
      <c r="P893" s="11">
        <v>501.73</v>
      </c>
      <c r="Q893" s="11">
        <v>303.95000000000005</v>
      </c>
      <c r="R893" s="773">
        <v>406.25</v>
      </c>
      <c r="S893" s="11">
        <v>406.25</v>
      </c>
      <c r="T893" s="773">
        <v>209.15999999999985</v>
      </c>
      <c r="U893" s="2173">
        <v>99.349999999999909</v>
      </c>
      <c r="V893" s="2509">
        <v>303.96000000000004</v>
      </c>
      <c r="W893" s="2509">
        <v>303.96000000000004</v>
      </c>
      <c r="X893" s="2509">
        <v>303.96000000000004</v>
      </c>
      <c r="Y893" s="2509">
        <v>303.95000000000027</v>
      </c>
      <c r="Z893" s="11">
        <f>'[26]New TB INC'!Z834</f>
        <v>322.35000000000002</v>
      </c>
      <c r="AA893" s="11">
        <f>'[27]New TB INC'!AA841</f>
        <v>322.35000000000002</v>
      </c>
      <c r="AB893" s="11">
        <f>'[28]New TB INC'!AB850</f>
        <v>322.34999999999991</v>
      </c>
      <c r="AC893" s="11">
        <f>'[29]New TB INC'!AC847</f>
        <v>213.83000000000015</v>
      </c>
      <c r="AD893" s="11">
        <f>'[30]New TB INC'!AD840</f>
        <v>213.82999999999993</v>
      </c>
      <c r="AE893" s="11">
        <f>'[31]New TB INC'!AE849</f>
        <v>213.82999999999993</v>
      </c>
      <c r="AF893" s="11">
        <v>144.24</v>
      </c>
      <c r="AG893" s="11">
        <v>144.24</v>
      </c>
      <c r="AH893" s="11">
        <v>144.24</v>
      </c>
      <c r="AI893" s="11">
        <v>144.24</v>
      </c>
      <c r="AJ893" s="11">
        <v>144.23999999999978</v>
      </c>
      <c r="AK893" s="11">
        <f>$J893-SUM($Z893:AJ893)</f>
        <v>144.24000000000024</v>
      </c>
      <c r="AL893" s="11"/>
      <c r="AM893" s="11"/>
      <c r="AW893" s="2509"/>
      <c r="BE893" s="2173"/>
      <c r="BF893" s="2173"/>
      <c r="BG893" s="2173"/>
      <c r="BH893" s="2173"/>
      <c r="BI893" s="2173"/>
      <c r="BJ893" s="2173"/>
      <c r="BK893" s="2173"/>
      <c r="BO893" s="209"/>
      <c r="CH893" s="901"/>
      <c r="CI893" s="9"/>
      <c r="CJ893" s="9"/>
    </row>
    <row r="894" spans="1:208" s="773" customFormat="1" ht="12.95" customHeight="1">
      <c r="A894" s="774"/>
      <c r="B894" s="3790" t="s">
        <v>752</v>
      </c>
      <c r="C894" s="197">
        <v>7190016</v>
      </c>
      <c r="D894" s="200" t="s">
        <v>1696</v>
      </c>
      <c r="E894" s="798">
        <f>IFERROR(VLOOKUP(C894,'AJE 12 - INC'!$D$168:$F$771,3,0),0)</f>
        <v>547.08000000000004</v>
      </c>
      <c r="F894" s="108">
        <f>SUMIF('AJE 12 - INC'!B:B,'New TB INC'!C894,'AJE 12 - INC'!D:D)</f>
        <v>0</v>
      </c>
      <c r="G894" s="108"/>
      <c r="H894" s="108"/>
      <c r="I894" s="108"/>
      <c r="J894" s="859">
        <f t="shared" si="90"/>
        <v>547.08000000000004</v>
      </c>
      <c r="K894" s="4505"/>
      <c r="L894" s="434"/>
      <c r="M894" s="810"/>
      <c r="N894" s="11">
        <v>0</v>
      </c>
      <c r="O894" s="11">
        <v>839.32</v>
      </c>
      <c r="P894" s="11">
        <v>53.799999999999955</v>
      </c>
      <c r="Q894" s="11">
        <v>42.340000000000032</v>
      </c>
      <c r="R894" s="773">
        <v>67.329999999999927</v>
      </c>
      <c r="S894" s="11">
        <v>58.029999999999973</v>
      </c>
      <c r="T894" s="773">
        <v>64.810000000000173</v>
      </c>
      <c r="U894" s="2173">
        <v>67.119999999999891</v>
      </c>
      <c r="V894" s="2509">
        <v>141.31999999999994</v>
      </c>
      <c r="W894" s="2509">
        <v>70.470000000000027</v>
      </c>
      <c r="X894" s="2509">
        <v>53.110000000000127</v>
      </c>
      <c r="Y894" s="2509">
        <v>63.279999999999973</v>
      </c>
      <c r="Z894" s="11">
        <f>'[26]New TB INC'!Z835</f>
        <v>84.71</v>
      </c>
      <c r="AA894" s="11">
        <f>'[27]New TB INC'!AA842</f>
        <v>51.519999999999996</v>
      </c>
      <c r="AB894" s="11">
        <f>'[28]New TB INC'!AB851</f>
        <v>51.920000000000016</v>
      </c>
      <c r="AC894" s="11">
        <f>'[29]New TB INC'!AC848</f>
        <v>41.84</v>
      </c>
      <c r="AD894" s="11">
        <f>'[30]New TB INC'!AD841</f>
        <v>57.079999999999984</v>
      </c>
      <c r="AE894" s="11">
        <f>'[31]New TB INC'!AE850</f>
        <v>51.829999999999984</v>
      </c>
      <c r="AF894" s="11">
        <v>38.110000000000014</v>
      </c>
      <c r="AG894" s="11">
        <v>31.160000000000025</v>
      </c>
      <c r="AH894" s="11">
        <v>32.289999999999964</v>
      </c>
      <c r="AI894" s="11">
        <v>34.840000000000032</v>
      </c>
      <c r="AJ894" s="11">
        <v>32.829999999999984</v>
      </c>
      <c r="AK894" s="11">
        <f>$J894-SUM($Z894:AJ894)</f>
        <v>38.950000000000045</v>
      </c>
      <c r="AL894" s="11"/>
      <c r="AM894" s="11"/>
      <c r="AW894" s="2509"/>
      <c r="BE894" s="2173"/>
      <c r="BF894" s="2173"/>
      <c r="BG894" s="2173"/>
      <c r="BH894" s="2173"/>
      <c r="BI894" s="2173"/>
      <c r="BJ894" s="2173"/>
      <c r="BK894" s="2173"/>
      <c r="BO894" s="209"/>
      <c r="CH894" s="901"/>
      <c r="CI894" s="9"/>
      <c r="CJ894" s="9"/>
    </row>
    <row r="895" spans="1:208" s="773" customFormat="1" ht="13.5" customHeight="1" thickBot="1">
      <c r="A895" s="774"/>
      <c r="B895" s="3791" t="s">
        <v>752</v>
      </c>
      <c r="C895" s="2889">
        <v>7190042</v>
      </c>
      <c r="D895" s="2918" t="s">
        <v>1774</v>
      </c>
      <c r="E895" s="2891">
        <f>IFERROR(VLOOKUP(C895,'AJE 12 - INC'!$D$168:$F$771,3,0),0)</f>
        <v>30249.15</v>
      </c>
      <c r="F895" s="2892">
        <f>SUMIF('AJE 12 - INC'!B:B,'New TB INC'!C895,'AJE 12 - INC'!D:D)</f>
        <v>0</v>
      </c>
      <c r="G895" s="2892"/>
      <c r="H895" s="2892"/>
      <c r="I895" s="2892"/>
      <c r="J895" s="2893">
        <f t="shared" si="90"/>
        <v>30249.15</v>
      </c>
      <c r="K895" s="4506"/>
      <c r="L895" s="434"/>
      <c r="M895" s="810"/>
      <c r="N895" s="11"/>
      <c r="O895" s="11">
        <v>0</v>
      </c>
      <c r="P895" s="11">
        <v>-29100</v>
      </c>
      <c r="Q895" s="11">
        <v>0</v>
      </c>
      <c r="R895" s="773">
        <v>0</v>
      </c>
      <c r="S895" s="11">
        <v>0</v>
      </c>
      <c r="T895" s="773">
        <v>0</v>
      </c>
      <c r="U895" s="2173">
        <v>0</v>
      </c>
      <c r="V895" s="2509">
        <v>0</v>
      </c>
      <c r="W895" s="2509">
        <v>0</v>
      </c>
      <c r="X895" s="2509">
        <v>0</v>
      </c>
      <c r="Y895" s="2509">
        <v>0</v>
      </c>
      <c r="Z895" s="11">
        <f>'[26]New TB INC'!Z836</f>
        <v>0</v>
      </c>
      <c r="AA895" s="11">
        <f>'[27]New TB INC'!AA843</f>
        <v>0</v>
      </c>
      <c r="AB895" s="11">
        <f>'[28]New TB INC'!AB852</f>
        <v>0</v>
      </c>
      <c r="AC895" s="11">
        <f>'[29]New TB INC'!AC849</f>
        <v>30249.15</v>
      </c>
      <c r="AD895" s="11">
        <f>'[30]New TB INC'!AD842</f>
        <v>0</v>
      </c>
      <c r="AE895" s="11">
        <f>'[31]New TB INC'!AE851</f>
        <v>0</v>
      </c>
      <c r="AF895" s="11">
        <v>0</v>
      </c>
      <c r="AG895" s="11">
        <v>0</v>
      </c>
      <c r="AH895" s="11">
        <v>0</v>
      </c>
      <c r="AI895" s="11">
        <v>0</v>
      </c>
      <c r="AJ895" s="11">
        <v>0</v>
      </c>
      <c r="AK895" s="11">
        <f>$J895-SUM($Z895:AJ895)</f>
        <v>0</v>
      </c>
      <c r="AL895" s="11"/>
      <c r="AM895" s="11"/>
      <c r="AW895" s="2509"/>
      <c r="BE895" s="2173"/>
      <c r="BF895" s="2173"/>
      <c r="BG895" s="2173"/>
      <c r="BH895" s="2173"/>
      <c r="BI895" s="2173"/>
      <c r="BJ895" s="2173"/>
      <c r="BK895" s="2173"/>
      <c r="BO895" s="209"/>
      <c r="CH895" s="901"/>
      <c r="CI895" s="9"/>
      <c r="CJ895" s="9"/>
    </row>
    <row r="896" spans="1:208" s="773" customFormat="1" ht="12.6" customHeight="1">
      <c r="A896" s="774"/>
      <c r="B896" s="3789" t="s">
        <v>954</v>
      </c>
      <c r="C896" s="2885">
        <v>7170001</v>
      </c>
      <c r="D896" s="2919" t="s">
        <v>955</v>
      </c>
      <c r="E896" s="2887">
        <f>IFERROR(VLOOKUP(C896,'AJE 12 - INC'!$D$168:$F$771,3,0),0)</f>
        <v>599500.06999999995</v>
      </c>
      <c r="F896" s="899">
        <f>SUMIF('AJE 12 - INC'!B:B,'New TB INC'!C896,'AJE 12 - INC'!D:D)</f>
        <v>0</v>
      </c>
      <c r="G896" s="899"/>
      <c r="H896" s="899"/>
      <c r="I896" s="899"/>
      <c r="J896" s="2888">
        <f t="shared" ref="J896:J913" si="91">SUM(E896:I896)</f>
        <v>599500.06999999995</v>
      </c>
      <c r="K896" s="4500" t="s">
        <v>3688</v>
      </c>
      <c r="L896" s="434"/>
      <c r="M896" s="810"/>
      <c r="N896" s="773">
        <v>32121.21</v>
      </c>
      <c r="O896" s="773">
        <v>34166.659999999996</v>
      </c>
      <c r="P896" s="773">
        <v>34166.660000000011</v>
      </c>
      <c r="Q896" s="773">
        <v>47874.999999999993</v>
      </c>
      <c r="R896" s="773">
        <v>47875.000000000007</v>
      </c>
      <c r="S896" s="11">
        <v>47874.999999999993</v>
      </c>
      <c r="T896" s="773">
        <v>47875.000000000036</v>
      </c>
      <c r="U896" s="2173">
        <v>47875</v>
      </c>
      <c r="V896" s="2509">
        <v>47875</v>
      </c>
      <c r="W896" s="2509">
        <v>47875</v>
      </c>
      <c r="X896" s="2509">
        <v>47875</v>
      </c>
      <c r="Y896" s="2509">
        <v>47875</v>
      </c>
      <c r="Z896" s="11">
        <f>'[26]New TB INC'!Z838</f>
        <v>49958.33</v>
      </c>
      <c r="AA896" s="11">
        <f>'[27]New TB INC'!AA845</f>
        <v>49958.34</v>
      </c>
      <c r="AB896" s="11">
        <f>'[28]New TB INC'!AB854</f>
        <v>49958.340000000011</v>
      </c>
      <c r="AC896" s="11">
        <f>'[29]New TB INC'!AC855</f>
        <v>49958.34</v>
      </c>
      <c r="AD896" s="11">
        <f>'[30]New TB INC'!AD843</f>
        <v>49958.34</v>
      </c>
      <c r="AE896" s="11">
        <f>'[31]New TB INC'!AE852</f>
        <v>49958.340000000026</v>
      </c>
      <c r="AF896" s="11">
        <v>49958.339999999967</v>
      </c>
      <c r="AG896" s="11">
        <v>49958.340000000026</v>
      </c>
      <c r="AH896" s="11">
        <v>49958.339999999967</v>
      </c>
      <c r="AI896" s="11">
        <v>49958.340000000026</v>
      </c>
      <c r="AJ896" s="11">
        <v>49958.339999999967</v>
      </c>
      <c r="AK896" s="11">
        <f>$J896-SUM($Z896:AJ896)</f>
        <v>49958.339999999967</v>
      </c>
      <c r="AL896" s="11"/>
      <c r="AM896" s="11"/>
      <c r="AW896" s="2509"/>
      <c r="BE896" s="2173"/>
      <c r="BF896" s="2173"/>
      <c r="BG896" s="2173"/>
      <c r="BH896" s="2173"/>
      <c r="BI896" s="2173"/>
      <c r="BJ896" s="2173"/>
      <c r="BK896" s="2173"/>
      <c r="BO896" s="209"/>
      <c r="CH896" s="901"/>
      <c r="CI896" s="9"/>
      <c r="CJ896" s="9"/>
    </row>
    <row r="897" spans="1:208" s="773" customFormat="1" ht="12.6" customHeight="1">
      <c r="A897" s="774"/>
      <c r="B897" s="3790" t="s">
        <v>954</v>
      </c>
      <c r="C897" s="197">
        <v>7170002</v>
      </c>
      <c r="D897" s="200" t="s">
        <v>956</v>
      </c>
      <c r="E897" s="798">
        <f>IFERROR(VLOOKUP(C897,'AJE 12 - INC'!$D$168:$F$771,3,0),0)</f>
        <v>40160.57</v>
      </c>
      <c r="F897" s="108">
        <f>SUMIF('AJE 12 - INC'!B:B,'New TB INC'!C897,'AJE 12 - INC'!D:D)</f>
        <v>0</v>
      </c>
      <c r="G897" s="108"/>
      <c r="H897" s="108"/>
      <c r="I897" s="108"/>
      <c r="J897" s="859">
        <f t="shared" si="91"/>
        <v>40160.57</v>
      </c>
      <c r="K897" s="4501"/>
      <c r="L897" s="434"/>
      <c r="M897" s="810"/>
      <c r="N897" s="11">
        <v>4435.59</v>
      </c>
      <c r="O897" s="11">
        <v>5966.3899999999994</v>
      </c>
      <c r="P897" s="11">
        <v>2591.3500000000004</v>
      </c>
      <c r="Q897" s="11">
        <v>4490.2100000000009</v>
      </c>
      <c r="R897" s="773">
        <v>2447.239999999998</v>
      </c>
      <c r="S897" s="11">
        <v>2447.3600000000006</v>
      </c>
      <c r="T897" s="773">
        <v>2561.9799999999996</v>
      </c>
      <c r="U897" s="2173">
        <v>2447.2200000000012</v>
      </c>
      <c r="V897" s="2509">
        <v>2044.0299999999988</v>
      </c>
      <c r="W897" s="2509">
        <v>1516.2200000000012</v>
      </c>
      <c r="X897" s="2509">
        <v>1516.2400000000016</v>
      </c>
      <c r="Y897" s="2509">
        <v>1516.2299999999959</v>
      </c>
      <c r="Z897" s="11">
        <f>'[26]New TB INC'!Z839</f>
        <v>7494.63</v>
      </c>
      <c r="AA897" s="11">
        <f>'[27]New TB INC'!AA846</f>
        <v>8494.8299999999981</v>
      </c>
      <c r="AB897" s="11">
        <f>'[28]New TB INC'!AB855</f>
        <v>6194.9599999999991</v>
      </c>
      <c r="AC897" s="11">
        <f>'[29]New TB INC'!AC856</f>
        <v>6213.5300000000025</v>
      </c>
      <c r="AD897" s="11">
        <f>'[30]New TB INC'!AD844</f>
        <v>2750.2700000000004</v>
      </c>
      <c r="AE897" s="11">
        <f>'[31]New TB INC'!AE853</f>
        <v>1797.75</v>
      </c>
      <c r="AF897" s="11">
        <v>2313.5999999999985</v>
      </c>
      <c r="AG897" s="11">
        <v>1022.3899999999994</v>
      </c>
      <c r="AH897" s="11">
        <v>995.20999999999913</v>
      </c>
      <c r="AI897" s="11">
        <v>1253.9800000000032</v>
      </c>
      <c r="AJ897" s="11">
        <v>806.41999999999825</v>
      </c>
      <c r="AK897" s="11">
        <f>$J897-SUM($Z897:AJ897)</f>
        <v>823</v>
      </c>
      <c r="AL897" s="11"/>
      <c r="AM897" s="11"/>
      <c r="AW897" s="2509"/>
      <c r="BE897" s="2173"/>
      <c r="BF897" s="2173"/>
      <c r="BG897" s="2173"/>
      <c r="BH897" s="2173"/>
      <c r="BI897" s="2173"/>
      <c r="BJ897" s="2173"/>
      <c r="BK897" s="2173"/>
      <c r="BO897" s="209"/>
      <c r="CH897" s="901"/>
      <c r="CI897" s="9"/>
      <c r="CJ897" s="9"/>
    </row>
    <row r="898" spans="1:208" s="773" customFormat="1">
      <c r="A898" s="780"/>
      <c r="B898" s="3761" t="s">
        <v>741</v>
      </c>
      <c r="C898" s="197">
        <v>7111037</v>
      </c>
      <c r="D898" s="2522" t="s">
        <v>1373</v>
      </c>
      <c r="E898" s="798">
        <f>IFERROR(VLOOKUP(C898,'AJE 12 - INC'!$D$168:$F$771,3,0),0)</f>
        <v>177776</v>
      </c>
      <c r="F898" s="108">
        <f>SUMIF('AJE 12 - INC'!B:B,'New TB INC'!C898,'AJE 12 - INC'!D:D)</f>
        <v>0</v>
      </c>
      <c r="G898" s="108"/>
      <c r="H898" s="108"/>
      <c r="I898" s="108"/>
      <c r="J898" s="859">
        <f>SUM(E898:I898)</f>
        <v>177776</v>
      </c>
      <c r="K898" s="4501"/>
      <c r="L898" s="434"/>
      <c r="M898" s="810"/>
      <c r="N898" s="2125">
        <v>0</v>
      </c>
      <c r="O898" s="2125">
        <v>0</v>
      </c>
      <c r="P898" s="2125">
        <v>0</v>
      </c>
      <c r="Q898" s="2125">
        <v>0</v>
      </c>
      <c r="R898" s="2125">
        <v>0</v>
      </c>
      <c r="S898" s="2125">
        <v>0</v>
      </c>
      <c r="T898" s="2125">
        <v>0</v>
      </c>
      <c r="U898" s="2125">
        <v>0</v>
      </c>
      <c r="V898" s="2125">
        <v>0</v>
      </c>
      <c r="W898" s="2523">
        <v>0</v>
      </c>
      <c r="X898" s="2523">
        <v>0</v>
      </c>
      <c r="Y898" s="2523">
        <v>0</v>
      </c>
      <c r="Z898" s="2125">
        <f>'[26]New TB INC'!Z773</f>
        <v>0</v>
      </c>
      <c r="AA898" s="2125">
        <f>'[27]New TB INC'!AA782</f>
        <v>0</v>
      </c>
      <c r="AB898" s="2125">
        <f>'[28]New TB INC'!AB789</f>
        <v>4971</v>
      </c>
      <c r="AC898" s="2125">
        <f>'[29]New TB INC'!AC785</f>
        <v>36152</v>
      </c>
      <c r="AD898" s="2125">
        <f>'[30]New TB INC'!AD845</f>
        <v>16523</v>
      </c>
      <c r="AE898" s="2125">
        <f>'[31]New TB INC'!AE854</f>
        <v>7538</v>
      </c>
      <c r="AF898" s="2125">
        <v>31852</v>
      </c>
      <c r="AG898" s="2125">
        <v>9279</v>
      </c>
      <c r="AH898" s="2125">
        <v>19627</v>
      </c>
      <c r="AI898" s="2125">
        <v>37474</v>
      </c>
      <c r="AJ898" s="11">
        <v>6608</v>
      </c>
      <c r="AK898" s="11">
        <f>$J898-SUM($Z898:AJ898)</f>
        <v>7752</v>
      </c>
      <c r="AL898" s="11"/>
      <c r="AM898" s="11"/>
      <c r="AW898" s="2509"/>
      <c r="BE898" s="2173"/>
      <c r="BF898" s="2173"/>
      <c r="BG898" s="2173"/>
      <c r="BH898" s="2173"/>
      <c r="BI898" s="2173"/>
      <c r="BJ898" s="2173"/>
      <c r="BK898" s="2173"/>
      <c r="BO898" s="209"/>
      <c r="BQ898" s="209"/>
      <c r="BR898" s="209"/>
      <c r="BS898" s="209"/>
      <c r="BT898" s="209"/>
      <c r="BU898" s="209"/>
      <c r="BV898" s="209"/>
      <c r="BW898" s="820"/>
      <c r="BX898" s="209"/>
      <c r="BY898" s="209"/>
      <c r="BZ898" s="209"/>
      <c r="CA898" s="209"/>
    </row>
    <row r="899" spans="1:208" s="773" customFormat="1" ht="12.6" customHeight="1">
      <c r="A899" s="774"/>
      <c r="B899" s="3790" t="s">
        <v>954</v>
      </c>
      <c r="C899" s="197">
        <v>7170003</v>
      </c>
      <c r="D899" s="200" t="s">
        <v>957</v>
      </c>
      <c r="E899" s="798">
        <f>IFERROR(VLOOKUP(C899,'AJE 12 - INC'!$D$168:$F$771,3,0),0)</f>
        <v>16868.150000000001</v>
      </c>
      <c r="F899" s="108">
        <f>SUMIF('AJE 12 - INC'!B:B,'New TB INC'!C899,'AJE 12 - INC'!D:D)</f>
        <v>0</v>
      </c>
      <c r="G899" s="108"/>
      <c r="H899" s="108"/>
      <c r="I899" s="108"/>
      <c r="J899" s="859">
        <f t="shared" si="91"/>
        <v>16868.150000000001</v>
      </c>
      <c r="K899" s="4501"/>
      <c r="L899" s="434"/>
      <c r="M899" s="810"/>
      <c r="N899" s="11">
        <v>0</v>
      </c>
      <c r="O899" s="11">
        <v>29166</v>
      </c>
      <c r="P899" s="11">
        <v>14583</v>
      </c>
      <c r="Q899" s="11">
        <v>23958</v>
      </c>
      <c r="R899" s="773">
        <v>14583</v>
      </c>
      <c r="S899" s="11">
        <v>14583</v>
      </c>
      <c r="T899" s="773">
        <v>14583</v>
      </c>
      <c r="U899" s="2173">
        <v>14583</v>
      </c>
      <c r="V899" s="2509">
        <v>14583</v>
      </c>
      <c r="W899" s="2509">
        <v>14583</v>
      </c>
      <c r="X899" s="2509">
        <v>14583</v>
      </c>
      <c r="Y899" s="2509">
        <v>-160413</v>
      </c>
      <c r="Z899" s="11">
        <f>'[26]New TB INC'!Z840</f>
        <v>14583</v>
      </c>
      <c r="AA899" s="11">
        <f>'[27]New TB INC'!AA847</f>
        <v>-682.85000000000036</v>
      </c>
      <c r="AB899" s="11">
        <f>'[28]New TB INC'!AB856</f>
        <v>14709.000000000002</v>
      </c>
      <c r="AC899" s="11">
        <f>'[29]New TB INC'!AC857</f>
        <v>14625</v>
      </c>
      <c r="AD899" s="11">
        <f>'[30]New TB INC'!AD846</f>
        <v>14625</v>
      </c>
      <c r="AE899" s="11">
        <f>'[31]New TB INC'!AE855</f>
        <v>14624.999999999993</v>
      </c>
      <c r="AF899" s="11">
        <v>14625</v>
      </c>
      <c r="AG899" s="11">
        <v>14625</v>
      </c>
      <c r="AH899" s="11">
        <v>14625</v>
      </c>
      <c r="AI899" s="11">
        <v>14625</v>
      </c>
      <c r="AJ899" s="11">
        <v>14625</v>
      </c>
      <c r="AK899" s="11">
        <f>$J899-SUM($Z899:AJ899)</f>
        <v>-128741</v>
      </c>
      <c r="AL899" s="11"/>
      <c r="AM899" s="11"/>
      <c r="AW899" s="2509"/>
      <c r="BE899" s="2173"/>
      <c r="BF899" s="2173"/>
      <c r="BG899" s="2173"/>
      <c r="BH899" s="2173"/>
      <c r="BI899" s="2173"/>
      <c r="BJ899" s="2173"/>
      <c r="BK899" s="2173"/>
      <c r="BO899" s="209"/>
      <c r="CH899" s="901"/>
      <c r="CI899" s="9"/>
      <c r="CJ899" s="9"/>
    </row>
    <row r="900" spans="1:208" s="773" customFormat="1" ht="12.6" customHeight="1">
      <c r="A900" s="774"/>
      <c r="B900" s="3790" t="s">
        <v>954</v>
      </c>
      <c r="C900" s="197">
        <v>7111036</v>
      </c>
      <c r="D900" s="200" t="s">
        <v>1657</v>
      </c>
      <c r="E900" s="798">
        <f>IFERROR(VLOOKUP(C900,'AJE 12 - INC'!$D$168:$F$771,3,0),0)</f>
        <v>4523.9799999999996</v>
      </c>
      <c r="F900" s="108">
        <f>SUMIF('AJE 12 - INC'!B:B,'New TB INC'!C900,'AJE 12 - INC'!D:D)</f>
        <v>0</v>
      </c>
      <c r="G900" s="108"/>
      <c r="H900" s="108"/>
      <c r="I900" s="108"/>
      <c r="J900" s="859">
        <f t="shared" si="91"/>
        <v>4523.9799999999996</v>
      </c>
      <c r="K900" s="4501"/>
      <c r="L900" s="434"/>
      <c r="M900" s="810"/>
      <c r="N900" s="11">
        <v>0</v>
      </c>
      <c r="O900" s="11">
        <v>0</v>
      </c>
      <c r="P900" s="11">
        <v>10341.83</v>
      </c>
      <c r="Q900" s="11">
        <v>0</v>
      </c>
      <c r="R900" s="773">
        <v>0</v>
      </c>
      <c r="S900" s="11">
        <v>7571.2199999999993</v>
      </c>
      <c r="T900" s="773">
        <v>0</v>
      </c>
      <c r="U900" s="2173">
        <v>0</v>
      </c>
      <c r="V900" s="2509">
        <v>11219.75</v>
      </c>
      <c r="W900" s="2509">
        <v>0</v>
      </c>
      <c r="X900" s="2509">
        <v>0</v>
      </c>
      <c r="Y900" s="2509">
        <v>7336.0000000000036</v>
      </c>
      <c r="Z900" s="11">
        <f>'[26]New TB INC'!Z841</f>
        <v>0</v>
      </c>
      <c r="AA900" s="11">
        <f>'[27]New TB INC'!AA848</f>
        <v>0</v>
      </c>
      <c r="AB900" s="11">
        <f>'[28]New TB INC'!AB857</f>
        <v>10266.23</v>
      </c>
      <c r="AC900" s="11">
        <f>'[29]New TB INC'!AC858</f>
        <v>0</v>
      </c>
      <c r="AD900" s="11">
        <f>'[30]New TB INC'!AD847</f>
        <v>0</v>
      </c>
      <c r="AE900" s="11">
        <f>'[31]New TB INC'!AE856</f>
        <v>-2996</v>
      </c>
      <c r="AF900" s="11">
        <v>0</v>
      </c>
      <c r="AG900" s="11">
        <v>0</v>
      </c>
      <c r="AH900" s="11">
        <v>-215</v>
      </c>
      <c r="AI900" s="11">
        <v>0</v>
      </c>
      <c r="AJ900" s="11">
        <v>0</v>
      </c>
      <c r="AK900" s="11">
        <f>$J900-SUM($Z900:AJ900)</f>
        <v>-2531.25</v>
      </c>
      <c r="AL900" s="11"/>
      <c r="AM900" s="11"/>
      <c r="AW900" s="2509"/>
      <c r="BE900" s="2173"/>
      <c r="BF900" s="2173"/>
      <c r="BG900" s="2173"/>
      <c r="BH900" s="2173"/>
      <c r="BI900" s="2173"/>
      <c r="BJ900" s="2173"/>
      <c r="BK900" s="2173"/>
      <c r="BO900" s="209"/>
      <c r="CH900" s="901"/>
      <c r="CI900" s="9"/>
      <c r="CJ900" s="9"/>
    </row>
    <row r="901" spans="1:208" s="773" customFormat="1" ht="12.6" customHeight="1">
      <c r="A901" s="774"/>
      <c r="B901" s="3790" t="s">
        <v>954</v>
      </c>
      <c r="C901" s="197">
        <v>7170004</v>
      </c>
      <c r="D901" s="200" t="s">
        <v>543</v>
      </c>
      <c r="E901" s="798">
        <f>IFERROR(VLOOKUP(C901,'AJE 12 - INC'!$D$168:$F$771,3,0),0)</f>
        <v>547.08000000000004</v>
      </c>
      <c r="F901" s="108">
        <f>SUMIF('AJE 12 - INC'!B:B,'New TB INC'!C901,'AJE 12 - INC'!D:D)</f>
        <v>0</v>
      </c>
      <c r="G901" s="108"/>
      <c r="H901" s="108"/>
      <c r="I901" s="108"/>
      <c r="J901" s="859">
        <f t="shared" si="91"/>
        <v>547.08000000000004</v>
      </c>
      <c r="K901" s="4501"/>
      <c r="L901" s="434"/>
      <c r="M901" s="810"/>
      <c r="N901" s="11">
        <v>36.68</v>
      </c>
      <c r="O901" s="11">
        <v>48.79</v>
      </c>
      <c r="P901" s="11">
        <v>20.659999999999989</v>
      </c>
      <c r="Q901" s="11">
        <v>34.590000000000003</v>
      </c>
      <c r="R901" s="773">
        <v>28.960000000000015</v>
      </c>
      <c r="S901" s="11">
        <v>28.959999999999972</v>
      </c>
      <c r="T901" s="773">
        <v>29.840000000000003</v>
      </c>
      <c r="U901" s="2173">
        <v>28.940000000000026</v>
      </c>
      <c r="V901" s="2509">
        <v>28.939999999999998</v>
      </c>
      <c r="W901" s="2509">
        <v>28.95999999999998</v>
      </c>
      <c r="X901" s="2509">
        <v>28.949999999999989</v>
      </c>
      <c r="Y901" s="2509">
        <v>28.939999999999998</v>
      </c>
      <c r="Z901" s="11">
        <f>'[26]New TB INC'!Z842</f>
        <v>54.79</v>
      </c>
      <c r="AA901" s="11">
        <f>'[27]New TB INC'!AA849</f>
        <v>67.430000000000007</v>
      </c>
      <c r="AB901" s="11">
        <f>'[28]New TB INC'!AB858</f>
        <v>49.379999999999995</v>
      </c>
      <c r="AC901" s="11">
        <f>'[29]New TB INC'!AC859</f>
        <v>51.900000000000006</v>
      </c>
      <c r="AD901" s="11">
        <f>'[30]New TB INC'!AD848</f>
        <v>40.110000000000014</v>
      </c>
      <c r="AE901" s="11">
        <f>'[31]New TB INC'!AE857</f>
        <v>34.71999999999997</v>
      </c>
      <c r="AF901" s="11">
        <v>49.31</v>
      </c>
      <c r="AG901" s="11">
        <v>35.759999999999991</v>
      </c>
      <c r="AH901" s="11">
        <v>41.980000000000018</v>
      </c>
      <c r="AI901" s="11">
        <v>52.680000000000007</v>
      </c>
      <c r="AJ901" s="11">
        <v>34.170000000000016</v>
      </c>
      <c r="AK901" s="11">
        <f>$J901-SUM($Z901:AJ901)</f>
        <v>34.850000000000023</v>
      </c>
      <c r="AL901" s="11"/>
      <c r="AM901" s="11"/>
      <c r="AW901" s="2509"/>
      <c r="BE901" s="2173"/>
      <c r="BF901" s="2173"/>
      <c r="BG901" s="2173"/>
      <c r="BH901" s="2173"/>
      <c r="BI901" s="2173"/>
      <c r="BJ901" s="2173"/>
      <c r="BK901" s="2173"/>
      <c r="BO901" s="209"/>
      <c r="CH901" s="901"/>
      <c r="CI901" s="9"/>
      <c r="CJ901" s="9"/>
    </row>
    <row r="902" spans="1:208" s="11" customFormat="1">
      <c r="A902" s="774"/>
      <c r="B902" s="3761" t="s">
        <v>954</v>
      </c>
      <c r="C902" s="197">
        <v>7120016</v>
      </c>
      <c r="D902" s="200" t="s">
        <v>2051</v>
      </c>
      <c r="E902" s="42">
        <f>IFERROR(VLOOKUP(C902,'AJE 12 - INC'!$D$168:$F$771,3,0),0)</f>
        <v>3000</v>
      </c>
      <c r="F902" s="108">
        <f>SUMIF('AJE 12 - INC'!B:B,'New TB INC'!C902,'AJE 12 - INC'!D:D)</f>
        <v>0</v>
      </c>
      <c r="G902" s="108"/>
      <c r="H902" s="108"/>
      <c r="I902" s="108"/>
      <c r="J902" s="859">
        <f>SUM(E902:I902)</f>
        <v>3000</v>
      </c>
      <c r="K902" s="4501"/>
      <c r="L902" s="434"/>
      <c r="M902" s="810"/>
      <c r="N902" s="11">
        <v>0</v>
      </c>
      <c r="O902" s="11">
        <v>0</v>
      </c>
      <c r="P902" s="11">
        <v>116</v>
      </c>
      <c r="Q902" s="11">
        <v>0</v>
      </c>
      <c r="R902" s="773">
        <v>0</v>
      </c>
      <c r="S902" s="11">
        <v>0</v>
      </c>
      <c r="T902" s="773">
        <v>0</v>
      </c>
      <c r="U902" s="2173">
        <v>0</v>
      </c>
      <c r="V902" s="2509">
        <v>0</v>
      </c>
      <c r="W902" s="2509">
        <v>0</v>
      </c>
      <c r="X902" s="2509">
        <v>0</v>
      </c>
      <c r="Y902" s="2509">
        <v>0</v>
      </c>
      <c r="Z902" s="11">
        <f>'[26]New TB INC'!Z867</f>
        <v>0</v>
      </c>
      <c r="AA902" s="11">
        <f>'[27]New TB INC'!AA872</f>
        <v>0</v>
      </c>
      <c r="AB902" s="11">
        <f>'[28]New TB INC'!AB881</f>
        <v>0</v>
      </c>
      <c r="AC902" s="11">
        <f>'[29]New TB INC'!AC882</f>
        <v>0</v>
      </c>
      <c r="AD902" s="11">
        <f>'[150]New TB INC'!AD880</f>
        <v>0</v>
      </c>
      <c r="AE902" s="11">
        <f>'[150]New TB INC'!AE880</f>
        <v>0</v>
      </c>
      <c r="AF902" s="11">
        <v>0</v>
      </c>
      <c r="AG902" s="11">
        <v>0</v>
      </c>
      <c r="AH902" s="11">
        <v>0</v>
      </c>
      <c r="AI902" s="11">
        <v>0</v>
      </c>
      <c r="AJ902" s="11">
        <v>0</v>
      </c>
      <c r="AK902" s="11">
        <f>$J902-SUM($Z902:AJ902)</f>
        <v>3000</v>
      </c>
      <c r="AW902" s="2509"/>
      <c r="BE902" s="2173"/>
      <c r="BF902" s="2173"/>
      <c r="BG902" s="2173"/>
      <c r="BH902" s="2173"/>
      <c r="BI902" s="2173"/>
      <c r="BJ902" s="2173"/>
      <c r="BK902" s="2173"/>
      <c r="BL902" s="773"/>
      <c r="BN902" s="773"/>
      <c r="BO902" s="209"/>
      <c r="CH902" s="878"/>
      <c r="CI902" s="4"/>
      <c r="CJ902" s="4"/>
      <c r="DB902" s="773"/>
      <c r="DC902" s="773"/>
      <c r="DD902" s="773"/>
      <c r="DE902" s="773"/>
      <c r="DF902" s="773"/>
      <c r="DG902" s="773"/>
      <c r="DH902" s="773"/>
      <c r="DI902" s="773"/>
      <c r="DJ902" s="773"/>
      <c r="DK902" s="773"/>
      <c r="DL902" s="773"/>
      <c r="DM902" s="773"/>
      <c r="DN902" s="773"/>
      <c r="DO902" s="773"/>
      <c r="DP902" s="773"/>
      <c r="DQ902" s="773"/>
      <c r="DR902" s="773"/>
      <c r="DS902" s="773"/>
      <c r="DT902" s="773"/>
      <c r="DU902" s="773"/>
      <c r="DV902" s="773"/>
      <c r="DW902" s="773"/>
      <c r="DX902" s="773"/>
      <c r="DY902" s="773"/>
      <c r="DZ902" s="773"/>
      <c r="EA902" s="773"/>
      <c r="EB902" s="773"/>
      <c r="EC902" s="773"/>
      <c r="ED902" s="773"/>
      <c r="EE902" s="773"/>
      <c r="EF902" s="773"/>
      <c r="EG902" s="773"/>
      <c r="EH902" s="773"/>
      <c r="EI902" s="773"/>
      <c r="EJ902" s="773"/>
      <c r="EK902" s="773"/>
      <c r="EL902" s="773"/>
      <c r="EM902" s="773"/>
      <c r="EN902" s="773"/>
      <c r="EO902" s="773"/>
      <c r="EP902" s="773"/>
      <c r="EQ902" s="773"/>
      <c r="ER902" s="773"/>
      <c r="ES902" s="773"/>
      <c r="ET902" s="773"/>
      <c r="EU902" s="773"/>
      <c r="EV902" s="773"/>
      <c r="EW902" s="773"/>
      <c r="EX902" s="773"/>
      <c r="EY902" s="773"/>
      <c r="EZ902" s="773"/>
      <c r="FA902" s="773"/>
      <c r="FB902" s="773"/>
      <c r="FC902" s="773"/>
      <c r="FD902" s="773"/>
      <c r="FE902" s="773"/>
      <c r="FF902" s="773"/>
      <c r="FG902" s="773"/>
      <c r="FH902" s="773"/>
      <c r="FI902" s="773"/>
      <c r="FJ902" s="773"/>
      <c r="FK902" s="773"/>
      <c r="FL902" s="773"/>
      <c r="FM902" s="773"/>
      <c r="FN902" s="773"/>
      <c r="FO902" s="773"/>
      <c r="FP902" s="773"/>
      <c r="FQ902" s="773"/>
      <c r="FR902" s="773"/>
      <c r="FS902" s="773"/>
      <c r="FT902" s="773"/>
      <c r="FU902" s="773"/>
      <c r="FV902" s="773"/>
      <c r="FW902" s="773"/>
      <c r="FX902" s="773"/>
      <c r="FY902" s="773"/>
      <c r="FZ902" s="773"/>
      <c r="GA902" s="773"/>
      <c r="GB902" s="773"/>
      <c r="GC902" s="773"/>
      <c r="GD902" s="773"/>
      <c r="GE902" s="773"/>
      <c r="GF902" s="773"/>
      <c r="GG902" s="773"/>
      <c r="GH902" s="773"/>
      <c r="GI902" s="773"/>
      <c r="GJ902" s="773"/>
      <c r="GK902" s="773"/>
      <c r="GL902" s="773"/>
      <c r="GM902" s="773"/>
      <c r="GN902" s="773"/>
      <c r="GO902" s="773"/>
      <c r="GP902" s="773"/>
      <c r="GQ902" s="773"/>
      <c r="GR902" s="773"/>
      <c r="GS902" s="773"/>
      <c r="GT902" s="773"/>
      <c r="GU902" s="773"/>
      <c r="GV902" s="773"/>
      <c r="GW902" s="773"/>
      <c r="GX902" s="773"/>
      <c r="GY902" s="773"/>
      <c r="GZ902" s="773"/>
    </row>
    <row r="903" spans="1:208" s="773" customFormat="1" ht="12.6" customHeight="1">
      <c r="A903" s="774"/>
      <c r="B903" s="3790" t="s">
        <v>954</v>
      </c>
      <c r="C903" s="197">
        <v>7170005</v>
      </c>
      <c r="D903" s="200" t="s">
        <v>544</v>
      </c>
      <c r="E903" s="798">
        <f>IFERROR(VLOOKUP(C903,'AJE 12 - INC'!$D$168:$F$771,3,0),0)</f>
        <v>0</v>
      </c>
      <c r="F903" s="108">
        <f>SUMIF('AJE 12 - INC'!B:B,'New TB INC'!C903,'AJE 12 - INC'!D:D)</f>
        <v>0</v>
      </c>
      <c r="G903" s="108"/>
      <c r="H903" s="108"/>
      <c r="I903" s="108"/>
      <c r="J903" s="859">
        <f t="shared" si="91"/>
        <v>0</v>
      </c>
      <c r="K903" s="4501"/>
      <c r="L903" s="434"/>
      <c r="M903" s="810"/>
      <c r="N903" s="11">
        <v>0</v>
      </c>
      <c r="O903" s="11">
        <v>0</v>
      </c>
      <c r="P903" s="11">
        <v>0</v>
      </c>
      <c r="Q903" s="11">
        <v>0</v>
      </c>
      <c r="R903" s="773">
        <v>0</v>
      </c>
      <c r="S903" s="11">
        <v>0</v>
      </c>
      <c r="T903" s="773">
        <v>0</v>
      </c>
      <c r="U903" s="2173">
        <v>0</v>
      </c>
      <c r="V903" s="2509">
        <v>0</v>
      </c>
      <c r="W903" s="2509">
        <v>0</v>
      </c>
      <c r="X903" s="2509">
        <v>0</v>
      </c>
      <c r="Y903" s="2509">
        <v>0</v>
      </c>
      <c r="Z903" s="11">
        <f>'[26]New TB INC'!Z844</f>
        <v>0</v>
      </c>
      <c r="AA903" s="11">
        <f>'[27]New TB INC'!AA851</f>
        <v>0</v>
      </c>
      <c r="AB903" s="11">
        <f>'[28]New TB INC'!AB860</f>
        <v>0</v>
      </c>
      <c r="AC903" s="11">
        <f>'[29]New TB INC'!AC861</f>
        <v>0</v>
      </c>
      <c r="AD903" s="11">
        <f>'[30]New TB INC'!AD849</f>
        <v>0</v>
      </c>
      <c r="AE903" s="11">
        <f>'[31]New TB INC'!AE858</f>
        <v>0</v>
      </c>
      <c r="AF903" s="11">
        <v>0</v>
      </c>
      <c r="AG903" s="11">
        <v>0</v>
      </c>
      <c r="AH903" s="11">
        <v>0</v>
      </c>
      <c r="AI903" s="11">
        <v>0</v>
      </c>
      <c r="AJ903" s="11">
        <v>0</v>
      </c>
      <c r="AK903" s="11">
        <f>$J903-SUM($Z903:AJ903)</f>
        <v>0</v>
      </c>
      <c r="AL903" s="11"/>
      <c r="AM903" s="11"/>
      <c r="AW903" s="2509"/>
      <c r="BE903" s="2173"/>
      <c r="BF903" s="2173"/>
      <c r="BG903" s="2173"/>
      <c r="BH903" s="2173"/>
      <c r="BI903" s="2173"/>
      <c r="BJ903" s="2173"/>
      <c r="BK903" s="2173"/>
      <c r="BO903" s="209"/>
      <c r="CH903" s="901"/>
      <c r="CI903" s="9"/>
      <c r="CJ903" s="9"/>
    </row>
    <row r="904" spans="1:208" s="773" customFormat="1" ht="12.6" customHeight="1">
      <c r="A904" s="774"/>
      <c r="B904" s="3790" t="s">
        <v>954</v>
      </c>
      <c r="C904" s="197">
        <v>7170006</v>
      </c>
      <c r="D904" s="200" t="s">
        <v>958</v>
      </c>
      <c r="E904" s="798">
        <f>IFERROR(VLOOKUP(C904,'AJE 12 - INC'!$D$168:$F$771,3,0),0)</f>
        <v>52607.4</v>
      </c>
      <c r="F904" s="108">
        <f>SUMIF('AJE 12 - INC'!B:B,'New TB INC'!C904,'AJE 12 - INC'!D:D)</f>
        <v>0</v>
      </c>
      <c r="G904" s="108"/>
      <c r="H904" s="108"/>
      <c r="I904" s="108"/>
      <c r="J904" s="859">
        <f t="shared" si="91"/>
        <v>52607.4</v>
      </c>
      <c r="K904" s="4501"/>
      <c r="L904" s="434"/>
      <c r="M904" s="810"/>
      <c r="N904" s="11">
        <v>1756.07</v>
      </c>
      <c r="O904" s="11">
        <v>1756.07</v>
      </c>
      <c r="P904" s="11">
        <v>1642.2700000000002</v>
      </c>
      <c r="Q904" s="11">
        <v>2780.3100000000004</v>
      </c>
      <c r="R904" s="773">
        <v>3967.3599999999997</v>
      </c>
      <c r="S904" s="11">
        <v>3967.3600000000006</v>
      </c>
      <c r="T904" s="773">
        <v>3967.3599999999979</v>
      </c>
      <c r="U904" s="2173">
        <v>3967.3600000000006</v>
      </c>
      <c r="V904" s="2509">
        <v>3967.3600000000006</v>
      </c>
      <c r="W904" s="2509">
        <v>3967.3600000000006</v>
      </c>
      <c r="X904" s="2509">
        <v>3967.3599999999969</v>
      </c>
      <c r="Y904" s="2509">
        <v>3967.3600000000006</v>
      </c>
      <c r="Z904" s="11">
        <f>'[26]New TB INC'!Z845</f>
        <v>4383.95</v>
      </c>
      <c r="AA904" s="11">
        <f>'[27]New TB INC'!AA852</f>
        <v>4383.95</v>
      </c>
      <c r="AB904" s="11">
        <f>'[28]New TB INC'!AB861</f>
        <v>4383.9500000000007</v>
      </c>
      <c r="AC904" s="11">
        <f>'[29]New TB INC'!AC862</f>
        <v>4383.9499999999989</v>
      </c>
      <c r="AD904" s="11">
        <f>'[30]New TB INC'!AD850</f>
        <v>4383.9500000000007</v>
      </c>
      <c r="AE904" s="11">
        <f>'[31]New TB INC'!AE859</f>
        <v>4383.9500000000007</v>
      </c>
      <c r="AF904" s="11">
        <v>4383.9500000000007</v>
      </c>
      <c r="AG904" s="11">
        <v>4383.9499999999971</v>
      </c>
      <c r="AH904" s="11">
        <v>4383.9500000000044</v>
      </c>
      <c r="AI904" s="11">
        <v>4383.9499999999971</v>
      </c>
      <c r="AJ904" s="11">
        <v>4383.9499999999971</v>
      </c>
      <c r="AK904" s="11">
        <f>$J904-SUM($Z904:AJ904)</f>
        <v>4383.9500000000044</v>
      </c>
      <c r="AL904" s="11"/>
      <c r="AM904" s="11"/>
      <c r="AW904" s="2509"/>
      <c r="BE904" s="2173"/>
      <c r="BF904" s="2173"/>
      <c r="BG904" s="2173"/>
      <c r="BH904" s="2173"/>
      <c r="BI904" s="2173"/>
      <c r="BJ904" s="2173"/>
      <c r="BK904" s="2173"/>
      <c r="BO904" s="209"/>
      <c r="CH904" s="901"/>
      <c r="CI904" s="9"/>
      <c r="CJ904" s="9"/>
    </row>
    <row r="905" spans="1:208" s="773" customFormat="1" ht="12.6" customHeight="1">
      <c r="A905" s="774"/>
      <c r="B905" s="3790" t="s">
        <v>954</v>
      </c>
      <c r="C905" s="197">
        <v>7170008</v>
      </c>
      <c r="D905" s="200" t="s">
        <v>1427</v>
      </c>
      <c r="E905" s="798">
        <f>IFERROR(VLOOKUP(C905,'AJE 12 - INC'!$D$168:$F$771,3,0),0)</f>
        <v>-5440</v>
      </c>
      <c r="F905" s="108">
        <f>SUMIF('AJE 12 - INC'!B:B,'New TB INC'!C905,'AJE 12 - INC'!D:D)</f>
        <v>0</v>
      </c>
      <c r="G905" s="108"/>
      <c r="H905" s="108"/>
      <c r="I905" s="108"/>
      <c r="J905" s="859">
        <f t="shared" si="91"/>
        <v>-5440</v>
      </c>
      <c r="K905" s="4501"/>
      <c r="L905" s="434"/>
      <c r="M905" s="810"/>
      <c r="N905" s="11">
        <v>20000</v>
      </c>
      <c r="O905" s="11">
        <v>0</v>
      </c>
      <c r="P905" s="11">
        <v>0</v>
      </c>
      <c r="Q905" s="11">
        <v>0</v>
      </c>
      <c r="R905" s="773">
        <v>0</v>
      </c>
      <c r="S905" s="11">
        <v>0</v>
      </c>
      <c r="T905" s="773">
        <v>1500</v>
      </c>
      <c r="U905" s="2173">
        <v>0</v>
      </c>
      <c r="V905" s="2509">
        <v>0</v>
      </c>
      <c r="W905" s="2509">
        <v>0</v>
      </c>
      <c r="X905" s="2509">
        <v>0</v>
      </c>
      <c r="Y905" s="2509">
        <v>68000</v>
      </c>
      <c r="Z905" s="11">
        <f>'[26]New TB INC'!Z846</f>
        <v>41000</v>
      </c>
      <c r="AA905" s="11">
        <f>'[27]New TB INC'!AA853</f>
        <v>-44280</v>
      </c>
      <c r="AB905" s="11">
        <f>'[28]New TB INC'!AB862</f>
        <v>-2160</v>
      </c>
      <c r="AC905" s="11">
        <f>'[29]New TB INC'!AC863</f>
        <v>0</v>
      </c>
      <c r="AD905" s="11">
        <f>'[30]New TB INC'!AD851</f>
        <v>0</v>
      </c>
      <c r="AE905" s="11">
        <f>'[31]New TB INC'!AE860</f>
        <v>0</v>
      </c>
      <c r="AF905" s="11">
        <v>0</v>
      </c>
      <c r="AG905" s="11">
        <v>0</v>
      </c>
      <c r="AH905" s="11">
        <v>0</v>
      </c>
      <c r="AI905" s="11">
        <v>0</v>
      </c>
      <c r="AJ905" s="11">
        <v>0</v>
      </c>
      <c r="AK905" s="11">
        <f>$J905-SUM($Z905:AJ905)</f>
        <v>0</v>
      </c>
      <c r="AL905" s="11"/>
      <c r="AM905" s="11"/>
      <c r="AV905" s="773" t="s">
        <v>3270</v>
      </c>
      <c r="AW905" s="2509"/>
      <c r="BE905" s="2173"/>
      <c r="BF905" s="2173"/>
      <c r="BG905" s="2173"/>
      <c r="BH905" s="2173"/>
      <c r="BI905" s="2173"/>
      <c r="BJ905" s="2173"/>
      <c r="BK905" s="2173"/>
      <c r="BO905" s="209"/>
      <c r="CH905" s="901"/>
      <c r="CI905" s="9"/>
      <c r="CJ905" s="9"/>
    </row>
    <row r="906" spans="1:208" s="773" customFormat="1" ht="12.6" customHeight="1">
      <c r="A906" s="774"/>
      <c r="B906" s="3790" t="s">
        <v>954</v>
      </c>
      <c r="C906" s="197">
        <v>7170009</v>
      </c>
      <c r="D906" s="200" t="s">
        <v>1904</v>
      </c>
      <c r="E906" s="798">
        <f>IFERROR(VLOOKUP(C906,'AJE 12 - INC'!$D$168:$F$771,3,0),0)</f>
        <v>0</v>
      </c>
      <c r="F906" s="108">
        <f>SUMIF('AJE 12 - INC'!B:B,'New TB INC'!C906,'AJE 12 - INC'!D:D)</f>
        <v>0</v>
      </c>
      <c r="G906" s="108"/>
      <c r="H906" s="108"/>
      <c r="I906" s="108"/>
      <c r="J906" s="859">
        <f t="shared" si="91"/>
        <v>0</v>
      </c>
      <c r="K906" s="4501"/>
      <c r="L906" s="434"/>
      <c r="M906" s="810"/>
      <c r="N906" s="11">
        <v>0</v>
      </c>
      <c r="O906" s="11">
        <v>0</v>
      </c>
      <c r="P906" s="11">
        <v>0</v>
      </c>
      <c r="Q906" s="11">
        <v>0</v>
      </c>
      <c r="R906" s="773">
        <v>0</v>
      </c>
      <c r="S906" s="11">
        <v>0</v>
      </c>
      <c r="T906" s="773">
        <v>0</v>
      </c>
      <c r="U906" s="2173">
        <v>0</v>
      </c>
      <c r="V906" s="2509">
        <v>0</v>
      </c>
      <c r="W906" s="2509">
        <v>0</v>
      </c>
      <c r="X906" s="2509">
        <v>0</v>
      </c>
      <c r="Y906" s="2509">
        <v>0</v>
      </c>
      <c r="Z906" s="11">
        <f>'[26]New TB INC'!Z847</f>
        <v>0</v>
      </c>
      <c r="AA906" s="11">
        <f>'[27]New TB INC'!AA854</f>
        <v>0</v>
      </c>
      <c r="AB906" s="11">
        <f>'[28]New TB INC'!AB863</f>
        <v>0</v>
      </c>
      <c r="AC906" s="11">
        <f>'[29]New TB INC'!AC864</f>
        <v>0</v>
      </c>
      <c r="AD906" s="11">
        <f>'[30]New TB INC'!AD852</f>
        <v>0</v>
      </c>
      <c r="AE906" s="11">
        <f>'[31]New TB INC'!AE861</f>
        <v>0</v>
      </c>
      <c r="AF906" s="11">
        <v>0</v>
      </c>
      <c r="AG906" s="11">
        <v>0</v>
      </c>
      <c r="AH906" s="11">
        <v>0</v>
      </c>
      <c r="AI906" s="11">
        <v>0</v>
      </c>
      <c r="AJ906" s="11">
        <v>0</v>
      </c>
      <c r="AK906" s="11">
        <f>$J906-SUM($Z906:AJ906)</f>
        <v>0</v>
      </c>
      <c r="AL906" s="11"/>
      <c r="AM906" s="11"/>
      <c r="AW906" s="2509"/>
      <c r="BE906" s="2173"/>
      <c r="BF906" s="2173"/>
      <c r="BG906" s="2173"/>
      <c r="BH906" s="2173"/>
      <c r="BI906" s="2173"/>
      <c r="BJ906" s="2173"/>
      <c r="BK906" s="2173"/>
      <c r="BO906" s="209"/>
      <c r="CH906" s="901"/>
      <c r="CI906" s="9"/>
      <c r="CJ906" s="9"/>
    </row>
    <row r="907" spans="1:208" s="773" customFormat="1" ht="12.95" customHeight="1" thickBot="1">
      <c r="A907" s="774"/>
      <c r="B907" s="3791" t="s">
        <v>954</v>
      </c>
      <c r="C907" s="2889">
        <v>7170007</v>
      </c>
      <c r="D907" s="2918" t="s">
        <v>959</v>
      </c>
      <c r="E907" s="2891">
        <f>IFERROR(VLOOKUP(C907,'AJE 12 - INC'!$D$168:$F$771,3,0),0)</f>
        <v>3010.92</v>
      </c>
      <c r="F907" s="2892">
        <f>SUMIF('AJE 12 - INC'!B:B,'New TB INC'!C907,'AJE 12 - INC'!D:D)</f>
        <v>0</v>
      </c>
      <c r="G907" s="2892"/>
      <c r="H907" s="2892"/>
      <c r="I907" s="2892"/>
      <c r="J907" s="4231">
        <f t="shared" si="91"/>
        <v>3010.92</v>
      </c>
      <c r="K907" s="4502"/>
      <c r="L907" s="434"/>
      <c r="M907" s="810"/>
      <c r="N907" s="11">
        <v>102.3</v>
      </c>
      <c r="O907" s="11">
        <v>102.3</v>
      </c>
      <c r="P907" s="11">
        <v>102.29999999999997</v>
      </c>
      <c r="Q907" s="11">
        <v>166.20000000000005</v>
      </c>
      <c r="R907" s="773">
        <v>134.25</v>
      </c>
      <c r="S907" s="11">
        <v>134.25000000000011</v>
      </c>
      <c r="T907" s="773">
        <v>69.12</v>
      </c>
      <c r="U907" s="2173">
        <v>134.24999999999989</v>
      </c>
      <c r="V907" s="2509">
        <v>645.75</v>
      </c>
      <c r="W907" s="2509">
        <v>236.54999999999995</v>
      </c>
      <c r="X907" s="2509">
        <v>236.55000000000018</v>
      </c>
      <c r="Y907" s="2509">
        <v>236.54999999999973</v>
      </c>
      <c r="Z907" s="11">
        <f>'[26]New TB INC'!Z848</f>
        <v>250.91</v>
      </c>
      <c r="AA907" s="11">
        <f>'[27]New TB INC'!AA855</f>
        <v>250.91</v>
      </c>
      <c r="AB907" s="11">
        <f>'[28]New TB INC'!AB864</f>
        <v>250.91000000000003</v>
      </c>
      <c r="AC907" s="11">
        <f>'[29]New TB INC'!AC865</f>
        <v>250.90999999999997</v>
      </c>
      <c r="AD907" s="11">
        <f>'[30]New TB INC'!AD853</f>
        <v>250.90999999999997</v>
      </c>
      <c r="AE907" s="11">
        <f>'[31]New TB INC'!AE862</f>
        <v>250.91000000000008</v>
      </c>
      <c r="AF907" s="11">
        <v>250.90999999999985</v>
      </c>
      <c r="AG907" s="11">
        <v>250.91000000000008</v>
      </c>
      <c r="AH907" s="11">
        <v>250.91000000000008</v>
      </c>
      <c r="AI907" s="11">
        <v>250.90999999999985</v>
      </c>
      <c r="AJ907" s="11">
        <v>250.91000000000031</v>
      </c>
      <c r="AK907" s="11">
        <f>$J907-SUM($Z907:AJ907)</f>
        <v>250.90999999999985</v>
      </c>
      <c r="AL907" s="11"/>
      <c r="AM907" s="11"/>
      <c r="AW907" s="2509"/>
      <c r="BE907" s="2173"/>
      <c r="BF907" s="2173"/>
      <c r="BG907" s="2173"/>
      <c r="BH907" s="2173"/>
      <c r="BI907" s="2173"/>
      <c r="BJ907" s="2173"/>
      <c r="BK907" s="2173"/>
      <c r="BO907" s="209"/>
      <c r="CH907" s="901"/>
      <c r="CI907" s="9"/>
      <c r="CJ907" s="9"/>
    </row>
    <row r="908" spans="1:208" s="773" customFormat="1" ht="12.6" customHeight="1">
      <c r="A908" s="774"/>
      <c r="B908" s="3789" t="s">
        <v>954</v>
      </c>
      <c r="C908" s="2885" t="s">
        <v>1697</v>
      </c>
      <c r="D908" s="2919" t="s">
        <v>1698</v>
      </c>
      <c r="E908" s="2887">
        <f>IFERROR(VLOOKUP(C908,'AJE 12 - INC'!$D$168:$F$771,3,0),0)</f>
        <v>179576.77</v>
      </c>
      <c r="F908" s="899">
        <f>SUMIF('AJE 12 - INC'!B:B,'New TB INC'!C908,'AJE 12 - INC'!D:D)</f>
        <v>0</v>
      </c>
      <c r="G908" s="899"/>
      <c r="H908" s="899"/>
      <c r="I908" s="899"/>
      <c r="J908" s="2888">
        <f t="shared" si="91"/>
        <v>179576.77</v>
      </c>
      <c r="K908" s="4500" t="s">
        <v>3357</v>
      </c>
      <c r="L908" s="434"/>
      <c r="M908" s="810"/>
      <c r="N908" s="773">
        <v>13132.9</v>
      </c>
      <c r="O908" s="773">
        <v>13778.750000000002</v>
      </c>
      <c r="P908" s="773">
        <v>13139.999999999998</v>
      </c>
      <c r="Q908" s="773">
        <v>13140.000000000002</v>
      </c>
      <c r="R908" s="773">
        <v>13231.249999999991</v>
      </c>
      <c r="S908" s="11">
        <v>13505.000000000009</v>
      </c>
      <c r="T908" s="773">
        <v>13596.249999999998</v>
      </c>
      <c r="U908" s="2173">
        <v>13961.249999999985</v>
      </c>
      <c r="V908" s="2509">
        <v>13778.75</v>
      </c>
      <c r="W908" s="2509">
        <v>13778.75</v>
      </c>
      <c r="X908" s="2509">
        <v>14052.5</v>
      </c>
      <c r="Y908" s="2509">
        <v>14332.330000000016</v>
      </c>
      <c r="Z908" s="11">
        <f>'[26]New TB INC'!Z850</f>
        <v>14290.19</v>
      </c>
      <c r="AA908" s="11">
        <f>'[27]New TB INC'!AA857</f>
        <v>14898.47</v>
      </c>
      <c r="AB908" s="11">
        <f>'[28]New TB INC'!AB866</f>
        <v>14877.02</v>
      </c>
      <c r="AC908" s="11">
        <f>'[29]New TB INC'!AC867</f>
        <v>15019.730000000003</v>
      </c>
      <c r="AD908" s="11">
        <f>'[30]New TB INC'!AD854</f>
        <v>15514.550000000003</v>
      </c>
      <c r="AE908" s="11">
        <f>'[31]New TB INC'!AE863</f>
        <v>15366.169999999998</v>
      </c>
      <c r="AF908" s="11">
        <v>14967.539999999994</v>
      </c>
      <c r="AG908" s="11">
        <v>14971.009999999995</v>
      </c>
      <c r="AH908" s="11">
        <v>14833.410000000003</v>
      </c>
      <c r="AI908" s="11">
        <v>15223.75</v>
      </c>
      <c r="AJ908" s="11">
        <v>14866.619999999995</v>
      </c>
      <c r="AK908" s="11">
        <f>$J908-SUM($Z908:AJ908)</f>
        <v>14748.309999999998</v>
      </c>
      <c r="AL908" s="11"/>
      <c r="AM908" s="11"/>
      <c r="AW908" s="2509"/>
      <c r="BE908" s="2173"/>
      <c r="BF908" s="2173"/>
      <c r="BG908" s="2173"/>
      <c r="BH908" s="2173"/>
      <c r="BI908" s="2173"/>
      <c r="BJ908" s="2173"/>
      <c r="BK908" s="2173"/>
      <c r="BO908" s="209"/>
      <c r="CH908" s="901"/>
      <c r="CI908" s="9"/>
      <c r="CJ908" s="9"/>
    </row>
    <row r="909" spans="1:208" s="773" customFormat="1" ht="12.6" customHeight="1">
      <c r="A909" s="774"/>
      <c r="B909" s="3790" t="s">
        <v>954</v>
      </c>
      <c r="C909" s="197" t="s">
        <v>1699</v>
      </c>
      <c r="D909" s="200" t="s">
        <v>1700</v>
      </c>
      <c r="E909" s="798">
        <f>IFERROR(VLOOKUP(C909,'AJE 12 - INC'!$D$168:$F$771,3,0),0)</f>
        <v>3459.85</v>
      </c>
      <c r="F909" s="108">
        <f>SUMIF('AJE 12 - INC'!B:B,'New TB INC'!C909,'AJE 12 - INC'!D:D)</f>
        <v>0</v>
      </c>
      <c r="G909" s="108"/>
      <c r="H909" s="108"/>
      <c r="I909" s="108"/>
      <c r="J909" s="859">
        <f t="shared" si="91"/>
        <v>3459.85</v>
      </c>
      <c r="K909" s="4501"/>
      <c r="L909" s="434"/>
      <c r="M909" s="810"/>
      <c r="N909" s="11">
        <v>3120.67</v>
      </c>
      <c r="O909" s="11">
        <v>0</v>
      </c>
      <c r="P909" s="11">
        <v>0</v>
      </c>
      <c r="Q909" s="11">
        <v>0</v>
      </c>
      <c r="R909" s="773">
        <v>0</v>
      </c>
      <c r="S909" s="11">
        <v>0</v>
      </c>
      <c r="T909" s="773">
        <v>0</v>
      </c>
      <c r="U909" s="2173">
        <v>0</v>
      </c>
      <c r="V909" s="2509">
        <v>0</v>
      </c>
      <c r="W909" s="2509">
        <v>0</v>
      </c>
      <c r="X909" s="2509">
        <v>0</v>
      </c>
      <c r="Y909" s="2509">
        <v>0</v>
      </c>
      <c r="Z909" s="11">
        <f>'[26]New TB INC'!Z851</f>
        <v>2323.7399999999998</v>
      </c>
      <c r="AA909" s="11">
        <f>'[27]New TB INC'!AA858</f>
        <v>1136.1100000000001</v>
      </c>
      <c r="AB909" s="11">
        <f>'[28]New TB INC'!AB867</f>
        <v>0</v>
      </c>
      <c r="AC909" s="11">
        <f>'[29]New TB INC'!AC868</f>
        <v>0</v>
      </c>
      <c r="AD909" s="11">
        <f>'[30]New TB INC'!AD855</f>
        <v>0</v>
      </c>
      <c r="AE909" s="11">
        <f>'[31]New TB INC'!AE864</f>
        <v>0</v>
      </c>
      <c r="AF909" s="11">
        <v>0</v>
      </c>
      <c r="AG909" s="11">
        <v>0</v>
      </c>
      <c r="AH909" s="11">
        <v>0</v>
      </c>
      <c r="AI909" s="11">
        <v>0</v>
      </c>
      <c r="AJ909" s="11">
        <v>0</v>
      </c>
      <c r="AK909" s="11">
        <f>$J909-SUM($Z909:AJ909)</f>
        <v>0</v>
      </c>
      <c r="AL909" s="11"/>
      <c r="AM909" s="11"/>
      <c r="AW909" s="2509"/>
      <c r="BE909" s="2173"/>
      <c r="BF909" s="2173"/>
      <c r="BG909" s="2173"/>
      <c r="BH909" s="2173"/>
      <c r="BI909" s="2173"/>
      <c r="BJ909" s="2173"/>
      <c r="BK909" s="2173"/>
      <c r="BO909" s="209"/>
      <c r="BP909" s="209"/>
      <c r="CH909" s="901"/>
      <c r="CI909" s="9"/>
      <c r="CJ909" s="9"/>
    </row>
    <row r="910" spans="1:208" s="773" customFormat="1" ht="12.6" customHeight="1">
      <c r="A910" s="774"/>
      <c r="B910" s="3790" t="s">
        <v>954</v>
      </c>
      <c r="C910" s="197" t="s">
        <v>1749</v>
      </c>
      <c r="D910" s="200" t="s">
        <v>1750</v>
      </c>
      <c r="E910" s="798">
        <f>IFERROR(VLOOKUP(C910,'AJE 12 - INC'!$D$168:$F$771,3,0),0)</f>
        <v>6258.56</v>
      </c>
      <c r="F910" s="108">
        <f>SUMIF('AJE 12 - INC'!B:B,'New TB INC'!C910,'AJE 12 - INC'!D:D)</f>
        <v>0</v>
      </c>
      <c r="G910" s="108"/>
      <c r="H910" s="108"/>
      <c r="I910" s="108"/>
      <c r="J910" s="859">
        <f t="shared" si="91"/>
        <v>6258.56</v>
      </c>
      <c r="K910" s="4501"/>
      <c r="L910" s="434"/>
      <c r="M910" s="810"/>
      <c r="N910" s="11">
        <v>0</v>
      </c>
      <c r="O910" s="11">
        <v>868</v>
      </c>
      <c r="P910" s="11">
        <v>434</v>
      </c>
      <c r="Q910" s="11">
        <v>434</v>
      </c>
      <c r="R910" s="773">
        <v>434</v>
      </c>
      <c r="S910" s="11">
        <v>434</v>
      </c>
      <c r="T910" s="773">
        <v>434</v>
      </c>
      <c r="U910" s="2173">
        <v>434</v>
      </c>
      <c r="V910" s="2509">
        <v>528.27</v>
      </c>
      <c r="W910" s="2509">
        <v>434.00000000000045</v>
      </c>
      <c r="X910" s="2509">
        <v>434</v>
      </c>
      <c r="Y910" s="2509">
        <v>-4868.2700000000004</v>
      </c>
      <c r="Z910" s="11">
        <f>'[26]New TB INC'!Z852</f>
        <v>434</v>
      </c>
      <c r="AA910" s="11">
        <f>'[27]New TB INC'!AA859</f>
        <v>458.55999999999995</v>
      </c>
      <c r="AB910" s="11">
        <f>'[28]New TB INC'!AB868</f>
        <v>515</v>
      </c>
      <c r="AC910" s="11">
        <f>'[29]New TB INC'!AC869</f>
        <v>461</v>
      </c>
      <c r="AD910" s="11">
        <f>'[30]New TB INC'!AD856</f>
        <v>461</v>
      </c>
      <c r="AE910" s="11">
        <f>'[31]New TB INC'!AE865</f>
        <v>461</v>
      </c>
      <c r="AF910" s="11">
        <v>461</v>
      </c>
      <c r="AG910" s="11">
        <v>461</v>
      </c>
      <c r="AH910" s="11">
        <v>461.00000000000045</v>
      </c>
      <c r="AI910" s="11">
        <v>461</v>
      </c>
      <c r="AJ910" s="11">
        <v>461</v>
      </c>
      <c r="AK910" s="11">
        <f>$J910-SUM($Z910:AJ910)</f>
        <v>1163</v>
      </c>
      <c r="AL910" s="11"/>
      <c r="AM910" s="11"/>
      <c r="AW910" s="2509"/>
      <c r="BE910" s="2173"/>
      <c r="BF910" s="2173"/>
      <c r="BG910" s="2173"/>
      <c r="BH910" s="2173"/>
      <c r="BI910" s="2173"/>
      <c r="BJ910" s="2173"/>
      <c r="BK910" s="2173"/>
      <c r="BO910" s="209"/>
      <c r="BP910" s="209"/>
      <c r="CH910" s="901"/>
      <c r="CI910" s="9"/>
      <c r="CJ910" s="9"/>
    </row>
    <row r="911" spans="1:208" s="773" customFormat="1" ht="12.6" customHeight="1">
      <c r="A911" s="774"/>
      <c r="B911" s="3790" t="s">
        <v>954</v>
      </c>
      <c r="C911" s="197" t="s">
        <v>1701</v>
      </c>
      <c r="D911" s="2522" t="s">
        <v>1702</v>
      </c>
      <c r="E911" s="798">
        <f>IFERROR(VLOOKUP(C911,'AJE 12 - INC'!$D$168:$F$771,3,0),0)</f>
        <v>110587.54</v>
      </c>
      <c r="F911" s="108">
        <f>SUMIF('AJE 12 - INC'!B:B,'New TB INC'!C911,'AJE 12 - INC'!D:D)</f>
        <v>0</v>
      </c>
      <c r="G911" s="108"/>
      <c r="H911" s="108"/>
      <c r="I911" s="108"/>
      <c r="J911" s="859">
        <f t="shared" si="91"/>
        <v>110587.54</v>
      </c>
      <c r="K911" s="4501"/>
      <c r="L911" s="434"/>
      <c r="M911" s="810"/>
      <c r="N911" s="2125">
        <v>37387.43</v>
      </c>
      <c r="O911" s="2125">
        <v>6561.75</v>
      </c>
      <c r="P911" s="2125">
        <v>1839.6100000000006</v>
      </c>
      <c r="Q911" s="2125">
        <v>4192.5599999999977</v>
      </c>
      <c r="R911" s="2125">
        <v>4845.739999999998</v>
      </c>
      <c r="S911" s="2125">
        <v>6574.1700000000055</v>
      </c>
      <c r="T911" s="2125">
        <v>2670</v>
      </c>
      <c r="U911" s="2125">
        <v>2210.669999999991</v>
      </c>
      <c r="V911" s="2125">
        <v>4296.4200000000128</v>
      </c>
      <c r="W911" s="2523">
        <v>5031.75</v>
      </c>
      <c r="X911" s="2523">
        <v>2059.75</v>
      </c>
      <c r="Y911" s="2523">
        <v>4185.929999999993</v>
      </c>
      <c r="Z911" s="2125">
        <f>'[26]New TB INC'!Z853</f>
        <v>16050.05</v>
      </c>
      <c r="AA911" s="2125">
        <f>'[27]New TB INC'!AA860</f>
        <v>845.78000000000247</v>
      </c>
      <c r="AB911" s="2125">
        <f>'[28]New TB INC'!AB869</f>
        <v>2480.9699999999975</v>
      </c>
      <c r="AC911" s="2125">
        <f>'[29]New TB INC'!AC870</f>
        <v>12181.740000000002</v>
      </c>
      <c r="AD911" s="2125">
        <f>'[30]New TB INC'!AD857</f>
        <v>2583.1200000000026</v>
      </c>
      <c r="AE911" s="2125">
        <f>'[31]New TB INC'!AE866</f>
        <v>2709.6299999999974</v>
      </c>
      <c r="AF911" s="2125">
        <v>7218.0599999999977</v>
      </c>
      <c r="AG911" s="2125">
        <v>26008.189999999995</v>
      </c>
      <c r="AH911" s="2125">
        <v>7005.5200000000041</v>
      </c>
      <c r="AI911" s="2125">
        <v>6816.6900000000023</v>
      </c>
      <c r="AJ911" s="11">
        <v>11036.789999999994</v>
      </c>
      <c r="AK911" s="11">
        <f>$J911-SUM($Z911:AJ911)</f>
        <v>15651</v>
      </c>
      <c r="AL911" s="11"/>
      <c r="AM911" s="11"/>
      <c r="AW911" s="2509"/>
      <c r="BE911" s="2173"/>
      <c r="BF911" s="2173"/>
      <c r="BG911" s="2173"/>
      <c r="BH911" s="2173"/>
      <c r="BI911" s="2173"/>
      <c r="BJ911" s="2173"/>
      <c r="BK911" s="2173"/>
      <c r="BO911" s="209"/>
      <c r="CH911" s="901"/>
      <c r="CI911" s="9"/>
      <c r="CJ911" s="9"/>
    </row>
    <row r="912" spans="1:208" s="773" customFormat="1" ht="12.6" customHeight="1">
      <c r="A912" s="774"/>
      <c r="B912" s="3790" t="s">
        <v>954</v>
      </c>
      <c r="C912" s="197" t="s">
        <v>1728</v>
      </c>
      <c r="D912" s="200" t="s">
        <v>1729</v>
      </c>
      <c r="E912" s="798">
        <f>IFERROR(VLOOKUP(C912,'AJE 12 - INC'!$D$168:$F$771,3,0),0)</f>
        <v>3092.45</v>
      </c>
      <c r="F912" s="108">
        <f>SUMIF('AJE 12 - INC'!B:B,'New TB INC'!C912,'AJE 12 - INC'!D:D)</f>
        <v>0</v>
      </c>
      <c r="G912" s="108"/>
      <c r="H912" s="108"/>
      <c r="I912" s="108"/>
      <c r="J912" s="859">
        <f t="shared" si="91"/>
        <v>3092.45</v>
      </c>
      <c r="K912" s="4501"/>
      <c r="L912" s="434"/>
      <c r="M912" s="810"/>
      <c r="N912" s="11">
        <v>163.51</v>
      </c>
      <c r="O912" s="11">
        <v>164.03000000000003</v>
      </c>
      <c r="P912" s="11">
        <v>166.09999999999997</v>
      </c>
      <c r="Q912" s="11">
        <v>146.89999999999998</v>
      </c>
      <c r="R912" s="773">
        <v>522.49000000000012</v>
      </c>
      <c r="S912" s="11">
        <v>66.940000000000055</v>
      </c>
      <c r="T912" s="773">
        <v>158.70000000000005</v>
      </c>
      <c r="U912" s="2173">
        <v>204.27999999999975</v>
      </c>
      <c r="V912" s="2509">
        <v>205.38999999999987</v>
      </c>
      <c r="W912" s="2509">
        <v>205.3900000000001</v>
      </c>
      <c r="X912" s="2509">
        <v>597.32999999999993</v>
      </c>
      <c r="Y912" s="2509">
        <v>834.34000000000015</v>
      </c>
      <c r="Z912" s="11">
        <f>'[26]New TB INC'!Z854</f>
        <v>215.13</v>
      </c>
      <c r="AA912" s="11">
        <f>'[27]New TB INC'!AA861</f>
        <v>213.87</v>
      </c>
      <c r="AB912" s="11">
        <f>'[28]New TB INC'!AB870</f>
        <v>215.67999999999995</v>
      </c>
      <c r="AC912" s="11">
        <f>'[29]New TB INC'!AC871</f>
        <v>214.98000000000002</v>
      </c>
      <c r="AD912" s="11">
        <f>'[30]New TB INC'!AD858</f>
        <v>217.04000000000008</v>
      </c>
      <c r="AE912" s="11">
        <f>'[31]New TB INC'!AE867</f>
        <v>228.57999999999993</v>
      </c>
      <c r="AF912" s="11">
        <v>570.96</v>
      </c>
      <c r="AG912" s="11">
        <v>245.6099999999999</v>
      </c>
      <c r="AH912" s="11">
        <v>242.01999999999998</v>
      </c>
      <c r="AI912" s="11">
        <v>237.84999999999991</v>
      </c>
      <c r="AJ912" s="11">
        <v>248.90000000000009</v>
      </c>
      <c r="AK912" s="11">
        <f>$J912-SUM($Z912:AJ912)</f>
        <v>241.82999999999993</v>
      </c>
      <c r="AL912" s="11"/>
      <c r="AM912" s="11"/>
      <c r="AW912" s="2509"/>
      <c r="BE912" s="2173"/>
      <c r="BF912" s="2173"/>
      <c r="BG912" s="2173"/>
      <c r="BH912" s="2173"/>
      <c r="BI912" s="2173"/>
      <c r="BJ912" s="2173"/>
      <c r="BK912" s="2173"/>
      <c r="BO912" s="209"/>
      <c r="CH912" s="901"/>
      <c r="CI912" s="9"/>
      <c r="CJ912" s="9"/>
    </row>
    <row r="913" spans="1:208" s="773" customFormat="1" ht="12.6" customHeight="1">
      <c r="A913" s="774"/>
      <c r="B913" s="3790" t="s">
        <v>1376</v>
      </c>
      <c r="C913" s="197" t="s">
        <v>2104</v>
      </c>
      <c r="D913" s="200" t="s">
        <v>2105</v>
      </c>
      <c r="E913" s="798">
        <f>IFERROR(VLOOKUP(C913,'AJE 12 - INC'!$D$168:$F$771,3,0),0)</f>
        <v>0</v>
      </c>
      <c r="F913" s="108">
        <f>SUMIF('AJE 12 - INC'!B:B,'New TB INC'!C913,'AJE 12 - INC'!D:D)</f>
        <v>0</v>
      </c>
      <c r="G913" s="108"/>
      <c r="H913" s="108"/>
      <c r="I913" s="108"/>
      <c r="J913" s="859">
        <f t="shared" si="91"/>
        <v>0</v>
      </c>
      <c r="K913" s="4501"/>
      <c r="L913" s="434"/>
      <c r="M913" s="810"/>
      <c r="N913" s="11">
        <v>709.21</v>
      </c>
      <c r="O913" s="11">
        <v>0</v>
      </c>
      <c r="P913" s="11">
        <v>0</v>
      </c>
      <c r="Q913" s="11">
        <v>0</v>
      </c>
      <c r="R913" s="773">
        <v>0</v>
      </c>
      <c r="S913" s="11">
        <v>0</v>
      </c>
      <c r="T913" s="773">
        <v>0</v>
      </c>
      <c r="U913" s="2173">
        <v>0</v>
      </c>
      <c r="V913" s="2509">
        <v>0</v>
      </c>
      <c r="W913" s="2509">
        <v>0</v>
      </c>
      <c r="X913" s="2509">
        <v>0</v>
      </c>
      <c r="Y913" s="2509">
        <v>0</v>
      </c>
      <c r="Z913" s="11">
        <f>'[26]New TB INC'!Z855</f>
        <v>0</v>
      </c>
      <c r="AA913" s="11">
        <f>'[27]New TB INC'!AA862</f>
        <v>0</v>
      </c>
      <c r="AB913" s="11">
        <f>'[28]New TB INC'!AB871</f>
        <v>0</v>
      </c>
      <c r="AC913" s="11">
        <f>'[29]New TB INC'!AC872</f>
        <v>0</v>
      </c>
      <c r="AD913" s="11">
        <f>'[30]New TB INC'!AD859</f>
        <v>0</v>
      </c>
      <c r="AE913" s="11">
        <f>'[31]New TB INC'!AE868</f>
        <v>0</v>
      </c>
      <c r="AF913" s="11">
        <v>0</v>
      </c>
      <c r="AG913" s="11">
        <v>0</v>
      </c>
      <c r="AH913" s="11">
        <v>0</v>
      </c>
      <c r="AI913" s="11">
        <v>0</v>
      </c>
      <c r="AJ913" s="11">
        <v>0</v>
      </c>
      <c r="AK913" s="11">
        <f>$J913-SUM($Z913:AJ913)</f>
        <v>0</v>
      </c>
      <c r="AL913" s="11"/>
      <c r="AM913" s="11"/>
      <c r="AW913" s="2509"/>
      <c r="BE913" s="2173"/>
      <c r="BF913" s="2173"/>
      <c r="BG913" s="2173"/>
      <c r="BH913" s="2173"/>
      <c r="BI913" s="2173"/>
      <c r="BJ913" s="2173"/>
      <c r="BK913" s="2173"/>
      <c r="BO913" s="209"/>
      <c r="CH913" s="901"/>
      <c r="CI913" s="9"/>
      <c r="CJ913" s="9"/>
    </row>
    <row r="914" spans="1:208" s="773" customFormat="1" ht="13.5" customHeight="1" thickBot="1">
      <c r="A914" s="774"/>
      <c r="B914" s="3791" t="s">
        <v>954</v>
      </c>
      <c r="C914" s="2889" t="s">
        <v>2665</v>
      </c>
      <c r="D914" s="2918" t="s">
        <v>2666</v>
      </c>
      <c r="E914" s="2891">
        <f>IFERROR(VLOOKUP(C914,'AJE 12 - INC'!$D$168:$F$771,3,0),0)</f>
        <v>214.78</v>
      </c>
      <c r="F914" s="2892">
        <f>SUMIF('AJE 12 - INC'!B:B,'New TB INC'!C914,'AJE 12 - INC'!D:D)</f>
        <v>0</v>
      </c>
      <c r="G914" s="2892"/>
      <c r="H914" s="2892"/>
      <c r="I914" s="2892"/>
      <c r="J914" s="2893">
        <f>SUM(E914:I914)</f>
        <v>214.78</v>
      </c>
      <c r="K914" s="4502"/>
      <c r="L914" s="434"/>
      <c r="M914" s="810"/>
      <c r="N914" s="11"/>
      <c r="O914" s="11"/>
      <c r="P914" s="11"/>
      <c r="Q914" s="11"/>
      <c r="S914" s="11"/>
      <c r="U914" s="2173"/>
      <c r="V914" s="2509">
        <v>64.709999999999994</v>
      </c>
      <c r="W914" s="2509">
        <v>130.84000000000003</v>
      </c>
      <c r="X914" s="2509">
        <v>112.25</v>
      </c>
      <c r="Y914" s="2509">
        <v>128.87</v>
      </c>
      <c r="Z914" s="11">
        <f>'[26]New TB INC'!Z843</f>
        <v>85.4</v>
      </c>
      <c r="AA914" s="11">
        <f>'[27]New TB INC'!AA850</f>
        <v>54.06</v>
      </c>
      <c r="AB914" s="11">
        <f>'[28]New TB INC'!AB859</f>
        <v>49.06</v>
      </c>
      <c r="AC914" s="11">
        <f>'[29]New TB INC'!AC860</f>
        <v>26.259999999999991</v>
      </c>
      <c r="AD914" s="11">
        <f>'[30]New TB INC'!AD860</f>
        <v>0</v>
      </c>
      <c r="AE914" s="11">
        <f>'[31]New TB INC'!AE869</f>
        <v>0</v>
      </c>
      <c r="AF914" s="11">
        <v>0</v>
      </c>
      <c r="AG914" s="11">
        <v>0</v>
      </c>
      <c r="AH914" s="11">
        <v>0</v>
      </c>
      <c r="AI914" s="11">
        <v>0</v>
      </c>
      <c r="AJ914" s="11">
        <v>0</v>
      </c>
      <c r="AK914" s="11">
        <f>$J914-SUM($Z914:AJ914)</f>
        <v>0</v>
      </c>
      <c r="AL914" s="11"/>
      <c r="AM914" s="11"/>
      <c r="AW914" s="2509"/>
      <c r="BE914" s="2173"/>
      <c r="BF914" s="2173"/>
      <c r="BG914" s="2173"/>
      <c r="BH914" s="2173"/>
      <c r="BI914" s="2173"/>
      <c r="BJ914" s="2173"/>
      <c r="BK914" s="2173"/>
      <c r="BO914" s="209"/>
      <c r="CH914" s="901"/>
      <c r="CI914" s="9"/>
      <c r="CJ914" s="9"/>
    </row>
    <row r="915" spans="1:208" s="773" customFormat="1" ht="13.5" customHeight="1">
      <c r="A915" s="774"/>
      <c r="B915" s="3792" t="s">
        <v>1368</v>
      </c>
      <c r="C915" s="3401">
        <v>7110017</v>
      </c>
      <c r="D915" s="2919" t="s">
        <v>4166</v>
      </c>
      <c r="E915" s="2887">
        <f>IFERROR(VLOOKUP(C915,'AJE 12 - INC'!$D$168:$F$771,3,0),0)</f>
        <v>123608.97</v>
      </c>
      <c r="F915" s="899">
        <f>SUMIF('AJE 12 - INC'!B:B,'New TB INC'!C915,'AJE 12 - INC'!D:D)</f>
        <v>0</v>
      </c>
      <c r="G915" s="899"/>
      <c r="H915" s="899"/>
      <c r="I915" s="899"/>
      <c r="J915" s="2888">
        <f t="shared" ref="J915:J923" si="92">SUM(E915:I915)</f>
        <v>123608.97</v>
      </c>
      <c r="K915" s="4500" t="s">
        <v>4755</v>
      </c>
      <c r="L915" s="434"/>
      <c r="M915" s="810"/>
      <c r="N915" s="11"/>
      <c r="O915" s="11"/>
      <c r="P915" s="11"/>
      <c r="Q915" s="11"/>
      <c r="S915" s="11"/>
      <c r="U915" s="2173"/>
      <c r="V915" s="2509"/>
      <c r="W915" s="2509"/>
      <c r="X915" s="2509"/>
      <c r="Y915" s="2509"/>
      <c r="Z915" s="11"/>
      <c r="AA915" s="11"/>
      <c r="AB915" s="11"/>
      <c r="AC915" s="11"/>
      <c r="AD915" s="11"/>
      <c r="AE915" s="11"/>
      <c r="AF915" s="11"/>
      <c r="AG915" s="11"/>
      <c r="AH915" s="11">
        <v>17916.66</v>
      </c>
      <c r="AI915" s="11">
        <v>27500.000000000004</v>
      </c>
      <c r="AJ915" s="11">
        <v>35692.31</v>
      </c>
      <c r="AK915" s="11">
        <f>$J915-SUM($Z915:AJ915)</f>
        <v>42500</v>
      </c>
      <c r="AL915" s="11"/>
      <c r="AM915" s="11"/>
      <c r="AN915" s="773" t="s">
        <v>4529</v>
      </c>
      <c r="AO915" s="773" t="s">
        <v>4326</v>
      </c>
      <c r="AP915" s="3588" t="s">
        <v>4216</v>
      </c>
      <c r="AW915" s="2509"/>
      <c r="BE915" s="2173"/>
      <c r="BF915" s="2173"/>
      <c r="BG915" s="2173"/>
      <c r="BH915" s="2173"/>
      <c r="BI915" s="2173"/>
      <c r="BJ915" s="2173"/>
      <c r="BK915" s="2173"/>
      <c r="BO915" s="209"/>
      <c r="CH915" s="901"/>
      <c r="CI915" s="9"/>
      <c r="CJ915" s="9"/>
    </row>
    <row r="916" spans="1:208" s="773" customFormat="1" ht="13.5" customHeight="1">
      <c r="A916" s="3396"/>
      <c r="B916" s="3793" t="s">
        <v>1368</v>
      </c>
      <c r="C916" s="603">
        <v>7110019</v>
      </c>
      <c r="D916" s="3397" t="s">
        <v>4167</v>
      </c>
      <c r="E916" s="798">
        <f>IFERROR(VLOOKUP(C916,'AJE 12 - INC'!$D$168:$F$771,3,0),0)</f>
        <v>69869</v>
      </c>
      <c r="F916" s="108">
        <f>SUMIF('AJE 12 - INC'!B:B,'New TB INC'!C916,'AJE 12 - INC'!D:D)</f>
        <v>0</v>
      </c>
      <c r="G916" s="108"/>
      <c r="H916" s="108"/>
      <c r="I916" s="108"/>
      <c r="J916" s="859">
        <f t="shared" si="92"/>
        <v>69869</v>
      </c>
      <c r="K916" s="4501"/>
      <c r="L916" s="3082"/>
      <c r="M916" s="828"/>
      <c r="N916" s="2125"/>
      <c r="O916" s="2125"/>
      <c r="P916" s="2125"/>
      <c r="Q916" s="2125"/>
      <c r="R916" s="2125"/>
      <c r="S916" s="2125"/>
      <c r="T916" s="2125"/>
      <c r="U916" s="2521"/>
      <c r="V916" s="2523"/>
      <c r="W916" s="2523"/>
      <c r="X916" s="2523"/>
      <c r="Y916" s="2523"/>
      <c r="Z916" s="2125"/>
      <c r="AA916" s="2125"/>
      <c r="AB916" s="2125"/>
      <c r="AC916" s="2125"/>
      <c r="AD916" s="2125"/>
      <c r="AE916" s="2125"/>
      <c r="AF916" s="2125"/>
      <c r="AG916" s="2125"/>
      <c r="AH916" s="2125">
        <v>7459</v>
      </c>
      <c r="AI916" s="2125">
        <v>11415</v>
      </c>
      <c r="AJ916" s="11">
        <v>28955</v>
      </c>
      <c r="AK916" s="11">
        <f>$J916-SUM($Z916:AJ916)</f>
        <v>22040</v>
      </c>
      <c r="AL916" s="11"/>
      <c r="AM916" s="11"/>
      <c r="AW916" s="2509"/>
      <c r="BE916" s="2173"/>
      <c r="BF916" s="2173"/>
      <c r="BG916" s="2173"/>
      <c r="BH916" s="2173"/>
      <c r="BI916" s="2173"/>
      <c r="BJ916" s="2173"/>
      <c r="BK916" s="2173"/>
      <c r="BO916" s="209"/>
      <c r="CH916" s="901"/>
      <c r="CI916" s="9"/>
      <c r="CJ916" s="9"/>
    </row>
    <row r="917" spans="1:208" s="773" customFormat="1" ht="13.5" customHeight="1">
      <c r="A917" s="3396"/>
      <c r="B917" s="3793" t="s">
        <v>1368</v>
      </c>
      <c r="C917" s="603">
        <v>7110022</v>
      </c>
      <c r="D917" s="200" t="s">
        <v>4306</v>
      </c>
      <c r="E917" s="798">
        <f>IFERROR(VLOOKUP(C917,'AJE 12 - INC'!$D$168:$F$771,3,0),0)</f>
        <v>23142.15</v>
      </c>
      <c r="F917" s="108">
        <f>SUMIF('AJE 12 - INC'!B:B,'New TB INC'!C917,'AJE 12 - INC'!D:D)</f>
        <v>0</v>
      </c>
      <c r="G917" s="108"/>
      <c r="H917" s="108"/>
      <c r="I917" s="108"/>
      <c r="J917" s="859">
        <f>SUM(E917:I917)</f>
        <v>23142.15</v>
      </c>
      <c r="K917" s="4501"/>
      <c r="L917" s="3082"/>
      <c r="M917" s="828"/>
      <c r="N917" s="2125"/>
      <c r="O917" s="2125"/>
      <c r="P917" s="2125"/>
      <c r="Q917" s="2125"/>
      <c r="R917" s="2125"/>
      <c r="S917" s="2125"/>
      <c r="T917" s="2125"/>
      <c r="U917" s="2521"/>
      <c r="V917" s="2509"/>
      <c r="W917" s="2509"/>
      <c r="X917" s="2509"/>
      <c r="Y917" s="2509"/>
      <c r="AI917" s="773">
        <v>23000</v>
      </c>
      <c r="AJ917" s="773">
        <v>142.15000000000146</v>
      </c>
      <c r="AK917" s="11">
        <f>$J917-SUM($Z917:AJ917)</f>
        <v>0</v>
      </c>
      <c r="AW917" s="2509"/>
      <c r="BE917" s="2173"/>
      <c r="BF917" s="2173"/>
      <c r="BG917" s="2173"/>
      <c r="BH917" s="2173"/>
      <c r="BI917" s="2173"/>
      <c r="BJ917" s="2173"/>
      <c r="BK917" s="2173"/>
      <c r="BO917" s="209"/>
      <c r="CH917" s="901"/>
      <c r="CI917" s="9"/>
      <c r="CJ917" s="9"/>
    </row>
    <row r="918" spans="1:208" s="773" customFormat="1" ht="13.5" customHeight="1">
      <c r="A918" s="3396"/>
      <c r="B918" s="3793" t="s">
        <v>1368</v>
      </c>
      <c r="C918" s="603">
        <v>7110018</v>
      </c>
      <c r="D918" s="200" t="s">
        <v>4892</v>
      </c>
      <c r="E918" s="798">
        <f>IFERROR(VLOOKUP(C918,'AJE 12 - INC'!$D$168:$F$771,3,0),0)</f>
        <v>19639</v>
      </c>
      <c r="F918" s="108">
        <f>SUMIF('AJE 12 - INC'!B:B,'New TB INC'!C918,'AJE 12 - INC'!D:D)</f>
        <v>0</v>
      </c>
      <c r="G918" s="108"/>
      <c r="H918" s="108"/>
      <c r="I918" s="108"/>
      <c r="J918" s="859">
        <f>SUM(E918:I918)</f>
        <v>19639</v>
      </c>
      <c r="K918" s="4501"/>
      <c r="L918" s="3082"/>
      <c r="M918" s="828"/>
      <c r="N918" s="2125"/>
      <c r="O918" s="2125"/>
      <c r="P918" s="2125"/>
      <c r="Q918" s="2125"/>
      <c r="R918" s="2125"/>
      <c r="S918" s="2125"/>
      <c r="T918" s="2125"/>
      <c r="U918" s="2521"/>
      <c r="V918" s="2509"/>
      <c r="W918" s="2509"/>
      <c r="X918" s="2509"/>
      <c r="Y918" s="2509"/>
      <c r="AK918" s="11">
        <f>$J918-SUM($Z918:AJ918)</f>
        <v>19639</v>
      </c>
      <c r="AW918" s="2509"/>
      <c r="BE918" s="2173"/>
      <c r="BF918" s="2173"/>
      <c r="BG918" s="2173"/>
      <c r="BH918" s="2173"/>
      <c r="BI918" s="2173"/>
      <c r="BJ918" s="2173"/>
      <c r="BK918" s="2173"/>
      <c r="BO918" s="209"/>
      <c r="CH918" s="901"/>
      <c r="CI918" s="9"/>
      <c r="CJ918" s="9"/>
    </row>
    <row r="919" spans="1:208" s="773" customFormat="1" ht="13.5" customHeight="1">
      <c r="A919" s="3396"/>
      <c r="B919" s="3793" t="s">
        <v>1368</v>
      </c>
      <c r="C919" s="603">
        <v>7110024</v>
      </c>
      <c r="D919" s="200" t="s">
        <v>4307</v>
      </c>
      <c r="E919" s="798">
        <f>IFERROR(VLOOKUP(C919,'AJE 12 - INC'!$D$168:$F$771,3,0),0)</f>
        <v>-260.44</v>
      </c>
      <c r="F919" s="108">
        <f>SUMIF('AJE 12 - INC'!B:B,'New TB INC'!C919,'AJE 12 - INC'!D:D)</f>
        <v>0</v>
      </c>
      <c r="G919" s="108"/>
      <c r="H919" s="108"/>
      <c r="I919" s="108"/>
      <c r="J919" s="859">
        <f>SUM(E919:I919)</f>
        <v>-260.44</v>
      </c>
      <c r="K919" s="4501"/>
      <c r="L919" s="3082"/>
      <c r="M919" s="828"/>
      <c r="N919" s="2125"/>
      <c r="O919" s="2125"/>
      <c r="P919" s="2125"/>
      <c r="Q919" s="2125"/>
      <c r="R919" s="2125"/>
      <c r="S919" s="2125"/>
      <c r="T919" s="2125"/>
      <c r="U919" s="2521"/>
      <c r="V919" s="2509"/>
      <c r="W919" s="2509"/>
      <c r="X919" s="2509"/>
      <c r="Y919" s="2509"/>
      <c r="AI919" s="773">
        <v>108.52</v>
      </c>
      <c r="AJ919" s="773">
        <v>-368.96</v>
      </c>
      <c r="AK919" s="11">
        <f>$J919-SUM($Z919:AJ919)</f>
        <v>0</v>
      </c>
      <c r="AW919" s="2509"/>
      <c r="BE919" s="2173"/>
      <c r="BF919" s="2173"/>
      <c r="BG919" s="2173"/>
      <c r="BH919" s="2173"/>
      <c r="BI919" s="2173"/>
      <c r="BJ919" s="2173"/>
      <c r="BK919" s="2173"/>
      <c r="BO919" s="209"/>
      <c r="CH919" s="901"/>
      <c r="CI919" s="9"/>
      <c r="CJ919" s="9"/>
    </row>
    <row r="920" spans="1:208" s="11" customFormat="1" ht="13.5" customHeight="1">
      <c r="A920" s="774"/>
      <c r="B920" s="3793" t="s">
        <v>1368</v>
      </c>
      <c r="C920" s="603">
        <v>7110021</v>
      </c>
      <c r="D920" s="200" t="s">
        <v>4168</v>
      </c>
      <c r="E920" s="798">
        <f>IFERROR(VLOOKUP(C920,'AJE 12 - INC'!$D$168:$F$771,3,0),0)</f>
        <v>7946.75</v>
      </c>
      <c r="F920" s="108">
        <f>SUMIF('AJE 12 - INC'!B:B,'New TB INC'!C920,'AJE 12 - INC'!D:D)</f>
        <v>0</v>
      </c>
      <c r="G920" s="108"/>
      <c r="H920" s="108"/>
      <c r="I920" s="108"/>
      <c r="J920" s="859">
        <f t="shared" si="92"/>
        <v>7946.75</v>
      </c>
      <c r="K920" s="4501"/>
      <c r="L920" s="434"/>
      <c r="M920" s="810"/>
      <c r="R920" s="773"/>
      <c r="T920" s="773"/>
      <c r="U920" s="2173"/>
      <c r="V920" s="2509"/>
      <c r="W920" s="2509"/>
      <c r="X920" s="2509"/>
      <c r="Y920" s="2509"/>
      <c r="AH920" s="11">
        <v>379.82</v>
      </c>
      <c r="AI920" s="11">
        <v>1742.26</v>
      </c>
      <c r="AJ920" s="11">
        <v>2645.4300000000003</v>
      </c>
      <c r="AK920" s="11">
        <f>$J920-SUM($Z920:AJ920)</f>
        <v>3179.24</v>
      </c>
      <c r="AW920" s="2509"/>
      <c r="BE920" s="2173"/>
      <c r="BF920" s="2173"/>
      <c r="BG920" s="2173"/>
      <c r="BH920" s="2173"/>
      <c r="BI920" s="2173"/>
      <c r="BJ920" s="2173"/>
      <c r="BK920" s="2173"/>
      <c r="BL920" s="773"/>
      <c r="BN920" s="773"/>
      <c r="BO920" s="209"/>
      <c r="CH920" s="878"/>
      <c r="CI920" s="4"/>
      <c r="CJ920" s="4"/>
      <c r="DB920" s="773"/>
      <c r="DC920" s="773"/>
      <c r="DD920" s="773"/>
      <c r="DE920" s="773"/>
      <c r="DF920" s="773"/>
      <c r="DG920" s="773"/>
      <c r="DH920" s="773"/>
      <c r="DI920" s="773"/>
      <c r="DJ920" s="773"/>
      <c r="DK920" s="773"/>
      <c r="DL920" s="773"/>
      <c r="DM920" s="773"/>
      <c r="DN920" s="773"/>
      <c r="DO920" s="773"/>
      <c r="DP920" s="773"/>
      <c r="DQ920" s="773"/>
      <c r="DR920" s="773"/>
      <c r="DS920" s="773"/>
      <c r="DT920" s="773"/>
      <c r="DU920" s="773"/>
      <c r="DV920" s="773"/>
      <c r="DW920" s="773"/>
      <c r="DX920" s="773"/>
      <c r="DY920" s="773"/>
      <c r="DZ920" s="773"/>
      <c r="EA920" s="773"/>
      <c r="EB920" s="773"/>
      <c r="EC920" s="773"/>
      <c r="ED920" s="773"/>
      <c r="EE920" s="773"/>
      <c r="EF920" s="773"/>
      <c r="EG920" s="773"/>
      <c r="EH920" s="773"/>
      <c r="EI920" s="773"/>
      <c r="EJ920" s="773"/>
      <c r="EK920" s="773"/>
      <c r="EL920" s="773"/>
      <c r="EM920" s="773"/>
      <c r="EN920" s="773"/>
      <c r="EO920" s="773"/>
      <c r="EP920" s="773"/>
      <c r="EQ920" s="773"/>
      <c r="ER920" s="773"/>
      <c r="ES920" s="773"/>
      <c r="ET920" s="773"/>
      <c r="EU920" s="773"/>
      <c r="EV920" s="773"/>
      <c r="EW920" s="773"/>
      <c r="EX920" s="773"/>
      <c r="EY920" s="773"/>
      <c r="EZ920" s="773"/>
      <c r="FA920" s="773"/>
      <c r="FB920" s="773"/>
      <c r="FC920" s="773"/>
      <c r="FD920" s="773"/>
      <c r="FE920" s="773"/>
      <c r="FF920" s="773"/>
      <c r="FG920" s="773"/>
      <c r="FH920" s="773"/>
      <c r="FI920" s="773"/>
      <c r="FJ920" s="773"/>
      <c r="FK920" s="773"/>
      <c r="FL920" s="773"/>
      <c r="FM920" s="773"/>
      <c r="FN920" s="773"/>
      <c r="FO920" s="773"/>
      <c r="FP920" s="773"/>
      <c r="FQ920" s="773"/>
      <c r="FR920" s="773"/>
      <c r="FS920" s="773"/>
      <c r="FT920" s="773"/>
      <c r="FU920" s="773"/>
      <c r="FV920" s="773"/>
      <c r="FW920" s="773"/>
      <c r="FX920" s="773"/>
      <c r="FY920" s="773"/>
      <c r="FZ920" s="773"/>
      <c r="GA920" s="773"/>
      <c r="GB920" s="773"/>
      <c r="GC920" s="773"/>
      <c r="GD920" s="773"/>
      <c r="GE920" s="773"/>
      <c r="GF920" s="773"/>
      <c r="GG920" s="773"/>
      <c r="GH920" s="773"/>
      <c r="GI920" s="773"/>
      <c r="GJ920" s="773"/>
      <c r="GK920" s="773"/>
      <c r="GL920" s="773"/>
      <c r="GM920" s="773"/>
      <c r="GN920" s="773"/>
      <c r="GO920" s="773"/>
      <c r="GP920" s="773"/>
      <c r="GQ920" s="773"/>
      <c r="GR920" s="773"/>
      <c r="GS920" s="773"/>
      <c r="GT920" s="773"/>
      <c r="GU920" s="773"/>
      <c r="GV920" s="773"/>
      <c r="GW920" s="773"/>
      <c r="GX920" s="773"/>
      <c r="GY920" s="773"/>
      <c r="GZ920" s="773"/>
    </row>
    <row r="921" spans="1:208" s="11" customFormat="1" ht="13.5" customHeight="1">
      <c r="A921" s="774"/>
      <c r="B921" s="3793" t="s">
        <v>1368</v>
      </c>
      <c r="C921" s="603">
        <v>7110013</v>
      </c>
      <c r="D921" s="200" t="s">
        <v>4020</v>
      </c>
      <c r="E921" s="798">
        <f>IFERROR(VLOOKUP(C921,'AJE 12 - INC'!$D$168:$F$771,3,0),0)</f>
        <v>1014.72</v>
      </c>
      <c r="F921" s="108">
        <f>SUMIF('AJE 12 - INC'!B:B,'New TB INC'!C921,'AJE 12 - INC'!D:D)</f>
        <v>0</v>
      </c>
      <c r="G921" s="108"/>
      <c r="H921" s="108"/>
      <c r="I921" s="108"/>
      <c r="J921" s="859">
        <f>SUM(E921:I921)</f>
        <v>1014.72</v>
      </c>
      <c r="K921" s="4501"/>
      <c r="L921" s="434"/>
      <c r="M921" s="810"/>
      <c r="R921" s="773"/>
      <c r="T921" s="773"/>
      <c r="U921" s="2173"/>
      <c r="V921" s="2509"/>
      <c r="W921" s="2509"/>
      <c r="X921" s="2509"/>
      <c r="Y921" s="2509"/>
      <c r="AH921" s="11">
        <v>419.72</v>
      </c>
      <c r="AI921" s="11">
        <v>0</v>
      </c>
      <c r="AJ921" s="11">
        <v>225</v>
      </c>
      <c r="AK921" s="11">
        <f>$J921-SUM($Z921:AJ921)</f>
        <v>370</v>
      </c>
      <c r="AW921" s="2509"/>
      <c r="BE921" s="2173"/>
      <c r="BF921" s="2173"/>
      <c r="BG921" s="2173"/>
      <c r="BH921" s="2173"/>
      <c r="BI921" s="2173"/>
      <c r="BJ921" s="2173"/>
      <c r="BK921" s="2173"/>
      <c r="BL921" s="773"/>
      <c r="BN921" s="773"/>
      <c r="BO921" s="209"/>
      <c r="CH921" s="878"/>
      <c r="CI921" s="4"/>
      <c r="CJ921" s="4"/>
      <c r="DB921" s="773"/>
      <c r="DC921" s="773"/>
      <c r="DD921" s="773"/>
      <c r="DE921" s="773"/>
      <c r="DF921" s="773"/>
      <c r="DG921" s="773"/>
      <c r="DH921" s="773"/>
      <c r="DI921" s="773"/>
      <c r="DJ921" s="773"/>
      <c r="DK921" s="773"/>
      <c r="DL921" s="773"/>
      <c r="DM921" s="773"/>
      <c r="DN921" s="773"/>
      <c r="DO921" s="773"/>
      <c r="DP921" s="773"/>
      <c r="DQ921" s="773"/>
      <c r="DR921" s="773"/>
      <c r="DS921" s="773"/>
      <c r="DT921" s="773"/>
      <c r="DU921" s="773"/>
      <c r="DV921" s="773"/>
      <c r="DW921" s="773"/>
      <c r="DX921" s="773"/>
      <c r="DY921" s="773"/>
      <c r="DZ921" s="773"/>
      <c r="EA921" s="773"/>
      <c r="EB921" s="773"/>
      <c r="EC921" s="773"/>
      <c r="ED921" s="773"/>
      <c r="EE921" s="773"/>
      <c r="EF921" s="773"/>
      <c r="EG921" s="773"/>
      <c r="EH921" s="773"/>
      <c r="EI921" s="773"/>
      <c r="EJ921" s="773"/>
      <c r="EK921" s="773"/>
      <c r="EL921" s="773"/>
      <c r="EM921" s="773"/>
      <c r="EN921" s="773"/>
      <c r="EO921" s="773"/>
      <c r="EP921" s="773"/>
      <c r="EQ921" s="773"/>
      <c r="ER921" s="773"/>
      <c r="ES921" s="773"/>
      <c r="ET921" s="773"/>
      <c r="EU921" s="773"/>
      <c r="EV921" s="773"/>
      <c r="EW921" s="773"/>
      <c r="EX921" s="773"/>
      <c r="EY921" s="773"/>
      <c r="EZ921" s="773"/>
      <c r="FA921" s="773"/>
      <c r="FB921" s="773"/>
      <c r="FC921" s="773"/>
      <c r="FD921" s="773"/>
      <c r="FE921" s="773"/>
      <c r="FF921" s="773"/>
      <c r="FG921" s="773"/>
      <c r="FH921" s="773"/>
      <c r="FI921" s="773"/>
      <c r="FJ921" s="773"/>
      <c r="FK921" s="773"/>
      <c r="FL921" s="773"/>
      <c r="FM921" s="773"/>
      <c r="FN921" s="773"/>
      <c r="FO921" s="773"/>
      <c r="FP921" s="773"/>
      <c r="FQ921" s="773"/>
      <c r="FR921" s="773"/>
      <c r="FS921" s="773"/>
      <c r="FT921" s="773"/>
      <c r="FU921" s="773"/>
      <c r="FV921" s="773"/>
      <c r="FW921" s="773"/>
      <c r="FX921" s="773"/>
      <c r="FY921" s="773"/>
      <c r="FZ921" s="773"/>
      <c r="GA921" s="773"/>
      <c r="GB921" s="773"/>
      <c r="GC921" s="773"/>
      <c r="GD921" s="773"/>
      <c r="GE921" s="773"/>
      <c r="GF921" s="773"/>
      <c r="GG921" s="773"/>
      <c r="GH921" s="773"/>
      <c r="GI921" s="773"/>
      <c r="GJ921" s="773"/>
      <c r="GK921" s="773"/>
      <c r="GL921" s="773"/>
      <c r="GM921" s="773"/>
      <c r="GN921" s="773"/>
      <c r="GO921" s="773"/>
      <c r="GP921" s="773"/>
      <c r="GQ921" s="773"/>
      <c r="GR921" s="773"/>
      <c r="GS921" s="773"/>
      <c r="GT921" s="773"/>
      <c r="GU921" s="773"/>
      <c r="GV921" s="773"/>
      <c r="GW921" s="773"/>
      <c r="GX921" s="773"/>
      <c r="GY921" s="773"/>
      <c r="GZ921" s="773"/>
    </row>
    <row r="922" spans="1:208" s="11" customFormat="1" ht="13.5" customHeight="1">
      <c r="A922" s="774"/>
      <c r="B922" s="3793" t="s">
        <v>1368</v>
      </c>
      <c r="C922" s="603">
        <v>7110016</v>
      </c>
      <c r="D922" s="200" t="s">
        <v>4171</v>
      </c>
      <c r="E922" s="798">
        <f>IFERROR(VLOOKUP(C922,'AJE 12 - INC'!$D$168:$F$771,3,0),0)</f>
        <v>57159.15</v>
      </c>
      <c r="F922" s="108">
        <f>SUMIF('AJE 12 - INC'!B:B,'New TB INC'!C922,'AJE 12 - INC'!D:D)</f>
        <v>0</v>
      </c>
      <c r="G922" s="108"/>
      <c r="H922" s="108"/>
      <c r="I922" s="108"/>
      <c r="J922" s="859">
        <f>SUM(E922:I922)</f>
        <v>57159.15</v>
      </c>
      <c r="K922" s="4501"/>
      <c r="L922" s="434"/>
      <c r="M922" s="810"/>
      <c r="R922" s="773"/>
      <c r="T922" s="773"/>
      <c r="U922" s="2173"/>
      <c r="V922" s="2509"/>
      <c r="W922" s="2509"/>
      <c r="X922" s="2509"/>
      <c r="Y922" s="2509"/>
      <c r="AH922" s="11">
        <v>159.15</v>
      </c>
      <c r="AI922" s="11">
        <v>0</v>
      </c>
      <c r="AJ922" s="11">
        <v>0</v>
      </c>
      <c r="AK922" s="11">
        <f>$J922-SUM($Z922:AJ922)</f>
        <v>57000</v>
      </c>
      <c r="AW922" s="2509"/>
      <c r="BE922" s="2173"/>
      <c r="BF922" s="2173"/>
      <c r="BG922" s="2173"/>
      <c r="BH922" s="2173"/>
      <c r="BI922" s="2173"/>
      <c r="BJ922" s="2173"/>
      <c r="BK922" s="2173"/>
      <c r="BL922" s="773"/>
      <c r="BN922" s="773"/>
      <c r="BO922" s="209"/>
      <c r="CH922" s="878"/>
      <c r="CI922" s="4"/>
      <c r="CJ922" s="4"/>
      <c r="DB922" s="773"/>
      <c r="DC922" s="773"/>
      <c r="DD922" s="773"/>
      <c r="DE922" s="773"/>
      <c r="DF922" s="773"/>
      <c r="DG922" s="773"/>
      <c r="DH922" s="773"/>
      <c r="DI922" s="773"/>
      <c r="DJ922" s="773"/>
      <c r="DK922" s="773"/>
      <c r="DL922" s="773"/>
      <c r="DM922" s="773"/>
      <c r="DN922" s="773"/>
      <c r="DO922" s="773"/>
      <c r="DP922" s="773"/>
      <c r="DQ922" s="773"/>
      <c r="DR922" s="773"/>
      <c r="DS922" s="773"/>
      <c r="DT922" s="773"/>
      <c r="DU922" s="773"/>
      <c r="DV922" s="773"/>
      <c r="DW922" s="773"/>
      <c r="DX922" s="773"/>
      <c r="DY922" s="773"/>
      <c r="DZ922" s="773"/>
      <c r="EA922" s="773"/>
      <c r="EB922" s="773"/>
      <c r="EC922" s="773"/>
      <c r="ED922" s="773"/>
      <c r="EE922" s="773"/>
      <c r="EF922" s="773"/>
      <c r="EG922" s="773"/>
      <c r="EH922" s="773"/>
      <c r="EI922" s="773"/>
      <c r="EJ922" s="773"/>
      <c r="EK922" s="773"/>
      <c r="EL922" s="773"/>
      <c r="EM922" s="773"/>
      <c r="EN922" s="773"/>
      <c r="EO922" s="773"/>
      <c r="EP922" s="773"/>
      <c r="EQ922" s="773"/>
      <c r="ER922" s="773"/>
      <c r="ES922" s="773"/>
      <c r="ET922" s="773"/>
      <c r="EU922" s="773"/>
      <c r="EV922" s="773"/>
      <c r="EW922" s="773"/>
      <c r="EX922" s="773"/>
      <c r="EY922" s="773"/>
      <c r="EZ922" s="773"/>
      <c r="FA922" s="773"/>
      <c r="FB922" s="773"/>
      <c r="FC922" s="773"/>
      <c r="FD922" s="773"/>
      <c r="FE922" s="773"/>
      <c r="FF922" s="773"/>
      <c r="FG922" s="773"/>
      <c r="FH922" s="773"/>
      <c r="FI922" s="773"/>
      <c r="FJ922" s="773"/>
      <c r="FK922" s="773"/>
      <c r="FL922" s="773"/>
      <c r="FM922" s="773"/>
      <c r="FN922" s="773"/>
      <c r="FO922" s="773"/>
      <c r="FP922" s="773"/>
      <c r="FQ922" s="773"/>
      <c r="FR922" s="773"/>
      <c r="FS922" s="773"/>
      <c r="FT922" s="773"/>
      <c r="FU922" s="773"/>
      <c r="FV922" s="773"/>
      <c r="FW922" s="773"/>
      <c r="FX922" s="773"/>
      <c r="FY922" s="773"/>
      <c r="FZ922" s="773"/>
      <c r="GA922" s="773"/>
      <c r="GB922" s="773"/>
      <c r="GC922" s="773"/>
      <c r="GD922" s="773"/>
      <c r="GE922" s="773"/>
      <c r="GF922" s="773"/>
      <c r="GG922" s="773"/>
      <c r="GH922" s="773"/>
      <c r="GI922" s="773"/>
      <c r="GJ922" s="773"/>
      <c r="GK922" s="773"/>
      <c r="GL922" s="773"/>
      <c r="GM922" s="773"/>
      <c r="GN922" s="773"/>
      <c r="GO922" s="773"/>
      <c r="GP922" s="773"/>
      <c r="GQ922" s="773"/>
      <c r="GR922" s="773"/>
      <c r="GS922" s="773"/>
      <c r="GT922" s="773"/>
      <c r="GU922" s="773"/>
      <c r="GV922" s="773"/>
      <c r="GW922" s="773"/>
      <c r="GX922" s="773"/>
      <c r="GY922" s="773"/>
      <c r="GZ922" s="773"/>
    </row>
    <row r="923" spans="1:208" s="11" customFormat="1" ht="13.5" customHeight="1">
      <c r="A923" s="774"/>
      <c r="B923" s="3793" t="s">
        <v>1368</v>
      </c>
      <c r="C923" s="603">
        <v>7110023</v>
      </c>
      <c r="D923" s="200" t="s">
        <v>4169</v>
      </c>
      <c r="E923" s="798">
        <f>IFERROR(VLOOKUP(C923,'AJE 12 - INC'!$D$168:$F$771,3,0),0)</f>
        <v>-5132.82</v>
      </c>
      <c r="F923" s="108">
        <f>SUMIF('AJE 12 - INC'!B:B,'New TB INC'!C923,'AJE 12 - INC'!D:D)</f>
        <v>0</v>
      </c>
      <c r="G923" s="108"/>
      <c r="H923" s="108"/>
      <c r="I923" s="108"/>
      <c r="J923" s="859">
        <f t="shared" si="92"/>
        <v>-5132.82</v>
      </c>
      <c r="K923" s="4501"/>
      <c r="L923" s="434"/>
      <c r="M923" s="810"/>
      <c r="R923" s="773"/>
      <c r="T923" s="773"/>
      <c r="U923" s="2173"/>
      <c r="V923" s="2509"/>
      <c r="W923" s="2509"/>
      <c r="X923" s="2509"/>
      <c r="Y923" s="2509"/>
      <c r="AH923" s="11">
        <v>688.55</v>
      </c>
      <c r="AI923" s="11">
        <v>2425.5699999999997</v>
      </c>
      <c r="AJ923" s="11">
        <v>-8246.9399999999987</v>
      </c>
      <c r="AK923" s="11">
        <f>$J923-SUM($Z923:AJ923)</f>
        <v>0</v>
      </c>
      <c r="AW923" s="2509"/>
      <c r="BE923" s="2173"/>
      <c r="BF923" s="2173"/>
      <c r="BG923" s="2173"/>
      <c r="BH923" s="2173"/>
      <c r="BI923" s="2173"/>
      <c r="BJ923" s="2173"/>
      <c r="BK923" s="2173"/>
      <c r="BL923" s="773"/>
      <c r="BN923" s="773"/>
      <c r="BO923" s="209"/>
      <c r="CH923" s="878"/>
      <c r="CI923" s="4"/>
      <c r="CJ923" s="4"/>
      <c r="DB923" s="773"/>
      <c r="DC923" s="773"/>
      <c r="DD923" s="773"/>
      <c r="DE923" s="773"/>
      <c r="DF923" s="773"/>
      <c r="DG923" s="773"/>
      <c r="DH923" s="773"/>
      <c r="DI923" s="773"/>
      <c r="DJ923" s="773"/>
      <c r="DK923" s="773"/>
      <c r="DL923" s="773"/>
      <c r="DM923" s="773"/>
      <c r="DN923" s="773"/>
      <c r="DO923" s="773"/>
      <c r="DP923" s="773"/>
      <c r="DQ923" s="773"/>
      <c r="DR923" s="773"/>
      <c r="DS923" s="773"/>
      <c r="DT923" s="773"/>
      <c r="DU923" s="773"/>
      <c r="DV923" s="773"/>
      <c r="DW923" s="773"/>
      <c r="DX923" s="773"/>
      <c r="DY923" s="773"/>
      <c r="DZ923" s="773"/>
      <c r="EA923" s="773"/>
      <c r="EB923" s="773"/>
      <c r="EC923" s="773"/>
      <c r="ED923" s="773"/>
      <c r="EE923" s="773"/>
      <c r="EF923" s="773"/>
      <c r="EG923" s="773"/>
      <c r="EH923" s="773"/>
      <c r="EI923" s="773"/>
      <c r="EJ923" s="773"/>
      <c r="EK923" s="773"/>
      <c r="EL923" s="773"/>
      <c r="EM923" s="773"/>
      <c r="EN923" s="773"/>
      <c r="EO923" s="773"/>
      <c r="EP923" s="773"/>
      <c r="EQ923" s="773"/>
      <c r="ER923" s="773"/>
      <c r="ES923" s="773"/>
      <c r="ET923" s="773"/>
      <c r="EU923" s="773"/>
      <c r="EV923" s="773"/>
      <c r="EW923" s="773"/>
      <c r="EX923" s="773"/>
      <c r="EY923" s="773"/>
      <c r="EZ923" s="773"/>
      <c r="FA923" s="773"/>
      <c r="FB923" s="773"/>
      <c r="FC923" s="773"/>
      <c r="FD923" s="773"/>
      <c r="FE923" s="773"/>
      <c r="FF923" s="773"/>
      <c r="FG923" s="773"/>
      <c r="FH923" s="773"/>
      <c r="FI923" s="773"/>
      <c r="FJ923" s="773"/>
      <c r="FK923" s="773"/>
      <c r="FL923" s="773"/>
      <c r="FM923" s="773"/>
      <c r="FN923" s="773"/>
      <c r="FO923" s="773"/>
      <c r="FP923" s="773"/>
      <c r="FQ923" s="773"/>
      <c r="FR923" s="773"/>
      <c r="FS923" s="773"/>
      <c r="FT923" s="773"/>
      <c r="FU923" s="773"/>
      <c r="FV923" s="773"/>
      <c r="FW923" s="773"/>
      <c r="FX923" s="773"/>
      <c r="FY923" s="773"/>
      <c r="FZ923" s="773"/>
      <c r="GA923" s="773"/>
      <c r="GB923" s="773"/>
      <c r="GC923" s="773"/>
      <c r="GD923" s="773"/>
      <c r="GE923" s="773"/>
      <c r="GF923" s="773"/>
      <c r="GG923" s="773"/>
      <c r="GH923" s="773"/>
      <c r="GI923" s="773"/>
      <c r="GJ923" s="773"/>
      <c r="GK923" s="773"/>
      <c r="GL923" s="773"/>
      <c r="GM923" s="773"/>
      <c r="GN923" s="773"/>
      <c r="GO923" s="773"/>
      <c r="GP923" s="773"/>
      <c r="GQ923" s="773"/>
      <c r="GR923" s="773"/>
      <c r="GS923" s="773"/>
      <c r="GT923" s="773"/>
      <c r="GU923" s="773"/>
      <c r="GV923" s="773"/>
      <c r="GW923" s="773"/>
      <c r="GX923" s="773"/>
      <c r="GY923" s="773"/>
      <c r="GZ923" s="773"/>
    </row>
    <row r="924" spans="1:208" s="11" customFormat="1" ht="13.5" customHeight="1" thickBot="1">
      <c r="A924" s="774"/>
      <c r="B924" s="3794" t="s">
        <v>1368</v>
      </c>
      <c r="C924" s="3402">
        <v>7110025</v>
      </c>
      <c r="D924" s="3398" t="s">
        <v>4170</v>
      </c>
      <c r="E924" s="2891">
        <f>IFERROR(VLOOKUP(C924,'AJE 12 - INC'!$D$168:$F$771,3,0),0)</f>
        <v>412.4</v>
      </c>
      <c r="F924" s="2892">
        <f>SUMIF('AJE 12 - INC'!B:B,'New TB INC'!C924,'AJE 12 - INC'!D:D)</f>
        <v>0</v>
      </c>
      <c r="G924" s="2892"/>
      <c r="H924" s="2892"/>
      <c r="I924" s="2892"/>
      <c r="J924" s="2893">
        <f>SUM(E924:I924)</f>
        <v>412.4</v>
      </c>
      <c r="K924" s="4502"/>
      <c r="L924" s="434"/>
      <c r="M924" s="810"/>
      <c r="R924" s="773"/>
      <c r="T924" s="773"/>
      <c r="U924" s="2173"/>
      <c r="V924" s="2509"/>
      <c r="W924" s="2509"/>
      <c r="X924" s="2509"/>
      <c r="Y924" s="2509"/>
      <c r="AH924" s="11">
        <v>63.77</v>
      </c>
      <c r="AI924" s="11">
        <v>90.32</v>
      </c>
      <c r="AJ924" s="11">
        <v>136.99999999999997</v>
      </c>
      <c r="AK924" s="11">
        <f>$J924-SUM($Z924:AJ924)</f>
        <v>121.31</v>
      </c>
      <c r="AW924" s="2509"/>
      <c r="BE924" s="2173"/>
      <c r="BF924" s="2173"/>
      <c r="BG924" s="2173"/>
      <c r="BH924" s="2173"/>
      <c r="BI924" s="2173"/>
      <c r="BJ924" s="2173"/>
      <c r="BK924" s="2173"/>
      <c r="BL924" s="773"/>
      <c r="BN924" s="773"/>
      <c r="BO924" s="209"/>
      <c r="CH924" s="878"/>
      <c r="CI924" s="4"/>
      <c r="CJ924" s="4"/>
      <c r="DB924" s="773"/>
      <c r="DC924" s="773"/>
      <c r="DD924" s="773"/>
      <c r="DE924" s="773"/>
      <c r="DF924" s="773"/>
      <c r="DG924" s="773"/>
      <c r="DH924" s="773"/>
      <c r="DI924" s="773"/>
      <c r="DJ924" s="773"/>
      <c r="DK924" s="773"/>
      <c r="DL924" s="773"/>
      <c r="DM924" s="773"/>
      <c r="DN924" s="773"/>
      <c r="DO924" s="773"/>
      <c r="DP924" s="773"/>
      <c r="DQ924" s="773"/>
      <c r="DR924" s="773"/>
      <c r="DS924" s="773"/>
      <c r="DT924" s="773"/>
      <c r="DU924" s="773"/>
      <c r="DV924" s="773"/>
      <c r="DW924" s="773"/>
      <c r="DX924" s="773"/>
      <c r="DY924" s="773"/>
      <c r="DZ924" s="773"/>
      <c r="EA924" s="773"/>
      <c r="EB924" s="773"/>
      <c r="EC924" s="773"/>
      <c r="ED924" s="773"/>
      <c r="EE924" s="773"/>
      <c r="EF924" s="773"/>
      <c r="EG924" s="773"/>
      <c r="EH924" s="773"/>
      <c r="EI924" s="773"/>
      <c r="EJ924" s="773"/>
      <c r="EK924" s="773"/>
      <c r="EL924" s="773"/>
      <c r="EM924" s="773"/>
      <c r="EN924" s="773"/>
      <c r="EO924" s="773"/>
      <c r="EP924" s="773"/>
      <c r="EQ924" s="773"/>
      <c r="ER924" s="773"/>
      <c r="ES924" s="773"/>
      <c r="ET924" s="773"/>
      <c r="EU924" s="773"/>
      <c r="EV924" s="773"/>
      <c r="EW924" s="773"/>
      <c r="EX924" s="773"/>
      <c r="EY924" s="773"/>
      <c r="EZ924" s="773"/>
      <c r="FA924" s="773"/>
      <c r="FB924" s="773"/>
      <c r="FC924" s="773"/>
      <c r="FD924" s="773"/>
      <c r="FE924" s="773"/>
      <c r="FF924" s="773"/>
      <c r="FG924" s="773"/>
      <c r="FH924" s="773"/>
      <c r="FI924" s="773"/>
      <c r="FJ924" s="773"/>
      <c r="FK924" s="773"/>
      <c r="FL924" s="773"/>
      <c r="FM924" s="773"/>
      <c r="FN924" s="773"/>
      <c r="FO924" s="773"/>
      <c r="FP924" s="773"/>
      <c r="FQ924" s="773"/>
      <c r="FR924" s="773"/>
      <c r="FS924" s="773"/>
      <c r="FT924" s="773"/>
      <c r="FU924" s="773"/>
      <c r="FV924" s="773"/>
      <c r="FW924" s="773"/>
      <c r="FX924" s="773"/>
      <c r="FY924" s="773"/>
      <c r="FZ924" s="773"/>
      <c r="GA924" s="773"/>
      <c r="GB924" s="773"/>
      <c r="GC924" s="773"/>
      <c r="GD924" s="773"/>
      <c r="GE924" s="773"/>
      <c r="GF924" s="773"/>
      <c r="GG924" s="773"/>
      <c r="GH924" s="773"/>
      <c r="GI924" s="773"/>
      <c r="GJ924" s="773"/>
      <c r="GK924" s="773"/>
      <c r="GL924" s="773"/>
      <c r="GM924" s="773"/>
      <c r="GN924" s="773"/>
      <c r="GO924" s="773"/>
      <c r="GP924" s="773"/>
      <c r="GQ924" s="773"/>
      <c r="GR924" s="773"/>
      <c r="GS924" s="773"/>
      <c r="GT924" s="773"/>
      <c r="GU924" s="773"/>
      <c r="GV924" s="773"/>
      <c r="GW924" s="773"/>
      <c r="GX924" s="773"/>
      <c r="GY924" s="773"/>
      <c r="GZ924" s="773"/>
    </row>
    <row r="925" spans="1:208" s="11" customFormat="1" ht="13.5" customHeight="1">
      <c r="A925" s="774"/>
      <c r="B925" s="3649"/>
      <c r="C925" s="197"/>
      <c r="D925" s="200"/>
      <c r="E925" s="798"/>
      <c r="F925" s="108"/>
      <c r="G925" s="108"/>
      <c r="H925" s="108"/>
      <c r="I925" s="108"/>
      <c r="J925" s="859"/>
      <c r="K925" s="3395"/>
      <c r="L925" s="434"/>
      <c r="M925" s="810"/>
      <c r="R925" s="773"/>
      <c r="T925" s="773"/>
      <c r="U925" s="2173"/>
      <c r="V925" s="2509"/>
      <c r="W925" s="2509"/>
      <c r="X925" s="2509"/>
      <c r="Y925" s="2509"/>
      <c r="AH925" s="11">
        <v>0</v>
      </c>
      <c r="AI925" s="11">
        <v>0</v>
      </c>
      <c r="AJ925" s="11">
        <v>0</v>
      </c>
      <c r="AK925" s="11">
        <f>$J925-SUM($Z925:AJ925)</f>
        <v>0</v>
      </c>
      <c r="AW925" s="2509"/>
      <c r="BE925" s="2173"/>
      <c r="BF925" s="2173"/>
      <c r="BG925" s="2173"/>
      <c r="BH925" s="2173"/>
      <c r="BI925" s="2173"/>
      <c r="BJ925" s="2173"/>
      <c r="BK925" s="2173"/>
      <c r="BL925" s="773"/>
      <c r="BN925" s="773"/>
      <c r="BO925" s="209"/>
      <c r="CH925" s="878"/>
      <c r="CI925" s="4"/>
      <c r="CJ925" s="4"/>
      <c r="DB925" s="773"/>
      <c r="DC925" s="773"/>
      <c r="DD925" s="773"/>
      <c r="DE925" s="773"/>
      <c r="DF925" s="773"/>
      <c r="DG925" s="773"/>
      <c r="DH925" s="773"/>
      <c r="DI925" s="773"/>
      <c r="DJ925" s="773"/>
      <c r="DK925" s="773"/>
      <c r="DL925" s="773"/>
      <c r="DM925" s="773"/>
      <c r="DN925" s="773"/>
      <c r="DO925" s="773"/>
      <c r="DP925" s="773"/>
      <c r="DQ925" s="773"/>
      <c r="DR925" s="773"/>
      <c r="DS925" s="773"/>
      <c r="DT925" s="773"/>
      <c r="DU925" s="773"/>
      <c r="DV925" s="773"/>
      <c r="DW925" s="773"/>
      <c r="DX925" s="773"/>
      <c r="DY925" s="773"/>
      <c r="DZ925" s="773"/>
      <c r="EA925" s="773"/>
      <c r="EB925" s="773"/>
      <c r="EC925" s="773"/>
      <c r="ED925" s="773"/>
      <c r="EE925" s="773"/>
      <c r="EF925" s="773"/>
      <c r="EG925" s="773"/>
      <c r="EH925" s="773"/>
      <c r="EI925" s="773"/>
      <c r="EJ925" s="773"/>
      <c r="EK925" s="773"/>
      <c r="EL925" s="773"/>
      <c r="EM925" s="773"/>
      <c r="EN925" s="773"/>
      <c r="EO925" s="773"/>
      <c r="EP925" s="773"/>
      <c r="EQ925" s="773"/>
      <c r="ER925" s="773"/>
      <c r="ES925" s="773"/>
      <c r="ET925" s="773"/>
      <c r="EU925" s="773"/>
      <c r="EV925" s="773"/>
      <c r="EW925" s="773"/>
      <c r="EX925" s="773"/>
      <c r="EY925" s="773"/>
      <c r="EZ925" s="773"/>
      <c r="FA925" s="773"/>
      <c r="FB925" s="773"/>
      <c r="FC925" s="773"/>
      <c r="FD925" s="773"/>
      <c r="FE925" s="773"/>
      <c r="FF925" s="773"/>
      <c r="FG925" s="773"/>
      <c r="FH925" s="773"/>
      <c r="FI925" s="773"/>
      <c r="FJ925" s="773"/>
      <c r="FK925" s="773"/>
      <c r="FL925" s="773"/>
      <c r="FM925" s="773"/>
      <c r="FN925" s="773"/>
      <c r="FO925" s="773"/>
      <c r="FP925" s="773"/>
      <c r="FQ925" s="773"/>
      <c r="FR925" s="773"/>
      <c r="FS925" s="773"/>
      <c r="FT925" s="773"/>
      <c r="FU925" s="773"/>
      <c r="FV925" s="773"/>
      <c r="FW925" s="773"/>
      <c r="FX925" s="773"/>
      <c r="FY925" s="773"/>
      <c r="FZ925" s="773"/>
      <c r="GA925" s="773"/>
      <c r="GB925" s="773"/>
      <c r="GC925" s="773"/>
      <c r="GD925" s="773"/>
      <c r="GE925" s="773"/>
      <c r="GF925" s="773"/>
      <c r="GG925" s="773"/>
      <c r="GH925" s="773"/>
      <c r="GI925" s="773"/>
      <c r="GJ925" s="773"/>
      <c r="GK925" s="773"/>
      <c r="GL925" s="773"/>
      <c r="GM925" s="773"/>
      <c r="GN925" s="773"/>
      <c r="GO925" s="773"/>
      <c r="GP925" s="773"/>
      <c r="GQ925" s="773"/>
      <c r="GR925" s="773"/>
      <c r="GS925" s="773"/>
      <c r="GT925" s="773"/>
      <c r="GU925" s="773"/>
      <c r="GV925" s="773"/>
      <c r="GW925" s="773"/>
      <c r="GX925" s="773"/>
      <c r="GY925" s="773"/>
      <c r="GZ925" s="773"/>
    </row>
    <row r="926" spans="1:208" s="773" customFormat="1">
      <c r="A926" s="780"/>
      <c r="B926" s="3761"/>
      <c r="C926" s="157"/>
      <c r="D926" s="953" t="s">
        <v>939</v>
      </c>
      <c r="E926" s="42"/>
      <c r="F926" s="108">
        <f>SUMIF('AJE 12 - INC'!B:B,'New TB INC'!C926,'AJE 12 - INC'!D:D)</f>
        <v>0</v>
      </c>
      <c r="G926" s="108"/>
      <c r="H926" s="108"/>
      <c r="I926" s="108"/>
      <c r="J926" s="798"/>
      <c r="K926" s="209"/>
      <c r="L926" s="449"/>
      <c r="M926" s="828"/>
      <c r="N926" s="11">
        <v>0</v>
      </c>
      <c r="O926" s="11">
        <v>0</v>
      </c>
      <c r="P926" s="11">
        <v>0</v>
      </c>
      <c r="Q926" s="11">
        <v>0</v>
      </c>
      <c r="R926" s="773">
        <v>0</v>
      </c>
      <c r="S926" s="11">
        <v>0</v>
      </c>
      <c r="T926" s="773">
        <v>0</v>
      </c>
      <c r="U926" s="2173">
        <v>0</v>
      </c>
      <c r="V926" s="2509">
        <v>0</v>
      </c>
      <c r="W926" s="2509">
        <v>0</v>
      </c>
      <c r="X926" s="2509">
        <v>0</v>
      </c>
      <c r="Y926" s="2509">
        <v>0</v>
      </c>
      <c r="Z926" s="11">
        <f>'[26]New TB INC'!Z859</f>
        <v>0</v>
      </c>
      <c r="AA926" s="11">
        <f>'[27]New TB INC'!AA864</f>
        <v>0</v>
      </c>
      <c r="AB926" s="11">
        <f>'[28]New TB INC'!AB873</f>
        <v>0</v>
      </c>
      <c r="AC926" s="11">
        <f>'[29]New TB INC'!AC874</f>
        <v>0</v>
      </c>
      <c r="AD926" s="11">
        <f>'[30]New TB INC'!AD861</f>
        <v>0</v>
      </c>
      <c r="AE926" s="11">
        <f>'[31]New TB INC'!AE870</f>
        <v>0</v>
      </c>
      <c r="AF926" s="11">
        <v>0</v>
      </c>
      <c r="AG926" s="11">
        <v>0</v>
      </c>
      <c r="AH926" s="11">
        <v>0</v>
      </c>
      <c r="AI926" s="11">
        <v>0</v>
      </c>
      <c r="AJ926" s="11">
        <v>0</v>
      </c>
      <c r="AK926" s="11">
        <f>$J926-SUM($Z926:AJ926)</f>
        <v>0</v>
      </c>
      <c r="AL926" s="11"/>
      <c r="AM926" s="11"/>
      <c r="AN926" s="11"/>
      <c r="AO926" s="11"/>
      <c r="AP926" s="11"/>
      <c r="AQ926" s="11"/>
      <c r="AR926" s="11"/>
      <c r="AS926" s="11"/>
      <c r="AT926" s="11"/>
      <c r="AU926" s="11"/>
      <c r="AW926" s="2509"/>
      <c r="BE926" s="2173"/>
      <c r="BF926" s="2173"/>
      <c r="BG926" s="2173"/>
      <c r="BH926" s="2173"/>
      <c r="BI926" s="2173"/>
      <c r="BJ926" s="2173"/>
      <c r="BK926" s="2173"/>
      <c r="BM926" s="11"/>
      <c r="BO926" s="209"/>
      <c r="BP926" s="11"/>
      <c r="BQ926" s="11"/>
      <c r="BR926" s="11"/>
      <c r="BS926" s="11"/>
      <c r="BT926" s="209"/>
      <c r="BU926" s="209"/>
      <c r="BV926" s="209"/>
      <c r="BW926" s="820"/>
      <c r="BX926" s="209"/>
      <c r="BY926" s="209"/>
      <c r="BZ926" s="209"/>
      <c r="CA926" s="209"/>
    </row>
    <row r="927" spans="1:208" s="773" customFormat="1">
      <c r="A927" s="780"/>
      <c r="B927" s="3761" t="s">
        <v>1819</v>
      </c>
      <c r="C927" s="197">
        <v>7122001</v>
      </c>
      <c r="D927" s="199" t="s">
        <v>3658</v>
      </c>
      <c r="E927" s="42">
        <f>IFERROR(VLOOKUP(C927,'AJE 12 - INC'!$D$168:$F$771,3,0),0)</f>
        <v>1482.8</v>
      </c>
      <c r="F927" s="108">
        <f>SUMIF('AJE 12 - INC'!B:B,'New TB INC'!C927,'AJE 12 - INC'!D:D)</f>
        <v>0</v>
      </c>
      <c r="G927" s="108"/>
      <c r="H927" s="108"/>
      <c r="I927" s="108"/>
      <c r="J927" s="798">
        <f>SUM(E927:I927)</f>
        <v>1482.8</v>
      </c>
      <c r="K927" s="209"/>
      <c r="L927" s="449"/>
      <c r="M927" s="828"/>
      <c r="N927" s="11"/>
      <c r="O927" s="11"/>
      <c r="P927" s="11"/>
      <c r="Q927" s="11"/>
      <c r="S927" s="11"/>
      <c r="U927" s="2173"/>
      <c r="V927" s="2509"/>
      <c r="W927" s="2509"/>
      <c r="X927" s="2509"/>
      <c r="Y927" s="2509"/>
      <c r="Z927" s="11"/>
      <c r="AA927" s="11"/>
      <c r="AB927" s="11"/>
      <c r="AC927" s="11"/>
      <c r="AD927" s="11"/>
      <c r="AE927" s="11">
        <f>'[31]New TB INC'!AE871</f>
        <v>1482.8</v>
      </c>
      <c r="AF927" s="11">
        <v>0</v>
      </c>
      <c r="AG927" s="11">
        <v>0</v>
      </c>
      <c r="AH927" s="11">
        <v>0</v>
      </c>
      <c r="AI927" s="11">
        <v>0</v>
      </c>
      <c r="AJ927" s="11">
        <v>0</v>
      </c>
      <c r="AK927" s="11">
        <f>$J927-SUM($Z927:AJ927)</f>
        <v>0</v>
      </c>
      <c r="AL927" s="11"/>
      <c r="AM927" s="11"/>
      <c r="AN927" s="11"/>
      <c r="AO927" s="11"/>
      <c r="AP927" s="11"/>
      <c r="AQ927" s="11"/>
      <c r="AR927" s="11"/>
      <c r="AS927" s="11"/>
      <c r="AT927" s="11"/>
      <c r="AU927" s="11"/>
      <c r="AW927" s="2509"/>
      <c r="BE927" s="2173"/>
      <c r="BF927" s="2173"/>
      <c r="BG927" s="2173"/>
      <c r="BH927" s="2173"/>
      <c r="BI927" s="2173"/>
      <c r="BJ927" s="2173"/>
      <c r="BK927" s="2173"/>
      <c r="BM927" s="11"/>
      <c r="BO927" s="209"/>
      <c r="BP927" s="11"/>
      <c r="BQ927" s="11"/>
      <c r="BR927" s="11"/>
      <c r="BS927" s="11"/>
      <c r="BT927" s="209"/>
      <c r="BU927" s="209"/>
      <c r="BV927" s="209"/>
      <c r="BW927" s="820"/>
      <c r="BX927" s="209"/>
      <c r="BY927" s="209"/>
      <c r="BZ927" s="209"/>
      <c r="CA927" s="209"/>
    </row>
    <row r="928" spans="1:208" s="773" customFormat="1">
      <c r="A928" s="780"/>
      <c r="B928" s="3761" t="s">
        <v>1819</v>
      </c>
      <c r="C928" s="197">
        <v>7123002</v>
      </c>
      <c r="D928" s="199" t="s">
        <v>3759</v>
      </c>
      <c r="E928" s="42">
        <f>IFERROR(VLOOKUP(C928,'AJE 12 - INC'!$D$168:$F$771,3,0),0)</f>
        <v>844.79</v>
      </c>
      <c r="F928" s="108">
        <f>SUMIF('AJE 12 - INC'!B:B,'New TB INC'!C928,'AJE 12 - INC'!D:D)</f>
        <v>0</v>
      </c>
      <c r="G928" s="108"/>
      <c r="H928" s="108"/>
      <c r="I928" s="108"/>
      <c r="J928" s="798">
        <f>SUM(E928:I928)</f>
        <v>844.79</v>
      </c>
      <c r="K928" s="209"/>
      <c r="L928" s="449"/>
      <c r="M928" s="828"/>
      <c r="N928" s="11"/>
      <c r="O928" s="11"/>
      <c r="P928" s="11"/>
      <c r="Q928" s="11"/>
      <c r="S928" s="11"/>
      <c r="U928" s="2173"/>
      <c r="V928" s="2509"/>
      <c r="W928" s="2509"/>
      <c r="X928" s="2509"/>
      <c r="Y928" s="2509"/>
      <c r="Z928" s="11"/>
      <c r="AA928" s="11"/>
      <c r="AB928" s="11"/>
      <c r="AC928" s="11"/>
      <c r="AD928" s="11"/>
      <c r="AE928" s="11">
        <v>512.37</v>
      </c>
      <c r="AF928" s="11">
        <v>332.41999999999996</v>
      </c>
      <c r="AG928" s="11">
        <v>0</v>
      </c>
      <c r="AH928" s="11">
        <v>0</v>
      </c>
      <c r="AI928" s="11">
        <v>0</v>
      </c>
      <c r="AJ928" s="11">
        <v>0</v>
      </c>
      <c r="AK928" s="11">
        <f>$J928-SUM($Z928:AJ928)</f>
        <v>0</v>
      </c>
      <c r="AL928" s="11"/>
      <c r="AM928" s="11"/>
      <c r="AN928" s="11"/>
      <c r="AO928" s="11"/>
      <c r="AP928" s="11"/>
      <c r="AQ928" s="11"/>
      <c r="AR928" s="11"/>
      <c r="AS928" s="11"/>
      <c r="AT928" s="11"/>
      <c r="AU928" s="11"/>
      <c r="AW928" s="2509"/>
      <c r="BE928" s="2173"/>
      <c r="BF928" s="2173"/>
      <c r="BG928" s="2173"/>
      <c r="BH928" s="2173"/>
      <c r="BI928" s="2173"/>
      <c r="BJ928" s="2173"/>
      <c r="BK928" s="2173"/>
      <c r="BM928" s="11"/>
      <c r="BO928" s="209"/>
      <c r="BP928" s="11"/>
      <c r="BQ928" s="11"/>
      <c r="BR928" s="11"/>
      <c r="BS928" s="11"/>
      <c r="BT928" s="209"/>
      <c r="BU928" s="209"/>
      <c r="BV928" s="209"/>
      <c r="BW928" s="820"/>
      <c r="BX928" s="209"/>
      <c r="BY928" s="209"/>
      <c r="BZ928" s="209"/>
      <c r="CA928" s="209"/>
    </row>
    <row r="929" spans="1:208" s="773" customFormat="1">
      <c r="A929" s="780"/>
      <c r="B929" s="3761" t="s">
        <v>1819</v>
      </c>
      <c r="C929" s="197">
        <v>7123003</v>
      </c>
      <c r="D929" s="199" t="s">
        <v>3760</v>
      </c>
      <c r="E929" s="42">
        <f>IFERROR(VLOOKUP(C929,'AJE 12 - INC'!$D$168:$F$771,3,0),0)</f>
        <v>59</v>
      </c>
      <c r="F929" s="108">
        <f>SUMIF('AJE 12 - INC'!B:B,'New TB INC'!C929,'AJE 12 - INC'!D:D)</f>
        <v>0</v>
      </c>
      <c r="G929" s="108"/>
      <c r="H929" s="108"/>
      <c r="I929" s="108"/>
      <c r="J929" s="798">
        <f>SUM(E929:I929)</f>
        <v>59</v>
      </c>
      <c r="K929" s="209"/>
      <c r="L929" s="449"/>
      <c r="M929" s="828"/>
      <c r="N929" s="11"/>
      <c r="O929" s="11"/>
      <c r="P929" s="11"/>
      <c r="Q929" s="11"/>
      <c r="S929" s="11"/>
      <c r="U929" s="2173"/>
      <c r="V929" s="2509"/>
      <c r="W929" s="2509"/>
      <c r="X929" s="2509"/>
      <c r="Y929" s="2509"/>
      <c r="Z929" s="11"/>
      <c r="AA929" s="11"/>
      <c r="AB929" s="11"/>
      <c r="AC929" s="11"/>
      <c r="AD929" s="11"/>
      <c r="AE929" s="11">
        <v>40</v>
      </c>
      <c r="AF929" s="11">
        <v>19</v>
      </c>
      <c r="AG929" s="11">
        <v>0</v>
      </c>
      <c r="AH929" s="11">
        <v>0</v>
      </c>
      <c r="AI929" s="11">
        <v>0</v>
      </c>
      <c r="AJ929" s="11">
        <v>0</v>
      </c>
      <c r="AK929" s="11">
        <f>$J929-SUM($Z929:AJ929)</f>
        <v>0</v>
      </c>
      <c r="AL929" s="11"/>
      <c r="AM929" s="11"/>
      <c r="AN929" s="11"/>
      <c r="AO929" s="11"/>
      <c r="AP929" s="11"/>
      <c r="AQ929" s="11"/>
      <c r="AR929" s="11"/>
      <c r="AS929" s="11"/>
      <c r="AT929" s="11"/>
      <c r="AU929" s="11"/>
      <c r="AW929" s="2509"/>
      <c r="BE929" s="2173"/>
      <c r="BF929" s="2173"/>
      <c r="BG929" s="2173"/>
      <c r="BH929" s="2173"/>
      <c r="BI929" s="2173"/>
      <c r="BJ929" s="2173"/>
      <c r="BK929" s="2173"/>
      <c r="BM929" s="11"/>
      <c r="BO929" s="209"/>
      <c r="BP929" s="11"/>
      <c r="BQ929" s="11"/>
      <c r="BR929" s="11"/>
      <c r="BS929" s="11"/>
      <c r="BT929" s="209"/>
      <c r="BU929" s="209"/>
      <c r="BV929" s="209"/>
      <c r="BW929" s="820"/>
      <c r="BX929" s="209"/>
      <c r="BY929" s="209"/>
      <c r="BZ929" s="209"/>
      <c r="CA929" s="209"/>
    </row>
    <row r="930" spans="1:208" s="773" customFormat="1">
      <c r="A930" s="780"/>
      <c r="B930" s="3761" t="s">
        <v>1819</v>
      </c>
      <c r="C930" s="197">
        <v>7123004</v>
      </c>
      <c r="D930" s="199" t="s">
        <v>3761</v>
      </c>
      <c r="E930" s="42">
        <f>IFERROR(VLOOKUP(C930,'AJE 12 - INC'!$D$168:$F$771,3,0),0)</f>
        <v>288.92</v>
      </c>
      <c r="F930" s="108">
        <f>SUMIF('AJE 12 - INC'!B:B,'New TB INC'!C930,'AJE 12 - INC'!D:D)</f>
        <v>0</v>
      </c>
      <c r="G930" s="108"/>
      <c r="H930" s="108"/>
      <c r="I930" s="108"/>
      <c r="J930" s="798">
        <f>SUM(E930:I930)</f>
        <v>288.92</v>
      </c>
      <c r="K930" s="209"/>
      <c r="L930" s="449"/>
      <c r="M930" s="828"/>
      <c r="N930" s="11"/>
      <c r="O930" s="11"/>
      <c r="P930" s="11"/>
      <c r="Q930" s="11"/>
      <c r="S930" s="11"/>
      <c r="U930" s="2173"/>
      <c r="V930" s="2509"/>
      <c r="W930" s="2509"/>
      <c r="X930" s="2509"/>
      <c r="Y930" s="2509"/>
      <c r="Z930" s="11"/>
      <c r="AA930" s="11"/>
      <c r="AB930" s="11"/>
      <c r="AC930" s="11"/>
      <c r="AD930" s="11"/>
      <c r="AE930" s="11">
        <v>146.77000000000001</v>
      </c>
      <c r="AF930" s="11">
        <v>142.15</v>
      </c>
      <c r="AG930" s="11">
        <v>0</v>
      </c>
      <c r="AH930" s="11">
        <v>0</v>
      </c>
      <c r="AI930" s="11">
        <v>0</v>
      </c>
      <c r="AJ930" s="11">
        <v>0</v>
      </c>
      <c r="AK930" s="11">
        <f>$J930-SUM($Z930:AJ930)</f>
        <v>0</v>
      </c>
      <c r="AL930" s="11"/>
      <c r="AM930" s="11"/>
      <c r="AN930" s="11"/>
      <c r="AO930" s="11"/>
      <c r="AP930" s="11"/>
      <c r="AQ930" s="11"/>
      <c r="AR930" s="11"/>
      <c r="AS930" s="11"/>
      <c r="AT930" s="11"/>
      <c r="AU930" s="11"/>
      <c r="AW930" s="2509"/>
      <c r="BE930" s="2173"/>
      <c r="BF930" s="2173"/>
      <c r="BG930" s="2173"/>
      <c r="BH930" s="2173"/>
      <c r="BI930" s="2173"/>
      <c r="BJ930" s="2173"/>
      <c r="BK930" s="2173"/>
      <c r="BM930" s="11"/>
      <c r="BO930" s="209"/>
      <c r="BP930" s="11"/>
      <c r="BQ930" s="11"/>
      <c r="BR930" s="11"/>
      <c r="BS930" s="11"/>
      <c r="BT930" s="209"/>
      <c r="BU930" s="209"/>
      <c r="BV930" s="209"/>
      <c r="BW930" s="820"/>
      <c r="BX930" s="209"/>
      <c r="BY930" s="209"/>
      <c r="BZ930" s="209"/>
      <c r="CA930" s="209"/>
    </row>
    <row r="931" spans="1:208" s="11" customFormat="1">
      <c r="A931" s="780"/>
      <c r="B931" s="3761" t="s">
        <v>758</v>
      </c>
      <c r="C931" s="197">
        <v>7120001</v>
      </c>
      <c r="D931" s="199" t="s">
        <v>940</v>
      </c>
      <c r="E931" s="42">
        <f>IFERROR(VLOOKUP(C931,'AJE 12 - INC'!$D$168:$F$771,3,0),0)</f>
        <v>281.77999999999997</v>
      </c>
      <c r="F931" s="108">
        <f>SUMIF('AJE 12 - INC'!B:B,'New TB INC'!C931,'AJE 12 - INC'!D:D)</f>
        <v>0</v>
      </c>
      <c r="G931" s="108"/>
      <c r="H931" s="108"/>
      <c r="I931" s="108"/>
      <c r="J931" s="798">
        <f t="shared" ref="J931:J965" si="93">SUM(E931:I931)</f>
        <v>281.77999999999997</v>
      </c>
      <c r="K931" s="209"/>
      <c r="L931" s="434"/>
      <c r="M931" s="810"/>
      <c r="N931" s="11">
        <v>0</v>
      </c>
      <c r="O931" s="11">
        <v>2841.9</v>
      </c>
      <c r="P931" s="11">
        <v>0</v>
      </c>
      <c r="Q931" s="11">
        <v>0</v>
      </c>
      <c r="R931" s="773">
        <v>0</v>
      </c>
      <c r="S931" s="11">
        <v>0</v>
      </c>
      <c r="T931" s="773">
        <v>0</v>
      </c>
      <c r="U931" s="2173">
        <v>252.96000000000004</v>
      </c>
      <c r="V931" s="2509">
        <v>0</v>
      </c>
      <c r="W931" s="2509">
        <v>277.96000000000004</v>
      </c>
      <c r="X931" s="2509">
        <v>0</v>
      </c>
      <c r="Y931" s="2509">
        <v>673.39999999999964</v>
      </c>
      <c r="Z931" s="11">
        <f>'[26]New TB INC'!Z860</f>
        <v>0</v>
      </c>
      <c r="AA931" s="11">
        <f>'[27]New TB INC'!AA865</f>
        <v>0</v>
      </c>
      <c r="AB931" s="11">
        <f>'[28]New TB INC'!AB874</f>
        <v>0</v>
      </c>
      <c r="AC931" s="11">
        <f>'[29]New TB INC'!AC875</f>
        <v>0</v>
      </c>
      <c r="AD931" s="11">
        <f>'[150]New TB INC'!AD873</f>
        <v>0</v>
      </c>
      <c r="AE931" s="11">
        <f>'[150]New TB INC'!AE873</f>
        <v>0</v>
      </c>
      <c r="AF931" s="11">
        <v>0</v>
      </c>
      <c r="AG931" s="11">
        <v>281.77999999999997</v>
      </c>
      <c r="AH931" s="11">
        <v>0</v>
      </c>
      <c r="AI931" s="11">
        <v>0</v>
      </c>
      <c r="AJ931" s="11">
        <v>0</v>
      </c>
      <c r="AK931" s="11">
        <f>$J931-SUM($Z931:AJ931)</f>
        <v>0</v>
      </c>
      <c r="AW931" s="2509"/>
      <c r="BE931" s="2173"/>
      <c r="BF931" s="2173"/>
      <c r="BG931" s="2173"/>
      <c r="BH931" s="2173"/>
      <c r="BI931" s="2173"/>
      <c r="BJ931" s="2173"/>
      <c r="BK931" s="2173"/>
      <c r="BL931" s="773"/>
      <c r="BN931" s="773"/>
      <c r="BO931" s="209"/>
      <c r="BS931" s="209"/>
      <c r="BT931" s="209"/>
      <c r="BU931" s="209"/>
      <c r="BV931" s="209"/>
      <c r="BW931" s="820"/>
      <c r="BX931" s="209"/>
      <c r="BY931" s="209"/>
      <c r="BZ931" s="799"/>
      <c r="CA931" s="799"/>
      <c r="DB931" s="773"/>
      <c r="DC931" s="773"/>
      <c r="DD931" s="773"/>
      <c r="DE931" s="773"/>
      <c r="DF931" s="773"/>
      <c r="DG931" s="773"/>
      <c r="DH931" s="773"/>
      <c r="DI931" s="773"/>
      <c r="DJ931" s="773"/>
      <c r="DK931" s="773"/>
      <c r="DL931" s="773"/>
      <c r="DM931" s="773"/>
      <c r="DN931" s="773"/>
      <c r="DO931" s="773"/>
      <c r="DP931" s="773"/>
      <c r="DQ931" s="773"/>
      <c r="DR931" s="773"/>
      <c r="DS931" s="773"/>
      <c r="DT931" s="773"/>
      <c r="DU931" s="773"/>
      <c r="DV931" s="773"/>
      <c r="DW931" s="773"/>
      <c r="DX931" s="773"/>
      <c r="DY931" s="773"/>
      <c r="DZ931" s="773"/>
      <c r="EA931" s="773"/>
      <c r="EB931" s="773"/>
      <c r="EC931" s="773"/>
      <c r="ED931" s="773"/>
      <c r="EE931" s="773"/>
      <c r="EF931" s="773"/>
      <c r="EG931" s="773"/>
      <c r="EH931" s="773"/>
      <c r="EI931" s="773"/>
      <c r="EJ931" s="773"/>
      <c r="EK931" s="773"/>
      <c r="EL931" s="773"/>
      <c r="EM931" s="773"/>
      <c r="EN931" s="773"/>
      <c r="EO931" s="773"/>
      <c r="EP931" s="773"/>
      <c r="EQ931" s="773"/>
      <c r="ER931" s="773"/>
      <c r="ES931" s="773"/>
      <c r="ET931" s="773"/>
      <c r="EU931" s="773"/>
      <c r="EV931" s="773"/>
      <c r="EW931" s="773"/>
      <c r="EX931" s="773"/>
      <c r="EY931" s="773"/>
      <c r="EZ931" s="773"/>
      <c r="FA931" s="773"/>
      <c r="FB931" s="773"/>
      <c r="FC931" s="773"/>
      <c r="FD931" s="773"/>
      <c r="FE931" s="773"/>
      <c r="FF931" s="773"/>
      <c r="FG931" s="773"/>
      <c r="FH931" s="773"/>
      <c r="FI931" s="773"/>
      <c r="FJ931" s="773"/>
      <c r="FK931" s="773"/>
      <c r="FL931" s="773"/>
      <c r="FM931" s="773"/>
      <c r="FN931" s="773"/>
      <c r="FO931" s="773"/>
      <c r="FP931" s="773"/>
      <c r="FQ931" s="773"/>
      <c r="FR931" s="773"/>
      <c r="FS931" s="773"/>
      <c r="FT931" s="773"/>
      <c r="FU931" s="773"/>
      <c r="FV931" s="773"/>
      <c r="FW931" s="773"/>
      <c r="FX931" s="773"/>
      <c r="FY931" s="773"/>
      <c r="FZ931" s="773"/>
      <c r="GA931" s="773"/>
      <c r="GB931" s="773"/>
      <c r="GC931" s="773"/>
      <c r="GD931" s="773"/>
      <c r="GE931" s="773"/>
      <c r="GF931" s="773"/>
      <c r="GG931" s="773"/>
      <c r="GH931" s="773"/>
      <c r="GI931" s="773"/>
      <c r="GJ931" s="773"/>
      <c r="GK931" s="773"/>
      <c r="GL931" s="773"/>
      <c r="GM931" s="773"/>
      <c r="GN931" s="773"/>
      <c r="GO931" s="773"/>
      <c r="GP931" s="773"/>
      <c r="GQ931" s="773"/>
      <c r="GR931" s="773"/>
      <c r="GS931" s="773"/>
      <c r="GT931" s="773"/>
      <c r="GU931" s="773"/>
      <c r="GV931" s="773"/>
      <c r="GW931" s="773"/>
      <c r="GX931" s="773"/>
      <c r="GY931" s="773"/>
      <c r="GZ931" s="773"/>
    </row>
    <row r="932" spans="1:208" s="11" customFormat="1">
      <c r="A932" s="774"/>
      <c r="B932" s="3761" t="s">
        <v>758</v>
      </c>
      <c r="C932" s="197">
        <v>7120002</v>
      </c>
      <c r="D932" s="200" t="s">
        <v>941</v>
      </c>
      <c r="E932" s="42">
        <f>IFERROR(VLOOKUP(C932,'AJE 12 - INC'!$D$168:$F$771,3,0),0)</f>
        <v>2983.73</v>
      </c>
      <c r="F932" s="108">
        <f>SUMIF('AJE 12 - INC'!B:B,'New TB INC'!C932,'AJE 12 - INC'!D:D)</f>
        <v>0</v>
      </c>
      <c r="G932" s="108"/>
      <c r="H932" s="108"/>
      <c r="I932" s="108"/>
      <c r="J932" s="798">
        <f t="shared" si="93"/>
        <v>2983.73</v>
      </c>
      <c r="K932" s="209"/>
      <c r="L932" s="434"/>
      <c r="M932" s="810"/>
      <c r="N932" s="11">
        <v>0</v>
      </c>
      <c r="O932" s="11">
        <v>2608.1799999999998</v>
      </c>
      <c r="P932" s="11">
        <v>0</v>
      </c>
      <c r="Q932" s="11">
        <v>0</v>
      </c>
      <c r="R932" s="773">
        <v>0</v>
      </c>
      <c r="S932" s="11">
        <v>0</v>
      </c>
      <c r="T932" s="773">
        <v>0</v>
      </c>
      <c r="U932" s="2173">
        <v>637.32000000000016</v>
      </c>
      <c r="V932" s="2509">
        <v>0</v>
      </c>
      <c r="W932" s="2509">
        <v>482.32999999999993</v>
      </c>
      <c r="X932" s="2509">
        <v>0</v>
      </c>
      <c r="Y932" s="2509">
        <v>636.77999999999975</v>
      </c>
      <c r="Z932" s="11">
        <f>'[26]New TB INC'!Z861</f>
        <v>0</v>
      </c>
      <c r="AA932" s="11">
        <f>'[27]New TB INC'!AA866</f>
        <v>0</v>
      </c>
      <c r="AB932" s="11">
        <f>'[28]New TB INC'!AB875</f>
        <v>0</v>
      </c>
      <c r="AC932" s="11">
        <f>'[29]New TB INC'!AC876</f>
        <v>0</v>
      </c>
      <c r="AD932" s="11">
        <f>'[150]New TB INC'!AD874</f>
        <v>0</v>
      </c>
      <c r="AE932" s="11">
        <f>'[150]New TB INC'!AE874</f>
        <v>0</v>
      </c>
      <c r="AF932" s="11">
        <v>0</v>
      </c>
      <c r="AG932" s="11">
        <v>110.07</v>
      </c>
      <c r="AH932" s="11">
        <v>741.79</v>
      </c>
      <c r="AI932" s="11">
        <v>160.1400000000001</v>
      </c>
      <c r="AJ932" s="11">
        <v>594.73</v>
      </c>
      <c r="AK932" s="11">
        <f>$J932-SUM($Z932:AJ932)</f>
        <v>1377</v>
      </c>
      <c r="AW932" s="2509"/>
      <c r="BE932" s="2173"/>
      <c r="BF932" s="2173"/>
      <c r="BG932" s="2173"/>
      <c r="BH932" s="2173"/>
      <c r="BI932" s="2173"/>
      <c r="BJ932" s="2173"/>
      <c r="BK932" s="2173"/>
      <c r="BL932" s="773"/>
      <c r="BN932" s="773"/>
      <c r="BO932" s="209"/>
      <c r="BQ932" s="209"/>
      <c r="BR932" s="209"/>
      <c r="BS932" s="209"/>
      <c r="CH932" s="878"/>
      <c r="CI932" s="4"/>
      <c r="CJ932" s="4"/>
      <c r="DB932" s="773"/>
      <c r="DC932" s="773"/>
      <c r="DD932" s="773"/>
      <c r="DE932" s="773"/>
      <c r="DF932" s="773"/>
      <c r="DG932" s="773"/>
      <c r="DH932" s="773"/>
      <c r="DI932" s="773"/>
      <c r="DJ932" s="773"/>
      <c r="DK932" s="773"/>
      <c r="DL932" s="773"/>
      <c r="DM932" s="773"/>
      <c r="DN932" s="773"/>
      <c r="DO932" s="773"/>
      <c r="DP932" s="773"/>
      <c r="DQ932" s="773"/>
      <c r="DR932" s="773"/>
      <c r="DS932" s="773"/>
      <c r="DT932" s="773"/>
      <c r="DU932" s="773"/>
      <c r="DV932" s="773"/>
      <c r="DW932" s="773"/>
      <c r="DX932" s="773"/>
      <c r="DY932" s="773"/>
      <c r="DZ932" s="773"/>
      <c r="EA932" s="773"/>
      <c r="EB932" s="773"/>
      <c r="EC932" s="773"/>
      <c r="ED932" s="773"/>
      <c r="EE932" s="773"/>
      <c r="EF932" s="773"/>
      <c r="EG932" s="773"/>
      <c r="EH932" s="773"/>
      <c r="EI932" s="773"/>
      <c r="EJ932" s="773"/>
      <c r="EK932" s="773"/>
      <c r="EL932" s="773"/>
      <c r="EM932" s="773"/>
      <c r="EN932" s="773"/>
      <c r="EO932" s="773"/>
      <c r="EP932" s="773"/>
      <c r="EQ932" s="773"/>
      <c r="ER932" s="773"/>
      <c r="ES932" s="773"/>
      <c r="ET932" s="773"/>
      <c r="EU932" s="773"/>
      <c r="EV932" s="773"/>
      <c r="EW932" s="773"/>
      <c r="EX932" s="773"/>
      <c r="EY932" s="773"/>
      <c r="EZ932" s="773"/>
      <c r="FA932" s="773"/>
      <c r="FB932" s="773"/>
      <c r="FC932" s="773"/>
      <c r="FD932" s="773"/>
      <c r="FE932" s="773"/>
      <c r="FF932" s="773"/>
      <c r="FG932" s="773"/>
      <c r="FH932" s="773"/>
      <c r="FI932" s="773"/>
      <c r="FJ932" s="773"/>
      <c r="FK932" s="773"/>
      <c r="FL932" s="773"/>
      <c r="FM932" s="773"/>
      <c r="FN932" s="773"/>
      <c r="FO932" s="773"/>
      <c r="FP932" s="773"/>
      <c r="FQ932" s="773"/>
      <c r="FR932" s="773"/>
      <c r="FS932" s="773"/>
      <c r="FT932" s="773"/>
      <c r="FU932" s="773"/>
      <c r="FV932" s="773"/>
      <c r="FW932" s="773"/>
      <c r="FX932" s="773"/>
      <c r="FY932" s="773"/>
      <c r="FZ932" s="773"/>
      <c r="GA932" s="773"/>
      <c r="GB932" s="773"/>
      <c r="GC932" s="773"/>
      <c r="GD932" s="773"/>
      <c r="GE932" s="773"/>
      <c r="GF932" s="773"/>
      <c r="GG932" s="773"/>
      <c r="GH932" s="773"/>
      <c r="GI932" s="773"/>
      <c r="GJ932" s="773"/>
      <c r="GK932" s="773"/>
      <c r="GL932" s="773"/>
      <c r="GM932" s="773"/>
      <c r="GN932" s="773"/>
      <c r="GO932" s="773"/>
      <c r="GP932" s="773"/>
      <c r="GQ932" s="773"/>
      <c r="GR932" s="773"/>
      <c r="GS932" s="773"/>
      <c r="GT932" s="773"/>
      <c r="GU932" s="773"/>
      <c r="GV932" s="773"/>
      <c r="GW932" s="773"/>
      <c r="GX932" s="773"/>
      <c r="GY932" s="773"/>
      <c r="GZ932" s="773"/>
    </row>
    <row r="933" spans="1:208" s="11" customFormat="1">
      <c r="A933" s="774"/>
      <c r="B933" s="3761" t="s">
        <v>758</v>
      </c>
      <c r="C933" s="197">
        <v>7120003</v>
      </c>
      <c r="D933" s="200" t="s">
        <v>942</v>
      </c>
      <c r="E933" s="42">
        <f>IFERROR(VLOOKUP(C933,'AJE 12 - INC'!$D$168:$F$771,3,0),0)</f>
        <v>452.29</v>
      </c>
      <c r="F933" s="108">
        <f>SUMIF('AJE 12 - INC'!B:B,'New TB INC'!C933,'AJE 12 - INC'!D:D)</f>
        <v>0</v>
      </c>
      <c r="G933" s="108"/>
      <c r="H933" s="108"/>
      <c r="I933" s="108"/>
      <c r="J933" s="798">
        <f t="shared" si="93"/>
        <v>452.29</v>
      </c>
      <c r="K933" s="209"/>
      <c r="L933" s="434"/>
      <c r="M933" s="810"/>
      <c r="N933" s="11">
        <v>0</v>
      </c>
      <c r="O933" s="11">
        <v>502.36</v>
      </c>
      <c r="P933" s="11">
        <v>0</v>
      </c>
      <c r="Q933" s="11">
        <v>0</v>
      </c>
      <c r="R933" s="773">
        <v>0</v>
      </c>
      <c r="S933" s="11">
        <v>0</v>
      </c>
      <c r="T933" s="773">
        <v>0</v>
      </c>
      <c r="U933" s="2173">
        <v>85.75</v>
      </c>
      <c r="V933" s="2509">
        <v>0</v>
      </c>
      <c r="W933" s="2509">
        <v>50.5</v>
      </c>
      <c r="X933" s="2509">
        <v>0</v>
      </c>
      <c r="Y933" s="2509">
        <v>266.04999999999995</v>
      </c>
      <c r="Z933" s="11">
        <f>'[26]New TB INC'!Z862</f>
        <v>0</v>
      </c>
      <c r="AA933" s="11">
        <f>'[27]New TB INC'!AA867</f>
        <v>0</v>
      </c>
      <c r="AB933" s="11">
        <f>'[28]New TB INC'!AB876</f>
        <v>0</v>
      </c>
      <c r="AC933" s="11">
        <f>'[29]New TB INC'!AC877</f>
        <v>0</v>
      </c>
      <c r="AD933" s="11">
        <f>'[150]New TB INC'!AD875</f>
        <v>0</v>
      </c>
      <c r="AE933" s="11">
        <f>'[150]New TB INC'!AE875</f>
        <v>0</v>
      </c>
      <c r="AF933" s="11">
        <v>0</v>
      </c>
      <c r="AG933" s="11">
        <v>97.78</v>
      </c>
      <c r="AH933" s="11">
        <v>132.01</v>
      </c>
      <c r="AI933" s="11">
        <v>91.750000000000028</v>
      </c>
      <c r="AJ933" s="11">
        <v>130.75</v>
      </c>
      <c r="AK933" s="11">
        <f>$J933-SUM($Z933:AJ933)</f>
        <v>0</v>
      </c>
      <c r="AW933" s="2509"/>
      <c r="BE933" s="2173"/>
      <c r="BF933" s="2173"/>
      <c r="BG933" s="2173"/>
      <c r="BH933" s="2173"/>
      <c r="BI933" s="2173"/>
      <c r="BJ933" s="2173"/>
      <c r="BK933" s="2173"/>
      <c r="BL933" s="773"/>
      <c r="BN933" s="773"/>
      <c r="BO933" s="209"/>
      <c r="BQ933" s="209"/>
      <c r="BR933" s="209"/>
      <c r="CH933" s="878"/>
      <c r="CI933" s="4"/>
      <c r="CJ933" s="4"/>
      <c r="DB933" s="773"/>
      <c r="DC933" s="773"/>
      <c r="DD933" s="773"/>
      <c r="DE933" s="773"/>
      <c r="DF933" s="773"/>
      <c r="DG933" s="773"/>
      <c r="DH933" s="773"/>
      <c r="DI933" s="773"/>
      <c r="DJ933" s="773"/>
      <c r="DK933" s="773"/>
      <c r="DL933" s="773"/>
      <c r="DM933" s="773"/>
      <c r="DN933" s="773"/>
      <c r="DO933" s="773"/>
      <c r="DP933" s="773"/>
      <c r="DQ933" s="773"/>
      <c r="DR933" s="773"/>
      <c r="DS933" s="773"/>
      <c r="DT933" s="773"/>
      <c r="DU933" s="773"/>
      <c r="DV933" s="773"/>
      <c r="DW933" s="773"/>
      <c r="DX933" s="773"/>
      <c r="DY933" s="773"/>
      <c r="DZ933" s="773"/>
      <c r="EA933" s="773"/>
      <c r="EB933" s="773"/>
      <c r="EC933" s="773"/>
      <c r="ED933" s="773"/>
      <c r="EE933" s="773"/>
      <c r="EF933" s="773"/>
      <c r="EG933" s="773"/>
      <c r="EH933" s="773"/>
      <c r="EI933" s="773"/>
      <c r="EJ933" s="773"/>
      <c r="EK933" s="773"/>
      <c r="EL933" s="773"/>
      <c r="EM933" s="773"/>
      <c r="EN933" s="773"/>
      <c r="EO933" s="773"/>
      <c r="EP933" s="773"/>
      <c r="EQ933" s="773"/>
      <c r="ER933" s="773"/>
      <c r="ES933" s="773"/>
      <c r="ET933" s="773"/>
      <c r="EU933" s="773"/>
      <c r="EV933" s="773"/>
      <c r="EW933" s="773"/>
      <c r="EX933" s="773"/>
      <c r="EY933" s="773"/>
      <c r="EZ933" s="773"/>
      <c r="FA933" s="773"/>
      <c r="FB933" s="773"/>
      <c r="FC933" s="773"/>
      <c r="FD933" s="773"/>
      <c r="FE933" s="773"/>
      <c r="FF933" s="773"/>
      <c r="FG933" s="773"/>
      <c r="FH933" s="773"/>
      <c r="FI933" s="773"/>
      <c r="FJ933" s="773"/>
      <c r="FK933" s="773"/>
      <c r="FL933" s="773"/>
      <c r="FM933" s="773"/>
      <c r="FN933" s="773"/>
      <c r="FO933" s="773"/>
      <c r="FP933" s="773"/>
      <c r="FQ933" s="773"/>
      <c r="FR933" s="773"/>
      <c r="FS933" s="773"/>
      <c r="FT933" s="773"/>
      <c r="FU933" s="773"/>
      <c r="FV933" s="773"/>
      <c r="FW933" s="773"/>
      <c r="FX933" s="773"/>
      <c r="FY933" s="773"/>
      <c r="FZ933" s="773"/>
      <c r="GA933" s="773"/>
      <c r="GB933" s="773"/>
      <c r="GC933" s="773"/>
      <c r="GD933" s="773"/>
      <c r="GE933" s="773"/>
      <c r="GF933" s="773"/>
      <c r="GG933" s="773"/>
      <c r="GH933" s="773"/>
      <c r="GI933" s="773"/>
      <c r="GJ933" s="773"/>
      <c r="GK933" s="773"/>
      <c r="GL933" s="773"/>
      <c r="GM933" s="773"/>
      <c r="GN933" s="773"/>
      <c r="GO933" s="773"/>
      <c r="GP933" s="773"/>
      <c r="GQ933" s="773"/>
      <c r="GR933" s="773"/>
      <c r="GS933" s="773"/>
      <c r="GT933" s="773"/>
      <c r="GU933" s="773"/>
      <c r="GV933" s="773"/>
      <c r="GW933" s="773"/>
      <c r="GX933" s="773"/>
      <c r="GY933" s="773"/>
      <c r="GZ933" s="773"/>
    </row>
    <row r="934" spans="1:208" s="11" customFormat="1">
      <c r="A934" s="774"/>
      <c r="B934" s="3761" t="s">
        <v>758</v>
      </c>
      <c r="C934" s="197">
        <v>7120004</v>
      </c>
      <c r="D934" s="200" t="s">
        <v>943</v>
      </c>
      <c r="E934" s="42">
        <f>IFERROR(VLOOKUP(C934,'AJE 12 - INC'!$D$168:$F$771,3,0),0)</f>
        <v>2261.9</v>
      </c>
      <c r="F934" s="108">
        <f>SUMIF('AJE 12 - INC'!B:B,'New TB INC'!C934,'AJE 12 - INC'!D:D)</f>
        <v>0</v>
      </c>
      <c r="G934" s="108"/>
      <c r="H934" s="108"/>
      <c r="I934" s="108"/>
      <c r="J934" s="798">
        <f t="shared" si="93"/>
        <v>2261.9</v>
      </c>
      <c r="K934" s="209"/>
      <c r="L934" s="434"/>
      <c r="M934" s="810"/>
      <c r="N934" s="11">
        <v>0</v>
      </c>
      <c r="O934" s="11">
        <v>3408.18</v>
      </c>
      <c r="P934" s="11">
        <v>0</v>
      </c>
      <c r="Q934" s="11">
        <v>0</v>
      </c>
      <c r="R934" s="773">
        <v>0</v>
      </c>
      <c r="S934" s="11">
        <v>0</v>
      </c>
      <c r="T934" s="773">
        <v>0</v>
      </c>
      <c r="U934" s="2173">
        <v>965.04000000000042</v>
      </c>
      <c r="V934" s="2509">
        <v>651.69999999999982</v>
      </c>
      <c r="W934" s="2509">
        <v>303.39000000000033</v>
      </c>
      <c r="X934" s="2509">
        <v>0</v>
      </c>
      <c r="Y934" s="2509">
        <v>169.72999999999956</v>
      </c>
      <c r="Z934" s="11">
        <f>'[26]New TB INC'!Z863</f>
        <v>0</v>
      </c>
      <c r="AA934" s="11">
        <f>'[27]New TB INC'!AA868</f>
        <v>0</v>
      </c>
      <c r="AB934" s="11">
        <f>'[28]New TB INC'!AB877</f>
        <v>0</v>
      </c>
      <c r="AC934" s="11">
        <f>'[29]New TB INC'!AC878</f>
        <v>0</v>
      </c>
      <c r="AD934" s="11">
        <f>'[150]New TB INC'!AD876</f>
        <v>0</v>
      </c>
      <c r="AE934" s="11">
        <f>'[150]New TB INC'!AE876</f>
        <v>0</v>
      </c>
      <c r="AF934" s="11">
        <v>0</v>
      </c>
      <c r="AG934" s="11">
        <v>191.04</v>
      </c>
      <c r="AH934" s="11">
        <v>553.42000000000007</v>
      </c>
      <c r="AI934" s="11">
        <v>465.13999999999987</v>
      </c>
      <c r="AJ934" s="11">
        <v>721.2800000000002</v>
      </c>
      <c r="AK934" s="11">
        <f>$J934-SUM($Z934:AJ934)</f>
        <v>331.02</v>
      </c>
      <c r="AW934" s="2509"/>
      <c r="BE934" s="2173"/>
      <c r="BF934" s="2173"/>
      <c r="BG934" s="2173"/>
      <c r="BH934" s="2173"/>
      <c r="BI934" s="2173"/>
      <c r="BJ934" s="2173"/>
      <c r="BK934" s="2173"/>
      <c r="BL934" s="773"/>
      <c r="BN934" s="773"/>
      <c r="BO934" s="209"/>
      <c r="CH934" s="878"/>
      <c r="CI934" s="4"/>
      <c r="CJ934" s="4"/>
      <c r="DB934" s="773"/>
      <c r="DC934" s="773"/>
      <c r="DD934" s="773"/>
      <c r="DE934" s="773"/>
      <c r="DF934" s="773"/>
      <c r="DG934" s="773"/>
      <c r="DH934" s="773"/>
      <c r="DI934" s="773"/>
      <c r="DJ934" s="773"/>
      <c r="DK934" s="773"/>
      <c r="DL934" s="773"/>
      <c r="DM934" s="773"/>
      <c r="DN934" s="773"/>
      <c r="DO934" s="773"/>
      <c r="DP934" s="773"/>
      <c r="DQ934" s="773"/>
      <c r="DR934" s="773"/>
      <c r="DS934" s="773"/>
      <c r="DT934" s="773"/>
      <c r="DU934" s="773"/>
      <c r="DV934" s="773"/>
      <c r="DW934" s="773"/>
      <c r="DX934" s="773"/>
      <c r="DY934" s="773"/>
      <c r="DZ934" s="773"/>
      <c r="EA934" s="773"/>
      <c r="EB934" s="773"/>
      <c r="EC934" s="773"/>
      <c r="ED934" s="773"/>
      <c r="EE934" s="773"/>
      <c r="EF934" s="773"/>
      <c r="EG934" s="773"/>
      <c r="EH934" s="773"/>
      <c r="EI934" s="773"/>
      <c r="EJ934" s="773"/>
      <c r="EK934" s="773"/>
      <c r="EL934" s="773"/>
      <c r="EM934" s="773"/>
      <c r="EN934" s="773"/>
      <c r="EO934" s="773"/>
      <c r="EP934" s="773"/>
      <c r="EQ934" s="773"/>
      <c r="ER934" s="773"/>
      <c r="ES934" s="773"/>
      <c r="ET934" s="773"/>
      <c r="EU934" s="773"/>
      <c r="EV934" s="773"/>
      <c r="EW934" s="773"/>
      <c r="EX934" s="773"/>
      <c r="EY934" s="773"/>
      <c r="EZ934" s="773"/>
      <c r="FA934" s="773"/>
      <c r="FB934" s="773"/>
      <c r="FC934" s="773"/>
      <c r="FD934" s="773"/>
      <c r="FE934" s="773"/>
      <c r="FF934" s="773"/>
      <c r="FG934" s="773"/>
      <c r="FH934" s="773"/>
      <c r="FI934" s="773"/>
      <c r="FJ934" s="773"/>
      <c r="FK934" s="773"/>
      <c r="FL934" s="773"/>
      <c r="FM934" s="773"/>
      <c r="FN934" s="773"/>
      <c r="FO934" s="773"/>
      <c r="FP934" s="773"/>
      <c r="FQ934" s="773"/>
      <c r="FR934" s="773"/>
      <c r="FS934" s="773"/>
      <c r="FT934" s="773"/>
      <c r="FU934" s="773"/>
      <c r="FV934" s="773"/>
      <c r="FW934" s="773"/>
      <c r="FX934" s="773"/>
      <c r="FY934" s="773"/>
      <c r="FZ934" s="773"/>
      <c r="GA934" s="773"/>
      <c r="GB934" s="773"/>
      <c r="GC934" s="773"/>
      <c r="GD934" s="773"/>
      <c r="GE934" s="773"/>
      <c r="GF934" s="773"/>
      <c r="GG934" s="773"/>
      <c r="GH934" s="773"/>
      <c r="GI934" s="773"/>
      <c r="GJ934" s="773"/>
      <c r="GK934" s="773"/>
      <c r="GL934" s="773"/>
      <c r="GM934" s="773"/>
      <c r="GN934" s="773"/>
      <c r="GO934" s="773"/>
      <c r="GP934" s="773"/>
      <c r="GQ934" s="773"/>
      <c r="GR934" s="773"/>
      <c r="GS934" s="773"/>
      <c r="GT934" s="773"/>
      <c r="GU934" s="773"/>
      <c r="GV934" s="773"/>
      <c r="GW934" s="773"/>
      <c r="GX934" s="773"/>
      <c r="GY934" s="773"/>
      <c r="GZ934" s="773"/>
    </row>
    <row r="935" spans="1:208" s="11" customFormat="1">
      <c r="A935" s="774"/>
      <c r="B935" s="3761" t="s">
        <v>758</v>
      </c>
      <c r="C935" s="197">
        <v>7120005</v>
      </c>
      <c r="D935" s="200" t="s">
        <v>944</v>
      </c>
      <c r="E935" s="42">
        <f>IFERROR(VLOOKUP(C935,'AJE 12 - INC'!$D$168:$F$771,3,0),0)</f>
        <v>60.94</v>
      </c>
      <c r="F935" s="108">
        <f>SUMIF('AJE 12 - INC'!B:B,'New TB INC'!C935,'AJE 12 - INC'!D:D)</f>
        <v>0</v>
      </c>
      <c r="G935" s="108"/>
      <c r="H935" s="108"/>
      <c r="I935" s="108"/>
      <c r="J935" s="798">
        <f t="shared" si="93"/>
        <v>60.94</v>
      </c>
      <c r="K935" s="209"/>
      <c r="L935" s="434"/>
      <c r="M935" s="810"/>
      <c r="N935" s="11">
        <v>0</v>
      </c>
      <c r="O935" s="11">
        <v>0</v>
      </c>
      <c r="P935" s="11">
        <v>0</v>
      </c>
      <c r="Q935" s="11">
        <v>0</v>
      </c>
      <c r="R935" s="773">
        <v>0</v>
      </c>
      <c r="S935" s="11">
        <v>0</v>
      </c>
      <c r="T935" s="773">
        <v>0</v>
      </c>
      <c r="U935" s="2173">
        <v>0</v>
      </c>
      <c r="V935" s="2509">
        <v>0</v>
      </c>
      <c r="W935" s="2509">
        <v>0</v>
      </c>
      <c r="X935" s="2509">
        <v>0</v>
      </c>
      <c r="Y935" s="2509">
        <v>89.97</v>
      </c>
      <c r="Z935" s="11">
        <f>'[26]New TB INC'!Z864</f>
        <v>0</v>
      </c>
      <c r="AA935" s="11">
        <f>'[27]New TB INC'!AA869</f>
        <v>0</v>
      </c>
      <c r="AB935" s="11">
        <f>'[28]New TB INC'!AB878</f>
        <v>0</v>
      </c>
      <c r="AC935" s="11">
        <f>'[29]New TB INC'!AC879</f>
        <v>0</v>
      </c>
      <c r="AD935" s="11">
        <f>'[150]New TB INC'!AD877</f>
        <v>0</v>
      </c>
      <c r="AE935" s="11">
        <f>'[150]New TB INC'!AE877</f>
        <v>0</v>
      </c>
      <c r="AF935" s="11">
        <v>0</v>
      </c>
      <c r="AG935" s="11">
        <v>0</v>
      </c>
      <c r="AH935" s="11">
        <v>0</v>
      </c>
      <c r="AI935" s="11">
        <v>60.94</v>
      </c>
      <c r="AJ935" s="11">
        <v>0</v>
      </c>
      <c r="AK935" s="11">
        <f>$J935-SUM($Z935:AJ935)</f>
        <v>0</v>
      </c>
      <c r="AW935" s="2509"/>
      <c r="BE935" s="2173"/>
      <c r="BF935" s="2173"/>
      <c r="BG935" s="2173"/>
      <c r="BH935" s="2173"/>
      <c r="BI935" s="2173"/>
      <c r="BJ935" s="2173"/>
      <c r="BK935" s="2173"/>
      <c r="BL935" s="773"/>
      <c r="BN935" s="773"/>
      <c r="BO935" s="209"/>
      <c r="CH935" s="878"/>
      <c r="CI935" s="4"/>
      <c r="CJ935" s="4"/>
      <c r="DB935" s="773"/>
      <c r="DC935" s="773"/>
      <c r="DD935" s="773"/>
      <c r="DE935" s="773"/>
      <c r="DF935" s="773"/>
      <c r="DG935" s="773"/>
      <c r="DH935" s="773"/>
      <c r="DI935" s="773"/>
      <c r="DJ935" s="773"/>
      <c r="DK935" s="773"/>
      <c r="DL935" s="773"/>
      <c r="DM935" s="773"/>
      <c r="DN935" s="773"/>
      <c r="DO935" s="773"/>
      <c r="DP935" s="773"/>
      <c r="DQ935" s="773"/>
      <c r="DR935" s="773"/>
      <c r="DS935" s="773"/>
      <c r="DT935" s="773"/>
      <c r="DU935" s="773"/>
      <c r="DV935" s="773"/>
      <c r="DW935" s="773"/>
      <c r="DX935" s="773"/>
      <c r="DY935" s="773"/>
      <c r="DZ935" s="773"/>
      <c r="EA935" s="773"/>
      <c r="EB935" s="773"/>
      <c r="EC935" s="773"/>
      <c r="ED935" s="773"/>
      <c r="EE935" s="773"/>
      <c r="EF935" s="773"/>
      <c r="EG935" s="773"/>
      <c r="EH935" s="773"/>
      <c r="EI935" s="773"/>
      <c r="EJ935" s="773"/>
      <c r="EK935" s="773"/>
      <c r="EL935" s="773"/>
      <c r="EM935" s="773"/>
      <c r="EN935" s="773"/>
      <c r="EO935" s="773"/>
      <c r="EP935" s="773"/>
      <c r="EQ935" s="773"/>
      <c r="ER935" s="773"/>
      <c r="ES935" s="773"/>
      <c r="ET935" s="773"/>
      <c r="EU935" s="773"/>
      <c r="EV935" s="773"/>
      <c r="EW935" s="773"/>
      <c r="EX935" s="773"/>
      <c r="EY935" s="773"/>
      <c r="EZ935" s="773"/>
      <c r="FA935" s="773"/>
      <c r="FB935" s="773"/>
      <c r="FC935" s="773"/>
      <c r="FD935" s="773"/>
      <c r="FE935" s="773"/>
      <c r="FF935" s="773"/>
      <c r="FG935" s="773"/>
      <c r="FH935" s="773"/>
      <c r="FI935" s="773"/>
      <c r="FJ935" s="773"/>
      <c r="FK935" s="773"/>
      <c r="FL935" s="773"/>
      <c r="FM935" s="773"/>
      <c r="FN935" s="773"/>
      <c r="FO935" s="773"/>
      <c r="FP935" s="773"/>
      <c r="FQ935" s="773"/>
      <c r="FR935" s="773"/>
      <c r="FS935" s="773"/>
      <c r="FT935" s="773"/>
      <c r="FU935" s="773"/>
      <c r="FV935" s="773"/>
      <c r="FW935" s="773"/>
      <c r="FX935" s="773"/>
      <c r="FY935" s="773"/>
      <c r="FZ935" s="773"/>
      <c r="GA935" s="773"/>
      <c r="GB935" s="773"/>
      <c r="GC935" s="773"/>
      <c r="GD935" s="773"/>
      <c r="GE935" s="773"/>
      <c r="GF935" s="773"/>
      <c r="GG935" s="773"/>
      <c r="GH935" s="773"/>
      <c r="GI935" s="773"/>
      <c r="GJ935" s="773"/>
      <c r="GK935" s="773"/>
      <c r="GL935" s="773"/>
      <c r="GM935" s="773"/>
      <c r="GN935" s="773"/>
      <c r="GO935" s="773"/>
      <c r="GP935" s="773"/>
      <c r="GQ935" s="773"/>
      <c r="GR935" s="773"/>
      <c r="GS935" s="773"/>
      <c r="GT935" s="773"/>
      <c r="GU935" s="773"/>
      <c r="GV935" s="773"/>
      <c r="GW935" s="773"/>
      <c r="GX935" s="773"/>
      <c r="GY935" s="773"/>
      <c r="GZ935" s="773"/>
    </row>
    <row r="936" spans="1:208" s="11" customFormat="1">
      <c r="A936" s="774"/>
      <c r="B936" s="3761" t="s">
        <v>758</v>
      </c>
      <c r="C936" s="197">
        <v>7120009</v>
      </c>
      <c r="D936" s="200" t="s">
        <v>945</v>
      </c>
      <c r="E936" s="42">
        <f>IFERROR(VLOOKUP(C936,'AJE 12 - INC'!$D$168:$F$771,3,0),0)</f>
        <v>2980.36</v>
      </c>
      <c r="F936" s="108">
        <f>SUMIF('AJE 12 - INC'!B:B,'New TB INC'!C936,'AJE 12 - INC'!D:D)</f>
        <v>0</v>
      </c>
      <c r="G936" s="108"/>
      <c r="H936" s="108"/>
      <c r="I936" s="108"/>
      <c r="J936" s="798">
        <f t="shared" si="93"/>
        <v>2980.36</v>
      </c>
      <c r="K936" s="209"/>
      <c r="L936" s="434"/>
      <c r="M936" s="810"/>
      <c r="N936" s="11">
        <v>377.69</v>
      </c>
      <c r="O936" s="11">
        <v>3509.45</v>
      </c>
      <c r="P936" s="11">
        <v>46.880000000000109</v>
      </c>
      <c r="Q936" s="11">
        <v>193.17999999999984</v>
      </c>
      <c r="R936" s="773">
        <v>0</v>
      </c>
      <c r="S936" s="11">
        <v>0</v>
      </c>
      <c r="T936" s="773">
        <v>0</v>
      </c>
      <c r="U936" s="2173">
        <v>722.57000000000062</v>
      </c>
      <c r="V936" s="2509">
        <v>98.589999999999236</v>
      </c>
      <c r="W936" s="2509">
        <v>244.78000000000065</v>
      </c>
      <c r="X936" s="2509">
        <v>0</v>
      </c>
      <c r="Y936" s="2509">
        <v>589.38000000000011</v>
      </c>
      <c r="Z936" s="11">
        <f>'[26]New TB INC'!Z865</f>
        <v>0</v>
      </c>
      <c r="AA936" s="11">
        <f>'[27]New TB INC'!AA870</f>
        <v>0</v>
      </c>
      <c r="AB936" s="11">
        <f>'[28]New TB INC'!AB879</f>
        <v>0</v>
      </c>
      <c r="AC936" s="11">
        <f>'[29]New TB INC'!AC880</f>
        <v>0</v>
      </c>
      <c r="AD936" s="11">
        <f>'[150]New TB INC'!AD878</f>
        <v>0</v>
      </c>
      <c r="AE936" s="11">
        <f>'[150]New TB INC'!AE878</f>
        <v>0</v>
      </c>
      <c r="AF936" s="11">
        <v>0</v>
      </c>
      <c r="AG936" s="11">
        <v>315.86</v>
      </c>
      <c r="AH936" s="11">
        <v>872.39</v>
      </c>
      <c r="AI936" s="11">
        <v>671.31999999999994</v>
      </c>
      <c r="AJ936" s="11">
        <v>394.89999999999986</v>
      </c>
      <c r="AK936" s="11">
        <f>$J936-SUM($Z936:AJ936)</f>
        <v>725.89000000000033</v>
      </c>
      <c r="AW936" s="2509"/>
      <c r="BE936" s="2173"/>
      <c r="BF936" s="2173"/>
      <c r="BG936" s="2173"/>
      <c r="BH936" s="2173"/>
      <c r="BI936" s="2173"/>
      <c r="BJ936" s="2173"/>
      <c r="BK936" s="2173"/>
      <c r="BL936" s="773"/>
      <c r="BN936" s="773"/>
      <c r="BO936" s="209"/>
      <c r="CH936" s="878"/>
      <c r="CI936" s="4"/>
      <c r="CJ936" s="4"/>
      <c r="DB936" s="773"/>
      <c r="DC936" s="773"/>
      <c r="DD936" s="773"/>
      <c r="DE936" s="773"/>
      <c r="DF936" s="773"/>
      <c r="DG936" s="773"/>
      <c r="DH936" s="773"/>
      <c r="DI936" s="773"/>
      <c r="DJ936" s="773"/>
      <c r="DK936" s="773"/>
      <c r="DL936" s="773"/>
      <c r="DM936" s="773"/>
      <c r="DN936" s="773"/>
      <c r="DO936" s="773"/>
      <c r="DP936" s="773"/>
      <c r="DQ936" s="773"/>
      <c r="DR936" s="773"/>
      <c r="DS936" s="773"/>
      <c r="DT936" s="773"/>
      <c r="DU936" s="773"/>
      <c r="DV936" s="773"/>
      <c r="DW936" s="773"/>
      <c r="DX936" s="773"/>
      <c r="DY936" s="773"/>
      <c r="DZ936" s="773"/>
      <c r="EA936" s="773"/>
      <c r="EB936" s="773"/>
      <c r="EC936" s="773"/>
      <c r="ED936" s="773"/>
      <c r="EE936" s="773"/>
      <c r="EF936" s="773"/>
      <c r="EG936" s="773"/>
      <c r="EH936" s="773"/>
      <c r="EI936" s="773"/>
      <c r="EJ936" s="773"/>
      <c r="EK936" s="773"/>
      <c r="EL936" s="773"/>
      <c r="EM936" s="773"/>
      <c r="EN936" s="773"/>
      <c r="EO936" s="773"/>
      <c r="EP936" s="773"/>
      <c r="EQ936" s="773"/>
      <c r="ER936" s="773"/>
      <c r="ES936" s="773"/>
      <c r="ET936" s="773"/>
      <c r="EU936" s="773"/>
      <c r="EV936" s="773"/>
      <c r="EW936" s="773"/>
      <c r="EX936" s="773"/>
      <c r="EY936" s="773"/>
      <c r="EZ936" s="773"/>
      <c r="FA936" s="773"/>
      <c r="FB936" s="773"/>
      <c r="FC936" s="773"/>
      <c r="FD936" s="773"/>
      <c r="FE936" s="773"/>
      <c r="FF936" s="773"/>
      <c r="FG936" s="773"/>
      <c r="FH936" s="773"/>
      <c r="FI936" s="773"/>
      <c r="FJ936" s="773"/>
      <c r="FK936" s="773"/>
      <c r="FL936" s="773"/>
      <c r="FM936" s="773"/>
      <c r="FN936" s="773"/>
      <c r="FO936" s="773"/>
      <c r="FP936" s="773"/>
      <c r="FQ936" s="773"/>
      <c r="FR936" s="773"/>
      <c r="FS936" s="773"/>
      <c r="FT936" s="773"/>
      <c r="FU936" s="773"/>
      <c r="FV936" s="773"/>
      <c r="FW936" s="773"/>
      <c r="FX936" s="773"/>
      <c r="FY936" s="773"/>
      <c r="FZ936" s="773"/>
      <c r="GA936" s="773"/>
      <c r="GB936" s="773"/>
      <c r="GC936" s="773"/>
      <c r="GD936" s="773"/>
      <c r="GE936" s="773"/>
      <c r="GF936" s="773"/>
      <c r="GG936" s="773"/>
      <c r="GH936" s="773"/>
      <c r="GI936" s="773"/>
      <c r="GJ936" s="773"/>
      <c r="GK936" s="773"/>
      <c r="GL936" s="773"/>
      <c r="GM936" s="773"/>
      <c r="GN936" s="773"/>
      <c r="GO936" s="773"/>
      <c r="GP936" s="773"/>
      <c r="GQ936" s="773"/>
      <c r="GR936" s="773"/>
      <c r="GS936" s="773"/>
      <c r="GT936" s="773"/>
      <c r="GU936" s="773"/>
      <c r="GV936" s="773"/>
      <c r="GW936" s="773"/>
      <c r="GX936" s="773"/>
      <c r="GY936" s="773"/>
      <c r="GZ936" s="773"/>
    </row>
    <row r="937" spans="1:208" s="11" customFormat="1">
      <c r="A937" s="774"/>
      <c r="B937" s="3761" t="s">
        <v>758</v>
      </c>
      <c r="C937" s="197">
        <v>7120015</v>
      </c>
      <c r="D937" s="200" t="s">
        <v>946</v>
      </c>
      <c r="E937" s="42">
        <f>IFERROR(VLOOKUP(C937,'AJE 12 - INC'!$D$168:$F$771,3,0),0)</f>
        <v>23399.97</v>
      </c>
      <c r="F937" s="108">
        <f>SUMIF('AJE 12 - INC'!B:B,'New TB INC'!C937,'AJE 12 - INC'!D:D)</f>
        <v>0</v>
      </c>
      <c r="G937" s="108"/>
      <c r="H937" s="108"/>
      <c r="I937" s="108"/>
      <c r="J937" s="798">
        <f t="shared" si="93"/>
        <v>23399.97</v>
      </c>
      <c r="K937" s="209"/>
      <c r="L937" s="434"/>
      <c r="M937" s="810"/>
      <c r="N937" s="11">
        <v>3250</v>
      </c>
      <c r="O937" s="11">
        <v>3250</v>
      </c>
      <c r="P937" s="11">
        <v>3250</v>
      </c>
      <c r="Q937" s="11">
        <v>3250</v>
      </c>
      <c r="R937" s="773">
        <v>3250</v>
      </c>
      <c r="S937" s="11">
        <v>3250</v>
      </c>
      <c r="T937" s="773">
        <v>3250</v>
      </c>
      <c r="U937" s="2173">
        <v>3250</v>
      </c>
      <c r="V937" s="2509">
        <v>3250</v>
      </c>
      <c r="W937" s="2509">
        <v>23250</v>
      </c>
      <c r="X937" s="2509">
        <v>3250</v>
      </c>
      <c r="Y937" s="2509">
        <v>3275</v>
      </c>
      <c r="Z937" s="11">
        <f>'[26]New TB INC'!Z866</f>
        <v>0</v>
      </c>
      <c r="AA937" s="11">
        <f>'[27]New TB INC'!AA871</f>
        <v>3485</v>
      </c>
      <c r="AB937" s="11">
        <f>'[28]New TB INC'!AB880</f>
        <v>1742.5</v>
      </c>
      <c r="AC937" s="11">
        <f>'[29]New TB INC'!AC881</f>
        <v>1832.4700000000003</v>
      </c>
      <c r="AD937" s="11">
        <f>'[150]New TB INC'!AD879</f>
        <v>0</v>
      </c>
      <c r="AE937" s="11">
        <f>'[150]New TB INC'!AE879</f>
        <v>0</v>
      </c>
      <c r="AF937" s="11">
        <v>5227.4999999999991</v>
      </c>
      <c r="AG937" s="11">
        <v>1742.5</v>
      </c>
      <c r="AH937" s="11">
        <v>4142.5000000000018</v>
      </c>
      <c r="AI937" s="11">
        <v>1742.5</v>
      </c>
      <c r="AJ937" s="11">
        <v>1742.5</v>
      </c>
      <c r="AK937" s="11">
        <f>$J937-SUM($Z937:AJ937)</f>
        <v>1742.5</v>
      </c>
      <c r="AW937" s="2509"/>
      <c r="BE937" s="2173"/>
      <c r="BF937" s="2173"/>
      <c r="BG937" s="2173"/>
      <c r="BH937" s="2173"/>
      <c r="BI937" s="2173"/>
      <c r="BJ937" s="2173"/>
      <c r="BK937" s="2173"/>
      <c r="BL937" s="773"/>
      <c r="BN937" s="773"/>
      <c r="BO937" s="209"/>
      <c r="CH937" s="878"/>
      <c r="CI937" s="4"/>
      <c r="CJ937" s="4"/>
      <c r="DB937" s="773"/>
      <c r="DC937" s="773"/>
      <c r="DD937" s="773"/>
      <c r="DE937" s="773"/>
      <c r="DF937" s="773"/>
      <c r="DG937" s="773"/>
      <c r="DH937" s="773"/>
      <c r="DI937" s="773"/>
      <c r="DJ937" s="773"/>
      <c r="DK937" s="773"/>
      <c r="DL937" s="773"/>
      <c r="DM937" s="773"/>
      <c r="DN937" s="773"/>
      <c r="DO937" s="773"/>
      <c r="DP937" s="773"/>
      <c r="DQ937" s="773"/>
      <c r="DR937" s="773"/>
      <c r="DS937" s="773"/>
      <c r="DT937" s="773"/>
      <c r="DU937" s="773"/>
      <c r="DV937" s="773"/>
      <c r="DW937" s="773"/>
      <c r="DX937" s="773"/>
      <c r="DY937" s="773"/>
      <c r="DZ937" s="773"/>
      <c r="EA937" s="773"/>
      <c r="EB937" s="773"/>
      <c r="EC937" s="773"/>
      <c r="ED937" s="773"/>
      <c r="EE937" s="773"/>
      <c r="EF937" s="773"/>
      <c r="EG937" s="773"/>
      <c r="EH937" s="773"/>
      <c r="EI937" s="773"/>
      <c r="EJ937" s="773"/>
      <c r="EK937" s="773"/>
      <c r="EL937" s="773"/>
      <c r="EM937" s="773"/>
      <c r="EN937" s="773"/>
      <c r="EO937" s="773"/>
      <c r="EP937" s="773"/>
      <c r="EQ937" s="773"/>
      <c r="ER937" s="773"/>
      <c r="ES937" s="773"/>
      <c r="ET937" s="773"/>
      <c r="EU937" s="773"/>
      <c r="EV937" s="773"/>
      <c r="EW937" s="773"/>
      <c r="EX937" s="773"/>
      <c r="EY937" s="773"/>
      <c r="EZ937" s="773"/>
      <c r="FA937" s="773"/>
      <c r="FB937" s="773"/>
      <c r="FC937" s="773"/>
      <c r="FD937" s="773"/>
      <c r="FE937" s="773"/>
      <c r="FF937" s="773"/>
      <c r="FG937" s="773"/>
      <c r="FH937" s="773"/>
      <c r="FI937" s="773"/>
      <c r="FJ937" s="773"/>
      <c r="FK937" s="773"/>
      <c r="FL937" s="773"/>
      <c r="FM937" s="773"/>
      <c r="FN937" s="773"/>
      <c r="FO937" s="773"/>
      <c r="FP937" s="773"/>
      <c r="FQ937" s="773"/>
      <c r="FR937" s="773"/>
      <c r="FS937" s="773"/>
      <c r="FT937" s="773"/>
      <c r="FU937" s="773"/>
      <c r="FV937" s="773"/>
      <c r="FW937" s="773"/>
      <c r="FX937" s="773"/>
      <c r="FY937" s="773"/>
      <c r="FZ937" s="773"/>
      <c r="GA937" s="773"/>
      <c r="GB937" s="773"/>
      <c r="GC937" s="773"/>
      <c r="GD937" s="773"/>
      <c r="GE937" s="773"/>
      <c r="GF937" s="773"/>
      <c r="GG937" s="773"/>
      <c r="GH937" s="773"/>
      <c r="GI937" s="773"/>
      <c r="GJ937" s="773"/>
      <c r="GK937" s="773"/>
      <c r="GL937" s="773"/>
      <c r="GM937" s="773"/>
      <c r="GN937" s="773"/>
      <c r="GO937" s="773"/>
      <c r="GP937" s="773"/>
      <c r="GQ937" s="773"/>
      <c r="GR937" s="773"/>
      <c r="GS937" s="773"/>
      <c r="GT937" s="773"/>
      <c r="GU937" s="773"/>
      <c r="GV937" s="773"/>
      <c r="GW937" s="773"/>
      <c r="GX937" s="773"/>
      <c r="GY937" s="773"/>
      <c r="GZ937" s="773"/>
    </row>
    <row r="938" spans="1:208" s="11" customFormat="1">
      <c r="A938" s="774"/>
      <c r="B938" s="3761" t="s">
        <v>758</v>
      </c>
      <c r="C938" s="197">
        <v>7120011</v>
      </c>
      <c r="D938" s="200" t="s">
        <v>1620</v>
      </c>
      <c r="E938" s="42">
        <f>IFERROR(VLOOKUP(C938,'AJE 12 - INC'!$D$168:$F$771,3,0),0)</f>
        <v>0</v>
      </c>
      <c r="F938" s="108">
        <f>SUMIF('AJE 12 - INC'!B:B,'New TB INC'!C938,'AJE 12 - INC'!D:D)</f>
        <v>0</v>
      </c>
      <c r="G938" s="108"/>
      <c r="H938" s="108"/>
      <c r="I938" s="108"/>
      <c r="J938" s="798">
        <f t="shared" si="93"/>
        <v>0</v>
      </c>
      <c r="K938" s="209"/>
      <c r="L938" s="434"/>
      <c r="M938" s="810"/>
      <c r="N938" s="11">
        <v>0</v>
      </c>
      <c r="O938" s="11">
        <v>0</v>
      </c>
      <c r="P938" s="11">
        <v>0</v>
      </c>
      <c r="Q938" s="11">
        <v>0</v>
      </c>
      <c r="R938" s="773">
        <v>0</v>
      </c>
      <c r="S938" s="11">
        <v>0</v>
      </c>
      <c r="T938" s="773">
        <v>0</v>
      </c>
      <c r="U938" s="2173">
        <v>0</v>
      </c>
      <c r="V938" s="2509">
        <v>0</v>
      </c>
      <c r="W938" s="2509">
        <v>0</v>
      </c>
      <c r="X938" s="2509">
        <v>0</v>
      </c>
      <c r="Y938" s="2509">
        <v>0</v>
      </c>
      <c r="Z938" s="11">
        <f>'[26]New TB INC'!Z868</f>
        <v>0</v>
      </c>
      <c r="AA938" s="11">
        <f>'[27]New TB INC'!AA873</f>
        <v>0</v>
      </c>
      <c r="AB938" s="11">
        <f>'[28]New TB INC'!AB882</f>
        <v>0</v>
      </c>
      <c r="AC938" s="11">
        <f>'[29]New TB INC'!AC883</f>
        <v>0</v>
      </c>
      <c r="AD938" s="11">
        <f>'[150]New TB INC'!AD881</f>
        <v>3484.9999999999991</v>
      </c>
      <c r="AE938" s="11">
        <f>'[150]New TB INC'!AE881</f>
        <v>0</v>
      </c>
      <c r="AF938" s="11">
        <v>-3484.9999999999991</v>
      </c>
      <c r="AG938" s="11">
        <v>0</v>
      </c>
      <c r="AH938" s="11">
        <v>0</v>
      </c>
      <c r="AI938" s="11">
        <v>0</v>
      </c>
      <c r="AJ938" s="11">
        <v>0</v>
      </c>
      <c r="AK938" s="11">
        <f>$J938-SUM($Z938:AJ938)</f>
        <v>0</v>
      </c>
      <c r="AW938" s="2509"/>
      <c r="BE938" s="2173"/>
      <c r="BF938" s="2173"/>
      <c r="BG938" s="2173"/>
      <c r="BH938" s="2173"/>
      <c r="BI938" s="2173"/>
      <c r="BJ938" s="2173"/>
      <c r="BK938" s="2173"/>
      <c r="BL938" s="773"/>
      <c r="BN938" s="773"/>
      <c r="BO938" s="209"/>
      <c r="CH938" s="878"/>
      <c r="CI938" s="4"/>
      <c r="CJ938" s="4"/>
      <c r="DB938" s="773"/>
      <c r="DC938" s="773"/>
      <c r="DD938" s="773"/>
      <c r="DE938" s="773"/>
      <c r="DF938" s="773"/>
      <c r="DG938" s="773"/>
      <c r="DH938" s="773"/>
      <c r="DI938" s="773"/>
      <c r="DJ938" s="773"/>
      <c r="DK938" s="773"/>
      <c r="DL938" s="773"/>
      <c r="DM938" s="773"/>
      <c r="DN938" s="773"/>
      <c r="DO938" s="773"/>
      <c r="DP938" s="773"/>
      <c r="DQ938" s="773"/>
      <c r="DR938" s="773"/>
      <c r="DS938" s="773"/>
      <c r="DT938" s="773"/>
      <c r="DU938" s="773"/>
      <c r="DV938" s="773"/>
      <c r="DW938" s="773"/>
      <c r="DX938" s="773"/>
      <c r="DY938" s="773"/>
      <c r="DZ938" s="773"/>
      <c r="EA938" s="773"/>
      <c r="EB938" s="773"/>
      <c r="EC938" s="773"/>
      <c r="ED938" s="773"/>
      <c r="EE938" s="773"/>
      <c r="EF938" s="773"/>
      <c r="EG938" s="773"/>
      <c r="EH938" s="773"/>
      <c r="EI938" s="773"/>
      <c r="EJ938" s="773"/>
      <c r="EK938" s="773"/>
      <c r="EL938" s="773"/>
      <c r="EM938" s="773"/>
      <c r="EN938" s="773"/>
      <c r="EO938" s="773"/>
      <c r="EP938" s="773"/>
      <c r="EQ938" s="773"/>
      <c r="ER938" s="773"/>
      <c r="ES938" s="773"/>
      <c r="ET938" s="773"/>
      <c r="EU938" s="773"/>
      <c r="EV938" s="773"/>
      <c r="EW938" s="773"/>
      <c r="EX938" s="773"/>
      <c r="EY938" s="773"/>
      <c r="EZ938" s="773"/>
      <c r="FA938" s="773"/>
      <c r="FB938" s="773"/>
      <c r="FC938" s="773"/>
      <c r="FD938" s="773"/>
      <c r="FE938" s="773"/>
      <c r="FF938" s="773"/>
      <c r="FG938" s="773"/>
      <c r="FH938" s="773"/>
      <c r="FI938" s="773"/>
      <c r="FJ938" s="773"/>
      <c r="FK938" s="773"/>
      <c r="FL938" s="773"/>
      <c r="FM938" s="773"/>
      <c r="FN938" s="773"/>
      <c r="FO938" s="773"/>
      <c r="FP938" s="773"/>
      <c r="FQ938" s="773"/>
      <c r="FR938" s="773"/>
      <c r="FS938" s="773"/>
      <c r="FT938" s="773"/>
      <c r="FU938" s="773"/>
      <c r="FV938" s="773"/>
      <c r="FW938" s="773"/>
      <c r="FX938" s="773"/>
      <c r="FY938" s="773"/>
      <c r="FZ938" s="773"/>
      <c r="GA938" s="773"/>
      <c r="GB938" s="773"/>
      <c r="GC938" s="773"/>
      <c r="GD938" s="773"/>
      <c r="GE938" s="773"/>
      <c r="GF938" s="773"/>
      <c r="GG938" s="773"/>
      <c r="GH938" s="773"/>
      <c r="GI938" s="773"/>
      <c r="GJ938" s="773"/>
      <c r="GK938" s="773"/>
      <c r="GL938" s="773"/>
      <c r="GM938" s="773"/>
      <c r="GN938" s="773"/>
      <c r="GO938" s="773"/>
      <c r="GP938" s="773"/>
      <c r="GQ938" s="773"/>
      <c r="GR938" s="773"/>
      <c r="GS938" s="773"/>
      <c r="GT938" s="773"/>
      <c r="GU938" s="773"/>
      <c r="GV938" s="773"/>
      <c r="GW938" s="773"/>
      <c r="GX938" s="773"/>
      <c r="GY938" s="773"/>
      <c r="GZ938" s="773"/>
    </row>
    <row r="939" spans="1:208" s="11" customFormat="1">
      <c r="A939" s="774"/>
      <c r="B939" s="3761" t="s">
        <v>758</v>
      </c>
      <c r="C939" s="197">
        <v>7120040</v>
      </c>
      <c r="D939" s="200" t="s">
        <v>761</v>
      </c>
      <c r="E939" s="42">
        <f>IFERROR(VLOOKUP(C939,'AJE 12 - INC'!$D$168:$F$771,3,0),0)</f>
        <v>1000</v>
      </c>
      <c r="F939" s="108">
        <f>SUMIF('AJE 12 - INC'!B:B,'New TB INC'!C939,'AJE 12 - INC'!D:D)</f>
        <v>0</v>
      </c>
      <c r="G939" s="108"/>
      <c r="H939" s="108"/>
      <c r="I939" s="108"/>
      <c r="J939" s="798">
        <f t="shared" si="93"/>
        <v>1000</v>
      </c>
      <c r="K939" s="209"/>
      <c r="L939" s="434"/>
      <c r="M939" s="810"/>
      <c r="N939" s="11">
        <v>0</v>
      </c>
      <c r="O939" s="11">
        <v>0</v>
      </c>
      <c r="P939" s="11">
        <v>0</v>
      </c>
      <c r="Q939" s="11">
        <v>0</v>
      </c>
      <c r="R939" s="773">
        <v>0</v>
      </c>
      <c r="S939" s="11">
        <v>10000</v>
      </c>
      <c r="T939" s="773">
        <v>0</v>
      </c>
      <c r="U939" s="2173">
        <v>0</v>
      </c>
      <c r="V939" s="2509">
        <v>0</v>
      </c>
      <c r="W939" s="2509">
        <v>49156.18</v>
      </c>
      <c r="X939" s="2509">
        <v>0</v>
      </c>
      <c r="Y939" s="2509">
        <v>0</v>
      </c>
      <c r="Z939" s="11">
        <f>'[26]New TB INC'!Z869</f>
        <v>1000</v>
      </c>
      <c r="AA939" s="11">
        <f>'[27]New TB INC'!AA874</f>
        <v>0</v>
      </c>
      <c r="AB939" s="11">
        <f>'[28]New TB INC'!AB883</f>
        <v>0</v>
      </c>
      <c r="AC939" s="11">
        <f>'[29]New TB INC'!AC884</f>
        <v>0</v>
      </c>
      <c r="AD939" s="11">
        <f>'[150]New TB INC'!AD882</f>
        <v>0</v>
      </c>
      <c r="AE939" s="11">
        <f>'[150]New TB INC'!AE882</f>
        <v>0</v>
      </c>
      <c r="AF939" s="11">
        <v>0</v>
      </c>
      <c r="AG939" s="11">
        <v>0</v>
      </c>
      <c r="AH939" s="11">
        <v>0</v>
      </c>
      <c r="AI939" s="11">
        <v>0</v>
      </c>
      <c r="AJ939" s="11">
        <v>0</v>
      </c>
      <c r="AK939" s="11">
        <f>$J939-SUM($Z939:AJ939)</f>
        <v>0</v>
      </c>
      <c r="AW939" s="2509"/>
      <c r="BE939" s="2173"/>
      <c r="BF939" s="2173"/>
      <c r="BG939" s="2173"/>
      <c r="BH939" s="2173"/>
      <c r="BI939" s="2173"/>
      <c r="BJ939" s="2173"/>
      <c r="BK939" s="2173"/>
      <c r="BL939" s="773"/>
      <c r="BN939" s="773"/>
      <c r="BO939" s="209"/>
      <c r="CH939" s="878"/>
      <c r="CI939" s="4"/>
      <c r="CJ939" s="4"/>
      <c r="DB939" s="773"/>
      <c r="DC939" s="773"/>
      <c r="DD939" s="773"/>
      <c r="DE939" s="773"/>
      <c r="DF939" s="773"/>
      <c r="DG939" s="773"/>
      <c r="DH939" s="773"/>
      <c r="DI939" s="773"/>
      <c r="DJ939" s="773"/>
      <c r="DK939" s="773"/>
      <c r="DL939" s="773"/>
      <c r="DM939" s="773"/>
      <c r="DN939" s="773"/>
      <c r="DO939" s="773"/>
      <c r="DP939" s="773"/>
      <c r="DQ939" s="773"/>
      <c r="DR939" s="773"/>
      <c r="DS939" s="773"/>
      <c r="DT939" s="773"/>
      <c r="DU939" s="773"/>
      <c r="DV939" s="773"/>
      <c r="DW939" s="773"/>
      <c r="DX939" s="773"/>
      <c r="DY939" s="773"/>
      <c r="DZ939" s="773"/>
      <c r="EA939" s="773"/>
      <c r="EB939" s="773"/>
      <c r="EC939" s="773"/>
      <c r="ED939" s="773"/>
      <c r="EE939" s="773"/>
      <c r="EF939" s="773"/>
      <c r="EG939" s="773"/>
      <c r="EH939" s="773"/>
      <c r="EI939" s="773"/>
      <c r="EJ939" s="773"/>
      <c r="EK939" s="773"/>
      <c r="EL939" s="773"/>
      <c r="EM939" s="773"/>
      <c r="EN939" s="773"/>
      <c r="EO939" s="773"/>
      <c r="EP939" s="773"/>
      <c r="EQ939" s="773"/>
      <c r="ER939" s="773"/>
      <c r="ES939" s="773"/>
      <c r="ET939" s="773"/>
      <c r="EU939" s="773"/>
      <c r="EV939" s="773"/>
      <c r="EW939" s="773"/>
      <c r="EX939" s="773"/>
      <c r="EY939" s="773"/>
      <c r="EZ939" s="773"/>
      <c r="FA939" s="773"/>
      <c r="FB939" s="773"/>
      <c r="FC939" s="773"/>
      <c r="FD939" s="773"/>
      <c r="FE939" s="773"/>
      <c r="FF939" s="773"/>
      <c r="FG939" s="773"/>
      <c r="FH939" s="773"/>
      <c r="FI939" s="773"/>
      <c r="FJ939" s="773"/>
      <c r="FK939" s="773"/>
      <c r="FL939" s="773"/>
      <c r="FM939" s="773"/>
      <c r="FN939" s="773"/>
      <c r="FO939" s="773"/>
      <c r="FP939" s="773"/>
      <c r="FQ939" s="773"/>
      <c r="FR939" s="773"/>
      <c r="FS939" s="773"/>
      <c r="FT939" s="773"/>
      <c r="FU939" s="773"/>
      <c r="FV939" s="773"/>
      <c r="FW939" s="773"/>
      <c r="FX939" s="773"/>
      <c r="FY939" s="773"/>
      <c r="FZ939" s="773"/>
      <c r="GA939" s="773"/>
      <c r="GB939" s="773"/>
      <c r="GC939" s="773"/>
      <c r="GD939" s="773"/>
      <c r="GE939" s="773"/>
      <c r="GF939" s="773"/>
      <c r="GG939" s="773"/>
      <c r="GH939" s="773"/>
      <c r="GI939" s="773"/>
      <c r="GJ939" s="773"/>
      <c r="GK939" s="773"/>
      <c r="GL939" s="773"/>
      <c r="GM939" s="773"/>
      <c r="GN939" s="773"/>
      <c r="GO939" s="773"/>
      <c r="GP939" s="773"/>
      <c r="GQ939" s="773"/>
      <c r="GR939" s="773"/>
      <c r="GS939" s="773"/>
      <c r="GT939" s="773"/>
      <c r="GU939" s="773"/>
      <c r="GV939" s="773"/>
      <c r="GW939" s="773"/>
      <c r="GX939" s="773"/>
      <c r="GY939" s="773"/>
      <c r="GZ939" s="773"/>
    </row>
    <row r="940" spans="1:208" s="11" customFormat="1">
      <c r="A940" s="774"/>
      <c r="B940" s="3761" t="s">
        <v>758</v>
      </c>
      <c r="C940" s="197">
        <v>7120043</v>
      </c>
      <c r="D940" s="200" t="s">
        <v>1559</v>
      </c>
      <c r="E940" s="42">
        <f>IFERROR(VLOOKUP(C940,'AJE 12 - INC'!$D$168:$F$771,3,0),0)</f>
        <v>4889.3500000000004</v>
      </c>
      <c r="F940" s="108">
        <f>SUMIF('AJE 12 - INC'!B:B,'New TB INC'!C940,'AJE 12 - INC'!D:D)</f>
        <v>0</v>
      </c>
      <c r="G940" s="108"/>
      <c r="H940" s="108"/>
      <c r="I940" s="108"/>
      <c r="J940" s="798">
        <f t="shared" si="93"/>
        <v>4889.3500000000004</v>
      </c>
      <c r="K940" s="209"/>
      <c r="L940" s="434"/>
      <c r="M940" s="810"/>
      <c r="N940" s="11">
        <v>356.25</v>
      </c>
      <c r="O940" s="11">
        <v>356.25</v>
      </c>
      <c r="P940" s="11">
        <v>806.25</v>
      </c>
      <c r="Q940" s="11">
        <v>356.25</v>
      </c>
      <c r="R940" s="773">
        <v>356.25</v>
      </c>
      <c r="S940" s="11">
        <v>356.25</v>
      </c>
      <c r="T940" s="773">
        <v>356.25</v>
      </c>
      <c r="U940" s="2173">
        <v>356.25</v>
      </c>
      <c r="V940" s="2509">
        <v>356.25</v>
      </c>
      <c r="W940" s="2509">
        <v>356.25</v>
      </c>
      <c r="X940" s="2509">
        <v>133.72000000000025</v>
      </c>
      <c r="Y940" s="2509">
        <v>3846.4299999999994</v>
      </c>
      <c r="Z940" s="11">
        <f>'[26]New TB INC'!Z870</f>
        <v>604.65</v>
      </c>
      <c r="AA940" s="11">
        <f>'[27]New TB INC'!AA875</f>
        <v>337.5</v>
      </c>
      <c r="AB940" s="11">
        <f>'[28]New TB INC'!AB884</f>
        <v>337.50000000000011</v>
      </c>
      <c r="AC940" s="11">
        <f>'[29]New TB INC'!AC885</f>
        <v>337.5</v>
      </c>
      <c r="AD940" s="11">
        <f>'[150]New TB INC'!AD883</f>
        <v>0</v>
      </c>
      <c r="AE940" s="11">
        <f>'[150]New TB INC'!AE883</f>
        <v>0</v>
      </c>
      <c r="AF940" s="11">
        <v>1196.9499999999998</v>
      </c>
      <c r="AG940" s="11">
        <v>337.5</v>
      </c>
      <c r="AH940" s="11">
        <v>1184.8499999999999</v>
      </c>
      <c r="AI940" s="11">
        <v>337.5</v>
      </c>
      <c r="AJ940" s="11">
        <v>215.40000000000055</v>
      </c>
      <c r="AK940" s="11">
        <f>$J940-SUM($Z940:AJ940)</f>
        <v>0</v>
      </c>
      <c r="AW940" s="2509"/>
      <c r="BE940" s="2173"/>
      <c r="BF940" s="2173"/>
      <c r="BG940" s="2173"/>
      <c r="BH940" s="2173"/>
      <c r="BI940" s="2173"/>
      <c r="BJ940" s="2173"/>
      <c r="BK940" s="2173"/>
      <c r="BL940" s="773"/>
      <c r="BN940" s="773"/>
      <c r="BO940" s="209"/>
      <c r="CH940" s="878"/>
      <c r="CI940" s="4"/>
      <c r="CJ940" s="4"/>
      <c r="DB940" s="773"/>
      <c r="DC940" s="773"/>
      <c r="DD940" s="773"/>
      <c r="DE940" s="773"/>
      <c r="DF940" s="773"/>
      <c r="DG940" s="773"/>
      <c r="DH940" s="773"/>
      <c r="DI940" s="773"/>
      <c r="DJ940" s="773"/>
      <c r="DK940" s="773"/>
      <c r="DL940" s="773"/>
      <c r="DM940" s="773"/>
      <c r="DN940" s="773"/>
      <c r="DO940" s="773"/>
      <c r="DP940" s="773"/>
      <c r="DQ940" s="773"/>
      <c r="DR940" s="773"/>
      <c r="DS940" s="773"/>
      <c r="DT940" s="773"/>
      <c r="DU940" s="773"/>
      <c r="DV940" s="773"/>
      <c r="DW940" s="773"/>
      <c r="DX940" s="773"/>
      <c r="DY940" s="773"/>
      <c r="DZ940" s="773"/>
      <c r="EA940" s="773"/>
      <c r="EB940" s="773"/>
      <c r="EC940" s="773"/>
      <c r="ED940" s="773"/>
      <c r="EE940" s="773"/>
      <c r="EF940" s="773"/>
      <c r="EG940" s="773"/>
      <c r="EH940" s="773"/>
      <c r="EI940" s="773"/>
      <c r="EJ940" s="773"/>
      <c r="EK940" s="773"/>
      <c r="EL940" s="773"/>
      <c r="EM940" s="773"/>
      <c r="EN940" s="773"/>
      <c r="EO940" s="773"/>
      <c r="EP940" s="773"/>
      <c r="EQ940" s="773"/>
      <c r="ER940" s="773"/>
      <c r="ES940" s="773"/>
      <c r="ET940" s="773"/>
      <c r="EU940" s="773"/>
      <c r="EV940" s="773"/>
      <c r="EW940" s="773"/>
      <c r="EX940" s="773"/>
      <c r="EY940" s="773"/>
      <c r="EZ940" s="773"/>
      <c r="FA940" s="773"/>
      <c r="FB940" s="773"/>
      <c r="FC940" s="773"/>
      <c r="FD940" s="773"/>
      <c r="FE940" s="773"/>
      <c r="FF940" s="773"/>
      <c r="FG940" s="773"/>
      <c r="FH940" s="773"/>
      <c r="FI940" s="773"/>
      <c r="FJ940" s="773"/>
      <c r="FK940" s="773"/>
      <c r="FL940" s="773"/>
      <c r="FM940" s="773"/>
      <c r="FN940" s="773"/>
      <c r="FO940" s="773"/>
      <c r="FP940" s="773"/>
      <c r="FQ940" s="773"/>
      <c r="FR940" s="773"/>
      <c r="FS940" s="773"/>
      <c r="FT940" s="773"/>
      <c r="FU940" s="773"/>
      <c r="FV940" s="773"/>
      <c r="FW940" s="773"/>
      <c r="FX940" s="773"/>
      <c r="FY940" s="773"/>
      <c r="FZ940" s="773"/>
      <c r="GA940" s="773"/>
      <c r="GB940" s="773"/>
      <c r="GC940" s="773"/>
      <c r="GD940" s="773"/>
      <c r="GE940" s="773"/>
      <c r="GF940" s="773"/>
      <c r="GG940" s="773"/>
      <c r="GH940" s="773"/>
      <c r="GI940" s="773"/>
      <c r="GJ940" s="773"/>
      <c r="GK940" s="773"/>
      <c r="GL940" s="773"/>
      <c r="GM940" s="773"/>
      <c r="GN940" s="773"/>
      <c r="GO940" s="773"/>
      <c r="GP940" s="773"/>
      <c r="GQ940" s="773"/>
      <c r="GR940" s="773"/>
      <c r="GS940" s="773"/>
      <c r="GT940" s="773"/>
      <c r="GU940" s="773"/>
      <c r="GV940" s="773"/>
      <c r="GW940" s="773"/>
      <c r="GX940" s="773"/>
      <c r="GY940" s="773"/>
      <c r="GZ940" s="773"/>
    </row>
    <row r="941" spans="1:208" s="11" customFormat="1">
      <c r="A941" s="774"/>
      <c r="B941" s="3761" t="s">
        <v>758</v>
      </c>
      <c r="C941" s="197">
        <v>7120028</v>
      </c>
      <c r="D941" s="200" t="s">
        <v>1977</v>
      </c>
      <c r="E941" s="42">
        <f>IFERROR(VLOOKUP(C941,'AJE 12 - INC'!$D$168:$F$771,3,0),0)</f>
        <v>0</v>
      </c>
      <c r="F941" s="108">
        <f>SUMIF('AJE 12 - INC'!B:B,'New TB INC'!C941,'AJE 12 - INC'!D:D)</f>
        <v>0</v>
      </c>
      <c r="G941" s="108"/>
      <c r="H941" s="108"/>
      <c r="I941" s="108"/>
      <c r="J941" s="798">
        <f t="shared" si="93"/>
        <v>0</v>
      </c>
      <c r="K941" s="209"/>
      <c r="L941" s="434"/>
      <c r="M941" s="810"/>
      <c r="N941" s="11">
        <v>63612.45</v>
      </c>
      <c r="O941" s="11">
        <v>2396.5500000000029</v>
      </c>
      <c r="P941" s="11">
        <v>0</v>
      </c>
      <c r="Q941" s="11">
        <v>1713.3999999999942</v>
      </c>
      <c r="R941" s="773">
        <v>0</v>
      </c>
      <c r="S941" s="11">
        <v>0</v>
      </c>
      <c r="T941" s="773">
        <v>0</v>
      </c>
      <c r="U941" s="2173">
        <v>0</v>
      </c>
      <c r="V941" s="2509">
        <v>0</v>
      </c>
      <c r="W941" s="2509">
        <v>0</v>
      </c>
      <c r="X941" s="2509">
        <v>0</v>
      </c>
      <c r="Y941" s="2509">
        <v>0</v>
      </c>
      <c r="Z941" s="11">
        <f>'[26]New TB INC'!Z871</f>
        <v>0</v>
      </c>
      <c r="AA941" s="11">
        <f>'[27]New TB INC'!AA876</f>
        <v>0</v>
      </c>
      <c r="AB941" s="11">
        <f>'[28]New TB INC'!AB885</f>
        <v>0</v>
      </c>
      <c r="AC941" s="11">
        <f>'[29]New TB INC'!AC886</f>
        <v>0</v>
      </c>
      <c r="AD941" s="11">
        <f>'[150]New TB INC'!AD884</f>
        <v>0</v>
      </c>
      <c r="AE941" s="11">
        <f>'[150]New TB INC'!AE884</f>
        <v>0</v>
      </c>
      <c r="AF941" s="11">
        <v>0</v>
      </c>
      <c r="AG941" s="11">
        <v>0</v>
      </c>
      <c r="AH941" s="11">
        <v>0</v>
      </c>
      <c r="AI941" s="11">
        <v>0</v>
      </c>
      <c r="AJ941" s="11">
        <v>0</v>
      </c>
      <c r="AK941" s="11">
        <f>$J941-SUM($Z941:AJ941)</f>
        <v>0</v>
      </c>
      <c r="AW941" s="2509"/>
      <c r="BE941" s="2173"/>
      <c r="BF941" s="2173"/>
      <c r="BG941" s="2173"/>
      <c r="BH941" s="2173"/>
      <c r="BI941" s="2173"/>
      <c r="BJ941" s="2173"/>
      <c r="BK941" s="2173"/>
      <c r="BL941" s="773"/>
      <c r="BN941" s="773"/>
      <c r="BO941" s="209"/>
      <c r="CH941" s="878"/>
      <c r="CI941" s="4"/>
      <c r="CJ941" s="4"/>
      <c r="DB941" s="773"/>
      <c r="DC941" s="773"/>
      <c r="DD941" s="773"/>
      <c r="DE941" s="773"/>
      <c r="DF941" s="773"/>
      <c r="DG941" s="773"/>
      <c r="DH941" s="773"/>
      <c r="DI941" s="773"/>
      <c r="DJ941" s="773"/>
      <c r="DK941" s="773"/>
      <c r="DL941" s="773"/>
      <c r="DM941" s="773"/>
      <c r="DN941" s="773"/>
      <c r="DO941" s="773"/>
      <c r="DP941" s="773"/>
      <c r="DQ941" s="773"/>
      <c r="DR941" s="773"/>
      <c r="DS941" s="773"/>
      <c r="DT941" s="773"/>
      <c r="DU941" s="773"/>
      <c r="DV941" s="773"/>
      <c r="DW941" s="773"/>
      <c r="DX941" s="773"/>
      <c r="DY941" s="773"/>
      <c r="DZ941" s="773"/>
      <c r="EA941" s="773"/>
      <c r="EB941" s="773"/>
      <c r="EC941" s="773"/>
      <c r="ED941" s="773"/>
      <c r="EE941" s="773"/>
      <c r="EF941" s="773"/>
      <c r="EG941" s="773"/>
      <c r="EH941" s="773"/>
      <c r="EI941" s="773"/>
      <c r="EJ941" s="773"/>
      <c r="EK941" s="773"/>
      <c r="EL941" s="773"/>
      <c r="EM941" s="773"/>
      <c r="EN941" s="773"/>
      <c r="EO941" s="773"/>
      <c r="EP941" s="773"/>
      <c r="EQ941" s="773"/>
      <c r="ER941" s="773"/>
      <c r="ES941" s="773"/>
      <c r="ET941" s="773"/>
      <c r="EU941" s="773"/>
      <c r="EV941" s="773"/>
      <c r="EW941" s="773"/>
      <c r="EX941" s="773"/>
      <c r="EY941" s="773"/>
      <c r="EZ941" s="773"/>
      <c r="FA941" s="773"/>
      <c r="FB941" s="773"/>
      <c r="FC941" s="773"/>
      <c r="FD941" s="773"/>
      <c r="FE941" s="773"/>
      <c r="FF941" s="773"/>
      <c r="FG941" s="773"/>
      <c r="FH941" s="773"/>
      <c r="FI941" s="773"/>
      <c r="FJ941" s="773"/>
      <c r="FK941" s="773"/>
      <c r="FL941" s="773"/>
      <c r="FM941" s="773"/>
      <c r="FN941" s="773"/>
      <c r="FO941" s="773"/>
      <c r="FP941" s="773"/>
      <c r="FQ941" s="773"/>
      <c r="FR941" s="773"/>
      <c r="FS941" s="773"/>
      <c r="FT941" s="773"/>
      <c r="FU941" s="773"/>
      <c r="FV941" s="773"/>
      <c r="FW941" s="773"/>
      <c r="FX941" s="773"/>
      <c r="FY941" s="773"/>
      <c r="FZ941" s="773"/>
      <c r="GA941" s="773"/>
      <c r="GB941" s="773"/>
      <c r="GC941" s="773"/>
      <c r="GD941" s="773"/>
      <c r="GE941" s="773"/>
      <c r="GF941" s="773"/>
      <c r="GG941" s="773"/>
      <c r="GH941" s="773"/>
      <c r="GI941" s="773"/>
      <c r="GJ941" s="773"/>
      <c r="GK941" s="773"/>
      <c r="GL941" s="773"/>
      <c r="GM941" s="773"/>
      <c r="GN941" s="773"/>
      <c r="GO941" s="773"/>
      <c r="GP941" s="773"/>
      <c r="GQ941" s="773"/>
      <c r="GR941" s="773"/>
      <c r="GS941" s="773"/>
      <c r="GT941" s="773"/>
      <c r="GU941" s="773"/>
      <c r="GV941" s="773"/>
      <c r="GW941" s="773"/>
      <c r="GX941" s="773"/>
      <c r="GY941" s="773"/>
      <c r="GZ941" s="773"/>
    </row>
    <row r="942" spans="1:208" s="11" customFormat="1">
      <c r="A942" s="774"/>
      <c r="B942" s="3761" t="s">
        <v>758</v>
      </c>
      <c r="C942" s="197">
        <v>7120044</v>
      </c>
      <c r="D942" s="200" t="s">
        <v>1519</v>
      </c>
      <c r="E942" s="42">
        <f>IFERROR(VLOOKUP(C942,'AJE 12 - INC'!$D$168:$F$771,3,0),0)</f>
        <v>6897</v>
      </c>
      <c r="F942" s="108">
        <f>SUMIF('AJE 12 - INC'!B:B,'New TB INC'!C942,'AJE 12 - INC'!D:D)</f>
        <v>0</v>
      </c>
      <c r="G942" s="108"/>
      <c r="H942" s="108"/>
      <c r="I942" s="108"/>
      <c r="J942" s="798">
        <f t="shared" si="93"/>
        <v>6897</v>
      </c>
      <c r="K942" s="209"/>
      <c r="L942" s="434"/>
      <c r="M942" s="810"/>
      <c r="N942" s="11">
        <v>0</v>
      </c>
      <c r="O942" s="11">
        <v>0</v>
      </c>
      <c r="P942" s="11">
        <v>0</v>
      </c>
      <c r="Q942" s="11">
        <v>0</v>
      </c>
      <c r="R942" s="773">
        <v>0</v>
      </c>
      <c r="S942" s="11">
        <v>0</v>
      </c>
      <c r="T942" s="773">
        <v>0</v>
      </c>
      <c r="U942" s="2173">
        <v>0</v>
      </c>
      <c r="V942" s="2509">
        <v>0</v>
      </c>
      <c r="W942" s="2509">
        <v>0</v>
      </c>
      <c r="X942" s="2509">
        <v>0</v>
      </c>
      <c r="Y942" s="2509">
        <v>0</v>
      </c>
      <c r="Z942" s="11">
        <f>'[26]New TB INC'!Z872</f>
        <v>0</v>
      </c>
      <c r="AA942" s="11">
        <f>'[27]New TB INC'!AA877</f>
        <v>0</v>
      </c>
      <c r="AB942" s="11">
        <f>'[28]New TB INC'!AB886</f>
        <v>0</v>
      </c>
      <c r="AC942" s="11">
        <f>'[29]New TB INC'!AC887</f>
        <v>525</v>
      </c>
      <c r="AD942" s="11">
        <f>'[150]New TB INC'!AD885</f>
        <v>675</v>
      </c>
      <c r="AE942" s="11">
        <f>'[150]New TB INC'!AE885</f>
        <v>0</v>
      </c>
      <c r="AF942" s="11">
        <v>918</v>
      </c>
      <c r="AG942" s="11">
        <v>3186</v>
      </c>
      <c r="AH942" s="11">
        <v>829.44999999999982</v>
      </c>
      <c r="AI942" s="11">
        <v>763.55000000000018</v>
      </c>
      <c r="AJ942" s="11">
        <v>0</v>
      </c>
      <c r="AK942" s="11">
        <f>$J942-SUM($Z942:AJ942)</f>
        <v>0</v>
      </c>
      <c r="AW942" s="2509"/>
      <c r="BE942" s="2173"/>
      <c r="BF942" s="2173"/>
      <c r="BG942" s="2173"/>
      <c r="BH942" s="2173"/>
      <c r="BI942" s="2173"/>
      <c r="BJ942" s="2173"/>
      <c r="BK942" s="2173"/>
      <c r="BL942" s="773"/>
      <c r="BN942" s="773"/>
      <c r="BO942" s="209"/>
      <c r="CH942" s="878"/>
      <c r="CI942" s="4"/>
      <c r="CJ942" s="4"/>
      <c r="DB942" s="773"/>
      <c r="DC942" s="773"/>
      <c r="DD942" s="773"/>
      <c r="DE942" s="773"/>
      <c r="DF942" s="773"/>
      <c r="DG942" s="773"/>
      <c r="DH942" s="773"/>
      <c r="DI942" s="773"/>
      <c r="DJ942" s="773"/>
      <c r="DK942" s="773"/>
      <c r="DL942" s="773"/>
      <c r="DM942" s="773"/>
      <c r="DN942" s="773"/>
      <c r="DO942" s="773"/>
      <c r="DP942" s="773"/>
      <c r="DQ942" s="773"/>
      <c r="DR942" s="773"/>
      <c r="DS942" s="773"/>
      <c r="DT942" s="773"/>
      <c r="DU942" s="773"/>
      <c r="DV942" s="773"/>
      <c r="DW942" s="773"/>
      <c r="DX942" s="773"/>
      <c r="DY942" s="773"/>
      <c r="DZ942" s="773"/>
      <c r="EA942" s="773"/>
      <c r="EB942" s="773"/>
      <c r="EC942" s="773"/>
      <c r="ED942" s="773"/>
      <c r="EE942" s="773"/>
      <c r="EF942" s="773"/>
      <c r="EG942" s="773"/>
      <c r="EH942" s="773"/>
      <c r="EI942" s="773"/>
      <c r="EJ942" s="773"/>
      <c r="EK942" s="773"/>
      <c r="EL942" s="773"/>
      <c r="EM942" s="773"/>
      <c r="EN942" s="773"/>
      <c r="EO942" s="773"/>
      <c r="EP942" s="773"/>
      <c r="EQ942" s="773"/>
      <c r="ER942" s="773"/>
      <c r="ES942" s="773"/>
      <c r="ET942" s="773"/>
      <c r="EU942" s="773"/>
      <c r="EV942" s="773"/>
      <c r="EW942" s="773"/>
      <c r="EX942" s="773"/>
      <c r="EY942" s="773"/>
      <c r="EZ942" s="773"/>
      <c r="FA942" s="773"/>
      <c r="FB942" s="773"/>
      <c r="FC942" s="773"/>
      <c r="FD942" s="773"/>
      <c r="FE942" s="773"/>
      <c r="FF942" s="773"/>
      <c r="FG942" s="773"/>
      <c r="FH942" s="773"/>
      <c r="FI942" s="773"/>
      <c r="FJ942" s="773"/>
      <c r="FK942" s="773"/>
      <c r="FL942" s="773"/>
      <c r="FM942" s="773"/>
      <c r="FN942" s="773"/>
      <c r="FO942" s="773"/>
      <c r="FP942" s="773"/>
      <c r="FQ942" s="773"/>
      <c r="FR942" s="773"/>
      <c r="FS942" s="773"/>
      <c r="FT942" s="773"/>
      <c r="FU942" s="773"/>
      <c r="FV942" s="773"/>
      <c r="FW942" s="773"/>
      <c r="FX942" s="773"/>
      <c r="FY942" s="773"/>
      <c r="FZ942" s="773"/>
      <c r="GA942" s="773"/>
      <c r="GB942" s="773"/>
      <c r="GC942" s="773"/>
      <c r="GD942" s="773"/>
      <c r="GE942" s="773"/>
      <c r="GF942" s="773"/>
      <c r="GG942" s="773"/>
      <c r="GH942" s="773"/>
      <c r="GI942" s="773"/>
      <c r="GJ942" s="773"/>
      <c r="GK942" s="773"/>
      <c r="GL942" s="773"/>
      <c r="GM942" s="773"/>
      <c r="GN942" s="773"/>
      <c r="GO942" s="773"/>
      <c r="GP942" s="773"/>
      <c r="GQ942" s="773"/>
      <c r="GR942" s="773"/>
      <c r="GS942" s="773"/>
      <c r="GT942" s="773"/>
      <c r="GU942" s="773"/>
      <c r="GV942" s="773"/>
      <c r="GW942" s="773"/>
      <c r="GX942" s="773"/>
      <c r="GY942" s="773"/>
      <c r="GZ942" s="773"/>
    </row>
    <row r="943" spans="1:208" s="11" customFormat="1">
      <c r="A943" s="774"/>
      <c r="B943" s="3761" t="s">
        <v>758</v>
      </c>
      <c r="C943" s="197">
        <v>7120061</v>
      </c>
      <c r="D943" s="200" t="s">
        <v>762</v>
      </c>
      <c r="E943" s="42">
        <f>IFERROR(VLOOKUP(C943,'AJE 12 - INC'!$D$168:$F$771,3,0),0)</f>
        <v>6095.37</v>
      </c>
      <c r="F943" s="108">
        <f>SUMIF('AJE 12 - INC'!B:B,'New TB INC'!C943,'AJE 12 - INC'!D:D)</f>
        <v>0</v>
      </c>
      <c r="G943" s="108"/>
      <c r="H943" s="108"/>
      <c r="I943" s="108"/>
      <c r="J943" s="798">
        <f t="shared" si="93"/>
        <v>6095.37</v>
      </c>
      <c r="K943" s="209"/>
      <c r="L943" s="434"/>
      <c r="M943" s="810"/>
      <c r="N943" s="11">
        <v>0</v>
      </c>
      <c r="O943" s="11">
        <v>29.99</v>
      </c>
      <c r="P943" s="11">
        <v>0</v>
      </c>
      <c r="Q943" s="11">
        <v>161.69999999999999</v>
      </c>
      <c r="R943" s="773">
        <v>0</v>
      </c>
      <c r="S943" s="11">
        <v>0</v>
      </c>
      <c r="T943" s="773">
        <v>0</v>
      </c>
      <c r="U943" s="2173">
        <v>89.970000000000027</v>
      </c>
      <c r="V943" s="2509">
        <v>0</v>
      </c>
      <c r="W943" s="2509">
        <v>0</v>
      </c>
      <c r="X943" s="2509">
        <v>116.94999999999999</v>
      </c>
      <c r="Y943" s="2509">
        <v>0</v>
      </c>
      <c r="Z943" s="11">
        <f>'[26]New TB INC'!Z873</f>
        <v>0</v>
      </c>
      <c r="AA943" s="11">
        <f>'[27]New TB INC'!AA878</f>
        <v>0</v>
      </c>
      <c r="AB943" s="11">
        <f>'[28]New TB INC'!AB887</f>
        <v>0</v>
      </c>
      <c r="AC943" s="11">
        <f>'[29]New TB INC'!AC888</f>
        <v>0</v>
      </c>
      <c r="AD943" s="11">
        <f>'[150]New TB INC'!AD886</f>
        <v>0</v>
      </c>
      <c r="AE943" s="11">
        <f>'[150]New TB INC'!AE886</f>
        <v>0</v>
      </c>
      <c r="AF943" s="11">
        <v>5749.43</v>
      </c>
      <c r="AG943" s="11">
        <v>39.829999999999927</v>
      </c>
      <c r="AH943" s="11">
        <v>47.420000000000073</v>
      </c>
      <c r="AI943" s="11">
        <v>195.34000000000015</v>
      </c>
      <c r="AJ943" s="11">
        <v>47.409999999999854</v>
      </c>
      <c r="AK943" s="11">
        <f>$J943-SUM($Z943:AJ943)</f>
        <v>15.9399999999996</v>
      </c>
      <c r="AW943" s="2509"/>
      <c r="BE943" s="2173"/>
      <c r="BF943" s="2173"/>
      <c r="BG943" s="2173"/>
      <c r="BH943" s="2173"/>
      <c r="BI943" s="2173"/>
      <c r="BJ943" s="2173"/>
      <c r="BK943" s="2173"/>
      <c r="BL943" s="773"/>
      <c r="BN943" s="773"/>
      <c r="BO943" s="209"/>
      <c r="CH943" s="878"/>
      <c r="CI943" s="4"/>
      <c r="CJ943" s="4"/>
      <c r="DB943" s="773"/>
      <c r="DC943" s="773"/>
      <c r="DD943" s="773"/>
      <c r="DE943" s="773"/>
      <c r="DF943" s="773"/>
      <c r="DG943" s="773"/>
      <c r="DH943" s="773"/>
      <c r="DI943" s="773"/>
      <c r="DJ943" s="773"/>
      <c r="DK943" s="773"/>
      <c r="DL943" s="773"/>
      <c r="DM943" s="773"/>
      <c r="DN943" s="773"/>
      <c r="DO943" s="773"/>
      <c r="DP943" s="773"/>
      <c r="DQ943" s="773"/>
      <c r="DR943" s="773"/>
      <c r="DS943" s="773"/>
      <c r="DT943" s="773"/>
      <c r="DU943" s="773"/>
      <c r="DV943" s="773"/>
      <c r="DW943" s="773"/>
      <c r="DX943" s="773"/>
      <c r="DY943" s="773"/>
      <c r="DZ943" s="773"/>
      <c r="EA943" s="773"/>
      <c r="EB943" s="773"/>
      <c r="EC943" s="773"/>
      <c r="ED943" s="773"/>
      <c r="EE943" s="773"/>
      <c r="EF943" s="773"/>
      <c r="EG943" s="773"/>
      <c r="EH943" s="773"/>
      <c r="EI943" s="773"/>
      <c r="EJ943" s="773"/>
      <c r="EK943" s="773"/>
      <c r="EL943" s="773"/>
      <c r="EM943" s="773"/>
      <c r="EN943" s="773"/>
      <c r="EO943" s="773"/>
      <c r="EP943" s="773"/>
      <c r="EQ943" s="773"/>
      <c r="ER943" s="773"/>
      <c r="ES943" s="773"/>
      <c r="ET943" s="773"/>
      <c r="EU943" s="773"/>
      <c r="EV943" s="773"/>
      <c r="EW943" s="773"/>
      <c r="EX943" s="773"/>
      <c r="EY943" s="773"/>
      <c r="EZ943" s="773"/>
      <c r="FA943" s="773"/>
      <c r="FB943" s="773"/>
      <c r="FC943" s="773"/>
      <c r="FD943" s="773"/>
      <c r="FE943" s="773"/>
      <c r="FF943" s="773"/>
      <c r="FG943" s="773"/>
      <c r="FH943" s="773"/>
      <c r="FI943" s="773"/>
      <c r="FJ943" s="773"/>
      <c r="FK943" s="773"/>
      <c r="FL943" s="773"/>
      <c r="FM943" s="773"/>
      <c r="FN943" s="773"/>
      <c r="FO943" s="773"/>
      <c r="FP943" s="773"/>
      <c r="FQ943" s="773"/>
      <c r="FR943" s="773"/>
      <c r="FS943" s="773"/>
      <c r="FT943" s="773"/>
      <c r="FU943" s="773"/>
      <c r="FV943" s="773"/>
      <c r="FW943" s="773"/>
      <c r="FX943" s="773"/>
      <c r="FY943" s="773"/>
      <c r="FZ943" s="773"/>
      <c r="GA943" s="773"/>
      <c r="GB943" s="773"/>
      <c r="GC943" s="773"/>
      <c r="GD943" s="773"/>
      <c r="GE943" s="773"/>
      <c r="GF943" s="773"/>
      <c r="GG943" s="773"/>
      <c r="GH943" s="773"/>
      <c r="GI943" s="773"/>
      <c r="GJ943" s="773"/>
      <c r="GK943" s="773"/>
      <c r="GL943" s="773"/>
      <c r="GM943" s="773"/>
      <c r="GN943" s="773"/>
      <c r="GO943" s="773"/>
      <c r="GP943" s="773"/>
      <c r="GQ943" s="773"/>
      <c r="GR943" s="773"/>
      <c r="GS943" s="773"/>
      <c r="GT943" s="773"/>
      <c r="GU943" s="773"/>
      <c r="GV943" s="773"/>
      <c r="GW943" s="773"/>
      <c r="GX943" s="773"/>
      <c r="GY943" s="773"/>
      <c r="GZ943" s="773"/>
    </row>
    <row r="944" spans="1:208" s="11" customFormat="1">
      <c r="A944" s="774"/>
      <c r="B944" s="3761" t="s">
        <v>758</v>
      </c>
      <c r="C944" s="197">
        <v>7120062</v>
      </c>
      <c r="D944" s="200" t="s">
        <v>1493</v>
      </c>
      <c r="E944" s="42">
        <f>IFERROR(VLOOKUP(C944,'AJE 12 - INC'!$D$168:$F$771,3,0),0)</f>
        <v>238.48</v>
      </c>
      <c r="F944" s="108">
        <f>SUMIF('AJE 12 - INC'!B:B,'New TB INC'!C944,'AJE 12 - INC'!D:D)</f>
        <v>0</v>
      </c>
      <c r="G944" s="108"/>
      <c r="H944" s="108"/>
      <c r="I944" s="108"/>
      <c r="J944" s="798">
        <f t="shared" si="93"/>
        <v>238.48</v>
      </c>
      <c r="K944" s="209"/>
      <c r="L944" s="434"/>
      <c r="M944" s="810"/>
      <c r="N944" s="11">
        <v>53.33</v>
      </c>
      <c r="O944" s="11">
        <v>0</v>
      </c>
      <c r="P944" s="11">
        <v>58.05</v>
      </c>
      <c r="Q944" s="11">
        <v>0</v>
      </c>
      <c r="R944" s="773">
        <v>0</v>
      </c>
      <c r="S944" s="11">
        <v>51.629999999999995</v>
      </c>
      <c r="T944" s="773">
        <v>121.29000000000002</v>
      </c>
      <c r="U944" s="2173">
        <v>0</v>
      </c>
      <c r="V944" s="2509">
        <v>173.25</v>
      </c>
      <c r="W944" s="2509">
        <v>240.02000000000004</v>
      </c>
      <c r="X944" s="2509">
        <v>0</v>
      </c>
      <c r="Y944" s="2509">
        <v>0</v>
      </c>
      <c r="Z944" s="11">
        <f>'[26]New TB INC'!Z874</f>
        <v>0</v>
      </c>
      <c r="AA944" s="11">
        <f>'[27]New TB INC'!AA879</f>
        <v>0</v>
      </c>
      <c r="AB944" s="11">
        <f>'[28]New TB INC'!AB888</f>
        <v>0</v>
      </c>
      <c r="AC944" s="11">
        <f>'[29]New TB INC'!AC889</f>
        <v>129.86000000000001</v>
      </c>
      <c r="AD944" s="11">
        <f>'[150]New TB INC'!AD887</f>
        <v>0</v>
      </c>
      <c r="AE944" s="11">
        <f>'[150]New TB INC'!AE887</f>
        <v>0</v>
      </c>
      <c r="AF944" s="11">
        <v>0</v>
      </c>
      <c r="AG944" s="11">
        <v>0</v>
      </c>
      <c r="AH944" s="11">
        <v>0</v>
      </c>
      <c r="AI944" s="11">
        <v>0</v>
      </c>
      <c r="AJ944" s="11">
        <v>0</v>
      </c>
      <c r="AK944" s="11">
        <f>$J944-SUM($Z944:AJ944)</f>
        <v>108.61999999999998</v>
      </c>
      <c r="AW944" s="2509"/>
      <c r="BE944" s="2173"/>
      <c r="BF944" s="2173"/>
      <c r="BG944" s="2173"/>
      <c r="BH944" s="2173"/>
      <c r="BI944" s="2173"/>
      <c r="BJ944" s="2173"/>
      <c r="BK944" s="2173"/>
      <c r="BL944" s="773"/>
      <c r="BN944" s="773"/>
      <c r="BO944" s="209"/>
      <c r="CH944" s="878"/>
      <c r="CI944" s="4"/>
      <c r="CJ944" s="4"/>
      <c r="DB944" s="773"/>
      <c r="DC944" s="773"/>
      <c r="DD944" s="773"/>
      <c r="DE944" s="773"/>
      <c r="DF944" s="773"/>
      <c r="DG944" s="773"/>
      <c r="DH944" s="773"/>
      <c r="DI944" s="773"/>
      <c r="DJ944" s="773"/>
      <c r="DK944" s="773"/>
      <c r="DL944" s="773"/>
      <c r="DM944" s="773"/>
      <c r="DN944" s="773"/>
      <c r="DO944" s="773"/>
      <c r="DP944" s="773"/>
      <c r="DQ944" s="773"/>
      <c r="DR944" s="773"/>
      <c r="DS944" s="773"/>
      <c r="DT944" s="773"/>
      <c r="DU944" s="773"/>
      <c r="DV944" s="773"/>
      <c r="DW944" s="773"/>
      <c r="DX944" s="773"/>
      <c r="DY944" s="773"/>
      <c r="DZ944" s="773"/>
      <c r="EA944" s="773"/>
      <c r="EB944" s="773"/>
      <c r="EC944" s="773"/>
      <c r="ED944" s="773"/>
      <c r="EE944" s="773"/>
      <c r="EF944" s="773"/>
      <c r="EG944" s="773"/>
      <c r="EH944" s="773"/>
      <c r="EI944" s="773"/>
      <c r="EJ944" s="773"/>
      <c r="EK944" s="773"/>
      <c r="EL944" s="773"/>
      <c r="EM944" s="773"/>
      <c r="EN944" s="773"/>
      <c r="EO944" s="773"/>
      <c r="EP944" s="773"/>
      <c r="EQ944" s="773"/>
      <c r="ER944" s="773"/>
      <c r="ES944" s="773"/>
      <c r="ET944" s="773"/>
      <c r="EU944" s="773"/>
      <c r="EV944" s="773"/>
      <c r="EW944" s="773"/>
      <c r="EX944" s="773"/>
      <c r="EY944" s="773"/>
      <c r="EZ944" s="773"/>
      <c r="FA944" s="773"/>
      <c r="FB944" s="773"/>
      <c r="FC944" s="773"/>
      <c r="FD944" s="773"/>
      <c r="FE944" s="773"/>
      <c r="FF944" s="773"/>
      <c r="FG944" s="773"/>
      <c r="FH944" s="773"/>
      <c r="FI944" s="773"/>
      <c r="FJ944" s="773"/>
      <c r="FK944" s="773"/>
      <c r="FL944" s="773"/>
      <c r="FM944" s="773"/>
      <c r="FN944" s="773"/>
      <c r="FO944" s="773"/>
      <c r="FP944" s="773"/>
      <c r="FQ944" s="773"/>
      <c r="FR944" s="773"/>
      <c r="FS944" s="773"/>
      <c r="FT944" s="773"/>
      <c r="FU944" s="773"/>
      <c r="FV944" s="773"/>
      <c r="FW944" s="773"/>
      <c r="FX944" s="773"/>
      <c r="FY944" s="773"/>
      <c r="FZ944" s="773"/>
      <c r="GA944" s="773"/>
      <c r="GB944" s="773"/>
      <c r="GC944" s="773"/>
      <c r="GD944" s="773"/>
      <c r="GE944" s="773"/>
      <c r="GF944" s="773"/>
      <c r="GG944" s="773"/>
      <c r="GH944" s="773"/>
      <c r="GI944" s="773"/>
      <c r="GJ944" s="773"/>
      <c r="GK944" s="773"/>
      <c r="GL944" s="773"/>
      <c r="GM944" s="773"/>
      <c r="GN944" s="773"/>
      <c r="GO944" s="773"/>
      <c r="GP944" s="773"/>
      <c r="GQ944" s="773"/>
      <c r="GR944" s="773"/>
      <c r="GS944" s="773"/>
      <c r="GT944" s="773"/>
      <c r="GU944" s="773"/>
      <c r="GV944" s="773"/>
      <c r="GW944" s="773"/>
      <c r="GX944" s="773"/>
      <c r="GY944" s="773"/>
      <c r="GZ944" s="773"/>
    </row>
    <row r="945" spans="1:208" s="11" customFormat="1">
      <c r="A945" s="774"/>
      <c r="B945" s="3761" t="s">
        <v>1819</v>
      </c>
      <c r="C945" s="197">
        <v>7120200</v>
      </c>
      <c r="D945" s="200" t="s">
        <v>1846</v>
      </c>
      <c r="E945" s="42">
        <f>IFERROR(VLOOKUP(C945,'AJE 12 - INC'!$D$168:$F$771,3,0),0)</f>
        <v>0</v>
      </c>
      <c r="F945" s="108">
        <f>SUMIF('AJE 12 - INC'!B:B,'New TB INC'!C945,'AJE 12 - INC'!D:D)</f>
        <v>0</v>
      </c>
      <c r="G945" s="108"/>
      <c r="H945" s="108"/>
      <c r="I945" s="108"/>
      <c r="J945" s="798">
        <f t="shared" si="93"/>
        <v>0</v>
      </c>
      <c r="K945" s="209"/>
      <c r="L945" s="434"/>
      <c r="M945" s="810"/>
      <c r="N945" s="11">
        <v>0</v>
      </c>
      <c r="O945" s="11">
        <v>0</v>
      </c>
      <c r="P945" s="11">
        <v>0</v>
      </c>
      <c r="Q945" s="11">
        <v>0</v>
      </c>
      <c r="R945" s="773">
        <v>0</v>
      </c>
      <c r="S945" s="11">
        <v>0</v>
      </c>
      <c r="T945" s="773">
        <v>0</v>
      </c>
      <c r="U945" s="2173">
        <v>0</v>
      </c>
      <c r="V945" s="2509">
        <v>0</v>
      </c>
      <c r="W945" s="2509">
        <v>0</v>
      </c>
      <c r="X945" s="2509">
        <v>0</v>
      </c>
      <c r="Y945" s="2509">
        <v>0</v>
      </c>
      <c r="Z945" s="11">
        <f>'[26]New TB INC'!Z875</f>
        <v>0</v>
      </c>
      <c r="AA945" s="11">
        <f>'[27]New TB INC'!AA880</f>
        <v>0</v>
      </c>
      <c r="AB945" s="11">
        <f>'[28]New TB INC'!AB889</f>
        <v>0</v>
      </c>
      <c r="AC945" s="11">
        <f>'[29]New TB INC'!AC890</f>
        <v>0</v>
      </c>
      <c r="AD945" s="11">
        <f>'[150]New TB INC'!AD888</f>
        <v>828.99</v>
      </c>
      <c r="AE945" s="11">
        <f>'[150]New TB INC'!AE888</f>
        <v>0</v>
      </c>
      <c r="AF945" s="11">
        <v>-828.99</v>
      </c>
      <c r="AG945" s="11">
        <v>0</v>
      </c>
      <c r="AH945" s="11">
        <v>0</v>
      </c>
      <c r="AI945" s="11">
        <v>0</v>
      </c>
      <c r="AJ945" s="11">
        <v>0</v>
      </c>
      <c r="AK945" s="11">
        <f>$J945-SUM($Z945:AJ945)</f>
        <v>0</v>
      </c>
      <c r="AW945" s="2509"/>
      <c r="BE945" s="2173"/>
      <c r="BF945" s="2173"/>
      <c r="BG945" s="2173"/>
      <c r="BH945" s="2173"/>
      <c r="BI945" s="2173"/>
      <c r="BJ945" s="2173"/>
      <c r="BK945" s="2173"/>
      <c r="BL945" s="773"/>
      <c r="BN945" s="773"/>
      <c r="BO945" s="209"/>
      <c r="CH945" s="878"/>
      <c r="CI945" s="4"/>
      <c r="CJ945" s="4"/>
      <c r="DB945" s="773"/>
      <c r="DC945" s="773"/>
      <c r="DD945" s="773"/>
      <c r="DE945" s="773"/>
      <c r="DF945" s="773"/>
      <c r="DG945" s="773"/>
      <c r="DH945" s="773"/>
      <c r="DI945" s="773"/>
      <c r="DJ945" s="773"/>
      <c r="DK945" s="773"/>
      <c r="DL945" s="773"/>
      <c r="DM945" s="773"/>
      <c r="DN945" s="773"/>
      <c r="DO945" s="773"/>
      <c r="DP945" s="773"/>
      <c r="DQ945" s="773"/>
      <c r="DR945" s="773"/>
      <c r="DS945" s="773"/>
      <c r="DT945" s="773"/>
      <c r="DU945" s="773"/>
      <c r="DV945" s="773"/>
      <c r="DW945" s="773"/>
      <c r="DX945" s="773"/>
      <c r="DY945" s="773"/>
      <c r="DZ945" s="773"/>
      <c r="EA945" s="773"/>
      <c r="EB945" s="773"/>
      <c r="EC945" s="773"/>
      <c r="ED945" s="773"/>
      <c r="EE945" s="773"/>
      <c r="EF945" s="773"/>
      <c r="EG945" s="773"/>
      <c r="EH945" s="773"/>
      <c r="EI945" s="773"/>
      <c r="EJ945" s="773"/>
      <c r="EK945" s="773"/>
      <c r="EL945" s="773"/>
      <c r="EM945" s="773"/>
      <c r="EN945" s="773"/>
      <c r="EO945" s="773"/>
      <c r="EP945" s="773"/>
      <c r="EQ945" s="773"/>
      <c r="ER945" s="773"/>
      <c r="ES945" s="773"/>
      <c r="ET945" s="773"/>
      <c r="EU945" s="773"/>
      <c r="EV945" s="773"/>
      <c r="EW945" s="773"/>
      <c r="EX945" s="773"/>
      <c r="EY945" s="773"/>
      <c r="EZ945" s="773"/>
      <c r="FA945" s="773"/>
      <c r="FB945" s="773"/>
      <c r="FC945" s="773"/>
      <c r="FD945" s="773"/>
      <c r="FE945" s="773"/>
      <c r="FF945" s="773"/>
      <c r="FG945" s="773"/>
      <c r="FH945" s="773"/>
      <c r="FI945" s="773"/>
      <c r="FJ945" s="773"/>
      <c r="FK945" s="773"/>
      <c r="FL945" s="773"/>
      <c r="FM945" s="773"/>
      <c r="FN945" s="773"/>
      <c r="FO945" s="773"/>
      <c r="FP945" s="773"/>
      <c r="FQ945" s="773"/>
      <c r="FR945" s="773"/>
      <c r="FS945" s="773"/>
      <c r="FT945" s="773"/>
      <c r="FU945" s="773"/>
      <c r="FV945" s="773"/>
      <c r="FW945" s="773"/>
      <c r="FX945" s="773"/>
      <c r="FY945" s="773"/>
      <c r="FZ945" s="773"/>
      <c r="GA945" s="773"/>
      <c r="GB945" s="773"/>
      <c r="GC945" s="773"/>
      <c r="GD945" s="773"/>
      <c r="GE945" s="773"/>
      <c r="GF945" s="773"/>
      <c r="GG945" s="773"/>
      <c r="GH945" s="773"/>
      <c r="GI945" s="773"/>
      <c r="GJ945" s="773"/>
      <c r="GK945" s="773"/>
      <c r="GL945" s="773"/>
      <c r="GM945" s="773"/>
      <c r="GN945" s="773"/>
      <c r="GO945" s="773"/>
      <c r="GP945" s="773"/>
      <c r="GQ945" s="773"/>
      <c r="GR945" s="773"/>
      <c r="GS945" s="773"/>
      <c r="GT945" s="773"/>
      <c r="GU945" s="773"/>
      <c r="GV945" s="773"/>
      <c r="GW945" s="773"/>
      <c r="GX945" s="773"/>
      <c r="GY945" s="773"/>
      <c r="GZ945" s="773"/>
    </row>
    <row r="946" spans="1:208" s="11" customFormat="1">
      <c r="A946" s="774"/>
      <c r="B946" s="3761" t="s">
        <v>1819</v>
      </c>
      <c r="C946" s="197">
        <v>7162013</v>
      </c>
      <c r="D946" s="200" t="s">
        <v>4020</v>
      </c>
      <c r="E946" s="42">
        <f>IFERROR(VLOOKUP(C946,'AJE 12 - INC'!$D$168:$F$771,3,0),0)</f>
        <v>0</v>
      </c>
      <c r="F946" s="108">
        <f>SUMIF('AJE 12 - INC'!B:B,'New TB INC'!C946,'AJE 12 - INC'!D:D)</f>
        <v>0</v>
      </c>
      <c r="G946" s="108"/>
      <c r="H946" s="108"/>
      <c r="I946" s="108"/>
      <c r="J946" s="798">
        <f>SUM(E946:I946)</f>
        <v>0</v>
      </c>
      <c r="K946" s="209"/>
      <c r="L946" s="434"/>
      <c r="M946" s="810"/>
      <c r="R946" s="773"/>
      <c r="T946" s="773"/>
      <c r="U946" s="2173"/>
      <c r="V946" s="2509"/>
      <c r="W946" s="2509"/>
      <c r="X946" s="2509"/>
      <c r="Y946" s="2509"/>
      <c r="AG946" s="11">
        <v>419.72</v>
      </c>
      <c r="AH946" s="11">
        <v>-419.72</v>
      </c>
      <c r="AI946" s="11">
        <v>0</v>
      </c>
      <c r="AJ946" s="11">
        <v>0</v>
      </c>
      <c r="AK946" s="11">
        <f>$J946-SUM($Z946:AJ946)</f>
        <v>0</v>
      </c>
      <c r="AW946" s="2509"/>
      <c r="BE946" s="2173"/>
      <c r="BF946" s="2173"/>
      <c r="BG946" s="2173"/>
      <c r="BH946" s="2173"/>
      <c r="BI946" s="2173"/>
      <c r="BJ946" s="2173"/>
      <c r="BK946" s="2173"/>
      <c r="BL946" s="773"/>
      <c r="BN946" s="773"/>
      <c r="BO946" s="209"/>
      <c r="CH946" s="878"/>
      <c r="CI946" s="4"/>
      <c r="CJ946" s="4"/>
      <c r="DB946" s="773"/>
      <c r="DC946" s="773"/>
      <c r="DD946" s="773"/>
      <c r="DE946" s="773"/>
      <c r="DF946" s="773"/>
      <c r="DG946" s="773"/>
      <c r="DH946" s="773"/>
      <c r="DI946" s="773"/>
      <c r="DJ946" s="773"/>
      <c r="DK946" s="773"/>
      <c r="DL946" s="773"/>
      <c r="DM946" s="773"/>
      <c r="DN946" s="773"/>
      <c r="DO946" s="773"/>
      <c r="DP946" s="773"/>
      <c r="DQ946" s="773"/>
      <c r="DR946" s="773"/>
      <c r="DS946" s="773"/>
      <c r="DT946" s="773"/>
      <c r="DU946" s="773"/>
      <c r="DV946" s="773"/>
      <c r="DW946" s="773"/>
      <c r="DX946" s="773"/>
      <c r="DY946" s="773"/>
      <c r="DZ946" s="773"/>
      <c r="EA946" s="773"/>
      <c r="EB946" s="773"/>
      <c r="EC946" s="773"/>
      <c r="ED946" s="773"/>
      <c r="EE946" s="773"/>
      <c r="EF946" s="773"/>
      <c r="EG946" s="773"/>
      <c r="EH946" s="773"/>
      <c r="EI946" s="773"/>
      <c r="EJ946" s="773"/>
      <c r="EK946" s="773"/>
      <c r="EL946" s="773"/>
      <c r="EM946" s="773"/>
      <c r="EN946" s="773"/>
      <c r="EO946" s="773"/>
      <c r="EP946" s="773"/>
      <c r="EQ946" s="773"/>
      <c r="ER946" s="773"/>
      <c r="ES946" s="773"/>
      <c r="ET946" s="773"/>
      <c r="EU946" s="773"/>
      <c r="EV946" s="773"/>
      <c r="EW946" s="773"/>
      <c r="EX946" s="773"/>
      <c r="EY946" s="773"/>
      <c r="EZ946" s="773"/>
      <c r="FA946" s="773"/>
      <c r="FB946" s="773"/>
      <c r="FC946" s="773"/>
      <c r="FD946" s="773"/>
      <c r="FE946" s="773"/>
      <c r="FF946" s="773"/>
      <c r="FG946" s="773"/>
      <c r="FH946" s="773"/>
      <c r="FI946" s="773"/>
      <c r="FJ946" s="773"/>
      <c r="FK946" s="773"/>
      <c r="FL946" s="773"/>
      <c r="FM946" s="773"/>
      <c r="FN946" s="773"/>
      <c r="FO946" s="773"/>
      <c r="FP946" s="773"/>
      <c r="FQ946" s="773"/>
      <c r="FR946" s="773"/>
      <c r="FS946" s="773"/>
      <c r="FT946" s="773"/>
      <c r="FU946" s="773"/>
      <c r="FV946" s="773"/>
      <c r="FW946" s="773"/>
      <c r="FX946" s="773"/>
      <c r="FY946" s="773"/>
      <c r="FZ946" s="773"/>
      <c r="GA946" s="773"/>
      <c r="GB946" s="773"/>
      <c r="GC946" s="773"/>
      <c r="GD946" s="773"/>
      <c r="GE946" s="773"/>
      <c r="GF946" s="773"/>
      <c r="GG946" s="773"/>
      <c r="GH946" s="773"/>
      <c r="GI946" s="773"/>
      <c r="GJ946" s="773"/>
      <c r="GK946" s="773"/>
      <c r="GL946" s="773"/>
      <c r="GM946" s="773"/>
      <c r="GN946" s="773"/>
      <c r="GO946" s="773"/>
      <c r="GP946" s="773"/>
      <c r="GQ946" s="773"/>
      <c r="GR946" s="773"/>
      <c r="GS946" s="773"/>
      <c r="GT946" s="773"/>
      <c r="GU946" s="773"/>
      <c r="GV946" s="773"/>
      <c r="GW946" s="773"/>
      <c r="GX946" s="773"/>
      <c r="GY946" s="773"/>
      <c r="GZ946" s="773"/>
    </row>
    <row r="947" spans="1:208" s="11" customFormat="1">
      <c r="A947" s="774"/>
      <c r="B947" s="3761" t="s">
        <v>758</v>
      </c>
      <c r="C947" s="197">
        <v>7120073</v>
      </c>
      <c r="D947" s="200" t="s">
        <v>947</v>
      </c>
      <c r="E947" s="42">
        <f>IFERROR(VLOOKUP(C947,'AJE 12 - INC'!$D$168:$F$771,3,0),0)</f>
        <v>0</v>
      </c>
      <c r="F947" s="108">
        <f>SUMIF('AJE 12 - INC'!B:B,'New TB INC'!C947,'AJE 12 - INC'!D:D)</f>
        <v>0</v>
      </c>
      <c r="G947" s="108"/>
      <c r="H947" s="108"/>
      <c r="I947" s="108"/>
      <c r="J947" s="798">
        <f t="shared" si="93"/>
        <v>0</v>
      </c>
      <c r="K947" s="209"/>
      <c r="L947" s="434"/>
      <c r="M947" s="810"/>
      <c r="N947" s="11">
        <v>0</v>
      </c>
      <c r="O947" s="11">
        <v>-41.05</v>
      </c>
      <c r="P947" s="11">
        <v>2562.6600000000003</v>
      </c>
      <c r="Q947" s="11">
        <v>0</v>
      </c>
      <c r="R947" s="773">
        <v>0</v>
      </c>
      <c r="S947" s="11">
        <v>0</v>
      </c>
      <c r="T947" s="773">
        <v>0</v>
      </c>
      <c r="U947" s="2173">
        <v>0</v>
      </c>
      <c r="V947" s="2509">
        <v>0</v>
      </c>
      <c r="W947" s="2509">
        <v>0</v>
      </c>
      <c r="X947" s="2509">
        <v>0</v>
      </c>
      <c r="Y947" s="2509">
        <v>0</v>
      </c>
      <c r="Z947" s="11">
        <f>'[26]New TB INC'!Z876</f>
        <v>0</v>
      </c>
      <c r="AA947" s="11">
        <f>'[27]New TB INC'!AA881</f>
        <v>0</v>
      </c>
      <c r="AB947" s="11">
        <f>'[28]New TB INC'!AB890</f>
        <v>0</v>
      </c>
      <c r="AC947" s="11">
        <f>'[29]New TB INC'!AC891</f>
        <v>0</v>
      </c>
      <c r="AD947" s="11">
        <f>'[150]New TB INC'!AD889</f>
        <v>0</v>
      </c>
      <c r="AE947" s="11">
        <f>'[150]New TB INC'!AE889</f>
        <v>0</v>
      </c>
      <c r="AF947" s="11">
        <v>0</v>
      </c>
      <c r="AG947" s="11">
        <v>0</v>
      </c>
      <c r="AH947" s="11">
        <v>0</v>
      </c>
      <c r="AI947" s="11">
        <v>0</v>
      </c>
      <c r="AJ947" s="11">
        <v>0</v>
      </c>
      <c r="AK947" s="11">
        <f>$J947-SUM($Z947:AJ947)</f>
        <v>0</v>
      </c>
      <c r="AW947" s="2509"/>
      <c r="BE947" s="2173"/>
      <c r="BF947" s="2173"/>
      <c r="BG947" s="2173"/>
      <c r="BH947" s="2173"/>
      <c r="BI947" s="2173"/>
      <c r="BJ947" s="2173"/>
      <c r="BK947" s="2173"/>
      <c r="BL947" s="773"/>
      <c r="BN947" s="773"/>
      <c r="BO947" s="209"/>
      <c r="CH947" s="878"/>
      <c r="CI947" s="4"/>
      <c r="CJ947" s="4"/>
      <c r="DB947" s="773"/>
      <c r="DC947" s="773"/>
      <c r="DD947" s="773"/>
      <c r="DE947" s="773"/>
      <c r="DF947" s="773"/>
      <c r="DG947" s="773"/>
      <c r="DH947" s="773"/>
      <c r="DI947" s="773"/>
      <c r="DJ947" s="773"/>
      <c r="DK947" s="773"/>
      <c r="DL947" s="773"/>
      <c r="DM947" s="773"/>
      <c r="DN947" s="773"/>
      <c r="DO947" s="773"/>
      <c r="DP947" s="773"/>
      <c r="DQ947" s="773"/>
      <c r="DR947" s="773"/>
      <c r="DS947" s="773"/>
      <c r="DT947" s="773"/>
      <c r="DU947" s="773"/>
      <c r="DV947" s="773"/>
      <c r="DW947" s="773"/>
      <c r="DX947" s="773"/>
      <c r="DY947" s="773"/>
      <c r="DZ947" s="773"/>
      <c r="EA947" s="773"/>
      <c r="EB947" s="773"/>
      <c r="EC947" s="773"/>
      <c r="ED947" s="773"/>
      <c r="EE947" s="773"/>
      <c r="EF947" s="773"/>
      <c r="EG947" s="773"/>
      <c r="EH947" s="773"/>
      <c r="EI947" s="773"/>
      <c r="EJ947" s="773"/>
      <c r="EK947" s="773"/>
      <c r="EL947" s="773"/>
      <c r="EM947" s="773"/>
      <c r="EN947" s="773"/>
      <c r="EO947" s="773"/>
      <c r="EP947" s="773"/>
      <c r="EQ947" s="773"/>
      <c r="ER947" s="773"/>
      <c r="ES947" s="773"/>
      <c r="ET947" s="773"/>
      <c r="EU947" s="773"/>
      <c r="EV947" s="773"/>
      <c r="EW947" s="773"/>
      <c r="EX947" s="773"/>
      <c r="EY947" s="773"/>
      <c r="EZ947" s="773"/>
      <c r="FA947" s="773"/>
      <c r="FB947" s="773"/>
      <c r="FC947" s="773"/>
      <c r="FD947" s="773"/>
      <c r="FE947" s="773"/>
      <c r="FF947" s="773"/>
      <c r="FG947" s="773"/>
      <c r="FH947" s="773"/>
      <c r="FI947" s="773"/>
      <c r="FJ947" s="773"/>
      <c r="FK947" s="773"/>
      <c r="FL947" s="773"/>
      <c r="FM947" s="773"/>
      <c r="FN947" s="773"/>
      <c r="FO947" s="773"/>
      <c r="FP947" s="773"/>
      <c r="FQ947" s="773"/>
      <c r="FR947" s="773"/>
      <c r="FS947" s="773"/>
      <c r="FT947" s="773"/>
      <c r="FU947" s="773"/>
      <c r="FV947" s="773"/>
      <c r="FW947" s="773"/>
      <c r="FX947" s="773"/>
      <c r="FY947" s="773"/>
      <c r="FZ947" s="773"/>
      <c r="GA947" s="773"/>
      <c r="GB947" s="773"/>
      <c r="GC947" s="773"/>
      <c r="GD947" s="773"/>
      <c r="GE947" s="773"/>
      <c r="GF947" s="773"/>
      <c r="GG947" s="773"/>
      <c r="GH947" s="773"/>
      <c r="GI947" s="773"/>
      <c r="GJ947" s="773"/>
      <c r="GK947" s="773"/>
      <c r="GL947" s="773"/>
      <c r="GM947" s="773"/>
      <c r="GN947" s="773"/>
      <c r="GO947" s="773"/>
      <c r="GP947" s="773"/>
      <c r="GQ947" s="773"/>
      <c r="GR947" s="773"/>
      <c r="GS947" s="773"/>
      <c r="GT947" s="773"/>
      <c r="GU947" s="773"/>
      <c r="GV947" s="773"/>
      <c r="GW947" s="773"/>
      <c r="GX947" s="773"/>
      <c r="GY947" s="773"/>
      <c r="GZ947" s="773"/>
    </row>
    <row r="948" spans="1:208" s="11" customFormat="1">
      <c r="A948" s="774"/>
      <c r="B948" s="3761"/>
      <c r="C948" s="197"/>
      <c r="D948" s="200"/>
      <c r="E948" s="42"/>
      <c r="F948" s="108"/>
      <c r="G948" s="108"/>
      <c r="H948" s="108"/>
      <c r="I948" s="108"/>
      <c r="J948" s="798"/>
      <c r="K948" s="209"/>
      <c r="L948" s="434"/>
      <c r="M948" s="810"/>
      <c r="R948" s="773"/>
      <c r="T948" s="773"/>
      <c r="U948" s="2173"/>
      <c r="V948" s="2509"/>
      <c r="W948" s="2509"/>
      <c r="X948" s="2509"/>
      <c r="Y948" s="2509"/>
      <c r="AJ948" s="11">
        <v>0</v>
      </c>
      <c r="AK948" s="11">
        <f>$J948-SUM($Z948:AJ948)</f>
        <v>0</v>
      </c>
      <c r="AW948" s="2509"/>
      <c r="BE948" s="2173"/>
      <c r="BF948" s="2173"/>
      <c r="BG948" s="2173"/>
      <c r="BH948" s="2173"/>
      <c r="BI948" s="2173"/>
      <c r="BJ948" s="2173"/>
      <c r="BK948" s="2173"/>
      <c r="BL948" s="773"/>
      <c r="BN948" s="773"/>
      <c r="BO948" s="209"/>
      <c r="CH948" s="878"/>
      <c r="CI948" s="4"/>
      <c r="CJ948" s="4"/>
      <c r="DB948" s="773"/>
      <c r="DC948" s="773"/>
      <c r="DD948" s="773"/>
      <c r="DE948" s="773"/>
      <c r="DF948" s="773"/>
      <c r="DG948" s="773"/>
      <c r="DH948" s="773"/>
      <c r="DI948" s="773"/>
      <c r="DJ948" s="773"/>
      <c r="DK948" s="773"/>
      <c r="DL948" s="773"/>
      <c r="DM948" s="773"/>
      <c r="DN948" s="773"/>
      <c r="DO948" s="773"/>
      <c r="DP948" s="773"/>
      <c r="DQ948" s="773"/>
      <c r="DR948" s="773"/>
      <c r="DS948" s="773"/>
      <c r="DT948" s="773"/>
      <c r="DU948" s="773"/>
      <c r="DV948" s="773"/>
      <c r="DW948" s="773"/>
      <c r="DX948" s="773"/>
      <c r="DY948" s="773"/>
      <c r="DZ948" s="773"/>
      <c r="EA948" s="773"/>
      <c r="EB948" s="773"/>
      <c r="EC948" s="773"/>
      <c r="ED948" s="773"/>
      <c r="EE948" s="773"/>
      <c r="EF948" s="773"/>
      <c r="EG948" s="773"/>
      <c r="EH948" s="773"/>
      <c r="EI948" s="773"/>
      <c r="EJ948" s="773"/>
      <c r="EK948" s="773"/>
      <c r="EL948" s="773"/>
      <c r="EM948" s="773"/>
      <c r="EN948" s="773"/>
      <c r="EO948" s="773"/>
      <c r="EP948" s="773"/>
      <c r="EQ948" s="773"/>
      <c r="ER948" s="773"/>
      <c r="ES948" s="773"/>
      <c r="ET948" s="773"/>
      <c r="EU948" s="773"/>
      <c r="EV948" s="773"/>
      <c r="EW948" s="773"/>
      <c r="EX948" s="773"/>
      <c r="EY948" s="773"/>
      <c r="EZ948" s="773"/>
      <c r="FA948" s="773"/>
      <c r="FB948" s="773"/>
      <c r="FC948" s="773"/>
      <c r="FD948" s="773"/>
      <c r="FE948" s="773"/>
      <c r="FF948" s="773"/>
      <c r="FG948" s="773"/>
      <c r="FH948" s="773"/>
      <c r="FI948" s="773"/>
      <c r="FJ948" s="773"/>
      <c r="FK948" s="773"/>
      <c r="FL948" s="773"/>
      <c r="FM948" s="773"/>
      <c r="FN948" s="773"/>
      <c r="FO948" s="773"/>
      <c r="FP948" s="773"/>
      <c r="FQ948" s="773"/>
      <c r="FR948" s="773"/>
      <c r="FS948" s="773"/>
      <c r="FT948" s="773"/>
      <c r="FU948" s="773"/>
      <c r="FV948" s="773"/>
      <c r="FW948" s="773"/>
      <c r="FX948" s="773"/>
      <c r="FY948" s="773"/>
      <c r="FZ948" s="773"/>
      <c r="GA948" s="773"/>
      <c r="GB948" s="773"/>
      <c r="GC948" s="773"/>
      <c r="GD948" s="773"/>
      <c r="GE948" s="773"/>
      <c r="GF948" s="773"/>
      <c r="GG948" s="773"/>
      <c r="GH948" s="773"/>
      <c r="GI948" s="773"/>
      <c r="GJ948" s="773"/>
      <c r="GK948" s="773"/>
      <c r="GL948" s="773"/>
      <c r="GM948" s="773"/>
      <c r="GN948" s="773"/>
      <c r="GO948" s="773"/>
      <c r="GP948" s="773"/>
      <c r="GQ948" s="773"/>
      <c r="GR948" s="773"/>
      <c r="GS948" s="773"/>
      <c r="GT948" s="773"/>
      <c r="GU948" s="773"/>
      <c r="GV948" s="773"/>
      <c r="GW948" s="773"/>
      <c r="GX948" s="773"/>
      <c r="GY948" s="773"/>
      <c r="GZ948" s="773"/>
    </row>
    <row r="949" spans="1:208" s="11" customFormat="1">
      <c r="A949" s="774"/>
      <c r="B949" s="3761" t="s">
        <v>1819</v>
      </c>
      <c r="C949" s="197">
        <v>7110009</v>
      </c>
      <c r="D949" s="200" t="s">
        <v>4510</v>
      </c>
      <c r="E949" s="42">
        <f>IFERROR(VLOOKUP(C949,'AJE 12 - INC'!$D$168:$F$771,3,0),0)</f>
        <v>1000.41</v>
      </c>
      <c r="F949" s="108">
        <f>SUMIF('AJE 12 - INC'!B:B,'New TB INC'!C949,'AJE 12 - INC'!D:D)</f>
        <v>0</v>
      </c>
      <c r="G949" s="108"/>
      <c r="H949" s="108"/>
      <c r="I949" s="108"/>
      <c r="J949" s="798">
        <f t="shared" ref="J949:J954" si="94">SUM(E949:I949)</f>
        <v>1000.41</v>
      </c>
      <c r="K949" s="209"/>
      <c r="L949" s="434"/>
      <c r="M949" s="810"/>
      <c r="R949" s="773"/>
      <c r="T949" s="773"/>
      <c r="U949" s="2173"/>
      <c r="V949" s="2509"/>
      <c r="W949" s="2509"/>
      <c r="X949" s="2509"/>
      <c r="Y949" s="2509"/>
      <c r="AJ949" s="11">
        <v>591.79999999999995</v>
      </c>
      <c r="AK949" s="11">
        <f>$J949-SUM($Z949:AJ949)</f>
        <v>408.61</v>
      </c>
      <c r="AW949" s="2509"/>
      <c r="BE949" s="2173"/>
      <c r="BF949" s="2173"/>
      <c r="BG949" s="2173"/>
      <c r="BH949" s="2173"/>
      <c r="BI949" s="2173"/>
      <c r="BJ949" s="2173"/>
      <c r="BK949" s="2173"/>
      <c r="BL949" s="773"/>
      <c r="BN949" s="773"/>
      <c r="BO949" s="209"/>
      <c r="CH949" s="878"/>
      <c r="CI949" s="4"/>
      <c r="CJ949" s="4"/>
      <c r="DB949" s="773"/>
      <c r="DC949" s="773"/>
      <c r="DD949" s="773"/>
      <c r="DE949" s="773"/>
      <c r="DF949" s="773"/>
      <c r="DG949" s="773"/>
      <c r="DH949" s="773"/>
      <c r="DI949" s="773"/>
      <c r="DJ949" s="773"/>
      <c r="DK949" s="773"/>
      <c r="DL949" s="773"/>
      <c r="DM949" s="773"/>
      <c r="DN949" s="773"/>
      <c r="DO949" s="773"/>
      <c r="DP949" s="773"/>
      <c r="DQ949" s="773"/>
      <c r="DR949" s="773"/>
      <c r="DS949" s="773"/>
      <c r="DT949" s="773"/>
      <c r="DU949" s="773"/>
      <c r="DV949" s="773"/>
      <c r="DW949" s="773"/>
      <c r="DX949" s="773"/>
      <c r="DY949" s="773"/>
      <c r="DZ949" s="773"/>
      <c r="EA949" s="773"/>
      <c r="EB949" s="773"/>
      <c r="EC949" s="773"/>
      <c r="ED949" s="773"/>
      <c r="EE949" s="773"/>
      <c r="EF949" s="773"/>
      <c r="EG949" s="773"/>
      <c r="EH949" s="773"/>
      <c r="EI949" s="773"/>
      <c r="EJ949" s="773"/>
      <c r="EK949" s="773"/>
      <c r="EL949" s="773"/>
      <c r="EM949" s="773"/>
      <c r="EN949" s="773"/>
      <c r="EO949" s="773"/>
      <c r="EP949" s="773"/>
      <c r="EQ949" s="773"/>
      <c r="ER949" s="773"/>
      <c r="ES949" s="773"/>
      <c r="ET949" s="773"/>
      <c r="EU949" s="773"/>
      <c r="EV949" s="773"/>
      <c r="EW949" s="773"/>
      <c r="EX949" s="773"/>
      <c r="EY949" s="773"/>
      <c r="EZ949" s="773"/>
      <c r="FA949" s="773"/>
      <c r="FB949" s="773"/>
      <c r="FC949" s="773"/>
      <c r="FD949" s="773"/>
      <c r="FE949" s="773"/>
      <c r="FF949" s="773"/>
      <c r="FG949" s="773"/>
      <c r="FH949" s="773"/>
      <c r="FI949" s="773"/>
      <c r="FJ949" s="773"/>
      <c r="FK949" s="773"/>
      <c r="FL949" s="773"/>
      <c r="FM949" s="773"/>
      <c r="FN949" s="773"/>
      <c r="FO949" s="773"/>
      <c r="FP949" s="773"/>
      <c r="FQ949" s="773"/>
      <c r="FR949" s="773"/>
      <c r="FS949" s="773"/>
      <c r="FT949" s="773"/>
      <c r="FU949" s="773"/>
      <c r="FV949" s="773"/>
      <c r="FW949" s="773"/>
      <c r="FX949" s="773"/>
      <c r="FY949" s="773"/>
      <c r="FZ949" s="773"/>
      <c r="GA949" s="773"/>
      <c r="GB949" s="773"/>
      <c r="GC949" s="773"/>
      <c r="GD949" s="773"/>
      <c r="GE949" s="773"/>
      <c r="GF949" s="773"/>
      <c r="GG949" s="773"/>
      <c r="GH949" s="773"/>
      <c r="GI949" s="773"/>
      <c r="GJ949" s="773"/>
      <c r="GK949" s="773"/>
      <c r="GL949" s="773"/>
      <c r="GM949" s="773"/>
      <c r="GN949" s="773"/>
      <c r="GO949" s="773"/>
      <c r="GP949" s="773"/>
      <c r="GQ949" s="773"/>
      <c r="GR949" s="773"/>
      <c r="GS949" s="773"/>
      <c r="GT949" s="773"/>
      <c r="GU949" s="773"/>
      <c r="GV949" s="773"/>
      <c r="GW949" s="773"/>
      <c r="GX949" s="773"/>
      <c r="GY949" s="773"/>
      <c r="GZ949" s="773"/>
    </row>
    <row r="950" spans="1:208" s="11" customFormat="1">
      <c r="A950" s="774"/>
      <c r="B950" s="3761" t="s">
        <v>1819</v>
      </c>
      <c r="C950" s="197">
        <v>7110010</v>
      </c>
      <c r="D950" s="200" t="s">
        <v>4511</v>
      </c>
      <c r="E950" s="42">
        <f>IFERROR(VLOOKUP(C950,'AJE 12 - INC'!$D$168:$F$771,3,0),0)</f>
        <v>1328.12</v>
      </c>
      <c r="F950" s="108">
        <f>SUMIF('AJE 12 - INC'!B:B,'New TB INC'!C950,'AJE 12 - INC'!D:D)</f>
        <v>0</v>
      </c>
      <c r="G950" s="108"/>
      <c r="H950" s="108"/>
      <c r="I950" s="108"/>
      <c r="J950" s="798">
        <f t="shared" si="94"/>
        <v>1328.12</v>
      </c>
      <c r="K950" s="209"/>
      <c r="L950" s="434"/>
      <c r="M950" s="810"/>
      <c r="R950" s="773"/>
      <c r="T950" s="773"/>
      <c r="U950" s="2173"/>
      <c r="V950" s="2509"/>
      <c r="W950" s="2509"/>
      <c r="X950" s="2509"/>
      <c r="Y950" s="2509"/>
      <c r="AJ950" s="11">
        <v>498.6</v>
      </c>
      <c r="AK950" s="11">
        <f>$J950-SUM($Z950:AJ950)</f>
        <v>829.51999999999987</v>
      </c>
      <c r="AW950" s="2509"/>
      <c r="BE950" s="2173"/>
      <c r="BF950" s="2173"/>
      <c r="BG950" s="2173"/>
      <c r="BH950" s="2173"/>
      <c r="BI950" s="2173"/>
      <c r="BJ950" s="2173"/>
      <c r="BK950" s="2173"/>
      <c r="BL950" s="773"/>
      <c r="BN950" s="773"/>
      <c r="BO950" s="209"/>
      <c r="CH950" s="878"/>
      <c r="CI950" s="4"/>
      <c r="CJ950" s="4"/>
      <c r="DB950" s="773"/>
      <c r="DC950" s="773"/>
      <c r="DD950" s="773"/>
      <c r="DE950" s="773"/>
      <c r="DF950" s="773"/>
      <c r="DG950" s="773"/>
      <c r="DH950" s="773"/>
      <c r="DI950" s="773"/>
      <c r="DJ950" s="773"/>
      <c r="DK950" s="773"/>
      <c r="DL950" s="773"/>
      <c r="DM950" s="773"/>
      <c r="DN950" s="773"/>
      <c r="DO950" s="773"/>
      <c r="DP950" s="773"/>
      <c r="DQ950" s="773"/>
      <c r="DR950" s="773"/>
      <c r="DS950" s="773"/>
      <c r="DT950" s="773"/>
      <c r="DU950" s="773"/>
      <c r="DV950" s="773"/>
      <c r="DW950" s="773"/>
      <c r="DX950" s="773"/>
      <c r="DY950" s="773"/>
      <c r="DZ950" s="773"/>
      <c r="EA950" s="773"/>
      <c r="EB950" s="773"/>
      <c r="EC950" s="773"/>
      <c r="ED950" s="773"/>
      <c r="EE950" s="773"/>
      <c r="EF950" s="773"/>
      <c r="EG950" s="773"/>
      <c r="EH950" s="773"/>
      <c r="EI950" s="773"/>
      <c r="EJ950" s="773"/>
      <c r="EK950" s="773"/>
      <c r="EL950" s="773"/>
      <c r="EM950" s="773"/>
      <c r="EN950" s="773"/>
      <c r="EO950" s="773"/>
      <c r="EP950" s="773"/>
      <c r="EQ950" s="773"/>
      <c r="ER950" s="773"/>
      <c r="ES950" s="773"/>
      <c r="ET950" s="773"/>
      <c r="EU950" s="773"/>
      <c r="EV950" s="773"/>
      <c r="EW950" s="773"/>
      <c r="EX950" s="773"/>
      <c r="EY950" s="773"/>
      <c r="EZ950" s="773"/>
      <c r="FA950" s="773"/>
      <c r="FB950" s="773"/>
      <c r="FC950" s="773"/>
      <c r="FD950" s="773"/>
      <c r="FE950" s="773"/>
      <c r="FF950" s="773"/>
      <c r="FG950" s="773"/>
      <c r="FH950" s="773"/>
      <c r="FI950" s="773"/>
      <c r="FJ950" s="773"/>
      <c r="FK950" s="773"/>
      <c r="FL950" s="773"/>
      <c r="FM950" s="773"/>
      <c r="FN950" s="773"/>
      <c r="FO950" s="773"/>
      <c r="FP950" s="773"/>
      <c r="FQ950" s="773"/>
      <c r="FR950" s="773"/>
      <c r="FS950" s="773"/>
      <c r="FT950" s="773"/>
      <c r="FU950" s="773"/>
      <c r="FV950" s="773"/>
      <c r="FW950" s="773"/>
      <c r="FX950" s="773"/>
      <c r="FY950" s="773"/>
      <c r="FZ950" s="773"/>
      <c r="GA950" s="773"/>
      <c r="GB950" s="773"/>
      <c r="GC950" s="773"/>
      <c r="GD950" s="773"/>
      <c r="GE950" s="773"/>
      <c r="GF950" s="773"/>
      <c r="GG950" s="773"/>
      <c r="GH950" s="773"/>
      <c r="GI950" s="773"/>
      <c r="GJ950" s="773"/>
      <c r="GK950" s="773"/>
      <c r="GL950" s="773"/>
      <c r="GM950" s="773"/>
      <c r="GN950" s="773"/>
      <c r="GO950" s="773"/>
      <c r="GP950" s="773"/>
      <c r="GQ950" s="773"/>
      <c r="GR950" s="773"/>
      <c r="GS950" s="773"/>
      <c r="GT950" s="773"/>
      <c r="GU950" s="773"/>
      <c r="GV950" s="773"/>
      <c r="GW950" s="773"/>
      <c r="GX950" s="773"/>
      <c r="GY950" s="773"/>
      <c r="GZ950" s="773"/>
    </row>
    <row r="951" spans="1:208" s="11" customFormat="1">
      <c r="A951" s="774"/>
      <c r="B951" s="3761" t="s">
        <v>1819</v>
      </c>
      <c r="C951" s="197">
        <v>7110011</v>
      </c>
      <c r="D951" s="200" t="s">
        <v>4512</v>
      </c>
      <c r="E951" s="42">
        <f>IFERROR(VLOOKUP(C951,'AJE 12 - INC'!$D$168:$F$771,3,0),0)</f>
        <v>314.24</v>
      </c>
      <c r="F951" s="108">
        <f>SUMIF('AJE 12 - INC'!B:B,'New TB INC'!C951,'AJE 12 - INC'!D:D)</f>
        <v>0</v>
      </c>
      <c r="G951" s="108"/>
      <c r="H951" s="108"/>
      <c r="I951" s="108"/>
      <c r="J951" s="798">
        <f t="shared" si="94"/>
        <v>314.24</v>
      </c>
      <c r="K951" s="209"/>
      <c r="L951" s="434"/>
      <c r="M951" s="810"/>
      <c r="R951" s="773"/>
      <c r="T951" s="773"/>
      <c r="U951" s="2173"/>
      <c r="V951" s="2509"/>
      <c r="W951" s="2509"/>
      <c r="X951" s="2509"/>
      <c r="Y951" s="2509"/>
      <c r="AJ951" s="11">
        <v>99.71</v>
      </c>
      <c r="AK951" s="11">
        <f>$J951-SUM($Z951:AJ951)</f>
        <v>214.53000000000003</v>
      </c>
      <c r="AW951" s="2509"/>
      <c r="BE951" s="2173"/>
      <c r="BF951" s="2173"/>
      <c r="BG951" s="2173"/>
      <c r="BH951" s="2173"/>
      <c r="BI951" s="2173"/>
      <c r="BJ951" s="2173"/>
      <c r="BK951" s="2173"/>
      <c r="BL951" s="773"/>
      <c r="BN951" s="773"/>
      <c r="BO951" s="209"/>
      <c r="CH951" s="878"/>
      <c r="CI951" s="4"/>
      <c r="CJ951" s="4"/>
      <c r="DB951" s="773"/>
      <c r="DC951" s="773"/>
      <c r="DD951" s="773"/>
      <c r="DE951" s="773"/>
      <c r="DF951" s="773"/>
      <c r="DG951" s="773"/>
      <c r="DH951" s="773"/>
      <c r="DI951" s="773"/>
      <c r="DJ951" s="773"/>
      <c r="DK951" s="773"/>
      <c r="DL951" s="773"/>
      <c r="DM951" s="773"/>
      <c r="DN951" s="773"/>
      <c r="DO951" s="773"/>
      <c r="DP951" s="773"/>
      <c r="DQ951" s="773"/>
      <c r="DR951" s="773"/>
      <c r="DS951" s="773"/>
      <c r="DT951" s="773"/>
      <c r="DU951" s="773"/>
      <c r="DV951" s="773"/>
      <c r="DW951" s="773"/>
      <c r="DX951" s="773"/>
      <c r="DY951" s="773"/>
      <c r="DZ951" s="773"/>
      <c r="EA951" s="773"/>
      <c r="EB951" s="773"/>
      <c r="EC951" s="773"/>
      <c r="ED951" s="773"/>
      <c r="EE951" s="773"/>
      <c r="EF951" s="773"/>
      <c r="EG951" s="773"/>
      <c r="EH951" s="773"/>
      <c r="EI951" s="773"/>
      <c r="EJ951" s="773"/>
      <c r="EK951" s="773"/>
      <c r="EL951" s="773"/>
      <c r="EM951" s="773"/>
      <c r="EN951" s="773"/>
      <c r="EO951" s="773"/>
      <c r="EP951" s="773"/>
      <c r="EQ951" s="773"/>
      <c r="ER951" s="773"/>
      <c r="ES951" s="773"/>
      <c r="ET951" s="773"/>
      <c r="EU951" s="773"/>
      <c r="EV951" s="773"/>
      <c r="EW951" s="773"/>
      <c r="EX951" s="773"/>
      <c r="EY951" s="773"/>
      <c r="EZ951" s="773"/>
      <c r="FA951" s="773"/>
      <c r="FB951" s="773"/>
      <c r="FC951" s="773"/>
      <c r="FD951" s="773"/>
      <c r="FE951" s="773"/>
      <c r="FF951" s="773"/>
      <c r="FG951" s="773"/>
      <c r="FH951" s="773"/>
      <c r="FI951" s="773"/>
      <c r="FJ951" s="773"/>
      <c r="FK951" s="773"/>
      <c r="FL951" s="773"/>
      <c r="FM951" s="773"/>
      <c r="FN951" s="773"/>
      <c r="FO951" s="773"/>
      <c r="FP951" s="773"/>
      <c r="FQ951" s="773"/>
      <c r="FR951" s="773"/>
      <c r="FS951" s="773"/>
      <c r="FT951" s="773"/>
      <c r="FU951" s="773"/>
      <c r="FV951" s="773"/>
      <c r="FW951" s="773"/>
      <c r="FX951" s="773"/>
      <c r="FY951" s="773"/>
      <c r="FZ951" s="773"/>
      <c r="GA951" s="773"/>
      <c r="GB951" s="773"/>
      <c r="GC951" s="773"/>
      <c r="GD951" s="773"/>
      <c r="GE951" s="773"/>
      <c r="GF951" s="773"/>
      <c r="GG951" s="773"/>
      <c r="GH951" s="773"/>
      <c r="GI951" s="773"/>
      <c r="GJ951" s="773"/>
      <c r="GK951" s="773"/>
      <c r="GL951" s="773"/>
      <c r="GM951" s="773"/>
      <c r="GN951" s="773"/>
      <c r="GO951" s="773"/>
      <c r="GP951" s="773"/>
      <c r="GQ951" s="773"/>
      <c r="GR951" s="773"/>
      <c r="GS951" s="773"/>
      <c r="GT951" s="773"/>
      <c r="GU951" s="773"/>
      <c r="GV951" s="773"/>
      <c r="GW951" s="773"/>
      <c r="GX951" s="773"/>
      <c r="GY951" s="773"/>
      <c r="GZ951" s="773"/>
    </row>
    <row r="952" spans="1:208" s="11" customFormat="1">
      <c r="A952" s="774"/>
      <c r="B952" s="3761" t="s">
        <v>1819</v>
      </c>
      <c r="C952" s="197">
        <v>7110012</v>
      </c>
      <c r="D952" s="200" t="s">
        <v>4513</v>
      </c>
      <c r="E952" s="42">
        <f>IFERROR(VLOOKUP(C952,'AJE 12 - INC'!$D$168:$F$771,3,0),0)</f>
        <v>625.19000000000005</v>
      </c>
      <c r="F952" s="108">
        <f>SUMIF('AJE 12 - INC'!B:B,'New TB INC'!C952,'AJE 12 - INC'!D:D)</f>
        <v>0</v>
      </c>
      <c r="G952" s="108"/>
      <c r="H952" s="108"/>
      <c r="I952" s="108"/>
      <c r="J952" s="798">
        <f t="shared" si="94"/>
        <v>625.19000000000005</v>
      </c>
      <c r="K952" s="209"/>
      <c r="L952" s="434"/>
      <c r="M952" s="810"/>
      <c r="R952" s="773"/>
      <c r="T952" s="773"/>
      <c r="U952" s="2173"/>
      <c r="V952" s="2509"/>
      <c r="W952" s="2509"/>
      <c r="X952" s="2509"/>
      <c r="Y952" s="2509"/>
      <c r="AJ952" s="11">
        <v>145.06</v>
      </c>
      <c r="AK952" s="11">
        <f>$J952-SUM($Z952:AJ952)</f>
        <v>480.13000000000005</v>
      </c>
      <c r="AW952" s="2509"/>
      <c r="BE952" s="2173"/>
      <c r="BF952" s="2173"/>
      <c r="BG952" s="2173"/>
      <c r="BH952" s="2173"/>
      <c r="BI952" s="2173"/>
      <c r="BJ952" s="2173"/>
      <c r="BK952" s="2173"/>
      <c r="BL952" s="773"/>
      <c r="BN952" s="773"/>
      <c r="BO952" s="209"/>
      <c r="CH952" s="878"/>
      <c r="CI952" s="4"/>
      <c r="CJ952" s="4"/>
      <c r="DB952" s="773"/>
      <c r="DC952" s="773"/>
      <c r="DD952" s="773"/>
      <c r="DE952" s="773"/>
      <c r="DF952" s="773"/>
      <c r="DG952" s="773"/>
      <c r="DH952" s="773"/>
      <c r="DI952" s="773"/>
      <c r="DJ952" s="773"/>
      <c r="DK952" s="773"/>
      <c r="DL952" s="773"/>
      <c r="DM952" s="773"/>
      <c r="DN952" s="773"/>
      <c r="DO952" s="773"/>
      <c r="DP952" s="773"/>
      <c r="DQ952" s="773"/>
      <c r="DR952" s="773"/>
      <c r="DS952" s="773"/>
      <c r="DT952" s="773"/>
      <c r="DU952" s="773"/>
      <c r="DV952" s="773"/>
      <c r="DW952" s="773"/>
      <c r="DX952" s="773"/>
      <c r="DY952" s="773"/>
      <c r="DZ952" s="773"/>
      <c r="EA952" s="773"/>
      <c r="EB952" s="773"/>
      <c r="EC952" s="773"/>
      <c r="ED952" s="773"/>
      <c r="EE952" s="773"/>
      <c r="EF952" s="773"/>
      <c r="EG952" s="773"/>
      <c r="EH952" s="773"/>
      <c r="EI952" s="773"/>
      <c r="EJ952" s="773"/>
      <c r="EK952" s="773"/>
      <c r="EL952" s="773"/>
      <c r="EM952" s="773"/>
      <c r="EN952" s="773"/>
      <c r="EO952" s="773"/>
      <c r="EP952" s="773"/>
      <c r="EQ952" s="773"/>
      <c r="ER952" s="773"/>
      <c r="ES952" s="773"/>
      <c r="ET952" s="773"/>
      <c r="EU952" s="773"/>
      <c r="EV952" s="773"/>
      <c r="EW952" s="773"/>
      <c r="EX952" s="773"/>
      <c r="EY952" s="773"/>
      <c r="EZ952" s="773"/>
      <c r="FA952" s="773"/>
      <c r="FB952" s="773"/>
      <c r="FC952" s="773"/>
      <c r="FD952" s="773"/>
      <c r="FE952" s="773"/>
      <c r="FF952" s="773"/>
      <c r="FG952" s="773"/>
      <c r="FH952" s="773"/>
      <c r="FI952" s="773"/>
      <c r="FJ952" s="773"/>
      <c r="FK952" s="773"/>
      <c r="FL952" s="773"/>
      <c r="FM952" s="773"/>
      <c r="FN952" s="773"/>
      <c r="FO952" s="773"/>
      <c r="FP952" s="773"/>
      <c r="FQ952" s="773"/>
      <c r="FR952" s="773"/>
      <c r="FS952" s="773"/>
      <c r="FT952" s="773"/>
      <c r="FU952" s="773"/>
      <c r="FV952" s="773"/>
      <c r="FW952" s="773"/>
      <c r="FX952" s="773"/>
      <c r="FY952" s="773"/>
      <c r="FZ952" s="773"/>
      <c r="GA952" s="773"/>
      <c r="GB952" s="773"/>
      <c r="GC952" s="773"/>
      <c r="GD952" s="773"/>
      <c r="GE952" s="773"/>
      <c r="GF952" s="773"/>
      <c r="GG952" s="773"/>
      <c r="GH952" s="773"/>
      <c r="GI952" s="773"/>
      <c r="GJ952" s="773"/>
      <c r="GK952" s="773"/>
      <c r="GL952" s="773"/>
      <c r="GM952" s="773"/>
      <c r="GN952" s="773"/>
      <c r="GO952" s="773"/>
      <c r="GP952" s="773"/>
      <c r="GQ952" s="773"/>
      <c r="GR952" s="773"/>
      <c r="GS952" s="773"/>
      <c r="GT952" s="773"/>
      <c r="GU952" s="773"/>
      <c r="GV952" s="773"/>
      <c r="GW952" s="773"/>
      <c r="GX952" s="773"/>
      <c r="GY952" s="773"/>
      <c r="GZ952" s="773"/>
    </row>
    <row r="953" spans="1:208" s="11" customFormat="1">
      <c r="A953" s="774"/>
      <c r="B953" s="3761" t="s">
        <v>1819</v>
      </c>
      <c r="C953" s="197">
        <v>7110014</v>
      </c>
      <c r="D953" s="200" t="s">
        <v>4514</v>
      </c>
      <c r="E953" s="42">
        <f>IFERROR(VLOOKUP(C953,'AJE 12 - INC'!$D$168:$F$771,3,0),0)</f>
        <v>98</v>
      </c>
      <c r="F953" s="108">
        <f>SUMIF('AJE 12 - INC'!B:B,'New TB INC'!C953,'AJE 12 - INC'!D:D)</f>
        <v>0</v>
      </c>
      <c r="G953" s="108"/>
      <c r="H953" s="108"/>
      <c r="I953" s="108"/>
      <c r="J953" s="798">
        <f t="shared" si="94"/>
        <v>98</v>
      </c>
      <c r="K953" s="209"/>
      <c r="L953" s="434"/>
      <c r="M953" s="810"/>
      <c r="R953" s="773"/>
      <c r="T953" s="773"/>
      <c r="U953" s="2173"/>
      <c r="V953" s="2509"/>
      <c r="W953" s="2509"/>
      <c r="X953" s="2509"/>
      <c r="Y953" s="2509"/>
      <c r="AJ953" s="11">
        <v>98</v>
      </c>
      <c r="AK953" s="11">
        <f>$J953-SUM($Z953:AJ953)</f>
        <v>0</v>
      </c>
      <c r="AW953" s="2509"/>
      <c r="BE953" s="2173"/>
      <c r="BF953" s="2173"/>
      <c r="BG953" s="2173"/>
      <c r="BH953" s="2173"/>
      <c r="BI953" s="2173"/>
      <c r="BJ953" s="2173"/>
      <c r="BK953" s="2173"/>
      <c r="BL953" s="773"/>
      <c r="BN953" s="773"/>
      <c r="BO953" s="209"/>
      <c r="CH953" s="878"/>
      <c r="CI953" s="4"/>
      <c r="CJ953" s="4"/>
      <c r="DB953" s="773"/>
      <c r="DC953" s="773"/>
      <c r="DD953" s="773"/>
      <c r="DE953" s="773"/>
      <c r="DF953" s="773"/>
      <c r="DG953" s="773"/>
      <c r="DH953" s="773"/>
      <c r="DI953" s="773"/>
      <c r="DJ953" s="773"/>
      <c r="DK953" s="773"/>
      <c r="DL953" s="773"/>
      <c r="DM953" s="773"/>
      <c r="DN953" s="773"/>
      <c r="DO953" s="773"/>
      <c r="DP953" s="773"/>
      <c r="DQ953" s="773"/>
      <c r="DR953" s="773"/>
      <c r="DS953" s="773"/>
      <c r="DT953" s="773"/>
      <c r="DU953" s="773"/>
      <c r="DV953" s="773"/>
      <c r="DW953" s="773"/>
      <c r="DX953" s="773"/>
      <c r="DY953" s="773"/>
      <c r="DZ953" s="773"/>
      <c r="EA953" s="773"/>
      <c r="EB953" s="773"/>
      <c r="EC953" s="773"/>
      <c r="ED953" s="773"/>
      <c r="EE953" s="773"/>
      <c r="EF953" s="773"/>
      <c r="EG953" s="773"/>
      <c r="EH953" s="773"/>
      <c r="EI953" s="773"/>
      <c r="EJ953" s="773"/>
      <c r="EK953" s="773"/>
      <c r="EL953" s="773"/>
      <c r="EM953" s="773"/>
      <c r="EN953" s="773"/>
      <c r="EO953" s="773"/>
      <c r="EP953" s="773"/>
      <c r="EQ953" s="773"/>
      <c r="ER953" s="773"/>
      <c r="ES953" s="773"/>
      <c r="ET953" s="773"/>
      <c r="EU953" s="773"/>
      <c r="EV953" s="773"/>
      <c r="EW953" s="773"/>
      <c r="EX953" s="773"/>
      <c r="EY953" s="773"/>
      <c r="EZ953" s="773"/>
      <c r="FA953" s="773"/>
      <c r="FB953" s="773"/>
      <c r="FC953" s="773"/>
      <c r="FD953" s="773"/>
      <c r="FE953" s="773"/>
      <c r="FF953" s="773"/>
      <c r="FG953" s="773"/>
      <c r="FH953" s="773"/>
      <c r="FI953" s="773"/>
      <c r="FJ953" s="773"/>
      <c r="FK953" s="773"/>
      <c r="FL953" s="773"/>
      <c r="FM953" s="773"/>
      <c r="FN953" s="773"/>
      <c r="FO953" s="773"/>
      <c r="FP953" s="773"/>
      <c r="FQ953" s="773"/>
      <c r="FR953" s="773"/>
      <c r="FS953" s="773"/>
      <c r="FT953" s="773"/>
      <c r="FU953" s="773"/>
      <c r="FV953" s="773"/>
      <c r="FW953" s="773"/>
      <c r="FX953" s="773"/>
      <c r="FY953" s="773"/>
      <c r="FZ953" s="773"/>
      <c r="GA953" s="773"/>
      <c r="GB953" s="773"/>
      <c r="GC953" s="773"/>
      <c r="GD953" s="773"/>
      <c r="GE953" s="773"/>
      <c r="GF953" s="773"/>
      <c r="GG953" s="773"/>
      <c r="GH953" s="773"/>
      <c r="GI953" s="773"/>
      <c r="GJ953" s="773"/>
      <c r="GK953" s="773"/>
      <c r="GL953" s="773"/>
      <c r="GM953" s="773"/>
      <c r="GN953" s="773"/>
      <c r="GO953" s="773"/>
      <c r="GP953" s="773"/>
      <c r="GQ953" s="773"/>
      <c r="GR953" s="773"/>
      <c r="GS953" s="773"/>
      <c r="GT953" s="773"/>
      <c r="GU953" s="773"/>
      <c r="GV953" s="773"/>
      <c r="GW953" s="773"/>
      <c r="GX953" s="773"/>
      <c r="GY953" s="773"/>
      <c r="GZ953" s="773"/>
    </row>
    <row r="954" spans="1:208" s="11" customFormat="1">
      <c r="A954" s="774"/>
      <c r="B954" s="3761" t="s">
        <v>1819</v>
      </c>
      <c r="C954" s="197">
        <v>7110015</v>
      </c>
      <c r="D954" s="200" t="s">
        <v>4515</v>
      </c>
      <c r="E954" s="42">
        <f>IFERROR(VLOOKUP(C954,'AJE 12 - INC'!$D$168:$F$771,3,0),0)</f>
        <v>3065.9</v>
      </c>
      <c r="F954" s="108">
        <f>SUMIF('AJE 12 - INC'!B:B,'New TB INC'!C954,'AJE 12 - INC'!D:D)</f>
        <v>0</v>
      </c>
      <c r="G954" s="108"/>
      <c r="H954" s="108"/>
      <c r="I954" s="108"/>
      <c r="J954" s="798">
        <f t="shared" si="94"/>
        <v>3065.9</v>
      </c>
      <c r="K954" s="209"/>
      <c r="L954" s="434"/>
      <c r="M954" s="810"/>
      <c r="R954" s="773"/>
      <c r="T954" s="773"/>
      <c r="U954" s="2173"/>
      <c r="V954" s="2509"/>
      <c r="W954" s="2509"/>
      <c r="X954" s="2509"/>
      <c r="Y954" s="2509"/>
      <c r="AJ954" s="11">
        <v>974.46</v>
      </c>
      <c r="AK954" s="11">
        <f>$J954-SUM($Z954:AJ954)</f>
        <v>2091.44</v>
      </c>
      <c r="AW954" s="2509"/>
      <c r="BE954" s="2173"/>
      <c r="BF954" s="2173"/>
      <c r="BG954" s="2173"/>
      <c r="BH954" s="2173"/>
      <c r="BI954" s="2173"/>
      <c r="BJ954" s="2173"/>
      <c r="BK954" s="2173"/>
      <c r="BL954" s="773"/>
      <c r="BN954" s="773"/>
      <c r="BO954" s="209"/>
      <c r="CH954" s="878"/>
      <c r="CI954" s="4"/>
      <c r="CJ954" s="4"/>
      <c r="DB954" s="773"/>
      <c r="DC954" s="773"/>
      <c r="DD954" s="773"/>
      <c r="DE954" s="773"/>
      <c r="DF954" s="773"/>
      <c r="DG954" s="773"/>
      <c r="DH954" s="773"/>
      <c r="DI954" s="773"/>
      <c r="DJ954" s="773"/>
      <c r="DK954" s="773"/>
      <c r="DL954" s="773"/>
      <c r="DM954" s="773"/>
      <c r="DN954" s="773"/>
      <c r="DO954" s="773"/>
      <c r="DP954" s="773"/>
      <c r="DQ954" s="773"/>
      <c r="DR954" s="773"/>
      <c r="DS954" s="773"/>
      <c r="DT954" s="773"/>
      <c r="DU954" s="773"/>
      <c r="DV954" s="773"/>
      <c r="DW954" s="773"/>
      <c r="DX954" s="773"/>
      <c r="DY954" s="773"/>
      <c r="DZ954" s="773"/>
      <c r="EA954" s="773"/>
      <c r="EB954" s="773"/>
      <c r="EC954" s="773"/>
      <c r="ED954" s="773"/>
      <c r="EE954" s="773"/>
      <c r="EF954" s="773"/>
      <c r="EG954" s="773"/>
      <c r="EH954" s="773"/>
      <c r="EI954" s="773"/>
      <c r="EJ954" s="773"/>
      <c r="EK954" s="773"/>
      <c r="EL954" s="773"/>
      <c r="EM954" s="773"/>
      <c r="EN954" s="773"/>
      <c r="EO954" s="773"/>
      <c r="EP954" s="773"/>
      <c r="EQ954" s="773"/>
      <c r="ER954" s="773"/>
      <c r="ES954" s="773"/>
      <c r="ET954" s="773"/>
      <c r="EU954" s="773"/>
      <c r="EV954" s="773"/>
      <c r="EW954" s="773"/>
      <c r="EX954" s="773"/>
      <c r="EY954" s="773"/>
      <c r="EZ954" s="773"/>
      <c r="FA954" s="773"/>
      <c r="FB954" s="773"/>
      <c r="FC954" s="773"/>
      <c r="FD954" s="773"/>
      <c r="FE954" s="773"/>
      <c r="FF954" s="773"/>
      <c r="FG954" s="773"/>
      <c r="FH954" s="773"/>
      <c r="FI954" s="773"/>
      <c r="FJ954" s="773"/>
      <c r="FK954" s="773"/>
      <c r="FL954" s="773"/>
      <c r="FM954" s="773"/>
      <c r="FN954" s="773"/>
      <c r="FO954" s="773"/>
      <c r="FP954" s="773"/>
      <c r="FQ954" s="773"/>
      <c r="FR954" s="773"/>
      <c r="FS954" s="773"/>
      <c r="FT954" s="773"/>
      <c r="FU954" s="773"/>
      <c r="FV954" s="773"/>
      <c r="FW954" s="773"/>
      <c r="FX954" s="773"/>
      <c r="FY954" s="773"/>
      <c r="FZ954" s="773"/>
      <c r="GA954" s="773"/>
      <c r="GB954" s="773"/>
      <c r="GC954" s="773"/>
      <c r="GD954" s="773"/>
      <c r="GE954" s="773"/>
      <c r="GF954" s="773"/>
      <c r="GG954" s="773"/>
      <c r="GH954" s="773"/>
      <c r="GI954" s="773"/>
      <c r="GJ954" s="773"/>
      <c r="GK954" s="773"/>
      <c r="GL954" s="773"/>
      <c r="GM954" s="773"/>
      <c r="GN954" s="773"/>
      <c r="GO954" s="773"/>
      <c r="GP954" s="773"/>
      <c r="GQ954" s="773"/>
      <c r="GR954" s="773"/>
      <c r="GS954" s="773"/>
      <c r="GT954" s="773"/>
      <c r="GU954" s="773"/>
      <c r="GV954" s="773"/>
      <c r="GW954" s="773"/>
      <c r="GX954" s="773"/>
      <c r="GY954" s="773"/>
      <c r="GZ954" s="773"/>
    </row>
    <row r="955" spans="1:208" s="11" customFormat="1">
      <c r="A955" s="774"/>
      <c r="B955" s="3761"/>
      <c r="C955" s="197"/>
      <c r="D955" s="200"/>
      <c r="E955" s="42"/>
      <c r="F955" s="108"/>
      <c r="G955" s="108"/>
      <c r="H955" s="108"/>
      <c r="I955" s="108"/>
      <c r="J955" s="798"/>
      <c r="K955" s="209"/>
      <c r="L955" s="434"/>
      <c r="M955" s="810"/>
      <c r="R955" s="773"/>
      <c r="T955" s="773"/>
      <c r="U955" s="2173"/>
      <c r="V955" s="2509"/>
      <c r="W955" s="2509"/>
      <c r="X955" s="2509"/>
      <c r="Y955" s="2509"/>
      <c r="AJ955" s="11">
        <v>0</v>
      </c>
      <c r="AK955" s="11">
        <f>$J955-SUM($Z955:AJ955)</f>
        <v>0</v>
      </c>
      <c r="AW955" s="2509"/>
      <c r="BE955" s="2173"/>
      <c r="BF955" s="2173"/>
      <c r="BG955" s="2173"/>
      <c r="BH955" s="2173"/>
      <c r="BI955" s="2173"/>
      <c r="BJ955" s="2173"/>
      <c r="BK955" s="2173"/>
      <c r="BL955" s="773"/>
      <c r="BN955" s="773"/>
      <c r="BO955" s="209"/>
      <c r="CH955" s="878"/>
      <c r="CI955" s="4"/>
      <c r="CJ955" s="4"/>
      <c r="DB955" s="773"/>
      <c r="DC955" s="773"/>
      <c r="DD955" s="773"/>
      <c r="DE955" s="773"/>
      <c r="DF955" s="773"/>
      <c r="DG955" s="773"/>
      <c r="DH955" s="773"/>
      <c r="DI955" s="773"/>
      <c r="DJ955" s="773"/>
      <c r="DK955" s="773"/>
      <c r="DL955" s="773"/>
      <c r="DM955" s="773"/>
      <c r="DN955" s="773"/>
      <c r="DO955" s="773"/>
      <c r="DP955" s="773"/>
      <c r="DQ955" s="773"/>
      <c r="DR955" s="773"/>
      <c r="DS955" s="773"/>
      <c r="DT955" s="773"/>
      <c r="DU955" s="773"/>
      <c r="DV955" s="773"/>
      <c r="DW955" s="773"/>
      <c r="DX955" s="773"/>
      <c r="DY955" s="773"/>
      <c r="DZ955" s="773"/>
      <c r="EA955" s="773"/>
      <c r="EB955" s="773"/>
      <c r="EC955" s="773"/>
      <c r="ED955" s="773"/>
      <c r="EE955" s="773"/>
      <c r="EF955" s="773"/>
      <c r="EG955" s="773"/>
      <c r="EH955" s="773"/>
      <c r="EI955" s="773"/>
      <c r="EJ955" s="773"/>
      <c r="EK955" s="773"/>
      <c r="EL955" s="773"/>
      <c r="EM955" s="773"/>
      <c r="EN955" s="773"/>
      <c r="EO955" s="773"/>
      <c r="EP955" s="773"/>
      <c r="EQ955" s="773"/>
      <c r="ER955" s="773"/>
      <c r="ES955" s="773"/>
      <c r="ET955" s="773"/>
      <c r="EU955" s="773"/>
      <c r="EV955" s="773"/>
      <c r="EW955" s="773"/>
      <c r="EX955" s="773"/>
      <c r="EY955" s="773"/>
      <c r="EZ955" s="773"/>
      <c r="FA955" s="773"/>
      <c r="FB955" s="773"/>
      <c r="FC955" s="773"/>
      <c r="FD955" s="773"/>
      <c r="FE955" s="773"/>
      <c r="FF955" s="773"/>
      <c r="FG955" s="773"/>
      <c r="FH955" s="773"/>
      <c r="FI955" s="773"/>
      <c r="FJ955" s="773"/>
      <c r="FK955" s="773"/>
      <c r="FL955" s="773"/>
      <c r="FM955" s="773"/>
      <c r="FN955" s="773"/>
      <c r="FO955" s="773"/>
      <c r="FP955" s="773"/>
      <c r="FQ955" s="773"/>
      <c r="FR955" s="773"/>
      <c r="FS955" s="773"/>
      <c r="FT955" s="773"/>
      <c r="FU955" s="773"/>
      <c r="FV955" s="773"/>
      <c r="FW955" s="773"/>
      <c r="FX955" s="773"/>
      <c r="FY955" s="773"/>
      <c r="FZ955" s="773"/>
      <c r="GA955" s="773"/>
      <c r="GB955" s="773"/>
      <c r="GC955" s="773"/>
      <c r="GD955" s="773"/>
      <c r="GE955" s="773"/>
      <c r="GF955" s="773"/>
      <c r="GG955" s="773"/>
      <c r="GH955" s="773"/>
      <c r="GI955" s="773"/>
      <c r="GJ955" s="773"/>
      <c r="GK955" s="773"/>
      <c r="GL955" s="773"/>
      <c r="GM955" s="773"/>
      <c r="GN955" s="773"/>
      <c r="GO955" s="773"/>
      <c r="GP955" s="773"/>
      <c r="GQ955" s="773"/>
      <c r="GR955" s="773"/>
      <c r="GS955" s="773"/>
      <c r="GT955" s="773"/>
      <c r="GU955" s="773"/>
      <c r="GV955" s="773"/>
      <c r="GW955" s="773"/>
      <c r="GX955" s="773"/>
      <c r="GY955" s="773"/>
      <c r="GZ955" s="773"/>
    </row>
    <row r="956" spans="1:208" s="11" customFormat="1">
      <c r="A956" s="774"/>
      <c r="B956" s="3761"/>
      <c r="C956" s="197"/>
      <c r="D956" s="200"/>
      <c r="E956" s="42"/>
      <c r="F956" s="108"/>
      <c r="G956" s="108"/>
      <c r="H956" s="108"/>
      <c r="I956" s="108"/>
      <c r="J956" s="798"/>
      <c r="K956" s="209"/>
      <c r="L956" s="434"/>
      <c r="M956" s="810"/>
      <c r="R956" s="773"/>
      <c r="T956" s="773"/>
      <c r="U956" s="2173"/>
      <c r="V956" s="2509"/>
      <c r="W956" s="2509"/>
      <c r="X956" s="2509"/>
      <c r="Y956" s="2509"/>
      <c r="AJ956" s="11">
        <v>0</v>
      </c>
      <c r="AK956" s="11">
        <f>$J956-SUM($Z956:AJ956)</f>
        <v>0</v>
      </c>
      <c r="AW956" s="2509"/>
      <c r="BE956" s="2173"/>
      <c r="BF956" s="2173"/>
      <c r="BG956" s="2173"/>
      <c r="BH956" s="2173"/>
      <c r="BI956" s="2173"/>
      <c r="BJ956" s="2173"/>
      <c r="BK956" s="2173"/>
      <c r="BL956" s="773"/>
      <c r="BN956" s="773"/>
      <c r="BO956" s="209"/>
      <c r="CH956" s="878"/>
      <c r="CI956" s="4"/>
      <c r="CJ956" s="4"/>
      <c r="DB956" s="773"/>
      <c r="DC956" s="773"/>
      <c r="DD956" s="773"/>
      <c r="DE956" s="773"/>
      <c r="DF956" s="773"/>
      <c r="DG956" s="773"/>
      <c r="DH956" s="773"/>
      <c r="DI956" s="773"/>
      <c r="DJ956" s="773"/>
      <c r="DK956" s="773"/>
      <c r="DL956" s="773"/>
      <c r="DM956" s="773"/>
      <c r="DN956" s="773"/>
      <c r="DO956" s="773"/>
      <c r="DP956" s="773"/>
      <c r="DQ956" s="773"/>
      <c r="DR956" s="773"/>
      <c r="DS956" s="773"/>
      <c r="DT956" s="773"/>
      <c r="DU956" s="773"/>
      <c r="DV956" s="773"/>
      <c r="DW956" s="773"/>
      <c r="DX956" s="773"/>
      <c r="DY956" s="773"/>
      <c r="DZ956" s="773"/>
      <c r="EA956" s="773"/>
      <c r="EB956" s="773"/>
      <c r="EC956" s="773"/>
      <c r="ED956" s="773"/>
      <c r="EE956" s="773"/>
      <c r="EF956" s="773"/>
      <c r="EG956" s="773"/>
      <c r="EH956" s="773"/>
      <c r="EI956" s="773"/>
      <c r="EJ956" s="773"/>
      <c r="EK956" s="773"/>
      <c r="EL956" s="773"/>
      <c r="EM956" s="773"/>
      <c r="EN956" s="773"/>
      <c r="EO956" s="773"/>
      <c r="EP956" s="773"/>
      <c r="EQ956" s="773"/>
      <c r="ER956" s="773"/>
      <c r="ES956" s="773"/>
      <c r="ET956" s="773"/>
      <c r="EU956" s="773"/>
      <c r="EV956" s="773"/>
      <c r="EW956" s="773"/>
      <c r="EX956" s="773"/>
      <c r="EY956" s="773"/>
      <c r="EZ956" s="773"/>
      <c r="FA956" s="773"/>
      <c r="FB956" s="773"/>
      <c r="FC956" s="773"/>
      <c r="FD956" s="773"/>
      <c r="FE956" s="773"/>
      <c r="FF956" s="773"/>
      <c r="FG956" s="773"/>
      <c r="FH956" s="773"/>
      <c r="FI956" s="773"/>
      <c r="FJ956" s="773"/>
      <c r="FK956" s="773"/>
      <c r="FL956" s="773"/>
      <c r="FM956" s="773"/>
      <c r="FN956" s="773"/>
      <c r="FO956" s="773"/>
      <c r="FP956" s="773"/>
      <c r="FQ956" s="773"/>
      <c r="FR956" s="773"/>
      <c r="FS956" s="773"/>
      <c r="FT956" s="773"/>
      <c r="FU956" s="773"/>
      <c r="FV956" s="773"/>
      <c r="FW956" s="773"/>
      <c r="FX956" s="773"/>
      <c r="FY956" s="773"/>
      <c r="FZ956" s="773"/>
      <c r="GA956" s="773"/>
      <c r="GB956" s="773"/>
      <c r="GC956" s="773"/>
      <c r="GD956" s="773"/>
      <c r="GE956" s="773"/>
      <c r="GF956" s="773"/>
      <c r="GG956" s="773"/>
      <c r="GH956" s="773"/>
      <c r="GI956" s="773"/>
      <c r="GJ956" s="773"/>
      <c r="GK956" s="773"/>
      <c r="GL956" s="773"/>
      <c r="GM956" s="773"/>
      <c r="GN956" s="773"/>
      <c r="GO956" s="773"/>
      <c r="GP956" s="773"/>
      <c r="GQ956" s="773"/>
      <c r="GR956" s="773"/>
      <c r="GS956" s="773"/>
      <c r="GT956" s="773"/>
      <c r="GU956" s="773"/>
      <c r="GV956" s="773"/>
      <c r="GW956" s="773"/>
      <c r="GX956" s="773"/>
      <c r="GY956" s="773"/>
      <c r="GZ956" s="773"/>
    </row>
    <row r="957" spans="1:208" s="11" customFormat="1">
      <c r="A957" s="774"/>
      <c r="B957" s="3761"/>
      <c r="C957" s="197"/>
      <c r="D957" s="200"/>
      <c r="E957" s="42"/>
      <c r="F957" s="108"/>
      <c r="G957" s="108"/>
      <c r="H957" s="108"/>
      <c r="I957" s="108"/>
      <c r="J957" s="798"/>
      <c r="K957" s="209"/>
      <c r="L957" s="434"/>
      <c r="M957" s="810"/>
      <c r="R957" s="773"/>
      <c r="T957" s="773"/>
      <c r="U957" s="2173"/>
      <c r="V957" s="2509"/>
      <c r="W957" s="2509"/>
      <c r="X957" s="2509"/>
      <c r="Y957" s="2509"/>
      <c r="AJ957" s="11">
        <v>0</v>
      </c>
      <c r="AK957" s="11">
        <f>$J957-SUM($Z957:AJ957)</f>
        <v>0</v>
      </c>
      <c r="AW957" s="2509"/>
      <c r="BE957" s="2173"/>
      <c r="BF957" s="2173"/>
      <c r="BG957" s="2173"/>
      <c r="BH957" s="2173"/>
      <c r="BI957" s="2173"/>
      <c r="BJ957" s="2173"/>
      <c r="BK957" s="2173"/>
      <c r="BL957" s="773"/>
      <c r="BN957" s="773"/>
      <c r="BO957" s="209"/>
      <c r="CH957" s="878"/>
      <c r="CI957" s="4"/>
      <c r="CJ957" s="4"/>
      <c r="DB957" s="773"/>
      <c r="DC957" s="773"/>
      <c r="DD957" s="773"/>
      <c r="DE957" s="773"/>
      <c r="DF957" s="773"/>
      <c r="DG957" s="773"/>
      <c r="DH957" s="773"/>
      <c r="DI957" s="773"/>
      <c r="DJ957" s="773"/>
      <c r="DK957" s="773"/>
      <c r="DL957" s="773"/>
      <c r="DM957" s="773"/>
      <c r="DN957" s="773"/>
      <c r="DO957" s="773"/>
      <c r="DP957" s="773"/>
      <c r="DQ957" s="773"/>
      <c r="DR957" s="773"/>
      <c r="DS957" s="773"/>
      <c r="DT957" s="773"/>
      <c r="DU957" s="773"/>
      <c r="DV957" s="773"/>
      <c r="DW957" s="773"/>
      <c r="DX957" s="773"/>
      <c r="DY957" s="773"/>
      <c r="DZ957" s="773"/>
      <c r="EA957" s="773"/>
      <c r="EB957" s="773"/>
      <c r="EC957" s="773"/>
      <c r="ED957" s="773"/>
      <c r="EE957" s="773"/>
      <c r="EF957" s="773"/>
      <c r="EG957" s="773"/>
      <c r="EH957" s="773"/>
      <c r="EI957" s="773"/>
      <c r="EJ957" s="773"/>
      <c r="EK957" s="773"/>
      <c r="EL957" s="773"/>
      <c r="EM957" s="773"/>
      <c r="EN957" s="773"/>
      <c r="EO957" s="773"/>
      <c r="EP957" s="773"/>
      <c r="EQ957" s="773"/>
      <c r="ER957" s="773"/>
      <c r="ES957" s="773"/>
      <c r="ET957" s="773"/>
      <c r="EU957" s="773"/>
      <c r="EV957" s="773"/>
      <c r="EW957" s="773"/>
      <c r="EX957" s="773"/>
      <c r="EY957" s="773"/>
      <c r="EZ957" s="773"/>
      <c r="FA957" s="773"/>
      <c r="FB957" s="773"/>
      <c r="FC957" s="773"/>
      <c r="FD957" s="773"/>
      <c r="FE957" s="773"/>
      <c r="FF957" s="773"/>
      <c r="FG957" s="773"/>
      <c r="FH957" s="773"/>
      <c r="FI957" s="773"/>
      <c r="FJ957" s="773"/>
      <c r="FK957" s="773"/>
      <c r="FL957" s="773"/>
      <c r="FM957" s="773"/>
      <c r="FN957" s="773"/>
      <c r="FO957" s="773"/>
      <c r="FP957" s="773"/>
      <c r="FQ957" s="773"/>
      <c r="FR957" s="773"/>
      <c r="FS957" s="773"/>
      <c r="FT957" s="773"/>
      <c r="FU957" s="773"/>
      <c r="FV957" s="773"/>
      <c r="FW957" s="773"/>
      <c r="FX957" s="773"/>
      <c r="FY957" s="773"/>
      <c r="FZ957" s="773"/>
      <c r="GA957" s="773"/>
      <c r="GB957" s="773"/>
      <c r="GC957" s="773"/>
      <c r="GD957" s="773"/>
      <c r="GE957" s="773"/>
      <c r="GF957" s="773"/>
      <c r="GG957" s="773"/>
      <c r="GH957" s="773"/>
      <c r="GI957" s="773"/>
      <c r="GJ957" s="773"/>
      <c r="GK957" s="773"/>
      <c r="GL957" s="773"/>
      <c r="GM957" s="773"/>
      <c r="GN957" s="773"/>
      <c r="GO957" s="773"/>
      <c r="GP957" s="773"/>
      <c r="GQ957" s="773"/>
      <c r="GR957" s="773"/>
      <c r="GS957" s="773"/>
      <c r="GT957" s="773"/>
      <c r="GU957" s="773"/>
      <c r="GV957" s="773"/>
      <c r="GW957" s="773"/>
      <c r="GX957" s="773"/>
      <c r="GY957" s="773"/>
      <c r="GZ957" s="773"/>
    </row>
    <row r="958" spans="1:208" s="11" customFormat="1">
      <c r="A958" s="774"/>
      <c r="B958" s="3761"/>
      <c r="C958" s="197"/>
      <c r="D958" s="200"/>
      <c r="E958" s="42"/>
      <c r="F958" s="108"/>
      <c r="G958" s="108"/>
      <c r="H958" s="108"/>
      <c r="I958" s="108"/>
      <c r="J958" s="798"/>
      <c r="K958" s="209"/>
      <c r="L958" s="434"/>
      <c r="M958" s="810"/>
      <c r="N958" s="11">
        <v>0</v>
      </c>
      <c r="O958" s="11">
        <v>0</v>
      </c>
      <c r="P958" s="11">
        <v>0</v>
      </c>
      <c r="Q958" s="11">
        <v>0</v>
      </c>
      <c r="R958" s="773">
        <v>0</v>
      </c>
      <c r="S958" s="11">
        <v>0</v>
      </c>
      <c r="T958" s="773">
        <v>0</v>
      </c>
      <c r="U958" s="2173">
        <v>0</v>
      </c>
      <c r="V958" s="2509">
        <v>0</v>
      </c>
      <c r="W958" s="2509">
        <v>0</v>
      </c>
      <c r="X958" s="2509">
        <v>0</v>
      </c>
      <c r="Y958" s="2509">
        <v>0</v>
      </c>
      <c r="Z958" s="11">
        <f>'[26]New TB INC'!Z877</f>
        <v>0</v>
      </c>
      <c r="AA958" s="11">
        <f>'[27]New TB INC'!AA882</f>
        <v>0</v>
      </c>
      <c r="AB958" s="11">
        <f>'[28]New TB INC'!AB891</f>
        <v>0</v>
      </c>
      <c r="AC958" s="11">
        <f>'[29]New TB INC'!AC892</f>
        <v>0</v>
      </c>
      <c r="AD958" s="11">
        <f>'[150]New TB INC'!AD890</f>
        <v>0</v>
      </c>
      <c r="AE958" s="11">
        <f>'[150]New TB INC'!AE890</f>
        <v>0</v>
      </c>
      <c r="AF958" s="11">
        <v>0</v>
      </c>
      <c r="AG958" s="11">
        <v>0</v>
      </c>
      <c r="AH958" s="11">
        <v>0</v>
      </c>
      <c r="AI958" s="11">
        <v>0</v>
      </c>
      <c r="AJ958" s="11">
        <v>0</v>
      </c>
      <c r="AK958" s="11">
        <f>$J958-SUM($Z958:AJ958)</f>
        <v>0</v>
      </c>
      <c r="AW958" s="2509"/>
      <c r="BE958" s="2173"/>
      <c r="BF958" s="2173"/>
      <c r="BG958" s="2173"/>
      <c r="BH958" s="2173"/>
      <c r="BI958" s="2173"/>
      <c r="BJ958" s="2173"/>
      <c r="BK958" s="2173"/>
      <c r="BL958" s="773"/>
      <c r="BN958" s="773"/>
      <c r="BO958" s="209"/>
      <c r="CH958" s="878"/>
      <c r="CI958" s="4"/>
      <c r="CJ958" s="4"/>
      <c r="DB958" s="773"/>
      <c r="DC958" s="773"/>
      <c r="DD958" s="773"/>
      <c r="DE958" s="773"/>
      <c r="DF958" s="773"/>
      <c r="DG958" s="773"/>
      <c r="DH958" s="773"/>
      <c r="DI958" s="773"/>
      <c r="DJ958" s="773"/>
      <c r="DK958" s="773"/>
      <c r="DL958" s="773"/>
      <c r="DM958" s="773"/>
      <c r="DN958" s="773"/>
      <c r="DO958" s="773"/>
      <c r="DP958" s="773"/>
      <c r="DQ958" s="773"/>
      <c r="DR958" s="773"/>
      <c r="DS958" s="773"/>
      <c r="DT958" s="773"/>
      <c r="DU958" s="773"/>
      <c r="DV958" s="773"/>
      <c r="DW958" s="773"/>
      <c r="DX958" s="773"/>
      <c r="DY958" s="773"/>
      <c r="DZ958" s="773"/>
      <c r="EA958" s="773"/>
      <c r="EB958" s="773"/>
      <c r="EC958" s="773"/>
      <c r="ED958" s="773"/>
      <c r="EE958" s="773"/>
      <c r="EF958" s="773"/>
      <c r="EG958" s="773"/>
      <c r="EH958" s="773"/>
      <c r="EI958" s="773"/>
      <c r="EJ958" s="773"/>
      <c r="EK958" s="773"/>
      <c r="EL958" s="773"/>
      <c r="EM958" s="773"/>
      <c r="EN958" s="773"/>
      <c r="EO958" s="773"/>
      <c r="EP958" s="773"/>
      <c r="EQ958" s="773"/>
      <c r="ER958" s="773"/>
      <c r="ES958" s="773"/>
      <c r="ET958" s="773"/>
      <c r="EU958" s="773"/>
      <c r="EV958" s="773"/>
      <c r="EW958" s="773"/>
      <c r="EX958" s="773"/>
      <c r="EY958" s="773"/>
      <c r="EZ958" s="773"/>
      <c r="FA958" s="773"/>
      <c r="FB958" s="773"/>
      <c r="FC958" s="773"/>
      <c r="FD958" s="773"/>
      <c r="FE958" s="773"/>
      <c r="FF958" s="773"/>
      <c r="FG958" s="773"/>
      <c r="FH958" s="773"/>
      <c r="FI958" s="773"/>
      <c r="FJ958" s="773"/>
      <c r="FK958" s="773"/>
      <c r="FL958" s="773"/>
      <c r="FM958" s="773"/>
      <c r="FN958" s="773"/>
      <c r="FO958" s="773"/>
      <c r="FP958" s="773"/>
      <c r="FQ958" s="773"/>
      <c r="FR958" s="773"/>
      <c r="FS958" s="773"/>
      <c r="FT958" s="773"/>
      <c r="FU958" s="773"/>
      <c r="FV958" s="773"/>
      <c r="FW958" s="773"/>
      <c r="FX958" s="773"/>
      <c r="FY958" s="773"/>
      <c r="FZ958" s="773"/>
      <c r="GA958" s="773"/>
      <c r="GB958" s="773"/>
      <c r="GC958" s="773"/>
      <c r="GD958" s="773"/>
      <c r="GE958" s="773"/>
      <c r="GF958" s="773"/>
      <c r="GG958" s="773"/>
      <c r="GH958" s="773"/>
      <c r="GI958" s="773"/>
      <c r="GJ958" s="773"/>
      <c r="GK958" s="773"/>
      <c r="GL958" s="773"/>
      <c r="GM958" s="773"/>
      <c r="GN958" s="773"/>
      <c r="GO958" s="773"/>
      <c r="GP958" s="773"/>
      <c r="GQ958" s="773"/>
      <c r="GR958" s="773"/>
      <c r="GS958" s="773"/>
      <c r="GT958" s="773"/>
      <c r="GU958" s="773"/>
      <c r="GV958" s="773"/>
      <c r="GW958" s="773"/>
      <c r="GX958" s="773"/>
      <c r="GY958" s="773"/>
      <c r="GZ958" s="773"/>
    </row>
    <row r="959" spans="1:208" s="11" customFormat="1">
      <c r="A959" s="774"/>
      <c r="B959" s="3761" t="s">
        <v>758</v>
      </c>
      <c r="C959" s="197">
        <v>7160001</v>
      </c>
      <c r="D959" s="200" t="s">
        <v>1630</v>
      </c>
      <c r="E959" s="42">
        <f>IFERROR(VLOOKUP(C959,'AJE 12 - INC'!$D$168:$F$771,3,0),0)</f>
        <v>776.7</v>
      </c>
      <c r="F959" s="108">
        <f>SUMIF('AJE 12 - INC'!B:B,'New TB INC'!C959,'AJE 12 - INC'!D:D)</f>
        <v>0</v>
      </c>
      <c r="G959" s="108"/>
      <c r="H959" s="108"/>
      <c r="I959" s="108"/>
      <c r="J959" s="798">
        <f t="shared" si="93"/>
        <v>776.7</v>
      </c>
      <c r="K959" s="209"/>
      <c r="L959" s="434"/>
      <c r="M959" s="810"/>
      <c r="N959" s="11">
        <v>105</v>
      </c>
      <c r="O959" s="11">
        <v>5836.13</v>
      </c>
      <c r="P959" s="11">
        <v>1483.88</v>
      </c>
      <c r="Q959" s="11">
        <v>1465.3899999999994</v>
      </c>
      <c r="R959" s="773">
        <v>0</v>
      </c>
      <c r="S959" s="11">
        <v>0</v>
      </c>
      <c r="T959" s="773">
        <v>4951.2000000000007</v>
      </c>
      <c r="U959" s="2173">
        <v>0</v>
      </c>
      <c r="V959" s="2509">
        <v>1882.6000000000004</v>
      </c>
      <c r="W959" s="2509">
        <v>0</v>
      </c>
      <c r="X959" s="2509">
        <v>0</v>
      </c>
      <c r="Y959" s="2509">
        <v>0</v>
      </c>
      <c r="Z959" s="11">
        <f>'[26]New TB INC'!Z878</f>
        <v>0</v>
      </c>
      <c r="AA959" s="11">
        <f>'[27]New TB INC'!AA883</f>
        <v>0</v>
      </c>
      <c r="AB959" s="11">
        <f>'[28]New TB INC'!AB892</f>
        <v>0</v>
      </c>
      <c r="AC959" s="11">
        <f>'[29]New TB INC'!AC893</f>
        <v>0</v>
      </c>
      <c r="AD959" s="11">
        <f>'[150]New TB INC'!AD891</f>
        <v>0</v>
      </c>
      <c r="AE959" s="11">
        <f>'[150]New TB INC'!AE891</f>
        <v>0</v>
      </c>
      <c r="AF959" s="11">
        <v>776.7</v>
      </c>
      <c r="AG959" s="11">
        <v>0</v>
      </c>
      <c r="AH959" s="11">
        <v>0</v>
      </c>
      <c r="AI959" s="11">
        <v>0</v>
      </c>
      <c r="AJ959" s="11">
        <v>0</v>
      </c>
      <c r="AK959" s="11">
        <f>$J959-SUM($Z959:AJ959)</f>
        <v>0</v>
      </c>
      <c r="AW959" s="2509"/>
      <c r="BE959" s="2173"/>
      <c r="BF959" s="2173"/>
      <c r="BG959" s="2173"/>
      <c r="BH959" s="2173"/>
      <c r="BI959" s="2173"/>
      <c r="BJ959" s="2173"/>
      <c r="BK959" s="2173"/>
      <c r="BL959" s="773"/>
      <c r="BN959" s="773"/>
      <c r="BO959" s="209"/>
      <c r="CH959" s="878"/>
      <c r="CI959" s="4"/>
      <c r="CJ959" s="4"/>
      <c r="DB959" s="773"/>
      <c r="DC959" s="773"/>
      <c r="DD959" s="773"/>
      <c r="DE959" s="773"/>
      <c r="DF959" s="773"/>
      <c r="DG959" s="773"/>
      <c r="DH959" s="773"/>
      <c r="DI959" s="773"/>
      <c r="DJ959" s="773"/>
      <c r="DK959" s="773"/>
      <c r="DL959" s="773"/>
      <c r="DM959" s="773"/>
      <c r="DN959" s="773"/>
      <c r="DO959" s="773"/>
      <c r="DP959" s="773"/>
      <c r="DQ959" s="773"/>
      <c r="DR959" s="773"/>
      <c r="DS959" s="773"/>
      <c r="DT959" s="773"/>
      <c r="DU959" s="773"/>
      <c r="DV959" s="773"/>
      <c r="DW959" s="773"/>
      <c r="DX959" s="773"/>
      <c r="DY959" s="773"/>
      <c r="DZ959" s="773"/>
      <c r="EA959" s="773"/>
      <c r="EB959" s="773"/>
      <c r="EC959" s="773"/>
      <c r="ED959" s="773"/>
      <c r="EE959" s="773"/>
      <c r="EF959" s="773"/>
      <c r="EG959" s="773"/>
      <c r="EH959" s="773"/>
      <c r="EI959" s="773"/>
      <c r="EJ959" s="773"/>
      <c r="EK959" s="773"/>
      <c r="EL959" s="773"/>
      <c r="EM959" s="773"/>
      <c r="EN959" s="773"/>
      <c r="EO959" s="773"/>
      <c r="EP959" s="773"/>
      <c r="EQ959" s="773"/>
      <c r="ER959" s="773"/>
      <c r="ES959" s="773"/>
      <c r="ET959" s="773"/>
      <c r="EU959" s="773"/>
      <c r="EV959" s="773"/>
      <c r="EW959" s="773"/>
      <c r="EX959" s="773"/>
      <c r="EY959" s="773"/>
      <c r="EZ959" s="773"/>
      <c r="FA959" s="773"/>
      <c r="FB959" s="773"/>
      <c r="FC959" s="773"/>
      <c r="FD959" s="773"/>
      <c r="FE959" s="773"/>
      <c r="FF959" s="773"/>
      <c r="FG959" s="773"/>
      <c r="FH959" s="773"/>
      <c r="FI959" s="773"/>
      <c r="FJ959" s="773"/>
      <c r="FK959" s="773"/>
      <c r="FL959" s="773"/>
      <c r="FM959" s="773"/>
      <c r="FN959" s="773"/>
      <c r="FO959" s="773"/>
      <c r="FP959" s="773"/>
      <c r="FQ959" s="773"/>
      <c r="FR959" s="773"/>
      <c r="FS959" s="773"/>
      <c r="FT959" s="773"/>
      <c r="FU959" s="773"/>
      <c r="FV959" s="773"/>
      <c r="FW959" s="773"/>
      <c r="FX959" s="773"/>
      <c r="FY959" s="773"/>
      <c r="FZ959" s="773"/>
      <c r="GA959" s="773"/>
      <c r="GB959" s="773"/>
      <c r="GC959" s="773"/>
      <c r="GD959" s="773"/>
      <c r="GE959" s="773"/>
      <c r="GF959" s="773"/>
      <c r="GG959" s="773"/>
      <c r="GH959" s="773"/>
      <c r="GI959" s="773"/>
      <c r="GJ959" s="773"/>
      <c r="GK959" s="773"/>
      <c r="GL959" s="773"/>
      <c r="GM959" s="773"/>
      <c r="GN959" s="773"/>
      <c r="GO959" s="773"/>
      <c r="GP959" s="773"/>
      <c r="GQ959" s="773"/>
      <c r="GR959" s="773"/>
      <c r="GS959" s="773"/>
      <c r="GT959" s="773"/>
      <c r="GU959" s="773"/>
      <c r="GV959" s="773"/>
      <c r="GW959" s="773"/>
      <c r="GX959" s="773"/>
      <c r="GY959" s="773"/>
      <c r="GZ959" s="773"/>
    </row>
    <row r="960" spans="1:208" s="11" customFormat="1">
      <c r="A960" s="774"/>
      <c r="B960" s="3761" t="s">
        <v>758</v>
      </c>
      <c r="C960" s="197">
        <v>7160002</v>
      </c>
      <c r="D960" s="200" t="s">
        <v>1631</v>
      </c>
      <c r="E960" s="42">
        <f>IFERROR(VLOOKUP(C960,'AJE 12 - INC'!$D$168:$F$771,3,0),0)</f>
        <v>1023.63</v>
      </c>
      <c r="F960" s="108">
        <f>SUMIF('AJE 12 - INC'!B:B,'New TB INC'!C960,'AJE 12 - INC'!D:D)</f>
        <v>0</v>
      </c>
      <c r="G960" s="108"/>
      <c r="H960" s="108"/>
      <c r="I960" s="108"/>
      <c r="J960" s="798">
        <f t="shared" si="93"/>
        <v>1023.63</v>
      </c>
      <c r="K960" s="209"/>
      <c r="L960" s="434"/>
      <c r="M960" s="810"/>
      <c r="N960" s="11">
        <v>0</v>
      </c>
      <c r="O960" s="11">
        <v>8452.77</v>
      </c>
      <c r="P960" s="11">
        <v>831.64999999999964</v>
      </c>
      <c r="Q960" s="11">
        <v>0</v>
      </c>
      <c r="R960" s="773">
        <v>0</v>
      </c>
      <c r="S960" s="11">
        <v>0</v>
      </c>
      <c r="T960" s="773">
        <v>2895.2700000000004</v>
      </c>
      <c r="U960" s="2173">
        <v>0</v>
      </c>
      <c r="V960" s="2509">
        <v>770.42000000000007</v>
      </c>
      <c r="W960" s="2509">
        <v>0</v>
      </c>
      <c r="X960" s="2509">
        <v>0</v>
      </c>
      <c r="Y960" s="2509">
        <v>0</v>
      </c>
      <c r="Z960" s="11">
        <f>'[26]New TB INC'!Z879</f>
        <v>0</v>
      </c>
      <c r="AA960" s="11">
        <f>'[27]New TB INC'!AA884</f>
        <v>0</v>
      </c>
      <c r="AB960" s="11">
        <f>'[28]New TB INC'!AB893</f>
        <v>0</v>
      </c>
      <c r="AC960" s="11">
        <f>'[29]New TB INC'!AC894</f>
        <v>0</v>
      </c>
      <c r="AD960" s="11">
        <f>'[150]New TB INC'!AD892</f>
        <v>0</v>
      </c>
      <c r="AE960" s="11">
        <f>'[150]New TB INC'!AE892</f>
        <v>0</v>
      </c>
      <c r="AF960" s="11">
        <v>498.63</v>
      </c>
      <c r="AG960" s="11">
        <v>0</v>
      </c>
      <c r="AH960" s="11">
        <v>0</v>
      </c>
      <c r="AI960" s="11">
        <v>525</v>
      </c>
      <c r="AJ960" s="11">
        <v>0</v>
      </c>
      <c r="AK960" s="11">
        <f>$J960-SUM($Z960:AJ960)</f>
        <v>0</v>
      </c>
      <c r="AW960" s="2509"/>
      <c r="BE960" s="2173"/>
      <c r="BF960" s="2173"/>
      <c r="BG960" s="2173"/>
      <c r="BH960" s="2173"/>
      <c r="BI960" s="2173"/>
      <c r="BJ960" s="2173"/>
      <c r="BK960" s="2173"/>
      <c r="BL960" s="773"/>
      <c r="BN960" s="773"/>
      <c r="BO960" s="209"/>
      <c r="CH960" s="878"/>
      <c r="CI960" s="4"/>
      <c r="CJ960" s="4"/>
      <c r="DB960" s="773"/>
      <c r="DC960" s="773"/>
      <c r="DD960" s="773"/>
      <c r="DE960" s="773"/>
      <c r="DF960" s="773"/>
      <c r="DG960" s="773"/>
      <c r="DH960" s="773"/>
      <c r="DI960" s="773"/>
      <c r="DJ960" s="773"/>
      <c r="DK960" s="773"/>
      <c r="DL960" s="773"/>
      <c r="DM960" s="773"/>
      <c r="DN960" s="773"/>
      <c r="DO960" s="773"/>
      <c r="DP960" s="773"/>
      <c r="DQ960" s="773"/>
      <c r="DR960" s="773"/>
      <c r="DS960" s="773"/>
      <c r="DT960" s="773"/>
      <c r="DU960" s="773"/>
      <c r="DV960" s="773"/>
      <c r="DW960" s="773"/>
      <c r="DX960" s="773"/>
      <c r="DY960" s="773"/>
      <c r="DZ960" s="773"/>
      <c r="EA960" s="773"/>
      <c r="EB960" s="773"/>
      <c r="EC960" s="773"/>
      <c r="ED960" s="773"/>
      <c r="EE960" s="773"/>
      <c r="EF960" s="773"/>
      <c r="EG960" s="773"/>
      <c r="EH960" s="773"/>
      <c r="EI960" s="773"/>
      <c r="EJ960" s="773"/>
      <c r="EK960" s="773"/>
      <c r="EL960" s="773"/>
      <c r="EM960" s="773"/>
      <c r="EN960" s="773"/>
      <c r="EO960" s="773"/>
      <c r="EP960" s="773"/>
      <c r="EQ960" s="773"/>
      <c r="ER960" s="773"/>
      <c r="ES960" s="773"/>
      <c r="ET960" s="773"/>
      <c r="EU960" s="773"/>
      <c r="EV960" s="773"/>
      <c r="EW960" s="773"/>
      <c r="EX960" s="773"/>
      <c r="EY960" s="773"/>
      <c r="EZ960" s="773"/>
      <c r="FA960" s="773"/>
      <c r="FB960" s="773"/>
      <c r="FC960" s="773"/>
      <c r="FD960" s="773"/>
      <c r="FE960" s="773"/>
      <c r="FF960" s="773"/>
      <c r="FG960" s="773"/>
      <c r="FH960" s="773"/>
      <c r="FI960" s="773"/>
      <c r="FJ960" s="773"/>
      <c r="FK960" s="773"/>
      <c r="FL960" s="773"/>
      <c r="FM960" s="773"/>
      <c r="FN960" s="773"/>
      <c r="FO960" s="773"/>
      <c r="FP960" s="773"/>
      <c r="FQ960" s="773"/>
      <c r="FR960" s="773"/>
      <c r="FS960" s="773"/>
      <c r="FT960" s="773"/>
      <c r="FU960" s="773"/>
      <c r="FV960" s="773"/>
      <c r="FW960" s="773"/>
      <c r="FX960" s="773"/>
      <c r="FY960" s="773"/>
      <c r="FZ960" s="773"/>
      <c r="GA960" s="773"/>
      <c r="GB960" s="773"/>
      <c r="GC960" s="773"/>
      <c r="GD960" s="773"/>
      <c r="GE960" s="773"/>
      <c r="GF960" s="773"/>
      <c r="GG960" s="773"/>
      <c r="GH960" s="773"/>
      <c r="GI960" s="773"/>
      <c r="GJ960" s="773"/>
      <c r="GK960" s="773"/>
      <c r="GL960" s="773"/>
      <c r="GM960" s="773"/>
      <c r="GN960" s="773"/>
      <c r="GO960" s="773"/>
      <c r="GP960" s="773"/>
      <c r="GQ960" s="773"/>
      <c r="GR960" s="773"/>
      <c r="GS960" s="773"/>
      <c r="GT960" s="773"/>
      <c r="GU960" s="773"/>
      <c r="GV960" s="773"/>
      <c r="GW960" s="773"/>
      <c r="GX960" s="773"/>
      <c r="GY960" s="773"/>
      <c r="GZ960" s="773"/>
    </row>
    <row r="961" spans="1:208" s="11" customFormat="1">
      <c r="A961" s="774"/>
      <c r="B961" s="3761" t="s">
        <v>758</v>
      </c>
      <c r="C961" s="197">
        <v>7160003</v>
      </c>
      <c r="D961" s="200" t="s">
        <v>1632</v>
      </c>
      <c r="E961" s="42">
        <f>IFERROR(VLOOKUP(C961,'AJE 12 - INC'!$D$168:$F$771,3,0),0)</f>
        <v>276.44</v>
      </c>
      <c r="F961" s="108">
        <f>SUMIF('AJE 12 - INC'!B:B,'New TB INC'!C961,'AJE 12 - INC'!D:D)</f>
        <v>0</v>
      </c>
      <c r="G961" s="108"/>
      <c r="H961" s="108"/>
      <c r="I961" s="108"/>
      <c r="J961" s="798">
        <f t="shared" si="93"/>
        <v>276.44</v>
      </c>
      <c r="K961" s="209"/>
      <c r="L961" s="434"/>
      <c r="M961" s="810"/>
      <c r="N961" s="11">
        <v>47.48</v>
      </c>
      <c r="O961" s="11">
        <v>1091.82</v>
      </c>
      <c r="P961" s="11">
        <v>117.53999999999996</v>
      </c>
      <c r="Q961" s="11">
        <v>0</v>
      </c>
      <c r="R961" s="773">
        <v>12.340000000000146</v>
      </c>
      <c r="S961" s="11">
        <v>0</v>
      </c>
      <c r="T961" s="773">
        <v>581.3599999999999</v>
      </c>
      <c r="U961" s="2173">
        <v>0</v>
      </c>
      <c r="V961" s="2509">
        <v>151.91000000000008</v>
      </c>
      <c r="W961" s="2509">
        <v>0</v>
      </c>
      <c r="X961" s="2509">
        <v>0</v>
      </c>
      <c r="Y961" s="2509">
        <v>0</v>
      </c>
      <c r="Z961" s="11">
        <f>'[26]New TB INC'!Z880</f>
        <v>0</v>
      </c>
      <c r="AA961" s="11">
        <f>'[27]New TB INC'!AA885</f>
        <v>0</v>
      </c>
      <c r="AB961" s="11">
        <f>'[28]New TB INC'!AB894</f>
        <v>0</v>
      </c>
      <c r="AC961" s="11">
        <f>'[29]New TB INC'!AC895</f>
        <v>134.38999999999999</v>
      </c>
      <c r="AD961" s="11">
        <f>'[150]New TB INC'!AD893</f>
        <v>0</v>
      </c>
      <c r="AE961" s="11">
        <f>'[150]New TB INC'!AE893</f>
        <v>0</v>
      </c>
      <c r="AF961" s="11">
        <v>142.05000000000001</v>
      </c>
      <c r="AG961" s="11">
        <v>0</v>
      </c>
      <c r="AH961" s="11">
        <v>0</v>
      </c>
      <c r="AI961" s="11">
        <v>0</v>
      </c>
      <c r="AJ961" s="11">
        <v>0</v>
      </c>
      <c r="AK961" s="11">
        <f>$J961-SUM($Z961:AJ961)</f>
        <v>0</v>
      </c>
      <c r="AW961" s="2509"/>
      <c r="BE961" s="2173"/>
      <c r="BF961" s="2173"/>
      <c r="BG961" s="2173"/>
      <c r="BH961" s="2173"/>
      <c r="BI961" s="2173"/>
      <c r="BJ961" s="2173"/>
      <c r="BK961" s="2173"/>
      <c r="BL961" s="773"/>
      <c r="BN961" s="773"/>
      <c r="BO961" s="209"/>
      <c r="CH961" s="878"/>
      <c r="CI961" s="4"/>
      <c r="CJ961" s="4"/>
      <c r="DB961" s="773"/>
      <c r="DC961" s="773"/>
      <c r="DD961" s="773"/>
      <c r="DE961" s="773"/>
      <c r="DF961" s="773"/>
      <c r="DG961" s="773"/>
      <c r="DH961" s="773"/>
      <c r="DI961" s="773"/>
      <c r="DJ961" s="773"/>
      <c r="DK961" s="773"/>
      <c r="DL961" s="773"/>
      <c r="DM961" s="773"/>
      <c r="DN961" s="773"/>
      <c r="DO961" s="773"/>
      <c r="DP961" s="773"/>
      <c r="DQ961" s="773"/>
      <c r="DR961" s="773"/>
      <c r="DS961" s="773"/>
      <c r="DT961" s="773"/>
      <c r="DU961" s="773"/>
      <c r="DV961" s="773"/>
      <c r="DW961" s="773"/>
      <c r="DX961" s="773"/>
      <c r="DY961" s="773"/>
      <c r="DZ961" s="773"/>
      <c r="EA961" s="773"/>
      <c r="EB961" s="773"/>
      <c r="EC961" s="773"/>
      <c r="ED961" s="773"/>
      <c r="EE961" s="773"/>
      <c r="EF961" s="773"/>
      <c r="EG961" s="773"/>
      <c r="EH961" s="773"/>
      <c r="EI961" s="773"/>
      <c r="EJ961" s="773"/>
      <c r="EK961" s="773"/>
      <c r="EL961" s="773"/>
      <c r="EM961" s="773"/>
      <c r="EN961" s="773"/>
      <c r="EO961" s="773"/>
      <c r="EP961" s="773"/>
      <c r="EQ961" s="773"/>
      <c r="ER961" s="773"/>
      <c r="ES961" s="773"/>
      <c r="ET961" s="773"/>
      <c r="EU961" s="773"/>
      <c r="EV961" s="773"/>
      <c r="EW961" s="773"/>
      <c r="EX961" s="773"/>
      <c r="EY961" s="773"/>
      <c r="EZ961" s="773"/>
      <c r="FA961" s="773"/>
      <c r="FB961" s="773"/>
      <c r="FC961" s="773"/>
      <c r="FD961" s="773"/>
      <c r="FE961" s="773"/>
      <c r="FF961" s="773"/>
      <c r="FG961" s="773"/>
      <c r="FH961" s="773"/>
      <c r="FI961" s="773"/>
      <c r="FJ961" s="773"/>
      <c r="FK961" s="773"/>
      <c r="FL961" s="773"/>
      <c r="FM961" s="773"/>
      <c r="FN961" s="773"/>
      <c r="FO961" s="773"/>
      <c r="FP961" s="773"/>
      <c r="FQ961" s="773"/>
      <c r="FR961" s="773"/>
      <c r="FS961" s="773"/>
      <c r="FT961" s="773"/>
      <c r="FU961" s="773"/>
      <c r="FV961" s="773"/>
      <c r="FW961" s="773"/>
      <c r="FX961" s="773"/>
      <c r="FY961" s="773"/>
      <c r="FZ961" s="773"/>
      <c r="GA961" s="773"/>
      <c r="GB961" s="773"/>
      <c r="GC961" s="773"/>
      <c r="GD961" s="773"/>
      <c r="GE961" s="773"/>
      <c r="GF961" s="773"/>
      <c r="GG961" s="773"/>
      <c r="GH961" s="773"/>
      <c r="GI961" s="773"/>
      <c r="GJ961" s="773"/>
      <c r="GK961" s="773"/>
      <c r="GL961" s="773"/>
      <c r="GM961" s="773"/>
      <c r="GN961" s="773"/>
      <c r="GO961" s="773"/>
      <c r="GP961" s="773"/>
      <c r="GQ961" s="773"/>
      <c r="GR961" s="773"/>
      <c r="GS961" s="773"/>
      <c r="GT961" s="773"/>
      <c r="GU961" s="773"/>
      <c r="GV961" s="773"/>
      <c r="GW961" s="773"/>
      <c r="GX961" s="773"/>
      <c r="GY961" s="773"/>
      <c r="GZ961" s="773"/>
    </row>
    <row r="962" spans="1:208" s="11" customFormat="1">
      <c r="A962" s="774"/>
      <c r="B962" s="3761" t="s">
        <v>758</v>
      </c>
      <c r="C962" s="197">
        <v>7160004</v>
      </c>
      <c r="D962" s="200" t="s">
        <v>1633</v>
      </c>
      <c r="E962" s="42">
        <f>IFERROR(VLOOKUP(C962,'AJE 12 - INC'!$D$168:$F$771,3,0),0)</f>
        <v>2160.87</v>
      </c>
      <c r="F962" s="108">
        <f>SUMIF('AJE 12 - INC'!B:B,'New TB INC'!C962,'AJE 12 - INC'!D:D)</f>
        <v>0</v>
      </c>
      <c r="G962" s="108"/>
      <c r="H962" s="108"/>
      <c r="I962" s="108"/>
      <c r="J962" s="798">
        <f t="shared" si="93"/>
        <v>2160.87</v>
      </c>
      <c r="K962" s="209"/>
      <c r="L962" s="434"/>
      <c r="M962" s="810"/>
      <c r="N962" s="11">
        <v>255.71</v>
      </c>
      <c r="O962" s="11">
        <v>2858.09</v>
      </c>
      <c r="P962" s="11">
        <v>1626.8599999999997</v>
      </c>
      <c r="Q962" s="11">
        <v>0</v>
      </c>
      <c r="R962" s="773">
        <v>0</v>
      </c>
      <c r="S962" s="11">
        <v>0</v>
      </c>
      <c r="T962" s="773">
        <v>2974.25</v>
      </c>
      <c r="U962" s="2173">
        <v>175.98999999999978</v>
      </c>
      <c r="V962" s="2509">
        <v>771.89000000000124</v>
      </c>
      <c r="W962" s="2509">
        <v>323.27999999999884</v>
      </c>
      <c r="X962" s="2509">
        <v>59.819999999999709</v>
      </c>
      <c r="Y962" s="2509">
        <v>234.11000000000058</v>
      </c>
      <c r="Z962" s="11">
        <f>'[26]New TB INC'!Z881</f>
        <v>0</v>
      </c>
      <c r="AA962" s="11">
        <f>'[27]New TB INC'!AA886</f>
        <v>0</v>
      </c>
      <c r="AB962" s="11">
        <f>'[28]New TB INC'!AB895</f>
        <v>0</v>
      </c>
      <c r="AC962" s="11">
        <f>'[29]New TB INC'!AC896</f>
        <v>86.8</v>
      </c>
      <c r="AD962" s="11">
        <f>'[150]New TB INC'!AD894</f>
        <v>0</v>
      </c>
      <c r="AE962" s="11">
        <f>'[150]New TB INC'!AE894</f>
        <v>0</v>
      </c>
      <c r="AF962" s="11">
        <v>153.20999999999998</v>
      </c>
      <c r="AG962" s="11">
        <v>0</v>
      </c>
      <c r="AH962" s="11">
        <v>53.509999999999991</v>
      </c>
      <c r="AI962" s="11">
        <v>1607.9</v>
      </c>
      <c r="AJ962" s="11">
        <v>0</v>
      </c>
      <c r="AK962" s="11">
        <f>$J962-SUM($Z962:AJ962)</f>
        <v>259.44999999999982</v>
      </c>
      <c r="AW962" s="2509"/>
      <c r="BE962" s="2173"/>
      <c r="BF962" s="2173"/>
      <c r="BG962" s="2173"/>
      <c r="BH962" s="2173"/>
      <c r="BI962" s="2173"/>
      <c r="BJ962" s="2173"/>
      <c r="BK962" s="2173"/>
      <c r="BL962" s="773"/>
      <c r="BN962" s="773"/>
      <c r="BO962" s="209"/>
      <c r="CH962" s="878"/>
      <c r="CI962" s="4"/>
      <c r="CJ962" s="4"/>
      <c r="DB962" s="773"/>
      <c r="DC962" s="773"/>
      <c r="DD962" s="773"/>
      <c r="DE962" s="773"/>
      <c r="DF962" s="773"/>
      <c r="DG962" s="773"/>
      <c r="DH962" s="773"/>
      <c r="DI962" s="773"/>
      <c r="DJ962" s="773"/>
      <c r="DK962" s="773"/>
      <c r="DL962" s="773"/>
      <c r="DM962" s="773"/>
      <c r="DN962" s="773"/>
      <c r="DO962" s="773"/>
      <c r="DP962" s="773"/>
      <c r="DQ962" s="773"/>
      <c r="DR962" s="773"/>
      <c r="DS962" s="773"/>
      <c r="DT962" s="773"/>
      <c r="DU962" s="773"/>
      <c r="DV962" s="773"/>
      <c r="DW962" s="773"/>
      <c r="DX962" s="773"/>
      <c r="DY962" s="773"/>
      <c r="DZ962" s="773"/>
      <c r="EA962" s="773"/>
      <c r="EB962" s="773"/>
      <c r="EC962" s="773"/>
      <c r="ED962" s="773"/>
      <c r="EE962" s="773"/>
      <c r="EF962" s="773"/>
      <c r="EG962" s="773"/>
      <c r="EH962" s="773"/>
      <c r="EI962" s="773"/>
      <c r="EJ962" s="773"/>
      <c r="EK962" s="773"/>
      <c r="EL962" s="773"/>
      <c r="EM962" s="773"/>
      <c r="EN962" s="773"/>
      <c r="EO962" s="773"/>
      <c r="EP962" s="773"/>
      <c r="EQ962" s="773"/>
      <c r="ER962" s="773"/>
      <c r="ES962" s="773"/>
      <c r="ET962" s="773"/>
      <c r="EU962" s="773"/>
      <c r="EV962" s="773"/>
      <c r="EW962" s="773"/>
      <c r="EX962" s="773"/>
      <c r="EY962" s="773"/>
      <c r="EZ962" s="773"/>
      <c r="FA962" s="773"/>
      <c r="FB962" s="773"/>
      <c r="FC962" s="773"/>
      <c r="FD962" s="773"/>
      <c r="FE962" s="773"/>
      <c r="FF962" s="773"/>
      <c r="FG962" s="773"/>
      <c r="FH962" s="773"/>
      <c r="FI962" s="773"/>
      <c r="FJ962" s="773"/>
      <c r="FK962" s="773"/>
      <c r="FL962" s="773"/>
      <c r="FM962" s="773"/>
      <c r="FN962" s="773"/>
      <c r="FO962" s="773"/>
      <c r="FP962" s="773"/>
      <c r="FQ962" s="773"/>
      <c r="FR962" s="773"/>
      <c r="FS962" s="773"/>
      <c r="FT962" s="773"/>
      <c r="FU962" s="773"/>
      <c r="FV962" s="773"/>
      <c r="FW962" s="773"/>
      <c r="FX962" s="773"/>
      <c r="FY962" s="773"/>
      <c r="FZ962" s="773"/>
      <c r="GA962" s="773"/>
      <c r="GB962" s="773"/>
      <c r="GC962" s="773"/>
      <c r="GD962" s="773"/>
      <c r="GE962" s="773"/>
      <c r="GF962" s="773"/>
      <c r="GG962" s="773"/>
      <c r="GH962" s="773"/>
      <c r="GI962" s="773"/>
      <c r="GJ962" s="773"/>
      <c r="GK962" s="773"/>
      <c r="GL962" s="773"/>
      <c r="GM962" s="773"/>
      <c r="GN962" s="773"/>
      <c r="GO962" s="773"/>
      <c r="GP962" s="773"/>
      <c r="GQ962" s="773"/>
      <c r="GR962" s="773"/>
      <c r="GS962" s="773"/>
      <c r="GT962" s="773"/>
      <c r="GU962" s="773"/>
      <c r="GV962" s="773"/>
      <c r="GW962" s="773"/>
      <c r="GX962" s="773"/>
      <c r="GY962" s="773"/>
      <c r="GZ962" s="773"/>
    </row>
    <row r="963" spans="1:208" s="11" customFormat="1">
      <c r="A963" s="774"/>
      <c r="B963" s="3761" t="s">
        <v>758</v>
      </c>
      <c r="C963" s="197">
        <v>7160005</v>
      </c>
      <c r="D963" s="200" t="s">
        <v>1978</v>
      </c>
      <c r="E963" s="42">
        <f>IFERROR(VLOOKUP(C963,'AJE 12 - INC'!$D$168:$F$771,3,0),0)</f>
        <v>1124.4100000000001</v>
      </c>
      <c r="F963" s="108">
        <f>SUMIF('AJE 12 - INC'!B:B,'New TB INC'!C963,'AJE 12 - INC'!D:D)</f>
        <v>0</v>
      </c>
      <c r="G963" s="108"/>
      <c r="H963" s="108"/>
      <c r="I963" s="108"/>
      <c r="J963" s="798">
        <f t="shared" si="93"/>
        <v>1124.4100000000001</v>
      </c>
      <c r="K963" s="209"/>
      <c r="L963" s="434"/>
      <c r="M963" s="810"/>
      <c r="N963" s="11">
        <v>0</v>
      </c>
      <c r="O963" s="11">
        <v>0</v>
      </c>
      <c r="P963" s="11">
        <v>0</v>
      </c>
      <c r="Q963" s="11">
        <v>0</v>
      </c>
      <c r="R963" s="773">
        <v>0</v>
      </c>
      <c r="S963" s="11">
        <v>0</v>
      </c>
      <c r="T963" s="773">
        <v>0</v>
      </c>
      <c r="U963" s="2173">
        <v>0</v>
      </c>
      <c r="V963" s="2509">
        <v>0</v>
      </c>
      <c r="W963" s="2509">
        <v>1153.17</v>
      </c>
      <c r="X963" s="2509">
        <v>0</v>
      </c>
      <c r="Y963" s="2509">
        <v>0</v>
      </c>
      <c r="Z963" s="11">
        <f>'[26]New TB INC'!Z882</f>
        <v>0</v>
      </c>
      <c r="AA963" s="11">
        <f>'[27]New TB INC'!AA887</f>
        <v>0</v>
      </c>
      <c r="AB963" s="11">
        <f>'[28]New TB INC'!AB896</f>
        <v>0</v>
      </c>
      <c r="AC963" s="11">
        <f>'[29]New TB INC'!AC897</f>
        <v>0</v>
      </c>
      <c r="AD963" s="11">
        <f>'[150]New TB INC'!AD895</f>
        <v>0</v>
      </c>
      <c r="AE963" s="11">
        <f>'[150]New TB INC'!AE895</f>
        <v>0</v>
      </c>
      <c r="AF963" s="11">
        <v>382.62</v>
      </c>
      <c r="AG963" s="11">
        <v>0</v>
      </c>
      <c r="AH963" s="11">
        <v>0</v>
      </c>
      <c r="AI963" s="11">
        <v>204</v>
      </c>
      <c r="AJ963" s="11">
        <v>464.43999999999994</v>
      </c>
      <c r="AK963" s="11">
        <f>$J963-SUM($Z963:AJ963)</f>
        <v>73.350000000000136</v>
      </c>
      <c r="AW963" s="2509"/>
      <c r="BE963" s="2173"/>
      <c r="BF963" s="2173"/>
      <c r="BG963" s="2173"/>
      <c r="BH963" s="2173"/>
      <c r="BI963" s="2173"/>
      <c r="BJ963" s="2173"/>
      <c r="BK963" s="2173"/>
      <c r="BL963" s="773"/>
      <c r="BN963" s="773"/>
      <c r="BO963" s="209"/>
      <c r="CH963" s="878"/>
      <c r="CI963" s="4"/>
      <c r="CJ963" s="4"/>
      <c r="DB963" s="773"/>
      <c r="DC963" s="773"/>
      <c r="DD963" s="773"/>
      <c r="DE963" s="773"/>
      <c r="DF963" s="773"/>
      <c r="DG963" s="773"/>
      <c r="DH963" s="773"/>
      <c r="DI963" s="773"/>
      <c r="DJ963" s="773"/>
      <c r="DK963" s="773"/>
      <c r="DL963" s="773"/>
      <c r="DM963" s="773"/>
      <c r="DN963" s="773"/>
      <c r="DO963" s="773"/>
      <c r="DP963" s="773"/>
      <c r="DQ963" s="773"/>
      <c r="DR963" s="773"/>
      <c r="DS963" s="773"/>
      <c r="DT963" s="773"/>
      <c r="DU963" s="773"/>
      <c r="DV963" s="773"/>
      <c r="DW963" s="773"/>
      <c r="DX963" s="773"/>
      <c r="DY963" s="773"/>
      <c r="DZ963" s="773"/>
      <c r="EA963" s="773"/>
      <c r="EB963" s="773"/>
      <c r="EC963" s="773"/>
      <c r="ED963" s="773"/>
      <c r="EE963" s="773"/>
      <c r="EF963" s="773"/>
      <c r="EG963" s="773"/>
      <c r="EH963" s="773"/>
      <c r="EI963" s="773"/>
      <c r="EJ963" s="773"/>
      <c r="EK963" s="773"/>
      <c r="EL963" s="773"/>
      <c r="EM963" s="773"/>
      <c r="EN963" s="773"/>
      <c r="EO963" s="773"/>
      <c r="EP963" s="773"/>
      <c r="EQ963" s="773"/>
      <c r="ER963" s="773"/>
      <c r="ES963" s="773"/>
      <c r="ET963" s="773"/>
      <c r="EU963" s="773"/>
      <c r="EV963" s="773"/>
      <c r="EW963" s="773"/>
      <c r="EX963" s="773"/>
      <c r="EY963" s="773"/>
      <c r="EZ963" s="773"/>
      <c r="FA963" s="773"/>
      <c r="FB963" s="773"/>
      <c r="FC963" s="773"/>
      <c r="FD963" s="773"/>
      <c r="FE963" s="773"/>
      <c r="FF963" s="773"/>
      <c r="FG963" s="773"/>
      <c r="FH963" s="773"/>
      <c r="FI963" s="773"/>
      <c r="FJ963" s="773"/>
      <c r="FK963" s="773"/>
      <c r="FL963" s="773"/>
      <c r="FM963" s="773"/>
      <c r="FN963" s="773"/>
      <c r="FO963" s="773"/>
      <c r="FP963" s="773"/>
      <c r="FQ963" s="773"/>
      <c r="FR963" s="773"/>
      <c r="FS963" s="773"/>
      <c r="FT963" s="773"/>
      <c r="FU963" s="773"/>
      <c r="FV963" s="773"/>
      <c r="FW963" s="773"/>
      <c r="FX963" s="773"/>
      <c r="FY963" s="773"/>
      <c r="FZ963" s="773"/>
      <c r="GA963" s="773"/>
      <c r="GB963" s="773"/>
      <c r="GC963" s="773"/>
      <c r="GD963" s="773"/>
      <c r="GE963" s="773"/>
      <c r="GF963" s="773"/>
      <c r="GG963" s="773"/>
      <c r="GH963" s="773"/>
      <c r="GI963" s="773"/>
      <c r="GJ963" s="773"/>
      <c r="GK963" s="773"/>
      <c r="GL963" s="773"/>
      <c r="GM963" s="773"/>
      <c r="GN963" s="773"/>
      <c r="GO963" s="773"/>
      <c r="GP963" s="773"/>
      <c r="GQ963" s="773"/>
      <c r="GR963" s="773"/>
      <c r="GS963" s="773"/>
      <c r="GT963" s="773"/>
      <c r="GU963" s="773"/>
      <c r="GV963" s="773"/>
      <c r="GW963" s="773"/>
      <c r="GX963" s="773"/>
      <c r="GY963" s="773"/>
      <c r="GZ963" s="773"/>
    </row>
    <row r="964" spans="1:208" s="11" customFormat="1">
      <c r="A964" s="774"/>
      <c r="B964" s="3761" t="s">
        <v>758</v>
      </c>
      <c r="C964" s="197">
        <v>7160009</v>
      </c>
      <c r="D964" s="200" t="s">
        <v>1634</v>
      </c>
      <c r="E964" s="42">
        <f>IFERROR(VLOOKUP(C964,'AJE 12 - INC'!$D$168:$F$771,3,0),0)</f>
        <v>2339.67</v>
      </c>
      <c r="F964" s="108">
        <f>SUMIF('AJE 12 - INC'!B:B,'New TB INC'!C964,'AJE 12 - INC'!D:D)</f>
        <v>0</v>
      </c>
      <c r="G964" s="108"/>
      <c r="H964" s="108"/>
      <c r="I964" s="108"/>
      <c r="J964" s="798">
        <f t="shared" si="93"/>
        <v>2339.67</v>
      </c>
      <c r="K964" s="209"/>
      <c r="L964" s="434"/>
      <c r="M964" s="810"/>
      <c r="N964" s="11">
        <v>183.98</v>
      </c>
      <c r="O964" s="11">
        <v>3003.42</v>
      </c>
      <c r="P964" s="11">
        <v>1451.58</v>
      </c>
      <c r="Q964" s="11">
        <v>0</v>
      </c>
      <c r="R964" s="773">
        <v>98.100000000000364</v>
      </c>
      <c r="S964" s="11">
        <v>0</v>
      </c>
      <c r="T964" s="773">
        <v>853.32999999999993</v>
      </c>
      <c r="U964" s="2173">
        <v>94.369999999999891</v>
      </c>
      <c r="V964" s="2509">
        <v>209.69999999999982</v>
      </c>
      <c r="W964" s="2509">
        <v>487.35000000000036</v>
      </c>
      <c r="X964" s="2509">
        <v>0</v>
      </c>
      <c r="Y964" s="2509">
        <v>504.19999999999982</v>
      </c>
      <c r="Z964" s="11">
        <f>'[26]New TB INC'!Z883</f>
        <v>0</v>
      </c>
      <c r="AA964" s="11">
        <f>'[27]New TB INC'!AA888</f>
        <v>0</v>
      </c>
      <c r="AB964" s="11">
        <f>'[28]New TB INC'!AB897</f>
        <v>0</v>
      </c>
      <c r="AC964" s="11">
        <f>'[29]New TB INC'!AC898</f>
        <v>77.8</v>
      </c>
      <c r="AD964" s="11">
        <f>'[150]New TB INC'!AD896</f>
        <v>0</v>
      </c>
      <c r="AE964" s="11">
        <f>'[150]New TB INC'!AE896</f>
        <v>0</v>
      </c>
      <c r="AF964" s="11">
        <v>63.459999999999994</v>
      </c>
      <c r="AG964" s="11">
        <v>0</v>
      </c>
      <c r="AH964" s="11">
        <v>0</v>
      </c>
      <c r="AI964" s="11">
        <v>592.26</v>
      </c>
      <c r="AJ964" s="11">
        <v>0</v>
      </c>
      <c r="AK964" s="11">
        <f>$J964-SUM($Z964:AJ964)</f>
        <v>1606.15</v>
      </c>
      <c r="AW964" s="2509"/>
      <c r="BE964" s="2173"/>
      <c r="BF964" s="2173"/>
      <c r="BG964" s="2173"/>
      <c r="BH964" s="2173"/>
      <c r="BI964" s="2173"/>
      <c r="BJ964" s="2173"/>
      <c r="BK964" s="2173"/>
      <c r="BL964" s="773"/>
      <c r="BN964" s="773"/>
      <c r="BO964" s="209"/>
      <c r="CH964" s="878"/>
      <c r="CI964" s="4"/>
      <c r="CJ964" s="4"/>
      <c r="DB964" s="773"/>
      <c r="DC964" s="773"/>
      <c r="DD964" s="773"/>
      <c r="DE964" s="773"/>
      <c r="DF964" s="773"/>
      <c r="DG964" s="773"/>
      <c r="DH964" s="773"/>
      <c r="DI964" s="773"/>
      <c r="DJ964" s="773"/>
      <c r="DK964" s="773"/>
      <c r="DL964" s="773"/>
      <c r="DM964" s="773"/>
      <c r="DN964" s="773"/>
      <c r="DO964" s="773"/>
      <c r="DP964" s="773"/>
      <c r="DQ964" s="773"/>
      <c r="DR964" s="773"/>
      <c r="DS964" s="773"/>
      <c r="DT964" s="773"/>
      <c r="DU964" s="773"/>
      <c r="DV964" s="773"/>
      <c r="DW964" s="773"/>
      <c r="DX964" s="773"/>
      <c r="DY964" s="773"/>
      <c r="DZ964" s="773"/>
      <c r="EA964" s="773"/>
      <c r="EB964" s="773"/>
      <c r="EC964" s="773"/>
      <c r="ED964" s="773"/>
      <c r="EE964" s="773"/>
      <c r="EF964" s="773"/>
      <c r="EG964" s="773"/>
      <c r="EH964" s="773"/>
      <c r="EI964" s="773"/>
      <c r="EJ964" s="773"/>
      <c r="EK964" s="773"/>
      <c r="EL964" s="773"/>
      <c r="EM964" s="773"/>
      <c r="EN964" s="773"/>
      <c r="EO964" s="773"/>
      <c r="EP964" s="773"/>
      <c r="EQ964" s="773"/>
      <c r="ER964" s="773"/>
      <c r="ES964" s="773"/>
      <c r="ET964" s="773"/>
      <c r="EU964" s="773"/>
      <c r="EV964" s="773"/>
      <c r="EW964" s="773"/>
      <c r="EX964" s="773"/>
      <c r="EY964" s="773"/>
      <c r="EZ964" s="773"/>
      <c r="FA964" s="773"/>
      <c r="FB964" s="773"/>
      <c r="FC964" s="773"/>
      <c r="FD964" s="773"/>
      <c r="FE964" s="773"/>
      <c r="FF964" s="773"/>
      <c r="FG964" s="773"/>
      <c r="FH964" s="773"/>
      <c r="FI964" s="773"/>
      <c r="FJ964" s="773"/>
      <c r="FK964" s="773"/>
      <c r="FL964" s="773"/>
      <c r="FM964" s="773"/>
      <c r="FN964" s="773"/>
      <c r="FO964" s="773"/>
      <c r="FP964" s="773"/>
      <c r="FQ964" s="773"/>
      <c r="FR964" s="773"/>
      <c r="FS964" s="773"/>
      <c r="FT964" s="773"/>
      <c r="FU964" s="773"/>
      <c r="FV964" s="773"/>
      <c r="FW964" s="773"/>
      <c r="FX964" s="773"/>
      <c r="FY964" s="773"/>
      <c r="FZ964" s="773"/>
      <c r="GA964" s="773"/>
      <c r="GB964" s="773"/>
      <c r="GC964" s="773"/>
      <c r="GD964" s="773"/>
      <c r="GE964" s="773"/>
      <c r="GF964" s="773"/>
      <c r="GG964" s="773"/>
      <c r="GH964" s="773"/>
      <c r="GI964" s="773"/>
      <c r="GJ964" s="773"/>
      <c r="GK964" s="773"/>
      <c r="GL964" s="773"/>
      <c r="GM964" s="773"/>
      <c r="GN964" s="773"/>
      <c r="GO964" s="773"/>
      <c r="GP964" s="773"/>
      <c r="GQ964" s="773"/>
      <c r="GR964" s="773"/>
      <c r="GS964" s="773"/>
      <c r="GT964" s="773"/>
      <c r="GU964" s="773"/>
      <c r="GV964" s="773"/>
      <c r="GW964" s="773"/>
      <c r="GX964" s="773"/>
      <c r="GY964" s="773"/>
      <c r="GZ964" s="773"/>
    </row>
    <row r="965" spans="1:208" s="11" customFormat="1">
      <c r="A965" s="774"/>
      <c r="B965" s="3761" t="s">
        <v>758</v>
      </c>
      <c r="C965" s="197">
        <v>7160010</v>
      </c>
      <c r="D965" s="200" t="s">
        <v>1773</v>
      </c>
      <c r="E965" s="42">
        <f>IFERROR(VLOOKUP(C965,'AJE 12 - INC'!$D$168:$F$771,3,0),0)</f>
        <v>0</v>
      </c>
      <c r="F965" s="108">
        <f>SUMIF('AJE 12 - INC'!B:B,'New TB INC'!C965,'AJE 12 - INC'!D:D)</f>
        <v>0</v>
      </c>
      <c r="G965" s="108"/>
      <c r="H965" s="108"/>
      <c r="I965" s="108"/>
      <c r="J965" s="798">
        <f t="shared" si="93"/>
        <v>0</v>
      </c>
      <c r="K965" s="209"/>
      <c r="L965" s="434"/>
      <c r="M965" s="810"/>
      <c r="N965" s="11">
        <v>0</v>
      </c>
      <c r="O965" s="11">
        <v>0</v>
      </c>
      <c r="P965" s="11">
        <v>0</v>
      </c>
      <c r="Q965" s="11">
        <v>0</v>
      </c>
      <c r="R965" s="773">
        <v>0</v>
      </c>
      <c r="S965" s="11">
        <v>0</v>
      </c>
      <c r="T965" s="773">
        <v>0</v>
      </c>
      <c r="U965" s="2173">
        <v>0</v>
      </c>
      <c r="V965" s="2509">
        <v>0</v>
      </c>
      <c r="W965" s="2509">
        <v>0</v>
      </c>
      <c r="X965" s="2509">
        <v>0</v>
      </c>
      <c r="Y965" s="2509">
        <v>0</v>
      </c>
      <c r="Z965" s="11">
        <f>'[26]New TB INC'!Z884</f>
        <v>0</v>
      </c>
      <c r="AA965" s="11">
        <f>'[27]New TB INC'!AA889</f>
        <v>0</v>
      </c>
      <c r="AB965" s="11">
        <f>'[28]New TB INC'!AB898</f>
        <v>0</v>
      </c>
      <c r="AC965" s="11">
        <f>'[29]New TB INC'!AC899</f>
        <v>0</v>
      </c>
      <c r="AD965" s="11">
        <f>'[150]New TB INC'!AD897</f>
        <v>292.64999999999998</v>
      </c>
      <c r="AE965" s="11">
        <f>'[150]New TB INC'!AE897</f>
        <v>0</v>
      </c>
      <c r="AF965" s="11">
        <v>-292.64999999999998</v>
      </c>
      <c r="AG965" s="11">
        <v>0</v>
      </c>
      <c r="AH965" s="11">
        <v>0</v>
      </c>
      <c r="AI965" s="11">
        <v>0</v>
      </c>
      <c r="AJ965" s="11">
        <v>0</v>
      </c>
      <c r="AK965" s="11">
        <f>$J965-SUM($Z965:AJ965)</f>
        <v>0</v>
      </c>
      <c r="AW965" s="2509"/>
      <c r="BE965" s="2173"/>
      <c r="BF965" s="2173"/>
      <c r="BG965" s="2173"/>
      <c r="BH965" s="2173"/>
      <c r="BI965" s="2173"/>
      <c r="BJ965" s="2173"/>
      <c r="BK965" s="2173"/>
      <c r="BL965" s="773"/>
      <c r="BN965" s="773"/>
      <c r="BO965" s="209"/>
      <c r="CH965" s="878"/>
      <c r="CI965" s="4"/>
      <c r="CJ965" s="4"/>
      <c r="DB965" s="773"/>
      <c r="DC965" s="773"/>
      <c r="DD965" s="773"/>
      <c r="DE965" s="773"/>
      <c r="DF965" s="773"/>
      <c r="DG965" s="773"/>
      <c r="DH965" s="773"/>
      <c r="DI965" s="773"/>
      <c r="DJ965" s="773"/>
      <c r="DK965" s="773"/>
      <c r="DL965" s="773"/>
      <c r="DM965" s="773"/>
      <c r="DN965" s="773"/>
      <c r="DO965" s="773"/>
      <c r="DP965" s="773"/>
      <c r="DQ965" s="773"/>
      <c r="DR965" s="773"/>
      <c r="DS965" s="773"/>
      <c r="DT965" s="773"/>
      <c r="DU965" s="773"/>
      <c r="DV965" s="773"/>
      <c r="DW965" s="773"/>
      <c r="DX965" s="773"/>
      <c r="DY965" s="773"/>
      <c r="DZ965" s="773"/>
      <c r="EA965" s="773"/>
      <c r="EB965" s="773"/>
      <c r="EC965" s="773"/>
      <c r="ED965" s="773"/>
      <c r="EE965" s="773"/>
      <c r="EF965" s="773"/>
      <c r="EG965" s="773"/>
      <c r="EH965" s="773"/>
      <c r="EI965" s="773"/>
      <c r="EJ965" s="773"/>
      <c r="EK965" s="773"/>
      <c r="EL965" s="773"/>
      <c r="EM965" s="773"/>
      <c r="EN965" s="773"/>
      <c r="EO965" s="773"/>
      <c r="EP965" s="773"/>
      <c r="EQ965" s="773"/>
      <c r="ER965" s="773"/>
      <c r="ES965" s="773"/>
      <c r="ET965" s="773"/>
      <c r="EU965" s="773"/>
      <c r="EV965" s="773"/>
      <c r="EW965" s="773"/>
      <c r="EX965" s="773"/>
      <c r="EY965" s="773"/>
      <c r="EZ965" s="773"/>
      <c r="FA965" s="773"/>
      <c r="FB965" s="773"/>
      <c r="FC965" s="773"/>
      <c r="FD965" s="773"/>
      <c r="FE965" s="773"/>
      <c r="FF965" s="773"/>
      <c r="FG965" s="773"/>
      <c r="FH965" s="773"/>
      <c r="FI965" s="773"/>
      <c r="FJ965" s="773"/>
      <c r="FK965" s="773"/>
      <c r="FL965" s="773"/>
      <c r="FM965" s="773"/>
      <c r="FN965" s="773"/>
      <c r="FO965" s="773"/>
      <c r="FP965" s="773"/>
      <c r="FQ965" s="773"/>
      <c r="FR965" s="773"/>
      <c r="FS965" s="773"/>
      <c r="FT965" s="773"/>
      <c r="FU965" s="773"/>
      <c r="FV965" s="773"/>
      <c r="FW965" s="773"/>
      <c r="FX965" s="773"/>
      <c r="FY965" s="773"/>
      <c r="FZ965" s="773"/>
      <c r="GA965" s="773"/>
      <c r="GB965" s="773"/>
      <c r="GC965" s="773"/>
      <c r="GD965" s="773"/>
      <c r="GE965" s="773"/>
      <c r="GF965" s="773"/>
      <c r="GG965" s="773"/>
      <c r="GH965" s="773"/>
      <c r="GI965" s="773"/>
      <c r="GJ965" s="773"/>
      <c r="GK965" s="773"/>
      <c r="GL965" s="773"/>
      <c r="GM965" s="773"/>
      <c r="GN965" s="773"/>
      <c r="GO965" s="773"/>
      <c r="GP965" s="773"/>
      <c r="GQ965" s="773"/>
      <c r="GR965" s="773"/>
      <c r="GS965" s="773"/>
      <c r="GT965" s="773"/>
      <c r="GU965" s="773"/>
      <c r="GV965" s="773"/>
      <c r="GW965" s="773"/>
      <c r="GX965" s="773"/>
      <c r="GY965" s="773"/>
      <c r="GZ965" s="773"/>
    </row>
    <row r="966" spans="1:208" s="11" customFormat="1">
      <c r="A966" s="774"/>
      <c r="B966" s="3761"/>
      <c r="C966" s="197"/>
      <c r="D966" s="200"/>
      <c r="E966" s="42"/>
      <c r="F966" s="108"/>
      <c r="G966" s="108"/>
      <c r="H966" s="108"/>
      <c r="I966" s="108"/>
      <c r="J966" s="798"/>
      <c r="K966" s="209"/>
      <c r="L966" s="434"/>
      <c r="M966" s="810"/>
      <c r="N966" s="11">
        <v>0</v>
      </c>
      <c r="O966" s="11">
        <v>0</v>
      </c>
      <c r="P966" s="11">
        <v>0</v>
      </c>
      <c r="Q966" s="11">
        <v>0</v>
      </c>
      <c r="R966" s="773">
        <v>0</v>
      </c>
      <c r="S966" s="11">
        <v>0</v>
      </c>
      <c r="T966" s="773">
        <v>0</v>
      </c>
      <c r="U966" s="2173">
        <v>0</v>
      </c>
      <c r="V966" s="2509">
        <v>0</v>
      </c>
      <c r="W966" s="2509">
        <v>0</v>
      </c>
      <c r="X966" s="2509">
        <v>0</v>
      </c>
      <c r="Y966" s="2509">
        <v>0</v>
      </c>
      <c r="Z966" s="11">
        <f>'[26]New TB INC'!Z886</f>
        <v>0</v>
      </c>
      <c r="AA966" s="11">
        <f>'[27]New TB INC'!AA890</f>
        <v>0</v>
      </c>
      <c r="AB966" s="11">
        <f>'[28]New TB INC'!AB899</f>
        <v>0</v>
      </c>
      <c r="AC966" s="11">
        <f>'[29]New TB INC'!AC900</f>
        <v>0</v>
      </c>
      <c r="AD966" s="11">
        <f>'[150]New TB INC'!AD898</f>
        <v>0</v>
      </c>
      <c r="AE966" s="11">
        <f>'[150]New TB INC'!AE898</f>
        <v>0</v>
      </c>
      <c r="AF966" s="11">
        <v>0</v>
      </c>
      <c r="AG966" s="11">
        <v>0</v>
      </c>
      <c r="AH966" s="11">
        <v>0</v>
      </c>
      <c r="AI966" s="11">
        <v>0</v>
      </c>
      <c r="AJ966" s="11">
        <v>0</v>
      </c>
      <c r="AK966" s="11">
        <f>$J966-SUM($Z966:AJ966)</f>
        <v>0</v>
      </c>
      <c r="AW966" s="2509"/>
      <c r="BE966" s="2173"/>
      <c r="BF966" s="2173"/>
      <c r="BG966" s="2173"/>
      <c r="BH966" s="2173"/>
      <c r="BI966" s="2173"/>
      <c r="BJ966" s="2173"/>
      <c r="BK966" s="2173"/>
      <c r="BL966" s="773"/>
      <c r="BN966" s="773"/>
      <c r="BO966" s="209"/>
      <c r="CH966" s="878"/>
      <c r="CI966" s="4"/>
      <c r="CJ966" s="4"/>
      <c r="DB966" s="773"/>
      <c r="DC966" s="773"/>
      <c r="DD966" s="773"/>
      <c r="DE966" s="773"/>
      <c r="DF966" s="773"/>
      <c r="DG966" s="773"/>
      <c r="DH966" s="773"/>
      <c r="DI966" s="773"/>
      <c r="DJ966" s="773"/>
      <c r="DK966" s="773"/>
      <c r="DL966" s="773"/>
      <c r="DM966" s="773"/>
      <c r="DN966" s="773"/>
      <c r="DO966" s="773"/>
      <c r="DP966" s="773"/>
      <c r="DQ966" s="773"/>
      <c r="DR966" s="773"/>
      <c r="DS966" s="773"/>
      <c r="DT966" s="773"/>
      <c r="DU966" s="773"/>
      <c r="DV966" s="773"/>
      <c r="DW966" s="773"/>
      <c r="DX966" s="773"/>
      <c r="DY966" s="773"/>
      <c r="DZ966" s="773"/>
      <c r="EA966" s="773"/>
      <c r="EB966" s="773"/>
      <c r="EC966" s="773"/>
      <c r="ED966" s="773"/>
      <c r="EE966" s="773"/>
      <c r="EF966" s="773"/>
      <c r="EG966" s="773"/>
      <c r="EH966" s="773"/>
      <c r="EI966" s="773"/>
      <c r="EJ966" s="773"/>
      <c r="EK966" s="773"/>
      <c r="EL966" s="773"/>
      <c r="EM966" s="773"/>
      <c r="EN966" s="773"/>
      <c r="EO966" s="773"/>
      <c r="EP966" s="773"/>
      <c r="EQ966" s="773"/>
      <c r="ER966" s="773"/>
      <c r="ES966" s="773"/>
      <c r="ET966" s="773"/>
      <c r="EU966" s="773"/>
      <c r="EV966" s="773"/>
      <c r="EW966" s="773"/>
      <c r="EX966" s="773"/>
      <c r="EY966" s="773"/>
      <c r="EZ966" s="773"/>
      <c r="FA966" s="773"/>
      <c r="FB966" s="773"/>
      <c r="FC966" s="773"/>
      <c r="FD966" s="773"/>
      <c r="FE966" s="773"/>
      <c r="FF966" s="773"/>
      <c r="FG966" s="773"/>
      <c r="FH966" s="773"/>
      <c r="FI966" s="773"/>
      <c r="FJ966" s="773"/>
      <c r="FK966" s="773"/>
      <c r="FL966" s="773"/>
      <c r="FM966" s="773"/>
      <c r="FN966" s="773"/>
      <c r="FO966" s="773"/>
      <c r="FP966" s="773"/>
      <c r="FQ966" s="773"/>
      <c r="FR966" s="773"/>
      <c r="FS966" s="773"/>
      <c r="FT966" s="773"/>
      <c r="FU966" s="773"/>
      <c r="FV966" s="773"/>
      <c r="FW966" s="773"/>
      <c r="FX966" s="773"/>
      <c r="FY966" s="773"/>
      <c r="FZ966" s="773"/>
      <c r="GA966" s="773"/>
      <c r="GB966" s="773"/>
      <c r="GC966" s="773"/>
      <c r="GD966" s="773"/>
      <c r="GE966" s="773"/>
      <c r="GF966" s="773"/>
      <c r="GG966" s="773"/>
      <c r="GH966" s="773"/>
      <c r="GI966" s="773"/>
      <c r="GJ966" s="773"/>
      <c r="GK966" s="773"/>
      <c r="GL966" s="773"/>
      <c r="GM966" s="773"/>
      <c r="GN966" s="773"/>
      <c r="GO966" s="773"/>
      <c r="GP966" s="773"/>
      <c r="GQ966" s="773"/>
      <c r="GR966" s="773"/>
      <c r="GS966" s="773"/>
      <c r="GT966" s="773"/>
      <c r="GU966" s="773"/>
      <c r="GV966" s="773"/>
      <c r="GW966" s="773"/>
      <c r="GX966" s="773"/>
      <c r="GY966" s="773"/>
      <c r="GZ966" s="773"/>
    </row>
    <row r="967" spans="1:208" s="11" customFormat="1">
      <c r="A967" s="774"/>
      <c r="B967" s="3761" t="s">
        <v>1819</v>
      </c>
      <c r="C967" s="197">
        <v>7120030</v>
      </c>
      <c r="D967" s="200" t="s">
        <v>2035</v>
      </c>
      <c r="E967" s="798">
        <f>IFERROR(VLOOKUP(C967,'AJE 12 - INC'!$D$168:$F$771,3,0),0)</f>
        <v>0</v>
      </c>
      <c r="F967" s="108">
        <f>SUMIF('AJE 12 - INC'!B:B,'New TB INC'!C967,'AJE 12 - INC'!D:D)</f>
        <v>0</v>
      </c>
      <c r="G967" s="108"/>
      <c r="H967" s="108"/>
      <c r="I967" s="108"/>
      <c r="J967" s="798">
        <f t="shared" ref="J967:J972" si="95">SUM(E967:I967)</f>
        <v>0</v>
      </c>
      <c r="K967" s="209"/>
      <c r="L967" s="434"/>
      <c r="M967" s="810"/>
      <c r="N967" s="11">
        <v>1383.15</v>
      </c>
      <c r="O967" s="11">
        <v>0</v>
      </c>
      <c r="P967" s="11">
        <v>0</v>
      </c>
      <c r="Q967" s="11">
        <v>0</v>
      </c>
      <c r="R967" s="773">
        <v>4200</v>
      </c>
      <c r="S967" s="11">
        <v>0</v>
      </c>
      <c r="T967" s="773">
        <v>0</v>
      </c>
      <c r="U967" s="2173">
        <v>0</v>
      </c>
      <c r="V967" s="2509">
        <v>0</v>
      </c>
      <c r="W967" s="2509">
        <v>0</v>
      </c>
      <c r="X967" s="2509">
        <v>0</v>
      </c>
      <c r="Y967" s="2509">
        <v>0</v>
      </c>
      <c r="Z967" s="11">
        <f>'[26]New TB INC'!Z887</f>
        <v>0</v>
      </c>
      <c r="AA967" s="11">
        <f>'[27]New TB INC'!AA891</f>
        <v>0</v>
      </c>
      <c r="AB967" s="11">
        <f>'[28]New TB INC'!AB900</f>
        <v>0</v>
      </c>
      <c r="AC967" s="11">
        <f>'[29]New TB INC'!AC901</f>
        <v>0</v>
      </c>
      <c r="AD967" s="11">
        <f>'[150]New TB INC'!AD899</f>
        <v>0</v>
      </c>
      <c r="AE967" s="11">
        <f>'[150]New TB INC'!AE899</f>
        <v>0</v>
      </c>
      <c r="AF967" s="11">
        <v>0</v>
      </c>
      <c r="AG967" s="11">
        <v>0</v>
      </c>
      <c r="AH967" s="11">
        <v>0</v>
      </c>
      <c r="AI967" s="11">
        <v>0</v>
      </c>
      <c r="AJ967" s="11">
        <v>0</v>
      </c>
      <c r="AK967" s="11">
        <f>$J967-SUM($Z967:AJ967)</f>
        <v>0</v>
      </c>
      <c r="AW967" s="2509"/>
      <c r="BE967" s="2173"/>
      <c r="BF967" s="2173"/>
      <c r="BG967" s="2173"/>
      <c r="BH967" s="2173"/>
      <c r="BI967" s="2173"/>
      <c r="BJ967" s="2173"/>
      <c r="BK967" s="2173"/>
      <c r="BL967" s="773"/>
      <c r="BN967" s="773"/>
      <c r="BO967" s="209"/>
      <c r="CH967" s="878"/>
      <c r="CI967" s="4"/>
      <c r="CJ967" s="4"/>
      <c r="DB967" s="773"/>
      <c r="DC967" s="773"/>
      <c r="DD967" s="773"/>
      <c r="DE967" s="773"/>
      <c r="DF967" s="773"/>
      <c r="DG967" s="773"/>
      <c r="DH967" s="773"/>
      <c r="DI967" s="773"/>
      <c r="DJ967" s="773"/>
      <c r="DK967" s="773"/>
      <c r="DL967" s="773"/>
      <c r="DM967" s="773"/>
      <c r="DN967" s="773"/>
      <c r="DO967" s="773"/>
      <c r="DP967" s="773"/>
      <c r="DQ967" s="773"/>
      <c r="DR967" s="773"/>
      <c r="DS967" s="773"/>
      <c r="DT967" s="773"/>
      <c r="DU967" s="773"/>
      <c r="DV967" s="773"/>
      <c r="DW967" s="773"/>
      <c r="DX967" s="773"/>
      <c r="DY967" s="773"/>
      <c r="DZ967" s="773"/>
      <c r="EA967" s="773"/>
      <c r="EB967" s="773"/>
      <c r="EC967" s="773"/>
      <c r="ED967" s="773"/>
      <c r="EE967" s="773"/>
      <c r="EF967" s="773"/>
      <c r="EG967" s="773"/>
      <c r="EH967" s="773"/>
      <c r="EI967" s="773"/>
      <c r="EJ967" s="773"/>
      <c r="EK967" s="773"/>
      <c r="EL967" s="773"/>
      <c r="EM967" s="773"/>
      <c r="EN967" s="773"/>
      <c r="EO967" s="773"/>
      <c r="EP967" s="773"/>
      <c r="EQ967" s="773"/>
      <c r="ER967" s="773"/>
      <c r="ES967" s="773"/>
      <c r="ET967" s="773"/>
      <c r="EU967" s="773"/>
      <c r="EV967" s="773"/>
      <c r="EW967" s="773"/>
      <c r="EX967" s="773"/>
      <c r="EY967" s="773"/>
      <c r="EZ967" s="773"/>
      <c r="FA967" s="773"/>
      <c r="FB967" s="773"/>
      <c r="FC967" s="773"/>
      <c r="FD967" s="773"/>
      <c r="FE967" s="773"/>
      <c r="FF967" s="773"/>
      <c r="FG967" s="773"/>
      <c r="FH967" s="773"/>
      <c r="FI967" s="773"/>
      <c r="FJ967" s="773"/>
      <c r="FK967" s="773"/>
      <c r="FL967" s="773"/>
      <c r="FM967" s="773"/>
      <c r="FN967" s="773"/>
      <c r="FO967" s="773"/>
      <c r="FP967" s="773"/>
      <c r="FQ967" s="773"/>
      <c r="FR967" s="773"/>
      <c r="FS967" s="773"/>
      <c r="FT967" s="773"/>
      <c r="FU967" s="773"/>
      <c r="FV967" s="773"/>
      <c r="FW967" s="773"/>
      <c r="FX967" s="773"/>
      <c r="FY967" s="773"/>
      <c r="FZ967" s="773"/>
      <c r="GA967" s="773"/>
      <c r="GB967" s="773"/>
      <c r="GC967" s="773"/>
      <c r="GD967" s="773"/>
      <c r="GE967" s="773"/>
      <c r="GF967" s="773"/>
      <c r="GG967" s="773"/>
      <c r="GH967" s="773"/>
      <c r="GI967" s="773"/>
      <c r="GJ967" s="773"/>
      <c r="GK967" s="773"/>
      <c r="GL967" s="773"/>
      <c r="GM967" s="773"/>
      <c r="GN967" s="773"/>
      <c r="GO967" s="773"/>
      <c r="GP967" s="773"/>
      <c r="GQ967" s="773"/>
      <c r="GR967" s="773"/>
      <c r="GS967" s="773"/>
      <c r="GT967" s="773"/>
      <c r="GU967" s="773"/>
      <c r="GV967" s="773"/>
      <c r="GW967" s="773"/>
      <c r="GX967" s="773"/>
      <c r="GY967" s="773"/>
      <c r="GZ967" s="773"/>
    </row>
    <row r="968" spans="1:208" s="11" customFormat="1">
      <c r="A968" s="774"/>
      <c r="B968" s="3761" t="s">
        <v>1819</v>
      </c>
      <c r="C968" s="197">
        <v>7122002</v>
      </c>
      <c r="D968" s="200" t="s">
        <v>2091</v>
      </c>
      <c r="E968" s="798">
        <f>IFERROR(VLOOKUP(C968,'AJE 12 - INC'!$D$168:$F$771,3,0),0)</f>
        <v>299.94</v>
      </c>
      <c r="F968" s="108">
        <f>SUMIF('AJE 12 - INC'!B:B,'New TB INC'!C968,'AJE 12 - INC'!D:D)</f>
        <v>0</v>
      </c>
      <c r="G968" s="108"/>
      <c r="H968" s="108"/>
      <c r="I968" s="108"/>
      <c r="J968" s="798">
        <f t="shared" si="95"/>
        <v>299.94</v>
      </c>
      <c r="K968" s="209"/>
      <c r="L968" s="434"/>
      <c r="M968" s="810"/>
      <c r="N968" s="11">
        <v>1260.8900000000001</v>
      </c>
      <c r="O968" s="11">
        <v>0</v>
      </c>
      <c r="P968" s="11">
        <v>0</v>
      </c>
      <c r="Q968" s="11">
        <v>0</v>
      </c>
      <c r="R968" s="773">
        <v>993.43999999999983</v>
      </c>
      <c r="S968" s="11">
        <v>0</v>
      </c>
      <c r="T968" s="773">
        <v>0</v>
      </c>
      <c r="U968" s="2173">
        <v>0</v>
      </c>
      <c r="V968" s="2509">
        <v>0</v>
      </c>
      <c r="W968" s="2509">
        <v>0</v>
      </c>
      <c r="X968" s="2509">
        <v>0</v>
      </c>
      <c r="Y968" s="2509">
        <v>0</v>
      </c>
      <c r="Z968" s="11">
        <f>'[26]New TB INC'!Z888</f>
        <v>0</v>
      </c>
      <c r="AA968" s="11">
        <f>'[27]New TB INC'!AA892</f>
        <v>0</v>
      </c>
      <c r="AB968" s="11">
        <f>'[28]New TB INC'!AB901</f>
        <v>0</v>
      </c>
      <c r="AC968" s="11">
        <f>'[29]New TB INC'!AC902</f>
        <v>0</v>
      </c>
      <c r="AD968" s="11">
        <f>'[150]New TB INC'!AD900</f>
        <v>0</v>
      </c>
      <c r="AE968" s="11">
        <f>'[150]New TB INC'!AE900</f>
        <v>0</v>
      </c>
      <c r="AF968" s="11">
        <v>0</v>
      </c>
      <c r="AG968" s="11">
        <v>299.94</v>
      </c>
      <c r="AH968" s="11">
        <v>0</v>
      </c>
      <c r="AI968" s="11">
        <v>0</v>
      </c>
      <c r="AJ968" s="11">
        <v>0</v>
      </c>
      <c r="AK968" s="11">
        <f>$J968-SUM($Z968:AJ968)</f>
        <v>0</v>
      </c>
      <c r="AW968" s="2509"/>
      <c r="BE968" s="2173"/>
      <c r="BF968" s="2173"/>
      <c r="BG968" s="2173"/>
      <c r="BH968" s="2173"/>
      <c r="BI968" s="2173"/>
      <c r="BJ968" s="2173"/>
      <c r="BK968" s="2173"/>
      <c r="BL968" s="773"/>
      <c r="BN968" s="773"/>
      <c r="BO968" s="209"/>
      <c r="CH968" s="878"/>
      <c r="CI968" s="4"/>
      <c r="CJ968" s="4"/>
      <c r="DB968" s="773"/>
      <c r="DC968" s="773"/>
      <c r="DD968" s="773"/>
      <c r="DE968" s="773"/>
      <c r="DF968" s="773"/>
      <c r="DG968" s="773"/>
      <c r="DH968" s="773"/>
      <c r="DI968" s="773"/>
      <c r="DJ968" s="773"/>
      <c r="DK968" s="773"/>
      <c r="DL968" s="773"/>
      <c r="DM968" s="773"/>
      <c r="DN968" s="773"/>
      <c r="DO968" s="773"/>
      <c r="DP968" s="773"/>
      <c r="DQ968" s="773"/>
      <c r="DR968" s="773"/>
      <c r="DS968" s="773"/>
      <c r="DT968" s="773"/>
      <c r="DU968" s="773"/>
      <c r="DV968" s="773"/>
      <c r="DW968" s="773"/>
      <c r="DX968" s="773"/>
      <c r="DY968" s="773"/>
      <c r="DZ968" s="773"/>
      <c r="EA968" s="773"/>
      <c r="EB968" s="773"/>
      <c r="EC968" s="773"/>
      <c r="ED968" s="773"/>
      <c r="EE968" s="773"/>
      <c r="EF968" s="773"/>
      <c r="EG968" s="773"/>
      <c r="EH968" s="773"/>
      <c r="EI968" s="773"/>
      <c r="EJ968" s="773"/>
      <c r="EK968" s="773"/>
      <c r="EL968" s="773"/>
      <c r="EM968" s="773"/>
      <c r="EN968" s="773"/>
      <c r="EO968" s="773"/>
      <c r="EP968" s="773"/>
      <c r="EQ968" s="773"/>
      <c r="ER968" s="773"/>
      <c r="ES968" s="773"/>
      <c r="ET968" s="773"/>
      <c r="EU968" s="773"/>
      <c r="EV968" s="773"/>
      <c r="EW968" s="773"/>
      <c r="EX968" s="773"/>
      <c r="EY968" s="773"/>
      <c r="EZ968" s="773"/>
      <c r="FA968" s="773"/>
      <c r="FB968" s="773"/>
      <c r="FC968" s="773"/>
      <c r="FD968" s="773"/>
      <c r="FE968" s="773"/>
      <c r="FF968" s="773"/>
      <c r="FG968" s="773"/>
      <c r="FH968" s="773"/>
      <c r="FI968" s="773"/>
      <c r="FJ968" s="773"/>
      <c r="FK968" s="773"/>
      <c r="FL968" s="773"/>
      <c r="FM968" s="773"/>
      <c r="FN968" s="773"/>
      <c r="FO968" s="773"/>
      <c r="FP968" s="773"/>
      <c r="FQ968" s="773"/>
      <c r="FR968" s="773"/>
      <c r="FS968" s="773"/>
      <c r="FT968" s="773"/>
      <c r="FU968" s="773"/>
      <c r="FV968" s="773"/>
      <c r="FW968" s="773"/>
      <c r="FX968" s="773"/>
      <c r="FY968" s="773"/>
      <c r="FZ968" s="773"/>
      <c r="GA968" s="773"/>
      <c r="GB968" s="773"/>
      <c r="GC968" s="773"/>
      <c r="GD968" s="773"/>
      <c r="GE968" s="773"/>
      <c r="GF968" s="773"/>
      <c r="GG968" s="773"/>
      <c r="GH968" s="773"/>
      <c r="GI968" s="773"/>
      <c r="GJ968" s="773"/>
      <c r="GK968" s="773"/>
      <c r="GL968" s="773"/>
      <c r="GM968" s="773"/>
      <c r="GN968" s="773"/>
      <c r="GO968" s="773"/>
      <c r="GP968" s="773"/>
      <c r="GQ968" s="773"/>
      <c r="GR968" s="773"/>
      <c r="GS968" s="773"/>
      <c r="GT968" s="773"/>
      <c r="GU968" s="773"/>
      <c r="GV968" s="773"/>
      <c r="GW968" s="773"/>
      <c r="GX968" s="773"/>
      <c r="GY968" s="773"/>
      <c r="GZ968" s="773"/>
    </row>
    <row r="969" spans="1:208" s="11" customFormat="1">
      <c r="A969" s="774"/>
      <c r="B969" s="3761" t="s">
        <v>1819</v>
      </c>
      <c r="C969" s="197">
        <v>7122003</v>
      </c>
      <c r="D969" s="200" t="s">
        <v>2092</v>
      </c>
      <c r="E969" s="798">
        <f>IFERROR(VLOOKUP(C969,'AJE 12 - INC'!$D$168:$F$771,3,0),0)</f>
        <v>26.85</v>
      </c>
      <c r="F969" s="108">
        <f>SUMIF('AJE 12 - INC'!B:B,'New TB INC'!C969,'AJE 12 - INC'!D:D)</f>
        <v>0</v>
      </c>
      <c r="G969" s="108"/>
      <c r="H969" s="108"/>
      <c r="I969" s="108"/>
      <c r="J969" s="798">
        <f t="shared" si="95"/>
        <v>26.85</v>
      </c>
      <c r="K969" s="209"/>
      <c r="L969" s="434"/>
      <c r="M969" s="810"/>
      <c r="N969" s="11">
        <v>27.32</v>
      </c>
      <c r="O969" s="11">
        <v>0</v>
      </c>
      <c r="P969" s="11">
        <v>0</v>
      </c>
      <c r="Q969" s="11">
        <v>0</v>
      </c>
      <c r="R969" s="773">
        <v>0</v>
      </c>
      <c r="S969" s="11">
        <v>0</v>
      </c>
      <c r="T969" s="773">
        <v>0</v>
      </c>
      <c r="U969" s="2173">
        <v>0</v>
      </c>
      <c r="V969" s="2509">
        <v>0</v>
      </c>
      <c r="W969" s="2509">
        <v>0</v>
      </c>
      <c r="X969" s="2509">
        <v>0</v>
      </c>
      <c r="Y969" s="2509">
        <v>0</v>
      </c>
      <c r="Z969" s="11">
        <f>'[26]New TB INC'!Z889</f>
        <v>0</v>
      </c>
      <c r="AA969" s="11">
        <f>'[27]New TB INC'!AA893</f>
        <v>0</v>
      </c>
      <c r="AB969" s="11">
        <f>'[28]New TB INC'!AB902</f>
        <v>0</v>
      </c>
      <c r="AC969" s="11">
        <f>'[29]New TB INC'!AC903</f>
        <v>0</v>
      </c>
      <c r="AD969" s="11">
        <f>'[150]New TB INC'!AD901</f>
        <v>0</v>
      </c>
      <c r="AE969" s="11">
        <f>'[150]New TB INC'!AE901</f>
        <v>0</v>
      </c>
      <c r="AF969" s="11">
        <v>0</v>
      </c>
      <c r="AG969" s="11">
        <v>26.85</v>
      </c>
      <c r="AH969" s="11">
        <v>0</v>
      </c>
      <c r="AI969" s="11">
        <v>0</v>
      </c>
      <c r="AJ969" s="11">
        <v>0</v>
      </c>
      <c r="AK969" s="11">
        <f>$J969-SUM($Z969:AJ969)</f>
        <v>0</v>
      </c>
      <c r="AW969" s="2509"/>
      <c r="BE969" s="2173"/>
      <c r="BF969" s="2173"/>
      <c r="BG969" s="2173"/>
      <c r="BH969" s="2173"/>
      <c r="BI969" s="2173"/>
      <c r="BJ969" s="2173"/>
      <c r="BK969" s="2173"/>
      <c r="BL969" s="773"/>
      <c r="BN969" s="773"/>
      <c r="BO969" s="209"/>
      <c r="CH969" s="878"/>
      <c r="CI969" s="4"/>
      <c r="CJ969" s="4"/>
      <c r="DB969" s="773"/>
      <c r="DC969" s="773"/>
      <c r="DD969" s="773"/>
      <c r="DE969" s="773"/>
      <c r="DF969" s="773"/>
      <c r="DG969" s="773"/>
      <c r="DH969" s="773"/>
      <c r="DI969" s="773"/>
      <c r="DJ969" s="773"/>
      <c r="DK969" s="773"/>
      <c r="DL969" s="773"/>
      <c r="DM969" s="773"/>
      <c r="DN969" s="773"/>
      <c r="DO969" s="773"/>
      <c r="DP969" s="773"/>
      <c r="DQ969" s="773"/>
      <c r="DR969" s="773"/>
      <c r="DS969" s="773"/>
      <c r="DT969" s="773"/>
      <c r="DU969" s="773"/>
      <c r="DV969" s="773"/>
      <c r="DW969" s="773"/>
      <c r="DX969" s="773"/>
      <c r="DY969" s="773"/>
      <c r="DZ969" s="773"/>
      <c r="EA969" s="773"/>
      <c r="EB969" s="773"/>
      <c r="EC969" s="773"/>
      <c r="ED969" s="773"/>
      <c r="EE969" s="773"/>
      <c r="EF969" s="773"/>
      <c r="EG969" s="773"/>
      <c r="EH969" s="773"/>
      <c r="EI969" s="773"/>
      <c r="EJ969" s="773"/>
      <c r="EK969" s="773"/>
      <c r="EL969" s="773"/>
      <c r="EM969" s="773"/>
      <c r="EN969" s="773"/>
      <c r="EO969" s="773"/>
      <c r="EP969" s="773"/>
      <c r="EQ969" s="773"/>
      <c r="ER969" s="773"/>
      <c r="ES969" s="773"/>
      <c r="ET969" s="773"/>
      <c r="EU969" s="773"/>
      <c r="EV969" s="773"/>
      <c r="EW969" s="773"/>
      <c r="EX969" s="773"/>
      <c r="EY969" s="773"/>
      <c r="EZ969" s="773"/>
      <c r="FA969" s="773"/>
      <c r="FB969" s="773"/>
      <c r="FC969" s="773"/>
      <c r="FD969" s="773"/>
      <c r="FE969" s="773"/>
      <c r="FF969" s="773"/>
      <c r="FG969" s="773"/>
      <c r="FH969" s="773"/>
      <c r="FI969" s="773"/>
      <c r="FJ969" s="773"/>
      <c r="FK969" s="773"/>
      <c r="FL969" s="773"/>
      <c r="FM969" s="773"/>
      <c r="FN969" s="773"/>
      <c r="FO969" s="773"/>
      <c r="FP969" s="773"/>
      <c r="FQ969" s="773"/>
      <c r="FR969" s="773"/>
      <c r="FS969" s="773"/>
      <c r="FT969" s="773"/>
      <c r="FU969" s="773"/>
      <c r="FV969" s="773"/>
      <c r="FW969" s="773"/>
      <c r="FX969" s="773"/>
      <c r="FY969" s="773"/>
      <c r="FZ969" s="773"/>
      <c r="GA969" s="773"/>
      <c r="GB969" s="773"/>
      <c r="GC969" s="773"/>
      <c r="GD969" s="773"/>
      <c r="GE969" s="773"/>
      <c r="GF969" s="773"/>
      <c r="GG969" s="773"/>
      <c r="GH969" s="773"/>
      <c r="GI969" s="773"/>
      <c r="GJ969" s="773"/>
      <c r="GK969" s="773"/>
      <c r="GL969" s="773"/>
      <c r="GM969" s="773"/>
      <c r="GN969" s="773"/>
      <c r="GO969" s="773"/>
      <c r="GP969" s="773"/>
      <c r="GQ969" s="773"/>
      <c r="GR969" s="773"/>
      <c r="GS969" s="773"/>
      <c r="GT969" s="773"/>
      <c r="GU969" s="773"/>
      <c r="GV969" s="773"/>
      <c r="GW969" s="773"/>
      <c r="GX969" s="773"/>
      <c r="GY969" s="773"/>
      <c r="GZ969" s="773"/>
    </row>
    <row r="970" spans="1:208" s="11" customFormat="1">
      <c r="A970" s="774"/>
      <c r="B970" s="3761" t="s">
        <v>1819</v>
      </c>
      <c r="C970" s="197">
        <v>7122004</v>
      </c>
      <c r="D970" s="200" t="s">
        <v>2093</v>
      </c>
      <c r="E970" s="798">
        <f>IFERROR(VLOOKUP(C970,'AJE 12 - INC'!$D$168:$F$771,3,0),0)</f>
        <v>462.5</v>
      </c>
      <c r="F970" s="108">
        <f>SUMIF('AJE 12 - INC'!B:B,'New TB INC'!C970,'AJE 12 - INC'!D:D)</f>
        <v>0</v>
      </c>
      <c r="G970" s="108"/>
      <c r="H970" s="108"/>
      <c r="I970" s="108"/>
      <c r="J970" s="798">
        <f t="shared" si="95"/>
        <v>462.5</v>
      </c>
      <c r="K970" s="209"/>
      <c r="L970" s="434"/>
      <c r="M970" s="810"/>
      <c r="N970" s="11">
        <v>594.88</v>
      </c>
      <c r="O970" s="11">
        <v>0</v>
      </c>
      <c r="P970" s="11">
        <v>0</v>
      </c>
      <c r="Q970" s="11">
        <v>0</v>
      </c>
      <c r="R970" s="773">
        <v>458.14</v>
      </c>
      <c r="S970" s="11">
        <v>0</v>
      </c>
      <c r="T970" s="773">
        <v>0</v>
      </c>
      <c r="U970" s="2173">
        <v>0</v>
      </c>
      <c r="V970" s="2509">
        <v>0</v>
      </c>
      <c r="W970" s="2509">
        <v>0</v>
      </c>
      <c r="X970" s="2509">
        <v>0</v>
      </c>
      <c r="Y970" s="2509">
        <v>0</v>
      </c>
      <c r="Z970" s="11">
        <f>'[26]New TB INC'!Z890</f>
        <v>0</v>
      </c>
      <c r="AA970" s="11">
        <f>'[27]New TB INC'!AA894</f>
        <v>0</v>
      </c>
      <c r="AB970" s="11">
        <f>'[28]New TB INC'!AB903</f>
        <v>0</v>
      </c>
      <c r="AC970" s="11">
        <f>'[29]New TB INC'!AC904</f>
        <v>0</v>
      </c>
      <c r="AD970" s="11">
        <f>'[150]New TB INC'!AD902</f>
        <v>0</v>
      </c>
      <c r="AE970" s="11">
        <f>'[150]New TB INC'!AE902</f>
        <v>0</v>
      </c>
      <c r="AF970" s="11">
        <v>0</v>
      </c>
      <c r="AG970" s="11">
        <v>462.5</v>
      </c>
      <c r="AH970" s="11">
        <v>0</v>
      </c>
      <c r="AI970" s="11">
        <v>0</v>
      </c>
      <c r="AJ970" s="11">
        <v>0</v>
      </c>
      <c r="AK970" s="11">
        <f>$J970-SUM($Z970:AJ970)</f>
        <v>0</v>
      </c>
      <c r="AW970" s="2509"/>
      <c r="BE970" s="2173"/>
      <c r="BF970" s="2173"/>
      <c r="BG970" s="2173"/>
      <c r="BH970" s="2173"/>
      <c r="BI970" s="2173"/>
      <c r="BJ970" s="2173"/>
      <c r="BK970" s="2173"/>
      <c r="BL970" s="773"/>
      <c r="BN970" s="773"/>
      <c r="BO970" s="209"/>
      <c r="CH970" s="878"/>
      <c r="CI970" s="4"/>
      <c r="CJ970" s="4"/>
      <c r="DB970" s="773"/>
      <c r="DC970" s="773"/>
      <c r="DD970" s="773"/>
      <c r="DE970" s="773"/>
      <c r="DF970" s="773"/>
      <c r="DG970" s="773"/>
      <c r="DH970" s="773"/>
      <c r="DI970" s="773"/>
      <c r="DJ970" s="773"/>
      <c r="DK970" s="773"/>
      <c r="DL970" s="773"/>
      <c r="DM970" s="773"/>
      <c r="DN970" s="773"/>
      <c r="DO970" s="773"/>
      <c r="DP970" s="773"/>
      <c r="DQ970" s="773"/>
      <c r="DR970" s="773"/>
      <c r="DS970" s="773"/>
      <c r="DT970" s="773"/>
      <c r="DU970" s="773"/>
      <c r="DV970" s="773"/>
      <c r="DW970" s="773"/>
      <c r="DX970" s="773"/>
      <c r="DY970" s="773"/>
      <c r="DZ970" s="773"/>
      <c r="EA970" s="773"/>
      <c r="EB970" s="773"/>
      <c r="EC970" s="773"/>
      <c r="ED970" s="773"/>
      <c r="EE970" s="773"/>
      <c r="EF970" s="773"/>
      <c r="EG970" s="773"/>
      <c r="EH970" s="773"/>
      <c r="EI970" s="773"/>
      <c r="EJ970" s="773"/>
      <c r="EK970" s="773"/>
      <c r="EL970" s="773"/>
      <c r="EM970" s="773"/>
      <c r="EN970" s="773"/>
      <c r="EO970" s="773"/>
      <c r="EP970" s="773"/>
      <c r="EQ970" s="773"/>
      <c r="ER970" s="773"/>
      <c r="ES970" s="773"/>
      <c r="ET970" s="773"/>
      <c r="EU970" s="773"/>
      <c r="EV970" s="773"/>
      <c r="EW970" s="773"/>
      <c r="EX970" s="773"/>
      <c r="EY970" s="773"/>
      <c r="EZ970" s="773"/>
      <c r="FA970" s="773"/>
      <c r="FB970" s="773"/>
      <c r="FC970" s="773"/>
      <c r="FD970" s="773"/>
      <c r="FE970" s="773"/>
      <c r="FF970" s="773"/>
      <c r="FG970" s="773"/>
      <c r="FH970" s="773"/>
      <c r="FI970" s="773"/>
      <c r="FJ970" s="773"/>
      <c r="FK970" s="773"/>
      <c r="FL970" s="773"/>
      <c r="FM970" s="773"/>
      <c r="FN970" s="773"/>
      <c r="FO970" s="773"/>
      <c r="FP970" s="773"/>
      <c r="FQ970" s="773"/>
      <c r="FR970" s="773"/>
      <c r="FS970" s="773"/>
      <c r="FT970" s="773"/>
      <c r="FU970" s="773"/>
      <c r="FV970" s="773"/>
      <c r="FW970" s="773"/>
      <c r="FX970" s="773"/>
      <c r="FY970" s="773"/>
      <c r="FZ970" s="773"/>
      <c r="GA970" s="773"/>
      <c r="GB970" s="773"/>
      <c r="GC970" s="773"/>
      <c r="GD970" s="773"/>
      <c r="GE970" s="773"/>
      <c r="GF970" s="773"/>
      <c r="GG970" s="773"/>
      <c r="GH970" s="773"/>
      <c r="GI970" s="773"/>
      <c r="GJ970" s="773"/>
      <c r="GK970" s="773"/>
      <c r="GL970" s="773"/>
      <c r="GM970" s="773"/>
      <c r="GN970" s="773"/>
      <c r="GO970" s="773"/>
      <c r="GP970" s="773"/>
      <c r="GQ970" s="773"/>
      <c r="GR970" s="773"/>
      <c r="GS970" s="773"/>
      <c r="GT970" s="773"/>
      <c r="GU970" s="773"/>
      <c r="GV970" s="773"/>
      <c r="GW970" s="773"/>
      <c r="GX970" s="773"/>
      <c r="GY970" s="773"/>
      <c r="GZ970" s="773"/>
    </row>
    <row r="971" spans="1:208" s="11" customFormat="1">
      <c r="A971" s="774"/>
      <c r="B971" s="3761" t="s">
        <v>1819</v>
      </c>
      <c r="C971" s="197">
        <v>7122009</v>
      </c>
      <c r="D971" s="200" t="s">
        <v>2094</v>
      </c>
      <c r="E971" s="798">
        <f>IFERROR(VLOOKUP(C971,'AJE 12 - INC'!$D$168:$F$771,3,0),0)</f>
        <v>0</v>
      </c>
      <c r="F971" s="108">
        <f>SUMIF('AJE 12 - INC'!B:B,'New TB INC'!C971,'AJE 12 - INC'!D:D)</f>
        <v>0</v>
      </c>
      <c r="G971" s="108"/>
      <c r="H971" s="108"/>
      <c r="I971" s="108"/>
      <c r="J971" s="798">
        <f t="shared" si="95"/>
        <v>0</v>
      </c>
      <c r="K971" s="209"/>
      <c r="L971" s="434"/>
      <c r="M971" s="810"/>
      <c r="N971" s="11">
        <v>397.31</v>
      </c>
      <c r="O971" s="11">
        <v>0</v>
      </c>
      <c r="P971" s="11">
        <v>0</v>
      </c>
      <c r="Q971" s="11">
        <v>0</v>
      </c>
      <c r="R971" s="773">
        <v>1010.27</v>
      </c>
      <c r="S971" s="11">
        <v>0</v>
      </c>
      <c r="T971" s="773">
        <v>0</v>
      </c>
      <c r="U971" s="2173">
        <v>0</v>
      </c>
      <c r="V971" s="2509">
        <v>0</v>
      </c>
      <c r="W971" s="2509">
        <v>0</v>
      </c>
      <c r="X971" s="2509">
        <v>0</v>
      </c>
      <c r="Y971" s="2509">
        <v>0</v>
      </c>
      <c r="Z971" s="11">
        <f>'[26]New TB INC'!Z891</f>
        <v>0</v>
      </c>
      <c r="AA971" s="11">
        <f>'[27]New TB INC'!AA895</f>
        <v>0</v>
      </c>
      <c r="AB971" s="11">
        <f>'[28]New TB INC'!AB904</f>
        <v>0</v>
      </c>
      <c r="AC971" s="11">
        <f>'[29]New TB INC'!AC905</f>
        <v>0</v>
      </c>
      <c r="AD971" s="11">
        <f>'[150]New TB INC'!AD903</f>
        <v>0</v>
      </c>
      <c r="AE971" s="11">
        <f>'[150]New TB INC'!AE903</f>
        <v>0</v>
      </c>
      <c r="AF971" s="11">
        <v>0</v>
      </c>
      <c r="AG971" s="11">
        <v>0</v>
      </c>
      <c r="AH971" s="11">
        <v>0</v>
      </c>
      <c r="AI971" s="11">
        <v>0</v>
      </c>
      <c r="AJ971" s="11">
        <v>0</v>
      </c>
      <c r="AK971" s="11">
        <f>$J971-SUM($Z971:AJ971)</f>
        <v>0</v>
      </c>
      <c r="AW971" s="2509"/>
      <c r="BE971" s="2173"/>
      <c r="BF971" s="2173"/>
      <c r="BG971" s="2173"/>
      <c r="BH971" s="2173"/>
      <c r="BI971" s="2173"/>
      <c r="BJ971" s="2173"/>
      <c r="BK971" s="2173"/>
      <c r="BL971" s="773"/>
      <c r="BN971" s="773"/>
      <c r="BO971" s="209"/>
      <c r="CH971" s="878"/>
      <c r="CI971" s="4"/>
      <c r="CJ971" s="4"/>
      <c r="DB971" s="773"/>
      <c r="DC971" s="773"/>
      <c r="DD971" s="773"/>
      <c r="DE971" s="773"/>
      <c r="DF971" s="773"/>
      <c r="DG971" s="773"/>
      <c r="DH971" s="773"/>
      <c r="DI971" s="773"/>
      <c r="DJ971" s="773"/>
      <c r="DK971" s="773"/>
      <c r="DL971" s="773"/>
      <c r="DM971" s="773"/>
      <c r="DN971" s="773"/>
      <c r="DO971" s="773"/>
      <c r="DP971" s="773"/>
      <c r="DQ971" s="773"/>
      <c r="DR971" s="773"/>
      <c r="DS971" s="773"/>
      <c r="DT971" s="773"/>
      <c r="DU971" s="773"/>
      <c r="DV971" s="773"/>
      <c r="DW971" s="773"/>
      <c r="DX971" s="773"/>
      <c r="DY971" s="773"/>
      <c r="DZ971" s="773"/>
      <c r="EA971" s="773"/>
      <c r="EB971" s="773"/>
      <c r="EC971" s="773"/>
      <c r="ED971" s="773"/>
      <c r="EE971" s="773"/>
      <c r="EF971" s="773"/>
      <c r="EG971" s="773"/>
      <c r="EH971" s="773"/>
      <c r="EI971" s="773"/>
      <c r="EJ971" s="773"/>
      <c r="EK971" s="773"/>
      <c r="EL971" s="773"/>
      <c r="EM971" s="773"/>
      <c r="EN971" s="773"/>
      <c r="EO971" s="773"/>
      <c r="EP971" s="773"/>
      <c r="EQ971" s="773"/>
      <c r="ER971" s="773"/>
      <c r="ES971" s="773"/>
      <c r="ET971" s="773"/>
      <c r="EU971" s="773"/>
      <c r="EV971" s="773"/>
      <c r="EW971" s="773"/>
      <c r="EX971" s="773"/>
      <c r="EY971" s="773"/>
      <c r="EZ971" s="773"/>
      <c r="FA971" s="773"/>
      <c r="FB971" s="773"/>
      <c r="FC971" s="773"/>
      <c r="FD971" s="773"/>
      <c r="FE971" s="773"/>
      <c r="FF971" s="773"/>
      <c r="FG971" s="773"/>
      <c r="FH971" s="773"/>
      <c r="FI971" s="773"/>
      <c r="FJ971" s="773"/>
      <c r="FK971" s="773"/>
      <c r="FL971" s="773"/>
      <c r="FM971" s="773"/>
      <c r="FN971" s="773"/>
      <c r="FO971" s="773"/>
      <c r="FP971" s="773"/>
      <c r="FQ971" s="773"/>
      <c r="FR971" s="773"/>
      <c r="FS971" s="773"/>
      <c r="FT971" s="773"/>
      <c r="FU971" s="773"/>
      <c r="FV971" s="773"/>
      <c r="FW971" s="773"/>
      <c r="FX971" s="773"/>
      <c r="FY971" s="773"/>
      <c r="FZ971" s="773"/>
      <c r="GA971" s="773"/>
      <c r="GB971" s="773"/>
      <c r="GC971" s="773"/>
      <c r="GD971" s="773"/>
      <c r="GE971" s="773"/>
      <c r="GF971" s="773"/>
      <c r="GG971" s="773"/>
      <c r="GH971" s="773"/>
      <c r="GI971" s="773"/>
      <c r="GJ971" s="773"/>
      <c r="GK971" s="773"/>
      <c r="GL971" s="773"/>
      <c r="GM971" s="773"/>
      <c r="GN971" s="773"/>
      <c r="GO971" s="773"/>
      <c r="GP971" s="773"/>
      <c r="GQ971" s="773"/>
      <c r="GR971" s="773"/>
      <c r="GS971" s="773"/>
      <c r="GT971" s="773"/>
      <c r="GU971" s="773"/>
      <c r="GV971" s="773"/>
      <c r="GW971" s="773"/>
      <c r="GX971" s="773"/>
      <c r="GY971" s="773"/>
      <c r="GZ971" s="773"/>
    </row>
    <row r="972" spans="1:208" s="11" customFormat="1">
      <c r="A972" s="774"/>
      <c r="B972" s="3761" t="s">
        <v>1819</v>
      </c>
      <c r="C972" s="197">
        <v>7122010</v>
      </c>
      <c r="D972" s="200" t="s">
        <v>2095</v>
      </c>
      <c r="E972" s="798">
        <f>IFERROR(VLOOKUP(C972,'AJE 12 - INC'!$D$168:$F$771,3,0),0)</f>
        <v>0</v>
      </c>
      <c r="F972" s="108">
        <f>SUMIF('AJE 12 - INC'!B:B,'New TB INC'!C972,'AJE 12 - INC'!D:D)</f>
        <v>0</v>
      </c>
      <c r="G972" s="108"/>
      <c r="H972" s="108"/>
      <c r="I972" s="108"/>
      <c r="J972" s="798">
        <f t="shared" si="95"/>
        <v>0</v>
      </c>
      <c r="K972" s="209"/>
      <c r="L972" s="434"/>
      <c r="M972" s="810"/>
      <c r="N972" s="11">
        <v>1299.56</v>
      </c>
      <c r="O972" s="11">
        <v>0</v>
      </c>
      <c r="P972" s="11">
        <v>0</v>
      </c>
      <c r="Q972" s="11">
        <v>0</v>
      </c>
      <c r="R972" s="773">
        <v>259.19000000000005</v>
      </c>
      <c r="S972" s="11">
        <v>0</v>
      </c>
      <c r="T972" s="773">
        <v>0</v>
      </c>
      <c r="U972" s="2173">
        <v>0</v>
      </c>
      <c r="V972" s="2509">
        <v>0</v>
      </c>
      <c r="W972" s="2509">
        <v>0</v>
      </c>
      <c r="X972" s="2509">
        <v>0</v>
      </c>
      <c r="Y972" s="2509">
        <v>0</v>
      </c>
      <c r="Z972" s="11">
        <f>'[26]New TB INC'!Z892</f>
        <v>0</v>
      </c>
      <c r="AA972" s="11">
        <f>'[27]New TB INC'!AA896</f>
        <v>0</v>
      </c>
      <c r="AB972" s="11">
        <f>'[28]New TB INC'!AB905</f>
        <v>0</v>
      </c>
      <c r="AC972" s="11">
        <f>'[29]New TB INC'!AC906</f>
        <v>0</v>
      </c>
      <c r="AD972" s="11">
        <f>'[150]New TB INC'!AD904</f>
        <v>0</v>
      </c>
      <c r="AE972" s="11">
        <f>'[150]New TB INC'!AE904</f>
        <v>0</v>
      </c>
      <c r="AF972" s="11">
        <v>0</v>
      </c>
      <c r="AG972" s="11">
        <v>0</v>
      </c>
      <c r="AH972" s="11">
        <v>0</v>
      </c>
      <c r="AI972" s="11">
        <v>0</v>
      </c>
      <c r="AJ972" s="11">
        <v>0</v>
      </c>
      <c r="AK972" s="11">
        <f>$J972-SUM($Z972:AJ972)</f>
        <v>0</v>
      </c>
      <c r="AW972" s="2509"/>
      <c r="BE972" s="2173"/>
      <c r="BF972" s="2173"/>
      <c r="BG972" s="2173"/>
      <c r="BH972" s="2173"/>
      <c r="BI972" s="2173"/>
      <c r="BJ972" s="2173"/>
      <c r="BK972" s="2173"/>
      <c r="BL972" s="773"/>
      <c r="BN972" s="773"/>
      <c r="BO972" s="209"/>
      <c r="CH972" s="878"/>
      <c r="CI972" s="4"/>
      <c r="CJ972" s="4"/>
      <c r="DB972" s="773"/>
      <c r="DC972" s="773"/>
      <c r="DD972" s="773"/>
      <c r="DE972" s="773"/>
      <c r="DF972" s="773"/>
      <c r="DG972" s="773"/>
      <c r="DH972" s="773"/>
      <c r="DI972" s="773"/>
      <c r="DJ972" s="773"/>
      <c r="DK972" s="773"/>
      <c r="DL972" s="773"/>
      <c r="DM972" s="773"/>
      <c r="DN972" s="773"/>
      <c r="DO972" s="773"/>
      <c r="DP972" s="773"/>
      <c r="DQ972" s="773"/>
      <c r="DR972" s="773"/>
      <c r="DS972" s="773"/>
      <c r="DT972" s="773"/>
      <c r="DU972" s="773"/>
      <c r="DV972" s="773"/>
      <c r="DW972" s="773"/>
      <c r="DX972" s="773"/>
      <c r="DY972" s="773"/>
      <c r="DZ972" s="773"/>
      <c r="EA972" s="773"/>
      <c r="EB972" s="773"/>
      <c r="EC972" s="773"/>
      <c r="ED972" s="773"/>
      <c r="EE972" s="773"/>
      <c r="EF972" s="773"/>
      <c r="EG972" s="773"/>
      <c r="EH972" s="773"/>
      <c r="EI972" s="773"/>
      <c r="EJ972" s="773"/>
      <c r="EK972" s="773"/>
      <c r="EL972" s="773"/>
      <c r="EM972" s="773"/>
      <c r="EN972" s="773"/>
      <c r="EO972" s="773"/>
      <c r="EP972" s="773"/>
      <c r="EQ972" s="773"/>
      <c r="ER972" s="773"/>
      <c r="ES972" s="773"/>
      <c r="ET972" s="773"/>
      <c r="EU972" s="773"/>
      <c r="EV972" s="773"/>
      <c r="EW972" s="773"/>
      <c r="EX972" s="773"/>
      <c r="EY972" s="773"/>
      <c r="EZ972" s="773"/>
      <c r="FA972" s="773"/>
      <c r="FB972" s="773"/>
      <c r="FC972" s="773"/>
      <c r="FD972" s="773"/>
      <c r="FE972" s="773"/>
      <c r="FF972" s="773"/>
      <c r="FG972" s="773"/>
      <c r="FH972" s="773"/>
      <c r="FI972" s="773"/>
      <c r="FJ972" s="773"/>
      <c r="FK972" s="773"/>
      <c r="FL972" s="773"/>
      <c r="FM972" s="773"/>
      <c r="FN972" s="773"/>
      <c r="FO972" s="773"/>
      <c r="FP972" s="773"/>
      <c r="FQ972" s="773"/>
      <c r="FR972" s="773"/>
      <c r="FS972" s="773"/>
      <c r="FT972" s="773"/>
      <c r="FU972" s="773"/>
      <c r="FV972" s="773"/>
      <c r="FW972" s="773"/>
      <c r="FX972" s="773"/>
      <c r="FY972" s="773"/>
      <c r="FZ972" s="773"/>
      <c r="GA972" s="773"/>
      <c r="GB972" s="773"/>
      <c r="GC972" s="773"/>
      <c r="GD972" s="773"/>
      <c r="GE972" s="773"/>
      <c r="GF972" s="773"/>
      <c r="GG972" s="773"/>
      <c r="GH972" s="773"/>
      <c r="GI972" s="773"/>
      <c r="GJ972" s="773"/>
      <c r="GK972" s="773"/>
      <c r="GL972" s="773"/>
      <c r="GM972" s="773"/>
      <c r="GN972" s="773"/>
      <c r="GO972" s="773"/>
      <c r="GP972" s="773"/>
      <c r="GQ972" s="773"/>
      <c r="GR972" s="773"/>
      <c r="GS972" s="773"/>
      <c r="GT972" s="773"/>
      <c r="GU972" s="773"/>
      <c r="GV972" s="773"/>
      <c r="GW972" s="773"/>
      <c r="GX972" s="773"/>
      <c r="GY972" s="773"/>
      <c r="GZ972" s="773"/>
    </row>
    <row r="973" spans="1:208" s="773" customFormat="1">
      <c r="A973" s="780"/>
      <c r="B973" s="3761" t="s">
        <v>1819</v>
      </c>
      <c r="C973" s="197">
        <v>7120008</v>
      </c>
      <c r="D973" s="199" t="s">
        <v>3109</v>
      </c>
      <c r="E973" s="798">
        <f>IFERROR(VLOOKUP(C973,'AJE 12 - INC'!$D$168:$F$771,3,0),0)</f>
        <v>976.1</v>
      </c>
      <c r="F973" s="108">
        <f>SUMIF('AJE 12 - INC'!B:B,'New TB INC'!C973,'AJE 12 - INC'!D:D)</f>
        <v>0</v>
      </c>
      <c r="G973" s="108"/>
      <c r="H973" s="108"/>
      <c r="I973" s="108"/>
      <c r="J973" s="798">
        <f>SUM(E973:I973)</f>
        <v>976.1</v>
      </c>
      <c r="K973" s="209"/>
      <c r="L973" s="434"/>
      <c r="M973" s="810"/>
      <c r="N973" s="11"/>
      <c r="O973" s="11"/>
      <c r="P973" s="11"/>
      <c r="Q973" s="11"/>
      <c r="S973" s="11"/>
      <c r="U973" s="2173"/>
      <c r="V973" s="2509"/>
      <c r="W973" s="2509"/>
      <c r="X973" s="2509"/>
      <c r="Y973" s="2509">
        <v>0</v>
      </c>
      <c r="Z973" s="11">
        <f>'[26]New TB INC'!Z784</f>
        <v>0</v>
      </c>
      <c r="AA973" s="11">
        <f>'[27]New TB INC'!AA791</f>
        <v>300</v>
      </c>
      <c r="AB973" s="11">
        <f>'[28]New TB INC'!AB798</f>
        <v>76.100000000000023</v>
      </c>
      <c r="AC973" s="11">
        <f>'[29]New TB INC'!AC794</f>
        <v>300</v>
      </c>
      <c r="AD973" s="11">
        <f>'[150]New TB INC'!AD905</f>
        <v>0</v>
      </c>
      <c r="AE973" s="11">
        <f>'[150]New TB INC'!AE905</f>
        <v>0</v>
      </c>
      <c r="AF973" s="11">
        <v>0</v>
      </c>
      <c r="AG973" s="11">
        <v>300</v>
      </c>
      <c r="AH973" s="11">
        <v>0</v>
      </c>
      <c r="AI973" s="11">
        <v>0</v>
      </c>
      <c r="AJ973" s="11">
        <v>0</v>
      </c>
      <c r="AK973" s="11">
        <f>$J973-SUM($Z973:AJ973)</f>
        <v>0</v>
      </c>
      <c r="AL973" s="11"/>
      <c r="AM973" s="11"/>
      <c r="AN973" s="11"/>
      <c r="AO973" s="11"/>
      <c r="AP973" s="11"/>
      <c r="AQ973" s="11"/>
      <c r="AR973" s="11"/>
      <c r="AS973" s="11"/>
      <c r="AT973" s="11"/>
      <c r="AU973" s="11"/>
      <c r="AW973" s="2509"/>
      <c r="BE973" s="2173"/>
      <c r="BF973" s="2173"/>
      <c r="BG973" s="2173"/>
      <c r="BH973" s="2173"/>
      <c r="BI973" s="2173"/>
      <c r="BJ973" s="2173"/>
      <c r="BK973" s="2173"/>
      <c r="BO973" s="209"/>
      <c r="BP973" s="209"/>
      <c r="BQ973" s="209"/>
      <c r="BR973" s="209"/>
      <c r="BS973" s="209"/>
      <c r="BT973" s="209"/>
      <c r="BU973" s="209"/>
      <c r="BV973" s="209"/>
      <c r="BW973" s="820"/>
      <c r="BX973" s="209"/>
      <c r="BY973" s="209"/>
      <c r="BZ973" s="799"/>
      <c r="CA973" s="799"/>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row>
    <row r="974" spans="1:208" s="773" customFormat="1">
      <c r="A974" s="780"/>
      <c r="B974" s="3761"/>
      <c r="C974" s="197"/>
      <c r="D974" s="200"/>
      <c r="E974" s="798"/>
      <c r="F974" s="108"/>
      <c r="G974" s="108"/>
      <c r="H974" s="108"/>
      <c r="I974" s="108"/>
      <c r="J974" s="798"/>
      <c r="K974" s="209"/>
      <c r="L974" s="434"/>
      <c r="M974" s="810"/>
      <c r="N974" s="11"/>
      <c r="O974" s="11"/>
      <c r="P974" s="11"/>
      <c r="Q974" s="11"/>
      <c r="S974" s="11"/>
      <c r="U974" s="2173"/>
      <c r="V974" s="2509"/>
      <c r="W974" s="2509"/>
      <c r="X974" s="2509"/>
      <c r="Y974" s="2509"/>
      <c r="Z974" s="11"/>
      <c r="AA974" s="11"/>
      <c r="AB974" s="11"/>
      <c r="AC974" s="11"/>
      <c r="AD974" s="11">
        <f>'[150]New TB INC'!AD906</f>
        <v>0</v>
      </c>
      <c r="AE974" s="11">
        <f>'[150]New TB INC'!AE906</f>
        <v>0</v>
      </c>
      <c r="AF974" s="11">
        <v>0</v>
      </c>
      <c r="AG974" s="11">
        <v>0</v>
      </c>
      <c r="AH974" s="11">
        <v>0</v>
      </c>
      <c r="AI974" s="11">
        <v>0</v>
      </c>
      <c r="AJ974" s="11">
        <v>0</v>
      </c>
      <c r="AK974" s="11">
        <f>$J974-SUM($Z974:AJ974)</f>
        <v>0</v>
      </c>
      <c r="AL974" s="11"/>
      <c r="AM974" s="11"/>
      <c r="AN974" s="11"/>
      <c r="AO974" s="11"/>
      <c r="AP974" s="11"/>
      <c r="AQ974" s="11"/>
      <c r="AR974" s="11"/>
      <c r="AS974" s="11"/>
      <c r="AT974" s="11"/>
      <c r="AU974" s="11"/>
      <c r="AW974" s="2509"/>
      <c r="BE974" s="2173"/>
      <c r="BF974" s="2173"/>
      <c r="BG974" s="2173"/>
      <c r="BH974" s="2173"/>
      <c r="BI974" s="2173"/>
      <c r="BJ974" s="2173"/>
      <c r="BK974" s="2173"/>
      <c r="BO974" s="209"/>
      <c r="BP974" s="209"/>
      <c r="BQ974" s="209"/>
      <c r="BR974" s="209"/>
      <c r="BS974" s="209"/>
      <c r="BT974" s="209"/>
      <c r="BU974" s="209"/>
      <c r="BV974" s="209"/>
      <c r="BW974" s="820"/>
      <c r="BX974" s="209"/>
      <c r="BY974" s="209"/>
      <c r="BZ974" s="799"/>
      <c r="CA974" s="799"/>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row>
    <row r="975" spans="1:208" s="11" customFormat="1">
      <c r="A975" s="774"/>
      <c r="B975" s="3761" t="s">
        <v>953</v>
      </c>
      <c r="C975" s="197">
        <v>7150001</v>
      </c>
      <c r="D975" s="200" t="s">
        <v>948</v>
      </c>
      <c r="E975" s="769">
        <f>IFERROR(VLOOKUP(C975,'AJE 12 - INC'!$D$168:$F$871,3,0),0)</f>
        <v>0</v>
      </c>
      <c r="F975" s="108">
        <f>SUMIF('AJE 12 - INC'!B:B,'New TB INC'!C975,'AJE 12 - INC'!D:D)</f>
        <v>0</v>
      </c>
      <c r="G975" s="108"/>
      <c r="H975" s="108"/>
      <c r="I975" s="108"/>
      <c r="J975" s="798">
        <f t="shared" ref="J975:J982" si="96">SUM(E975:I975)</f>
        <v>0</v>
      </c>
      <c r="K975" s="209"/>
      <c r="L975" s="434"/>
      <c r="M975" s="810"/>
      <c r="N975" s="11">
        <v>218</v>
      </c>
      <c r="O975" s="11">
        <v>2326.0500000000002</v>
      </c>
      <c r="P975" s="11">
        <v>956.71</v>
      </c>
      <c r="Q975" s="11">
        <v>0</v>
      </c>
      <c r="R975" s="773">
        <v>0</v>
      </c>
      <c r="S975" s="11">
        <v>0</v>
      </c>
      <c r="T975" s="773">
        <v>0</v>
      </c>
      <c r="U975" s="2173">
        <v>0</v>
      </c>
      <c r="V975" s="2509">
        <v>0</v>
      </c>
      <c r="W975" s="2509">
        <v>0</v>
      </c>
      <c r="X975" s="2509">
        <v>0</v>
      </c>
      <c r="Y975" s="2509">
        <v>0</v>
      </c>
      <c r="Z975" s="11">
        <f>'[26]New TB INC'!Z897</f>
        <v>0</v>
      </c>
      <c r="AA975" s="11">
        <f>'[27]New TB INC'!AA898</f>
        <v>0</v>
      </c>
      <c r="AB975" s="11">
        <f>'[28]New TB INC'!AB907</f>
        <v>0</v>
      </c>
      <c r="AC975" s="11">
        <f>'[29]New TB INC'!AC908</f>
        <v>0</v>
      </c>
      <c r="AD975" s="11">
        <f>'[150]New TB INC'!AD907</f>
        <v>0</v>
      </c>
      <c r="AE975" s="11">
        <f>'[150]New TB INC'!AE907</f>
        <v>0</v>
      </c>
      <c r="AF975" s="11">
        <v>0</v>
      </c>
      <c r="AG975" s="11">
        <v>0</v>
      </c>
      <c r="AH975" s="11">
        <v>0</v>
      </c>
      <c r="AI975" s="11">
        <v>0</v>
      </c>
      <c r="AJ975" s="11">
        <v>0</v>
      </c>
      <c r="AK975" s="11">
        <f>$J975-SUM($Z975:AJ975)</f>
        <v>0</v>
      </c>
      <c r="AW975" s="2509"/>
      <c r="BE975" s="2173"/>
      <c r="BF975" s="2173"/>
      <c r="BG975" s="2173"/>
      <c r="BH975" s="2173"/>
      <c r="BI975" s="2173"/>
      <c r="BJ975" s="2173"/>
      <c r="BK975" s="2173"/>
      <c r="BL975" s="773"/>
      <c r="BN975" s="773"/>
      <c r="BO975" s="209"/>
      <c r="CH975" s="878"/>
      <c r="CI975" s="4"/>
      <c r="CJ975" s="4"/>
      <c r="DB975" s="773"/>
      <c r="DC975" s="773"/>
      <c r="DD975" s="773"/>
      <c r="DE975" s="773"/>
      <c r="DF975" s="773"/>
      <c r="DG975" s="773"/>
      <c r="DH975" s="773"/>
      <c r="DI975" s="773"/>
      <c r="DJ975" s="773"/>
      <c r="DK975" s="773"/>
      <c r="DL975" s="773"/>
      <c r="DM975" s="773"/>
      <c r="DN975" s="773"/>
      <c r="DO975" s="773"/>
      <c r="DP975" s="773"/>
      <c r="DQ975" s="773"/>
      <c r="DR975" s="773"/>
      <c r="DS975" s="773"/>
      <c r="DT975" s="773"/>
      <c r="DU975" s="773"/>
      <c r="DV975" s="773"/>
      <c r="DW975" s="773"/>
      <c r="DX975" s="773"/>
      <c r="DY975" s="773"/>
      <c r="DZ975" s="773"/>
      <c r="EA975" s="773"/>
      <c r="EB975" s="773"/>
      <c r="EC975" s="773"/>
      <c r="ED975" s="773"/>
      <c r="EE975" s="773"/>
      <c r="EF975" s="773"/>
      <c r="EG975" s="773"/>
      <c r="EH975" s="773"/>
      <c r="EI975" s="773"/>
      <c r="EJ975" s="773"/>
      <c r="EK975" s="773"/>
      <c r="EL975" s="773"/>
      <c r="EM975" s="773"/>
      <c r="EN975" s="773"/>
      <c r="EO975" s="773"/>
      <c r="EP975" s="773"/>
      <c r="EQ975" s="773"/>
      <c r="ER975" s="773"/>
      <c r="ES975" s="773"/>
      <c r="ET975" s="773"/>
      <c r="EU975" s="773"/>
      <c r="EV975" s="773"/>
      <c r="EW975" s="773"/>
      <c r="EX975" s="773"/>
      <c r="EY975" s="773"/>
      <c r="EZ975" s="773"/>
      <c r="FA975" s="773"/>
      <c r="FB975" s="773"/>
      <c r="FC975" s="773"/>
      <c r="FD975" s="773"/>
      <c r="FE975" s="773"/>
      <c r="FF975" s="773"/>
      <c r="FG975" s="773"/>
      <c r="FH975" s="773"/>
      <c r="FI975" s="773"/>
      <c r="FJ975" s="773"/>
      <c r="FK975" s="773"/>
      <c r="FL975" s="773"/>
      <c r="FM975" s="773"/>
      <c r="FN975" s="773"/>
      <c r="FO975" s="773"/>
      <c r="FP975" s="773"/>
      <c r="FQ975" s="773"/>
      <c r="FR975" s="773"/>
      <c r="FS975" s="773"/>
      <c r="FT975" s="773"/>
      <c r="FU975" s="773"/>
      <c r="FV975" s="773"/>
      <c r="FW975" s="773"/>
      <c r="FX975" s="773"/>
      <c r="FY975" s="773"/>
      <c r="FZ975" s="773"/>
      <c r="GA975" s="773"/>
      <c r="GB975" s="773"/>
      <c r="GC975" s="773"/>
      <c r="GD975" s="773"/>
      <c r="GE975" s="773"/>
      <c r="GF975" s="773"/>
      <c r="GG975" s="773"/>
      <c r="GH975" s="773"/>
      <c r="GI975" s="773"/>
      <c r="GJ975" s="773"/>
      <c r="GK975" s="773"/>
      <c r="GL975" s="773"/>
      <c r="GM975" s="773"/>
      <c r="GN975" s="773"/>
      <c r="GO975" s="773"/>
      <c r="GP975" s="773"/>
      <c r="GQ975" s="773"/>
      <c r="GR975" s="773"/>
      <c r="GS975" s="773"/>
      <c r="GT975" s="773"/>
      <c r="GU975" s="773"/>
      <c r="GV975" s="773"/>
      <c r="GW975" s="773"/>
      <c r="GX975" s="773"/>
      <c r="GY975" s="773"/>
      <c r="GZ975" s="773"/>
    </row>
    <row r="976" spans="1:208" s="11" customFormat="1">
      <c r="A976" s="774"/>
      <c r="B976" s="3761" t="s">
        <v>953</v>
      </c>
      <c r="C976" s="197">
        <v>7150002</v>
      </c>
      <c r="D976" s="200" t="s">
        <v>949</v>
      </c>
      <c r="E976" s="769">
        <f>IFERROR(VLOOKUP(C976,'AJE 12 - INC'!$D$168:$F$871,3,0),0)</f>
        <v>971.73</v>
      </c>
      <c r="F976" s="108">
        <f>SUMIF('AJE 12 - INC'!B:B,'New TB INC'!C976,'AJE 12 - INC'!D:D)</f>
        <v>0</v>
      </c>
      <c r="G976" s="108"/>
      <c r="H976" s="108"/>
      <c r="I976" s="108"/>
      <c r="J976" s="798">
        <f t="shared" si="96"/>
        <v>971.73</v>
      </c>
      <c r="K976" s="209"/>
      <c r="L976" s="434"/>
      <c r="M976" s="810"/>
      <c r="N976" s="11">
        <v>0</v>
      </c>
      <c r="O976" s="11">
        <v>2318.0500000000002</v>
      </c>
      <c r="P976" s="11">
        <v>0</v>
      </c>
      <c r="Q976" s="11">
        <v>0</v>
      </c>
      <c r="R976" s="773">
        <v>0</v>
      </c>
      <c r="S976" s="11">
        <v>0</v>
      </c>
      <c r="T976" s="773">
        <v>0</v>
      </c>
      <c r="U976" s="2173">
        <v>0</v>
      </c>
      <c r="V976" s="2509">
        <v>0</v>
      </c>
      <c r="W976" s="2509">
        <v>0</v>
      </c>
      <c r="X976" s="2509">
        <v>0</v>
      </c>
      <c r="Y976" s="2509">
        <v>0</v>
      </c>
      <c r="Z976" s="11">
        <f>'[26]New TB INC'!Z898</f>
        <v>0</v>
      </c>
      <c r="AA976" s="11">
        <f>'[27]New TB INC'!AA899</f>
        <v>0</v>
      </c>
      <c r="AB976" s="11">
        <f>'[28]New TB INC'!AB908</f>
        <v>0</v>
      </c>
      <c r="AC976" s="11">
        <f>'[29]New TB INC'!AC909</f>
        <v>0</v>
      </c>
      <c r="AD976" s="11">
        <f>'[150]New TB INC'!AD908</f>
        <v>0</v>
      </c>
      <c r="AE976" s="11">
        <f>'[150]New TB INC'!AE908</f>
        <v>0</v>
      </c>
      <c r="AF976" s="11">
        <v>0</v>
      </c>
      <c r="AG976" s="11">
        <v>0</v>
      </c>
      <c r="AH976" s="11">
        <v>378.42</v>
      </c>
      <c r="AI976" s="11">
        <v>0</v>
      </c>
      <c r="AJ976" s="11">
        <v>593.30999999999995</v>
      </c>
      <c r="AK976" s="11">
        <f>$J976-SUM($Z976:AJ976)</f>
        <v>0</v>
      </c>
      <c r="AW976" s="2509"/>
      <c r="BE976" s="2173"/>
      <c r="BF976" s="2173"/>
      <c r="BG976" s="2173"/>
      <c r="BH976" s="2173"/>
      <c r="BI976" s="2173"/>
      <c r="BJ976" s="2173"/>
      <c r="BK976" s="2173"/>
      <c r="BL976" s="773"/>
      <c r="BN976" s="773"/>
      <c r="BO976" s="209"/>
      <c r="CH976" s="878"/>
      <c r="CI976" s="4"/>
      <c r="CJ976" s="4"/>
      <c r="DB976" s="773"/>
      <c r="DC976" s="773"/>
      <c r="DD976" s="773"/>
      <c r="DE976" s="773"/>
      <c r="DF976" s="773"/>
      <c r="DG976" s="773"/>
      <c r="DH976" s="773"/>
      <c r="DI976" s="773"/>
      <c r="DJ976" s="773"/>
      <c r="DK976" s="773"/>
      <c r="DL976" s="773"/>
      <c r="DM976" s="773"/>
      <c r="DN976" s="773"/>
      <c r="DO976" s="773"/>
      <c r="DP976" s="773"/>
      <c r="DQ976" s="773"/>
      <c r="DR976" s="773"/>
      <c r="DS976" s="773"/>
      <c r="DT976" s="773"/>
      <c r="DU976" s="773"/>
      <c r="DV976" s="773"/>
      <c r="DW976" s="773"/>
      <c r="DX976" s="773"/>
      <c r="DY976" s="773"/>
      <c r="DZ976" s="773"/>
      <c r="EA976" s="773"/>
      <c r="EB976" s="773"/>
      <c r="EC976" s="773"/>
      <c r="ED976" s="773"/>
      <c r="EE976" s="773"/>
      <c r="EF976" s="773"/>
      <c r="EG976" s="773"/>
      <c r="EH976" s="773"/>
      <c r="EI976" s="773"/>
      <c r="EJ976" s="773"/>
      <c r="EK976" s="773"/>
      <c r="EL976" s="773"/>
      <c r="EM976" s="773"/>
      <c r="EN976" s="773"/>
      <c r="EO976" s="773"/>
      <c r="EP976" s="773"/>
      <c r="EQ976" s="773"/>
      <c r="ER976" s="773"/>
      <c r="ES976" s="773"/>
      <c r="ET976" s="773"/>
      <c r="EU976" s="773"/>
      <c r="EV976" s="773"/>
      <c r="EW976" s="773"/>
      <c r="EX976" s="773"/>
      <c r="EY976" s="773"/>
      <c r="EZ976" s="773"/>
      <c r="FA976" s="773"/>
      <c r="FB976" s="773"/>
      <c r="FC976" s="773"/>
      <c r="FD976" s="773"/>
      <c r="FE976" s="773"/>
      <c r="FF976" s="773"/>
      <c r="FG976" s="773"/>
      <c r="FH976" s="773"/>
      <c r="FI976" s="773"/>
      <c r="FJ976" s="773"/>
      <c r="FK976" s="773"/>
      <c r="FL976" s="773"/>
      <c r="FM976" s="773"/>
      <c r="FN976" s="773"/>
      <c r="FO976" s="773"/>
      <c r="FP976" s="773"/>
      <c r="FQ976" s="773"/>
      <c r="FR976" s="773"/>
      <c r="FS976" s="773"/>
      <c r="FT976" s="773"/>
      <c r="FU976" s="773"/>
      <c r="FV976" s="773"/>
      <c r="FW976" s="773"/>
      <c r="FX976" s="773"/>
      <c r="FY976" s="773"/>
      <c r="FZ976" s="773"/>
      <c r="GA976" s="773"/>
      <c r="GB976" s="773"/>
      <c r="GC976" s="773"/>
      <c r="GD976" s="773"/>
      <c r="GE976" s="773"/>
      <c r="GF976" s="773"/>
      <c r="GG976" s="773"/>
      <c r="GH976" s="773"/>
      <c r="GI976" s="773"/>
      <c r="GJ976" s="773"/>
      <c r="GK976" s="773"/>
      <c r="GL976" s="773"/>
      <c r="GM976" s="773"/>
      <c r="GN976" s="773"/>
      <c r="GO976" s="773"/>
      <c r="GP976" s="773"/>
      <c r="GQ976" s="773"/>
      <c r="GR976" s="773"/>
      <c r="GS976" s="773"/>
      <c r="GT976" s="773"/>
      <c r="GU976" s="773"/>
      <c r="GV976" s="773"/>
      <c r="GW976" s="773"/>
      <c r="GX976" s="773"/>
      <c r="GY976" s="773"/>
      <c r="GZ976" s="773"/>
    </row>
    <row r="977" spans="1:208" s="11" customFormat="1">
      <c r="A977" s="774"/>
      <c r="B977" s="3761" t="s">
        <v>953</v>
      </c>
      <c r="C977" s="197">
        <v>7150003</v>
      </c>
      <c r="D977" s="200" t="s">
        <v>950</v>
      </c>
      <c r="E977" s="769">
        <f>IFERROR(VLOOKUP(C977,'AJE 12 - INC'!$D$168:$F$871,3,0),0)</f>
        <v>0</v>
      </c>
      <c r="F977" s="108">
        <f>SUMIF('AJE 12 - INC'!B:B,'New TB INC'!C977,'AJE 12 - INC'!D:D)</f>
        <v>0</v>
      </c>
      <c r="G977" s="108"/>
      <c r="H977" s="108"/>
      <c r="I977" s="108"/>
      <c r="J977" s="798">
        <f t="shared" si="96"/>
        <v>0</v>
      </c>
      <c r="K977" s="209"/>
      <c r="L977" s="434"/>
      <c r="M977" s="810"/>
      <c r="N977" s="11">
        <v>2.99</v>
      </c>
      <c r="O977" s="11">
        <v>360.46</v>
      </c>
      <c r="P977" s="11">
        <v>287.43</v>
      </c>
      <c r="Q977" s="11">
        <v>0</v>
      </c>
      <c r="R977" s="773">
        <v>0</v>
      </c>
      <c r="S977" s="11">
        <v>0</v>
      </c>
      <c r="T977" s="773">
        <v>0</v>
      </c>
      <c r="U977" s="2173">
        <v>0</v>
      </c>
      <c r="V977" s="2509">
        <v>0</v>
      </c>
      <c r="W977" s="2509">
        <v>0</v>
      </c>
      <c r="X977" s="2509">
        <v>0</v>
      </c>
      <c r="Y977" s="2509">
        <v>0</v>
      </c>
      <c r="Z977" s="11">
        <f>'[26]New TB INC'!Z899</f>
        <v>0</v>
      </c>
      <c r="AA977" s="11">
        <f>'[27]New TB INC'!AA900</f>
        <v>0</v>
      </c>
      <c r="AB977" s="11">
        <f>'[28]New TB INC'!AB909</f>
        <v>0</v>
      </c>
      <c r="AC977" s="11">
        <f>'[29]New TB INC'!AC910</f>
        <v>0</v>
      </c>
      <c r="AD977" s="11">
        <f>'[150]New TB INC'!AD909</f>
        <v>0</v>
      </c>
      <c r="AE977" s="11">
        <f>'[150]New TB INC'!AE909</f>
        <v>0</v>
      </c>
      <c r="AF977" s="11">
        <v>0</v>
      </c>
      <c r="AG977" s="11">
        <v>0</v>
      </c>
      <c r="AH977" s="11">
        <v>0</v>
      </c>
      <c r="AI977" s="11">
        <v>0</v>
      </c>
      <c r="AJ977" s="11">
        <v>0</v>
      </c>
      <c r="AK977" s="11">
        <f>$J977-SUM($Z977:AJ977)</f>
        <v>0</v>
      </c>
      <c r="AW977" s="2509"/>
      <c r="BE977" s="2173"/>
      <c r="BF977" s="2173"/>
      <c r="BG977" s="2173"/>
      <c r="BH977" s="2173"/>
      <c r="BI977" s="2173"/>
      <c r="BJ977" s="2173"/>
      <c r="BK977" s="2173"/>
      <c r="BL977" s="773"/>
      <c r="BN977" s="773"/>
      <c r="BO977" s="209"/>
      <c r="CH977" s="878"/>
      <c r="CI977" s="4"/>
      <c r="CJ977" s="4"/>
      <c r="DB977" s="773"/>
      <c r="DC977" s="773"/>
      <c r="DD977" s="773"/>
      <c r="DE977" s="773"/>
      <c r="DF977" s="773"/>
      <c r="DG977" s="773"/>
      <c r="DH977" s="773"/>
      <c r="DI977" s="773"/>
      <c r="DJ977" s="773"/>
      <c r="DK977" s="773"/>
      <c r="DL977" s="773"/>
      <c r="DM977" s="773"/>
      <c r="DN977" s="773"/>
      <c r="DO977" s="773"/>
      <c r="DP977" s="773"/>
      <c r="DQ977" s="773"/>
      <c r="DR977" s="773"/>
      <c r="DS977" s="773"/>
      <c r="DT977" s="773"/>
      <c r="DU977" s="773"/>
      <c r="DV977" s="773"/>
      <c r="DW977" s="773"/>
      <c r="DX977" s="773"/>
      <c r="DY977" s="773"/>
      <c r="DZ977" s="773"/>
      <c r="EA977" s="773"/>
      <c r="EB977" s="773"/>
      <c r="EC977" s="773"/>
      <c r="ED977" s="773"/>
      <c r="EE977" s="773"/>
      <c r="EF977" s="773"/>
      <c r="EG977" s="773"/>
      <c r="EH977" s="773"/>
      <c r="EI977" s="773"/>
      <c r="EJ977" s="773"/>
      <c r="EK977" s="773"/>
      <c r="EL977" s="773"/>
      <c r="EM977" s="773"/>
      <c r="EN977" s="773"/>
      <c r="EO977" s="773"/>
      <c r="EP977" s="773"/>
      <c r="EQ977" s="773"/>
      <c r="ER977" s="773"/>
      <c r="ES977" s="773"/>
      <c r="ET977" s="773"/>
      <c r="EU977" s="773"/>
      <c r="EV977" s="773"/>
      <c r="EW977" s="773"/>
      <c r="EX977" s="773"/>
      <c r="EY977" s="773"/>
      <c r="EZ977" s="773"/>
      <c r="FA977" s="773"/>
      <c r="FB977" s="773"/>
      <c r="FC977" s="773"/>
      <c r="FD977" s="773"/>
      <c r="FE977" s="773"/>
      <c r="FF977" s="773"/>
      <c r="FG977" s="773"/>
      <c r="FH977" s="773"/>
      <c r="FI977" s="773"/>
      <c r="FJ977" s="773"/>
      <c r="FK977" s="773"/>
      <c r="FL977" s="773"/>
      <c r="FM977" s="773"/>
      <c r="FN977" s="773"/>
      <c r="FO977" s="773"/>
      <c r="FP977" s="773"/>
      <c r="FQ977" s="773"/>
      <c r="FR977" s="773"/>
      <c r="FS977" s="773"/>
      <c r="FT977" s="773"/>
      <c r="FU977" s="773"/>
      <c r="FV977" s="773"/>
      <c r="FW977" s="773"/>
      <c r="FX977" s="773"/>
      <c r="FY977" s="773"/>
      <c r="FZ977" s="773"/>
      <c r="GA977" s="773"/>
      <c r="GB977" s="773"/>
      <c r="GC977" s="773"/>
      <c r="GD977" s="773"/>
      <c r="GE977" s="773"/>
      <c r="GF977" s="773"/>
      <c r="GG977" s="773"/>
      <c r="GH977" s="773"/>
      <c r="GI977" s="773"/>
      <c r="GJ977" s="773"/>
      <c r="GK977" s="773"/>
      <c r="GL977" s="773"/>
      <c r="GM977" s="773"/>
      <c r="GN977" s="773"/>
      <c r="GO977" s="773"/>
      <c r="GP977" s="773"/>
      <c r="GQ977" s="773"/>
      <c r="GR977" s="773"/>
      <c r="GS977" s="773"/>
      <c r="GT977" s="773"/>
      <c r="GU977" s="773"/>
      <c r="GV977" s="773"/>
      <c r="GW977" s="773"/>
      <c r="GX977" s="773"/>
      <c r="GY977" s="773"/>
      <c r="GZ977" s="773"/>
    </row>
    <row r="978" spans="1:208" s="11" customFormat="1">
      <c r="A978" s="774"/>
      <c r="B978" s="3761" t="s">
        <v>953</v>
      </c>
      <c r="C978" s="197">
        <v>7150004</v>
      </c>
      <c r="D978" s="200" t="s">
        <v>951</v>
      </c>
      <c r="E978" s="769">
        <f>IFERROR(VLOOKUP(C978,'AJE 12 - INC'!$D$168:$F$871,3,0),0)</f>
        <v>1693.11</v>
      </c>
      <c r="F978" s="108">
        <f>SUMIF('AJE 12 - INC'!B:B,'New TB INC'!C978,'AJE 12 - INC'!D:D)</f>
        <v>0</v>
      </c>
      <c r="G978" s="108"/>
      <c r="H978" s="108"/>
      <c r="I978" s="108"/>
      <c r="J978" s="798">
        <f t="shared" si="96"/>
        <v>1693.11</v>
      </c>
      <c r="K978" s="209"/>
      <c r="L978" s="434"/>
      <c r="M978" s="810"/>
      <c r="N978" s="11">
        <v>1257.46</v>
      </c>
      <c r="O978" s="11">
        <v>1392.3000000000002</v>
      </c>
      <c r="P978" s="11">
        <v>163.51999999999998</v>
      </c>
      <c r="Q978" s="11">
        <v>345.87999999999965</v>
      </c>
      <c r="R978" s="773">
        <v>0</v>
      </c>
      <c r="S978" s="11">
        <v>0</v>
      </c>
      <c r="T978" s="773">
        <v>0</v>
      </c>
      <c r="U978" s="2173">
        <v>0</v>
      </c>
      <c r="V978" s="2509">
        <v>0</v>
      </c>
      <c r="W978" s="2509">
        <v>0</v>
      </c>
      <c r="X978" s="2509">
        <v>0</v>
      </c>
      <c r="Y978" s="2509">
        <v>0</v>
      </c>
      <c r="Z978" s="11">
        <f>'[26]New TB INC'!Z900</f>
        <v>0</v>
      </c>
      <c r="AA978" s="11">
        <f>'[27]New TB INC'!AA901</f>
        <v>0</v>
      </c>
      <c r="AB978" s="11">
        <f>'[28]New TB INC'!AB910</f>
        <v>0</v>
      </c>
      <c r="AC978" s="11">
        <f>'[29]New TB INC'!AC911</f>
        <v>0</v>
      </c>
      <c r="AD978" s="11">
        <f>'[150]New TB INC'!AD910</f>
        <v>0</v>
      </c>
      <c r="AE978" s="11">
        <f>'[150]New TB INC'!AE910</f>
        <v>0</v>
      </c>
      <c r="AF978" s="11">
        <v>0</v>
      </c>
      <c r="AG978" s="11">
        <v>0</v>
      </c>
      <c r="AH978" s="11">
        <v>432.2</v>
      </c>
      <c r="AI978" s="11">
        <v>0</v>
      </c>
      <c r="AJ978" s="11">
        <v>1260.9099999999999</v>
      </c>
      <c r="AK978" s="11">
        <f>$J978-SUM($Z978:AJ978)</f>
        <v>0</v>
      </c>
      <c r="AW978" s="2509"/>
      <c r="BE978" s="2173"/>
      <c r="BF978" s="2173"/>
      <c r="BG978" s="2173"/>
      <c r="BH978" s="2173"/>
      <c r="BI978" s="2173"/>
      <c r="BJ978" s="2173"/>
      <c r="BK978" s="2173"/>
      <c r="BL978" s="773"/>
      <c r="BN978" s="773"/>
      <c r="BO978" s="209"/>
      <c r="CH978" s="878"/>
      <c r="CI978" s="4"/>
      <c r="CJ978" s="4"/>
      <c r="DB978" s="773"/>
      <c r="DC978" s="773"/>
      <c r="DD978" s="773"/>
      <c r="DE978" s="773"/>
      <c r="DF978" s="773"/>
      <c r="DG978" s="773"/>
      <c r="DH978" s="773"/>
      <c r="DI978" s="773"/>
      <c r="DJ978" s="773"/>
      <c r="DK978" s="773"/>
      <c r="DL978" s="773"/>
      <c r="DM978" s="773"/>
      <c r="DN978" s="773"/>
      <c r="DO978" s="773"/>
      <c r="DP978" s="773"/>
      <c r="DQ978" s="773"/>
      <c r="DR978" s="773"/>
      <c r="DS978" s="773"/>
      <c r="DT978" s="773"/>
      <c r="DU978" s="773"/>
      <c r="DV978" s="773"/>
      <c r="DW978" s="773"/>
      <c r="DX978" s="773"/>
      <c r="DY978" s="773"/>
      <c r="DZ978" s="773"/>
      <c r="EA978" s="773"/>
      <c r="EB978" s="773"/>
      <c r="EC978" s="773"/>
      <c r="ED978" s="773"/>
      <c r="EE978" s="773"/>
      <c r="EF978" s="773"/>
      <c r="EG978" s="773"/>
      <c r="EH978" s="773"/>
      <c r="EI978" s="773"/>
      <c r="EJ978" s="773"/>
      <c r="EK978" s="773"/>
      <c r="EL978" s="773"/>
      <c r="EM978" s="773"/>
      <c r="EN978" s="773"/>
      <c r="EO978" s="773"/>
      <c r="EP978" s="773"/>
      <c r="EQ978" s="773"/>
      <c r="ER978" s="773"/>
      <c r="ES978" s="773"/>
      <c r="ET978" s="773"/>
      <c r="EU978" s="773"/>
      <c r="EV978" s="773"/>
      <c r="EW978" s="773"/>
      <c r="EX978" s="773"/>
      <c r="EY978" s="773"/>
      <c r="EZ978" s="773"/>
      <c r="FA978" s="773"/>
      <c r="FB978" s="773"/>
      <c r="FC978" s="773"/>
      <c r="FD978" s="773"/>
      <c r="FE978" s="773"/>
      <c r="FF978" s="773"/>
      <c r="FG978" s="773"/>
      <c r="FH978" s="773"/>
      <c r="FI978" s="773"/>
      <c r="FJ978" s="773"/>
      <c r="FK978" s="773"/>
      <c r="FL978" s="773"/>
      <c r="FM978" s="773"/>
      <c r="FN978" s="773"/>
      <c r="FO978" s="773"/>
      <c r="FP978" s="773"/>
      <c r="FQ978" s="773"/>
      <c r="FR978" s="773"/>
      <c r="FS978" s="773"/>
      <c r="FT978" s="773"/>
      <c r="FU978" s="773"/>
      <c r="FV978" s="773"/>
      <c r="FW978" s="773"/>
      <c r="FX978" s="773"/>
      <c r="FY978" s="773"/>
      <c r="FZ978" s="773"/>
      <c r="GA978" s="773"/>
      <c r="GB978" s="773"/>
      <c r="GC978" s="773"/>
      <c r="GD978" s="773"/>
      <c r="GE978" s="773"/>
      <c r="GF978" s="773"/>
      <c r="GG978" s="773"/>
      <c r="GH978" s="773"/>
      <c r="GI978" s="773"/>
      <c r="GJ978" s="773"/>
      <c r="GK978" s="773"/>
      <c r="GL978" s="773"/>
      <c r="GM978" s="773"/>
      <c r="GN978" s="773"/>
      <c r="GO978" s="773"/>
      <c r="GP978" s="773"/>
      <c r="GQ978" s="773"/>
      <c r="GR978" s="773"/>
      <c r="GS978" s="773"/>
      <c r="GT978" s="773"/>
      <c r="GU978" s="773"/>
      <c r="GV978" s="773"/>
      <c r="GW978" s="773"/>
      <c r="GX978" s="773"/>
      <c r="GY978" s="773"/>
      <c r="GZ978" s="773"/>
    </row>
    <row r="979" spans="1:208" s="11" customFormat="1">
      <c r="A979" s="774"/>
      <c r="B979" s="3761" t="s">
        <v>953</v>
      </c>
      <c r="C979" s="197">
        <v>7150005</v>
      </c>
      <c r="D979" s="200" t="s">
        <v>952</v>
      </c>
      <c r="E979" s="769">
        <f>IFERROR(VLOOKUP(C979,'AJE 12 - INC'!$D$168:$F$871,3,0),0)</f>
        <v>138.16999999999999</v>
      </c>
      <c r="F979" s="108">
        <f>SUMIF('AJE 12 - INC'!B:B,'New TB INC'!C979,'AJE 12 - INC'!D:D)</f>
        <v>0</v>
      </c>
      <c r="G979" s="108"/>
      <c r="H979" s="108"/>
      <c r="I979" s="108"/>
      <c r="J979" s="798">
        <f t="shared" si="96"/>
        <v>138.16999999999999</v>
      </c>
      <c r="K979" s="209"/>
      <c r="L979" s="434"/>
      <c r="M979" s="810"/>
      <c r="N979" s="11">
        <v>0</v>
      </c>
      <c r="O979" s="11">
        <v>0</v>
      </c>
      <c r="P979" s="11">
        <v>0</v>
      </c>
      <c r="Q979" s="11">
        <v>0</v>
      </c>
      <c r="R979" s="773">
        <v>0</v>
      </c>
      <c r="S979" s="11">
        <v>0</v>
      </c>
      <c r="T979" s="773">
        <v>0</v>
      </c>
      <c r="U979" s="2173">
        <v>0</v>
      </c>
      <c r="V979" s="2509">
        <v>0</v>
      </c>
      <c r="W979" s="2509">
        <v>0</v>
      </c>
      <c r="X979" s="2509">
        <v>0</v>
      </c>
      <c r="Y979" s="2509">
        <v>0</v>
      </c>
      <c r="Z979" s="11">
        <f>'[26]New TB INC'!Z901</f>
        <v>0</v>
      </c>
      <c r="AA979" s="11">
        <f>'[27]New TB INC'!AA902</f>
        <v>138.16999999999999</v>
      </c>
      <c r="AB979" s="11">
        <f>'[28]New TB INC'!AB911</f>
        <v>0</v>
      </c>
      <c r="AC979" s="11">
        <f>'[29]New TB INC'!AC912</f>
        <v>0</v>
      </c>
      <c r="AD979" s="11">
        <f>'[150]New TB INC'!AD911</f>
        <v>0</v>
      </c>
      <c r="AE979" s="11">
        <f>'[150]New TB INC'!AE911</f>
        <v>0</v>
      </c>
      <c r="AF979" s="11">
        <v>0</v>
      </c>
      <c r="AG979" s="11">
        <v>0</v>
      </c>
      <c r="AH979" s="11">
        <v>0</v>
      </c>
      <c r="AI979" s="11">
        <v>0</v>
      </c>
      <c r="AJ979" s="11">
        <v>0</v>
      </c>
      <c r="AK979" s="11">
        <f>$J979-SUM($Z979:AJ979)</f>
        <v>0</v>
      </c>
      <c r="AW979" s="2509"/>
      <c r="BE979" s="2173"/>
      <c r="BF979" s="2173"/>
      <c r="BG979" s="2173"/>
      <c r="BH979" s="2173"/>
      <c r="BI979" s="2173"/>
      <c r="BJ979" s="2173"/>
      <c r="BK979" s="2173"/>
      <c r="BL979" s="773"/>
      <c r="BN979" s="773"/>
      <c r="BO979" s="209"/>
      <c r="CH979" s="878"/>
      <c r="CI979" s="4"/>
      <c r="CJ979" s="4"/>
      <c r="DB979" s="773"/>
      <c r="DC979" s="773"/>
      <c r="DD979" s="773"/>
      <c r="DE979" s="773"/>
      <c r="DF979" s="773"/>
      <c r="DG979" s="773"/>
      <c r="DH979" s="773"/>
      <c r="DI979" s="773"/>
      <c r="DJ979" s="773"/>
      <c r="DK979" s="773"/>
      <c r="DL979" s="773"/>
      <c r="DM979" s="773"/>
      <c r="DN979" s="773"/>
      <c r="DO979" s="773"/>
      <c r="DP979" s="773"/>
      <c r="DQ979" s="773"/>
      <c r="DR979" s="773"/>
      <c r="DS979" s="773"/>
      <c r="DT979" s="773"/>
      <c r="DU979" s="773"/>
      <c r="DV979" s="773"/>
      <c r="DW979" s="773"/>
      <c r="DX979" s="773"/>
      <c r="DY979" s="773"/>
      <c r="DZ979" s="773"/>
      <c r="EA979" s="773"/>
      <c r="EB979" s="773"/>
      <c r="EC979" s="773"/>
      <c r="ED979" s="773"/>
      <c r="EE979" s="773"/>
      <c r="EF979" s="773"/>
      <c r="EG979" s="773"/>
      <c r="EH979" s="773"/>
      <c r="EI979" s="773"/>
      <c r="EJ979" s="773"/>
      <c r="EK979" s="773"/>
      <c r="EL979" s="773"/>
      <c r="EM979" s="773"/>
      <c r="EN979" s="773"/>
      <c r="EO979" s="773"/>
      <c r="EP979" s="773"/>
      <c r="EQ979" s="773"/>
      <c r="ER979" s="773"/>
      <c r="ES979" s="773"/>
      <c r="ET979" s="773"/>
      <c r="EU979" s="773"/>
      <c r="EV979" s="773"/>
      <c r="EW979" s="773"/>
      <c r="EX979" s="773"/>
      <c r="EY979" s="773"/>
      <c r="EZ979" s="773"/>
      <c r="FA979" s="773"/>
      <c r="FB979" s="773"/>
      <c r="FC979" s="773"/>
      <c r="FD979" s="773"/>
      <c r="FE979" s="773"/>
      <c r="FF979" s="773"/>
      <c r="FG979" s="773"/>
      <c r="FH979" s="773"/>
      <c r="FI979" s="773"/>
      <c r="FJ979" s="773"/>
      <c r="FK979" s="773"/>
      <c r="FL979" s="773"/>
      <c r="FM979" s="773"/>
      <c r="FN979" s="773"/>
      <c r="FO979" s="773"/>
      <c r="FP979" s="773"/>
      <c r="FQ979" s="773"/>
      <c r="FR979" s="773"/>
      <c r="FS979" s="773"/>
      <c r="FT979" s="773"/>
      <c r="FU979" s="773"/>
      <c r="FV979" s="773"/>
      <c r="FW979" s="773"/>
      <c r="FX979" s="773"/>
      <c r="FY979" s="773"/>
      <c r="FZ979" s="773"/>
      <c r="GA979" s="773"/>
      <c r="GB979" s="773"/>
      <c r="GC979" s="773"/>
      <c r="GD979" s="773"/>
      <c r="GE979" s="773"/>
      <c r="GF979" s="773"/>
      <c r="GG979" s="773"/>
      <c r="GH979" s="773"/>
      <c r="GI979" s="773"/>
      <c r="GJ979" s="773"/>
      <c r="GK979" s="773"/>
      <c r="GL979" s="773"/>
      <c r="GM979" s="773"/>
      <c r="GN979" s="773"/>
      <c r="GO979" s="773"/>
      <c r="GP979" s="773"/>
      <c r="GQ979" s="773"/>
      <c r="GR979" s="773"/>
      <c r="GS979" s="773"/>
      <c r="GT979" s="773"/>
      <c r="GU979" s="773"/>
      <c r="GV979" s="773"/>
      <c r="GW979" s="773"/>
      <c r="GX979" s="773"/>
      <c r="GY979" s="773"/>
      <c r="GZ979" s="773"/>
    </row>
    <row r="980" spans="1:208" s="11" customFormat="1">
      <c r="A980" s="774"/>
      <c r="B980" s="3761" t="s">
        <v>953</v>
      </c>
      <c r="C980" s="197">
        <v>7162004</v>
      </c>
      <c r="D980" s="200" t="s">
        <v>2569</v>
      </c>
      <c r="E980" s="769">
        <f>IFERROR(VLOOKUP(C980,'AJE 12 - INC'!$D$168:$F$871,3,0),0)</f>
        <v>153.44</v>
      </c>
      <c r="F980" s="108">
        <f>SUMIF('AJE 12 - INC'!B:B,'New TB INC'!C980,'AJE 12 - INC'!D:D)</f>
        <v>0</v>
      </c>
      <c r="G980" s="108"/>
      <c r="H980" s="108"/>
      <c r="I980" s="108"/>
      <c r="J980" s="798">
        <f t="shared" si="96"/>
        <v>153.44</v>
      </c>
      <c r="K980" s="209"/>
      <c r="L980" s="434"/>
      <c r="M980" s="810"/>
      <c r="N980" s="11">
        <v>0</v>
      </c>
      <c r="O980" s="11">
        <v>0</v>
      </c>
      <c r="P980" s="11">
        <v>0</v>
      </c>
      <c r="Q980" s="11">
        <v>0</v>
      </c>
      <c r="R980" s="773">
        <v>0</v>
      </c>
      <c r="S980" s="11">
        <v>0</v>
      </c>
      <c r="T980" s="773">
        <v>0</v>
      </c>
      <c r="U980" s="2173">
        <v>-106.14</v>
      </c>
      <c r="V980" s="2509">
        <v>0</v>
      </c>
      <c r="W980" s="2509">
        <v>0</v>
      </c>
      <c r="X980" s="2509">
        <v>91.69</v>
      </c>
      <c r="Y980" s="2509">
        <v>528.98</v>
      </c>
      <c r="Z980" s="11">
        <f>'[26]New TB INC'!Z902</f>
        <v>0</v>
      </c>
      <c r="AA980" s="11">
        <f>'[27]New TB INC'!AA903</f>
        <v>0</v>
      </c>
      <c r="AB980" s="11">
        <f>'[28]New TB INC'!AB912</f>
        <v>0</v>
      </c>
      <c r="AC980" s="11">
        <f>'[29]New TB INC'!AC913</f>
        <v>0</v>
      </c>
      <c r="AD980" s="11">
        <f>'[150]New TB INC'!AD912</f>
        <v>0</v>
      </c>
      <c r="AE980" s="11">
        <f>'[150]New TB INC'!AE912</f>
        <v>0</v>
      </c>
      <c r="AF980" s="11">
        <v>0</v>
      </c>
      <c r="AG980" s="11">
        <v>153.44</v>
      </c>
      <c r="AH980" s="11">
        <v>0</v>
      </c>
      <c r="AI980" s="11">
        <v>0</v>
      </c>
      <c r="AJ980" s="11">
        <v>0</v>
      </c>
      <c r="AK980" s="11">
        <f>$J980-SUM($Z980:AJ980)</f>
        <v>0</v>
      </c>
      <c r="AW980" s="2509"/>
      <c r="BE980" s="2173"/>
      <c r="BF980" s="2173"/>
      <c r="BG980" s="2173"/>
      <c r="BH980" s="2173"/>
      <c r="BI980" s="2173"/>
      <c r="BJ980" s="2173"/>
      <c r="BK980" s="2173"/>
      <c r="BL980" s="773"/>
      <c r="BN980" s="773"/>
      <c r="BO980" s="209"/>
      <c r="CH980" s="878"/>
      <c r="CI980" s="4"/>
      <c r="CJ980" s="4"/>
      <c r="DB980" s="773"/>
      <c r="DC980" s="773"/>
      <c r="DD980" s="773"/>
      <c r="DE980" s="773"/>
      <c r="DF980" s="773"/>
      <c r="DG980" s="773"/>
      <c r="DH980" s="773"/>
      <c r="DI980" s="773"/>
      <c r="DJ980" s="773"/>
      <c r="DK980" s="773"/>
      <c r="DL980" s="773"/>
      <c r="DM980" s="773"/>
      <c r="DN980" s="773"/>
      <c r="DO980" s="773"/>
      <c r="DP980" s="773"/>
      <c r="DQ980" s="773"/>
      <c r="DR980" s="773"/>
      <c r="DS980" s="773"/>
      <c r="DT980" s="773"/>
      <c r="DU980" s="773"/>
      <c r="DV980" s="773"/>
      <c r="DW980" s="773"/>
      <c r="DX980" s="773"/>
      <c r="DY980" s="773"/>
      <c r="DZ980" s="773"/>
      <c r="EA980" s="773"/>
      <c r="EB980" s="773"/>
      <c r="EC980" s="773"/>
      <c r="ED980" s="773"/>
      <c r="EE980" s="773"/>
      <c r="EF980" s="773"/>
      <c r="EG980" s="773"/>
      <c r="EH980" s="773"/>
      <c r="EI980" s="773"/>
      <c r="EJ980" s="773"/>
      <c r="EK980" s="773"/>
      <c r="EL980" s="773"/>
      <c r="EM980" s="773"/>
      <c r="EN980" s="773"/>
      <c r="EO980" s="773"/>
      <c r="EP980" s="773"/>
      <c r="EQ980" s="773"/>
      <c r="ER980" s="773"/>
      <c r="ES980" s="773"/>
      <c r="ET980" s="773"/>
      <c r="EU980" s="773"/>
      <c r="EV980" s="773"/>
      <c r="EW980" s="773"/>
      <c r="EX980" s="773"/>
      <c r="EY980" s="773"/>
      <c r="EZ980" s="773"/>
      <c r="FA980" s="773"/>
      <c r="FB980" s="773"/>
      <c r="FC980" s="773"/>
      <c r="FD980" s="773"/>
      <c r="FE980" s="773"/>
      <c r="FF980" s="773"/>
      <c r="FG980" s="773"/>
      <c r="FH980" s="773"/>
      <c r="FI980" s="773"/>
      <c r="FJ980" s="773"/>
      <c r="FK980" s="773"/>
      <c r="FL980" s="773"/>
      <c r="FM980" s="773"/>
      <c r="FN980" s="773"/>
      <c r="FO980" s="773"/>
      <c r="FP980" s="773"/>
      <c r="FQ980" s="773"/>
      <c r="FR980" s="773"/>
      <c r="FS980" s="773"/>
      <c r="FT980" s="773"/>
      <c r="FU980" s="773"/>
      <c r="FV980" s="773"/>
      <c r="FW980" s="773"/>
      <c r="FX980" s="773"/>
      <c r="FY980" s="773"/>
      <c r="FZ980" s="773"/>
      <c r="GA980" s="773"/>
      <c r="GB980" s="773"/>
      <c r="GC980" s="773"/>
      <c r="GD980" s="773"/>
      <c r="GE980" s="773"/>
      <c r="GF980" s="773"/>
      <c r="GG980" s="773"/>
      <c r="GH980" s="773"/>
      <c r="GI980" s="773"/>
      <c r="GJ980" s="773"/>
      <c r="GK980" s="773"/>
      <c r="GL980" s="773"/>
      <c r="GM980" s="773"/>
      <c r="GN980" s="773"/>
      <c r="GO980" s="773"/>
      <c r="GP980" s="773"/>
      <c r="GQ980" s="773"/>
      <c r="GR980" s="773"/>
      <c r="GS980" s="773"/>
      <c r="GT980" s="773"/>
      <c r="GU980" s="773"/>
      <c r="GV980" s="773"/>
      <c r="GW980" s="773"/>
      <c r="GX980" s="773"/>
      <c r="GY980" s="773"/>
      <c r="GZ980" s="773"/>
    </row>
    <row r="981" spans="1:208" s="11" customFormat="1">
      <c r="A981" s="774"/>
      <c r="B981" s="3761" t="s">
        <v>953</v>
      </c>
      <c r="C981" s="197">
        <v>7161001</v>
      </c>
      <c r="D981" s="200" t="s">
        <v>1635</v>
      </c>
      <c r="E981" s="769">
        <f>IFERROR(VLOOKUP(C981,'AJE 12 - INC'!$D$168:$F$871,3,0),0)</f>
        <v>0</v>
      </c>
      <c r="F981" s="108">
        <f>SUMIF('AJE 12 - INC'!B:B,'New TB INC'!C981,'AJE 12 - INC'!D:D)</f>
        <v>0</v>
      </c>
      <c r="G981" s="108"/>
      <c r="H981" s="108"/>
      <c r="I981" s="108"/>
      <c r="J981" s="798">
        <f t="shared" si="96"/>
        <v>0</v>
      </c>
      <c r="K981" s="209"/>
      <c r="L981" s="434"/>
      <c r="M981" s="810"/>
      <c r="N981" s="11">
        <v>1152.98</v>
      </c>
      <c r="O981" s="11">
        <v>575.90000000000009</v>
      </c>
      <c r="P981" s="11">
        <v>820.38000000000011</v>
      </c>
      <c r="Q981" s="11">
        <v>0</v>
      </c>
      <c r="R981" s="773">
        <v>0</v>
      </c>
      <c r="S981" s="11">
        <v>0</v>
      </c>
      <c r="T981" s="773">
        <v>0</v>
      </c>
      <c r="U981" s="2173">
        <v>0</v>
      </c>
      <c r="V981" s="2509">
        <v>0</v>
      </c>
      <c r="W981" s="2509">
        <v>0</v>
      </c>
      <c r="X981" s="2509">
        <v>0</v>
      </c>
      <c r="Y981" s="2509">
        <v>0</v>
      </c>
      <c r="Z981" s="11">
        <f>'[26]New TB INC'!Z903</f>
        <v>0</v>
      </c>
      <c r="AA981" s="11">
        <f>'[27]New TB INC'!AA904</f>
        <v>0</v>
      </c>
      <c r="AB981" s="11">
        <f>'[28]New TB INC'!AB913</f>
        <v>0</v>
      </c>
      <c r="AC981" s="11">
        <f>'[29]New TB INC'!AC914</f>
        <v>0</v>
      </c>
      <c r="AD981" s="11">
        <f>'[150]New TB INC'!AD913</f>
        <v>0</v>
      </c>
      <c r="AE981" s="11">
        <f>'[150]New TB INC'!AE913</f>
        <v>0</v>
      </c>
      <c r="AF981" s="11">
        <v>0</v>
      </c>
      <c r="AG981" s="11">
        <v>0</v>
      </c>
      <c r="AH981" s="11">
        <v>0</v>
      </c>
      <c r="AI981" s="11">
        <v>0</v>
      </c>
      <c r="AJ981" s="11">
        <v>0</v>
      </c>
      <c r="AK981" s="11">
        <f>$J981-SUM($Z981:AJ981)</f>
        <v>0</v>
      </c>
      <c r="AW981" s="2509"/>
      <c r="BE981" s="2173"/>
      <c r="BF981" s="2173"/>
      <c r="BG981" s="2173"/>
      <c r="BH981" s="2173"/>
      <c r="BI981" s="2173"/>
      <c r="BJ981" s="2173"/>
      <c r="BK981" s="2173"/>
      <c r="BL981" s="773"/>
      <c r="BN981" s="773"/>
      <c r="BO981" s="209"/>
      <c r="CH981" s="878"/>
      <c r="CI981" s="4"/>
      <c r="CJ981" s="4"/>
      <c r="DB981" s="773"/>
      <c r="DC981" s="773"/>
      <c r="DD981" s="773"/>
      <c r="DE981" s="773"/>
      <c r="DF981" s="773"/>
      <c r="DG981" s="773"/>
      <c r="DH981" s="773"/>
      <c r="DI981" s="773"/>
      <c r="DJ981" s="773"/>
      <c r="DK981" s="773"/>
      <c r="DL981" s="773"/>
      <c r="DM981" s="773"/>
      <c r="DN981" s="773"/>
      <c r="DO981" s="773"/>
      <c r="DP981" s="773"/>
      <c r="DQ981" s="773"/>
      <c r="DR981" s="773"/>
      <c r="DS981" s="773"/>
      <c r="DT981" s="773"/>
      <c r="DU981" s="773"/>
      <c r="DV981" s="773"/>
      <c r="DW981" s="773"/>
      <c r="DX981" s="773"/>
      <c r="DY981" s="773"/>
      <c r="DZ981" s="773"/>
      <c r="EA981" s="773"/>
      <c r="EB981" s="773"/>
      <c r="EC981" s="773"/>
      <c r="ED981" s="773"/>
      <c r="EE981" s="773"/>
      <c r="EF981" s="773"/>
      <c r="EG981" s="773"/>
      <c r="EH981" s="773"/>
      <c r="EI981" s="773"/>
      <c r="EJ981" s="773"/>
      <c r="EK981" s="773"/>
      <c r="EL981" s="773"/>
      <c r="EM981" s="773"/>
      <c r="EN981" s="773"/>
      <c r="EO981" s="773"/>
      <c r="EP981" s="773"/>
      <c r="EQ981" s="773"/>
      <c r="ER981" s="773"/>
      <c r="ES981" s="773"/>
      <c r="ET981" s="773"/>
      <c r="EU981" s="773"/>
      <c r="EV981" s="773"/>
      <c r="EW981" s="773"/>
      <c r="EX981" s="773"/>
      <c r="EY981" s="773"/>
      <c r="EZ981" s="773"/>
      <c r="FA981" s="773"/>
      <c r="FB981" s="773"/>
      <c r="FC981" s="773"/>
      <c r="FD981" s="773"/>
      <c r="FE981" s="773"/>
      <c r="FF981" s="773"/>
      <c r="FG981" s="773"/>
      <c r="FH981" s="773"/>
      <c r="FI981" s="773"/>
      <c r="FJ981" s="773"/>
      <c r="FK981" s="773"/>
      <c r="FL981" s="773"/>
      <c r="FM981" s="773"/>
      <c r="FN981" s="773"/>
      <c r="FO981" s="773"/>
      <c r="FP981" s="773"/>
      <c r="FQ981" s="773"/>
      <c r="FR981" s="773"/>
      <c r="FS981" s="773"/>
      <c r="FT981" s="773"/>
      <c r="FU981" s="773"/>
      <c r="FV981" s="773"/>
      <c r="FW981" s="773"/>
      <c r="FX981" s="773"/>
      <c r="FY981" s="773"/>
      <c r="FZ981" s="773"/>
      <c r="GA981" s="773"/>
      <c r="GB981" s="773"/>
      <c r="GC981" s="773"/>
      <c r="GD981" s="773"/>
      <c r="GE981" s="773"/>
      <c r="GF981" s="773"/>
      <c r="GG981" s="773"/>
      <c r="GH981" s="773"/>
      <c r="GI981" s="773"/>
      <c r="GJ981" s="773"/>
      <c r="GK981" s="773"/>
      <c r="GL981" s="773"/>
      <c r="GM981" s="773"/>
      <c r="GN981" s="773"/>
      <c r="GO981" s="773"/>
      <c r="GP981" s="773"/>
      <c r="GQ981" s="773"/>
      <c r="GR981" s="773"/>
      <c r="GS981" s="773"/>
      <c r="GT981" s="773"/>
      <c r="GU981" s="773"/>
      <c r="GV981" s="773"/>
      <c r="GW981" s="773"/>
      <c r="GX981" s="773"/>
      <c r="GY981" s="773"/>
      <c r="GZ981" s="773"/>
    </row>
    <row r="982" spans="1:208" s="11" customFormat="1">
      <c r="A982" s="774"/>
      <c r="B982" s="3761" t="s">
        <v>953</v>
      </c>
      <c r="C982" s="197">
        <v>7161002</v>
      </c>
      <c r="D982" s="200" t="s">
        <v>1636</v>
      </c>
      <c r="E982" s="769">
        <f>IFERROR(VLOOKUP(C982,'AJE 12 - INC'!$D$168:$F$871,3,0),0)</f>
        <v>0</v>
      </c>
      <c r="F982" s="108">
        <f>SUMIF('AJE 12 - INC'!B:B,'New TB INC'!C982,'AJE 12 - INC'!D:D)</f>
        <v>0</v>
      </c>
      <c r="G982" s="108"/>
      <c r="H982" s="108"/>
      <c r="I982" s="108"/>
      <c r="J982" s="798">
        <f t="shared" si="96"/>
        <v>0</v>
      </c>
      <c r="K982" s="209"/>
      <c r="L982" s="434"/>
      <c r="M982" s="810"/>
      <c r="N982" s="11">
        <v>968.61</v>
      </c>
      <c r="O982" s="11">
        <v>3380.4100000000003</v>
      </c>
      <c r="P982" s="11">
        <v>1754.56</v>
      </c>
      <c r="Q982" s="11">
        <v>0</v>
      </c>
      <c r="R982" s="773">
        <v>0</v>
      </c>
      <c r="S982" s="11">
        <v>0</v>
      </c>
      <c r="T982" s="773">
        <v>0</v>
      </c>
      <c r="U982" s="2173">
        <v>0</v>
      </c>
      <c r="V982" s="2509">
        <v>0</v>
      </c>
      <c r="W982" s="2509">
        <v>0</v>
      </c>
      <c r="X982" s="2509">
        <v>0</v>
      </c>
      <c r="Y982" s="2509">
        <v>0</v>
      </c>
      <c r="Z982" s="11">
        <f>'[26]New TB INC'!Z904</f>
        <v>0</v>
      </c>
      <c r="AA982" s="11">
        <f>'[27]New TB INC'!AA905</f>
        <v>0</v>
      </c>
      <c r="AB982" s="11">
        <f>'[28]New TB INC'!AB914</f>
        <v>0</v>
      </c>
      <c r="AC982" s="11">
        <f>'[29]New TB INC'!AC915</f>
        <v>0</v>
      </c>
      <c r="AD982" s="11">
        <f>'[150]New TB INC'!AD914</f>
        <v>0</v>
      </c>
      <c r="AE982" s="11">
        <f>'[150]New TB INC'!AE914</f>
        <v>0</v>
      </c>
      <c r="AF982" s="11">
        <v>0</v>
      </c>
      <c r="AG982" s="11">
        <v>0</v>
      </c>
      <c r="AH982" s="11">
        <v>0</v>
      </c>
      <c r="AI982" s="11">
        <v>0</v>
      </c>
      <c r="AJ982" s="11">
        <v>0</v>
      </c>
      <c r="AK982" s="11">
        <f>$J982-SUM($Z982:AJ982)</f>
        <v>0</v>
      </c>
      <c r="AW982" s="2509"/>
      <c r="BE982" s="2173"/>
      <c r="BF982" s="2173"/>
      <c r="BG982" s="2173"/>
      <c r="BH982" s="2173"/>
      <c r="BI982" s="2173"/>
      <c r="BJ982" s="2173"/>
      <c r="BK982" s="2173"/>
      <c r="BL982" s="773"/>
      <c r="BN982" s="773"/>
      <c r="BO982" s="209"/>
      <c r="CH982" s="878"/>
      <c r="CI982" s="4"/>
      <c r="CJ982" s="4"/>
      <c r="DB982" s="773"/>
      <c r="DC982" s="773"/>
      <c r="DD982" s="773"/>
      <c r="DE982" s="773"/>
      <c r="DF982" s="773"/>
      <c r="DG982" s="773"/>
      <c r="DH982" s="773"/>
      <c r="DI982" s="773"/>
      <c r="DJ982" s="773"/>
      <c r="DK982" s="773"/>
      <c r="DL982" s="773"/>
      <c r="DM982" s="773"/>
      <c r="DN982" s="773"/>
      <c r="DO982" s="773"/>
      <c r="DP982" s="773"/>
      <c r="DQ982" s="773"/>
      <c r="DR982" s="773"/>
      <c r="DS982" s="773"/>
      <c r="DT982" s="773"/>
      <c r="DU982" s="773"/>
      <c r="DV982" s="773"/>
      <c r="DW982" s="773"/>
      <c r="DX982" s="773"/>
      <c r="DY982" s="773"/>
      <c r="DZ982" s="773"/>
      <c r="EA982" s="773"/>
      <c r="EB982" s="773"/>
      <c r="EC982" s="773"/>
      <c r="ED982" s="773"/>
      <c r="EE982" s="773"/>
      <c r="EF982" s="773"/>
      <c r="EG982" s="773"/>
      <c r="EH982" s="773"/>
      <c r="EI982" s="773"/>
      <c r="EJ982" s="773"/>
      <c r="EK982" s="773"/>
      <c r="EL982" s="773"/>
      <c r="EM982" s="773"/>
      <c r="EN982" s="773"/>
      <c r="EO982" s="773"/>
      <c r="EP982" s="773"/>
      <c r="EQ982" s="773"/>
      <c r="ER982" s="773"/>
      <c r="ES982" s="773"/>
      <c r="ET982" s="773"/>
      <c r="EU982" s="773"/>
      <c r="EV982" s="773"/>
      <c r="EW982" s="773"/>
      <c r="EX982" s="773"/>
      <c r="EY982" s="773"/>
      <c r="EZ982" s="773"/>
      <c r="FA982" s="773"/>
      <c r="FB982" s="773"/>
      <c r="FC982" s="773"/>
      <c r="FD982" s="773"/>
      <c r="FE982" s="773"/>
      <c r="FF982" s="773"/>
      <c r="FG982" s="773"/>
      <c r="FH982" s="773"/>
      <c r="FI982" s="773"/>
      <c r="FJ982" s="773"/>
      <c r="FK982" s="773"/>
      <c r="FL982" s="773"/>
      <c r="FM982" s="773"/>
      <c r="FN982" s="773"/>
      <c r="FO982" s="773"/>
      <c r="FP982" s="773"/>
      <c r="FQ982" s="773"/>
      <c r="FR982" s="773"/>
      <c r="FS982" s="773"/>
      <c r="FT982" s="773"/>
      <c r="FU982" s="773"/>
      <c r="FV982" s="773"/>
      <c r="FW982" s="773"/>
      <c r="FX982" s="773"/>
      <c r="FY982" s="773"/>
      <c r="FZ982" s="773"/>
      <c r="GA982" s="773"/>
      <c r="GB982" s="773"/>
      <c r="GC982" s="773"/>
      <c r="GD982" s="773"/>
      <c r="GE982" s="773"/>
      <c r="GF982" s="773"/>
      <c r="GG982" s="773"/>
      <c r="GH982" s="773"/>
      <c r="GI982" s="773"/>
      <c r="GJ982" s="773"/>
      <c r="GK982" s="773"/>
      <c r="GL982" s="773"/>
      <c r="GM982" s="773"/>
      <c r="GN982" s="773"/>
      <c r="GO982" s="773"/>
      <c r="GP982" s="773"/>
      <c r="GQ982" s="773"/>
      <c r="GR982" s="773"/>
      <c r="GS982" s="773"/>
      <c r="GT982" s="773"/>
      <c r="GU982" s="773"/>
      <c r="GV982" s="773"/>
      <c r="GW982" s="773"/>
      <c r="GX982" s="773"/>
      <c r="GY982" s="773"/>
      <c r="GZ982" s="773"/>
    </row>
    <row r="983" spans="1:208" s="11" customFormat="1">
      <c r="A983" s="774"/>
      <c r="B983" s="3761" t="s">
        <v>953</v>
      </c>
      <c r="C983" s="197">
        <v>7162008</v>
      </c>
      <c r="D983" s="200" t="s">
        <v>3597</v>
      </c>
      <c r="E983" s="798">
        <f>IFERROR(VLOOKUP(C983,'AJE 12 - INC'!$D$168:$F$771,3,0),0)</f>
        <v>412.3</v>
      </c>
      <c r="F983" s="108">
        <f>SUMIF('AJE 12 - INC'!B:B,'New TB INC'!C983,'AJE 12 - INC'!D:D)</f>
        <v>0</v>
      </c>
      <c r="G983" s="108"/>
      <c r="H983" s="108"/>
      <c r="I983" s="108"/>
      <c r="J983" s="798">
        <f>SUM(E983:I983)</f>
        <v>412.3</v>
      </c>
      <c r="K983" s="209"/>
      <c r="L983" s="434"/>
      <c r="M983" s="810"/>
      <c r="R983" s="773"/>
      <c r="T983" s="773"/>
      <c r="U983" s="2173"/>
      <c r="V983" s="2509"/>
      <c r="W983" s="2509"/>
      <c r="X983" s="2509"/>
      <c r="Y983" s="2509"/>
      <c r="AC983" s="11">
        <f>'[29]New TB INC'!AC852</f>
        <v>256.14999999999998</v>
      </c>
      <c r="AD983" s="11">
        <f>'[150]New TB INC'!AD915</f>
        <v>0</v>
      </c>
      <c r="AE983" s="11">
        <f>'[150]New TB INC'!AE915</f>
        <v>0</v>
      </c>
      <c r="AF983" s="11">
        <v>0</v>
      </c>
      <c r="AG983" s="11">
        <v>156.15000000000003</v>
      </c>
      <c r="AH983" s="11">
        <v>0</v>
      </c>
      <c r="AI983" s="11">
        <v>0</v>
      </c>
      <c r="AJ983" s="11">
        <v>0</v>
      </c>
      <c r="AK983" s="11">
        <f>$J983-SUM($Z983:AJ983)</f>
        <v>0</v>
      </c>
      <c r="AW983" s="2509"/>
      <c r="BE983" s="2173"/>
      <c r="BF983" s="2173"/>
      <c r="BG983" s="2173"/>
      <c r="BH983" s="2173"/>
      <c r="BI983" s="2173"/>
      <c r="BJ983" s="2173"/>
      <c r="BK983" s="2173"/>
      <c r="BL983" s="773"/>
      <c r="BN983" s="773"/>
      <c r="BO983" s="209"/>
      <c r="BQ983" s="773"/>
      <c r="BR983" s="773"/>
      <c r="CH983" s="878"/>
      <c r="CI983" s="4"/>
      <c r="CJ983" s="4"/>
      <c r="DB983" s="773"/>
      <c r="DC983" s="773"/>
      <c r="DD983" s="773"/>
      <c r="DE983" s="773"/>
      <c r="DF983" s="773"/>
      <c r="DG983" s="773"/>
      <c r="DH983" s="773"/>
      <c r="DI983" s="773"/>
      <c r="DJ983" s="773"/>
      <c r="DK983" s="773"/>
      <c r="DL983" s="773"/>
      <c r="DM983" s="773"/>
      <c r="DN983" s="773"/>
      <c r="DO983" s="773"/>
      <c r="DP983" s="773"/>
      <c r="DQ983" s="773"/>
      <c r="DR983" s="773"/>
      <c r="DS983" s="773"/>
      <c r="DT983" s="773"/>
      <c r="DU983" s="773"/>
      <c r="DV983" s="773"/>
      <c r="DW983" s="773"/>
      <c r="DX983" s="773"/>
      <c r="DY983" s="773"/>
      <c r="DZ983" s="773"/>
      <c r="EA983" s="773"/>
      <c r="EB983" s="773"/>
      <c r="EC983" s="773"/>
      <c r="ED983" s="773"/>
      <c r="EE983" s="773"/>
      <c r="EF983" s="773"/>
      <c r="EG983" s="773"/>
      <c r="EH983" s="773"/>
      <c r="EI983" s="773"/>
      <c r="EJ983" s="773"/>
      <c r="EK983" s="773"/>
      <c r="EL983" s="773"/>
      <c r="EM983" s="773"/>
      <c r="EN983" s="773"/>
      <c r="EO983" s="773"/>
      <c r="EP983" s="773"/>
      <c r="EQ983" s="773"/>
      <c r="ER983" s="773"/>
      <c r="ES983" s="773"/>
      <c r="ET983" s="773"/>
      <c r="EU983" s="773"/>
      <c r="EV983" s="773"/>
      <c r="EW983" s="773"/>
      <c r="EX983" s="773"/>
      <c r="EY983" s="773"/>
      <c r="EZ983" s="773"/>
      <c r="FA983" s="773"/>
      <c r="FB983" s="773"/>
      <c r="FC983" s="773"/>
      <c r="FD983" s="773"/>
      <c r="FE983" s="773"/>
      <c r="FF983" s="773"/>
      <c r="FG983" s="773"/>
      <c r="FH983" s="773"/>
      <c r="FI983" s="773"/>
      <c r="FJ983" s="773"/>
      <c r="FK983" s="773"/>
      <c r="FL983" s="773"/>
      <c r="FM983" s="773"/>
      <c r="FN983" s="773"/>
      <c r="FO983" s="773"/>
      <c r="FP983" s="773"/>
      <c r="FQ983" s="773"/>
      <c r="FR983" s="773"/>
      <c r="FS983" s="773"/>
      <c r="FT983" s="773"/>
      <c r="FU983" s="773"/>
      <c r="FV983" s="773"/>
      <c r="FW983" s="773"/>
      <c r="FX983" s="773"/>
      <c r="FY983" s="773"/>
      <c r="FZ983" s="773"/>
      <c r="GA983" s="773"/>
      <c r="GB983" s="773"/>
      <c r="GC983" s="773"/>
      <c r="GD983" s="773"/>
      <c r="GE983" s="773"/>
      <c r="GF983" s="773"/>
      <c r="GG983" s="773"/>
      <c r="GH983" s="773"/>
      <c r="GI983" s="773"/>
      <c r="GJ983" s="773"/>
      <c r="GK983" s="773"/>
      <c r="GL983" s="773"/>
      <c r="GM983" s="773"/>
      <c r="GN983" s="773"/>
      <c r="GO983" s="773"/>
      <c r="GP983" s="773"/>
      <c r="GQ983" s="773"/>
      <c r="GR983" s="773"/>
      <c r="GS983" s="773"/>
      <c r="GT983" s="773"/>
      <c r="GU983" s="773"/>
      <c r="GV983" s="773"/>
      <c r="GW983" s="773"/>
      <c r="GX983" s="773"/>
      <c r="GY983" s="773"/>
      <c r="GZ983" s="773"/>
    </row>
    <row r="984" spans="1:208" s="11" customFormat="1">
      <c r="A984" s="774"/>
      <c r="B984" s="3761" t="s">
        <v>3345</v>
      </c>
      <c r="C984" s="197">
        <v>7162003</v>
      </c>
      <c r="D984" s="200" t="s">
        <v>4022</v>
      </c>
      <c r="E984" s="798">
        <f>IFERROR(VLOOKUP(C984,'AJE 12 - INC'!$D$168:$F$771,3,0),0)</f>
        <v>7.99</v>
      </c>
      <c r="F984" s="108">
        <f>SUMIF('AJE 12 - INC'!B:B,'New TB INC'!C984,'AJE 12 - INC'!D:D)</f>
        <v>0</v>
      </c>
      <c r="G984" s="108"/>
      <c r="H984" s="108"/>
      <c r="I984" s="108"/>
      <c r="J984" s="798">
        <f>SUM(E984:I984)</f>
        <v>7.99</v>
      </c>
      <c r="K984" s="209"/>
      <c r="L984" s="434"/>
      <c r="M984" s="810"/>
      <c r="R984" s="773"/>
      <c r="T984" s="773"/>
      <c r="U984" s="2173"/>
      <c r="V984" s="2509"/>
      <c r="W984" s="2509"/>
      <c r="X984" s="2509"/>
      <c r="Y984" s="2509"/>
      <c r="AG984" s="11">
        <v>7.99</v>
      </c>
      <c r="AH984" s="11">
        <v>0</v>
      </c>
      <c r="AI984" s="11">
        <v>0</v>
      </c>
      <c r="AJ984" s="11">
        <v>0</v>
      </c>
      <c r="AK984" s="11">
        <f>$J984-SUM($Z984:AJ984)</f>
        <v>0</v>
      </c>
      <c r="AW984" s="2509"/>
      <c r="BE984" s="2173"/>
      <c r="BF984" s="2173"/>
      <c r="BG984" s="2173"/>
      <c r="BH984" s="2173"/>
      <c r="BI984" s="2173"/>
      <c r="BJ984" s="2173"/>
      <c r="BK984" s="2173"/>
      <c r="BL984" s="773"/>
      <c r="BN984" s="773"/>
      <c r="BO984" s="209"/>
      <c r="BQ984" s="773"/>
      <c r="BR984" s="773"/>
      <c r="CH984" s="878"/>
      <c r="CI984" s="4"/>
      <c r="CJ984" s="4"/>
      <c r="DB984" s="773"/>
      <c r="DC984" s="773"/>
      <c r="DD984" s="773"/>
      <c r="DE984" s="773"/>
      <c r="DF984" s="773"/>
      <c r="DG984" s="773"/>
      <c r="DH984" s="773"/>
      <c r="DI984" s="773"/>
      <c r="DJ984" s="773"/>
      <c r="DK984" s="773"/>
      <c r="DL984" s="773"/>
      <c r="DM984" s="773"/>
      <c r="DN984" s="773"/>
      <c r="DO984" s="773"/>
      <c r="DP984" s="773"/>
      <c r="DQ984" s="773"/>
      <c r="DR984" s="773"/>
      <c r="DS984" s="773"/>
      <c r="DT984" s="773"/>
      <c r="DU984" s="773"/>
      <c r="DV984" s="773"/>
      <c r="DW984" s="773"/>
      <c r="DX984" s="773"/>
      <c r="DY984" s="773"/>
      <c r="DZ984" s="773"/>
      <c r="EA984" s="773"/>
      <c r="EB984" s="773"/>
      <c r="EC984" s="773"/>
      <c r="ED984" s="773"/>
      <c r="EE984" s="773"/>
      <c r="EF984" s="773"/>
      <c r="EG984" s="773"/>
      <c r="EH984" s="773"/>
      <c r="EI984" s="773"/>
      <c r="EJ984" s="773"/>
      <c r="EK984" s="773"/>
      <c r="EL984" s="773"/>
      <c r="EM984" s="773"/>
      <c r="EN984" s="773"/>
      <c r="EO984" s="773"/>
      <c r="EP984" s="773"/>
      <c r="EQ984" s="773"/>
      <c r="ER984" s="773"/>
      <c r="ES984" s="773"/>
      <c r="ET984" s="773"/>
      <c r="EU984" s="773"/>
      <c r="EV984" s="773"/>
      <c r="EW984" s="773"/>
      <c r="EX984" s="773"/>
      <c r="EY984" s="773"/>
      <c r="EZ984" s="773"/>
      <c r="FA984" s="773"/>
      <c r="FB984" s="773"/>
      <c r="FC984" s="773"/>
      <c r="FD984" s="773"/>
      <c r="FE984" s="773"/>
      <c r="FF984" s="773"/>
      <c r="FG984" s="773"/>
      <c r="FH984" s="773"/>
      <c r="FI984" s="773"/>
      <c r="FJ984" s="773"/>
      <c r="FK984" s="773"/>
      <c r="FL984" s="773"/>
      <c r="FM984" s="773"/>
      <c r="FN984" s="773"/>
      <c r="FO984" s="773"/>
      <c r="FP984" s="773"/>
      <c r="FQ984" s="773"/>
      <c r="FR984" s="773"/>
      <c r="FS984" s="773"/>
      <c r="FT984" s="773"/>
      <c r="FU984" s="773"/>
      <c r="FV984" s="773"/>
      <c r="FW984" s="773"/>
      <c r="FX984" s="773"/>
      <c r="FY984" s="773"/>
      <c r="FZ984" s="773"/>
      <c r="GA984" s="773"/>
      <c r="GB984" s="773"/>
      <c r="GC984" s="773"/>
      <c r="GD984" s="773"/>
      <c r="GE984" s="773"/>
      <c r="GF984" s="773"/>
      <c r="GG984" s="773"/>
      <c r="GH984" s="773"/>
      <c r="GI984" s="773"/>
      <c r="GJ984" s="773"/>
      <c r="GK984" s="773"/>
      <c r="GL984" s="773"/>
      <c r="GM984" s="773"/>
      <c r="GN984" s="773"/>
      <c r="GO984" s="773"/>
      <c r="GP984" s="773"/>
      <c r="GQ984" s="773"/>
      <c r="GR984" s="773"/>
      <c r="GS984" s="773"/>
      <c r="GT984" s="773"/>
      <c r="GU984" s="773"/>
      <c r="GV984" s="773"/>
      <c r="GW984" s="773"/>
      <c r="GX984" s="773"/>
      <c r="GY984" s="773"/>
      <c r="GZ984" s="773"/>
    </row>
    <row r="985" spans="1:208" s="11" customFormat="1">
      <c r="A985" s="774"/>
      <c r="B985" s="3761" t="s">
        <v>3345</v>
      </c>
      <c r="C985" s="197">
        <v>7162006</v>
      </c>
      <c r="D985" s="200" t="s">
        <v>4025</v>
      </c>
      <c r="E985" s="798">
        <f>IFERROR(VLOOKUP(C985,'AJE 12 - INC'!$D$168:$F$771,3,0),0)</f>
        <v>48.49</v>
      </c>
      <c r="F985" s="108">
        <f>SUMIF('AJE 12 - INC'!B:B,'New TB INC'!C985,'AJE 12 - INC'!D:D)</f>
        <v>0</v>
      </c>
      <c r="G985" s="108"/>
      <c r="H985" s="108"/>
      <c r="I985" s="108"/>
      <c r="J985" s="798">
        <f>SUM(E985:I985)</f>
        <v>48.49</v>
      </c>
      <c r="K985" s="209"/>
      <c r="L985" s="434"/>
      <c r="M985" s="810"/>
      <c r="R985" s="773"/>
      <c r="T985" s="773"/>
      <c r="U985" s="2173"/>
      <c r="V985" s="2509"/>
      <c r="W985" s="2509"/>
      <c r="X985" s="2509"/>
      <c r="Y985" s="2509"/>
      <c r="AG985" s="11">
        <v>48.49</v>
      </c>
      <c r="AH985" s="11">
        <v>0</v>
      </c>
      <c r="AI985" s="11">
        <v>0</v>
      </c>
      <c r="AJ985" s="11">
        <v>0</v>
      </c>
      <c r="AK985" s="11">
        <f>$J985-SUM($Z985:AJ985)</f>
        <v>0</v>
      </c>
      <c r="AW985" s="2509"/>
      <c r="BE985" s="2173"/>
      <c r="BF985" s="2173"/>
      <c r="BG985" s="2173"/>
      <c r="BH985" s="2173"/>
      <c r="BI985" s="2173"/>
      <c r="BJ985" s="2173"/>
      <c r="BK985" s="2173"/>
      <c r="BL985" s="773"/>
      <c r="BN985" s="773"/>
      <c r="BO985" s="209"/>
      <c r="BQ985" s="773"/>
      <c r="BR985" s="773"/>
      <c r="CH985" s="878"/>
      <c r="CI985" s="4"/>
      <c r="CJ985" s="4"/>
      <c r="DB985" s="773"/>
      <c r="DC985" s="773"/>
      <c r="DD985" s="773"/>
      <c r="DE985" s="773"/>
      <c r="DF985" s="773"/>
      <c r="DG985" s="773"/>
      <c r="DH985" s="773"/>
      <c r="DI985" s="773"/>
      <c r="DJ985" s="773"/>
      <c r="DK985" s="773"/>
      <c r="DL985" s="773"/>
      <c r="DM985" s="773"/>
      <c r="DN985" s="773"/>
      <c r="DO985" s="773"/>
      <c r="DP985" s="773"/>
      <c r="DQ985" s="773"/>
      <c r="DR985" s="773"/>
      <c r="DS985" s="773"/>
      <c r="DT985" s="773"/>
      <c r="DU985" s="773"/>
      <c r="DV985" s="773"/>
      <c r="DW985" s="773"/>
      <c r="DX985" s="773"/>
      <c r="DY985" s="773"/>
      <c r="DZ985" s="773"/>
      <c r="EA985" s="773"/>
      <c r="EB985" s="773"/>
      <c r="EC985" s="773"/>
      <c r="ED985" s="773"/>
      <c r="EE985" s="773"/>
      <c r="EF985" s="773"/>
      <c r="EG985" s="773"/>
      <c r="EH985" s="773"/>
      <c r="EI985" s="773"/>
      <c r="EJ985" s="773"/>
      <c r="EK985" s="773"/>
      <c r="EL985" s="773"/>
      <c r="EM985" s="773"/>
      <c r="EN985" s="773"/>
      <c r="EO985" s="773"/>
      <c r="EP985" s="773"/>
      <c r="EQ985" s="773"/>
      <c r="ER985" s="773"/>
      <c r="ES985" s="773"/>
      <c r="ET985" s="773"/>
      <c r="EU985" s="773"/>
      <c r="EV985" s="773"/>
      <c r="EW985" s="773"/>
      <c r="EX985" s="773"/>
      <c r="EY985" s="773"/>
      <c r="EZ985" s="773"/>
      <c r="FA985" s="773"/>
      <c r="FB985" s="773"/>
      <c r="FC985" s="773"/>
      <c r="FD985" s="773"/>
      <c r="FE985" s="773"/>
      <c r="FF985" s="773"/>
      <c r="FG985" s="773"/>
      <c r="FH985" s="773"/>
      <c r="FI985" s="773"/>
      <c r="FJ985" s="773"/>
      <c r="FK985" s="773"/>
      <c r="FL985" s="773"/>
      <c r="FM985" s="773"/>
      <c r="FN985" s="773"/>
      <c r="FO985" s="773"/>
      <c r="FP985" s="773"/>
      <c r="FQ985" s="773"/>
      <c r="FR985" s="773"/>
      <c r="FS985" s="773"/>
      <c r="FT985" s="773"/>
      <c r="FU985" s="773"/>
      <c r="FV985" s="773"/>
      <c r="FW985" s="773"/>
      <c r="FX985" s="773"/>
      <c r="FY985" s="773"/>
      <c r="FZ985" s="773"/>
      <c r="GA985" s="773"/>
      <c r="GB985" s="773"/>
      <c r="GC985" s="773"/>
      <c r="GD985" s="773"/>
      <c r="GE985" s="773"/>
      <c r="GF985" s="773"/>
      <c r="GG985" s="773"/>
      <c r="GH985" s="773"/>
      <c r="GI985" s="773"/>
      <c r="GJ985" s="773"/>
      <c r="GK985" s="773"/>
      <c r="GL985" s="773"/>
      <c r="GM985" s="773"/>
      <c r="GN985" s="773"/>
      <c r="GO985" s="773"/>
      <c r="GP985" s="773"/>
      <c r="GQ985" s="773"/>
      <c r="GR985" s="773"/>
      <c r="GS985" s="773"/>
      <c r="GT985" s="773"/>
      <c r="GU985" s="773"/>
      <c r="GV985" s="773"/>
      <c r="GW985" s="773"/>
      <c r="GX985" s="773"/>
      <c r="GY985" s="773"/>
      <c r="GZ985" s="773"/>
    </row>
    <row r="986" spans="1:208" s="11" customFormat="1">
      <c r="A986" s="774"/>
      <c r="B986" s="3761" t="s">
        <v>953</v>
      </c>
      <c r="C986" s="197">
        <v>7162005</v>
      </c>
      <c r="D986" s="200" t="s">
        <v>3596</v>
      </c>
      <c r="E986" s="798">
        <f>IFERROR(VLOOKUP(C986,'AJE 12 - INC'!$D$168:$F$771,3,0),0)</f>
        <v>187.06</v>
      </c>
      <c r="F986" s="108">
        <f>SUMIF('AJE 12 - INC'!B:B,'New TB INC'!C986,'AJE 12 - INC'!D:D)</f>
        <v>0</v>
      </c>
      <c r="G986" s="108"/>
      <c r="H986" s="108"/>
      <c r="I986" s="108"/>
      <c r="J986" s="798">
        <f>SUM(E986:I986)</f>
        <v>187.06</v>
      </c>
      <c r="K986" s="209"/>
      <c r="L986" s="434"/>
      <c r="M986" s="810"/>
      <c r="R986" s="773"/>
      <c r="T986" s="773"/>
      <c r="U986" s="2173"/>
      <c r="V986" s="2509"/>
      <c r="W986" s="2509"/>
      <c r="X986" s="2509"/>
      <c r="Y986" s="2509"/>
      <c r="AC986" s="11">
        <f>'[29]New TB INC'!AC851</f>
        <v>187.06</v>
      </c>
      <c r="AD986" s="11">
        <f>'[150]New TB INC'!AD916</f>
        <v>0</v>
      </c>
      <c r="AE986" s="11">
        <f>'[150]New TB INC'!AE916</f>
        <v>0</v>
      </c>
      <c r="AF986" s="11">
        <v>0</v>
      </c>
      <c r="AG986" s="11">
        <v>0</v>
      </c>
      <c r="AH986" s="11">
        <v>0</v>
      </c>
      <c r="AI986" s="11">
        <v>0</v>
      </c>
      <c r="AJ986" s="11">
        <v>0</v>
      </c>
      <c r="AK986" s="11">
        <f>$J986-SUM($Z986:AJ986)</f>
        <v>0</v>
      </c>
      <c r="AW986" s="2509"/>
      <c r="BE986" s="2173"/>
      <c r="BF986" s="2173"/>
      <c r="BG986" s="2173"/>
      <c r="BH986" s="2173"/>
      <c r="BI986" s="2173"/>
      <c r="BJ986" s="2173"/>
      <c r="BK986" s="2173"/>
      <c r="BL986" s="773"/>
      <c r="BN986" s="773"/>
      <c r="BO986" s="209"/>
      <c r="BQ986" s="773"/>
      <c r="BR986" s="773"/>
      <c r="CH986" s="878"/>
      <c r="CI986" s="4"/>
      <c r="CJ986" s="4"/>
      <c r="DB986" s="773"/>
      <c r="DC986" s="773"/>
      <c r="DD986" s="773"/>
      <c r="DE986" s="773"/>
      <c r="DF986" s="773"/>
      <c r="DG986" s="773"/>
      <c r="DH986" s="773"/>
      <c r="DI986" s="773"/>
      <c r="DJ986" s="773"/>
      <c r="DK986" s="773"/>
      <c r="DL986" s="773"/>
      <c r="DM986" s="773"/>
      <c r="DN986" s="773"/>
      <c r="DO986" s="773"/>
      <c r="DP986" s="773"/>
      <c r="DQ986" s="773"/>
      <c r="DR986" s="773"/>
      <c r="DS986" s="773"/>
      <c r="DT986" s="773"/>
      <c r="DU986" s="773"/>
      <c r="DV986" s="773"/>
      <c r="DW986" s="773"/>
      <c r="DX986" s="773"/>
      <c r="DY986" s="773"/>
      <c r="DZ986" s="773"/>
      <c r="EA986" s="773"/>
      <c r="EB986" s="773"/>
      <c r="EC986" s="773"/>
      <c r="ED986" s="773"/>
      <c r="EE986" s="773"/>
      <c r="EF986" s="773"/>
      <c r="EG986" s="773"/>
      <c r="EH986" s="773"/>
      <c r="EI986" s="773"/>
      <c r="EJ986" s="773"/>
      <c r="EK986" s="773"/>
      <c r="EL986" s="773"/>
      <c r="EM986" s="773"/>
      <c r="EN986" s="773"/>
      <c r="EO986" s="773"/>
      <c r="EP986" s="773"/>
      <c r="EQ986" s="773"/>
      <c r="ER986" s="773"/>
      <c r="ES986" s="773"/>
      <c r="ET986" s="773"/>
      <c r="EU986" s="773"/>
      <c r="EV986" s="773"/>
      <c r="EW986" s="773"/>
      <c r="EX986" s="773"/>
      <c r="EY986" s="773"/>
      <c r="EZ986" s="773"/>
      <c r="FA986" s="773"/>
      <c r="FB986" s="773"/>
      <c r="FC986" s="773"/>
      <c r="FD986" s="773"/>
      <c r="FE986" s="773"/>
      <c r="FF986" s="773"/>
      <c r="FG986" s="773"/>
      <c r="FH986" s="773"/>
      <c r="FI986" s="773"/>
      <c r="FJ986" s="773"/>
      <c r="FK986" s="773"/>
      <c r="FL986" s="773"/>
      <c r="FM986" s="773"/>
      <c r="FN986" s="773"/>
      <c r="FO986" s="773"/>
      <c r="FP986" s="773"/>
      <c r="FQ986" s="773"/>
      <c r="FR986" s="773"/>
      <c r="FS986" s="773"/>
      <c r="FT986" s="773"/>
      <c r="FU986" s="773"/>
      <c r="FV986" s="773"/>
      <c r="FW986" s="773"/>
      <c r="FX986" s="773"/>
      <c r="FY986" s="773"/>
      <c r="FZ986" s="773"/>
      <c r="GA986" s="773"/>
      <c r="GB986" s="773"/>
      <c r="GC986" s="773"/>
      <c r="GD986" s="773"/>
      <c r="GE986" s="773"/>
      <c r="GF986" s="773"/>
      <c r="GG986" s="773"/>
      <c r="GH986" s="773"/>
      <c r="GI986" s="773"/>
      <c r="GJ986" s="773"/>
      <c r="GK986" s="773"/>
      <c r="GL986" s="773"/>
      <c r="GM986" s="773"/>
      <c r="GN986" s="773"/>
      <c r="GO986" s="773"/>
      <c r="GP986" s="773"/>
      <c r="GQ986" s="773"/>
      <c r="GR986" s="773"/>
      <c r="GS986" s="773"/>
      <c r="GT986" s="773"/>
      <c r="GU986" s="773"/>
      <c r="GV986" s="773"/>
      <c r="GW986" s="773"/>
      <c r="GX986" s="773"/>
      <c r="GY986" s="773"/>
      <c r="GZ986" s="773"/>
    </row>
    <row r="987" spans="1:208" s="11" customFormat="1">
      <c r="A987" s="774"/>
      <c r="B987" s="3761"/>
      <c r="C987" s="157"/>
      <c r="D987" s="200"/>
      <c r="E987" s="42"/>
      <c r="F987" s="108">
        <f>SUMIF('AJE 12 - INC'!B:B,'New TB INC'!C987,'AJE 12 - INC'!D:D)</f>
        <v>0</v>
      </c>
      <c r="G987" s="108"/>
      <c r="H987" s="108"/>
      <c r="I987" s="108"/>
      <c r="J987" s="798"/>
      <c r="K987" s="209"/>
      <c r="L987" s="434"/>
      <c r="M987" s="810"/>
      <c r="N987" s="11">
        <v>0</v>
      </c>
      <c r="O987" s="11">
        <v>0</v>
      </c>
      <c r="P987" s="11">
        <v>0</v>
      </c>
      <c r="Q987" s="11">
        <v>0</v>
      </c>
      <c r="R987" s="773">
        <v>0</v>
      </c>
      <c r="S987" s="11">
        <v>0</v>
      </c>
      <c r="T987" s="773">
        <v>0</v>
      </c>
      <c r="U987" s="2173">
        <v>0</v>
      </c>
      <c r="V987" s="2509">
        <v>0</v>
      </c>
      <c r="W987" s="2509">
        <v>0</v>
      </c>
      <c r="X987" s="2509">
        <v>0</v>
      </c>
      <c r="Y987" s="2509">
        <v>0</v>
      </c>
      <c r="Z987" s="11">
        <f>'[26]New TB INC'!Z910</f>
        <v>0</v>
      </c>
      <c r="AA987" s="11">
        <f>'[27]New TB INC'!AA908</f>
        <v>0</v>
      </c>
      <c r="AB987" s="11">
        <f>'[28]New TB INC'!AB917</f>
        <v>0</v>
      </c>
      <c r="AC987" s="11">
        <f>'[29]New TB INC'!AC918</f>
        <v>0</v>
      </c>
      <c r="AD987" s="11">
        <f>'[150]New TB INC'!AD917</f>
        <v>0</v>
      </c>
      <c r="AE987" s="11">
        <f>'[150]New TB INC'!AE917</f>
        <v>0</v>
      </c>
      <c r="AF987" s="11">
        <v>0</v>
      </c>
      <c r="AG987" s="11">
        <v>0</v>
      </c>
      <c r="AH987" s="11">
        <v>0</v>
      </c>
      <c r="AI987" s="11">
        <v>0</v>
      </c>
      <c r="AJ987" s="11">
        <v>0</v>
      </c>
      <c r="AK987" s="11">
        <f>$J987-SUM($Z987:AJ987)</f>
        <v>0</v>
      </c>
      <c r="AW987" s="2509"/>
      <c r="BE987" s="2173"/>
      <c r="BF987" s="2173"/>
      <c r="BG987" s="2173"/>
      <c r="BH987" s="2173"/>
      <c r="BI987" s="2173"/>
      <c r="BJ987" s="2173"/>
      <c r="BK987" s="2173"/>
      <c r="BL987" s="773"/>
      <c r="BM987" s="773"/>
      <c r="BN987" s="773"/>
      <c r="BO987" s="209"/>
      <c r="CH987" s="878"/>
      <c r="CI987" s="4"/>
      <c r="CJ987" s="4"/>
      <c r="DB987" s="773"/>
      <c r="DC987" s="773"/>
      <c r="DD987" s="773"/>
      <c r="DE987" s="773"/>
      <c r="DF987" s="773"/>
      <c r="DG987" s="773"/>
      <c r="DH987" s="773"/>
      <c r="DI987" s="773"/>
      <c r="DJ987" s="773"/>
      <c r="DK987" s="773"/>
      <c r="DL987" s="773"/>
      <c r="DM987" s="773"/>
      <c r="DN987" s="773"/>
      <c r="DO987" s="773"/>
      <c r="DP987" s="773"/>
      <c r="DQ987" s="773"/>
      <c r="DR987" s="773"/>
      <c r="DS987" s="773"/>
      <c r="DT987" s="773"/>
      <c r="DU987" s="773"/>
      <c r="DV987" s="773"/>
      <c r="DW987" s="773"/>
      <c r="DX987" s="773"/>
      <c r="DY987" s="773"/>
      <c r="DZ987" s="773"/>
      <c r="EA987" s="773"/>
      <c r="EB987" s="773"/>
      <c r="EC987" s="773"/>
      <c r="ED987" s="773"/>
      <c r="EE987" s="773"/>
      <c r="EF987" s="773"/>
      <c r="EG987" s="773"/>
      <c r="EH987" s="773"/>
      <c r="EI987" s="773"/>
      <c r="EJ987" s="773"/>
      <c r="EK987" s="773"/>
      <c r="EL987" s="773"/>
      <c r="EM987" s="773"/>
      <c r="EN987" s="773"/>
      <c r="EO987" s="773"/>
      <c r="EP987" s="773"/>
      <c r="EQ987" s="773"/>
      <c r="ER987" s="773"/>
      <c r="ES987" s="773"/>
      <c r="ET987" s="773"/>
      <c r="EU987" s="773"/>
      <c r="EV987" s="773"/>
      <c r="EW987" s="773"/>
      <c r="EX987" s="773"/>
      <c r="EY987" s="773"/>
      <c r="EZ987" s="773"/>
      <c r="FA987" s="773"/>
      <c r="FB987" s="773"/>
      <c r="FC987" s="773"/>
      <c r="FD987" s="773"/>
      <c r="FE987" s="773"/>
      <c r="FF987" s="773"/>
      <c r="FG987" s="773"/>
      <c r="FH987" s="773"/>
      <c r="FI987" s="773"/>
      <c r="FJ987" s="773"/>
      <c r="FK987" s="773"/>
      <c r="FL987" s="773"/>
      <c r="FM987" s="773"/>
      <c r="FN987" s="773"/>
      <c r="FO987" s="773"/>
      <c r="FP987" s="773"/>
      <c r="FQ987" s="773"/>
      <c r="FR987" s="773"/>
      <c r="FS987" s="773"/>
      <c r="FT987" s="773"/>
      <c r="FU987" s="773"/>
      <c r="FV987" s="773"/>
      <c r="FW987" s="773"/>
      <c r="FX987" s="773"/>
      <c r="FY987" s="773"/>
      <c r="FZ987" s="773"/>
      <c r="GA987" s="773"/>
      <c r="GB987" s="773"/>
      <c r="GC987" s="773"/>
      <c r="GD987" s="773"/>
      <c r="GE987" s="773"/>
      <c r="GF987" s="773"/>
      <c r="GG987" s="773"/>
      <c r="GH987" s="773"/>
      <c r="GI987" s="773"/>
      <c r="GJ987" s="773"/>
      <c r="GK987" s="773"/>
      <c r="GL987" s="773"/>
      <c r="GM987" s="773"/>
      <c r="GN987" s="773"/>
      <c r="GO987" s="773"/>
      <c r="GP987" s="773"/>
      <c r="GQ987" s="773"/>
      <c r="GR987" s="773"/>
      <c r="GS987" s="773"/>
      <c r="GT987" s="773"/>
      <c r="GU987" s="773"/>
      <c r="GV987" s="773"/>
      <c r="GW987" s="773"/>
      <c r="GX987" s="773"/>
      <c r="GY987" s="773"/>
      <c r="GZ987" s="773"/>
    </row>
    <row r="988" spans="1:208" s="11" customFormat="1">
      <c r="A988" s="774"/>
      <c r="B988" s="3761" t="s">
        <v>960</v>
      </c>
      <c r="C988" s="197">
        <v>7180001</v>
      </c>
      <c r="D988" s="200" t="s">
        <v>961</v>
      </c>
      <c r="E988" s="769">
        <f>IFERROR(VLOOKUP(C988,'AJE 12 - INC'!$D$168:$F$871,3,0),0)</f>
        <v>504.96</v>
      </c>
      <c r="F988" s="108">
        <f>SUMIF('AJE 12 - INC'!B:B,'New TB INC'!C988,'AJE 12 - INC'!D:D)</f>
        <v>0</v>
      </c>
      <c r="G988" s="108"/>
      <c r="H988" s="108"/>
      <c r="I988" s="108"/>
      <c r="J988" s="798">
        <f t="shared" ref="J988:J993" si="97">SUM(E988:I988)</f>
        <v>504.96</v>
      </c>
      <c r="K988" s="209"/>
      <c r="L988" s="434"/>
      <c r="M988" s="810"/>
      <c r="N988" s="11">
        <v>4401.6499999999996</v>
      </c>
      <c r="O988" s="11">
        <v>4808.25</v>
      </c>
      <c r="P988" s="11">
        <v>3572.9400000000005</v>
      </c>
      <c r="Q988" s="11">
        <v>0</v>
      </c>
      <c r="R988" s="773">
        <v>0</v>
      </c>
      <c r="S988" s="11">
        <v>0</v>
      </c>
      <c r="T988" s="773">
        <v>0</v>
      </c>
      <c r="U988" s="2173">
        <v>0</v>
      </c>
      <c r="V988" s="2509">
        <v>0</v>
      </c>
      <c r="W988" s="2509">
        <v>0</v>
      </c>
      <c r="X988" s="2509">
        <v>0</v>
      </c>
      <c r="Y988" s="2509">
        <v>0</v>
      </c>
      <c r="Z988" s="11">
        <f>'[26]New TB INC'!Z911</f>
        <v>0</v>
      </c>
      <c r="AA988" s="11">
        <f>'[27]New TB INC'!AA909</f>
        <v>0</v>
      </c>
      <c r="AB988" s="11">
        <f>'[28]New TB INC'!AB918</f>
        <v>0</v>
      </c>
      <c r="AC988" s="11">
        <f>'[29]New TB INC'!AC919</f>
        <v>0</v>
      </c>
      <c r="AD988" s="11">
        <f>'[150]New TB INC'!AD918</f>
        <v>0</v>
      </c>
      <c r="AE988" s="11">
        <f>'[150]New TB INC'!AE918</f>
        <v>0</v>
      </c>
      <c r="AF988" s="11">
        <v>504.96</v>
      </c>
      <c r="AG988" s="11">
        <v>0</v>
      </c>
      <c r="AH988" s="11">
        <v>0</v>
      </c>
      <c r="AI988" s="11">
        <v>0</v>
      </c>
      <c r="AJ988" s="11">
        <v>0</v>
      </c>
      <c r="AK988" s="11">
        <f>$J988-SUM($Z988:AJ988)</f>
        <v>0</v>
      </c>
      <c r="AW988" s="2509"/>
      <c r="BE988" s="2173"/>
      <c r="BF988" s="2173"/>
      <c r="BG988" s="2173"/>
      <c r="BH988" s="2173"/>
      <c r="BI988" s="2173"/>
      <c r="BJ988" s="2173"/>
      <c r="BK988" s="2173"/>
      <c r="BL988" s="773"/>
      <c r="BN988" s="773"/>
      <c r="CH988" s="878"/>
      <c r="CI988" s="4"/>
      <c r="CJ988" s="4"/>
      <c r="DB988" s="773"/>
      <c r="DC988" s="773"/>
      <c r="DD988" s="773"/>
      <c r="DE988" s="773"/>
      <c r="DF988" s="773"/>
      <c r="DG988" s="773"/>
      <c r="DH988" s="773"/>
      <c r="DI988" s="773"/>
      <c r="DJ988" s="773"/>
      <c r="DK988" s="773"/>
      <c r="DL988" s="773"/>
      <c r="DM988" s="773"/>
      <c r="DN988" s="773"/>
      <c r="DO988" s="773"/>
      <c r="DP988" s="773"/>
      <c r="DQ988" s="773"/>
      <c r="DR988" s="773"/>
      <c r="DS988" s="773"/>
      <c r="DT988" s="773"/>
      <c r="DU988" s="773"/>
      <c r="DV988" s="773"/>
      <c r="DW988" s="773"/>
      <c r="DX988" s="773"/>
      <c r="DY988" s="773"/>
      <c r="DZ988" s="773"/>
      <c r="EA988" s="773"/>
      <c r="EB988" s="773"/>
      <c r="EC988" s="773"/>
      <c r="ED988" s="773"/>
      <c r="EE988" s="773"/>
      <c r="EF988" s="773"/>
      <c r="EG988" s="773"/>
      <c r="EH988" s="773"/>
      <c r="EI988" s="773"/>
      <c r="EJ988" s="773"/>
      <c r="EK988" s="773"/>
      <c r="EL988" s="773"/>
      <c r="EM988" s="773"/>
      <c r="EN988" s="773"/>
      <c r="EO988" s="773"/>
      <c r="EP988" s="773"/>
      <c r="EQ988" s="773"/>
      <c r="ER988" s="773"/>
      <c r="ES988" s="773"/>
      <c r="ET988" s="773"/>
      <c r="EU988" s="773"/>
      <c r="EV988" s="773"/>
      <c r="EW988" s="773"/>
      <c r="EX988" s="773"/>
      <c r="EY988" s="773"/>
      <c r="EZ988" s="773"/>
      <c r="FA988" s="773"/>
      <c r="FB988" s="773"/>
      <c r="FC988" s="773"/>
      <c r="FD988" s="773"/>
      <c r="FE988" s="773"/>
      <c r="FF988" s="773"/>
      <c r="FG988" s="773"/>
      <c r="FH988" s="773"/>
      <c r="FI988" s="773"/>
      <c r="FJ988" s="773"/>
      <c r="FK988" s="773"/>
      <c r="FL988" s="773"/>
      <c r="FM988" s="773"/>
      <c r="FN988" s="773"/>
      <c r="FO988" s="773"/>
      <c r="FP988" s="773"/>
      <c r="FQ988" s="773"/>
      <c r="FR988" s="773"/>
      <c r="FS988" s="773"/>
      <c r="FT988" s="773"/>
      <c r="FU988" s="773"/>
      <c r="FV988" s="773"/>
      <c r="FW988" s="773"/>
      <c r="FX988" s="773"/>
      <c r="FY988" s="773"/>
      <c r="FZ988" s="773"/>
      <c r="GA988" s="773"/>
      <c r="GB988" s="773"/>
      <c r="GC988" s="773"/>
      <c r="GD988" s="773"/>
      <c r="GE988" s="773"/>
      <c r="GF988" s="773"/>
      <c r="GG988" s="773"/>
      <c r="GH988" s="773"/>
      <c r="GI988" s="773"/>
      <c r="GJ988" s="773"/>
      <c r="GK988" s="773"/>
      <c r="GL988" s="773"/>
      <c r="GM988" s="773"/>
      <c r="GN988" s="773"/>
      <c r="GO988" s="773"/>
      <c r="GP988" s="773"/>
      <c r="GQ988" s="773"/>
      <c r="GR988" s="773"/>
      <c r="GS988" s="773"/>
      <c r="GT988" s="773"/>
      <c r="GU988" s="773"/>
      <c r="GV988" s="773"/>
      <c r="GW988" s="773"/>
      <c r="GX988" s="773"/>
      <c r="GY988" s="773"/>
      <c r="GZ988" s="773"/>
    </row>
    <row r="989" spans="1:208" s="11" customFormat="1">
      <c r="A989" s="774"/>
      <c r="B989" s="3761" t="s">
        <v>960</v>
      </c>
      <c r="C989" s="197">
        <v>7180002</v>
      </c>
      <c r="D989" s="200" t="s">
        <v>962</v>
      </c>
      <c r="E989" s="769">
        <f>IFERROR(VLOOKUP(C989,'AJE 12 - INC'!$D$168:$F$871,3,0),0)</f>
        <v>748.99</v>
      </c>
      <c r="F989" s="108">
        <f>SUMIF('AJE 12 - INC'!B:B,'New TB INC'!C989,'AJE 12 - INC'!D:D)</f>
        <v>0</v>
      </c>
      <c r="G989" s="108"/>
      <c r="H989" s="108"/>
      <c r="I989" s="108"/>
      <c r="J989" s="798">
        <f t="shared" si="97"/>
        <v>748.99</v>
      </c>
      <c r="K989" s="209"/>
      <c r="L989" s="434"/>
      <c r="M989" s="810"/>
      <c r="N989" s="11">
        <v>155.1</v>
      </c>
      <c r="O989" s="11">
        <v>848.18</v>
      </c>
      <c r="P989" s="11">
        <v>831.0200000000001</v>
      </c>
      <c r="Q989" s="11">
        <v>0</v>
      </c>
      <c r="R989" s="773">
        <v>0</v>
      </c>
      <c r="S989" s="11">
        <v>0</v>
      </c>
      <c r="T989" s="773">
        <v>0</v>
      </c>
      <c r="U989" s="2173">
        <v>0</v>
      </c>
      <c r="V989" s="2509">
        <v>0</v>
      </c>
      <c r="W989" s="2509">
        <v>0</v>
      </c>
      <c r="X989" s="2509">
        <v>0</v>
      </c>
      <c r="Y989" s="2509">
        <v>1024.9499999999998</v>
      </c>
      <c r="Z989" s="11">
        <f>'[26]New TB INC'!Z912</f>
        <v>0</v>
      </c>
      <c r="AA989" s="11">
        <f>'[27]New TB INC'!AA910</f>
        <v>0</v>
      </c>
      <c r="AB989" s="11">
        <f>'[28]New TB INC'!AB919</f>
        <v>0</v>
      </c>
      <c r="AC989" s="11">
        <f>'[29]New TB INC'!AC920</f>
        <v>0</v>
      </c>
      <c r="AD989" s="11">
        <f>'[150]New TB INC'!AD919</f>
        <v>0</v>
      </c>
      <c r="AE989" s="11">
        <f>'[150]New TB INC'!AE919</f>
        <v>0</v>
      </c>
      <c r="AF989" s="11">
        <v>748.99</v>
      </c>
      <c r="AG989" s="11">
        <v>0</v>
      </c>
      <c r="AH989" s="11">
        <v>0</v>
      </c>
      <c r="AI989" s="11">
        <v>0</v>
      </c>
      <c r="AJ989" s="11">
        <v>0</v>
      </c>
      <c r="AK989" s="11">
        <f>$J989-SUM($Z989:AJ989)</f>
        <v>0</v>
      </c>
      <c r="AW989" s="2509"/>
      <c r="BE989" s="2173"/>
      <c r="BF989" s="2173"/>
      <c r="BG989" s="2173"/>
      <c r="BH989" s="2173"/>
      <c r="BI989" s="2173"/>
      <c r="BJ989" s="2173"/>
      <c r="BK989" s="2173"/>
      <c r="BL989" s="773"/>
      <c r="BN989" s="773"/>
      <c r="BP989" s="773"/>
      <c r="CH989" s="878"/>
      <c r="CI989" s="4"/>
      <c r="CJ989" s="4"/>
      <c r="DB989" s="773"/>
      <c r="DC989" s="773"/>
      <c r="DD989" s="773"/>
      <c r="DE989" s="773"/>
      <c r="DF989" s="773"/>
      <c r="DG989" s="773"/>
      <c r="DH989" s="773"/>
      <c r="DI989" s="773"/>
      <c r="DJ989" s="773"/>
      <c r="DK989" s="773"/>
      <c r="DL989" s="773"/>
      <c r="DM989" s="773"/>
      <c r="DN989" s="773"/>
      <c r="DO989" s="773"/>
      <c r="DP989" s="773"/>
      <c r="DQ989" s="773"/>
      <c r="DR989" s="773"/>
      <c r="DS989" s="773"/>
      <c r="DT989" s="773"/>
      <c r="DU989" s="773"/>
      <c r="DV989" s="773"/>
      <c r="DW989" s="773"/>
      <c r="DX989" s="773"/>
      <c r="DY989" s="773"/>
      <c r="DZ989" s="773"/>
      <c r="EA989" s="773"/>
      <c r="EB989" s="773"/>
      <c r="EC989" s="773"/>
      <c r="ED989" s="773"/>
      <c r="EE989" s="773"/>
      <c r="EF989" s="773"/>
      <c r="EG989" s="773"/>
      <c r="EH989" s="773"/>
      <c r="EI989" s="773"/>
      <c r="EJ989" s="773"/>
      <c r="EK989" s="773"/>
      <c r="EL989" s="773"/>
      <c r="EM989" s="773"/>
      <c r="EN989" s="773"/>
      <c r="EO989" s="773"/>
      <c r="EP989" s="773"/>
      <c r="EQ989" s="773"/>
      <c r="ER989" s="773"/>
      <c r="ES989" s="773"/>
      <c r="ET989" s="773"/>
      <c r="EU989" s="773"/>
      <c r="EV989" s="773"/>
      <c r="EW989" s="773"/>
      <c r="EX989" s="773"/>
      <c r="EY989" s="773"/>
      <c r="EZ989" s="773"/>
      <c r="FA989" s="773"/>
      <c r="FB989" s="773"/>
      <c r="FC989" s="773"/>
      <c r="FD989" s="773"/>
      <c r="FE989" s="773"/>
      <c r="FF989" s="773"/>
      <c r="FG989" s="773"/>
      <c r="FH989" s="773"/>
      <c r="FI989" s="773"/>
      <c r="FJ989" s="773"/>
      <c r="FK989" s="773"/>
      <c r="FL989" s="773"/>
      <c r="FM989" s="773"/>
      <c r="FN989" s="773"/>
      <c r="FO989" s="773"/>
      <c r="FP989" s="773"/>
      <c r="FQ989" s="773"/>
      <c r="FR989" s="773"/>
      <c r="FS989" s="773"/>
      <c r="FT989" s="773"/>
      <c r="FU989" s="773"/>
      <c r="FV989" s="773"/>
      <c r="FW989" s="773"/>
      <c r="FX989" s="773"/>
      <c r="FY989" s="773"/>
      <c r="FZ989" s="773"/>
      <c r="GA989" s="773"/>
      <c r="GB989" s="773"/>
      <c r="GC989" s="773"/>
      <c r="GD989" s="773"/>
      <c r="GE989" s="773"/>
      <c r="GF989" s="773"/>
      <c r="GG989" s="773"/>
      <c r="GH989" s="773"/>
      <c r="GI989" s="773"/>
      <c r="GJ989" s="773"/>
      <c r="GK989" s="773"/>
      <c r="GL989" s="773"/>
      <c r="GM989" s="773"/>
      <c r="GN989" s="773"/>
      <c r="GO989" s="773"/>
      <c r="GP989" s="773"/>
      <c r="GQ989" s="773"/>
      <c r="GR989" s="773"/>
      <c r="GS989" s="773"/>
      <c r="GT989" s="773"/>
      <c r="GU989" s="773"/>
      <c r="GV989" s="773"/>
      <c r="GW989" s="773"/>
      <c r="GX989" s="773"/>
      <c r="GY989" s="773"/>
      <c r="GZ989" s="773"/>
    </row>
    <row r="990" spans="1:208" s="11" customFormat="1">
      <c r="A990" s="774"/>
      <c r="B990" s="3761" t="s">
        <v>960</v>
      </c>
      <c r="C990" s="197">
        <v>7180003</v>
      </c>
      <c r="D990" s="200" t="s">
        <v>963</v>
      </c>
      <c r="E990" s="769">
        <f>IFERROR(VLOOKUP(C990,'AJE 12 - INC'!$D$168:$F$871,3,0),0)</f>
        <v>0</v>
      </c>
      <c r="F990" s="108">
        <f>SUMIF('AJE 12 - INC'!B:B,'New TB INC'!C990,'AJE 12 - INC'!D:D)</f>
        <v>0</v>
      </c>
      <c r="G990" s="108"/>
      <c r="H990" s="108"/>
      <c r="I990" s="108"/>
      <c r="J990" s="798">
        <f t="shared" si="97"/>
        <v>0</v>
      </c>
      <c r="K990" s="209"/>
      <c r="L990" s="434"/>
      <c r="M990" s="810"/>
      <c r="N990" s="11">
        <v>0</v>
      </c>
      <c r="O990" s="11">
        <v>0</v>
      </c>
      <c r="P990" s="11">
        <v>0</v>
      </c>
      <c r="Q990" s="11">
        <v>0</v>
      </c>
      <c r="R990" s="773">
        <v>0</v>
      </c>
      <c r="S990" s="11">
        <v>0</v>
      </c>
      <c r="T990" s="773">
        <v>0</v>
      </c>
      <c r="U990" s="2173">
        <v>0</v>
      </c>
      <c r="V990" s="2509">
        <v>0</v>
      </c>
      <c r="W990" s="2509">
        <v>0</v>
      </c>
      <c r="X990" s="2509">
        <v>0</v>
      </c>
      <c r="Y990" s="2509">
        <v>162.80000000000001</v>
      </c>
      <c r="Z990" s="11">
        <f>'[26]New TB INC'!Z913</f>
        <v>0</v>
      </c>
      <c r="AA990" s="11">
        <f>'[27]New TB INC'!AA911</f>
        <v>0</v>
      </c>
      <c r="AB990" s="11">
        <f>'[28]New TB INC'!AB920</f>
        <v>0</v>
      </c>
      <c r="AC990" s="11">
        <f>'[29]New TB INC'!AC921</f>
        <v>0</v>
      </c>
      <c r="AD990" s="11">
        <f>'[150]New TB INC'!AD920</f>
        <v>0</v>
      </c>
      <c r="AE990" s="11">
        <f>'[150]New TB INC'!AE920</f>
        <v>0</v>
      </c>
      <c r="AF990" s="11">
        <v>0</v>
      </c>
      <c r="AG990" s="11">
        <v>0</v>
      </c>
      <c r="AH990" s="11">
        <v>0</v>
      </c>
      <c r="AI990" s="11">
        <v>0</v>
      </c>
      <c r="AJ990" s="11">
        <v>0</v>
      </c>
      <c r="AK990" s="11">
        <f>$J990-SUM($Z990:AJ990)</f>
        <v>0</v>
      </c>
      <c r="AW990" s="2509"/>
      <c r="BE990" s="2173"/>
      <c r="BF990" s="2173"/>
      <c r="BG990" s="2173"/>
      <c r="BH990" s="2173"/>
      <c r="BI990" s="2173"/>
      <c r="BJ990" s="2173"/>
      <c r="BK990" s="2173"/>
      <c r="BL990" s="773"/>
      <c r="BN990" s="773"/>
      <c r="CH990" s="878"/>
      <c r="CI990" s="4"/>
      <c r="CJ990" s="4"/>
      <c r="DB990" s="773"/>
      <c r="DC990" s="773"/>
      <c r="DD990" s="773"/>
      <c r="DE990" s="773"/>
      <c r="DF990" s="773"/>
      <c r="DG990" s="773"/>
      <c r="DH990" s="773"/>
      <c r="DI990" s="773"/>
      <c r="DJ990" s="773"/>
      <c r="DK990" s="773"/>
      <c r="DL990" s="773"/>
      <c r="DM990" s="773"/>
      <c r="DN990" s="773"/>
      <c r="DO990" s="773"/>
      <c r="DP990" s="773"/>
      <c r="DQ990" s="773"/>
      <c r="DR990" s="773"/>
      <c r="DS990" s="773"/>
      <c r="DT990" s="773"/>
      <c r="DU990" s="773"/>
      <c r="DV990" s="773"/>
      <c r="DW990" s="773"/>
      <c r="DX990" s="773"/>
      <c r="DY990" s="773"/>
      <c r="DZ990" s="773"/>
      <c r="EA990" s="773"/>
      <c r="EB990" s="773"/>
      <c r="EC990" s="773"/>
      <c r="ED990" s="773"/>
      <c r="EE990" s="773"/>
      <c r="EF990" s="773"/>
      <c r="EG990" s="773"/>
      <c r="EH990" s="773"/>
      <c r="EI990" s="773"/>
      <c r="EJ990" s="773"/>
      <c r="EK990" s="773"/>
      <c r="EL990" s="773"/>
      <c r="EM990" s="773"/>
      <c r="EN990" s="773"/>
      <c r="EO990" s="773"/>
      <c r="EP990" s="773"/>
      <c r="EQ990" s="773"/>
      <c r="ER990" s="773"/>
      <c r="ES990" s="773"/>
      <c r="ET990" s="773"/>
      <c r="EU990" s="773"/>
      <c r="EV990" s="773"/>
      <c r="EW990" s="773"/>
      <c r="EX990" s="773"/>
      <c r="EY990" s="773"/>
      <c r="EZ990" s="773"/>
      <c r="FA990" s="773"/>
      <c r="FB990" s="773"/>
      <c r="FC990" s="773"/>
      <c r="FD990" s="773"/>
      <c r="FE990" s="773"/>
      <c r="FF990" s="773"/>
      <c r="FG990" s="773"/>
      <c r="FH990" s="773"/>
      <c r="FI990" s="773"/>
      <c r="FJ990" s="773"/>
      <c r="FK990" s="773"/>
      <c r="FL990" s="773"/>
      <c r="FM990" s="773"/>
      <c r="FN990" s="773"/>
      <c r="FO990" s="773"/>
      <c r="FP990" s="773"/>
      <c r="FQ990" s="773"/>
      <c r="FR990" s="773"/>
      <c r="FS990" s="773"/>
      <c r="FT990" s="773"/>
      <c r="FU990" s="773"/>
      <c r="FV990" s="773"/>
      <c r="FW990" s="773"/>
      <c r="FX990" s="773"/>
      <c r="FY990" s="773"/>
      <c r="FZ990" s="773"/>
      <c r="GA990" s="773"/>
      <c r="GB990" s="773"/>
      <c r="GC990" s="773"/>
      <c r="GD990" s="773"/>
      <c r="GE990" s="773"/>
      <c r="GF990" s="773"/>
      <c r="GG990" s="773"/>
      <c r="GH990" s="773"/>
      <c r="GI990" s="773"/>
      <c r="GJ990" s="773"/>
      <c r="GK990" s="773"/>
      <c r="GL990" s="773"/>
      <c r="GM990" s="773"/>
      <c r="GN990" s="773"/>
      <c r="GO990" s="773"/>
      <c r="GP990" s="773"/>
      <c r="GQ990" s="773"/>
      <c r="GR990" s="773"/>
      <c r="GS990" s="773"/>
      <c r="GT990" s="773"/>
      <c r="GU990" s="773"/>
      <c r="GV990" s="773"/>
      <c r="GW990" s="773"/>
      <c r="GX990" s="773"/>
      <c r="GY990" s="773"/>
      <c r="GZ990" s="773"/>
    </row>
    <row r="991" spans="1:208" s="11" customFormat="1">
      <c r="A991" s="774"/>
      <c r="B991" s="3761" t="s">
        <v>960</v>
      </c>
      <c r="C991" s="197">
        <v>7180004</v>
      </c>
      <c r="D991" s="200" t="s">
        <v>964</v>
      </c>
      <c r="E991" s="769">
        <f>IFERROR(VLOOKUP(C991,'AJE 12 - INC'!$D$168:$F$871,3,0),0)</f>
        <v>279.52</v>
      </c>
      <c r="F991" s="108">
        <f>SUMIF('AJE 12 - INC'!B:B,'New TB INC'!C991,'AJE 12 - INC'!D:D)</f>
        <v>0</v>
      </c>
      <c r="G991" s="108"/>
      <c r="H991" s="108"/>
      <c r="I991" s="108"/>
      <c r="J991" s="798">
        <f t="shared" si="97"/>
        <v>279.52</v>
      </c>
      <c r="K991" s="209"/>
      <c r="L991" s="434"/>
      <c r="M991" s="803"/>
      <c r="N991" s="11">
        <v>230.89</v>
      </c>
      <c r="O991" s="11">
        <v>566.63</v>
      </c>
      <c r="P991" s="11">
        <v>521.06999999999982</v>
      </c>
      <c r="Q991" s="11">
        <v>0</v>
      </c>
      <c r="R991" s="773">
        <v>0</v>
      </c>
      <c r="S991" s="11">
        <v>0</v>
      </c>
      <c r="T991" s="773">
        <v>0</v>
      </c>
      <c r="U991" s="2173">
        <v>0</v>
      </c>
      <c r="V991" s="2509">
        <v>0</v>
      </c>
      <c r="W991" s="2509">
        <v>0</v>
      </c>
      <c r="X991" s="2509">
        <v>0</v>
      </c>
      <c r="Y991" s="2509">
        <v>110.08000000000038</v>
      </c>
      <c r="Z991" s="11">
        <f>'[26]New TB INC'!Z914</f>
        <v>0</v>
      </c>
      <c r="AA991" s="11">
        <f>'[27]New TB INC'!AA912</f>
        <v>0</v>
      </c>
      <c r="AB991" s="11">
        <f>'[28]New TB INC'!AB921</f>
        <v>0</v>
      </c>
      <c r="AC991" s="11">
        <f>'[29]New TB INC'!AC922</f>
        <v>0</v>
      </c>
      <c r="AD991" s="11">
        <f>'[150]New TB INC'!AD921</f>
        <v>0</v>
      </c>
      <c r="AE991" s="11">
        <f>'[150]New TB INC'!AE921</f>
        <v>0</v>
      </c>
      <c r="AF991" s="11">
        <v>279.52</v>
      </c>
      <c r="AG991" s="11">
        <v>0</v>
      </c>
      <c r="AH991" s="11">
        <v>0</v>
      </c>
      <c r="AI991" s="11">
        <v>0</v>
      </c>
      <c r="AJ991" s="11">
        <v>0</v>
      </c>
      <c r="AK991" s="11">
        <f>$J991-SUM($Z991:AJ991)</f>
        <v>0</v>
      </c>
      <c r="AW991" s="2509"/>
      <c r="BE991" s="2173"/>
      <c r="BF991" s="2173"/>
      <c r="BG991" s="2173"/>
      <c r="BH991" s="2173"/>
      <c r="BI991" s="2173"/>
      <c r="BJ991" s="2173"/>
      <c r="BK991" s="2173"/>
      <c r="BL991" s="773"/>
      <c r="BN991" s="773"/>
      <c r="CH991" s="878"/>
      <c r="CI991" s="4"/>
      <c r="CJ991" s="4"/>
      <c r="DB991" s="773"/>
      <c r="DC991" s="773"/>
      <c r="DD991" s="773"/>
      <c r="DE991" s="773"/>
      <c r="DF991" s="773"/>
      <c r="DG991" s="773"/>
      <c r="DH991" s="773"/>
      <c r="DI991" s="773"/>
      <c r="DJ991" s="773"/>
      <c r="DK991" s="773"/>
      <c r="DL991" s="773"/>
      <c r="DM991" s="773"/>
      <c r="DN991" s="773"/>
      <c r="DO991" s="773"/>
      <c r="DP991" s="773"/>
      <c r="DQ991" s="773"/>
      <c r="DR991" s="773"/>
      <c r="DS991" s="773"/>
      <c r="DT991" s="773"/>
      <c r="DU991" s="773"/>
      <c r="DV991" s="773"/>
      <c r="DW991" s="773"/>
      <c r="DX991" s="773"/>
      <c r="DY991" s="773"/>
      <c r="DZ991" s="773"/>
      <c r="EA991" s="773"/>
      <c r="EB991" s="773"/>
      <c r="EC991" s="773"/>
      <c r="ED991" s="773"/>
      <c r="EE991" s="773"/>
      <c r="EF991" s="773"/>
      <c r="EG991" s="773"/>
      <c r="EH991" s="773"/>
      <c r="EI991" s="773"/>
      <c r="EJ991" s="773"/>
      <c r="EK991" s="773"/>
      <c r="EL991" s="773"/>
      <c r="EM991" s="773"/>
      <c r="EN991" s="773"/>
      <c r="EO991" s="773"/>
      <c r="EP991" s="773"/>
      <c r="EQ991" s="773"/>
      <c r="ER991" s="773"/>
      <c r="ES991" s="773"/>
      <c r="ET991" s="773"/>
      <c r="EU991" s="773"/>
      <c r="EV991" s="773"/>
      <c r="EW991" s="773"/>
      <c r="EX991" s="773"/>
      <c r="EY991" s="773"/>
      <c r="EZ991" s="773"/>
      <c r="FA991" s="773"/>
      <c r="FB991" s="773"/>
      <c r="FC991" s="773"/>
      <c r="FD991" s="773"/>
      <c r="FE991" s="773"/>
      <c r="FF991" s="773"/>
      <c r="FG991" s="773"/>
      <c r="FH991" s="773"/>
      <c r="FI991" s="773"/>
      <c r="FJ991" s="773"/>
      <c r="FK991" s="773"/>
      <c r="FL991" s="773"/>
      <c r="FM991" s="773"/>
      <c r="FN991" s="773"/>
      <c r="FO991" s="773"/>
      <c r="FP991" s="773"/>
      <c r="FQ991" s="773"/>
      <c r="FR991" s="773"/>
      <c r="FS991" s="773"/>
      <c r="FT991" s="773"/>
      <c r="FU991" s="773"/>
      <c r="FV991" s="773"/>
      <c r="FW991" s="773"/>
      <c r="FX991" s="773"/>
      <c r="FY991" s="773"/>
      <c r="FZ991" s="773"/>
      <c r="GA991" s="773"/>
      <c r="GB991" s="773"/>
      <c r="GC991" s="773"/>
      <c r="GD991" s="773"/>
      <c r="GE991" s="773"/>
      <c r="GF991" s="773"/>
      <c r="GG991" s="773"/>
      <c r="GH991" s="773"/>
      <c r="GI991" s="773"/>
      <c r="GJ991" s="773"/>
      <c r="GK991" s="773"/>
      <c r="GL991" s="773"/>
      <c r="GM991" s="773"/>
      <c r="GN991" s="773"/>
      <c r="GO991" s="773"/>
      <c r="GP991" s="773"/>
      <c r="GQ991" s="773"/>
      <c r="GR991" s="773"/>
      <c r="GS991" s="773"/>
      <c r="GT991" s="773"/>
      <c r="GU991" s="773"/>
      <c r="GV991" s="773"/>
      <c r="GW991" s="773"/>
      <c r="GX991" s="773"/>
      <c r="GY991" s="773"/>
      <c r="GZ991" s="773"/>
    </row>
    <row r="992" spans="1:208" s="11" customFormat="1">
      <c r="A992" s="774"/>
      <c r="B992" s="3761" t="s">
        <v>1820</v>
      </c>
      <c r="C992" s="197">
        <v>7180008</v>
      </c>
      <c r="D992" s="200" t="s">
        <v>2106</v>
      </c>
      <c r="E992" s="769">
        <f>IFERROR(VLOOKUP(C992,'AJE 12 - INC'!$D$168:$F$871,3,0),0)</f>
        <v>0</v>
      </c>
      <c r="F992" s="108">
        <f>SUMIF('AJE 12 - INC'!B:B,'New TB INC'!C992,'AJE 12 - INC'!D:D)</f>
        <v>0</v>
      </c>
      <c r="G992" s="108"/>
      <c r="H992" s="108"/>
      <c r="I992" s="108"/>
      <c r="J992" s="798">
        <f t="shared" si="97"/>
        <v>0</v>
      </c>
      <c r="K992" s="209"/>
      <c r="L992" s="434"/>
      <c r="M992" s="803"/>
      <c r="N992" s="11">
        <v>28.71</v>
      </c>
      <c r="O992" s="11">
        <v>637.59999999999991</v>
      </c>
      <c r="P992" s="11">
        <v>0</v>
      </c>
      <c r="Q992" s="11">
        <v>0</v>
      </c>
      <c r="R992" s="773">
        <v>0</v>
      </c>
      <c r="S992" s="11">
        <v>0</v>
      </c>
      <c r="T992" s="773">
        <v>0</v>
      </c>
      <c r="U992" s="2173">
        <v>0</v>
      </c>
      <c r="V992" s="2509">
        <v>0</v>
      </c>
      <c r="W992" s="2509">
        <v>0</v>
      </c>
      <c r="X992" s="2509">
        <v>0</v>
      </c>
      <c r="Y992" s="2509">
        <v>0</v>
      </c>
      <c r="Z992" s="11">
        <f>'[26]New TB INC'!Z915</f>
        <v>0</v>
      </c>
      <c r="AA992" s="11">
        <f>'[27]New TB INC'!AA913</f>
        <v>0</v>
      </c>
      <c r="AB992" s="11">
        <f>'[28]New TB INC'!AB922</f>
        <v>0</v>
      </c>
      <c r="AC992" s="11">
        <f>'[29]New TB INC'!AC923</f>
        <v>0</v>
      </c>
      <c r="AD992" s="11">
        <f>'[150]New TB INC'!AD922</f>
        <v>0</v>
      </c>
      <c r="AE992" s="11">
        <f>'[150]New TB INC'!AE922</f>
        <v>0</v>
      </c>
      <c r="AF992" s="11">
        <v>0</v>
      </c>
      <c r="AG992" s="11">
        <v>0</v>
      </c>
      <c r="AH992" s="11">
        <v>0</v>
      </c>
      <c r="AI992" s="11">
        <v>0</v>
      </c>
      <c r="AJ992" s="11">
        <v>0</v>
      </c>
      <c r="AK992" s="11">
        <f>$J992-SUM($Z992:AJ992)</f>
        <v>0</v>
      </c>
      <c r="AW992" s="2509"/>
      <c r="BE992" s="2173"/>
      <c r="BF992" s="2173"/>
      <c r="BG992" s="2173"/>
      <c r="BH992" s="2173"/>
      <c r="BI992" s="2173"/>
      <c r="BJ992" s="2173"/>
      <c r="BK992" s="2173"/>
      <c r="BL992" s="773"/>
      <c r="BN992" s="773"/>
      <c r="CH992" s="878"/>
      <c r="CI992" s="4"/>
      <c r="CJ992" s="4"/>
      <c r="DB992" s="773"/>
      <c r="DC992" s="773"/>
      <c r="DD992" s="773"/>
      <c r="DE992" s="773"/>
      <c r="DF992" s="773"/>
      <c r="DG992" s="773"/>
      <c r="DH992" s="773"/>
      <c r="DI992" s="773"/>
      <c r="DJ992" s="773"/>
      <c r="DK992" s="773"/>
      <c r="DL992" s="773"/>
      <c r="DM992" s="773"/>
      <c r="DN992" s="773"/>
      <c r="DO992" s="773"/>
      <c r="DP992" s="773"/>
      <c r="DQ992" s="773"/>
      <c r="DR992" s="773"/>
      <c r="DS992" s="773"/>
      <c r="DT992" s="773"/>
      <c r="DU992" s="773"/>
      <c r="DV992" s="773"/>
      <c r="DW992" s="773"/>
      <c r="DX992" s="773"/>
      <c r="DY992" s="773"/>
      <c r="DZ992" s="773"/>
      <c r="EA992" s="773"/>
      <c r="EB992" s="773"/>
      <c r="EC992" s="773"/>
      <c r="ED992" s="773"/>
      <c r="EE992" s="773"/>
      <c r="EF992" s="773"/>
      <c r="EG992" s="773"/>
      <c r="EH992" s="773"/>
      <c r="EI992" s="773"/>
      <c r="EJ992" s="773"/>
      <c r="EK992" s="773"/>
      <c r="EL992" s="773"/>
      <c r="EM992" s="773"/>
      <c r="EN992" s="773"/>
      <c r="EO992" s="773"/>
      <c r="EP992" s="773"/>
      <c r="EQ992" s="773"/>
      <c r="ER992" s="773"/>
      <c r="ES992" s="773"/>
      <c r="ET992" s="773"/>
      <c r="EU992" s="773"/>
      <c r="EV992" s="773"/>
      <c r="EW992" s="773"/>
      <c r="EX992" s="773"/>
      <c r="EY992" s="773"/>
      <c r="EZ992" s="773"/>
      <c r="FA992" s="773"/>
      <c r="FB992" s="773"/>
      <c r="FC992" s="773"/>
      <c r="FD992" s="773"/>
      <c r="FE992" s="773"/>
      <c r="FF992" s="773"/>
      <c r="FG992" s="773"/>
      <c r="FH992" s="773"/>
      <c r="FI992" s="773"/>
      <c r="FJ992" s="773"/>
      <c r="FK992" s="773"/>
      <c r="FL992" s="773"/>
      <c r="FM992" s="773"/>
      <c r="FN992" s="773"/>
      <c r="FO992" s="773"/>
      <c r="FP992" s="773"/>
      <c r="FQ992" s="773"/>
      <c r="FR992" s="773"/>
      <c r="FS992" s="773"/>
      <c r="FT992" s="773"/>
      <c r="FU992" s="773"/>
      <c r="FV992" s="773"/>
      <c r="FW992" s="773"/>
      <c r="FX992" s="773"/>
      <c r="FY992" s="773"/>
      <c r="FZ992" s="773"/>
      <c r="GA992" s="773"/>
      <c r="GB992" s="773"/>
      <c r="GC992" s="773"/>
      <c r="GD992" s="773"/>
      <c r="GE992" s="773"/>
      <c r="GF992" s="773"/>
      <c r="GG992" s="773"/>
      <c r="GH992" s="773"/>
      <c r="GI992" s="773"/>
      <c r="GJ992" s="773"/>
      <c r="GK992" s="773"/>
      <c r="GL992" s="773"/>
      <c r="GM992" s="773"/>
      <c r="GN992" s="773"/>
      <c r="GO992" s="773"/>
      <c r="GP992" s="773"/>
      <c r="GQ992" s="773"/>
      <c r="GR992" s="773"/>
      <c r="GS992" s="773"/>
      <c r="GT992" s="773"/>
      <c r="GU992" s="773"/>
      <c r="GV992" s="773"/>
      <c r="GW992" s="773"/>
      <c r="GX992" s="773"/>
      <c r="GY992" s="773"/>
      <c r="GZ992" s="773"/>
    </row>
    <row r="993" spans="1:208" s="11" customFormat="1">
      <c r="A993" s="774"/>
      <c r="B993" s="3761" t="s">
        <v>960</v>
      </c>
      <c r="C993" s="197">
        <v>7180005</v>
      </c>
      <c r="D993" s="200" t="s">
        <v>1905</v>
      </c>
      <c r="E993" s="769">
        <f>IFERROR(VLOOKUP(C993,'AJE 12 - INC'!$D$168:$F$871,3,0),0)</f>
        <v>0</v>
      </c>
      <c r="F993" s="108">
        <f>SUMIF('AJE 12 - INC'!B:B,'New TB INC'!C993,'AJE 12 - INC'!D:D)</f>
        <v>0</v>
      </c>
      <c r="G993" s="108"/>
      <c r="H993" s="108"/>
      <c r="I993" s="108"/>
      <c r="J993" s="798">
        <f t="shared" si="97"/>
        <v>0</v>
      </c>
      <c r="K993" s="209"/>
      <c r="L993" s="434"/>
      <c r="M993" s="803"/>
      <c r="N993" s="11">
        <v>0</v>
      </c>
      <c r="O993" s="11">
        <v>0</v>
      </c>
      <c r="P993" s="11">
        <v>0</v>
      </c>
      <c r="Q993" s="11">
        <v>0</v>
      </c>
      <c r="R993" s="773">
        <v>0</v>
      </c>
      <c r="S993" s="11">
        <v>0</v>
      </c>
      <c r="T993" s="773">
        <v>0</v>
      </c>
      <c r="U993" s="2173">
        <v>0</v>
      </c>
      <c r="V993" s="2509">
        <v>0</v>
      </c>
      <c r="W993" s="2509">
        <v>0</v>
      </c>
      <c r="X993" s="2509">
        <v>0</v>
      </c>
      <c r="Y993" s="2509">
        <v>0</v>
      </c>
      <c r="Z993" s="11">
        <f>'[26]New TB INC'!Z916</f>
        <v>0</v>
      </c>
      <c r="AA993" s="11">
        <f>'[27]New TB INC'!AA914</f>
        <v>0</v>
      </c>
      <c r="AB993" s="11">
        <f>'[28]New TB INC'!AB923</f>
        <v>0</v>
      </c>
      <c r="AC993" s="11">
        <f>'[29]New TB INC'!AC924</f>
        <v>0</v>
      </c>
      <c r="AD993" s="11">
        <f>'[150]New TB INC'!AD923</f>
        <v>0</v>
      </c>
      <c r="AE993" s="11">
        <f>'[150]New TB INC'!AE923</f>
        <v>0</v>
      </c>
      <c r="AF993" s="11">
        <v>0</v>
      </c>
      <c r="AG993" s="11">
        <v>0</v>
      </c>
      <c r="AH993" s="11">
        <v>0</v>
      </c>
      <c r="AI993" s="11">
        <v>0</v>
      </c>
      <c r="AJ993" s="11">
        <v>0</v>
      </c>
      <c r="AK993" s="11">
        <f>$J993-SUM($Z993:AJ993)</f>
        <v>0</v>
      </c>
      <c r="AW993" s="2509"/>
      <c r="BE993" s="2173"/>
      <c r="BF993" s="2173"/>
      <c r="BG993" s="2173"/>
      <c r="BH993" s="2173"/>
      <c r="BI993" s="2173"/>
      <c r="BJ993" s="2173"/>
      <c r="BK993" s="2173"/>
      <c r="BL993" s="773"/>
      <c r="BN993" s="773"/>
      <c r="CH993" s="878"/>
      <c r="CI993" s="4"/>
      <c r="CJ993" s="4"/>
      <c r="DB993" s="773"/>
      <c r="DC993" s="773"/>
      <c r="DD993" s="773"/>
      <c r="DE993" s="773"/>
      <c r="DF993" s="773"/>
      <c r="DG993" s="773"/>
      <c r="DH993" s="773"/>
      <c r="DI993" s="773"/>
      <c r="DJ993" s="773"/>
      <c r="DK993" s="773"/>
      <c r="DL993" s="773"/>
      <c r="DM993" s="773"/>
      <c r="DN993" s="773"/>
      <c r="DO993" s="773"/>
      <c r="DP993" s="773"/>
      <c r="DQ993" s="773"/>
      <c r="DR993" s="773"/>
      <c r="DS993" s="773"/>
      <c r="DT993" s="773"/>
      <c r="DU993" s="773"/>
      <c r="DV993" s="773"/>
      <c r="DW993" s="773"/>
      <c r="DX993" s="773"/>
      <c r="DY993" s="773"/>
      <c r="DZ993" s="773"/>
      <c r="EA993" s="773"/>
      <c r="EB993" s="773"/>
      <c r="EC993" s="773"/>
      <c r="ED993" s="773"/>
      <c r="EE993" s="773"/>
      <c r="EF993" s="773"/>
      <c r="EG993" s="773"/>
      <c r="EH993" s="773"/>
      <c r="EI993" s="773"/>
      <c r="EJ993" s="773"/>
      <c r="EK993" s="773"/>
      <c r="EL993" s="773"/>
      <c r="EM993" s="773"/>
      <c r="EN993" s="773"/>
      <c r="EO993" s="773"/>
      <c r="EP993" s="773"/>
      <c r="EQ993" s="773"/>
      <c r="ER993" s="773"/>
      <c r="ES993" s="773"/>
      <c r="ET993" s="773"/>
      <c r="EU993" s="773"/>
      <c r="EV993" s="773"/>
      <c r="EW993" s="773"/>
      <c r="EX993" s="773"/>
      <c r="EY993" s="773"/>
      <c r="EZ993" s="773"/>
      <c r="FA993" s="773"/>
      <c r="FB993" s="773"/>
      <c r="FC993" s="773"/>
      <c r="FD993" s="773"/>
      <c r="FE993" s="773"/>
      <c r="FF993" s="773"/>
      <c r="FG993" s="773"/>
      <c r="FH993" s="773"/>
      <c r="FI993" s="773"/>
      <c r="FJ993" s="773"/>
      <c r="FK993" s="773"/>
      <c r="FL993" s="773"/>
      <c r="FM993" s="773"/>
      <c r="FN993" s="773"/>
      <c r="FO993" s="773"/>
      <c r="FP993" s="773"/>
      <c r="FQ993" s="773"/>
      <c r="FR993" s="773"/>
      <c r="FS993" s="773"/>
      <c r="FT993" s="773"/>
      <c r="FU993" s="773"/>
      <c r="FV993" s="773"/>
      <c r="FW993" s="773"/>
      <c r="FX993" s="773"/>
      <c r="FY993" s="773"/>
      <c r="FZ993" s="773"/>
      <c r="GA993" s="773"/>
      <c r="GB993" s="773"/>
      <c r="GC993" s="773"/>
      <c r="GD993" s="773"/>
      <c r="GE993" s="773"/>
      <c r="GF993" s="773"/>
      <c r="GG993" s="773"/>
      <c r="GH993" s="773"/>
      <c r="GI993" s="773"/>
      <c r="GJ993" s="773"/>
      <c r="GK993" s="773"/>
      <c r="GL993" s="773"/>
      <c r="GM993" s="773"/>
      <c r="GN993" s="773"/>
      <c r="GO993" s="773"/>
      <c r="GP993" s="773"/>
      <c r="GQ993" s="773"/>
      <c r="GR993" s="773"/>
      <c r="GS993" s="773"/>
      <c r="GT993" s="773"/>
      <c r="GU993" s="773"/>
      <c r="GV993" s="773"/>
      <c r="GW993" s="773"/>
      <c r="GX993" s="773"/>
      <c r="GY993" s="773"/>
      <c r="GZ993" s="773"/>
    </row>
    <row r="994" spans="1:208" s="11" customFormat="1">
      <c r="A994" s="774"/>
      <c r="B994" s="3761" t="s">
        <v>1820</v>
      </c>
      <c r="C994" s="197">
        <v>7180007</v>
      </c>
      <c r="D994" s="200" t="s">
        <v>3929</v>
      </c>
      <c r="E994" s="769">
        <f>IFERROR(VLOOKUP(C994,'AJE 12 - INC'!$D$168:$F$871,3,0),0)</f>
        <v>17.440000000000001</v>
      </c>
      <c r="F994" s="108">
        <f>SUMIF('AJE 12 - INC'!B:B,'New TB INC'!C994,'AJE 12 - INC'!D:D)</f>
        <v>0</v>
      </c>
      <c r="G994" s="108"/>
      <c r="H994" s="108"/>
      <c r="I994" s="108"/>
      <c r="J994" s="798">
        <f>SUM(E994:I994)</f>
        <v>17.440000000000001</v>
      </c>
      <c r="K994" s="209"/>
      <c r="L994" s="434"/>
      <c r="M994" s="803"/>
      <c r="R994" s="773"/>
      <c r="T994" s="773"/>
      <c r="U994" s="2173"/>
      <c r="V994" s="2509"/>
      <c r="W994" s="2509"/>
      <c r="X994" s="2509"/>
      <c r="Y994" s="2509"/>
      <c r="AD994" s="11">
        <f>'[150]New TB INC'!AD924</f>
        <v>0</v>
      </c>
      <c r="AE994" s="11">
        <f>'[150]New TB INC'!AE924</f>
        <v>0</v>
      </c>
      <c r="AF994" s="11">
        <v>17</v>
      </c>
      <c r="AG994" s="11">
        <v>0.44000000000000128</v>
      </c>
      <c r="AH994" s="11">
        <v>0</v>
      </c>
      <c r="AI994" s="11">
        <v>0</v>
      </c>
      <c r="AJ994" s="11">
        <v>0</v>
      </c>
      <c r="AK994" s="11">
        <f>$J994-SUM($Z994:AJ994)</f>
        <v>0</v>
      </c>
      <c r="AW994" s="2509"/>
      <c r="BE994" s="2173"/>
      <c r="BF994" s="2173"/>
      <c r="BG994" s="2173"/>
      <c r="BH994" s="2173"/>
      <c r="BI994" s="2173"/>
      <c r="BJ994" s="2173"/>
      <c r="BK994" s="2173"/>
      <c r="BL994" s="773"/>
      <c r="BN994" s="773"/>
      <c r="CH994" s="878"/>
      <c r="CI994" s="4"/>
      <c r="CJ994" s="4"/>
      <c r="DB994" s="773"/>
      <c r="DC994" s="773"/>
      <c r="DD994" s="773"/>
      <c r="DE994" s="773"/>
      <c r="DF994" s="773"/>
      <c r="DG994" s="773"/>
      <c r="DH994" s="773"/>
      <c r="DI994" s="773"/>
      <c r="DJ994" s="773"/>
      <c r="DK994" s="773"/>
      <c r="DL994" s="773"/>
      <c r="DM994" s="773"/>
      <c r="DN994" s="773"/>
      <c r="DO994" s="773"/>
      <c r="DP994" s="773"/>
      <c r="DQ994" s="773"/>
      <c r="DR994" s="773"/>
      <c r="DS994" s="773"/>
      <c r="DT994" s="773"/>
      <c r="DU994" s="773"/>
      <c r="DV994" s="773"/>
      <c r="DW994" s="773"/>
      <c r="DX994" s="773"/>
      <c r="DY994" s="773"/>
      <c r="DZ994" s="773"/>
      <c r="EA994" s="773"/>
      <c r="EB994" s="773"/>
      <c r="EC994" s="773"/>
      <c r="ED994" s="773"/>
      <c r="EE994" s="773"/>
      <c r="EF994" s="773"/>
      <c r="EG994" s="773"/>
      <c r="EH994" s="773"/>
      <c r="EI994" s="773"/>
      <c r="EJ994" s="773"/>
      <c r="EK994" s="773"/>
      <c r="EL994" s="773"/>
      <c r="EM994" s="773"/>
      <c r="EN994" s="773"/>
      <c r="EO994" s="773"/>
      <c r="EP994" s="773"/>
      <c r="EQ994" s="773"/>
      <c r="ER994" s="773"/>
      <c r="ES994" s="773"/>
      <c r="ET994" s="773"/>
      <c r="EU994" s="773"/>
      <c r="EV994" s="773"/>
      <c r="EW994" s="773"/>
      <c r="EX994" s="773"/>
      <c r="EY994" s="773"/>
      <c r="EZ994" s="773"/>
      <c r="FA994" s="773"/>
      <c r="FB994" s="773"/>
      <c r="FC994" s="773"/>
      <c r="FD994" s="773"/>
      <c r="FE994" s="773"/>
      <c r="FF994" s="773"/>
      <c r="FG994" s="773"/>
      <c r="FH994" s="773"/>
      <c r="FI994" s="773"/>
      <c r="FJ994" s="773"/>
      <c r="FK994" s="773"/>
      <c r="FL994" s="773"/>
      <c r="FM994" s="773"/>
      <c r="FN994" s="773"/>
      <c r="FO994" s="773"/>
      <c r="FP994" s="773"/>
      <c r="FQ994" s="773"/>
      <c r="FR994" s="773"/>
      <c r="FS994" s="773"/>
      <c r="FT994" s="773"/>
      <c r="FU994" s="773"/>
      <c r="FV994" s="773"/>
      <c r="FW994" s="773"/>
      <c r="FX994" s="773"/>
      <c r="FY994" s="773"/>
      <c r="FZ994" s="773"/>
      <c r="GA994" s="773"/>
      <c r="GB994" s="773"/>
      <c r="GC994" s="773"/>
      <c r="GD994" s="773"/>
      <c r="GE994" s="773"/>
      <c r="GF994" s="773"/>
      <c r="GG994" s="773"/>
      <c r="GH994" s="773"/>
      <c r="GI994" s="773"/>
      <c r="GJ994" s="773"/>
      <c r="GK994" s="773"/>
      <c r="GL994" s="773"/>
      <c r="GM994" s="773"/>
      <c r="GN994" s="773"/>
      <c r="GO994" s="773"/>
      <c r="GP994" s="773"/>
      <c r="GQ994" s="773"/>
      <c r="GR994" s="773"/>
      <c r="GS994" s="773"/>
      <c r="GT994" s="773"/>
      <c r="GU994" s="773"/>
      <c r="GV994" s="773"/>
      <c r="GW994" s="773"/>
      <c r="GX994" s="773"/>
      <c r="GY994" s="773"/>
      <c r="GZ994" s="773"/>
    </row>
    <row r="995" spans="1:208" s="11" customFormat="1">
      <c r="A995" s="774"/>
      <c r="B995" s="3761" t="s">
        <v>1820</v>
      </c>
      <c r="C995" s="197">
        <v>7180009</v>
      </c>
      <c r="D995" s="200" t="s">
        <v>3930</v>
      </c>
      <c r="E995" s="769">
        <f>IFERROR(VLOOKUP(C995,'AJE 12 - INC'!$D$168:$F$871,3,0),0)</f>
        <v>179.4</v>
      </c>
      <c r="F995" s="108">
        <f>SUMIF('AJE 12 - INC'!B:B,'New TB INC'!C995,'AJE 12 - INC'!D:D)</f>
        <v>0</v>
      </c>
      <c r="G995" s="108"/>
      <c r="H995" s="108"/>
      <c r="I995" s="108"/>
      <c r="J995" s="798">
        <f>SUM(E995:I995)</f>
        <v>179.4</v>
      </c>
      <c r="K995" s="209"/>
      <c r="L995" s="434"/>
      <c r="M995" s="803"/>
      <c r="R995" s="773"/>
      <c r="T995" s="773"/>
      <c r="U995" s="2173"/>
      <c r="V995" s="2509"/>
      <c r="W995" s="2509"/>
      <c r="X995" s="2509"/>
      <c r="Y995" s="2509"/>
      <c r="AD995" s="11">
        <f>'[150]New TB INC'!AD925</f>
        <v>0</v>
      </c>
      <c r="AE995" s="11">
        <f>'[150]New TB INC'!AE925</f>
        <v>0</v>
      </c>
      <c r="AF995" s="11">
        <v>179</v>
      </c>
      <c r="AG995" s="11">
        <v>0.40000000000000568</v>
      </c>
      <c r="AH995" s="11">
        <v>0</v>
      </c>
      <c r="AI995" s="11">
        <v>0</v>
      </c>
      <c r="AJ995" s="11">
        <v>0</v>
      </c>
      <c r="AK995" s="11">
        <f>$J995-SUM($Z995:AJ995)</f>
        <v>0</v>
      </c>
      <c r="AW995" s="2509"/>
      <c r="BE995" s="2173"/>
      <c r="BF995" s="2173"/>
      <c r="BG995" s="2173"/>
      <c r="BH995" s="2173"/>
      <c r="BI995" s="2173"/>
      <c r="BJ995" s="2173"/>
      <c r="BK995" s="2173"/>
      <c r="BL995" s="773"/>
      <c r="BN995" s="773"/>
      <c r="CH995" s="878"/>
      <c r="CI995" s="4"/>
      <c r="CJ995" s="4"/>
      <c r="DB995" s="773"/>
      <c r="DC995" s="773"/>
      <c r="DD995" s="773"/>
      <c r="DE995" s="773"/>
      <c r="DF995" s="773"/>
      <c r="DG995" s="773"/>
      <c r="DH995" s="773"/>
      <c r="DI995" s="773"/>
      <c r="DJ995" s="773"/>
      <c r="DK995" s="773"/>
      <c r="DL995" s="773"/>
      <c r="DM995" s="773"/>
      <c r="DN995" s="773"/>
      <c r="DO995" s="773"/>
      <c r="DP995" s="773"/>
      <c r="DQ995" s="773"/>
      <c r="DR995" s="773"/>
      <c r="DS995" s="773"/>
      <c r="DT995" s="773"/>
      <c r="DU995" s="773"/>
      <c r="DV995" s="773"/>
      <c r="DW995" s="773"/>
      <c r="DX995" s="773"/>
      <c r="DY995" s="773"/>
      <c r="DZ995" s="773"/>
      <c r="EA995" s="773"/>
      <c r="EB995" s="773"/>
      <c r="EC995" s="773"/>
      <c r="ED995" s="773"/>
      <c r="EE995" s="773"/>
      <c r="EF995" s="773"/>
      <c r="EG995" s="773"/>
      <c r="EH995" s="773"/>
      <c r="EI995" s="773"/>
      <c r="EJ995" s="773"/>
      <c r="EK995" s="773"/>
      <c r="EL995" s="773"/>
      <c r="EM995" s="773"/>
      <c r="EN995" s="773"/>
      <c r="EO995" s="773"/>
      <c r="EP995" s="773"/>
      <c r="EQ995" s="773"/>
      <c r="ER995" s="773"/>
      <c r="ES995" s="773"/>
      <c r="ET995" s="773"/>
      <c r="EU995" s="773"/>
      <c r="EV995" s="773"/>
      <c r="EW995" s="773"/>
      <c r="EX995" s="773"/>
      <c r="EY995" s="773"/>
      <c r="EZ995" s="773"/>
      <c r="FA995" s="773"/>
      <c r="FB995" s="773"/>
      <c r="FC995" s="773"/>
      <c r="FD995" s="773"/>
      <c r="FE995" s="773"/>
      <c r="FF995" s="773"/>
      <c r="FG995" s="773"/>
      <c r="FH995" s="773"/>
      <c r="FI995" s="773"/>
      <c r="FJ995" s="773"/>
      <c r="FK995" s="773"/>
      <c r="FL995" s="773"/>
      <c r="FM995" s="773"/>
      <c r="FN995" s="773"/>
      <c r="FO995" s="773"/>
      <c r="FP995" s="773"/>
      <c r="FQ995" s="773"/>
      <c r="FR995" s="773"/>
      <c r="FS995" s="773"/>
      <c r="FT995" s="773"/>
      <c r="FU995" s="773"/>
      <c r="FV995" s="773"/>
      <c r="FW995" s="773"/>
      <c r="FX995" s="773"/>
      <c r="FY995" s="773"/>
      <c r="FZ995" s="773"/>
      <c r="GA995" s="773"/>
      <c r="GB995" s="773"/>
      <c r="GC995" s="773"/>
      <c r="GD995" s="773"/>
      <c r="GE995" s="773"/>
      <c r="GF995" s="773"/>
      <c r="GG995" s="773"/>
      <c r="GH995" s="773"/>
      <c r="GI995" s="773"/>
      <c r="GJ995" s="773"/>
      <c r="GK995" s="773"/>
      <c r="GL995" s="773"/>
      <c r="GM995" s="773"/>
      <c r="GN995" s="773"/>
      <c r="GO995" s="773"/>
      <c r="GP995" s="773"/>
      <c r="GQ995" s="773"/>
      <c r="GR995" s="773"/>
      <c r="GS995" s="773"/>
      <c r="GT995" s="773"/>
      <c r="GU995" s="773"/>
      <c r="GV995" s="773"/>
      <c r="GW995" s="773"/>
      <c r="GX995" s="773"/>
      <c r="GY995" s="773"/>
      <c r="GZ995" s="773"/>
    </row>
    <row r="996" spans="1:208" s="11" customFormat="1">
      <c r="A996" s="774"/>
      <c r="B996" s="3761"/>
      <c r="C996" s="197"/>
      <c r="D996" s="200"/>
      <c r="E996" s="42"/>
      <c r="F996" s="108"/>
      <c r="G996" s="108"/>
      <c r="H996" s="108"/>
      <c r="I996" s="108"/>
      <c r="J996" s="798"/>
      <c r="K996" s="209"/>
      <c r="L996" s="434"/>
      <c r="M996" s="803"/>
      <c r="N996" s="11">
        <v>0</v>
      </c>
      <c r="O996" s="11">
        <v>0</v>
      </c>
      <c r="P996" s="11">
        <v>0</v>
      </c>
      <c r="Q996" s="11">
        <v>0</v>
      </c>
      <c r="R996" s="773">
        <v>0</v>
      </c>
      <c r="S996" s="11">
        <v>0</v>
      </c>
      <c r="T996" s="773">
        <v>0</v>
      </c>
      <c r="U996" s="2173">
        <v>0</v>
      </c>
      <c r="V996" s="2509">
        <v>0</v>
      </c>
      <c r="W996" s="2509">
        <v>0</v>
      </c>
      <c r="X996" s="2509">
        <v>0</v>
      </c>
      <c r="Y996" s="2509">
        <v>0</v>
      </c>
      <c r="Z996" s="11">
        <f>'[26]New TB INC'!Z917</f>
        <v>0</v>
      </c>
      <c r="AA996" s="11">
        <f>'[27]New TB INC'!AA915</f>
        <v>0</v>
      </c>
      <c r="AB996" s="11">
        <f>'[28]New TB INC'!AB924</f>
        <v>0</v>
      </c>
      <c r="AC996" s="11">
        <f>'[29]New TB INC'!AC925</f>
        <v>0</v>
      </c>
      <c r="AD996" s="11">
        <f>'[150]New TB INC'!AD926</f>
        <v>0</v>
      </c>
      <c r="AE996" s="11">
        <f>'[150]New TB INC'!AE926</f>
        <v>0</v>
      </c>
      <c r="AF996" s="11">
        <v>0</v>
      </c>
      <c r="AG996" s="11">
        <v>0</v>
      </c>
      <c r="AH996" s="11">
        <v>0</v>
      </c>
      <c r="AI996" s="11">
        <v>0</v>
      </c>
      <c r="AJ996" s="11">
        <v>0</v>
      </c>
      <c r="AK996" s="11">
        <f>$J996-SUM($Z996:AJ996)</f>
        <v>0</v>
      </c>
      <c r="AW996" s="2509"/>
      <c r="BE996" s="2173"/>
      <c r="BF996" s="2173"/>
      <c r="BG996" s="2173"/>
      <c r="BH996" s="2173"/>
      <c r="BI996" s="2173"/>
      <c r="BJ996" s="2173"/>
      <c r="BK996" s="2173"/>
      <c r="BL996" s="773"/>
      <c r="BN996" s="773"/>
      <c r="CH996" s="878"/>
      <c r="CI996" s="4"/>
      <c r="CJ996" s="4"/>
      <c r="DB996" s="773"/>
      <c r="DC996" s="773"/>
      <c r="DD996" s="773"/>
      <c r="DE996" s="773"/>
      <c r="DF996" s="773"/>
      <c r="DG996" s="773"/>
      <c r="DH996" s="773"/>
      <c r="DI996" s="773"/>
      <c r="DJ996" s="773"/>
      <c r="DK996" s="773"/>
      <c r="DL996" s="773"/>
      <c r="DM996" s="773"/>
      <c r="DN996" s="773"/>
      <c r="DO996" s="773"/>
      <c r="DP996" s="773"/>
      <c r="DQ996" s="773"/>
      <c r="DR996" s="773"/>
      <c r="DS996" s="773"/>
      <c r="DT996" s="773"/>
      <c r="DU996" s="773"/>
      <c r="DV996" s="773"/>
      <c r="DW996" s="773"/>
      <c r="DX996" s="773"/>
      <c r="DY996" s="773"/>
      <c r="DZ996" s="773"/>
      <c r="EA996" s="773"/>
      <c r="EB996" s="773"/>
      <c r="EC996" s="773"/>
      <c r="ED996" s="773"/>
      <c r="EE996" s="773"/>
      <c r="EF996" s="773"/>
      <c r="EG996" s="773"/>
      <c r="EH996" s="773"/>
      <c r="EI996" s="773"/>
      <c r="EJ996" s="773"/>
      <c r="EK996" s="773"/>
      <c r="EL996" s="773"/>
      <c r="EM996" s="773"/>
      <c r="EN996" s="773"/>
      <c r="EO996" s="773"/>
      <c r="EP996" s="773"/>
      <c r="EQ996" s="773"/>
      <c r="ER996" s="773"/>
      <c r="ES996" s="773"/>
      <c r="ET996" s="773"/>
      <c r="EU996" s="773"/>
      <c r="EV996" s="773"/>
      <c r="EW996" s="773"/>
      <c r="EX996" s="773"/>
      <c r="EY996" s="773"/>
      <c r="EZ996" s="773"/>
      <c r="FA996" s="773"/>
      <c r="FB996" s="773"/>
      <c r="FC996" s="773"/>
      <c r="FD996" s="773"/>
      <c r="FE996" s="773"/>
      <c r="FF996" s="773"/>
      <c r="FG996" s="773"/>
      <c r="FH996" s="773"/>
      <c r="FI996" s="773"/>
      <c r="FJ996" s="773"/>
      <c r="FK996" s="773"/>
      <c r="FL996" s="773"/>
      <c r="FM996" s="773"/>
      <c r="FN996" s="773"/>
      <c r="FO996" s="773"/>
      <c r="FP996" s="773"/>
      <c r="FQ996" s="773"/>
      <c r="FR996" s="773"/>
      <c r="FS996" s="773"/>
      <c r="FT996" s="773"/>
      <c r="FU996" s="773"/>
      <c r="FV996" s="773"/>
      <c r="FW996" s="773"/>
      <c r="FX996" s="773"/>
      <c r="FY996" s="773"/>
      <c r="FZ996" s="773"/>
      <c r="GA996" s="773"/>
      <c r="GB996" s="773"/>
      <c r="GC996" s="773"/>
      <c r="GD996" s="773"/>
      <c r="GE996" s="773"/>
      <c r="GF996" s="773"/>
      <c r="GG996" s="773"/>
      <c r="GH996" s="773"/>
      <c r="GI996" s="773"/>
      <c r="GJ996" s="773"/>
      <c r="GK996" s="773"/>
      <c r="GL996" s="773"/>
      <c r="GM996" s="773"/>
      <c r="GN996" s="773"/>
      <c r="GO996" s="773"/>
      <c r="GP996" s="773"/>
      <c r="GQ996" s="773"/>
      <c r="GR996" s="773"/>
      <c r="GS996" s="773"/>
      <c r="GT996" s="773"/>
      <c r="GU996" s="773"/>
      <c r="GV996" s="773"/>
      <c r="GW996" s="773"/>
      <c r="GX996" s="773"/>
      <c r="GY996" s="773"/>
      <c r="GZ996" s="773"/>
    </row>
    <row r="997" spans="1:208" s="11" customFormat="1">
      <c r="A997" s="774"/>
      <c r="B997" s="3761" t="s">
        <v>3418</v>
      </c>
      <c r="C997" s="197">
        <v>7029999</v>
      </c>
      <c r="D997" s="200" t="s">
        <v>1614</v>
      </c>
      <c r="E997" s="769">
        <f>IFERROR(VLOOKUP(C997,'AJE 12 - INC'!$D$168:$F$871,3,0),0)</f>
        <v>269470.88</v>
      </c>
      <c r="F997" s="108">
        <f>SUMIF('AJE 12 - INC'!B:B,'New TB INC'!C997,'AJE 12 - INC'!D:D)</f>
        <v>0</v>
      </c>
      <c r="G997" s="108"/>
      <c r="H997" s="108"/>
      <c r="I997" s="108"/>
      <c r="J997" s="798">
        <f>SUM(E997:I997)</f>
        <v>269470.88</v>
      </c>
      <c r="K997" s="209"/>
      <c r="L997" s="449"/>
      <c r="M997" s="803"/>
      <c r="N997" s="11">
        <v>67665.98000000001</v>
      </c>
      <c r="O997" s="11">
        <v>14147.424999999988</v>
      </c>
      <c r="P997" s="11">
        <v>-13254.648238095251</v>
      </c>
      <c r="Q997" s="11">
        <v>11566.918285714288</v>
      </c>
      <c r="R997" s="773">
        <v>11607.032571428572</v>
      </c>
      <c r="S997" s="11">
        <v>38660.719428571436</v>
      </c>
      <c r="T997" s="773">
        <v>16550.406285714271</v>
      </c>
      <c r="U997" s="2173">
        <v>14981.589619047649</v>
      </c>
      <c r="V997" s="2509">
        <v>15160.817047619028</v>
      </c>
      <c r="W997" s="2509">
        <v>28025.181809523812</v>
      </c>
      <c r="X997" s="2509">
        <v>18187.427714285761</v>
      </c>
      <c r="Y997" s="2509">
        <v>51183.940476190415</v>
      </c>
      <c r="Z997" s="11">
        <f>'[26]New TB INC'!Z918</f>
        <v>16378.386896551721</v>
      </c>
      <c r="AA997" s="11">
        <f>'[27]New TB INC'!AA916</f>
        <v>13263.371379310349</v>
      </c>
      <c r="AB997" s="11">
        <f>'[28]New TB INC'!AB925</f>
        <v>23369.06172413793</v>
      </c>
      <c r="AC997" s="11">
        <f>'[29]New TB INC'!AC926</f>
        <v>31794.830758620701</v>
      </c>
      <c r="AD997" s="11">
        <f>'[150]New TB INC'!AD927</f>
        <v>49080.505034482776</v>
      </c>
      <c r="AE997" s="11">
        <f>'[150]New TB INC'!AE927</f>
        <v>0</v>
      </c>
      <c r="AF997" s="11">
        <v>19589.761396551708</v>
      </c>
      <c r="AG997" s="11">
        <v>20504.80717241377</v>
      </c>
      <c r="AH997" s="11">
        <v>18073.035637931054</v>
      </c>
      <c r="AI997" s="11">
        <v>31716.712327586196</v>
      </c>
      <c r="AJ997" s="11">
        <v>21296.926655172399</v>
      </c>
      <c r="AK997" s="11">
        <f>$J997-SUM($Z997:AJ997)</f>
        <v>24403.4810172414</v>
      </c>
      <c r="AW997" s="2812" t="s">
        <v>3142</v>
      </c>
      <c r="BE997" s="2173"/>
      <c r="BF997" s="2173"/>
      <c r="BG997" s="2173"/>
      <c r="BH997" s="2173"/>
      <c r="BI997" s="2173"/>
      <c r="BJ997" s="2173"/>
      <c r="BK997" s="2173"/>
      <c r="BL997" s="773"/>
      <c r="BN997" s="773"/>
      <c r="CH997" s="878"/>
      <c r="CI997" s="4"/>
      <c r="CJ997" s="4"/>
      <c r="DB997" s="773"/>
      <c r="DC997" s="773"/>
      <c r="DD997" s="773"/>
      <c r="DE997" s="773"/>
      <c r="DF997" s="773"/>
      <c r="DG997" s="773"/>
      <c r="DH997" s="773"/>
      <c r="DI997" s="773"/>
      <c r="DJ997" s="773"/>
      <c r="DK997" s="773"/>
      <c r="DL997" s="773"/>
      <c r="DM997" s="773"/>
      <c r="DN997" s="773"/>
      <c r="DO997" s="773"/>
      <c r="DP997" s="773"/>
      <c r="DQ997" s="773"/>
      <c r="DR997" s="773"/>
      <c r="DS997" s="773"/>
      <c r="DT997" s="773"/>
      <c r="DU997" s="773"/>
      <c r="DV997" s="773"/>
      <c r="DW997" s="773"/>
      <c r="DX997" s="773"/>
      <c r="DY997" s="773"/>
      <c r="DZ997" s="773"/>
      <c r="EA997" s="773"/>
      <c r="EB997" s="773"/>
      <c r="EC997" s="773"/>
      <c r="ED997" s="773"/>
      <c r="EE997" s="773"/>
      <c r="EF997" s="773"/>
      <c r="EG997" s="773"/>
      <c r="EH997" s="773"/>
      <c r="EI997" s="773"/>
      <c r="EJ997" s="773"/>
      <c r="EK997" s="773"/>
      <c r="EL997" s="773"/>
      <c r="EM997" s="773"/>
      <c r="EN997" s="773"/>
      <c r="EO997" s="773"/>
      <c r="EP997" s="773"/>
      <c r="EQ997" s="773"/>
      <c r="ER997" s="773"/>
      <c r="ES997" s="773"/>
      <c r="ET997" s="773"/>
      <c r="EU997" s="773"/>
      <c r="EV997" s="773"/>
      <c r="EW997" s="773"/>
      <c r="EX997" s="773"/>
      <c r="EY997" s="773"/>
      <c r="EZ997" s="773"/>
      <c r="FA997" s="773"/>
      <c r="FB997" s="773"/>
      <c r="FC997" s="773"/>
      <c r="FD997" s="773"/>
      <c r="FE997" s="773"/>
      <c r="FF997" s="773"/>
      <c r="FG997" s="773"/>
      <c r="FH997" s="773"/>
      <c r="FI997" s="773"/>
      <c r="FJ997" s="773"/>
      <c r="FK997" s="773"/>
      <c r="FL997" s="773"/>
      <c r="FM997" s="773"/>
      <c r="FN997" s="773"/>
      <c r="FO997" s="773"/>
      <c r="FP997" s="773"/>
      <c r="FQ997" s="773"/>
      <c r="FR997" s="773"/>
      <c r="FS997" s="773"/>
      <c r="FT997" s="773"/>
      <c r="FU997" s="773"/>
      <c r="FV997" s="773"/>
      <c r="FW997" s="773"/>
      <c r="FX997" s="773"/>
      <c r="FY997" s="773"/>
      <c r="FZ997" s="773"/>
      <c r="GA997" s="773"/>
      <c r="GB997" s="773"/>
      <c r="GC997" s="773"/>
      <c r="GD997" s="773"/>
      <c r="GE997" s="773"/>
      <c r="GF997" s="773"/>
      <c r="GG997" s="773"/>
      <c r="GH997" s="773"/>
      <c r="GI997" s="773"/>
      <c r="GJ997" s="773"/>
      <c r="GK997" s="773"/>
      <c r="GL997" s="773"/>
      <c r="GM997" s="773"/>
      <c r="GN997" s="773"/>
      <c r="GO997" s="773"/>
      <c r="GP997" s="773"/>
      <c r="GQ997" s="773"/>
      <c r="GR997" s="773"/>
      <c r="GS997" s="773"/>
      <c r="GT997" s="773"/>
      <c r="GU997" s="773"/>
      <c r="GV997" s="773"/>
      <c r="GW997" s="773"/>
      <c r="GX997" s="773"/>
      <c r="GY997" s="773"/>
      <c r="GZ997" s="773"/>
    </row>
    <row r="998" spans="1:208" s="773" customFormat="1" ht="13.5" thickBot="1">
      <c r="A998" s="774"/>
      <c r="B998" s="3761"/>
      <c r="C998" s="157"/>
      <c r="D998" s="111"/>
      <c r="E998" s="42"/>
      <c r="F998" s="108"/>
      <c r="G998" s="108"/>
      <c r="H998" s="108"/>
      <c r="I998" s="108"/>
      <c r="J998" s="798"/>
      <c r="K998" s="209"/>
      <c r="L998" s="449"/>
      <c r="M998" s="803"/>
      <c r="N998" s="11">
        <v>0</v>
      </c>
      <c r="O998" s="11">
        <v>0</v>
      </c>
      <c r="P998" s="11">
        <v>0</v>
      </c>
      <c r="Q998" s="11">
        <v>0</v>
      </c>
      <c r="R998" s="773">
        <v>0</v>
      </c>
      <c r="S998" s="11">
        <v>0</v>
      </c>
      <c r="T998" s="773">
        <v>0</v>
      </c>
      <c r="U998" s="2173">
        <v>0</v>
      </c>
      <c r="V998" s="2509">
        <v>0</v>
      </c>
      <c r="W998" s="2509">
        <v>0</v>
      </c>
      <c r="X998" s="2509">
        <v>0</v>
      </c>
      <c r="Y998" s="2509">
        <v>0</v>
      </c>
      <c r="Z998" s="11">
        <f>'[26]New TB INC'!Z919</f>
        <v>0</v>
      </c>
      <c r="AA998" s="11">
        <f>'[27]New TB INC'!AA917</f>
        <v>0</v>
      </c>
      <c r="AB998" s="11">
        <f>'[28]New TB INC'!AB926</f>
        <v>0</v>
      </c>
      <c r="AC998" s="11">
        <f>'[29]New TB INC'!AC927</f>
        <v>0</v>
      </c>
      <c r="AD998" s="11">
        <f>'[150]New TB INC'!AD928</f>
        <v>0</v>
      </c>
      <c r="AE998" s="11">
        <f>'[150]New TB INC'!AE928</f>
        <v>0</v>
      </c>
      <c r="AF998" s="11">
        <v>0</v>
      </c>
      <c r="AG998" s="11">
        <v>0</v>
      </c>
      <c r="AH998" s="11">
        <v>0</v>
      </c>
      <c r="AI998" s="11">
        <v>0</v>
      </c>
      <c r="AJ998" s="11">
        <v>0</v>
      </c>
      <c r="AK998" s="11">
        <f>$J998-SUM($Z998:AJ998)</f>
        <v>0</v>
      </c>
      <c r="AL998" s="11"/>
      <c r="AM998" s="11"/>
      <c r="AN998" s="11"/>
      <c r="AO998" s="11"/>
      <c r="AP998" s="11"/>
      <c r="AQ998" s="11"/>
      <c r="AR998" s="11"/>
      <c r="AS998" s="11"/>
      <c r="AT998" s="11"/>
      <c r="AU998" s="11"/>
      <c r="AW998" s="2509"/>
      <c r="BE998" s="2173"/>
      <c r="BF998" s="2173"/>
      <c r="BG998" s="2173"/>
      <c r="BH998" s="2173"/>
      <c r="BI998" s="2173"/>
      <c r="BJ998" s="2173"/>
      <c r="BK998" s="2173"/>
      <c r="BM998" s="11"/>
      <c r="BO998" s="820"/>
      <c r="BP998" s="11"/>
      <c r="BQ998" s="11"/>
      <c r="BR998" s="11"/>
      <c r="BS998" s="11"/>
      <c r="CH998" s="901"/>
      <c r="CI998" s="9"/>
      <c r="CJ998" s="9"/>
    </row>
    <row r="999" spans="1:208" s="11" customFormat="1" ht="13.5" thickBot="1">
      <c r="A999" s="774"/>
      <c r="B999" s="3761"/>
      <c r="C999" s="844"/>
      <c r="D999" s="177"/>
      <c r="E999" s="907">
        <f t="shared" ref="E999:J999" si="98">SUM(E772:E998)</f>
        <v>9892955.1799999997</v>
      </c>
      <c r="F999" s="907">
        <f t="shared" si="98"/>
        <v>0</v>
      </c>
      <c r="G999" s="907">
        <f t="shared" si="98"/>
        <v>0</v>
      </c>
      <c r="H999" s="907">
        <f t="shared" si="98"/>
        <v>0</v>
      </c>
      <c r="I999" s="907">
        <f t="shared" si="98"/>
        <v>0</v>
      </c>
      <c r="J999" s="907">
        <f t="shared" si="98"/>
        <v>9892955.1799999997</v>
      </c>
      <c r="K999" s="209"/>
      <c r="L999" s="449"/>
      <c r="M999" s="803"/>
      <c r="N999" s="11">
        <v>773997.8</v>
      </c>
      <c r="O999" s="11">
        <v>721678.49499999918</v>
      </c>
      <c r="P999" s="11">
        <v>856194.43311471189</v>
      </c>
      <c r="Q999" s="11">
        <v>517279.03719952051</v>
      </c>
      <c r="R999" s="773">
        <v>620634.40230481536</v>
      </c>
      <c r="S999" s="11">
        <v>1605632.0394285719</v>
      </c>
      <c r="T999" s="773">
        <v>560696.96628571511</v>
      </c>
      <c r="U999" s="2173">
        <v>635169.90961904824</v>
      </c>
      <c r="V999" s="2509">
        <v>1182136.1870476222</v>
      </c>
      <c r="W999" s="2509">
        <v>583346.47180952318</v>
      </c>
      <c r="X999" s="2509">
        <v>735952.88771428447</v>
      </c>
      <c r="Y999" s="2509">
        <v>972924.7004761938</v>
      </c>
      <c r="Z999" s="11">
        <f>'[26]New TB INC'!Z920</f>
        <v>667256.42689655151</v>
      </c>
      <c r="AA999" s="11">
        <f>'[27]New TB INC'!AA918</f>
        <v>461179.72137931071</v>
      </c>
      <c r="AB999" s="11">
        <f>'[28]New TB INC'!AB927</f>
        <v>1199387.8517241378</v>
      </c>
      <c r="AC999" s="11">
        <f>'[29]New TB INC'!AC928</f>
        <v>551540.98075861996</v>
      </c>
      <c r="AD999" s="11">
        <f>'[150]New TB INC'!AD929</f>
        <v>1659172.6450344832</v>
      </c>
      <c r="AE999" s="11">
        <f>'[150]New TB INC'!AE929</f>
        <v>0</v>
      </c>
      <c r="AF999" s="11">
        <v>557533.51139655244</v>
      </c>
      <c r="AG999" s="11">
        <v>765611.04717241414</v>
      </c>
      <c r="AH999" s="11">
        <v>1033336.1056379313</v>
      </c>
      <c r="AI999" s="11">
        <v>555807.74232758582</v>
      </c>
      <c r="AJ999" s="11">
        <v>776215.35665517114</v>
      </c>
      <c r="AK999" s="11">
        <f>$J999-SUM($Z999:AJ999)</f>
        <v>1665913.7910172418</v>
      </c>
      <c r="AW999" s="2509"/>
      <c r="BE999" s="2173"/>
      <c r="BF999" s="2173"/>
      <c r="BG999" s="2173"/>
      <c r="BH999" s="2173"/>
      <c r="BI999" s="2173"/>
      <c r="BJ999" s="2173"/>
      <c r="BK999" s="2173"/>
      <c r="BL999" s="773"/>
      <c r="BN999" s="773"/>
      <c r="BO999" s="487"/>
      <c r="BP999" s="799"/>
      <c r="BS999" s="773"/>
      <c r="CH999" s="878"/>
      <c r="CI999" s="4"/>
      <c r="CJ999" s="4"/>
      <c r="DB999" s="773"/>
      <c r="DC999" s="773"/>
      <c r="DD999" s="773"/>
      <c r="DE999" s="773"/>
      <c r="DF999" s="773"/>
      <c r="DG999" s="773"/>
      <c r="DH999" s="773"/>
      <c r="DI999" s="773"/>
      <c r="DJ999" s="773"/>
      <c r="DK999" s="773"/>
      <c r="DL999" s="773"/>
      <c r="DM999" s="773"/>
      <c r="DN999" s="773"/>
      <c r="DO999" s="773"/>
      <c r="DP999" s="773"/>
      <c r="DQ999" s="773"/>
      <c r="DR999" s="773"/>
      <c r="DS999" s="773"/>
      <c r="DT999" s="773"/>
      <c r="DU999" s="773"/>
      <c r="DV999" s="773"/>
      <c r="DW999" s="773"/>
      <c r="DX999" s="773"/>
      <c r="DY999" s="773"/>
      <c r="DZ999" s="773"/>
      <c r="EA999" s="773"/>
      <c r="EB999" s="773"/>
      <c r="EC999" s="773"/>
      <c r="ED999" s="773"/>
      <c r="EE999" s="773"/>
      <c r="EF999" s="773"/>
      <c r="EG999" s="773"/>
      <c r="EH999" s="773"/>
      <c r="EI999" s="773"/>
      <c r="EJ999" s="773"/>
      <c r="EK999" s="773"/>
      <c r="EL999" s="773"/>
      <c r="EM999" s="773"/>
      <c r="EN999" s="773"/>
      <c r="EO999" s="773"/>
      <c r="EP999" s="773"/>
      <c r="EQ999" s="773"/>
      <c r="ER999" s="773"/>
      <c r="ES999" s="773"/>
      <c r="ET999" s="773"/>
      <c r="EU999" s="773"/>
      <c r="EV999" s="773"/>
      <c r="EW999" s="773"/>
      <c r="EX999" s="773"/>
      <c r="EY999" s="773"/>
      <c r="EZ999" s="773"/>
      <c r="FA999" s="773"/>
      <c r="FB999" s="773"/>
      <c r="FC999" s="773"/>
      <c r="FD999" s="773"/>
      <c r="FE999" s="773"/>
      <c r="FF999" s="773"/>
      <c r="FG999" s="773"/>
      <c r="FH999" s="773"/>
      <c r="FI999" s="773"/>
      <c r="FJ999" s="773"/>
      <c r="FK999" s="773"/>
      <c r="FL999" s="773"/>
      <c r="FM999" s="773"/>
      <c r="FN999" s="773"/>
      <c r="FO999" s="773"/>
      <c r="FP999" s="773"/>
      <c r="FQ999" s="773"/>
      <c r="FR999" s="773"/>
      <c r="FS999" s="773"/>
      <c r="FT999" s="773"/>
      <c r="FU999" s="773"/>
      <c r="FV999" s="773"/>
      <c r="FW999" s="773"/>
      <c r="FX999" s="773"/>
      <c r="FY999" s="773"/>
      <c r="FZ999" s="773"/>
      <c r="GA999" s="773"/>
      <c r="GB999" s="773"/>
      <c r="GC999" s="773"/>
      <c r="GD999" s="773"/>
      <c r="GE999" s="773"/>
      <c r="GF999" s="773"/>
      <c r="GG999" s="773"/>
      <c r="GH999" s="773"/>
      <c r="GI999" s="773"/>
      <c r="GJ999" s="773"/>
      <c r="GK999" s="773"/>
      <c r="GL999" s="773"/>
      <c r="GM999" s="773"/>
      <c r="GN999" s="773"/>
      <c r="GO999" s="773"/>
      <c r="GP999" s="773"/>
      <c r="GQ999" s="773"/>
      <c r="GR999" s="773"/>
      <c r="GS999" s="773"/>
      <c r="GT999" s="773"/>
      <c r="GU999" s="773"/>
      <c r="GV999" s="773"/>
      <c r="GW999" s="773"/>
      <c r="GX999" s="773"/>
      <c r="GY999" s="773"/>
      <c r="GZ999" s="773"/>
    </row>
    <row r="1000" spans="1:208" s="11" customFormat="1">
      <c r="A1000" s="774"/>
      <c r="B1000" s="3761"/>
      <c r="C1000" s="890"/>
      <c r="D1000" s="111"/>
      <c r="E1000" s="42"/>
      <c r="F1000" s="108"/>
      <c r="G1000" s="2953"/>
      <c r="H1000" s="108"/>
      <c r="I1000" s="108"/>
      <c r="J1000" s="798"/>
      <c r="K1000" s="209"/>
      <c r="L1000" s="449"/>
      <c r="M1000" s="803"/>
      <c r="N1000" s="11">
        <v>0</v>
      </c>
      <c r="O1000" s="11">
        <v>0</v>
      </c>
      <c r="P1000" s="11">
        <v>0</v>
      </c>
      <c r="Q1000" s="11">
        <v>0</v>
      </c>
      <c r="R1000" s="773">
        <v>0</v>
      </c>
      <c r="S1000" s="11">
        <v>0</v>
      </c>
      <c r="T1000" s="773">
        <v>0</v>
      </c>
      <c r="U1000" s="2173">
        <v>0</v>
      </c>
      <c r="V1000" s="2509">
        <v>0</v>
      </c>
      <c r="W1000" s="2509">
        <v>0</v>
      </c>
      <c r="X1000" s="2509">
        <v>0</v>
      </c>
      <c r="Y1000" s="2509">
        <v>0</v>
      </c>
      <c r="Z1000" s="11">
        <f>'[26]New TB INC'!Z921</f>
        <v>0</v>
      </c>
      <c r="AA1000" s="11">
        <f>'[27]New TB INC'!AA919</f>
        <v>0</v>
      </c>
      <c r="AB1000" s="11">
        <f>'[28]New TB INC'!AB928</f>
        <v>0</v>
      </c>
      <c r="AC1000" s="11">
        <f>'[29]New TB INC'!AC929</f>
        <v>0</v>
      </c>
      <c r="AD1000" s="11">
        <f>'[150]New TB INC'!AD930</f>
        <v>0</v>
      </c>
      <c r="AE1000" s="11">
        <f>'[150]New TB INC'!AE930</f>
        <v>0</v>
      </c>
      <c r="AF1000" s="11">
        <v>0</v>
      </c>
      <c r="AG1000" s="11">
        <v>0</v>
      </c>
      <c r="AH1000" s="11">
        <v>0</v>
      </c>
      <c r="AI1000" s="11">
        <v>0</v>
      </c>
      <c r="AJ1000" s="11">
        <v>0</v>
      </c>
      <c r="AK1000" s="11">
        <f>$J1000-SUM($Z1000:AJ1000)</f>
        <v>0</v>
      </c>
      <c r="AW1000" s="2509"/>
      <c r="BE1000" s="2173"/>
      <c r="BF1000" s="2173"/>
      <c r="BG1000" s="2173"/>
      <c r="BH1000" s="2173"/>
      <c r="BI1000" s="2173"/>
      <c r="BJ1000" s="2173"/>
      <c r="BK1000" s="2173"/>
      <c r="BL1000" s="773"/>
      <c r="BM1000" s="772"/>
      <c r="BN1000" s="773"/>
      <c r="BO1000" s="820"/>
      <c r="BQ1000" s="773"/>
      <c r="BR1000" s="773"/>
      <c r="CH1000" s="878"/>
      <c r="CI1000" s="4"/>
      <c r="CJ1000" s="4"/>
      <c r="DB1000" s="773"/>
      <c r="DC1000" s="773"/>
      <c r="DD1000" s="773"/>
      <c r="DE1000" s="773"/>
      <c r="DF1000" s="773"/>
      <c r="DG1000" s="773"/>
      <c r="DH1000" s="773"/>
      <c r="DI1000" s="773"/>
      <c r="DJ1000" s="773"/>
      <c r="DK1000" s="773"/>
      <c r="DL1000" s="773"/>
      <c r="DM1000" s="773"/>
      <c r="DN1000" s="773"/>
      <c r="DO1000" s="773"/>
      <c r="DP1000" s="773"/>
      <c r="DQ1000" s="773"/>
      <c r="DR1000" s="773"/>
      <c r="DS1000" s="773"/>
      <c r="DT1000" s="773"/>
      <c r="DU1000" s="773"/>
      <c r="DV1000" s="773"/>
      <c r="DW1000" s="773"/>
      <c r="DX1000" s="773"/>
      <c r="DY1000" s="773"/>
      <c r="DZ1000" s="773"/>
      <c r="EA1000" s="773"/>
      <c r="EB1000" s="773"/>
      <c r="EC1000" s="773"/>
      <c r="ED1000" s="773"/>
      <c r="EE1000" s="773"/>
      <c r="EF1000" s="773"/>
      <c r="EG1000" s="773"/>
      <c r="EH1000" s="773"/>
      <c r="EI1000" s="773"/>
      <c r="EJ1000" s="773"/>
      <c r="EK1000" s="773"/>
      <c r="EL1000" s="773"/>
      <c r="EM1000" s="773"/>
      <c r="EN1000" s="773"/>
      <c r="EO1000" s="773"/>
      <c r="EP1000" s="773"/>
      <c r="EQ1000" s="773"/>
      <c r="ER1000" s="773"/>
      <c r="ES1000" s="773"/>
      <c r="ET1000" s="773"/>
      <c r="EU1000" s="773"/>
      <c r="EV1000" s="773"/>
      <c r="EW1000" s="773"/>
      <c r="EX1000" s="773"/>
      <c r="EY1000" s="773"/>
      <c r="EZ1000" s="773"/>
      <c r="FA1000" s="773"/>
      <c r="FB1000" s="773"/>
      <c r="FC1000" s="773"/>
      <c r="FD1000" s="773"/>
      <c r="FE1000" s="773"/>
      <c r="FF1000" s="773"/>
      <c r="FG1000" s="773"/>
      <c r="FH1000" s="773"/>
      <c r="FI1000" s="773"/>
      <c r="FJ1000" s="773"/>
      <c r="FK1000" s="773"/>
      <c r="FL1000" s="773"/>
      <c r="FM1000" s="773"/>
      <c r="FN1000" s="773"/>
      <c r="FO1000" s="773"/>
      <c r="FP1000" s="773"/>
      <c r="FQ1000" s="773"/>
      <c r="FR1000" s="773"/>
      <c r="FS1000" s="773"/>
      <c r="FT1000" s="773"/>
      <c r="FU1000" s="773"/>
      <c r="FV1000" s="773"/>
      <c r="FW1000" s="773"/>
      <c r="FX1000" s="773"/>
      <c r="FY1000" s="773"/>
      <c r="FZ1000" s="773"/>
      <c r="GA1000" s="773"/>
      <c r="GB1000" s="773"/>
      <c r="GC1000" s="773"/>
      <c r="GD1000" s="773"/>
      <c r="GE1000" s="773"/>
      <c r="GF1000" s="773"/>
      <c r="GG1000" s="773"/>
      <c r="GH1000" s="773"/>
      <c r="GI1000" s="773"/>
      <c r="GJ1000" s="773"/>
      <c r="GK1000" s="773"/>
      <c r="GL1000" s="773"/>
      <c r="GM1000" s="773"/>
      <c r="GN1000" s="773"/>
      <c r="GO1000" s="773"/>
      <c r="GP1000" s="773"/>
      <c r="GQ1000" s="773"/>
      <c r="GR1000" s="773"/>
      <c r="GS1000" s="773"/>
      <c r="GT1000" s="773"/>
      <c r="GU1000" s="773"/>
      <c r="GV1000" s="773"/>
      <c r="GW1000" s="773"/>
      <c r="GX1000" s="773"/>
      <c r="GY1000" s="773"/>
      <c r="GZ1000" s="773"/>
    </row>
    <row r="1001" spans="1:208" s="11" customFormat="1">
      <c r="A1001" s="774"/>
      <c r="B1001" s="3761"/>
      <c r="C1001" s="848"/>
      <c r="D1001" s="930"/>
      <c r="E1001" s="2952"/>
      <c r="F1001" s="903"/>
      <c r="G1001" s="903"/>
      <c r="H1001" s="903"/>
      <c r="I1001" s="903"/>
      <c r="J1001" s="903"/>
      <c r="K1001" s="209"/>
      <c r="L1001" s="434"/>
      <c r="M1001" s="803"/>
      <c r="N1001" s="11">
        <v>0</v>
      </c>
      <c r="O1001" s="11">
        <v>0</v>
      </c>
      <c r="P1001" s="11">
        <v>0</v>
      </c>
      <c r="Q1001" s="11">
        <v>0</v>
      </c>
      <c r="R1001" s="773">
        <v>0</v>
      </c>
      <c r="S1001" s="11">
        <v>0</v>
      </c>
      <c r="T1001" s="773">
        <v>0</v>
      </c>
      <c r="U1001" s="2173">
        <v>0</v>
      </c>
      <c r="V1001" s="2509">
        <v>0</v>
      </c>
      <c r="W1001" s="2509">
        <v>0</v>
      </c>
      <c r="X1001" s="2509">
        <v>0</v>
      </c>
      <c r="Y1001" s="2509">
        <v>0</v>
      </c>
      <c r="Z1001" s="11">
        <f>'[26]New TB INC'!Z925</f>
        <v>0</v>
      </c>
      <c r="AA1001" s="11">
        <f>'[27]New TB INC'!AA923</f>
        <v>0</v>
      </c>
      <c r="AB1001" s="11">
        <f>'[28]New TB INC'!AB929</f>
        <v>0</v>
      </c>
      <c r="AC1001" s="11">
        <f>'[29]New TB INC'!AC930</f>
        <v>0</v>
      </c>
      <c r="AD1001" s="11">
        <f>'[150]New TB INC'!AD931</f>
        <v>0</v>
      </c>
      <c r="AE1001" s="11">
        <f>'[150]New TB INC'!AE931</f>
        <v>0</v>
      </c>
      <c r="AF1001" s="11">
        <v>0</v>
      </c>
      <c r="AG1001" s="11">
        <v>0</v>
      </c>
      <c r="AH1001" s="11">
        <v>0</v>
      </c>
      <c r="AI1001" s="11">
        <v>0</v>
      </c>
      <c r="AJ1001" s="11">
        <v>0</v>
      </c>
      <c r="AK1001" s="11">
        <f>$J1001-SUM($Z1001:AJ1001)</f>
        <v>0</v>
      </c>
      <c r="AW1001" s="2509"/>
      <c r="BE1001" s="2173"/>
      <c r="BF1001" s="2173"/>
      <c r="BG1001" s="2173"/>
      <c r="BH1001" s="2173"/>
      <c r="BI1001" s="2173"/>
      <c r="BJ1001" s="2173"/>
      <c r="BK1001" s="2173"/>
      <c r="BL1001" s="773"/>
      <c r="BM1001" s="773"/>
      <c r="BN1001" s="820"/>
      <c r="CH1001" s="878"/>
      <c r="CI1001" s="4"/>
      <c r="CJ1001" s="4"/>
      <c r="DB1001" s="773"/>
      <c r="DC1001" s="773"/>
      <c r="DD1001" s="773"/>
      <c r="DE1001" s="773"/>
      <c r="DF1001" s="773"/>
      <c r="DG1001" s="773"/>
      <c r="DH1001" s="773"/>
      <c r="DI1001" s="773"/>
      <c r="DJ1001" s="773"/>
      <c r="DK1001" s="773"/>
      <c r="DL1001" s="773"/>
      <c r="DM1001" s="773"/>
      <c r="DN1001" s="773"/>
      <c r="DO1001" s="773"/>
      <c r="DP1001" s="773"/>
      <c r="DQ1001" s="773"/>
      <c r="DR1001" s="773"/>
      <c r="DS1001" s="773"/>
      <c r="DT1001" s="773"/>
      <c r="DU1001" s="773"/>
      <c r="DV1001" s="773"/>
      <c r="DW1001" s="773"/>
      <c r="DX1001" s="773"/>
      <c r="DY1001" s="773"/>
      <c r="DZ1001" s="773"/>
      <c r="EA1001" s="773"/>
      <c r="EB1001" s="773"/>
      <c r="EC1001" s="773"/>
      <c r="ED1001" s="773"/>
      <c r="EE1001" s="773"/>
      <c r="EF1001" s="773"/>
      <c r="EG1001" s="773"/>
      <c r="EH1001" s="773"/>
      <c r="EI1001" s="773"/>
      <c r="EJ1001" s="773"/>
      <c r="EK1001" s="773"/>
      <c r="EL1001" s="773"/>
      <c r="EM1001" s="773"/>
      <c r="EN1001" s="773"/>
      <c r="EO1001" s="773"/>
      <c r="EP1001" s="773"/>
      <c r="EQ1001" s="773"/>
      <c r="ER1001" s="773"/>
      <c r="ES1001" s="773"/>
      <c r="ET1001" s="773"/>
      <c r="EU1001" s="773"/>
      <c r="EV1001" s="773"/>
      <c r="EW1001" s="773"/>
      <c r="EX1001" s="773"/>
      <c r="EY1001" s="773"/>
      <c r="EZ1001" s="773"/>
      <c r="FA1001" s="773"/>
      <c r="FB1001" s="773"/>
      <c r="FC1001" s="773"/>
      <c r="FD1001" s="773"/>
      <c r="FE1001" s="773"/>
      <c r="FF1001" s="773"/>
      <c r="FG1001" s="773"/>
      <c r="FH1001" s="773"/>
      <c r="FI1001" s="773"/>
      <c r="FJ1001" s="773"/>
      <c r="FK1001" s="773"/>
      <c r="FL1001" s="773"/>
      <c r="FM1001" s="773"/>
      <c r="FN1001" s="773"/>
      <c r="FO1001" s="773"/>
      <c r="FP1001" s="773"/>
      <c r="FQ1001" s="773"/>
      <c r="FR1001" s="773"/>
      <c r="FS1001" s="773"/>
      <c r="FT1001" s="773"/>
      <c r="FU1001" s="773"/>
      <c r="FV1001" s="773"/>
      <c r="FW1001" s="773"/>
      <c r="FX1001" s="773"/>
      <c r="FY1001" s="773"/>
      <c r="FZ1001" s="773"/>
      <c r="GA1001" s="773"/>
      <c r="GB1001" s="773"/>
      <c r="GC1001" s="773"/>
      <c r="GD1001" s="773"/>
      <c r="GE1001" s="773"/>
      <c r="GF1001" s="773"/>
      <c r="GG1001" s="773"/>
      <c r="GH1001" s="773"/>
      <c r="GI1001" s="773"/>
      <c r="GJ1001" s="773"/>
      <c r="GK1001" s="773"/>
      <c r="GL1001" s="773"/>
      <c r="GM1001" s="773"/>
      <c r="GN1001" s="773"/>
      <c r="GO1001" s="773"/>
      <c r="GP1001" s="773"/>
      <c r="GQ1001" s="773"/>
      <c r="GR1001" s="773"/>
      <c r="GS1001" s="773"/>
      <c r="GT1001" s="773"/>
      <c r="GU1001" s="773"/>
      <c r="GV1001" s="773"/>
      <c r="GW1001" s="773"/>
      <c r="GX1001" s="773"/>
      <c r="GY1001" s="773"/>
      <c r="GZ1001" s="773"/>
    </row>
    <row r="1002" spans="1:208" s="11" customFormat="1">
      <c r="A1002" s="780"/>
      <c r="B1002" s="3761"/>
      <c r="C1002" s="848"/>
      <c r="D1002" s="1967" t="s">
        <v>588</v>
      </c>
      <c r="E1002" s="1970">
        <f t="shared" ref="E1002:J1002" si="99">E770+E999</f>
        <v>11127891.299999999</v>
      </c>
      <c r="F1002" s="1970">
        <f t="shared" si="99"/>
        <v>0</v>
      </c>
      <c r="G1002" s="1970">
        <f t="shared" si="99"/>
        <v>0</v>
      </c>
      <c r="H1002" s="1970">
        <f t="shared" si="99"/>
        <v>0</v>
      </c>
      <c r="I1002" s="1970">
        <f t="shared" si="99"/>
        <v>0</v>
      </c>
      <c r="J1002" s="1970">
        <f t="shared" si="99"/>
        <v>11127891.299999999</v>
      </c>
      <c r="K1002" s="209"/>
      <c r="L1002" s="434"/>
      <c r="M1002" s="803"/>
      <c r="N1002" s="11">
        <v>898482.9</v>
      </c>
      <c r="O1002" s="11">
        <v>1068825.3049999992</v>
      </c>
      <c r="P1002" s="11">
        <v>963904.97514417302</v>
      </c>
      <c r="Q1002" s="11">
        <v>629366.46719952021</v>
      </c>
      <c r="R1002" s="773">
        <v>724600.13027535472</v>
      </c>
      <c r="S1002" s="11">
        <v>1689771.319428571</v>
      </c>
      <c r="T1002" s="773">
        <v>638958.4862857149</v>
      </c>
      <c r="U1002" s="2173">
        <v>700536.28961904999</v>
      </c>
      <c r="V1002" s="2509">
        <v>1236765.9970476227</v>
      </c>
      <c r="W1002" s="2509">
        <v>732281.2818095237</v>
      </c>
      <c r="X1002" s="2509">
        <v>923704.19771428406</v>
      </c>
      <c r="Y1002" s="2509">
        <v>1019394.6604761928</v>
      </c>
      <c r="Z1002" s="11">
        <f>'[26]New TB INC'!Z926</f>
        <v>745190.03689655149</v>
      </c>
      <c r="AA1002" s="11">
        <f>'[27]New TB INC'!AA924</f>
        <v>570426.52137931064</v>
      </c>
      <c r="AB1002" s="11">
        <f>'[28]New TB INC'!AB930</f>
        <v>1279619.0517241377</v>
      </c>
      <c r="AC1002" s="11">
        <f>'[29]New TB INC'!AC931</f>
        <v>621657.07075862028</v>
      </c>
      <c r="AD1002" s="11">
        <f>'[150]New TB INC'!AD932</f>
        <v>1782414.2050344828</v>
      </c>
      <c r="AE1002" s="11">
        <f>'[150]New TB INC'!AE932</f>
        <v>0</v>
      </c>
      <c r="AF1002" s="11">
        <v>655595.06139655225</v>
      </c>
      <c r="AG1002" s="11">
        <v>829552.65717241447</v>
      </c>
      <c r="AH1002" s="11">
        <v>1109863.8256379319</v>
      </c>
      <c r="AI1002" s="11">
        <v>666588.46232758556</v>
      </c>
      <c r="AJ1002" s="11">
        <v>1121300.9266551705</v>
      </c>
      <c r="AK1002" s="11">
        <f>$J1002-SUM($Z1002:AJ1002)</f>
        <v>1745683.4810172413</v>
      </c>
      <c r="AW1002" s="2509"/>
      <c r="BE1002" s="2173"/>
      <c r="BF1002" s="2173"/>
      <c r="BG1002" s="2173"/>
      <c r="BH1002" s="2173"/>
      <c r="BI1002" s="2173"/>
      <c r="BJ1002" s="2173"/>
      <c r="BK1002" s="2173"/>
      <c r="BL1002" s="773"/>
      <c r="BM1002" s="773"/>
      <c r="BN1002" s="820"/>
      <c r="BT1002" s="209"/>
      <c r="BU1002" s="209"/>
      <c r="BV1002" s="209"/>
      <c r="BW1002" s="209"/>
      <c r="BX1002" s="209"/>
      <c r="BY1002" s="209"/>
      <c r="BZ1002" s="799"/>
      <c r="CA1002" s="799"/>
      <c r="DB1002" s="773"/>
      <c r="DC1002" s="773"/>
      <c r="DD1002" s="773"/>
      <c r="DE1002" s="773"/>
      <c r="DF1002" s="773"/>
      <c r="DG1002" s="773"/>
      <c r="DH1002" s="773"/>
      <c r="DI1002" s="773"/>
      <c r="DJ1002" s="773"/>
      <c r="DK1002" s="773"/>
      <c r="DL1002" s="773"/>
      <c r="DM1002" s="773"/>
      <c r="DN1002" s="773"/>
      <c r="DO1002" s="773"/>
      <c r="DP1002" s="773"/>
      <c r="DQ1002" s="773"/>
      <c r="DR1002" s="773"/>
      <c r="DS1002" s="773"/>
      <c r="DT1002" s="773"/>
      <c r="DU1002" s="773"/>
      <c r="DV1002" s="773"/>
      <c r="DW1002" s="773"/>
      <c r="DX1002" s="773"/>
      <c r="DY1002" s="773"/>
      <c r="DZ1002" s="773"/>
      <c r="EA1002" s="773"/>
      <c r="EB1002" s="773"/>
      <c r="EC1002" s="773"/>
      <c r="ED1002" s="773"/>
      <c r="EE1002" s="773"/>
      <c r="EF1002" s="773"/>
      <c r="EG1002" s="773"/>
      <c r="EH1002" s="773"/>
      <c r="EI1002" s="773"/>
      <c r="EJ1002" s="773"/>
      <c r="EK1002" s="773"/>
      <c r="EL1002" s="773"/>
      <c r="EM1002" s="773"/>
      <c r="EN1002" s="773"/>
      <c r="EO1002" s="773"/>
      <c r="EP1002" s="773"/>
      <c r="EQ1002" s="773"/>
      <c r="ER1002" s="773"/>
      <c r="ES1002" s="773"/>
      <c r="ET1002" s="773"/>
      <c r="EU1002" s="773"/>
      <c r="EV1002" s="773"/>
      <c r="EW1002" s="773"/>
      <c r="EX1002" s="773"/>
      <c r="EY1002" s="773"/>
      <c r="EZ1002" s="773"/>
      <c r="FA1002" s="773"/>
      <c r="FB1002" s="773"/>
      <c r="FC1002" s="773"/>
      <c r="FD1002" s="773"/>
      <c r="FE1002" s="773"/>
      <c r="FF1002" s="773"/>
      <c r="FG1002" s="773"/>
      <c r="FH1002" s="773"/>
      <c r="FI1002" s="773"/>
      <c r="FJ1002" s="773"/>
      <c r="FK1002" s="773"/>
      <c r="FL1002" s="773"/>
      <c r="FM1002" s="773"/>
      <c r="FN1002" s="773"/>
      <c r="FO1002" s="773"/>
      <c r="FP1002" s="773"/>
      <c r="FQ1002" s="773"/>
      <c r="FR1002" s="773"/>
      <c r="FS1002" s="773"/>
      <c r="FT1002" s="773"/>
      <c r="FU1002" s="773"/>
      <c r="FV1002" s="773"/>
      <c r="FW1002" s="773"/>
      <c r="FX1002" s="773"/>
      <c r="FY1002" s="773"/>
      <c r="FZ1002" s="773"/>
      <c r="GA1002" s="773"/>
      <c r="GB1002" s="773"/>
      <c r="GC1002" s="773"/>
      <c r="GD1002" s="773"/>
      <c r="GE1002" s="773"/>
      <c r="GF1002" s="773"/>
      <c r="GG1002" s="773"/>
      <c r="GH1002" s="773"/>
      <c r="GI1002" s="773"/>
      <c r="GJ1002" s="773"/>
      <c r="GK1002" s="773"/>
      <c r="GL1002" s="773"/>
      <c r="GM1002" s="773"/>
      <c r="GN1002" s="773"/>
      <c r="GO1002" s="773"/>
      <c r="GP1002" s="773"/>
      <c r="GQ1002" s="773"/>
      <c r="GR1002" s="773"/>
      <c r="GS1002" s="773"/>
      <c r="GT1002" s="773"/>
      <c r="GU1002" s="773"/>
      <c r="GV1002" s="773"/>
      <c r="GW1002" s="773"/>
      <c r="GX1002" s="773"/>
      <c r="GY1002" s="773"/>
      <c r="GZ1002" s="773"/>
    </row>
    <row r="1003" spans="1:208" s="11" customFormat="1" ht="13.5" thickBot="1">
      <c r="B1003" s="3763"/>
      <c r="C1003" s="767"/>
      <c r="D1003" s="173"/>
      <c r="E1003" s="769"/>
      <c r="F1003" s="769"/>
      <c r="G1003" s="769"/>
      <c r="H1003" s="769"/>
      <c r="I1003" s="769"/>
      <c r="J1003" s="769">
        <f>SUM(E1003:G1003)</f>
        <v>0</v>
      </c>
      <c r="K1003" s="209"/>
      <c r="L1003" s="434"/>
      <c r="M1003" s="803"/>
      <c r="N1003" s="11">
        <v>0</v>
      </c>
      <c r="O1003" s="11">
        <v>0</v>
      </c>
      <c r="P1003" s="11">
        <v>0</v>
      </c>
      <c r="Q1003" s="11">
        <v>0</v>
      </c>
      <c r="R1003" s="773">
        <v>0</v>
      </c>
      <c r="S1003" s="11">
        <v>0</v>
      </c>
      <c r="T1003" s="773">
        <v>0</v>
      </c>
      <c r="U1003" s="2173">
        <v>0</v>
      </c>
      <c r="V1003" s="2509">
        <v>0</v>
      </c>
      <c r="W1003" s="2509">
        <v>0</v>
      </c>
      <c r="X1003" s="2509">
        <v>0</v>
      </c>
      <c r="Y1003" s="2509">
        <v>0</v>
      </c>
      <c r="Z1003" s="11">
        <f>'[26]New TB INC'!Z929</f>
        <v>0</v>
      </c>
      <c r="AA1003" s="11">
        <f>'[27]New TB INC'!AA927</f>
        <v>0</v>
      </c>
      <c r="AB1003" s="11">
        <f>'[28]New TB INC'!AB931</f>
        <v>0</v>
      </c>
      <c r="AC1003" s="11">
        <f>'[29]New TB INC'!AC932</f>
        <v>0</v>
      </c>
      <c r="AD1003" s="11">
        <f>'[150]New TB INC'!AD933</f>
        <v>0</v>
      </c>
      <c r="AE1003" s="11">
        <f>'[150]New TB INC'!AE933</f>
        <v>0</v>
      </c>
      <c r="AF1003" s="11">
        <v>0</v>
      </c>
      <c r="AG1003" s="11">
        <v>0</v>
      </c>
      <c r="AH1003" s="11">
        <v>0</v>
      </c>
      <c r="AI1003" s="11">
        <v>0</v>
      </c>
      <c r="AJ1003" s="11">
        <v>0</v>
      </c>
      <c r="AK1003" s="11">
        <f>$J1003-SUM($Z1003:AJ1003)</f>
        <v>0</v>
      </c>
      <c r="AW1003" s="2509"/>
      <c r="BE1003" s="2173"/>
      <c r="BF1003" s="2173"/>
      <c r="BG1003" s="2173"/>
      <c r="BH1003" s="2173"/>
      <c r="BI1003" s="2173"/>
      <c r="BJ1003" s="2173"/>
      <c r="BK1003" s="2173"/>
      <c r="BL1003" s="773"/>
      <c r="BM1003" s="773"/>
      <c r="BN1003" s="820"/>
      <c r="BT1003" s="878"/>
      <c r="CH1003" s="878"/>
      <c r="CI1003" s="4"/>
      <c r="DB1003" s="773"/>
      <c r="DC1003" s="773"/>
      <c r="DD1003" s="773"/>
      <c r="DE1003" s="773"/>
      <c r="DF1003" s="773"/>
      <c r="DG1003" s="773"/>
      <c r="DH1003" s="773"/>
      <c r="DI1003" s="773"/>
      <c r="DJ1003" s="773"/>
      <c r="DK1003" s="773"/>
      <c r="DL1003" s="773"/>
      <c r="DM1003" s="773"/>
      <c r="DN1003" s="773"/>
      <c r="DO1003" s="773"/>
      <c r="DP1003" s="773"/>
      <c r="DQ1003" s="773"/>
      <c r="DR1003" s="773"/>
      <c r="DS1003" s="773"/>
      <c r="DT1003" s="773"/>
      <c r="DU1003" s="773"/>
      <c r="DV1003" s="773"/>
      <c r="DW1003" s="773"/>
      <c r="DX1003" s="773"/>
      <c r="DY1003" s="773"/>
      <c r="DZ1003" s="773"/>
      <c r="EA1003" s="773"/>
      <c r="EB1003" s="773"/>
      <c r="EC1003" s="773"/>
      <c r="ED1003" s="773"/>
      <c r="EE1003" s="773"/>
      <c r="EF1003" s="773"/>
      <c r="EG1003" s="773"/>
      <c r="EH1003" s="773"/>
      <c r="EI1003" s="773"/>
      <c r="EJ1003" s="773"/>
      <c r="EK1003" s="773"/>
      <c r="EL1003" s="773"/>
      <c r="EM1003" s="773"/>
      <c r="EN1003" s="773"/>
      <c r="EO1003" s="773"/>
      <c r="EP1003" s="773"/>
      <c r="EQ1003" s="773"/>
      <c r="ER1003" s="773"/>
      <c r="ES1003" s="773"/>
      <c r="ET1003" s="773"/>
      <c r="EU1003" s="773"/>
      <c r="EV1003" s="773"/>
      <c r="EW1003" s="773"/>
      <c r="EX1003" s="773"/>
      <c r="EY1003" s="773"/>
      <c r="EZ1003" s="773"/>
      <c r="FA1003" s="773"/>
      <c r="FB1003" s="773"/>
      <c r="FC1003" s="773"/>
      <c r="FD1003" s="773"/>
      <c r="FE1003" s="773"/>
      <c r="FF1003" s="773"/>
      <c r="FG1003" s="773"/>
      <c r="FH1003" s="773"/>
      <c r="FI1003" s="773"/>
      <c r="FJ1003" s="773"/>
      <c r="FK1003" s="773"/>
      <c r="FL1003" s="773"/>
      <c r="FM1003" s="773"/>
      <c r="FN1003" s="773"/>
      <c r="FO1003" s="773"/>
      <c r="FP1003" s="773"/>
      <c r="FQ1003" s="773"/>
      <c r="FR1003" s="773"/>
      <c r="FS1003" s="773"/>
      <c r="FT1003" s="773"/>
      <c r="FU1003" s="773"/>
      <c r="FV1003" s="773"/>
      <c r="FW1003" s="773"/>
      <c r="FX1003" s="773"/>
      <c r="FY1003" s="773"/>
      <c r="FZ1003" s="773"/>
      <c r="GA1003" s="773"/>
      <c r="GB1003" s="773"/>
      <c r="GC1003" s="773"/>
      <c r="GD1003" s="773"/>
      <c r="GE1003" s="773"/>
      <c r="GF1003" s="773"/>
      <c r="GG1003" s="773"/>
      <c r="GH1003" s="773"/>
      <c r="GI1003" s="773"/>
      <c r="GJ1003" s="773"/>
      <c r="GK1003" s="773"/>
      <c r="GL1003" s="773"/>
      <c r="GM1003" s="773"/>
      <c r="GN1003" s="773"/>
      <c r="GO1003" s="773"/>
      <c r="GP1003" s="773"/>
      <c r="GQ1003" s="773"/>
      <c r="GR1003" s="773"/>
      <c r="GS1003" s="773"/>
      <c r="GT1003" s="773"/>
      <c r="GU1003" s="773"/>
      <c r="GV1003" s="773"/>
      <c r="GW1003" s="773"/>
      <c r="GX1003" s="773"/>
      <c r="GY1003" s="773"/>
      <c r="GZ1003" s="773"/>
    </row>
    <row r="1004" spans="1:208" s="11" customFormat="1" ht="13.5" thickBot="1">
      <c r="B1004" s="3584" t="s">
        <v>770</v>
      </c>
      <c r="C1004" s="197">
        <v>9100002</v>
      </c>
      <c r="D1004" s="199" t="s">
        <v>493</v>
      </c>
      <c r="E1004" s="798">
        <f>IFERROR(VLOOKUP(C1004,'AJE 12 - INC'!$D$168:$F$771,3,0),0)</f>
        <v>-94379.85</v>
      </c>
      <c r="F1004" s="108">
        <f>SUMIF('AJE 12 - INC'!B:B,'New TB INC'!C1004,'AJE 12 - INC'!D:D)</f>
        <v>0</v>
      </c>
      <c r="G1004" s="769"/>
      <c r="H1004" s="769"/>
      <c r="I1004" s="769"/>
      <c r="J1004" s="769">
        <f t="shared" ref="J1004:J1017" si="100">SUM(E1004:I1004)</f>
        <v>-94379.85</v>
      </c>
      <c r="K1004" s="3446">
        <f>SUM('[156]Federal Income Calc + Tax Due '!$C$51,'[156]Federal Income Calc + Tax Due '!$C$47)-J1004</f>
        <v>147279.875</v>
      </c>
      <c r="L1004" s="434"/>
      <c r="M1004" s="803" t="s">
        <v>4256</v>
      </c>
      <c r="N1004" s="11">
        <v>960430.69193757663</v>
      </c>
      <c r="O1004" s="11">
        <v>0</v>
      </c>
      <c r="P1004" s="11">
        <v>-913530.69193757663</v>
      </c>
      <c r="Q1004" s="11">
        <v>10466</v>
      </c>
      <c r="R1004" s="773">
        <v>-10466</v>
      </c>
      <c r="S1004" s="11">
        <v>42743</v>
      </c>
      <c r="T1004" s="773">
        <v>-13523</v>
      </c>
      <c r="U1004" s="2173">
        <v>0</v>
      </c>
      <c r="V1004" s="2509">
        <v>168475.34</v>
      </c>
      <c r="W1004" s="2509">
        <v>0</v>
      </c>
      <c r="X1004" s="2509">
        <v>0</v>
      </c>
      <c r="Y1004" s="2509">
        <v>35055.540000000008</v>
      </c>
      <c r="Z1004" s="11">
        <f>'[26]New TB INC'!Z930</f>
        <v>0</v>
      </c>
      <c r="AA1004" s="11">
        <f>'[27]New TB INC'!AA928</f>
        <v>0</v>
      </c>
      <c r="AB1004" s="11">
        <f>'[28]New TB INC'!AB932</f>
        <v>26450.02</v>
      </c>
      <c r="AC1004" s="11">
        <f>'[29]New TB INC'!AC933</f>
        <v>26450.01</v>
      </c>
      <c r="AD1004" s="11">
        <f>'[150]New TB INC'!AD934</f>
        <v>55.200000000004366</v>
      </c>
      <c r="AE1004" s="11">
        <f>'[150]New TB INC'!AE934</f>
        <v>0</v>
      </c>
      <c r="AF1004" s="11">
        <v>0</v>
      </c>
      <c r="AG1004" s="11">
        <v>0</v>
      </c>
      <c r="AH1004" s="11">
        <v>55.919999999998254</v>
      </c>
      <c r="AI1004" s="11">
        <v>0</v>
      </c>
      <c r="AJ1004" s="11">
        <v>0</v>
      </c>
      <c r="AK1004" s="11">
        <f>$J1004-SUM($Z1004:AJ1004)</f>
        <v>-147391</v>
      </c>
      <c r="AW1004" s="2509"/>
      <c r="BE1004" s="2173"/>
      <c r="BF1004" s="2173"/>
      <c r="BG1004" s="2173"/>
      <c r="BH1004" s="2173"/>
      <c r="BI1004" s="2173"/>
      <c r="BJ1004" s="2173"/>
      <c r="BK1004" s="2173"/>
      <c r="BL1004" s="773"/>
      <c r="BM1004" s="773"/>
      <c r="BN1004" s="820"/>
      <c r="BP1004" s="209"/>
      <c r="BS1004" s="878"/>
      <c r="CG1004" s="878"/>
      <c r="CH1004" s="4"/>
      <c r="DB1004" s="773"/>
      <c r="DC1004" s="773"/>
      <c r="DD1004" s="773"/>
      <c r="DE1004" s="773"/>
      <c r="DF1004" s="773"/>
      <c r="DG1004" s="773"/>
      <c r="DH1004" s="773"/>
      <c r="DI1004" s="773"/>
      <c r="DJ1004" s="773"/>
      <c r="DK1004" s="773"/>
      <c r="DL1004" s="773"/>
      <c r="DM1004" s="773"/>
      <c r="DN1004" s="773"/>
      <c r="DO1004" s="773"/>
      <c r="DP1004" s="773"/>
      <c r="DQ1004" s="773"/>
      <c r="DR1004" s="773"/>
      <c r="DS1004" s="773"/>
      <c r="DT1004" s="773"/>
      <c r="DU1004" s="773"/>
      <c r="DV1004" s="773"/>
      <c r="DW1004" s="773"/>
      <c r="DX1004" s="773"/>
      <c r="DY1004" s="773"/>
      <c r="DZ1004" s="773"/>
      <c r="EA1004" s="773"/>
      <c r="EB1004" s="773"/>
      <c r="EC1004" s="773"/>
      <c r="ED1004" s="773"/>
      <c r="EE1004" s="773"/>
      <c r="EF1004" s="773"/>
      <c r="EG1004" s="773"/>
      <c r="EH1004" s="773"/>
      <c r="EI1004" s="773"/>
      <c r="EJ1004" s="773"/>
      <c r="EK1004" s="773"/>
      <c r="EL1004" s="773"/>
      <c r="EM1004" s="773"/>
      <c r="EN1004" s="773"/>
      <c r="EO1004" s="773"/>
      <c r="EP1004" s="773"/>
      <c r="EQ1004" s="773"/>
      <c r="ER1004" s="773"/>
      <c r="ES1004" s="773"/>
      <c r="ET1004" s="773"/>
      <c r="EU1004" s="773"/>
      <c r="EV1004" s="773"/>
      <c r="EW1004" s="773"/>
      <c r="EX1004" s="773"/>
      <c r="EY1004" s="773"/>
      <c r="EZ1004" s="773"/>
      <c r="FA1004" s="773"/>
      <c r="FB1004" s="773"/>
      <c r="FC1004" s="773"/>
      <c r="FD1004" s="773"/>
      <c r="FE1004" s="773"/>
      <c r="FF1004" s="773"/>
      <c r="FG1004" s="773"/>
      <c r="FH1004" s="773"/>
      <c r="FI1004" s="773"/>
      <c r="FJ1004" s="773"/>
      <c r="FK1004" s="773"/>
      <c r="FL1004" s="773"/>
      <c r="FM1004" s="773"/>
      <c r="FN1004" s="773"/>
      <c r="FO1004" s="773"/>
      <c r="FP1004" s="773"/>
      <c r="FQ1004" s="773"/>
      <c r="FR1004" s="773"/>
      <c r="FS1004" s="773"/>
      <c r="FT1004" s="773"/>
      <c r="FU1004" s="773"/>
      <c r="FV1004" s="773"/>
      <c r="FW1004" s="773"/>
      <c r="FX1004" s="773"/>
      <c r="FY1004" s="773"/>
      <c r="FZ1004" s="773"/>
      <c r="GA1004" s="773"/>
      <c r="GB1004" s="773"/>
      <c r="GC1004" s="773"/>
      <c r="GD1004" s="773"/>
      <c r="GE1004" s="773"/>
      <c r="GF1004" s="773"/>
      <c r="GG1004" s="773"/>
      <c r="GH1004" s="773"/>
      <c r="GI1004" s="773"/>
      <c r="GJ1004" s="773"/>
      <c r="GK1004" s="773"/>
      <c r="GL1004" s="773"/>
      <c r="GM1004" s="773"/>
      <c r="GN1004" s="773"/>
      <c r="GO1004" s="773"/>
      <c r="GP1004" s="773"/>
      <c r="GQ1004" s="773"/>
      <c r="GR1004" s="773"/>
      <c r="GS1004" s="773"/>
      <c r="GT1004" s="773"/>
      <c r="GU1004" s="773"/>
      <c r="GV1004" s="773"/>
      <c r="GW1004" s="773"/>
      <c r="GX1004" s="773"/>
      <c r="GY1004" s="773"/>
      <c r="GZ1004" s="773"/>
    </row>
    <row r="1005" spans="1:208" s="11" customFormat="1">
      <c r="B1005" s="3584"/>
      <c r="C1005" s="197">
        <v>9100004</v>
      </c>
      <c r="D1005" s="199" t="s">
        <v>5057</v>
      </c>
      <c r="E1005" s="798"/>
      <c r="F1005" s="108">
        <f>SUMIF('AJE 12 - INC'!B:B,'New TB INC'!C1005,'AJE 12 - INC'!D:D)</f>
        <v>12844.785416020302</v>
      </c>
      <c r="G1005" s="769"/>
      <c r="H1005" s="769"/>
      <c r="I1005" s="769"/>
      <c r="J1005" s="769">
        <f t="shared" ref="J1005" si="101">SUM(E1005:I1005)</f>
        <v>12844.785416020302</v>
      </c>
      <c r="K1005" s="4305"/>
      <c r="L1005" s="434"/>
      <c r="M1005" s="803"/>
      <c r="R1005" s="773"/>
      <c r="T1005" s="773"/>
      <c r="U1005" s="2173"/>
      <c r="V1005" s="2509"/>
      <c r="W1005" s="2509"/>
      <c r="X1005" s="2509"/>
      <c r="Y1005" s="2509"/>
      <c r="AW1005" s="2509"/>
      <c r="BE1005" s="2173"/>
      <c r="BF1005" s="2173"/>
      <c r="BG1005" s="2173"/>
      <c r="BH1005" s="2173"/>
      <c r="BI1005" s="2173"/>
      <c r="BJ1005" s="2173"/>
      <c r="BK1005" s="2173"/>
      <c r="BL1005" s="773"/>
      <c r="BM1005" s="773"/>
      <c r="BN1005" s="820"/>
      <c r="BP1005" s="209"/>
      <c r="BS1005" s="878"/>
      <c r="CG1005" s="878"/>
      <c r="CH1005" s="4"/>
      <c r="DB1005" s="773"/>
      <c r="DC1005" s="773"/>
      <c r="DD1005" s="773"/>
      <c r="DE1005" s="773"/>
      <c r="DF1005" s="773"/>
      <c r="DG1005" s="773"/>
      <c r="DH1005" s="773"/>
      <c r="DI1005" s="773"/>
      <c r="DJ1005" s="773"/>
      <c r="DK1005" s="773"/>
      <c r="DL1005" s="773"/>
      <c r="DM1005" s="773"/>
      <c r="DN1005" s="773"/>
      <c r="DO1005" s="773"/>
      <c r="DP1005" s="773"/>
      <c r="DQ1005" s="773"/>
      <c r="DR1005" s="773"/>
      <c r="DS1005" s="773"/>
      <c r="DT1005" s="773"/>
      <c r="DU1005" s="773"/>
      <c r="DV1005" s="773"/>
      <c r="DW1005" s="773"/>
      <c r="DX1005" s="773"/>
      <c r="DY1005" s="773"/>
      <c r="DZ1005" s="773"/>
      <c r="EA1005" s="773"/>
      <c r="EB1005" s="773"/>
      <c r="EC1005" s="773"/>
      <c r="ED1005" s="773"/>
      <c r="EE1005" s="773"/>
      <c r="EF1005" s="773"/>
      <c r="EG1005" s="773"/>
      <c r="EH1005" s="773"/>
      <c r="EI1005" s="773"/>
      <c r="EJ1005" s="773"/>
      <c r="EK1005" s="773"/>
      <c r="EL1005" s="773"/>
      <c r="EM1005" s="773"/>
      <c r="EN1005" s="773"/>
      <c r="EO1005" s="773"/>
      <c r="EP1005" s="773"/>
      <c r="EQ1005" s="773"/>
      <c r="ER1005" s="773"/>
      <c r="ES1005" s="773"/>
      <c r="ET1005" s="773"/>
      <c r="EU1005" s="773"/>
      <c r="EV1005" s="773"/>
      <c r="EW1005" s="773"/>
      <c r="EX1005" s="773"/>
      <c r="EY1005" s="773"/>
      <c r="EZ1005" s="773"/>
      <c r="FA1005" s="773"/>
      <c r="FB1005" s="773"/>
      <c r="FC1005" s="773"/>
      <c r="FD1005" s="773"/>
      <c r="FE1005" s="773"/>
      <c r="FF1005" s="773"/>
      <c r="FG1005" s="773"/>
      <c r="FH1005" s="773"/>
      <c r="FI1005" s="773"/>
      <c r="FJ1005" s="773"/>
      <c r="FK1005" s="773"/>
      <c r="FL1005" s="773"/>
      <c r="FM1005" s="773"/>
      <c r="FN1005" s="773"/>
      <c r="FO1005" s="773"/>
      <c r="FP1005" s="773"/>
      <c r="FQ1005" s="773"/>
      <c r="FR1005" s="773"/>
      <c r="FS1005" s="773"/>
      <c r="FT1005" s="773"/>
      <c r="FU1005" s="773"/>
      <c r="FV1005" s="773"/>
      <c r="FW1005" s="773"/>
      <c r="FX1005" s="773"/>
      <c r="FY1005" s="773"/>
      <c r="FZ1005" s="773"/>
      <c r="GA1005" s="773"/>
      <c r="GB1005" s="773"/>
      <c r="GC1005" s="773"/>
      <c r="GD1005" s="773"/>
      <c r="GE1005" s="773"/>
      <c r="GF1005" s="773"/>
      <c r="GG1005" s="773"/>
      <c r="GH1005" s="773"/>
      <c r="GI1005" s="773"/>
      <c r="GJ1005" s="773"/>
      <c r="GK1005" s="773"/>
      <c r="GL1005" s="773"/>
      <c r="GM1005" s="773"/>
      <c r="GN1005" s="773"/>
      <c r="GO1005" s="773"/>
      <c r="GP1005" s="773"/>
      <c r="GQ1005" s="773"/>
      <c r="GR1005" s="773"/>
      <c r="GS1005" s="773"/>
      <c r="GT1005" s="773"/>
      <c r="GU1005" s="773"/>
      <c r="GV1005" s="773"/>
      <c r="GW1005" s="773"/>
      <c r="GX1005" s="773"/>
      <c r="GY1005" s="773"/>
      <c r="GZ1005" s="773"/>
    </row>
    <row r="1006" spans="1:208" s="11" customFormat="1">
      <c r="B1006" s="3761" t="s">
        <v>770</v>
      </c>
      <c r="C1006" s="197">
        <v>9100003</v>
      </c>
      <c r="D1006" s="199" t="s">
        <v>1431</v>
      </c>
      <c r="E1006" s="798">
        <f>IFERROR(VLOOKUP(C1006,'AJE 12 - INC'!$D$168:$F$771,3,0),0)</f>
        <v>6430.11</v>
      </c>
      <c r="F1006" s="108">
        <f>SUMIF('AJE 12 - INC'!B:B,'New TB INC'!C1006,'AJE 12 - INC'!D:D)</f>
        <v>0</v>
      </c>
      <c r="G1006" s="769"/>
      <c r="H1006" s="769"/>
      <c r="I1006" s="769"/>
      <c r="J1006" s="769">
        <f t="shared" si="100"/>
        <v>6430.11</v>
      </c>
      <c r="K1006" s="209"/>
      <c r="L1006" s="434"/>
      <c r="M1006" s="803"/>
      <c r="N1006" s="11">
        <v>0</v>
      </c>
      <c r="O1006" s="11">
        <v>0</v>
      </c>
      <c r="P1006" s="11">
        <v>-3334</v>
      </c>
      <c r="Q1006" s="11">
        <v>0</v>
      </c>
      <c r="R1006" s="773">
        <v>0</v>
      </c>
      <c r="S1006" s="11">
        <v>3220</v>
      </c>
      <c r="T1006" s="773">
        <v>0</v>
      </c>
      <c r="U1006" s="2173">
        <v>0</v>
      </c>
      <c r="V1006" s="2509">
        <v>4683</v>
      </c>
      <c r="W1006" s="2509">
        <v>0</v>
      </c>
      <c r="X1006" s="2509">
        <v>0</v>
      </c>
      <c r="Y1006" s="2509">
        <v>0</v>
      </c>
      <c r="Z1006" s="11">
        <f>'[26]New TB INC'!Z931</f>
        <v>0</v>
      </c>
      <c r="AA1006" s="11">
        <f>'[27]New TB INC'!AA929</f>
        <v>0</v>
      </c>
      <c r="AB1006" s="11">
        <f>'[28]New TB INC'!AB933</f>
        <v>3575.46</v>
      </c>
      <c r="AC1006" s="11">
        <f>'[29]New TB INC'!AC934</f>
        <v>0</v>
      </c>
      <c r="AD1006" s="11">
        <f>'[150]New TB INC'!AD935</f>
        <v>1231</v>
      </c>
      <c r="AE1006" s="11">
        <f>'[150]New TB INC'!AE935</f>
        <v>0</v>
      </c>
      <c r="AF1006" s="11">
        <v>0</v>
      </c>
      <c r="AG1006" s="11">
        <v>0</v>
      </c>
      <c r="AH1006" s="11">
        <v>-731.34999999999991</v>
      </c>
      <c r="AI1006" s="11">
        <v>0</v>
      </c>
      <c r="AJ1006" s="11">
        <v>0</v>
      </c>
      <c r="AK1006" s="11">
        <f>$J1006-SUM($Z1006:AJ1006)</f>
        <v>2354.9999999999995</v>
      </c>
      <c r="AW1006" s="2509"/>
      <c r="BE1006" s="2173"/>
      <c r="BF1006" s="2173"/>
      <c r="BG1006" s="2173"/>
      <c r="BH1006" s="2173"/>
      <c r="BI1006" s="2173"/>
      <c r="BJ1006" s="2173"/>
      <c r="BK1006" s="2173"/>
      <c r="BL1006" s="773"/>
      <c r="BM1006" s="773"/>
      <c r="BN1006" s="820"/>
      <c r="BP1006" s="209"/>
      <c r="BS1006" s="878"/>
      <c r="CG1006" s="878"/>
      <c r="CH1006" s="4"/>
      <c r="DB1006" s="773"/>
      <c r="DC1006" s="773"/>
      <c r="DD1006" s="773"/>
      <c r="DE1006" s="773"/>
      <c r="DF1006" s="773"/>
      <c r="DG1006" s="773"/>
      <c r="DH1006" s="773"/>
      <c r="DI1006" s="773"/>
      <c r="DJ1006" s="773"/>
      <c r="DK1006" s="773"/>
      <c r="DL1006" s="773"/>
      <c r="DM1006" s="773"/>
      <c r="DN1006" s="773"/>
      <c r="DO1006" s="773"/>
      <c r="DP1006" s="773"/>
      <c r="DQ1006" s="773"/>
      <c r="DR1006" s="773"/>
      <c r="DS1006" s="773"/>
      <c r="DT1006" s="773"/>
      <c r="DU1006" s="773"/>
      <c r="DV1006" s="773"/>
      <c r="DW1006" s="773"/>
      <c r="DX1006" s="773"/>
      <c r="DY1006" s="773"/>
      <c r="DZ1006" s="773"/>
      <c r="EA1006" s="773"/>
      <c r="EB1006" s="773"/>
      <c r="EC1006" s="773"/>
      <c r="ED1006" s="773"/>
      <c r="EE1006" s="773"/>
      <c r="EF1006" s="773"/>
      <c r="EG1006" s="773"/>
      <c r="EH1006" s="773"/>
      <c r="EI1006" s="773"/>
      <c r="EJ1006" s="773"/>
      <c r="EK1006" s="773"/>
      <c r="EL1006" s="773"/>
      <c r="EM1006" s="773"/>
      <c r="EN1006" s="773"/>
      <c r="EO1006" s="773"/>
      <c r="EP1006" s="773"/>
      <c r="EQ1006" s="773"/>
      <c r="ER1006" s="773"/>
      <c r="ES1006" s="773"/>
      <c r="ET1006" s="773"/>
      <c r="EU1006" s="773"/>
      <c r="EV1006" s="773"/>
      <c r="EW1006" s="773"/>
      <c r="EX1006" s="773"/>
      <c r="EY1006" s="773"/>
      <c r="EZ1006" s="773"/>
      <c r="FA1006" s="773"/>
      <c r="FB1006" s="773"/>
      <c r="FC1006" s="773"/>
      <c r="FD1006" s="773"/>
      <c r="FE1006" s="773"/>
      <c r="FF1006" s="773"/>
      <c r="FG1006" s="773"/>
      <c r="FH1006" s="773"/>
      <c r="FI1006" s="773"/>
      <c r="FJ1006" s="773"/>
      <c r="FK1006" s="773"/>
      <c r="FL1006" s="773"/>
      <c r="FM1006" s="773"/>
      <c r="FN1006" s="773"/>
      <c r="FO1006" s="773"/>
      <c r="FP1006" s="773"/>
      <c r="FQ1006" s="773"/>
      <c r="FR1006" s="773"/>
      <c r="FS1006" s="773"/>
      <c r="FT1006" s="773"/>
      <c r="FU1006" s="773"/>
      <c r="FV1006" s="773"/>
      <c r="FW1006" s="773"/>
      <c r="FX1006" s="773"/>
      <c r="FY1006" s="773"/>
      <c r="FZ1006" s="773"/>
      <c r="GA1006" s="773"/>
      <c r="GB1006" s="773"/>
      <c r="GC1006" s="773"/>
      <c r="GD1006" s="773"/>
      <c r="GE1006" s="773"/>
      <c r="GF1006" s="773"/>
      <c r="GG1006" s="773"/>
      <c r="GH1006" s="773"/>
      <c r="GI1006" s="773"/>
      <c r="GJ1006" s="773"/>
      <c r="GK1006" s="773"/>
      <c r="GL1006" s="773"/>
      <c r="GM1006" s="773"/>
      <c r="GN1006" s="773"/>
      <c r="GO1006" s="773"/>
      <c r="GP1006" s="773"/>
      <c r="GQ1006" s="773"/>
      <c r="GR1006" s="773"/>
      <c r="GS1006" s="773"/>
      <c r="GT1006" s="773"/>
      <c r="GU1006" s="773"/>
      <c r="GV1006" s="773"/>
      <c r="GW1006" s="773"/>
      <c r="GX1006" s="773"/>
      <c r="GY1006" s="773"/>
      <c r="GZ1006" s="773"/>
    </row>
    <row r="1007" spans="1:208" s="11" customFormat="1">
      <c r="B1007" s="3761" t="s">
        <v>3348</v>
      </c>
      <c r="C1007" s="197">
        <v>9100012</v>
      </c>
      <c r="D1007" s="200" t="s">
        <v>4026</v>
      </c>
      <c r="E1007" s="798">
        <f>IFERROR(VLOOKUP(C1007,'AJE 12 - INC'!$D$168:$F$771,3,0),0)</f>
        <v>402.7</v>
      </c>
      <c r="F1007" s="108">
        <f>SUMIF('AJE 12 - INC'!B:B,'New TB INC'!C1007,'AJE 12 - INC'!D:D)</f>
        <v>0</v>
      </c>
      <c r="G1007" s="769"/>
      <c r="H1007" s="769"/>
      <c r="I1007" s="769"/>
      <c r="J1007" s="769">
        <f t="shared" si="100"/>
        <v>402.7</v>
      </c>
      <c r="K1007" s="209"/>
      <c r="L1007" s="434"/>
      <c r="M1007" s="803"/>
      <c r="R1007" s="773"/>
      <c r="T1007" s="773"/>
      <c r="U1007" s="2173"/>
      <c r="V1007" s="2509"/>
      <c r="W1007" s="2509"/>
      <c r="X1007" s="2509"/>
      <c r="Y1007" s="2509"/>
      <c r="AG1007" s="11">
        <v>402.7</v>
      </c>
      <c r="AH1007" s="11">
        <v>0</v>
      </c>
      <c r="AI1007" s="11">
        <v>0</v>
      </c>
      <c r="AJ1007" s="11">
        <v>0</v>
      </c>
      <c r="AK1007" s="11">
        <f>$J1007-SUM($Z1007:AJ1007)</f>
        <v>0</v>
      </c>
      <c r="AW1007" s="2509"/>
      <c r="BE1007" s="2173"/>
      <c r="BF1007" s="2173"/>
      <c r="BG1007" s="2173"/>
      <c r="BH1007" s="2173"/>
      <c r="BI1007" s="2173"/>
      <c r="BJ1007" s="2173"/>
      <c r="BK1007" s="2173"/>
      <c r="BL1007" s="773"/>
      <c r="BM1007" s="773"/>
      <c r="BN1007" s="820"/>
      <c r="BP1007" s="209"/>
      <c r="BS1007" s="878"/>
      <c r="CG1007" s="878"/>
      <c r="CH1007" s="4"/>
      <c r="DB1007" s="773"/>
      <c r="DC1007" s="773"/>
      <c r="DD1007" s="773"/>
      <c r="DE1007" s="773"/>
      <c r="DF1007" s="773"/>
      <c r="DG1007" s="773"/>
      <c r="DH1007" s="773"/>
      <c r="DI1007" s="773"/>
      <c r="DJ1007" s="773"/>
      <c r="DK1007" s="773"/>
      <c r="DL1007" s="773"/>
      <c r="DM1007" s="773"/>
      <c r="DN1007" s="773"/>
      <c r="DO1007" s="773"/>
      <c r="DP1007" s="773"/>
      <c r="DQ1007" s="773"/>
      <c r="DR1007" s="773"/>
      <c r="DS1007" s="773"/>
      <c r="DT1007" s="773"/>
      <c r="DU1007" s="773"/>
      <c r="DV1007" s="773"/>
      <c r="DW1007" s="773"/>
      <c r="DX1007" s="773"/>
      <c r="DY1007" s="773"/>
      <c r="DZ1007" s="773"/>
      <c r="EA1007" s="773"/>
      <c r="EB1007" s="773"/>
      <c r="EC1007" s="773"/>
      <c r="ED1007" s="773"/>
      <c r="EE1007" s="773"/>
      <c r="EF1007" s="773"/>
      <c r="EG1007" s="773"/>
      <c r="EH1007" s="773"/>
      <c r="EI1007" s="773"/>
      <c r="EJ1007" s="773"/>
      <c r="EK1007" s="773"/>
      <c r="EL1007" s="773"/>
      <c r="EM1007" s="773"/>
      <c r="EN1007" s="773"/>
      <c r="EO1007" s="773"/>
      <c r="EP1007" s="773"/>
      <c r="EQ1007" s="773"/>
      <c r="ER1007" s="773"/>
      <c r="ES1007" s="773"/>
      <c r="ET1007" s="773"/>
      <c r="EU1007" s="773"/>
      <c r="EV1007" s="773"/>
      <c r="EW1007" s="773"/>
      <c r="EX1007" s="773"/>
      <c r="EY1007" s="773"/>
      <c r="EZ1007" s="773"/>
      <c r="FA1007" s="773"/>
      <c r="FB1007" s="773"/>
      <c r="FC1007" s="773"/>
      <c r="FD1007" s="773"/>
      <c r="FE1007" s="773"/>
      <c r="FF1007" s="773"/>
      <c r="FG1007" s="773"/>
      <c r="FH1007" s="773"/>
      <c r="FI1007" s="773"/>
      <c r="FJ1007" s="773"/>
      <c r="FK1007" s="773"/>
      <c r="FL1007" s="773"/>
      <c r="FM1007" s="773"/>
      <c r="FN1007" s="773"/>
      <c r="FO1007" s="773"/>
      <c r="FP1007" s="773"/>
      <c r="FQ1007" s="773"/>
      <c r="FR1007" s="773"/>
      <c r="FS1007" s="773"/>
      <c r="FT1007" s="773"/>
      <c r="FU1007" s="773"/>
      <c r="FV1007" s="773"/>
      <c r="FW1007" s="773"/>
      <c r="FX1007" s="773"/>
      <c r="FY1007" s="773"/>
      <c r="FZ1007" s="773"/>
      <c r="GA1007" s="773"/>
      <c r="GB1007" s="773"/>
      <c r="GC1007" s="773"/>
      <c r="GD1007" s="773"/>
      <c r="GE1007" s="773"/>
      <c r="GF1007" s="773"/>
      <c r="GG1007" s="773"/>
      <c r="GH1007" s="773"/>
      <c r="GI1007" s="773"/>
      <c r="GJ1007" s="773"/>
      <c r="GK1007" s="773"/>
      <c r="GL1007" s="773"/>
      <c r="GM1007" s="773"/>
      <c r="GN1007" s="773"/>
      <c r="GO1007" s="773"/>
      <c r="GP1007" s="773"/>
      <c r="GQ1007" s="773"/>
      <c r="GR1007" s="773"/>
      <c r="GS1007" s="773"/>
      <c r="GT1007" s="773"/>
      <c r="GU1007" s="773"/>
      <c r="GV1007" s="773"/>
      <c r="GW1007" s="773"/>
      <c r="GX1007" s="773"/>
      <c r="GY1007" s="773"/>
      <c r="GZ1007" s="773"/>
    </row>
    <row r="1008" spans="1:208" s="11" customFormat="1">
      <c r="B1008" s="3761" t="s">
        <v>3348</v>
      </c>
      <c r="C1008" s="197">
        <v>9100015</v>
      </c>
      <c r="D1008" s="200" t="s">
        <v>4309</v>
      </c>
      <c r="E1008" s="798">
        <f>IFERROR(VLOOKUP(C1008,'AJE 12 - INC'!$D$168:$F$771,3,0),0)</f>
        <v>12668</v>
      </c>
      <c r="F1008" s="108">
        <f>SUMIF('AJE 12 - INC'!B:B,'New TB INC'!C1008,'AJE 12 - INC'!D:D)</f>
        <v>0</v>
      </c>
      <c r="G1008" s="769"/>
      <c r="H1008" s="769"/>
      <c r="I1008" s="769"/>
      <c r="J1008" s="769">
        <f t="shared" si="100"/>
        <v>12668</v>
      </c>
      <c r="K1008" s="209"/>
      <c r="L1008" s="434"/>
      <c r="M1008" s="803"/>
      <c r="R1008" s="773"/>
      <c r="T1008" s="773"/>
      <c r="U1008" s="2173"/>
      <c r="V1008" s="2509"/>
      <c r="W1008" s="2509"/>
      <c r="X1008" s="2509"/>
      <c r="Y1008" s="2509"/>
      <c r="AI1008" s="11">
        <v>5468</v>
      </c>
      <c r="AJ1008" s="11">
        <v>0</v>
      </c>
      <c r="AK1008" s="11">
        <f>$J1008-SUM($Z1008:AJ1008)</f>
        <v>7200</v>
      </c>
      <c r="AW1008" s="2509"/>
      <c r="BE1008" s="2173"/>
      <c r="BF1008" s="2173"/>
      <c r="BG1008" s="2173"/>
      <c r="BH1008" s="2173"/>
      <c r="BI1008" s="2173"/>
      <c r="BJ1008" s="2173"/>
      <c r="BK1008" s="2173"/>
      <c r="BL1008" s="773"/>
      <c r="BM1008" s="773"/>
      <c r="BN1008" s="820"/>
      <c r="BP1008" s="209"/>
      <c r="BS1008" s="878"/>
      <c r="CG1008" s="878"/>
      <c r="CH1008" s="4"/>
      <c r="DB1008" s="773"/>
      <c r="DC1008" s="773"/>
      <c r="DD1008" s="773"/>
      <c r="DE1008" s="773"/>
      <c r="DF1008" s="773"/>
      <c r="DG1008" s="773"/>
      <c r="DH1008" s="773"/>
      <c r="DI1008" s="773"/>
      <c r="DJ1008" s="773"/>
      <c r="DK1008" s="773"/>
      <c r="DL1008" s="773"/>
      <c r="DM1008" s="773"/>
      <c r="DN1008" s="773"/>
      <c r="DO1008" s="773"/>
      <c r="DP1008" s="773"/>
      <c r="DQ1008" s="773"/>
      <c r="DR1008" s="773"/>
      <c r="DS1008" s="773"/>
      <c r="DT1008" s="773"/>
      <c r="DU1008" s="773"/>
      <c r="DV1008" s="773"/>
      <c r="DW1008" s="773"/>
      <c r="DX1008" s="773"/>
      <c r="DY1008" s="773"/>
      <c r="DZ1008" s="773"/>
      <c r="EA1008" s="773"/>
      <c r="EB1008" s="773"/>
      <c r="EC1008" s="773"/>
      <c r="ED1008" s="773"/>
      <c r="EE1008" s="773"/>
      <c r="EF1008" s="773"/>
      <c r="EG1008" s="773"/>
      <c r="EH1008" s="773"/>
      <c r="EI1008" s="773"/>
      <c r="EJ1008" s="773"/>
      <c r="EK1008" s="773"/>
      <c r="EL1008" s="773"/>
      <c r="EM1008" s="773"/>
      <c r="EN1008" s="773"/>
      <c r="EO1008" s="773"/>
      <c r="EP1008" s="773"/>
      <c r="EQ1008" s="773"/>
      <c r="ER1008" s="773"/>
      <c r="ES1008" s="773"/>
      <c r="ET1008" s="773"/>
      <c r="EU1008" s="773"/>
      <c r="EV1008" s="773"/>
      <c r="EW1008" s="773"/>
      <c r="EX1008" s="773"/>
      <c r="EY1008" s="773"/>
      <c r="EZ1008" s="773"/>
      <c r="FA1008" s="773"/>
      <c r="FB1008" s="773"/>
      <c r="FC1008" s="773"/>
      <c r="FD1008" s="773"/>
      <c r="FE1008" s="773"/>
      <c r="FF1008" s="773"/>
      <c r="FG1008" s="773"/>
      <c r="FH1008" s="773"/>
      <c r="FI1008" s="773"/>
      <c r="FJ1008" s="773"/>
      <c r="FK1008" s="773"/>
      <c r="FL1008" s="773"/>
      <c r="FM1008" s="773"/>
      <c r="FN1008" s="773"/>
      <c r="FO1008" s="773"/>
      <c r="FP1008" s="773"/>
      <c r="FQ1008" s="773"/>
      <c r="FR1008" s="773"/>
      <c r="FS1008" s="773"/>
      <c r="FT1008" s="773"/>
      <c r="FU1008" s="773"/>
      <c r="FV1008" s="773"/>
      <c r="FW1008" s="773"/>
      <c r="FX1008" s="773"/>
      <c r="FY1008" s="773"/>
      <c r="FZ1008" s="773"/>
      <c r="GA1008" s="773"/>
      <c r="GB1008" s="773"/>
      <c r="GC1008" s="773"/>
      <c r="GD1008" s="773"/>
      <c r="GE1008" s="773"/>
      <c r="GF1008" s="773"/>
      <c r="GG1008" s="773"/>
      <c r="GH1008" s="773"/>
      <c r="GI1008" s="773"/>
      <c r="GJ1008" s="773"/>
      <c r="GK1008" s="773"/>
      <c r="GL1008" s="773"/>
      <c r="GM1008" s="773"/>
      <c r="GN1008" s="773"/>
      <c r="GO1008" s="773"/>
      <c r="GP1008" s="773"/>
      <c r="GQ1008" s="773"/>
      <c r="GR1008" s="773"/>
      <c r="GS1008" s="773"/>
      <c r="GT1008" s="773"/>
      <c r="GU1008" s="773"/>
      <c r="GV1008" s="773"/>
      <c r="GW1008" s="773"/>
      <c r="GX1008" s="773"/>
      <c r="GY1008" s="773"/>
      <c r="GZ1008" s="773"/>
    </row>
    <row r="1009" spans="1:208" s="11" customFormat="1">
      <c r="B1009" s="3761" t="s">
        <v>3348</v>
      </c>
      <c r="C1009" s="197">
        <v>9100024</v>
      </c>
      <c r="D1009" s="200" t="s">
        <v>4310</v>
      </c>
      <c r="E1009" s="798">
        <f>IFERROR(VLOOKUP(C1009,'AJE 12 - INC'!$D$168:$F$771,3,0),0)</f>
        <v>3000.58</v>
      </c>
      <c r="F1009" s="108">
        <f>SUMIF('AJE 12 - INC'!B:B,'New TB INC'!C1009,'AJE 12 - INC'!D:D)</f>
        <v>0</v>
      </c>
      <c r="G1009" s="769"/>
      <c r="H1009" s="769"/>
      <c r="I1009" s="769"/>
      <c r="J1009" s="769">
        <f t="shared" si="100"/>
        <v>3000.58</v>
      </c>
      <c r="K1009" s="209"/>
      <c r="L1009" s="434"/>
      <c r="M1009" s="803"/>
      <c r="R1009" s="773"/>
      <c r="T1009" s="773"/>
      <c r="U1009" s="2173"/>
      <c r="V1009" s="2509"/>
      <c r="W1009" s="2509"/>
      <c r="X1009" s="2509"/>
      <c r="Y1009" s="2509"/>
      <c r="AI1009" s="11">
        <v>1546</v>
      </c>
      <c r="AJ1009" s="11">
        <v>-945.42</v>
      </c>
      <c r="AK1009" s="11">
        <f>$J1009-SUM($Z1009:AJ1009)</f>
        <v>2400</v>
      </c>
      <c r="AW1009" s="2509"/>
      <c r="BE1009" s="2173"/>
      <c r="BF1009" s="2173"/>
      <c r="BG1009" s="2173"/>
      <c r="BH1009" s="2173"/>
      <c r="BI1009" s="2173"/>
      <c r="BJ1009" s="2173"/>
      <c r="BK1009" s="2173"/>
      <c r="BL1009" s="773"/>
      <c r="BM1009" s="773"/>
      <c r="BN1009" s="820"/>
      <c r="BP1009" s="209"/>
      <c r="BS1009" s="878"/>
      <c r="CG1009" s="878"/>
      <c r="CH1009" s="4"/>
      <c r="DB1009" s="773"/>
      <c r="DC1009" s="773"/>
      <c r="DD1009" s="773"/>
      <c r="DE1009" s="773"/>
      <c r="DF1009" s="773"/>
      <c r="DG1009" s="773"/>
      <c r="DH1009" s="773"/>
      <c r="DI1009" s="773"/>
      <c r="DJ1009" s="773"/>
      <c r="DK1009" s="773"/>
      <c r="DL1009" s="773"/>
      <c r="DM1009" s="773"/>
      <c r="DN1009" s="773"/>
      <c r="DO1009" s="773"/>
      <c r="DP1009" s="773"/>
      <c r="DQ1009" s="773"/>
      <c r="DR1009" s="773"/>
      <c r="DS1009" s="773"/>
      <c r="DT1009" s="773"/>
      <c r="DU1009" s="773"/>
      <c r="DV1009" s="773"/>
      <c r="DW1009" s="773"/>
      <c r="DX1009" s="773"/>
      <c r="DY1009" s="773"/>
      <c r="DZ1009" s="773"/>
      <c r="EA1009" s="773"/>
      <c r="EB1009" s="773"/>
      <c r="EC1009" s="773"/>
      <c r="ED1009" s="773"/>
      <c r="EE1009" s="773"/>
      <c r="EF1009" s="773"/>
      <c r="EG1009" s="773"/>
      <c r="EH1009" s="773"/>
      <c r="EI1009" s="773"/>
      <c r="EJ1009" s="773"/>
      <c r="EK1009" s="773"/>
      <c r="EL1009" s="773"/>
      <c r="EM1009" s="773"/>
      <c r="EN1009" s="773"/>
      <c r="EO1009" s="773"/>
      <c r="EP1009" s="773"/>
      <c r="EQ1009" s="773"/>
      <c r="ER1009" s="773"/>
      <c r="ES1009" s="773"/>
      <c r="ET1009" s="773"/>
      <c r="EU1009" s="773"/>
      <c r="EV1009" s="773"/>
      <c r="EW1009" s="773"/>
      <c r="EX1009" s="773"/>
      <c r="EY1009" s="773"/>
      <c r="EZ1009" s="773"/>
      <c r="FA1009" s="773"/>
      <c r="FB1009" s="773"/>
      <c r="FC1009" s="773"/>
      <c r="FD1009" s="773"/>
      <c r="FE1009" s="773"/>
      <c r="FF1009" s="773"/>
      <c r="FG1009" s="773"/>
      <c r="FH1009" s="773"/>
      <c r="FI1009" s="773"/>
      <c r="FJ1009" s="773"/>
      <c r="FK1009" s="773"/>
      <c r="FL1009" s="773"/>
      <c r="FM1009" s="773"/>
      <c r="FN1009" s="773"/>
      <c r="FO1009" s="773"/>
      <c r="FP1009" s="773"/>
      <c r="FQ1009" s="773"/>
      <c r="FR1009" s="773"/>
      <c r="FS1009" s="773"/>
      <c r="FT1009" s="773"/>
      <c r="FU1009" s="773"/>
      <c r="FV1009" s="773"/>
      <c r="FW1009" s="773"/>
      <c r="FX1009" s="773"/>
      <c r="FY1009" s="773"/>
      <c r="FZ1009" s="773"/>
      <c r="GA1009" s="773"/>
      <c r="GB1009" s="773"/>
      <c r="GC1009" s="773"/>
      <c r="GD1009" s="773"/>
      <c r="GE1009" s="773"/>
      <c r="GF1009" s="773"/>
      <c r="GG1009" s="773"/>
      <c r="GH1009" s="773"/>
      <c r="GI1009" s="773"/>
      <c r="GJ1009" s="773"/>
      <c r="GK1009" s="773"/>
      <c r="GL1009" s="773"/>
      <c r="GM1009" s="773"/>
      <c r="GN1009" s="773"/>
      <c r="GO1009" s="773"/>
      <c r="GP1009" s="773"/>
      <c r="GQ1009" s="773"/>
      <c r="GR1009" s="773"/>
      <c r="GS1009" s="773"/>
      <c r="GT1009" s="773"/>
      <c r="GU1009" s="773"/>
      <c r="GV1009" s="773"/>
      <c r="GW1009" s="773"/>
      <c r="GX1009" s="773"/>
      <c r="GY1009" s="773"/>
      <c r="GZ1009" s="773"/>
    </row>
    <row r="1010" spans="1:208" s="11" customFormat="1">
      <c r="B1010" s="3761" t="s">
        <v>3348</v>
      </c>
      <c r="C1010" s="197">
        <v>9100135</v>
      </c>
      <c r="D1010" s="200" t="s">
        <v>4174</v>
      </c>
      <c r="E1010" s="798">
        <f>IFERROR(VLOOKUP(C1010,'AJE 12 - INC'!$D$168:$F$771,3,0),0)</f>
        <v>1106.71</v>
      </c>
      <c r="F1010" s="108">
        <f>SUMIF('AJE 12 - INC'!B:B,'New TB INC'!C1010,'AJE 12 - INC'!D:D)</f>
        <v>0</v>
      </c>
      <c r="G1010" s="769"/>
      <c r="H1010" s="769"/>
      <c r="I1010" s="769"/>
      <c r="J1010" s="769">
        <f t="shared" si="100"/>
        <v>1106.71</v>
      </c>
      <c r="K1010" s="209"/>
      <c r="L1010" s="434"/>
      <c r="M1010" s="803"/>
      <c r="R1010" s="773"/>
      <c r="T1010" s="773"/>
      <c r="U1010" s="2173"/>
      <c r="V1010" s="2509"/>
      <c r="W1010" s="2509"/>
      <c r="X1010" s="2509"/>
      <c r="Y1010" s="2509"/>
      <c r="AH1010" s="11">
        <v>1106.71</v>
      </c>
      <c r="AI1010" s="11">
        <v>0</v>
      </c>
      <c r="AJ1010" s="11">
        <v>0</v>
      </c>
      <c r="AK1010" s="11">
        <f>$J1010-SUM($Z1010:AJ1010)</f>
        <v>0</v>
      </c>
      <c r="AW1010" s="2509"/>
      <c r="BE1010" s="2173"/>
      <c r="BF1010" s="2173"/>
      <c r="BG1010" s="2173"/>
      <c r="BH1010" s="2173"/>
      <c r="BI1010" s="2173"/>
      <c r="BJ1010" s="2173"/>
      <c r="BK1010" s="2173"/>
      <c r="BL1010" s="773"/>
      <c r="BM1010" s="773"/>
      <c r="BN1010" s="820"/>
      <c r="BP1010" s="209"/>
      <c r="BS1010" s="878"/>
      <c r="CG1010" s="878"/>
      <c r="CH1010" s="4"/>
      <c r="DB1010" s="773"/>
      <c r="DC1010" s="773"/>
      <c r="DD1010" s="773"/>
      <c r="DE1010" s="773"/>
      <c r="DF1010" s="773"/>
      <c r="DG1010" s="773"/>
      <c r="DH1010" s="773"/>
      <c r="DI1010" s="773"/>
      <c r="DJ1010" s="773"/>
      <c r="DK1010" s="773"/>
      <c r="DL1010" s="773"/>
      <c r="DM1010" s="773"/>
      <c r="DN1010" s="773"/>
      <c r="DO1010" s="773"/>
      <c r="DP1010" s="773"/>
      <c r="DQ1010" s="773"/>
      <c r="DR1010" s="773"/>
      <c r="DS1010" s="773"/>
      <c r="DT1010" s="773"/>
      <c r="DU1010" s="773"/>
      <c r="DV1010" s="773"/>
      <c r="DW1010" s="773"/>
      <c r="DX1010" s="773"/>
      <c r="DY1010" s="773"/>
      <c r="DZ1010" s="773"/>
      <c r="EA1010" s="773"/>
      <c r="EB1010" s="773"/>
      <c r="EC1010" s="773"/>
      <c r="ED1010" s="773"/>
      <c r="EE1010" s="773"/>
      <c r="EF1010" s="773"/>
      <c r="EG1010" s="773"/>
      <c r="EH1010" s="773"/>
      <c r="EI1010" s="773"/>
      <c r="EJ1010" s="773"/>
      <c r="EK1010" s="773"/>
      <c r="EL1010" s="773"/>
      <c r="EM1010" s="773"/>
      <c r="EN1010" s="773"/>
      <c r="EO1010" s="773"/>
      <c r="EP1010" s="773"/>
      <c r="EQ1010" s="773"/>
      <c r="ER1010" s="773"/>
      <c r="ES1010" s="773"/>
      <c r="ET1010" s="773"/>
      <c r="EU1010" s="773"/>
      <c r="EV1010" s="773"/>
      <c r="EW1010" s="773"/>
      <c r="EX1010" s="773"/>
      <c r="EY1010" s="773"/>
      <c r="EZ1010" s="773"/>
      <c r="FA1010" s="773"/>
      <c r="FB1010" s="773"/>
      <c r="FC1010" s="773"/>
      <c r="FD1010" s="773"/>
      <c r="FE1010" s="773"/>
      <c r="FF1010" s="773"/>
      <c r="FG1010" s="773"/>
      <c r="FH1010" s="773"/>
      <c r="FI1010" s="773"/>
      <c r="FJ1010" s="773"/>
      <c r="FK1010" s="773"/>
      <c r="FL1010" s="773"/>
      <c r="FM1010" s="773"/>
      <c r="FN1010" s="773"/>
      <c r="FO1010" s="773"/>
      <c r="FP1010" s="773"/>
      <c r="FQ1010" s="773"/>
      <c r="FR1010" s="773"/>
      <c r="FS1010" s="773"/>
      <c r="FT1010" s="773"/>
      <c r="FU1010" s="773"/>
      <c r="FV1010" s="773"/>
      <c r="FW1010" s="773"/>
      <c r="FX1010" s="773"/>
      <c r="FY1010" s="773"/>
      <c r="FZ1010" s="773"/>
      <c r="GA1010" s="773"/>
      <c r="GB1010" s="773"/>
      <c r="GC1010" s="773"/>
      <c r="GD1010" s="773"/>
      <c r="GE1010" s="773"/>
      <c r="GF1010" s="773"/>
      <c r="GG1010" s="773"/>
      <c r="GH1010" s="773"/>
      <c r="GI1010" s="773"/>
      <c r="GJ1010" s="773"/>
      <c r="GK1010" s="773"/>
      <c r="GL1010" s="773"/>
      <c r="GM1010" s="773"/>
      <c r="GN1010" s="773"/>
      <c r="GO1010" s="773"/>
      <c r="GP1010" s="773"/>
      <c r="GQ1010" s="773"/>
      <c r="GR1010" s="773"/>
      <c r="GS1010" s="773"/>
      <c r="GT1010" s="773"/>
      <c r="GU1010" s="773"/>
      <c r="GV1010" s="773"/>
      <c r="GW1010" s="773"/>
      <c r="GX1010" s="773"/>
      <c r="GY1010" s="773"/>
      <c r="GZ1010" s="773"/>
    </row>
    <row r="1011" spans="1:208" s="11" customFormat="1">
      <c r="B1011" s="3761" t="s">
        <v>3348</v>
      </c>
      <c r="C1011" s="197">
        <v>9100022</v>
      </c>
      <c r="D1011" s="200" t="s">
        <v>4027</v>
      </c>
      <c r="E1011" s="798">
        <f>IFERROR(VLOOKUP(C1011,'AJE 12 - INC'!$D$168:$F$771,3,0),0)</f>
        <v>-395.38</v>
      </c>
      <c r="F1011" s="108">
        <f>SUMIF('AJE 12 - INC'!B:B,'New TB INC'!C1011,'AJE 12 - INC'!D:D)</f>
        <v>0</v>
      </c>
      <c r="G1011" s="769"/>
      <c r="H1011" s="769"/>
      <c r="I1011" s="769"/>
      <c r="J1011" s="769">
        <f t="shared" si="100"/>
        <v>-395.38</v>
      </c>
      <c r="K1011" s="209"/>
      <c r="L1011" s="434"/>
      <c r="M1011" s="803"/>
      <c r="R1011" s="773"/>
      <c r="T1011" s="773"/>
      <c r="U1011" s="2173"/>
      <c r="V1011" s="2509"/>
      <c r="W1011" s="2509"/>
      <c r="X1011" s="2509"/>
      <c r="Y1011" s="2509"/>
      <c r="AG1011" s="11">
        <v>-395.38</v>
      </c>
      <c r="AH1011" s="11">
        <v>0</v>
      </c>
      <c r="AI1011" s="11">
        <v>0</v>
      </c>
      <c r="AJ1011" s="11">
        <v>0</v>
      </c>
      <c r="AK1011" s="11">
        <f>$J1011-SUM($Z1011:AJ1011)</f>
        <v>0</v>
      </c>
      <c r="AW1011" s="2509"/>
      <c r="BE1011" s="2173"/>
      <c r="BF1011" s="2173"/>
      <c r="BG1011" s="2173"/>
      <c r="BH1011" s="2173"/>
      <c r="BI1011" s="2173"/>
      <c r="BJ1011" s="2173"/>
      <c r="BK1011" s="2173"/>
      <c r="BL1011" s="773"/>
      <c r="BM1011" s="773"/>
      <c r="BN1011" s="820"/>
      <c r="BP1011" s="209"/>
      <c r="BS1011" s="878"/>
      <c r="CG1011" s="878"/>
      <c r="CH1011" s="4"/>
      <c r="DB1011" s="773"/>
      <c r="DC1011" s="773"/>
      <c r="DD1011" s="773"/>
      <c r="DE1011" s="773"/>
      <c r="DF1011" s="773"/>
      <c r="DG1011" s="773"/>
      <c r="DH1011" s="773"/>
      <c r="DI1011" s="773"/>
      <c r="DJ1011" s="773"/>
      <c r="DK1011" s="773"/>
      <c r="DL1011" s="773"/>
      <c r="DM1011" s="773"/>
      <c r="DN1011" s="773"/>
      <c r="DO1011" s="773"/>
      <c r="DP1011" s="773"/>
      <c r="DQ1011" s="773"/>
      <c r="DR1011" s="773"/>
      <c r="DS1011" s="773"/>
      <c r="DT1011" s="773"/>
      <c r="DU1011" s="773"/>
      <c r="DV1011" s="773"/>
      <c r="DW1011" s="773"/>
      <c r="DX1011" s="773"/>
      <c r="DY1011" s="773"/>
      <c r="DZ1011" s="773"/>
      <c r="EA1011" s="773"/>
      <c r="EB1011" s="773"/>
      <c r="EC1011" s="773"/>
      <c r="ED1011" s="773"/>
      <c r="EE1011" s="773"/>
      <c r="EF1011" s="773"/>
      <c r="EG1011" s="773"/>
      <c r="EH1011" s="773"/>
      <c r="EI1011" s="773"/>
      <c r="EJ1011" s="773"/>
      <c r="EK1011" s="773"/>
      <c r="EL1011" s="773"/>
      <c r="EM1011" s="773"/>
      <c r="EN1011" s="773"/>
      <c r="EO1011" s="773"/>
      <c r="EP1011" s="773"/>
      <c r="EQ1011" s="773"/>
      <c r="ER1011" s="773"/>
      <c r="ES1011" s="773"/>
      <c r="ET1011" s="773"/>
      <c r="EU1011" s="773"/>
      <c r="EV1011" s="773"/>
      <c r="EW1011" s="773"/>
      <c r="EX1011" s="773"/>
      <c r="EY1011" s="773"/>
      <c r="EZ1011" s="773"/>
      <c r="FA1011" s="773"/>
      <c r="FB1011" s="773"/>
      <c r="FC1011" s="773"/>
      <c r="FD1011" s="773"/>
      <c r="FE1011" s="773"/>
      <c r="FF1011" s="773"/>
      <c r="FG1011" s="773"/>
      <c r="FH1011" s="773"/>
      <c r="FI1011" s="773"/>
      <c r="FJ1011" s="773"/>
      <c r="FK1011" s="773"/>
      <c r="FL1011" s="773"/>
      <c r="FM1011" s="773"/>
      <c r="FN1011" s="773"/>
      <c r="FO1011" s="773"/>
      <c r="FP1011" s="773"/>
      <c r="FQ1011" s="773"/>
      <c r="FR1011" s="773"/>
      <c r="FS1011" s="773"/>
      <c r="FT1011" s="773"/>
      <c r="FU1011" s="773"/>
      <c r="FV1011" s="773"/>
      <c r="FW1011" s="773"/>
      <c r="FX1011" s="773"/>
      <c r="FY1011" s="773"/>
      <c r="FZ1011" s="773"/>
      <c r="GA1011" s="773"/>
      <c r="GB1011" s="773"/>
      <c r="GC1011" s="773"/>
      <c r="GD1011" s="773"/>
      <c r="GE1011" s="773"/>
      <c r="GF1011" s="773"/>
      <c r="GG1011" s="773"/>
      <c r="GH1011" s="773"/>
      <c r="GI1011" s="773"/>
      <c r="GJ1011" s="773"/>
      <c r="GK1011" s="773"/>
      <c r="GL1011" s="773"/>
      <c r="GM1011" s="773"/>
      <c r="GN1011" s="773"/>
      <c r="GO1011" s="773"/>
      <c r="GP1011" s="773"/>
      <c r="GQ1011" s="773"/>
      <c r="GR1011" s="773"/>
      <c r="GS1011" s="773"/>
      <c r="GT1011" s="773"/>
      <c r="GU1011" s="773"/>
      <c r="GV1011" s="773"/>
      <c r="GW1011" s="773"/>
      <c r="GX1011" s="773"/>
      <c r="GY1011" s="773"/>
      <c r="GZ1011" s="773"/>
    </row>
    <row r="1012" spans="1:208" s="11" customFormat="1">
      <c r="A1012" s="774"/>
      <c r="B1012" s="3761" t="s">
        <v>3348</v>
      </c>
      <c r="C1012" s="197">
        <v>9100134</v>
      </c>
      <c r="D1012" s="200" t="s">
        <v>3598</v>
      </c>
      <c r="E1012" s="798">
        <f>IFERROR(VLOOKUP(C1012,'AJE 12 - INC'!$D$168:$F$771,3,0),0)</f>
        <v>19857</v>
      </c>
      <c r="F1012" s="108">
        <f>SUMIF('AJE 12 - INC'!B:B,'New TB INC'!C1012,'AJE 12 - INC'!D:D)</f>
        <v>0</v>
      </c>
      <c r="G1012" s="769"/>
      <c r="H1012" s="769"/>
      <c r="I1012" s="769"/>
      <c r="J1012" s="769">
        <f t="shared" si="100"/>
        <v>19857</v>
      </c>
      <c r="K1012" s="209"/>
      <c r="L1012" s="434"/>
      <c r="M1012" s="803"/>
      <c r="N1012" s="11">
        <v>0</v>
      </c>
      <c r="O1012" s="11">
        <v>0</v>
      </c>
      <c r="P1012" s="11">
        <v>0</v>
      </c>
      <c r="Q1012" s="11">
        <v>0</v>
      </c>
      <c r="R1012" s="773">
        <v>0</v>
      </c>
      <c r="S1012" s="11">
        <v>0</v>
      </c>
      <c r="T1012" s="773">
        <v>0</v>
      </c>
      <c r="U1012" s="2173">
        <v>0</v>
      </c>
      <c r="V1012" s="2509">
        <v>0</v>
      </c>
      <c r="W1012" s="2509">
        <v>0</v>
      </c>
      <c r="X1012" s="2509">
        <v>0</v>
      </c>
      <c r="Y1012" s="2509">
        <v>0</v>
      </c>
      <c r="Z1012" s="11">
        <f>'[26]New TB INC'!Z947</f>
        <v>0</v>
      </c>
      <c r="AA1012" s="11">
        <f>'[27]New TB INC'!AA945</f>
        <v>0</v>
      </c>
      <c r="AB1012" s="11">
        <f>'[28]New TB INC'!AB949</f>
        <v>0</v>
      </c>
      <c r="AC1012" s="11">
        <f>'[29]New TB INC'!AC935</f>
        <v>1500</v>
      </c>
      <c r="AD1012" s="11">
        <f>'[150]New TB INC'!AD936</f>
        <v>2000</v>
      </c>
      <c r="AE1012" s="11">
        <f>'[150]New TB INC'!AE936</f>
        <v>0</v>
      </c>
      <c r="AF1012" s="11">
        <v>0</v>
      </c>
      <c r="AG1012" s="11">
        <v>0</v>
      </c>
      <c r="AH1012" s="11">
        <v>0</v>
      </c>
      <c r="AI1012" s="11">
        <v>6367</v>
      </c>
      <c r="AJ1012" s="11">
        <v>0</v>
      </c>
      <c r="AK1012" s="11">
        <f>$J1012-SUM($Z1012:AJ1012)</f>
        <v>9990</v>
      </c>
      <c r="AW1012" s="2509"/>
      <c r="BE1012" s="2173"/>
      <c r="BF1012" s="2173"/>
      <c r="BG1012" s="2173"/>
      <c r="BH1012" s="2173"/>
      <c r="BI1012" s="2173"/>
      <c r="BJ1012" s="2173"/>
      <c r="BK1012" s="2173"/>
      <c r="BL1012" s="773"/>
      <c r="BN1012" s="820"/>
      <c r="BP1012" s="209"/>
      <c r="BQ1012" s="859"/>
      <c r="BR1012" s="885"/>
      <c r="CH1012" s="4"/>
      <c r="CI1012" s="4"/>
      <c r="DB1012" s="773"/>
      <c r="DC1012" s="773"/>
      <c r="DD1012" s="773"/>
      <c r="DE1012" s="773"/>
      <c r="DF1012" s="773"/>
      <c r="DG1012" s="773"/>
      <c r="DH1012" s="773"/>
      <c r="DI1012" s="773"/>
      <c r="DJ1012" s="773"/>
      <c r="DK1012" s="773"/>
      <c r="DL1012" s="773"/>
      <c r="DM1012" s="773"/>
      <c r="DN1012" s="773"/>
      <c r="DO1012" s="773"/>
      <c r="DP1012" s="773"/>
      <c r="DQ1012" s="773"/>
      <c r="DR1012" s="773"/>
      <c r="DS1012" s="773"/>
      <c r="DT1012" s="773"/>
      <c r="DU1012" s="773"/>
      <c r="DV1012" s="773"/>
      <c r="DW1012" s="773"/>
      <c r="DX1012" s="773"/>
      <c r="DY1012" s="773"/>
      <c r="DZ1012" s="773"/>
      <c r="EA1012" s="773"/>
      <c r="EB1012" s="773"/>
      <c r="EC1012" s="773"/>
      <c r="ED1012" s="773"/>
      <c r="EE1012" s="773"/>
      <c r="EF1012" s="773"/>
      <c r="EG1012" s="773"/>
      <c r="EH1012" s="773"/>
      <c r="EI1012" s="773"/>
      <c r="EJ1012" s="773"/>
      <c r="EK1012" s="773"/>
      <c r="EL1012" s="773"/>
      <c r="EM1012" s="773"/>
      <c r="EN1012" s="773"/>
      <c r="EO1012" s="773"/>
      <c r="EP1012" s="773"/>
      <c r="EQ1012" s="773"/>
      <c r="ER1012" s="773"/>
      <c r="ES1012" s="773"/>
      <c r="ET1012" s="773"/>
      <c r="EU1012" s="773"/>
      <c r="EV1012" s="773"/>
      <c r="EW1012" s="773"/>
      <c r="EX1012" s="773"/>
      <c r="EY1012" s="773"/>
      <c r="EZ1012" s="773"/>
      <c r="FA1012" s="773"/>
      <c r="FB1012" s="773"/>
      <c r="FC1012" s="773"/>
      <c r="FD1012" s="773"/>
      <c r="FE1012" s="773"/>
      <c r="FF1012" s="773"/>
      <c r="FG1012" s="773"/>
      <c r="FH1012" s="773"/>
      <c r="FI1012" s="773"/>
      <c r="FJ1012" s="773"/>
      <c r="FK1012" s="773"/>
      <c r="FL1012" s="773"/>
      <c r="FM1012" s="773"/>
      <c r="FN1012" s="773"/>
      <c r="FO1012" s="773"/>
      <c r="FP1012" s="773"/>
      <c r="FQ1012" s="773"/>
      <c r="FR1012" s="773"/>
      <c r="FS1012" s="773"/>
      <c r="FT1012" s="773"/>
      <c r="FU1012" s="773"/>
      <c r="FV1012" s="773"/>
      <c r="FW1012" s="773"/>
      <c r="FX1012" s="773"/>
      <c r="FY1012" s="773"/>
      <c r="FZ1012" s="773"/>
      <c r="GA1012" s="773"/>
      <c r="GB1012" s="773"/>
      <c r="GC1012" s="773"/>
      <c r="GD1012" s="773"/>
      <c r="GE1012" s="773"/>
      <c r="GF1012" s="773"/>
      <c r="GG1012" s="773"/>
      <c r="GH1012" s="773"/>
      <c r="GI1012" s="773"/>
      <c r="GJ1012" s="773"/>
      <c r="GK1012" s="773"/>
      <c r="GL1012" s="773"/>
      <c r="GM1012" s="773"/>
      <c r="GN1012" s="773"/>
      <c r="GO1012" s="773"/>
      <c r="GP1012" s="773"/>
      <c r="GQ1012" s="773"/>
      <c r="GR1012" s="773"/>
      <c r="GS1012" s="773"/>
      <c r="GT1012" s="773"/>
      <c r="GU1012" s="773"/>
      <c r="GV1012" s="773"/>
      <c r="GW1012" s="773"/>
      <c r="GX1012" s="773"/>
      <c r="GY1012" s="773"/>
      <c r="GZ1012" s="773"/>
    </row>
    <row r="1013" spans="1:208" s="11" customFormat="1">
      <c r="A1013" s="774"/>
      <c r="B1013" s="3761" t="s">
        <v>3348</v>
      </c>
      <c r="C1013" s="197">
        <v>9100016</v>
      </c>
      <c r="D1013" s="200" t="s">
        <v>3663</v>
      </c>
      <c r="E1013" s="798">
        <f>IFERROR(VLOOKUP(C1013,'AJE 12 - INC'!$D$168:$F$771,3,0),0)</f>
        <v>1800</v>
      </c>
      <c r="F1013" s="108">
        <f>SUMIF('AJE 12 - INC'!B:B,'New TB INC'!C1013,'AJE 12 - INC'!D:D)</f>
        <v>0</v>
      </c>
      <c r="G1013" s="769"/>
      <c r="H1013" s="769"/>
      <c r="I1013" s="769"/>
      <c r="J1013" s="769">
        <f t="shared" si="100"/>
        <v>1800</v>
      </c>
      <c r="K1013" s="209"/>
      <c r="L1013" s="434"/>
      <c r="M1013" s="803"/>
      <c r="R1013" s="773"/>
      <c r="T1013" s="773"/>
      <c r="U1013" s="2173"/>
      <c r="V1013" s="2509"/>
      <c r="W1013" s="2509"/>
      <c r="X1013" s="2509"/>
      <c r="Y1013" s="2509"/>
      <c r="AD1013" s="11">
        <f>'[150]New TB INC'!AD937</f>
        <v>0</v>
      </c>
      <c r="AE1013" s="11">
        <f>'[150]New TB INC'!AE937</f>
        <v>1800</v>
      </c>
      <c r="AF1013" s="11">
        <v>0</v>
      </c>
      <c r="AG1013" s="11">
        <v>0</v>
      </c>
      <c r="AH1013" s="11">
        <v>0</v>
      </c>
      <c r="AI1013" s="11">
        <v>0</v>
      </c>
      <c r="AJ1013" s="11">
        <v>0</v>
      </c>
      <c r="AK1013" s="11">
        <f>$J1013-SUM($Z1013:AJ1013)</f>
        <v>0</v>
      </c>
      <c r="AW1013" s="2509"/>
      <c r="BE1013" s="2173"/>
      <c r="BF1013" s="2173"/>
      <c r="BG1013" s="2173"/>
      <c r="BH1013" s="2173"/>
      <c r="BI1013" s="2173"/>
      <c r="BJ1013" s="2173"/>
      <c r="BK1013" s="2173"/>
      <c r="BL1013" s="773"/>
      <c r="BN1013" s="820"/>
      <c r="BP1013" s="209"/>
      <c r="BQ1013" s="859"/>
      <c r="BR1013" s="885"/>
      <c r="CH1013" s="4"/>
      <c r="CI1013" s="4"/>
      <c r="DB1013" s="773"/>
      <c r="DC1013" s="773"/>
      <c r="DD1013" s="773"/>
      <c r="DE1013" s="773"/>
      <c r="DF1013" s="773"/>
      <c r="DG1013" s="773"/>
      <c r="DH1013" s="773"/>
      <c r="DI1013" s="773"/>
      <c r="DJ1013" s="773"/>
      <c r="DK1013" s="773"/>
      <c r="DL1013" s="773"/>
      <c r="DM1013" s="773"/>
      <c r="DN1013" s="773"/>
      <c r="DO1013" s="773"/>
      <c r="DP1013" s="773"/>
      <c r="DQ1013" s="773"/>
      <c r="DR1013" s="773"/>
      <c r="DS1013" s="773"/>
      <c r="DT1013" s="773"/>
      <c r="DU1013" s="773"/>
      <c r="DV1013" s="773"/>
      <c r="DW1013" s="773"/>
      <c r="DX1013" s="773"/>
      <c r="DY1013" s="773"/>
      <c r="DZ1013" s="773"/>
      <c r="EA1013" s="773"/>
      <c r="EB1013" s="773"/>
      <c r="EC1013" s="773"/>
      <c r="ED1013" s="773"/>
      <c r="EE1013" s="773"/>
      <c r="EF1013" s="773"/>
      <c r="EG1013" s="773"/>
      <c r="EH1013" s="773"/>
      <c r="EI1013" s="773"/>
      <c r="EJ1013" s="773"/>
      <c r="EK1013" s="773"/>
      <c r="EL1013" s="773"/>
      <c r="EM1013" s="773"/>
      <c r="EN1013" s="773"/>
      <c r="EO1013" s="773"/>
      <c r="EP1013" s="773"/>
      <c r="EQ1013" s="773"/>
      <c r="ER1013" s="773"/>
      <c r="ES1013" s="773"/>
      <c r="ET1013" s="773"/>
      <c r="EU1013" s="773"/>
      <c r="EV1013" s="773"/>
      <c r="EW1013" s="773"/>
      <c r="EX1013" s="773"/>
      <c r="EY1013" s="773"/>
      <c r="EZ1013" s="773"/>
      <c r="FA1013" s="773"/>
      <c r="FB1013" s="773"/>
      <c r="FC1013" s="773"/>
      <c r="FD1013" s="773"/>
      <c r="FE1013" s="773"/>
      <c r="FF1013" s="773"/>
      <c r="FG1013" s="773"/>
      <c r="FH1013" s="773"/>
      <c r="FI1013" s="773"/>
      <c r="FJ1013" s="773"/>
      <c r="FK1013" s="773"/>
      <c r="FL1013" s="773"/>
      <c r="FM1013" s="773"/>
      <c r="FN1013" s="773"/>
      <c r="FO1013" s="773"/>
      <c r="FP1013" s="773"/>
      <c r="FQ1013" s="773"/>
      <c r="FR1013" s="773"/>
      <c r="FS1013" s="773"/>
      <c r="FT1013" s="773"/>
      <c r="FU1013" s="773"/>
      <c r="FV1013" s="773"/>
      <c r="FW1013" s="773"/>
      <c r="FX1013" s="773"/>
      <c r="FY1013" s="773"/>
      <c r="FZ1013" s="773"/>
      <c r="GA1013" s="773"/>
      <c r="GB1013" s="773"/>
      <c r="GC1013" s="773"/>
      <c r="GD1013" s="773"/>
      <c r="GE1013" s="773"/>
      <c r="GF1013" s="773"/>
      <c r="GG1013" s="773"/>
      <c r="GH1013" s="773"/>
      <c r="GI1013" s="773"/>
      <c r="GJ1013" s="773"/>
      <c r="GK1013" s="773"/>
      <c r="GL1013" s="773"/>
      <c r="GM1013" s="773"/>
      <c r="GN1013" s="773"/>
      <c r="GO1013" s="773"/>
      <c r="GP1013" s="773"/>
      <c r="GQ1013" s="773"/>
      <c r="GR1013" s="773"/>
      <c r="GS1013" s="773"/>
      <c r="GT1013" s="773"/>
      <c r="GU1013" s="773"/>
      <c r="GV1013" s="773"/>
      <c r="GW1013" s="773"/>
      <c r="GX1013" s="773"/>
      <c r="GY1013" s="773"/>
      <c r="GZ1013" s="773"/>
    </row>
    <row r="1014" spans="1:208" s="11" customFormat="1">
      <c r="A1014" s="774"/>
      <c r="B1014" s="3761" t="s">
        <v>3348</v>
      </c>
      <c r="C1014" s="197">
        <v>9100020</v>
      </c>
      <c r="D1014" s="200" t="s">
        <v>3664</v>
      </c>
      <c r="E1014" s="798">
        <f>IFERROR(VLOOKUP(C1014,'AJE 12 - INC'!$D$168:$F$771,3,0),0)</f>
        <v>13600</v>
      </c>
      <c r="F1014" s="108">
        <f>SUMIF('AJE 12 - INC'!B:B,'New TB INC'!C1014,'AJE 12 - INC'!D:D)</f>
        <v>0</v>
      </c>
      <c r="G1014" s="769"/>
      <c r="H1014" s="769"/>
      <c r="I1014" s="769"/>
      <c r="J1014" s="769">
        <f t="shared" si="100"/>
        <v>13600</v>
      </c>
      <c r="K1014" s="209"/>
      <c r="L1014" s="434"/>
      <c r="M1014" s="803"/>
      <c r="R1014" s="773"/>
      <c r="T1014" s="773"/>
      <c r="U1014" s="2173"/>
      <c r="V1014" s="2509"/>
      <c r="W1014" s="2509"/>
      <c r="X1014" s="2509"/>
      <c r="Y1014" s="2509"/>
      <c r="AD1014" s="11">
        <f>'[150]New TB INC'!AD938</f>
        <v>0</v>
      </c>
      <c r="AE1014" s="11">
        <f>'[150]New TB INC'!AE938</f>
        <v>13600</v>
      </c>
      <c r="AF1014" s="11">
        <v>0</v>
      </c>
      <c r="AG1014" s="11">
        <v>0</v>
      </c>
      <c r="AH1014" s="11">
        <v>0</v>
      </c>
      <c r="AI1014" s="11">
        <v>0</v>
      </c>
      <c r="AJ1014" s="11">
        <v>0</v>
      </c>
      <c r="AK1014" s="11">
        <f>$J1014-SUM($Z1014:AJ1014)</f>
        <v>0</v>
      </c>
      <c r="AW1014" s="2509"/>
      <c r="BE1014" s="2173"/>
      <c r="BF1014" s="2173"/>
      <c r="BG1014" s="2173"/>
      <c r="BH1014" s="2173"/>
      <c r="BI1014" s="2173"/>
      <c r="BJ1014" s="2173"/>
      <c r="BK1014" s="2173"/>
      <c r="BL1014" s="773"/>
      <c r="BN1014" s="820"/>
      <c r="BP1014" s="209"/>
      <c r="BQ1014" s="859"/>
      <c r="BR1014" s="885"/>
      <c r="CH1014" s="4"/>
      <c r="CI1014" s="4"/>
      <c r="DB1014" s="773"/>
      <c r="DC1014" s="773"/>
      <c r="DD1014" s="773"/>
      <c r="DE1014" s="773"/>
      <c r="DF1014" s="773"/>
      <c r="DG1014" s="773"/>
      <c r="DH1014" s="773"/>
      <c r="DI1014" s="773"/>
      <c r="DJ1014" s="773"/>
      <c r="DK1014" s="773"/>
      <c r="DL1014" s="773"/>
      <c r="DM1014" s="773"/>
      <c r="DN1014" s="773"/>
      <c r="DO1014" s="773"/>
      <c r="DP1014" s="773"/>
      <c r="DQ1014" s="773"/>
      <c r="DR1014" s="773"/>
      <c r="DS1014" s="773"/>
      <c r="DT1014" s="773"/>
      <c r="DU1014" s="773"/>
      <c r="DV1014" s="773"/>
      <c r="DW1014" s="773"/>
      <c r="DX1014" s="773"/>
      <c r="DY1014" s="773"/>
      <c r="DZ1014" s="773"/>
      <c r="EA1014" s="773"/>
      <c r="EB1014" s="773"/>
      <c r="EC1014" s="773"/>
      <c r="ED1014" s="773"/>
      <c r="EE1014" s="773"/>
      <c r="EF1014" s="773"/>
      <c r="EG1014" s="773"/>
      <c r="EH1014" s="773"/>
      <c r="EI1014" s="773"/>
      <c r="EJ1014" s="773"/>
      <c r="EK1014" s="773"/>
      <c r="EL1014" s="773"/>
      <c r="EM1014" s="773"/>
      <c r="EN1014" s="773"/>
      <c r="EO1014" s="773"/>
      <c r="EP1014" s="773"/>
      <c r="EQ1014" s="773"/>
      <c r="ER1014" s="773"/>
      <c r="ES1014" s="773"/>
      <c r="ET1014" s="773"/>
      <c r="EU1014" s="773"/>
      <c r="EV1014" s="773"/>
      <c r="EW1014" s="773"/>
      <c r="EX1014" s="773"/>
      <c r="EY1014" s="773"/>
      <c r="EZ1014" s="773"/>
      <c r="FA1014" s="773"/>
      <c r="FB1014" s="773"/>
      <c r="FC1014" s="773"/>
      <c r="FD1014" s="773"/>
      <c r="FE1014" s="773"/>
      <c r="FF1014" s="773"/>
      <c r="FG1014" s="773"/>
      <c r="FH1014" s="773"/>
      <c r="FI1014" s="773"/>
      <c r="FJ1014" s="773"/>
      <c r="FK1014" s="773"/>
      <c r="FL1014" s="773"/>
      <c r="FM1014" s="773"/>
      <c r="FN1014" s="773"/>
      <c r="FO1014" s="773"/>
      <c r="FP1014" s="773"/>
      <c r="FQ1014" s="773"/>
      <c r="FR1014" s="773"/>
      <c r="FS1014" s="773"/>
      <c r="FT1014" s="773"/>
      <c r="FU1014" s="773"/>
      <c r="FV1014" s="773"/>
      <c r="FW1014" s="773"/>
      <c r="FX1014" s="773"/>
      <c r="FY1014" s="773"/>
      <c r="FZ1014" s="773"/>
      <c r="GA1014" s="773"/>
      <c r="GB1014" s="773"/>
      <c r="GC1014" s="773"/>
      <c r="GD1014" s="773"/>
      <c r="GE1014" s="773"/>
      <c r="GF1014" s="773"/>
      <c r="GG1014" s="773"/>
      <c r="GH1014" s="773"/>
      <c r="GI1014" s="773"/>
      <c r="GJ1014" s="773"/>
      <c r="GK1014" s="773"/>
      <c r="GL1014" s="773"/>
      <c r="GM1014" s="773"/>
      <c r="GN1014" s="773"/>
      <c r="GO1014" s="773"/>
      <c r="GP1014" s="773"/>
      <c r="GQ1014" s="773"/>
      <c r="GR1014" s="773"/>
      <c r="GS1014" s="773"/>
      <c r="GT1014" s="773"/>
      <c r="GU1014" s="773"/>
      <c r="GV1014" s="773"/>
      <c r="GW1014" s="773"/>
      <c r="GX1014" s="773"/>
      <c r="GY1014" s="773"/>
      <c r="GZ1014" s="773"/>
    </row>
    <row r="1015" spans="1:208" s="11" customFormat="1">
      <c r="A1015" s="774"/>
      <c r="B1015" s="3761" t="s">
        <v>3348</v>
      </c>
      <c r="C1015" s="197">
        <v>9100025</v>
      </c>
      <c r="D1015" s="200" t="s">
        <v>3665</v>
      </c>
      <c r="E1015" s="798">
        <f>IFERROR(VLOOKUP(C1015,'AJE 12 - INC'!$D$168:$F$771,3,0),0)</f>
        <v>12845.37</v>
      </c>
      <c r="F1015" s="108">
        <f>SUMIF('AJE 12 - INC'!B:B,'New TB INC'!C1015,'AJE 12 - INC'!D:D)</f>
        <v>0</v>
      </c>
      <c r="G1015" s="769"/>
      <c r="H1015" s="769"/>
      <c r="I1015" s="769"/>
      <c r="J1015" s="769">
        <f t="shared" si="100"/>
        <v>12845.37</v>
      </c>
      <c r="K1015" s="209"/>
      <c r="L1015" s="434"/>
      <c r="M1015" s="803"/>
      <c r="R1015" s="773"/>
      <c r="T1015" s="773"/>
      <c r="U1015" s="2173"/>
      <c r="V1015" s="2509"/>
      <c r="W1015" s="2509"/>
      <c r="X1015" s="2509"/>
      <c r="Y1015" s="2509"/>
      <c r="AD1015" s="11">
        <f>'[150]New TB INC'!AD939</f>
        <v>0</v>
      </c>
      <c r="AE1015" s="11">
        <f>'[150]New TB INC'!AE939</f>
        <v>8248.61</v>
      </c>
      <c r="AF1015" s="11">
        <v>0</v>
      </c>
      <c r="AG1015" s="11">
        <v>0</v>
      </c>
      <c r="AH1015" s="11">
        <v>0</v>
      </c>
      <c r="AI1015" s="11">
        <v>4582.41</v>
      </c>
      <c r="AJ1015" s="11">
        <v>0</v>
      </c>
      <c r="AK1015" s="11">
        <f>$J1015-SUM($Z1015:AJ1015)</f>
        <v>14.350000000000364</v>
      </c>
      <c r="AW1015" s="2509"/>
      <c r="BE1015" s="2173"/>
      <c r="BF1015" s="2173"/>
      <c r="BG1015" s="2173"/>
      <c r="BH1015" s="2173"/>
      <c r="BI1015" s="2173"/>
      <c r="BJ1015" s="2173"/>
      <c r="BK1015" s="2173"/>
      <c r="BL1015" s="773"/>
      <c r="BN1015" s="820"/>
      <c r="BP1015" s="209"/>
      <c r="BQ1015" s="859"/>
      <c r="BR1015" s="885"/>
      <c r="CH1015" s="4"/>
      <c r="CI1015" s="4"/>
      <c r="DB1015" s="773"/>
      <c r="DC1015" s="773"/>
      <c r="DD1015" s="773"/>
      <c r="DE1015" s="773"/>
      <c r="DF1015" s="773"/>
      <c r="DG1015" s="773"/>
      <c r="DH1015" s="773"/>
      <c r="DI1015" s="773"/>
      <c r="DJ1015" s="773"/>
      <c r="DK1015" s="773"/>
      <c r="DL1015" s="773"/>
      <c r="DM1015" s="773"/>
      <c r="DN1015" s="773"/>
      <c r="DO1015" s="773"/>
      <c r="DP1015" s="773"/>
      <c r="DQ1015" s="773"/>
      <c r="DR1015" s="773"/>
      <c r="DS1015" s="773"/>
      <c r="DT1015" s="773"/>
      <c r="DU1015" s="773"/>
      <c r="DV1015" s="773"/>
      <c r="DW1015" s="773"/>
      <c r="DX1015" s="773"/>
      <c r="DY1015" s="773"/>
      <c r="DZ1015" s="773"/>
      <c r="EA1015" s="773"/>
      <c r="EB1015" s="773"/>
      <c r="EC1015" s="773"/>
      <c r="ED1015" s="773"/>
      <c r="EE1015" s="773"/>
      <c r="EF1015" s="773"/>
      <c r="EG1015" s="773"/>
      <c r="EH1015" s="773"/>
      <c r="EI1015" s="773"/>
      <c r="EJ1015" s="773"/>
      <c r="EK1015" s="773"/>
      <c r="EL1015" s="773"/>
      <c r="EM1015" s="773"/>
      <c r="EN1015" s="773"/>
      <c r="EO1015" s="773"/>
      <c r="EP1015" s="773"/>
      <c r="EQ1015" s="773"/>
      <c r="ER1015" s="773"/>
      <c r="ES1015" s="773"/>
      <c r="ET1015" s="773"/>
      <c r="EU1015" s="773"/>
      <c r="EV1015" s="773"/>
      <c r="EW1015" s="773"/>
      <c r="EX1015" s="773"/>
      <c r="EY1015" s="773"/>
      <c r="EZ1015" s="773"/>
      <c r="FA1015" s="773"/>
      <c r="FB1015" s="773"/>
      <c r="FC1015" s="773"/>
      <c r="FD1015" s="773"/>
      <c r="FE1015" s="773"/>
      <c r="FF1015" s="773"/>
      <c r="FG1015" s="773"/>
      <c r="FH1015" s="773"/>
      <c r="FI1015" s="773"/>
      <c r="FJ1015" s="773"/>
      <c r="FK1015" s="773"/>
      <c r="FL1015" s="773"/>
      <c r="FM1015" s="773"/>
      <c r="FN1015" s="773"/>
      <c r="FO1015" s="773"/>
      <c r="FP1015" s="773"/>
      <c r="FQ1015" s="773"/>
      <c r="FR1015" s="773"/>
      <c r="FS1015" s="773"/>
      <c r="FT1015" s="773"/>
      <c r="FU1015" s="773"/>
      <c r="FV1015" s="773"/>
      <c r="FW1015" s="773"/>
      <c r="FX1015" s="773"/>
      <c r="FY1015" s="773"/>
      <c r="FZ1015" s="773"/>
      <c r="GA1015" s="773"/>
      <c r="GB1015" s="773"/>
      <c r="GC1015" s="773"/>
      <c r="GD1015" s="773"/>
      <c r="GE1015" s="773"/>
      <c r="GF1015" s="773"/>
      <c r="GG1015" s="773"/>
      <c r="GH1015" s="773"/>
      <c r="GI1015" s="773"/>
      <c r="GJ1015" s="773"/>
      <c r="GK1015" s="773"/>
      <c r="GL1015" s="773"/>
      <c r="GM1015" s="773"/>
      <c r="GN1015" s="773"/>
      <c r="GO1015" s="773"/>
      <c r="GP1015" s="773"/>
      <c r="GQ1015" s="773"/>
      <c r="GR1015" s="773"/>
      <c r="GS1015" s="773"/>
      <c r="GT1015" s="773"/>
      <c r="GU1015" s="773"/>
      <c r="GV1015" s="773"/>
      <c r="GW1015" s="773"/>
      <c r="GX1015" s="773"/>
      <c r="GY1015" s="773"/>
      <c r="GZ1015" s="773"/>
    </row>
    <row r="1016" spans="1:208" s="11" customFormat="1">
      <c r="A1016" s="774"/>
      <c r="B1016" s="3761" t="s">
        <v>770</v>
      </c>
      <c r="C1016" s="197">
        <v>9100128</v>
      </c>
      <c r="D1016" s="200" t="s">
        <v>983</v>
      </c>
      <c r="E1016" s="798">
        <f>IFERROR(VLOOKUP(C1016,'AJE 12 - INC'!$D$168:$F$771,3,0),0)</f>
        <v>20752</v>
      </c>
      <c r="F1016" s="108">
        <f>SUMIF('AJE 12 - INC'!B:B,'New TB INC'!C1016,'AJE 12 - INC'!D:D)</f>
        <v>0</v>
      </c>
      <c r="G1016" s="769"/>
      <c r="H1016" s="769"/>
      <c r="I1016" s="769"/>
      <c r="J1016" s="769">
        <f t="shared" si="100"/>
        <v>20752</v>
      </c>
      <c r="K1016" s="209"/>
      <c r="L1016" s="434"/>
      <c r="M1016" s="803"/>
      <c r="N1016" s="11">
        <v>0</v>
      </c>
      <c r="O1016" s="11">
        <v>0</v>
      </c>
      <c r="P1016" s="11">
        <v>8930</v>
      </c>
      <c r="Q1016" s="11">
        <v>0</v>
      </c>
      <c r="R1016" s="773">
        <v>8160</v>
      </c>
      <c r="S1016" s="11">
        <v>0</v>
      </c>
      <c r="T1016" s="773">
        <v>0</v>
      </c>
      <c r="U1016" s="2173">
        <v>4080</v>
      </c>
      <c r="V1016" s="2509">
        <v>0</v>
      </c>
      <c r="W1016" s="2509">
        <v>0</v>
      </c>
      <c r="X1016" s="2509">
        <v>4080</v>
      </c>
      <c r="Y1016" s="2509">
        <v>0</v>
      </c>
      <c r="Z1016" s="11">
        <f>'[26]New TB INC'!Z948</f>
        <v>0</v>
      </c>
      <c r="AA1016" s="11">
        <f>'[27]New TB INC'!AA946</f>
        <v>2832</v>
      </c>
      <c r="AB1016" s="11">
        <f>'[28]New TB INC'!AB950</f>
        <v>0</v>
      </c>
      <c r="AC1016" s="11">
        <f>'[29]New TB INC'!AC936</f>
        <v>0</v>
      </c>
      <c r="AD1016" s="11">
        <f>'[150]New TB INC'!AD940</f>
        <v>8960</v>
      </c>
      <c r="AE1016" s="11">
        <f>'[150]New TB INC'!AE940</f>
        <v>0</v>
      </c>
      <c r="AF1016" s="11">
        <v>0</v>
      </c>
      <c r="AG1016" s="11">
        <v>4480</v>
      </c>
      <c r="AH1016" s="11">
        <v>0</v>
      </c>
      <c r="AI1016" s="11">
        <v>0</v>
      </c>
      <c r="AJ1016" s="11">
        <v>4480</v>
      </c>
      <c r="AK1016" s="11">
        <f>$J1016-SUM($Z1016:AJ1016)</f>
        <v>0</v>
      </c>
      <c r="AW1016" s="2509"/>
      <c r="BE1016" s="2173"/>
      <c r="BF1016" s="2173"/>
      <c r="BG1016" s="2173"/>
      <c r="BH1016" s="2173"/>
      <c r="BI1016" s="2173"/>
      <c r="BJ1016" s="2173"/>
      <c r="BK1016" s="2173"/>
      <c r="BL1016" s="773"/>
      <c r="BM1016" s="799"/>
      <c r="BN1016" s="820"/>
      <c r="BP1016" s="209"/>
      <c r="BQ1016" s="859"/>
      <c r="BR1016" s="885"/>
      <c r="CH1016" s="4"/>
      <c r="CI1016" s="4"/>
      <c r="DB1016" s="773"/>
      <c r="DC1016" s="773"/>
      <c r="DD1016" s="773"/>
      <c r="DE1016" s="773"/>
      <c r="DF1016" s="773"/>
      <c r="DG1016" s="773"/>
      <c r="DH1016" s="773"/>
      <c r="DI1016" s="773"/>
      <c r="DJ1016" s="773"/>
      <c r="DK1016" s="773"/>
      <c r="DL1016" s="773"/>
      <c r="DM1016" s="773"/>
      <c r="DN1016" s="773"/>
      <c r="DO1016" s="773"/>
      <c r="DP1016" s="773"/>
      <c r="DQ1016" s="773"/>
      <c r="DR1016" s="773"/>
      <c r="DS1016" s="773"/>
      <c r="DT1016" s="773"/>
      <c r="DU1016" s="773"/>
      <c r="DV1016" s="773"/>
      <c r="DW1016" s="773"/>
      <c r="DX1016" s="773"/>
      <c r="DY1016" s="773"/>
      <c r="DZ1016" s="773"/>
      <c r="EA1016" s="773"/>
      <c r="EB1016" s="773"/>
      <c r="EC1016" s="773"/>
      <c r="ED1016" s="773"/>
      <c r="EE1016" s="773"/>
      <c r="EF1016" s="773"/>
      <c r="EG1016" s="773"/>
      <c r="EH1016" s="773"/>
      <c r="EI1016" s="773"/>
      <c r="EJ1016" s="773"/>
      <c r="EK1016" s="773"/>
      <c r="EL1016" s="773"/>
      <c r="EM1016" s="773"/>
      <c r="EN1016" s="773"/>
      <c r="EO1016" s="773"/>
      <c r="EP1016" s="773"/>
      <c r="EQ1016" s="773"/>
      <c r="ER1016" s="773"/>
      <c r="ES1016" s="773"/>
      <c r="ET1016" s="773"/>
      <c r="EU1016" s="773"/>
      <c r="EV1016" s="773"/>
      <c r="EW1016" s="773"/>
      <c r="EX1016" s="773"/>
      <c r="EY1016" s="773"/>
      <c r="EZ1016" s="773"/>
      <c r="FA1016" s="773"/>
      <c r="FB1016" s="773"/>
      <c r="FC1016" s="773"/>
      <c r="FD1016" s="773"/>
      <c r="FE1016" s="773"/>
      <c r="FF1016" s="773"/>
      <c r="FG1016" s="773"/>
      <c r="FH1016" s="773"/>
      <c r="FI1016" s="773"/>
      <c r="FJ1016" s="773"/>
      <c r="FK1016" s="773"/>
      <c r="FL1016" s="773"/>
      <c r="FM1016" s="773"/>
      <c r="FN1016" s="773"/>
      <c r="FO1016" s="773"/>
      <c r="FP1016" s="773"/>
      <c r="FQ1016" s="773"/>
      <c r="FR1016" s="773"/>
      <c r="FS1016" s="773"/>
      <c r="FT1016" s="773"/>
      <c r="FU1016" s="773"/>
      <c r="FV1016" s="773"/>
      <c r="FW1016" s="773"/>
      <c r="FX1016" s="773"/>
      <c r="FY1016" s="773"/>
      <c r="FZ1016" s="773"/>
      <c r="GA1016" s="773"/>
      <c r="GB1016" s="773"/>
      <c r="GC1016" s="773"/>
      <c r="GD1016" s="773"/>
      <c r="GE1016" s="773"/>
      <c r="GF1016" s="773"/>
      <c r="GG1016" s="773"/>
      <c r="GH1016" s="773"/>
      <c r="GI1016" s="773"/>
      <c r="GJ1016" s="773"/>
      <c r="GK1016" s="773"/>
      <c r="GL1016" s="773"/>
      <c r="GM1016" s="773"/>
      <c r="GN1016" s="773"/>
      <c r="GO1016" s="773"/>
      <c r="GP1016" s="773"/>
      <c r="GQ1016" s="773"/>
      <c r="GR1016" s="773"/>
      <c r="GS1016" s="773"/>
      <c r="GT1016" s="773"/>
      <c r="GU1016" s="773"/>
      <c r="GV1016" s="773"/>
      <c r="GW1016" s="773"/>
      <c r="GX1016" s="773"/>
      <c r="GY1016" s="773"/>
      <c r="GZ1016" s="773"/>
    </row>
    <row r="1017" spans="1:208" s="11" customFormat="1">
      <c r="A1017" s="774"/>
      <c r="B1017" s="3761" t="s">
        <v>770</v>
      </c>
      <c r="C1017" s="197">
        <v>9100129</v>
      </c>
      <c r="D1017" s="200" t="s">
        <v>984</v>
      </c>
      <c r="E1017" s="798">
        <f>IFERROR(VLOOKUP(C1017,'AJE 12 - INC'!$D$168:$F$771,3,0),0)</f>
        <v>150</v>
      </c>
      <c r="F1017" s="108">
        <f>SUMIF('AJE 12 - INC'!B:B,'New TB INC'!C1017,'AJE 12 - INC'!D:D)</f>
        <v>0</v>
      </c>
      <c r="G1017" s="769"/>
      <c r="H1017" s="769"/>
      <c r="I1017" s="769"/>
      <c r="J1017" s="769">
        <f t="shared" si="100"/>
        <v>150</v>
      </c>
      <c r="K1017" s="209"/>
      <c r="L1017" s="434"/>
      <c r="M1017" s="803"/>
      <c r="N1017" s="11">
        <v>0</v>
      </c>
      <c r="O1017" s="11">
        <v>0</v>
      </c>
      <c r="P1017" s="11">
        <v>0</v>
      </c>
      <c r="Q1017" s="11">
        <v>0</v>
      </c>
      <c r="R1017" s="773">
        <v>0</v>
      </c>
      <c r="S1017" s="11">
        <v>0</v>
      </c>
      <c r="T1017" s="773">
        <v>300</v>
      </c>
      <c r="U1017" s="2173">
        <v>0</v>
      </c>
      <c r="V1017" s="2509">
        <v>0</v>
      </c>
      <c r="W1017" s="2509">
        <v>0</v>
      </c>
      <c r="X1017" s="2509">
        <v>0</v>
      </c>
      <c r="Y1017" s="2509">
        <v>0</v>
      </c>
      <c r="Z1017" s="11">
        <f>'[26]New TB INC'!Z949</f>
        <v>0</v>
      </c>
      <c r="AA1017" s="11">
        <f>'[27]New TB INC'!AA947</f>
        <v>150</v>
      </c>
      <c r="AB1017" s="11">
        <f>'[28]New TB INC'!AB951</f>
        <v>0</v>
      </c>
      <c r="AC1017" s="11">
        <f>'[29]New TB INC'!AC937</f>
        <v>0</v>
      </c>
      <c r="AD1017" s="11">
        <f>'[150]New TB INC'!AD941</f>
        <v>0</v>
      </c>
      <c r="AE1017" s="11">
        <f>'[150]New TB INC'!AE941</f>
        <v>0</v>
      </c>
      <c r="AF1017" s="11">
        <v>0</v>
      </c>
      <c r="AG1017" s="11">
        <v>0</v>
      </c>
      <c r="AH1017" s="11">
        <v>0</v>
      </c>
      <c r="AI1017" s="11">
        <v>0</v>
      </c>
      <c r="AJ1017" s="11">
        <v>0</v>
      </c>
      <c r="AK1017" s="11">
        <f>$J1017-SUM($Z1017:AJ1017)</f>
        <v>0</v>
      </c>
      <c r="AW1017" s="2509"/>
      <c r="BE1017" s="2173"/>
      <c r="BF1017" s="2173"/>
      <c r="BG1017" s="2173"/>
      <c r="BH1017" s="2173"/>
      <c r="BI1017" s="2173"/>
      <c r="BJ1017" s="2173"/>
      <c r="BK1017" s="2173"/>
      <c r="BL1017" s="773"/>
      <c r="BN1017" s="820"/>
      <c r="BP1017" s="209"/>
      <c r="BQ1017" s="859"/>
      <c r="BR1017" s="885"/>
      <c r="CH1017" s="4"/>
      <c r="CI1017" s="4"/>
      <c r="DB1017" s="773"/>
      <c r="DC1017" s="773"/>
      <c r="DD1017" s="773"/>
      <c r="DE1017" s="773"/>
      <c r="DF1017" s="773"/>
      <c r="DG1017" s="773"/>
      <c r="DH1017" s="773"/>
      <c r="DI1017" s="773"/>
      <c r="DJ1017" s="773"/>
      <c r="DK1017" s="773"/>
      <c r="DL1017" s="773"/>
      <c r="DM1017" s="773"/>
      <c r="DN1017" s="773"/>
      <c r="DO1017" s="773"/>
      <c r="DP1017" s="773"/>
      <c r="DQ1017" s="773"/>
      <c r="DR1017" s="773"/>
      <c r="DS1017" s="773"/>
      <c r="DT1017" s="773"/>
      <c r="DU1017" s="773"/>
      <c r="DV1017" s="773"/>
      <c r="DW1017" s="773"/>
      <c r="DX1017" s="773"/>
      <c r="DY1017" s="773"/>
      <c r="DZ1017" s="773"/>
      <c r="EA1017" s="773"/>
      <c r="EB1017" s="773"/>
      <c r="EC1017" s="773"/>
      <c r="ED1017" s="773"/>
      <c r="EE1017" s="773"/>
      <c r="EF1017" s="773"/>
      <c r="EG1017" s="773"/>
      <c r="EH1017" s="773"/>
      <c r="EI1017" s="773"/>
      <c r="EJ1017" s="773"/>
      <c r="EK1017" s="773"/>
      <c r="EL1017" s="773"/>
      <c r="EM1017" s="773"/>
      <c r="EN1017" s="773"/>
      <c r="EO1017" s="773"/>
      <c r="EP1017" s="773"/>
      <c r="EQ1017" s="773"/>
      <c r="ER1017" s="773"/>
      <c r="ES1017" s="773"/>
      <c r="ET1017" s="773"/>
      <c r="EU1017" s="773"/>
      <c r="EV1017" s="773"/>
      <c r="EW1017" s="773"/>
      <c r="EX1017" s="773"/>
      <c r="EY1017" s="773"/>
      <c r="EZ1017" s="773"/>
      <c r="FA1017" s="773"/>
      <c r="FB1017" s="773"/>
      <c r="FC1017" s="773"/>
      <c r="FD1017" s="773"/>
      <c r="FE1017" s="773"/>
      <c r="FF1017" s="773"/>
      <c r="FG1017" s="773"/>
      <c r="FH1017" s="773"/>
      <c r="FI1017" s="773"/>
      <c r="FJ1017" s="773"/>
      <c r="FK1017" s="773"/>
      <c r="FL1017" s="773"/>
      <c r="FM1017" s="773"/>
      <c r="FN1017" s="773"/>
      <c r="FO1017" s="773"/>
      <c r="FP1017" s="773"/>
      <c r="FQ1017" s="773"/>
      <c r="FR1017" s="773"/>
      <c r="FS1017" s="773"/>
      <c r="FT1017" s="773"/>
      <c r="FU1017" s="773"/>
      <c r="FV1017" s="773"/>
      <c r="FW1017" s="773"/>
      <c r="FX1017" s="773"/>
      <c r="FY1017" s="773"/>
      <c r="FZ1017" s="773"/>
      <c r="GA1017" s="773"/>
      <c r="GB1017" s="773"/>
      <c r="GC1017" s="773"/>
      <c r="GD1017" s="773"/>
      <c r="GE1017" s="773"/>
      <c r="GF1017" s="773"/>
      <c r="GG1017" s="773"/>
      <c r="GH1017" s="773"/>
      <c r="GI1017" s="773"/>
      <c r="GJ1017" s="773"/>
      <c r="GK1017" s="773"/>
      <c r="GL1017" s="773"/>
      <c r="GM1017" s="773"/>
      <c r="GN1017" s="773"/>
      <c r="GO1017" s="773"/>
      <c r="GP1017" s="773"/>
      <c r="GQ1017" s="773"/>
      <c r="GR1017" s="773"/>
      <c r="GS1017" s="773"/>
      <c r="GT1017" s="773"/>
      <c r="GU1017" s="773"/>
      <c r="GV1017" s="773"/>
      <c r="GW1017" s="773"/>
      <c r="GX1017" s="773"/>
      <c r="GY1017" s="773"/>
      <c r="GZ1017" s="773"/>
    </row>
    <row r="1018" spans="1:208" s="11" customFormat="1">
      <c r="A1018" s="774"/>
      <c r="B1018" s="3761"/>
      <c r="C1018" s="157"/>
      <c r="D1018" s="200"/>
      <c r="E1018" s="809"/>
      <c r="F1018" s="769"/>
      <c r="G1018" s="769"/>
      <c r="H1018" s="769"/>
      <c r="I1018" s="769"/>
      <c r="J1018" s="798"/>
      <c r="K1018" s="209"/>
      <c r="L1018" s="434"/>
      <c r="M1018" s="803"/>
      <c r="N1018" s="773"/>
      <c r="O1018" s="11">
        <v>0</v>
      </c>
      <c r="P1018" s="11">
        <v>0</v>
      </c>
      <c r="Q1018" s="11">
        <v>0</v>
      </c>
      <c r="R1018" s="773">
        <v>0</v>
      </c>
      <c r="S1018" s="11">
        <v>0</v>
      </c>
      <c r="T1018" s="773">
        <v>0</v>
      </c>
      <c r="U1018" s="2173">
        <v>0</v>
      </c>
      <c r="V1018" s="2509">
        <v>0</v>
      </c>
      <c r="W1018" s="2509">
        <v>0</v>
      </c>
      <c r="X1018" s="2509">
        <v>0</v>
      </c>
      <c r="Y1018" s="2509">
        <v>0</v>
      </c>
      <c r="Z1018" s="11">
        <f>'[26]New TB INC'!Z955</f>
        <v>0</v>
      </c>
      <c r="AA1018" s="11">
        <f>'[27]New TB INC'!AA948</f>
        <v>0</v>
      </c>
      <c r="AB1018" s="11">
        <f>'[28]New TB INC'!AB952</f>
        <v>0</v>
      </c>
      <c r="AC1018" s="11">
        <f>'[29]New TB INC'!AC938</f>
        <v>0</v>
      </c>
      <c r="AD1018" s="11">
        <f>'[150]New TB INC'!AD942</f>
        <v>0</v>
      </c>
      <c r="AE1018" s="11">
        <f>'[150]New TB INC'!AE942</f>
        <v>0</v>
      </c>
      <c r="AF1018" s="11">
        <v>0</v>
      </c>
      <c r="AG1018" s="11">
        <v>0</v>
      </c>
      <c r="AH1018" s="11">
        <v>0</v>
      </c>
      <c r="AI1018" s="11">
        <v>0</v>
      </c>
      <c r="AJ1018" s="11">
        <v>0</v>
      </c>
      <c r="AK1018" s="11">
        <f>$J1018-SUM($Z1018:AJ1018)</f>
        <v>0</v>
      </c>
      <c r="AW1018" s="2509"/>
      <c r="BE1018" s="2173"/>
      <c r="BF1018" s="2173"/>
      <c r="BG1018" s="2173"/>
      <c r="BH1018" s="2173"/>
      <c r="BI1018" s="2173"/>
      <c r="BJ1018" s="2173"/>
      <c r="BK1018" s="2173"/>
      <c r="BL1018" s="773"/>
      <c r="BN1018" s="820"/>
      <c r="BQ1018" s="859"/>
      <c r="BR1018" s="885"/>
      <c r="CH1018" s="4"/>
      <c r="CI1018" s="4"/>
      <c r="DB1018" s="773"/>
      <c r="DC1018" s="773"/>
      <c r="DD1018" s="773"/>
      <c r="DE1018" s="773"/>
      <c r="DF1018" s="773"/>
      <c r="DG1018" s="773"/>
      <c r="DH1018" s="773"/>
      <c r="DI1018" s="773"/>
      <c r="DJ1018" s="773"/>
      <c r="DK1018" s="773"/>
      <c r="DL1018" s="773"/>
      <c r="DM1018" s="773"/>
      <c r="DN1018" s="773"/>
      <c r="DO1018" s="773"/>
      <c r="DP1018" s="773"/>
      <c r="DQ1018" s="773"/>
      <c r="DR1018" s="773"/>
      <c r="DS1018" s="773"/>
      <c r="DT1018" s="773"/>
      <c r="DU1018" s="773"/>
      <c r="DV1018" s="773"/>
      <c r="DW1018" s="773"/>
      <c r="DX1018" s="773"/>
      <c r="DY1018" s="773"/>
      <c r="DZ1018" s="773"/>
      <c r="EA1018" s="773"/>
      <c r="EB1018" s="773"/>
      <c r="EC1018" s="773"/>
      <c r="ED1018" s="773"/>
      <c r="EE1018" s="773"/>
      <c r="EF1018" s="773"/>
      <c r="EG1018" s="773"/>
      <c r="EH1018" s="773"/>
      <c r="EI1018" s="773"/>
      <c r="EJ1018" s="773"/>
      <c r="EK1018" s="773"/>
      <c r="EL1018" s="773"/>
      <c r="EM1018" s="773"/>
      <c r="EN1018" s="773"/>
      <c r="EO1018" s="773"/>
      <c r="EP1018" s="773"/>
      <c r="EQ1018" s="773"/>
      <c r="ER1018" s="773"/>
      <c r="ES1018" s="773"/>
      <c r="ET1018" s="773"/>
      <c r="EU1018" s="773"/>
      <c r="EV1018" s="773"/>
      <c r="EW1018" s="773"/>
      <c r="EX1018" s="773"/>
      <c r="EY1018" s="773"/>
      <c r="EZ1018" s="773"/>
      <c r="FA1018" s="773"/>
      <c r="FB1018" s="773"/>
      <c r="FC1018" s="773"/>
      <c r="FD1018" s="773"/>
      <c r="FE1018" s="773"/>
      <c r="FF1018" s="773"/>
      <c r="FG1018" s="773"/>
      <c r="FH1018" s="773"/>
      <c r="FI1018" s="773"/>
      <c r="FJ1018" s="773"/>
      <c r="FK1018" s="773"/>
      <c r="FL1018" s="773"/>
      <c r="FM1018" s="773"/>
      <c r="FN1018" s="773"/>
      <c r="FO1018" s="773"/>
      <c r="FP1018" s="773"/>
      <c r="FQ1018" s="773"/>
      <c r="FR1018" s="773"/>
      <c r="FS1018" s="773"/>
      <c r="FT1018" s="773"/>
      <c r="FU1018" s="773"/>
      <c r="FV1018" s="773"/>
      <c r="FW1018" s="773"/>
      <c r="FX1018" s="773"/>
      <c r="FY1018" s="773"/>
      <c r="FZ1018" s="773"/>
      <c r="GA1018" s="773"/>
      <c r="GB1018" s="773"/>
      <c r="GC1018" s="773"/>
      <c r="GD1018" s="773"/>
      <c r="GE1018" s="773"/>
      <c r="GF1018" s="773"/>
      <c r="GG1018" s="773"/>
      <c r="GH1018" s="773"/>
      <c r="GI1018" s="773"/>
      <c r="GJ1018" s="773"/>
      <c r="GK1018" s="773"/>
      <c r="GL1018" s="773"/>
      <c r="GM1018" s="773"/>
      <c r="GN1018" s="773"/>
      <c r="GO1018" s="773"/>
      <c r="GP1018" s="773"/>
      <c r="GQ1018" s="773"/>
      <c r="GR1018" s="773"/>
      <c r="GS1018" s="773"/>
      <c r="GT1018" s="773"/>
      <c r="GU1018" s="773"/>
      <c r="GV1018" s="773"/>
      <c r="GW1018" s="773"/>
      <c r="GX1018" s="773"/>
      <c r="GY1018" s="773"/>
      <c r="GZ1018" s="773"/>
    </row>
    <row r="1019" spans="1:208" s="11" customFormat="1">
      <c r="A1019" s="780"/>
      <c r="B1019" s="3763"/>
      <c r="C1019" s="848"/>
      <c r="D1019" s="1967" t="s">
        <v>462</v>
      </c>
      <c r="E1019" s="1970">
        <f>SUM(E1003:E1018)</f>
        <v>-2162.760000000002</v>
      </c>
      <c r="F1019" s="1970">
        <f>SUM(F1003:F1017)</f>
        <v>12844.785416020302</v>
      </c>
      <c r="G1019" s="1970">
        <f>SUM(G1003:G1006)</f>
        <v>0</v>
      </c>
      <c r="H1019" s="1970">
        <f>SUM(H1003:H1006)</f>
        <v>0</v>
      </c>
      <c r="I1019" s="1970">
        <f>SUM(I1003:I1006)</f>
        <v>0</v>
      </c>
      <c r="J1019" s="1970">
        <f>SUM(J1003:J1018)</f>
        <v>10682.025416020295</v>
      </c>
      <c r="K1019" s="209"/>
      <c r="L1019" s="434"/>
      <c r="M1019" s="803"/>
      <c r="N1019" s="773"/>
      <c r="P1019" s="11">
        <v>0</v>
      </c>
      <c r="Q1019" s="11">
        <v>65404.3</v>
      </c>
      <c r="R1019" s="773">
        <v>-2306</v>
      </c>
      <c r="S1019" s="11">
        <v>45963</v>
      </c>
      <c r="T1019" s="773">
        <v>301</v>
      </c>
      <c r="U1019" s="2173">
        <v>-1863</v>
      </c>
      <c r="V1019" s="2509">
        <v>173158.34000000003</v>
      </c>
      <c r="W1019" s="2509">
        <v>-17847.140000000014</v>
      </c>
      <c r="X1019" s="2509">
        <v>1371</v>
      </c>
      <c r="Y1019" s="2509">
        <v>40821.540000000037</v>
      </c>
      <c r="Z1019" s="11">
        <f>'[26]New TB INC'!Z956</f>
        <v>0</v>
      </c>
      <c r="AA1019" s="11">
        <f>'[27]New TB INC'!AA949</f>
        <v>2982</v>
      </c>
      <c r="AB1019" s="11">
        <f>'[28]New TB INC'!AB953</f>
        <v>30025.479999999996</v>
      </c>
      <c r="AC1019" s="11">
        <f>'[29]New TB INC'!AC939</f>
        <v>27950.010000000002</v>
      </c>
      <c r="AD1019" s="11">
        <f>'[150]New TB INC'!AD943</f>
        <v>35894.810000000005</v>
      </c>
      <c r="AE1019" s="11">
        <f>'[150]New TB INC'!AE943</f>
        <v>0</v>
      </c>
      <c r="AF1019" s="11">
        <v>0</v>
      </c>
      <c r="AG1019" s="11">
        <v>4487.320000000007</v>
      </c>
      <c r="AH1019" s="11">
        <v>431.27999999999884</v>
      </c>
      <c r="AI1019" s="11">
        <v>17963.410000000003</v>
      </c>
      <c r="AJ1019" s="11">
        <v>3534.5799999999872</v>
      </c>
      <c r="AK1019" s="11">
        <f>$J1019-SUM($Z1019:AJ1019)</f>
        <v>-112586.86458397971</v>
      </c>
      <c r="AW1019" s="2509"/>
      <c r="BE1019" s="2173"/>
      <c r="BF1019" s="2173"/>
      <c r="BG1019" s="2173"/>
      <c r="BH1019" s="2173"/>
      <c r="BI1019" s="2173"/>
      <c r="BJ1019" s="2173"/>
      <c r="BK1019" s="2173"/>
      <c r="BL1019" s="773"/>
      <c r="BN1019" s="820"/>
      <c r="BQ1019" s="859"/>
      <c r="BR1019" s="885"/>
      <c r="BS1019" s="209"/>
      <c r="BT1019" s="209"/>
      <c r="BU1019" s="209"/>
      <c r="BV1019" s="209"/>
      <c r="BW1019" s="209"/>
      <c r="BX1019" s="209"/>
      <c r="BY1019" s="799"/>
      <c r="BZ1019" s="799"/>
      <c r="DB1019" s="773"/>
      <c r="DC1019" s="773"/>
      <c r="DD1019" s="773"/>
      <c r="DE1019" s="773"/>
      <c r="DF1019" s="773"/>
      <c r="DG1019" s="773"/>
      <c r="DH1019" s="773"/>
      <c r="DI1019" s="773"/>
      <c r="DJ1019" s="773"/>
      <c r="DK1019" s="773"/>
      <c r="DL1019" s="773"/>
      <c r="DM1019" s="773"/>
      <c r="DN1019" s="773"/>
      <c r="DO1019" s="773"/>
      <c r="DP1019" s="773"/>
      <c r="DQ1019" s="773"/>
      <c r="DR1019" s="773"/>
      <c r="DS1019" s="773"/>
      <c r="DT1019" s="773"/>
      <c r="DU1019" s="773"/>
      <c r="DV1019" s="773"/>
      <c r="DW1019" s="773"/>
      <c r="DX1019" s="773"/>
      <c r="DY1019" s="773"/>
      <c r="DZ1019" s="773"/>
      <c r="EA1019" s="773"/>
      <c r="EB1019" s="773"/>
      <c r="EC1019" s="773"/>
      <c r="ED1019" s="773"/>
      <c r="EE1019" s="773"/>
      <c r="EF1019" s="773"/>
      <c r="EG1019" s="773"/>
      <c r="EH1019" s="773"/>
      <c r="EI1019" s="773"/>
      <c r="EJ1019" s="773"/>
      <c r="EK1019" s="773"/>
      <c r="EL1019" s="773"/>
      <c r="EM1019" s="773"/>
      <c r="EN1019" s="773"/>
      <c r="EO1019" s="773"/>
      <c r="EP1019" s="773"/>
      <c r="EQ1019" s="773"/>
      <c r="ER1019" s="773"/>
      <c r="ES1019" s="773"/>
      <c r="ET1019" s="773"/>
      <c r="EU1019" s="773"/>
      <c r="EV1019" s="773"/>
      <c r="EW1019" s="773"/>
      <c r="EX1019" s="773"/>
      <c r="EY1019" s="773"/>
      <c r="EZ1019" s="773"/>
      <c r="FA1019" s="773"/>
      <c r="FB1019" s="773"/>
      <c r="FC1019" s="773"/>
      <c r="FD1019" s="773"/>
      <c r="FE1019" s="773"/>
      <c r="FF1019" s="773"/>
      <c r="FG1019" s="773"/>
      <c r="FH1019" s="773"/>
      <c r="FI1019" s="773"/>
      <c r="FJ1019" s="773"/>
      <c r="FK1019" s="773"/>
      <c r="FL1019" s="773"/>
      <c r="FM1019" s="773"/>
      <c r="FN1019" s="773"/>
      <c r="FO1019" s="773"/>
      <c r="FP1019" s="773"/>
      <c r="FQ1019" s="773"/>
      <c r="FR1019" s="773"/>
      <c r="FS1019" s="773"/>
      <c r="FT1019" s="773"/>
      <c r="FU1019" s="773"/>
      <c r="FV1019" s="773"/>
      <c r="FW1019" s="773"/>
      <c r="FX1019" s="773"/>
      <c r="FY1019" s="773"/>
      <c r="FZ1019" s="773"/>
      <c r="GA1019" s="773"/>
      <c r="GB1019" s="773"/>
      <c r="GC1019" s="773"/>
      <c r="GD1019" s="773"/>
      <c r="GE1019" s="773"/>
      <c r="GF1019" s="773"/>
      <c r="GG1019" s="773"/>
      <c r="GH1019" s="773"/>
      <c r="GI1019" s="773"/>
      <c r="GJ1019" s="773"/>
      <c r="GK1019" s="773"/>
      <c r="GL1019" s="773"/>
      <c r="GM1019" s="773"/>
      <c r="GN1019" s="773"/>
      <c r="GO1019" s="773"/>
      <c r="GP1019" s="773"/>
      <c r="GQ1019" s="773"/>
      <c r="GR1019" s="773"/>
      <c r="GS1019" s="773"/>
      <c r="GT1019" s="773"/>
      <c r="GU1019" s="773"/>
      <c r="GV1019" s="773"/>
      <c r="GW1019" s="773"/>
      <c r="GX1019" s="773"/>
      <c r="GY1019" s="773"/>
      <c r="GZ1019" s="773"/>
    </row>
    <row r="1020" spans="1:208" s="11" customFormat="1">
      <c r="B1020" s="3763"/>
      <c r="C1020" s="767"/>
      <c r="D1020" s="173"/>
      <c r="E1020" s="769"/>
      <c r="F1020" s="769"/>
      <c r="G1020" s="769"/>
      <c r="H1020" s="769"/>
      <c r="I1020" s="769"/>
      <c r="J1020" s="769"/>
      <c r="K1020" s="209"/>
      <c r="L1020" s="434"/>
      <c r="M1020" s="803"/>
      <c r="N1020" s="773"/>
      <c r="P1020" s="11">
        <v>0</v>
      </c>
      <c r="Q1020" s="11">
        <v>0</v>
      </c>
      <c r="R1020" s="773">
        <v>0</v>
      </c>
      <c r="S1020" s="11">
        <v>0</v>
      </c>
      <c r="T1020" s="773">
        <v>0</v>
      </c>
      <c r="U1020" s="2173">
        <v>0</v>
      </c>
      <c r="V1020" s="2509">
        <v>0</v>
      </c>
      <c r="W1020" s="2509">
        <v>0</v>
      </c>
      <c r="X1020" s="2509">
        <v>0</v>
      </c>
      <c r="Y1020" s="2509">
        <v>0</v>
      </c>
      <c r="Z1020" s="11">
        <f>'[26]New TB INC'!Z957</f>
        <v>0</v>
      </c>
      <c r="AA1020" s="11">
        <f>'[27]New TB INC'!AA950</f>
        <v>0</v>
      </c>
      <c r="AB1020" s="11">
        <f>'[28]New TB INC'!AB954</f>
        <v>0</v>
      </c>
      <c r="AC1020" s="11">
        <f>'[29]New TB INC'!AC940</f>
        <v>0</v>
      </c>
      <c r="AD1020" s="11">
        <f>'[150]New TB INC'!AD944</f>
        <v>0</v>
      </c>
      <c r="AE1020" s="11">
        <f>'[150]New TB INC'!AE944</f>
        <v>0</v>
      </c>
      <c r="AF1020" s="11">
        <v>0</v>
      </c>
      <c r="AG1020" s="11">
        <v>0</v>
      </c>
      <c r="AH1020" s="11">
        <v>0</v>
      </c>
      <c r="AI1020" s="11">
        <v>0</v>
      </c>
      <c r="AJ1020" s="11">
        <v>0</v>
      </c>
      <c r="AK1020" s="11">
        <f>$J1020-SUM($Z1020:AJ1020)</f>
        <v>0</v>
      </c>
      <c r="AW1020" s="2509"/>
      <c r="BE1020" s="2173"/>
      <c r="BF1020" s="2173"/>
      <c r="BG1020" s="2173"/>
      <c r="BH1020" s="2173"/>
      <c r="BI1020" s="2173"/>
      <c r="BJ1020" s="2173"/>
      <c r="BK1020" s="2173"/>
      <c r="BL1020" s="773"/>
      <c r="BN1020" s="820"/>
      <c r="BQ1020" s="859"/>
      <c r="BR1020" s="209"/>
      <c r="BS1020" s="878"/>
      <c r="CG1020" s="878"/>
      <c r="CH1020" s="4"/>
      <c r="DB1020" s="773"/>
      <c r="DC1020" s="773"/>
      <c r="DD1020" s="773"/>
      <c r="DE1020" s="773"/>
      <c r="DF1020" s="773"/>
      <c r="DG1020" s="773"/>
      <c r="DH1020" s="773"/>
      <c r="DI1020" s="773"/>
      <c r="DJ1020" s="773"/>
      <c r="DK1020" s="773"/>
      <c r="DL1020" s="773"/>
      <c r="DM1020" s="773"/>
      <c r="DN1020" s="773"/>
      <c r="DO1020" s="773"/>
      <c r="DP1020" s="773"/>
      <c r="DQ1020" s="773"/>
      <c r="DR1020" s="773"/>
      <c r="DS1020" s="773"/>
      <c r="DT1020" s="773"/>
      <c r="DU1020" s="773"/>
      <c r="DV1020" s="773"/>
      <c r="DW1020" s="773"/>
      <c r="DX1020" s="773"/>
      <c r="DY1020" s="773"/>
      <c r="DZ1020" s="773"/>
      <c r="EA1020" s="773"/>
      <c r="EB1020" s="773"/>
      <c r="EC1020" s="773"/>
      <c r="ED1020" s="773"/>
      <c r="EE1020" s="773"/>
      <c r="EF1020" s="773"/>
      <c r="EG1020" s="773"/>
      <c r="EH1020" s="773"/>
      <c r="EI1020" s="773"/>
      <c r="EJ1020" s="773"/>
      <c r="EK1020" s="773"/>
      <c r="EL1020" s="773"/>
      <c r="EM1020" s="773"/>
      <c r="EN1020" s="773"/>
      <c r="EO1020" s="773"/>
      <c r="EP1020" s="773"/>
      <c r="EQ1020" s="773"/>
      <c r="ER1020" s="773"/>
      <c r="ES1020" s="773"/>
      <c r="ET1020" s="773"/>
      <c r="EU1020" s="773"/>
      <c r="EV1020" s="773"/>
      <c r="EW1020" s="773"/>
      <c r="EX1020" s="773"/>
      <c r="EY1020" s="773"/>
      <c r="EZ1020" s="773"/>
      <c r="FA1020" s="773"/>
      <c r="FB1020" s="773"/>
      <c r="FC1020" s="773"/>
      <c r="FD1020" s="773"/>
      <c r="FE1020" s="773"/>
      <c r="FF1020" s="773"/>
      <c r="FG1020" s="773"/>
      <c r="FH1020" s="773"/>
      <c r="FI1020" s="773"/>
      <c r="FJ1020" s="773"/>
      <c r="FK1020" s="773"/>
      <c r="FL1020" s="773"/>
      <c r="FM1020" s="773"/>
      <c r="FN1020" s="773"/>
      <c r="FO1020" s="773"/>
      <c r="FP1020" s="773"/>
      <c r="FQ1020" s="773"/>
      <c r="FR1020" s="773"/>
      <c r="FS1020" s="773"/>
      <c r="FT1020" s="773"/>
      <c r="FU1020" s="773"/>
      <c r="FV1020" s="773"/>
      <c r="FW1020" s="773"/>
      <c r="FX1020" s="773"/>
      <c r="FY1020" s="773"/>
      <c r="FZ1020" s="773"/>
      <c r="GA1020" s="773"/>
      <c r="GB1020" s="773"/>
      <c r="GC1020" s="773"/>
      <c r="GD1020" s="773"/>
      <c r="GE1020" s="773"/>
      <c r="GF1020" s="773"/>
      <c r="GG1020" s="773"/>
      <c r="GH1020" s="773"/>
      <c r="GI1020" s="773"/>
      <c r="GJ1020" s="773"/>
      <c r="GK1020" s="773"/>
      <c r="GL1020" s="773"/>
      <c r="GM1020" s="773"/>
      <c r="GN1020" s="773"/>
      <c r="GO1020" s="773"/>
      <c r="GP1020" s="773"/>
      <c r="GQ1020" s="773"/>
      <c r="GR1020" s="773"/>
      <c r="GS1020" s="773"/>
      <c r="GT1020" s="773"/>
      <c r="GU1020" s="773"/>
      <c r="GV1020" s="773"/>
      <c r="GW1020" s="773"/>
      <c r="GX1020" s="773"/>
      <c r="GY1020" s="773"/>
      <c r="GZ1020" s="773"/>
    </row>
    <row r="1021" spans="1:208" s="11" customFormat="1">
      <c r="B1021" s="3763"/>
      <c r="C1021" s="848"/>
      <c r="D1021" s="948" t="s">
        <v>99</v>
      </c>
      <c r="E1021" s="827"/>
      <c r="F1021" s="769"/>
      <c r="G1021" s="769"/>
      <c r="H1021" s="769"/>
      <c r="I1021" s="769"/>
      <c r="J1021" s="796"/>
      <c r="K1021" s="209"/>
      <c r="L1021" s="434"/>
      <c r="M1021" s="805"/>
      <c r="N1021" s="773"/>
      <c r="P1021" s="11">
        <v>0</v>
      </c>
      <c r="Q1021" s="11">
        <v>0</v>
      </c>
      <c r="R1021" s="773">
        <v>0</v>
      </c>
      <c r="S1021" s="11">
        <v>0</v>
      </c>
      <c r="T1021" s="773">
        <v>0</v>
      </c>
      <c r="U1021" s="2173">
        <v>0</v>
      </c>
      <c r="V1021" s="2509">
        <v>0</v>
      </c>
      <c r="W1021" s="2509">
        <v>0</v>
      </c>
      <c r="X1021" s="2509">
        <v>0</v>
      </c>
      <c r="Y1021" s="2509">
        <v>0</v>
      </c>
      <c r="Z1021" s="11">
        <f>'[26]New TB INC'!Z958</f>
        <v>0</v>
      </c>
      <c r="AA1021" s="11">
        <f>'[27]New TB INC'!AA951</f>
        <v>0</v>
      </c>
      <c r="AB1021" s="11">
        <f>'[28]New TB INC'!AB955</f>
        <v>0</v>
      </c>
      <c r="AC1021" s="11">
        <f>'[29]New TB INC'!AC941</f>
        <v>0</v>
      </c>
      <c r="AD1021" s="11">
        <f>'[150]New TB INC'!AD945</f>
        <v>0</v>
      </c>
      <c r="AE1021" s="11">
        <f>'[150]New TB INC'!AE945</f>
        <v>0</v>
      </c>
      <c r="AF1021" s="11">
        <v>0</v>
      </c>
      <c r="AG1021" s="11">
        <v>0</v>
      </c>
      <c r="AH1021" s="11">
        <v>0</v>
      </c>
      <c r="AI1021" s="11">
        <v>0</v>
      </c>
      <c r="AJ1021" s="11">
        <v>0</v>
      </c>
      <c r="AK1021" s="11">
        <f>$J1021-SUM($Z1021:AJ1021)</f>
        <v>0</v>
      </c>
      <c r="AW1021" s="2509"/>
      <c r="BE1021" s="2173"/>
      <c r="BF1021" s="2173"/>
      <c r="BG1021" s="2173"/>
      <c r="BH1021" s="2173"/>
      <c r="BI1021" s="2173"/>
      <c r="BJ1021" s="2173"/>
      <c r="BK1021" s="2173"/>
      <c r="BL1021" s="773"/>
      <c r="BN1021" s="820"/>
      <c r="BQ1021" s="209"/>
      <c r="BS1021" s="878"/>
      <c r="CG1021" s="878"/>
      <c r="CH1021" s="4"/>
      <c r="CI1021" s="4"/>
      <c r="DB1021" s="773"/>
      <c r="DC1021" s="773"/>
      <c r="DD1021" s="773"/>
      <c r="DE1021" s="773"/>
      <c r="DF1021" s="773"/>
      <c r="DG1021" s="773"/>
      <c r="DH1021" s="773"/>
      <c r="DI1021" s="773"/>
      <c r="DJ1021" s="773"/>
      <c r="DK1021" s="773"/>
      <c r="DL1021" s="773"/>
      <c r="DM1021" s="773"/>
      <c r="DN1021" s="773"/>
      <c r="DO1021" s="773"/>
      <c r="DP1021" s="773"/>
      <c r="DQ1021" s="773"/>
      <c r="DR1021" s="773"/>
      <c r="DS1021" s="773"/>
      <c r="DT1021" s="773"/>
      <c r="DU1021" s="773"/>
      <c r="DV1021" s="773"/>
      <c r="DW1021" s="773"/>
      <c r="DX1021" s="773"/>
      <c r="DY1021" s="773"/>
      <c r="DZ1021" s="773"/>
      <c r="EA1021" s="773"/>
      <c r="EB1021" s="773"/>
      <c r="EC1021" s="773"/>
      <c r="ED1021" s="773"/>
      <c r="EE1021" s="773"/>
      <c r="EF1021" s="773"/>
      <c r="EG1021" s="773"/>
      <c r="EH1021" s="773"/>
      <c r="EI1021" s="773"/>
      <c r="EJ1021" s="773"/>
      <c r="EK1021" s="773"/>
      <c r="EL1021" s="773"/>
      <c r="EM1021" s="773"/>
      <c r="EN1021" s="773"/>
      <c r="EO1021" s="773"/>
      <c r="EP1021" s="773"/>
      <c r="EQ1021" s="773"/>
      <c r="ER1021" s="773"/>
      <c r="ES1021" s="773"/>
      <c r="ET1021" s="773"/>
      <c r="EU1021" s="773"/>
      <c r="EV1021" s="773"/>
      <c r="EW1021" s="773"/>
      <c r="EX1021" s="773"/>
      <c r="EY1021" s="773"/>
      <c r="EZ1021" s="773"/>
      <c r="FA1021" s="773"/>
      <c r="FB1021" s="773"/>
      <c r="FC1021" s="773"/>
      <c r="FD1021" s="773"/>
      <c r="FE1021" s="773"/>
      <c r="FF1021" s="773"/>
      <c r="FG1021" s="773"/>
      <c r="FH1021" s="773"/>
      <c r="FI1021" s="773"/>
      <c r="FJ1021" s="773"/>
      <c r="FK1021" s="773"/>
      <c r="FL1021" s="773"/>
      <c r="FM1021" s="773"/>
      <c r="FN1021" s="773"/>
      <c r="FO1021" s="773"/>
      <c r="FP1021" s="773"/>
      <c r="FQ1021" s="773"/>
      <c r="FR1021" s="773"/>
      <c r="FS1021" s="773"/>
      <c r="FT1021" s="773"/>
      <c r="FU1021" s="773"/>
      <c r="FV1021" s="773"/>
      <c r="FW1021" s="773"/>
      <c r="FX1021" s="773"/>
      <c r="FY1021" s="773"/>
      <c r="FZ1021" s="773"/>
      <c r="GA1021" s="773"/>
      <c r="GB1021" s="773"/>
      <c r="GC1021" s="773"/>
      <c r="GD1021" s="773"/>
      <c r="GE1021" s="773"/>
      <c r="GF1021" s="773"/>
      <c r="GG1021" s="773"/>
      <c r="GH1021" s="773"/>
      <c r="GI1021" s="773"/>
      <c r="GJ1021" s="773"/>
      <c r="GK1021" s="773"/>
      <c r="GL1021" s="773"/>
      <c r="GM1021" s="773"/>
      <c r="GN1021" s="773"/>
      <c r="GO1021" s="773"/>
      <c r="GP1021" s="773"/>
      <c r="GQ1021" s="773"/>
      <c r="GR1021" s="773"/>
      <c r="GS1021" s="773"/>
      <c r="GT1021" s="773"/>
      <c r="GU1021" s="773"/>
      <c r="GV1021" s="773"/>
      <c r="GW1021" s="773"/>
      <c r="GX1021" s="773"/>
      <c r="GY1021" s="773"/>
      <c r="GZ1021" s="773"/>
    </row>
    <row r="1022" spans="1:208" s="11" customFormat="1">
      <c r="B1022" s="3763" t="s">
        <v>769</v>
      </c>
      <c r="C1022" s="197">
        <v>9010001</v>
      </c>
      <c r="D1022" s="199" t="s">
        <v>494</v>
      </c>
      <c r="E1022" s="798">
        <f>IFERROR(VLOOKUP(C1022,'AJE 12 - INC'!$D$168:$F$771,3,0),0)</f>
        <v>12236.94</v>
      </c>
      <c r="F1022" s="108">
        <f>SUMIF('AJE 12 - INC'!B:B,'New TB INC'!C1022,'AJE 12 - INC'!D:D)</f>
        <v>0</v>
      </c>
      <c r="G1022" s="769"/>
      <c r="H1022" s="769"/>
      <c r="I1022" s="769"/>
      <c r="J1022" s="798">
        <f t="shared" ref="J1022:J1028" si="102">SUM(E1022:I1022)</f>
        <v>12236.94</v>
      </c>
      <c r="K1022" s="209"/>
      <c r="L1022" s="434"/>
      <c r="M1022" s="803"/>
      <c r="Q1022" s="11">
        <v>1770.09</v>
      </c>
      <c r="R1022" s="773">
        <v>558.01</v>
      </c>
      <c r="S1022" s="11">
        <v>494.30000000000018</v>
      </c>
      <c r="T1022" s="773">
        <v>316.96000000000004</v>
      </c>
      <c r="U1022" s="2173">
        <v>1181.5399999999995</v>
      </c>
      <c r="V1022" s="2509">
        <v>1205.2200000000003</v>
      </c>
      <c r="W1022" s="2509">
        <v>1034.0900000000001</v>
      </c>
      <c r="X1022" s="2509">
        <v>1131.4399999999996</v>
      </c>
      <c r="Y1022" s="2509">
        <v>1002.5200000000004</v>
      </c>
      <c r="Z1022" s="11">
        <f>'[26]New TB INC'!Z959</f>
        <v>1099.21</v>
      </c>
      <c r="AA1022" s="11">
        <f>'[27]New TB INC'!AA952</f>
        <v>1037.1799999999998</v>
      </c>
      <c r="AB1022" s="11">
        <f>'[28]New TB INC'!AB956</f>
        <v>987.55000000000018</v>
      </c>
      <c r="AC1022" s="11">
        <f>'[29]New TB INC'!AC942</f>
        <v>1139.2999999999997</v>
      </c>
      <c r="AD1022" s="11">
        <f>'[150]New TB INC'!AD946</f>
        <v>1968.7300000000005</v>
      </c>
      <c r="AE1022" s="11">
        <f>'[150]New TB INC'!AE946</f>
        <v>0</v>
      </c>
      <c r="AF1022" s="11">
        <v>1039.6300000000001</v>
      </c>
      <c r="AG1022" s="11">
        <v>1092.2799999999988</v>
      </c>
      <c r="AH1022" s="11">
        <v>952.22000000000116</v>
      </c>
      <c r="AI1022" s="11">
        <v>935.94000000000051</v>
      </c>
      <c r="AJ1022" s="11">
        <v>989.0099999999984</v>
      </c>
      <c r="AK1022" s="11">
        <f>$J1022-SUM($Z1022:AJ1022)</f>
        <v>995.89000000000124</v>
      </c>
      <c r="AW1022" s="2509"/>
      <c r="BE1022" s="2173"/>
      <c r="BF1022" s="2173"/>
      <c r="BG1022" s="2173"/>
      <c r="BH1022" s="2173"/>
      <c r="BI1022" s="2173"/>
      <c r="BJ1022" s="2173"/>
      <c r="BK1022" s="2173"/>
      <c r="BL1022" s="773"/>
      <c r="BN1022" s="820"/>
      <c r="BS1022" s="878"/>
      <c r="CG1022" s="878"/>
      <c r="CH1022" s="4"/>
      <c r="DB1022" s="773"/>
      <c r="DC1022" s="773"/>
      <c r="DD1022" s="773"/>
      <c r="DE1022" s="773"/>
      <c r="DF1022" s="773"/>
      <c r="DG1022" s="773"/>
      <c r="DH1022" s="773"/>
      <c r="DI1022" s="773"/>
      <c r="DJ1022" s="773"/>
      <c r="DK1022" s="773"/>
      <c r="DL1022" s="773"/>
      <c r="DM1022" s="773"/>
      <c r="DN1022" s="773"/>
      <c r="DO1022" s="773"/>
      <c r="DP1022" s="773"/>
      <c r="DQ1022" s="773"/>
      <c r="DR1022" s="773"/>
      <c r="DS1022" s="773"/>
      <c r="DT1022" s="773"/>
      <c r="DU1022" s="773"/>
      <c r="DV1022" s="773"/>
      <c r="DW1022" s="773"/>
      <c r="DX1022" s="773"/>
      <c r="DY1022" s="773"/>
      <c r="DZ1022" s="773"/>
      <c r="EA1022" s="773"/>
      <c r="EB1022" s="773"/>
      <c r="EC1022" s="773"/>
      <c r="ED1022" s="773"/>
      <c r="EE1022" s="773"/>
      <c r="EF1022" s="773"/>
      <c r="EG1022" s="773"/>
      <c r="EH1022" s="773"/>
      <c r="EI1022" s="773"/>
      <c r="EJ1022" s="773"/>
      <c r="EK1022" s="773"/>
      <c r="EL1022" s="773"/>
      <c r="EM1022" s="773"/>
      <c r="EN1022" s="773"/>
      <c r="EO1022" s="773"/>
      <c r="EP1022" s="773"/>
      <c r="EQ1022" s="773"/>
      <c r="ER1022" s="773"/>
      <c r="ES1022" s="773"/>
      <c r="ET1022" s="773"/>
      <c r="EU1022" s="773"/>
      <c r="EV1022" s="773"/>
      <c r="EW1022" s="773"/>
      <c r="EX1022" s="773"/>
      <c r="EY1022" s="773"/>
      <c r="EZ1022" s="773"/>
      <c r="FA1022" s="773"/>
      <c r="FB1022" s="773"/>
      <c r="FC1022" s="773"/>
      <c r="FD1022" s="773"/>
      <c r="FE1022" s="773"/>
      <c r="FF1022" s="773"/>
      <c r="FG1022" s="773"/>
      <c r="FH1022" s="773"/>
      <c r="FI1022" s="773"/>
      <c r="FJ1022" s="773"/>
      <c r="FK1022" s="773"/>
      <c r="FL1022" s="773"/>
      <c r="FM1022" s="773"/>
      <c r="FN1022" s="773"/>
      <c r="FO1022" s="773"/>
      <c r="FP1022" s="773"/>
      <c r="FQ1022" s="773"/>
      <c r="FR1022" s="773"/>
      <c r="FS1022" s="773"/>
      <c r="FT1022" s="773"/>
      <c r="FU1022" s="773"/>
      <c r="FV1022" s="773"/>
      <c r="FW1022" s="773"/>
      <c r="FX1022" s="773"/>
      <c r="FY1022" s="773"/>
      <c r="FZ1022" s="773"/>
      <c r="GA1022" s="773"/>
      <c r="GB1022" s="773"/>
      <c r="GC1022" s="773"/>
      <c r="GD1022" s="773"/>
      <c r="GE1022" s="773"/>
      <c r="GF1022" s="773"/>
      <c r="GG1022" s="773"/>
      <c r="GH1022" s="773"/>
      <c r="GI1022" s="773"/>
      <c r="GJ1022" s="773"/>
      <c r="GK1022" s="773"/>
      <c r="GL1022" s="773"/>
      <c r="GM1022" s="773"/>
      <c r="GN1022" s="773"/>
      <c r="GO1022" s="773"/>
      <c r="GP1022" s="773"/>
      <c r="GQ1022" s="773"/>
      <c r="GR1022" s="773"/>
      <c r="GS1022" s="773"/>
      <c r="GT1022" s="773"/>
      <c r="GU1022" s="773"/>
      <c r="GV1022" s="773"/>
      <c r="GW1022" s="773"/>
      <c r="GX1022" s="773"/>
      <c r="GY1022" s="773"/>
      <c r="GZ1022" s="773"/>
    </row>
    <row r="1023" spans="1:208" s="11" customFormat="1">
      <c r="B1023" s="3585" t="s">
        <v>769</v>
      </c>
      <c r="C1023" s="197">
        <v>9010002</v>
      </c>
      <c r="D1023" s="199" t="s">
        <v>634</v>
      </c>
      <c r="E1023" s="798">
        <f>IFERROR(VLOOKUP(C1023,'AJE 12 - INC'!$D$168:$F$771,3,0),0)</f>
        <v>25089.13</v>
      </c>
      <c r="F1023" s="108">
        <f>SUMIF('AJE 12 - INC'!B:B,'New TB INC'!C1023,'AJE 12 - INC'!D:D)</f>
        <v>0</v>
      </c>
      <c r="G1023" s="769"/>
      <c r="H1023" s="769"/>
      <c r="I1023" s="769"/>
      <c r="J1023" s="798">
        <f t="shared" si="102"/>
        <v>25089.13</v>
      </c>
      <c r="K1023" s="209"/>
      <c r="L1023" s="434"/>
      <c r="M1023" s="2167" t="s">
        <v>1434</v>
      </c>
      <c r="Q1023" s="11">
        <v>0</v>
      </c>
      <c r="R1023" s="773">
        <v>7321.51</v>
      </c>
      <c r="S1023" s="11">
        <v>734.21</v>
      </c>
      <c r="T1023" s="773">
        <v>2811.0999999999995</v>
      </c>
      <c r="U1023" s="2173">
        <v>-4564.1399999999994</v>
      </c>
      <c r="V1023" s="2509">
        <v>1029.5599999999995</v>
      </c>
      <c r="W1023" s="2509">
        <v>3734.5699999999997</v>
      </c>
      <c r="X1023" s="2509">
        <v>-282.35999999999876</v>
      </c>
      <c r="Y1023" s="2509">
        <v>771.30999999999949</v>
      </c>
      <c r="Z1023" s="11">
        <f>'[26]New TB INC'!Z960</f>
        <v>5786.71</v>
      </c>
      <c r="AA1023" s="11">
        <f>'[27]New TB INC'!AA953</f>
        <v>854.14999999999964</v>
      </c>
      <c r="AB1023" s="11">
        <f>'[28]New TB INC'!AB957</f>
        <v>2146.5299999999997</v>
      </c>
      <c r="AC1023" s="11">
        <f>'[29]New TB INC'!AC943</f>
        <v>3286.7900000000009</v>
      </c>
      <c r="AD1023" s="11">
        <f>'[150]New TB INC'!AD947</f>
        <v>3210.4799999999996</v>
      </c>
      <c r="AE1023" s="11">
        <f>'[150]New TB INC'!AE947</f>
        <v>0</v>
      </c>
      <c r="AF1023" s="11">
        <v>1919.619999999999</v>
      </c>
      <c r="AG1023" s="11">
        <v>1182.1000000000022</v>
      </c>
      <c r="AH1023" s="11">
        <v>1483.0999999999985</v>
      </c>
      <c r="AI1023" s="11">
        <v>3525.3500000000022</v>
      </c>
      <c r="AJ1023" s="11">
        <v>3392.8299999999981</v>
      </c>
      <c r="AK1023" s="11">
        <f>$J1023-SUM($Z1023:AJ1023)</f>
        <v>-1698.5299999999988</v>
      </c>
      <c r="AW1023" s="2509"/>
      <c r="BE1023" s="2173"/>
      <c r="BF1023" s="2173"/>
      <c r="BG1023" s="2173"/>
      <c r="BH1023" s="2173"/>
      <c r="BI1023" s="2173"/>
      <c r="BJ1023" s="2173"/>
      <c r="BK1023" s="2173"/>
      <c r="BL1023" s="773"/>
      <c r="BN1023" s="487"/>
      <c r="BO1023" s="799"/>
      <c r="BP1023" s="209"/>
      <c r="BS1023" s="878"/>
      <c r="CG1023" s="878"/>
      <c r="DB1023" s="773"/>
      <c r="DC1023" s="773"/>
      <c r="DD1023" s="773"/>
      <c r="DE1023" s="773"/>
      <c r="DF1023" s="773"/>
      <c r="DG1023" s="773"/>
      <c r="DH1023" s="773"/>
      <c r="DI1023" s="773"/>
      <c r="DJ1023" s="773"/>
      <c r="DK1023" s="773"/>
      <c r="DL1023" s="773"/>
      <c r="DM1023" s="773"/>
      <c r="DN1023" s="773"/>
      <c r="DO1023" s="773"/>
      <c r="DP1023" s="773"/>
      <c r="DQ1023" s="773"/>
      <c r="DR1023" s="773"/>
      <c r="DS1023" s="773"/>
      <c r="DT1023" s="773"/>
      <c r="DU1023" s="773"/>
      <c r="DV1023" s="773"/>
      <c r="DW1023" s="773"/>
      <c r="DX1023" s="773"/>
      <c r="DY1023" s="773"/>
      <c r="DZ1023" s="773"/>
      <c r="EA1023" s="773"/>
      <c r="EB1023" s="773"/>
      <c r="EC1023" s="773"/>
      <c r="ED1023" s="773"/>
      <c r="EE1023" s="773"/>
      <c r="EF1023" s="773"/>
      <c r="EG1023" s="773"/>
      <c r="EH1023" s="773"/>
      <c r="EI1023" s="773"/>
      <c r="EJ1023" s="773"/>
      <c r="EK1023" s="773"/>
      <c r="EL1023" s="773"/>
      <c r="EM1023" s="773"/>
      <c r="EN1023" s="773"/>
      <c r="EO1023" s="773"/>
      <c r="EP1023" s="773"/>
      <c r="EQ1023" s="773"/>
      <c r="ER1023" s="773"/>
      <c r="ES1023" s="773"/>
      <c r="ET1023" s="773"/>
      <c r="EU1023" s="773"/>
      <c r="EV1023" s="773"/>
      <c r="EW1023" s="773"/>
      <c r="EX1023" s="773"/>
      <c r="EY1023" s="773"/>
      <c r="EZ1023" s="773"/>
      <c r="FA1023" s="773"/>
      <c r="FB1023" s="773"/>
      <c r="FC1023" s="773"/>
      <c r="FD1023" s="773"/>
      <c r="FE1023" s="773"/>
      <c r="FF1023" s="773"/>
      <c r="FG1023" s="773"/>
      <c r="FH1023" s="773"/>
      <c r="FI1023" s="773"/>
      <c r="FJ1023" s="773"/>
      <c r="FK1023" s="773"/>
      <c r="FL1023" s="773"/>
      <c r="FM1023" s="773"/>
      <c r="FN1023" s="773"/>
      <c r="FO1023" s="773"/>
      <c r="FP1023" s="773"/>
      <c r="FQ1023" s="773"/>
      <c r="FR1023" s="773"/>
      <c r="FS1023" s="773"/>
      <c r="FT1023" s="773"/>
      <c r="FU1023" s="773"/>
      <c r="FV1023" s="773"/>
      <c r="FW1023" s="773"/>
      <c r="FX1023" s="773"/>
      <c r="FY1023" s="773"/>
      <c r="FZ1023" s="773"/>
      <c r="GA1023" s="773"/>
      <c r="GB1023" s="773"/>
      <c r="GC1023" s="773"/>
      <c r="GD1023" s="773"/>
      <c r="GE1023" s="773"/>
      <c r="GF1023" s="773"/>
      <c r="GG1023" s="773"/>
      <c r="GH1023" s="773"/>
      <c r="GI1023" s="773"/>
      <c r="GJ1023" s="773"/>
      <c r="GK1023" s="773"/>
      <c r="GL1023" s="773"/>
      <c r="GM1023" s="773"/>
      <c r="GN1023" s="773"/>
      <c r="GO1023" s="773"/>
      <c r="GP1023" s="773"/>
      <c r="GQ1023" s="773"/>
      <c r="GR1023" s="773"/>
      <c r="GS1023" s="773"/>
      <c r="GT1023" s="773"/>
      <c r="GU1023" s="773"/>
      <c r="GV1023" s="773"/>
      <c r="GW1023" s="773"/>
      <c r="GX1023" s="773"/>
      <c r="GY1023" s="773"/>
      <c r="GZ1023" s="773"/>
    </row>
    <row r="1024" spans="1:208" s="11" customFormat="1" ht="13.5" thickBot="1">
      <c r="B1024" s="3763" t="s">
        <v>1381</v>
      </c>
      <c r="C1024" s="197">
        <v>9010003</v>
      </c>
      <c r="D1024" s="199" t="s">
        <v>1397</v>
      </c>
      <c r="E1024" s="798">
        <f>IFERROR(VLOOKUP(C1024,'AJE 12 - INC'!$D$168:$F$771,3,0),0)</f>
        <v>2.2599999999999998</v>
      </c>
      <c r="F1024" s="108">
        <f>SUMIF('AJE 12 - INC'!B:B,'New TB INC'!C1024,'AJE 12 - INC'!D:D)</f>
        <v>0</v>
      </c>
      <c r="G1024" s="769"/>
      <c r="H1024" s="769"/>
      <c r="I1024" s="769"/>
      <c r="J1024" s="798">
        <f t="shared" si="102"/>
        <v>2.2599999999999998</v>
      </c>
      <c r="K1024" s="209"/>
      <c r="L1024" s="434"/>
      <c r="M1024" s="2167"/>
      <c r="Q1024" s="11">
        <v>0</v>
      </c>
      <c r="R1024" s="773">
        <v>0.63</v>
      </c>
      <c r="S1024" s="11">
        <v>2.23</v>
      </c>
      <c r="T1024" s="773">
        <v>1.1499999999999999</v>
      </c>
      <c r="U1024" s="2173">
        <v>-3.9999999999999591E-2</v>
      </c>
      <c r="V1024" s="2509">
        <v>1.3299999999999996</v>
      </c>
      <c r="W1024" s="2509">
        <v>-0.96999999999999975</v>
      </c>
      <c r="X1024" s="2509">
        <v>0.83000000000000007</v>
      </c>
      <c r="Y1024" s="2509">
        <v>0.78000000000000025</v>
      </c>
      <c r="Z1024" s="11">
        <f>'[26]New TB INC'!Z961</f>
        <v>-0.43</v>
      </c>
      <c r="AA1024" s="11">
        <f>'[27]New TB INC'!AA954</f>
        <v>-0.33</v>
      </c>
      <c r="AB1024" s="11">
        <f>'[28]New TB INC'!AB958</f>
        <v>0.69</v>
      </c>
      <c r="AC1024" s="11">
        <f>'[29]New TB INC'!AC944</f>
        <v>-0.32999999999999996</v>
      </c>
      <c r="AD1024" s="11">
        <f>'[150]New TB INC'!AD948</f>
        <v>1.31</v>
      </c>
      <c r="AE1024" s="11">
        <f>'[150]New TB INC'!AE948</f>
        <v>0</v>
      </c>
      <c r="AF1024" s="11">
        <v>-0.32000000000000006</v>
      </c>
      <c r="AG1024" s="11">
        <v>1.0000000000000009E-2</v>
      </c>
      <c r="AH1024" s="11">
        <v>0.48000000000000009</v>
      </c>
      <c r="AI1024" s="11">
        <v>0.41999999999999993</v>
      </c>
      <c r="AJ1024" s="11">
        <v>0.19999999999999996</v>
      </c>
      <c r="AK1024" s="11">
        <f>$J1024-SUM($Z1024:AJ1024)</f>
        <v>0.55999999999999983</v>
      </c>
      <c r="AW1024" s="2509"/>
      <c r="BE1024" s="2173"/>
      <c r="BF1024" s="2173"/>
      <c r="BG1024" s="2173"/>
      <c r="BH1024" s="2173"/>
      <c r="BI1024" s="2173"/>
      <c r="BJ1024" s="2173"/>
      <c r="BK1024" s="2173"/>
      <c r="BL1024" s="773"/>
      <c r="BN1024" s="487"/>
      <c r="BO1024" s="799"/>
      <c r="BP1024" s="209"/>
      <c r="BS1024" s="878"/>
      <c r="CG1024" s="878"/>
      <c r="DB1024" s="773"/>
      <c r="DC1024" s="773"/>
      <c r="DD1024" s="773"/>
      <c r="DE1024" s="773"/>
      <c r="DF1024" s="773"/>
      <c r="DG1024" s="773"/>
      <c r="DH1024" s="773"/>
      <c r="DI1024" s="773"/>
      <c r="DJ1024" s="773"/>
      <c r="DK1024" s="773"/>
      <c r="DL1024" s="773"/>
      <c r="DM1024" s="773"/>
      <c r="DN1024" s="773"/>
      <c r="DO1024" s="773"/>
      <c r="DP1024" s="773"/>
      <c r="DQ1024" s="773"/>
      <c r="DR1024" s="773"/>
      <c r="DS1024" s="773"/>
      <c r="DT1024" s="773"/>
      <c r="DU1024" s="773"/>
      <c r="DV1024" s="773"/>
      <c r="DW1024" s="773"/>
      <c r="DX1024" s="773"/>
      <c r="DY1024" s="773"/>
      <c r="DZ1024" s="773"/>
      <c r="EA1024" s="773"/>
      <c r="EB1024" s="773"/>
      <c r="EC1024" s="773"/>
      <c r="ED1024" s="773"/>
      <c r="EE1024" s="773"/>
      <c r="EF1024" s="773"/>
      <c r="EG1024" s="773"/>
      <c r="EH1024" s="773"/>
      <c r="EI1024" s="773"/>
      <c r="EJ1024" s="773"/>
      <c r="EK1024" s="773"/>
      <c r="EL1024" s="773"/>
      <c r="EM1024" s="773"/>
      <c r="EN1024" s="773"/>
      <c r="EO1024" s="773"/>
      <c r="EP1024" s="773"/>
      <c r="EQ1024" s="773"/>
      <c r="ER1024" s="773"/>
      <c r="ES1024" s="773"/>
      <c r="ET1024" s="773"/>
      <c r="EU1024" s="773"/>
      <c r="EV1024" s="773"/>
      <c r="EW1024" s="773"/>
      <c r="EX1024" s="773"/>
      <c r="EY1024" s="773"/>
      <c r="EZ1024" s="773"/>
      <c r="FA1024" s="773"/>
      <c r="FB1024" s="773"/>
      <c r="FC1024" s="773"/>
      <c r="FD1024" s="773"/>
      <c r="FE1024" s="773"/>
      <c r="FF1024" s="773"/>
      <c r="FG1024" s="773"/>
      <c r="FH1024" s="773"/>
      <c r="FI1024" s="773"/>
      <c r="FJ1024" s="773"/>
      <c r="FK1024" s="773"/>
      <c r="FL1024" s="773"/>
      <c r="FM1024" s="773"/>
      <c r="FN1024" s="773"/>
      <c r="FO1024" s="773"/>
      <c r="FP1024" s="773"/>
      <c r="FQ1024" s="773"/>
      <c r="FR1024" s="773"/>
      <c r="FS1024" s="773"/>
      <c r="FT1024" s="773"/>
      <c r="FU1024" s="773"/>
      <c r="FV1024" s="773"/>
      <c r="FW1024" s="773"/>
      <c r="FX1024" s="773"/>
      <c r="FY1024" s="773"/>
      <c r="FZ1024" s="773"/>
      <c r="GA1024" s="773"/>
      <c r="GB1024" s="773"/>
      <c r="GC1024" s="773"/>
      <c r="GD1024" s="773"/>
      <c r="GE1024" s="773"/>
      <c r="GF1024" s="773"/>
      <c r="GG1024" s="773"/>
      <c r="GH1024" s="773"/>
      <c r="GI1024" s="773"/>
      <c r="GJ1024" s="773"/>
      <c r="GK1024" s="773"/>
      <c r="GL1024" s="773"/>
      <c r="GM1024" s="773"/>
      <c r="GN1024" s="773"/>
      <c r="GO1024" s="773"/>
      <c r="GP1024" s="773"/>
      <c r="GQ1024" s="773"/>
      <c r="GR1024" s="773"/>
      <c r="GS1024" s="773"/>
      <c r="GT1024" s="773"/>
      <c r="GU1024" s="773"/>
      <c r="GV1024" s="773"/>
      <c r="GW1024" s="773"/>
      <c r="GX1024" s="773"/>
      <c r="GY1024" s="773"/>
      <c r="GZ1024" s="773"/>
    </row>
    <row r="1025" spans="1:208" s="11" customFormat="1" ht="13.5" thickBot="1">
      <c r="B1025" s="3763" t="s">
        <v>1381</v>
      </c>
      <c r="C1025" s="197">
        <v>9010007</v>
      </c>
      <c r="D1025" s="199" t="s">
        <v>2531</v>
      </c>
      <c r="E1025" s="798">
        <f>IFERROR(VLOOKUP(C1025,'AJE 12 - INC'!$D$168:$F$771,3,0),0)</f>
        <v>467953.24</v>
      </c>
      <c r="F1025" s="108">
        <f>SUMIF('AJE 12 - INC'!B:B,'New TB INC'!C1025,'AJE 12 - INC'!D:D)</f>
        <v>0</v>
      </c>
      <c r="G1025" s="769"/>
      <c r="H1025" s="769"/>
      <c r="I1025" s="769"/>
      <c r="J1025" s="859">
        <f t="shared" si="102"/>
        <v>467953.24</v>
      </c>
      <c r="K1025" s="956" t="e">
        <f>SUM(#REF!)-J1025</f>
        <v>#REF!</v>
      </c>
      <c r="L1025" s="434"/>
      <c r="M1025" s="2167" t="s">
        <v>2612</v>
      </c>
      <c r="R1025" s="773"/>
      <c r="T1025" s="773">
        <v>0</v>
      </c>
      <c r="U1025" s="2173">
        <v>646823</v>
      </c>
      <c r="V1025" s="2509">
        <v>157875.83999999997</v>
      </c>
      <c r="W1025" s="2509">
        <v>0</v>
      </c>
      <c r="X1025" s="2509">
        <v>0</v>
      </c>
      <c r="Y1025" s="2509">
        <v>158259</v>
      </c>
      <c r="Z1025" s="11">
        <f>'[26]New TB INC'!Z962</f>
        <v>0</v>
      </c>
      <c r="AA1025" s="11">
        <f>'[27]New TB INC'!AA955</f>
        <v>0</v>
      </c>
      <c r="AB1025" s="11">
        <f>'[28]New TB INC'!AB959</f>
        <v>132677.12</v>
      </c>
      <c r="AC1025" s="11">
        <f>'[29]New TB INC'!AC945</f>
        <v>0</v>
      </c>
      <c r="AD1025" s="11">
        <f>'[150]New TB INC'!AD949</f>
        <v>132677.12</v>
      </c>
      <c r="AE1025" s="11">
        <f>'[150]New TB INC'!AE949</f>
        <v>0</v>
      </c>
      <c r="AF1025" s="11">
        <v>0</v>
      </c>
      <c r="AG1025" s="11">
        <v>0</v>
      </c>
      <c r="AH1025" s="11">
        <v>116354</v>
      </c>
      <c r="AI1025" s="11">
        <v>0</v>
      </c>
      <c r="AJ1025" s="11">
        <v>0</v>
      </c>
      <c r="AK1025" s="11">
        <f>$J1025-SUM($Z1025:AJ1025)</f>
        <v>86245</v>
      </c>
      <c r="AW1025" s="2509"/>
      <c r="BE1025" s="2173"/>
      <c r="BF1025" s="2173"/>
      <c r="BG1025" s="2173"/>
      <c r="BH1025" s="2173"/>
      <c r="BI1025" s="2173"/>
      <c r="BJ1025" s="2173"/>
      <c r="BK1025" s="2173"/>
      <c r="BL1025" s="773"/>
      <c r="BN1025" s="487"/>
      <c r="BO1025" s="799"/>
      <c r="BP1025" s="209"/>
      <c r="BS1025" s="878"/>
      <c r="CG1025" s="878"/>
      <c r="DB1025" s="773"/>
      <c r="DC1025" s="773"/>
      <c r="DD1025" s="773"/>
      <c r="DE1025" s="773"/>
      <c r="DF1025" s="773"/>
      <c r="DG1025" s="773"/>
      <c r="DH1025" s="773"/>
      <c r="DI1025" s="773"/>
      <c r="DJ1025" s="773"/>
      <c r="DK1025" s="773"/>
      <c r="DL1025" s="773"/>
      <c r="DM1025" s="773"/>
      <c r="DN1025" s="773"/>
      <c r="DO1025" s="773"/>
      <c r="DP1025" s="773"/>
      <c r="DQ1025" s="773"/>
      <c r="DR1025" s="773"/>
      <c r="DS1025" s="773"/>
      <c r="DT1025" s="773"/>
      <c r="DU1025" s="773"/>
      <c r="DV1025" s="773"/>
      <c r="DW1025" s="773"/>
      <c r="DX1025" s="773"/>
      <c r="DY1025" s="773"/>
      <c r="DZ1025" s="773"/>
      <c r="EA1025" s="773"/>
      <c r="EB1025" s="773"/>
      <c r="EC1025" s="773"/>
      <c r="ED1025" s="773"/>
      <c r="EE1025" s="773"/>
      <c r="EF1025" s="773"/>
      <c r="EG1025" s="773"/>
      <c r="EH1025" s="773"/>
      <c r="EI1025" s="773"/>
      <c r="EJ1025" s="773"/>
      <c r="EK1025" s="773"/>
      <c r="EL1025" s="773"/>
      <c r="EM1025" s="773"/>
      <c r="EN1025" s="773"/>
      <c r="EO1025" s="773"/>
      <c r="EP1025" s="773"/>
      <c r="EQ1025" s="773"/>
      <c r="ER1025" s="773"/>
      <c r="ES1025" s="773"/>
      <c r="ET1025" s="773"/>
      <c r="EU1025" s="773"/>
      <c r="EV1025" s="773"/>
      <c r="EW1025" s="773"/>
      <c r="EX1025" s="773"/>
      <c r="EY1025" s="773"/>
      <c r="EZ1025" s="773"/>
      <c r="FA1025" s="773"/>
      <c r="FB1025" s="773"/>
      <c r="FC1025" s="773"/>
      <c r="FD1025" s="773"/>
      <c r="FE1025" s="773"/>
      <c r="FF1025" s="773"/>
      <c r="FG1025" s="773"/>
      <c r="FH1025" s="773"/>
      <c r="FI1025" s="773"/>
      <c r="FJ1025" s="773"/>
      <c r="FK1025" s="773"/>
      <c r="FL1025" s="773"/>
      <c r="FM1025" s="773"/>
      <c r="FN1025" s="773"/>
      <c r="FO1025" s="773"/>
      <c r="FP1025" s="773"/>
      <c r="FQ1025" s="773"/>
      <c r="FR1025" s="773"/>
      <c r="FS1025" s="773"/>
      <c r="FT1025" s="773"/>
      <c r="FU1025" s="773"/>
      <c r="FV1025" s="773"/>
      <c r="FW1025" s="773"/>
      <c r="FX1025" s="773"/>
      <c r="FY1025" s="773"/>
      <c r="FZ1025" s="773"/>
      <c r="GA1025" s="773"/>
      <c r="GB1025" s="773"/>
      <c r="GC1025" s="773"/>
      <c r="GD1025" s="773"/>
      <c r="GE1025" s="773"/>
      <c r="GF1025" s="773"/>
      <c r="GG1025" s="773"/>
      <c r="GH1025" s="773"/>
      <c r="GI1025" s="773"/>
      <c r="GJ1025" s="773"/>
      <c r="GK1025" s="773"/>
      <c r="GL1025" s="773"/>
      <c r="GM1025" s="773"/>
      <c r="GN1025" s="773"/>
      <c r="GO1025" s="773"/>
      <c r="GP1025" s="773"/>
      <c r="GQ1025" s="773"/>
      <c r="GR1025" s="773"/>
      <c r="GS1025" s="773"/>
      <c r="GT1025" s="773"/>
      <c r="GU1025" s="773"/>
      <c r="GV1025" s="773"/>
      <c r="GW1025" s="773"/>
      <c r="GX1025" s="773"/>
      <c r="GY1025" s="773"/>
      <c r="GZ1025" s="773"/>
    </row>
    <row r="1026" spans="1:208" s="11" customFormat="1">
      <c r="B1026" s="3763" t="s">
        <v>769</v>
      </c>
      <c r="C1026" s="197">
        <v>9010005</v>
      </c>
      <c r="D1026" s="199" t="s">
        <v>293</v>
      </c>
      <c r="E1026" s="798">
        <f>IFERROR(VLOOKUP(C1026,'AJE 12 - INC'!$D$168:$F$771,3,0),0)</f>
        <v>3728.33</v>
      </c>
      <c r="F1026" s="108">
        <f>SUMIF('AJE 12 - INC'!B:B,'New TB INC'!C1026,'AJE 12 - INC'!D:D)</f>
        <v>0</v>
      </c>
      <c r="G1026" s="108"/>
      <c r="H1026" s="108"/>
      <c r="I1026" s="108"/>
      <c r="J1026" s="798">
        <f t="shared" si="102"/>
        <v>3728.33</v>
      </c>
      <c r="K1026" s="209"/>
      <c r="L1026" s="434"/>
      <c r="M1026" s="803"/>
      <c r="S1026" s="11">
        <v>0</v>
      </c>
      <c r="T1026" s="773">
        <v>0</v>
      </c>
      <c r="U1026" s="2173">
        <v>67.52</v>
      </c>
      <c r="V1026" s="2509">
        <v>0</v>
      </c>
      <c r="W1026" s="2509">
        <v>-84.919999999999987</v>
      </c>
      <c r="X1026" s="2509">
        <v>136.47999999999999</v>
      </c>
      <c r="Y1026" s="2509">
        <v>-41.56</v>
      </c>
      <c r="Z1026" s="11">
        <f>'[26]New TB INC'!Z963</f>
        <v>-4.66</v>
      </c>
      <c r="AA1026" s="11">
        <f>'[27]New TB INC'!AA956</f>
        <v>0</v>
      </c>
      <c r="AB1026" s="11">
        <f>'[28]New TB INC'!AB960</f>
        <v>-87.5</v>
      </c>
      <c r="AC1026" s="11">
        <f>'[29]New TB INC'!AC946</f>
        <v>-1391.22</v>
      </c>
      <c r="AD1026" s="11">
        <f>'[150]New TB INC'!AD950</f>
        <v>-17.779999999999973</v>
      </c>
      <c r="AE1026" s="11">
        <f>'[150]New TB INC'!AE950</f>
        <v>0</v>
      </c>
      <c r="AF1026" s="11">
        <v>-82.619999999999891</v>
      </c>
      <c r="AG1026" s="11">
        <v>-18.319999999999936</v>
      </c>
      <c r="AH1026" s="11">
        <v>1226.06</v>
      </c>
      <c r="AI1026" s="11">
        <v>6677.98</v>
      </c>
      <c r="AJ1026" s="11">
        <v>-30.869999999999891</v>
      </c>
      <c r="AK1026" s="11">
        <f>$J1026-SUM($Z1026:AJ1026)</f>
        <v>-2542.7399999999998</v>
      </c>
      <c r="AW1026" s="2509"/>
      <c r="BE1026" s="2173"/>
      <c r="BF1026" s="2173"/>
      <c r="BG1026" s="2173"/>
      <c r="BH1026" s="2173"/>
      <c r="BI1026" s="2173"/>
      <c r="BJ1026" s="2173"/>
      <c r="BK1026" s="2173"/>
      <c r="BN1026" s="820"/>
      <c r="BS1026" s="878"/>
      <c r="CG1026" s="878"/>
      <c r="DB1026" s="773"/>
      <c r="DC1026" s="773"/>
      <c r="DD1026" s="773"/>
      <c r="DE1026" s="773"/>
      <c r="DF1026" s="773"/>
      <c r="DG1026" s="773"/>
      <c r="DH1026" s="773"/>
      <c r="DI1026" s="773"/>
      <c r="DJ1026" s="773"/>
      <c r="DK1026" s="773"/>
      <c r="DL1026" s="773"/>
      <c r="DM1026" s="773"/>
      <c r="DN1026" s="773"/>
      <c r="DO1026" s="773"/>
      <c r="DP1026" s="773"/>
      <c r="DQ1026" s="773"/>
      <c r="DR1026" s="773"/>
      <c r="DS1026" s="773"/>
      <c r="DT1026" s="773"/>
      <c r="DU1026" s="773"/>
      <c r="DV1026" s="773"/>
      <c r="DW1026" s="773"/>
      <c r="DX1026" s="773"/>
      <c r="DY1026" s="773"/>
      <c r="DZ1026" s="773"/>
      <c r="EA1026" s="773"/>
      <c r="EB1026" s="773"/>
      <c r="EC1026" s="773"/>
      <c r="ED1026" s="773"/>
      <c r="EE1026" s="773"/>
      <c r="EF1026" s="773"/>
      <c r="EG1026" s="773"/>
      <c r="EH1026" s="773"/>
      <c r="EI1026" s="773"/>
      <c r="EJ1026" s="773"/>
      <c r="EK1026" s="773"/>
      <c r="EL1026" s="773"/>
      <c r="EM1026" s="773"/>
      <c r="EN1026" s="773"/>
      <c r="EO1026" s="773"/>
      <c r="EP1026" s="773"/>
      <c r="EQ1026" s="773"/>
      <c r="ER1026" s="773"/>
      <c r="ES1026" s="773"/>
      <c r="ET1026" s="773"/>
      <c r="EU1026" s="773"/>
      <c r="EV1026" s="773"/>
      <c r="EW1026" s="773"/>
      <c r="EX1026" s="773"/>
      <c r="EY1026" s="773"/>
      <c r="EZ1026" s="773"/>
      <c r="FA1026" s="773"/>
      <c r="FB1026" s="773"/>
      <c r="FC1026" s="773"/>
      <c r="FD1026" s="773"/>
      <c r="FE1026" s="773"/>
      <c r="FF1026" s="773"/>
      <c r="FG1026" s="773"/>
      <c r="FH1026" s="773"/>
      <c r="FI1026" s="773"/>
      <c r="FJ1026" s="773"/>
      <c r="FK1026" s="773"/>
      <c r="FL1026" s="773"/>
      <c r="FM1026" s="773"/>
      <c r="FN1026" s="773"/>
      <c r="FO1026" s="773"/>
      <c r="FP1026" s="773"/>
      <c r="FQ1026" s="773"/>
      <c r="FR1026" s="773"/>
      <c r="FS1026" s="773"/>
      <c r="FT1026" s="773"/>
      <c r="FU1026" s="773"/>
      <c r="FV1026" s="773"/>
      <c r="FW1026" s="773"/>
      <c r="FX1026" s="773"/>
      <c r="FY1026" s="773"/>
      <c r="FZ1026" s="773"/>
      <c r="GA1026" s="773"/>
      <c r="GB1026" s="773"/>
      <c r="GC1026" s="773"/>
      <c r="GD1026" s="773"/>
      <c r="GE1026" s="773"/>
      <c r="GF1026" s="773"/>
      <c r="GG1026" s="773"/>
      <c r="GH1026" s="773"/>
      <c r="GI1026" s="773"/>
      <c r="GJ1026" s="773"/>
      <c r="GK1026" s="773"/>
      <c r="GL1026" s="773"/>
      <c r="GM1026" s="773"/>
      <c r="GN1026" s="773"/>
      <c r="GO1026" s="773"/>
      <c r="GP1026" s="773"/>
      <c r="GQ1026" s="773"/>
      <c r="GR1026" s="773"/>
      <c r="GS1026" s="773"/>
      <c r="GT1026" s="773"/>
      <c r="GU1026" s="773"/>
      <c r="GV1026" s="773"/>
      <c r="GW1026" s="773"/>
      <c r="GX1026" s="773"/>
      <c r="GY1026" s="773"/>
      <c r="GZ1026" s="773"/>
    </row>
    <row r="1027" spans="1:208" s="11" customFormat="1">
      <c r="B1027" s="3763" t="s">
        <v>769</v>
      </c>
      <c r="C1027" s="197">
        <v>99010</v>
      </c>
      <c r="D1027" s="199" t="s">
        <v>1560</v>
      </c>
      <c r="E1027" s="798">
        <f>IFERROR(VLOOKUP(C1027,'AJE 12 - INC'!$D$168:$F$771,3,0),0)</f>
        <v>-300</v>
      </c>
      <c r="F1027" s="108">
        <f>SUMIF('AJE 12 - INC'!B:B,'New TB INC'!C1027,'AJE 12 - INC'!D:D)</f>
        <v>0</v>
      </c>
      <c r="G1027" s="769"/>
      <c r="H1027" s="769"/>
      <c r="I1027" s="769"/>
      <c r="J1027" s="798">
        <f t="shared" si="102"/>
        <v>-300</v>
      </c>
      <c r="K1027" s="209"/>
      <c r="L1027" s="434"/>
      <c r="M1027" s="854" t="s">
        <v>1561</v>
      </c>
      <c r="S1027" s="11">
        <v>0</v>
      </c>
      <c r="T1027" s="773">
        <v>0</v>
      </c>
      <c r="U1027" s="2173">
        <v>-867</v>
      </c>
      <c r="V1027" s="2509">
        <v>0</v>
      </c>
      <c r="W1027" s="2509">
        <v>0</v>
      </c>
      <c r="X1027" s="2509">
        <v>0</v>
      </c>
      <c r="Y1027" s="2509">
        <v>-147.25</v>
      </c>
      <c r="Z1027" s="11">
        <f>'[26]New TB INC'!Z964</f>
        <v>0</v>
      </c>
      <c r="AA1027" s="11">
        <f>'[27]New TB INC'!AA957</f>
        <v>0</v>
      </c>
      <c r="AB1027" s="11">
        <f>'[28]New TB INC'!AB961</f>
        <v>0</v>
      </c>
      <c r="AC1027" s="11">
        <f>'[29]New TB INC'!AC947</f>
        <v>0</v>
      </c>
      <c r="AD1027" s="11">
        <f>'[150]New TB INC'!AD951</f>
        <v>0</v>
      </c>
      <c r="AE1027" s="11">
        <f>'[150]New TB INC'!AE951</f>
        <v>0</v>
      </c>
      <c r="AF1027" s="11">
        <v>0</v>
      </c>
      <c r="AG1027" s="11">
        <v>0</v>
      </c>
      <c r="AH1027" s="11">
        <v>0</v>
      </c>
      <c r="AI1027" s="11">
        <v>0</v>
      </c>
      <c r="AJ1027" s="11">
        <v>0</v>
      </c>
      <c r="AK1027" s="11">
        <f>$J1027-SUM($Z1027:AJ1027)</f>
        <v>-300</v>
      </c>
      <c r="AW1027" s="2509"/>
      <c r="BE1027" s="2173"/>
      <c r="BF1027" s="2173"/>
      <c r="BG1027" s="2173"/>
      <c r="BH1027" s="2173"/>
      <c r="BI1027" s="2173"/>
      <c r="BJ1027" s="2173"/>
      <c r="BK1027" s="2173"/>
      <c r="BN1027" s="820"/>
      <c r="BS1027" s="878"/>
      <c r="CG1027" s="878"/>
      <c r="DB1027" s="773"/>
      <c r="DC1027" s="773"/>
      <c r="DD1027" s="773"/>
      <c r="DE1027" s="773"/>
      <c r="DF1027" s="773"/>
      <c r="DG1027" s="773"/>
      <c r="DH1027" s="773"/>
      <c r="DI1027" s="773"/>
      <c r="DJ1027" s="773"/>
      <c r="DK1027" s="773"/>
      <c r="DL1027" s="773"/>
      <c r="DM1027" s="773"/>
      <c r="DN1027" s="773"/>
      <c r="DO1027" s="773"/>
      <c r="DP1027" s="773"/>
      <c r="DQ1027" s="773"/>
      <c r="DR1027" s="773"/>
      <c r="DS1027" s="773"/>
      <c r="DT1027" s="773"/>
      <c r="DU1027" s="773"/>
      <c r="DV1027" s="773"/>
      <c r="DW1027" s="773"/>
      <c r="DX1027" s="773"/>
      <c r="DY1027" s="773"/>
      <c r="DZ1027" s="773"/>
      <c r="EA1027" s="773"/>
      <c r="EB1027" s="773"/>
      <c r="EC1027" s="773"/>
      <c r="ED1027" s="773"/>
      <c r="EE1027" s="773"/>
      <c r="EF1027" s="773"/>
      <c r="EG1027" s="773"/>
      <c r="EH1027" s="773"/>
      <c r="EI1027" s="773"/>
      <c r="EJ1027" s="773"/>
      <c r="EK1027" s="773"/>
      <c r="EL1027" s="773"/>
      <c r="EM1027" s="773"/>
      <c r="EN1027" s="773"/>
      <c r="EO1027" s="773"/>
      <c r="EP1027" s="773"/>
      <c r="EQ1027" s="773"/>
      <c r="ER1027" s="773"/>
      <c r="ES1027" s="773"/>
      <c r="ET1027" s="773"/>
      <c r="EU1027" s="773"/>
      <c r="EV1027" s="773"/>
      <c r="EW1027" s="773"/>
      <c r="EX1027" s="773"/>
      <c r="EY1027" s="773"/>
      <c r="EZ1027" s="773"/>
      <c r="FA1027" s="773"/>
      <c r="FB1027" s="773"/>
      <c r="FC1027" s="773"/>
      <c r="FD1027" s="773"/>
      <c r="FE1027" s="773"/>
      <c r="FF1027" s="773"/>
      <c r="FG1027" s="773"/>
      <c r="FH1027" s="773"/>
      <c r="FI1027" s="773"/>
      <c r="FJ1027" s="773"/>
      <c r="FK1027" s="773"/>
      <c r="FL1027" s="773"/>
      <c r="FM1027" s="773"/>
      <c r="FN1027" s="773"/>
      <c r="FO1027" s="773"/>
      <c r="FP1027" s="773"/>
      <c r="FQ1027" s="773"/>
      <c r="FR1027" s="773"/>
      <c r="FS1027" s="773"/>
      <c r="FT1027" s="773"/>
      <c r="FU1027" s="773"/>
      <c r="FV1027" s="773"/>
      <c r="FW1027" s="773"/>
      <c r="FX1027" s="773"/>
      <c r="FY1027" s="773"/>
      <c r="FZ1027" s="773"/>
      <c r="GA1027" s="773"/>
      <c r="GB1027" s="773"/>
      <c r="GC1027" s="773"/>
      <c r="GD1027" s="773"/>
      <c r="GE1027" s="773"/>
      <c r="GF1027" s="773"/>
      <c r="GG1027" s="773"/>
      <c r="GH1027" s="773"/>
      <c r="GI1027" s="773"/>
      <c r="GJ1027" s="773"/>
      <c r="GK1027" s="773"/>
      <c r="GL1027" s="773"/>
      <c r="GM1027" s="773"/>
      <c r="GN1027" s="773"/>
      <c r="GO1027" s="773"/>
      <c r="GP1027" s="773"/>
      <c r="GQ1027" s="773"/>
      <c r="GR1027" s="773"/>
      <c r="GS1027" s="773"/>
      <c r="GT1027" s="773"/>
      <c r="GU1027" s="773"/>
      <c r="GV1027" s="773"/>
      <c r="GW1027" s="773"/>
      <c r="GX1027" s="773"/>
      <c r="GY1027" s="773"/>
      <c r="GZ1027" s="773"/>
    </row>
    <row r="1028" spans="1:208" s="11" customFormat="1">
      <c r="B1028" s="3763" t="s">
        <v>769</v>
      </c>
      <c r="C1028" s="197">
        <v>9010006</v>
      </c>
      <c r="D1028" s="199" t="s">
        <v>495</v>
      </c>
      <c r="E1028" s="798">
        <f>IFERROR(VLOOKUP(C1028,'AJE 12 - INC'!$D$168:$F$771,3,0),0)</f>
        <v>-1485.48</v>
      </c>
      <c r="F1028" s="108">
        <f>SUMIF('AJE 12 - INC'!B:B,'New TB INC'!C1028,'AJE 12 - INC'!D:D)</f>
        <v>0</v>
      </c>
      <c r="G1028" s="769"/>
      <c r="H1028" s="769"/>
      <c r="I1028" s="769"/>
      <c r="J1028" s="798">
        <f t="shared" si="102"/>
        <v>-1485.48</v>
      </c>
      <c r="K1028" s="209"/>
      <c r="L1028" s="434"/>
      <c r="M1028" s="803"/>
      <c r="T1028" s="773">
        <v>0</v>
      </c>
      <c r="U1028" s="2173">
        <v>-746.81</v>
      </c>
      <c r="V1028" s="2509">
        <v>-4.5</v>
      </c>
      <c r="W1028" s="2509">
        <v>-1391.4099999999999</v>
      </c>
      <c r="X1028" s="2509">
        <v>-52.510000000000218</v>
      </c>
      <c r="Y1028" s="2509">
        <v>-115.48999999999978</v>
      </c>
      <c r="Z1028" s="11">
        <f>'[26]New TB INC'!Z965</f>
        <v>-149.36000000000001</v>
      </c>
      <c r="AA1028" s="11">
        <f>'[27]New TB INC'!AA958</f>
        <v>-131.52999999999997</v>
      </c>
      <c r="AB1028" s="11">
        <f>'[28]New TB INC'!AB962</f>
        <v>-97.889999999999986</v>
      </c>
      <c r="AC1028" s="11">
        <f>'[29]New TB INC'!AC948</f>
        <v>-219.5</v>
      </c>
      <c r="AD1028" s="11">
        <f>'[150]New TB INC'!AD952</f>
        <v>-182.26999999999998</v>
      </c>
      <c r="AE1028" s="11">
        <f>'[150]New TB INC'!AE952</f>
        <v>0</v>
      </c>
      <c r="AF1028" s="11">
        <v>-62.610000000000014</v>
      </c>
      <c r="AG1028" s="11">
        <v>0.61000000000001364</v>
      </c>
      <c r="AH1028" s="11">
        <v>-214.19000000000005</v>
      </c>
      <c r="AI1028" s="11">
        <v>-179.01</v>
      </c>
      <c r="AJ1028" s="11">
        <v>-127.11999999999989</v>
      </c>
      <c r="AK1028" s="11">
        <f>$J1028-SUM($Z1028:AJ1028)</f>
        <v>-122.61000000000013</v>
      </c>
      <c r="AW1028" s="2509"/>
      <c r="BE1028" s="2173"/>
      <c r="BF1028" s="2173"/>
      <c r="BG1028" s="2173"/>
      <c r="BH1028" s="2173"/>
      <c r="BI1028" s="2173"/>
      <c r="BJ1028" s="2173"/>
      <c r="BK1028" s="2173"/>
      <c r="BN1028" s="820"/>
      <c r="BS1028" s="878"/>
      <c r="CG1028" s="878"/>
      <c r="DB1028" s="773"/>
      <c r="DC1028" s="773"/>
      <c r="DD1028" s="773"/>
      <c r="DE1028" s="773"/>
      <c r="DF1028" s="773"/>
      <c r="DG1028" s="773"/>
      <c r="DH1028" s="773"/>
      <c r="DI1028" s="773"/>
      <c r="DJ1028" s="773"/>
      <c r="DK1028" s="773"/>
      <c r="DL1028" s="773"/>
      <c r="DM1028" s="773"/>
      <c r="DN1028" s="773"/>
      <c r="DO1028" s="773"/>
      <c r="DP1028" s="773"/>
      <c r="DQ1028" s="773"/>
      <c r="DR1028" s="773"/>
      <c r="DS1028" s="773"/>
      <c r="DT1028" s="773"/>
      <c r="DU1028" s="773"/>
      <c r="DV1028" s="773"/>
      <c r="DW1028" s="773"/>
      <c r="DX1028" s="773"/>
      <c r="DY1028" s="773"/>
      <c r="DZ1028" s="773"/>
      <c r="EA1028" s="773"/>
      <c r="EB1028" s="773"/>
      <c r="EC1028" s="773"/>
      <c r="ED1028" s="773"/>
      <c r="EE1028" s="773"/>
      <c r="EF1028" s="773"/>
      <c r="EG1028" s="773"/>
      <c r="EH1028" s="773"/>
      <c r="EI1028" s="773"/>
      <c r="EJ1028" s="773"/>
      <c r="EK1028" s="773"/>
      <c r="EL1028" s="773"/>
      <c r="EM1028" s="773"/>
      <c r="EN1028" s="773"/>
      <c r="EO1028" s="773"/>
      <c r="EP1028" s="773"/>
      <c r="EQ1028" s="773"/>
      <c r="ER1028" s="773"/>
      <c r="ES1028" s="773"/>
      <c r="ET1028" s="773"/>
      <c r="EU1028" s="773"/>
      <c r="EV1028" s="773"/>
      <c r="EW1028" s="773"/>
      <c r="EX1028" s="773"/>
      <c r="EY1028" s="773"/>
      <c r="EZ1028" s="773"/>
      <c r="FA1028" s="773"/>
      <c r="FB1028" s="773"/>
      <c r="FC1028" s="773"/>
      <c r="FD1028" s="773"/>
      <c r="FE1028" s="773"/>
      <c r="FF1028" s="773"/>
      <c r="FG1028" s="773"/>
      <c r="FH1028" s="773"/>
      <c r="FI1028" s="773"/>
      <c r="FJ1028" s="773"/>
      <c r="FK1028" s="773"/>
      <c r="FL1028" s="773"/>
      <c r="FM1028" s="773"/>
      <c r="FN1028" s="773"/>
      <c r="FO1028" s="773"/>
      <c r="FP1028" s="773"/>
      <c r="FQ1028" s="773"/>
      <c r="FR1028" s="773"/>
      <c r="FS1028" s="773"/>
      <c r="FT1028" s="773"/>
      <c r="FU1028" s="773"/>
      <c r="FV1028" s="773"/>
      <c r="FW1028" s="773"/>
      <c r="FX1028" s="773"/>
      <c r="FY1028" s="773"/>
      <c r="FZ1028" s="773"/>
      <c r="GA1028" s="773"/>
      <c r="GB1028" s="773"/>
      <c r="GC1028" s="773"/>
      <c r="GD1028" s="773"/>
      <c r="GE1028" s="773"/>
      <c r="GF1028" s="773"/>
      <c r="GG1028" s="773"/>
      <c r="GH1028" s="773"/>
      <c r="GI1028" s="773"/>
      <c r="GJ1028" s="773"/>
      <c r="GK1028" s="773"/>
      <c r="GL1028" s="773"/>
      <c r="GM1028" s="773"/>
      <c r="GN1028" s="773"/>
      <c r="GO1028" s="773"/>
      <c r="GP1028" s="773"/>
      <c r="GQ1028" s="773"/>
      <c r="GR1028" s="773"/>
      <c r="GS1028" s="773"/>
      <c r="GT1028" s="773"/>
      <c r="GU1028" s="773"/>
      <c r="GV1028" s="773"/>
      <c r="GW1028" s="773"/>
      <c r="GX1028" s="773"/>
      <c r="GY1028" s="773"/>
      <c r="GZ1028" s="773"/>
    </row>
    <row r="1029" spans="1:208" s="11" customFormat="1">
      <c r="A1029" s="774"/>
      <c r="B1029" s="3763"/>
      <c r="C1029" s="157"/>
      <c r="D1029" s="167"/>
      <c r="E1029" s="798">
        <f>IFERROR(VLOOKUP(C1029,'AJE 12 - INC'!$D$168:$F$771,3,0),0)</f>
        <v>0</v>
      </c>
      <c r="F1029" s="769"/>
      <c r="G1029" s="108"/>
      <c r="H1029" s="108"/>
      <c r="I1029" s="108"/>
      <c r="J1029" s="798"/>
      <c r="K1029" s="209"/>
      <c r="L1029" s="434"/>
      <c r="M1029" s="803"/>
      <c r="N1029" s="773"/>
      <c r="O1029" s="773"/>
      <c r="P1029" s="772"/>
      <c r="Q1029" s="772"/>
      <c r="R1029" s="772"/>
      <c r="S1029" s="772"/>
      <c r="T1029" s="773"/>
      <c r="Y1029" s="773"/>
      <c r="AW1029" s="2510"/>
      <c r="BC1029" s="2510"/>
      <c r="BD1029" s="2510"/>
      <c r="BE1029" s="2173"/>
      <c r="BF1029" s="2173"/>
      <c r="BG1029" s="2173"/>
      <c r="BH1029" s="2173"/>
      <c r="BI1029" s="2173"/>
      <c r="BJ1029" s="2173"/>
      <c r="BK1029" s="2173"/>
      <c r="BN1029" s="820"/>
      <c r="BS1029" s="878"/>
      <c r="CG1029" s="878"/>
      <c r="DB1029" s="773"/>
      <c r="DC1029" s="773"/>
      <c r="DD1029" s="773"/>
      <c r="DE1029" s="773"/>
      <c r="DF1029" s="773"/>
      <c r="DG1029" s="773"/>
      <c r="DH1029" s="773"/>
      <c r="DI1029" s="773"/>
      <c r="DJ1029" s="773"/>
      <c r="DK1029" s="773"/>
      <c r="DL1029" s="773"/>
      <c r="DM1029" s="773"/>
      <c r="DN1029" s="773"/>
      <c r="DO1029" s="773"/>
      <c r="DP1029" s="773"/>
      <c r="DQ1029" s="773"/>
      <c r="DR1029" s="773"/>
      <c r="DS1029" s="773"/>
      <c r="DT1029" s="773"/>
      <c r="DU1029" s="773"/>
      <c r="DV1029" s="773"/>
      <c r="DW1029" s="773"/>
      <c r="DX1029" s="773"/>
      <c r="DY1029" s="773"/>
      <c r="DZ1029" s="773"/>
      <c r="EA1029" s="773"/>
      <c r="EB1029" s="773"/>
      <c r="EC1029" s="773"/>
      <c r="ED1029" s="773"/>
      <c r="EE1029" s="773"/>
      <c r="EF1029" s="773"/>
      <c r="EG1029" s="773"/>
      <c r="EH1029" s="773"/>
      <c r="EI1029" s="773"/>
      <c r="EJ1029" s="773"/>
      <c r="EK1029" s="773"/>
      <c r="EL1029" s="773"/>
      <c r="EM1029" s="773"/>
      <c r="EN1029" s="773"/>
      <c r="EO1029" s="773"/>
      <c r="EP1029" s="773"/>
      <c r="EQ1029" s="773"/>
      <c r="ER1029" s="773"/>
      <c r="ES1029" s="773"/>
      <c r="ET1029" s="773"/>
      <c r="EU1029" s="773"/>
      <c r="EV1029" s="773"/>
      <c r="EW1029" s="773"/>
      <c r="EX1029" s="773"/>
      <c r="EY1029" s="773"/>
      <c r="EZ1029" s="773"/>
      <c r="FA1029" s="773"/>
      <c r="FB1029" s="773"/>
      <c r="FC1029" s="773"/>
      <c r="FD1029" s="773"/>
      <c r="FE1029" s="773"/>
      <c r="FF1029" s="773"/>
      <c r="FG1029" s="773"/>
      <c r="FH1029" s="773"/>
      <c r="FI1029" s="773"/>
      <c r="FJ1029" s="773"/>
      <c r="FK1029" s="773"/>
      <c r="FL1029" s="773"/>
      <c r="FM1029" s="773"/>
      <c r="FN1029" s="773"/>
      <c r="FO1029" s="773"/>
      <c r="FP1029" s="773"/>
      <c r="FQ1029" s="773"/>
      <c r="FR1029" s="773"/>
      <c r="FS1029" s="773"/>
      <c r="FT1029" s="773"/>
      <c r="FU1029" s="773"/>
      <c r="FV1029" s="773"/>
      <c r="FW1029" s="773"/>
      <c r="FX1029" s="773"/>
      <c r="FY1029" s="773"/>
      <c r="FZ1029" s="773"/>
      <c r="GA1029" s="773"/>
      <c r="GB1029" s="773"/>
      <c r="GC1029" s="773"/>
      <c r="GD1029" s="773"/>
      <c r="GE1029" s="773"/>
      <c r="GF1029" s="773"/>
      <c r="GG1029" s="773"/>
      <c r="GH1029" s="773"/>
      <c r="GI1029" s="773"/>
      <c r="GJ1029" s="773"/>
      <c r="GK1029" s="773"/>
      <c r="GL1029" s="773"/>
      <c r="GM1029" s="773"/>
      <c r="GN1029" s="773"/>
      <c r="GO1029" s="773"/>
      <c r="GP1029" s="773"/>
      <c r="GQ1029" s="773"/>
      <c r="GR1029" s="773"/>
      <c r="GS1029" s="773"/>
      <c r="GT1029" s="773"/>
      <c r="GU1029" s="773"/>
      <c r="GV1029" s="773"/>
      <c r="GW1029" s="773"/>
      <c r="GX1029" s="773"/>
      <c r="GY1029" s="773"/>
      <c r="GZ1029" s="773"/>
    </row>
    <row r="1030" spans="1:208" s="11" customFormat="1">
      <c r="A1030" s="780"/>
      <c r="B1030" s="3763"/>
      <c r="C1030" s="848"/>
      <c r="D1030" s="1967" t="s">
        <v>100</v>
      </c>
      <c r="E1030" s="1970">
        <f t="shared" ref="E1030:J1030" si="103">SUM(E1021:E1029)</f>
        <v>507224.42000000004</v>
      </c>
      <c r="F1030" s="1970">
        <f t="shared" si="103"/>
        <v>0</v>
      </c>
      <c r="G1030" s="1970">
        <f t="shared" si="103"/>
        <v>0</v>
      </c>
      <c r="H1030" s="1970">
        <f t="shared" si="103"/>
        <v>0</v>
      </c>
      <c r="I1030" s="1970">
        <f t="shared" si="103"/>
        <v>0</v>
      </c>
      <c r="J1030" s="1970">
        <f t="shared" si="103"/>
        <v>507224.42000000004</v>
      </c>
      <c r="K1030" s="209"/>
      <c r="L1030" s="434"/>
      <c r="M1030" s="803"/>
      <c r="N1030" s="773"/>
      <c r="O1030" s="773"/>
      <c r="P1030" s="772"/>
      <c r="Q1030" s="772"/>
      <c r="R1030" s="772"/>
      <c r="S1030" s="772"/>
      <c r="T1030" s="773"/>
      <c r="V1030" s="773"/>
      <c r="Y1030" s="773"/>
      <c r="AW1030" s="2510"/>
      <c r="BC1030" s="2510"/>
      <c r="BD1030" s="2510"/>
      <c r="BE1030" s="2173"/>
      <c r="BF1030" s="2173"/>
      <c r="BG1030" s="2173"/>
      <c r="BH1030" s="2173"/>
      <c r="BI1030" s="2173"/>
      <c r="BJ1030" s="2173"/>
      <c r="BK1030" s="2173"/>
      <c r="BN1030" s="820"/>
      <c r="BS1030" s="209"/>
      <c r="BT1030" s="209"/>
      <c r="BU1030" s="209"/>
      <c r="BV1030" s="209"/>
      <c r="BW1030" s="209"/>
      <c r="BX1030" s="209"/>
      <c r="BY1030" s="799"/>
      <c r="BZ1030" s="799"/>
      <c r="DB1030" s="773"/>
      <c r="DC1030" s="773"/>
      <c r="DD1030" s="773"/>
      <c r="DE1030" s="773"/>
      <c r="DF1030" s="773"/>
      <c r="DG1030" s="773"/>
      <c r="DH1030" s="773"/>
      <c r="DI1030" s="773"/>
      <c r="DJ1030" s="773"/>
      <c r="DK1030" s="773"/>
      <c r="DL1030" s="773"/>
      <c r="DM1030" s="773"/>
      <c r="DN1030" s="773"/>
      <c r="DO1030" s="773"/>
      <c r="DP1030" s="773"/>
      <c r="DQ1030" s="773"/>
      <c r="DR1030" s="773"/>
      <c r="DS1030" s="773"/>
      <c r="DT1030" s="773"/>
      <c r="DU1030" s="773"/>
      <c r="DV1030" s="773"/>
      <c r="DW1030" s="773"/>
      <c r="DX1030" s="773"/>
      <c r="DY1030" s="773"/>
      <c r="DZ1030" s="773"/>
      <c r="EA1030" s="773"/>
      <c r="EB1030" s="773"/>
      <c r="EC1030" s="773"/>
      <c r="ED1030" s="773"/>
      <c r="EE1030" s="773"/>
      <c r="EF1030" s="773"/>
      <c r="EG1030" s="773"/>
      <c r="EH1030" s="773"/>
      <c r="EI1030" s="773"/>
      <c r="EJ1030" s="773"/>
      <c r="EK1030" s="773"/>
      <c r="EL1030" s="773"/>
      <c r="EM1030" s="773"/>
      <c r="EN1030" s="773"/>
      <c r="EO1030" s="773"/>
      <c r="EP1030" s="773"/>
      <c r="EQ1030" s="773"/>
      <c r="ER1030" s="773"/>
      <c r="ES1030" s="773"/>
      <c r="ET1030" s="773"/>
      <c r="EU1030" s="773"/>
      <c r="EV1030" s="773"/>
      <c r="EW1030" s="773"/>
      <c r="EX1030" s="773"/>
      <c r="EY1030" s="773"/>
      <c r="EZ1030" s="773"/>
      <c r="FA1030" s="773"/>
      <c r="FB1030" s="773"/>
      <c r="FC1030" s="773"/>
      <c r="FD1030" s="773"/>
      <c r="FE1030" s="773"/>
      <c r="FF1030" s="773"/>
      <c r="FG1030" s="773"/>
      <c r="FH1030" s="773"/>
      <c r="FI1030" s="773"/>
      <c r="FJ1030" s="773"/>
      <c r="FK1030" s="773"/>
      <c r="FL1030" s="773"/>
      <c r="FM1030" s="773"/>
      <c r="FN1030" s="773"/>
      <c r="FO1030" s="773"/>
      <c r="FP1030" s="773"/>
      <c r="FQ1030" s="773"/>
      <c r="FR1030" s="773"/>
      <c r="FS1030" s="773"/>
      <c r="FT1030" s="773"/>
      <c r="FU1030" s="773"/>
      <c r="FV1030" s="773"/>
      <c r="FW1030" s="773"/>
      <c r="FX1030" s="773"/>
      <c r="FY1030" s="773"/>
      <c r="FZ1030" s="773"/>
      <c r="GA1030" s="773"/>
      <c r="GB1030" s="773"/>
      <c r="GC1030" s="773"/>
      <c r="GD1030" s="773"/>
      <c r="GE1030" s="773"/>
      <c r="GF1030" s="773"/>
      <c r="GG1030" s="773"/>
      <c r="GH1030" s="773"/>
      <c r="GI1030" s="773"/>
      <c r="GJ1030" s="773"/>
      <c r="GK1030" s="773"/>
      <c r="GL1030" s="773"/>
      <c r="GM1030" s="773"/>
      <c r="GN1030" s="773"/>
      <c r="GO1030" s="773"/>
      <c r="GP1030" s="773"/>
      <c r="GQ1030" s="773"/>
      <c r="GR1030" s="773"/>
      <c r="GS1030" s="773"/>
      <c r="GT1030" s="773"/>
      <c r="GU1030" s="773"/>
      <c r="GV1030" s="773"/>
      <c r="GW1030" s="773"/>
      <c r="GX1030" s="773"/>
      <c r="GY1030" s="773"/>
      <c r="GZ1030" s="773"/>
    </row>
    <row r="1031" spans="1:208" s="11" customFormat="1">
      <c r="A1031" s="774"/>
      <c r="B1031" s="3763"/>
      <c r="C1031" s="781"/>
      <c r="D1031" s="173"/>
      <c r="E1031" s="913"/>
      <c r="F1031" s="913"/>
      <c r="G1031" s="913"/>
      <c r="H1031" s="913"/>
      <c r="I1031" s="913"/>
      <c r="J1031" s="913"/>
      <c r="K1031" s="209"/>
      <c r="L1031" s="434"/>
      <c r="M1031" s="803"/>
      <c r="N1031" s="773"/>
      <c r="O1031" s="773"/>
      <c r="P1031" s="772"/>
      <c r="Q1031" s="772"/>
      <c r="R1031" s="772"/>
      <c r="S1031" s="772"/>
      <c r="T1031" s="773"/>
      <c r="Y1031" s="773"/>
      <c r="AW1031" s="2510"/>
      <c r="BC1031" s="2510"/>
      <c r="BD1031" s="2510"/>
      <c r="BE1031" s="2173"/>
      <c r="BF1031" s="2173"/>
      <c r="BG1031" s="2173"/>
      <c r="BH1031" s="2173"/>
      <c r="BI1031" s="2173"/>
      <c r="BJ1031" s="2173"/>
      <c r="BK1031" s="2173"/>
      <c r="BN1031" s="820"/>
      <c r="BR1031" s="209"/>
      <c r="BS1031" s="878"/>
      <c r="CG1031" s="878"/>
      <c r="DB1031" s="773"/>
      <c r="DC1031" s="773"/>
      <c r="DD1031" s="773"/>
      <c r="DE1031" s="773"/>
      <c r="DF1031" s="773"/>
      <c r="DG1031" s="773"/>
      <c r="DH1031" s="773"/>
      <c r="DI1031" s="773"/>
      <c r="DJ1031" s="773"/>
      <c r="DK1031" s="773"/>
      <c r="DL1031" s="773"/>
      <c r="DM1031" s="773"/>
      <c r="DN1031" s="773"/>
      <c r="DO1031" s="773"/>
      <c r="DP1031" s="773"/>
      <c r="DQ1031" s="773"/>
      <c r="DR1031" s="773"/>
      <c r="DS1031" s="773"/>
      <c r="DT1031" s="773"/>
      <c r="DU1031" s="773"/>
      <c r="DV1031" s="773"/>
      <c r="DW1031" s="773"/>
      <c r="DX1031" s="773"/>
      <c r="DY1031" s="773"/>
      <c r="DZ1031" s="773"/>
      <c r="EA1031" s="773"/>
      <c r="EB1031" s="773"/>
      <c r="EC1031" s="773"/>
      <c r="ED1031" s="773"/>
      <c r="EE1031" s="773"/>
      <c r="EF1031" s="773"/>
      <c r="EG1031" s="773"/>
      <c r="EH1031" s="773"/>
      <c r="EI1031" s="773"/>
      <c r="EJ1031" s="773"/>
      <c r="EK1031" s="773"/>
      <c r="EL1031" s="773"/>
      <c r="EM1031" s="773"/>
      <c r="EN1031" s="773"/>
      <c r="EO1031" s="773"/>
      <c r="EP1031" s="773"/>
      <c r="EQ1031" s="773"/>
      <c r="ER1031" s="773"/>
      <c r="ES1031" s="773"/>
      <c r="ET1031" s="773"/>
      <c r="EU1031" s="773"/>
      <c r="EV1031" s="773"/>
      <c r="EW1031" s="773"/>
      <c r="EX1031" s="773"/>
      <c r="EY1031" s="773"/>
      <c r="EZ1031" s="773"/>
      <c r="FA1031" s="773"/>
      <c r="FB1031" s="773"/>
      <c r="FC1031" s="773"/>
      <c r="FD1031" s="773"/>
      <c r="FE1031" s="773"/>
      <c r="FF1031" s="773"/>
      <c r="FG1031" s="773"/>
      <c r="FH1031" s="773"/>
      <c r="FI1031" s="773"/>
      <c r="FJ1031" s="773"/>
      <c r="FK1031" s="773"/>
      <c r="FL1031" s="773"/>
      <c r="FM1031" s="773"/>
      <c r="FN1031" s="773"/>
      <c r="FO1031" s="773"/>
      <c r="FP1031" s="773"/>
      <c r="FQ1031" s="773"/>
      <c r="FR1031" s="773"/>
      <c r="FS1031" s="773"/>
      <c r="FT1031" s="773"/>
      <c r="FU1031" s="773"/>
      <c r="FV1031" s="773"/>
      <c r="FW1031" s="773"/>
      <c r="FX1031" s="773"/>
      <c r="FY1031" s="773"/>
      <c r="FZ1031" s="773"/>
      <c r="GA1031" s="773"/>
      <c r="GB1031" s="773"/>
      <c r="GC1031" s="773"/>
      <c r="GD1031" s="773"/>
      <c r="GE1031" s="773"/>
      <c r="GF1031" s="773"/>
      <c r="GG1031" s="773"/>
      <c r="GH1031" s="773"/>
      <c r="GI1031" s="773"/>
      <c r="GJ1031" s="773"/>
      <c r="GK1031" s="773"/>
      <c r="GL1031" s="773"/>
      <c r="GM1031" s="773"/>
      <c r="GN1031" s="773"/>
      <c r="GO1031" s="773"/>
      <c r="GP1031" s="773"/>
      <c r="GQ1031" s="773"/>
      <c r="GR1031" s="773"/>
      <c r="GS1031" s="773"/>
      <c r="GT1031" s="773"/>
      <c r="GU1031" s="773"/>
      <c r="GV1031" s="773"/>
      <c r="GW1031" s="773"/>
      <c r="GX1031" s="773"/>
      <c r="GY1031" s="773"/>
      <c r="GZ1031" s="773"/>
    </row>
    <row r="1032" spans="1:208" s="11" customFormat="1" ht="13.5" thickBot="1">
      <c r="A1032" s="774"/>
      <c r="B1032" s="766"/>
      <c r="C1032" s="781"/>
      <c r="D1032" s="173"/>
      <c r="E1032" s="769"/>
      <c r="F1032" s="827"/>
      <c r="G1032" s="827"/>
      <c r="H1032" s="827"/>
      <c r="I1032" s="827"/>
      <c r="J1032" s="769"/>
      <c r="K1032" s="209"/>
      <c r="L1032" s="434"/>
      <c r="M1032" s="803"/>
      <c r="N1032" s="773"/>
      <c r="O1032" s="773"/>
      <c r="P1032" s="772"/>
      <c r="Q1032" s="772"/>
      <c r="R1032" s="772"/>
      <c r="S1032" s="772"/>
      <c r="T1032" s="773"/>
      <c r="Y1032" s="773"/>
      <c r="AW1032" s="2510"/>
      <c r="BC1032" s="2510"/>
      <c r="BD1032" s="2510"/>
      <c r="BE1032" s="2173"/>
      <c r="BF1032" s="2173"/>
      <c r="BG1032" s="2173"/>
      <c r="BH1032" s="2173"/>
      <c r="BI1032" s="2173"/>
      <c r="BJ1032" s="2173"/>
      <c r="BK1032" s="2173"/>
      <c r="BN1032" s="820"/>
      <c r="BQ1032" s="209"/>
      <c r="BS1032" s="878"/>
      <c r="CG1032" s="878"/>
      <c r="DB1032" s="773"/>
      <c r="DC1032" s="773"/>
      <c r="DD1032" s="773"/>
      <c r="DE1032" s="773"/>
      <c r="DF1032" s="773"/>
      <c r="DG1032" s="773"/>
      <c r="DH1032" s="773"/>
      <c r="DI1032" s="773"/>
      <c r="DJ1032" s="773"/>
      <c r="DK1032" s="773"/>
      <c r="DL1032" s="773"/>
      <c r="DM1032" s="773"/>
      <c r="DN1032" s="773"/>
      <c r="DO1032" s="773"/>
      <c r="DP1032" s="773"/>
      <c r="DQ1032" s="773"/>
      <c r="DR1032" s="773"/>
      <c r="DS1032" s="773"/>
      <c r="DT1032" s="773"/>
      <c r="DU1032" s="773"/>
      <c r="DV1032" s="773"/>
      <c r="DW1032" s="773"/>
      <c r="DX1032" s="773"/>
      <c r="DY1032" s="773"/>
      <c r="DZ1032" s="773"/>
      <c r="EA1032" s="773"/>
      <c r="EB1032" s="773"/>
      <c r="EC1032" s="773"/>
      <c r="ED1032" s="773"/>
      <c r="EE1032" s="773"/>
      <c r="EF1032" s="773"/>
      <c r="EG1032" s="773"/>
      <c r="EH1032" s="773"/>
      <c r="EI1032" s="773"/>
      <c r="EJ1032" s="773"/>
      <c r="EK1032" s="773"/>
      <c r="EL1032" s="773"/>
      <c r="EM1032" s="773"/>
      <c r="EN1032" s="773"/>
      <c r="EO1032" s="773"/>
      <c r="EP1032" s="773"/>
      <c r="EQ1032" s="773"/>
      <c r="ER1032" s="773"/>
      <c r="ES1032" s="773"/>
      <c r="ET1032" s="773"/>
      <c r="EU1032" s="773"/>
      <c r="EV1032" s="773"/>
      <c r="EW1032" s="773"/>
      <c r="EX1032" s="773"/>
      <c r="EY1032" s="773"/>
      <c r="EZ1032" s="773"/>
      <c r="FA1032" s="773"/>
      <c r="FB1032" s="773"/>
      <c r="FC1032" s="773"/>
      <c r="FD1032" s="773"/>
      <c r="FE1032" s="773"/>
      <c r="FF1032" s="773"/>
      <c r="FG1032" s="773"/>
      <c r="FH1032" s="773"/>
      <c r="FI1032" s="773"/>
      <c r="FJ1032" s="773"/>
      <c r="FK1032" s="773"/>
      <c r="FL1032" s="773"/>
      <c r="FM1032" s="773"/>
      <c r="FN1032" s="773"/>
      <c r="FO1032" s="773"/>
      <c r="FP1032" s="773"/>
      <c r="FQ1032" s="773"/>
      <c r="FR1032" s="773"/>
      <c r="FS1032" s="773"/>
      <c r="FT1032" s="773"/>
      <c r="FU1032" s="773"/>
      <c r="FV1032" s="773"/>
      <c r="FW1032" s="773"/>
      <c r="FX1032" s="773"/>
      <c r="FY1032" s="773"/>
      <c r="FZ1032" s="773"/>
      <c r="GA1032" s="773"/>
      <c r="GB1032" s="773"/>
      <c r="GC1032" s="773"/>
      <c r="GD1032" s="773"/>
      <c r="GE1032" s="773"/>
      <c r="GF1032" s="773"/>
      <c r="GG1032" s="773"/>
      <c r="GH1032" s="773"/>
      <c r="GI1032" s="773"/>
      <c r="GJ1032" s="773"/>
      <c r="GK1032" s="773"/>
      <c r="GL1032" s="773"/>
      <c r="GM1032" s="773"/>
      <c r="GN1032" s="773"/>
      <c r="GO1032" s="773"/>
      <c r="GP1032" s="773"/>
      <c r="GQ1032" s="773"/>
      <c r="GR1032" s="773"/>
      <c r="GS1032" s="773"/>
      <c r="GT1032" s="773"/>
      <c r="GU1032" s="773"/>
      <c r="GV1032" s="773"/>
      <c r="GW1032" s="773"/>
      <c r="GX1032" s="773"/>
      <c r="GY1032" s="773"/>
      <c r="GZ1032" s="773"/>
    </row>
    <row r="1033" spans="1:208" s="11" customFormat="1">
      <c r="A1033" s="774"/>
      <c r="B1033" s="766"/>
      <c r="C1033" s="781"/>
      <c r="D1033" s="176" t="s">
        <v>101</v>
      </c>
      <c r="E1033" s="109">
        <f t="shared" ref="E1033:J1033" si="104">E1037+E452</f>
        <v>0</v>
      </c>
      <c r="F1033" s="109">
        <f t="shared" si="104"/>
        <v>0</v>
      </c>
      <c r="G1033" s="109">
        <f t="shared" si="104"/>
        <v>0</v>
      </c>
      <c r="H1033" s="109">
        <f t="shared" si="104"/>
        <v>0</v>
      </c>
      <c r="I1033" s="109">
        <f t="shared" si="104"/>
        <v>0</v>
      </c>
      <c r="J1033" s="109">
        <f t="shared" si="104"/>
        <v>-3.7252902984619141E-9</v>
      </c>
      <c r="K1033" s="209"/>
      <c r="L1033" s="434"/>
      <c r="M1033" s="803"/>
      <c r="N1033" s="773"/>
      <c r="O1033" s="773"/>
      <c r="P1033" s="772"/>
      <c r="Q1033" s="772"/>
      <c r="R1033" s="772"/>
      <c r="S1033" s="772"/>
      <c r="T1033" s="773"/>
      <c r="Y1033" s="773"/>
      <c r="AW1033" s="2510"/>
      <c r="BC1033" s="2510"/>
      <c r="BD1033" s="2510"/>
      <c r="BE1033" s="2173"/>
      <c r="BF1033" s="2173"/>
      <c r="BG1033" s="2173"/>
      <c r="BH1033" s="2173"/>
      <c r="BI1033" s="2173"/>
      <c r="BJ1033" s="2173"/>
      <c r="BK1033" s="2173"/>
      <c r="BN1033" s="820"/>
      <c r="BS1033" s="878"/>
      <c r="CG1033" s="878"/>
      <c r="DB1033" s="773"/>
      <c r="DC1033" s="773"/>
      <c r="DD1033" s="773"/>
      <c r="DE1033" s="773"/>
      <c r="DF1033" s="773"/>
      <c r="DG1033" s="773"/>
      <c r="DH1033" s="773"/>
      <c r="DI1033" s="773"/>
      <c r="DJ1033" s="773"/>
      <c r="DK1033" s="773"/>
      <c r="DL1033" s="773"/>
      <c r="DM1033" s="773"/>
      <c r="DN1033" s="773"/>
      <c r="DO1033" s="773"/>
      <c r="DP1033" s="773"/>
      <c r="DQ1033" s="773"/>
      <c r="DR1033" s="773"/>
      <c r="DS1033" s="773"/>
      <c r="DT1033" s="773"/>
      <c r="DU1033" s="773"/>
      <c r="DV1033" s="773"/>
      <c r="DW1033" s="773"/>
      <c r="DX1033" s="773"/>
      <c r="DY1033" s="773"/>
      <c r="DZ1033" s="773"/>
      <c r="EA1033" s="773"/>
      <c r="EB1033" s="773"/>
      <c r="EC1033" s="773"/>
      <c r="ED1033" s="773"/>
      <c r="EE1033" s="773"/>
      <c r="EF1033" s="773"/>
      <c r="EG1033" s="773"/>
      <c r="EH1033" s="773"/>
      <c r="EI1033" s="773"/>
      <c r="EJ1033" s="773"/>
      <c r="EK1033" s="773"/>
      <c r="EL1033" s="773"/>
      <c r="EM1033" s="773"/>
      <c r="EN1033" s="773"/>
      <c r="EO1033" s="773"/>
      <c r="EP1033" s="773"/>
      <c r="EQ1033" s="773"/>
      <c r="ER1033" s="773"/>
      <c r="ES1033" s="773"/>
      <c r="ET1033" s="773"/>
      <c r="EU1033" s="773"/>
      <c r="EV1033" s="773"/>
      <c r="EW1033" s="773"/>
      <c r="EX1033" s="773"/>
      <c r="EY1033" s="773"/>
      <c r="EZ1033" s="773"/>
      <c r="FA1033" s="773"/>
      <c r="FB1033" s="773"/>
      <c r="FC1033" s="773"/>
      <c r="FD1033" s="773"/>
      <c r="FE1033" s="773"/>
      <c r="FF1033" s="773"/>
      <c r="FG1033" s="773"/>
      <c r="FH1033" s="773"/>
      <c r="FI1033" s="773"/>
      <c r="FJ1033" s="773"/>
      <c r="FK1033" s="773"/>
      <c r="FL1033" s="773"/>
      <c r="FM1033" s="773"/>
      <c r="FN1033" s="773"/>
      <c r="FO1033" s="773"/>
      <c r="FP1033" s="773"/>
      <c r="FQ1033" s="773"/>
      <c r="FR1033" s="773"/>
      <c r="FS1033" s="773"/>
      <c r="FT1033" s="773"/>
      <c r="FU1033" s="773"/>
      <c r="FV1033" s="773"/>
      <c r="FW1033" s="773"/>
      <c r="FX1033" s="773"/>
      <c r="FY1033" s="773"/>
      <c r="FZ1033" s="773"/>
      <c r="GA1033" s="773"/>
      <c r="GB1033" s="773"/>
      <c r="GC1033" s="773"/>
      <c r="GD1033" s="773"/>
      <c r="GE1033" s="773"/>
      <c r="GF1033" s="773"/>
      <c r="GG1033" s="773"/>
      <c r="GH1033" s="773"/>
      <c r="GI1033" s="773"/>
      <c r="GJ1033" s="773"/>
      <c r="GK1033" s="773"/>
      <c r="GL1033" s="773"/>
      <c r="GM1033" s="773"/>
      <c r="GN1033" s="773"/>
      <c r="GO1033" s="773"/>
      <c r="GP1033" s="773"/>
      <c r="GQ1033" s="773"/>
      <c r="GR1033" s="773"/>
      <c r="GS1033" s="773"/>
      <c r="GT1033" s="773"/>
      <c r="GU1033" s="773"/>
      <c r="GV1033" s="773"/>
      <c r="GW1033" s="773"/>
      <c r="GX1033" s="773"/>
      <c r="GY1033" s="773"/>
      <c r="GZ1033" s="773"/>
    </row>
    <row r="1034" spans="1:208" s="11" customFormat="1" ht="13.5" thickBot="1">
      <c r="A1034" s="774"/>
      <c r="B1034" s="766"/>
      <c r="C1034" s="781"/>
      <c r="D1034" s="173"/>
      <c r="E1034" s="110">
        <f>E1033/2</f>
        <v>0</v>
      </c>
      <c r="F1034" s="110">
        <f>F1033/2</f>
        <v>0</v>
      </c>
      <c r="G1034" s="110"/>
      <c r="H1034" s="110">
        <f>H1033/2</f>
        <v>0</v>
      </c>
      <c r="I1034" s="110"/>
      <c r="J1034" s="110"/>
      <c r="K1034" s="209"/>
      <c r="L1034" s="434"/>
      <c r="M1034" s="803"/>
      <c r="N1034" s="773"/>
      <c r="O1034" s="773"/>
      <c r="P1034" s="772"/>
      <c r="Q1034" s="772"/>
      <c r="R1034" s="772"/>
      <c r="S1034" s="772"/>
      <c r="T1034" s="773"/>
      <c r="Y1034" s="773"/>
      <c r="AW1034" s="2510"/>
      <c r="BC1034" s="2510"/>
      <c r="BD1034" s="2510"/>
      <c r="BE1034" s="2173"/>
      <c r="BF1034" s="2173"/>
      <c r="BG1034" s="2173"/>
      <c r="BH1034" s="2173"/>
      <c r="BI1034" s="2173"/>
      <c r="BJ1034" s="2173"/>
      <c r="BK1034" s="2173"/>
      <c r="BN1034" s="820"/>
      <c r="BS1034" s="878"/>
      <c r="DB1034" s="773"/>
      <c r="DC1034" s="773"/>
      <c r="DD1034" s="773"/>
      <c r="DE1034" s="773"/>
      <c r="DF1034" s="773"/>
      <c r="DG1034" s="773"/>
      <c r="DH1034" s="773"/>
      <c r="DI1034" s="773"/>
      <c r="DJ1034" s="773"/>
      <c r="DK1034" s="773"/>
      <c r="DL1034" s="773"/>
      <c r="DM1034" s="773"/>
      <c r="DN1034" s="773"/>
      <c r="DO1034" s="773"/>
      <c r="DP1034" s="773"/>
      <c r="DQ1034" s="773"/>
      <c r="DR1034" s="773"/>
      <c r="DS1034" s="773"/>
      <c r="DT1034" s="773"/>
      <c r="DU1034" s="773"/>
      <c r="DV1034" s="773"/>
      <c r="DW1034" s="773"/>
      <c r="DX1034" s="773"/>
      <c r="DY1034" s="773"/>
      <c r="DZ1034" s="773"/>
      <c r="EA1034" s="773"/>
      <c r="EB1034" s="773"/>
      <c r="EC1034" s="773"/>
      <c r="ED1034" s="773"/>
      <c r="EE1034" s="773"/>
      <c r="EF1034" s="773"/>
      <c r="EG1034" s="773"/>
      <c r="EH1034" s="773"/>
      <c r="EI1034" s="773"/>
      <c r="EJ1034" s="773"/>
      <c r="EK1034" s="773"/>
      <c r="EL1034" s="773"/>
      <c r="EM1034" s="773"/>
      <c r="EN1034" s="773"/>
      <c r="EO1034" s="773"/>
      <c r="EP1034" s="773"/>
      <c r="EQ1034" s="773"/>
      <c r="ER1034" s="773"/>
      <c r="ES1034" s="773"/>
      <c r="ET1034" s="773"/>
      <c r="EU1034" s="773"/>
      <c r="EV1034" s="773"/>
      <c r="EW1034" s="773"/>
      <c r="EX1034" s="773"/>
      <c r="EY1034" s="773"/>
      <c r="EZ1034" s="773"/>
      <c r="FA1034" s="773"/>
      <c r="FB1034" s="773"/>
      <c r="FC1034" s="773"/>
      <c r="FD1034" s="773"/>
      <c r="FE1034" s="773"/>
      <c r="FF1034" s="773"/>
      <c r="FG1034" s="773"/>
      <c r="FH1034" s="773"/>
      <c r="FI1034" s="773"/>
      <c r="FJ1034" s="773"/>
      <c r="FK1034" s="773"/>
      <c r="FL1034" s="773"/>
      <c r="FM1034" s="773"/>
      <c r="FN1034" s="773"/>
      <c r="FO1034" s="773"/>
      <c r="FP1034" s="773"/>
      <c r="FQ1034" s="773"/>
      <c r="FR1034" s="773"/>
      <c r="FS1034" s="773"/>
      <c r="FT1034" s="773"/>
      <c r="FU1034" s="773"/>
      <c r="FV1034" s="773"/>
      <c r="FW1034" s="773"/>
      <c r="FX1034" s="773"/>
      <c r="FY1034" s="773"/>
      <c r="FZ1034" s="773"/>
      <c r="GA1034" s="773"/>
      <c r="GB1034" s="773"/>
      <c r="GC1034" s="773"/>
      <c r="GD1034" s="773"/>
      <c r="GE1034" s="773"/>
      <c r="GF1034" s="773"/>
      <c r="GG1034" s="773"/>
      <c r="GH1034" s="773"/>
      <c r="GI1034" s="773"/>
      <c r="GJ1034" s="773"/>
      <c r="GK1034" s="773"/>
      <c r="GL1034" s="773"/>
      <c r="GM1034" s="773"/>
      <c r="GN1034" s="773"/>
      <c r="GO1034" s="773"/>
      <c r="GP1034" s="773"/>
      <c r="GQ1034" s="773"/>
      <c r="GR1034" s="773"/>
      <c r="GS1034" s="773"/>
      <c r="GT1034" s="773"/>
      <c r="GU1034" s="773"/>
      <c r="GV1034" s="773"/>
      <c r="GW1034" s="773"/>
      <c r="GX1034" s="773"/>
      <c r="GY1034" s="773"/>
      <c r="GZ1034" s="773"/>
    </row>
    <row r="1035" spans="1:208" s="11" customFormat="1">
      <c r="A1035" s="774"/>
      <c r="B1035" s="766"/>
      <c r="C1035" s="767"/>
      <c r="D1035" s="173"/>
      <c r="E1035" s="769"/>
      <c r="F1035" s="769"/>
      <c r="G1035" s="769"/>
      <c r="H1035" s="769"/>
      <c r="I1035" s="769"/>
      <c r="J1035" s="769"/>
      <c r="K1035" s="209"/>
      <c r="L1035" s="434"/>
      <c r="M1035" s="771"/>
      <c r="N1035" s="773"/>
      <c r="O1035" s="773"/>
      <c r="P1035" s="772"/>
      <c r="Q1035" s="772"/>
      <c r="R1035" s="772"/>
      <c r="S1035" s="772"/>
      <c r="T1035" s="773"/>
      <c r="Y1035" s="773"/>
      <c r="AW1035" s="2510"/>
      <c r="BC1035" s="2510"/>
      <c r="BD1035" s="2510"/>
      <c r="BE1035" s="2173"/>
      <c r="BF1035" s="2173"/>
      <c r="BG1035" s="2173"/>
      <c r="BH1035" s="2173"/>
      <c r="BI1035" s="2173"/>
      <c r="BJ1035" s="2173"/>
      <c r="BK1035" s="2173"/>
      <c r="BN1035" s="820"/>
      <c r="BS1035" s="878"/>
      <c r="CG1035" s="878"/>
      <c r="DB1035" s="773"/>
      <c r="DC1035" s="773"/>
      <c r="DD1035" s="773"/>
      <c r="DE1035" s="773"/>
      <c r="DF1035" s="773"/>
      <c r="DG1035" s="773"/>
      <c r="DH1035" s="773"/>
      <c r="DI1035" s="773"/>
      <c r="DJ1035" s="773"/>
      <c r="DK1035" s="773"/>
      <c r="DL1035" s="773"/>
      <c r="DM1035" s="773"/>
      <c r="DN1035" s="773"/>
      <c r="DO1035" s="773"/>
      <c r="DP1035" s="773"/>
      <c r="DQ1035" s="773"/>
      <c r="DR1035" s="773"/>
      <c r="DS1035" s="773"/>
      <c r="DT1035" s="773"/>
      <c r="DU1035" s="773"/>
      <c r="DV1035" s="773"/>
      <c r="DW1035" s="773"/>
      <c r="DX1035" s="773"/>
      <c r="DY1035" s="773"/>
      <c r="DZ1035" s="773"/>
      <c r="EA1035" s="773"/>
      <c r="EB1035" s="773"/>
      <c r="EC1035" s="773"/>
      <c r="ED1035" s="773"/>
      <c r="EE1035" s="773"/>
      <c r="EF1035" s="773"/>
      <c r="EG1035" s="773"/>
      <c r="EH1035" s="773"/>
      <c r="EI1035" s="773"/>
      <c r="EJ1035" s="773"/>
      <c r="EK1035" s="773"/>
      <c r="EL1035" s="773"/>
      <c r="EM1035" s="773"/>
      <c r="EN1035" s="773"/>
      <c r="EO1035" s="773"/>
      <c r="EP1035" s="773"/>
      <c r="EQ1035" s="773"/>
      <c r="ER1035" s="773"/>
      <c r="ES1035" s="773"/>
      <c r="ET1035" s="773"/>
      <c r="EU1035" s="773"/>
      <c r="EV1035" s="773"/>
      <c r="EW1035" s="773"/>
      <c r="EX1035" s="773"/>
      <c r="EY1035" s="773"/>
      <c r="EZ1035" s="773"/>
      <c r="FA1035" s="773"/>
      <c r="FB1035" s="773"/>
      <c r="FC1035" s="773"/>
      <c r="FD1035" s="773"/>
      <c r="FE1035" s="773"/>
      <c r="FF1035" s="773"/>
      <c r="FG1035" s="773"/>
      <c r="FH1035" s="773"/>
      <c r="FI1035" s="773"/>
      <c r="FJ1035" s="773"/>
      <c r="FK1035" s="773"/>
      <c r="FL1035" s="773"/>
      <c r="FM1035" s="773"/>
      <c r="FN1035" s="773"/>
      <c r="FO1035" s="773"/>
      <c r="FP1035" s="773"/>
      <c r="FQ1035" s="773"/>
      <c r="FR1035" s="773"/>
      <c r="FS1035" s="773"/>
      <c r="FT1035" s="773"/>
      <c r="FU1035" s="773"/>
      <c r="FV1035" s="773"/>
      <c r="FW1035" s="773"/>
      <c r="FX1035" s="773"/>
      <c r="FY1035" s="773"/>
      <c r="FZ1035" s="773"/>
      <c r="GA1035" s="773"/>
      <c r="GB1035" s="773"/>
      <c r="GC1035" s="773"/>
      <c r="GD1035" s="773"/>
      <c r="GE1035" s="773"/>
      <c r="GF1035" s="773"/>
      <c r="GG1035" s="773"/>
      <c r="GH1035" s="773"/>
      <c r="GI1035" s="773"/>
      <c r="GJ1035" s="773"/>
      <c r="GK1035" s="773"/>
      <c r="GL1035" s="773"/>
      <c r="GM1035" s="773"/>
      <c r="GN1035" s="773"/>
      <c r="GO1035" s="773"/>
      <c r="GP1035" s="773"/>
      <c r="GQ1035" s="773"/>
      <c r="GR1035" s="773"/>
      <c r="GS1035" s="773"/>
      <c r="GT1035" s="773"/>
      <c r="GU1035" s="773"/>
      <c r="GV1035" s="773"/>
      <c r="GW1035" s="773"/>
      <c r="GX1035" s="773"/>
      <c r="GY1035" s="773"/>
      <c r="GZ1035" s="773"/>
    </row>
    <row r="1036" spans="1:208" s="11" customFormat="1">
      <c r="A1036" s="774"/>
      <c r="B1036" s="766"/>
      <c r="C1036" s="781"/>
      <c r="D1036" s="173"/>
      <c r="E1036" s="769"/>
      <c r="F1036" s="769"/>
      <c r="G1036" s="769"/>
      <c r="H1036" s="769"/>
      <c r="I1036" s="769"/>
      <c r="J1036" s="796"/>
      <c r="K1036" s="209"/>
      <c r="L1036" s="860"/>
      <c r="M1036" s="805"/>
      <c r="N1036" s="773"/>
      <c r="O1036" s="773"/>
      <c r="P1036" s="772"/>
      <c r="Q1036" s="772"/>
      <c r="R1036" s="772"/>
      <c r="S1036" s="772"/>
      <c r="T1036" s="773"/>
      <c r="Y1036" s="773"/>
      <c r="AW1036" s="2510"/>
      <c r="BC1036" s="2510"/>
      <c r="BD1036" s="2510"/>
      <c r="BE1036" s="2173"/>
      <c r="BF1036" s="2173"/>
      <c r="BG1036" s="2173"/>
      <c r="BH1036" s="2173"/>
      <c r="BI1036" s="2173"/>
      <c r="BJ1036" s="2173"/>
      <c r="BK1036" s="2173"/>
      <c r="BN1036" s="820"/>
      <c r="BS1036" s="878"/>
      <c r="DB1036" s="773"/>
      <c r="DC1036" s="773"/>
      <c r="DD1036" s="773"/>
      <c r="DE1036" s="773"/>
      <c r="DF1036" s="773"/>
      <c r="DG1036" s="773"/>
      <c r="DH1036" s="773"/>
      <c r="DI1036" s="773"/>
      <c r="DJ1036" s="773"/>
      <c r="DK1036" s="773"/>
      <c r="DL1036" s="773"/>
      <c r="DM1036" s="773"/>
      <c r="DN1036" s="773"/>
      <c r="DO1036" s="773"/>
      <c r="DP1036" s="773"/>
      <c r="DQ1036" s="773"/>
      <c r="DR1036" s="773"/>
      <c r="DS1036" s="773"/>
      <c r="DT1036" s="773"/>
      <c r="DU1036" s="773"/>
      <c r="DV1036" s="773"/>
      <c r="DW1036" s="773"/>
      <c r="DX1036" s="773"/>
      <c r="DY1036" s="773"/>
      <c r="DZ1036" s="773"/>
      <c r="EA1036" s="773"/>
      <c r="EB1036" s="773"/>
      <c r="EC1036" s="773"/>
      <c r="ED1036" s="773"/>
      <c r="EE1036" s="773"/>
      <c r="EF1036" s="773"/>
      <c r="EG1036" s="773"/>
      <c r="EH1036" s="773"/>
      <c r="EI1036" s="773"/>
      <c r="EJ1036" s="773"/>
      <c r="EK1036" s="773"/>
      <c r="EL1036" s="773"/>
      <c r="EM1036" s="773"/>
      <c r="EN1036" s="773"/>
      <c r="EO1036" s="773"/>
      <c r="EP1036" s="773"/>
      <c r="EQ1036" s="773"/>
      <c r="ER1036" s="773"/>
      <c r="ES1036" s="773"/>
      <c r="ET1036" s="773"/>
      <c r="EU1036" s="773"/>
      <c r="EV1036" s="773"/>
      <c r="EW1036" s="773"/>
      <c r="EX1036" s="773"/>
      <c r="EY1036" s="773"/>
      <c r="EZ1036" s="773"/>
      <c r="FA1036" s="773"/>
      <c r="FB1036" s="773"/>
      <c r="FC1036" s="773"/>
      <c r="FD1036" s="773"/>
      <c r="FE1036" s="773"/>
      <c r="FF1036" s="773"/>
      <c r="FG1036" s="773"/>
      <c r="FH1036" s="773"/>
      <c r="FI1036" s="773"/>
      <c r="FJ1036" s="773"/>
      <c r="FK1036" s="773"/>
      <c r="FL1036" s="773"/>
      <c r="FM1036" s="773"/>
      <c r="FN1036" s="773"/>
      <c r="FO1036" s="773"/>
      <c r="FP1036" s="773"/>
      <c r="FQ1036" s="773"/>
      <c r="FR1036" s="773"/>
      <c r="FS1036" s="773"/>
      <c r="FT1036" s="773"/>
      <c r="FU1036" s="773"/>
      <c r="FV1036" s="773"/>
      <c r="FW1036" s="773"/>
      <c r="FX1036" s="773"/>
      <c r="FY1036" s="773"/>
      <c r="FZ1036" s="773"/>
      <c r="GA1036" s="773"/>
      <c r="GB1036" s="773"/>
      <c r="GC1036" s="773"/>
      <c r="GD1036" s="773"/>
      <c r="GE1036" s="773"/>
      <c r="GF1036" s="773"/>
      <c r="GG1036" s="773"/>
      <c r="GH1036" s="773"/>
      <c r="GI1036" s="773"/>
      <c r="GJ1036" s="773"/>
      <c r="GK1036" s="773"/>
      <c r="GL1036" s="773"/>
      <c r="GM1036" s="773"/>
      <c r="GN1036" s="773"/>
      <c r="GO1036" s="773"/>
      <c r="GP1036" s="773"/>
      <c r="GQ1036" s="773"/>
      <c r="GR1036" s="773"/>
      <c r="GS1036" s="773"/>
      <c r="GT1036" s="773"/>
      <c r="GU1036" s="773"/>
      <c r="GV1036" s="773"/>
      <c r="GW1036" s="773"/>
      <c r="GX1036" s="773"/>
      <c r="GY1036" s="773"/>
      <c r="GZ1036" s="773"/>
    </row>
    <row r="1037" spans="1:208" s="11" customFormat="1">
      <c r="A1037" s="774"/>
      <c r="B1037" s="766"/>
      <c r="C1037" s="781"/>
      <c r="D1037" s="173"/>
      <c r="E1037" s="769">
        <f t="shared" ref="E1037:J1037" si="105">E1030+E1019+E1002+E727+E581+E484+E623</f>
        <v>-3138056.8800000027</v>
      </c>
      <c r="F1037" s="769">
        <f t="shared" si="105"/>
        <v>12844.785416020302</v>
      </c>
      <c r="G1037" s="769">
        <f t="shared" si="105"/>
        <v>0</v>
      </c>
      <c r="H1037" s="769">
        <f t="shared" si="105"/>
        <v>0</v>
      </c>
      <c r="I1037" s="769">
        <f t="shared" si="105"/>
        <v>0</v>
      </c>
      <c r="J1037" s="769">
        <f t="shared" si="105"/>
        <v>-3125212.0945839845</v>
      </c>
      <c r="K1037" s="1962"/>
      <c r="L1037" s="166" t="e">
        <f>L453+#REF!+#REF!+#REF!+L1022+L1031</f>
        <v>#REF!</v>
      </c>
      <c r="M1037" s="335" t="s">
        <v>457</v>
      </c>
      <c r="N1037" s="773"/>
      <c r="O1037" s="773"/>
      <c r="P1037" s="772"/>
      <c r="Q1037" s="772"/>
      <c r="R1037" s="772"/>
      <c r="S1037" s="772"/>
      <c r="T1037" s="773"/>
      <c r="AW1037" s="2510"/>
      <c r="BC1037" s="2510"/>
      <c r="BD1037" s="2510"/>
      <c r="BE1037" s="2173"/>
      <c r="BF1037" s="2173"/>
      <c r="BG1037" s="2173"/>
      <c r="BH1037" s="2173"/>
      <c r="BI1037" s="2173"/>
      <c r="BJ1037" s="2173"/>
      <c r="BK1037" s="2173"/>
      <c r="BN1037" s="820"/>
      <c r="DB1037" s="773"/>
      <c r="DC1037" s="773"/>
      <c r="DD1037" s="773"/>
      <c r="DE1037" s="773"/>
      <c r="DF1037" s="773"/>
      <c r="DG1037" s="773"/>
      <c r="DH1037" s="773"/>
      <c r="DI1037" s="773"/>
      <c r="DJ1037" s="773"/>
      <c r="DK1037" s="773"/>
      <c r="DL1037" s="773"/>
      <c r="DM1037" s="773"/>
      <c r="DN1037" s="773"/>
      <c r="DO1037" s="773"/>
      <c r="DP1037" s="773"/>
      <c r="DQ1037" s="773"/>
      <c r="DR1037" s="773"/>
      <c r="DS1037" s="773"/>
      <c r="DT1037" s="773"/>
      <c r="DU1037" s="773"/>
      <c r="DV1037" s="773"/>
      <c r="DW1037" s="773"/>
      <c r="DX1037" s="773"/>
      <c r="DY1037" s="773"/>
      <c r="DZ1037" s="773"/>
      <c r="EA1037" s="773"/>
      <c r="EB1037" s="773"/>
      <c r="EC1037" s="773"/>
      <c r="ED1037" s="773"/>
      <c r="EE1037" s="773"/>
      <c r="EF1037" s="773"/>
      <c r="EG1037" s="773"/>
      <c r="EH1037" s="773"/>
      <c r="EI1037" s="773"/>
      <c r="EJ1037" s="773"/>
      <c r="EK1037" s="773"/>
      <c r="EL1037" s="773"/>
      <c r="EM1037" s="773"/>
      <c r="EN1037" s="773"/>
      <c r="EO1037" s="773"/>
      <c r="EP1037" s="773"/>
      <c r="EQ1037" s="773"/>
      <c r="ER1037" s="773"/>
      <c r="ES1037" s="773"/>
      <c r="ET1037" s="773"/>
      <c r="EU1037" s="773"/>
      <c r="EV1037" s="773"/>
      <c r="EW1037" s="773"/>
      <c r="EX1037" s="773"/>
      <c r="EY1037" s="773"/>
      <c r="EZ1037" s="773"/>
      <c r="FA1037" s="773"/>
      <c r="FB1037" s="773"/>
      <c r="FC1037" s="773"/>
      <c r="FD1037" s="773"/>
      <c r="FE1037" s="773"/>
      <c r="FF1037" s="773"/>
      <c r="FG1037" s="773"/>
      <c r="FH1037" s="773"/>
      <c r="FI1037" s="773"/>
      <c r="FJ1037" s="773"/>
      <c r="FK1037" s="773"/>
      <c r="FL1037" s="773"/>
      <c r="FM1037" s="773"/>
      <c r="FN1037" s="773"/>
      <c r="FO1037" s="773"/>
      <c r="FP1037" s="773"/>
      <c r="FQ1037" s="773"/>
      <c r="FR1037" s="773"/>
      <c r="FS1037" s="773"/>
      <c r="FT1037" s="773"/>
      <c r="FU1037" s="773"/>
      <c r="FV1037" s="773"/>
      <c r="FW1037" s="773"/>
      <c r="FX1037" s="773"/>
      <c r="FY1037" s="773"/>
      <c r="FZ1037" s="773"/>
      <c r="GA1037" s="773"/>
      <c r="GB1037" s="773"/>
      <c r="GC1037" s="773"/>
      <c r="GD1037" s="773"/>
      <c r="GE1037" s="773"/>
      <c r="GF1037" s="773"/>
      <c r="GG1037" s="773"/>
      <c r="GH1037" s="773"/>
      <c r="GI1037" s="773"/>
      <c r="GJ1037" s="773"/>
      <c r="GK1037" s="773"/>
      <c r="GL1037" s="773"/>
      <c r="GM1037" s="773"/>
      <c r="GN1037" s="773"/>
      <c r="GO1037" s="773"/>
      <c r="GP1037" s="773"/>
      <c r="GQ1037" s="773"/>
      <c r="GR1037" s="773"/>
      <c r="GS1037" s="773"/>
      <c r="GT1037" s="773"/>
      <c r="GU1037" s="773"/>
      <c r="GV1037" s="773"/>
      <c r="GW1037" s="773"/>
      <c r="GX1037" s="773"/>
      <c r="GY1037" s="773"/>
      <c r="GZ1037" s="773"/>
    </row>
    <row r="1038" spans="1:208" s="11" customFormat="1">
      <c r="A1038" s="774"/>
      <c r="B1038" s="766"/>
      <c r="C1038" s="781"/>
      <c r="D1038" s="173"/>
      <c r="E1038" s="769"/>
      <c r="F1038" s="769"/>
      <c r="G1038" s="769"/>
      <c r="H1038" s="769"/>
      <c r="I1038" s="769"/>
      <c r="J1038" s="796"/>
      <c r="K1038" s="209"/>
      <c r="L1038" s="860"/>
      <c r="M1038" s="805"/>
      <c r="N1038" s="773"/>
      <c r="O1038" s="773"/>
      <c r="P1038" s="772"/>
      <c r="Q1038" s="772"/>
      <c r="R1038" s="772"/>
      <c r="S1038" s="772"/>
      <c r="T1038" s="773"/>
      <c r="V1038" s="773"/>
      <c r="X1038" s="773"/>
      <c r="AW1038" s="2510"/>
      <c r="BC1038" s="2510"/>
      <c r="BD1038" s="2510"/>
      <c r="BE1038" s="2173"/>
      <c r="BF1038" s="2173"/>
      <c r="BG1038" s="2173"/>
      <c r="BH1038" s="2173"/>
      <c r="BI1038" s="2173"/>
      <c r="BJ1038" s="2173"/>
      <c r="BK1038" s="2173"/>
      <c r="BN1038" s="820"/>
      <c r="DB1038" s="773"/>
      <c r="DC1038" s="773"/>
      <c r="DD1038" s="773"/>
      <c r="DE1038" s="773"/>
      <c r="DF1038" s="773"/>
      <c r="DG1038" s="773"/>
      <c r="DH1038" s="773"/>
      <c r="DI1038" s="773"/>
      <c r="DJ1038" s="773"/>
      <c r="DK1038" s="773"/>
      <c r="DL1038" s="773"/>
      <c r="DM1038" s="773"/>
      <c r="DN1038" s="773"/>
      <c r="DO1038" s="773"/>
      <c r="DP1038" s="773"/>
      <c r="DQ1038" s="773"/>
      <c r="DR1038" s="773"/>
      <c r="DS1038" s="773"/>
      <c r="DT1038" s="773"/>
      <c r="DU1038" s="773"/>
      <c r="DV1038" s="773"/>
      <c r="DW1038" s="773"/>
      <c r="DX1038" s="773"/>
      <c r="DY1038" s="773"/>
      <c r="DZ1038" s="773"/>
      <c r="EA1038" s="773"/>
      <c r="EB1038" s="773"/>
      <c r="EC1038" s="773"/>
      <c r="ED1038" s="773"/>
      <c r="EE1038" s="773"/>
      <c r="EF1038" s="773"/>
      <c r="EG1038" s="773"/>
      <c r="EH1038" s="773"/>
      <c r="EI1038" s="773"/>
      <c r="EJ1038" s="773"/>
      <c r="EK1038" s="773"/>
      <c r="EL1038" s="773"/>
      <c r="EM1038" s="773"/>
      <c r="EN1038" s="773"/>
      <c r="EO1038" s="773"/>
      <c r="EP1038" s="773"/>
      <c r="EQ1038" s="773"/>
      <c r="ER1038" s="773"/>
      <c r="ES1038" s="773"/>
      <c r="ET1038" s="773"/>
      <c r="EU1038" s="773"/>
      <c r="EV1038" s="773"/>
      <c r="EW1038" s="773"/>
      <c r="EX1038" s="773"/>
      <c r="EY1038" s="773"/>
      <c r="EZ1038" s="773"/>
      <c r="FA1038" s="773"/>
      <c r="FB1038" s="773"/>
      <c r="FC1038" s="773"/>
      <c r="FD1038" s="773"/>
      <c r="FE1038" s="773"/>
      <c r="FF1038" s="773"/>
      <c r="FG1038" s="773"/>
      <c r="FH1038" s="773"/>
      <c r="FI1038" s="773"/>
      <c r="FJ1038" s="773"/>
      <c r="FK1038" s="773"/>
      <c r="FL1038" s="773"/>
      <c r="FM1038" s="773"/>
      <c r="FN1038" s="773"/>
      <c r="FO1038" s="773"/>
      <c r="FP1038" s="773"/>
      <c r="FQ1038" s="773"/>
      <c r="FR1038" s="773"/>
      <c r="FS1038" s="773"/>
      <c r="FT1038" s="773"/>
      <c r="FU1038" s="773"/>
      <c r="FV1038" s="773"/>
      <c r="FW1038" s="773"/>
      <c r="FX1038" s="773"/>
      <c r="FY1038" s="773"/>
      <c r="FZ1038" s="773"/>
      <c r="GA1038" s="773"/>
      <c r="GB1038" s="773"/>
      <c r="GC1038" s="773"/>
      <c r="GD1038" s="773"/>
      <c r="GE1038" s="773"/>
      <c r="GF1038" s="773"/>
      <c r="GG1038" s="773"/>
      <c r="GH1038" s="773"/>
      <c r="GI1038" s="773"/>
      <c r="GJ1038" s="773"/>
      <c r="GK1038" s="773"/>
      <c r="GL1038" s="773"/>
      <c r="GM1038" s="773"/>
      <c r="GN1038" s="773"/>
      <c r="GO1038" s="773"/>
      <c r="GP1038" s="773"/>
      <c r="GQ1038" s="773"/>
      <c r="GR1038" s="773"/>
      <c r="GS1038" s="773"/>
      <c r="GT1038" s="773"/>
      <c r="GU1038" s="773"/>
      <c r="GV1038" s="773"/>
      <c r="GW1038" s="773"/>
      <c r="GX1038" s="773"/>
      <c r="GY1038" s="773"/>
      <c r="GZ1038" s="773"/>
    </row>
    <row r="1039" spans="1:208" s="11" customFormat="1">
      <c r="A1039" s="774"/>
      <c r="B1039" s="766"/>
      <c r="C1039" s="781"/>
      <c r="D1039" s="173"/>
      <c r="E1039" s="769"/>
      <c r="F1039" s="769"/>
      <c r="G1039" s="769"/>
      <c r="H1039" s="769"/>
      <c r="I1039" s="769"/>
      <c r="J1039" s="796"/>
      <c r="K1039" s="209"/>
      <c r="L1039" s="860"/>
      <c r="M1039" s="805"/>
      <c r="N1039" s="773"/>
      <c r="O1039" s="773"/>
      <c r="P1039" s="772"/>
      <c r="Q1039" s="772"/>
      <c r="R1039" s="772"/>
      <c r="S1039" s="772"/>
      <c r="T1039" s="773"/>
      <c r="V1039" s="773"/>
      <c r="AW1039" s="2510"/>
      <c r="BC1039" s="2510"/>
      <c r="BD1039" s="2510"/>
      <c r="BE1039" s="2173"/>
      <c r="BF1039" s="2173"/>
      <c r="BG1039" s="2173"/>
      <c r="BH1039" s="2173"/>
      <c r="BI1039" s="2173"/>
      <c r="BJ1039" s="2173"/>
      <c r="BK1039" s="2173"/>
      <c r="BN1039" s="820"/>
      <c r="DB1039" s="773"/>
      <c r="DC1039" s="773"/>
      <c r="DD1039" s="773"/>
      <c r="DE1039" s="773"/>
      <c r="DF1039" s="773"/>
      <c r="DG1039" s="773"/>
      <c r="DH1039" s="773"/>
      <c r="DI1039" s="773"/>
      <c r="DJ1039" s="773"/>
      <c r="DK1039" s="773"/>
      <c r="DL1039" s="773"/>
      <c r="DM1039" s="773"/>
      <c r="DN1039" s="773"/>
      <c r="DO1039" s="773"/>
      <c r="DP1039" s="773"/>
      <c r="DQ1039" s="773"/>
      <c r="DR1039" s="773"/>
      <c r="DS1039" s="773"/>
      <c r="DT1039" s="773"/>
      <c r="DU1039" s="773"/>
      <c r="DV1039" s="773"/>
      <c r="DW1039" s="773"/>
      <c r="DX1039" s="773"/>
      <c r="DY1039" s="773"/>
      <c r="DZ1039" s="773"/>
      <c r="EA1039" s="773"/>
      <c r="EB1039" s="773"/>
      <c r="EC1039" s="773"/>
      <c r="ED1039" s="773"/>
      <c r="EE1039" s="773"/>
      <c r="EF1039" s="773"/>
      <c r="EG1039" s="773"/>
      <c r="EH1039" s="773"/>
      <c r="EI1039" s="773"/>
      <c r="EJ1039" s="773"/>
      <c r="EK1039" s="773"/>
      <c r="EL1039" s="773"/>
      <c r="EM1039" s="773"/>
      <c r="EN1039" s="773"/>
      <c r="EO1039" s="773"/>
      <c r="EP1039" s="773"/>
      <c r="EQ1039" s="773"/>
      <c r="ER1039" s="773"/>
      <c r="ES1039" s="773"/>
      <c r="ET1039" s="773"/>
      <c r="EU1039" s="773"/>
      <c r="EV1039" s="773"/>
      <c r="EW1039" s="773"/>
      <c r="EX1039" s="773"/>
      <c r="EY1039" s="773"/>
      <c r="EZ1039" s="773"/>
      <c r="FA1039" s="773"/>
      <c r="FB1039" s="773"/>
      <c r="FC1039" s="773"/>
      <c r="FD1039" s="773"/>
      <c r="FE1039" s="773"/>
      <c r="FF1039" s="773"/>
      <c r="FG1039" s="773"/>
      <c r="FH1039" s="773"/>
      <c r="FI1039" s="773"/>
      <c r="FJ1039" s="773"/>
      <c r="FK1039" s="773"/>
      <c r="FL1039" s="773"/>
      <c r="FM1039" s="773"/>
      <c r="FN1039" s="773"/>
      <c r="FO1039" s="773"/>
      <c r="FP1039" s="773"/>
      <c r="FQ1039" s="773"/>
      <c r="FR1039" s="773"/>
      <c r="FS1039" s="773"/>
      <c r="FT1039" s="773"/>
      <c r="FU1039" s="773"/>
      <c r="FV1039" s="773"/>
      <c r="FW1039" s="773"/>
      <c r="FX1039" s="773"/>
      <c r="FY1039" s="773"/>
      <c r="FZ1039" s="773"/>
      <c r="GA1039" s="773"/>
      <c r="GB1039" s="773"/>
      <c r="GC1039" s="773"/>
      <c r="GD1039" s="773"/>
      <c r="GE1039" s="773"/>
      <c r="GF1039" s="773"/>
      <c r="GG1039" s="773"/>
      <c r="GH1039" s="773"/>
      <c r="GI1039" s="773"/>
      <c r="GJ1039" s="773"/>
      <c r="GK1039" s="773"/>
      <c r="GL1039" s="773"/>
      <c r="GM1039" s="773"/>
      <c r="GN1039" s="773"/>
      <c r="GO1039" s="773"/>
      <c r="GP1039" s="773"/>
      <c r="GQ1039" s="773"/>
      <c r="GR1039" s="773"/>
      <c r="GS1039" s="773"/>
      <c r="GT1039" s="773"/>
      <c r="GU1039" s="773"/>
      <c r="GV1039" s="773"/>
      <c r="GW1039" s="773"/>
      <c r="GX1039" s="773"/>
      <c r="GY1039" s="773"/>
      <c r="GZ1039" s="773"/>
    </row>
    <row r="1040" spans="1:208" s="11" customFormat="1">
      <c r="A1040" s="774"/>
      <c r="B1040" s="766"/>
      <c r="C1040" s="781"/>
      <c r="D1040" s="173"/>
      <c r="E1040" s="769"/>
      <c r="F1040" s="769"/>
      <c r="G1040" s="769"/>
      <c r="H1040" s="769"/>
      <c r="I1040" s="769"/>
      <c r="J1040" s="796"/>
      <c r="K1040" s="209"/>
      <c r="L1040" s="860"/>
      <c r="M1040" s="805"/>
      <c r="N1040" s="773"/>
      <c r="O1040" s="773"/>
      <c r="P1040" s="772"/>
      <c r="Q1040" s="772"/>
      <c r="R1040" s="772"/>
      <c r="S1040" s="772"/>
      <c r="T1040" s="773"/>
      <c r="V1040" s="773"/>
      <c r="AW1040" s="2510"/>
      <c r="BC1040" s="2510"/>
      <c r="BD1040" s="2510"/>
      <c r="BE1040" s="2173"/>
      <c r="BF1040" s="2173"/>
      <c r="BG1040" s="2173"/>
      <c r="BH1040" s="2173"/>
      <c r="BI1040" s="2173"/>
      <c r="BJ1040" s="2173"/>
      <c r="BK1040" s="2173"/>
      <c r="BN1040" s="820"/>
      <c r="DB1040" s="773"/>
      <c r="DC1040" s="773"/>
      <c r="DD1040" s="773"/>
      <c r="DE1040" s="773"/>
      <c r="DF1040" s="773"/>
      <c r="DG1040" s="773"/>
      <c r="DH1040" s="773"/>
      <c r="DI1040" s="773"/>
      <c r="DJ1040" s="773"/>
      <c r="DK1040" s="773"/>
      <c r="DL1040" s="773"/>
      <c r="DM1040" s="773"/>
      <c r="DN1040" s="773"/>
      <c r="DO1040" s="773"/>
      <c r="DP1040" s="773"/>
      <c r="DQ1040" s="773"/>
      <c r="DR1040" s="773"/>
      <c r="DS1040" s="773"/>
      <c r="DT1040" s="773"/>
      <c r="DU1040" s="773"/>
      <c r="DV1040" s="773"/>
      <c r="DW1040" s="773"/>
      <c r="DX1040" s="773"/>
      <c r="DY1040" s="773"/>
      <c r="DZ1040" s="773"/>
      <c r="EA1040" s="773"/>
      <c r="EB1040" s="773"/>
      <c r="EC1040" s="773"/>
      <c r="ED1040" s="773"/>
      <c r="EE1040" s="773"/>
      <c r="EF1040" s="773"/>
      <c r="EG1040" s="773"/>
      <c r="EH1040" s="773"/>
      <c r="EI1040" s="773"/>
      <c r="EJ1040" s="773"/>
      <c r="EK1040" s="773"/>
      <c r="EL1040" s="773"/>
      <c r="EM1040" s="773"/>
      <c r="EN1040" s="773"/>
      <c r="EO1040" s="773"/>
      <c r="EP1040" s="773"/>
      <c r="EQ1040" s="773"/>
      <c r="ER1040" s="773"/>
      <c r="ES1040" s="773"/>
      <c r="ET1040" s="773"/>
      <c r="EU1040" s="773"/>
      <c r="EV1040" s="773"/>
      <c r="EW1040" s="773"/>
      <c r="EX1040" s="773"/>
      <c r="EY1040" s="773"/>
      <c r="EZ1040" s="773"/>
      <c r="FA1040" s="773"/>
      <c r="FB1040" s="773"/>
      <c r="FC1040" s="773"/>
      <c r="FD1040" s="773"/>
      <c r="FE1040" s="773"/>
      <c r="FF1040" s="773"/>
      <c r="FG1040" s="773"/>
      <c r="FH1040" s="773"/>
      <c r="FI1040" s="773"/>
      <c r="FJ1040" s="773"/>
      <c r="FK1040" s="773"/>
      <c r="FL1040" s="773"/>
      <c r="FM1040" s="773"/>
      <c r="FN1040" s="773"/>
      <c r="FO1040" s="773"/>
      <c r="FP1040" s="773"/>
      <c r="FQ1040" s="773"/>
      <c r="FR1040" s="773"/>
      <c r="FS1040" s="773"/>
      <c r="FT1040" s="773"/>
      <c r="FU1040" s="773"/>
      <c r="FV1040" s="773"/>
      <c r="FW1040" s="773"/>
      <c r="FX1040" s="773"/>
      <c r="FY1040" s="773"/>
      <c r="FZ1040" s="773"/>
      <c r="GA1040" s="773"/>
      <c r="GB1040" s="773"/>
      <c r="GC1040" s="773"/>
      <c r="GD1040" s="773"/>
      <c r="GE1040" s="773"/>
      <c r="GF1040" s="773"/>
      <c r="GG1040" s="773"/>
      <c r="GH1040" s="773"/>
      <c r="GI1040" s="773"/>
      <c r="GJ1040" s="773"/>
      <c r="GK1040" s="773"/>
      <c r="GL1040" s="773"/>
      <c r="GM1040" s="773"/>
      <c r="GN1040" s="773"/>
      <c r="GO1040" s="773"/>
      <c r="GP1040" s="773"/>
      <c r="GQ1040" s="773"/>
      <c r="GR1040" s="773"/>
      <c r="GS1040" s="773"/>
      <c r="GT1040" s="773"/>
      <c r="GU1040" s="773"/>
      <c r="GV1040" s="773"/>
      <c r="GW1040" s="773"/>
      <c r="GX1040" s="773"/>
      <c r="GY1040" s="773"/>
      <c r="GZ1040" s="773"/>
    </row>
    <row r="1041" spans="1:208" s="11" customFormat="1" ht="13.5" thickBot="1">
      <c r="A1041" s="914"/>
      <c r="B1041" s="766"/>
      <c r="C1041" s="781"/>
      <c r="D1041" s="173"/>
      <c r="E1041" s="769"/>
      <c r="F1041" s="769"/>
      <c r="G1041" s="769"/>
      <c r="H1041" s="769"/>
      <c r="I1041" s="769"/>
      <c r="J1041" s="796"/>
      <c r="K1041" s="209"/>
      <c r="L1041" s="860"/>
      <c r="M1041" s="805"/>
      <c r="N1041" s="773"/>
      <c r="O1041" s="773"/>
      <c r="P1041" s="772"/>
      <c r="Q1041" s="772"/>
      <c r="R1041" s="772"/>
      <c r="S1041" s="772"/>
      <c r="T1041" s="773"/>
      <c r="V1041" s="773"/>
      <c r="W1041" s="773"/>
      <c r="AV1041" s="773"/>
      <c r="AW1041" s="2520"/>
      <c r="BA1041" s="799"/>
      <c r="BB1041" s="799"/>
      <c r="BC1041" s="2520"/>
      <c r="BD1041" s="2520"/>
      <c r="BE1041" s="2173"/>
      <c r="BF1041" s="2173"/>
      <c r="BG1041" s="2173"/>
      <c r="BH1041" s="2173"/>
      <c r="BI1041" s="2173"/>
      <c r="BJ1041" s="2173"/>
      <c r="BK1041" s="2173"/>
      <c r="BL1041" s="799"/>
      <c r="BM1041" s="799"/>
      <c r="BN1041" s="820"/>
      <c r="DB1041" s="773"/>
      <c r="DC1041" s="773"/>
      <c r="DD1041" s="773"/>
      <c r="DE1041" s="773"/>
      <c r="DF1041" s="773"/>
      <c r="DG1041" s="773"/>
      <c r="DH1041" s="773"/>
      <c r="DI1041" s="773"/>
      <c r="DJ1041" s="773"/>
      <c r="DK1041" s="773"/>
      <c r="DL1041" s="773"/>
      <c r="DM1041" s="773"/>
      <c r="DN1041" s="773"/>
      <c r="DO1041" s="773"/>
      <c r="DP1041" s="773"/>
      <c r="DQ1041" s="773"/>
      <c r="DR1041" s="773"/>
      <c r="DS1041" s="773"/>
      <c r="DT1041" s="773"/>
      <c r="DU1041" s="773"/>
      <c r="DV1041" s="773"/>
      <c r="DW1041" s="773"/>
      <c r="DX1041" s="773"/>
      <c r="DY1041" s="773"/>
      <c r="DZ1041" s="773"/>
      <c r="EA1041" s="773"/>
      <c r="EB1041" s="773"/>
      <c r="EC1041" s="773"/>
      <c r="ED1041" s="773"/>
      <c r="EE1041" s="773"/>
      <c r="EF1041" s="773"/>
      <c r="EG1041" s="773"/>
      <c r="EH1041" s="773"/>
      <c r="EI1041" s="773"/>
      <c r="EJ1041" s="773"/>
      <c r="EK1041" s="773"/>
      <c r="EL1041" s="773"/>
      <c r="EM1041" s="773"/>
      <c r="EN1041" s="773"/>
      <c r="EO1041" s="773"/>
      <c r="EP1041" s="773"/>
      <c r="EQ1041" s="773"/>
      <c r="ER1041" s="773"/>
      <c r="ES1041" s="773"/>
      <c r="ET1041" s="773"/>
      <c r="EU1041" s="773"/>
      <c r="EV1041" s="773"/>
      <c r="EW1041" s="773"/>
      <c r="EX1041" s="773"/>
      <c r="EY1041" s="773"/>
      <c r="EZ1041" s="773"/>
      <c r="FA1041" s="773"/>
      <c r="FB1041" s="773"/>
      <c r="FC1041" s="773"/>
      <c r="FD1041" s="773"/>
      <c r="FE1041" s="773"/>
      <c r="FF1041" s="773"/>
      <c r="FG1041" s="773"/>
      <c r="FH1041" s="773"/>
      <c r="FI1041" s="773"/>
      <c r="FJ1041" s="773"/>
      <c r="FK1041" s="773"/>
      <c r="FL1041" s="773"/>
      <c r="FM1041" s="773"/>
      <c r="FN1041" s="773"/>
      <c r="FO1041" s="773"/>
      <c r="FP1041" s="773"/>
      <c r="FQ1041" s="773"/>
      <c r="FR1041" s="773"/>
      <c r="FS1041" s="773"/>
      <c r="FT1041" s="773"/>
      <c r="FU1041" s="773"/>
      <c r="FV1041" s="773"/>
      <c r="FW1041" s="773"/>
      <c r="FX1041" s="773"/>
      <c r="FY1041" s="773"/>
      <c r="FZ1041" s="773"/>
      <c r="GA1041" s="773"/>
      <c r="GB1041" s="773"/>
      <c r="GC1041" s="773"/>
      <c r="GD1041" s="773"/>
      <c r="GE1041" s="773"/>
      <c r="GF1041" s="773"/>
      <c r="GG1041" s="773"/>
      <c r="GH1041" s="773"/>
      <c r="GI1041" s="773"/>
      <c r="GJ1041" s="773"/>
      <c r="GK1041" s="773"/>
      <c r="GL1041" s="773"/>
      <c r="GM1041" s="773"/>
      <c r="GN1041" s="773"/>
      <c r="GO1041" s="773"/>
      <c r="GP1041" s="773"/>
      <c r="GQ1041" s="773"/>
      <c r="GR1041" s="773"/>
      <c r="GS1041" s="773"/>
      <c r="GT1041" s="773"/>
      <c r="GU1041" s="773"/>
      <c r="GV1041" s="773"/>
      <c r="GW1041" s="773"/>
      <c r="GX1041" s="773"/>
      <c r="GY1041" s="773"/>
      <c r="GZ1041" s="773"/>
    </row>
    <row r="1042" spans="1:208" s="11" customFormat="1">
      <c r="A1042" s="774"/>
      <c r="B1042" s="766"/>
      <c r="C1042" s="1067"/>
      <c r="D1042" s="991" t="s">
        <v>84</v>
      </c>
      <c r="E1042" s="1068"/>
      <c r="F1042" s="1068"/>
      <c r="G1042" s="1068"/>
      <c r="H1042" s="1068"/>
      <c r="I1042" s="1068"/>
      <c r="J1042" s="1069">
        <f>J484</f>
        <v>-35909314.140000001</v>
      </c>
      <c r="K1042" s="855"/>
      <c r="L1042" s="1070"/>
      <c r="M1042" s="1071"/>
      <c r="N1042" s="773"/>
      <c r="O1042" s="773"/>
      <c r="P1042" s="772"/>
      <c r="Q1042" s="772"/>
      <c r="R1042" s="772"/>
      <c r="S1042" s="772"/>
      <c r="T1042" s="773"/>
      <c r="V1042" s="773"/>
      <c r="AW1042" s="2510"/>
      <c r="BC1042" s="2510"/>
      <c r="BD1042" s="2510"/>
      <c r="BE1042" s="2173"/>
      <c r="BF1042" s="2173"/>
      <c r="BG1042" s="2173"/>
      <c r="BH1042" s="2173"/>
      <c r="BI1042" s="2173"/>
      <c r="BJ1042" s="2173"/>
      <c r="BK1042" s="2173"/>
      <c r="BN1042" s="820"/>
      <c r="DB1042" s="773"/>
      <c r="DC1042" s="773"/>
      <c r="DD1042" s="773"/>
      <c r="DE1042" s="773"/>
      <c r="DF1042" s="773"/>
      <c r="DG1042" s="773"/>
      <c r="DH1042" s="773"/>
      <c r="DI1042" s="773"/>
      <c r="DJ1042" s="773"/>
      <c r="DK1042" s="773"/>
      <c r="DL1042" s="773"/>
      <c r="DM1042" s="773"/>
      <c r="DN1042" s="773"/>
      <c r="DO1042" s="773"/>
      <c r="DP1042" s="773"/>
      <c r="DQ1042" s="773"/>
      <c r="DR1042" s="773"/>
      <c r="DS1042" s="773"/>
      <c r="DT1042" s="773"/>
      <c r="DU1042" s="773"/>
      <c r="DV1042" s="773"/>
      <c r="DW1042" s="773"/>
      <c r="DX1042" s="773"/>
      <c r="DY1042" s="773"/>
      <c r="DZ1042" s="773"/>
      <c r="EA1042" s="773"/>
      <c r="EB1042" s="773"/>
      <c r="EC1042" s="773"/>
      <c r="ED1042" s="773"/>
      <c r="EE1042" s="773"/>
      <c r="EF1042" s="773"/>
      <c r="EG1042" s="773"/>
      <c r="EH1042" s="773"/>
      <c r="EI1042" s="773"/>
      <c r="EJ1042" s="773"/>
      <c r="EK1042" s="773"/>
      <c r="EL1042" s="773"/>
      <c r="EM1042" s="773"/>
      <c r="EN1042" s="773"/>
      <c r="EO1042" s="773"/>
      <c r="EP1042" s="773"/>
      <c r="EQ1042" s="773"/>
      <c r="ER1042" s="773"/>
      <c r="ES1042" s="773"/>
      <c r="ET1042" s="773"/>
      <c r="EU1042" s="773"/>
      <c r="EV1042" s="773"/>
      <c r="EW1042" s="773"/>
      <c r="EX1042" s="773"/>
      <c r="EY1042" s="773"/>
      <c r="EZ1042" s="773"/>
      <c r="FA1042" s="773"/>
      <c r="FB1042" s="773"/>
      <c r="FC1042" s="773"/>
      <c r="FD1042" s="773"/>
      <c r="FE1042" s="773"/>
      <c r="FF1042" s="773"/>
      <c r="FG1042" s="773"/>
      <c r="FH1042" s="773"/>
      <c r="FI1042" s="773"/>
      <c r="FJ1042" s="773"/>
      <c r="FK1042" s="773"/>
      <c r="FL1042" s="773"/>
      <c r="FM1042" s="773"/>
      <c r="FN1042" s="773"/>
      <c r="FO1042" s="773"/>
      <c r="FP1042" s="773"/>
      <c r="FQ1042" s="773"/>
      <c r="FR1042" s="773"/>
      <c r="FS1042" s="773"/>
      <c r="FT1042" s="773"/>
      <c r="FU1042" s="773"/>
      <c r="FV1042" s="773"/>
      <c r="FW1042" s="773"/>
      <c r="FX1042" s="773"/>
      <c r="FY1042" s="773"/>
      <c r="FZ1042" s="773"/>
      <c r="GA1042" s="773"/>
      <c r="GB1042" s="773"/>
      <c r="GC1042" s="773"/>
      <c r="GD1042" s="773"/>
      <c r="GE1042" s="773"/>
      <c r="GF1042" s="773"/>
      <c r="GG1042" s="773"/>
      <c r="GH1042" s="773"/>
      <c r="GI1042" s="773"/>
      <c r="GJ1042" s="773"/>
      <c r="GK1042" s="773"/>
      <c r="GL1042" s="773"/>
      <c r="GM1042" s="773"/>
      <c r="GN1042" s="773"/>
      <c r="GO1042" s="773"/>
      <c r="GP1042" s="773"/>
      <c r="GQ1042" s="773"/>
      <c r="GR1042" s="773"/>
      <c r="GS1042" s="773"/>
      <c r="GT1042" s="773"/>
      <c r="GU1042" s="773"/>
      <c r="GV1042" s="773"/>
      <c r="GW1042" s="773"/>
      <c r="GX1042" s="773"/>
      <c r="GY1042" s="773"/>
      <c r="GZ1042" s="773"/>
    </row>
    <row r="1043" spans="1:208" s="11" customFormat="1">
      <c r="A1043" s="774"/>
      <c r="B1043" s="766"/>
      <c r="C1043" s="1067"/>
      <c r="D1043" s="992" t="s">
        <v>576</v>
      </c>
      <c r="E1043" s="769"/>
      <c r="F1043" s="769"/>
      <c r="G1043" s="769"/>
      <c r="H1043" s="769"/>
      <c r="I1043" s="769"/>
      <c r="J1043" s="874">
        <f>J581-J578-AY1079</f>
        <v>4038106.4499999993</v>
      </c>
      <c r="K1043" s="209"/>
      <c r="L1043" s="1072"/>
      <c r="M1043" s="1073"/>
      <c r="N1043" s="773"/>
      <c r="O1043" s="773"/>
      <c r="P1043" s="772"/>
      <c r="Q1043" s="772"/>
      <c r="R1043" s="772"/>
      <c r="S1043" s="772"/>
      <c r="T1043" s="773"/>
      <c r="V1043" s="773"/>
      <c r="AW1043" s="2510"/>
      <c r="BC1043" s="2510"/>
      <c r="BD1043" s="2510"/>
      <c r="BE1043" s="2173"/>
      <c r="BF1043" s="2173"/>
      <c r="BG1043" s="2173"/>
      <c r="BH1043" s="2173"/>
      <c r="BI1043" s="2173"/>
      <c r="BJ1043" s="2173"/>
      <c r="BK1043" s="2173"/>
      <c r="BN1043" s="820"/>
      <c r="DB1043" s="773"/>
      <c r="DC1043" s="773"/>
      <c r="DD1043" s="773"/>
      <c r="DE1043" s="773"/>
      <c r="DF1043" s="773"/>
      <c r="DG1043" s="773"/>
      <c r="DH1043" s="773"/>
      <c r="DI1043" s="773"/>
      <c r="DJ1043" s="773"/>
      <c r="DK1043" s="773"/>
      <c r="DL1043" s="773"/>
      <c r="DM1043" s="773"/>
      <c r="DN1043" s="773"/>
      <c r="DO1043" s="773"/>
      <c r="DP1043" s="773"/>
      <c r="DQ1043" s="773"/>
      <c r="DR1043" s="773"/>
      <c r="DS1043" s="773"/>
      <c r="DT1043" s="773"/>
      <c r="DU1043" s="773"/>
      <c r="DV1043" s="773"/>
      <c r="DW1043" s="773"/>
      <c r="DX1043" s="773"/>
      <c r="DY1043" s="773"/>
      <c r="DZ1043" s="773"/>
      <c r="EA1043" s="773"/>
      <c r="EB1043" s="773"/>
      <c r="EC1043" s="773"/>
      <c r="ED1043" s="773"/>
      <c r="EE1043" s="773"/>
      <c r="EF1043" s="773"/>
      <c r="EG1043" s="773"/>
      <c r="EH1043" s="773"/>
      <c r="EI1043" s="773"/>
      <c r="EJ1043" s="773"/>
      <c r="EK1043" s="773"/>
      <c r="EL1043" s="773"/>
      <c r="EM1043" s="773"/>
      <c r="EN1043" s="773"/>
      <c r="EO1043" s="773"/>
      <c r="EP1043" s="773"/>
      <c r="EQ1043" s="773"/>
      <c r="ER1043" s="773"/>
      <c r="ES1043" s="773"/>
      <c r="ET1043" s="773"/>
      <c r="EU1043" s="773"/>
      <c r="EV1043" s="773"/>
      <c r="EW1043" s="773"/>
      <c r="EX1043" s="773"/>
      <c r="EY1043" s="773"/>
      <c r="EZ1043" s="773"/>
      <c r="FA1043" s="773"/>
      <c r="FB1043" s="773"/>
      <c r="FC1043" s="773"/>
      <c r="FD1043" s="773"/>
      <c r="FE1043" s="773"/>
      <c r="FF1043" s="773"/>
      <c r="FG1043" s="773"/>
      <c r="FH1043" s="773"/>
      <c r="FI1043" s="773"/>
      <c r="FJ1043" s="773"/>
      <c r="FK1043" s="773"/>
      <c r="FL1043" s="773"/>
      <c r="FM1043" s="773"/>
      <c r="FN1043" s="773"/>
      <c r="FO1043" s="773"/>
      <c r="FP1043" s="773"/>
      <c r="FQ1043" s="773"/>
      <c r="FR1043" s="773"/>
      <c r="FS1043" s="773"/>
      <c r="FT1043" s="773"/>
      <c r="FU1043" s="773"/>
      <c r="FV1043" s="773"/>
      <c r="FW1043" s="773"/>
      <c r="FX1043" s="773"/>
      <c r="FY1043" s="773"/>
      <c r="FZ1043" s="773"/>
      <c r="GA1043" s="773"/>
      <c r="GB1043" s="773"/>
      <c r="GC1043" s="773"/>
      <c r="GD1043" s="773"/>
      <c r="GE1043" s="773"/>
      <c r="GF1043" s="773"/>
      <c r="GG1043" s="773"/>
      <c r="GH1043" s="773"/>
      <c r="GI1043" s="773"/>
      <c r="GJ1043" s="773"/>
      <c r="GK1043" s="773"/>
      <c r="GL1043" s="773"/>
      <c r="GM1043" s="773"/>
      <c r="GN1043" s="773"/>
      <c r="GO1043" s="773"/>
      <c r="GP1043" s="773"/>
      <c r="GQ1043" s="773"/>
      <c r="GR1043" s="773"/>
      <c r="GS1043" s="773"/>
      <c r="GT1043" s="773"/>
      <c r="GU1043" s="773"/>
      <c r="GV1043" s="773"/>
      <c r="GW1043" s="773"/>
      <c r="GX1043" s="773"/>
      <c r="GY1043" s="773"/>
      <c r="GZ1043" s="773"/>
    </row>
    <row r="1044" spans="1:208" s="11" customFormat="1">
      <c r="A1044" s="774"/>
      <c r="B1044" s="766"/>
      <c r="C1044" s="1067"/>
      <c r="D1044" s="992" t="s">
        <v>609</v>
      </c>
      <c r="E1044" s="769"/>
      <c r="F1044" s="769"/>
      <c r="G1044" s="769"/>
      <c r="H1044" s="769"/>
      <c r="I1044" s="769"/>
      <c r="J1044" s="874">
        <f>J578</f>
        <v>15404371.859999999</v>
      </c>
      <c r="K1044" s="209"/>
      <c r="L1044" s="1072"/>
      <c r="M1044" s="1073"/>
      <c r="N1044" s="773"/>
      <c r="O1044" s="773"/>
      <c r="P1044" s="772"/>
      <c r="Q1044" s="772"/>
      <c r="R1044" s="772"/>
      <c r="S1044" s="772"/>
      <c r="T1044" s="773"/>
      <c r="V1044" s="773"/>
      <c r="AW1044" s="2510"/>
      <c r="BC1044" s="2510"/>
      <c r="BD1044" s="2510"/>
      <c r="BE1044" s="2173"/>
      <c r="BF1044" s="2173"/>
      <c r="BG1044" s="2173"/>
      <c r="BH1044" s="2173"/>
      <c r="BI1044" s="2173"/>
      <c r="BJ1044" s="2173"/>
      <c r="BK1044" s="2173"/>
      <c r="BN1044" s="820"/>
      <c r="DB1044" s="773"/>
      <c r="DC1044" s="773"/>
      <c r="DD1044" s="773"/>
      <c r="DE1044" s="773"/>
      <c r="DF1044" s="773"/>
      <c r="DG1044" s="773"/>
      <c r="DH1044" s="773"/>
      <c r="DI1044" s="773"/>
      <c r="DJ1044" s="773"/>
      <c r="DK1044" s="773"/>
      <c r="DL1044" s="773"/>
      <c r="DM1044" s="773"/>
      <c r="DN1044" s="773"/>
      <c r="DO1044" s="773"/>
      <c r="DP1044" s="773"/>
      <c r="DQ1044" s="773"/>
      <c r="DR1044" s="773"/>
      <c r="DS1044" s="773"/>
      <c r="DT1044" s="773"/>
      <c r="DU1044" s="773"/>
      <c r="DV1044" s="773"/>
      <c r="DW1044" s="773"/>
      <c r="DX1044" s="773"/>
      <c r="DY1044" s="773"/>
      <c r="DZ1044" s="773"/>
      <c r="EA1044" s="773"/>
      <c r="EB1044" s="773"/>
      <c r="EC1044" s="773"/>
      <c r="ED1044" s="773"/>
      <c r="EE1044" s="773"/>
      <c r="EF1044" s="773"/>
      <c r="EG1044" s="773"/>
      <c r="EH1044" s="773"/>
      <c r="EI1044" s="773"/>
      <c r="EJ1044" s="773"/>
      <c r="EK1044" s="773"/>
      <c r="EL1044" s="773"/>
      <c r="EM1044" s="773"/>
      <c r="EN1044" s="773"/>
      <c r="EO1044" s="773"/>
      <c r="EP1044" s="773"/>
      <c r="EQ1044" s="773"/>
      <c r="ER1044" s="773"/>
      <c r="ES1044" s="773"/>
      <c r="ET1044" s="773"/>
      <c r="EU1044" s="773"/>
      <c r="EV1044" s="773"/>
      <c r="EW1044" s="773"/>
      <c r="EX1044" s="773"/>
      <c r="EY1044" s="773"/>
      <c r="EZ1044" s="773"/>
      <c r="FA1044" s="773"/>
      <c r="FB1044" s="773"/>
      <c r="FC1044" s="773"/>
      <c r="FD1044" s="773"/>
      <c r="FE1044" s="773"/>
      <c r="FF1044" s="773"/>
      <c r="FG1044" s="773"/>
      <c r="FH1044" s="773"/>
      <c r="FI1044" s="773"/>
      <c r="FJ1044" s="773"/>
      <c r="FK1044" s="773"/>
      <c r="FL1044" s="773"/>
      <c r="FM1044" s="773"/>
      <c r="FN1044" s="773"/>
      <c r="FO1044" s="773"/>
      <c r="FP1044" s="773"/>
      <c r="FQ1044" s="773"/>
      <c r="FR1044" s="773"/>
      <c r="FS1044" s="773"/>
      <c r="FT1044" s="773"/>
      <c r="FU1044" s="773"/>
      <c r="FV1044" s="773"/>
      <c r="FW1044" s="773"/>
      <c r="FX1044" s="773"/>
      <c r="FY1044" s="773"/>
      <c r="FZ1044" s="773"/>
      <c r="GA1044" s="773"/>
      <c r="GB1044" s="773"/>
      <c r="GC1044" s="773"/>
      <c r="GD1044" s="773"/>
      <c r="GE1044" s="773"/>
      <c r="GF1044" s="773"/>
      <c r="GG1044" s="773"/>
      <c r="GH1044" s="773"/>
      <c r="GI1044" s="773"/>
      <c r="GJ1044" s="773"/>
      <c r="GK1044" s="773"/>
      <c r="GL1044" s="773"/>
      <c r="GM1044" s="773"/>
      <c r="GN1044" s="773"/>
      <c r="GO1044" s="773"/>
      <c r="GP1044" s="773"/>
      <c r="GQ1044" s="773"/>
      <c r="GR1044" s="773"/>
      <c r="GS1044" s="773"/>
      <c r="GT1044" s="773"/>
      <c r="GU1044" s="773"/>
      <c r="GV1044" s="773"/>
      <c r="GW1044" s="773"/>
      <c r="GX1044" s="773"/>
      <c r="GY1044" s="773"/>
      <c r="GZ1044" s="773"/>
    </row>
    <row r="1045" spans="1:208" s="11" customFormat="1">
      <c r="A1045" s="774"/>
      <c r="B1045" s="766"/>
      <c r="C1045" s="1067"/>
      <c r="D1045" s="992" t="s">
        <v>192</v>
      </c>
      <c r="E1045" s="769"/>
      <c r="F1045" s="769"/>
      <c r="G1045" s="769"/>
      <c r="H1045" s="769"/>
      <c r="I1045" s="769"/>
      <c r="J1045" s="874">
        <f>J623-AY1080</f>
        <v>1202714.9100000001</v>
      </c>
      <c r="K1045" s="209"/>
      <c r="L1045" s="1072"/>
      <c r="M1045" s="1073"/>
      <c r="N1045" s="773"/>
      <c r="O1045" s="773"/>
      <c r="P1045" s="772"/>
      <c r="Q1045" s="772"/>
      <c r="R1045" s="772"/>
      <c r="S1045" s="772"/>
      <c r="T1045" s="773"/>
      <c r="V1045" s="773"/>
      <c r="AW1045" s="2510"/>
      <c r="BC1045" s="2510"/>
      <c r="BD1045" s="2510"/>
      <c r="BE1045" s="2173"/>
      <c r="BF1045" s="2173"/>
      <c r="BG1045" s="2173"/>
      <c r="BH1045" s="2173"/>
      <c r="BI1045" s="2173"/>
      <c r="BJ1045" s="2173"/>
      <c r="BK1045" s="2173"/>
      <c r="BN1045" s="820"/>
      <c r="DB1045" s="773"/>
      <c r="DC1045" s="773"/>
      <c r="DD1045" s="773"/>
      <c r="DE1045" s="773"/>
      <c r="DF1045" s="773"/>
      <c r="DG1045" s="773"/>
      <c r="DH1045" s="773"/>
      <c r="DI1045" s="773"/>
      <c r="DJ1045" s="773"/>
      <c r="DK1045" s="773"/>
      <c r="DL1045" s="773"/>
      <c r="DM1045" s="773"/>
      <c r="DN1045" s="773"/>
      <c r="DO1045" s="773"/>
      <c r="DP1045" s="773"/>
      <c r="DQ1045" s="773"/>
      <c r="DR1045" s="773"/>
      <c r="DS1045" s="773"/>
      <c r="DT1045" s="773"/>
      <c r="DU1045" s="773"/>
      <c r="DV1045" s="773"/>
      <c r="DW1045" s="773"/>
      <c r="DX1045" s="773"/>
      <c r="DY1045" s="773"/>
      <c r="DZ1045" s="773"/>
      <c r="EA1045" s="773"/>
      <c r="EB1045" s="773"/>
      <c r="EC1045" s="773"/>
      <c r="ED1045" s="773"/>
      <c r="EE1045" s="773"/>
      <c r="EF1045" s="773"/>
      <c r="EG1045" s="773"/>
      <c r="EH1045" s="773"/>
      <c r="EI1045" s="773"/>
      <c r="EJ1045" s="773"/>
      <c r="EK1045" s="773"/>
      <c r="EL1045" s="773"/>
      <c r="EM1045" s="773"/>
      <c r="EN1045" s="773"/>
      <c r="EO1045" s="773"/>
      <c r="EP1045" s="773"/>
      <c r="EQ1045" s="773"/>
      <c r="ER1045" s="773"/>
      <c r="ES1045" s="773"/>
      <c r="ET1045" s="773"/>
      <c r="EU1045" s="773"/>
      <c r="EV1045" s="773"/>
      <c r="EW1045" s="773"/>
      <c r="EX1045" s="773"/>
      <c r="EY1045" s="773"/>
      <c r="EZ1045" s="773"/>
      <c r="FA1045" s="773"/>
      <c r="FB1045" s="773"/>
      <c r="FC1045" s="773"/>
      <c r="FD1045" s="773"/>
      <c r="FE1045" s="773"/>
      <c r="FF1045" s="773"/>
      <c r="FG1045" s="773"/>
      <c r="FH1045" s="773"/>
      <c r="FI1045" s="773"/>
      <c r="FJ1045" s="773"/>
      <c r="FK1045" s="773"/>
      <c r="FL1045" s="773"/>
      <c r="FM1045" s="773"/>
      <c r="FN1045" s="773"/>
      <c r="FO1045" s="773"/>
      <c r="FP1045" s="773"/>
      <c r="FQ1045" s="773"/>
      <c r="FR1045" s="773"/>
      <c r="FS1045" s="773"/>
      <c r="FT1045" s="773"/>
      <c r="FU1045" s="773"/>
      <c r="FV1045" s="773"/>
      <c r="FW1045" s="773"/>
      <c r="FX1045" s="773"/>
      <c r="FY1045" s="773"/>
      <c r="FZ1045" s="773"/>
      <c r="GA1045" s="773"/>
      <c r="GB1045" s="773"/>
      <c r="GC1045" s="773"/>
      <c r="GD1045" s="773"/>
      <c r="GE1045" s="773"/>
      <c r="GF1045" s="773"/>
      <c r="GG1045" s="773"/>
      <c r="GH1045" s="773"/>
      <c r="GI1045" s="773"/>
      <c r="GJ1045" s="773"/>
      <c r="GK1045" s="773"/>
      <c r="GL1045" s="773"/>
      <c r="GM1045" s="773"/>
      <c r="GN1045" s="773"/>
      <c r="GO1045" s="773"/>
      <c r="GP1045" s="773"/>
      <c r="GQ1045" s="773"/>
      <c r="GR1045" s="773"/>
      <c r="GS1045" s="773"/>
      <c r="GT1045" s="773"/>
      <c r="GU1045" s="773"/>
      <c r="GV1045" s="773"/>
      <c r="GW1045" s="773"/>
      <c r="GX1045" s="773"/>
      <c r="GY1045" s="773"/>
      <c r="GZ1045" s="773"/>
    </row>
    <row r="1046" spans="1:208" s="11" customFormat="1">
      <c r="A1046" s="774"/>
      <c r="B1046" s="766"/>
      <c r="C1046" s="1067"/>
      <c r="D1046" s="992" t="s">
        <v>193</v>
      </c>
      <c r="E1046" s="769"/>
      <c r="F1046" s="769"/>
      <c r="G1046" s="769"/>
      <c r="H1046" s="769"/>
      <c r="I1046" s="769"/>
      <c r="J1046" s="874">
        <f>J727-AY1083</f>
        <v>434624.5500000001</v>
      </c>
      <c r="K1046" s="209"/>
      <c r="L1046" s="472"/>
      <c r="M1046" s="1073"/>
      <c r="N1046" s="773"/>
      <c r="O1046" s="773"/>
      <c r="P1046" s="772"/>
      <c r="Q1046" s="772"/>
      <c r="R1046" s="772"/>
      <c r="S1046" s="772"/>
      <c r="T1046" s="773"/>
      <c r="V1046" s="773"/>
      <c r="X1046" s="773"/>
      <c r="AW1046" s="2510"/>
      <c r="BC1046" s="2510"/>
      <c r="BD1046" s="2510"/>
      <c r="BE1046" s="2173"/>
      <c r="BF1046" s="2173"/>
      <c r="BG1046" s="2173"/>
      <c r="BH1046" s="2173"/>
      <c r="BI1046" s="2173"/>
      <c r="BJ1046" s="2173"/>
      <c r="BK1046" s="2173"/>
      <c r="BN1046" s="820"/>
      <c r="DB1046" s="773"/>
      <c r="DC1046" s="773"/>
      <c r="DD1046" s="773"/>
      <c r="DE1046" s="773"/>
      <c r="DF1046" s="773"/>
      <c r="DG1046" s="773"/>
      <c r="DH1046" s="773"/>
      <c r="DI1046" s="773"/>
      <c r="DJ1046" s="773"/>
      <c r="DK1046" s="773"/>
      <c r="DL1046" s="773"/>
      <c r="DM1046" s="773"/>
      <c r="DN1046" s="773"/>
      <c r="DO1046" s="773"/>
      <c r="DP1046" s="773"/>
      <c r="DQ1046" s="773"/>
      <c r="DR1046" s="773"/>
      <c r="DS1046" s="773"/>
      <c r="DT1046" s="773"/>
      <c r="DU1046" s="773"/>
      <c r="DV1046" s="773"/>
      <c r="DW1046" s="773"/>
      <c r="DX1046" s="773"/>
      <c r="DY1046" s="773"/>
      <c r="DZ1046" s="773"/>
      <c r="EA1046" s="773"/>
      <c r="EB1046" s="773"/>
      <c r="EC1046" s="773"/>
      <c r="ED1046" s="773"/>
      <c r="EE1046" s="773"/>
      <c r="EF1046" s="773"/>
      <c r="EG1046" s="773"/>
      <c r="EH1046" s="773"/>
      <c r="EI1046" s="773"/>
      <c r="EJ1046" s="773"/>
      <c r="EK1046" s="773"/>
      <c r="EL1046" s="773"/>
      <c r="EM1046" s="773"/>
      <c r="EN1046" s="773"/>
      <c r="EO1046" s="773"/>
      <c r="EP1046" s="773"/>
      <c r="EQ1046" s="773"/>
      <c r="ER1046" s="773"/>
      <c r="ES1046" s="773"/>
      <c r="ET1046" s="773"/>
      <c r="EU1046" s="773"/>
      <c r="EV1046" s="773"/>
      <c r="EW1046" s="773"/>
      <c r="EX1046" s="773"/>
      <c r="EY1046" s="773"/>
      <c r="EZ1046" s="773"/>
      <c r="FA1046" s="773"/>
      <c r="FB1046" s="773"/>
      <c r="FC1046" s="773"/>
      <c r="FD1046" s="773"/>
      <c r="FE1046" s="773"/>
      <c r="FF1046" s="773"/>
      <c r="FG1046" s="773"/>
      <c r="FH1046" s="773"/>
      <c r="FI1046" s="773"/>
      <c r="FJ1046" s="773"/>
      <c r="FK1046" s="773"/>
      <c r="FL1046" s="773"/>
      <c r="FM1046" s="773"/>
      <c r="FN1046" s="773"/>
      <c r="FO1046" s="773"/>
      <c r="FP1046" s="773"/>
      <c r="FQ1046" s="773"/>
      <c r="FR1046" s="773"/>
      <c r="FS1046" s="773"/>
      <c r="FT1046" s="773"/>
      <c r="FU1046" s="773"/>
      <c r="FV1046" s="773"/>
      <c r="FW1046" s="773"/>
      <c r="FX1046" s="773"/>
      <c r="FY1046" s="773"/>
      <c r="FZ1046" s="773"/>
      <c r="GA1046" s="773"/>
      <c r="GB1046" s="773"/>
      <c r="GC1046" s="773"/>
      <c r="GD1046" s="773"/>
      <c r="GE1046" s="773"/>
      <c r="GF1046" s="773"/>
      <c r="GG1046" s="773"/>
      <c r="GH1046" s="773"/>
      <c r="GI1046" s="773"/>
      <c r="GJ1046" s="773"/>
      <c r="GK1046" s="773"/>
      <c r="GL1046" s="773"/>
      <c r="GM1046" s="773"/>
      <c r="GN1046" s="773"/>
      <c r="GO1046" s="773"/>
      <c r="GP1046" s="773"/>
      <c r="GQ1046" s="773"/>
      <c r="GR1046" s="773"/>
      <c r="GS1046" s="773"/>
      <c r="GT1046" s="773"/>
      <c r="GU1046" s="773"/>
      <c r="GV1046" s="773"/>
      <c r="GW1046" s="773"/>
      <c r="GX1046" s="773"/>
      <c r="GY1046" s="773"/>
      <c r="GZ1046" s="773"/>
    </row>
    <row r="1047" spans="1:208" s="11" customFormat="1">
      <c r="A1047" s="774"/>
      <c r="B1047" s="766"/>
      <c r="C1047" s="1067"/>
      <c r="D1047" s="992" t="s">
        <v>611</v>
      </c>
      <c r="E1047" s="769"/>
      <c r="F1047" s="769"/>
      <c r="G1047" s="769"/>
      <c r="H1047" s="769"/>
      <c r="I1047" s="769"/>
      <c r="J1047" s="915">
        <f>J1002-AY1081-AY1082</f>
        <v>10822116.119999999</v>
      </c>
      <c r="K1047" s="209"/>
      <c r="L1047" s="472"/>
      <c r="M1047" s="1074"/>
      <c r="N1047" s="773"/>
      <c r="O1047" s="773"/>
      <c r="P1047" s="772"/>
      <c r="Q1047" s="772"/>
      <c r="R1047" s="772"/>
      <c r="S1047" s="772"/>
      <c r="T1047" s="773"/>
      <c r="V1047" s="773"/>
      <c r="X1047" s="773"/>
      <c r="AW1047" s="2510"/>
      <c r="BC1047" s="2510"/>
      <c r="BD1047" s="2510"/>
      <c r="BE1047" s="2173"/>
      <c r="BF1047" s="2173"/>
      <c r="BG1047" s="2173"/>
      <c r="BH1047" s="2173"/>
      <c r="BI1047" s="2173"/>
      <c r="BJ1047" s="2173"/>
      <c r="BK1047" s="2173"/>
      <c r="BN1047" s="820"/>
      <c r="DB1047" s="773"/>
      <c r="DC1047" s="773"/>
      <c r="DD1047" s="773"/>
      <c r="DE1047" s="773"/>
      <c r="DF1047" s="773"/>
      <c r="DG1047" s="773"/>
      <c r="DH1047" s="773"/>
      <c r="DI1047" s="773"/>
      <c r="DJ1047" s="773"/>
      <c r="DK1047" s="773"/>
      <c r="DL1047" s="773"/>
      <c r="DM1047" s="773"/>
      <c r="DN1047" s="773"/>
      <c r="DO1047" s="773"/>
      <c r="DP1047" s="773"/>
      <c r="DQ1047" s="773"/>
      <c r="DR1047" s="773"/>
      <c r="DS1047" s="773"/>
      <c r="DT1047" s="773"/>
      <c r="DU1047" s="773"/>
      <c r="DV1047" s="773"/>
      <c r="DW1047" s="773"/>
      <c r="DX1047" s="773"/>
      <c r="DY1047" s="773"/>
      <c r="DZ1047" s="773"/>
      <c r="EA1047" s="773"/>
      <c r="EB1047" s="773"/>
      <c r="EC1047" s="773"/>
      <c r="ED1047" s="773"/>
      <c r="EE1047" s="773"/>
      <c r="EF1047" s="773"/>
      <c r="EG1047" s="773"/>
      <c r="EH1047" s="773"/>
      <c r="EI1047" s="773"/>
      <c r="EJ1047" s="773"/>
      <c r="EK1047" s="773"/>
      <c r="EL1047" s="773"/>
      <c r="EM1047" s="773"/>
      <c r="EN1047" s="773"/>
      <c r="EO1047" s="773"/>
      <c r="EP1047" s="773"/>
      <c r="EQ1047" s="773"/>
      <c r="ER1047" s="773"/>
      <c r="ES1047" s="773"/>
      <c r="ET1047" s="773"/>
      <c r="EU1047" s="773"/>
      <c r="EV1047" s="773"/>
      <c r="EW1047" s="773"/>
      <c r="EX1047" s="773"/>
      <c r="EY1047" s="773"/>
      <c r="EZ1047" s="773"/>
      <c r="FA1047" s="773"/>
      <c r="FB1047" s="773"/>
      <c r="FC1047" s="773"/>
      <c r="FD1047" s="773"/>
      <c r="FE1047" s="773"/>
      <c r="FF1047" s="773"/>
      <c r="FG1047" s="773"/>
      <c r="FH1047" s="773"/>
      <c r="FI1047" s="773"/>
      <c r="FJ1047" s="773"/>
      <c r="FK1047" s="773"/>
      <c r="FL1047" s="773"/>
      <c r="FM1047" s="773"/>
      <c r="FN1047" s="773"/>
      <c r="FO1047" s="773"/>
      <c r="FP1047" s="773"/>
      <c r="FQ1047" s="773"/>
      <c r="FR1047" s="773"/>
      <c r="FS1047" s="773"/>
      <c r="FT1047" s="773"/>
      <c r="FU1047" s="773"/>
      <c r="FV1047" s="773"/>
      <c r="FW1047" s="773"/>
      <c r="FX1047" s="773"/>
      <c r="FY1047" s="773"/>
      <c r="FZ1047" s="773"/>
      <c r="GA1047" s="773"/>
      <c r="GB1047" s="773"/>
      <c r="GC1047" s="773"/>
      <c r="GD1047" s="773"/>
      <c r="GE1047" s="773"/>
      <c r="GF1047" s="773"/>
      <c r="GG1047" s="773"/>
      <c r="GH1047" s="773"/>
      <c r="GI1047" s="773"/>
      <c r="GJ1047" s="773"/>
      <c r="GK1047" s="773"/>
      <c r="GL1047" s="773"/>
      <c r="GM1047" s="773"/>
      <c r="GN1047" s="773"/>
      <c r="GO1047" s="773"/>
      <c r="GP1047" s="773"/>
      <c r="GQ1047" s="773"/>
      <c r="GR1047" s="773"/>
      <c r="GS1047" s="773"/>
      <c r="GT1047" s="773"/>
      <c r="GU1047" s="773"/>
      <c r="GV1047" s="773"/>
      <c r="GW1047" s="773"/>
      <c r="GX1047" s="773"/>
      <c r="GY1047" s="773"/>
      <c r="GZ1047" s="773"/>
    </row>
    <row r="1048" spans="1:208" s="11" customFormat="1">
      <c r="A1048" s="774"/>
      <c r="B1048" s="766"/>
      <c r="C1048" s="1067"/>
      <c r="D1048" s="992" t="s">
        <v>616</v>
      </c>
      <c r="E1048" s="769"/>
      <c r="F1048" s="769"/>
      <c r="G1048" s="769"/>
      <c r="H1048" s="769"/>
      <c r="I1048" s="769"/>
      <c r="J1048" s="915">
        <f>J1030-J1023-J1025</f>
        <v>14182.050000000047</v>
      </c>
      <c r="K1048" s="209"/>
      <c r="L1048" s="472"/>
      <c r="M1048" s="1074"/>
      <c r="N1048" s="773"/>
      <c r="O1048" s="773"/>
      <c r="P1048" s="772"/>
      <c r="Q1048" s="772"/>
      <c r="R1048" s="772"/>
      <c r="S1048" s="772"/>
      <c r="T1048" s="773"/>
      <c r="V1048" s="773"/>
      <c r="X1048" s="773"/>
      <c r="AW1048" s="2510"/>
      <c r="BC1048" s="2510"/>
      <c r="BD1048" s="2510"/>
      <c r="BE1048" s="2173"/>
      <c r="BF1048" s="2173"/>
      <c r="BG1048" s="2173"/>
      <c r="BH1048" s="2173"/>
      <c r="BI1048" s="2173"/>
      <c r="BJ1048" s="2173"/>
      <c r="BK1048" s="2173"/>
      <c r="BN1048" s="820"/>
      <c r="DB1048" s="773"/>
      <c r="DC1048" s="773"/>
      <c r="DD1048" s="773"/>
      <c r="DE1048" s="773"/>
      <c r="DF1048" s="773"/>
      <c r="DG1048" s="773"/>
      <c r="DH1048" s="773"/>
      <c r="DI1048" s="773"/>
      <c r="DJ1048" s="773"/>
      <c r="DK1048" s="773"/>
      <c r="DL1048" s="773"/>
      <c r="DM1048" s="773"/>
      <c r="DN1048" s="773"/>
      <c r="DO1048" s="773"/>
      <c r="DP1048" s="773"/>
      <c r="DQ1048" s="773"/>
      <c r="DR1048" s="773"/>
      <c r="DS1048" s="773"/>
      <c r="DT1048" s="773"/>
      <c r="DU1048" s="773"/>
      <c r="DV1048" s="773"/>
      <c r="DW1048" s="773"/>
      <c r="DX1048" s="773"/>
      <c r="DY1048" s="773"/>
      <c r="DZ1048" s="773"/>
      <c r="EA1048" s="773"/>
      <c r="EB1048" s="773"/>
      <c r="EC1048" s="773"/>
      <c r="ED1048" s="773"/>
      <c r="EE1048" s="773"/>
      <c r="EF1048" s="773"/>
      <c r="EG1048" s="773"/>
      <c r="EH1048" s="773"/>
      <c r="EI1048" s="773"/>
      <c r="EJ1048" s="773"/>
      <c r="EK1048" s="773"/>
      <c r="EL1048" s="773"/>
      <c r="EM1048" s="773"/>
      <c r="EN1048" s="773"/>
      <c r="EO1048" s="773"/>
      <c r="EP1048" s="773"/>
      <c r="EQ1048" s="773"/>
      <c r="ER1048" s="773"/>
      <c r="ES1048" s="773"/>
      <c r="ET1048" s="773"/>
      <c r="EU1048" s="773"/>
      <c r="EV1048" s="773"/>
      <c r="EW1048" s="773"/>
      <c r="EX1048" s="773"/>
      <c r="EY1048" s="773"/>
      <c r="EZ1048" s="773"/>
      <c r="FA1048" s="773"/>
      <c r="FB1048" s="773"/>
      <c r="FC1048" s="773"/>
      <c r="FD1048" s="773"/>
      <c r="FE1048" s="773"/>
      <c r="FF1048" s="773"/>
      <c r="FG1048" s="773"/>
      <c r="FH1048" s="773"/>
      <c r="FI1048" s="773"/>
      <c r="FJ1048" s="773"/>
      <c r="FK1048" s="773"/>
      <c r="FL1048" s="773"/>
      <c r="FM1048" s="773"/>
      <c r="FN1048" s="773"/>
      <c r="FO1048" s="773"/>
      <c r="FP1048" s="773"/>
      <c r="FQ1048" s="773"/>
      <c r="FR1048" s="773"/>
      <c r="FS1048" s="773"/>
      <c r="FT1048" s="773"/>
      <c r="FU1048" s="773"/>
      <c r="FV1048" s="773"/>
      <c r="FW1048" s="773"/>
      <c r="FX1048" s="773"/>
      <c r="FY1048" s="773"/>
      <c r="FZ1048" s="773"/>
      <c r="GA1048" s="773"/>
      <c r="GB1048" s="773"/>
      <c r="GC1048" s="773"/>
      <c r="GD1048" s="773"/>
      <c r="GE1048" s="773"/>
      <c r="GF1048" s="773"/>
      <c r="GG1048" s="773"/>
      <c r="GH1048" s="773"/>
      <c r="GI1048" s="773"/>
      <c r="GJ1048" s="773"/>
      <c r="GK1048" s="773"/>
      <c r="GL1048" s="773"/>
      <c r="GM1048" s="773"/>
      <c r="GN1048" s="773"/>
      <c r="GO1048" s="773"/>
      <c r="GP1048" s="773"/>
      <c r="GQ1048" s="773"/>
      <c r="GR1048" s="773"/>
      <c r="GS1048" s="773"/>
      <c r="GT1048" s="773"/>
      <c r="GU1048" s="773"/>
      <c r="GV1048" s="773"/>
      <c r="GW1048" s="773"/>
      <c r="GX1048" s="773"/>
      <c r="GY1048" s="773"/>
      <c r="GZ1048" s="773"/>
    </row>
    <row r="1049" spans="1:208" s="11" customFormat="1">
      <c r="A1049" s="774"/>
      <c r="B1049" s="766"/>
      <c r="C1049" s="1067"/>
      <c r="D1049" s="992" t="s">
        <v>617</v>
      </c>
      <c r="E1049" s="769"/>
      <c r="F1049" s="769"/>
      <c r="G1049" s="769"/>
      <c r="H1049" s="769"/>
      <c r="I1049" s="769"/>
      <c r="J1049" s="916">
        <f>+AY1084</f>
        <v>364261.71000000008</v>
      </c>
      <c r="K1049" s="209"/>
      <c r="L1049" s="472"/>
      <c r="M1049" s="1074"/>
      <c r="N1049" s="773"/>
      <c r="O1049" s="773"/>
      <c r="P1049" s="772"/>
      <c r="Q1049" s="772"/>
      <c r="R1049" s="772"/>
      <c r="S1049" s="772"/>
      <c r="T1049" s="773"/>
      <c r="V1049" s="773"/>
      <c r="W1049" s="773"/>
      <c r="X1049" s="773"/>
      <c r="Z1049" s="773"/>
      <c r="AA1049" s="773"/>
      <c r="AB1049" s="773"/>
      <c r="AC1049" s="773"/>
      <c r="AD1049" s="773"/>
      <c r="AE1049" s="773"/>
      <c r="AF1049" s="773"/>
      <c r="AG1049" s="773"/>
      <c r="AH1049" s="773"/>
      <c r="AI1049" s="773"/>
      <c r="AJ1049" s="773"/>
      <c r="AK1049" s="773"/>
      <c r="AL1049" s="773"/>
      <c r="AM1049" s="773"/>
      <c r="AN1049" s="773"/>
      <c r="AO1049" s="773"/>
      <c r="AP1049" s="773"/>
      <c r="AQ1049" s="773"/>
      <c r="AR1049" s="773"/>
      <c r="AS1049" s="773"/>
      <c r="AT1049" s="773"/>
      <c r="AU1049" s="773"/>
      <c r="AV1049" s="773"/>
      <c r="AW1049" s="2510"/>
      <c r="BC1049" s="2510"/>
      <c r="BD1049" s="2510"/>
      <c r="BE1049" s="2173"/>
      <c r="BF1049" s="2173"/>
      <c r="BG1049" s="2173"/>
      <c r="BH1049" s="2173"/>
      <c r="BI1049" s="2173"/>
      <c r="BJ1049" s="2173"/>
      <c r="BK1049" s="2173"/>
      <c r="BN1049" s="820"/>
      <c r="DB1049" s="773"/>
      <c r="DC1049" s="773"/>
      <c r="DD1049" s="773"/>
      <c r="DE1049" s="773"/>
      <c r="DF1049" s="773"/>
      <c r="DG1049" s="773"/>
      <c r="DH1049" s="773"/>
      <c r="DI1049" s="773"/>
      <c r="DJ1049" s="773"/>
      <c r="DK1049" s="773"/>
      <c r="DL1049" s="773"/>
      <c r="DM1049" s="773"/>
      <c r="DN1049" s="773"/>
      <c r="DO1049" s="773"/>
      <c r="DP1049" s="773"/>
      <c r="DQ1049" s="773"/>
      <c r="DR1049" s="773"/>
      <c r="DS1049" s="773"/>
      <c r="DT1049" s="773"/>
      <c r="DU1049" s="773"/>
      <c r="DV1049" s="773"/>
      <c r="DW1049" s="773"/>
      <c r="DX1049" s="773"/>
      <c r="DY1049" s="773"/>
      <c r="DZ1049" s="773"/>
      <c r="EA1049" s="773"/>
      <c r="EB1049" s="773"/>
      <c r="EC1049" s="773"/>
      <c r="ED1049" s="773"/>
      <c r="EE1049" s="773"/>
      <c r="EF1049" s="773"/>
      <c r="EG1049" s="773"/>
      <c r="EH1049" s="773"/>
      <c r="EI1049" s="773"/>
      <c r="EJ1049" s="773"/>
      <c r="EK1049" s="773"/>
      <c r="EL1049" s="773"/>
      <c r="EM1049" s="773"/>
      <c r="EN1049" s="773"/>
      <c r="EO1049" s="773"/>
      <c r="EP1049" s="773"/>
      <c r="EQ1049" s="773"/>
      <c r="ER1049" s="773"/>
      <c r="ES1049" s="773"/>
      <c r="ET1049" s="773"/>
      <c r="EU1049" s="773"/>
      <c r="EV1049" s="773"/>
      <c r="EW1049" s="773"/>
      <c r="EX1049" s="773"/>
      <c r="EY1049" s="773"/>
      <c r="EZ1049" s="773"/>
      <c r="FA1049" s="773"/>
      <c r="FB1049" s="773"/>
      <c r="FC1049" s="773"/>
      <c r="FD1049" s="773"/>
      <c r="FE1049" s="773"/>
      <c r="FF1049" s="773"/>
      <c r="FG1049" s="773"/>
      <c r="FH1049" s="773"/>
      <c r="FI1049" s="773"/>
      <c r="FJ1049" s="773"/>
      <c r="FK1049" s="773"/>
      <c r="FL1049" s="773"/>
      <c r="FM1049" s="773"/>
      <c r="FN1049" s="773"/>
      <c r="FO1049" s="773"/>
      <c r="FP1049" s="773"/>
      <c r="FQ1049" s="773"/>
      <c r="FR1049" s="773"/>
      <c r="FS1049" s="773"/>
      <c r="FT1049" s="773"/>
      <c r="FU1049" s="773"/>
      <c r="FV1049" s="773"/>
      <c r="FW1049" s="773"/>
      <c r="FX1049" s="773"/>
      <c r="FY1049" s="773"/>
      <c r="FZ1049" s="773"/>
      <c r="GA1049" s="773"/>
      <c r="GB1049" s="773"/>
      <c r="GC1049" s="773"/>
      <c r="GD1049" s="773"/>
      <c r="GE1049" s="773"/>
      <c r="GF1049" s="773"/>
      <c r="GG1049" s="773"/>
      <c r="GH1049" s="773"/>
      <c r="GI1049" s="773"/>
      <c r="GJ1049" s="773"/>
      <c r="GK1049" s="773"/>
      <c r="GL1049" s="773"/>
      <c r="GM1049" s="773"/>
      <c r="GN1049" s="773"/>
      <c r="GO1049" s="773"/>
      <c r="GP1049" s="773"/>
      <c r="GQ1049" s="773"/>
      <c r="GR1049" s="773"/>
      <c r="GS1049" s="773"/>
      <c r="GT1049" s="773"/>
      <c r="GU1049" s="773"/>
      <c r="GV1049" s="773"/>
      <c r="GW1049" s="773"/>
      <c r="GX1049" s="773"/>
      <c r="GY1049" s="773"/>
      <c r="GZ1049" s="773"/>
    </row>
    <row r="1050" spans="1:208" s="11" customFormat="1">
      <c r="A1050" s="774"/>
      <c r="B1050" s="766"/>
      <c r="C1050" s="1067"/>
      <c r="D1050" s="992" t="s">
        <v>2530</v>
      </c>
      <c r="E1050" s="769"/>
      <c r="F1050" s="769"/>
      <c r="G1050" s="769"/>
      <c r="H1050" s="769"/>
      <c r="I1050" s="769"/>
      <c r="J1050" s="108">
        <f>J1025</f>
        <v>467953.24</v>
      </c>
      <c r="K1050" s="209"/>
      <c r="L1050" s="472"/>
      <c r="M1050" s="1074"/>
      <c r="N1050" s="773"/>
      <c r="O1050" s="773"/>
      <c r="P1050" s="772"/>
      <c r="Q1050" s="772"/>
      <c r="R1050" s="772"/>
      <c r="S1050" s="772"/>
      <c r="T1050" s="773"/>
      <c r="V1050" s="773"/>
      <c r="W1050" s="773"/>
      <c r="X1050" s="773"/>
      <c r="Z1050" s="773"/>
      <c r="AA1050" s="773"/>
      <c r="AB1050" s="773"/>
      <c r="AC1050" s="773"/>
      <c r="AD1050" s="773"/>
      <c r="AE1050" s="773"/>
      <c r="AF1050" s="773"/>
      <c r="AG1050" s="773"/>
      <c r="AH1050" s="773"/>
      <c r="AI1050" s="773"/>
      <c r="AJ1050" s="773"/>
      <c r="AK1050" s="773"/>
      <c r="AL1050" s="773"/>
      <c r="AM1050" s="773"/>
      <c r="AN1050" s="773"/>
      <c r="AO1050" s="773"/>
      <c r="AP1050" s="773"/>
      <c r="AQ1050" s="773"/>
      <c r="AR1050" s="773"/>
      <c r="AS1050" s="773"/>
      <c r="AT1050" s="773"/>
      <c r="AU1050" s="773"/>
      <c r="AV1050" s="773"/>
      <c r="AW1050" s="2510"/>
      <c r="BC1050" s="2510"/>
      <c r="BD1050" s="2510"/>
      <c r="BE1050" s="2173"/>
      <c r="BF1050" s="2173"/>
      <c r="BG1050" s="2173"/>
      <c r="BH1050" s="2173"/>
      <c r="BI1050" s="2173"/>
      <c r="BJ1050" s="2173"/>
      <c r="BK1050" s="2173"/>
      <c r="BN1050" s="820"/>
      <c r="DB1050" s="773"/>
      <c r="DC1050" s="773"/>
      <c r="DD1050" s="773"/>
      <c r="DE1050" s="773"/>
      <c r="DF1050" s="773"/>
      <c r="DG1050" s="773"/>
      <c r="DH1050" s="773"/>
      <c r="DI1050" s="773"/>
      <c r="DJ1050" s="773"/>
      <c r="DK1050" s="773"/>
      <c r="DL1050" s="773"/>
      <c r="DM1050" s="773"/>
      <c r="DN1050" s="773"/>
      <c r="DO1050" s="773"/>
      <c r="DP1050" s="773"/>
      <c r="DQ1050" s="773"/>
      <c r="DR1050" s="773"/>
      <c r="DS1050" s="773"/>
      <c r="DT1050" s="773"/>
      <c r="DU1050" s="773"/>
      <c r="DV1050" s="773"/>
      <c r="DW1050" s="773"/>
      <c r="DX1050" s="773"/>
      <c r="DY1050" s="773"/>
      <c r="DZ1050" s="773"/>
      <c r="EA1050" s="773"/>
      <c r="EB1050" s="773"/>
      <c r="EC1050" s="773"/>
      <c r="ED1050" s="773"/>
      <c r="EE1050" s="773"/>
      <c r="EF1050" s="773"/>
      <c r="EG1050" s="773"/>
      <c r="EH1050" s="773"/>
      <c r="EI1050" s="773"/>
      <c r="EJ1050" s="773"/>
      <c r="EK1050" s="773"/>
      <c r="EL1050" s="773"/>
      <c r="EM1050" s="773"/>
      <c r="EN1050" s="773"/>
      <c r="EO1050" s="773"/>
      <c r="EP1050" s="773"/>
      <c r="EQ1050" s="773"/>
      <c r="ER1050" s="773"/>
      <c r="ES1050" s="773"/>
      <c r="ET1050" s="773"/>
      <c r="EU1050" s="773"/>
      <c r="EV1050" s="773"/>
      <c r="EW1050" s="773"/>
      <c r="EX1050" s="773"/>
      <c r="EY1050" s="773"/>
      <c r="EZ1050" s="773"/>
      <c r="FA1050" s="773"/>
      <c r="FB1050" s="773"/>
      <c r="FC1050" s="773"/>
      <c r="FD1050" s="773"/>
      <c r="FE1050" s="773"/>
      <c r="FF1050" s="773"/>
      <c r="FG1050" s="773"/>
      <c r="FH1050" s="773"/>
      <c r="FI1050" s="773"/>
      <c r="FJ1050" s="773"/>
      <c r="FK1050" s="773"/>
      <c r="FL1050" s="773"/>
      <c r="FM1050" s="773"/>
      <c r="FN1050" s="773"/>
      <c r="FO1050" s="773"/>
      <c r="FP1050" s="773"/>
      <c r="FQ1050" s="773"/>
      <c r="FR1050" s="773"/>
      <c r="FS1050" s="773"/>
      <c r="FT1050" s="773"/>
      <c r="FU1050" s="773"/>
      <c r="FV1050" s="773"/>
      <c r="FW1050" s="773"/>
      <c r="FX1050" s="773"/>
      <c r="FY1050" s="773"/>
      <c r="FZ1050" s="773"/>
      <c r="GA1050" s="773"/>
      <c r="GB1050" s="773"/>
      <c r="GC1050" s="773"/>
      <c r="GD1050" s="773"/>
      <c r="GE1050" s="773"/>
      <c r="GF1050" s="773"/>
      <c r="GG1050" s="773"/>
      <c r="GH1050" s="773"/>
      <c r="GI1050" s="773"/>
      <c r="GJ1050" s="773"/>
      <c r="GK1050" s="773"/>
      <c r="GL1050" s="773"/>
      <c r="GM1050" s="773"/>
      <c r="GN1050" s="773"/>
      <c r="GO1050" s="773"/>
      <c r="GP1050" s="773"/>
      <c r="GQ1050" s="773"/>
      <c r="GR1050" s="773"/>
      <c r="GS1050" s="773"/>
      <c r="GT1050" s="773"/>
      <c r="GU1050" s="773"/>
      <c r="GV1050" s="773"/>
      <c r="GW1050" s="773"/>
      <c r="GX1050" s="773"/>
      <c r="GY1050" s="773"/>
      <c r="GZ1050" s="773"/>
    </row>
    <row r="1051" spans="1:208" s="11" customFormat="1">
      <c r="A1051" s="774"/>
      <c r="B1051" s="766"/>
      <c r="C1051" s="1067"/>
      <c r="D1051" s="992" t="s">
        <v>256</v>
      </c>
      <c r="E1051" s="769"/>
      <c r="F1051" s="769"/>
      <c r="G1051" s="769"/>
      <c r="H1051" s="769"/>
      <c r="I1051" s="769"/>
      <c r="J1051" s="916">
        <f>J1019</f>
        <v>10682.025416020295</v>
      </c>
      <c r="K1051" s="209"/>
      <c r="L1051" s="472"/>
      <c r="M1051" s="1074"/>
      <c r="N1051" s="773"/>
      <c r="O1051" s="773"/>
      <c r="P1051" s="772"/>
      <c r="Q1051" s="772"/>
      <c r="R1051" s="772"/>
      <c r="S1051" s="772"/>
      <c r="T1051" s="773"/>
      <c r="V1051" s="773"/>
      <c r="W1051" s="773"/>
      <c r="X1051" s="773"/>
      <c r="AV1051" s="773"/>
      <c r="AW1051" s="2520"/>
      <c r="BA1051" s="799"/>
      <c r="BB1051" s="799"/>
      <c r="BC1051" s="2520"/>
      <c r="BD1051" s="2520"/>
      <c r="BE1051" s="2173"/>
      <c r="BF1051" s="2173"/>
      <c r="BG1051" s="2173"/>
      <c r="BH1051" s="2173"/>
      <c r="BI1051" s="2173"/>
      <c r="BJ1051" s="2173"/>
      <c r="BK1051" s="2173"/>
      <c r="BL1051" s="799"/>
      <c r="BM1051" s="799"/>
      <c r="BN1051" s="820"/>
      <c r="DB1051" s="773"/>
      <c r="DC1051" s="773"/>
      <c r="DD1051" s="773"/>
      <c r="DE1051" s="773"/>
      <c r="DF1051" s="773"/>
      <c r="DG1051" s="773"/>
      <c r="DH1051" s="773"/>
      <c r="DI1051" s="773"/>
      <c r="DJ1051" s="773"/>
      <c r="DK1051" s="773"/>
      <c r="DL1051" s="773"/>
      <c r="DM1051" s="773"/>
      <c r="DN1051" s="773"/>
      <c r="DO1051" s="773"/>
      <c r="DP1051" s="773"/>
      <c r="DQ1051" s="773"/>
      <c r="DR1051" s="773"/>
      <c r="DS1051" s="773"/>
      <c r="DT1051" s="773"/>
      <c r="DU1051" s="773"/>
      <c r="DV1051" s="773"/>
      <c r="DW1051" s="773"/>
      <c r="DX1051" s="773"/>
      <c r="DY1051" s="773"/>
      <c r="DZ1051" s="773"/>
      <c r="EA1051" s="773"/>
      <c r="EB1051" s="773"/>
      <c r="EC1051" s="773"/>
      <c r="ED1051" s="773"/>
      <c r="EE1051" s="773"/>
      <c r="EF1051" s="773"/>
      <c r="EG1051" s="773"/>
      <c r="EH1051" s="773"/>
      <c r="EI1051" s="773"/>
      <c r="EJ1051" s="773"/>
      <c r="EK1051" s="773"/>
      <c r="EL1051" s="773"/>
      <c r="EM1051" s="773"/>
      <c r="EN1051" s="773"/>
      <c r="EO1051" s="773"/>
      <c r="EP1051" s="773"/>
      <c r="EQ1051" s="773"/>
      <c r="ER1051" s="773"/>
      <c r="ES1051" s="773"/>
      <c r="ET1051" s="773"/>
      <c r="EU1051" s="773"/>
      <c r="EV1051" s="773"/>
      <c r="EW1051" s="773"/>
      <c r="EX1051" s="773"/>
      <c r="EY1051" s="773"/>
      <c r="EZ1051" s="773"/>
      <c r="FA1051" s="773"/>
      <c r="FB1051" s="773"/>
      <c r="FC1051" s="773"/>
      <c r="FD1051" s="773"/>
      <c r="FE1051" s="773"/>
      <c r="FF1051" s="773"/>
      <c r="FG1051" s="773"/>
      <c r="FH1051" s="773"/>
      <c r="FI1051" s="773"/>
      <c r="FJ1051" s="773"/>
      <c r="FK1051" s="773"/>
      <c r="FL1051" s="773"/>
      <c r="FM1051" s="773"/>
      <c r="FN1051" s="773"/>
      <c r="FO1051" s="773"/>
      <c r="FP1051" s="773"/>
      <c r="FQ1051" s="773"/>
      <c r="FR1051" s="773"/>
      <c r="FS1051" s="773"/>
      <c r="FT1051" s="773"/>
      <c r="FU1051" s="773"/>
      <c r="FV1051" s="773"/>
      <c r="FW1051" s="773"/>
      <c r="FX1051" s="773"/>
      <c r="FY1051" s="773"/>
      <c r="FZ1051" s="773"/>
      <c r="GA1051" s="773"/>
      <c r="GB1051" s="773"/>
      <c r="GC1051" s="773"/>
      <c r="GD1051" s="773"/>
      <c r="GE1051" s="773"/>
      <c r="GF1051" s="773"/>
      <c r="GG1051" s="773"/>
      <c r="GH1051" s="773"/>
      <c r="GI1051" s="773"/>
      <c r="GJ1051" s="773"/>
      <c r="GK1051" s="773"/>
      <c r="GL1051" s="773"/>
      <c r="GM1051" s="773"/>
      <c r="GN1051" s="773"/>
      <c r="GO1051" s="773"/>
      <c r="GP1051" s="773"/>
      <c r="GQ1051" s="773"/>
      <c r="GR1051" s="773"/>
      <c r="GS1051" s="773"/>
      <c r="GT1051" s="773"/>
      <c r="GU1051" s="773"/>
      <c r="GV1051" s="773"/>
      <c r="GW1051" s="773"/>
      <c r="GX1051" s="773"/>
      <c r="GY1051" s="773"/>
      <c r="GZ1051" s="773"/>
    </row>
    <row r="1052" spans="1:208" s="11" customFormat="1">
      <c r="A1052" s="774"/>
      <c r="B1052" s="766"/>
      <c r="C1052" s="1067"/>
      <c r="D1052" s="992" t="s">
        <v>615</v>
      </c>
      <c r="E1052" s="769"/>
      <c r="F1052" s="769"/>
      <c r="G1052" s="769"/>
      <c r="H1052" s="769"/>
      <c r="I1052" s="769"/>
      <c r="J1052" s="916">
        <f>J1023</f>
        <v>25089.13</v>
      </c>
      <c r="K1052" s="209"/>
      <c r="L1052" s="1072"/>
      <c r="M1052" s="1074"/>
      <c r="N1052" s="773"/>
      <c r="O1052" s="773"/>
      <c r="P1052" s="772"/>
      <c r="Q1052" s="772"/>
      <c r="R1052" s="772"/>
      <c r="S1052" s="772"/>
      <c r="T1052" s="773"/>
      <c r="V1052" s="773"/>
      <c r="W1052" s="773"/>
      <c r="X1052" s="773"/>
      <c r="AV1052" s="773"/>
      <c r="AW1052" s="2510"/>
      <c r="BC1052" s="2510"/>
      <c r="BD1052" s="2510"/>
      <c r="BE1052" s="2173"/>
      <c r="BF1052" s="2173"/>
      <c r="BG1052" s="2173"/>
      <c r="BH1052" s="2173"/>
      <c r="BI1052" s="2173"/>
      <c r="BJ1052" s="2173"/>
      <c r="BK1052" s="2173"/>
      <c r="BN1052" s="820"/>
      <c r="DB1052" s="773"/>
      <c r="DC1052" s="773"/>
      <c r="DD1052" s="773"/>
      <c r="DE1052" s="773"/>
      <c r="DF1052" s="773"/>
      <c r="DG1052" s="773"/>
      <c r="DH1052" s="773"/>
      <c r="DI1052" s="773"/>
      <c r="DJ1052" s="773"/>
      <c r="DK1052" s="773"/>
      <c r="DL1052" s="773"/>
      <c r="DM1052" s="773"/>
      <c r="DN1052" s="773"/>
      <c r="DO1052" s="773"/>
      <c r="DP1052" s="773"/>
      <c r="DQ1052" s="773"/>
      <c r="DR1052" s="773"/>
      <c r="DS1052" s="773"/>
      <c r="DT1052" s="773"/>
      <c r="DU1052" s="773"/>
      <c r="DV1052" s="773"/>
      <c r="DW1052" s="773"/>
      <c r="DX1052" s="773"/>
      <c r="DY1052" s="773"/>
      <c r="DZ1052" s="773"/>
      <c r="EA1052" s="773"/>
      <c r="EB1052" s="773"/>
      <c r="EC1052" s="773"/>
      <c r="ED1052" s="773"/>
      <c r="EE1052" s="773"/>
      <c r="EF1052" s="773"/>
      <c r="EG1052" s="773"/>
      <c r="EH1052" s="773"/>
      <c r="EI1052" s="773"/>
      <c r="EJ1052" s="773"/>
      <c r="EK1052" s="773"/>
      <c r="EL1052" s="773"/>
      <c r="EM1052" s="773"/>
      <c r="EN1052" s="773"/>
      <c r="EO1052" s="773"/>
      <c r="EP1052" s="773"/>
      <c r="EQ1052" s="773"/>
      <c r="ER1052" s="773"/>
      <c r="ES1052" s="773"/>
      <c r="ET1052" s="773"/>
      <c r="EU1052" s="773"/>
      <c r="EV1052" s="773"/>
      <c r="EW1052" s="773"/>
      <c r="EX1052" s="773"/>
      <c r="EY1052" s="773"/>
      <c r="EZ1052" s="773"/>
      <c r="FA1052" s="773"/>
      <c r="FB1052" s="773"/>
      <c r="FC1052" s="773"/>
      <c r="FD1052" s="773"/>
      <c r="FE1052" s="773"/>
      <c r="FF1052" s="773"/>
      <c r="FG1052" s="773"/>
      <c r="FH1052" s="773"/>
      <c r="FI1052" s="773"/>
      <c r="FJ1052" s="773"/>
      <c r="FK1052" s="773"/>
      <c r="FL1052" s="773"/>
      <c r="FM1052" s="773"/>
      <c r="FN1052" s="773"/>
      <c r="FO1052" s="773"/>
      <c r="FP1052" s="773"/>
      <c r="FQ1052" s="773"/>
      <c r="FR1052" s="773"/>
      <c r="FS1052" s="773"/>
      <c r="FT1052" s="773"/>
      <c r="FU1052" s="773"/>
      <c r="FV1052" s="773"/>
      <c r="FW1052" s="773"/>
      <c r="FX1052" s="773"/>
      <c r="FY1052" s="773"/>
      <c r="FZ1052" s="773"/>
      <c r="GA1052" s="773"/>
      <c r="GB1052" s="773"/>
      <c r="GC1052" s="773"/>
      <c r="GD1052" s="773"/>
      <c r="GE1052" s="773"/>
      <c r="GF1052" s="773"/>
      <c r="GG1052" s="773"/>
      <c r="GH1052" s="773"/>
      <c r="GI1052" s="773"/>
      <c r="GJ1052" s="773"/>
      <c r="GK1052" s="773"/>
      <c r="GL1052" s="773"/>
      <c r="GM1052" s="773"/>
      <c r="GN1052" s="773"/>
      <c r="GO1052" s="773"/>
      <c r="GP1052" s="773"/>
      <c r="GQ1052" s="773"/>
      <c r="GR1052" s="773"/>
      <c r="GS1052" s="773"/>
      <c r="GT1052" s="773"/>
      <c r="GU1052" s="773"/>
      <c r="GV1052" s="773"/>
      <c r="GW1052" s="773"/>
      <c r="GX1052" s="773"/>
      <c r="GY1052" s="773"/>
      <c r="GZ1052" s="773"/>
    </row>
    <row r="1053" spans="1:208" s="11" customFormat="1">
      <c r="A1053" s="917"/>
      <c r="B1053" s="918"/>
      <c r="C1053" s="1067"/>
      <c r="D1053" s="1076"/>
      <c r="E1053" s="769"/>
      <c r="F1053" s="769"/>
      <c r="G1053" s="769"/>
      <c r="H1053" s="769"/>
      <c r="I1053" s="769"/>
      <c r="J1053" s="769"/>
      <c r="K1053" s="209"/>
      <c r="L1053" s="1072"/>
      <c r="M1053" s="1074"/>
      <c r="N1053" s="773"/>
      <c r="O1053" s="773"/>
      <c r="P1053" s="772"/>
      <c r="Q1053" s="772"/>
      <c r="R1053" s="772"/>
      <c r="S1053" s="772"/>
      <c r="T1053" s="773"/>
      <c r="V1053" s="773"/>
      <c r="W1053" s="773"/>
      <c r="X1053" s="773"/>
      <c r="AV1053" s="773"/>
      <c r="AW1053" s="2510"/>
      <c r="BC1053" s="2510"/>
      <c r="BD1053" s="2510"/>
      <c r="BE1053" s="2173"/>
      <c r="BF1053" s="2173"/>
      <c r="BG1053" s="2173"/>
      <c r="BH1053" s="2173"/>
      <c r="BI1053" s="2173"/>
      <c r="BJ1053" s="2173"/>
      <c r="BK1053" s="2173"/>
      <c r="BN1053" s="820"/>
      <c r="DB1053" s="773"/>
      <c r="DC1053" s="773"/>
      <c r="DD1053" s="773"/>
      <c r="DE1053" s="773"/>
      <c r="DF1053" s="773"/>
      <c r="DG1053" s="773"/>
      <c r="DH1053" s="773"/>
      <c r="DI1053" s="773"/>
      <c r="DJ1053" s="773"/>
      <c r="DK1053" s="773"/>
      <c r="DL1053" s="773"/>
      <c r="DM1053" s="773"/>
      <c r="DN1053" s="773"/>
      <c r="DO1053" s="773"/>
      <c r="DP1053" s="773"/>
      <c r="DQ1053" s="773"/>
      <c r="DR1053" s="773"/>
      <c r="DS1053" s="773"/>
      <c r="DT1053" s="773"/>
      <c r="DU1053" s="773"/>
      <c r="DV1053" s="773"/>
      <c r="DW1053" s="773"/>
      <c r="DX1053" s="773"/>
      <c r="DY1053" s="773"/>
      <c r="DZ1053" s="773"/>
      <c r="EA1053" s="773"/>
      <c r="EB1053" s="773"/>
      <c r="EC1053" s="773"/>
      <c r="ED1053" s="773"/>
      <c r="EE1053" s="773"/>
      <c r="EF1053" s="773"/>
      <c r="EG1053" s="773"/>
      <c r="EH1053" s="773"/>
      <c r="EI1053" s="773"/>
      <c r="EJ1053" s="773"/>
      <c r="EK1053" s="773"/>
      <c r="EL1053" s="773"/>
      <c r="EM1053" s="773"/>
      <c r="EN1053" s="773"/>
      <c r="EO1053" s="773"/>
      <c r="EP1053" s="773"/>
      <c r="EQ1053" s="773"/>
      <c r="ER1053" s="773"/>
      <c r="ES1053" s="773"/>
      <c r="ET1053" s="773"/>
      <c r="EU1053" s="773"/>
      <c r="EV1053" s="773"/>
      <c r="EW1053" s="773"/>
      <c r="EX1053" s="773"/>
      <c r="EY1053" s="773"/>
      <c r="EZ1053" s="773"/>
      <c r="FA1053" s="773"/>
      <c r="FB1053" s="773"/>
      <c r="FC1053" s="773"/>
      <c r="FD1053" s="773"/>
      <c r="FE1053" s="773"/>
      <c r="FF1053" s="773"/>
      <c r="FG1053" s="773"/>
      <c r="FH1053" s="773"/>
      <c r="FI1053" s="773"/>
      <c r="FJ1053" s="773"/>
      <c r="FK1053" s="773"/>
      <c r="FL1053" s="773"/>
      <c r="FM1053" s="773"/>
      <c r="FN1053" s="773"/>
      <c r="FO1053" s="773"/>
      <c r="FP1053" s="773"/>
      <c r="FQ1053" s="773"/>
      <c r="FR1053" s="773"/>
      <c r="FS1053" s="773"/>
      <c r="FT1053" s="773"/>
      <c r="FU1053" s="773"/>
      <c r="FV1053" s="773"/>
      <c r="FW1053" s="773"/>
      <c r="FX1053" s="773"/>
      <c r="FY1053" s="773"/>
      <c r="FZ1053" s="773"/>
      <c r="GA1053" s="773"/>
      <c r="GB1053" s="773"/>
      <c r="GC1053" s="773"/>
      <c r="GD1053" s="773"/>
      <c r="GE1053" s="773"/>
      <c r="GF1053" s="773"/>
      <c r="GG1053" s="773"/>
      <c r="GH1053" s="773"/>
      <c r="GI1053" s="773"/>
      <c r="GJ1053" s="773"/>
      <c r="GK1053" s="773"/>
      <c r="GL1053" s="773"/>
      <c r="GM1053" s="773"/>
      <c r="GN1053" s="773"/>
      <c r="GO1053" s="773"/>
      <c r="GP1053" s="773"/>
      <c r="GQ1053" s="773"/>
      <c r="GR1053" s="773"/>
      <c r="GS1053" s="773"/>
      <c r="GT1053" s="773"/>
      <c r="GU1053" s="773"/>
      <c r="GV1053" s="773"/>
      <c r="GW1053" s="773"/>
      <c r="GX1053" s="773"/>
      <c r="GY1053" s="773"/>
      <c r="GZ1053" s="773"/>
    </row>
    <row r="1054" spans="1:208" s="11" customFormat="1" ht="13.5" thickBot="1">
      <c r="A1054" s="917"/>
      <c r="B1054" s="918"/>
      <c r="C1054" s="1067"/>
      <c r="D1054" s="1077" t="s">
        <v>610</v>
      </c>
      <c r="E1054" s="769"/>
      <c r="F1054" s="769"/>
      <c r="G1054" s="769"/>
      <c r="H1054" s="769"/>
      <c r="I1054" s="769"/>
      <c r="J1054" s="769">
        <f>SUM(J1042:J1053)</f>
        <v>-3125212.0945839817</v>
      </c>
      <c r="K1054" s="209"/>
      <c r="L1054" s="472"/>
      <c r="M1054" s="1074"/>
      <c r="N1054" s="773"/>
      <c r="O1054" s="773"/>
      <c r="P1054" s="772"/>
      <c r="Q1054" s="772"/>
      <c r="R1054" s="772"/>
      <c r="S1054" s="772"/>
      <c r="T1054" s="773"/>
      <c r="V1054" s="773"/>
      <c r="W1054" s="773"/>
      <c r="X1054" s="773"/>
      <c r="AV1054" s="773"/>
      <c r="AW1054" s="2510"/>
      <c r="BC1054" s="2510"/>
      <c r="BD1054" s="2510"/>
      <c r="BE1054" s="2173"/>
      <c r="BF1054" s="2173"/>
      <c r="BG1054" s="2173"/>
      <c r="BH1054" s="2173"/>
      <c r="BI1054" s="2173"/>
      <c r="BJ1054" s="2173"/>
      <c r="BK1054" s="2173"/>
      <c r="BN1054" s="820"/>
      <c r="DB1054" s="773"/>
      <c r="DC1054" s="773"/>
      <c r="DD1054" s="773"/>
      <c r="DE1054" s="773"/>
      <c r="DF1054" s="773"/>
      <c r="DG1054" s="773"/>
      <c r="DH1054" s="773"/>
      <c r="DI1054" s="773"/>
      <c r="DJ1054" s="773"/>
      <c r="DK1054" s="773"/>
      <c r="DL1054" s="773"/>
      <c r="DM1054" s="773"/>
      <c r="DN1054" s="773"/>
      <c r="DO1054" s="773"/>
      <c r="DP1054" s="773"/>
      <c r="DQ1054" s="773"/>
      <c r="DR1054" s="773"/>
      <c r="DS1054" s="773"/>
      <c r="DT1054" s="773"/>
      <c r="DU1054" s="773"/>
      <c r="DV1054" s="773"/>
      <c r="DW1054" s="773"/>
      <c r="DX1054" s="773"/>
      <c r="DY1054" s="773"/>
      <c r="DZ1054" s="773"/>
      <c r="EA1054" s="773"/>
      <c r="EB1054" s="773"/>
      <c r="EC1054" s="773"/>
      <c r="ED1054" s="773"/>
      <c r="EE1054" s="773"/>
      <c r="EF1054" s="773"/>
      <c r="EG1054" s="773"/>
      <c r="EH1054" s="773"/>
      <c r="EI1054" s="773"/>
      <c r="EJ1054" s="773"/>
      <c r="EK1054" s="773"/>
      <c r="EL1054" s="773"/>
      <c r="EM1054" s="773"/>
      <c r="EN1054" s="773"/>
      <c r="EO1054" s="773"/>
      <c r="EP1054" s="773"/>
      <c r="EQ1054" s="773"/>
      <c r="ER1054" s="773"/>
      <c r="ES1054" s="773"/>
      <c r="ET1054" s="773"/>
      <c r="EU1054" s="773"/>
      <c r="EV1054" s="773"/>
      <c r="EW1054" s="773"/>
      <c r="EX1054" s="773"/>
      <c r="EY1054" s="773"/>
      <c r="EZ1054" s="773"/>
      <c r="FA1054" s="773"/>
      <c r="FB1054" s="773"/>
      <c r="FC1054" s="773"/>
      <c r="FD1054" s="773"/>
      <c r="FE1054" s="773"/>
      <c r="FF1054" s="773"/>
      <c r="FG1054" s="773"/>
      <c r="FH1054" s="773"/>
      <c r="FI1054" s="773"/>
      <c r="FJ1054" s="773"/>
      <c r="FK1054" s="773"/>
      <c r="FL1054" s="773"/>
      <c r="FM1054" s="773"/>
      <c r="FN1054" s="773"/>
      <c r="FO1054" s="773"/>
      <c r="FP1054" s="773"/>
      <c r="FQ1054" s="773"/>
      <c r="FR1054" s="773"/>
      <c r="FS1054" s="773"/>
      <c r="FT1054" s="773"/>
      <c r="FU1054" s="773"/>
      <c r="FV1054" s="773"/>
      <c r="FW1054" s="773"/>
      <c r="FX1054" s="773"/>
      <c r="FY1054" s="773"/>
      <c r="FZ1054" s="773"/>
      <c r="GA1054" s="773"/>
      <c r="GB1054" s="773"/>
      <c r="GC1054" s="773"/>
      <c r="GD1054" s="773"/>
      <c r="GE1054" s="773"/>
      <c r="GF1054" s="773"/>
      <c r="GG1054" s="773"/>
      <c r="GH1054" s="773"/>
      <c r="GI1054" s="773"/>
      <c r="GJ1054" s="773"/>
      <c r="GK1054" s="773"/>
      <c r="GL1054" s="773"/>
      <c r="GM1054" s="773"/>
      <c r="GN1054" s="773"/>
      <c r="GO1054" s="773"/>
      <c r="GP1054" s="773"/>
      <c r="GQ1054" s="773"/>
      <c r="GR1054" s="773"/>
      <c r="GS1054" s="773"/>
      <c r="GT1054" s="773"/>
      <c r="GU1054" s="773"/>
      <c r="GV1054" s="773"/>
      <c r="GW1054" s="773"/>
      <c r="GX1054" s="773"/>
      <c r="GY1054" s="773"/>
      <c r="GZ1054" s="773"/>
    </row>
    <row r="1055" spans="1:208" s="11" customFormat="1" ht="13.5" thickBot="1">
      <c r="A1055" s="917"/>
      <c r="B1055" s="918"/>
      <c r="C1055" s="1067"/>
      <c r="D1055" s="1076"/>
      <c r="E1055" s="769"/>
      <c r="F1055" s="769"/>
      <c r="G1055" s="769"/>
      <c r="H1055" s="769"/>
      <c r="I1055" s="799"/>
      <c r="J1055" s="956">
        <f>+J1054-J1037</f>
        <v>0</v>
      </c>
      <c r="K1055" s="209"/>
      <c r="L1055" s="472"/>
      <c r="M1055" s="1074"/>
      <c r="N1055" s="773"/>
      <c r="O1055" s="773"/>
      <c r="P1055" s="772"/>
      <c r="Q1055" s="772"/>
      <c r="R1055" s="772"/>
      <c r="S1055" s="772"/>
      <c r="T1055" s="773"/>
      <c r="V1055" s="773"/>
      <c r="W1055" s="773"/>
      <c r="X1055" s="773"/>
      <c r="AV1055" s="773"/>
      <c r="AW1055" s="2510"/>
      <c r="BC1055" s="2510"/>
      <c r="BD1055" s="2510"/>
      <c r="BE1055" s="2173"/>
      <c r="BF1055" s="2173"/>
      <c r="BG1055" s="2173"/>
      <c r="BH1055" s="2173"/>
      <c r="BI1055" s="2173"/>
      <c r="BJ1055" s="2173"/>
      <c r="BK1055" s="2173"/>
      <c r="BN1055" s="820"/>
      <c r="DB1055" s="773"/>
      <c r="DC1055" s="773"/>
      <c r="DD1055" s="773"/>
      <c r="DE1055" s="773"/>
      <c r="DF1055" s="773"/>
      <c r="DG1055" s="773"/>
      <c r="DH1055" s="773"/>
      <c r="DI1055" s="773"/>
      <c r="DJ1055" s="773"/>
      <c r="DK1055" s="773"/>
      <c r="DL1055" s="773"/>
      <c r="DM1055" s="773"/>
      <c r="DN1055" s="773"/>
      <c r="DO1055" s="773"/>
      <c r="DP1055" s="773"/>
      <c r="DQ1055" s="773"/>
      <c r="DR1055" s="773"/>
      <c r="DS1055" s="773"/>
      <c r="DT1055" s="773"/>
      <c r="DU1055" s="773"/>
      <c r="DV1055" s="773"/>
      <c r="DW1055" s="773"/>
      <c r="DX1055" s="773"/>
      <c r="DY1055" s="773"/>
      <c r="DZ1055" s="773"/>
      <c r="EA1055" s="773"/>
      <c r="EB1055" s="773"/>
      <c r="EC1055" s="773"/>
      <c r="ED1055" s="773"/>
      <c r="EE1055" s="773"/>
      <c r="EF1055" s="773"/>
      <c r="EG1055" s="773"/>
      <c r="EH1055" s="773"/>
      <c r="EI1055" s="773"/>
      <c r="EJ1055" s="773"/>
      <c r="EK1055" s="773"/>
      <c r="EL1055" s="773"/>
      <c r="EM1055" s="773"/>
      <c r="EN1055" s="773"/>
      <c r="EO1055" s="773"/>
      <c r="EP1055" s="773"/>
      <c r="EQ1055" s="773"/>
      <c r="ER1055" s="773"/>
      <c r="ES1055" s="773"/>
      <c r="ET1055" s="773"/>
      <c r="EU1055" s="773"/>
      <c r="EV1055" s="773"/>
      <c r="EW1055" s="773"/>
      <c r="EX1055" s="773"/>
      <c r="EY1055" s="773"/>
      <c r="EZ1055" s="773"/>
      <c r="FA1055" s="773"/>
      <c r="FB1055" s="773"/>
      <c r="FC1055" s="773"/>
      <c r="FD1055" s="773"/>
      <c r="FE1055" s="773"/>
      <c r="FF1055" s="773"/>
      <c r="FG1055" s="773"/>
      <c r="FH1055" s="773"/>
      <c r="FI1055" s="773"/>
      <c r="FJ1055" s="773"/>
      <c r="FK1055" s="773"/>
      <c r="FL1055" s="773"/>
      <c r="FM1055" s="773"/>
      <c r="FN1055" s="773"/>
      <c r="FO1055" s="773"/>
      <c r="FP1055" s="773"/>
      <c r="FQ1055" s="773"/>
      <c r="FR1055" s="773"/>
      <c r="FS1055" s="773"/>
      <c r="FT1055" s="773"/>
      <c r="FU1055" s="773"/>
      <c r="FV1055" s="773"/>
      <c r="FW1055" s="773"/>
      <c r="FX1055" s="773"/>
      <c r="FY1055" s="773"/>
      <c r="FZ1055" s="773"/>
      <c r="GA1055" s="773"/>
      <c r="GB1055" s="773"/>
      <c r="GC1055" s="773"/>
      <c r="GD1055" s="773"/>
      <c r="GE1055" s="773"/>
      <c r="GF1055" s="773"/>
      <c r="GG1055" s="773"/>
      <c r="GH1055" s="773"/>
      <c r="GI1055" s="773"/>
      <c r="GJ1055" s="773"/>
      <c r="GK1055" s="773"/>
      <c r="GL1055" s="773"/>
      <c r="GM1055" s="773"/>
      <c r="GN1055" s="773"/>
      <c r="GO1055" s="773"/>
      <c r="GP1055" s="773"/>
      <c r="GQ1055" s="773"/>
      <c r="GR1055" s="773"/>
      <c r="GS1055" s="773"/>
      <c r="GT1055" s="773"/>
      <c r="GU1055" s="773"/>
      <c r="GV1055" s="773"/>
      <c r="GW1055" s="773"/>
      <c r="GX1055" s="773"/>
      <c r="GY1055" s="773"/>
      <c r="GZ1055" s="773"/>
    </row>
    <row r="1056" spans="1:208" s="11" customFormat="1">
      <c r="A1056" s="917"/>
      <c r="B1056" s="918"/>
      <c r="C1056" s="1067"/>
      <c r="D1056" s="1076"/>
      <c r="E1056" s="769"/>
      <c r="F1056" s="769"/>
      <c r="G1056" s="769"/>
      <c r="H1056" s="769"/>
      <c r="I1056" s="769"/>
      <c r="J1056" s="919"/>
      <c r="K1056" s="209"/>
      <c r="L1056" s="472"/>
      <c r="M1056" s="1074"/>
      <c r="N1056" s="773"/>
      <c r="O1056" s="773"/>
      <c r="P1056" s="772"/>
      <c r="Q1056" s="772"/>
      <c r="R1056" s="772"/>
      <c r="S1056" s="772"/>
      <c r="T1056" s="773"/>
      <c r="V1056" s="773"/>
      <c r="W1056" s="773"/>
      <c r="X1056" s="773"/>
      <c r="AV1056" s="773"/>
      <c r="AW1056" s="2510"/>
      <c r="BC1056" s="2510"/>
      <c r="BD1056" s="2510"/>
      <c r="BE1056" s="2173"/>
      <c r="BF1056" s="2173"/>
      <c r="BG1056" s="2173"/>
      <c r="BH1056" s="2173"/>
      <c r="BI1056" s="2173"/>
      <c r="BJ1056" s="2173"/>
      <c r="BK1056" s="2173"/>
      <c r="BN1056" s="820"/>
      <c r="DB1056" s="773"/>
      <c r="DC1056" s="773"/>
      <c r="DD1056" s="773"/>
      <c r="DE1056" s="773"/>
      <c r="DF1056" s="773"/>
      <c r="DG1056" s="773"/>
      <c r="DH1056" s="773"/>
      <c r="DI1056" s="773"/>
      <c r="DJ1056" s="773"/>
      <c r="DK1056" s="773"/>
      <c r="DL1056" s="773"/>
      <c r="DM1056" s="773"/>
      <c r="DN1056" s="773"/>
      <c r="DO1056" s="773"/>
      <c r="DP1056" s="773"/>
      <c r="DQ1056" s="773"/>
      <c r="DR1056" s="773"/>
      <c r="DS1056" s="773"/>
      <c r="DT1056" s="773"/>
      <c r="DU1056" s="773"/>
      <c r="DV1056" s="773"/>
      <c r="DW1056" s="773"/>
      <c r="DX1056" s="773"/>
      <c r="DY1056" s="773"/>
      <c r="DZ1056" s="773"/>
      <c r="EA1056" s="773"/>
      <c r="EB1056" s="773"/>
      <c r="EC1056" s="773"/>
      <c r="ED1056" s="773"/>
      <c r="EE1056" s="773"/>
      <c r="EF1056" s="773"/>
      <c r="EG1056" s="773"/>
      <c r="EH1056" s="773"/>
      <c r="EI1056" s="773"/>
      <c r="EJ1056" s="773"/>
      <c r="EK1056" s="773"/>
      <c r="EL1056" s="773"/>
      <c r="EM1056" s="773"/>
      <c r="EN1056" s="773"/>
      <c r="EO1056" s="773"/>
      <c r="EP1056" s="773"/>
      <c r="EQ1056" s="773"/>
      <c r="ER1056" s="773"/>
      <c r="ES1056" s="773"/>
      <c r="ET1056" s="773"/>
      <c r="EU1056" s="773"/>
      <c r="EV1056" s="773"/>
      <c r="EW1056" s="773"/>
      <c r="EX1056" s="773"/>
      <c r="EY1056" s="773"/>
      <c r="EZ1056" s="773"/>
      <c r="FA1056" s="773"/>
      <c r="FB1056" s="773"/>
      <c r="FC1056" s="773"/>
      <c r="FD1056" s="773"/>
      <c r="FE1056" s="773"/>
      <c r="FF1056" s="773"/>
      <c r="FG1056" s="773"/>
      <c r="FH1056" s="773"/>
      <c r="FI1056" s="773"/>
      <c r="FJ1056" s="773"/>
      <c r="FK1056" s="773"/>
      <c r="FL1056" s="773"/>
      <c r="FM1056" s="773"/>
      <c r="FN1056" s="773"/>
      <c r="FO1056" s="773"/>
      <c r="FP1056" s="773"/>
      <c r="FQ1056" s="773"/>
      <c r="FR1056" s="773"/>
      <c r="FS1056" s="773"/>
      <c r="FT1056" s="773"/>
      <c r="FU1056" s="773"/>
      <c r="FV1056" s="773"/>
      <c r="FW1056" s="773"/>
      <c r="FX1056" s="773"/>
      <c r="FY1056" s="773"/>
      <c r="FZ1056" s="773"/>
      <c r="GA1056" s="773"/>
      <c r="GB1056" s="773"/>
      <c r="GC1056" s="773"/>
      <c r="GD1056" s="773"/>
      <c r="GE1056" s="773"/>
      <c r="GF1056" s="773"/>
      <c r="GG1056" s="773"/>
      <c r="GH1056" s="773"/>
      <c r="GI1056" s="773"/>
      <c r="GJ1056" s="773"/>
      <c r="GK1056" s="773"/>
      <c r="GL1056" s="773"/>
      <c r="GM1056" s="773"/>
      <c r="GN1056" s="773"/>
      <c r="GO1056" s="773"/>
      <c r="GP1056" s="773"/>
      <c r="GQ1056" s="773"/>
      <c r="GR1056" s="773"/>
      <c r="GS1056" s="773"/>
      <c r="GT1056" s="773"/>
      <c r="GU1056" s="773"/>
      <c r="GV1056" s="773"/>
      <c r="GW1056" s="773"/>
      <c r="GX1056" s="773"/>
      <c r="GY1056" s="773"/>
      <c r="GZ1056" s="773"/>
    </row>
    <row r="1057" spans="1:208" s="11" customFormat="1">
      <c r="A1057" s="917"/>
      <c r="B1057" s="918"/>
      <c r="C1057" s="1067"/>
      <c r="D1057" s="992" t="s">
        <v>610</v>
      </c>
      <c r="E1057" s="769"/>
      <c r="F1057" s="769"/>
      <c r="G1057" s="769"/>
      <c r="H1057" s="769"/>
      <c r="I1057" s="769"/>
      <c r="J1057" s="769">
        <f>+J1054</f>
        <v>-3125212.0945839817</v>
      </c>
      <c r="K1057" s="209"/>
      <c r="L1057" s="1078"/>
      <c r="M1057" s="1074"/>
      <c r="N1057" s="773"/>
      <c r="O1057" s="773"/>
      <c r="P1057" s="772"/>
      <c r="Q1057" s="772"/>
      <c r="R1057" s="772"/>
      <c r="S1057" s="772"/>
      <c r="T1057" s="773"/>
      <c r="V1057" s="773"/>
      <c r="W1057" s="773"/>
      <c r="X1057" s="773"/>
      <c r="AV1057" s="773"/>
      <c r="AW1057" s="2510"/>
      <c r="BC1057" s="2510"/>
      <c r="BD1057" s="2510"/>
      <c r="BE1057" s="2173"/>
      <c r="BF1057" s="2173"/>
      <c r="BG1057" s="2173"/>
      <c r="BH1057" s="2173"/>
      <c r="BI1057" s="2173"/>
      <c r="BJ1057" s="2173"/>
      <c r="BK1057" s="2173"/>
      <c r="BN1057" s="820"/>
      <c r="DB1057" s="773"/>
      <c r="DC1057" s="773"/>
      <c r="DD1057" s="773"/>
      <c r="DE1057" s="773"/>
      <c r="DF1057" s="773"/>
      <c r="DG1057" s="773"/>
      <c r="DH1057" s="773"/>
      <c r="DI1057" s="773"/>
      <c r="DJ1057" s="773"/>
      <c r="DK1057" s="773"/>
      <c r="DL1057" s="773"/>
      <c r="DM1057" s="773"/>
      <c r="DN1057" s="773"/>
      <c r="DO1057" s="773"/>
      <c r="DP1057" s="773"/>
      <c r="DQ1057" s="773"/>
      <c r="DR1057" s="773"/>
      <c r="DS1057" s="773"/>
      <c r="DT1057" s="773"/>
      <c r="DU1057" s="773"/>
      <c r="DV1057" s="773"/>
      <c r="DW1057" s="773"/>
      <c r="DX1057" s="773"/>
      <c r="DY1057" s="773"/>
      <c r="DZ1057" s="773"/>
      <c r="EA1057" s="773"/>
      <c r="EB1057" s="773"/>
      <c r="EC1057" s="773"/>
      <c r="ED1057" s="773"/>
      <c r="EE1057" s="773"/>
      <c r="EF1057" s="773"/>
      <c r="EG1057" s="773"/>
      <c r="EH1057" s="773"/>
      <c r="EI1057" s="773"/>
      <c r="EJ1057" s="773"/>
      <c r="EK1057" s="773"/>
      <c r="EL1057" s="773"/>
      <c r="EM1057" s="773"/>
      <c r="EN1057" s="773"/>
      <c r="EO1057" s="773"/>
      <c r="EP1057" s="773"/>
      <c r="EQ1057" s="773"/>
      <c r="ER1057" s="773"/>
      <c r="ES1057" s="773"/>
      <c r="ET1057" s="773"/>
      <c r="EU1057" s="773"/>
      <c r="EV1057" s="773"/>
      <c r="EW1057" s="773"/>
      <c r="EX1057" s="773"/>
      <c r="EY1057" s="773"/>
      <c r="EZ1057" s="773"/>
      <c r="FA1057" s="773"/>
      <c r="FB1057" s="773"/>
      <c r="FC1057" s="773"/>
      <c r="FD1057" s="773"/>
      <c r="FE1057" s="773"/>
      <c r="FF1057" s="773"/>
      <c r="FG1057" s="773"/>
      <c r="FH1057" s="773"/>
      <c r="FI1057" s="773"/>
      <c r="FJ1057" s="773"/>
      <c r="FK1057" s="773"/>
      <c r="FL1057" s="773"/>
      <c r="FM1057" s="773"/>
      <c r="FN1057" s="773"/>
      <c r="FO1057" s="773"/>
      <c r="FP1057" s="773"/>
      <c r="FQ1057" s="773"/>
      <c r="FR1057" s="773"/>
      <c r="FS1057" s="773"/>
      <c r="FT1057" s="773"/>
      <c r="FU1057" s="773"/>
      <c r="FV1057" s="773"/>
      <c r="FW1057" s="773"/>
      <c r="FX1057" s="773"/>
      <c r="FY1057" s="773"/>
      <c r="FZ1057" s="773"/>
      <c r="GA1057" s="773"/>
      <c r="GB1057" s="773"/>
      <c r="GC1057" s="773"/>
      <c r="GD1057" s="773"/>
      <c r="GE1057" s="773"/>
      <c r="GF1057" s="773"/>
      <c r="GG1057" s="773"/>
      <c r="GH1057" s="773"/>
      <c r="GI1057" s="773"/>
      <c r="GJ1057" s="773"/>
      <c r="GK1057" s="773"/>
      <c r="GL1057" s="773"/>
      <c r="GM1057" s="773"/>
      <c r="GN1057" s="773"/>
      <c r="GO1057" s="773"/>
      <c r="GP1057" s="773"/>
      <c r="GQ1057" s="773"/>
      <c r="GR1057" s="773"/>
      <c r="GS1057" s="773"/>
      <c r="GT1057" s="773"/>
      <c r="GU1057" s="773"/>
      <c r="GV1057" s="773"/>
      <c r="GW1057" s="773"/>
      <c r="GX1057" s="773"/>
      <c r="GY1057" s="773"/>
      <c r="GZ1057" s="773"/>
    </row>
    <row r="1058" spans="1:208" s="11" customFormat="1">
      <c r="A1058" s="917"/>
      <c r="B1058" s="918"/>
      <c r="C1058" s="1067"/>
      <c r="D1058" s="992" t="s">
        <v>256</v>
      </c>
      <c r="E1058" s="769"/>
      <c r="F1058" s="769"/>
      <c r="G1058" s="769"/>
      <c r="H1058" s="769"/>
      <c r="I1058" s="769"/>
      <c r="J1058" s="769">
        <f>-J1051</f>
        <v>-10682.025416020295</v>
      </c>
      <c r="K1058" s="209"/>
      <c r="L1058" s="1078"/>
      <c r="M1058" s="1074"/>
      <c r="N1058" s="773"/>
      <c r="O1058" s="773"/>
      <c r="P1058" s="772"/>
      <c r="Q1058" s="772"/>
      <c r="R1058" s="772"/>
      <c r="S1058" s="772"/>
      <c r="T1058" s="773"/>
      <c r="V1058" s="773"/>
      <c r="W1058" s="773"/>
      <c r="X1058" s="773"/>
      <c r="Z1058" s="773"/>
      <c r="AA1058" s="773"/>
      <c r="AB1058" s="773"/>
      <c r="AC1058" s="773"/>
      <c r="AD1058" s="773"/>
      <c r="AE1058" s="773"/>
      <c r="AF1058" s="773"/>
      <c r="AG1058" s="773"/>
      <c r="AH1058" s="773"/>
      <c r="AI1058" s="773"/>
      <c r="AJ1058" s="773"/>
      <c r="AK1058" s="773"/>
      <c r="AL1058" s="773"/>
      <c r="AM1058" s="773"/>
      <c r="AN1058" s="773"/>
      <c r="AO1058" s="773"/>
      <c r="AP1058" s="773"/>
      <c r="AQ1058" s="773"/>
      <c r="AR1058" s="773"/>
      <c r="AS1058" s="773"/>
      <c r="AT1058" s="773"/>
      <c r="AU1058" s="773"/>
      <c r="AV1058" s="773"/>
      <c r="AW1058" s="2510"/>
      <c r="BC1058" s="2510"/>
      <c r="BD1058" s="2510"/>
      <c r="BE1058" s="2173"/>
      <c r="BF1058" s="2173"/>
      <c r="BG1058" s="2173"/>
      <c r="BH1058" s="2173"/>
      <c r="BI1058" s="2173"/>
      <c r="BJ1058" s="2173"/>
      <c r="BK1058" s="2173"/>
      <c r="BN1058" s="820"/>
      <c r="DB1058" s="773"/>
      <c r="DC1058" s="773"/>
      <c r="DD1058" s="773"/>
      <c r="DE1058" s="773"/>
      <c r="DF1058" s="773"/>
      <c r="DG1058" s="773"/>
      <c r="DH1058" s="773"/>
      <c r="DI1058" s="773"/>
      <c r="DJ1058" s="773"/>
      <c r="DK1058" s="773"/>
      <c r="DL1058" s="773"/>
      <c r="DM1058" s="773"/>
      <c r="DN1058" s="773"/>
      <c r="DO1058" s="773"/>
      <c r="DP1058" s="773"/>
      <c r="DQ1058" s="773"/>
      <c r="DR1058" s="773"/>
      <c r="DS1058" s="773"/>
      <c r="DT1058" s="773"/>
      <c r="DU1058" s="773"/>
      <c r="DV1058" s="773"/>
      <c r="DW1058" s="773"/>
      <c r="DX1058" s="773"/>
      <c r="DY1058" s="773"/>
      <c r="DZ1058" s="773"/>
      <c r="EA1058" s="773"/>
      <c r="EB1058" s="773"/>
      <c r="EC1058" s="773"/>
      <c r="ED1058" s="773"/>
      <c r="EE1058" s="773"/>
      <c r="EF1058" s="773"/>
      <c r="EG1058" s="773"/>
      <c r="EH1058" s="773"/>
      <c r="EI1058" s="773"/>
      <c r="EJ1058" s="773"/>
      <c r="EK1058" s="773"/>
      <c r="EL1058" s="773"/>
      <c r="EM1058" s="773"/>
      <c r="EN1058" s="773"/>
      <c r="EO1058" s="773"/>
      <c r="EP1058" s="773"/>
      <c r="EQ1058" s="773"/>
      <c r="ER1058" s="773"/>
      <c r="ES1058" s="773"/>
      <c r="ET1058" s="773"/>
      <c r="EU1058" s="773"/>
      <c r="EV1058" s="773"/>
      <c r="EW1058" s="773"/>
      <c r="EX1058" s="773"/>
      <c r="EY1058" s="773"/>
      <c r="EZ1058" s="773"/>
      <c r="FA1058" s="773"/>
      <c r="FB1058" s="773"/>
      <c r="FC1058" s="773"/>
      <c r="FD1058" s="773"/>
      <c r="FE1058" s="773"/>
      <c r="FF1058" s="773"/>
      <c r="FG1058" s="773"/>
      <c r="FH1058" s="773"/>
      <c r="FI1058" s="773"/>
      <c r="FJ1058" s="773"/>
      <c r="FK1058" s="773"/>
      <c r="FL1058" s="773"/>
      <c r="FM1058" s="773"/>
      <c r="FN1058" s="773"/>
      <c r="FO1058" s="773"/>
      <c r="FP1058" s="773"/>
      <c r="FQ1058" s="773"/>
      <c r="FR1058" s="773"/>
      <c r="FS1058" s="773"/>
      <c r="FT1058" s="773"/>
      <c r="FU1058" s="773"/>
      <c r="FV1058" s="773"/>
      <c r="FW1058" s="773"/>
      <c r="FX1058" s="773"/>
      <c r="FY1058" s="773"/>
      <c r="FZ1058" s="773"/>
      <c r="GA1058" s="773"/>
      <c r="GB1058" s="773"/>
      <c r="GC1058" s="773"/>
      <c r="GD1058" s="773"/>
      <c r="GE1058" s="773"/>
      <c r="GF1058" s="773"/>
      <c r="GG1058" s="773"/>
      <c r="GH1058" s="773"/>
      <c r="GI1058" s="773"/>
      <c r="GJ1058" s="773"/>
      <c r="GK1058" s="773"/>
      <c r="GL1058" s="773"/>
      <c r="GM1058" s="773"/>
      <c r="GN1058" s="773"/>
      <c r="GO1058" s="773"/>
      <c r="GP1058" s="773"/>
      <c r="GQ1058" s="773"/>
      <c r="GR1058" s="773"/>
      <c r="GS1058" s="773"/>
      <c r="GT1058" s="773"/>
      <c r="GU1058" s="773"/>
      <c r="GV1058" s="773"/>
      <c r="GW1058" s="773"/>
      <c r="GX1058" s="773"/>
      <c r="GY1058" s="773"/>
      <c r="GZ1058" s="773"/>
    </row>
    <row r="1059" spans="1:208" s="11" customFormat="1">
      <c r="A1059" s="917"/>
      <c r="B1059" s="918"/>
      <c r="C1059" s="1067"/>
      <c r="D1059" s="1075"/>
      <c r="E1059" s="769"/>
      <c r="F1059" s="769"/>
      <c r="G1059" s="769"/>
      <c r="H1059" s="769"/>
      <c r="I1059" s="769"/>
      <c r="J1059" s="108"/>
      <c r="K1059" s="209"/>
      <c r="L1059" s="1078"/>
      <c r="M1059" s="1079"/>
      <c r="N1059" s="773"/>
      <c r="O1059" s="773"/>
      <c r="P1059" s="772"/>
      <c r="Q1059" s="772"/>
      <c r="R1059" s="772"/>
      <c r="S1059" s="772"/>
      <c r="T1059" s="773"/>
      <c r="V1059" s="773"/>
      <c r="W1059" s="773"/>
      <c r="X1059" s="773"/>
      <c r="Z1059" s="773"/>
      <c r="AA1059" s="773"/>
      <c r="AB1059" s="773"/>
      <c r="AC1059" s="773"/>
      <c r="AD1059" s="773"/>
      <c r="AE1059" s="773"/>
      <c r="AF1059" s="773"/>
      <c r="AG1059" s="773"/>
      <c r="AH1059" s="773"/>
      <c r="AI1059" s="773"/>
      <c r="AJ1059" s="773"/>
      <c r="AK1059" s="773"/>
      <c r="AL1059" s="773"/>
      <c r="AM1059" s="773"/>
      <c r="AN1059" s="773"/>
      <c r="AO1059" s="773"/>
      <c r="AP1059" s="773"/>
      <c r="AQ1059" s="773"/>
      <c r="AR1059" s="773"/>
      <c r="AS1059" s="773"/>
      <c r="AT1059" s="773"/>
      <c r="AU1059" s="773"/>
      <c r="AV1059" s="773"/>
      <c r="AW1059" s="2510"/>
      <c r="BC1059" s="2510"/>
      <c r="BD1059" s="2510"/>
      <c r="BE1059" s="2173"/>
      <c r="BF1059" s="2173"/>
      <c r="BG1059" s="2173"/>
      <c r="BH1059" s="2173"/>
      <c r="BI1059" s="2173"/>
      <c r="BJ1059" s="2173"/>
      <c r="BK1059" s="2173"/>
      <c r="BN1059" s="820"/>
      <c r="DB1059" s="773"/>
      <c r="DC1059" s="773"/>
      <c r="DD1059" s="773"/>
      <c r="DE1059" s="773"/>
      <c r="DF1059" s="773"/>
      <c r="DG1059" s="773"/>
      <c r="DH1059" s="773"/>
      <c r="DI1059" s="773"/>
      <c r="DJ1059" s="773"/>
      <c r="DK1059" s="773"/>
      <c r="DL1059" s="773"/>
      <c r="DM1059" s="773"/>
      <c r="DN1059" s="773"/>
      <c r="DO1059" s="773"/>
      <c r="DP1059" s="773"/>
      <c r="DQ1059" s="773"/>
      <c r="DR1059" s="773"/>
      <c r="DS1059" s="773"/>
      <c r="DT1059" s="773"/>
      <c r="DU1059" s="773"/>
      <c r="DV1059" s="773"/>
      <c r="DW1059" s="773"/>
      <c r="DX1059" s="773"/>
      <c r="DY1059" s="773"/>
      <c r="DZ1059" s="773"/>
      <c r="EA1059" s="773"/>
      <c r="EB1059" s="773"/>
      <c r="EC1059" s="773"/>
      <c r="ED1059" s="773"/>
      <c r="EE1059" s="773"/>
      <c r="EF1059" s="773"/>
      <c r="EG1059" s="773"/>
      <c r="EH1059" s="773"/>
      <c r="EI1059" s="773"/>
      <c r="EJ1059" s="773"/>
      <c r="EK1059" s="773"/>
      <c r="EL1059" s="773"/>
      <c r="EM1059" s="773"/>
      <c r="EN1059" s="773"/>
      <c r="EO1059" s="773"/>
      <c r="EP1059" s="773"/>
      <c r="EQ1059" s="773"/>
      <c r="ER1059" s="773"/>
      <c r="ES1059" s="773"/>
      <c r="ET1059" s="773"/>
      <c r="EU1059" s="773"/>
      <c r="EV1059" s="773"/>
      <c r="EW1059" s="773"/>
      <c r="EX1059" s="773"/>
      <c r="EY1059" s="773"/>
      <c r="EZ1059" s="773"/>
      <c r="FA1059" s="773"/>
      <c r="FB1059" s="773"/>
      <c r="FC1059" s="773"/>
      <c r="FD1059" s="773"/>
      <c r="FE1059" s="773"/>
      <c r="FF1059" s="773"/>
      <c r="FG1059" s="773"/>
      <c r="FH1059" s="773"/>
      <c r="FI1059" s="773"/>
      <c r="FJ1059" s="773"/>
      <c r="FK1059" s="773"/>
      <c r="FL1059" s="773"/>
      <c r="FM1059" s="773"/>
      <c r="FN1059" s="773"/>
      <c r="FO1059" s="773"/>
      <c r="FP1059" s="773"/>
      <c r="FQ1059" s="773"/>
      <c r="FR1059" s="773"/>
      <c r="FS1059" s="773"/>
      <c r="FT1059" s="773"/>
      <c r="FU1059" s="773"/>
      <c r="FV1059" s="773"/>
      <c r="FW1059" s="773"/>
      <c r="FX1059" s="773"/>
      <c r="FY1059" s="773"/>
      <c r="FZ1059" s="773"/>
      <c r="GA1059" s="773"/>
      <c r="GB1059" s="773"/>
      <c r="GC1059" s="773"/>
      <c r="GD1059" s="773"/>
      <c r="GE1059" s="773"/>
      <c r="GF1059" s="773"/>
      <c r="GG1059" s="773"/>
      <c r="GH1059" s="773"/>
      <c r="GI1059" s="773"/>
      <c r="GJ1059" s="773"/>
      <c r="GK1059" s="773"/>
      <c r="GL1059" s="773"/>
      <c r="GM1059" s="773"/>
      <c r="GN1059" s="773"/>
      <c r="GO1059" s="773"/>
      <c r="GP1059" s="773"/>
      <c r="GQ1059" s="773"/>
      <c r="GR1059" s="773"/>
      <c r="GS1059" s="773"/>
      <c r="GT1059" s="773"/>
      <c r="GU1059" s="773"/>
      <c r="GV1059" s="773"/>
      <c r="GW1059" s="773"/>
      <c r="GX1059" s="773"/>
      <c r="GY1059" s="773"/>
      <c r="GZ1059" s="773"/>
    </row>
    <row r="1060" spans="1:208" s="11" customFormat="1">
      <c r="A1060" s="917"/>
      <c r="B1060" s="918"/>
      <c r="C1060" s="1067"/>
      <c r="D1060" s="992" t="s">
        <v>617</v>
      </c>
      <c r="E1060" s="769"/>
      <c r="F1060" s="769"/>
      <c r="G1060" s="769"/>
      <c r="H1060" s="769"/>
      <c r="I1060" s="769"/>
      <c r="J1060" s="769">
        <f>-J1049</f>
        <v>-364261.71000000008</v>
      </c>
      <c r="K1060" s="209"/>
      <c r="L1060" s="1078"/>
      <c r="M1060" s="1074"/>
      <c r="N1060" s="773"/>
      <c r="O1060" s="773"/>
      <c r="P1060" s="772"/>
      <c r="Q1060" s="772"/>
      <c r="R1060" s="772"/>
      <c r="S1060" s="772"/>
      <c r="T1060" s="773"/>
      <c r="V1060" s="773"/>
      <c r="W1060" s="773"/>
      <c r="X1060" s="773"/>
      <c r="Z1060" s="773"/>
      <c r="AA1060" s="773"/>
      <c r="AB1060" s="773"/>
      <c r="AC1060" s="773"/>
      <c r="AD1060" s="773"/>
      <c r="AE1060" s="773"/>
      <c r="AF1060" s="773"/>
      <c r="AG1060" s="773"/>
      <c r="AH1060" s="773"/>
      <c r="AI1060" s="773"/>
      <c r="AJ1060" s="773"/>
      <c r="AK1060" s="773"/>
      <c r="AL1060" s="773"/>
      <c r="AM1060" s="773"/>
      <c r="AN1060" s="773"/>
      <c r="AO1060" s="773"/>
      <c r="AP1060" s="773"/>
      <c r="AQ1060" s="773"/>
      <c r="AR1060" s="773"/>
      <c r="AS1060" s="773"/>
      <c r="AT1060" s="773"/>
      <c r="AU1060" s="773"/>
      <c r="AV1060" s="773"/>
      <c r="AW1060" s="2510"/>
      <c r="BC1060" s="2510"/>
      <c r="BD1060" s="2510"/>
      <c r="BE1060" s="2173"/>
      <c r="BF1060" s="2173"/>
      <c r="BG1060" s="2173"/>
      <c r="BH1060" s="2173"/>
      <c r="BI1060" s="2173"/>
      <c r="BJ1060" s="2173"/>
      <c r="BK1060" s="2173"/>
      <c r="BN1060" s="820"/>
      <c r="DB1060" s="773"/>
      <c r="DC1060" s="773"/>
      <c r="DD1060" s="773"/>
      <c r="DE1060" s="773"/>
      <c r="DF1060" s="773"/>
      <c r="DG1060" s="773"/>
      <c r="DH1060" s="773"/>
      <c r="DI1060" s="773"/>
      <c r="DJ1060" s="773"/>
      <c r="DK1060" s="773"/>
      <c r="DL1060" s="773"/>
      <c r="DM1060" s="773"/>
      <c r="DN1060" s="773"/>
      <c r="DO1060" s="773"/>
      <c r="DP1060" s="773"/>
      <c r="DQ1060" s="773"/>
      <c r="DR1060" s="773"/>
      <c r="DS1060" s="773"/>
      <c r="DT1060" s="773"/>
      <c r="DU1060" s="773"/>
      <c r="DV1060" s="773"/>
      <c r="DW1060" s="773"/>
      <c r="DX1060" s="773"/>
      <c r="DY1060" s="773"/>
      <c r="DZ1060" s="773"/>
      <c r="EA1060" s="773"/>
      <c r="EB1060" s="773"/>
      <c r="EC1060" s="773"/>
      <c r="ED1060" s="773"/>
      <c r="EE1060" s="773"/>
      <c r="EF1060" s="773"/>
      <c r="EG1060" s="773"/>
      <c r="EH1060" s="773"/>
      <c r="EI1060" s="773"/>
      <c r="EJ1060" s="773"/>
      <c r="EK1060" s="773"/>
      <c r="EL1060" s="773"/>
      <c r="EM1060" s="773"/>
      <c r="EN1060" s="773"/>
      <c r="EO1060" s="773"/>
      <c r="EP1060" s="773"/>
      <c r="EQ1060" s="773"/>
      <c r="ER1060" s="773"/>
      <c r="ES1060" s="773"/>
      <c r="ET1060" s="773"/>
      <c r="EU1060" s="773"/>
      <c r="EV1060" s="773"/>
      <c r="EW1060" s="773"/>
      <c r="EX1060" s="773"/>
      <c r="EY1060" s="773"/>
      <c r="EZ1060" s="773"/>
      <c r="FA1060" s="773"/>
      <c r="FB1060" s="773"/>
      <c r="FC1060" s="773"/>
      <c r="FD1060" s="773"/>
      <c r="FE1060" s="773"/>
      <c r="FF1060" s="773"/>
      <c r="FG1060" s="773"/>
      <c r="FH1060" s="773"/>
      <c r="FI1060" s="773"/>
      <c r="FJ1060" s="773"/>
      <c r="FK1060" s="773"/>
      <c r="FL1060" s="773"/>
      <c r="FM1060" s="773"/>
      <c r="FN1060" s="773"/>
      <c r="FO1060" s="773"/>
      <c r="FP1060" s="773"/>
      <c r="FQ1060" s="773"/>
      <c r="FR1060" s="773"/>
      <c r="FS1060" s="773"/>
      <c r="FT1060" s="773"/>
      <c r="FU1060" s="773"/>
      <c r="FV1060" s="773"/>
      <c r="FW1060" s="773"/>
      <c r="FX1060" s="773"/>
      <c r="FY1060" s="773"/>
      <c r="FZ1060" s="773"/>
      <c r="GA1060" s="773"/>
      <c r="GB1060" s="773"/>
      <c r="GC1060" s="773"/>
      <c r="GD1060" s="773"/>
      <c r="GE1060" s="773"/>
      <c r="GF1060" s="773"/>
      <c r="GG1060" s="773"/>
      <c r="GH1060" s="773"/>
      <c r="GI1060" s="773"/>
      <c r="GJ1060" s="773"/>
      <c r="GK1060" s="773"/>
      <c r="GL1060" s="773"/>
      <c r="GM1060" s="773"/>
      <c r="GN1060" s="773"/>
      <c r="GO1060" s="773"/>
      <c r="GP1060" s="773"/>
      <c r="GQ1060" s="773"/>
      <c r="GR1060" s="773"/>
      <c r="GS1060" s="773"/>
      <c r="GT1060" s="773"/>
      <c r="GU1060" s="773"/>
      <c r="GV1060" s="773"/>
      <c r="GW1060" s="773"/>
      <c r="GX1060" s="773"/>
      <c r="GY1060" s="773"/>
      <c r="GZ1060" s="773"/>
    </row>
    <row r="1061" spans="1:208" s="11" customFormat="1">
      <c r="A1061" s="917"/>
      <c r="B1061" s="918"/>
      <c r="C1061" s="1067"/>
      <c r="D1061" s="992" t="s">
        <v>2530</v>
      </c>
      <c r="E1061" s="769"/>
      <c r="F1061" s="769"/>
      <c r="G1061" s="769"/>
      <c r="H1061" s="769"/>
      <c r="I1061" s="769"/>
      <c r="J1061" s="108">
        <f>-J1050</f>
        <v>-467953.24</v>
      </c>
      <c r="K1061" s="209"/>
      <c r="L1061" s="1078"/>
      <c r="M1061" s="1074"/>
      <c r="N1061" s="773"/>
      <c r="O1061" s="773"/>
      <c r="P1061" s="772"/>
      <c r="Q1061" s="772"/>
      <c r="R1061" s="772"/>
      <c r="S1061" s="772"/>
      <c r="T1061" s="773"/>
      <c r="V1061" s="773"/>
      <c r="W1061" s="773"/>
      <c r="X1061" s="773"/>
      <c r="Z1061" s="773"/>
      <c r="AA1061" s="773"/>
      <c r="AB1061" s="773"/>
      <c r="AC1061" s="773"/>
      <c r="AD1061" s="773"/>
      <c r="AE1061" s="773"/>
      <c r="AF1061" s="773"/>
      <c r="AG1061" s="773"/>
      <c r="AH1061" s="773"/>
      <c r="AI1061" s="773"/>
      <c r="AJ1061" s="773"/>
      <c r="AK1061" s="773"/>
      <c r="AL1061" s="773"/>
      <c r="AM1061" s="773"/>
      <c r="AN1061" s="773"/>
      <c r="AO1061" s="773"/>
      <c r="AP1061" s="773"/>
      <c r="AQ1061" s="773"/>
      <c r="AR1061" s="773"/>
      <c r="AS1061" s="773"/>
      <c r="AT1061" s="773"/>
      <c r="AU1061" s="773"/>
      <c r="AV1061" s="773"/>
      <c r="AW1061" s="2510"/>
      <c r="BC1061" s="2510"/>
      <c r="BD1061" s="2510"/>
      <c r="BE1061" s="2173"/>
      <c r="BF1061" s="2173"/>
      <c r="BG1061" s="2173"/>
      <c r="BH1061" s="2173"/>
      <c r="BI1061" s="2173"/>
      <c r="BJ1061" s="2173"/>
      <c r="BK1061" s="2173"/>
      <c r="BN1061" s="820"/>
      <c r="DB1061" s="773"/>
      <c r="DC1061" s="773"/>
      <c r="DD1061" s="773"/>
      <c r="DE1061" s="773"/>
      <c r="DF1061" s="773"/>
      <c r="DG1061" s="773"/>
      <c r="DH1061" s="773"/>
      <c r="DI1061" s="773"/>
      <c r="DJ1061" s="773"/>
      <c r="DK1061" s="773"/>
      <c r="DL1061" s="773"/>
      <c r="DM1061" s="773"/>
      <c r="DN1061" s="773"/>
      <c r="DO1061" s="773"/>
      <c r="DP1061" s="773"/>
      <c r="DQ1061" s="773"/>
      <c r="DR1061" s="773"/>
      <c r="DS1061" s="773"/>
      <c r="DT1061" s="773"/>
      <c r="DU1061" s="773"/>
      <c r="DV1061" s="773"/>
      <c r="DW1061" s="773"/>
      <c r="DX1061" s="773"/>
      <c r="DY1061" s="773"/>
      <c r="DZ1061" s="773"/>
      <c r="EA1061" s="773"/>
      <c r="EB1061" s="773"/>
      <c r="EC1061" s="773"/>
      <c r="ED1061" s="773"/>
      <c r="EE1061" s="773"/>
      <c r="EF1061" s="773"/>
      <c r="EG1061" s="773"/>
      <c r="EH1061" s="773"/>
      <c r="EI1061" s="773"/>
      <c r="EJ1061" s="773"/>
      <c r="EK1061" s="773"/>
      <c r="EL1061" s="773"/>
      <c r="EM1061" s="773"/>
      <c r="EN1061" s="773"/>
      <c r="EO1061" s="773"/>
      <c r="EP1061" s="773"/>
      <c r="EQ1061" s="773"/>
      <c r="ER1061" s="773"/>
      <c r="ES1061" s="773"/>
      <c r="ET1061" s="773"/>
      <c r="EU1061" s="773"/>
      <c r="EV1061" s="773"/>
      <c r="EW1061" s="773"/>
      <c r="EX1061" s="773"/>
      <c r="EY1061" s="773"/>
      <c r="EZ1061" s="773"/>
      <c r="FA1061" s="773"/>
      <c r="FB1061" s="773"/>
      <c r="FC1061" s="773"/>
      <c r="FD1061" s="773"/>
      <c r="FE1061" s="773"/>
      <c r="FF1061" s="773"/>
      <c r="FG1061" s="773"/>
      <c r="FH1061" s="773"/>
      <c r="FI1061" s="773"/>
      <c r="FJ1061" s="773"/>
      <c r="FK1061" s="773"/>
      <c r="FL1061" s="773"/>
      <c r="FM1061" s="773"/>
      <c r="FN1061" s="773"/>
      <c r="FO1061" s="773"/>
      <c r="FP1061" s="773"/>
      <c r="FQ1061" s="773"/>
      <c r="FR1061" s="773"/>
      <c r="FS1061" s="773"/>
      <c r="FT1061" s="773"/>
      <c r="FU1061" s="773"/>
      <c r="FV1061" s="773"/>
      <c r="FW1061" s="773"/>
      <c r="FX1061" s="773"/>
      <c r="FY1061" s="773"/>
      <c r="FZ1061" s="773"/>
      <c r="GA1061" s="773"/>
      <c r="GB1061" s="773"/>
      <c r="GC1061" s="773"/>
      <c r="GD1061" s="773"/>
      <c r="GE1061" s="773"/>
      <c r="GF1061" s="773"/>
      <c r="GG1061" s="773"/>
      <c r="GH1061" s="773"/>
      <c r="GI1061" s="773"/>
      <c r="GJ1061" s="773"/>
      <c r="GK1061" s="773"/>
      <c r="GL1061" s="773"/>
      <c r="GM1061" s="773"/>
      <c r="GN1061" s="773"/>
      <c r="GO1061" s="773"/>
      <c r="GP1061" s="773"/>
      <c r="GQ1061" s="773"/>
      <c r="GR1061" s="773"/>
      <c r="GS1061" s="773"/>
      <c r="GT1061" s="773"/>
      <c r="GU1061" s="773"/>
      <c r="GV1061" s="773"/>
      <c r="GW1061" s="773"/>
      <c r="GX1061" s="773"/>
      <c r="GY1061" s="773"/>
      <c r="GZ1061" s="773"/>
    </row>
    <row r="1062" spans="1:208" s="11" customFormat="1">
      <c r="A1062" s="917"/>
      <c r="B1062" s="918"/>
      <c r="C1062" s="1067"/>
      <c r="D1062" s="992" t="s">
        <v>4962</v>
      </c>
      <c r="E1062" s="769"/>
      <c r="F1062" s="769"/>
      <c r="G1062" s="769"/>
      <c r="H1062" s="769"/>
      <c r="I1062" s="769"/>
      <c r="J1062" s="108">
        <f>'[157]1.75M Payment - October'!$D$39</f>
        <v>3095465.3516525114</v>
      </c>
      <c r="K1062" s="209"/>
      <c r="L1062" s="1078"/>
      <c r="M1062" s="1074"/>
      <c r="N1062" s="773"/>
      <c r="O1062" s="773"/>
      <c r="P1062" s="772"/>
      <c r="Q1062" s="772"/>
      <c r="R1062" s="772"/>
      <c r="S1062" s="772"/>
      <c r="T1062" s="773"/>
      <c r="V1062" s="773"/>
      <c r="W1062" s="773"/>
      <c r="X1062" s="773"/>
      <c r="Z1062" s="773"/>
      <c r="AA1062" s="773"/>
      <c r="AB1062" s="773"/>
      <c r="AC1062" s="773"/>
      <c r="AD1062" s="773"/>
      <c r="AE1062" s="773"/>
      <c r="AF1062" s="773"/>
      <c r="AG1062" s="773"/>
      <c r="AH1062" s="773"/>
      <c r="AI1062" s="773"/>
      <c r="AJ1062" s="773"/>
      <c r="AK1062" s="773"/>
      <c r="AL1062" s="773"/>
      <c r="AM1062" s="773"/>
      <c r="AN1062" s="773"/>
      <c r="AO1062" s="773"/>
      <c r="AP1062" s="773"/>
      <c r="AQ1062" s="773"/>
      <c r="AR1062" s="773"/>
      <c r="AS1062" s="773"/>
      <c r="AT1062" s="773"/>
      <c r="AU1062" s="773"/>
      <c r="AV1062" s="773"/>
      <c r="AW1062" s="2510"/>
      <c r="BC1062" s="2510"/>
      <c r="BD1062" s="2510"/>
      <c r="BE1062" s="2173"/>
      <c r="BF1062" s="2173"/>
      <c r="BG1062" s="2173"/>
      <c r="BH1062" s="2173"/>
      <c r="BI1062" s="2173"/>
      <c r="BJ1062" s="2173"/>
      <c r="BK1062" s="2173"/>
      <c r="BN1062" s="820"/>
      <c r="DB1062" s="773"/>
      <c r="DC1062" s="773"/>
      <c r="DD1062" s="773"/>
      <c r="DE1062" s="773"/>
      <c r="DF1062" s="773"/>
      <c r="DG1062" s="773"/>
      <c r="DH1062" s="773"/>
      <c r="DI1062" s="773"/>
      <c r="DJ1062" s="773"/>
      <c r="DK1062" s="773"/>
      <c r="DL1062" s="773"/>
      <c r="DM1062" s="773"/>
      <c r="DN1062" s="773"/>
      <c r="DO1062" s="773"/>
      <c r="DP1062" s="773"/>
      <c r="DQ1062" s="773"/>
      <c r="DR1062" s="773"/>
      <c r="DS1062" s="773"/>
      <c r="DT1062" s="773"/>
      <c r="DU1062" s="773"/>
      <c r="DV1062" s="773"/>
      <c r="DW1062" s="773"/>
      <c r="DX1062" s="773"/>
      <c r="DY1062" s="773"/>
      <c r="DZ1062" s="773"/>
      <c r="EA1062" s="773"/>
      <c r="EB1062" s="773"/>
      <c r="EC1062" s="773"/>
      <c r="ED1062" s="773"/>
      <c r="EE1062" s="773"/>
      <c r="EF1062" s="773"/>
      <c r="EG1062" s="773"/>
      <c r="EH1062" s="773"/>
      <c r="EI1062" s="773"/>
      <c r="EJ1062" s="773"/>
      <c r="EK1062" s="773"/>
      <c r="EL1062" s="773"/>
      <c r="EM1062" s="773"/>
      <c r="EN1062" s="773"/>
      <c r="EO1062" s="773"/>
      <c r="EP1062" s="773"/>
      <c r="EQ1062" s="773"/>
      <c r="ER1062" s="773"/>
      <c r="ES1062" s="773"/>
      <c r="ET1062" s="773"/>
      <c r="EU1062" s="773"/>
      <c r="EV1062" s="773"/>
      <c r="EW1062" s="773"/>
      <c r="EX1062" s="773"/>
      <c r="EY1062" s="773"/>
      <c r="EZ1062" s="773"/>
      <c r="FA1062" s="773"/>
      <c r="FB1062" s="773"/>
      <c r="FC1062" s="773"/>
      <c r="FD1062" s="773"/>
      <c r="FE1062" s="773"/>
      <c r="FF1062" s="773"/>
      <c r="FG1062" s="773"/>
      <c r="FH1062" s="773"/>
      <c r="FI1062" s="773"/>
      <c r="FJ1062" s="773"/>
      <c r="FK1062" s="773"/>
      <c r="FL1062" s="773"/>
      <c r="FM1062" s="773"/>
      <c r="FN1062" s="773"/>
      <c r="FO1062" s="773"/>
      <c r="FP1062" s="773"/>
      <c r="FQ1062" s="773"/>
      <c r="FR1062" s="773"/>
      <c r="FS1062" s="773"/>
      <c r="FT1062" s="773"/>
      <c r="FU1062" s="773"/>
      <c r="FV1062" s="773"/>
      <c r="FW1062" s="773"/>
      <c r="FX1062" s="773"/>
      <c r="FY1062" s="773"/>
      <c r="FZ1062" s="773"/>
      <c r="GA1062" s="773"/>
      <c r="GB1062" s="773"/>
      <c r="GC1062" s="773"/>
      <c r="GD1062" s="773"/>
      <c r="GE1062" s="773"/>
      <c r="GF1062" s="773"/>
      <c r="GG1062" s="773"/>
      <c r="GH1062" s="773"/>
      <c r="GI1062" s="773"/>
      <c r="GJ1062" s="773"/>
      <c r="GK1062" s="773"/>
      <c r="GL1062" s="773"/>
      <c r="GM1062" s="773"/>
      <c r="GN1062" s="773"/>
      <c r="GO1062" s="773"/>
      <c r="GP1062" s="773"/>
      <c r="GQ1062" s="773"/>
      <c r="GR1062" s="773"/>
      <c r="GS1062" s="773"/>
      <c r="GT1062" s="773"/>
      <c r="GU1062" s="773"/>
      <c r="GV1062" s="773"/>
      <c r="GW1062" s="773"/>
      <c r="GX1062" s="773"/>
      <c r="GY1062" s="773"/>
      <c r="GZ1062" s="773"/>
    </row>
    <row r="1063" spans="1:208" s="11" customFormat="1">
      <c r="A1063" s="917"/>
      <c r="B1063" s="918"/>
      <c r="C1063" s="1067"/>
      <c r="D1063" s="992" t="s">
        <v>615</v>
      </c>
      <c r="E1063" s="769"/>
      <c r="F1063" s="769"/>
      <c r="G1063" s="769"/>
      <c r="H1063" s="769"/>
      <c r="I1063" s="769"/>
      <c r="J1063" s="769">
        <f>-J1052</f>
        <v>-25089.13</v>
      </c>
      <c r="K1063" s="209"/>
      <c r="L1063" s="1078"/>
      <c r="M1063" s="1074"/>
      <c r="N1063" s="773"/>
      <c r="O1063" s="773"/>
      <c r="P1063" s="772"/>
      <c r="Q1063" s="772"/>
      <c r="R1063" s="772"/>
      <c r="S1063" s="772"/>
      <c r="T1063" s="773"/>
      <c r="V1063" s="773"/>
      <c r="W1063" s="773"/>
      <c r="X1063" s="773"/>
      <c r="Z1063" s="773"/>
      <c r="AA1063" s="773"/>
      <c r="AB1063" s="773"/>
      <c r="AC1063" s="773"/>
      <c r="AD1063" s="773"/>
      <c r="AE1063" s="773"/>
      <c r="AF1063" s="773"/>
      <c r="AG1063" s="773"/>
      <c r="AH1063" s="773"/>
      <c r="AI1063" s="773"/>
      <c r="AJ1063" s="773"/>
      <c r="AK1063" s="773"/>
      <c r="AL1063" s="773"/>
      <c r="AM1063" s="773"/>
      <c r="AN1063" s="773"/>
      <c r="AO1063" s="773"/>
      <c r="AP1063" s="773"/>
      <c r="AQ1063" s="773"/>
      <c r="AR1063" s="773"/>
      <c r="AS1063" s="773"/>
      <c r="AT1063" s="773"/>
      <c r="AU1063" s="773"/>
      <c r="AV1063" s="773"/>
      <c r="AW1063" s="2510"/>
      <c r="BC1063" s="2510"/>
      <c r="BD1063" s="2510"/>
      <c r="BE1063" s="2173"/>
      <c r="BF1063" s="2173"/>
      <c r="BG1063" s="2173"/>
      <c r="BH1063" s="2173"/>
      <c r="BI1063" s="2173"/>
      <c r="BJ1063" s="2173"/>
      <c r="BK1063" s="2173"/>
      <c r="BN1063" s="820"/>
      <c r="DB1063" s="773"/>
      <c r="DC1063" s="773"/>
      <c r="DD1063" s="773"/>
      <c r="DE1063" s="773"/>
      <c r="DF1063" s="773"/>
      <c r="DG1063" s="773"/>
      <c r="DH1063" s="773"/>
      <c r="DI1063" s="773"/>
      <c r="DJ1063" s="773"/>
      <c r="DK1063" s="773"/>
      <c r="DL1063" s="773"/>
      <c r="DM1063" s="773"/>
      <c r="DN1063" s="773"/>
      <c r="DO1063" s="773"/>
      <c r="DP1063" s="773"/>
      <c r="DQ1063" s="773"/>
      <c r="DR1063" s="773"/>
      <c r="DS1063" s="773"/>
      <c r="DT1063" s="773"/>
      <c r="DU1063" s="773"/>
      <c r="DV1063" s="773"/>
      <c r="DW1063" s="773"/>
      <c r="DX1063" s="773"/>
      <c r="DY1063" s="773"/>
      <c r="DZ1063" s="773"/>
      <c r="EA1063" s="773"/>
      <c r="EB1063" s="773"/>
      <c r="EC1063" s="773"/>
      <c r="ED1063" s="773"/>
      <c r="EE1063" s="773"/>
      <c r="EF1063" s="773"/>
      <c r="EG1063" s="773"/>
      <c r="EH1063" s="773"/>
      <c r="EI1063" s="773"/>
      <c r="EJ1063" s="773"/>
      <c r="EK1063" s="773"/>
      <c r="EL1063" s="773"/>
      <c r="EM1063" s="773"/>
      <c r="EN1063" s="773"/>
      <c r="EO1063" s="773"/>
      <c r="EP1063" s="773"/>
      <c r="EQ1063" s="773"/>
      <c r="ER1063" s="773"/>
      <c r="ES1063" s="773"/>
      <c r="ET1063" s="773"/>
      <c r="EU1063" s="773"/>
      <c r="EV1063" s="773"/>
      <c r="EW1063" s="773"/>
      <c r="EX1063" s="773"/>
      <c r="EY1063" s="773"/>
      <c r="EZ1063" s="773"/>
      <c r="FA1063" s="773"/>
      <c r="FB1063" s="773"/>
      <c r="FC1063" s="773"/>
      <c r="FD1063" s="773"/>
      <c r="FE1063" s="773"/>
      <c r="FF1063" s="773"/>
      <c r="FG1063" s="773"/>
      <c r="FH1063" s="773"/>
      <c r="FI1063" s="773"/>
      <c r="FJ1063" s="773"/>
      <c r="FK1063" s="773"/>
      <c r="FL1063" s="773"/>
      <c r="FM1063" s="773"/>
      <c r="FN1063" s="773"/>
      <c r="FO1063" s="773"/>
      <c r="FP1063" s="773"/>
      <c r="FQ1063" s="773"/>
      <c r="FR1063" s="773"/>
      <c r="FS1063" s="773"/>
      <c r="FT1063" s="773"/>
      <c r="FU1063" s="773"/>
      <c r="FV1063" s="773"/>
      <c r="FW1063" s="773"/>
      <c r="FX1063" s="773"/>
      <c r="FY1063" s="773"/>
      <c r="FZ1063" s="773"/>
      <c r="GA1063" s="773"/>
      <c r="GB1063" s="773"/>
      <c r="GC1063" s="773"/>
      <c r="GD1063" s="773"/>
      <c r="GE1063" s="773"/>
      <c r="GF1063" s="773"/>
      <c r="GG1063" s="773"/>
      <c r="GH1063" s="773"/>
      <c r="GI1063" s="773"/>
      <c r="GJ1063" s="773"/>
      <c r="GK1063" s="773"/>
      <c r="GL1063" s="773"/>
      <c r="GM1063" s="773"/>
      <c r="GN1063" s="773"/>
      <c r="GO1063" s="773"/>
      <c r="GP1063" s="773"/>
      <c r="GQ1063" s="773"/>
      <c r="GR1063" s="773"/>
      <c r="GS1063" s="773"/>
      <c r="GT1063" s="773"/>
      <c r="GU1063" s="773"/>
      <c r="GV1063" s="773"/>
      <c r="GW1063" s="773"/>
      <c r="GX1063" s="773"/>
      <c r="GY1063" s="773"/>
      <c r="GZ1063" s="773"/>
    </row>
    <row r="1064" spans="1:208" s="11" customFormat="1" ht="13.5" thickBot="1">
      <c r="A1064" s="917"/>
      <c r="B1064" s="918"/>
      <c r="C1064" s="1067"/>
      <c r="D1064" s="1076"/>
      <c r="E1064" s="769"/>
      <c r="F1064" s="769"/>
      <c r="G1064" s="769"/>
      <c r="H1064" s="769"/>
      <c r="I1064" s="769"/>
      <c r="J1064" s="769"/>
      <c r="K1064" s="209"/>
      <c r="L1064" s="1078"/>
      <c r="M1064" s="1074"/>
      <c r="N1064" s="773"/>
      <c r="O1064" s="773"/>
      <c r="P1064" s="772"/>
      <c r="Q1064" s="772"/>
      <c r="R1064" s="772"/>
      <c r="S1064" s="772"/>
      <c r="T1064" s="773"/>
      <c r="V1064" s="773"/>
      <c r="W1064" s="773"/>
      <c r="X1064" s="773"/>
      <c r="Z1064" s="773"/>
      <c r="AA1064" s="773"/>
      <c r="AB1064" s="773"/>
      <c r="AC1064" s="773"/>
      <c r="AD1064" s="773"/>
      <c r="AE1064" s="773"/>
      <c r="AF1064" s="773"/>
      <c r="AG1064" s="773"/>
      <c r="AH1064" s="773"/>
      <c r="AI1064" s="773"/>
      <c r="AJ1064" s="773"/>
      <c r="AK1064" s="773"/>
      <c r="AL1064" s="773"/>
      <c r="AM1064" s="773"/>
      <c r="AN1064" s="773"/>
      <c r="AO1064" s="773"/>
      <c r="AP1064" s="773"/>
      <c r="AQ1064" s="773"/>
      <c r="AR1064" s="773"/>
      <c r="AS1064" s="773"/>
      <c r="AT1064" s="773"/>
      <c r="AU1064" s="773"/>
      <c r="AV1064" s="773"/>
      <c r="AW1064" s="2510"/>
      <c r="BC1064" s="2510"/>
      <c r="BD1064" s="2510"/>
      <c r="BE1064" s="2173"/>
      <c r="BF1064" s="2173"/>
      <c r="BG1064" s="2173"/>
      <c r="BH1064" s="2173"/>
      <c r="BI1064" s="2173"/>
      <c r="BJ1064" s="2173"/>
      <c r="BK1064" s="2173"/>
      <c r="BN1064" s="820"/>
      <c r="DB1064" s="773"/>
      <c r="DC1064" s="773"/>
      <c r="DD1064" s="773"/>
      <c r="DE1064" s="773"/>
      <c r="DF1064" s="773"/>
      <c r="DG1064" s="773"/>
      <c r="DH1064" s="773"/>
      <c r="DI1064" s="773"/>
      <c r="DJ1064" s="773"/>
      <c r="DK1064" s="773"/>
      <c r="DL1064" s="773"/>
      <c r="DM1064" s="773"/>
      <c r="DN1064" s="773"/>
      <c r="DO1064" s="773"/>
      <c r="DP1064" s="773"/>
      <c r="DQ1064" s="773"/>
      <c r="DR1064" s="773"/>
      <c r="DS1064" s="773"/>
      <c r="DT1064" s="773"/>
      <c r="DU1064" s="773"/>
      <c r="DV1064" s="773"/>
      <c r="DW1064" s="773"/>
      <c r="DX1064" s="773"/>
      <c r="DY1064" s="773"/>
      <c r="DZ1064" s="773"/>
      <c r="EA1064" s="773"/>
      <c r="EB1064" s="773"/>
      <c r="EC1064" s="773"/>
      <c r="ED1064" s="773"/>
      <c r="EE1064" s="773"/>
      <c r="EF1064" s="773"/>
      <c r="EG1064" s="773"/>
      <c r="EH1064" s="773"/>
      <c r="EI1064" s="773"/>
      <c r="EJ1064" s="773"/>
      <c r="EK1064" s="773"/>
      <c r="EL1064" s="773"/>
      <c r="EM1064" s="773"/>
      <c r="EN1064" s="773"/>
      <c r="EO1064" s="773"/>
      <c r="EP1064" s="773"/>
      <c r="EQ1064" s="773"/>
      <c r="ER1064" s="773"/>
      <c r="ES1064" s="773"/>
      <c r="ET1064" s="773"/>
      <c r="EU1064" s="773"/>
      <c r="EV1064" s="773"/>
      <c r="EW1064" s="773"/>
      <c r="EX1064" s="773"/>
      <c r="EY1064" s="773"/>
      <c r="EZ1064" s="773"/>
      <c r="FA1064" s="773"/>
      <c r="FB1064" s="773"/>
      <c r="FC1064" s="773"/>
      <c r="FD1064" s="773"/>
      <c r="FE1064" s="773"/>
      <c r="FF1064" s="773"/>
      <c r="FG1064" s="773"/>
      <c r="FH1064" s="773"/>
      <c r="FI1064" s="773"/>
      <c r="FJ1064" s="773"/>
      <c r="FK1064" s="773"/>
      <c r="FL1064" s="773"/>
      <c r="FM1064" s="773"/>
      <c r="FN1064" s="773"/>
      <c r="FO1064" s="773"/>
      <c r="FP1064" s="773"/>
      <c r="FQ1064" s="773"/>
      <c r="FR1064" s="773"/>
      <c r="FS1064" s="773"/>
      <c r="FT1064" s="773"/>
      <c r="FU1064" s="773"/>
      <c r="FV1064" s="773"/>
      <c r="FW1064" s="773"/>
      <c r="FX1064" s="773"/>
      <c r="FY1064" s="773"/>
      <c r="FZ1064" s="773"/>
      <c r="GA1064" s="773"/>
      <c r="GB1064" s="773"/>
      <c r="GC1064" s="773"/>
      <c r="GD1064" s="773"/>
      <c r="GE1064" s="773"/>
      <c r="GF1064" s="773"/>
      <c r="GG1064" s="773"/>
      <c r="GH1064" s="773"/>
      <c r="GI1064" s="773"/>
      <c r="GJ1064" s="773"/>
      <c r="GK1064" s="773"/>
      <c r="GL1064" s="773"/>
      <c r="GM1064" s="773"/>
      <c r="GN1064" s="773"/>
      <c r="GO1064" s="773"/>
      <c r="GP1064" s="773"/>
      <c r="GQ1064" s="773"/>
      <c r="GR1064" s="773"/>
      <c r="GS1064" s="773"/>
      <c r="GT1064" s="773"/>
      <c r="GU1064" s="773"/>
      <c r="GV1064" s="773"/>
      <c r="GW1064" s="773"/>
      <c r="GX1064" s="773"/>
      <c r="GY1064" s="773"/>
      <c r="GZ1064" s="773"/>
    </row>
    <row r="1065" spans="1:208" s="11" customFormat="1" ht="13.5" thickBot="1">
      <c r="A1065" s="917"/>
      <c r="B1065" s="918"/>
      <c r="C1065" s="1067"/>
      <c r="D1065" s="1080" t="s">
        <v>618</v>
      </c>
      <c r="E1065" s="1081"/>
      <c r="F1065" s="1081"/>
      <c r="G1065" s="1081"/>
      <c r="H1065" s="1081"/>
      <c r="I1065" s="1081"/>
      <c r="J1065" s="1081">
        <f>SUM(J1057:J1064)</f>
        <v>-897732.84834749077</v>
      </c>
      <c r="K1065" s="2861">
        <f>J1065/J1042</f>
        <v>2.4999999856513293E-2</v>
      </c>
      <c r="L1065" s="1082"/>
      <c r="M1065" s="771"/>
      <c r="N1065" s="773"/>
      <c r="O1065" s="773"/>
      <c r="P1065" s="772"/>
      <c r="Q1065" s="772"/>
      <c r="R1065" s="772"/>
      <c r="S1065" s="772"/>
      <c r="T1065" s="773"/>
      <c r="V1065" s="773"/>
      <c r="W1065" s="773"/>
      <c r="X1065" s="773"/>
      <c r="Z1065" s="773"/>
      <c r="AA1065" s="773"/>
      <c r="AB1065" s="773"/>
      <c r="AC1065" s="773"/>
      <c r="AD1065" s="773"/>
      <c r="AE1065" s="773"/>
      <c r="AF1065" s="773"/>
      <c r="AG1065" s="773"/>
      <c r="AH1065" s="773"/>
      <c r="AI1065" s="773"/>
      <c r="AJ1065" s="773"/>
      <c r="AK1065" s="773"/>
      <c r="AL1065" s="773"/>
      <c r="AM1065" s="773"/>
      <c r="AN1065" s="773"/>
      <c r="AO1065" s="773"/>
      <c r="AP1065" s="773"/>
      <c r="AQ1065" s="773"/>
      <c r="AR1065" s="773"/>
      <c r="AS1065" s="773"/>
      <c r="AT1065" s="773"/>
      <c r="AU1065" s="773"/>
      <c r="AV1065" s="773"/>
      <c r="AW1065" s="2510"/>
      <c r="BC1065" s="2510"/>
      <c r="BD1065" s="2510"/>
      <c r="BE1065" s="2173"/>
      <c r="BF1065" s="2173"/>
      <c r="BG1065" s="2173"/>
      <c r="BH1065" s="2173"/>
      <c r="BI1065" s="2173"/>
      <c r="BJ1065" s="2173"/>
      <c r="BK1065" s="2173"/>
      <c r="DB1065" s="773"/>
      <c r="DC1065" s="773"/>
      <c r="DD1065" s="773"/>
      <c r="DE1065" s="773"/>
      <c r="DF1065" s="773"/>
      <c r="DG1065" s="773"/>
      <c r="DH1065" s="773"/>
      <c r="DI1065" s="773"/>
      <c r="DJ1065" s="773"/>
      <c r="DK1065" s="773"/>
      <c r="DL1065" s="773"/>
      <c r="DM1065" s="773"/>
      <c r="DN1065" s="773"/>
      <c r="DO1065" s="773"/>
      <c r="DP1065" s="773"/>
      <c r="DQ1065" s="773"/>
      <c r="DR1065" s="773"/>
      <c r="DS1065" s="773"/>
      <c r="DT1065" s="773"/>
      <c r="DU1065" s="773"/>
      <c r="DV1065" s="773"/>
      <c r="DW1065" s="773"/>
      <c r="DX1065" s="773"/>
      <c r="DY1065" s="773"/>
      <c r="DZ1065" s="773"/>
      <c r="EA1065" s="773"/>
      <c r="EB1065" s="773"/>
      <c r="EC1065" s="773"/>
      <c r="ED1065" s="773"/>
      <c r="EE1065" s="773"/>
      <c r="EF1065" s="773"/>
      <c r="EG1065" s="773"/>
      <c r="EH1065" s="773"/>
      <c r="EI1065" s="773"/>
      <c r="EJ1065" s="773"/>
      <c r="EK1065" s="773"/>
      <c r="EL1065" s="773"/>
      <c r="EM1065" s="773"/>
      <c r="EN1065" s="773"/>
      <c r="EO1065" s="773"/>
      <c r="EP1065" s="773"/>
      <c r="EQ1065" s="773"/>
      <c r="ER1065" s="773"/>
      <c r="ES1065" s="773"/>
      <c r="ET1065" s="773"/>
      <c r="EU1065" s="773"/>
      <c r="EV1065" s="773"/>
      <c r="EW1065" s="773"/>
      <c r="EX1065" s="773"/>
      <c r="EY1065" s="773"/>
      <c r="EZ1065" s="773"/>
      <c r="FA1065" s="773"/>
      <c r="FB1065" s="773"/>
      <c r="FC1065" s="773"/>
      <c r="FD1065" s="773"/>
      <c r="FE1065" s="773"/>
      <c r="FF1065" s="773"/>
      <c r="FG1065" s="773"/>
      <c r="FH1065" s="773"/>
      <c r="FI1065" s="773"/>
      <c r="FJ1065" s="773"/>
      <c r="FK1065" s="773"/>
      <c r="FL1065" s="773"/>
      <c r="FM1065" s="773"/>
      <c r="FN1065" s="773"/>
      <c r="FO1065" s="773"/>
      <c r="FP1065" s="773"/>
      <c r="FQ1065" s="773"/>
      <c r="FR1065" s="773"/>
      <c r="FS1065" s="773"/>
      <c r="FT1065" s="773"/>
      <c r="FU1065" s="773"/>
      <c r="FV1065" s="773"/>
      <c r="FW1065" s="773"/>
      <c r="FX1065" s="773"/>
      <c r="FY1065" s="773"/>
      <c r="FZ1065" s="773"/>
      <c r="GA1065" s="773"/>
      <c r="GB1065" s="773"/>
      <c r="GC1065" s="773"/>
      <c r="GD1065" s="773"/>
      <c r="GE1065" s="773"/>
      <c r="GF1065" s="773"/>
      <c r="GG1065" s="773"/>
      <c r="GH1065" s="773"/>
      <c r="GI1065" s="773"/>
      <c r="GJ1065" s="773"/>
      <c r="GK1065" s="773"/>
      <c r="GL1065" s="773"/>
      <c r="GM1065" s="773"/>
      <c r="GN1065" s="773"/>
      <c r="GO1065" s="773"/>
      <c r="GP1065" s="773"/>
      <c r="GQ1065" s="773"/>
      <c r="GR1065" s="773"/>
      <c r="GS1065" s="773"/>
      <c r="GT1065" s="773"/>
      <c r="GU1065" s="773"/>
      <c r="GV1065" s="773"/>
      <c r="GW1065" s="773"/>
      <c r="GX1065" s="773"/>
      <c r="GY1065" s="773"/>
      <c r="GZ1065" s="773"/>
    </row>
    <row r="1066" spans="1:208" s="11" customFormat="1">
      <c r="A1066" s="917"/>
      <c r="B1066" s="918"/>
      <c r="C1066" s="781"/>
      <c r="D1066" s="173"/>
      <c r="E1066" s="769"/>
      <c r="F1066" s="769"/>
      <c r="G1066" s="769"/>
      <c r="H1066" s="769"/>
      <c r="I1066" s="769"/>
      <c r="J1066" s="769"/>
      <c r="K1066" s="209"/>
      <c r="L1066" s="770"/>
      <c r="M1066" s="771"/>
      <c r="N1066" s="773"/>
      <c r="O1066" s="773"/>
      <c r="P1066" s="772"/>
      <c r="Q1066" s="772"/>
      <c r="R1066" s="772"/>
      <c r="S1066" s="772"/>
      <c r="T1066" s="773"/>
      <c r="V1066" s="773"/>
      <c r="W1066" s="773"/>
      <c r="X1066" s="773"/>
      <c r="Y1066" s="773"/>
      <c r="Z1066" s="773"/>
      <c r="AA1066" s="773"/>
      <c r="AB1066" s="773"/>
      <c r="AC1066" s="773"/>
      <c r="AD1066" s="773"/>
      <c r="AE1066" s="773"/>
      <c r="AF1066" s="773"/>
      <c r="AG1066" s="773"/>
      <c r="AH1066" s="773"/>
      <c r="AI1066" s="773"/>
      <c r="AJ1066" s="773"/>
      <c r="AK1066" s="773"/>
      <c r="AL1066" s="773"/>
      <c r="AM1066" s="773"/>
      <c r="AN1066" s="773"/>
      <c r="AO1066" s="773"/>
      <c r="AP1066" s="773"/>
      <c r="AQ1066" s="773"/>
      <c r="AR1066" s="773"/>
      <c r="AS1066" s="773"/>
      <c r="AT1066" s="773"/>
      <c r="AU1066" s="773"/>
      <c r="AV1066" s="773"/>
      <c r="AW1066" s="2510"/>
      <c r="BC1066" s="2510"/>
      <c r="BD1066" s="2510"/>
      <c r="BE1066" s="2173"/>
      <c r="BF1066" s="2173"/>
      <c r="BG1066" s="2173"/>
      <c r="BH1066" s="2173"/>
      <c r="BI1066" s="2173"/>
      <c r="BJ1066" s="2173"/>
      <c r="BK1066" s="2173"/>
      <c r="DB1066" s="773"/>
      <c r="DC1066" s="773"/>
      <c r="DD1066" s="773"/>
      <c r="DE1066" s="773"/>
      <c r="DF1066" s="773"/>
      <c r="DG1066" s="773"/>
      <c r="DH1066" s="773"/>
      <c r="DI1066" s="773"/>
      <c r="DJ1066" s="773"/>
      <c r="DK1066" s="773"/>
      <c r="DL1066" s="773"/>
      <c r="DM1066" s="773"/>
      <c r="DN1066" s="773"/>
      <c r="DO1066" s="773"/>
      <c r="DP1066" s="773"/>
      <c r="DQ1066" s="773"/>
      <c r="DR1066" s="773"/>
      <c r="DS1066" s="773"/>
      <c r="DT1066" s="773"/>
      <c r="DU1066" s="773"/>
      <c r="DV1066" s="773"/>
      <c r="DW1066" s="773"/>
      <c r="DX1066" s="773"/>
      <c r="DY1066" s="773"/>
      <c r="DZ1066" s="773"/>
      <c r="EA1066" s="773"/>
      <c r="EB1066" s="773"/>
      <c r="EC1066" s="773"/>
      <c r="ED1066" s="773"/>
      <c r="EE1066" s="773"/>
      <c r="EF1066" s="773"/>
      <c r="EG1066" s="773"/>
      <c r="EH1066" s="773"/>
      <c r="EI1066" s="773"/>
      <c r="EJ1066" s="773"/>
      <c r="EK1066" s="773"/>
      <c r="EL1066" s="773"/>
      <c r="EM1066" s="773"/>
      <c r="EN1066" s="773"/>
      <c r="EO1066" s="773"/>
      <c r="EP1066" s="773"/>
      <c r="EQ1066" s="773"/>
      <c r="ER1066" s="773"/>
      <c r="ES1066" s="773"/>
      <c r="ET1066" s="773"/>
      <c r="EU1066" s="773"/>
      <c r="EV1066" s="773"/>
      <c r="EW1066" s="773"/>
      <c r="EX1066" s="773"/>
      <c r="EY1066" s="773"/>
      <c r="EZ1066" s="773"/>
      <c r="FA1066" s="773"/>
      <c r="FB1066" s="773"/>
      <c r="FC1066" s="773"/>
      <c r="FD1066" s="773"/>
      <c r="FE1066" s="773"/>
      <c r="FF1066" s="773"/>
      <c r="FG1066" s="773"/>
      <c r="FH1066" s="773"/>
      <c r="FI1066" s="773"/>
      <c r="FJ1066" s="773"/>
      <c r="FK1066" s="773"/>
      <c r="FL1066" s="773"/>
      <c r="FM1066" s="773"/>
      <c r="FN1066" s="773"/>
      <c r="FO1066" s="773"/>
      <c r="FP1066" s="773"/>
      <c r="FQ1066" s="773"/>
      <c r="FR1066" s="773"/>
      <c r="FS1066" s="773"/>
      <c r="FT1066" s="773"/>
      <c r="FU1066" s="773"/>
      <c r="FV1066" s="773"/>
      <c r="FW1066" s="773"/>
      <c r="FX1066" s="773"/>
      <c r="FY1066" s="773"/>
      <c r="FZ1066" s="773"/>
      <c r="GA1066" s="773"/>
      <c r="GB1066" s="773"/>
      <c r="GC1066" s="773"/>
      <c r="GD1066" s="773"/>
      <c r="GE1066" s="773"/>
      <c r="GF1066" s="773"/>
      <c r="GG1066" s="773"/>
      <c r="GH1066" s="773"/>
      <c r="GI1066" s="773"/>
      <c r="GJ1066" s="773"/>
      <c r="GK1066" s="773"/>
      <c r="GL1066" s="773"/>
      <c r="GM1066" s="773"/>
      <c r="GN1066" s="773"/>
      <c r="GO1066" s="773"/>
      <c r="GP1066" s="773"/>
      <c r="GQ1066" s="773"/>
      <c r="GR1066" s="773"/>
      <c r="GS1066" s="773"/>
      <c r="GT1066" s="773"/>
      <c r="GU1066" s="773"/>
      <c r="GV1066" s="773"/>
      <c r="GW1066" s="773"/>
      <c r="GX1066" s="773"/>
      <c r="GY1066" s="773"/>
      <c r="GZ1066" s="773"/>
    </row>
    <row r="1067" spans="1:208" s="11" customFormat="1">
      <c r="A1067" s="917"/>
      <c r="B1067" s="918"/>
      <c r="C1067" s="781"/>
      <c r="D1067" s="173"/>
      <c r="E1067" s="769"/>
      <c r="F1067" s="769"/>
      <c r="G1067" s="769"/>
      <c r="H1067" s="769"/>
      <c r="I1067" s="769"/>
      <c r="J1067" s="769"/>
      <c r="K1067" s="209"/>
      <c r="L1067" s="498"/>
      <c r="M1067" s="771"/>
      <c r="N1067" s="773"/>
      <c r="O1067" s="773"/>
      <c r="P1067" s="772"/>
      <c r="Q1067" s="772"/>
      <c r="R1067" s="772"/>
      <c r="S1067" s="772"/>
      <c r="T1067" s="773"/>
      <c r="V1067" s="773"/>
      <c r="W1067" s="773"/>
      <c r="X1067" s="773"/>
      <c r="Z1067" s="773"/>
      <c r="AA1067" s="773"/>
      <c r="AB1067" s="773"/>
      <c r="AC1067" s="773"/>
      <c r="AD1067" s="773"/>
      <c r="AE1067" s="773"/>
      <c r="AF1067" s="773"/>
      <c r="AG1067" s="773"/>
      <c r="AH1067" s="773"/>
      <c r="AI1067" s="773"/>
      <c r="AJ1067" s="773"/>
      <c r="AK1067" s="773"/>
      <c r="AL1067" s="773"/>
      <c r="AM1067" s="773"/>
      <c r="AN1067" s="773"/>
      <c r="AO1067" s="773"/>
      <c r="AP1067" s="773"/>
      <c r="AQ1067" s="773"/>
      <c r="AR1067" s="773"/>
      <c r="AS1067" s="773"/>
      <c r="AT1067" s="773"/>
      <c r="AU1067" s="773"/>
      <c r="AV1067" s="773"/>
      <c r="AW1067" s="2510"/>
      <c r="BC1067" s="2510"/>
      <c r="BD1067" s="2510"/>
      <c r="BE1067" s="2173"/>
      <c r="BF1067" s="2173"/>
      <c r="BG1067" s="2173"/>
      <c r="BH1067" s="2173"/>
      <c r="BI1067" s="2173"/>
      <c r="BJ1067" s="2173"/>
      <c r="BK1067" s="2173"/>
      <c r="DB1067" s="773"/>
      <c r="DC1067" s="773"/>
      <c r="DD1067" s="773"/>
      <c r="DE1067" s="773"/>
      <c r="DF1067" s="773"/>
      <c r="DG1067" s="773"/>
      <c r="DH1067" s="773"/>
      <c r="DI1067" s="773"/>
      <c r="DJ1067" s="773"/>
      <c r="DK1067" s="773"/>
      <c r="DL1067" s="773"/>
      <c r="DM1067" s="773"/>
      <c r="DN1067" s="773"/>
      <c r="DO1067" s="773"/>
      <c r="DP1067" s="773"/>
      <c r="DQ1067" s="773"/>
      <c r="DR1067" s="773"/>
      <c r="DS1067" s="773"/>
      <c r="DT1067" s="773"/>
      <c r="DU1067" s="773"/>
      <c r="DV1067" s="773"/>
      <c r="DW1067" s="773"/>
      <c r="DX1067" s="773"/>
      <c r="DY1067" s="773"/>
      <c r="DZ1067" s="773"/>
      <c r="EA1067" s="773"/>
      <c r="EB1067" s="773"/>
      <c r="EC1067" s="773"/>
      <c r="ED1067" s="773"/>
      <c r="EE1067" s="773"/>
      <c r="EF1067" s="773"/>
      <c r="EG1067" s="773"/>
      <c r="EH1067" s="773"/>
      <c r="EI1067" s="773"/>
      <c r="EJ1067" s="773"/>
      <c r="EK1067" s="773"/>
      <c r="EL1067" s="773"/>
      <c r="EM1067" s="773"/>
      <c r="EN1067" s="773"/>
      <c r="EO1067" s="773"/>
      <c r="EP1067" s="773"/>
      <c r="EQ1067" s="773"/>
      <c r="ER1067" s="773"/>
      <c r="ES1067" s="773"/>
      <c r="ET1067" s="773"/>
      <c r="EU1067" s="773"/>
      <c r="EV1067" s="773"/>
      <c r="EW1067" s="773"/>
      <c r="EX1067" s="773"/>
      <c r="EY1067" s="773"/>
      <c r="EZ1067" s="773"/>
      <c r="FA1067" s="773"/>
      <c r="FB1067" s="773"/>
      <c r="FC1067" s="773"/>
      <c r="FD1067" s="773"/>
      <c r="FE1067" s="773"/>
      <c r="FF1067" s="773"/>
      <c r="FG1067" s="773"/>
      <c r="FH1067" s="773"/>
      <c r="FI1067" s="773"/>
      <c r="FJ1067" s="773"/>
      <c r="FK1067" s="773"/>
      <c r="FL1067" s="773"/>
      <c r="FM1067" s="773"/>
      <c r="FN1067" s="773"/>
      <c r="FO1067" s="773"/>
      <c r="FP1067" s="773"/>
      <c r="FQ1067" s="773"/>
      <c r="FR1067" s="773"/>
      <c r="FS1067" s="773"/>
      <c r="FT1067" s="773"/>
      <c r="FU1067" s="773"/>
      <c r="FV1067" s="773"/>
      <c r="FW1067" s="773"/>
      <c r="FX1067" s="773"/>
      <c r="FY1067" s="773"/>
      <c r="FZ1067" s="773"/>
      <c r="GA1067" s="773"/>
      <c r="GB1067" s="773"/>
      <c r="GC1067" s="773"/>
      <c r="GD1067" s="773"/>
      <c r="GE1067" s="773"/>
      <c r="GF1067" s="773"/>
      <c r="GG1067" s="773"/>
      <c r="GH1067" s="773"/>
      <c r="GI1067" s="773"/>
      <c r="GJ1067" s="773"/>
      <c r="GK1067" s="773"/>
      <c r="GL1067" s="773"/>
      <c r="GM1067" s="773"/>
      <c r="GN1067" s="773"/>
      <c r="GO1067" s="773"/>
      <c r="GP1067" s="773"/>
      <c r="GQ1067" s="773"/>
      <c r="GR1067" s="773"/>
      <c r="GS1067" s="773"/>
      <c r="GT1067" s="773"/>
      <c r="GU1067" s="773"/>
      <c r="GV1067" s="773"/>
      <c r="GW1067" s="773"/>
      <c r="GX1067" s="773"/>
      <c r="GY1067" s="773"/>
      <c r="GZ1067" s="773"/>
    </row>
    <row r="1068" spans="1:208" s="11" customFormat="1">
      <c r="A1068" s="917"/>
      <c r="B1068" s="918"/>
      <c r="C1068" s="781"/>
      <c r="D1068" s="173"/>
      <c r="E1068" s="769"/>
      <c r="F1068" s="769"/>
      <c r="G1068" s="769"/>
      <c r="H1068" s="769"/>
      <c r="I1068" s="769"/>
      <c r="J1068" s="769"/>
      <c r="K1068" s="209"/>
      <c r="L1068" s="498"/>
      <c r="M1068" s="771"/>
      <c r="N1068" s="773"/>
      <c r="O1068" s="773"/>
      <c r="P1068" s="772"/>
      <c r="Q1068" s="772"/>
      <c r="R1068" s="772"/>
      <c r="S1068" s="772"/>
      <c r="T1068" s="773"/>
      <c r="V1068" s="773"/>
      <c r="W1068" s="773"/>
      <c r="X1068" s="773"/>
      <c r="Z1068" s="773"/>
      <c r="AA1068" s="773"/>
      <c r="AB1068" s="773"/>
      <c r="AC1068" s="773"/>
      <c r="AD1068" s="773"/>
      <c r="AE1068" s="773"/>
      <c r="AF1068" s="773"/>
      <c r="AG1068" s="773"/>
      <c r="AH1068" s="773"/>
      <c r="AI1068" s="773"/>
      <c r="AJ1068" s="773"/>
      <c r="AK1068" s="773"/>
      <c r="AL1068" s="773"/>
      <c r="AM1068" s="773"/>
      <c r="AN1068" s="773"/>
      <c r="AO1068" s="773"/>
      <c r="AP1068" s="773"/>
      <c r="AQ1068" s="773"/>
      <c r="AR1068" s="773"/>
      <c r="AS1068" s="773"/>
      <c r="AT1068" s="773"/>
      <c r="AU1068" s="773"/>
      <c r="AV1068" s="773"/>
      <c r="AW1068" s="2510"/>
      <c r="BC1068" s="2510"/>
      <c r="BD1068" s="2510"/>
      <c r="BE1068" s="2173"/>
      <c r="BF1068" s="2173"/>
      <c r="BG1068" s="2173"/>
      <c r="BH1068" s="2173"/>
      <c r="BI1068" s="2173"/>
      <c r="BJ1068" s="2173"/>
      <c r="BK1068" s="2173"/>
      <c r="DB1068" s="773"/>
      <c r="DC1068" s="773"/>
      <c r="DD1068" s="773"/>
      <c r="DE1068" s="773"/>
      <c r="DF1068" s="773"/>
      <c r="DG1068" s="773"/>
      <c r="DH1068" s="773"/>
      <c r="DI1068" s="773"/>
      <c r="DJ1068" s="773"/>
      <c r="DK1068" s="773"/>
      <c r="DL1068" s="773"/>
      <c r="DM1068" s="773"/>
      <c r="DN1068" s="773"/>
      <c r="DO1068" s="773"/>
      <c r="DP1068" s="773"/>
      <c r="DQ1068" s="773"/>
      <c r="DR1068" s="773"/>
      <c r="DS1068" s="773"/>
      <c r="DT1068" s="773"/>
      <c r="DU1068" s="773"/>
      <c r="DV1068" s="773"/>
      <c r="DW1068" s="773"/>
      <c r="DX1068" s="773"/>
      <c r="DY1068" s="773"/>
      <c r="DZ1068" s="773"/>
      <c r="EA1068" s="773"/>
      <c r="EB1068" s="773"/>
      <c r="EC1068" s="773"/>
      <c r="ED1068" s="773"/>
      <c r="EE1068" s="773"/>
      <c r="EF1068" s="773"/>
      <c r="EG1068" s="773"/>
      <c r="EH1068" s="773"/>
      <c r="EI1068" s="773"/>
      <c r="EJ1068" s="773"/>
      <c r="EK1068" s="773"/>
      <c r="EL1068" s="773"/>
      <c r="EM1068" s="773"/>
      <c r="EN1068" s="773"/>
      <c r="EO1068" s="773"/>
      <c r="EP1068" s="773"/>
      <c r="EQ1068" s="773"/>
      <c r="ER1068" s="773"/>
      <c r="ES1068" s="773"/>
      <c r="ET1068" s="773"/>
      <c r="EU1068" s="773"/>
      <c r="EV1068" s="773"/>
      <c r="EW1068" s="773"/>
      <c r="EX1068" s="773"/>
      <c r="EY1068" s="773"/>
      <c r="EZ1068" s="773"/>
      <c r="FA1068" s="773"/>
      <c r="FB1068" s="773"/>
      <c r="FC1068" s="773"/>
      <c r="FD1068" s="773"/>
      <c r="FE1068" s="773"/>
      <c r="FF1068" s="773"/>
      <c r="FG1068" s="773"/>
      <c r="FH1068" s="773"/>
      <c r="FI1068" s="773"/>
      <c r="FJ1068" s="773"/>
      <c r="FK1068" s="773"/>
      <c r="FL1068" s="773"/>
      <c r="FM1068" s="773"/>
      <c r="FN1068" s="773"/>
      <c r="FO1068" s="773"/>
      <c r="FP1068" s="773"/>
      <c r="FQ1068" s="773"/>
      <c r="FR1068" s="773"/>
      <c r="FS1068" s="773"/>
      <c r="FT1068" s="773"/>
      <c r="FU1068" s="773"/>
      <c r="FV1068" s="773"/>
      <c r="FW1068" s="773"/>
      <c r="FX1068" s="773"/>
      <c r="FY1068" s="773"/>
      <c r="FZ1068" s="773"/>
      <c r="GA1068" s="773"/>
      <c r="GB1068" s="773"/>
      <c r="GC1068" s="773"/>
      <c r="GD1068" s="773"/>
      <c r="GE1068" s="773"/>
      <c r="GF1068" s="773"/>
      <c r="GG1068" s="773"/>
      <c r="GH1068" s="773"/>
      <c r="GI1068" s="773"/>
      <c r="GJ1068" s="773"/>
      <c r="GK1068" s="773"/>
      <c r="GL1068" s="773"/>
      <c r="GM1068" s="773"/>
      <c r="GN1068" s="773"/>
      <c r="GO1068" s="773"/>
      <c r="GP1068" s="773"/>
      <c r="GQ1068" s="773"/>
      <c r="GR1068" s="773"/>
      <c r="GS1068" s="773"/>
      <c r="GT1068" s="773"/>
      <c r="GU1068" s="773"/>
      <c r="GV1068" s="773"/>
      <c r="GW1068" s="773"/>
      <c r="GX1068" s="773"/>
      <c r="GY1068" s="773"/>
      <c r="GZ1068" s="773"/>
    </row>
    <row r="1069" spans="1:208" s="11" customFormat="1">
      <c r="A1069" s="917"/>
      <c r="B1069" s="918"/>
      <c r="C1069" s="781"/>
      <c r="D1069" s="173"/>
      <c r="E1069" s="769"/>
      <c r="F1069" s="769"/>
      <c r="G1069" s="769"/>
      <c r="H1069" s="769"/>
      <c r="I1069" s="769"/>
      <c r="J1069" s="769"/>
      <c r="K1069" s="209"/>
      <c r="L1069" s="498"/>
      <c r="M1069" s="771"/>
      <c r="N1069" s="773"/>
      <c r="O1069" s="773"/>
      <c r="P1069" s="772"/>
      <c r="Q1069" s="772"/>
      <c r="R1069" s="772"/>
      <c r="S1069" s="772"/>
      <c r="T1069" s="773"/>
      <c r="V1069" s="773"/>
      <c r="W1069" s="773"/>
      <c r="X1069" s="773"/>
      <c r="Z1069" s="773"/>
      <c r="AA1069" s="773"/>
      <c r="AB1069" s="773"/>
      <c r="AC1069" s="773"/>
      <c r="AD1069" s="773"/>
      <c r="AE1069" s="773"/>
      <c r="AF1069" s="773"/>
      <c r="AG1069" s="773"/>
      <c r="AH1069" s="773"/>
      <c r="AI1069" s="773"/>
      <c r="AJ1069" s="773"/>
      <c r="AK1069" s="773"/>
      <c r="AL1069" s="773"/>
      <c r="AM1069" s="773"/>
      <c r="AN1069" s="773"/>
      <c r="AO1069" s="773"/>
      <c r="AP1069" s="773"/>
      <c r="AQ1069" s="773"/>
      <c r="AR1069" s="773"/>
      <c r="AS1069" s="773"/>
      <c r="AT1069" s="773"/>
      <c r="AU1069" s="773"/>
      <c r="AV1069" s="773"/>
      <c r="AW1069" s="2510"/>
      <c r="BC1069" s="2510"/>
      <c r="BD1069" s="2510"/>
      <c r="BE1069" s="2173"/>
      <c r="BF1069" s="2173"/>
      <c r="BG1069" s="2173"/>
      <c r="BH1069" s="2173"/>
      <c r="BI1069" s="2173"/>
      <c r="BJ1069" s="2173"/>
      <c r="BK1069" s="2173"/>
      <c r="DB1069" s="773"/>
      <c r="DC1069" s="773"/>
      <c r="DD1069" s="773"/>
      <c r="DE1069" s="773"/>
      <c r="DF1069" s="773"/>
      <c r="DG1069" s="773"/>
      <c r="DH1069" s="773"/>
      <c r="DI1069" s="773"/>
      <c r="DJ1069" s="773"/>
      <c r="DK1069" s="773"/>
      <c r="DL1069" s="773"/>
      <c r="DM1069" s="773"/>
      <c r="DN1069" s="773"/>
      <c r="DO1069" s="773"/>
      <c r="DP1069" s="773"/>
      <c r="DQ1069" s="773"/>
      <c r="DR1069" s="773"/>
      <c r="DS1069" s="773"/>
      <c r="DT1069" s="773"/>
      <c r="DU1069" s="773"/>
      <c r="DV1069" s="773"/>
      <c r="DW1069" s="773"/>
      <c r="DX1069" s="773"/>
      <c r="DY1069" s="773"/>
      <c r="DZ1069" s="773"/>
      <c r="EA1069" s="773"/>
      <c r="EB1069" s="773"/>
      <c r="EC1069" s="773"/>
      <c r="ED1069" s="773"/>
      <c r="EE1069" s="773"/>
      <c r="EF1069" s="773"/>
      <c r="EG1069" s="773"/>
      <c r="EH1069" s="773"/>
      <c r="EI1069" s="773"/>
      <c r="EJ1069" s="773"/>
      <c r="EK1069" s="773"/>
      <c r="EL1069" s="773"/>
      <c r="EM1069" s="773"/>
      <c r="EN1069" s="773"/>
      <c r="EO1069" s="773"/>
      <c r="EP1069" s="773"/>
      <c r="EQ1069" s="773"/>
      <c r="ER1069" s="773"/>
      <c r="ES1069" s="773"/>
      <c r="ET1069" s="773"/>
      <c r="EU1069" s="773"/>
      <c r="EV1069" s="773"/>
      <c r="EW1069" s="773"/>
      <c r="EX1069" s="773"/>
      <c r="EY1069" s="773"/>
      <c r="EZ1069" s="773"/>
      <c r="FA1069" s="773"/>
      <c r="FB1069" s="773"/>
      <c r="FC1069" s="773"/>
      <c r="FD1069" s="773"/>
      <c r="FE1069" s="773"/>
      <c r="FF1069" s="773"/>
      <c r="FG1069" s="773"/>
      <c r="FH1069" s="773"/>
      <c r="FI1069" s="773"/>
      <c r="FJ1069" s="773"/>
      <c r="FK1069" s="773"/>
      <c r="FL1069" s="773"/>
      <c r="FM1069" s="773"/>
      <c r="FN1069" s="773"/>
      <c r="FO1069" s="773"/>
      <c r="FP1069" s="773"/>
      <c r="FQ1069" s="773"/>
      <c r="FR1069" s="773"/>
      <c r="FS1069" s="773"/>
      <c r="FT1069" s="773"/>
      <c r="FU1069" s="773"/>
      <c r="FV1069" s="773"/>
      <c r="FW1069" s="773"/>
      <c r="FX1069" s="773"/>
      <c r="FY1069" s="773"/>
      <c r="FZ1069" s="773"/>
      <c r="GA1069" s="773"/>
      <c r="GB1069" s="773"/>
      <c r="GC1069" s="773"/>
      <c r="GD1069" s="773"/>
      <c r="GE1069" s="773"/>
      <c r="GF1069" s="773"/>
      <c r="GG1069" s="773"/>
      <c r="GH1069" s="773"/>
      <c r="GI1069" s="773"/>
      <c r="GJ1069" s="773"/>
      <c r="GK1069" s="773"/>
      <c r="GL1069" s="773"/>
      <c r="GM1069" s="773"/>
      <c r="GN1069" s="773"/>
      <c r="GO1069" s="773"/>
      <c r="GP1069" s="773"/>
      <c r="GQ1069" s="773"/>
      <c r="GR1069" s="773"/>
      <c r="GS1069" s="773"/>
      <c r="GT1069" s="773"/>
      <c r="GU1069" s="773"/>
      <c r="GV1069" s="773"/>
      <c r="GW1069" s="773"/>
      <c r="GX1069" s="773"/>
      <c r="GY1069" s="773"/>
      <c r="GZ1069" s="773"/>
    </row>
    <row r="1070" spans="1:208" s="11" customFormat="1">
      <c r="A1070" s="917"/>
      <c r="B1070" s="918"/>
      <c r="C1070" s="781"/>
      <c r="D1070" s="173"/>
      <c r="E1070" s="769"/>
      <c r="F1070" s="769"/>
      <c r="G1070" s="769"/>
      <c r="H1070" s="769"/>
      <c r="I1070" s="769"/>
      <c r="J1070" s="769"/>
      <c r="K1070" s="209"/>
      <c r="L1070" s="498"/>
      <c r="M1070" s="771"/>
      <c r="N1070" s="773"/>
      <c r="O1070" s="773"/>
      <c r="P1070" s="772"/>
      <c r="Q1070" s="772"/>
      <c r="R1070" s="772"/>
      <c r="S1070" s="772"/>
      <c r="T1070" s="773"/>
      <c r="V1070" s="773"/>
      <c r="W1070" s="773"/>
      <c r="X1070" s="773"/>
      <c r="Z1070" s="773"/>
      <c r="AA1070" s="773"/>
      <c r="AB1070" s="773"/>
      <c r="AC1070" s="773"/>
      <c r="AD1070" s="773"/>
      <c r="AE1070" s="773"/>
      <c r="AF1070" s="773"/>
      <c r="AG1070" s="773"/>
      <c r="AH1070" s="773"/>
      <c r="AI1070" s="773"/>
      <c r="AJ1070" s="773"/>
      <c r="AK1070" s="773"/>
      <c r="AL1070" s="773"/>
      <c r="AM1070" s="773"/>
      <c r="AN1070" s="773"/>
      <c r="AO1070" s="773"/>
      <c r="AP1070" s="773"/>
      <c r="AQ1070" s="773"/>
      <c r="AR1070" s="773"/>
      <c r="AS1070" s="773"/>
      <c r="AT1070" s="773"/>
      <c r="AU1070" s="773"/>
      <c r="AV1070" s="773"/>
      <c r="AW1070" s="2510"/>
      <c r="BC1070" s="2510"/>
      <c r="BD1070" s="2510"/>
      <c r="BE1070" s="2173"/>
      <c r="BF1070" s="2173"/>
      <c r="BG1070" s="2173"/>
      <c r="BH1070" s="2173"/>
      <c r="BI1070" s="2173"/>
      <c r="BJ1070" s="2173"/>
      <c r="BK1070" s="2173"/>
      <c r="DB1070" s="773"/>
      <c r="DC1070" s="773"/>
      <c r="DD1070" s="773"/>
      <c r="DE1070" s="773"/>
      <c r="DF1070" s="773"/>
      <c r="DG1070" s="773"/>
      <c r="DH1070" s="773"/>
      <c r="DI1070" s="773"/>
      <c r="DJ1070" s="773"/>
      <c r="DK1070" s="773"/>
      <c r="DL1070" s="773"/>
      <c r="DM1070" s="773"/>
      <c r="DN1070" s="773"/>
      <c r="DO1070" s="773"/>
      <c r="DP1070" s="773"/>
      <c r="DQ1070" s="773"/>
      <c r="DR1070" s="773"/>
      <c r="DS1070" s="773"/>
      <c r="DT1070" s="773"/>
      <c r="DU1070" s="773"/>
      <c r="DV1070" s="773"/>
      <c r="DW1070" s="773"/>
      <c r="DX1070" s="773"/>
      <c r="DY1070" s="773"/>
      <c r="DZ1070" s="773"/>
      <c r="EA1070" s="773"/>
      <c r="EB1070" s="773"/>
      <c r="EC1070" s="773"/>
      <c r="ED1070" s="773"/>
      <c r="EE1070" s="773"/>
      <c r="EF1070" s="773"/>
      <c r="EG1070" s="773"/>
      <c r="EH1070" s="773"/>
      <c r="EI1070" s="773"/>
      <c r="EJ1070" s="773"/>
      <c r="EK1070" s="773"/>
      <c r="EL1070" s="773"/>
      <c r="EM1070" s="773"/>
      <c r="EN1070" s="773"/>
      <c r="EO1070" s="773"/>
      <c r="EP1070" s="773"/>
      <c r="EQ1070" s="773"/>
      <c r="ER1070" s="773"/>
      <c r="ES1070" s="773"/>
      <c r="ET1070" s="773"/>
      <c r="EU1070" s="773"/>
      <c r="EV1070" s="773"/>
      <c r="EW1070" s="773"/>
      <c r="EX1070" s="773"/>
      <c r="EY1070" s="773"/>
      <c r="EZ1070" s="773"/>
      <c r="FA1070" s="773"/>
      <c r="FB1070" s="773"/>
      <c r="FC1070" s="773"/>
      <c r="FD1070" s="773"/>
      <c r="FE1070" s="773"/>
      <c r="FF1070" s="773"/>
      <c r="FG1070" s="773"/>
      <c r="FH1070" s="773"/>
      <c r="FI1070" s="773"/>
      <c r="FJ1070" s="773"/>
      <c r="FK1070" s="773"/>
      <c r="FL1070" s="773"/>
      <c r="FM1070" s="773"/>
      <c r="FN1070" s="773"/>
      <c r="FO1070" s="773"/>
      <c r="FP1070" s="773"/>
      <c r="FQ1070" s="773"/>
      <c r="FR1070" s="773"/>
      <c r="FS1070" s="773"/>
      <c r="FT1070" s="773"/>
      <c r="FU1070" s="773"/>
      <c r="FV1070" s="773"/>
      <c r="FW1070" s="773"/>
      <c r="FX1070" s="773"/>
      <c r="FY1070" s="773"/>
      <c r="FZ1070" s="773"/>
      <c r="GA1070" s="773"/>
      <c r="GB1070" s="773"/>
      <c r="GC1070" s="773"/>
      <c r="GD1070" s="773"/>
      <c r="GE1070" s="773"/>
      <c r="GF1070" s="773"/>
      <c r="GG1070" s="773"/>
      <c r="GH1070" s="773"/>
      <c r="GI1070" s="773"/>
      <c r="GJ1070" s="773"/>
      <c r="GK1070" s="773"/>
      <c r="GL1070" s="773"/>
      <c r="GM1070" s="773"/>
      <c r="GN1070" s="773"/>
      <c r="GO1070" s="773"/>
      <c r="GP1070" s="773"/>
      <c r="GQ1070" s="773"/>
      <c r="GR1070" s="773"/>
      <c r="GS1070" s="773"/>
      <c r="GT1070" s="773"/>
      <c r="GU1070" s="773"/>
      <c r="GV1070" s="773"/>
      <c r="GW1070" s="773"/>
      <c r="GX1070" s="773"/>
      <c r="GY1070" s="773"/>
      <c r="GZ1070" s="773"/>
    </row>
    <row r="1071" spans="1:208" s="11" customFormat="1">
      <c r="A1071" s="917"/>
      <c r="B1071" s="918"/>
      <c r="C1071" s="781"/>
      <c r="D1071" s="173"/>
      <c r="E1071" s="769"/>
      <c r="F1071" s="769"/>
      <c r="G1071" s="769"/>
      <c r="H1071" s="769"/>
      <c r="I1071" s="769"/>
      <c r="J1071" s="769"/>
      <c r="K1071" s="209"/>
      <c r="L1071" s="498"/>
      <c r="M1071" s="771"/>
      <c r="N1071" s="773"/>
      <c r="O1071" s="773"/>
      <c r="P1071" s="772"/>
      <c r="Q1071" s="772"/>
      <c r="R1071" s="772"/>
      <c r="S1071" s="772"/>
      <c r="T1071" s="773"/>
      <c r="V1071" s="773"/>
      <c r="W1071" s="773"/>
      <c r="X1071" s="773"/>
      <c r="Z1071" s="773"/>
      <c r="AA1071" s="773"/>
      <c r="AB1071" s="773"/>
      <c r="AC1071" s="773"/>
      <c r="AD1071" s="773"/>
      <c r="AE1071" s="773"/>
      <c r="AF1071" s="773"/>
      <c r="AG1071" s="773"/>
      <c r="AH1071" s="773"/>
      <c r="AI1071" s="773"/>
      <c r="AJ1071" s="773"/>
      <c r="AK1071" s="773"/>
      <c r="AL1071" s="773"/>
      <c r="AM1071" s="773"/>
      <c r="AN1071" s="773"/>
      <c r="AO1071" s="773"/>
      <c r="AP1071" s="773"/>
      <c r="AQ1071" s="773"/>
      <c r="AR1071" s="773"/>
      <c r="AS1071" s="773"/>
      <c r="AT1071" s="773"/>
      <c r="AU1071" s="773"/>
      <c r="AV1071" s="773"/>
      <c r="AW1071" s="2510"/>
      <c r="BC1071" s="2510"/>
      <c r="BD1071" s="2510"/>
      <c r="BE1071" s="2173"/>
      <c r="BF1071" s="2173"/>
      <c r="BG1071" s="2173"/>
      <c r="BH1071" s="2173"/>
      <c r="BI1071" s="2173"/>
      <c r="BJ1071" s="2173"/>
      <c r="BK1071" s="2173"/>
      <c r="DB1071" s="773"/>
      <c r="DC1071" s="773"/>
      <c r="DD1071" s="773"/>
      <c r="DE1071" s="773"/>
      <c r="DF1071" s="773"/>
      <c r="DG1071" s="773"/>
      <c r="DH1071" s="773"/>
      <c r="DI1071" s="773"/>
      <c r="DJ1071" s="773"/>
      <c r="DK1071" s="773"/>
      <c r="DL1071" s="773"/>
      <c r="DM1071" s="773"/>
      <c r="DN1071" s="773"/>
      <c r="DO1071" s="773"/>
      <c r="DP1071" s="773"/>
      <c r="DQ1071" s="773"/>
      <c r="DR1071" s="773"/>
      <c r="DS1071" s="773"/>
      <c r="DT1071" s="773"/>
      <c r="DU1071" s="773"/>
      <c r="DV1071" s="773"/>
      <c r="DW1071" s="773"/>
      <c r="DX1071" s="773"/>
      <c r="DY1071" s="773"/>
      <c r="DZ1071" s="773"/>
      <c r="EA1071" s="773"/>
      <c r="EB1071" s="773"/>
      <c r="EC1071" s="773"/>
      <c r="ED1071" s="773"/>
      <c r="EE1071" s="773"/>
      <c r="EF1071" s="773"/>
      <c r="EG1071" s="773"/>
      <c r="EH1071" s="773"/>
      <c r="EI1071" s="773"/>
      <c r="EJ1071" s="773"/>
      <c r="EK1071" s="773"/>
      <c r="EL1071" s="773"/>
      <c r="EM1071" s="773"/>
      <c r="EN1071" s="773"/>
      <c r="EO1071" s="773"/>
      <c r="EP1071" s="773"/>
      <c r="EQ1071" s="773"/>
      <c r="ER1071" s="773"/>
      <c r="ES1071" s="773"/>
      <c r="ET1071" s="773"/>
      <c r="EU1071" s="773"/>
      <c r="EV1071" s="773"/>
      <c r="EW1071" s="773"/>
      <c r="EX1071" s="773"/>
      <c r="EY1071" s="773"/>
      <c r="EZ1071" s="773"/>
      <c r="FA1071" s="773"/>
      <c r="FB1071" s="773"/>
      <c r="FC1071" s="773"/>
      <c r="FD1071" s="773"/>
      <c r="FE1071" s="773"/>
      <c r="FF1071" s="773"/>
      <c r="FG1071" s="773"/>
      <c r="FH1071" s="773"/>
      <c r="FI1071" s="773"/>
      <c r="FJ1071" s="773"/>
      <c r="FK1071" s="773"/>
      <c r="FL1071" s="773"/>
      <c r="FM1071" s="773"/>
      <c r="FN1071" s="773"/>
      <c r="FO1071" s="773"/>
      <c r="FP1071" s="773"/>
      <c r="FQ1071" s="773"/>
      <c r="FR1071" s="773"/>
      <c r="FS1071" s="773"/>
      <c r="FT1071" s="773"/>
      <c r="FU1071" s="773"/>
      <c r="FV1071" s="773"/>
      <c r="FW1071" s="773"/>
      <c r="FX1071" s="773"/>
      <c r="FY1071" s="773"/>
      <c r="FZ1071" s="773"/>
      <c r="GA1071" s="773"/>
      <c r="GB1071" s="773"/>
      <c r="GC1071" s="773"/>
      <c r="GD1071" s="773"/>
      <c r="GE1071" s="773"/>
      <c r="GF1071" s="773"/>
      <c r="GG1071" s="773"/>
      <c r="GH1071" s="773"/>
      <c r="GI1071" s="773"/>
      <c r="GJ1071" s="773"/>
      <c r="GK1071" s="773"/>
      <c r="GL1071" s="773"/>
      <c r="GM1071" s="773"/>
      <c r="GN1071" s="773"/>
      <c r="GO1071" s="773"/>
      <c r="GP1071" s="773"/>
      <c r="GQ1071" s="773"/>
      <c r="GR1071" s="773"/>
      <c r="GS1071" s="773"/>
      <c r="GT1071" s="773"/>
      <c r="GU1071" s="773"/>
      <c r="GV1071" s="773"/>
      <c r="GW1071" s="773"/>
      <c r="GX1071" s="773"/>
      <c r="GY1071" s="773"/>
      <c r="GZ1071" s="773"/>
    </row>
    <row r="1072" spans="1:208" s="11" customFormat="1">
      <c r="A1072" s="917"/>
      <c r="B1072" s="918"/>
      <c r="C1072" s="781"/>
      <c r="D1072" s="173"/>
      <c r="E1072" s="769"/>
      <c r="F1072" s="769"/>
      <c r="G1072" s="769"/>
      <c r="H1072" s="769"/>
      <c r="I1072" s="769"/>
      <c r="J1072" s="769"/>
      <c r="K1072" s="209"/>
      <c r="L1072" s="498"/>
      <c r="M1072" s="771"/>
      <c r="N1072" s="773"/>
      <c r="O1072" s="773"/>
      <c r="P1072" s="772"/>
      <c r="Q1072" s="772"/>
      <c r="R1072" s="772"/>
      <c r="S1072" s="772"/>
      <c r="T1072" s="773"/>
      <c r="V1072" s="773"/>
      <c r="W1072" s="773"/>
      <c r="X1072" s="773"/>
      <c r="Z1072" s="773"/>
      <c r="AA1072" s="773"/>
      <c r="AB1072" s="773"/>
      <c r="AC1072" s="773"/>
      <c r="AD1072" s="773"/>
      <c r="AE1072" s="773"/>
      <c r="AF1072" s="773"/>
      <c r="AG1072" s="773"/>
      <c r="AH1072" s="773"/>
      <c r="AI1072" s="773"/>
      <c r="AJ1072" s="773"/>
      <c r="AK1072" s="773"/>
      <c r="AL1072" s="773"/>
      <c r="AM1072" s="773"/>
      <c r="AN1072" s="773"/>
      <c r="AO1072" s="773"/>
      <c r="AP1072" s="773"/>
      <c r="AQ1072" s="773"/>
      <c r="AR1072" s="773"/>
      <c r="AS1072" s="773"/>
      <c r="AT1072" s="773"/>
      <c r="AU1072" s="773"/>
      <c r="AV1072" s="773"/>
      <c r="AW1072" s="2510"/>
      <c r="BC1072" s="2510"/>
      <c r="BD1072" s="2510"/>
      <c r="BE1072" s="2173"/>
      <c r="BF1072" s="2173"/>
      <c r="BG1072" s="2173"/>
      <c r="BH1072" s="2173"/>
      <c r="BI1072" s="2173"/>
      <c r="BJ1072" s="2173"/>
      <c r="BK1072" s="2173"/>
      <c r="DB1072" s="773"/>
      <c r="DC1072" s="773"/>
      <c r="DD1072" s="773"/>
      <c r="DE1072" s="773"/>
      <c r="DF1072" s="773"/>
      <c r="DG1072" s="773"/>
      <c r="DH1072" s="773"/>
      <c r="DI1072" s="773"/>
      <c r="DJ1072" s="773"/>
      <c r="DK1072" s="773"/>
      <c r="DL1072" s="773"/>
      <c r="DM1072" s="773"/>
      <c r="DN1072" s="773"/>
      <c r="DO1072" s="773"/>
      <c r="DP1072" s="773"/>
      <c r="DQ1072" s="773"/>
      <c r="DR1072" s="773"/>
      <c r="DS1072" s="773"/>
      <c r="DT1072" s="773"/>
      <c r="DU1072" s="773"/>
      <c r="DV1072" s="773"/>
      <c r="DW1072" s="773"/>
      <c r="DX1072" s="773"/>
      <c r="DY1072" s="773"/>
      <c r="DZ1072" s="773"/>
      <c r="EA1072" s="773"/>
      <c r="EB1072" s="773"/>
      <c r="EC1072" s="773"/>
      <c r="ED1072" s="773"/>
      <c r="EE1072" s="773"/>
      <c r="EF1072" s="773"/>
      <c r="EG1072" s="773"/>
      <c r="EH1072" s="773"/>
      <c r="EI1072" s="773"/>
      <c r="EJ1072" s="773"/>
      <c r="EK1072" s="773"/>
      <c r="EL1072" s="773"/>
      <c r="EM1072" s="773"/>
      <c r="EN1072" s="773"/>
      <c r="EO1072" s="773"/>
      <c r="EP1072" s="773"/>
      <c r="EQ1072" s="773"/>
      <c r="ER1072" s="773"/>
      <c r="ES1072" s="773"/>
      <c r="ET1072" s="773"/>
      <c r="EU1072" s="773"/>
      <c r="EV1072" s="773"/>
      <c r="EW1072" s="773"/>
      <c r="EX1072" s="773"/>
      <c r="EY1072" s="773"/>
      <c r="EZ1072" s="773"/>
      <c r="FA1072" s="773"/>
      <c r="FB1072" s="773"/>
      <c r="FC1072" s="773"/>
      <c r="FD1072" s="773"/>
      <c r="FE1072" s="773"/>
      <c r="FF1072" s="773"/>
      <c r="FG1072" s="773"/>
      <c r="FH1072" s="773"/>
      <c r="FI1072" s="773"/>
      <c r="FJ1072" s="773"/>
      <c r="FK1072" s="773"/>
      <c r="FL1072" s="773"/>
      <c r="FM1072" s="773"/>
      <c r="FN1072" s="773"/>
      <c r="FO1072" s="773"/>
      <c r="FP1072" s="773"/>
      <c r="FQ1072" s="773"/>
      <c r="FR1072" s="773"/>
      <c r="FS1072" s="773"/>
      <c r="FT1072" s="773"/>
      <c r="FU1072" s="773"/>
      <c r="FV1072" s="773"/>
      <c r="FW1072" s="773"/>
      <c r="FX1072" s="773"/>
      <c r="FY1072" s="773"/>
      <c r="FZ1072" s="773"/>
      <c r="GA1072" s="773"/>
      <c r="GB1072" s="773"/>
      <c r="GC1072" s="773"/>
      <c r="GD1072" s="773"/>
      <c r="GE1072" s="773"/>
      <c r="GF1072" s="773"/>
      <c r="GG1072" s="773"/>
      <c r="GH1072" s="773"/>
      <c r="GI1072" s="773"/>
      <c r="GJ1072" s="773"/>
      <c r="GK1072" s="773"/>
      <c r="GL1072" s="773"/>
      <c r="GM1072" s="773"/>
      <c r="GN1072" s="773"/>
      <c r="GO1072" s="773"/>
      <c r="GP1072" s="773"/>
      <c r="GQ1072" s="773"/>
      <c r="GR1072" s="773"/>
      <c r="GS1072" s="773"/>
      <c r="GT1072" s="773"/>
      <c r="GU1072" s="773"/>
      <c r="GV1072" s="773"/>
      <c r="GW1072" s="773"/>
      <c r="GX1072" s="773"/>
      <c r="GY1072" s="773"/>
      <c r="GZ1072" s="773"/>
    </row>
    <row r="1073" spans="1:208" s="11" customFormat="1">
      <c r="A1073" s="917"/>
      <c r="B1073" s="918"/>
      <c r="C1073" s="781"/>
      <c r="D1073" s="173"/>
      <c r="E1073" s="769"/>
      <c r="F1073" s="769"/>
      <c r="G1073" s="769"/>
      <c r="H1073" s="769"/>
      <c r="I1073" s="769"/>
      <c r="J1073" s="769"/>
      <c r="K1073" s="209"/>
      <c r="L1073" s="498"/>
      <c r="M1073" s="771"/>
      <c r="N1073" s="773"/>
      <c r="O1073" s="773"/>
      <c r="P1073" s="772"/>
      <c r="Q1073" s="772"/>
      <c r="R1073" s="772"/>
      <c r="S1073" s="772"/>
      <c r="T1073" s="773"/>
      <c r="V1073" s="773"/>
      <c r="W1073" s="773"/>
      <c r="X1073" s="773"/>
      <c r="Z1073" s="773"/>
      <c r="AA1073" s="773"/>
      <c r="AB1073" s="773"/>
      <c r="AC1073" s="773"/>
      <c r="AD1073" s="773"/>
      <c r="AE1073" s="773"/>
      <c r="AF1073" s="773"/>
      <c r="AG1073" s="773"/>
      <c r="AH1073" s="773"/>
      <c r="AI1073" s="773"/>
      <c r="AJ1073" s="773"/>
      <c r="AK1073" s="773"/>
      <c r="AL1073" s="773"/>
      <c r="AM1073" s="773"/>
      <c r="AN1073" s="773"/>
      <c r="AO1073" s="773"/>
      <c r="AP1073" s="773"/>
      <c r="AQ1073" s="773"/>
      <c r="AR1073" s="773"/>
      <c r="AS1073" s="773"/>
      <c r="AT1073" s="773"/>
      <c r="AU1073" s="773"/>
      <c r="AV1073" s="773"/>
      <c r="AW1073" s="2510"/>
      <c r="BC1073" s="2510"/>
      <c r="BD1073" s="2510"/>
      <c r="BE1073" s="2173"/>
      <c r="BF1073" s="2173"/>
      <c r="BG1073" s="2173"/>
      <c r="BH1073" s="2173"/>
      <c r="BI1073" s="2173"/>
      <c r="BJ1073" s="2173"/>
      <c r="BK1073" s="2173"/>
      <c r="DB1073" s="773"/>
      <c r="DC1073" s="773"/>
      <c r="DD1073" s="773"/>
      <c r="DE1073" s="773"/>
      <c r="DF1073" s="773"/>
      <c r="DG1073" s="773"/>
      <c r="DH1073" s="773"/>
      <c r="DI1073" s="773"/>
      <c r="DJ1073" s="773"/>
      <c r="DK1073" s="773"/>
      <c r="DL1073" s="773"/>
      <c r="DM1073" s="773"/>
      <c r="DN1073" s="773"/>
      <c r="DO1073" s="773"/>
      <c r="DP1073" s="773"/>
      <c r="DQ1073" s="773"/>
      <c r="DR1073" s="773"/>
      <c r="DS1073" s="773"/>
      <c r="DT1073" s="773"/>
      <c r="DU1073" s="773"/>
      <c r="DV1073" s="773"/>
      <c r="DW1073" s="773"/>
      <c r="DX1073" s="773"/>
      <c r="DY1073" s="773"/>
      <c r="DZ1073" s="773"/>
      <c r="EA1073" s="773"/>
      <c r="EB1073" s="773"/>
      <c r="EC1073" s="773"/>
      <c r="ED1073" s="773"/>
      <c r="EE1073" s="773"/>
      <c r="EF1073" s="773"/>
      <c r="EG1073" s="773"/>
      <c r="EH1073" s="773"/>
      <c r="EI1073" s="773"/>
      <c r="EJ1073" s="773"/>
      <c r="EK1073" s="773"/>
      <c r="EL1073" s="773"/>
      <c r="EM1073" s="773"/>
      <c r="EN1073" s="773"/>
      <c r="EO1073" s="773"/>
      <c r="EP1073" s="773"/>
      <c r="EQ1073" s="773"/>
      <c r="ER1073" s="773"/>
      <c r="ES1073" s="773"/>
      <c r="ET1073" s="773"/>
      <c r="EU1073" s="773"/>
      <c r="EV1073" s="773"/>
      <c r="EW1073" s="773"/>
      <c r="EX1073" s="773"/>
      <c r="EY1073" s="773"/>
      <c r="EZ1073" s="773"/>
      <c r="FA1073" s="773"/>
      <c r="FB1073" s="773"/>
      <c r="FC1073" s="773"/>
      <c r="FD1073" s="773"/>
      <c r="FE1073" s="773"/>
      <c r="FF1073" s="773"/>
      <c r="FG1073" s="773"/>
      <c r="FH1073" s="773"/>
      <c r="FI1073" s="773"/>
      <c r="FJ1073" s="773"/>
      <c r="FK1073" s="773"/>
      <c r="FL1073" s="773"/>
      <c r="FM1073" s="773"/>
      <c r="FN1073" s="773"/>
      <c r="FO1073" s="773"/>
      <c r="FP1073" s="773"/>
      <c r="FQ1073" s="773"/>
      <c r="FR1073" s="773"/>
      <c r="FS1073" s="773"/>
      <c r="FT1073" s="773"/>
      <c r="FU1073" s="773"/>
      <c r="FV1073" s="773"/>
      <c r="FW1073" s="773"/>
      <c r="FX1073" s="773"/>
      <c r="FY1073" s="773"/>
      <c r="FZ1073" s="773"/>
      <c r="GA1073" s="773"/>
      <c r="GB1073" s="773"/>
      <c r="GC1073" s="773"/>
      <c r="GD1073" s="773"/>
      <c r="GE1073" s="773"/>
      <c r="GF1073" s="773"/>
      <c r="GG1073" s="773"/>
      <c r="GH1073" s="773"/>
      <c r="GI1073" s="773"/>
      <c r="GJ1073" s="773"/>
      <c r="GK1073" s="773"/>
      <c r="GL1073" s="773"/>
      <c r="GM1073" s="773"/>
      <c r="GN1073" s="773"/>
      <c r="GO1073" s="773"/>
      <c r="GP1073" s="773"/>
      <c r="GQ1073" s="773"/>
      <c r="GR1073" s="773"/>
      <c r="GS1073" s="773"/>
      <c r="GT1073" s="773"/>
      <c r="GU1073" s="773"/>
      <c r="GV1073" s="773"/>
      <c r="GW1073" s="773"/>
      <c r="GX1073" s="773"/>
      <c r="GY1073" s="773"/>
      <c r="GZ1073" s="773"/>
    </row>
    <row r="1074" spans="1:208" s="11" customFormat="1">
      <c r="A1074" s="917"/>
      <c r="B1074" s="918"/>
      <c r="C1074" s="781"/>
      <c r="D1074" s="173"/>
      <c r="E1074" s="769"/>
      <c r="F1074" s="769"/>
      <c r="G1074" s="769"/>
      <c r="H1074" s="769"/>
      <c r="I1074" s="769"/>
      <c r="J1074" s="769"/>
      <c r="K1074" s="209"/>
      <c r="L1074" s="498"/>
      <c r="M1074" s="771"/>
      <c r="N1074" s="773"/>
      <c r="O1074" s="773"/>
      <c r="P1074" s="772"/>
      <c r="Q1074" s="772"/>
      <c r="R1074" s="772"/>
      <c r="S1074" s="772"/>
      <c r="T1074" s="773"/>
      <c r="V1074" s="773"/>
      <c r="W1074" s="773"/>
      <c r="X1074" s="773"/>
      <c r="Y1074" s="773"/>
      <c r="Z1074" s="773"/>
      <c r="AA1074" s="773"/>
      <c r="AB1074" s="773"/>
      <c r="AC1074" s="773"/>
      <c r="AD1074" s="773"/>
      <c r="AE1074" s="773"/>
      <c r="AF1074" s="773"/>
      <c r="AG1074" s="773"/>
      <c r="AH1074" s="773"/>
      <c r="AI1074" s="773"/>
      <c r="AJ1074" s="773"/>
      <c r="AK1074" s="773"/>
      <c r="AL1074" s="773"/>
      <c r="AM1074" s="773"/>
      <c r="AN1074" s="773"/>
      <c r="AO1074" s="773"/>
      <c r="AP1074" s="773"/>
      <c r="AQ1074" s="773"/>
      <c r="AR1074" s="773"/>
      <c r="AS1074" s="773"/>
      <c r="AT1074" s="773"/>
      <c r="AU1074" s="773"/>
      <c r="AV1074" s="773"/>
      <c r="AW1074" s="2510"/>
      <c r="BC1074" s="2510"/>
      <c r="BD1074" s="2510"/>
      <c r="BE1074" s="2173"/>
      <c r="BF1074" s="2173"/>
      <c r="BG1074" s="2173"/>
      <c r="BH1074" s="2173"/>
      <c r="BI1074" s="2173"/>
      <c r="BJ1074" s="2173"/>
      <c r="BK1074" s="2173"/>
      <c r="DB1074" s="773"/>
      <c r="DC1074" s="773"/>
      <c r="DD1074" s="773"/>
      <c r="DE1074" s="773"/>
      <c r="DF1074" s="773"/>
      <c r="DG1074" s="773"/>
      <c r="DH1074" s="773"/>
      <c r="DI1074" s="773"/>
      <c r="DJ1074" s="773"/>
      <c r="DK1074" s="773"/>
      <c r="DL1074" s="773"/>
      <c r="DM1074" s="773"/>
      <c r="DN1074" s="773"/>
      <c r="DO1074" s="773"/>
      <c r="DP1074" s="773"/>
      <c r="DQ1074" s="773"/>
      <c r="DR1074" s="773"/>
      <c r="DS1074" s="773"/>
      <c r="DT1074" s="773"/>
      <c r="DU1074" s="773"/>
      <c r="DV1074" s="773"/>
      <c r="DW1074" s="773"/>
      <c r="DX1074" s="773"/>
      <c r="DY1074" s="773"/>
      <c r="DZ1074" s="773"/>
      <c r="EA1074" s="773"/>
      <c r="EB1074" s="773"/>
      <c r="EC1074" s="773"/>
      <c r="ED1074" s="773"/>
      <c r="EE1074" s="773"/>
      <c r="EF1074" s="773"/>
      <c r="EG1074" s="773"/>
      <c r="EH1074" s="773"/>
      <c r="EI1074" s="773"/>
      <c r="EJ1074" s="773"/>
      <c r="EK1074" s="773"/>
      <c r="EL1074" s="773"/>
      <c r="EM1074" s="773"/>
      <c r="EN1074" s="773"/>
      <c r="EO1074" s="773"/>
      <c r="EP1074" s="773"/>
      <c r="EQ1074" s="773"/>
      <c r="ER1074" s="773"/>
      <c r="ES1074" s="773"/>
      <c r="ET1074" s="773"/>
      <c r="EU1074" s="773"/>
      <c r="EV1074" s="773"/>
      <c r="EW1074" s="773"/>
      <c r="EX1074" s="773"/>
      <c r="EY1074" s="773"/>
      <c r="EZ1074" s="773"/>
      <c r="FA1074" s="773"/>
      <c r="FB1074" s="773"/>
      <c r="FC1074" s="773"/>
      <c r="FD1074" s="773"/>
      <c r="FE1074" s="773"/>
      <c r="FF1074" s="773"/>
      <c r="FG1074" s="773"/>
      <c r="FH1074" s="773"/>
      <c r="FI1074" s="773"/>
      <c r="FJ1074" s="773"/>
      <c r="FK1074" s="773"/>
      <c r="FL1074" s="773"/>
      <c r="FM1074" s="773"/>
      <c r="FN1074" s="773"/>
      <c r="FO1074" s="773"/>
      <c r="FP1074" s="773"/>
      <c r="FQ1074" s="773"/>
      <c r="FR1074" s="773"/>
      <c r="FS1074" s="773"/>
      <c r="FT1074" s="773"/>
      <c r="FU1074" s="773"/>
      <c r="FV1074" s="773"/>
      <c r="FW1074" s="773"/>
      <c r="FX1074" s="773"/>
      <c r="FY1074" s="773"/>
      <c r="FZ1074" s="773"/>
      <c r="GA1074" s="773"/>
      <c r="GB1074" s="773"/>
      <c r="GC1074" s="773"/>
      <c r="GD1074" s="773"/>
      <c r="GE1074" s="773"/>
      <c r="GF1074" s="773"/>
      <c r="GG1074" s="773"/>
      <c r="GH1074" s="773"/>
      <c r="GI1074" s="773"/>
      <c r="GJ1074" s="773"/>
      <c r="GK1074" s="773"/>
      <c r="GL1074" s="773"/>
      <c r="GM1074" s="773"/>
      <c r="GN1074" s="773"/>
      <c r="GO1074" s="773"/>
      <c r="GP1074" s="773"/>
      <c r="GQ1074" s="773"/>
      <c r="GR1074" s="773"/>
      <c r="GS1074" s="773"/>
      <c r="GT1074" s="773"/>
      <c r="GU1074" s="773"/>
      <c r="GV1074" s="773"/>
      <c r="GW1074" s="773"/>
      <c r="GX1074" s="773"/>
      <c r="GY1074" s="773"/>
      <c r="GZ1074" s="773"/>
    </row>
    <row r="1075" spans="1:208" s="11" customFormat="1">
      <c r="A1075" s="917"/>
      <c r="B1075" s="918"/>
      <c r="C1075" s="781"/>
      <c r="D1075" s="173"/>
      <c r="E1075" s="769"/>
      <c r="F1075" s="769"/>
      <c r="G1075" s="769"/>
      <c r="H1075" s="769"/>
      <c r="I1075" s="769"/>
      <c r="J1075" s="769"/>
      <c r="K1075" s="209"/>
      <c r="L1075" s="498"/>
      <c r="M1075" s="771"/>
      <c r="N1075" s="773"/>
      <c r="O1075" s="773"/>
      <c r="P1075" s="772"/>
      <c r="Q1075" s="772"/>
      <c r="R1075" s="772"/>
      <c r="S1075" s="772"/>
      <c r="T1075" s="773"/>
      <c r="V1075" s="773"/>
      <c r="W1075" s="773"/>
      <c r="X1075" s="773"/>
      <c r="Y1075" s="773"/>
      <c r="Z1075" s="773"/>
      <c r="AA1075" s="773"/>
      <c r="AB1075" s="773"/>
      <c r="AC1075" s="773"/>
      <c r="AD1075" s="773"/>
      <c r="AE1075" s="773"/>
      <c r="AF1075" s="773"/>
      <c r="AG1075" s="773"/>
      <c r="AH1075" s="773"/>
      <c r="AI1075" s="773"/>
      <c r="AJ1075" s="773"/>
      <c r="AK1075" s="773"/>
      <c r="AL1075" s="773"/>
      <c r="AM1075" s="773"/>
      <c r="AN1075" s="773"/>
      <c r="AO1075" s="773"/>
      <c r="AP1075" s="773"/>
      <c r="AQ1075" s="773"/>
      <c r="AR1075" s="773"/>
      <c r="AS1075" s="773"/>
      <c r="AT1075" s="773"/>
      <c r="AU1075" s="773"/>
      <c r="AV1075" s="773"/>
      <c r="AW1075" s="2510"/>
      <c r="BC1075" s="2510"/>
      <c r="BD1075" s="2510"/>
      <c r="BE1075" s="2173"/>
      <c r="BF1075" s="2173"/>
      <c r="BG1075" s="2173"/>
      <c r="BH1075" s="2173"/>
      <c r="BI1075" s="2173"/>
      <c r="BJ1075" s="2173"/>
      <c r="BK1075" s="2173"/>
      <c r="DB1075" s="773"/>
      <c r="DC1075" s="773"/>
      <c r="DD1075" s="773"/>
      <c r="DE1075" s="773"/>
      <c r="DF1075" s="773"/>
      <c r="DG1075" s="773"/>
      <c r="DH1075" s="773"/>
      <c r="DI1075" s="773"/>
      <c r="DJ1075" s="773"/>
      <c r="DK1075" s="773"/>
      <c r="DL1075" s="773"/>
      <c r="DM1075" s="773"/>
      <c r="DN1075" s="773"/>
      <c r="DO1075" s="773"/>
      <c r="DP1075" s="773"/>
      <c r="DQ1075" s="773"/>
      <c r="DR1075" s="773"/>
      <c r="DS1075" s="773"/>
      <c r="DT1075" s="773"/>
      <c r="DU1075" s="773"/>
      <c r="DV1075" s="773"/>
      <c r="DW1075" s="773"/>
      <c r="DX1075" s="773"/>
      <c r="DY1075" s="773"/>
      <c r="DZ1075" s="773"/>
      <c r="EA1075" s="773"/>
      <c r="EB1075" s="773"/>
      <c r="EC1075" s="773"/>
      <c r="ED1075" s="773"/>
      <c r="EE1075" s="773"/>
      <c r="EF1075" s="773"/>
      <c r="EG1075" s="773"/>
      <c r="EH1075" s="773"/>
      <c r="EI1075" s="773"/>
      <c r="EJ1075" s="773"/>
      <c r="EK1075" s="773"/>
      <c r="EL1075" s="773"/>
      <c r="EM1075" s="773"/>
      <c r="EN1075" s="773"/>
      <c r="EO1075" s="773"/>
      <c r="EP1075" s="773"/>
      <c r="EQ1075" s="773"/>
      <c r="ER1075" s="773"/>
      <c r="ES1075" s="773"/>
      <c r="ET1075" s="773"/>
      <c r="EU1075" s="773"/>
      <c r="EV1075" s="773"/>
      <c r="EW1075" s="773"/>
      <c r="EX1075" s="773"/>
      <c r="EY1075" s="773"/>
      <c r="EZ1075" s="773"/>
      <c r="FA1075" s="773"/>
      <c r="FB1075" s="773"/>
      <c r="FC1075" s="773"/>
      <c r="FD1075" s="773"/>
      <c r="FE1075" s="773"/>
      <c r="FF1075" s="773"/>
      <c r="FG1075" s="773"/>
      <c r="FH1075" s="773"/>
      <c r="FI1075" s="773"/>
      <c r="FJ1075" s="773"/>
      <c r="FK1075" s="773"/>
      <c r="FL1075" s="773"/>
      <c r="FM1075" s="773"/>
      <c r="FN1075" s="773"/>
      <c r="FO1075" s="773"/>
      <c r="FP1075" s="773"/>
      <c r="FQ1075" s="773"/>
      <c r="FR1075" s="773"/>
      <c r="FS1075" s="773"/>
      <c r="FT1075" s="773"/>
      <c r="FU1075" s="773"/>
      <c r="FV1075" s="773"/>
      <c r="FW1075" s="773"/>
      <c r="FX1075" s="773"/>
      <c r="FY1075" s="773"/>
      <c r="FZ1075" s="773"/>
      <c r="GA1075" s="773"/>
      <c r="GB1075" s="773"/>
      <c r="GC1075" s="773"/>
      <c r="GD1075" s="773"/>
      <c r="GE1075" s="773"/>
      <c r="GF1075" s="773"/>
      <c r="GG1075" s="773"/>
      <c r="GH1075" s="773"/>
      <c r="GI1075" s="773"/>
      <c r="GJ1075" s="773"/>
      <c r="GK1075" s="773"/>
      <c r="GL1075" s="773"/>
      <c r="GM1075" s="773"/>
      <c r="GN1075" s="773"/>
      <c r="GO1075" s="773"/>
      <c r="GP1075" s="773"/>
      <c r="GQ1075" s="773"/>
      <c r="GR1075" s="773"/>
      <c r="GS1075" s="773"/>
      <c r="GT1075" s="773"/>
      <c r="GU1075" s="773"/>
      <c r="GV1075" s="773"/>
      <c r="GW1075" s="773"/>
      <c r="GX1075" s="773"/>
      <c r="GY1075" s="773"/>
      <c r="GZ1075" s="773"/>
    </row>
    <row r="1076" spans="1:208" s="11" customFormat="1">
      <c r="A1076" s="917"/>
      <c r="B1076" s="918"/>
      <c r="C1076" s="781"/>
      <c r="D1076" s="173"/>
      <c r="E1076" s="769"/>
      <c r="F1076" s="769"/>
      <c r="G1076" s="769"/>
      <c r="H1076" s="769"/>
      <c r="I1076" s="769"/>
      <c r="J1076" s="769"/>
      <c r="K1076" s="209"/>
      <c r="L1076" s="498"/>
      <c r="M1076" s="771"/>
      <c r="N1076" s="773"/>
      <c r="O1076" s="773"/>
      <c r="P1076" s="772"/>
      <c r="Q1076" s="772"/>
      <c r="R1076" s="772"/>
      <c r="S1076" s="772"/>
      <c r="T1076" s="773"/>
      <c r="V1076" s="773"/>
      <c r="W1076" s="773"/>
      <c r="X1076" s="773"/>
      <c r="Y1076" s="773"/>
      <c r="Z1076" s="773"/>
      <c r="AA1076" s="773"/>
      <c r="AB1076" s="773"/>
      <c r="AC1076" s="773"/>
      <c r="AD1076" s="773"/>
      <c r="AE1076" s="773"/>
      <c r="AF1076" s="773"/>
      <c r="AG1076" s="773"/>
      <c r="AH1076" s="773"/>
      <c r="AI1076" s="773"/>
      <c r="AJ1076" s="773"/>
      <c r="AK1076" s="773"/>
      <c r="AL1076" s="773"/>
      <c r="AM1076" s="773"/>
      <c r="AN1076" s="773"/>
      <c r="AO1076" s="773"/>
      <c r="AP1076" s="773"/>
      <c r="AQ1076" s="773"/>
      <c r="AR1076" s="773"/>
      <c r="AS1076" s="773"/>
      <c r="AT1076" s="773"/>
      <c r="AU1076" s="773"/>
      <c r="AV1076" s="773"/>
      <c r="AW1076" s="2510"/>
      <c r="BC1076" s="2510"/>
      <c r="BD1076" s="2510"/>
      <c r="BE1076" s="2173"/>
      <c r="BF1076" s="2173"/>
      <c r="BG1076" s="2173"/>
      <c r="BH1076" s="2173"/>
      <c r="BI1076" s="2173"/>
      <c r="BJ1076" s="2173"/>
      <c r="BK1076" s="2173"/>
      <c r="DB1076" s="773"/>
      <c r="DC1076" s="773"/>
      <c r="DD1076" s="773"/>
      <c r="DE1076" s="773"/>
      <c r="DF1076" s="773"/>
      <c r="DG1076" s="773"/>
      <c r="DH1076" s="773"/>
      <c r="DI1076" s="773"/>
      <c r="DJ1076" s="773"/>
      <c r="DK1076" s="773"/>
      <c r="DL1076" s="773"/>
      <c r="DM1076" s="773"/>
      <c r="DN1076" s="773"/>
      <c r="DO1076" s="773"/>
      <c r="DP1076" s="773"/>
      <c r="DQ1076" s="773"/>
      <c r="DR1076" s="773"/>
      <c r="DS1076" s="773"/>
      <c r="DT1076" s="773"/>
      <c r="DU1076" s="773"/>
      <c r="DV1076" s="773"/>
      <c r="DW1076" s="773"/>
      <c r="DX1076" s="773"/>
      <c r="DY1076" s="773"/>
      <c r="DZ1076" s="773"/>
      <c r="EA1076" s="773"/>
      <c r="EB1076" s="773"/>
      <c r="EC1076" s="773"/>
      <c r="ED1076" s="773"/>
      <c r="EE1076" s="773"/>
      <c r="EF1076" s="773"/>
      <c r="EG1076" s="773"/>
      <c r="EH1076" s="773"/>
      <c r="EI1076" s="773"/>
      <c r="EJ1076" s="773"/>
      <c r="EK1076" s="773"/>
      <c r="EL1076" s="773"/>
      <c r="EM1076" s="773"/>
      <c r="EN1076" s="773"/>
      <c r="EO1076" s="773"/>
      <c r="EP1076" s="773"/>
      <c r="EQ1076" s="773"/>
      <c r="ER1076" s="773"/>
      <c r="ES1076" s="773"/>
      <c r="ET1076" s="773"/>
      <c r="EU1076" s="773"/>
      <c r="EV1076" s="773"/>
      <c r="EW1076" s="773"/>
      <c r="EX1076" s="773"/>
      <c r="EY1076" s="773"/>
      <c r="EZ1076" s="773"/>
      <c r="FA1076" s="773"/>
      <c r="FB1076" s="773"/>
      <c r="FC1076" s="773"/>
      <c r="FD1076" s="773"/>
      <c r="FE1076" s="773"/>
      <c r="FF1076" s="773"/>
      <c r="FG1076" s="773"/>
      <c r="FH1076" s="773"/>
      <c r="FI1076" s="773"/>
      <c r="FJ1076" s="773"/>
      <c r="FK1076" s="773"/>
      <c r="FL1076" s="773"/>
      <c r="FM1076" s="773"/>
      <c r="FN1076" s="773"/>
      <c r="FO1076" s="773"/>
      <c r="FP1076" s="773"/>
      <c r="FQ1076" s="773"/>
      <c r="FR1076" s="773"/>
      <c r="FS1076" s="773"/>
      <c r="FT1076" s="773"/>
      <c r="FU1076" s="773"/>
      <c r="FV1076" s="773"/>
      <c r="FW1076" s="773"/>
      <c r="FX1076" s="773"/>
      <c r="FY1076" s="773"/>
      <c r="FZ1076" s="773"/>
      <c r="GA1076" s="773"/>
      <c r="GB1076" s="773"/>
      <c r="GC1076" s="773"/>
      <c r="GD1076" s="773"/>
      <c r="GE1076" s="773"/>
      <c r="GF1076" s="773"/>
      <c r="GG1076" s="773"/>
      <c r="GH1076" s="773"/>
      <c r="GI1076" s="773"/>
      <c r="GJ1076" s="773"/>
      <c r="GK1076" s="773"/>
      <c r="GL1076" s="773"/>
      <c r="GM1076" s="773"/>
      <c r="GN1076" s="773"/>
      <c r="GO1076" s="773"/>
      <c r="GP1076" s="773"/>
      <c r="GQ1076" s="773"/>
      <c r="GR1076" s="773"/>
      <c r="GS1076" s="773"/>
      <c r="GT1076" s="773"/>
      <c r="GU1076" s="773"/>
      <c r="GV1076" s="773"/>
      <c r="GW1076" s="773"/>
      <c r="GX1076" s="773"/>
      <c r="GY1076" s="773"/>
      <c r="GZ1076" s="773"/>
    </row>
    <row r="1077" spans="1:208" s="11" customFormat="1">
      <c r="A1077" s="917"/>
      <c r="B1077" s="918"/>
      <c r="C1077" s="781"/>
      <c r="D1077" s="173"/>
      <c r="E1077" s="769"/>
      <c r="F1077" s="769"/>
      <c r="G1077" s="769"/>
      <c r="H1077" s="769"/>
      <c r="I1077" s="769"/>
      <c r="J1077" s="769"/>
      <c r="K1077" s="209"/>
      <c r="L1077" s="770"/>
      <c r="M1077" s="771"/>
      <c r="N1077" s="773"/>
      <c r="O1077" s="773"/>
      <c r="P1077" s="772"/>
      <c r="Q1077" s="772"/>
      <c r="R1077" s="772"/>
      <c r="S1077" s="772"/>
      <c r="T1077" s="773"/>
      <c r="V1077" s="773"/>
      <c r="W1077" s="773"/>
      <c r="X1077" s="773"/>
      <c r="Y1077" s="773"/>
      <c r="Z1077" s="773"/>
      <c r="AA1077" s="773"/>
      <c r="AB1077" s="773"/>
      <c r="AC1077" s="773"/>
      <c r="AD1077" s="773"/>
      <c r="AE1077" s="773"/>
      <c r="AF1077" s="773"/>
      <c r="AG1077" s="773"/>
      <c r="AH1077" s="773"/>
      <c r="AI1077" s="773"/>
      <c r="AJ1077" s="773"/>
      <c r="AK1077" s="773"/>
      <c r="AL1077" s="773"/>
      <c r="AM1077" s="773"/>
      <c r="AN1077" s="773"/>
      <c r="AO1077" s="773"/>
      <c r="AP1077" s="773"/>
      <c r="AQ1077" s="773"/>
      <c r="AR1077" s="773"/>
      <c r="AS1077" s="773"/>
      <c r="AT1077" s="773"/>
      <c r="AU1077" s="773"/>
      <c r="AV1077" s="773"/>
      <c r="AW1077" s="2510"/>
      <c r="BC1077" s="2510"/>
      <c r="BD1077" s="2510"/>
      <c r="BE1077" s="2173"/>
      <c r="BF1077" s="2173"/>
      <c r="BG1077" s="2173"/>
      <c r="BH1077" s="2173"/>
      <c r="BI1077" s="2173"/>
      <c r="BJ1077" s="2173"/>
      <c r="BK1077" s="2173"/>
      <c r="DB1077" s="773"/>
      <c r="DC1077" s="773"/>
      <c r="DD1077" s="773"/>
      <c r="DE1077" s="773"/>
      <c r="DF1077" s="773"/>
      <c r="DG1077" s="773"/>
      <c r="DH1077" s="773"/>
      <c r="DI1077" s="773"/>
      <c r="DJ1077" s="773"/>
      <c r="DK1077" s="773"/>
      <c r="DL1077" s="773"/>
      <c r="DM1077" s="773"/>
      <c r="DN1077" s="773"/>
      <c r="DO1077" s="773"/>
      <c r="DP1077" s="773"/>
      <c r="DQ1077" s="773"/>
      <c r="DR1077" s="773"/>
      <c r="DS1077" s="773"/>
      <c r="DT1077" s="773"/>
      <c r="DU1077" s="773"/>
      <c r="DV1077" s="773"/>
      <c r="DW1077" s="773"/>
      <c r="DX1077" s="773"/>
      <c r="DY1077" s="773"/>
      <c r="DZ1077" s="773"/>
      <c r="EA1077" s="773"/>
      <c r="EB1077" s="773"/>
      <c r="EC1077" s="773"/>
      <c r="ED1077" s="773"/>
      <c r="EE1077" s="773"/>
      <c r="EF1077" s="773"/>
      <c r="EG1077" s="773"/>
      <c r="EH1077" s="773"/>
      <c r="EI1077" s="773"/>
      <c r="EJ1077" s="773"/>
      <c r="EK1077" s="773"/>
      <c r="EL1077" s="773"/>
      <c r="EM1077" s="773"/>
      <c r="EN1077" s="773"/>
      <c r="EO1077" s="773"/>
      <c r="EP1077" s="773"/>
      <c r="EQ1077" s="773"/>
      <c r="ER1077" s="773"/>
      <c r="ES1077" s="773"/>
      <c r="ET1077" s="773"/>
      <c r="EU1077" s="773"/>
      <c r="EV1077" s="773"/>
      <c r="EW1077" s="773"/>
      <c r="EX1077" s="773"/>
      <c r="EY1077" s="773"/>
      <c r="EZ1077" s="773"/>
      <c r="FA1077" s="773"/>
      <c r="FB1077" s="773"/>
      <c r="FC1077" s="773"/>
      <c r="FD1077" s="773"/>
      <c r="FE1077" s="773"/>
      <c r="FF1077" s="773"/>
      <c r="FG1077" s="773"/>
      <c r="FH1077" s="773"/>
      <c r="FI1077" s="773"/>
      <c r="FJ1077" s="773"/>
      <c r="FK1077" s="773"/>
      <c r="FL1077" s="773"/>
      <c r="FM1077" s="773"/>
      <c r="FN1077" s="773"/>
      <c r="FO1077" s="773"/>
      <c r="FP1077" s="773"/>
      <c r="FQ1077" s="773"/>
      <c r="FR1077" s="773"/>
      <c r="FS1077" s="773"/>
      <c r="FT1077" s="773"/>
      <c r="FU1077" s="773"/>
      <c r="FV1077" s="773"/>
      <c r="FW1077" s="773"/>
      <c r="FX1077" s="773"/>
      <c r="FY1077" s="773"/>
      <c r="FZ1077" s="773"/>
      <c r="GA1077" s="773"/>
      <c r="GB1077" s="773"/>
      <c r="GC1077" s="773"/>
      <c r="GD1077" s="773"/>
      <c r="GE1077" s="773"/>
      <c r="GF1077" s="773"/>
      <c r="GG1077" s="773"/>
      <c r="GH1077" s="773"/>
      <c r="GI1077" s="773"/>
      <c r="GJ1077" s="773"/>
      <c r="GK1077" s="773"/>
      <c r="GL1077" s="773"/>
      <c r="GM1077" s="773"/>
      <c r="GN1077" s="773"/>
      <c r="GO1077" s="773"/>
      <c r="GP1077" s="773"/>
      <c r="GQ1077" s="773"/>
      <c r="GR1077" s="773"/>
      <c r="GS1077" s="773"/>
      <c r="GT1077" s="773"/>
      <c r="GU1077" s="773"/>
      <c r="GV1077" s="773"/>
      <c r="GW1077" s="773"/>
      <c r="GX1077" s="773"/>
      <c r="GY1077" s="773"/>
      <c r="GZ1077" s="773"/>
    </row>
    <row r="1078" spans="1:208" s="11" customFormat="1">
      <c r="A1078" s="917"/>
      <c r="B1078" s="918"/>
      <c r="C1078" s="781"/>
      <c r="D1078" s="173"/>
      <c r="E1078" s="769"/>
      <c r="F1078" s="769"/>
      <c r="G1078" s="769"/>
      <c r="H1078" s="769"/>
      <c r="I1078" s="769"/>
      <c r="J1078" s="769"/>
      <c r="K1078" s="209"/>
      <c r="L1078" s="770"/>
      <c r="M1078" s="771"/>
      <c r="N1078" s="773"/>
      <c r="O1078" s="773"/>
      <c r="P1078" s="772"/>
      <c r="Q1078" s="772"/>
      <c r="R1078" s="772"/>
      <c r="S1078" s="772"/>
      <c r="T1078" s="773"/>
      <c r="V1078" s="773"/>
      <c r="W1078" s="773"/>
      <c r="X1078" s="773"/>
      <c r="Y1078" s="773"/>
      <c r="Z1078" s="773"/>
      <c r="AA1078" s="773"/>
      <c r="AB1078" s="773"/>
      <c r="AC1078" s="773"/>
      <c r="AD1078" s="773"/>
      <c r="AE1078" s="773"/>
      <c r="AF1078" s="773"/>
      <c r="AG1078" s="773"/>
      <c r="AH1078" s="773"/>
      <c r="AI1078" s="773"/>
      <c r="AJ1078" s="773"/>
      <c r="AK1078" s="773"/>
      <c r="AL1078" s="773"/>
      <c r="AM1078" s="773"/>
      <c r="AN1078" s="773"/>
      <c r="AO1078" s="773"/>
      <c r="AP1078" s="773"/>
      <c r="AQ1078" s="773"/>
      <c r="AR1078" s="773"/>
      <c r="AS1078" s="773"/>
      <c r="AT1078" s="773"/>
      <c r="AU1078" s="773"/>
      <c r="AV1078" s="773"/>
      <c r="AW1078" s="2510"/>
      <c r="AY1078" s="11" t="s">
        <v>83</v>
      </c>
      <c r="BC1078" s="2510"/>
      <c r="BD1078" s="2510"/>
      <c r="BE1078" s="2173"/>
      <c r="BF1078" s="2173"/>
      <c r="BG1078" s="2173"/>
      <c r="BH1078" s="2173"/>
      <c r="BI1078" s="2173"/>
      <c r="BJ1078" s="2173"/>
      <c r="BK1078" s="2173"/>
      <c r="DB1078" s="773"/>
      <c r="DC1078" s="773"/>
      <c r="DD1078" s="773"/>
      <c r="DE1078" s="773"/>
      <c r="DF1078" s="773"/>
      <c r="DG1078" s="773"/>
      <c r="DH1078" s="773"/>
      <c r="DI1078" s="773"/>
      <c r="DJ1078" s="773"/>
      <c r="DK1078" s="773"/>
      <c r="DL1078" s="773"/>
      <c r="DM1078" s="773"/>
      <c r="DN1078" s="773"/>
      <c r="DO1078" s="773"/>
      <c r="DP1078" s="773"/>
      <c r="DQ1078" s="773"/>
      <c r="DR1078" s="773"/>
      <c r="DS1078" s="773"/>
      <c r="DT1078" s="773"/>
      <c r="DU1078" s="773"/>
      <c r="DV1078" s="773"/>
      <c r="DW1078" s="773"/>
      <c r="DX1078" s="773"/>
      <c r="DY1078" s="773"/>
      <c r="DZ1078" s="773"/>
      <c r="EA1078" s="773"/>
      <c r="EB1078" s="773"/>
      <c r="EC1078" s="773"/>
      <c r="ED1078" s="773"/>
      <c r="EE1078" s="773"/>
      <c r="EF1078" s="773"/>
      <c r="EG1078" s="773"/>
      <c r="EH1078" s="773"/>
      <c r="EI1078" s="773"/>
      <c r="EJ1078" s="773"/>
      <c r="EK1078" s="773"/>
      <c r="EL1078" s="773"/>
      <c r="EM1078" s="773"/>
      <c r="EN1078" s="773"/>
      <c r="EO1078" s="773"/>
      <c r="EP1078" s="773"/>
      <c r="EQ1078" s="773"/>
      <c r="ER1078" s="773"/>
      <c r="ES1078" s="773"/>
      <c r="ET1078" s="773"/>
      <c r="EU1078" s="773"/>
      <c r="EV1078" s="773"/>
      <c r="EW1078" s="773"/>
      <c r="EX1078" s="773"/>
      <c r="EY1078" s="773"/>
      <c r="EZ1078" s="773"/>
      <c r="FA1078" s="773"/>
      <c r="FB1078" s="773"/>
      <c r="FC1078" s="773"/>
      <c r="FD1078" s="773"/>
      <c r="FE1078" s="773"/>
      <c r="FF1078" s="773"/>
      <c r="FG1078" s="773"/>
      <c r="FH1078" s="773"/>
      <c r="FI1078" s="773"/>
      <c r="FJ1078" s="773"/>
      <c r="FK1078" s="773"/>
      <c r="FL1078" s="773"/>
      <c r="FM1078" s="773"/>
      <c r="FN1078" s="773"/>
      <c r="FO1078" s="773"/>
      <c r="FP1078" s="773"/>
      <c r="FQ1078" s="773"/>
      <c r="FR1078" s="773"/>
      <c r="FS1078" s="773"/>
      <c r="FT1078" s="773"/>
      <c r="FU1078" s="773"/>
      <c r="FV1078" s="773"/>
      <c r="FW1078" s="773"/>
      <c r="FX1078" s="773"/>
      <c r="FY1078" s="773"/>
      <c r="FZ1078" s="773"/>
      <c r="GA1078" s="773"/>
      <c r="GB1078" s="773"/>
      <c r="GC1078" s="773"/>
      <c r="GD1078" s="773"/>
      <c r="GE1078" s="773"/>
      <c r="GF1078" s="773"/>
      <c r="GG1078" s="773"/>
      <c r="GH1078" s="773"/>
      <c r="GI1078" s="773"/>
      <c r="GJ1078" s="773"/>
      <c r="GK1078" s="773"/>
      <c r="GL1078" s="773"/>
      <c r="GM1078" s="773"/>
      <c r="GN1078" s="773"/>
      <c r="GO1078" s="773"/>
      <c r="GP1078" s="773"/>
      <c r="GQ1078" s="773"/>
      <c r="GR1078" s="773"/>
      <c r="GS1078" s="773"/>
      <c r="GT1078" s="773"/>
      <c r="GU1078" s="773"/>
      <c r="GV1078" s="773"/>
      <c r="GW1078" s="773"/>
      <c r="GX1078" s="773"/>
      <c r="GY1078" s="773"/>
      <c r="GZ1078" s="773"/>
    </row>
    <row r="1079" spans="1:208" s="11" customFormat="1">
      <c r="A1079" s="917"/>
      <c r="B1079" s="918"/>
      <c r="C1079" s="781"/>
      <c r="D1079" s="173"/>
      <c r="E1079" s="769"/>
      <c r="F1079" s="769"/>
      <c r="G1079" s="769"/>
      <c r="H1079" s="769"/>
      <c r="I1079" s="769"/>
      <c r="J1079" s="769"/>
      <c r="K1079" s="209"/>
      <c r="L1079" s="498"/>
      <c r="M1079" s="771"/>
      <c r="N1079" s="773"/>
      <c r="O1079" s="773"/>
      <c r="P1079" s="772"/>
      <c r="Q1079" s="772"/>
      <c r="R1079" s="772"/>
      <c r="S1079" s="772"/>
      <c r="T1079" s="773"/>
      <c r="V1079" s="773"/>
      <c r="W1079" s="773"/>
      <c r="X1079" s="773"/>
      <c r="Y1079" s="773"/>
      <c r="Z1079" s="773"/>
      <c r="AA1079" s="773"/>
      <c r="AB1079" s="773"/>
      <c r="AC1079" s="773"/>
      <c r="AD1079" s="773"/>
      <c r="AE1079" s="773"/>
      <c r="AF1079" s="773"/>
      <c r="AG1079" s="773"/>
      <c r="AH1079" s="773"/>
      <c r="AI1079" s="773"/>
      <c r="AJ1079" s="773"/>
      <c r="AK1079" s="773"/>
      <c r="AL1079" s="773"/>
      <c r="AM1079" s="773"/>
      <c r="AN1079" s="773"/>
      <c r="AO1079" s="773"/>
      <c r="AP1079" s="773"/>
      <c r="AQ1079" s="773"/>
      <c r="AR1079" s="773"/>
      <c r="AS1079" s="773"/>
      <c r="AT1079" s="773"/>
      <c r="AU1079" s="773"/>
      <c r="AV1079" s="773"/>
      <c r="AW1079" s="2510"/>
      <c r="AY1079" s="11">
        <f>J506</f>
        <v>29978.66</v>
      </c>
      <c r="BC1079" s="2510"/>
      <c r="BD1079" s="2510"/>
      <c r="BE1079" s="2173"/>
      <c r="BF1079" s="2173"/>
      <c r="BG1079" s="2173"/>
      <c r="BH1079" s="2173"/>
      <c r="BI1079" s="2173"/>
      <c r="BJ1079" s="2173"/>
      <c r="BK1079" s="2173"/>
      <c r="DB1079" s="773"/>
      <c r="DC1079" s="773"/>
      <c r="DD1079" s="773"/>
      <c r="DE1079" s="773"/>
      <c r="DF1079" s="773"/>
      <c r="DG1079" s="773"/>
      <c r="DH1079" s="773"/>
      <c r="DI1079" s="773"/>
      <c r="DJ1079" s="773"/>
      <c r="DK1079" s="773"/>
      <c r="DL1079" s="773"/>
      <c r="DM1079" s="773"/>
      <c r="DN1079" s="773"/>
      <c r="DO1079" s="773"/>
      <c r="DP1079" s="773"/>
      <c r="DQ1079" s="773"/>
      <c r="DR1079" s="773"/>
      <c r="DS1079" s="773"/>
      <c r="DT1079" s="773"/>
      <c r="DU1079" s="773"/>
      <c r="DV1079" s="773"/>
      <c r="DW1079" s="773"/>
      <c r="DX1079" s="773"/>
      <c r="DY1079" s="773"/>
      <c r="DZ1079" s="773"/>
      <c r="EA1079" s="773"/>
      <c r="EB1079" s="773"/>
      <c r="EC1079" s="773"/>
      <c r="ED1079" s="773"/>
      <c r="EE1079" s="773"/>
      <c r="EF1079" s="773"/>
      <c r="EG1079" s="773"/>
      <c r="EH1079" s="773"/>
      <c r="EI1079" s="773"/>
      <c r="EJ1079" s="773"/>
      <c r="EK1079" s="773"/>
      <c r="EL1079" s="773"/>
      <c r="EM1079" s="773"/>
      <c r="EN1079" s="773"/>
      <c r="EO1079" s="773"/>
      <c r="EP1079" s="773"/>
      <c r="EQ1079" s="773"/>
      <c r="ER1079" s="773"/>
      <c r="ES1079" s="773"/>
      <c r="ET1079" s="773"/>
      <c r="EU1079" s="773"/>
      <c r="EV1079" s="773"/>
      <c r="EW1079" s="773"/>
      <c r="EX1079" s="773"/>
      <c r="EY1079" s="773"/>
      <c r="EZ1079" s="773"/>
      <c r="FA1079" s="773"/>
      <c r="FB1079" s="773"/>
      <c r="FC1079" s="773"/>
      <c r="FD1079" s="773"/>
      <c r="FE1079" s="773"/>
      <c r="FF1079" s="773"/>
      <c r="FG1079" s="773"/>
      <c r="FH1079" s="773"/>
      <c r="FI1079" s="773"/>
      <c r="FJ1079" s="773"/>
      <c r="FK1079" s="773"/>
      <c r="FL1079" s="773"/>
      <c r="FM1079" s="773"/>
      <c r="FN1079" s="773"/>
      <c r="FO1079" s="773"/>
      <c r="FP1079" s="773"/>
      <c r="FQ1079" s="773"/>
      <c r="FR1079" s="773"/>
      <c r="FS1079" s="773"/>
      <c r="FT1079" s="773"/>
      <c r="FU1079" s="773"/>
      <c r="FV1079" s="773"/>
      <c r="FW1079" s="773"/>
      <c r="FX1079" s="773"/>
      <c r="FY1079" s="773"/>
      <c r="FZ1079" s="773"/>
      <c r="GA1079" s="773"/>
      <c r="GB1079" s="773"/>
      <c r="GC1079" s="773"/>
      <c r="GD1079" s="773"/>
      <c r="GE1079" s="773"/>
      <c r="GF1079" s="773"/>
      <c r="GG1079" s="773"/>
      <c r="GH1079" s="773"/>
      <c r="GI1079" s="773"/>
      <c r="GJ1079" s="773"/>
      <c r="GK1079" s="773"/>
      <c r="GL1079" s="773"/>
      <c r="GM1079" s="773"/>
      <c r="GN1079" s="773"/>
      <c r="GO1079" s="773"/>
      <c r="GP1079" s="773"/>
      <c r="GQ1079" s="773"/>
      <c r="GR1079" s="773"/>
      <c r="GS1079" s="773"/>
      <c r="GT1079" s="773"/>
      <c r="GU1079" s="773"/>
      <c r="GV1079" s="773"/>
      <c r="GW1079" s="773"/>
      <c r="GX1079" s="773"/>
      <c r="GY1079" s="773"/>
      <c r="GZ1079" s="773"/>
    </row>
    <row r="1080" spans="1:208" s="11" customFormat="1">
      <c r="A1080" s="917"/>
      <c r="B1080" s="918"/>
      <c r="C1080" s="781"/>
      <c r="D1080" s="173"/>
      <c r="E1080" s="769"/>
      <c r="F1080" s="769"/>
      <c r="G1080" s="769"/>
      <c r="H1080" s="769"/>
      <c r="I1080" s="769"/>
      <c r="J1080" s="769"/>
      <c r="K1080" s="209"/>
      <c r="L1080" s="770"/>
      <c r="M1080" s="771"/>
      <c r="N1080" s="773"/>
      <c r="O1080" s="773"/>
      <c r="P1080" s="772"/>
      <c r="Q1080" s="772"/>
      <c r="R1080" s="772"/>
      <c r="S1080" s="772"/>
      <c r="T1080" s="773"/>
      <c r="V1080" s="773"/>
      <c r="W1080" s="773"/>
      <c r="X1080" s="773"/>
      <c r="Y1080" s="773"/>
      <c r="Z1080" s="773"/>
      <c r="AA1080" s="773"/>
      <c r="AB1080" s="773"/>
      <c r="AC1080" s="773"/>
      <c r="AD1080" s="773"/>
      <c r="AE1080" s="773"/>
      <c r="AF1080" s="773"/>
      <c r="AG1080" s="773"/>
      <c r="AH1080" s="773"/>
      <c r="AI1080" s="773"/>
      <c r="AJ1080" s="773"/>
      <c r="AK1080" s="773"/>
      <c r="AL1080" s="773"/>
      <c r="AM1080" s="773"/>
      <c r="AN1080" s="773"/>
      <c r="AO1080" s="773"/>
      <c r="AP1080" s="773"/>
      <c r="AQ1080" s="773"/>
      <c r="AR1080" s="773"/>
      <c r="AS1080" s="773"/>
      <c r="AT1080" s="773"/>
      <c r="AU1080" s="773"/>
      <c r="AV1080" s="773"/>
      <c r="AW1080" s="2510"/>
      <c r="AY1080" s="11">
        <f>J608</f>
        <v>27396.75</v>
      </c>
      <c r="BC1080" s="2510"/>
      <c r="BD1080" s="2510"/>
      <c r="BE1080" s="2173"/>
      <c r="BF1080" s="2173"/>
      <c r="BG1080" s="2173"/>
      <c r="BH1080" s="2173"/>
      <c r="BI1080" s="2173"/>
      <c r="BJ1080" s="2173"/>
      <c r="BK1080" s="2173"/>
      <c r="DB1080" s="773"/>
      <c r="DC1080" s="773"/>
      <c r="DD1080" s="773"/>
      <c r="DE1080" s="773"/>
      <c r="DF1080" s="773"/>
      <c r="DG1080" s="773"/>
      <c r="DH1080" s="773"/>
      <c r="DI1080" s="773"/>
      <c r="DJ1080" s="773"/>
      <c r="DK1080" s="773"/>
      <c r="DL1080" s="773"/>
      <c r="DM1080" s="773"/>
      <c r="DN1080" s="773"/>
      <c r="DO1080" s="773"/>
      <c r="DP1080" s="773"/>
      <c r="DQ1080" s="773"/>
      <c r="DR1080" s="773"/>
      <c r="DS1080" s="773"/>
      <c r="DT1080" s="773"/>
      <c r="DU1080" s="773"/>
      <c r="DV1080" s="773"/>
      <c r="DW1080" s="773"/>
      <c r="DX1080" s="773"/>
      <c r="DY1080" s="773"/>
      <c r="DZ1080" s="773"/>
      <c r="EA1080" s="773"/>
      <c r="EB1080" s="773"/>
      <c r="EC1080" s="773"/>
      <c r="ED1080" s="773"/>
      <c r="EE1080" s="773"/>
      <c r="EF1080" s="773"/>
      <c r="EG1080" s="773"/>
      <c r="EH1080" s="773"/>
      <c r="EI1080" s="773"/>
      <c r="EJ1080" s="773"/>
      <c r="EK1080" s="773"/>
      <c r="EL1080" s="773"/>
      <c r="EM1080" s="773"/>
      <c r="EN1080" s="773"/>
      <c r="EO1080" s="773"/>
      <c r="EP1080" s="773"/>
      <c r="EQ1080" s="773"/>
      <c r="ER1080" s="773"/>
      <c r="ES1080" s="773"/>
      <c r="ET1080" s="773"/>
      <c r="EU1080" s="773"/>
      <c r="EV1080" s="773"/>
      <c r="EW1080" s="773"/>
      <c r="EX1080" s="773"/>
      <c r="EY1080" s="773"/>
      <c r="EZ1080" s="773"/>
      <c r="FA1080" s="773"/>
      <c r="FB1080" s="773"/>
      <c r="FC1080" s="773"/>
      <c r="FD1080" s="773"/>
      <c r="FE1080" s="773"/>
      <c r="FF1080" s="773"/>
      <c r="FG1080" s="773"/>
      <c r="FH1080" s="773"/>
      <c r="FI1080" s="773"/>
      <c r="FJ1080" s="773"/>
      <c r="FK1080" s="773"/>
      <c r="FL1080" s="773"/>
      <c r="FM1080" s="773"/>
      <c r="FN1080" s="773"/>
      <c r="FO1080" s="773"/>
      <c r="FP1080" s="773"/>
      <c r="FQ1080" s="773"/>
      <c r="FR1080" s="773"/>
      <c r="FS1080" s="773"/>
      <c r="FT1080" s="773"/>
      <c r="FU1080" s="773"/>
      <c r="FV1080" s="773"/>
      <c r="FW1080" s="773"/>
      <c r="FX1080" s="773"/>
      <c r="FY1080" s="773"/>
      <c r="FZ1080" s="773"/>
      <c r="GA1080" s="773"/>
      <c r="GB1080" s="773"/>
      <c r="GC1080" s="773"/>
      <c r="GD1080" s="773"/>
      <c r="GE1080" s="773"/>
      <c r="GF1080" s="773"/>
      <c r="GG1080" s="773"/>
      <c r="GH1080" s="773"/>
      <c r="GI1080" s="773"/>
      <c r="GJ1080" s="773"/>
      <c r="GK1080" s="773"/>
      <c r="GL1080" s="773"/>
      <c r="GM1080" s="773"/>
      <c r="GN1080" s="773"/>
      <c r="GO1080" s="773"/>
      <c r="GP1080" s="773"/>
      <c r="GQ1080" s="773"/>
      <c r="GR1080" s="773"/>
      <c r="GS1080" s="773"/>
      <c r="GT1080" s="773"/>
      <c r="GU1080" s="773"/>
      <c r="GV1080" s="773"/>
      <c r="GW1080" s="773"/>
      <c r="GX1080" s="773"/>
      <c r="GY1080" s="773"/>
      <c r="GZ1080" s="773"/>
    </row>
    <row r="1081" spans="1:208" s="11" customFormat="1">
      <c r="A1081" s="917"/>
      <c r="B1081" s="918"/>
      <c r="C1081" s="781"/>
      <c r="D1081" s="173"/>
      <c r="E1081" s="769"/>
      <c r="F1081" s="769"/>
      <c r="G1081" s="769"/>
      <c r="H1081" s="769"/>
      <c r="I1081" s="769"/>
      <c r="J1081" s="769"/>
      <c r="K1081" s="209"/>
      <c r="L1081" s="770"/>
      <c r="M1081" s="771"/>
      <c r="N1081" s="773"/>
      <c r="O1081" s="773"/>
      <c r="P1081" s="772"/>
      <c r="Q1081" s="772"/>
      <c r="R1081" s="772"/>
      <c r="S1081" s="772"/>
      <c r="T1081" s="773"/>
      <c r="V1081" s="773"/>
      <c r="W1081" s="773"/>
      <c r="X1081" s="773"/>
      <c r="Y1081" s="773"/>
      <c r="Z1081" s="773"/>
      <c r="AA1081" s="773"/>
      <c r="AB1081" s="773"/>
      <c r="AC1081" s="773"/>
      <c r="AD1081" s="773"/>
      <c r="AE1081" s="773"/>
      <c r="AF1081" s="773"/>
      <c r="AG1081" s="773"/>
      <c r="AH1081" s="773"/>
      <c r="AI1081" s="773"/>
      <c r="AJ1081" s="773"/>
      <c r="AK1081" s="773"/>
      <c r="AL1081" s="773"/>
      <c r="AM1081" s="773"/>
      <c r="AN1081" s="773"/>
      <c r="AO1081" s="773"/>
      <c r="AP1081" s="773"/>
      <c r="AQ1081" s="773"/>
      <c r="AR1081" s="773"/>
      <c r="AS1081" s="773"/>
      <c r="AT1081" s="773"/>
      <c r="AU1081" s="773"/>
      <c r="AV1081" s="773"/>
      <c r="AW1081" s="2510"/>
      <c r="AY1081" s="11">
        <f>J845</f>
        <v>301086.28000000003</v>
      </c>
      <c r="BC1081" s="2510"/>
      <c r="BD1081" s="2510"/>
      <c r="BE1081" s="2173"/>
      <c r="BF1081" s="2173"/>
      <c r="BG1081" s="2173"/>
      <c r="BH1081" s="2173"/>
      <c r="BI1081" s="2173"/>
      <c r="BJ1081" s="2173"/>
      <c r="BK1081" s="2173"/>
      <c r="DB1081" s="773"/>
      <c r="DC1081" s="773"/>
      <c r="DD1081" s="773"/>
      <c r="DE1081" s="773"/>
      <c r="DF1081" s="773"/>
      <c r="DG1081" s="773"/>
      <c r="DH1081" s="773"/>
      <c r="DI1081" s="773"/>
      <c r="DJ1081" s="773"/>
      <c r="DK1081" s="773"/>
      <c r="DL1081" s="773"/>
      <c r="DM1081" s="773"/>
      <c r="DN1081" s="773"/>
      <c r="DO1081" s="773"/>
      <c r="DP1081" s="773"/>
      <c r="DQ1081" s="773"/>
      <c r="DR1081" s="773"/>
      <c r="DS1081" s="773"/>
      <c r="DT1081" s="773"/>
      <c r="DU1081" s="773"/>
      <c r="DV1081" s="773"/>
      <c r="DW1081" s="773"/>
      <c r="DX1081" s="773"/>
      <c r="DY1081" s="773"/>
      <c r="DZ1081" s="773"/>
      <c r="EA1081" s="773"/>
      <c r="EB1081" s="773"/>
      <c r="EC1081" s="773"/>
      <c r="ED1081" s="773"/>
      <c r="EE1081" s="773"/>
      <c r="EF1081" s="773"/>
      <c r="EG1081" s="773"/>
      <c r="EH1081" s="773"/>
      <c r="EI1081" s="773"/>
      <c r="EJ1081" s="773"/>
      <c r="EK1081" s="773"/>
      <c r="EL1081" s="773"/>
      <c r="EM1081" s="773"/>
      <c r="EN1081" s="773"/>
      <c r="EO1081" s="773"/>
      <c r="EP1081" s="773"/>
      <c r="EQ1081" s="773"/>
      <c r="ER1081" s="773"/>
      <c r="ES1081" s="773"/>
      <c r="ET1081" s="773"/>
      <c r="EU1081" s="773"/>
      <c r="EV1081" s="773"/>
      <c r="EW1081" s="773"/>
      <c r="EX1081" s="773"/>
      <c r="EY1081" s="773"/>
      <c r="EZ1081" s="773"/>
      <c r="FA1081" s="773"/>
      <c r="FB1081" s="773"/>
      <c r="FC1081" s="773"/>
      <c r="FD1081" s="773"/>
      <c r="FE1081" s="773"/>
      <c r="FF1081" s="773"/>
      <c r="FG1081" s="773"/>
      <c r="FH1081" s="773"/>
      <c r="FI1081" s="773"/>
      <c r="FJ1081" s="773"/>
      <c r="FK1081" s="773"/>
      <c r="FL1081" s="773"/>
      <c r="FM1081" s="773"/>
      <c r="FN1081" s="773"/>
      <c r="FO1081" s="773"/>
      <c r="FP1081" s="773"/>
      <c r="FQ1081" s="773"/>
      <c r="FR1081" s="773"/>
      <c r="FS1081" s="773"/>
      <c r="FT1081" s="773"/>
      <c r="FU1081" s="773"/>
      <c r="FV1081" s="773"/>
      <c r="FW1081" s="773"/>
      <c r="FX1081" s="773"/>
      <c r="FY1081" s="773"/>
      <c r="FZ1081" s="773"/>
      <c r="GA1081" s="773"/>
      <c r="GB1081" s="773"/>
      <c r="GC1081" s="773"/>
      <c r="GD1081" s="773"/>
      <c r="GE1081" s="773"/>
      <c r="GF1081" s="773"/>
      <c r="GG1081" s="773"/>
      <c r="GH1081" s="773"/>
      <c r="GI1081" s="773"/>
      <c r="GJ1081" s="773"/>
      <c r="GK1081" s="773"/>
      <c r="GL1081" s="773"/>
      <c r="GM1081" s="773"/>
      <c r="GN1081" s="773"/>
      <c r="GO1081" s="773"/>
      <c r="GP1081" s="773"/>
      <c r="GQ1081" s="773"/>
      <c r="GR1081" s="773"/>
      <c r="GS1081" s="773"/>
      <c r="GT1081" s="773"/>
      <c r="GU1081" s="773"/>
      <c r="GV1081" s="773"/>
      <c r="GW1081" s="773"/>
      <c r="GX1081" s="773"/>
      <c r="GY1081" s="773"/>
      <c r="GZ1081" s="773"/>
    </row>
    <row r="1082" spans="1:208" s="11" customFormat="1">
      <c r="A1082" s="917"/>
      <c r="B1082" s="918"/>
      <c r="C1082" s="781"/>
      <c r="D1082" s="173"/>
      <c r="E1082" s="769"/>
      <c r="F1082" s="769"/>
      <c r="G1082" s="769"/>
      <c r="H1082" s="769"/>
      <c r="I1082" s="769"/>
      <c r="J1082" s="769"/>
      <c r="K1082" s="209"/>
      <c r="L1082" s="770"/>
      <c r="M1082" s="771"/>
      <c r="N1082" s="773"/>
      <c r="O1082" s="773"/>
      <c r="P1082" s="772"/>
      <c r="Q1082" s="772"/>
      <c r="R1082" s="772"/>
      <c r="S1082" s="772"/>
      <c r="T1082" s="773"/>
      <c r="V1082" s="773"/>
      <c r="W1082" s="773"/>
      <c r="X1082" s="773"/>
      <c r="Y1082" s="773"/>
      <c r="Z1082" s="773"/>
      <c r="AA1082" s="773"/>
      <c r="AB1082" s="773"/>
      <c r="AC1082" s="773"/>
      <c r="AD1082" s="773"/>
      <c r="AE1082" s="773"/>
      <c r="AF1082" s="773"/>
      <c r="AG1082" s="773"/>
      <c r="AH1082" s="773"/>
      <c r="AI1082" s="773"/>
      <c r="AJ1082" s="773"/>
      <c r="AK1082" s="773"/>
      <c r="AL1082" s="773"/>
      <c r="AM1082" s="773"/>
      <c r="AN1082" s="773"/>
      <c r="AO1082" s="773"/>
      <c r="AP1082" s="773"/>
      <c r="AQ1082" s="773"/>
      <c r="AR1082" s="773"/>
      <c r="AS1082" s="773"/>
      <c r="AT1082" s="773"/>
      <c r="AU1082" s="773"/>
      <c r="AV1082" s="773"/>
      <c r="AW1082" s="2510"/>
      <c r="AY1082" s="11">
        <f>J744</f>
        <v>4688.8999999999996</v>
      </c>
      <c r="BC1082" s="2510"/>
      <c r="BD1082" s="2510"/>
      <c r="BE1082" s="2173"/>
      <c r="BF1082" s="2173"/>
      <c r="BG1082" s="2173"/>
      <c r="BH1082" s="2173"/>
      <c r="BI1082" s="2173"/>
      <c r="BJ1082" s="2173"/>
      <c r="BK1082" s="2173"/>
      <c r="DB1082" s="773"/>
      <c r="DC1082" s="773"/>
      <c r="DD1082" s="773"/>
      <c r="DE1082" s="773"/>
      <c r="DF1082" s="773"/>
      <c r="DG1082" s="773"/>
      <c r="DH1082" s="773"/>
      <c r="DI1082" s="773"/>
      <c r="DJ1082" s="773"/>
      <c r="DK1082" s="773"/>
      <c r="DL1082" s="773"/>
      <c r="DM1082" s="773"/>
      <c r="DN1082" s="773"/>
      <c r="DO1082" s="773"/>
      <c r="DP1082" s="773"/>
      <c r="DQ1082" s="773"/>
      <c r="DR1082" s="773"/>
      <c r="DS1082" s="773"/>
      <c r="DT1082" s="773"/>
      <c r="DU1082" s="773"/>
      <c r="DV1082" s="773"/>
      <c r="DW1082" s="773"/>
      <c r="DX1082" s="773"/>
      <c r="DY1082" s="773"/>
      <c r="DZ1082" s="773"/>
      <c r="EA1082" s="773"/>
      <c r="EB1082" s="773"/>
      <c r="EC1082" s="773"/>
      <c r="ED1082" s="773"/>
      <c r="EE1082" s="773"/>
      <c r="EF1082" s="773"/>
      <c r="EG1082" s="773"/>
      <c r="EH1082" s="773"/>
      <c r="EI1082" s="773"/>
      <c r="EJ1082" s="773"/>
      <c r="EK1082" s="773"/>
      <c r="EL1082" s="773"/>
      <c r="EM1082" s="773"/>
      <c r="EN1082" s="773"/>
      <c r="EO1082" s="773"/>
      <c r="EP1082" s="773"/>
      <c r="EQ1082" s="773"/>
      <c r="ER1082" s="773"/>
      <c r="ES1082" s="773"/>
      <c r="ET1082" s="773"/>
      <c r="EU1082" s="773"/>
      <c r="EV1082" s="773"/>
      <c r="EW1082" s="773"/>
      <c r="EX1082" s="773"/>
      <c r="EY1082" s="773"/>
      <c r="EZ1082" s="773"/>
      <c r="FA1082" s="773"/>
      <c r="FB1082" s="773"/>
      <c r="FC1082" s="773"/>
      <c r="FD1082" s="773"/>
      <c r="FE1082" s="773"/>
      <c r="FF1082" s="773"/>
      <c r="FG1082" s="773"/>
      <c r="FH1082" s="773"/>
      <c r="FI1082" s="773"/>
      <c r="FJ1082" s="773"/>
      <c r="FK1082" s="773"/>
      <c r="FL1082" s="773"/>
      <c r="FM1082" s="773"/>
      <c r="FN1082" s="773"/>
      <c r="FO1082" s="773"/>
      <c r="FP1082" s="773"/>
      <c r="FQ1082" s="773"/>
      <c r="FR1082" s="773"/>
      <c r="FS1082" s="773"/>
      <c r="FT1082" s="773"/>
      <c r="FU1082" s="773"/>
      <c r="FV1082" s="773"/>
      <c r="FW1082" s="773"/>
      <c r="FX1082" s="773"/>
      <c r="FY1082" s="773"/>
      <c r="FZ1082" s="773"/>
      <c r="GA1082" s="773"/>
      <c r="GB1082" s="773"/>
      <c r="GC1082" s="773"/>
      <c r="GD1082" s="773"/>
      <c r="GE1082" s="773"/>
      <c r="GF1082" s="773"/>
      <c r="GG1082" s="773"/>
      <c r="GH1082" s="773"/>
      <c r="GI1082" s="773"/>
      <c r="GJ1082" s="773"/>
      <c r="GK1082" s="773"/>
      <c r="GL1082" s="773"/>
      <c r="GM1082" s="773"/>
      <c r="GN1082" s="773"/>
      <c r="GO1082" s="773"/>
      <c r="GP1082" s="773"/>
      <c r="GQ1082" s="773"/>
      <c r="GR1082" s="773"/>
      <c r="GS1082" s="773"/>
      <c r="GT1082" s="773"/>
      <c r="GU1082" s="773"/>
      <c r="GV1082" s="773"/>
      <c r="GW1082" s="773"/>
      <c r="GX1082" s="773"/>
      <c r="GY1082" s="773"/>
      <c r="GZ1082" s="773"/>
    </row>
    <row r="1083" spans="1:208" s="11" customFormat="1" ht="13.5" thickBot="1">
      <c r="A1083" s="917"/>
      <c r="B1083" s="918"/>
      <c r="C1083" s="767"/>
      <c r="D1083" s="173"/>
      <c r="E1083" s="769"/>
      <c r="F1083" s="769"/>
      <c r="G1083" s="769"/>
      <c r="H1083" s="769"/>
      <c r="I1083" s="769"/>
      <c r="J1083" s="769"/>
      <c r="K1083" s="209"/>
      <c r="L1083" s="770"/>
      <c r="M1083" s="771"/>
      <c r="N1083" s="773"/>
      <c r="O1083" s="773"/>
      <c r="P1083" s="772"/>
      <c r="Q1083" s="772"/>
      <c r="R1083" s="772"/>
      <c r="S1083" s="772"/>
      <c r="T1083" s="773"/>
      <c r="V1083" s="773"/>
      <c r="W1083" s="773"/>
      <c r="X1083" s="773"/>
      <c r="Y1083" s="773"/>
      <c r="Z1083" s="773"/>
      <c r="AA1083" s="773"/>
      <c r="AB1083" s="773"/>
      <c r="AC1083" s="773"/>
      <c r="AD1083" s="773"/>
      <c r="AE1083" s="773"/>
      <c r="AF1083" s="773"/>
      <c r="AG1083" s="773"/>
      <c r="AH1083" s="773"/>
      <c r="AI1083" s="773"/>
      <c r="AJ1083" s="773"/>
      <c r="AK1083" s="773"/>
      <c r="AL1083" s="773"/>
      <c r="AM1083" s="773"/>
      <c r="AN1083" s="773"/>
      <c r="AO1083" s="773"/>
      <c r="AP1083" s="773"/>
      <c r="AQ1083" s="773"/>
      <c r="AR1083" s="773"/>
      <c r="AS1083" s="773"/>
      <c r="AT1083" s="773"/>
      <c r="AU1083" s="773"/>
      <c r="AV1083" s="773"/>
      <c r="AW1083" s="2510"/>
      <c r="AY1083" s="799">
        <f>J657</f>
        <v>1111.1199999999999</v>
      </c>
      <c r="AZ1083" s="799"/>
      <c r="BC1083" s="2510"/>
      <c r="BD1083" s="2510"/>
      <c r="BE1083" s="2173"/>
      <c r="BF1083" s="2173"/>
      <c r="BG1083" s="2173"/>
      <c r="BH1083" s="2173"/>
      <c r="BI1083" s="2173"/>
      <c r="BJ1083" s="2173"/>
      <c r="BK1083" s="2173"/>
      <c r="DB1083" s="773"/>
      <c r="DC1083" s="773"/>
      <c r="DD1083" s="773"/>
      <c r="DE1083" s="773"/>
      <c r="DF1083" s="773"/>
      <c r="DG1083" s="773"/>
      <c r="DH1083" s="773"/>
      <c r="DI1083" s="773"/>
      <c r="DJ1083" s="773"/>
      <c r="DK1083" s="773"/>
      <c r="DL1083" s="773"/>
      <c r="DM1083" s="773"/>
      <c r="DN1083" s="773"/>
      <c r="DO1083" s="773"/>
      <c r="DP1083" s="773"/>
      <c r="DQ1083" s="773"/>
      <c r="DR1083" s="773"/>
      <c r="DS1083" s="773"/>
      <c r="DT1083" s="773"/>
      <c r="DU1083" s="773"/>
      <c r="DV1083" s="773"/>
      <c r="DW1083" s="773"/>
      <c r="DX1083" s="773"/>
      <c r="DY1083" s="773"/>
      <c r="DZ1083" s="773"/>
      <c r="EA1083" s="773"/>
      <c r="EB1083" s="773"/>
      <c r="EC1083" s="773"/>
      <c r="ED1083" s="773"/>
      <c r="EE1083" s="773"/>
      <c r="EF1083" s="773"/>
      <c r="EG1083" s="773"/>
      <c r="EH1083" s="773"/>
      <c r="EI1083" s="773"/>
      <c r="EJ1083" s="773"/>
      <c r="EK1083" s="773"/>
      <c r="EL1083" s="773"/>
      <c r="EM1083" s="773"/>
      <c r="EN1083" s="773"/>
      <c r="EO1083" s="773"/>
      <c r="EP1083" s="773"/>
      <c r="EQ1083" s="773"/>
      <c r="ER1083" s="773"/>
      <c r="ES1083" s="773"/>
      <c r="ET1083" s="773"/>
      <c r="EU1083" s="773"/>
      <c r="EV1083" s="773"/>
      <c r="EW1083" s="773"/>
      <c r="EX1083" s="773"/>
      <c r="EY1083" s="773"/>
      <c r="EZ1083" s="773"/>
      <c r="FA1083" s="773"/>
      <c r="FB1083" s="773"/>
      <c r="FC1083" s="773"/>
      <c r="FD1083" s="773"/>
      <c r="FE1083" s="773"/>
      <c r="FF1083" s="773"/>
      <c r="FG1083" s="773"/>
      <c r="FH1083" s="773"/>
      <c r="FI1083" s="773"/>
      <c r="FJ1083" s="773"/>
      <c r="FK1083" s="773"/>
      <c r="FL1083" s="773"/>
      <c r="FM1083" s="773"/>
      <c r="FN1083" s="773"/>
      <c r="FO1083" s="773"/>
      <c r="FP1083" s="773"/>
      <c r="FQ1083" s="773"/>
      <c r="FR1083" s="773"/>
      <c r="FS1083" s="773"/>
      <c r="FT1083" s="773"/>
      <c r="FU1083" s="773"/>
      <c r="FV1083" s="773"/>
      <c r="FW1083" s="773"/>
      <c r="FX1083" s="773"/>
      <c r="FY1083" s="773"/>
      <c r="FZ1083" s="773"/>
      <c r="GA1083" s="773"/>
      <c r="GB1083" s="773"/>
      <c r="GC1083" s="773"/>
      <c r="GD1083" s="773"/>
      <c r="GE1083" s="773"/>
      <c r="GF1083" s="773"/>
      <c r="GG1083" s="773"/>
      <c r="GH1083" s="773"/>
      <c r="GI1083" s="773"/>
      <c r="GJ1083" s="773"/>
      <c r="GK1083" s="773"/>
      <c r="GL1083" s="773"/>
      <c r="GM1083" s="773"/>
      <c r="GN1083" s="773"/>
      <c r="GO1083" s="773"/>
      <c r="GP1083" s="773"/>
      <c r="GQ1083" s="773"/>
      <c r="GR1083" s="773"/>
      <c r="GS1083" s="773"/>
      <c r="GT1083" s="773"/>
      <c r="GU1083" s="773"/>
      <c r="GV1083" s="773"/>
      <c r="GW1083" s="773"/>
      <c r="GX1083" s="773"/>
      <c r="GY1083" s="773"/>
      <c r="GZ1083" s="773"/>
    </row>
    <row r="1084" spans="1:208" s="11" customFormat="1" ht="13.5" thickBot="1">
      <c r="A1084" s="917"/>
      <c r="B1084" s="918"/>
      <c r="C1084" s="767"/>
      <c r="D1084" s="173"/>
      <c r="E1084" s="769"/>
      <c r="F1084" s="769"/>
      <c r="G1084" s="769"/>
      <c r="H1084" s="769"/>
      <c r="I1084" s="769"/>
      <c r="J1084" s="769"/>
      <c r="K1084" s="209"/>
      <c r="L1084" s="770"/>
      <c r="M1084" s="771"/>
      <c r="N1084" s="773"/>
      <c r="O1084" s="773"/>
      <c r="P1084" s="772"/>
      <c r="Q1084" s="772"/>
      <c r="R1084" s="772"/>
      <c r="S1084" s="772"/>
      <c r="T1084" s="773"/>
      <c r="V1084" s="773"/>
      <c r="W1084" s="773"/>
      <c r="X1084" s="773"/>
      <c r="Y1084" s="773"/>
      <c r="Z1084" s="773"/>
      <c r="AA1084" s="773"/>
      <c r="AB1084" s="773"/>
      <c r="AC1084" s="773"/>
      <c r="AD1084" s="773"/>
      <c r="AE1084" s="773"/>
      <c r="AF1084" s="773"/>
      <c r="AG1084" s="773"/>
      <c r="AH1084" s="773"/>
      <c r="AI1084" s="773"/>
      <c r="AJ1084" s="773"/>
      <c r="AK1084" s="773"/>
      <c r="AL1084" s="773"/>
      <c r="AM1084" s="773"/>
      <c r="AN1084" s="773"/>
      <c r="AO1084" s="773"/>
      <c r="AP1084" s="773"/>
      <c r="AQ1084" s="773"/>
      <c r="AR1084" s="773"/>
      <c r="AS1084" s="773"/>
      <c r="AT1084" s="773"/>
      <c r="AU1084" s="773"/>
      <c r="AV1084" s="773"/>
      <c r="AW1084" s="2510"/>
      <c r="AY1084" s="276">
        <f>SUM(AY1079:AY1083)</f>
        <v>364261.71000000008</v>
      </c>
      <c r="AZ1084" s="955"/>
      <c r="BC1084" s="2510"/>
      <c r="BD1084" s="2510"/>
      <c r="BE1084" s="2173"/>
      <c r="BF1084" s="2173"/>
      <c r="BG1084" s="2173"/>
      <c r="BH1084" s="2173"/>
      <c r="BI1084" s="2173"/>
      <c r="BJ1084" s="2173"/>
      <c r="BK1084" s="2173"/>
      <c r="DB1084" s="773"/>
      <c r="DC1084" s="773"/>
      <c r="DD1084" s="773"/>
      <c r="DE1084" s="773"/>
      <c r="DF1084" s="773"/>
      <c r="DG1084" s="773"/>
      <c r="DH1084" s="773"/>
      <c r="DI1084" s="773"/>
      <c r="DJ1084" s="773"/>
      <c r="DK1084" s="773"/>
      <c r="DL1084" s="773"/>
      <c r="DM1084" s="773"/>
      <c r="DN1084" s="773"/>
      <c r="DO1084" s="773"/>
      <c r="DP1084" s="773"/>
      <c r="DQ1084" s="773"/>
      <c r="DR1084" s="773"/>
      <c r="DS1084" s="773"/>
      <c r="DT1084" s="773"/>
      <c r="DU1084" s="773"/>
      <c r="DV1084" s="773"/>
      <c r="DW1084" s="773"/>
      <c r="DX1084" s="773"/>
      <c r="DY1084" s="773"/>
      <c r="DZ1084" s="773"/>
      <c r="EA1084" s="773"/>
      <c r="EB1084" s="773"/>
      <c r="EC1084" s="773"/>
      <c r="ED1084" s="773"/>
      <c r="EE1084" s="773"/>
      <c r="EF1084" s="773"/>
      <c r="EG1084" s="773"/>
      <c r="EH1084" s="773"/>
      <c r="EI1084" s="773"/>
      <c r="EJ1084" s="773"/>
      <c r="EK1084" s="773"/>
      <c r="EL1084" s="773"/>
      <c r="EM1084" s="773"/>
      <c r="EN1084" s="773"/>
      <c r="EO1084" s="773"/>
      <c r="EP1084" s="773"/>
      <c r="EQ1084" s="773"/>
      <c r="ER1084" s="773"/>
      <c r="ES1084" s="773"/>
      <c r="ET1084" s="773"/>
      <c r="EU1084" s="773"/>
      <c r="EV1084" s="773"/>
      <c r="EW1084" s="773"/>
      <c r="EX1084" s="773"/>
      <c r="EY1084" s="773"/>
      <c r="EZ1084" s="773"/>
      <c r="FA1084" s="773"/>
      <c r="FB1084" s="773"/>
      <c r="FC1084" s="773"/>
      <c r="FD1084" s="773"/>
      <c r="FE1084" s="773"/>
      <c r="FF1084" s="773"/>
      <c r="FG1084" s="773"/>
      <c r="FH1084" s="773"/>
      <c r="FI1084" s="773"/>
      <c r="FJ1084" s="773"/>
      <c r="FK1084" s="773"/>
      <c r="FL1084" s="773"/>
      <c r="FM1084" s="773"/>
      <c r="FN1084" s="773"/>
      <c r="FO1084" s="773"/>
      <c r="FP1084" s="773"/>
      <c r="FQ1084" s="773"/>
      <c r="FR1084" s="773"/>
      <c r="FS1084" s="773"/>
      <c r="FT1084" s="773"/>
      <c r="FU1084" s="773"/>
      <c r="FV1084" s="773"/>
      <c r="FW1084" s="773"/>
      <c r="FX1084" s="773"/>
      <c r="FY1084" s="773"/>
      <c r="FZ1084" s="773"/>
      <c r="GA1084" s="773"/>
      <c r="GB1084" s="773"/>
      <c r="GC1084" s="773"/>
      <c r="GD1084" s="773"/>
      <c r="GE1084" s="773"/>
      <c r="GF1084" s="773"/>
      <c r="GG1084" s="773"/>
      <c r="GH1084" s="773"/>
      <c r="GI1084" s="773"/>
      <c r="GJ1084" s="773"/>
      <c r="GK1084" s="773"/>
      <c r="GL1084" s="773"/>
      <c r="GM1084" s="773"/>
      <c r="GN1084" s="773"/>
      <c r="GO1084" s="773"/>
      <c r="GP1084" s="773"/>
      <c r="GQ1084" s="773"/>
      <c r="GR1084" s="773"/>
      <c r="GS1084" s="773"/>
      <c r="GT1084" s="773"/>
      <c r="GU1084" s="773"/>
      <c r="GV1084" s="773"/>
      <c r="GW1084" s="773"/>
      <c r="GX1084" s="773"/>
      <c r="GY1084" s="773"/>
      <c r="GZ1084" s="773"/>
    </row>
    <row r="1085" spans="1:208" s="11" customFormat="1">
      <c r="A1085" s="917"/>
      <c r="B1085" s="918"/>
      <c r="C1085" s="767"/>
      <c r="D1085" s="173"/>
      <c r="E1085" s="769"/>
      <c r="F1085" s="769"/>
      <c r="G1085" s="769"/>
      <c r="H1085" s="769"/>
      <c r="I1085" s="769"/>
      <c r="J1085" s="769"/>
      <c r="K1085" s="209"/>
      <c r="L1085" s="770"/>
      <c r="M1085" s="771"/>
      <c r="N1085" s="773"/>
      <c r="O1085" s="773"/>
      <c r="P1085" s="772"/>
      <c r="Q1085" s="772"/>
      <c r="R1085" s="772"/>
      <c r="S1085" s="772"/>
      <c r="T1085" s="773"/>
      <c r="V1085" s="773"/>
      <c r="W1085" s="773"/>
      <c r="X1085" s="773"/>
      <c r="Y1085" s="773"/>
      <c r="Z1085" s="773"/>
      <c r="AA1085" s="773"/>
      <c r="AB1085" s="773"/>
      <c r="AC1085" s="773"/>
      <c r="AD1085" s="773"/>
      <c r="AE1085" s="773"/>
      <c r="AF1085" s="773"/>
      <c r="AG1085" s="773"/>
      <c r="AH1085" s="773"/>
      <c r="AI1085" s="773"/>
      <c r="AJ1085" s="773"/>
      <c r="AK1085" s="773"/>
      <c r="AL1085" s="773"/>
      <c r="AM1085" s="773"/>
      <c r="AN1085" s="773"/>
      <c r="AO1085" s="773"/>
      <c r="AP1085" s="773"/>
      <c r="AQ1085" s="773"/>
      <c r="AR1085" s="773"/>
      <c r="AS1085" s="773"/>
      <c r="AT1085" s="773"/>
      <c r="AU1085" s="773"/>
      <c r="AV1085" s="773"/>
      <c r="AW1085" s="2510"/>
      <c r="BC1085" s="2510"/>
      <c r="BD1085" s="2510"/>
      <c r="BE1085" s="2173"/>
      <c r="BF1085" s="2173"/>
      <c r="BG1085" s="2173"/>
      <c r="BH1085" s="2173"/>
      <c r="BI1085" s="2173"/>
      <c r="BJ1085" s="2173"/>
      <c r="BK1085" s="2173"/>
      <c r="DB1085" s="773"/>
      <c r="DC1085" s="773"/>
      <c r="DD1085" s="773"/>
      <c r="DE1085" s="773"/>
      <c r="DF1085" s="773"/>
      <c r="DG1085" s="773"/>
      <c r="DH1085" s="773"/>
      <c r="DI1085" s="773"/>
      <c r="DJ1085" s="773"/>
      <c r="DK1085" s="773"/>
      <c r="DL1085" s="773"/>
      <c r="DM1085" s="773"/>
      <c r="DN1085" s="773"/>
      <c r="DO1085" s="773"/>
      <c r="DP1085" s="773"/>
      <c r="DQ1085" s="773"/>
      <c r="DR1085" s="773"/>
      <c r="DS1085" s="773"/>
      <c r="DT1085" s="773"/>
      <c r="DU1085" s="773"/>
      <c r="DV1085" s="773"/>
      <c r="DW1085" s="773"/>
      <c r="DX1085" s="773"/>
      <c r="DY1085" s="773"/>
      <c r="DZ1085" s="773"/>
      <c r="EA1085" s="773"/>
      <c r="EB1085" s="773"/>
      <c r="EC1085" s="773"/>
      <c r="ED1085" s="773"/>
      <c r="EE1085" s="773"/>
      <c r="EF1085" s="773"/>
      <c r="EG1085" s="773"/>
      <c r="EH1085" s="773"/>
      <c r="EI1085" s="773"/>
      <c r="EJ1085" s="773"/>
      <c r="EK1085" s="773"/>
      <c r="EL1085" s="773"/>
      <c r="EM1085" s="773"/>
      <c r="EN1085" s="773"/>
      <c r="EO1085" s="773"/>
      <c r="EP1085" s="773"/>
      <c r="EQ1085" s="773"/>
      <c r="ER1085" s="773"/>
      <c r="ES1085" s="773"/>
      <c r="ET1085" s="773"/>
      <c r="EU1085" s="773"/>
      <c r="EV1085" s="773"/>
      <c r="EW1085" s="773"/>
      <c r="EX1085" s="773"/>
      <c r="EY1085" s="773"/>
      <c r="EZ1085" s="773"/>
      <c r="FA1085" s="773"/>
      <c r="FB1085" s="773"/>
      <c r="FC1085" s="773"/>
      <c r="FD1085" s="773"/>
      <c r="FE1085" s="773"/>
      <c r="FF1085" s="773"/>
      <c r="FG1085" s="773"/>
      <c r="FH1085" s="773"/>
      <c r="FI1085" s="773"/>
      <c r="FJ1085" s="773"/>
      <c r="FK1085" s="773"/>
      <c r="FL1085" s="773"/>
      <c r="FM1085" s="773"/>
      <c r="FN1085" s="773"/>
      <c r="FO1085" s="773"/>
      <c r="FP1085" s="773"/>
      <c r="FQ1085" s="773"/>
      <c r="FR1085" s="773"/>
      <c r="FS1085" s="773"/>
      <c r="FT1085" s="773"/>
      <c r="FU1085" s="773"/>
      <c r="FV1085" s="773"/>
      <c r="FW1085" s="773"/>
      <c r="FX1085" s="773"/>
      <c r="FY1085" s="773"/>
      <c r="FZ1085" s="773"/>
      <c r="GA1085" s="773"/>
      <c r="GB1085" s="773"/>
      <c r="GC1085" s="773"/>
      <c r="GD1085" s="773"/>
      <c r="GE1085" s="773"/>
      <c r="GF1085" s="773"/>
      <c r="GG1085" s="773"/>
      <c r="GH1085" s="773"/>
      <c r="GI1085" s="773"/>
      <c r="GJ1085" s="773"/>
      <c r="GK1085" s="773"/>
      <c r="GL1085" s="773"/>
      <c r="GM1085" s="773"/>
      <c r="GN1085" s="773"/>
      <c r="GO1085" s="773"/>
      <c r="GP1085" s="773"/>
      <c r="GQ1085" s="773"/>
      <c r="GR1085" s="773"/>
      <c r="GS1085" s="773"/>
      <c r="GT1085" s="773"/>
      <c r="GU1085" s="773"/>
      <c r="GV1085" s="773"/>
      <c r="GW1085" s="773"/>
      <c r="GX1085" s="773"/>
      <c r="GY1085" s="773"/>
      <c r="GZ1085" s="773"/>
    </row>
    <row r="1086" spans="1:208" s="11" customFormat="1">
      <c r="A1086" s="917"/>
      <c r="B1086" s="918"/>
      <c r="C1086" s="767"/>
      <c r="D1086" s="173"/>
      <c r="E1086" s="769"/>
      <c r="F1086" s="769"/>
      <c r="G1086" s="769"/>
      <c r="H1086" s="769"/>
      <c r="I1086" s="769"/>
      <c r="J1086" s="769"/>
      <c r="K1086" s="209"/>
      <c r="L1086" s="770"/>
      <c r="M1086" s="771"/>
      <c r="N1086" s="773"/>
      <c r="O1086" s="773"/>
      <c r="P1086" s="772"/>
      <c r="Q1086" s="772"/>
      <c r="R1086" s="772"/>
      <c r="S1086" s="772"/>
      <c r="T1086" s="773"/>
      <c r="V1086" s="920" t="s">
        <v>620</v>
      </c>
      <c r="W1086" s="773"/>
      <c r="X1086" s="773"/>
      <c r="Y1086" s="773"/>
      <c r="Z1086" s="773"/>
      <c r="AA1086" s="773"/>
      <c r="AB1086" s="773"/>
      <c r="AC1086" s="773"/>
      <c r="AD1086" s="773"/>
      <c r="AE1086" s="773"/>
      <c r="AF1086" s="773"/>
      <c r="AG1086" s="773"/>
      <c r="AH1086" s="773"/>
      <c r="AI1086" s="773"/>
      <c r="AJ1086" s="773"/>
      <c r="AK1086" s="773"/>
      <c r="AL1086" s="773"/>
      <c r="AM1086" s="773"/>
      <c r="AN1086" s="773"/>
      <c r="AO1086" s="773"/>
      <c r="AP1086" s="773"/>
      <c r="AQ1086" s="773"/>
      <c r="AR1086" s="773"/>
      <c r="AS1086" s="773"/>
      <c r="AT1086" s="773"/>
      <c r="AU1086" s="773"/>
      <c r="AV1086" s="773"/>
      <c r="AW1086" s="2510"/>
      <c r="AY1086" s="11">
        <v>60978.974316854517</v>
      </c>
      <c r="BC1086" s="2510"/>
      <c r="BD1086" s="2510"/>
      <c r="BE1086" s="2173"/>
      <c r="BF1086" s="2173"/>
      <c r="BG1086" s="2173"/>
      <c r="BH1086" s="2173"/>
      <c r="BI1086" s="2173"/>
      <c r="BJ1086" s="2173"/>
      <c r="BK1086" s="2173"/>
      <c r="DB1086" s="773"/>
      <c r="DC1086" s="773"/>
      <c r="DD1086" s="773"/>
      <c r="DE1086" s="773"/>
      <c r="DF1086" s="773"/>
      <c r="DG1086" s="773"/>
      <c r="DH1086" s="773"/>
      <c r="DI1086" s="773"/>
      <c r="DJ1086" s="773"/>
      <c r="DK1086" s="773"/>
      <c r="DL1086" s="773"/>
      <c r="DM1086" s="773"/>
      <c r="DN1086" s="773"/>
      <c r="DO1086" s="773"/>
      <c r="DP1086" s="773"/>
      <c r="DQ1086" s="773"/>
      <c r="DR1086" s="773"/>
      <c r="DS1086" s="773"/>
      <c r="DT1086" s="773"/>
      <c r="DU1086" s="773"/>
      <c r="DV1086" s="773"/>
      <c r="DW1086" s="773"/>
      <c r="DX1086" s="773"/>
      <c r="DY1086" s="773"/>
      <c r="DZ1086" s="773"/>
      <c r="EA1086" s="773"/>
      <c r="EB1086" s="773"/>
      <c r="EC1086" s="773"/>
      <c r="ED1086" s="773"/>
      <c r="EE1086" s="773"/>
      <c r="EF1086" s="773"/>
      <c r="EG1086" s="773"/>
      <c r="EH1086" s="773"/>
      <c r="EI1086" s="773"/>
      <c r="EJ1086" s="773"/>
      <c r="EK1086" s="773"/>
      <c r="EL1086" s="773"/>
      <c r="EM1086" s="773"/>
      <c r="EN1086" s="773"/>
      <c r="EO1086" s="773"/>
      <c r="EP1086" s="773"/>
      <c r="EQ1086" s="773"/>
      <c r="ER1086" s="773"/>
      <c r="ES1086" s="773"/>
      <c r="ET1086" s="773"/>
      <c r="EU1086" s="773"/>
      <c r="EV1086" s="773"/>
      <c r="EW1086" s="773"/>
      <c r="EX1086" s="773"/>
      <c r="EY1086" s="773"/>
      <c r="EZ1086" s="773"/>
      <c r="FA1086" s="773"/>
      <c r="FB1086" s="773"/>
      <c r="FC1086" s="773"/>
      <c r="FD1086" s="773"/>
      <c r="FE1086" s="773"/>
      <c r="FF1086" s="773"/>
      <c r="FG1086" s="773"/>
      <c r="FH1086" s="773"/>
      <c r="FI1086" s="773"/>
      <c r="FJ1086" s="773"/>
      <c r="FK1086" s="773"/>
      <c r="FL1086" s="773"/>
      <c r="FM1086" s="773"/>
      <c r="FN1086" s="773"/>
      <c r="FO1086" s="773"/>
      <c r="FP1086" s="773"/>
      <c r="FQ1086" s="773"/>
      <c r="FR1086" s="773"/>
      <c r="FS1086" s="773"/>
      <c r="FT1086" s="773"/>
      <c r="FU1086" s="773"/>
      <c r="FV1086" s="773"/>
      <c r="FW1086" s="773"/>
      <c r="FX1086" s="773"/>
      <c r="FY1086" s="773"/>
      <c r="FZ1086" s="773"/>
      <c r="GA1086" s="773"/>
      <c r="GB1086" s="773"/>
      <c r="GC1086" s="773"/>
      <c r="GD1086" s="773"/>
      <c r="GE1086" s="773"/>
      <c r="GF1086" s="773"/>
      <c r="GG1086" s="773"/>
      <c r="GH1086" s="773"/>
      <c r="GI1086" s="773"/>
      <c r="GJ1086" s="773"/>
      <c r="GK1086" s="773"/>
      <c r="GL1086" s="773"/>
      <c r="GM1086" s="773"/>
      <c r="GN1086" s="773"/>
      <c r="GO1086" s="773"/>
      <c r="GP1086" s="773"/>
      <c r="GQ1086" s="773"/>
      <c r="GR1086" s="773"/>
      <c r="GS1086" s="773"/>
      <c r="GT1086" s="773"/>
      <c r="GU1086" s="773"/>
      <c r="GV1086" s="773"/>
      <c r="GW1086" s="773"/>
      <c r="GX1086" s="773"/>
      <c r="GY1086" s="773"/>
      <c r="GZ1086" s="773"/>
    </row>
    <row r="1087" spans="1:208" s="11" customFormat="1">
      <c r="A1087" s="917"/>
      <c r="B1087" s="918"/>
      <c r="C1087" s="767"/>
      <c r="D1087" s="173"/>
      <c r="E1087" s="769"/>
      <c r="F1087" s="769"/>
      <c r="G1087" s="769"/>
      <c r="H1087" s="769"/>
      <c r="I1087" s="769"/>
      <c r="J1087" s="769"/>
      <c r="K1087" s="209"/>
      <c r="L1087" s="770"/>
      <c r="M1087" s="771"/>
      <c r="N1087" s="773"/>
      <c r="O1087" s="773"/>
      <c r="P1087" s="772"/>
      <c r="Q1087" s="772"/>
      <c r="R1087" s="772"/>
      <c r="S1087" s="772"/>
      <c r="T1087" s="773"/>
      <c r="V1087" s="716" t="s">
        <v>621</v>
      </c>
      <c r="W1087" s="773"/>
      <c r="X1087" s="773"/>
      <c r="Y1087" s="773"/>
      <c r="Z1087" s="773"/>
      <c r="AA1087" s="773"/>
      <c r="AB1087" s="773"/>
      <c r="AC1087" s="773"/>
      <c r="AD1087" s="773"/>
      <c r="AE1087" s="773"/>
      <c r="AF1087" s="773"/>
      <c r="AG1087" s="773"/>
      <c r="AH1087" s="773"/>
      <c r="AI1087" s="773"/>
      <c r="AJ1087" s="773"/>
      <c r="AK1087" s="773"/>
      <c r="AL1087" s="773"/>
      <c r="AM1087" s="773"/>
      <c r="AN1087" s="773"/>
      <c r="AO1087" s="773"/>
      <c r="AP1087" s="773"/>
      <c r="AQ1087" s="773"/>
      <c r="AR1087" s="773"/>
      <c r="AS1087" s="773"/>
      <c r="AT1087" s="773"/>
      <c r="AU1087" s="773"/>
      <c r="AV1087" s="773"/>
      <c r="AW1087" s="2510"/>
      <c r="AY1087" s="11">
        <v>47694.273740826458</v>
      </c>
      <c r="BC1087" s="2510"/>
      <c r="BD1087" s="2510"/>
      <c r="BE1087" s="2173"/>
      <c r="BF1087" s="2173"/>
      <c r="BG1087" s="2173"/>
      <c r="BH1087" s="2173"/>
      <c r="BI1087" s="2173"/>
      <c r="BJ1087" s="2173"/>
      <c r="BK1087" s="2173"/>
      <c r="DB1087" s="773"/>
      <c r="DC1087" s="773"/>
      <c r="DD1087" s="773"/>
      <c r="DE1087" s="773"/>
      <c r="DF1087" s="773"/>
      <c r="DG1087" s="773"/>
      <c r="DH1087" s="773"/>
      <c r="DI1087" s="773"/>
      <c r="DJ1087" s="773"/>
      <c r="DK1087" s="773"/>
      <c r="DL1087" s="773"/>
      <c r="DM1087" s="773"/>
      <c r="DN1087" s="773"/>
      <c r="DO1087" s="773"/>
      <c r="DP1087" s="773"/>
      <c r="DQ1087" s="773"/>
      <c r="DR1087" s="773"/>
      <c r="DS1087" s="773"/>
      <c r="DT1087" s="773"/>
      <c r="DU1087" s="773"/>
      <c r="DV1087" s="773"/>
      <c r="DW1087" s="773"/>
      <c r="DX1087" s="773"/>
      <c r="DY1087" s="773"/>
      <c r="DZ1087" s="773"/>
      <c r="EA1087" s="773"/>
      <c r="EB1087" s="773"/>
      <c r="EC1087" s="773"/>
      <c r="ED1087" s="773"/>
      <c r="EE1087" s="773"/>
      <c r="EF1087" s="773"/>
      <c r="EG1087" s="773"/>
      <c r="EH1087" s="773"/>
      <c r="EI1087" s="773"/>
      <c r="EJ1087" s="773"/>
      <c r="EK1087" s="773"/>
      <c r="EL1087" s="773"/>
      <c r="EM1087" s="773"/>
      <c r="EN1087" s="773"/>
      <c r="EO1087" s="773"/>
      <c r="EP1087" s="773"/>
      <c r="EQ1087" s="773"/>
      <c r="ER1087" s="773"/>
      <c r="ES1087" s="773"/>
      <c r="ET1087" s="773"/>
      <c r="EU1087" s="773"/>
      <c r="EV1087" s="773"/>
      <c r="EW1087" s="773"/>
      <c r="EX1087" s="773"/>
      <c r="EY1087" s="773"/>
      <c r="EZ1087" s="773"/>
      <c r="FA1087" s="773"/>
      <c r="FB1087" s="773"/>
      <c r="FC1087" s="773"/>
      <c r="FD1087" s="773"/>
      <c r="FE1087" s="773"/>
      <c r="FF1087" s="773"/>
      <c r="FG1087" s="773"/>
      <c r="FH1087" s="773"/>
      <c r="FI1087" s="773"/>
      <c r="FJ1087" s="773"/>
      <c r="FK1087" s="773"/>
      <c r="FL1087" s="773"/>
      <c r="FM1087" s="773"/>
      <c r="FN1087" s="773"/>
      <c r="FO1087" s="773"/>
      <c r="FP1087" s="773"/>
      <c r="FQ1087" s="773"/>
      <c r="FR1087" s="773"/>
      <c r="FS1087" s="773"/>
      <c r="FT1087" s="773"/>
      <c r="FU1087" s="773"/>
      <c r="FV1087" s="773"/>
      <c r="FW1087" s="773"/>
      <c r="FX1087" s="773"/>
      <c r="FY1087" s="773"/>
      <c r="FZ1087" s="773"/>
      <c r="GA1087" s="773"/>
      <c r="GB1087" s="773"/>
      <c r="GC1087" s="773"/>
      <c r="GD1087" s="773"/>
      <c r="GE1087" s="773"/>
      <c r="GF1087" s="773"/>
      <c r="GG1087" s="773"/>
      <c r="GH1087" s="773"/>
      <c r="GI1087" s="773"/>
      <c r="GJ1087" s="773"/>
      <c r="GK1087" s="773"/>
      <c r="GL1087" s="773"/>
      <c r="GM1087" s="773"/>
      <c r="GN1087" s="773"/>
      <c r="GO1087" s="773"/>
      <c r="GP1087" s="773"/>
      <c r="GQ1087" s="773"/>
      <c r="GR1087" s="773"/>
      <c r="GS1087" s="773"/>
      <c r="GT1087" s="773"/>
      <c r="GU1087" s="773"/>
      <c r="GV1087" s="773"/>
      <c r="GW1087" s="773"/>
      <c r="GX1087" s="773"/>
      <c r="GY1087" s="773"/>
      <c r="GZ1087" s="773"/>
    </row>
    <row r="1088" spans="1:208" s="11" customFormat="1" ht="13.5" thickBot="1">
      <c r="A1088" s="917"/>
      <c r="B1088" s="918"/>
      <c r="C1088" s="767"/>
      <c r="D1088" s="173"/>
      <c r="E1088" s="769"/>
      <c r="F1088" s="769"/>
      <c r="G1088" s="769"/>
      <c r="H1088" s="769"/>
      <c r="I1088" s="769"/>
      <c r="J1088" s="769"/>
      <c r="K1088" s="209"/>
      <c r="L1088" s="770"/>
      <c r="M1088" s="771"/>
      <c r="N1088" s="773"/>
      <c r="O1088" s="773"/>
      <c r="P1088" s="772"/>
      <c r="Q1088" s="772"/>
      <c r="R1088" s="772"/>
      <c r="S1088" s="772"/>
      <c r="T1088" s="773"/>
      <c r="V1088" s="716" t="s">
        <v>622</v>
      </c>
      <c r="W1088" s="773"/>
      <c r="X1088" s="773"/>
      <c r="Y1088" s="773"/>
      <c r="Z1088" s="773"/>
      <c r="AA1088" s="773"/>
      <c r="AB1088" s="773"/>
      <c r="AC1088" s="773"/>
      <c r="AD1088" s="773"/>
      <c r="AE1088" s="773"/>
      <c r="AF1088" s="773"/>
      <c r="AG1088" s="773"/>
      <c r="AH1088" s="773"/>
      <c r="AI1088" s="773"/>
      <c r="AJ1088" s="773"/>
      <c r="AK1088" s="773"/>
      <c r="AL1088" s="773"/>
      <c r="AM1088" s="773"/>
      <c r="AN1088" s="773"/>
      <c r="AO1088" s="773"/>
      <c r="AP1088" s="773"/>
      <c r="AQ1088" s="773"/>
      <c r="AR1088" s="773"/>
      <c r="AS1088" s="773"/>
      <c r="AT1088" s="773"/>
      <c r="AU1088" s="773"/>
      <c r="AV1088" s="773"/>
      <c r="AW1088" s="2510"/>
      <c r="AY1088" s="277">
        <f>SUM(AY1085:AY1087)</f>
        <v>108673.24805768098</v>
      </c>
      <c r="AZ1088" s="955"/>
      <c r="BC1088" s="2510"/>
      <c r="BD1088" s="2510"/>
      <c r="BE1088" s="2173"/>
      <c r="BF1088" s="2173"/>
      <c r="BG1088" s="2173"/>
      <c r="BH1088" s="2173"/>
      <c r="BI1088" s="2173"/>
      <c r="BJ1088" s="2173"/>
      <c r="BK1088" s="2173"/>
      <c r="DB1088" s="773"/>
      <c r="DC1088" s="773"/>
      <c r="DD1088" s="773"/>
      <c r="DE1088" s="773"/>
      <c r="DF1088" s="773"/>
      <c r="DG1088" s="773"/>
      <c r="DH1088" s="773"/>
      <c r="DI1088" s="773"/>
      <c r="DJ1088" s="773"/>
      <c r="DK1088" s="773"/>
      <c r="DL1088" s="773"/>
      <c r="DM1088" s="773"/>
      <c r="DN1088" s="773"/>
      <c r="DO1088" s="773"/>
      <c r="DP1088" s="773"/>
      <c r="DQ1088" s="773"/>
      <c r="DR1088" s="773"/>
      <c r="DS1088" s="773"/>
      <c r="DT1088" s="773"/>
      <c r="DU1088" s="773"/>
      <c r="DV1088" s="773"/>
      <c r="DW1088" s="773"/>
      <c r="DX1088" s="773"/>
      <c r="DY1088" s="773"/>
      <c r="DZ1088" s="773"/>
      <c r="EA1088" s="773"/>
      <c r="EB1088" s="773"/>
      <c r="EC1088" s="773"/>
      <c r="ED1088" s="773"/>
      <c r="EE1088" s="773"/>
      <c r="EF1088" s="773"/>
      <c r="EG1088" s="773"/>
      <c r="EH1088" s="773"/>
      <c r="EI1088" s="773"/>
      <c r="EJ1088" s="773"/>
      <c r="EK1088" s="773"/>
      <c r="EL1088" s="773"/>
      <c r="EM1088" s="773"/>
      <c r="EN1088" s="773"/>
      <c r="EO1088" s="773"/>
      <c r="EP1088" s="773"/>
      <c r="EQ1088" s="773"/>
      <c r="ER1088" s="773"/>
      <c r="ES1088" s="773"/>
      <c r="ET1088" s="773"/>
      <c r="EU1088" s="773"/>
      <c r="EV1088" s="773"/>
      <c r="EW1088" s="773"/>
      <c r="EX1088" s="773"/>
      <c r="EY1088" s="773"/>
      <c r="EZ1088" s="773"/>
      <c r="FA1088" s="773"/>
      <c r="FB1088" s="773"/>
      <c r="FC1088" s="773"/>
      <c r="FD1088" s="773"/>
      <c r="FE1088" s="773"/>
      <c r="FF1088" s="773"/>
      <c r="FG1088" s="773"/>
      <c r="FH1088" s="773"/>
      <c r="FI1088" s="773"/>
      <c r="FJ1088" s="773"/>
      <c r="FK1088" s="773"/>
      <c r="FL1088" s="773"/>
      <c r="FM1088" s="773"/>
      <c r="FN1088" s="773"/>
      <c r="FO1088" s="773"/>
      <c r="FP1088" s="773"/>
      <c r="FQ1088" s="773"/>
      <c r="FR1088" s="773"/>
      <c r="FS1088" s="773"/>
      <c r="FT1088" s="773"/>
      <c r="FU1088" s="773"/>
      <c r="FV1088" s="773"/>
      <c r="FW1088" s="773"/>
      <c r="FX1088" s="773"/>
      <c r="FY1088" s="773"/>
      <c r="FZ1088" s="773"/>
      <c r="GA1088" s="773"/>
      <c r="GB1088" s="773"/>
      <c r="GC1088" s="773"/>
      <c r="GD1088" s="773"/>
      <c r="GE1088" s="773"/>
      <c r="GF1088" s="773"/>
      <c r="GG1088" s="773"/>
      <c r="GH1088" s="773"/>
      <c r="GI1088" s="773"/>
      <c r="GJ1088" s="773"/>
      <c r="GK1088" s="773"/>
      <c r="GL1088" s="773"/>
      <c r="GM1088" s="773"/>
      <c r="GN1088" s="773"/>
      <c r="GO1088" s="773"/>
      <c r="GP1088" s="773"/>
      <c r="GQ1088" s="773"/>
      <c r="GR1088" s="773"/>
      <c r="GS1088" s="773"/>
      <c r="GT1088" s="773"/>
      <c r="GU1088" s="773"/>
      <c r="GV1088" s="773"/>
      <c r="GW1088" s="773"/>
      <c r="GX1088" s="773"/>
      <c r="GY1088" s="773"/>
      <c r="GZ1088" s="773"/>
    </row>
    <row r="1089" spans="1:208" s="11" customFormat="1">
      <c r="A1089" s="917"/>
      <c r="B1089" s="918"/>
      <c r="C1089" s="767"/>
      <c r="D1089" s="173"/>
      <c r="E1089" s="769"/>
      <c r="F1089" s="769"/>
      <c r="G1089" s="769"/>
      <c r="H1089" s="769"/>
      <c r="I1089" s="769"/>
      <c r="J1089" s="769"/>
      <c r="K1089" s="209"/>
      <c r="M1089" s="771"/>
      <c r="N1089" s="773"/>
      <c r="O1089" s="773"/>
      <c r="P1089" s="772"/>
      <c r="Q1089" s="772"/>
      <c r="R1089" s="772"/>
      <c r="S1089" s="772"/>
      <c r="T1089" s="773"/>
      <c r="V1089" s="722" t="s">
        <v>1248</v>
      </c>
      <c r="W1089" s="773"/>
      <c r="X1089" s="773"/>
      <c r="Y1089" s="773"/>
      <c r="Z1089" s="773"/>
      <c r="AA1089" s="773"/>
      <c r="AB1089" s="773"/>
      <c r="AC1089" s="773"/>
      <c r="AD1089" s="773"/>
      <c r="AE1089" s="773"/>
      <c r="AF1089" s="773"/>
      <c r="AG1089" s="773"/>
      <c r="AH1089" s="773"/>
      <c r="AI1089" s="773"/>
      <c r="AJ1089" s="773"/>
      <c r="AK1089" s="773"/>
      <c r="AL1089" s="773"/>
      <c r="AM1089" s="773"/>
      <c r="AN1089" s="773"/>
      <c r="AO1089" s="773"/>
      <c r="AP1089" s="773"/>
      <c r="AQ1089" s="773"/>
      <c r="AR1089" s="773"/>
      <c r="AS1089" s="773"/>
      <c r="AT1089" s="773"/>
      <c r="AU1089" s="773"/>
      <c r="AV1089" s="773"/>
      <c r="AW1089" s="2510"/>
      <c r="AY1089" s="11">
        <f>AY1088-AY1084</f>
        <v>-255588.46194231912</v>
      </c>
      <c r="BC1089" s="2510"/>
      <c r="BD1089" s="2510"/>
      <c r="BE1089" s="2173"/>
      <c r="BF1089" s="2173"/>
      <c r="BG1089" s="2173"/>
      <c r="BH1089" s="2173"/>
      <c r="BI1089" s="2173"/>
      <c r="BJ1089" s="2173"/>
      <c r="BK1089" s="2173"/>
      <c r="DB1089" s="773"/>
      <c r="DC1089" s="773"/>
      <c r="DD1089" s="773"/>
      <c r="DE1089" s="773"/>
      <c r="DF1089" s="773"/>
      <c r="DG1089" s="773"/>
      <c r="DH1089" s="773"/>
      <c r="DI1089" s="773"/>
      <c r="DJ1089" s="773"/>
      <c r="DK1089" s="773"/>
      <c r="DL1089" s="773"/>
      <c r="DM1089" s="773"/>
      <c r="DN1089" s="773"/>
      <c r="DO1089" s="773"/>
      <c r="DP1089" s="773"/>
      <c r="DQ1089" s="773"/>
      <c r="DR1089" s="773"/>
      <c r="DS1089" s="773"/>
      <c r="DT1089" s="773"/>
      <c r="DU1089" s="773"/>
      <c r="DV1089" s="773"/>
      <c r="DW1089" s="773"/>
      <c r="DX1089" s="773"/>
      <c r="DY1089" s="773"/>
      <c r="DZ1089" s="773"/>
      <c r="EA1089" s="773"/>
      <c r="EB1089" s="773"/>
      <c r="EC1089" s="773"/>
      <c r="ED1089" s="773"/>
      <c r="EE1089" s="773"/>
      <c r="EF1089" s="773"/>
      <c r="EG1089" s="773"/>
      <c r="EH1089" s="773"/>
      <c r="EI1089" s="773"/>
      <c r="EJ1089" s="773"/>
      <c r="EK1089" s="773"/>
      <c r="EL1089" s="773"/>
      <c r="EM1089" s="773"/>
      <c r="EN1089" s="773"/>
      <c r="EO1089" s="773"/>
      <c r="EP1089" s="773"/>
      <c r="EQ1089" s="773"/>
      <c r="ER1089" s="773"/>
      <c r="ES1089" s="773"/>
      <c r="ET1089" s="773"/>
      <c r="EU1089" s="773"/>
      <c r="EV1089" s="773"/>
      <c r="EW1089" s="773"/>
      <c r="EX1089" s="773"/>
      <c r="EY1089" s="773"/>
      <c r="EZ1089" s="773"/>
      <c r="FA1089" s="773"/>
      <c r="FB1089" s="773"/>
      <c r="FC1089" s="773"/>
      <c r="FD1089" s="773"/>
      <c r="FE1089" s="773"/>
      <c r="FF1089" s="773"/>
      <c r="FG1089" s="773"/>
      <c r="FH1089" s="773"/>
      <c r="FI1089" s="773"/>
      <c r="FJ1089" s="773"/>
      <c r="FK1089" s="773"/>
      <c r="FL1089" s="773"/>
      <c r="FM1089" s="773"/>
      <c r="FN1089" s="773"/>
      <c r="FO1089" s="773"/>
      <c r="FP1089" s="773"/>
      <c r="FQ1089" s="773"/>
      <c r="FR1089" s="773"/>
      <c r="FS1089" s="773"/>
      <c r="FT1089" s="773"/>
      <c r="FU1089" s="773"/>
      <c r="FV1089" s="773"/>
      <c r="FW1089" s="773"/>
      <c r="FX1089" s="773"/>
      <c r="FY1089" s="773"/>
      <c r="FZ1089" s="773"/>
      <c r="GA1089" s="773"/>
      <c r="GB1089" s="773"/>
      <c r="GC1089" s="773"/>
      <c r="GD1089" s="773"/>
      <c r="GE1089" s="773"/>
      <c r="GF1089" s="773"/>
      <c r="GG1089" s="773"/>
      <c r="GH1089" s="773"/>
      <c r="GI1089" s="773"/>
      <c r="GJ1089" s="773"/>
      <c r="GK1089" s="773"/>
      <c r="GL1089" s="773"/>
      <c r="GM1089" s="773"/>
      <c r="GN1089" s="773"/>
      <c r="GO1089" s="773"/>
      <c r="GP1089" s="773"/>
      <c r="GQ1089" s="773"/>
      <c r="GR1089" s="773"/>
      <c r="GS1089" s="773"/>
      <c r="GT1089" s="773"/>
      <c r="GU1089" s="773"/>
      <c r="GV1089" s="773"/>
      <c r="GW1089" s="773"/>
      <c r="GX1089" s="773"/>
      <c r="GY1089" s="773"/>
      <c r="GZ1089" s="773"/>
    </row>
    <row r="1090" spans="1:208" s="11" customFormat="1">
      <c r="A1090" s="917"/>
      <c r="B1090" s="918"/>
      <c r="C1090" s="767"/>
      <c r="D1090" s="173"/>
      <c r="E1090" s="769"/>
      <c r="F1090" s="769"/>
      <c r="G1090" s="769"/>
      <c r="H1090" s="769"/>
      <c r="I1090" s="769"/>
      <c r="J1090" s="769"/>
      <c r="K1090" s="209"/>
      <c r="M1090" s="771"/>
      <c r="N1090" s="773"/>
      <c r="O1090" s="773"/>
      <c r="P1090" s="772"/>
      <c r="Q1090" s="772"/>
      <c r="R1090" s="772"/>
      <c r="S1090" s="772"/>
      <c r="T1090" s="773"/>
      <c r="V1090" s="722" t="s">
        <v>1247</v>
      </c>
      <c r="W1090" s="773"/>
      <c r="X1090" s="773"/>
      <c r="Y1090" s="773"/>
      <c r="Z1090" s="773"/>
      <c r="AA1090" s="773"/>
      <c r="AB1090" s="773"/>
      <c r="AC1090" s="773"/>
      <c r="AD1090" s="773"/>
      <c r="AE1090" s="773"/>
      <c r="AF1090" s="773"/>
      <c r="AG1090" s="773"/>
      <c r="AH1090" s="773"/>
      <c r="AI1090" s="773"/>
      <c r="AJ1090" s="773"/>
      <c r="AK1090" s="773"/>
      <c r="AL1090" s="773"/>
      <c r="AM1090" s="773"/>
      <c r="AN1090" s="773"/>
      <c r="AO1090" s="773"/>
      <c r="AP1090" s="773"/>
      <c r="AQ1090" s="773"/>
      <c r="AR1090" s="773"/>
      <c r="AS1090" s="773"/>
      <c r="AT1090" s="773"/>
      <c r="AU1090" s="773"/>
      <c r="AV1090" s="773"/>
      <c r="AW1090" s="2510"/>
      <c r="BC1090" s="2510"/>
      <c r="BD1090" s="2510"/>
      <c r="BE1090" s="2173"/>
      <c r="BF1090" s="2173"/>
      <c r="BG1090" s="2173"/>
      <c r="BH1090" s="2173"/>
      <c r="BI1090" s="2173"/>
      <c r="BJ1090" s="2173"/>
      <c r="BK1090" s="2173"/>
      <c r="DB1090" s="773"/>
      <c r="DC1090" s="773"/>
      <c r="DD1090" s="773"/>
      <c r="DE1090" s="773"/>
      <c r="DF1090" s="773"/>
      <c r="DG1090" s="773"/>
      <c r="DH1090" s="773"/>
      <c r="DI1090" s="773"/>
      <c r="DJ1090" s="773"/>
      <c r="DK1090" s="773"/>
      <c r="DL1090" s="773"/>
      <c r="DM1090" s="773"/>
      <c r="DN1090" s="773"/>
      <c r="DO1090" s="773"/>
      <c r="DP1090" s="773"/>
      <c r="DQ1090" s="773"/>
      <c r="DR1090" s="773"/>
      <c r="DS1090" s="773"/>
      <c r="DT1090" s="773"/>
      <c r="DU1090" s="773"/>
      <c r="DV1090" s="773"/>
      <c r="DW1090" s="773"/>
      <c r="DX1090" s="773"/>
      <c r="DY1090" s="773"/>
      <c r="DZ1090" s="773"/>
      <c r="EA1090" s="773"/>
      <c r="EB1090" s="773"/>
      <c r="EC1090" s="773"/>
      <c r="ED1090" s="773"/>
      <c r="EE1090" s="773"/>
      <c r="EF1090" s="773"/>
      <c r="EG1090" s="773"/>
      <c r="EH1090" s="773"/>
      <c r="EI1090" s="773"/>
      <c r="EJ1090" s="773"/>
      <c r="EK1090" s="773"/>
      <c r="EL1090" s="773"/>
      <c r="EM1090" s="773"/>
      <c r="EN1090" s="773"/>
      <c r="EO1090" s="773"/>
      <c r="EP1090" s="773"/>
      <c r="EQ1090" s="773"/>
      <c r="ER1090" s="773"/>
      <c r="ES1090" s="773"/>
      <c r="ET1090" s="773"/>
      <c r="EU1090" s="773"/>
      <c r="EV1090" s="773"/>
      <c r="EW1090" s="773"/>
      <c r="EX1090" s="773"/>
      <c r="EY1090" s="773"/>
      <c r="EZ1090" s="773"/>
      <c r="FA1090" s="773"/>
      <c r="FB1090" s="773"/>
      <c r="FC1090" s="773"/>
      <c r="FD1090" s="773"/>
      <c r="FE1090" s="773"/>
      <c r="FF1090" s="773"/>
      <c r="FG1090" s="773"/>
      <c r="FH1090" s="773"/>
      <c r="FI1090" s="773"/>
      <c r="FJ1090" s="773"/>
      <c r="FK1090" s="773"/>
      <c r="FL1090" s="773"/>
      <c r="FM1090" s="773"/>
      <c r="FN1090" s="773"/>
      <c r="FO1090" s="773"/>
      <c r="FP1090" s="773"/>
      <c r="FQ1090" s="773"/>
      <c r="FR1090" s="773"/>
      <c r="FS1090" s="773"/>
      <c r="FT1090" s="773"/>
      <c r="FU1090" s="773"/>
      <c r="FV1090" s="773"/>
      <c r="FW1090" s="773"/>
      <c r="FX1090" s="773"/>
      <c r="FY1090" s="773"/>
      <c r="FZ1090" s="773"/>
      <c r="GA1090" s="773"/>
      <c r="GB1090" s="773"/>
      <c r="GC1090" s="773"/>
      <c r="GD1090" s="773"/>
      <c r="GE1090" s="773"/>
      <c r="GF1090" s="773"/>
      <c r="GG1090" s="773"/>
      <c r="GH1090" s="773"/>
      <c r="GI1090" s="773"/>
      <c r="GJ1090" s="773"/>
      <c r="GK1090" s="773"/>
      <c r="GL1090" s="773"/>
      <c r="GM1090" s="773"/>
      <c r="GN1090" s="773"/>
      <c r="GO1090" s="773"/>
      <c r="GP1090" s="773"/>
      <c r="GQ1090" s="773"/>
      <c r="GR1090" s="773"/>
      <c r="GS1090" s="773"/>
      <c r="GT1090" s="773"/>
      <c r="GU1090" s="773"/>
      <c r="GV1090" s="773"/>
      <c r="GW1090" s="773"/>
      <c r="GX1090" s="773"/>
      <c r="GY1090" s="773"/>
      <c r="GZ1090" s="773"/>
    </row>
    <row r="1091" spans="1:208" s="11" customFormat="1">
      <c r="A1091" s="917"/>
      <c r="B1091" s="918"/>
      <c r="C1091" s="767"/>
      <c r="D1091" s="173"/>
      <c r="E1091" s="769"/>
      <c r="F1091" s="769"/>
      <c r="G1091" s="769"/>
      <c r="H1091" s="769"/>
      <c r="I1091" s="769"/>
      <c r="J1091" s="769"/>
      <c r="K1091" s="209"/>
      <c r="M1091" s="771"/>
      <c r="N1091" s="773"/>
      <c r="O1091" s="773"/>
      <c r="P1091" s="772"/>
      <c r="Q1091" s="772"/>
      <c r="R1091" s="772"/>
      <c r="S1091" s="772"/>
      <c r="T1091" s="773"/>
      <c r="V1091" s="722" t="s">
        <v>1246</v>
      </c>
      <c r="W1091" s="773"/>
      <c r="X1091" s="773"/>
      <c r="Y1091" s="773"/>
      <c r="Z1091" s="773"/>
      <c r="AA1091" s="773"/>
      <c r="AB1091" s="773"/>
      <c r="AC1091" s="773"/>
      <c r="AD1091" s="773"/>
      <c r="AE1091" s="773"/>
      <c r="AF1091" s="773"/>
      <c r="AG1091" s="773"/>
      <c r="AH1091" s="773"/>
      <c r="AI1091" s="773"/>
      <c r="AJ1091" s="773"/>
      <c r="AK1091" s="773"/>
      <c r="AL1091" s="773"/>
      <c r="AM1091" s="773"/>
      <c r="AN1091" s="773"/>
      <c r="AO1091" s="773"/>
      <c r="AP1091" s="773"/>
      <c r="AQ1091" s="773"/>
      <c r="AR1091" s="773"/>
      <c r="AS1091" s="773"/>
      <c r="AT1091" s="773"/>
      <c r="AU1091" s="773"/>
      <c r="AV1091" s="773"/>
      <c r="AW1091" s="2510"/>
      <c r="BC1091" s="2510"/>
      <c r="BD1091" s="2510"/>
      <c r="BE1091" s="2173"/>
      <c r="BF1091" s="2173"/>
      <c r="BG1091" s="2173"/>
      <c r="BH1091" s="2173"/>
      <c r="BI1091" s="2173"/>
      <c r="BJ1091" s="2173"/>
      <c r="BK1091" s="2173"/>
      <c r="DB1091" s="773"/>
      <c r="DC1091" s="773"/>
      <c r="DD1091" s="773"/>
      <c r="DE1091" s="773"/>
      <c r="DF1091" s="773"/>
      <c r="DG1091" s="773"/>
      <c r="DH1091" s="773"/>
      <c r="DI1091" s="773"/>
      <c r="DJ1091" s="773"/>
      <c r="DK1091" s="773"/>
      <c r="DL1091" s="773"/>
      <c r="DM1091" s="773"/>
      <c r="DN1091" s="773"/>
      <c r="DO1091" s="773"/>
      <c r="DP1091" s="773"/>
      <c r="DQ1091" s="773"/>
      <c r="DR1091" s="773"/>
      <c r="DS1091" s="773"/>
      <c r="DT1091" s="773"/>
      <c r="DU1091" s="773"/>
      <c r="DV1091" s="773"/>
      <c r="DW1091" s="773"/>
      <c r="DX1091" s="773"/>
      <c r="DY1091" s="773"/>
      <c r="DZ1091" s="773"/>
      <c r="EA1091" s="773"/>
      <c r="EB1091" s="773"/>
      <c r="EC1091" s="773"/>
      <c r="ED1091" s="773"/>
      <c r="EE1091" s="773"/>
      <c r="EF1091" s="773"/>
      <c r="EG1091" s="773"/>
      <c r="EH1091" s="773"/>
      <c r="EI1091" s="773"/>
      <c r="EJ1091" s="773"/>
      <c r="EK1091" s="773"/>
      <c r="EL1091" s="773"/>
      <c r="EM1091" s="773"/>
      <c r="EN1091" s="773"/>
      <c r="EO1091" s="773"/>
      <c r="EP1091" s="773"/>
      <c r="EQ1091" s="773"/>
      <c r="ER1091" s="773"/>
      <c r="ES1091" s="773"/>
      <c r="ET1091" s="773"/>
      <c r="EU1091" s="773"/>
      <c r="EV1091" s="773"/>
      <c r="EW1091" s="773"/>
      <c r="EX1091" s="773"/>
      <c r="EY1091" s="773"/>
      <c r="EZ1091" s="773"/>
      <c r="FA1091" s="773"/>
      <c r="FB1091" s="773"/>
      <c r="FC1091" s="773"/>
      <c r="FD1091" s="773"/>
      <c r="FE1091" s="773"/>
      <c r="FF1091" s="773"/>
      <c r="FG1091" s="773"/>
      <c r="FH1091" s="773"/>
      <c r="FI1091" s="773"/>
      <c r="FJ1091" s="773"/>
      <c r="FK1091" s="773"/>
      <c r="FL1091" s="773"/>
      <c r="FM1091" s="773"/>
      <c r="FN1091" s="773"/>
      <c r="FO1091" s="773"/>
      <c r="FP1091" s="773"/>
      <c r="FQ1091" s="773"/>
      <c r="FR1091" s="773"/>
      <c r="FS1091" s="773"/>
      <c r="FT1091" s="773"/>
      <c r="FU1091" s="773"/>
      <c r="FV1091" s="773"/>
      <c r="FW1091" s="773"/>
      <c r="FX1091" s="773"/>
      <c r="FY1091" s="773"/>
      <c r="FZ1091" s="773"/>
      <c r="GA1091" s="773"/>
      <c r="GB1091" s="773"/>
      <c r="GC1091" s="773"/>
      <c r="GD1091" s="773"/>
      <c r="GE1091" s="773"/>
      <c r="GF1091" s="773"/>
      <c r="GG1091" s="773"/>
      <c r="GH1091" s="773"/>
      <c r="GI1091" s="773"/>
      <c r="GJ1091" s="773"/>
      <c r="GK1091" s="773"/>
      <c r="GL1091" s="773"/>
      <c r="GM1091" s="773"/>
      <c r="GN1091" s="773"/>
      <c r="GO1091" s="773"/>
      <c r="GP1091" s="773"/>
      <c r="GQ1091" s="773"/>
      <c r="GR1091" s="773"/>
      <c r="GS1091" s="773"/>
      <c r="GT1091" s="773"/>
      <c r="GU1091" s="773"/>
      <c r="GV1091" s="773"/>
      <c r="GW1091" s="773"/>
      <c r="GX1091" s="773"/>
      <c r="GY1091" s="773"/>
      <c r="GZ1091" s="773"/>
    </row>
    <row r="1092" spans="1:208" s="11" customFormat="1">
      <c r="A1092" s="917"/>
      <c r="B1092" s="918"/>
      <c r="C1092" s="767"/>
      <c r="D1092" s="173"/>
      <c r="E1092" s="769"/>
      <c r="F1092" s="769"/>
      <c r="G1092" s="769"/>
      <c r="H1092" s="769"/>
      <c r="I1092" s="769"/>
      <c r="J1092" s="769"/>
      <c r="K1092" s="209"/>
      <c r="M1092" s="771"/>
      <c r="N1092" s="773"/>
      <c r="O1092" s="773"/>
      <c r="P1092" s="772"/>
      <c r="Q1092" s="772"/>
      <c r="R1092" s="772"/>
      <c r="S1092" s="772"/>
      <c r="T1092" s="773"/>
      <c r="V1092" s="716" t="s">
        <v>67</v>
      </c>
      <c r="W1092" s="773"/>
      <c r="X1092" s="773"/>
      <c r="Y1092" s="773"/>
      <c r="Z1092" s="773"/>
      <c r="AA1092" s="773"/>
      <c r="AB1092" s="773"/>
      <c r="AC1092" s="773"/>
      <c r="AD1092" s="773"/>
      <c r="AE1092" s="773"/>
      <c r="AF1092" s="773"/>
      <c r="AG1092" s="773"/>
      <c r="AH1092" s="773"/>
      <c r="AI1092" s="773"/>
      <c r="AJ1092" s="773"/>
      <c r="AK1092" s="773"/>
      <c r="AL1092" s="773"/>
      <c r="AM1092" s="773"/>
      <c r="AN1092" s="773"/>
      <c r="AO1092" s="773"/>
      <c r="AP1092" s="773"/>
      <c r="AQ1092" s="773"/>
      <c r="AR1092" s="773"/>
      <c r="AS1092" s="773"/>
      <c r="AT1092" s="773"/>
      <c r="AU1092" s="773"/>
      <c r="AV1092" s="773"/>
      <c r="AW1092" s="2510"/>
      <c r="BC1092" s="2510"/>
      <c r="BD1092" s="2510"/>
      <c r="BE1092" s="2173"/>
      <c r="BF1092" s="2173"/>
      <c r="BG1092" s="2173"/>
      <c r="BH1092" s="2173"/>
      <c r="BI1092" s="2173"/>
      <c r="BJ1092" s="2173"/>
      <c r="BK1092" s="2173"/>
      <c r="DB1092" s="773"/>
      <c r="DC1092" s="773"/>
      <c r="DD1092" s="773"/>
      <c r="DE1092" s="773"/>
      <c r="DF1092" s="773"/>
      <c r="DG1092" s="773"/>
      <c r="DH1092" s="773"/>
      <c r="DI1092" s="773"/>
      <c r="DJ1092" s="773"/>
      <c r="DK1092" s="773"/>
      <c r="DL1092" s="773"/>
      <c r="DM1092" s="773"/>
      <c r="DN1092" s="773"/>
      <c r="DO1092" s="773"/>
      <c r="DP1092" s="773"/>
      <c r="DQ1092" s="773"/>
      <c r="DR1092" s="773"/>
      <c r="DS1092" s="773"/>
      <c r="DT1092" s="773"/>
      <c r="DU1092" s="773"/>
      <c r="DV1092" s="773"/>
      <c r="DW1092" s="773"/>
      <c r="DX1092" s="773"/>
      <c r="DY1092" s="773"/>
      <c r="DZ1092" s="773"/>
      <c r="EA1092" s="773"/>
      <c r="EB1092" s="773"/>
      <c r="EC1092" s="773"/>
      <c r="ED1092" s="773"/>
      <c r="EE1092" s="773"/>
      <c r="EF1092" s="773"/>
      <c r="EG1092" s="773"/>
      <c r="EH1092" s="773"/>
      <c r="EI1092" s="773"/>
      <c r="EJ1092" s="773"/>
      <c r="EK1092" s="773"/>
      <c r="EL1092" s="773"/>
      <c r="EM1092" s="773"/>
      <c r="EN1092" s="773"/>
      <c r="EO1092" s="773"/>
      <c r="EP1092" s="773"/>
      <c r="EQ1092" s="773"/>
      <c r="ER1092" s="773"/>
      <c r="ES1092" s="773"/>
      <c r="ET1092" s="773"/>
      <c r="EU1092" s="773"/>
      <c r="EV1092" s="773"/>
      <c r="EW1092" s="773"/>
      <c r="EX1092" s="773"/>
      <c r="EY1092" s="773"/>
      <c r="EZ1092" s="773"/>
      <c r="FA1092" s="773"/>
      <c r="FB1092" s="773"/>
      <c r="FC1092" s="773"/>
      <c r="FD1092" s="773"/>
      <c r="FE1092" s="773"/>
      <c r="FF1092" s="773"/>
      <c r="FG1092" s="773"/>
      <c r="FH1092" s="773"/>
      <c r="FI1092" s="773"/>
      <c r="FJ1092" s="773"/>
      <c r="FK1092" s="773"/>
      <c r="FL1092" s="773"/>
      <c r="FM1092" s="773"/>
      <c r="FN1092" s="773"/>
      <c r="FO1092" s="773"/>
      <c r="FP1092" s="773"/>
      <c r="FQ1092" s="773"/>
      <c r="FR1092" s="773"/>
      <c r="FS1092" s="773"/>
      <c r="FT1092" s="773"/>
      <c r="FU1092" s="773"/>
      <c r="FV1092" s="773"/>
      <c r="FW1092" s="773"/>
      <c r="FX1092" s="773"/>
      <c r="FY1092" s="773"/>
      <c r="FZ1092" s="773"/>
      <c r="GA1092" s="773"/>
      <c r="GB1092" s="773"/>
      <c r="GC1092" s="773"/>
      <c r="GD1092" s="773"/>
      <c r="GE1092" s="773"/>
      <c r="GF1092" s="773"/>
      <c r="GG1092" s="773"/>
      <c r="GH1092" s="773"/>
      <c r="GI1092" s="773"/>
      <c r="GJ1092" s="773"/>
      <c r="GK1092" s="773"/>
      <c r="GL1092" s="773"/>
      <c r="GM1092" s="773"/>
      <c r="GN1092" s="773"/>
      <c r="GO1092" s="773"/>
      <c r="GP1092" s="773"/>
      <c r="GQ1092" s="773"/>
      <c r="GR1092" s="773"/>
      <c r="GS1092" s="773"/>
      <c r="GT1092" s="773"/>
      <c r="GU1092" s="773"/>
      <c r="GV1092" s="773"/>
      <c r="GW1092" s="773"/>
      <c r="GX1092" s="773"/>
      <c r="GY1092" s="773"/>
      <c r="GZ1092" s="773"/>
    </row>
    <row r="1093" spans="1:208" s="11" customFormat="1">
      <c r="A1093" s="917"/>
      <c r="B1093" s="918"/>
      <c r="C1093" s="767"/>
      <c r="D1093" s="173"/>
      <c r="E1093" s="769"/>
      <c r="F1093" s="769"/>
      <c r="G1093" s="769"/>
      <c r="H1093" s="769"/>
      <c r="I1093" s="769"/>
      <c r="J1093" s="769"/>
      <c r="K1093" s="209"/>
      <c r="M1093" s="771"/>
      <c r="N1093" s="773"/>
      <c r="O1093" s="773"/>
      <c r="P1093" s="772"/>
      <c r="Q1093" s="772"/>
      <c r="R1093" s="772"/>
      <c r="S1093" s="772"/>
      <c r="T1093" s="773"/>
      <c r="V1093" s="722" t="s">
        <v>1585</v>
      </c>
      <c r="W1093" s="773"/>
      <c r="X1093" s="773"/>
      <c r="Y1093" s="773"/>
      <c r="Z1093" s="773"/>
      <c r="AA1093" s="773"/>
      <c r="AB1093" s="773"/>
      <c r="AC1093" s="773"/>
      <c r="AD1093" s="773"/>
      <c r="AE1093" s="773"/>
      <c r="AF1093" s="773"/>
      <c r="AG1093" s="773"/>
      <c r="AH1093" s="773"/>
      <c r="AI1093" s="773"/>
      <c r="AJ1093" s="773"/>
      <c r="AK1093" s="773"/>
      <c r="AL1093" s="773"/>
      <c r="AM1093" s="773"/>
      <c r="AN1093" s="773"/>
      <c r="AO1093" s="773"/>
      <c r="AP1093" s="773"/>
      <c r="AQ1093" s="773"/>
      <c r="AR1093" s="773"/>
      <c r="AS1093" s="773"/>
      <c r="AT1093" s="773"/>
      <c r="AU1093" s="773"/>
      <c r="AV1093" s="773"/>
      <c r="AW1093" s="2510"/>
      <c r="BC1093" s="2510"/>
      <c r="BD1093" s="2510"/>
      <c r="BE1093" s="2173"/>
      <c r="BF1093" s="2173"/>
      <c r="BG1093" s="2173"/>
      <c r="BH1093" s="2173"/>
      <c r="BI1093" s="2173"/>
      <c r="BJ1093" s="2173"/>
      <c r="BK1093" s="2173"/>
      <c r="DB1093" s="773"/>
      <c r="DC1093" s="773"/>
      <c r="DD1093" s="773"/>
      <c r="DE1093" s="773"/>
      <c r="DF1093" s="773"/>
      <c r="DG1093" s="773"/>
      <c r="DH1093" s="773"/>
      <c r="DI1093" s="773"/>
      <c r="DJ1093" s="773"/>
      <c r="DK1093" s="773"/>
      <c r="DL1093" s="773"/>
      <c r="DM1093" s="773"/>
      <c r="DN1093" s="773"/>
      <c r="DO1093" s="773"/>
      <c r="DP1093" s="773"/>
      <c r="DQ1093" s="773"/>
      <c r="DR1093" s="773"/>
      <c r="DS1093" s="773"/>
      <c r="DT1093" s="773"/>
      <c r="DU1093" s="773"/>
      <c r="DV1093" s="773"/>
      <c r="DW1093" s="773"/>
      <c r="DX1093" s="773"/>
      <c r="DY1093" s="773"/>
      <c r="DZ1093" s="773"/>
      <c r="EA1093" s="773"/>
      <c r="EB1093" s="773"/>
      <c r="EC1093" s="773"/>
      <c r="ED1093" s="773"/>
      <c r="EE1093" s="773"/>
      <c r="EF1093" s="773"/>
      <c r="EG1093" s="773"/>
      <c r="EH1093" s="773"/>
      <c r="EI1093" s="773"/>
      <c r="EJ1093" s="773"/>
      <c r="EK1093" s="773"/>
      <c r="EL1093" s="773"/>
      <c r="EM1093" s="773"/>
      <c r="EN1093" s="773"/>
      <c r="EO1093" s="773"/>
      <c r="EP1093" s="773"/>
      <c r="EQ1093" s="773"/>
      <c r="ER1093" s="773"/>
      <c r="ES1093" s="773"/>
      <c r="ET1093" s="773"/>
      <c r="EU1093" s="773"/>
      <c r="EV1093" s="773"/>
      <c r="EW1093" s="773"/>
      <c r="EX1093" s="773"/>
      <c r="EY1093" s="773"/>
      <c r="EZ1093" s="773"/>
      <c r="FA1093" s="773"/>
      <c r="FB1093" s="773"/>
      <c r="FC1093" s="773"/>
      <c r="FD1093" s="773"/>
      <c r="FE1093" s="773"/>
      <c r="FF1093" s="773"/>
      <c r="FG1093" s="773"/>
      <c r="FH1093" s="773"/>
      <c r="FI1093" s="773"/>
      <c r="FJ1093" s="773"/>
      <c r="FK1093" s="773"/>
      <c r="FL1093" s="773"/>
      <c r="FM1093" s="773"/>
      <c r="FN1093" s="773"/>
      <c r="FO1093" s="773"/>
      <c r="FP1093" s="773"/>
      <c r="FQ1093" s="773"/>
      <c r="FR1093" s="773"/>
      <c r="FS1093" s="773"/>
      <c r="FT1093" s="773"/>
      <c r="FU1093" s="773"/>
      <c r="FV1093" s="773"/>
      <c r="FW1093" s="773"/>
      <c r="FX1093" s="773"/>
      <c r="FY1093" s="773"/>
      <c r="FZ1093" s="773"/>
      <c r="GA1093" s="773"/>
      <c r="GB1093" s="773"/>
      <c r="GC1093" s="773"/>
      <c r="GD1093" s="773"/>
      <c r="GE1093" s="773"/>
      <c r="GF1093" s="773"/>
      <c r="GG1093" s="773"/>
      <c r="GH1093" s="773"/>
      <c r="GI1093" s="773"/>
      <c r="GJ1093" s="773"/>
      <c r="GK1093" s="773"/>
      <c r="GL1093" s="773"/>
      <c r="GM1093" s="773"/>
      <c r="GN1093" s="773"/>
      <c r="GO1093" s="773"/>
      <c r="GP1093" s="773"/>
      <c r="GQ1093" s="773"/>
      <c r="GR1093" s="773"/>
      <c r="GS1093" s="773"/>
      <c r="GT1093" s="773"/>
      <c r="GU1093" s="773"/>
      <c r="GV1093" s="773"/>
      <c r="GW1093" s="773"/>
      <c r="GX1093" s="773"/>
      <c r="GY1093" s="773"/>
      <c r="GZ1093" s="773"/>
    </row>
    <row r="1094" spans="1:208" s="11" customFormat="1">
      <c r="A1094" s="917"/>
      <c r="B1094" s="918"/>
      <c r="C1094" s="767"/>
      <c r="D1094" s="173"/>
      <c r="E1094" s="769"/>
      <c r="F1094" s="769"/>
      <c r="G1094" s="769"/>
      <c r="H1094" s="769"/>
      <c r="I1094" s="769"/>
      <c r="J1094" s="769"/>
      <c r="K1094" s="209"/>
      <c r="M1094" s="771"/>
      <c r="N1094" s="773"/>
      <c r="O1094" s="773"/>
      <c r="P1094" s="772"/>
      <c r="Q1094" s="772"/>
      <c r="R1094" s="772"/>
      <c r="S1094" s="772"/>
      <c r="T1094" s="773"/>
      <c r="V1094" s="722" t="s">
        <v>1512</v>
      </c>
      <c r="W1094" s="773"/>
      <c r="X1094" s="773"/>
      <c r="Y1094" s="773"/>
      <c r="Z1094" s="773"/>
      <c r="AA1094" s="773"/>
      <c r="AB1094" s="773"/>
      <c r="AC1094" s="773"/>
      <c r="AD1094" s="773"/>
      <c r="AE1094" s="773"/>
      <c r="AF1094" s="773"/>
      <c r="AG1094" s="773"/>
      <c r="AH1094" s="773"/>
      <c r="AI1094" s="773"/>
      <c r="AJ1094" s="773"/>
      <c r="AK1094" s="773"/>
      <c r="AL1094" s="773"/>
      <c r="AM1094" s="773"/>
      <c r="AN1094" s="773"/>
      <c r="AO1094" s="773"/>
      <c r="AP1094" s="773"/>
      <c r="AQ1094" s="773"/>
      <c r="AR1094" s="773"/>
      <c r="AS1094" s="773"/>
      <c r="AT1094" s="773"/>
      <c r="AU1094" s="773"/>
      <c r="AV1094" s="773"/>
      <c r="AW1094" s="2510"/>
      <c r="BC1094" s="2510"/>
      <c r="BD1094" s="2510"/>
      <c r="BE1094" s="2173"/>
      <c r="BF1094" s="2173"/>
      <c r="BG1094" s="2173"/>
      <c r="BH1094" s="2173"/>
      <c r="BI1094" s="2173"/>
      <c r="BJ1094" s="2173"/>
      <c r="BK1094" s="2173"/>
      <c r="DB1094" s="773"/>
      <c r="DC1094" s="773"/>
      <c r="DD1094" s="773"/>
      <c r="DE1094" s="773"/>
      <c r="DF1094" s="773"/>
      <c r="DG1094" s="773"/>
      <c r="DH1094" s="773"/>
      <c r="DI1094" s="773"/>
      <c r="DJ1094" s="773"/>
      <c r="DK1094" s="773"/>
      <c r="DL1094" s="773"/>
      <c r="DM1094" s="773"/>
      <c r="DN1094" s="773"/>
      <c r="DO1094" s="773"/>
      <c r="DP1094" s="773"/>
      <c r="DQ1094" s="773"/>
      <c r="DR1094" s="773"/>
      <c r="DS1094" s="773"/>
      <c r="DT1094" s="773"/>
      <c r="DU1094" s="773"/>
      <c r="DV1094" s="773"/>
      <c r="DW1094" s="773"/>
      <c r="DX1094" s="773"/>
      <c r="DY1094" s="773"/>
      <c r="DZ1094" s="773"/>
      <c r="EA1094" s="773"/>
      <c r="EB1094" s="773"/>
      <c r="EC1094" s="773"/>
      <c r="ED1094" s="773"/>
      <c r="EE1094" s="773"/>
      <c r="EF1094" s="773"/>
      <c r="EG1094" s="773"/>
      <c r="EH1094" s="773"/>
      <c r="EI1094" s="773"/>
      <c r="EJ1094" s="773"/>
      <c r="EK1094" s="773"/>
      <c r="EL1094" s="773"/>
      <c r="EM1094" s="773"/>
      <c r="EN1094" s="773"/>
      <c r="EO1094" s="773"/>
      <c r="EP1094" s="773"/>
      <c r="EQ1094" s="773"/>
      <c r="ER1094" s="773"/>
      <c r="ES1094" s="773"/>
      <c r="ET1094" s="773"/>
      <c r="EU1094" s="773"/>
      <c r="EV1094" s="773"/>
      <c r="EW1094" s="773"/>
      <c r="EX1094" s="773"/>
      <c r="EY1094" s="773"/>
      <c r="EZ1094" s="773"/>
      <c r="FA1094" s="773"/>
      <c r="FB1094" s="773"/>
      <c r="FC1094" s="773"/>
      <c r="FD1094" s="773"/>
      <c r="FE1094" s="773"/>
      <c r="FF1094" s="773"/>
      <c r="FG1094" s="773"/>
      <c r="FH1094" s="773"/>
      <c r="FI1094" s="773"/>
      <c r="FJ1094" s="773"/>
      <c r="FK1094" s="773"/>
      <c r="FL1094" s="773"/>
      <c r="FM1094" s="773"/>
      <c r="FN1094" s="773"/>
      <c r="FO1094" s="773"/>
      <c r="FP1094" s="773"/>
      <c r="FQ1094" s="773"/>
      <c r="FR1094" s="773"/>
      <c r="FS1094" s="773"/>
      <c r="FT1094" s="773"/>
      <c r="FU1094" s="773"/>
      <c r="FV1094" s="773"/>
      <c r="FW1094" s="773"/>
      <c r="FX1094" s="773"/>
      <c r="FY1094" s="773"/>
      <c r="FZ1094" s="773"/>
      <c r="GA1094" s="773"/>
      <c r="GB1094" s="773"/>
      <c r="GC1094" s="773"/>
      <c r="GD1094" s="773"/>
      <c r="GE1094" s="773"/>
      <c r="GF1094" s="773"/>
      <c r="GG1094" s="773"/>
      <c r="GH1094" s="773"/>
      <c r="GI1094" s="773"/>
      <c r="GJ1094" s="773"/>
      <c r="GK1094" s="773"/>
      <c r="GL1094" s="773"/>
      <c r="GM1094" s="773"/>
      <c r="GN1094" s="773"/>
      <c r="GO1094" s="773"/>
      <c r="GP1094" s="773"/>
      <c r="GQ1094" s="773"/>
      <c r="GR1094" s="773"/>
      <c r="GS1094" s="773"/>
      <c r="GT1094" s="773"/>
      <c r="GU1094" s="773"/>
      <c r="GV1094" s="773"/>
      <c r="GW1094" s="773"/>
      <c r="GX1094" s="773"/>
      <c r="GY1094" s="773"/>
      <c r="GZ1094" s="773"/>
    </row>
    <row r="1095" spans="1:208" s="11" customFormat="1">
      <c r="A1095" s="917"/>
      <c r="B1095" s="918"/>
      <c r="C1095" s="767"/>
      <c r="D1095" s="173"/>
      <c r="E1095" s="769"/>
      <c r="F1095" s="769"/>
      <c r="G1095" s="769"/>
      <c r="H1095" s="769"/>
      <c r="I1095" s="769"/>
      <c r="J1095" s="769"/>
      <c r="K1095" s="209"/>
      <c r="M1095" s="771"/>
      <c r="N1095" s="773"/>
      <c r="O1095" s="773"/>
      <c r="P1095" s="772"/>
      <c r="Q1095" s="772"/>
      <c r="R1095" s="772"/>
      <c r="S1095" s="772"/>
      <c r="T1095" s="773"/>
      <c r="V1095" s="722" t="s">
        <v>1513</v>
      </c>
      <c r="W1095" s="773"/>
      <c r="X1095" s="773"/>
      <c r="Y1095" s="773"/>
      <c r="Z1095" s="773"/>
      <c r="AA1095" s="773"/>
      <c r="AB1095" s="773"/>
      <c r="AC1095" s="773"/>
      <c r="AD1095" s="773"/>
      <c r="AE1095" s="773"/>
      <c r="AF1095" s="773"/>
      <c r="AG1095" s="773"/>
      <c r="AH1095" s="773"/>
      <c r="AI1095" s="773"/>
      <c r="AJ1095" s="773"/>
      <c r="AK1095" s="773"/>
      <c r="AL1095" s="773"/>
      <c r="AM1095" s="773"/>
      <c r="AN1095" s="773"/>
      <c r="AO1095" s="773"/>
      <c r="AP1095" s="773"/>
      <c r="AQ1095" s="773"/>
      <c r="AR1095" s="773"/>
      <c r="AS1095" s="773"/>
      <c r="AT1095" s="773"/>
      <c r="AU1095" s="773"/>
      <c r="AV1095" s="773"/>
      <c r="AW1095" s="2510"/>
      <c r="BC1095" s="2510"/>
      <c r="BD1095" s="2510"/>
      <c r="BE1095" s="2173"/>
      <c r="BF1095" s="2173"/>
      <c r="BG1095" s="2173"/>
      <c r="BH1095" s="2173"/>
      <c r="BI1095" s="2173"/>
      <c r="BJ1095" s="2173"/>
      <c r="BK1095" s="2173"/>
      <c r="DB1095" s="773"/>
      <c r="DC1095" s="773"/>
      <c r="DD1095" s="773"/>
      <c r="DE1095" s="773"/>
      <c r="DF1095" s="773"/>
      <c r="DG1095" s="773"/>
      <c r="DH1095" s="773"/>
      <c r="DI1095" s="773"/>
      <c r="DJ1095" s="773"/>
      <c r="DK1095" s="773"/>
      <c r="DL1095" s="773"/>
      <c r="DM1095" s="773"/>
      <c r="DN1095" s="773"/>
      <c r="DO1095" s="773"/>
      <c r="DP1095" s="773"/>
      <c r="DQ1095" s="773"/>
      <c r="DR1095" s="773"/>
      <c r="DS1095" s="773"/>
      <c r="DT1095" s="773"/>
      <c r="DU1095" s="773"/>
      <c r="DV1095" s="773"/>
      <c r="DW1095" s="773"/>
      <c r="DX1095" s="773"/>
      <c r="DY1095" s="773"/>
      <c r="DZ1095" s="773"/>
      <c r="EA1095" s="773"/>
      <c r="EB1095" s="773"/>
      <c r="EC1095" s="773"/>
      <c r="ED1095" s="773"/>
      <c r="EE1095" s="773"/>
      <c r="EF1095" s="773"/>
      <c r="EG1095" s="773"/>
      <c r="EH1095" s="773"/>
      <c r="EI1095" s="773"/>
      <c r="EJ1095" s="773"/>
      <c r="EK1095" s="773"/>
      <c r="EL1095" s="773"/>
      <c r="EM1095" s="773"/>
      <c r="EN1095" s="773"/>
      <c r="EO1095" s="773"/>
      <c r="EP1095" s="773"/>
      <c r="EQ1095" s="773"/>
      <c r="ER1095" s="773"/>
      <c r="ES1095" s="773"/>
      <c r="ET1095" s="773"/>
      <c r="EU1095" s="773"/>
      <c r="EV1095" s="773"/>
      <c r="EW1095" s="773"/>
      <c r="EX1095" s="773"/>
      <c r="EY1095" s="773"/>
      <c r="EZ1095" s="773"/>
      <c r="FA1095" s="773"/>
      <c r="FB1095" s="773"/>
      <c r="FC1095" s="773"/>
      <c r="FD1095" s="773"/>
      <c r="FE1095" s="773"/>
      <c r="FF1095" s="773"/>
      <c r="FG1095" s="773"/>
      <c r="FH1095" s="773"/>
      <c r="FI1095" s="773"/>
      <c r="FJ1095" s="773"/>
      <c r="FK1095" s="773"/>
      <c r="FL1095" s="773"/>
      <c r="FM1095" s="773"/>
      <c r="FN1095" s="773"/>
      <c r="FO1095" s="773"/>
      <c r="FP1095" s="773"/>
      <c r="FQ1095" s="773"/>
      <c r="FR1095" s="773"/>
      <c r="FS1095" s="773"/>
      <c r="FT1095" s="773"/>
      <c r="FU1095" s="773"/>
      <c r="FV1095" s="773"/>
      <c r="FW1095" s="773"/>
      <c r="FX1095" s="773"/>
      <c r="FY1095" s="773"/>
      <c r="FZ1095" s="773"/>
      <c r="GA1095" s="773"/>
      <c r="GB1095" s="773"/>
      <c r="GC1095" s="773"/>
      <c r="GD1095" s="773"/>
      <c r="GE1095" s="773"/>
      <c r="GF1095" s="773"/>
      <c r="GG1095" s="773"/>
      <c r="GH1095" s="773"/>
      <c r="GI1095" s="773"/>
      <c r="GJ1095" s="773"/>
      <c r="GK1095" s="773"/>
      <c r="GL1095" s="773"/>
      <c r="GM1095" s="773"/>
      <c r="GN1095" s="773"/>
      <c r="GO1095" s="773"/>
      <c r="GP1095" s="773"/>
      <c r="GQ1095" s="773"/>
      <c r="GR1095" s="773"/>
      <c r="GS1095" s="773"/>
      <c r="GT1095" s="773"/>
      <c r="GU1095" s="773"/>
      <c r="GV1095" s="773"/>
      <c r="GW1095" s="773"/>
      <c r="GX1095" s="773"/>
      <c r="GY1095" s="773"/>
      <c r="GZ1095" s="773"/>
    </row>
    <row r="1096" spans="1:208" s="11" customFormat="1">
      <c r="A1096" s="917"/>
      <c r="B1096" s="918"/>
      <c r="C1096" s="767"/>
      <c r="D1096" s="173"/>
      <c r="E1096" s="769"/>
      <c r="F1096" s="769"/>
      <c r="G1096" s="769"/>
      <c r="H1096" s="769"/>
      <c r="I1096" s="769"/>
      <c r="J1096" s="769"/>
      <c r="K1096" s="209"/>
      <c r="M1096" s="771"/>
      <c r="N1096" s="773"/>
      <c r="O1096" s="773"/>
      <c r="P1096" s="772"/>
      <c r="Q1096" s="772"/>
      <c r="R1096" s="772"/>
      <c r="S1096" s="772"/>
      <c r="T1096" s="773"/>
      <c r="W1096" s="773"/>
      <c r="X1096" s="773"/>
      <c r="Y1096" s="773"/>
      <c r="Z1096" s="773"/>
      <c r="AA1096" s="773"/>
      <c r="AB1096" s="773"/>
      <c r="AC1096" s="773"/>
      <c r="AD1096" s="773"/>
      <c r="AE1096" s="773"/>
      <c r="AF1096" s="773"/>
      <c r="AG1096" s="773"/>
      <c r="AH1096" s="773"/>
      <c r="AI1096" s="773"/>
      <c r="AJ1096" s="773"/>
      <c r="AK1096" s="773"/>
      <c r="AL1096" s="773"/>
      <c r="AM1096" s="773"/>
      <c r="AN1096" s="773"/>
      <c r="AO1096" s="773"/>
      <c r="AP1096" s="773"/>
      <c r="AQ1096" s="773"/>
      <c r="AR1096" s="773"/>
      <c r="AS1096" s="773"/>
      <c r="AT1096" s="773"/>
      <c r="AU1096" s="773"/>
      <c r="AV1096" s="773"/>
      <c r="AW1096" s="2510"/>
      <c r="BC1096" s="2510"/>
      <c r="BD1096" s="2510"/>
      <c r="BE1096" s="2173"/>
      <c r="BF1096" s="2173"/>
      <c r="BG1096" s="2173"/>
      <c r="BH1096" s="2173"/>
      <c r="BI1096" s="2173"/>
      <c r="BJ1096" s="2173"/>
      <c r="BK1096" s="2173"/>
      <c r="DB1096" s="773"/>
      <c r="DC1096" s="773"/>
      <c r="DD1096" s="773"/>
      <c r="DE1096" s="773"/>
      <c r="DF1096" s="773"/>
      <c r="DG1096" s="773"/>
      <c r="DH1096" s="773"/>
      <c r="DI1096" s="773"/>
      <c r="DJ1096" s="773"/>
      <c r="DK1096" s="773"/>
      <c r="DL1096" s="773"/>
      <c r="DM1096" s="773"/>
      <c r="DN1096" s="773"/>
      <c r="DO1096" s="773"/>
      <c r="DP1096" s="773"/>
      <c r="DQ1096" s="773"/>
      <c r="DR1096" s="773"/>
      <c r="DS1096" s="773"/>
      <c r="DT1096" s="773"/>
      <c r="DU1096" s="773"/>
      <c r="DV1096" s="773"/>
      <c r="DW1096" s="773"/>
      <c r="DX1096" s="773"/>
      <c r="DY1096" s="773"/>
      <c r="DZ1096" s="773"/>
      <c r="EA1096" s="773"/>
      <c r="EB1096" s="773"/>
      <c r="EC1096" s="773"/>
      <c r="ED1096" s="773"/>
      <c r="EE1096" s="773"/>
      <c r="EF1096" s="773"/>
      <c r="EG1096" s="773"/>
      <c r="EH1096" s="773"/>
      <c r="EI1096" s="773"/>
      <c r="EJ1096" s="773"/>
      <c r="EK1096" s="773"/>
      <c r="EL1096" s="773"/>
      <c r="EM1096" s="773"/>
      <c r="EN1096" s="773"/>
      <c r="EO1096" s="773"/>
      <c r="EP1096" s="773"/>
      <c r="EQ1096" s="773"/>
      <c r="ER1096" s="773"/>
      <c r="ES1096" s="773"/>
      <c r="ET1096" s="773"/>
      <c r="EU1096" s="773"/>
      <c r="EV1096" s="773"/>
      <c r="EW1096" s="773"/>
      <c r="EX1096" s="773"/>
      <c r="EY1096" s="773"/>
      <c r="EZ1096" s="773"/>
      <c r="FA1096" s="773"/>
      <c r="FB1096" s="773"/>
      <c r="FC1096" s="773"/>
      <c r="FD1096" s="773"/>
      <c r="FE1096" s="773"/>
      <c r="FF1096" s="773"/>
      <c r="FG1096" s="773"/>
      <c r="FH1096" s="773"/>
      <c r="FI1096" s="773"/>
      <c r="FJ1096" s="773"/>
      <c r="FK1096" s="773"/>
      <c r="FL1096" s="773"/>
      <c r="FM1096" s="773"/>
      <c r="FN1096" s="773"/>
      <c r="FO1096" s="773"/>
      <c r="FP1096" s="773"/>
      <c r="FQ1096" s="773"/>
      <c r="FR1096" s="773"/>
      <c r="FS1096" s="773"/>
      <c r="FT1096" s="773"/>
      <c r="FU1096" s="773"/>
      <c r="FV1096" s="773"/>
      <c r="FW1096" s="773"/>
      <c r="FX1096" s="773"/>
      <c r="FY1096" s="773"/>
      <c r="FZ1096" s="773"/>
      <c r="GA1096" s="773"/>
      <c r="GB1096" s="773"/>
      <c r="GC1096" s="773"/>
      <c r="GD1096" s="773"/>
      <c r="GE1096" s="773"/>
      <c r="GF1096" s="773"/>
      <c r="GG1096" s="773"/>
      <c r="GH1096" s="773"/>
      <c r="GI1096" s="773"/>
      <c r="GJ1096" s="773"/>
      <c r="GK1096" s="773"/>
      <c r="GL1096" s="773"/>
      <c r="GM1096" s="773"/>
      <c r="GN1096" s="773"/>
      <c r="GO1096" s="773"/>
      <c r="GP1096" s="773"/>
      <c r="GQ1096" s="773"/>
      <c r="GR1096" s="773"/>
      <c r="GS1096" s="773"/>
      <c r="GT1096" s="773"/>
      <c r="GU1096" s="773"/>
      <c r="GV1096" s="773"/>
      <c r="GW1096" s="773"/>
      <c r="GX1096" s="773"/>
      <c r="GY1096" s="773"/>
      <c r="GZ1096" s="773"/>
    </row>
    <row r="1097" spans="1:208" s="11" customFormat="1">
      <c r="A1097" s="917"/>
      <c r="B1097" s="918"/>
      <c r="C1097" s="767"/>
      <c r="D1097" s="173"/>
      <c r="E1097" s="769"/>
      <c r="F1097" s="769"/>
      <c r="G1097" s="769"/>
      <c r="H1097" s="769"/>
      <c r="I1097" s="769"/>
      <c r="J1097" s="769"/>
      <c r="K1097" s="209"/>
      <c r="M1097" s="771"/>
      <c r="N1097" s="773"/>
      <c r="O1097" s="773"/>
      <c r="P1097" s="772"/>
      <c r="Q1097" s="772"/>
      <c r="R1097" s="772"/>
      <c r="S1097" s="772"/>
      <c r="T1097" s="773"/>
      <c r="W1097" s="773"/>
      <c r="X1097" s="773"/>
      <c r="Y1097" s="773"/>
      <c r="Z1097" s="773"/>
      <c r="AA1097" s="773"/>
      <c r="AB1097" s="773"/>
      <c r="AC1097" s="773"/>
      <c r="AD1097" s="773"/>
      <c r="AE1097" s="773"/>
      <c r="AF1097" s="773"/>
      <c r="AG1097" s="773"/>
      <c r="AH1097" s="773"/>
      <c r="AI1097" s="773"/>
      <c r="AJ1097" s="773"/>
      <c r="AK1097" s="773"/>
      <c r="AL1097" s="773"/>
      <c r="AM1097" s="773"/>
      <c r="AN1097" s="773"/>
      <c r="AO1097" s="773"/>
      <c r="AP1097" s="773"/>
      <c r="AQ1097" s="773"/>
      <c r="AR1097" s="773"/>
      <c r="AS1097" s="773"/>
      <c r="AT1097" s="773"/>
      <c r="AU1097" s="773"/>
      <c r="AV1097" s="773"/>
      <c r="AW1097" s="2510"/>
      <c r="BC1097" s="2510"/>
      <c r="BD1097" s="2510"/>
      <c r="BE1097" s="2173"/>
      <c r="BF1097" s="2173"/>
      <c r="BG1097" s="2173"/>
      <c r="BH1097" s="2173"/>
      <c r="BI1097" s="2173"/>
      <c r="BJ1097" s="2173"/>
      <c r="BK1097" s="2173"/>
      <c r="DB1097" s="773"/>
      <c r="DC1097" s="773"/>
      <c r="DD1097" s="773"/>
      <c r="DE1097" s="773"/>
      <c r="DF1097" s="773"/>
      <c r="DG1097" s="773"/>
      <c r="DH1097" s="773"/>
      <c r="DI1097" s="773"/>
      <c r="DJ1097" s="773"/>
      <c r="DK1097" s="773"/>
      <c r="DL1097" s="773"/>
      <c r="DM1097" s="773"/>
      <c r="DN1097" s="773"/>
      <c r="DO1097" s="773"/>
      <c r="DP1097" s="773"/>
      <c r="DQ1097" s="773"/>
      <c r="DR1097" s="773"/>
      <c r="DS1097" s="773"/>
      <c r="DT1097" s="773"/>
      <c r="DU1097" s="773"/>
      <c r="DV1097" s="773"/>
      <c r="DW1097" s="773"/>
      <c r="DX1097" s="773"/>
      <c r="DY1097" s="773"/>
      <c r="DZ1097" s="773"/>
      <c r="EA1097" s="773"/>
      <c r="EB1097" s="773"/>
      <c r="EC1097" s="773"/>
      <c r="ED1097" s="773"/>
      <c r="EE1097" s="773"/>
      <c r="EF1097" s="773"/>
      <c r="EG1097" s="773"/>
      <c r="EH1097" s="773"/>
      <c r="EI1097" s="773"/>
      <c r="EJ1097" s="773"/>
      <c r="EK1097" s="773"/>
      <c r="EL1097" s="773"/>
      <c r="EM1097" s="773"/>
      <c r="EN1097" s="773"/>
      <c r="EO1097" s="773"/>
      <c r="EP1097" s="773"/>
      <c r="EQ1097" s="773"/>
      <c r="ER1097" s="773"/>
      <c r="ES1097" s="773"/>
      <c r="ET1097" s="773"/>
      <c r="EU1097" s="773"/>
      <c r="EV1097" s="773"/>
      <c r="EW1097" s="773"/>
      <c r="EX1097" s="773"/>
      <c r="EY1097" s="773"/>
      <c r="EZ1097" s="773"/>
      <c r="FA1097" s="773"/>
      <c r="FB1097" s="773"/>
      <c r="FC1097" s="773"/>
      <c r="FD1097" s="773"/>
      <c r="FE1097" s="773"/>
      <c r="FF1097" s="773"/>
      <c r="FG1097" s="773"/>
      <c r="FH1097" s="773"/>
      <c r="FI1097" s="773"/>
      <c r="FJ1097" s="773"/>
      <c r="FK1097" s="773"/>
      <c r="FL1097" s="773"/>
      <c r="FM1097" s="773"/>
      <c r="FN1097" s="773"/>
      <c r="FO1097" s="773"/>
      <c r="FP1097" s="773"/>
      <c r="FQ1097" s="773"/>
      <c r="FR1097" s="773"/>
      <c r="FS1097" s="773"/>
      <c r="FT1097" s="773"/>
      <c r="FU1097" s="773"/>
      <c r="FV1097" s="773"/>
      <c r="FW1097" s="773"/>
      <c r="FX1097" s="773"/>
      <c r="FY1097" s="773"/>
      <c r="FZ1097" s="773"/>
      <c r="GA1097" s="773"/>
      <c r="GB1097" s="773"/>
      <c r="GC1097" s="773"/>
      <c r="GD1097" s="773"/>
      <c r="GE1097" s="773"/>
      <c r="GF1097" s="773"/>
      <c r="GG1097" s="773"/>
      <c r="GH1097" s="773"/>
      <c r="GI1097" s="773"/>
      <c r="GJ1097" s="773"/>
      <c r="GK1097" s="773"/>
      <c r="GL1097" s="773"/>
      <c r="GM1097" s="773"/>
      <c r="GN1097" s="773"/>
      <c r="GO1097" s="773"/>
      <c r="GP1097" s="773"/>
      <c r="GQ1097" s="773"/>
      <c r="GR1097" s="773"/>
      <c r="GS1097" s="773"/>
      <c r="GT1097" s="773"/>
      <c r="GU1097" s="773"/>
      <c r="GV1097" s="773"/>
      <c r="GW1097" s="773"/>
      <c r="GX1097" s="773"/>
      <c r="GY1097" s="773"/>
      <c r="GZ1097" s="773"/>
    </row>
    <row r="1098" spans="1:208" s="11" customFormat="1">
      <c r="A1098" s="917"/>
      <c r="B1098" s="918"/>
      <c r="C1098" s="767"/>
      <c r="D1098" s="173"/>
      <c r="E1098" s="769"/>
      <c r="F1098" s="769"/>
      <c r="G1098" s="769"/>
      <c r="H1098" s="769"/>
      <c r="I1098" s="769"/>
      <c r="J1098" s="769"/>
      <c r="K1098" s="209"/>
      <c r="M1098" s="771"/>
      <c r="N1098" s="773"/>
      <c r="O1098" s="773"/>
      <c r="P1098" s="772"/>
      <c r="Q1098" s="772"/>
      <c r="R1098" s="772"/>
      <c r="S1098" s="772"/>
      <c r="T1098" s="773"/>
      <c r="W1098" s="773"/>
      <c r="X1098" s="773"/>
      <c r="Y1098" s="773"/>
      <c r="Z1098" s="773"/>
      <c r="AA1098" s="773"/>
      <c r="AB1098" s="773"/>
      <c r="AC1098" s="773"/>
      <c r="AD1098" s="773"/>
      <c r="AE1098" s="773"/>
      <c r="AF1098" s="773"/>
      <c r="AG1098" s="773"/>
      <c r="AH1098" s="773"/>
      <c r="AI1098" s="773"/>
      <c r="AJ1098" s="773"/>
      <c r="AK1098" s="773"/>
      <c r="AL1098" s="773"/>
      <c r="AM1098" s="773"/>
      <c r="AN1098" s="773"/>
      <c r="AO1098" s="773"/>
      <c r="AP1098" s="773"/>
      <c r="AQ1098" s="773"/>
      <c r="AR1098" s="773"/>
      <c r="AS1098" s="773"/>
      <c r="AT1098" s="773"/>
      <c r="AU1098" s="773"/>
      <c r="AV1098" s="773"/>
      <c r="AW1098" s="2510"/>
      <c r="BC1098" s="2510"/>
      <c r="BD1098" s="2510"/>
      <c r="BE1098" s="2173"/>
      <c r="BF1098" s="2173"/>
      <c r="BG1098" s="2173"/>
      <c r="BH1098" s="2173"/>
      <c r="BI1098" s="2173"/>
      <c r="BJ1098" s="2173"/>
      <c r="BK1098" s="2173"/>
      <c r="DB1098" s="773"/>
      <c r="DC1098" s="773"/>
      <c r="DD1098" s="773"/>
      <c r="DE1098" s="773"/>
      <c r="DF1098" s="773"/>
      <c r="DG1098" s="773"/>
      <c r="DH1098" s="773"/>
      <c r="DI1098" s="773"/>
      <c r="DJ1098" s="773"/>
      <c r="DK1098" s="773"/>
      <c r="DL1098" s="773"/>
      <c r="DM1098" s="773"/>
      <c r="DN1098" s="773"/>
      <c r="DO1098" s="773"/>
      <c r="DP1098" s="773"/>
      <c r="DQ1098" s="773"/>
      <c r="DR1098" s="773"/>
      <c r="DS1098" s="773"/>
      <c r="DT1098" s="773"/>
      <c r="DU1098" s="773"/>
      <c r="DV1098" s="773"/>
      <c r="DW1098" s="773"/>
      <c r="DX1098" s="773"/>
      <c r="DY1098" s="773"/>
      <c r="DZ1098" s="773"/>
      <c r="EA1098" s="773"/>
      <c r="EB1098" s="773"/>
      <c r="EC1098" s="773"/>
      <c r="ED1098" s="773"/>
      <c r="EE1098" s="773"/>
      <c r="EF1098" s="773"/>
      <c r="EG1098" s="773"/>
      <c r="EH1098" s="773"/>
      <c r="EI1098" s="773"/>
      <c r="EJ1098" s="773"/>
      <c r="EK1098" s="773"/>
      <c r="EL1098" s="773"/>
      <c r="EM1098" s="773"/>
      <c r="EN1098" s="773"/>
      <c r="EO1098" s="773"/>
      <c r="EP1098" s="773"/>
      <c r="EQ1098" s="773"/>
      <c r="ER1098" s="773"/>
      <c r="ES1098" s="773"/>
      <c r="ET1098" s="773"/>
      <c r="EU1098" s="773"/>
      <c r="EV1098" s="773"/>
      <c r="EW1098" s="773"/>
      <c r="EX1098" s="773"/>
      <c r="EY1098" s="773"/>
      <c r="EZ1098" s="773"/>
      <c r="FA1098" s="773"/>
      <c r="FB1098" s="773"/>
      <c r="FC1098" s="773"/>
      <c r="FD1098" s="773"/>
      <c r="FE1098" s="773"/>
      <c r="FF1098" s="773"/>
      <c r="FG1098" s="773"/>
      <c r="FH1098" s="773"/>
      <c r="FI1098" s="773"/>
      <c r="FJ1098" s="773"/>
      <c r="FK1098" s="773"/>
      <c r="FL1098" s="773"/>
      <c r="FM1098" s="773"/>
      <c r="FN1098" s="773"/>
      <c r="FO1098" s="773"/>
      <c r="FP1098" s="773"/>
      <c r="FQ1098" s="773"/>
      <c r="FR1098" s="773"/>
      <c r="FS1098" s="773"/>
      <c r="FT1098" s="773"/>
      <c r="FU1098" s="773"/>
      <c r="FV1098" s="773"/>
      <c r="FW1098" s="773"/>
      <c r="FX1098" s="773"/>
      <c r="FY1098" s="773"/>
      <c r="FZ1098" s="773"/>
      <c r="GA1098" s="773"/>
      <c r="GB1098" s="773"/>
      <c r="GC1098" s="773"/>
      <c r="GD1098" s="773"/>
      <c r="GE1098" s="773"/>
      <c r="GF1098" s="773"/>
      <c r="GG1098" s="773"/>
      <c r="GH1098" s="773"/>
      <c r="GI1098" s="773"/>
      <c r="GJ1098" s="773"/>
      <c r="GK1098" s="773"/>
      <c r="GL1098" s="773"/>
      <c r="GM1098" s="773"/>
      <c r="GN1098" s="773"/>
      <c r="GO1098" s="773"/>
      <c r="GP1098" s="773"/>
      <c r="GQ1098" s="773"/>
      <c r="GR1098" s="773"/>
      <c r="GS1098" s="773"/>
      <c r="GT1098" s="773"/>
      <c r="GU1098" s="773"/>
      <c r="GV1098" s="773"/>
      <c r="GW1098" s="773"/>
      <c r="GX1098" s="773"/>
      <c r="GY1098" s="773"/>
      <c r="GZ1098" s="773"/>
    </row>
    <row r="1099" spans="1:208" s="11" customFormat="1">
      <c r="A1099" s="917"/>
      <c r="B1099" s="918"/>
      <c r="C1099" s="767"/>
      <c r="D1099" s="173"/>
      <c r="E1099" s="769"/>
      <c r="F1099" s="769"/>
      <c r="G1099" s="769"/>
      <c r="H1099" s="769"/>
      <c r="I1099" s="769"/>
      <c r="J1099" s="769"/>
      <c r="K1099" s="209"/>
      <c r="M1099" s="771"/>
      <c r="N1099" s="773"/>
      <c r="O1099" s="773"/>
      <c r="P1099" s="772"/>
      <c r="Q1099" s="772"/>
      <c r="R1099" s="772"/>
      <c r="S1099" s="772"/>
      <c r="T1099" s="773"/>
      <c r="W1099" s="773"/>
      <c r="X1099" s="773"/>
      <c r="Y1099" s="773"/>
      <c r="Z1099" s="773"/>
      <c r="AA1099" s="773"/>
      <c r="AB1099" s="773"/>
      <c r="AC1099" s="773"/>
      <c r="AD1099" s="773"/>
      <c r="AE1099" s="773"/>
      <c r="AF1099" s="773"/>
      <c r="AG1099" s="773"/>
      <c r="AH1099" s="773"/>
      <c r="AI1099" s="773"/>
      <c r="AJ1099" s="773"/>
      <c r="AK1099" s="773"/>
      <c r="AL1099" s="773"/>
      <c r="AM1099" s="773"/>
      <c r="AN1099" s="773"/>
      <c r="AO1099" s="773"/>
      <c r="AP1099" s="773"/>
      <c r="AQ1099" s="773"/>
      <c r="AR1099" s="773"/>
      <c r="AS1099" s="773"/>
      <c r="AT1099" s="773"/>
      <c r="AU1099" s="773"/>
      <c r="AV1099" s="773"/>
      <c r="AW1099" s="2510"/>
      <c r="BC1099" s="2510"/>
      <c r="BD1099" s="2510"/>
      <c r="BE1099" s="2173"/>
      <c r="BF1099" s="2173"/>
      <c r="BG1099" s="2173"/>
      <c r="BH1099" s="2173"/>
      <c r="BI1099" s="2173"/>
      <c r="BJ1099" s="2173"/>
      <c r="BK1099" s="2173"/>
      <c r="DB1099" s="773"/>
      <c r="DC1099" s="773"/>
      <c r="DD1099" s="773"/>
      <c r="DE1099" s="773"/>
      <c r="DF1099" s="773"/>
      <c r="DG1099" s="773"/>
      <c r="DH1099" s="773"/>
      <c r="DI1099" s="773"/>
      <c r="DJ1099" s="773"/>
      <c r="DK1099" s="773"/>
      <c r="DL1099" s="773"/>
      <c r="DM1099" s="773"/>
      <c r="DN1099" s="773"/>
      <c r="DO1099" s="773"/>
      <c r="DP1099" s="773"/>
      <c r="DQ1099" s="773"/>
      <c r="DR1099" s="773"/>
      <c r="DS1099" s="773"/>
      <c r="DT1099" s="773"/>
      <c r="DU1099" s="773"/>
      <c r="DV1099" s="773"/>
      <c r="DW1099" s="773"/>
      <c r="DX1099" s="773"/>
      <c r="DY1099" s="773"/>
      <c r="DZ1099" s="773"/>
      <c r="EA1099" s="773"/>
      <c r="EB1099" s="773"/>
      <c r="EC1099" s="773"/>
      <c r="ED1099" s="773"/>
      <c r="EE1099" s="773"/>
      <c r="EF1099" s="773"/>
      <c r="EG1099" s="773"/>
      <c r="EH1099" s="773"/>
      <c r="EI1099" s="773"/>
      <c r="EJ1099" s="773"/>
      <c r="EK1099" s="773"/>
      <c r="EL1099" s="773"/>
      <c r="EM1099" s="773"/>
      <c r="EN1099" s="773"/>
      <c r="EO1099" s="773"/>
      <c r="EP1099" s="773"/>
      <c r="EQ1099" s="773"/>
      <c r="ER1099" s="773"/>
      <c r="ES1099" s="773"/>
      <c r="ET1099" s="773"/>
      <c r="EU1099" s="773"/>
      <c r="EV1099" s="773"/>
      <c r="EW1099" s="773"/>
      <c r="EX1099" s="773"/>
      <c r="EY1099" s="773"/>
      <c r="EZ1099" s="773"/>
      <c r="FA1099" s="773"/>
      <c r="FB1099" s="773"/>
      <c r="FC1099" s="773"/>
      <c r="FD1099" s="773"/>
      <c r="FE1099" s="773"/>
      <c r="FF1099" s="773"/>
      <c r="FG1099" s="773"/>
      <c r="FH1099" s="773"/>
      <c r="FI1099" s="773"/>
      <c r="FJ1099" s="773"/>
      <c r="FK1099" s="773"/>
      <c r="FL1099" s="773"/>
      <c r="FM1099" s="773"/>
      <c r="FN1099" s="773"/>
      <c r="FO1099" s="773"/>
      <c r="FP1099" s="773"/>
      <c r="FQ1099" s="773"/>
      <c r="FR1099" s="773"/>
      <c r="FS1099" s="773"/>
      <c r="FT1099" s="773"/>
      <c r="FU1099" s="773"/>
      <c r="FV1099" s="773"/>
      <c r="FW1099" s="773"/>
      <c r="FX1099" s="773"/>
      <c r="FY1099" s="773"/>
      <c r="FZ1099" s="773"/>
      <c r="GA1099" s="773"/>
      <c r="GB1099" s="773"/>
      <c r="GC1099" s="773"/>
      <c r="GD1099" s="773"/>
      <c r="GE1099" s="773"/>
      <c r="GF1099" s="773"/>
      <c r="GG1099" s="773"/>
      <c r="GH1099" s="773"/>
      <c r="GI1099" s="773"/>
      <c r="GJ1099" s="773"/>
      <c r="GK1099" s="773"/>
      <c r="GL1099" s="773"/>
      <c r="GM1099" s="773"/>
      <c r="GN1099" s="773"/>
      <c r="GO1099" s="773"/>
      <c r="GP1099" s="773"/>
      <c r="GQ1099" s="773"/>
      <c r="GR1099" s="773"/>
      <c r="GS1099" s="773"/>
      <c r="GT1099" s="773"/>
      <c r="GU1099" s="773"/>
      <c r="GV1099" s="773"/>
      <c r="GW1099" s="773"/>
      <c r="GX1099" s="773"/>
      <c r="GY1099" s="773"/>
      <c r="GZ1099" s="773"/>
    </row>
    <row r="1100" spans="1:208" s="11" customFormat="1">
      <c r="A1100" s="917"/>
      <c r="B1100" s="918"/>
      <c r="C1100" s="767"/>
      <c r="D1100" s="173"/>
      <c r="E1100" s="769"/>
      <c r="F1100" s="769"/>
      <c r="G1100" s="769"/>
      <c r="H1100" s="769"/>
      <c r="I1100" s="769"/>
      <c r="J1100" s="769"/>
      <c r="K1100" s="209"/>
      <c r="M1100" s="771"/>
      <c r="N1100" s="773"/>
      <c r="O1100" s="773"/>
      <c r="P1100" s="772"/>
      <c r="Q1100" s="772"/>
      <c r="R1100" s="772"/>
      <c r="S1100" s="772"/>
      <c r="T1100" s="773"/>
      <c r="W1100" s="773"/>
      <c r="X1100" s="773"/>
      <c r="Y1100" s="773"/>
      <c r="Z1100" s="773"/>
      <c r="AA1100" s="773"/>
      <c r="AB1100" s="773"/>
      <c r="AC1100" s="773"/>
      <c r="AD1100" s="773"/>
      <c r="AE1100" s="773"/>
      <c r="AF1100" s="773"/>
      <c r="AG1100" s="773"/>
      <c r="AH1100" s="773"/>
      <c r="AI1100" s="773"/>
      <c r="AJ1100" s="773"/>
      <c r="AK1100" s="773"/>
      <c r="AL1100" s="773"/>
      <c r="AM1100" s="773"/>
      <c r="AN1100" s="773"/>
      <c r="AO1100" s="773"/>
      <c r="AP1100" s="773"/>
      <c r="AQ1100" s="773"/>
      <c r="AR1100" s="773"/>
      <c r="AS1100" s="773"/>
      <c r="AT1100" s="773"/>
      <c r="AU1100" s="773"/>
      <c r="AV1100" s="773"/>
      <c r="AW1100" s="2510"/>
      <c r="BC1100" s="2510"/>
      <c r="BD1100" s="2510"/>
      <c r="BE1100" s="2173"/>
      <c r="BF1100" s="2173"/>
      <c r="BG1100" s="2173"/>
      <c r="BH1100" s="2173"/>
      <c r="BI1100" s="2173"/>
      <c r="BJ1100" s="2173"/>
      <c r="BK1100" s="2173"/>
      <c r="DB1100" s="773"/>
      <c r="DC1100" s="773"/>
      <c r="DD1100" s="773"/>
      <c r="DE1100" s="773"/>
      <c r="DF1100" s="773"/>
      <c r="DG1100" s="773"/>
      <c r="DH1100" s="773"/>
      <c r="DI1100" s="773"/>
      <c r="DJ1100" s="773"/>
      <c r="DK1100" s="773"/>
      <c r="DL1100" s="773"/>
      <c r="DM1100" s="773"/>
      <c r="DN1100" s="773"/>
      <c r="DO1100" s="773"/>
      <c r="DP1100" s="773"/>
      <c r="DQ1100" s="773"/>
      <c r="DR1100" s="773"/>
      <c r="DS1100" s="773"/>
      <c r="DT1100" s="773"/>
      <c r="DU1100" s="773"/>
      <c r="DV1100" s="773"/>
      <c r="DW1100" s="773"/>
      <c r="DX1100" s="773"/>
      <c r="DY1100" s="773"/>
      <c r="DZ1100" s="773"/>
      <c r="EA1100" s="773"/>
      <c r="EB1100" s="773"/>
      <c r="EC1100" s="773"/>
      <c r="ED1100" s="773"/>
      <c r="EE1100" s="773"/>
      <c r="EF1100" s="773"/>
      <c r="EG1100" s="773"/>
      <c r="EH1100" s="773"/>
      <c r="EI1100" s="773"/>
      <c r="EJ1100" s="773"/>
      <c r="EK1100" s="773"/>
      <c r="EL1100" s="773"/>
      <c r="EM1100" s="773"/>
      <c r="EN1100" s="773"/>
      <c r="EO1100" s="773"/>
      <c r="EP1100" s="773"/>
      <c r="EQ1100" s="773"/>
      <c r="ER1100" s="773"/>
      <c r="ES1100" s="773"/>
      <c r="ET1100" s="773"/>
      <c r="EU1100" s="773"/>
      <c r="EV1100" s="773"/>
      <c r="EW1100" s="773"/>
      <c r="EX1100" s="773"/>
      <c r="EY1100" s="773"/>
      <c r="EZ1100" s="773"/>
      <c r="FA1100" s="773"/>
      <c r="FB1100" s="773"/>
      <c r="FC1100" s="773"/>
      <c r="FD1100" s="773"/>
      <c r="FE1100" s="773"/>
      <c r="FF1100" s="773"/>
      <c r="FG1100" s="773"/>
      <c r="FH1100" s="773"/>
      <c r="FI1100" s="773"/>
      <c r="FJ1100" s="773"/>
      <c r="FK1100" s="773"/>
      <c r="FL1100" s="773"/>
      <c r="FM1100" s="773"/>
      <c r="FN1100" s="773"/>
      <c r="FO1100" s="773"/>
      <c r="FP1100" s="773"/>
      <c r="FQ1100" s="773"/>
      <c r="FR1100" s="773"/>
      <c r="FS1100" s="773"/>
      <c r="FT1100" s="773"/>
      <c r="FU1100" s="773"/>
      <c r="FV1100" s="773"/>
      <c r="FW1100" s="773"/>
      <c r="FX1100" s="773"/>
      <c r="FY1100" s="773"/>
      <c r="FZ1100" s="773"/>
      <c r="GA1100" s="773"/>
      <c r="GB1100" s="773"/>
      <c r="GC1100" s="773"/>
      <c r="GD1100" s="773"/>
      <c r="GE1100" s="773"/>
      <c r="GF1100" s="773"/>
      <c r="GG1100" s="773"/>
      <c r="GH1100" s="773"/>
      <c r="GI1100" s="773"/>
      <c r="GJ1100" s="773"/>
      <c r="GK1100" s="773"/>
      <c r="GL1100" s="773"/>
      <c r="GM1100" s="773"/>
      <c r="GN1100" s="773"/>
      <c r="GO1100" s="773"/>
      <c r="GP1100" s="773"/>
      <c r="GQ1100" s="773"/>
      <c r="GR1100" s="773"/>
      <c r="GS1100" s="773"/>
      <c r="GT1100" s="773"/>
      <c r="GU1100" s="773"/>
      <c r="GV1100" s="773"/>
      <c r="GW1100" s="773"/>
      <c r="GX1100" s="773"/>
      <c r="GY1100" s="773"/>
      <c r="GZ1100" s="773"/>
    </row>
    <row r="1101" spans="1:208" s="11" customFormat="1">
      <c r="A1101" s="917"/>
      <c r="B1101" s="918"/>
      <c r="C1101" s="767"/>
      <c r="D1101" s="173"/>
      <c r="E1101" s="769"/>
      <c r="F1101" s="769"/>
      <c r="G1101" s="769"/>
      <c r="H1101" s="769"/>
      <c r="I1101" s="769"/>
      <c r="J1101" s="769"/>
      <c r="K1101" s="209"/>
      <c r="M1101" s="771"/>
      <c r="N1101" s="773"/>
      <c r="O1101" s="773"/>
      <c r="P1101" s="772"/>
      <c r="Q1101" s="772"/>
      <c r="R1101" s="772"/>
      <c r="S1101" s="772"/>
      <c r="T1101" s="773"/>
      <c r="W1101" s="773"/>
      <c r="X1101" s="773"/>
      <c r="Y1101" s="773"/>
      <c r="Z1101" s="773"/>
      <c r="AA1101" s="773"/>
      <c r="AB1101" s="773"/>
      <c r="AC1101" s="773"/>
      <c r="AD1101" s="773"/>
      <c r="AE1101" s="773"/>
      <c r="AF1101" s="773"/>
      <c r="AG1101" s="773"/>
      <c r="AH1101" s="773"/>
      <c r="AI1101" s="773"/>
      <c r="AJ1101" s="773"/>
      <c r="AK1101" s="773"/>
      <c r="AL1101" s="773"/>
      <c r="AM1101" s="773"/>
      <c r="AN1101" s="773"/>
      <c r="AO1101" s="773"/>
      <c r="AP1101" s="773"/>
      <c r="AQ1101" s="773"/>
      <c r="AR1101" s="773"/>
      <c r="AS1101" s="773"/>
      <c r="AT1101" s="773"/>
      <c r="AU1101" s="773"/>
      <c r="AV1101" s="773"/>
      <c r="AW1101" s="2510"/>
      <c r="BC1101" s="2510"/>
      <c r="BD1101" s="2510"/>
      <c r="BE1101" s="2173"/>
      <c r="BF1101" s="2173"/>
      <c r="BG1101" s="2173"/>
      <c r="BH1101" s="2173"/>
      <c r="BI1101" s="2173"/>
      <c r="BJ1101" s="2173"/>
      <c r="BK1101" s="2173"/>
      <c r="DB1101" s="773"/>
      <c r="DC1101" s="773"/>
      <c r="DD1101" s="773"/>
      <c r="DE1101" s="773"/>
      <c r="DF1101" s="773"/>
      <c r="DG1101" s="773"/>
      <c r="DH1101" s="773"/>
      <c r="DI1101" s="773"/>
      <c r="DJ1101" s="773"/>
      <c r="DK1101" s="773"/>
      <c r="DL1101" s="773"/>
      <c r="DM1101" s="773"/>
      <c r="DN1101" s="773"/>
      <c r="DO1101" s="773"/>
      <c r="DP1101" s="773"/>
      <c r="DQ1101" s="773"/>
      <c r="DR1101" s="773"/>
      <c r="DS1101" s="773"/>
      <c r="DT1101" s="773"/>
      <c r="DU1101" s="773"/>
      <c r="DV1101" s="773"/>
      <c r="DW1101" s="773"/>
      <c r="DX1101" s="773"/>
      <c r="DY1101" s="773"/>
      <c r="DZ1101" s="773"/>
      <c r="EA1101" s="773"/>
      <c r="EB1101" s="773"/>
      <c r="EC1101" s="773"/>
      <c r="ED1101" s="773"/>
      <c r="EE1101" s="773"/>
      <c r="EF1101" s="773"/>
      <c r="EG1101" s="773"/>
      <c r="EH1101" s="773"/>
      <c r="EI1101" s="773"/>
      <c r="EJ1101" s="773"/>
      <c r="EK1101" s="773"/>
      <c r="EL1101" s="773"/>
      <c r="EM1101" s="773"/>
      <c r="EN1101" s="773"/>
      <c r="EO1101" s="773"/>
      <c r="EP1101" s="773"/>
      <c r="EQ1101" s="773"/>
      <c r="ER1101" s="773"/>
      <c r="ES1101" s="773"/>
      <c r="ET1101" s="773"/>
      <c r="EU1101" s="773"/>
      <c r="EV1101" s="773"/>
      <c r="EW1101" s="773"/>
      <c r="EX1101" s="773"/>
      <c r="EY1101" s="773"/>
      <c r="EZ1101" s="773"/>
      <c r="FA1101" s="773"/>
      <c r="FB1101" s="773"/>
      <c r="FC1101" s="773"/>
      <c r="FD1101" s="773"/>
      <c r="FE1101" s="773"/>
      <c r="FF1101" s="773"/>
      <c r="FG1101" s="773"/>
      <c r="FH1101" s="773"/>
      <c r="FI1101" s="773"/>
      <c r="FJ1101" s="773"/>
      <c r="FK1101" s="773"/>
      <c r="FL1101" s="773"/>
      <c r="FM1101" s="773"/>
      <c r="FN1101" s="773"/>
      <c r="FO1101" s="773"/>
      <c r="FP1101" s="773"/>
      <c r="FQ1101" s="773"/>
      <c r="FR1101" s="773"/>
      <c r="FS1101" s="773"/>
      <c r="FT1101" s="773"/>
      <c r="FU1101" s="773"/>
      <c r="FV1101" s="773"/>
      <c r="FW1101" s="773"/>
      <c r="FX1101" s="773"/>
      <c r="FY1101" s="773"/>
      <c r="FZ1101" s="773"/>
      <c r="GA1101" s="773"/>
      <c r="GB1101" s="773"/>
      <c r="GC1101" s="773"/>
      <c r="GD1101" s="773"/>
      <c r="GE1101" s="773"/>
      <c r="GF1101" s="773"/>
      <c r="GG1101" s="773"/>
      <c r="GH1101" s="773"/>
      <c r="GI1101" s="773"/>
      <c r="GJ1101" s="773"/>
      <c r="GK1101" s="773"/>
      <c r="GL1101" s="773"/>
      <c r="GM1101" s="773"/>
      <c r="GN1101" s="773"/>
      <c r="GO1101" s="773"/>
      <c r="GP1101" s="773"/>
      <c r="GQ1101" s="773"/>
      <c r="GR1101" s="773"/>
      <c r="GS1101" s="773"/>
      <c r="GT1101" s="773"/>
      <c r="GU1101" s="773"/>
      <c r="GV1101" s="773"/>
      <c r="GW1101" s="773"/>
      <c r="GX1101" s="773"/>
      <c r="GY1101" s="773"/>
      <c r="GZ1101" s="773"/>
    </row>
    <row r="1102" spans="1:208" s="11" customFormat="1">
      <c r="A1102" s="917"/>
      <c r="B1102" s="918"/>
      <c r="C1102" s="767"/>
      <c r="D1102" s="173"/>
      <c r="E1102" s="769"/>
      <c r="F1102" s="769"/>
      <c r="G1102" s="769"/>
      <c r="H1102" s="769"/>
      <c r="I1102" s="769"/>
      <c r="J1102" s="769"/>
      <c r="K1102" s="209"/>
      <c r="M1102" s="771"/>
      <c r="N1102" s="773"/>
      <c r="O1102" s="773"/>
      <c r="P1102" s="772"/>
      <c r="Q1102" s="772"/>
      <c r="R1102" s="772"/>
      <c r="S1102" s="772"/>
      <c r="T1102" s="773"/>
      <c r="W1102" s="773"/>
      <c r="X1102" s="773"/>
      <c r="Y1102" s="773"/>
      <c r="Z1102" s="773"/>
      <c r="AA1102" s="773"/>
      <c r="AB1102" s="773"/>
      <c r="AC1102" s="773"/>
      <c r="AD1102" s="773"/>
      <c r="AE1102" s="773"/>
      <c r="AF1102" s="773"/>
      <c r="AG1102" s="773"/>
      <c r="AH1102" s="773"/>
      <c r="AI1102" s="773"/>
      <c r="AJ1102" s="773"/>
      <c r="AK1102" s="773"/>
      <c r="AL1102" s="773"/>
      <c r="AM1102" s="773"/>
      <c r="AN1102" s="773"/>
      <c r="AO1102" s="773"/>
      <c r="AP1102" s="773"/>
      <c r="AQ1102" s="773"/>
      <c r="AR1102" s="773"/>
      <c r="AS1102" s="773"/>
      <c r="AT1102" s="773"/>
      <c r="AU1102" s="773"/>
      <c r="AV1102" s="773"/>
      <c r="AW1102" s="2510"/>
      <c r="BC1102" s="2510"/>
      <c r="BD1102" s="2510"/>
      <c r="BE1102" s="2173"/>
      <c r="BF1102" s="2173"/>
      <c r="BG1102" s="2173"/>
      <c r="BH1102" s="2173"/>
      <c r="BI1102" s="2173"/>
      <c r="BJ1102" s="2173"/>
      <c r="BK1102" s="2173"/>
      <c r="DB1102" s="773"/>
      <c r="DC1102" s="773"/>
      <c r="DD1102" s="773"/>
      <c r="DE1102" s="773"/>
      <c r="DF1102" s="773"/>
      <c r="DG1102" s="773"/>
      <c r="DH1102" s="773"/>
      <c r="DI1102" s="773"/>
      <c r="DJ1102" s="773"/>
      <c r="DK1102" s="773"/>
      <c r="DL1102" s="773"/>
      <c r="DM1102" s="773"/>
      <c r="DN1102" s="773"/>
      <c r="DO1102" s="773"/>
      <c r="DP1102" s="773"/>
      <c r="DQ1102" s="773"/>
      <c r="DR1102" s="773"/>
      <c r="DS1102" s="773"/>
      <c r="DT1102" s="773"/>
      <c r="DU1102" s="773"/>
      <c r="DV1102" s="773"/>
      <c r="DW1102" s="773"/>
      <c r="DX1102" s="773"/>
      <c r="DY1102" s="773"/>
      <c r="DZ1102" s="773"/>
      <c r="EA1102" s="773"/>
      <c r="EB1102" s="773"/>
      <c r="EC1102" s="773"/>
      <c r="ED1102" s="773"/>
      <c r="EE1102" s="773"/>
      <c r="EF1102" s="773"/>
      <c r="EG1102" s="773"/>
      <c r="EH1102" s="773"/>
      <c r="EI1102" s="773"/>
      <c r="EJ1102" s="773"/>
      <c r="EK1102" s="773"/>
      <c r="EL1102" s="773"/>
      <c r="EM1102" s="773"/>
      <c r="EN1102" s="773"/>
      <c r="EO1102" s="773"/>
      <c r="EP1102" s="773"/>
      <c r="EQ1102" s="773"/>
      <c r="ER1102" s="773"/>
      <c r="ES1102" s="773"/>
      <c r="ET1102" s="773"/>
      <c r="EU1102" s="773"/>
      <c r="EV1102" s="773"/>
      <c r="EW1102" s="773"/>
      <c r="EX1102" s="773"/>
      <c r="EY1102" s="773"/>
      <c r="EZ1102" s="773"/>
      <c r="FA1102" s="773"/>
      <c r="FB1102" s="773"/>
      <c r="FC1102" s="773"/>
      <c r="FD1102" s="773"/>
      <c r="FE1102" s="773"/>
      <c r="FF1102" s="773"/>
      <c r="FG1102" s="773"/>
      <c r="FH1102" s="773"/>
      <c r="FI1102" s="773"/>
      <c r="FJ1102" s="773"/>
      <c r="FK1102" s="773"/>
      <c r="FL1102" s="773"/>
      <c r="FM1102" s="773"/>
      <c r="FN1102" s="773"/>
      <c r="FO1102" s="773"/>
      <c r="FP1102" s="773"/>
      <c r="FQ1102" s="773"/>
      <c r="FR1102" s="773"/>
      <c r="FS1102" s="773"/>
      <c r="FT1102" s="773"/>
      <c r="FU1102" s="773"/>
      <c r="FV1102" s="773"/>
      <c r="FW1102" s="773"/>
      <c r="FX1102" s="773"/>
      <c r="FY1102" s="773"/>
      <c r="FZ1102" s="773"/>
      <c r="GA1102" s="773"/>
      <c r="GB1102" s="773"/>
      <c r="GC1102" s="773"/>
      <c r="GD1102" s="773"/>
      <c r="GE1102" s="773"/>
      <c r="GF1102" s="773"/>
      <c r="GG1102" s="773"/>
      <c r="GH1102" s="773"/>
      <c r="GI1102" s="773"/>
      <c r="GJ1102" s="773"/>
      <c r="GK1102" s="773"/>
      <c r="GL1102" s="773"/>
      <c r="GM1102" s="773"/>
      <c r="GN1102" s="773"/>
      <c r="GO1102" s="773"/>
      <c r="GP1102" s="773"/>
      <c r="GQ1102" s="773"/>
      <c r="GR1102" s="773"/>
      <c r="GS1102" s="773"/>
      <c r="GT1102" s="773"/>
      <c r="GU1102" s="773"/>
      <c r="GV1102" s="773"/>
      <c r="GW1102" s="773"/>
      <c r="GX1102" s="773"/>
      <c r="GY1102" s="773"/>
      <c r="GZ1102" s="773"/>
    </row>
    <row r="1103" spans="1:208" s="11" customFormat="1">
      <c r="A1103" s="917"/>
      <c r="B1103" s="918"/>
      <c r="C1103" s="767"/>
      <c r="D1103" s="173"/>
      <c r="E1103" s="769"/>
      <c r="F1103" s="769"/>
      <c r="G1103" s="769"/>
      <c r="H1103" s="769"/>
      <c r="I1103" s="769"/>
      <c r="J1103" s="769"/>
      <c r="K1103" s="209"/>
      <c r="M1103" s="771"/>
      <c r="N1103" s="773"/>
      <c r="O1103" s="773"/>
      <c r="P1103" s="772"/>
      <c r="Q1103" s="772"/>
      <c r="R1103" s="772"/>
      <c r="S1103" s="772"/>
      <c r="T1103" s="773"/>
      <c r="W1103" s="773"/>
      <c r="X1103" s="773"/>
      <c r="Y1103" s="773"/>
      <c r="Z1103" s="773"/>
      <c r="AA1103" s="773"/>
      <c r="AB1103" s="773"/>
      <c r="AC1103" s="773"/>
      <c r="AD1103" s="773"/>
      <c r="AE1103" s="773"/>
      <c r="AF1103" s="773"/>
      <c r="AG1103" s="773"/>
      <c r="AH1103" s="773"/>
      <c r="AI1103" s="773"/>
      <c r="AJ1103" s="773"/>
      <c r="AK1103" s="773"/>
      <c r="AL1103" s="773"/>
      <c r="AM1103" s="773"/>
      <c r="AN1103" s="773"/>
      <c r="AO1103" s="773"/>
      <c r="AP1103" s="773"/>
      <c r="AQ1103" s="773"/>
      <c r="AR1103" s="773"/>
      <c r="AS1103" s="773"/>
      <c r="AT1103" s="773"/>
      <c r="AU1103" s="773"/>
      <c r="AV1103" s="773"/>
      <c r="AW1103" s="2510"/>
      <c r="BC1103" s="2510"/>
      <c r="BD1103" s="2510"/>
      <c r="BE1103" s="2173"/>
      <c r="BF1103" s="2173"/>
      <c r="BG1103" s="2173"/>
      <c r="BH1103" s="2173"/>
      <c r="BI1103" s="2173"/>
      <c r="BJ1103" s="2173"/>
      <c r="BK1103" s="2173"/>
      <c r="DB1103" s="773"/>
      <c r="DC1103" s="773"/>
      <c r="DD1103" s="773"/>
      <c r="DE1103" s="773"/>
      <c r="DF1103" s="773"/>
      <c r="DG1103" s="773"/>
      <c r="DH1103" s="773"/>
      <c r="DI1103" s="773"/>
      <c r="DJ1103" s="773"/>
      <c r="DK1103" s="773"/>
      <c r="DL1103" s="773"/>
      <c r="DM1103" s="773"/>
      <c r="DN1103" s="773"/>
      <c r="DO1103" s="773"/>
      <c r="DP1103" s="773"/>
      <c r="DQ1103" s="773"/>
      <c r="DR1103" s="773"/>
      <c r="DS1103" s="773"/>
      <c r="DT1103" s="773"/>
      <c r="DU1103" s="773"/>
      <c r="DV1103" s="773"/>
      <c r="DW1103" s="773"/>
      <c r="DX1103" s="773"/>
      <c r="DY1103" s="773"/>
      <c r="DZ1103" s="773"/>
      <c r="EA1103" s="773"/>
      <c r="EB1103" s="773"/>
      <c r="EC1103" s="773"/>
      <c r="ED1103" s="773"/>
      <c r="EE1103" s="773"/>
      <c r="EF1103" s="773"/>
      <c r="EG1103" s="773"/>
      <c r="EH1103" s="773"/>
      <c r="EI1103" s="773"/>
      <c r="EJ1103" s="773"/>
      <c r="EK1103" s="773"/>
      <c r="EL1103" s="773"/>
      <c r="EM1103" s="773"/>
      <c r="EN1103" s="773"/>
      <c r="EO1103" s="773"/>
      <c r="EP1103" s="773"/>
      <c r="EQ1103" s="773"/>
      <c r="ER1103" s="773"/>
      <c r="ES1103" s="773"/>
      <c r="ET1103" s="773"/>
      <c r="EU1103" s="773"/>
      <c r="EV1103" s="773"/>
      <c r="EW1103" s="773"/>
      <c r="EX1103" s="773"/>
      <c r="EY1103" s="773"/>
      <c r="EZ1103" s="773"/>
      <c r="FA1103" s="773"/>
      <c r="FB1103" s="773"/>
      <c r="FC1103" s="773"/>
      <c r="FD1103" s="773"/>
      <c r="FE1103" s="773"/>
      <c r="FF1103" s="773"/>
      <c r="FG1103" s="773"/>
      <c r="FH1103" s="773"/>
      <c r="FI1103" s="773"/>
      <c r="FJ1103" s="773"/>
      <c r="FK1103" s="773"/>
      <c r="FL1103" s="773"/>
      <c r="FM1103" s="773"/>
      <c r="FN1103" s="773"/>
      <c r="FO1103" s="773"/>
      <c r="FP1103" s="773"/>
      <c r="FQ1103" s="773"/>
      <c r="FR1103" s="773"/>
      <c r="FS1103" s="773"/>
      <c r="FT1103" s="773"/>
      <c r="FU1103" s="773"/>
      <c r="FV1103" s="773"/>
      <c r="FW1103" s="773"/>
      <c r="FX1103" s="773"/>
      <c r="FY1103" s="773"/>
      <c r="FZ1103" s="773"/>
      <c r="GA1103" s="773"/>
      <c r="GB1103" s="773"/>
      <c r="GC1103" s="773"/>
      <c r="GD1103" s="773"/>
      <c r="GE1103" s="773"/>
      <c r="GF1103" s="773"/>
      <c r="GG1103" s="773"/>
      <c r="GH1103" s="773"/>
      <c r="GI1103" s="773"/>
      <c r="GJ1103" s="773"/>
      <c r="GK1103" s="773"/>
      <c r="GL1103" s="773"/>
      <c r="GM1103" s="773"/>
      <c r="GN1103" s="773"/>
      <c r="GO1103" s="773"/>
      <c r="GP1103" s="773"/>
      <c r="GQ1103" s="773"/>
      <c r="GR1103" s="773"/>
      <c r="GS1103" s="773"/>
      <c r="GT1103" s="773"/>
      <c r="GU1103" s="773"/>
      <c r="GV1103" s="773"/>
      <c r="GW1103" s="773"/>
      <c r="GX1103" s="773"/>
      <c r="GY1103" s="773"/>
      <c r="GZ1103" s="773"/>
    </row>
    <row r="1104" spans="1:208" s="11" customFormat="1">
      <c r="A1104" s="917"/>
      <c r="B1104" s="918"/>
      <c r="C1104" s="767"/>
      <c r="D1104" s="173"/>
      <c r="E1104" s="769"/>
      <c r="F1104" s="769"/>
      <c r="G1104" s="769"/>
      <c r="H1104" s="769"/>
      <c r="I1104" s="769"/>
      <c r="J1104" s="769"/>
      <c r="K1104" s="209"/>
      <c r="M1104" s="771"/>
      <c r="N1104" s="773"/>
      <c r="O1104" s="773"/>
      <c r="P1104" s="772"/>
      <c r="Q1104" s="772"/>
      <c r="R1104" s="772"/>
      <c r="S1104" s="772"/>
      <c r="T1104" s="773"/>
      <c r="W1104" s="773"/>
      <c r="X1104" s="920"/>
      <c r="Y1104" s="773"/>
      <c r="Z1104" s="773"/>
      <c r="AA1104" s="773"/>
      <c r="AB1104" s="773"/>
      <c r="AC1104" s="773"/>
      <c r="AD1104" s="773"/>
      <c r="AE1104" s="773"/>
      <c r="AF1104" s="773"/>
      <c r="AG1104" s="773"/>
      <c r="AH1104" s="773"/>
      <c r="AI1104" s="773"/>
      <c r="AJ1104" s="773"/>
      <c r="AK1104" s="773"/>
      <c r="AL1104" s="773"/>
      <c r="AM1104" s="773"/>
      <c r="AN1104" s="773"/>
      <c r="AO1104" s="773"/>
      <c r="AP1104" s="773"/>
      <c r="AQ1104" s="773"/>
      <c r="AR1104" s="773"/>
      <c r="AS1104" s="773"/>
      <c r="AT1104" s="773"/>
      <c r="AU1104" s="773"/>
      <c r="AV1104" s="773"/>
      <c r="AW1104" s="2510"/>
      <c r="BC1104" s="2510"/>
      <c r="BD1104" s="2510"/>
      <c r="BE1104" s="2173"/>
      <c r="BF1104" s="2173"/>
      <c r="BG1104" s="2173"/>
      <c r="BH1104" s="2173"/>
      <c r="BI1104" s="2173"/>
      <c r="BJ1104" s="2173"/>
      <c r="BK1104" s="2173"/>
      <c r="DB1104" s="773"/>
      <c r="DC1104" s="773"/>
      <c r="DD1104" s="773"/>
      <c r="DE1104" s="773"/>
      <c r="DF1104" s="773"/>
      <c r="DG1104" s="773"/>
      <c r="DH1104" s="773"/>
      <c r="DI1104" s="773"/>
      <c r="DJ1104" s="773"/>
      <c r="DK1104" s="773"/>
      <c r="DL1104" s="773"/>
      <c r="DM1104" s="773"/>
      <c r="DN1104" s="773"/>
      <c r="DO1104" s="773"/>
      <c r="DP1104" s="773"/>
      <c r="DQ1104" s="773"/>
      <c r="DR1104" s="773"/>
      <c r="DS1104" s="773"/>
      <c r="DT1104" s="773"/>
      <c r="DU1104" s="773"/>
      <c r="DV1104" s="773"/>
      <c r="DW1104" s="773"/>
      <c r="DX1104" s="773"/>
      <c r="DY1104" s="773"/>
      <c r="DZ1104" s="773"/>
      <c r="EA1104" s="773"/>
      <c r="EB1104" s="773"/>
      <c r="EC1104" s="773"/>
      <c r="ED1104" s="773"/>
      <c r="EE1104" s="773"/>
      <c r="EF1104" s="773"/>
      <c r="EG1104" s="773"/>
      <c r="EH1104" s="773"/>
      <c r="EI1104" s="773"/>
      <c r="EJ1104" s="773"/>
      <c r="EK1104" s="773"/>
      <c r="EL1104" s="773"/>
      <c r="EM1104" s="773"/>
      <c r="EN1104" s="773"/>
      <c r="EO1104" s="773"/>
      <c r="EP1104" s="773"/>
      <c r="EQ1104" s="773"/>
      <c r="ER1104" s="773"/>
      <c r="ES1104" s="773"/>
      <c r="ET1104" s="773"/>
      <c r="EU1104" s="773"/>
      <c r="EV1104" s="773"/>
      <c r="EW1104" s="773"/>
      <c r="EX1104" s="773"/>
      <c r="EY1104" s="773"/>
      <c r="EZ1104" s="773"/>
      <c r="FA1104" s="773"/>
      <c r="FB1104" s="773"/>
      <c r="FC1104" s="773"/>
      <c r="FD1104" s="773"/>
      <c r="FE1104" s="773"/>
      <c r="FF1104" s="773"/>
      <c r="FG1104" s="773"/>
      <c r="FH1104" s="773"/>
      <c r="FI1104" s="773"/>
      <c r="FJ1104" s="773"/>
      <c r="FK1104" s="773"/>
      <c r="FL1104" s="773"/>
      <c r="FM1104" s="773"/>
      <c r="FN1104" s="773"/>
      <c r="FO1104" s="773"/>
      <c r="FP1104" s="773"/>
      <c r="FQ1104" s="773"/>
      <c r="FR1104" s="773"/>
      <c r="FS1104" s="773"/>
      <c r="FT1104" s="773"/>
      <c r="FU1104" s="773"/>
      <c r="FV1104" s="773"/>
      <c r="FW1104" s="773"/>
      <c r="FX1104" s="773"/>
      <c r="FY1104" s="773"/>
      <c r="FZ1104" s="773"/>
      <c r="GA1104" s="773"/>
      <c r="GB1104" s="773"/>
      <c r="GC1104" s="773"/>
      <c r="GD1104" s="773"/>
      <c r="GE1104" s="773"/>
      <c r="GF1104" s="773"/>
      <c r="GG1104" s="773"/>
      <c r="GH1104" s="773"/>
      <c r="GI1104" s="773"/>
      <c r="GJ1104" s="773"/>
      <c r="GK1104" s="773"/>
      <c r="GL1104" s="773"/>
      <c r="GM1104" s="773"/>
      <c r="GN1104" s="773"/>
      <c r="GO1104" s="773"/>
      <c r="GP1104" s="773"/>
      <c r="GQ1104" s="773"/>
      <c r="GR1104" s="773"/>
      <c r="GS1104" s="773"/>
      <c r="GT1104" s="773"/>
      <c r="GU1104" s="773"/>
      <c r="GV1104" s="773"/>
      <c r="GW1104" s="773"/>
      <c r="GX1104" s="773"/>
      <c r="GY1104" s="773"/>
      <c r="GZ1104" s="773"/>
    </row>
    <row r="1105" spans="1:208" s="11" customFormat="1">
      <c r="A1105" s="917"/>
      <c r="B1105" s="918"/>
      <c r="C1105" s="767"/>
      <c r="D1105" s="173"/>
      <c r="E1105" s="769"/>
      <c r="F1105" s="769"/>
      <c r="G1105" s="769"/>
      <c r="H1105" s="769"/>
      <c r="I1105" s="769"/>
      <c r="J1105" s="769"/>
      <c r="K1105" s="209"/>
      <c r="M1105" s="771"/>
      <c r="N1105" s="773"/>
      <c r="O1105" s="773"/>
      <c r="P1105" s="772"/>
      <c r="Q1105" s="772"/>
      <c r="R1105" s="772"/>
      <c r="S1105" s="772"/>
      <c r="T1105" s="773"/>
      <c r="W1105" s="773"/>
      <c r="X1105" s="716"/>
      <c r="Y1105" s="773"/>
      <c r="Z1105" s="773"/>
      <c r="AA1105" s="773"/>
      <c r="AB1105" s="773"/>
      <c r="AC1105" s="773"/>
      <c r="AD1105" s="773"/>
      <c r="AE1105" s="773"/>
      <c r="AF1105" s="773"/>
      <c r="AG1105" s="773"/>
      <c r="AH1105" s="773"/>
      <c r="AI1105" s="773"/>
      <c r="AJ1105" s="773"/>
      <c r="AK1105" s="773"/>
      <c r="AL1105" s="773"/>
      <c r="AM1105" s="773"/>
      <c r="AN1105" s="773"/>
      <c r="AO1105" s="773"/>
      <c r="AP1105" s="773"/>
      <c r="AQ1105" s="773"/>
      <c r="AR1105" s="773"/>
      <c r="AS1105" s="773"/>
      <c r="AT1105" s="773"/>
      <c r="AU1105" s="773"/>
      <c r="AV1105" s="773"/>
      <c r="AW1105" s="2510"/>
      <c r="BC1105" s="2510"/>
      <c r="BD1105" s="2510"/>
      <c r="BE1105" s="2173"/>
      <c r="BF1105" s="2173"/>
      <c r="BG1105" s="2173"/>
      <c r="BH1105" s="2173"/>
      <c r="BI1105" s="2173"/>
      <c r="BJ1105" s="2173"/>
      <c r="BK1105" s="2173"/>
      <c r="DB1105" s="773"/>
      <c r="DC1105" s="773"/>
      <c r="DD1105" s="773"/>
      <c r="DE1105" s="773"/>
      <c r="DF1105" s="773"/>
      <c r="DG1105" s="773"/>
      <c r="DH1105" s="773"/>
      <c r="DI1105" s="773"/>
      <c r="DJ1105" s="773"/>
      <c r="DK1105" s="773"/>
      <c r="DL1105" s="773"/>
      <c r="DM1105" s="773"/>
      <c r="DN1105" s="773"/>
      <c r="DO1105" s="773"/>
      <c r="DP1105" s="773"/>
      <c r="DQ1105" s="773"/>
      <c r="DR1105" s="773"/>
      <c r="DS1105" s="773"/>
      <c r="DT1105" s="773"/>
      <c r="DU1105" s="773"/>
      <c r="DV1105" s="773"/>
      <c r="DW1105" s="773"/>
      <c r="DX1105" s="773"/>
      <c r="DY1105" s="773"/>
      <c r="DZ1105" s="773"/>
      <c r="EA1105" s="773"/>
      <c r="EB1105" s="773"/>
      <c r="EC1105" s="773"/>
      <c r="ED1105" s="773"/>
      <c r="EE1105" s="773"/>
      <c r="EF1105" s="773"/>
      <c r="EG1105" s="773"/>
      <c r="EH1105" s="773"/>
      <c r="EI1105" s="773"/>
      <c r="EJ1105" s="773"/>
      <c r="EK1105" s="773"/>
      <c r="EL1105" s="773"/>
      <c r="EM1105" s="773"/>
      <c r="EN1105" s="773"/>
      <c r="EO1105" s="773"/>
      <c r="EP1105" s="773"/>
      <c r="EQ1105" s="773"/>
      <c r="ER1105" s="773"/>
      <c r="ES1105" s="773"/>
      <c r="ET1105" s="773"/>
      <c r="EU1105" s="773"/>
      <c r="EV1105" s="773"/>
      <c r="EW1105" s="773"/>
      <c r="EX1105" s="773"/>
      <c r="EY1105" s="773"/>
      <c r="EZ1105" s="773"/>
      <c r="FA1105" s="773"/>
      <c r="FB1105" s="773"/>
      <c r="FC1105" s="773"/>
      <c r="FD1105" s="773"/>
      <c r="FE1105" s="773"/>
      <c r="FF1105" s="773"/>
      <c r="FG1105" s="773"/>
      <c r="FH1105" s="773"/>
      <c r="FI1105" s="773"/>
      <c r="FJ1105" s="773"/>
      <c r="FK1105" s="773"/>
      <c r="FL1105" s="773"/>
      <c r="FM1105" s="773"/>
      <c r="FN1105" s="773"/>
      <c r="FO1105" s="773"/>
      <c r="FP1105" s="773"/>
      <c r="FQ1105" s="773"/>
      <c r="FR1105" s="773"/>
      <c r="FS1105" s="773"/>
      <c r="FT1105" s="773"/>
      <c r="FU1105" s="773"/>
      <c r="FV1105" s="773"/>
      <c r="FW1105" s="773"/>
      <c r="FX1105" s="773"/>
      <c r="FY1105" s="773"/>
      <c r="FZ1105" s="773"/>
      <c r="GA1105" s="773"/>
      <c r="GB1105" s="773"/>
      <c r="GC1105" s="773"/>
      <c r="GD1105" s="773"/>
      <c r="GE1105" s="773"/>
      <c r="GF1105" s="773"/>
      <c r="GG1105" s="773"/>
      <c r="GH1105" s="773"/>
      <c r="GI1105" s="773"/>
      <c r="GJ1105" s="773"/>
      <c r="GK1105" s="773"/>
      <c r="GL1105" s="773"/>
      <c r="GM1105" s="773"/>
      <c r="GN1105" s="773"/>
      <c r="GO1105" s="773"/>
      <c r="GP1105" s="773"/>
      <c r="GQ1105" s="773"/>
      <c r="GR1105" s="773"/>
      <c r="GS1105" s="773"/>
      <c r="GT1105" s="773"/>
      <c r="GU1105" s="773"/>
      <c r="GV1105" s="773"/>
      <c r="GW1105" s="773"/>
      <c r="GX1105" s="773"/>
      <c r="GY1105" s="773"/>
      <c r="GZ1105" s="773"/>
    </row>
    <row r="1106" spans="1:208" s="11" customFormat="1">
      <c r="A1106" s="917"/>
      <c r="B1106" s="918"/>
      <c r="C1106" s="767"/>
      <c r="D1106" s="173"/>
      <c r="E1106" s="769"/>
      <c r="F1106" s="769"/>
      <c r="G1106" s="769"/>
      <c r="H1106" s="769"/>
      <c r="I1106" s="769"/>
      <c r="J1106" s="769"/>
      <c r="K1106" s="209"/>
      <c r="M1106" s="771"/>
      <c r="N1106" s="773"/>
      <c r="O1106" s="773"/>
      <c r="P1106" s="772"/>
      <c r="Q1106" s="772"/>
      <c r="R1106" s="772"/>
      <c r="S1106" s="772"/>
      <c r="T1106" s="773"/>
      <c r="V1106" s="722"/>
      <c r="W1106" s="773"/>
      <c r="X1106" s="716"/>
      <c r="Y1106" s="773"/>
      <c r="Z1106" s="773"/>
      <c r="AA1106" s="773"/>
      <c r="AB1106" s="773"/>
      <c r="AC1106" s="773"/>
      <c r="AD1106" s="773"/>
      <c r="AE1106" s="773"/>
      <c r="AF1106" s="773"/>
      <c r="AG1106" s="773"/>
      <c r="AH1106" s="773"/>
      <c r="AI1106" s="773"/>
      <c r="AJ1106" s="773"/>
      <c r="AK1106" s="773"/>
      <c r="AL1106" s="773"/>
      <c r="AM1106" s="773"/>
      <c r="AN1106" s="773"/>
      <c r="AO1106" s="773"/>
      <c r="AP1106" s="773"/>
      <c r="AQ1106" s="773"/>
      <c r="AR1106" s="773"/>
      <c r="AS1106" s="773"/>
      <c r="AT1106" s="773"/>
      <c r="AU1106" s="773"/>
      <c r="AV1106" s="773"/>
      <c r="AW1106" s="2510"/>
      <c r="BC1106" s="2510"/>
      <c r="BD1106" s="2510"/>
      <c r="BE1106" s="2173"/>
      <c r="BF1106" s="2173"/>
      <c r="BG1106" s="2173"/>
      <c r="BH1106" s="2173"/>
      <c r="BI1106" s="2173"/>
      <c r="BJ1106" s="2173"/>
      <c r="BK1106" s="2173"/>
      <c r="DB1106" s="773"/>
      <c r="DC1106" s="773"/>
      <c r="DD1106" s="773"/>
      <c r="DE1106" s="773"/>
      <c r="DF1106" s="773"/>
      <c r="DG1106" s="773"/>
      <c r="DH1106" s="773"/>
      <c r="DI1106" s="773"/>
      <c r="DJ1106" s="773"/>
      <c r="DK1106" s="773"/>
      <c r="DL1106" s="773"/>
      <c r="DM1106" s="773"/>
      <c r="DN1106" s="773"/>
      <c r="DO1106" s="773"/>
      <c r="DP1106" s="773"/>
      <c r="DQ1106" s="773"/>
      <c r="DR1106" s="773"/>
      <c r="DS1106" s="773"/>
      <c r="DT1106" s="773"/>
      <c r="DU1106" s="773"/>
      <c r="DV1106" s="773"/>
      <c r="DW1106" s="773"/>
      <c r="DX1106" s="773"/>
      <c r="DY1106" s="773"/>
      <c r="DZ1106" s="773"/>
      <c r="EA1106" s="773"/>
      <c r="EB1106" s="773"/>
      <c r="EC1106" s="773"/>
      <c r="ED1106" s="773"/>
      <c r="EE1106" s="773"/>
      <c r="EF1106" s="773"/>
      <c r="EG1106" s="773"/>
      <c r="EH1106" s="773"/>
      <c r="EI1106" s="773"/>
      <c r="EJ1106" s="773"/>
      <c r="EK1106" s="773"/>
      <c r="EL1106" s="773"/>
      <c r="EM1106" s="773"/>
      <c r="EN1106" s="773"/>
      <c r="EO1106" s="773"/>
      <c r="EP1106" s="773"/>
      <c r="EQ1106" s="773"/>
      <c r="ER1106" s="773"/>
      <c r="ES1106" s="773"/>
      <c r="ET1106" s="773"/>
      <c r="EU1106" s="773"/>
      <c r="EV1106" s="773"/>
      <c r="EW1106" s="773"/>
      <c r="EX1106" s="773"/>
      <c r="EY1106" s="773"/>
      <c r="EZ1106" s="773"/>
      <c r="FA1106" s="773"/>
      <c r="FB1106" s="773"/>
      <c r="FC1106" s="773"/>
      <c r="FD1106" s="773"/>
      <c r="FE1106" s="773"/>
      <c r="FF1106" s="773"/>
      <c r="FG1106" s="773"/>
      <c r="FH1106" s="773"/>
      <c r="FI1106" s="773"/>
      <c r="FJ1106" s="773"/>
      <c r="FK1106" s="773"/>
      <c r="FL1106" s="773"/>
      <c r="FM1106" s="773"/>
      <c r="FN1106" s="773"/>
      <c r="FO1106" s="773"/>
      <c r="FP1106" s="773"/>
      <c r="FQ1106" s="773"/>
      <c r="FR1106" s="773"/>
      <c r="FS1106" s="773"/>
      <c r="FT1106" s="773"/>
      <c r="FU1106" s="773"/>
      <c r="FV1106" s="773"/>
      <c r="FW1106" s="773"/>
      <c r="FX1106" s="773"/>
      <c r="FY1106" s="773"/>
      <c r="FZ1106" s="773"/>
      <c r="GA1106" s="773"/>
      <c r="GB1106" s="773"/>
      <c r="GC1106" s="773"/>
      <c r="GD1106" s="773"/>
      <c r="GE1106" s="773"/>
      <c r="GF1106" s="773"/>
      <c r="GG1106" s="773"/>
      <c r="GH1106" s="773"/>
      <c r="GI1106" s="773"/>
      <c r="GJ1106" s="773"/>
      <c r="GK1106" s="773"/>
      <c r="GL1106" s="773"/>
      <c r="GM1106" s="773"/>
      <c r="GN1106" s="773"/>
      <c r="GO1106" s="773"/>
      <c r="GP1106" s="773"/>
      <c r="GQ1106" s="773"/>
      <c r="GR1106" s="773"/>
      <c r="GS1106" s="773"/>
      <c r="GT1106" s="773"/>
      <c r="GU1106" s="773"/>
      <c r="GV1106" s="773"/>
      <c r="GW1106" s="773"/>
      <c r="GX1106" s="773"/>
      <c r="GY1106" s="773"/>
      <c r="GZ1106" s="773"/>
    </row>
    <row r="1107" spans="1:208" s="11" customFormat="1">
      <c r="A1107" s="917"/>
      <c r="B1107" s="918"/>
      <c r="C1107" s="767"/>
      <c r="D1107" s="173"/>
      <c r="E1107" s="769"/>
      <c r="F1107" s="769"/>
      <c r="G1107" s="769"/>
      <c r="H1107" s="769"/>
      <c r="I1107" s="769"/>
      <c r="J1107" s="769"/>
      <c r="K1107" s="209"/>
      <c r="M1107" s="771"/>
      <c r="N1107" s="773"/>
      <c r="O1107" s="773"/>
      <c r="P1107" s="772"/>
      <c r="Q1107" s="772"/>
      <c r="R1107" s="772"/>
      <c r="S1107" s="772"/>
      <c r="T1107" s="773"/>
      <c r="V1107" s="722"/>
      <c r="W1107" s="920"/>
      <c r="X1107" s="722"/>
      <c r="Y1107" s="773"/>
      <c r="Z1107" s="773"/>
      <c r="AA1107" s="773"/>
      <c r="AB1107" s="773"/>
      <c r="AC1107" s="773"/>
      <c r="AD1107" s="773"/>
      <c r="AE1107" s="773"/>
      <c r="AF1107" s="773"/>
      <c r="AG1107" s="773"/>
      <c r="AH1107" s="773"/>
      <c r="AI1107" s="773"/>
      <c r="AJ1107" s="773"/>
      <c r="AK1107" s="773"/>
      <c r="AL1107" s="773"/>
      <c r="AM1107" s="773"/>
      <c r="AN1107" s="773"/>
      <c r="AO1107" s="773"/>
      <c r="AP1107" s="773"/>
      <c r="AQ1107" s="773"/>
      <c r="AR1107" s="773"/>
      <c r="AS1107" s="773"/>
      <c r="AT1107" s="773"/>
      <c r="AU1107" s="773"/>
      <c r="AV1107" s="920"/>
      <c r="AW1107" s="2510"/>
      <c r="BC1107" s="2510"/>
      <c r="BD1107" s="2510"/>
      <c r="BE1107" s="2173"/>
      <c r="BF1107" s="2173"/>
      <c r="BG1107" s="2173"/>
      <c r="BH1107" s="2173"/>
      <c r="BI1107" s="2173"/>
      <c r="BJ1107" s="2173"/>
      <c r="BK1107" s="2173"/>
      <c r="DB1107" s="773"/>
      <c r="DC1107" s="773"/>
      <c r="DD1107" s="773"/>
      <c r="DE1107" s="773"/>
      <c r="DF1107" s="773"/>
      <c r="DG1107" s="773"/>
      <c r="DH1107" s="773"/>
      <c r="DI1107" s="773"/>
      <c r="DJ1107" s="773"/>
      <c r="DK1107" s="773"/>
      <c r="DL1107" s="773"/>
      <c r="DM1107" s="773"/>
      <c r="DN1107" s="773"/>
      <c r="DO1107" s="773"/>
      <c r="DP1107" s="773"/>
      <c r="DQ1107" s="773"/>
      <c r="DR1107" s="773"/>
      <c r="DS1107" s="773"/>
      <c r="DT1107" s="773"/>
      <c r="DU1107" s="773"/>
      <c r="DV1107" s="773"/>
      <c r="DW1107" s="773"/>
      <c r="DX1107" s="773"/>
      <c r="DY1107" s="773"/>
      <c r="DZ1107" s="773"/>
      <c r="EA1107" s="773"/>
      <c r="EB1107" s="773"/>
      <c r="EC1107" s="773"/>
      <c r="ED1107" s="773"/>
      <c r="EE1107" s="773"/>
      <c r="EF1107" s="773"/>
      <c r="EG1107" s="773"/>
      <c r="EH1107" s="773"/>
      <c r="EI1107" s="773"/>
      <c r="EJ1107" s="773"/>
      <c r="EK1107" s="773"/>
      <c r="EL1107" s="773"/>
      <c r="EM1107" s="773"/>
      <c r="EN1107" s="773"/>
      <c r="EO1107" s="773"/>
      <c r="EP1107" s="773"/>
      <c r="EQ1107" s="773"/>
      <c r="ER1107" s="773"/>
      <c r="ES1107" s="773"/>
      <c r="ET1107" s="773"/>
      <c r="EU1107" s="773"/>
      <c r="EV1107" s="773"/>
      <c r="EW1107" s="773"/>
      <c r="EX1107" s="773"/>
      <c r="EY1107" s="773"/>
      <c r="EZ1107" s="773"/>
      <c r="FA1107" s="773"/>
      <c r="FB1107" s="773"/>
      <c r="FC1107" s="773"/>
      <c r="FD1107" s="773"/>
      <c r="FE1107" s="773"/>
      <c r="FF1107" s="773"/>
      <c r="FG1107" s="773"/>
      <c r="FH1107" s="773"/>
      <c r="FI1107" s="773"/>
      <c r="FJ1107" s="773"/>
      <c r="FK1107" s="773"/>
      <c r="FL1107" s="773"/>
      <c r="FM1107" s="773"/>
      <c r="FN1107" s="773"/>
      <c r="FO1107" s="773"/>
      <c r="FP1107" s="773"/>
      <c r="FQ1107" s="773"/>
      <c r="FR1107" s="773"/>
      <c r="FS1107" s="773"/>
      <c r="FT1107" s="773"/>
      <c r="FU1107" s="773"/>
      <c r="FV1107" s="773"/>
      <c r="FW1107" s="773"/>
      <c r="FX1107" s="773"/>
      <c r="FY1107" s="773"/>
      <c r="FZ1107" s="773"/>
      <c r="GA1107" s="773"/>
      <c r="GB1107" s="773"/>
      <c r="GC1107" s="773"/>
      <c r="GD1107" s="773"/>
      <c r="GE1107" s="773"/>
      <c r="GF1107" s="773"/>
      <c r="GG1107" s="773"/>
      <c r="GH1107" s="773"/>
      <c r="GI1107" s="773"/>
      <c r="GJ1107" s="773"/>
      <c r="GK1107" s="773"/>
      <c r="GL1107" s="773"/>
      <c r="GM1107" s="773"/>
      <c r="GN1107" s="773"/>
      <c r="GO1107" s="773"/>
      <c r="GP1107" s="773"/>
      <c r="GQ1107" s="773"/>
      <c r="GR1107" s="773"/>
      <c r="GS1107" s="773"/>
      <c r="GT1107" s="773"/>
      <c r="GU1107" s="773"/>
      <c r="GV1107" s="773"/>
      <c r="GW1107" s="773"/>
      <c r="GX1107" s="773"/>
      <c r="GY1107" s="773"/>
      <c r="GZ1107" s="773"/>
    </row>
    <row r="1108" spans="1:208" s="11" customFormat="1">
      <c r="A1108" s="917"/>
      <c r="B1108" s="918"/>
      <c r="C1108" s="767"/>
      <c r="D1108" s="173"/>
      <c r="E1108" s="769"/>
      <c r="F1108" s="769"/>
      <c r="G1108" s="769"/>
      <c r="H1108" s="769"/>
      <c r="I1108" s="769"/>
      <c r="J1108" s="769"/>
      <c r="K1108" s="209"/>
      <c r="M1108" s="771"/>
      <c r="N1108" s="773"/>
      <c r="O1108" s="772"/>
      <c r="P1108" s="772"/>
      <c r="Q1108" s="772"/>
      <c r="R1108" s="772"/>
      <c r="S1108" s="772"/>
      <c r="T1108" s="773"/>
      <c r="V1108" s="773"/>
      <c r="W1108" s="716"/>
      <c r="X1108" s="722"/>
      <c r="Y1108" s="773"/>
      <c r="Z1108" s="773"/>
      <c r="AA1108" s="773"/>
      <c r="AB1108" s="773"/>
      <c r="AC1108" s="773"/>
      <c r="AD1108" s="773"/>
      <c r="AE1108" s="773"/>
      <c r="AF1108" s="773"/>
      <c r="AG1108" s="773"/>
      <c r="AH1108" s="773"/>
      <c r="AI1108" s="773"/>
      <c r="AJ1108" s="773"/>
      <c r="AK1108" s="773"/>
      <c r="AL1108" s="773"/>
      <c r="AM1108" s="773"/>
      <c r="AN1108" s="773"/>
      <c r="AO1108" s="773"/>
      <c r="AP1108" s="773"/>
      <c r="AQ1108" s="773"/>
      <c r="AR1108" s="773"/>
      <c r="AS1108" s="773"/>
      <c r="AT1108" s="773"/>
      <c r="AU1108" s="773"/>
      <c r="AV1108" s="716"/>
      <c r="AW1108" s="2510"/>
      <c r="BC1108" s="2510"/>
      <c r="BD1108" s="2510"/>
      <c r="BE1108" s="2173"/>
      <c r="BF1108" s="2173"/>
      <c r="BG1108" s="2173"/>
      <c r="BH1108" s="2173"/>
      <c r="BI1108" s="2173"/>
      <c r="BJ1108" s="2173"/>
      <c r="BK1108" s="2173"/>
      <c r="DB1108" s="773"/>
      <c r="DC1108" s="773"/>
      <c r="DD1108" s="773"/>
      <c r="DE1108" s="773"/>
      <c r="DF1108" s="773"/>
      <c r="DG1108" s="773"/>
      <c r="DH1108" s="773"/>
      <c r="DI1108" s="773"/>
      <c r="DJ1108" s="773"/>
      <c r="DK1108" s="773"/>
      <c r="DL1108" s="773"/>
      <c r="DM1108" s="773"/>
      <c r="DN1108" s="773"/>
      <c r="DO1108" s="773"/>
      <c r="DP1108" s="773"/>
      <c r="DQ1108" s="773"/>
      <c r="DR1108" s="773"/>
      <c r="DS1108" s="773"/>
      <c r="DT1108" s="773"/>
      <c r="DU1108" s="773"/>
      <c r="DV1108" s="773"/>
      <c r="DW1108" s="773"/>
      <c r="DX1108" s="773"/>
      <c r="DY1108" s="773"/>
      <c r="DZ1108" s="773"/>
      <c r="EA1108" s="773"/>
      <c r="EB1108" s="773"/>
      <c r="EC1108" s="773"/>
      <c r="ED1108" s="773"/>
      <c r="EE1108" s="773"/>
      <c r="EF1108" s="773"/>
      <c r="EG1108" s="773"/>
      <c r="EH1108" s="773"/>
      <c r="EI1108" s="773"/>
      <c r="EJ1108" s="773"/>
      <c r="EK1108" s="773"/>
      <c r="EL1108" s="773"/>
      <c r="EM1108" s="773"/>
      <c r="EN1108" s="773"/>
      <c r="EO1108" s="773"/>
      <c r="EP1108" s="773"/>
      <c r="EQ1108" s="773"/>
      <c r="ER1108" s="773"/>
      <c r="ES1108" s="773"/>
      <c r="ET1108" s="773"/>
      <c r="EU1108" s="773"/>
      <c r="EV1108" s="773"/>
      <c r="EW1108" s="773"/>
      <c r="EX1108" s="773"/>
      <c r="EY1108" s="773"/>
      <c r="EZ1108" s="773"/>
      <c r="FA1108" s="773"/>
      <c r="FB1108" s="773"/>
      <c r="FC1108" s="773"/>
      <c r="FD1108" s="773"/>
      <c r="FE1108" s="773"/>
      <c r="FF1108" s="773"/>
      <c r="FG1108" s="773"/>
      <c r="FH1108" s="773"/>
      <c r="FI1108" s="773"/>
      <c r="FJ1108" s="773"/>
      <c r="FK1108" s="773"/>
      <c r="FL1108" s="773"/>
      <c r="FM1108" s="773"/>
      <c r="FN1108" s="773"/>
      <c r="FO1108" s="773"/>
      <c r="FP1108" s="773"/>
      <c r="FQ1108" s="773"/>
      <c r="FR1108" s="773"/>
      <c r="FS1108" s="773"/>
      <c r="FT1108" s="773"/>
      <c r="FU1108" s="773"/>
      <c r="FV1108" s="773"/>
      <c r="FW1108" s="773"/>
      <c r="FX1108" s="773"/>
      <c r="FY1108" s="773"/>
      <c r="FZ1108" s="773"/>
      <c r="GA1108" s="773"/>
      <c r="GB1108" s="773"/>
      <c r="GC1108" s="773"/>
      <c r="GD1108" s="773"/>
      <c r="GE1108" s="773"/>
      <c r="GF1108" s="773"/>
      <c r="GG1108" s="773"/>
      <c r="GH1108" s="773"/>
      <c r="GI1108" s="773"/>
      <c r="GJ1108" s="773"/>
      <c r="GK1108" s="773"/>
      <c r="GL1108" s="773"/>
      <c r="GM1108" s="773"/>
      <c r="GN1108" s="773"/>
      <c r="GO1108" s="773"/>
      <c r="GP1108" s="773"/>
      <c r="GQ1108" s="773"/>
      <c r="GR1108" s="773"/>
      <c r="GS1108" s="773"/>
      <c r="GT1108" s="773"/>
      <c r="GU1108" s="773"/>
      <c r="GV1108" s="773"/>
      <c r="GW1108" s="773"/>
      <c r="GX1108" s="773"/>
      <c r="GY1108" s="773"/>
      <c r="GZ1108" s="773"/>
    </row>
    <row r="1109" spans="1:208" s="11" customFormat="1">
      <c r="A1109" s="917"/>
      <c r="B1109" s="918"/>
      <c r="C1109" s="767"/>
      <c r="D1109" s="173"/>
      <c r="E1109" s="769"/>
      <c r="F1109" s="769"/>
      <c r="G1109" s="769"/>
      <c r="H1109" s="769"/>
      <c r="I1109" s="769"/>
      <c r="J1109" s="769"/>
      <c r="K1109" s="209"/>
      <c r="M1109" s="771"/>
      <c r="N1109" s="773"/>
      <c r="O1109" s="772"/>
      <c r="P1109" s="772"/>
      <c r="Q1109" s="772"/>
      <c r="R1109" s="772"/>
      <c r="S1109" s="772"/>
      <c r="T1109" s="773"/>
      <c r="V1109" s="773"/>
      <c r="W1109" s="716"/>
      <c r="X1109" s="722"/>
      <c r="Y1109" s="773"/>
      <c r="Z1109" s="773"/>
      <c r="AA1109" s="773"/>
      <c r="AB1109" s="773"/>
      <c r="AC1109" s="773"/>
      <c r="AD1109" s="773"/>
      <c r="AE1109" s="773"/>
      <c r="AF1109" s="773"/>
      <c r="AG1109" s="773"/>
      <c r="AH1109" s="773"/>
      <c r="AI1109" s="773"/>
      <c r="AJ1109" s="773"/>
      <c r="AK1109" s="773"/>
      <c r="AL1109" s="773"/>
      <c r="AM1109" s="773"/>
      <c r="AN1109" s="773"/>
      <c r="AO1109" s="773"/>
      <c r="AP1109" s="773"/>
      <c r="AQ1109" s="773"/>
      <c r="AR1109" s="773"/>
      <c r="AS1109" s="773"/>
      <c r="AT1109" s="773"/>
      <c r="AU1109" s="773"/>
      <c r="AV1109" s="716"/>
      <c r="AW1109" s="2510"/>
      <c r="BC1109" s="2510"/>
      <c r="BD1109" s="2510"/>
      <c r="BE1109" s="2173"/>
      <c r="BF1109" s="2173"/>
      <c r="BG1109" s="2173"/>
      <c r="BH1109" s="2173"/>
      <c r="BI1109" s="2173"/>
      <c r="BJ1109" s="2173"/>
      <c r="BK1109" s="2173"/>
      <c r="DB1109" s="773"/>
      <c r="DC1109" s="773"/>
      <c r="DD1109" s="773"/>
      <c r="DE1109" s="773"/>
      <c r="DF1109" s="773"/>
      <c r="DG1109" s="773"/>
      <c r="DH1109" s="773"/>
      <c r="DI1109" s="773"/>
      <c r="DJ1109" s="773"/>
      <c r="DK1109" s="773"/>
      <c r="DL1109" s="773"/>
      <c r="DM1109" s="773"/>
      <c r="DN1109" s="773"/>
      <c r="DO1109" s="773"/>
      <c r="DP1109" s="773"/>
      <c r="DQ1109" s="773"/>
      <c r="DR1109" s="773"/>
      <c r="DS1109" s="773"/>
      <c r="DT1109" s="773"/>
      <c r="DU1109" s="773"/>
      <c r="DV1109" s="773"/>
      <c r="DW1109" s="773"/>
      <c r="DX1109" s="773"/>
      <c r="DY1109" s="773"/>
      <c r="DZ1109" s="773"/>
      <c r="EA1109" s="773"/>
      <c r="EB1109" s="773"/>
      <c r="EC1109" s="773"/>
      <c r="ED1109" s="773"/>
      <c r="EE1109" s="773"/>
      <c r="EF1109" s="773"/>
      <c r="EG1109" s="773"/>
      <c r="EH1109" s="773"/>
      <c r="EI1109" s="773"/>
      <c r="EJ1109" s="773"/>
      <c r="EK1109" s="773"/>
      <c r="EL1109" s="773"/>
      <c r="EM1109" s="773"/>
      <c r="EN1109" s="773"/>
      <c r="EO1109" s="773"/>
      <c r="EP1109" s="773"/>
      <c r="EQ1109" s="773"/>
      <c r="ER1109" s="773"/>
      <c r="ES1109" s="773"/>
      <c r="ET1109" s="773"/>
      <c r="EU1109" s="773"/>
      <c r="EV1109" s="773"/>
      <c r="EW1109" s="773"/>
      <c r="EX1109" s="773"/>
      <c r="EY1109" s="773"/>
      <c r="EZ1109" s="773"/>
      <c r="FA1109" s="773"/>
      <c r="FB1109" s="773"/>
      <c r="FC1109" s="773"/>
      <c r="FD1109" s="773"/>
      <c r="FE1109" s="773"/>
      <c r="FF1109" s="773"/>
      <c r="FG1109" s="773"/>
      <c r="FH1109" s="773"/>
      <c r="FI1109" s="773"/>
      <c r="FJ1109" s="773"/>
      <c r="FK1109" s="773"/>
      <c r="FL1109" s="773"/>
      <c r="FM1109" s="773"/>
      <c r="FN1109" s="773"/>
      <c r="FO1109" s="773"/>
      <c r="FP1109" s="773"/>
      <c r="FQ1109" s="773"/>
      <c r="FR1109" s="773"/>
      <c r="FS1109" s="773"/>
      <c r="FT1109" s="773"/>
      <c r="FU1109" s="773"/>
      <c r="FV1109" s="773"/>
      <c r="FW1109" s="773"/>
      <c r="FX1109" s="773"/>
      <c r="FY1109" s="773"/>
      <c r="FZ1109" s="773"/>
      <c r="GA1109" s="773"/>
      <c r="GB1109" s="773"/>
      <c r="GC1109" s="773"/>
      <c r="GD1109" s="773"/>
      <c r="GE1109" s="773"/>
      <c r="GF1109" s="773"/>
      <c r="GG1109" s="773"/>
      <c r="GH1109" s="773"/>
      <c r="GI1109" s="773"/>
      <c r="GJ1109" s="773"/>
      <c r="GK1109" s="773"/>
      <c r="GL1109" s="773"/>
      <c r="GM1109" s="773"/>
      <c r="GN1109" s="773"/>
      <c r="GO1109" s="773"/>
      <c r="GP1109" s="773"/>
      <c r="GQ1109" s="773"/>
      <c r="GR1109" s="773"/>
      <c r="GS1109" s="773"/>
      <c r="GT1109" s="773"/>
      <c r="GU1109" s="773"/>
      <c r="GV1109" s="773"/>
      <c r="GW1109" s="773"/>
      <c r="GX1109" s="773"/>
      <c r="GY1109" s="773"/>
      <c r="GZ1109" s="773"/>
    </row>
    <row r="1110" spans="1:208" s="11" customFormat="1">
      <c r="A1110" s="917"/>
      <c r="B1110" s="918"/>
      <c r="C1110" s="767"/>
      <c r="D1110" s="173"/>
      <c r="E1110" s="769"/>
      <c r="F1110" s="769"/>
      <c r="G1110" s="769"/>
      <c r="H1110" s="769"/>
      <c r="I1110" s="769"/>
      <c r="J1110" s="769"/>
      <c r="K1110" s="209"/>
      <c r="M1110" s="771"/>
      <c r="N1110" s="773"/>
      <c r="O1110" s="772"/>
      <c r="P1110" s="772"/>
      <c r="Q1110" s="772"/>
      <c r="R1110" s="772"/>
      <c r="S1110" s="772"/>
      <c r="T1110" s="773"/>
      <c r="V1110" s="773"/>
      <c r="W1110" s="722"/>
      <c r="X1110" s="716"/>
      <c r="Y1110" s="773"/>
      <c r="Z1110" s="773"/>
      <c r="AA1110" s="773"/>
      <c r="AB1110" s="773"/>
      <c r="AC1110" s="773"/>
      <c r="AD1110" s="773"/>
      <c r="AE1110" s="773"/>
      <c r="AF1110" s="773"/>
      <c r="AG1110" s="773"/>
      <c r="AH1110" s="773"/>
      <c r="AI1110" s="773"/>
      <c r="AJ1110" s="773"/>
      <c r="AK1110" s="773"/>
      <c r="AL1110" s="773"/>
      <c r="AM1110" s="773"/>
      <c r="AN1110" s="773"/>
      <c r="AO1110" s="773"/>
      <c r="AP1110" s="773"/>
      <c r="AQ1110" s="773"/>
      <c r="AR1110" s="773"/>
      <c r="AS1110" s="773"/>
      <c r="AT1110" s="773"/>
      <c r="AU1110" s="773"/>
      <c r="AV1110" s="722"/>
      <c r="AW1110" s="2510"/>
      <c r="BC1110" s="2510"/>
      <c r="BD1110" s="2510"/>
      <c r="BE1110" s="2173"/>
      <c r="BF1110" s="2173"/>
      <c r="BG1110" s="2173"/>
      <c r="BH1110" s="2173"/>
      <c r="BI1110" s="2173"/>
      <c r="BJ1110" s="2173"/>
      <c r="BK1110" s="2173"/>
      <c r="DB1110" s="773"/>
      <c r="DC1110" s="773"/>
      <c r="DD1110" s="773"/>
      <c r="DE1110" s="773"/>
      <c r="DF1110" s="773"/>
      <c r="DG1110" s="773"/>
      <c r="DH1110" s="773"/>
      <c r="DI1110" s="773"/>
      <c r="DJ1110" s="773"/>
      <c r="DK1110" s="773"/>
      <c r="DL1110" s="773"/>
      <c r="DM1110" s="773"/>
      <c r="DN1110" s="773"/>
      <c r="DO1110" s="773"/>
      <c r="DP1110" s="773"/>
      <c r="DQ1110" s="773"/>
      <c r="DR1110" s="773"/>
      <c r="DS1110" s="773"/>
      <c r="DT1110" s="773"/>
      <c r="DU1110" s="773"/>
      <c r="DV1110" s="773"/>
      <c r="DW1110" s="773"/>
      <c r="DX1110" s="773"/>
      <c r="DY1110" s="773"/>
      <c r="DZ1110" s="773"/>
      <c r="EA1110" s="773"/>
      <c r="EB1110" s="773"/>
      <c r="EC1110" s="773"/>
      <c r="ED1110" s="773"/>
      <c r="EE1110" s="773"/>
      <c r="EF1110" s="773"/>
      <c r="EG1110" s="773"/>
      <c r="EH1110" s="773"/>
      <c r="EI1110" s="773"/>
      <c r="EJ1110" s="773"/>
      <c r="EK1110" s="773"/>
      <c r="EL1110" s="773"/>
      <c r="EM1110" s="773"/>
      <c r="EN1110" s="773"/>
      <c r="EO1110" s="773"/>
      <c r="EP1110" s="773"/>
      <c r="EQ1110" s="773"/>
      <c r="ER1110" s="773"/>
      <c r="ES1110" s="773"/>
      <c r="ET1110" s="773"/>
      <c r="EU1110" s="773"/>
      <c r="EV1110" s="773"/>
      <c r="EW1110" s="773"/>
      <c r="EX1110" s="773"/>
      <c r="EY1110" s="773"/>
      <c r="EZ1110" s="773"/>
      <c r="FA1110" s="773"/>
      <c r="FB1110" s="773"/>
      <c r="FC1110" s="773"/>
      <c r="FD1110" s="773"/>
      <c r="FE1110" s="773"/>
      <c r="FF1110" s="773"/>
      <c r="FG1110" s="773"/>
      <c r="FH1110" s="773"/>
      <c r="FI1110" s="773"/>
      <c r="FJ1110" s="773"/>
      <c r="FK1110" s="773"/>
      <c r="FL1110" s="773"/>
      <c r="FM1110" s="773"/>
      <c r="FN1110" s="773"/>
      <c r="FO1110" s="773"/>
      <c r="FP1110" s="773"/>
      <c r="FQ1110" s="773"/>
      <c r="FR1110" s="773"/>
      <c r="FS1110" s="773"/>
      <c r="FT1110" s="773"/>
      <c r="FU1110" s="773"/>
      <c r="FV1110" s="773"/>
      <c r="FW1110" s="773"/>
      <c r="FX1110" s="773"/>
      <c r="FY1110" s="773"/>
      <c r="FZ1110" s="773"/>
      <c r="GA1110" s="773"/>
      <c r="GB1110" s="773"/>
      <c r="GC1110" s="773"/>
      <c r="GD1110" s="773"/>
      <c r="GE1110" s="773"/>
      <c r="GF1110" s="773"/>
      <c r="GG1110" s="773"/>
      <c r="GH1110" s="773"/>
      <c r="GI1110" s="773"/>
      <c r="GJ1110" s="773"/>
      <c r="GK1110" s="773"/>
      <c r="GL1110" s="773"/>
      <c r="GM1110" s="773"/>
      <c r="GN1110" s="773"/>
      <c r="GO1110" s="773"/>
      <c r="GP1110" s="773"/>
      <c r="GQ1110" s="773"/>
      <c r="GR1110" s="773"/>
      <c r="GS1110" s="773"/>
      <c r="GT1110" s="773"/>
      <c r="GU1110" s="773"/>
      <c r="GV1110" s="773"/>
      <c r="GW1110" s="773"/>
      <c r="GX1110" s="773"/>
      <c r="GY1110" s="773"/>
      <c r="GZ1110" s="773"/>
    </row>
    <row r="1111" spans="1:208" s="11" customFormat="1">
      <c r="A1111" s="917"/>
      <c r="B1111" s="918"/>
      <c r="C1111" s="767"/>
      <c r="D1111" s="173"/>
      <c r="E1111" s="769"/>
      <c r="F1111" s="769"/>
      <c r="G1111" s="769"/>
      <c r="H1111" s="769"/>
      <c r="I1111" s="769"/>
      <c r="J1111" s="769"/>
      <c r="K1111" s="209"/>
      <c r="M1111" s="771"/>
      <c r="N1111" s="773"/>
      <c r="O1111" s="772"/>
      <c r="P1111" s="772"/>
      <c r="Q1111" s="772"/>
      <c r="R1111" s="772"/>
      <c r="S1111" s="772"/>
      <c r="T1111" s="773"/>
      <c r="V1111" s="773"/>
      <c r="W1111" s="722"/>
      <c r="X1111" s="722"/>
      <c r="Y1111" s="773"/>
      <c r="Z1111" s="773"/>
      <c r="AA1111" s="773"/>
      <c r="AB1111" s="773"/>
      <c r="AC1111" s="773"/>
      <c r="AD1111" s="773"/>
      <c r="AE1111" s="773"/>
      <c r="AF1111" s="773"/>
      <c r="AG1111" s="773"/>
      <c r="AH1111" s="773"/>
      <c r="AI1111" s="773"/>
      <c r="AJ1111" s="773"/>
      <c r="AK1111" s="773"/>
      <c r="AL1111" s="773"/>
      <c r="AM1111" s="773"/>
      <c r="AN1111" s="773"/>
      <c r="AO1111" s="773"/>
      <c r="AP1111" s="773"/>
      <c r="AQ1111" s="773"/>
      <c r="AR1111" s="773"/>
      <c r="AS1111" s="773"/>
      <c r="AT1111" s="773"/>
      <c r="AU1111" s="773"/>
      <c r="AV1111" s="722"/>
      <c r="AW1111" s="2510"/>
      <c r="BC1111" s="2510"/>
      <c r="BD1111" s="2510"/>
      <c r="BE1111" s="2173"/>
      <c r="BF1111" s="2173"/>
      <c r="BG1111" s="2173"/>
      <c r="BH1111" s="2173"/>
      <c r="BI1111" s="2173"/>
      <c r="BJ1111" s="2173"/>
      <c r="BK1111" s="2173"/>
      <c r="DB1111" s="773"/>
      <c r="DC1111" s="773"/>
      <c r="DD1111" s="773"/>
      <c r="DE1111" s="773"/>
      <c r="DF1111" s="773"/>
      <c r="DG1111" s="773"/>
      <c r="DH1111" s="773"/>
      <c r="DI1111" s="773"/>
      <c r="DJ1111" s="773"/>
      <c r="DK1111" s="773"/>
      <c r="DL1111" s="773"/>
      <c r="DM1111" s="773"/>
      <c r="DN1111" s="773"/>
      <c r="DO1111" s="773"/>
      <c r="DP1111" s="773"/>
      <c r="DQ1111" s="773"/>
      <c r="DR1111" s="773"/>
      <c r="DS1111" s="773"/>
      <c r="DT1111" s="773"/>
      <c r="DU1111" s="773"/>
      <c r="DV1111" s="773"/>
      <c r="DW1111" s="773"/>
      <c r="DX1111" s="773"/>
      <c r="DY1111" s="773"/>
      <c r="DZ1111" s="773"/>
      <c r="EA1111" s="773"/>
      <c r="EB1111" s="773"/>
      <c r="EC1111" s="773"/>
      <c r="ED1111" s="773"/>
      <c r="EE1111" s="773"/>
      <c r="EF1111" s="773"/>
      <c r="EG1111" s="773"/>
      <c r="EH1111" s="773"/>
      <c r="EI1111" s="773"/>
      <c r="EJ1111" s="773"/>
      <c r="EK1111" s="773"/>
      <c r="EL1111" s="773"/>
      <c r="EM1111" s="773"/>
      <c r="EN1111" s="773"/>
      <c r="EO1111" s="773"/>
      <c r="EP1111" s="773"/>
      <c r="EQ1111" s="773"/>
      <c r="ER1111" s="773"/>
      <c r="ES1111" s="773"/>
      <c r="ET1111" s="773"/>
      <c r="EU1111" s="773"/>
      <c r="EV1111" s="773"/>
      <c r="EW1111" s="773"/>
      <c r="EX1111" s="773"/>
      <c r="EY1111" s="773"/>
      <c r="EZ1111" s="773"/>
      <c r="FA1111" s="773"/>
      <c r="FB1111" s="773"/>
      <c r="FC1111" s="773"/>
      <c r="FD1111" s="773"/>
      <c r="FE1111" s="773"/>
      <c r="FF1111" s="773"/>
      <c r="FG1111" s="773"/>
      <c r="FH1111" s="773"/>
      <c r="FI1111" s="773"/>
      <c r="FJ1111" s="773"/>
      <c r="FK1111" s="773"/>
      <c r="FL1111" s="773"/>
      <c r="FM1111" s="773"/>
      <c r="FN1111" s="773"/>
      <c r="FO1111" s="773"/>
      <c r="FP1111" s="773"/>
      <c r="FQ1111" s="773"/>
      <c r="FR1111" s="773"/>
      <c r="FS1111" s="773"/>
      <c r="FT1111" s="773"/>
      <c r="FU1111" s="773"/>
      <c r="FV1111" s="773"/>
      <c r="FW1111" s="773"/>
      <c r="FX1111" s="773"/>
      <c r="FY1111" s="773"/>
      <c r="FZ1111" s="773"/>
      <c r="GA1111" s="773"/>
      <c r="GB1111" s="773"/>
      <c r="GC1111" s="773"/>
      <c r="GD1111" s="773"/>
      <c r="GE1111" s="773"/>
      <c r="GF1111" s="773"/>
      <c r="GG1111" s="773"/>
      <c r="GH1111" s="773"/>
      <c r="GI1111" s="773"/>
      <c r="GJ1111" s="773"/>
      <c r="GK1111" s="773"/>
      <c r="GL1111" s="773"/>
      <c r="GM1111" s="773"/>
      <c r="GN1111" s="773"/>
      <c r="GO1111" s="773"/>
      <c r="GP1111" s="773"/>
      <c r="GQ1111" s="773"/>
      <c r="GR1111" s="773"/>
      <c r="GS1111" s="773"/>
      <c r="GT1111" s="773"/>
      <c r="GU1111" s="773"/>
      <c r="GV1111" s="773"/>
      <c r="GW1111" s="773"/>
      <c r="GX1111" s="773"/>
      <c r="GY1111" s="773"/>
      <c r="GZ1111" s="773"/>
    </row>
    <row r="1112" spans="1:208" s="11" customFormat="1">
      <c r="A1112" s="917"/>
      <c r="B1112" s="918"/>
      <c r="C1112" s="767"/>
      <c r="D1112" s="173"/>
      <c r="E1112" s="769"/>
      <c r="F1112" s="769"/>
      <c r="G1112" s="769"/>
      <c r="H1112" s="769"/>
      <c r="I1112" s="769"/>
      <c r="J1112" s="769"/>
      <c r="K1112" s="209"/>
      <c r="M1112" s="771"/>
      <c r="N1112" s="773"/>
      <c r="O1112" s="772"/>
      <c r="P1112" s="772"/>
      <c r="Q1112" s="772"/>
      <c r="R1112" s="772"/>
      <c r="S1112" s="772"/>
      <c r="T1112" s="773"/>
      <c r="V1112" s="773"/>
      <c r="W1112" s="722"/>
      <c r="X1112" s="722"/>
      <c r="Y1112" s="773"/>
      <c r="Z1112" s="773"/>
      <c r="AA1112" s="773"/>
      <c r="AB1112" s="773"/>
      <c r="AC1112" s="773"/>
      <c r="AD1112" s="773"/>
      <c r="AE1112" s="773"/>
      <c r="AF1112" s="773"/>
      <c r="AG1112" s="773"/>
      <c r="AH1112" s="773"/>
      <c r="AI1112" s="773"/>
      <c r="AJ1112" s="773"/>
      <c r="AK1112" s="773"/>
      <c r="AL1112" s="773"/>
      <c r="AM1112" s="773"/>
      <c r="AN1112" s="773"/>
      <c r="AO1112" s="773"/>
      <c r="AP1112" s="773"/>
      <c r="AQ1112" s="773"/>
      <c r="AR1112" s="773"/>
      <c r="AS1112" s="773"/>
      <c r="AT1112" s="773"/>
      <c r="AU1112" s="773"/>
      <c r="AV1112" s="722"/>
      <c r="AW1112" s="2510"/>
      <c r="BC1112" s="2510"/>
      <c r="BD1112" s="2510"/>
      <c r="BE1112" s="2173"/>
      <c r="BF1112" s="2173"/>
      <c r="BG1112" s="2173"/>
      <c r="BH1112" s="2173"/>
      <c r="BI1112" s="2173"/>
      <c r="BJ1112" s="2173"/>
      <c r="BK1112" s="2173"/>
      <c r="DB1112" s="773"/>
      <c r="DC1112" s="773"/>
      <c r="DD1112" s="773"/>
      <c r="DE1112" s="773"/>
      <c r="DF1112" s="773"/>
      <c r="DG1112" s="773"/>
      <c r="DH1112" s="773"/>
      <c r="DI1112" s="773"/>
      <c r="DJ1112" s="773"/>
      <c r="DK1112" s="773"/>
      <c r="DL1112" s="773"/>
      <c r="DM1112" s="773"/>
      <c r="DN1112" s="773"/>
      <c r="DO1112" s="773"/>
      <c r="DP1112" s="773"/>
      <c r="DQ1112" s="773"/>
      <c r="DR1112" s="773"/>
      <c r="DS1112" s="773"/>
      <c r="DT1112" s="773"/>
      <c r="DU1112" s="773"/>
      <c r="DV1112" s="773"/>
      <c r="DW1112" s="773"/>
      <c r="DX1112" s="773"/>
      <c r="DY1112" s="773"/>
      <c r="DZ1112" s="773"/>
      <c r="EA1112" s="773"/>
      <c r="EB1112" s="773"/>
      <c r="EC1112" s="773"/>
      <c r="ED1112" s="773"/>
      <c r="EE1112" s="773"/>
      <c r="EF1112" s="773"/>
      <c r="EG1112" s="773"/>
      <c r="EH1112" s="773"/>
      <c r="EI1112" s="773"/>
      <c r="EJ1112" s="773"/>
      <c r="EK1112" s="773"/>
      <c r="EL1112" s="773"/>
      <c r="EM1112" s="773"/>
      <c r="EN1112" s="773"/>
      <c r="EO1112" s="773"/>
      <c r="EP1112" s="773"/>
      <c r="EQ1112" s="773"/>
      <c r="ER1112" s="773"/>
      <c r="ES1112" s="773"/>
      <c r="ET1112" s="773"/>
      <c r="EU1112" s="773"/>
      <c r="EV1112" s="773"/>
      <c r="EW1112" s="773"/>
      <c r="EX1112" s="773"/>
      <c r="EY1112" s="773"/>
      <c r="EZ1112" s="773"/>
      <c r="FA1112" s="773"/>
      <c r="FB1112" s="773"/>
      <c r="FC1112" s="773"/>
      <c r="FD1112" s="773"/>
      <c r="FE1112" s="773"/>
      <c r="FF1112" s="773"/>
      <c r="FG1112" s="773"/>
      <c r="FH1112" s="773"/>
      <c r="FI1112" s="773"/>
      <c r="FJ1112" s="773"/>
      <c r="FK1112" s="773"/>
      <c r="FL1112" s="773"/>
      <c r="FM1112" s="773"/>
      <c r="FN1112" s="773"/>
      <c r="FO1112" s="773"/>
      <c r="FP1112" s="773"/>
      <c r="FQ1112" s="773"/>
      <c r="FR1112" s="773"/>
      <c r="FS1112" s="773"/>
      <c r="FT1112" s="773"/>
      <c r="FU1112" s="773"/>
      <c r="FV1112" s="773"/>
      <c r="FW1112" s="773"/>
      <c r="FX1112" s="773"/>
      <c r="FY1112" s="773"/>
      <c r="FZ1112" s="773"/>
      <c r="GA1112" s="773"/>
      <c r="GB1112" s="773"/>
      <c r="GC1112" s="773"/>
      <c r="GD1112" s="773"/>
      <c r="GE1112" s="773"/>
      <c r="GF1112" s="773"/>
      <c r="GG1112" s="773"/>
      <c r="GH1112" s="773"/>
      <c r="GI1112" s="773"/>
      <c r="GJ1112" s="773"/>
      <c r="GK1112" s="773"/>
      <c r="GL1112" s="773"/>
      <c r="GM1112" s="773"/>
      <c r="GN1112" s="773"/>
      <c r="GO1112" s="773"/>
      <c r="GP1112" s="773"/>
      <c r="GQ1112" s="773"/>
      <c r="GR1112" s="773"/>
      <c r="GS1112" s="773"/>
      <c r="GT1112" s="773"/>
      <c r="GU1112" s="773"/>
      <c r="GV1112" s="773"/>
      <c r="GW1112" s="773"/>
      <c r="GX1112" s="773"/>
      <c r="GY1112" s="773"/>
      <c r="GZ1112" s="773"/>
    </row>
    <row r="1113" spans="1:208" s="11" customFormat="1">
      <c r="A1113" s="917"/>
      <c r="B1113" s="918"/>
      <c r="C1113" s="767"/>
      <c r="D1113" s="173"/>
      <c r="E1113" s="769"/>
      <c r="F1113" s="769"/>
      <c r="G1113" s="769"/>
      <c r="H1113" s="769"/>
      <c r="I1113" s="769"/>
      <c r="J1113" s="769"/>
      <c r="K1113" s="209"/>
      <c r="M1113" s="771"/>
      <c r="N1113" s="773"/>
      <c r="O1113" s="772"/>
      <c r="P1113" s="772"/>
      <c r="Q1113" s="772"/>
      <c r="R1113" s="772"/>
      <c r="S1113" s="772"/>
      <c r="T1113" s="773"/>
      <c r="V1113" s="773"/>
      <c r="W1113" s="716"/>
      <c r="X1113" s="722"/>
      <c r="Y1113" s="773"/>
      <c r="Z1113" s="773"/>
      <c r="AA1113" s="773"/>
      <c r="AB1113" s="773"/>
      <c r="AC1113" s="773"/>
      <c r="AD1113" s="773"/>
      <c r="AE1113" s="773"/>
      <c r="AF1113" s="773"/>
      <c r="AG1113" s="773"/>
      <c r="AH1113" s="773"/>
      <c r="AI1113" s="773"/>
      <c r="AJ1113" s="773"/>
      <c r="AK1113" s="773"/>
      <c r="AL1113" s="773"/>
      <c r="AM1113" s="773"/>
      <c r="AN1113" s="773"/>
      <c r="AO1113" s="773"/>
      <c r="AP1113" s="773"/>
      <c r="AQ1113" s="773"/>
      <c r="AR1113" s="773"/>
      <c r="AS1113" s="773"/>
      <c r="AT1113" s="773"/>
      <c r="AU1113" s="773"/>
      <c r="AV1113" s="716"/>
      <c r="AW1113" s="2510"/>
      <c r="BC1113" s="2510"/>
      <c r="BD1113" s="2510"/>
      <c r="BE1113" s="2173"/>
      <c r="BF1113" s="2173"/>
      <c r="BG1113" s="2173"/>
      <c r="BH1113" s="2173"/>
      <c r="BI1113" s="2173"/>
      <c r="BJ1113" s="2173"/>
      <c r="BK1113" s="2173"/>
      <c r="DB1113" s="773"/>
      <c r="DC1113" s="773"/>
      <c r="DD1113" s="773"/>
      <c r="DE1113" s="773"/>
      <c r="DF1113" s="773"/>
      <c r="DG1113" s="773"/>
      <c r="DH1113" s="773"/>
      <c r="DI1113" s="773"/>
      <c r="DJ1113" s="773"/>
      <c r="DK1113" s="773"/>
      <c r="DL1113" s="773"/>
      <c r="DM1113" s="773"/>
      <c r="DN1113" s="773"/>
      <c r="DO1113" s="773"/>
      <c r="DP1113" s="773"/>
      <c r="DQ1113" s="773"/>
      <c r="DR1113" s="773"/>
      <c r="DS1113" s="773"/>
      <c r="DT1113" s="773"/>
      <c r="DU1113" s="773"/>
      <c r="DV1113" s="773"/>
      <c r="DW1113" s="773"/>
      <c r="DX1113" s="773"/>
      <c r="DY1113" s="773"/>
      <c r="DZ1113" s="773"/>
      <c r="EA1113" s="773"/>
      <c r="EB1113" s="773"/>
      <c r="EC1113" s="773"/>
      <c r="ED1113" s="773"/>
      <c r="EE1113" s="773"/>
      <c r="EF1113" s="773"/>
      <c r="EG1113" s="773"/>
      <c r="EH1113" s="773"/>
      <c r="EI1113" s="773"/>
      <c r="EJ1113" s="773"/>
      <c r="EK1113" s="773"/>
      <c r="EL1113" s="773"/>
      <c r="EM1113" s="773"/>
      <c r="EN1113" s="773"/>
      <c r="EO1113" s="773"/>
      <c r="EP1113" s="773"/>
      <c r="EQ1113" s="773"/>
      <c r="ER1113" s="773"/>
      <c r="ES1113" s="773"/>
      <c r="ET1113" s="773"/>
      <c r="EU1113" s="773"/>
      <c r="EV1113" s="773"/>
      <c r="EW1113" s="773"/>
      <c r="EX1113" s="773"/>
      <c r="EY1113" s="773"/>
      <c r="EZ1113" s="773"/>
      <c r="FA1113" s="773"/>
      <c r="FB1113" s="773"/>
      <c r="FC1113" s="773"/>
      <c r="FD1113" s="773"/>
      <c r="FE1113" s="773"/>
      <c r="FF1113" s="773"/>
      <c r="FG1113" s="773"/>
      <c r="FH1113" s="773"/>
      <c r="FI1113" s="773"/>
      <c r="FJ1113" s="773"/>
      <c r="FK1113" s="773"/>
      <c r="FL1113" s="773"/>
      <c r="FM1113" s="773"/>
      <c r="FN1113" s="773"/>
      <c r="FO1113" s="773"/>
      <c r="FP1113" s="773"/>
      <c r="FQ1113" s="773"/>
      <c r="FR1113" s="773"/>
      <c r="FS1113" s="773"/>
      <c r="FT1113" s="773"/>
      <c r="FU1113" s="773"/>
      <c r="FV1113" s="773"/>
      <c r="FW1113" s="773"/>
      <c r="FX1113" s="773"/>
      <c r="FY1113" s="773"/>
      <c r="FZ1113" s="773"/>
      <c r="GA1113" s="773"/>
      <c r="GB1113" s="773"/>
      <c r="GC1113" s="773"/>
      <c r="GD1113" s="773"/>
      <c r="GE1113" s="773"/>
      <c r="GF1113" s="773"/>
      <c r="GG1113" s="773"/>
      <c r="GH1113" s="773"/>
      <c r="GI1113" s="773"/>
      <c r="GJ1113" s="773"/>
      <c r="GK1113" s="773"/>
      <c r="GL1113" s="773"/>
      <c r="GM1113" s="773"/>
      <c r="GN1113" s="773"/>
      <c r="GO1113" s="773"/>
      <c r="GP1113" s="773"/>
      <c r="GQ1113" s="773"/>
      <c r="GR1113" s="773"/>
      <c r="GS1113" s="773"/>
      <c r="GT1113" s="773"/>
      <c r="GU1113" s="773"/>
      <c r="GV1113" s="773"/>
      <c r="GW1113" s="773"/>
      <c r="GX1113" s="773"/>
      <c r="GY1113" s="773"/>
      <c r="GZ1113" s="773"/>
    </row>
    <row r="1114" spans="1:208" s="11" customFormat="1">
      <c r="A1114" s="917"/>
      <c r="B1114" s="918"/>
      <c r="C1114" s="767"/>
      <c r="D1114" s="173"/>
      <c r="E1114" s="769"/>
      <c r="F1114" s="769"/>
      <c r="G1114" s="769"/>
      <c r="H1114" s="769"/>
      <c r="I1114" s="769"/>
      <c r="J1114" s="769"/>
      <c r="K1114" s="209"/>
      <c r="M1114" s="771"/>
      <c r="N1114" s="773"/>
      <c r="O1114" s="772"/>
      <c r="P1114" s="772"/>
      <c r="Q1114" s="772"/>
      <c r="R1114" s="772"/>
      <c r="S1114" s="772"/>
      <c r="T1114" s="773"/>
      <c r="V1114" s="773"/>
      <c r="W1114" s="722"/>
      <c r="X1114" s="722"/>
      <c r="Y1114" s="773"/>
      <c r="Z1114" s="773"/>
      <c r="AA1114" s="773"/>
      <c r="AB1114" s="773"/>
      <c r="AC1114" s="773"/>
      <c r="AD1114" s="773"/>
      <c r="AE1114" s="773"/>
      <c r="AF1114" s="773"/>
      <c r="AG1114" s="773"/>
      <c r="AH1114" s="773"/>
      <c r="AI1114" s="773"/>
      <c r="AJ1114" s="773"/>
      <c r="AK1114" s="773"/>
      <c r="AL1114" s="773"/>
      <c r="AM1114" s="773"/>
      <c r="AN1114" s="773"/>
      <c r="AO1114" s="773"/>
      <c r="AP1114" s="773"/>
      <c r="AQ1114" s="773"/>
      <c r="AR1114" s="773"/>
      <c r="AS1114" s="773"/>
      <c r="AT1114" s="773"/>
      <c r="AU1114" s="773"/>
      <c r="AV1114" s="722"/>
      <c r="AW1114" s="2510"/>
      <c r="BC1114" s="2510"/>
      <c r="BD1114" s="2510"/>
      <c r="BE1114" s="2173"/>
      <c r="BF1114" s="2173"/>
      <c r="BG1114" s="2173"/>
      <c r="BH1114" s="2173"/>
      <c r="BI1114" s="2173"/>
      <c r="BJ1114" s="2173"/>
      <c r="BK1114" s="2173"/>
      <c r="DB1114" s="773"/>
      <c r="DC1114" s="773"/>
      <c r="DD1114" s="773"/>
      <c r="DE1114" s="773"/>
      <c r="DF1114" s="773"/>
      <c r="DG1114" s="773"/>
      <c r="DH1114" s="773"/>
      <c r="DI1114" s="773"/>
      <c r="DJ1114" s="773"/>
      <c r="DK1114" s="773"/>
      <c r="DL1114" s="773"/>
      <c r="DM1114" s="773"/>
      <c r="DN1114" s="773"/>
      <c r="DO1114" s="773"/>
      <c r="DP1114" s="773"/>
      <c r="DQ1114" s="773"/>
      <c r="DR1114" s="773"/>
      <c r="DS1114" s="773"/>
      <c r="DT1114" s="773"/>
      <c r="DU1114" s="773"/>
      <c r="DV1114" s="773"/>
      <c r="DW1114" s="773"/>
      <c r="DX1114" s="773"/>
      <c r="DY1114" s="773"/>
      <c r="DZ1114" s="773"/>
      <c r="EA1114" s="773"/>
      <c r="EB1114" s="773"/>
      <c r="EC1114" s="773"/>
      <c r="ED1114" s="773"/>
      <c r="EE1114" s="773"/>
      <c r="EF1114" s="773"/>
      <c r="EG1114" s="773"/>
      <c r="EH1114" s="773"/>
      <c r="EI1114" s="773"/>
      <c r="EJ1114" s="773"/>
      <c r="EK1114" s="773"/>
      <c r="EL1114" s="773"/>
      <c r="EM1114" s="773"/>
      <c r="EN1114" s="773"/>
      <c r="EO1114" s="773"/>
      <c r="EP1114" s="773"/>
      <c r="EQ1114" s="773"/>
      <c r="ER1114" s="773"/>
      <c r="ES1114" s="773"/>
      <c r="ET1114" s="773"/>
      <c r="EU1114" s="773"/>
      <c r="EV1114" s="773"/>
      <c r="EW1114" s="773"/>
      <c r="EX1114" s="773"/>
      <c r="EY1114" s="773"/>
      <c r="EZ1114" s="773"/>
      <c r="FA1114" s="773"/>
      <c r="FB1114" s="773"/>
      <c r="FC1114" s="773"/>
      <c r="FD1114" s="773"/>
      <c r="FE1114" s="773"/>
      <c r="FF1114" s="773"/>
      <c r="FG1114" s="773"/>
      <c r="FH1114" s="773"/>
      <c r="FI1114" s="773"/>
      <c r="FJ1114" s="773"/>
      <c r="FK1114" s="773"/>
      <c r="FL1114" s="773"/>
      <c r="FM1114" s="773"/>
      <c r="FN1114" s="773"/>
      <c r="FO1114" s="773"/>
      <c r="FP1114" s="773"/>
      <c r="FQ1114" s="773"/>
      <c r="FR1114" s="773"/>
      <c r="FS1114" s="773"/>
      <c r="FT1114" s="773"/>
      <c r="FU1114" s="773"/>
      <c r="FV1114" s="773"/>
      <c r="FW1114" s="773"/>
      <c r="FX1114" s="773"/>
      <c r="FY1114" s="773"/>
      <c r="FZ1114" s="773"/>
      <c r="GA1114" s="773"/>
      <c r="GB1114" s="773"/>
      <c r="GC1114" s="773"/>
      <c r="GD1114" s="773"/>
      <c r="GE1114" s="773"/>
      <c r="GF1114" s="773"/>
      <c r="GG1114" s="773"/>
      <c r="GH1114" s="773"/>
      <c r="GI1114" s="773"/>
      <c r="GJ1114" s="773"/>
      <c r="GK1114" s="773"/>
      <c r="GL1114" s="773"/>
      <c r="GM1114" s="773"/>
      <c r="GN1114" s="773"/>
      <c r="GO1114" s="773"/>
      <c r="GP1114" s="773"/>
      <c r="GQ1114" s="773"/>
      <c r="GR1114" s="773"/>
      <c r="GS1114" s="773"/>
      <c r="GT1114" s="773"/>
      <c r="GU1114" s="773"/>
      <c r="GV1114" s="773"/>
      <c r="GW1114" s="773"/>
      <c r="GX1114" s="773"/>
      <c r="GY1114" s="773"/>
      <c r="GZ1114" s="773"/>
    </row>
    <row r="1115" spans="1:208" s="11" customFormat="1">
      <c r="A1115" s="917"/>
      <c r="B1115" s="918"/>
      <c r="C1115" s="767"/>
      <c r="D1115" s="173"/>
      <c r="E1115" s="769"/>
      <c r="F1115" s="769"/>
      <c r="G1115" s="769"/>
      <c r="H1115" s="769"/>
      <c r="I1115" s="769"/>
      <c r="J1115" s="769"/>
      <c r="K1115" s="209"/>
      <c r="M1115" s="771"/>
      <c r="N1115" s="773"/>
      <c r="O1115" s="772"/>
      <c r="P1115" s="772"/>
      <c r="Q1115" s="772"/>
      <c r="R1115" s="772"/>
      <c r="S1115" s="772"/>
      <c r="T1115" s="773"/>
      <c r="V1115" s="773"/>
      <c r="W1115" s="722"/>
      <c r="X1115" s="722"/>
      <c r="Y1115" s="773"/>
      <c r="Z1115" s="773"/>
      <c r="AA1115" s="773"/>
      <c r="AB1115" s="773"/>
      <c r="AC1115" s="773"/>
      <c r="AD1115" s="773"/>
      <c r="AE1115" s="773"/>
      <c r="AF1115" s="773"/>
      <c r="AG1115" s="773"/>
      <c r="AH1115" s="773"/>
      <c r="AI1115" s="773"/>
      <c r="AJ1115" s="773"/>
      <c r="AK1115" s="773"/>
      <c r="AL1115" s="773"/>
      <c r="AM1115" s="773"/>
      <c r="AN1115" s="773"/>
      <c r="AO1115" s="773"/>
      <c r="AP1115" s="773"/>
      <c r="AQ1115" s="773"/>
      <c r="AR1115" s="773"/>
      <c r="AS1115" s="773"/>
      <c r="AT1115" s="773"/>
      <c r="AU1115" s="773"/>
      <c r="AV1115" s="722"/>
      <c r="AW1115" s="2510"/>
      <c r="BC1115" s="2510"/>
      <c r="BD1115" s="2510"/>
      <c r="BE1115" s="2173"/>
      <c r="BF1115" s="2173"/>
      <c r="BG1115" s="2173"/>
      <c r="BH1115" s="2173"/>
      <c r="BI1115" s="2173"/>
      <c r="BJ1115" s="2173"/>
      <c r="BK1115" s="2173"/>
      <c r="DB1115" s="773"/>
      <c r="DC1115" s="773"/>
      <c r="DD1115" s="773"/>
      <c r="DE1115" s="773"/>
      <c r="DF1115" s="773"/>
      <c r="DG1115" s="773"/>
      <c r="DH1115" s="773"/>
      <c r="DI1115" s="773"/>
      <c r="DJ1115" s="773"/>
      <c r="DK1115" s="773"/>
      <c r="DL1115" s="773"/>
      <c r="DM1115" s="773"/>
      <c r="DN1115" s="773"/>
      <c r="DO1115" s="773"/>
      <c r="DP1115" s="773"/>
      <c r="DQ1115" s="773"/>
      <c r="DR1115" s="773"/>
      <c r="DS1115" s="773"/>
      <c r="DT1115" s="773"/>
      <c r="DU1115" s="773"/>
      <c r="DV1115" s="773"/>
      <c r="DW1115" s="773"/>
      <c r="DX1115" s="773"/>
      <c r="DY1115" s="773"/>
      <c r="DZ1115" s="773"/>
      <c r="EA1115" s="773"/>
      <c r="EB1115" s="773"/>
      <c r="EC1115" s="773"/>
      <c r="ED1115" s="773"/>
      <c r="EE1115" s="773"/>
      <c r="EF1115" s="773"/>
      <c r="EG1115" s="773"/>
      <c r="EH1115" s="773"/>
      <c r="EI1115" s="773"/>
      <c r="EJ1115" s="773"/>
      <c r="EK1115" s="773"/>
      <c r="EL1115" s="773"/>
      <c r="EM1115" s="773"/>
      <c r="EN1115" s="773"/>
      <c r="EO1115" s="773"/>
      <c r="EP1115" s="773"/>
      <c r="EQ1115" s="773"/>
      <c r="ER1115" s="773"/>
      <c r="ES1115" s="773"/>
      <c r="ET1115" s="773"/>
      <c r="EU1115" s="773"/>
      <c r="EV1115" s="773"/>
      <c r="EW1115" s="773"/>
      <c r="EX1115" s="773"/>
      <c r="EY1115" s="773"/>
      <c r="EZ1115" s="773"/>
      <c r="FA1115" s="773"/>
      <c r="FB1115" s="773"/>
      <c r="FC1115" s="773"/>
      <c r="FD1115" s="773"/>
      <c r="FE1115" s="773"/>
      <c r="FF1115" s="773"/>
      <c r="FG1115" s="773"/>
      <c r="FH1115" s="773"/>
      <c r="FI1115" s="773"/>
      <c r="FJ1115" s="773"/>
      <c r="FK1115" s="773"/>
      <c r="FL1115" s="773"/>
      <c r="FM1115" s="773"/>
      <c r="FN1115" s="773"/>
      <c r="FO1115" s="773"/>
      <c r="FP1115" s="773"/>
      <c r="FQ1115" s="773"/>
      <c r="FR1115" s="773"/>
      <c r="FS1115" s="773"/>
      <c r="FT1115" s="773"/>
      <c r="FU1115" s="773"/>
      <c r="FV1115" s="773"/>
      <c r="FW1115" s="773"/>
      <c r="FX1115" s="773"/>
      <c r="FY1115" s="773"/>
      <c r="FZ1115" s="773"/>
      <c r="GA1115" s="773"/>
      <c r="GB1115" s="773"/>
      <c r="GC1115" s="773"/>
      <c r="GD1115" s="773"/>
      <c r="GE1115" s="773"/>
      <c r="GF1115" s="773"/>
      <c r="GG1115" s="773"/>
      <c r="GH1115" s="773"/>
      <c r="GI1115" s="773"/>
      <c r="GJ1115" s="773"/>
      <c r="GK1115" s="773"/>
      <c r="GL1115" s="773"/>
      <c r="GM1115" s="773"/>
      <c r="GN1115" s="773"/>
      <c r="GO1115" s="773"/>
      <c r="GP1115" s="773"/>
      <c r="GQ1115" s="773"/>
      <c r="GR1115" s="773"/>
      <c r="GS1115" s="773"/>
      <c r="GT1115" s="773"/>
      <c r="GU1115" s="773"/>
      <c r="GV1115" s="773"/>
      <c r="GW1115" s="773"/>
      <c r="GX1115" s="773"/>
      <c r="GY1115" s="773"/>
      <c r="GZ1115" s="773"/>
    </row>
    <row r="1116" spans="1:208" s="11" customFormat="1">
      <c r="A1116" s="917"/>
      <c r="B1116" s="918"/>
      <c r="C1116" s="767"/>
      <c r="D1116" s="173"/>
      <c r="E1116" s="769"/>
      <c r="F1116" s="769"/>
      <c r="G1116" s="769"/>
      <c r="H1116" s="769"/>
      <c r="I1116" s="769"/>
      <c r="J1116" s="769"/>
      <c r="K1116" s="209"/>
      <c r="M1116" s="771"/>
      <c r="N1116" s="773"/>
      <c r="O1116" s="772"/>
      <c r="P1116" s="772"/>
      <c r="Q1116" s="772"/>
      <c r="R1116" s="772"/>
      <c r="S1116" s="772"/>
      <c r="T1116" s="773"/>
      <c r="V1116" s="773"/>
      <c r="W1116" s="722"/>
      <c r="X1116" s="773"/>
      <c r="Y1116" s="773"/>
      <c r="Z1116" s="920"/>
      <c r="AA1116" s="920"/>
      <c r="AB1116" s="920"/>
      <c r="AC1116" s="920"/>
      <c r="AD1116" s="920"/>
      <c r="AE1116" s="920"/>
      <c r="AF1116" s="920"/>
      <c r="AG1116" s="920"/>
      <c r="AH1116" s="920"/>
      <c r="AI1116" s="920"/>
      <c r="AJ1116" s="920"/>
      <c r="AK1116" s="920"/>
      <c r="AL1116" s="920"/>
      <c r="AM1116" s="920"/>
      <c r="AN1116" s="920"/>
      <c r="AO1116" s="920"/>
      <c r="AP1116" s="920"/>
      <c r="AQ1116" s="920"/>
      <c r="AR1116" s="920"/>
      <c r="AS1116" s="920"/>
      <c r="AT1116" s="920"/>
      <c r="AU1116" s="920"/>
      <c r="AV1116" s="722"/>
      <c r="AW1116" s="2510"/>
      <c r="BC1116" s="2510"/>
      <c r="BD1116" s="2510"/>
      <c r="BE1116" s="2173"/>
      <c r="BF1116" s="2173"/>
      <c r="BG1116" s="2173"/>
      <c r="BH1116" s="2173"/>
      <c r="BI1116" s="2173"/>
      <c r="BJ1116" s="2173"/>
      <c r="BK1116" s="2173"/>
      <c r="DB1116" s="773"/>
      <c r="DC1116" s="773"/>
      <c r="DD1116" s="773"/>
      <c r="DE1116" s="773"/>
      <c r="DF1116" s="773"/>
      <c r="DG1116" s="773"/>
      <c r="DH1116" s="773"/>
      <c r="DI1116" s="773"/>
      <c r="DJ1116" s="773"/>
      <c r="DK1116" s="773"/>
      <c r="DL1116" s="773"/>
      <c r="DM1116" s="773"/>
      <c r="DN1116" s="773"/>
      <c r="DO1116" s="773"/>
      <c r="DP1116" s="773"/>
      <c r="DQ1116" s="773"/>
      <c r="DR1116" s="773"/>
      <c r="DS1116" s="773"/>
      <c r="DT1116" s="773"/>
      <c r="DU1116" s="773"/>
      <c r="DV1116" s="773"/>
      <c r="DW1116" s="773"/>
      <c r="DX1116" s="773"/>
      <c r="DY1116" s="773"/>
      <c r="DZ1116" s="773"/>
      <c r="EA1116" s="773"/>
      <c r="EB1116" s="773"/>
      <c r="EC1116" s="773"/>
      <c r="ED1116" s="773"/>
      <c r="EE1116" s="773"/>
      <c r="EF1116" s="773"/>
      <c r="EG1116" s="773"/>
      <c r="EH1116" s="773"/>
      <c r="EI1116" s="773"/>
      <c r="EJ1116" s="773"/>
      <c r="EK1116" s="773"/>
      <c r="EL1116" s="773"/>
      <c r="EM1116" s="773"/>
      <c r="EN1116" s="773"/>
      <c r="EO1116" s="773"/>
      <c r="EP1116" s="773"/>
      <c r="EQ1116" s="773"/>
      <c r="ER1116" s="773"/>
      <c r="ES1116" s="773"/>
      <c r="ET1116" s="773"/>
      <c r="EU1116" s="773"/>
      <c r="EV1116" s="773"/>
      <c r="EW1116" s="773"/>
      <c r="EX1116" s="773"/>
      <c r="EY1116" s="773"/>
      <c r="EZ1116" s="773"/>
      <c r="FA1116" s="773"/>
      <c r="FB1116" s="773"/>
      <c r="FC1116" s="773"/>
      <c r="FD1116" s="773"/>
      <c r="FE1116" s="773"/>
      <c r="FF1116" s="773"/>
      <c r="FG1116" s="773"/>
      <c r="FH1116" s="773"/>
      <c r="FI1116" s="773"/>
      <c r="FJ1116" s="773"/>
      <c r="FK1116" s="773"/>
      <c r="FL1116" s="773"/>
      <c r="FM1116" s="773"/>
      <c r="FN1116" s="773"/>
      <c r="FO1116" s="773"/>
      <c r="FP1116" s="773"/>
      <c r="FQ1116" s="773"/>
      <c r="FR1116" s="773"/>
      <c r="FS1116" s="773"/>
      <c r="FT1116" s="773"/>
      <c r="FU1116" s="773"/>
      <c r="FV1116" s="773"/>
      <c r="FW1116" s="773"/>
      <c r="FX1116" s="773"/>
      <c r="FY1116" s="773"/>
      <c r="FZ1116" s="773"/>
      <c r="GA1116" s="773"/>
      <c r="GB1116" s="773"/>
      <c r="GC1116" s="773"/>
      <c r="GD1116" s="773"/>
      <c r="GE1116" s="773"/>
      <c r="GF1116" s="773"/>
      <c r="GG1116" s="773"/>
      <c r="GH1116" s="773"/>
      <c r="GI1116" s="773"/>
      <c r="GJ1116" s="773"/>
      <c r="GK1116" s="773"/>
      <c r="GL1116" s="773"/>
      <c r="GM1116" s="773"/>
      <c r="GN1116" s="773"/>
      <c r="GO1116" s="773"/>
      <c r="GP1116" s="773"/>
      <c r="GQ1116" s="773"/>
      <c r="GR1116" s="773"/>
      <c r="GS1116" s="773"/>
      <c r="GT1116" s="773"/>
      <c r="GU1116" s="773"/>
      <c r="GV1116" s="773"/>
      <c r="GW1116" s="773"/>
      <c r="GX1116" s="773"/>
      <c r="GY1116" s="773"/>
      <c r="GZ1116" s="773"/>
    </row>
    <row r="1117" spans="1:208" s="11" customFormat="1">
      <c r="A1117" s="917"/>
      <c r="B1117" s="918"/>
      <c r="C1117" s="767"/>
      <c r="D1117" s="173"/>
      <c r="E1117" s="769"/>
      <c r="F1117" s="769"/>
      <c r="G1117" s="769"/>
      <c r="H1117" s="769"/>
      <c r="I1117" s="769"/>
      <c r="J1117" s="769"/>
      <c r="K1117" s="209"/>
      <c r="M1117" s="771"/>
      <c r="N1117" s="773"/>
      <c r="O1117" s="772"/>
      <c r="P1117" s="772"/>
      <c r="Q1117" s="772"/>
      <c r="R1117" s="772"/>
      <c r="S1117" s="772"/>
      <c r="T1117" s="773"/>
      <c r="V1117" s="773"/>
      <c r="W1117" s="722"/>
      <c r="X1117" s="773"/>
      <c r="Y1117" s="773"/>
      <c r="Z1117" s="716"/>
      <c r="AA1117" s="716"/>
      <c r="AB1117" s="716"/>
      <c r="AC1117" s="716"/>
      <c r="AD1117" s="716"/>
      <c r="AE1117" s="716"/>
      <c r="AF1117" s="716"/>
      <c r="AG1117" s="716"/>
      <c r="AH1117" s="716"/>
      <c r="AI1117" s="716"/>
      <c r="AJ1117" s="716"/>
      <c r="AK1117" s="716"/>
      <c r="AL1117" s="716"/>
      <c r="AM1117" s="716"/>
      <c r="AN1117" s="716"/>
      <c r="AO1117" s="716"/>
      <c r="AP1117" s="716"/>
      <c r="AQ1117" s="716"/>
      <c r="AR1117" s="716"/>
      <c r="AS1117" s="716"/>
      <c r="AT1117" s="716"/>
      <c r="AU1117" s="716"/>
      <c r="AV1117" s="722"/>
      <c r="AW1117" s="2510"/>
      <c r="BC1117" s="2510"/>
      <c r="BD1117" s="2510"/>
      <c r="BE1117" s="2173"/>
      <c r="BF1117" s="2173"/>
      <c r="BG1117" s="2173"/>
      <c r="BH1117" s="2173"/>
      <c r="BI1117" s="2173"/>
      <c r="BJ1117" s="2173"/>
      <c r="BK1117" s="2173"/>
      <c r="DB1117" s="773"/>
      <c r="DC1117" s="773"/>
      <c r="DD1117" s="773"/>
      <c r="DE1117" s="773"/>
      <c r="DF1117" s="773"/>
      <c r="DG1117" s="773"/>
      <c r="DH1117" s="773"/>
      <c r="DI1117" s="773"/>
      <c r="DJ1117" s="773"/>
      <c r="DK1117" s="773"/>
      <c r="DL1117" s="773"/>
      <c r="DM1117" s="773"/>
      <c r="DN1117" s="773"/>
      <c r="DO1117" s="773"/>
      <c r="DP1117" s="773"/>
      <c r="DQ1117" s="773"/>
      <c r="DR1117" s="773"/>
      <c r="DS1117" s="773"/>
      <c r="DT1117" s="773"/>
      <c r="DU1117" s="773"/>
      <c r="DV1117" s="773"/>
      <c r="DW1117" s="773"/>
      <c r="DX1117" s="773"/>
      <c r="DY1117" s="773"/>
      <c r="DZ1117" s="773"/>
      <c r="EA1117" s="773"/>
      <c r="EB1117" s="773"/>
      <c r="EC1117" s="773"/>
      <c r="ED1117" s="773"/>
      <c r="EE1117" s="773"/>
      <c r="EF1117" s="773"/>
      <c r="EG1117" s="773"/>
      <c r="EH1117" s="773"/>
      <c r="EI1117" s="773"/>
      <c r="EJ1117" s="773"/>
      <c r="EK1117" s="773"/>
      <c r="EL1117" s="773"/>
      <c r="EM1117" s="773"/>
      <c r="EN1117" s="773"/>
      <c r="EO1117" s="773"/>
      <c r="EP1117" s="773"/>
      <c r="EQ1117" s="773"/>
      <c r="ER1117" s="773"/>
      <c r="ES1117" s="773"/>
      <c r="ET1117" s="773"/>
      <c r="EU1117" s="773"/>
      <c r="EV1117" s="773"/>
      <c r="EW1117" s="773"/>
      <c r="EX1117" s="773"/>
      <c r="EY1117" s="773"/>
      <c r="EZ1117" s="773"/>
      <c r="FA1117" s="773"/>
      <c r="FB1117" s="773"/>
      <c r="FC1117" s="773"/>
      <c r="FD1117" s="773"/>
      <c r="FE1117" s="773"/>
      <c r="FF1117" s="773"/>
      <c r="FG1117" s="773"/>
      <c r="FH1117" s="773"/>
      <c r="FI1117" s="773"/>
      <c r="FJ1117" s="773"/>
      <c r="FK1117" s="773"/>
      <c r="FL1117" s="773"/>
      <c r="FM1117" s="773"/>
      <c r="FN1117" s="773"/>
      <c r="FO1117" s="773"/>
      <c r="FP1117" s="773"/>
      <c r="FQ1117" s="773"/>
      <c r="FR1117" s="773"/>
      <c r="FS1117" s="773"/>
      <c r="FT1117" s="773"/>
      <c r="FU1117" s="773"/>
      <c r="FV1117" s="773"/>
      <c r="FW1117" s="773"/>
      <c r="FX1117" s="773"/>
      <c r="FY1117" s="773"/>
      <c r="FZ1117" s="773"/>
      <c r="GA1117" s="773"/>
      <c r="GB1117" s="773"/>
      <c r="GC1117" s="773"/>
      <c r="GD1117" s="773"/>
      <c r="GE1117" s="773"/>
      <c r="GF1117" s="773"/>
      <c r="GG1117" s="773"/>
      <c r="GH1117" s="773"/>
      <c r="GI1117" s="773"/>
      <c r="GJ1117" s="773"/>
      <c r="GK1117" s="773"/>
      <c r="GL1117" s="773"/>
      <c r="GM1117" s="773"/>
      <c r="GN1117" s="773"/>
      <c r="GO1117" s="773"/>
      <c r="GP1117" s="773"/>
      <c r="GQ1117" s="773"/>
      <c r="GR1117" s="773"/>
      <c r="GS1117" s="773"/>
      <c r="GT1117" s="773"/>
      <c r="GU1117" s="773"/>
      <c r="GV1117" s="773"/>
      <c r="GW1117" s="773"/>
      <c r="GX1117" s="773"/>
      <c r="GY1117" s="773"/>
      <c r="GZ1117" s="773"/>
    </row>
    <row r="1118" spans="1:208" s="11" customFormat="1">
      <c r="A1118" s="917"/>
      <c r="B1118" s="918"/>
      <c r="C1118" s="767"/>
      <c r="D1118" s="173"/>
      <c r="E1118" s="769"/>
      <c r="F1118" s="769"/>
      <c r="G1118" s="769"/>
      <c r="H1118" s="769"/>
      <c r="I1118" s="769"/>
      <c r="J1118" s="769"/>
      <c r="K1118" s="209"/>
      <c r="M1118" s="771"/>
      <c r="N1118" s="773"/>
      <c r="O1118" s="772"/>
      <c r="P1118" s="772"/>
      <c r="Q1118" s="772"/>
      <c r="R1118" s="772"/>
      <c r="S1118" s="772"/>
      <c r="T1118" s="773"/>
      <c r="V1118" s="773"/>
      <c r="W1118" s="722"/>
      <c r="X1118" s="773"/>
      <c r="Y1118" s="773"/>
      <c r="Z1118" s="716"/>
      <c r="AA1118" s="716"/>
      <c r="AB1118" s="716"/>
      <c r="AC1118" s="716"/>
      <c r="AD1118" s="716"/>
      <c r="AE1118" s="716"/>
      <c r="AF1118" s="716"/>
      <c r="AG1118" s="716"/>
      <c r="AH1118" s="716"/>
      <c r="AI1118" s="716"/>
      <c r="AJ1118" s="716"/>
      <c r="AK1118" s="716"/>
      <c r="AL1118" s="716"/>
      <c r="AM1118" s="716"/>
      <c r="AN1118" s="716"/>
      <c r="AO1118" s="716"/>
      <c r="AP1118" s="716"/>
      <c r="AQ1118" s="716"/>
      <c r="AR1118" s="716"/>
      <c r="AS1118" s="716"/>
      <c r="AT1118" s="716"/>
      <c r="AU1118" s="716"/>
      <c r="AV1118" s="722"/>
      <c r="AW1118" s="2510"/>
      <c r="BC1118" s="2510"/>
      <c r="BD1118" s="2510"/>
      <c r="BE1118" s="2173"/>
      <c r="BF1118" s="2173"/>
      <c r="BG1118" s="2173"/>
      <c r="BH1118" s="2173"/>
      <c r="BI1118" s="2173"/>
      <c r="BJ1118" s="2173"/>
      <c r="BK1118" s="2173"/>
      <c r="DB1118" s="773"/>
      <c r="DC1118" s="773"/>
      <c r="DD1118" s="773"/>
      <c r="DE1118" s="773"/>
      <c r="DF1118" s="773"/>
      <c r="DG1118" s="773"/>
      <c r="DH1118" s="773"/>
      <c r="DI1118" s="773"/>
      <c r="DJ1118" s="773"/>
      <c r="DK1118" s="773"/>
      <c r="DL1118" s="773"/>
      <c r="DM1118" s="773"/>
      <c r="DN1118" s="773"/>
      <c r="DO1118" s="773"/>
      <c r="DP1118" s="773"/>
      <c r="DQ1118" s="773"/>
      <c r="DR1118" s="773"/>
      <c r="DS1118" s="773"/>
      <c r="DT1118" s="773"/>
      <c r="DU1118" s="773"/>
      <c r="DV1118" s="773"/>
      <c r="DW1118" s="773"/>
      <c r="DX1118" s="773"/>
      <c r="DY1118" s="773"/>
      <c r="DZ1118" s="773"/>
      <c r="EA1118" s="773"/>
      <c r="EB1118" s="773"/>
      <c r="EC1118" s="773"/>
      <c r="ED1118" s="773"/>
      <c r="EE1118" s="773"/>
      <c r="EF1118" s="773"/>
      <c r="EG1118" s="773"/>
      <c r="EH1118" s="773"/>
      <c r="EI1118" s="773"/>
      <c r="EJ1118" s="773"/>
      <c r="EK1118" s="773"/>
      <c r="EL1118" s="773"/>
      <c r="EM1118" s="773"/>
      <c r="EN1118" s="773"/>
      <c r="EO1118" s="773"/>
      <c r="EP1118" s="773"/>
      <c r="EQ1118" s="773"/>
      <c r="ER1118" s="773"/>
      <c r="ES1118" s="773"/>
      <c r="ET1118" s="773"/>
      <c r="EU1118" s="773"/>
      <c r="EV1118" s="773"/>
      <c r="EW1118" s="773"/>
      <c r="EX1118" s="773"/>
      <c r="EY1118" s="773"/>
      <c r="EZ1118" s="773"/>
      <c r="FA1118" s="773"/>
      <c r="FB1118" s="773"/>
      <c r="FC1118" s="773"/>
      <c r="FD1118" s="773"/>
      <c r="FE1118" s="773"/>
      <c r="FF1118" s="773"/>
      <c r="FG1118" s="773"/>
      <c r="FH1118" s="773"/>
      <c r="FI1118" s="773"/>
      <c r="FJ1118" s="773"/>
      <c r="FK1118" s="773"/>
      <c r="FL1118" s="773"/>
      <c r="FM1118" s="773"/>
      <c r="FN1118" s="773"/>
      <c r="FO1118" s="773"/>
      <c r="FP1118" s="773"/>
      <c r="FQ1118" s="773"/>
      <c r="FR1118" s="773"/>
      <c r="FS1118" s="773"/>
      <c r="FT1118" s="773"/>
      <c r="FU1118" s="773"/>
      <c r="FV1118" s="773"/>
      <c r="FW1118" s="773"/>
      <c r="FX1118" s="773"/>
      <c r="FY1118" s="773"/>
      <c r="FZ1118" s="773"/>
      <c r="GA1118" s="773"/>
      <c r="GB1118" s="773"/>
      <c r="GC1118" s="773"/>
      <c r="GD1118" s="773"/>
      <c r="GE1118" s="773"/>
      <c r="GF1118" s="773"/>
      <c r="GG1118" s="773"/>
      <c r="GH1118" s="773"/>
      <c r="GI1118" s="773"/>
      <c r="GJ1118" s="773"/>
      <c r="GK1118" s="773"/>
      <c r="GL1118" s="773"/>
      <c r="GM1118" s="773"/>
      <c r="GN1118" s="773"/>
      <c r="GO1118" s="773"/>
      <c r="GP1118" s="773"/>
      <c r="GQ1118" s="773"/>
      <c r="GR1118" s="773"/>
      <c r="GS1118" s="773"/>
      <c r="GT1118" s="773"/>
      <c r="GU1118" s="773"/>
      <c r="GV1118" s="773"/>
      <c r="GW1118" s="773"/>
      <c r="GX1118" s="773"/>
      <c r="GY1118" s="773"/>
      <c r="GZ1118" s="773"/>
    </row>
    <row r="1119" spans="1:208" s="11" customFormat="1">
      <c r="A1119" s="917"/>
      <c r="B1119" s="918"/>
      <c r="C1119" s="767"/>
      <c r="D1119" s="173"/>
      <c r="E1119" s="769"/>
      <c r="F1119" s="769"/>
      <c r="G1119" s="769"/>
      <c r="H1119" s="769"/>
      <c r="I1119" s="769"/>
      <c r="J1119" s="769"/>
      <c r="K1119" s="209"/>
      <c r="M1119" s="771"/>
      <c r="N1119" s="773"/>
      <c r="O1119" s="772"/>
      <c r="P1119" s="772"/>
      <c r="Q1119" s="772"/>
      <c r="R1119" s="772"/>
      <c r="S1119" s="772"/>
      <c r="T1119" s="773"/>
      <c r="V1119" s="773"/>
      <c r="W1119" s="773"/>
      <c r="X1119" s="773"/>
      <c r="Y1119" s="773"/>
      <c r="Z1119" s="722"/>
      <c r="AA1119" s="722"/>
      <c r="AB1119" s="722"/>
      <c r="AC1119" s="722"/>
      <c r="AD1119" s="722"/>
      <c r="AE1119" s="722"/>
      <c r="AF1119" s="722"/>
      <c r="AG1119" s="722"/>
      <c r="AH1119" s="722"/>
      <c r="AI1119" s="722"/>
      <c r="AJ1119" s="722"/>
      <c r="AK1119" s="722"/>
      <c r="AL1119" s="722"/>
      <c r="AM1119" s="722"/>
      <c r="AN1119" s="722"/>
      <c r="AO1119" s="722"/>
      <c r="AP1119" s="722"/>
      <c r="AQ1119" s="722"/>
      <c r="AR1119" s="722"/>
      <c r="AS1119" s="722"/>
      <c r="AT1119" s="722"/>
      <c r="AU1119" s="722"/>
      <c r="AV1119" s="773"/>
      <c r="AW1119" s="2510"/>
      <c r="BC1119" s="2510"/>
      <c r="BD1119" s="2510"/>
      <c r="BE1119" s="2173"/>
      <c r="BF1119" s="2173"/>
      <c r="BG1119" s="2173"/>
      <c r="BH1119" s="2173"/>
      <c r="BI1119" s="2173"/>
      <c r="BJ1119" s="2173"/>
      <c r="BK1119" s="2173"/>
      <c r="DB1119" s="773"/>
      <c r="DC1119" s="773"/>
      <c r="DD1119" s="773"/>
      <c r="DE1119" s="773"/>
      <c r="DF1119" s="773"/>
      <c r="DG1119" s="773"/>
      <c r="DH1119" s="773"/>
      <c r="DI1119" s="773"/>
      <c r="DJ1119" s="773"/>
      <c r="DK1119" s="773"/>
      <c r="DL1119" s="773"/>
      <c r="DM1119" s="773"/>
      <c r="DN1119" s="773"/>
      <c r="DO1119" s="773"/>
      <c r="DP1119" s="773"/>
      <c r="DQ1119" s="773"/>
      <c r="DR1119" s="773"/>
      <c r="DS1119" s="773"/>
      <c r="DT1119" s="773"/>
      <c r="DU1119" s="773"/>
      <c r="DV1119" s="773"/>
      <c r="DW1119" s="773"/>
      <c r="DX1119" s="773"/>
      <c r="DY1119" s="773"/>
      <c r="DZ1119" s="773"/>
      <c r="EA1119" s="773"/>
      <c r="EB1119" s="773"/>
      <c r="EC1119" s="773"/>
      <c r="ED1119" s="773"/>
      <c r="EE1119" s="773"/>
      <c r="EF1119" s="773"/>
      <c r="EG1119" s="773"/>
      <c r="EH1119" s="773"/>
      <c r="EI1119" s="773"/>
      <c r="EJ1119" s="773"/>
      <c r="EK1119" s="773"/>
      <c r="EL1119" s="773"/>
      <c r="EM1119" s="773"/>
      <c r="EN1119" s="773"/>
      <c r="EO1119" s="773"/>
      <c r="EP1119" s="773"/>
      <c r="EQ1119" s="773"/>
      <c r="ER1119" s="773"/>
      <c r="ES1119" s="773"/>
      <c r="ET1119" s="773"/>
      <c r="EU1119" s="773"/>
      <c r="EV1119" s="773"/>
      <c r="EW1119" s="773"/>
      <c r="EX1119" s="773"/>
      <c r="EY1119" s="773"/>
      <c r="EZ1119" s="773"/>
      <c r="FA1119" s="773"/>
      <c r="FB1119" s="773"/>
      <c r="FC1119" s="773"/>
      <c r="FD1119" s="773"/>
      <c r="FE1119" s="773"/>
      <c r="FF1119" s="773"/>
      <c r="FG1119" s="773"/>
      <c r="FH1119" s="773"/>
      <c r="FI1119" s="773"/>
      <c r="FJ1119" s="773"/>
      <c r="FK1119" s="773"/>
      <c r="FL1119" s="773"/>
      <c r="FM1119" s="773"/>
      <c r="FN1119" s="773"/>
      <c r="FO1119" s="773"/>
      <c r="FP1119" s="773"/>
      <c r="FQ1119" s="773"/>
      <c r="FR1119" s="773"/>
      <c r="FS1119" s="773"/>
      <c r="FT1119" s="773"/>
      <c r="FU1119" s="773"/>
      <c r="FV1119" s="773"/>
      <c r="FW1119" s="773"/>
      <c r="FX1119" s="773"/>
      <c r="FY1119" s="773"/>
      <c r="FZ1119" s="773"/>
      <c r="GA1119" s="773"/>
      <c r="GB1119" s="773"/>
      <c r="GC1119" s="773"/>
      <c r="GD1119" s="773"/>
      <c r="GE1119" s="773"/>
      <c r="GF1119" s="773"/>
      <c r="GG1119" s="773"/>
      <c r="GH1119" s="773"/>
      <c r="GI1119" s="773"/>
      <c r="GJ1119" s="773"/>
      <c r="GK1119" s="773"/>
      <c r="GL1119" s="773"/>
      <c r="GM1119" s="773"/>
      <c r="GN1119" s="773"/>
      <c r="GO1119" s="773"/>
      <c r="GP1119" s="773"/>
      <c r="GQ1119" s="773"/>
      <c r="GR1119" s="773"/>
      <c r="GS1119" s="773"/>
      <c r="GT1119" s="773"/>
      <c r="GU1119" s="773"/>
      <c r="GV1119" s="773"/>
      <c r="GW1119" s="773"/>
      <c r="GX1119" s="773"/>
      <c r="GY1119" s="773"/>
      <c r="GZ1119" s="773"/>
    </row>
    <row r="1120" spans="1:208" s="11" customFormat="1">
      <c r="A1120" s="917"/>
      <c r="B1120" s="918"/>
      <c r="C1120" s="767"/>
      <c r="D1120" s="173"/>
      <c r="E1120" s="769"/>
      <c r="F1120" s="769"/>
      <c r="G1120" s="769"/>
      <c r="H1120" s="769"/>
      <c r="I1120" s="769"/>
      <c r="J1120" s="769"/>
      <c r="K1120" s="209"/>
      <c r="M1120" s="771"/>
      <c r="N1120" s="773"/>
      <c r="O1120" s="772"/>
      <c r="P1120" s="772"/>
      <c r="Q1120" s="772"/>
      <c r="R1120" s="772"/>
      <c r="S1120" s="772"/>
      <c r="T1120" s="773"/>
      <c r="V1120" s="773"/>
      <c r="W1120" s="773"/>
      <c r="X1120" s="773"/>
      <c r="Y1120" s="773"/>
      <c r="Z1120" s="722"/>
      <c r="AA1120" s="722"/>
      <c r="AB1120" s="722"/>
      <c r="AC1120" s="722"/>
      <c r="AD1120" s="722"/>
      <c r="AE1120" s="722"/>
      <c r="AF1120" s="722"/>
      <c r="AG1120" s="722"/>
      <c r="AH1120" s="722"/>
      <c r="AI1120" s="722"/>
      <c r="AJ1120" s="722"/>
      <c r="AK1120" s="722"/>
      <c r="AL1120" s="722"/>
      <c r="AM1120" s="722"/>
      <c r="AN1120" s="722"/>
      <c r="AO1120" s="722"/>
      <c r="AP1120" s="722"/>
      <c r="AQ1120" s="722"/>
      <c r="AR1120" s="722"/>
      <c r="AS1120" s="722"/>
      <c r="AT1120" s="722"/>
      <c r="AU1120" s="722"/>
      <c r="AV1120" s="773"/>
      <c r="AW1120" s="2510"/>
      <c r="BC1120" s="2510"/>
      <c r="BD1120" s="2510"/>
      <c r="BE1120" s="2173"/>
      <c r="BF1120" s="2173"/>
      <c r="BG1120" s="2173"/>
      <c r="BH1120" s="2173"/>
      <c r="BI1120" s="2173"/>
      <c r="BJ1120" s="2173"/>
      <c r="BK1120" s="2173"/>
      <c r="DB1120" s="773"/>
      <c r="DC1120" s="773"/>
      <c r="DD1120" s="773"/>
      <c r="DE1120" s="773"/>
      <c r="DF1120" s="773"/>
      <c r="DG1120" s="773"/>
      <c r="DH1120" s="773"/>
      <c r="DI1120" s="773"/>
      <c r="DJ1120" s="773"/>
      <c r="DK1120" s="773"/>
      <c r="DL1120" s="773"/>
      <c r="DM1120" s="773"/>
      <c r="DN1120" s="773"/>
      <c r="DO1120" s="773"/>
      <c r="DP1120" s="773"/>
      <c r="DQ1120" s="773"/>
      <c r="DR1120" s="773"/>
      <c r="DS1120" s="773"/>
      <c r="DT1120" s="773"/>
      <c r="DU1120" s="773"/>
      <c r="DV1120" s="773"/>
      <c r="DW1120" s="773"/>
      <c r="DX1120" s="773"/>
      <c r="DY1120" s="773"/>
      <c r="DZ1120" s="773"/>
      <c r="EA1120" s="773"/>
      <c r="EB1120" s="773"/>
      <c r="EC1120" s="773"/>
      <c r="ED1120" s="773"/>
      <c r="EE1120" s="773"/>
      <c r="EF1120" s="773"/>
      <c r="EG1120" s="773"/>
      <c r="EH1120" s="773"/>
      <c r="EI1120" s="773"/>
      <c r="EJ1120" s="773"/>
      <c r="EK1120" s="773"/>
      <c r="EL1120" s="773"/>
      <c r="EM1120" s="773"/>
      <c r="EN1120" s="773"/>
      <c r="EO1120" s="773"/>
      <c r="EP1120" s="773"/>
      <c r="EQ1120" s="773"/>
      <c r="ER1120" s="773"/>
      <c r="ES1120" s="773"/>
      <c r="ET1120" s="773"/>
      <c r="EU1120" s="773"/>
      <c r="EV1120" s="773"/>
      <c r="EW1120" s="773"/>
      <c r="EX1120" s="773"/>
      <c r="EY1120" s="773"/>
      <c r="EZ1120" s="773"/>
      <c r="FA1120" s="773"/>
      <c r="FB1120" s="773"/>
      <c r="FC1120" s="773"/>
      <c r="FD1120" s="773"/>
      <c r="FE1120" s="773"/>
      <c r="FF1120" s="773"/>
      <c r="FG1120" s="773"/>
      <c r="FH1120" s="773"/>
      <c r="FI1120" s="773"/>
      <c r="FJ1120" s="773"/>
      <c r="FK1120" s="773"/>
      <c r="FL1120" s="773"/>
      <c r="FM1120" s="773"/>
      <c r="FN1120" s="773"/>
      <c r="FO1120" s="773"/>
      <c r="FP1120" s="773"/>
      <c r="FQ1120" s="773"/>
      <c r="FR1120" s="773"/>
      <c r="FS1120" s="773"/>
      <c r="FT1120" s="773"/>
      <c r="FU1120" s="773"/>
      <c r="FV1120" s="773"/>
      <c r="FW1120" s="773"/>
      <c r="FX1120" s="773"/>
      <c r="FY1120" s="773"/>
      <c r="FZ1120" s="773"/>
      <c r="GA1120" s="773"/>
      <c r="GB1120" s="773"/>
      <c r="GC1120" s="773"/>
      <c r="GD1120" s="773"/>
      <c r="GE1120" s="773"/>
      <c r="GF1120" s="773"/>
      <c r="GG1120" s="773"/>
      <c r="GH1120" s="773"/>
      <c r="GI1120" s="773"/>
      <c r="GJ1120" s="773"/>
      <c r="GK1120" s="773"/>
      <c r="GL1120" s="773"/>
      <c r="GM1120" s="773"/>
      <c r="GN1120" s="773"/>
      <c r="GO1120" s="773"/>
      <c r="GP1120" s="773"/>
      <c r="GQ1120" s="773"/>
      <c r="GR1120" s="773"/>
      <c r="GS1120" s="773"/>
      <c r="GT1120" s="773"/>
      <c r="GU1120" s="773"/>
      <c r="GV1120" s="773"/>
      <c r="GW1120" s="773"/>
      <c r="GX1120" s="773"/>
      <c r="GY1120" s="773"/>
      <c r="GZ1120" s="773"/>
    </row>
    <row r="1121" spans="1:208" s="11" customFormat="1">
      <c r="A1121" s="917"/>
      <c r="B1121" s="918"/>
      <c r="C1121" s="767"/>
      <c r="D1121" s="173"/>
      <c r="E1121" s="769"/>
      <c r="F1121" s="769"/>
      <c r="G1121" s="769"/>
      <c r="H1121" s="769"/>
      <c r="I1121" s="769"/>
      <c r="J1121" s="769"/>
      <c r="K1121" s="209"/>
      <c r="M1121" s="771"/>
      <c r="N1121" s="773"/>
      <c r="O1121" s="772"/>
      <c r="P1121" s="772"/>
      <c r="Q1121" s="772"/>
      <c r="R1121" s="772"/>
      <c r="S1121" s="772"/>
      <c r="T1121" s="773"/>
      <c r="V1121" s="773"/>
      <c r="W1121" s="773"/>
      <c r="X1121" s="773"/>
      <c r="Y1121" s="773"/>
      <c r="Z1121" s="722"/>
      <c r="AA1121" s="722"/>
      <c r="AB1121" s="722"/>
      <c r="AC1121" s="722"/>
      <c r="AD1121" s="722"/>
      <c r="AE1121" s="722"/>
      <c r="AF1121" s="722"/>
      <c r="AG1121" s="722"/>
      <c r="AH1121" s="722"/>
      <c r="AI1121" s="722"/>
      <c r="AJ1121" s="722"/>
      <c r="AK1121" s="722"/>
      <c r="AL1121" s="722"/>
      <c r="AM1121" s="722"/>
      <c r="AN1121" s="722"/>
      <c r="AO1121" s="722"/>
      <c r="AP1121" s="722"/>
      <c r="AQ1121" s="722"/>
      <c r="AR1121" s="722"/>
      <c r="AS1121" s="722"/>
      <c r="AT1121" s="722"/>
      <c r="AU1121" s="722"/>
      <c r="AV1121" s="773"/>
      <c r="AW1121" s="2510"/>
      <c r="BC1121" s="2510"/>
      <c r="BD1121" s="2510"/>
      <c r="BE1121" s="2173"/>
      <c r="BF1121" s="2173"/>
      <c r="BG1121" s="2173"/>
      <c r="BH1121" s="2173"/>
      <c r="BI1121" s="2173"/>
      <c r="BJ1121" s="2173"/>
      <c r="BK1121" s="2173"/>
      <c r="DB1121" s="773"/>
      <c r="DC1121" s="773"/>
      <c r="DD1121" s="773"/>
      <c r="DE1121" s="773"/>
      <c r="DF1121" s="773"/>
      <c r="DG1121" s="773"/>
      <c r="DH1121" s="773"/>
      <c r="DI1121" s="773"/>
      <c r="DJ1121" s="773"/>
      <c r="DK1121" s="773"/>
      <c r="DL1121" s="773"/>
      <c r="DM1121" s="773"/>
      <c r="DN1121" s="773"/>
      <c r="DO1121" s="773"/>
      <c r="DP1121" s="773"/>
      <c r="DQ1121" s="773"/>
      <c r="DR1121" s="773"/>
      <c r="DS1121" s="773"/>
      <c r="DT1121" s="773"/>
      <c r="DU1121" s="773"/>
      <c r="DV1121" s="773"/>
      <c r="DW1121" s="773"/>
      <c r="DX1121" s="773"/>
      <c r="DY1121" s="773"/>
      <c r="DZ1121" s="773"/>
      <c r="EA1121" s="773"/>
      <c r="EB1121" s="773"/>
      <c r="EC1121" s="773"/>
      <c r="ED1121" s="773"/>
      <c r="EE1121" s="773"/>
      <c r="EF1121" s="773"/>
      <c r="EG1121" s="773"/>
      <c r="EH1121" s="773"/>
      <c r="EI1121" s="773"/>
      <c r="EJ1121" s="773"/>
      <c r="EK1121" s="773"/>
      <c r="EL1121" s="773"/>
      <c r="EM1121" s="773"/>
      <c r="EN1121" s="773"/>
      <c r="EO1121" s="773"/>
      <c r="EP1121" s="773"/>
      <c r="EQ1121" s="773"/>
      <c r="ER1121" s="773"/>
      <c r="ES1121" s="773"/>
      <c r="ET1121" s="773"/>
      <c r="EU1121" s="773"/>
      <c r="EV1121" s="773"/>
      <c r="EW1121" s="773"/>
      <c r="EX1121" s="773"/>
      <c r="EY1121" s="773"/>
      <c r="EZ1121" s="773"/>
      <c r="FA1121" s="773"/>
      <c r="FB1121" s="773"/>
      <c r="FC1121" s="773"/>
      <c r="FD1121" s="773"/>
      <c r="FE1121" s="773"/>
      <c r="FF1121" s="773"/>
      <c r="FG1121" s="773"/>
      <c r="FH1121" s="773"/>
      <c r="FI1121" s="773"/>
      <c r="FJ1121" s="773"/>
      <c r="FK1121" s="773"/>
      <c r="FL1121" s="773"/>
      <c r="FM1121" s="773"/>
      <c r="FN1121" s="773"/>
      <c r="FO1121" s="773"/>
      <c r="FP1121" s="773"/>
      <c r="FQ1121" s="773"/>
      <c r="FR1121" s="773"/>
      <c r="FS1121" s="773"/>
      <c r="FT1121" s="773"/>
      <c r="FU1121" s="773"/>
      <c r="FV1121" s="773"/>
      <c r="FW1121" s="773"/>
      <c r="FX1121" s="773"/>
      <c r="FY1121" s="773"/>
      <c r="FZ1121" s="773"/>
      <c r="GA1121" s="773"/>
      <c r="GB1121" s="773"/>
      <c r="GC1121" s="773"/>
      <c r="GD1121" s="773"/>
      <c r="GE1121" s="773"/>
      <c r="GF1121" s="773"/>
      <c r="GG1121" s="773"/>
      <c r="GH1121" s="773"/>
      <c r="GI1121" s="773"/>
      <c r="GJ1121" s="773"/>
      <c r="GK1121" s="773"/>
      <c r="GL1121" s="773"/>
      <c r="GM1121" s="773"/>
      <c r="GN1121" s="773"/>
      <c r="GO1121" s="773"/>
      <c r="GP1121" s="773"/>
      <c r="GQ1121" s="773"/>
      <c r="GR1121" s="773"/>
      <c r="GS1121" s="773"/>
      <c r="GT1121" s="773"/>
      <c r="GU1121" s="773"/>
      <c r="GV1121" s="773"/>
      <c r="GW1121" s="773"/>
      <c r="GX1121" s="773"/>
      <c r="GY1121" s="773"/>
      <c r="GZ1121" s="773"/>
    </row>
    <row r="1122" spans="1:208" s="11" customFormat="1">
      <c r="A1122" s="917"/>
      <c r="B1122" s="918"/>
      <c r="C1122" s="767"/>
      <c r="D1122" s="173"/>
      <c r="E1122" s="769"/>
      <c r="F1122" s="769"/>
      <c r="G1122" s="769"/>
      <c r="H1122" s="769"/>
      <c r="I1122" s="769"/>
      <c r="J1122" s="769"/>
      <c r="K1122" s="209"/>
      <c r="M1122" s="771"/>
      <c r="N1122" s="773"/>
      <c r="O1122" s="772"/>
      <c r="P1122" s="772"/>
      <c r="Q1122" s="772"/>
      <c r="R1122" s="772"/>
      <c r="S1122" s="772"/>
      <c r="T1122" s="773"/>
      <c r="V1122" s="773"/>
      <c r="W1122" s="773"/>
      <c r="X1122" s="773"/>
      <c r="Y1122" s="773"/>
      <c r="Z1122" s="716"/>
      <c r="AA1122" s="716"/>
      <c r="AB1122" s="716"/>
      <c r="AC1122" s="716"/>
      <c r="AD1122" s="716"/>
      <c r="AE1122" s="716"/>
      <c r="AF1122" s="716"/>
      <c r="AG1122" s="716"/>
      <c r="AH1122" s="716"/>
      <c r="AI1122" s="716"/>
      <c r="AJ1122" s="716"/>
      <c r="AK1122" s="716"/>
      <c r="AL1122" s="716"/>
      <c r="AM1122" s="716"/>
      <c r="AN1122" s="716"/>
      <c r="AO1122" s="716"/>
      <c r="AP1122" s="716"/>
      <c r="AQ1122" s="716"/>
      <c r="AR1122" s="716"/>
      <c r="AS1122" s="716"/>
      <c r="AT1122" s="716"/>
      <c r="AU1122" s="716"/>
      <c r="AV1122" s="773"/>
      <c r="AW1122" s="2510"/>
      <c r="BC1122" s="2510"/>
      <c r="BD1122" s="2510"/>
      <c r="BE1122" s="2173"/>
      <c r="BF1122" s="2173"/>
      <c r="BG1122" s="2173"/>
      <c r="BH1122" s="2173"/>
      <c r="BI1122" s="2173"/>
      <c r="BJ1122" s="2173"/>
      <c r="BK1122" s="2173"/>
      <c r="DB1122" s="773"/>
      <c r="DC1122" s="773"/>
      <c r="DD1122" s="773"/>
      <c r="DE1122" s="773"/>
      <c r="DF1122" s="773"/>
      <c r="DG1122" s="773"/>
      <c r="DH1122" s="773"/>
      <c r="DI1122" s="773"/>
      <c r="DJ1122" s="773"/>
      <c r="DK1122" s="773"/>
      <c r="DL1122" s="773"/>
      <c r="DM1122" s="773"/>
      <c r="DN1122" s="773"/>
      <c r="DO1122" s="773"/>
      <c r="DP1122" s="773"/>
      <c r="DQ1122" s="773"/>
      <c r="DR1122" s="773"/>
      <c r="DS1122" s="773"/>
      <c r="DT1122" s="773"/>
      <c r="DU1122" s="773"/>
      <c r="DV1122" s="773"/>
      <c r="DW1122" s="773"/>
      <c r="DX1122" s="773"/>
      <c r="DY1122" s="773"/>
      <c r="DZ1122" s="773"/>
      <c r="EA1122" s="773"/>
      <c r="EB1122" s="773"/>
      <c r="EC1122" s="773"/>
      <c r="ED1122" s="773"/>
      <c r="EE1122" s="773"/>
      <c r="EF1122" s="773"/>
      <c r="EG1122" s="773"/>
      <c r="EH1122" s="773"/>
      <c r="EI1122" s="773"/>
      <c r="EJ1122" s="773"/>
      <c r="EK1122" s="773"/>
      <c r="EL1122" s="773"/>
      <c r="EM1122" s="773"/>
      <c r="EN1122" s="773"/>
      <c r="EO1122" s="773"/>
      <c r="EP1122" s="773"/>
      <c r="EQ1122" s="773"/>
      <c r="ER1122" s="773"/>
      <c r="ES1122" s="773"/>
      <c r="ET1122" s="773"/>
      <c r="EU1122" s="773"/>
      <c r="EV1122" s="773"/>
      <c r="EW1122" s="773"/>
      <c r="EX1122" s="773"/>
      <c r="EY1122" s="773"/>
      <c r="EZ1122" s="773"/>
      <c r="FA1122" s="773"/>
      <c r="FB1122" s="773"/>
      <c r="FC1122" s="773"/>
      <c r="FD1122" s="773"/>
      <c r="FE1122" s="773"/>
      <c r="FF1122" s="773"/>
      <c r="FG1122" s="773"/>
      <c r="FH1122" s="773"/>
      <c r="FI1122" s="773"/>
      <c r="FJ1122" s="773"/>
      <c r="FK1122" s="773"/>
      <c r="FL1122" s="773"/>
      <c r="FM1122" s="773"/>
      <c r="FN1122" s="773"/>
      <c r="FO1122" s="773"/>
      <c r="FP1122" s="773"/>
      <c r="FQ1122" s="773"/>
      <c r="FR1122" s="773"/>
      <c r="FS1122" s="773"/>
      <c r="FT1122" s="773"/>
      <c r="FU1122" s="773"/>
      <c r="FV1122" s="773"/>
      <c r="FW1122" s="773"/>
      <c r="FX1122" s="773"/>
      <c r="FY1122" s="773"/>
      <c r="FZ1122" s="773"/>
      <c r="GA1122" s="773"/>
      <c r="GB1122" s="773"/>
      <c r="GC1122" s="773"/>
      <c r="GD1122" s="773"/>
      <c r="GE1122" s="773"/>
      <c r="GF1122" s="773"/>
      <c r="GG1122" s="773"/>
      <c r="GH1122" s="773"/>
      <c r="GI1122" s="773"/>
      <c r="GJ1122" s="773"/>
      <c r="GK1122" s="773"/>
      <c r="GL1122" s="773"/>
      <c r="GM1122" s="773"/>
      <c r="GN1122" s="773"/>
      <c r="GO1122" s="773"/>
      <c r="GP1122" s="773"/>
      <c r="GQ1122" s="773"/>
      <c r="GR1122" s="773"/>
      <c r="GS1122" s="773"/>
      <c r="GT1122" s="773"/>
      <c r="GU1122" s="773"/>
      <c r="GV1122" s="773"/>
      <c r="GW1122" s="773"/>
      <c r="GX1122" s="773"/>
      <c r="GY1122" s="773"/>
      <c r="GZ1122" s="773"/>
    </row>
    <row r="1123" spans="1:208" s="11" customFormat="1">
      <c r="A1123" s="917"/>
      <c r="B1123" s="918"/>
      <c r="C1123" s="767"/>
      <c r="D1123" s="173"/>
      <c r="E1123" s="769"/>
      <c r="F1123" s="769"/>
      <c r="G1123" s="769"/>
      <c r="H1123" s="769"/>
      <c r="I1123" s="769"/>
      <c r="J1123" s="769"/>
      <c r="K1123" s="209"/>
      <c r="M1123" s="771"/>
      <c r="N1123" s="773"/>
      <c r="O1123" s="772"/>
      <c r="P1123" s="772"/>
      <c r="Q1123" s="772"/>
      <c r="R1123" s="772"/>
      <c r="S1123" s="772"/>
      <c r="T1123" s="773"/>
      <c r="V1123" s="773"/>
      <c r="W1123" s="773"/>
      <c r="X1123" s="773"/>
      <c r="Y1123" s="773"/>
      <c r="Z1123" s="722"/>
      <c r="AA1123" s="722"/>
      <c r="AB1123" s="722"/>
      <c r="AC1123" s="722"/>
      <c r="AD1123" s="722"/>
      <c r="AE1123" s="722"/>
      <c r="AF1123" s="722"/>
      <c r="AG1123" s="722"/>
      <c r="AH1123" s="722"/>
      <c r="AI1123" s="722"/>
      <c r="AJ1123" s="722"/>
      <c r="AK1123" s="722"/>
      <c r="AL1123" s="722"/>
      <c r="AM1123" s="722"/>
      <c r="AN1123" s="722"/>
      <c r="AO1123" s="722"/>
      <c r="AP1123" s="722"/>
      <c r="AQ1123" s="722"/>
      <c r="AR1123" s="722"/>
      <c r="AS1123" s="722"/>
      <c r="AT1123" s="722"/>
      <c r="AU1123" s="722"/>
      <c r="AV1123" s="773"/>
      <c r="AW1123" s="2510"/>
      <c r="BC1123" s="2510"/>
      <c r="BD1123" s="2510"/>
      <c r="BE1123" s="2173"/>
      <c r="BF1123" s="2173"/>
      <c r="BG1123" s="2173"/>
      <c r="BH1123" s="2173"/>
      <c r="BI1123" s="2173"/>
      <c r="BJ1123" s="2173"/>
      <c r="BK1123" s="2173"/>
      <c r="DB1123" s="773"/>
      <c r="DC1123" s="773"/>
      <c r="DD1123" s="773"/>
      <c r="DE1123" s="773"/>
      <c r="DF1123" s="773"/>
      <c r="DG1123" s="773"/>
      <c r="DH1123" s="773"/>
      <c r="DI1123" s="773"/>
      <c r="DJ1123" s="773"/>
      <c r="DK1123" s="773"/>
      <c r="DL1123" s="773"/>
      <c r="DM1123" s="773"/>
      <c r="DN1123" s="773"/>
      <c r="DO1123" s="773"/>
      <c r="DP1123" s="773"/>
      <c r="DQ1123" s="773"/>
      <c r="DR1123" s="773"/>
      <c r="DS1123" s="773"/>
      <c r="DT1123" s="773"/>
      <c r="DU1123" s="773"/>
      <c r="DV1123" s="773"/>
      <c r="DW1123" s="773"/>
      <c r="DX1123" s="773"/>
      <c r="DY1123" s="773"/>
      <c r="DZ1123" s="773"/>
      <c r="EA1123" s="773"/>
      <c r="EB1123" s="773"/>
      <c r="EC1123" s="773"/>
      <c r="ED1123" s="773"/>
      <c r="EE1123" s="773"/>
      <c r="EF1123" s="773"/>
      <c r="EG1123" s="773"/>
      <c r="EH1123" s="773"/>
      <c r="EI1123" s="773"/>
      <c r="EJ1123" s="773"/>
      <c r="EK1123" s="773"/>
      <c r="EL1123" s="773"/>
      <c r="EM1123" s="773"/>
      <c r="EN1123" s="773"/>
      <c r="EO1123" s="773"/>
      <c r="EP1123" s="773"/>
      <c r="EQ1123" s="773"/>
      <c r="ER1123" s="773"/>
      <c r="ES1123" s="773"/>
      <c r="ET1123" s="773"/>
      <c r="EU1123" s="773"/>
      <c r="EV1123" s="773"/>
      <c r="EW1123" s="773"/>
      <c r="EX1123" s="773"/>
      <c r="EY1123" s="773"/>
      <c r="EZ1123" s="773"/>
      <c r="FA1123" s="773"/>
      <c r="FB1123" s="773"/>
      <c r="FC1123" s="773"/>
      <c r="FD1123" s="773"/>
      <c r="FE1123" s="773"/>
      <c r="FF1123" s="773"/>
      <c r="FG1123" s="773"/>
      <c r="FH1123" s="773"/>
      <c r="FI1123" s="773"/>
      <c r="FJ1123" s="773"/>
      <c r="FK1123" s="773"/>
      <c r="FL1123" s="773"/>
      <c r="FM1123" s="773"/>
      <c r="FN1123" s="773"/>
      <c r="FO1123" s="773"/>
      <c r="FP1123" s="773"/>
      <c r="FQ1123" s="773"/>
      <c r="FR1123" s="773"/>
      <c r="FS1123" s="773"/>
      <c r="FT1123" s="773"/>
      <c r="FU1123" s="773"/>
      <c r="FV1123" s="773"/>
      <c r="FW1123" s="773"/>
      <c r="FX1123" s="773"/>
      <c r="FY1123" s="773"/>
      <c r="FZ1123" s="773"/>
      <c r="GA1123" s="773"/>
      <c r="GB1123" s="773"/>
      <c r="GC1123" s="773"/>
      <c r="GD1123" s="773"/>
      <c r="GE1123" s="773"/>
      <c r="GF1123" s="773"/>
      <c r="GG1123" s="773"/>
      <c r="GH1123" s="773"/>
      <c r="GI1123" s="773"/>
      <c r="GJ1123" s="773"/>
      <c r="GK1123" s="773"/>
      <c r="GL1123" s="773"/>
      <c r="GM1123" s="773"/>
      <c r="GN1123" s="773"/>
      <c r="GO1123" s="773"/>
      <c r="GP1123" s="773"/>
      <c r="GQ1123" s="773"/>
      <c r="GR1123" s="773"/>
      <c r="GS1123" s="773"/>
      <c r="GT1123" s="773"/>
      <c r="GU1123" s="773"/>
      <c r="GV1123" s="773"/>
      <c r="GW1123" s="773"/>
      <c r="GX1123" s="773"/>
      <c r="GY1123" s="773"/>
      <c r="GZ1123" s="773"/>
    </row>
    <row r="1124" spans="1:208" s="11" customFormat="1">
      <c r="A1124" s="917"/>
      <c r="B1124" s="918"/>
      <c r="C1124" s="767"/>
      <c r="D1124" s="173"/>
      <c r="E1124" s="769"/>
      <c r="F1124" s="769"/>
      <c r="G1124" s="769"/>
      <c r="H1124" s="769"/>
      <c r="I1124" s="769"/>
      <c r="J1124" s="769"/>
      <c r="K1124" s="209"/>
      <c r="M1124" s="771"/>
      <c r="N1124" s="773"/>
      <c r="O1124" s="772"/>
      <c r="P1124" s="772"/>
      <c r="Q1124" s="772"/>
      <c r="R1124" s="772"/>
      <c r="S1124" s="772"/>
      <c r="T1124" s="773"/>
      <c r="V1124" s="773"/>
      <c r="W1124" s="773"/>
      <c r="X1124" s="773"/>
      <c r="Y1124" s="773"/>
      <c r="Z1124" s="722"/>
      <c r="AA1124" s="722"/>
      <c r="AB1124" s="722"/>
      <c r="AC1124" s="722"/>
      <c r="AD1124" s="722"/>
      <c r="AE1124" s="722"/>
      <c r="AF1124" s="722"/>
      <c r="AG1124" s="722"/>
      <c r="AH1124" s="722"/>
      <c r="AI1124" s="722"/>
      <c r="AJ1124" s="722"/>
      <c r="AK1124" s="722"/>
      <c r="AL1124" s="722"/>
      <c r="AM1124" s="722"/>
      <c r="AN1124" s="722"/>
      <c r="AO1124" s="722"/>
      <c r="AP1124" s="722"/>
      <c r="AQ1124" s="722"/>
      <c r="AR1124" s="722"/>
      <c r="AS1124" s="722"/>
      <c r="AT1124" s="722"/>
      <c r="AU1124" s="722"/>
      <c r="AV1124" s="773"/>
      <c r="AW1124" s="2510"/>
      <c r="BC1124" s="2510"/>
      <c r="BD1124" s="2510"/>
      <c r="BE1124" s="2173"/>
      <c r="BF1124" s="2173"/>
      <c r="BG1124" s="2173"/>
      <c r="BH1124" s="2173"/>
      <c r="BI1124" s="2173"/>
      <c r="BJ1124" s="2173"/>
      <c r="BK1124" s="2173"/>
      <c r="DB1124" s="773"/>
      <c r="DC1124" s="773"/>
      <c r="DD1124" s="773"/>
      <c r="DE1124" s="773"/>
      <c r="DF1124" s="773"/>
      <c r="DG1124" s="773"/>
      <c r="DH1124" s="773"/>
      <c r="DI1124" s="773"/>
      <c r="DJ1124" s="773"/>
      <c r="DK1124" s="773"/>
      <c r="DL1124" s="773"/>
      <c r="DM1124" s="773"/>
      <c r="DN1124" s="773"/>
      <c r="DO1124" s="773"/>
      <c r="DP1124" s="773"/>
      <c r="DQ1124" s="773"/>
      <c r="DR1124" s="773"/>
      <c r="DS1124" s="773"/>
      <c r="DT1124" s="773"/>
      <c r="DU1124" s="773"/>
      <c r="DV1124" s="773"/>
      <c r="DW1124" s="773"/>
      <c r="DX1124" s="773"/>
      <c r="DY1124" s="773"/>
      <c r="DZ1124" s="773"/>
      <c r="EA1124" s="773"/>
      <c r="EB1124" s="773"/>
      <c r="EC1124" s="773"/>
      <c r="ED1124" s="773"/>
      <c r="EE1124" s="773"/>
      <c r="EF1124" s="773"/>
      <c r="EG1124" s="773"/>
      <c r="EH1124" s="773"/>
      <c r="EI1124" s="773"/>
      <c r="EJ1124" s="773"/>
      <c r="EK1124" s="773"/>
      <c r="EL1124" s="773"/>
      <c r="EM1124" s="773"/>
      <c r="EN1124" s="773"/>
      <c r="EO1124" s="773"/>
      <c r="EP1124" s="773"/>
      <c r="EQ1124" s="773"/>
      <c r="ER1124" s="773"/>
      <c r="ES1124" s="773"/>
      <c r="ET1124" s="773"/>
      <c r="EU1124" s="773"/>
      <c r="EV1124" s="773"/>
      <c r="EW1124" s="773"/>
      <c r="EX1124" s="773"/>
      <c r="EY1124" s="773"/>
      <c r="EZ1124" s="773"/>
      <c r="FA1124" s="773"/>
      <c r="FB1124" s="773"/>
      <c r="FC1124" s="773"/>
      <c r="FD1124" s="773"/>
      <c r="FE1124" s="773"/>
      <c r="FF1124" s="773"/>
      <c r="FG1124" s="773"/>
      <c r="FH1124" s="773"/>
      <c r="FI1124" s="773"/>
      <c r="FJ1124" s="773"/>
      <c r="FK1124" s="773"/>
      <c r="FL1124" s="773"/>
      <c r="FM1124" s="773"/>
      <c r="FN1124" s="773"/>
      <c r="FO1124" s="773"/>
      <c r="FP1124" s="773"/>
      <c r="FQ1124" s="773"/>
      <c r="FR1124" s="773"/>
      <c r="FS1124" s="773"/>
      <c r="FT1124" s="773"/>
      <c r="FU1124" s="773"/>
      <c r="FV1124" s="773"/>
      <c r="FW1124" s="773"/>
      <c r="FX1124" s="773"/>
      <c r="FY1124" s="773"/>
      <c r="FZ1124" s="773"/>
      <c r="GA1124" s="773"/>
      <c r="GB1124" s="773"/>
      <c r="GC1124" s="773"/>
      <c r="GD1124" s="773"/>
      <c r="GE1124" s="773"/>
      <c r="GF1124" s="773"/>
      <c r="GG1124" s="773"/>
      <c r="GH1124" s="773"/>
      <c r="GI1124" s="773"/>
      <c r="GJ1124" s="773"/>
      <c r="GK1124" s="773"/>
      <c r="GL1124" s="773"/>
      <c r="GM1124" s="773"/>
      <c r="GN1124" s="773"/>
      <c r="GO1124" s="773"/>
      <c r="GP1124" s="773"/>
      <c r="GQ1124" s="773"/>
      <c r="GR1124" s="773"/>
      <c r="GS1124" s="773"/>
      <c r="GT1124" s="773"/>
      <c r="GU1124" s="773"/>
      <c r="GV1124" s="773"/>
      <c r="GW1124" s="773"/>
      <c r="GX1124" s="773"/>
      <c r="GY1124" s="773"/>
      <c r="GZ1124" s="773"/>
    </row>
    <row r="1125" spans="1:208" s="11" customFormat="1">
      <c r="A1125" s="917"/>
      <c r="B1125" s="918"/>
      <c r="C1125" s="767"/>
      <c r="D1125" s="173"/>
      <c r="E1125" s="769"/>
      <c r="F1125" s="769"/>
      <c r="G1125" s="769"/>
      <c r="H1125" s="769"/>
      <c r="I1125" s="769"/>
      <c r="J1125" s="769"/>
      <c r="K1125" s="209"/>
      <c r="M1125" s="771"/>
      <c r="N1125" s="773"/>
      <c r="O1125" s="772"/>
      <c r="P1125" s="772"/>
      <c r="Q1125" s="772"/>
      <c r="R1125" s="772"/>
      <c r="S1125" s="772"/>
      <c r="T1125" s="773"/>
      <c r="V1125" s="773"/>
      <c r="W1125" s="773"/>
      <c r="X1125" s="773"/>
      <c r="Y1125" s="773"/>
      <c r="Z1125" s="722"/>
      <c r="AA1125" s="722"/>
      <c r="AB1125" s="722"/>
      <c r="AC1125" s="722"/>
      <c r="AD1125" s="722"/>
      <c r="AE1125" s="722"/>
      <c r="AF1125" s="722"/>
      <c r="AG1125" s="722"/>
      <c r="AH1125" s="722"/>
      <c r="AI1125" s="722"/>
      <c r="AJ1125" s="722"/>
      <c r="AK1125" s="722"/>
      <c r="AL1125" s="722"/>
      <c r="AM1125" s="722"/>
      <c r="AN1125" s="722"/>
      <c r="AO1125" s="722"/>
      <c r="AP1125" s="722"/>
      <c r="AQ1125" s="722"/>
      <c r="AR1125" s="722"/>
      <c r="AS1125" s="722"/>
      <c r="AT1125" s="722"/>
      <c r="AU1125" s="722"/>
      <c r="AV1125" s="773"/>
      <c r="AW1125" s="2510"/>
      <c r="BC1125" s="2510"/>
      <c r="BD1125" s="2510"/>
      <c r="BE1125" s="2173"/>
      <c r="BF1125" s="2173"/>
      <c r="BG1125" s="2173"/>
      <c r="BH1125" s="2173"/>
      <c r="BI1125" s="2173"/>
      <c r="BJ1125" s="2173"/>
      <c r="BK1125" s="2173"/>
      <c r="DB1125" s="773"/>
      <c r="DC1125" s="773"/>
      <c r="DD1125" s="773"/>
      <c r="DE1125" s="773"/>
      <c r="DF1125" s="773"/>
      <c r="DG1125" s="773"/>
      <c r="DH1125" s="773"/>
      <c r="DI1125" s="773"/>
      <c r="DJ1125" s="773"/>
      <c r="DK1125" s="773"/>
      <c r="DL1125" s="773"/>
      <c r="DM1125" s="773"/>
      <c r="DN1125" s="773"/>
      <c r="DO1125" s="773"/>
      <c r="DP1125" s="773"/>
      <c r="DQ1125" s="773"/>
      <c r="DR1125" s="773"/>
      <c r="DS1125" s="773"/>
      <c r="DT1125" s="773"/>
      <c r="DU1125" s="773"/>
      <c r="DV1125" s="773"/>
      <c r="DW1125" s="773"/>
      <c r="DX1125" s="773"/>
      <c r="DY1125" s="773"/>
      <c r="DZ1125" s="773"/>
      <c r="EA1125" s="773"/>
      <c r="EB1125" s="773"/>
      <c r="EC1125" s="773"/>
      <c r="ED1125" s="773"/>
      <c r="EE1125" s="773"/>
      <c r="EF1125" s="773"/>
      <c r="EG1125" s="773"/>
      <c r="EH1125" s="773"/>
      <c r="EI1125" s="773"/>
      <c r="EJ1125" s="773"/>
      <c r="EK1125" s="773"/>
      <c r="EL1125" s="773"/>
      <c r="EM1125" s="773"/>
      <c r="EN1125" s="773"/>
      <c r="EO1125" s="773"/>
      <c r="EP1125" s="773"/>
      <c r="EQ1125" s="773"/>
      <c r="ER1125" s="773"/>
      <c r="ES1125" s="773"/>
      <c r="ET1125" s="773"/>
      <c r="EU1125" s="773"/>
      <c r="EV1125" s="773"/>
      <c r="EW1125" s="773"/>
      <c r="EX1125" s="773"/>
      <c r="EY1125" s="773"/>
      <c r="EZ1125" s="773"/>
      <c r="FA1125" s="773"/>
      <c r="FB1125" s="773"/>
      <c r="FC1125" s="773"/>
      <c r="FD1125" s="773"/>
      <c r="FE1125" s="773"/>
      <c r="FF1125" s="773"/>
      <c r="FG1125" s="773"/>
      <c r="FH1125" s="773"/>
      <c r="FI1125" s="773"/>
      <c r="FJ1125" s="773"/>
      <c r="FK1125" s="773"/>
      <c r="FL1125" s="773"/>
      <c r="FM1125" s="773"/>
      <c r="FN1125" s="773"/>
      <c r="FO1125" s="773"/>
      <c r="FP1125" s="773"/>
      <c r="FQ1125" s="773"/>
      <c r="FR1125" s="773"/>
      <c r="FS1125" s="773"/>
      <c r="FT1125" s="773"/>
      <c r="FU1125" s="773"/>
      <c r="FV1125" s="773"/>
      <c r="FW1125" s="773"/>
      <c r="FX1125" s="773"/>
      <c r="FY1125" s="773"/>
      <c r="FZ1125" s="773"/>
      <c r="GA1125" s="773"/>
      <c r="GB1125" s="773"/>
      <c r="GC1125" s="773"/>
      <c r="GD1125" s="773"/>
      <c r="GE1125" s="773"/>
      <c r="GF1125" s="773"/>
      <c r="GG1125" s="773"/>
      <c r="GH1125" s="773"/>
      <c r="GI1125" s="773"/>
      <c r="GJ1125" s="773"/>
      <c r="GK1125" s="773"/>
      <c r="GL1125" s="773"/>
      <c r="GM1125" s="773"/>
      <c r="GN1125" s="773"/>
      <c r="GO1125" s="773"/>
      <c r="GP1125" s="773"/>
      <c r="GQ1125" s="773"/>
      <c r="GR1125" s="773"/>
      <c r="GS1125" s="773"/>
      <c r="GT1125" s="773"/>
      <c r="GU1125" s="773"/>
      <c r="GV1125" s="773"/>
      <c r="GW1125" s="773"/>
      <c r="GX1125" s="773"/>
      <c r="GY1125" s="773"/>
      <c r="GZ1125" s="773"/>
    </row>
    <row r="1126" spans="1:208" s="11" customFormat="1">
      <c r="A1126" s="917"/>
      <c r="B1126" s="918"/>
      <c r="C1126" s="767"/>
      <c r="D1126" s="173"/>
      <c r="E1126" s="769"/>
      <c r="F1126" s="769"/>
      <c r="G1126" s="769"/>
      <c r="H1126" s="769"/>
      <c r="I1126" s="769"/>
      <c r="J1126" s="769"/>
      <c r="K1126" s="209"/>
      <c r="M1126" s="771"/>
      <c r="N1126" s="773"/>
      <c r="O1126" s="772"/>
      <c r="P1126" s="772"/>
      <c r="Q1126" s="772"/>
      <c r="R1126" s="772"/>
      <c r="S1126" s="772"/>
      <c r="T1126" s="773"/>
      <c r="V1126" s="773"/>
      <c r="W1126" s="773"/>
      <c r="X1126" s="773"/>
      <c r="Y1126" s="773"/>
      <c r="Z1126" s="722"/>
      <c r="AA1126" s="722"/>
      <c r="AB1126" s="722"/>
      <c r="AC1126" s="722"/>
      <c r="AD1126" s="722"/>
      <c r="AE1126" s="722"/>
      <c r="AF1126" s="722"/>
      <c r="AG1126" s="722"/>
      <c r="AH1126" s="722"/>
      <c r="AI1126" s="722"/>
      <c r="AJ1126" s="722"/>
      <c r="AK1126" s="722"/>
      <c r="AL1126" s="722"/>
      <c r="AM1126" s="722"/>
      <c r="AN1126" s="722"/>
      <c r="AO1126" s="722"/>
      <c r="AP1126" s="722"/>
      <c r="AQ1126" s="722"/>
      <c r="AR1126" s="722"/>
      <c r="AS1126" s="722"/>
      <c r="AT1126" s="722"/>
      <c r="AU1126" s="722"/>
      <c r="AV1126" s="773"/>
      <c r="AW1126" s="2510"/>
      <c r="BC1126" s="2510"/>
      <c r="BD1126" s="2510"/>
      <c r="BE1126" s="2173"/>
      <c r="BF1126" s="2173"/>
      <c r="BG1126" s="2173"/>
      <c r="BH1126" s="2173"/>
      <c r="BI1126" s="2173"/>
      <c r="BJ1126" s="2173"/>
      <c r="BK1126" s="2173"/>
      <c r="DB1126" s="773"/>
      <c r="DC1126" s="773"/>
      <c r="DD1126" s="773"/>
      <c r="DE1126" s="773"/>
      <c r="DF1126" s="773"/>
      <c r="DG1126" s="773"/>
      <c r="DH1126" s="773"/>
      <c r="DI1126" s="773"/>
      <c r="DJ1126" s="773"/>
      <c r="DK1126" s="773"/>
      <c r="DL1126" s="773"/>
      <c r="DM1126" s="773"/>
      <c r="DN1126" s="773"/>
      <c r="DO1126" s="773"/>
      <c r="DP1126" s="773"/>
      <c r="DQ1126" s="773"/>
      <c r="DR1126" s="773"/>
      <c r="DS1126" s="773"/>
      <c r="DT1126" s="773"/>
      <c r="DU1126" s="773"/>
      <c r="DV1126" s="773"/>
      <c r="DW1126" s="773"/>
      <c r="DX1126" s="773"/>
      <c r="DY1126" s="773"/>
      <c r="DZ1126" s="773"/>
      <c r="EA1126" s="773"/>
      <c r="EB1126" s="773"/>
      <c r="EC1126" s="773"/>
      <c r="ED1126" s="773"/>
      <c r="EE1126" s="773"/>
      <c r="EF1126" s="773"/>
      <c r="EG1126" s="773"/>
      <c r="EH1126" s="773"/>
      <c r="EI1126" s="773"/>
      <c r="EJ1126" s="773"/>
      <c r="EK1126" s="773"/>
      <c r="EL1126" s="773"/>
      <c r="EM1126" s="773"/>
      <c r="EN1126" s="773"/>
      <c r="EO1126" s="773"/>
      <c r="EP1126" s="773"/>
      <c r="EQ1126" s="773"/>
      <c r="ER1126" s="773"/>
      <c r="ES1126" s="773"/>
      <c r="ET1126" s="773"/>
      <c r="EU1126" s="773"/>
      <c r="EV1126" s="773"/>
      <c r="EW1126" s="773"/>
      <c r="EX1126" s="773"/>
      <c r="EY1126" s="773"/>
      <c r="EZ1126" s="773"/>
      <c r="FA1126" s="773"/>
      <c r="FB1126" s="773"/>
      <c r="FC1126" s="773"/>
      <c r="FD1126" s="773"/>
      <c r="FE1126" s="773"/>
      <c r="FF1126" s="773"/>
      <c r="FG1126" s="773"/>
      <c r="FH1126" s="773"/>
      <c r="FI1126" s="773"/>
      <c r="FJ1126" s="773"/>
      <c r="FK1126" s="773"/>
      <c r="FL1126" s="773"/>
      <c r="FM1126" s="773"/>
      <c r="FN1126" s="773"/>
      <c r="FO1126" s="773"/>
      <c r="FP1126" s="773"/>
      <c r="FQ1126" s="773"/>
      <c r="FR1126" s="773"/>
      <c r="FS1126" s="773"/>
      <c r="FT1126" s="773"/>
      <c r="FU1126" s="773"/>
      <c r="FV1126" s="773"/>
      <c r="FW1126" s="773"/>
      <c r="FX1126" s="773"/>
      <c r="FY1126" s="773"/>
      <c r="FZ1126" s="773"/>
      <c r="GA1126" s="773"/>
      <c r="GB1126" s="773"/>
      <c r="GC1126" s="773"/>
      <c r="GD1126" s="773"/>
      <c r="GE1126" s="773"/>
      <c r="GF1126" s="773"/>
      <c r="GG1126" s="773"/>
      <c r="GH1126" s="773"/>
      <c r="GI1126" s="773"/>
      <c r="GJ1126" s="773"/>
      <c r="GK1126" s="773"/>
      <c r="GL1126" s="773"/>
      <c r="GM1126" s="773"/>
      <c r="GN1126" s="773"/>
      <c r="GO1126" s="773"/>
      <c r="GP1126" s="773"/>
      <c r="GQ1126" s="773"/>
      <c r="GR1126" s="773"/>
      <c r="GS1126" s="773"/>
      <c r="GT1126" s="773"/>
      <c r="GU1126" s="773"/>
      <c r="GV1126" s="773"/>
      <c r="GW1126" s="773"/>
      <c r="GX1126" s="773"/>
      <c r="GY1126" s="773"/>
      <c r="GZ1126" s="773"/>
    </row>
    <row r="1127" spans="1:208" s="11" customFormat="1">
      <c r="A1127" s="917"/>
      <c r="B1127" s="918"/>
      <c r="C1127" s="767"/>
      <c r="D1127" s="173"/>
      <c r="E1127" s="769"/>
      <c r="F1127" s="769"/>
      <c r="G1127" s="769"/>
      <c r="H1127" s="769"/>
      <c r="I1127" s="769"/>
      <c r="J1127" s="769"/>
      <c r="K1127" s="209"/>
      <c r="M1127" s="771"/>
      <c r="N1127" s="773"/>
      <c r="O1127" s="772"/>
      <c r="P1127" s="772"/>
      <c r="Q1127" s="772"/>
      <c r="R1127" s="772"/>
      <c r="S1127" s="772"/>
      <c r="T1127" s="773"/>
      <c r="V1127" s="773"/>
      <c r="W1127" s="773"/>
      <c r="X1127" s="773"/>
      <c r="Y1127" s="773"/>
      <c r="Z1127" s="722"/>
      <c r="AA1127" s="722"/>
      <c r="AB1127" s="722"/>
      <c r="AC1127" s="722"/>
      <c r="AD1127" s="722"/>
      <c r="AE1127" s="722"/>
      <c r="AF1127" s="722"/>
      <c r="AG1127" s="722"/>
      <c r="AH1127" s="722"/>
      <c r="AI1127" s="722"/>
      <c r="AJ1127" s="722"/>
      <c r="AK1127" s="722"/>
      <c r="AL1127" s="722"/>
      <c r="AM1127" s="722"/>
      <c r="AN1127" s="722"/>
      <c r="AO1127" s="722"/>
      <c r="AP1127" s="722"/>
      <c r="AQ1127" s="722"/>
      <c r="AR1127" s="722"/>
      <c r="AS1127" s="722"/>
      <c r="AT1127" s="722"/>
      <c r="AU1127" s="722"/>
      <c r="AV1127" s="773"/>
      <c r="AW1127" s="2510"/>
      <c r="BC1127" s="2510"/>
      <c r="BD1127" s="2510"/>
      <c r="BE1127" s="2173"/>
      <c r="BF1127" s="2173"/>
      <c r="BG1127" s="2173"/>
      <c r="BH1127" s="2173"/>
      <c r="BI1127" s="2173"/>
      <c r="BJ1127" s="2173"/>
      <c r="BK1127" s="2173"/>
      <c r="DB1127" s="773"/>
      <c r="DC1127" s="773"/>
      <c r="DD1127" s="773"/>
      <c r="DE1127" s="773"/>
      <c r="DF1127" s="773"/>
      <c r="DG1127" s="773"/>
      <c r="DH1127" s="773"/>
      <c r="DI1127" s="773"/>
      <c r="DJ1127" s="773"/>
      <c r="DK1127" s="773"/>
      <c r="DL1127" s="773"/>
      <c r="DM1127" s="773"/>
      <c r="DN1127" s="773"/>
      <c r="DO1127" s="773"/>
      <c r="DP1127" s="773"/>
      <c r="DQ1127" s="773"/>
      <c r="DR1127" s="773"/>
      <c r="DS1127" s="773"/>
      <c r="DT1127" s="773"/>
      <c r="DU1127" s="773"/>
      <c r="DV1127" s="773"/>
      <c r="DW1127" s="773"/>
      <c r="DX1127" s="773"/>
      <c r="DY1127" s="773"/>
      <c r="DZ1127" s="773"/>
      <c r="EA1127" s="773"/>
      <c r="EB1127" s="773"/>
      <c r="EC1127" s="773"/>
      <c r="ED1127" s="773"/>
      <c r="EE1127" s="773"/>
      <c r="EF1127" s="773"/>
      <c r="EG1127" s="773"/>
      <c r="EH1127" s="773"/>
      <c r="EI1127" s="773"/>
      <c r="EJ1127" s="773"/>
      <c r="EK1127" s="773"/>
      <c r="EL1127" s="773"/>
      <c r="EM1127" s="773"/>
      <c r="EN1127" s="773"/>
      <c r="EO1127" s="773"/>
      <c r="EP1127" s="773"/>
      <c r="EQ1127" s="773"/>
      <c r="ER1127" s="773"/>
      <c r="ES1127" s="773"/>
      <c r="ET1127" s="773"/>
      <c r="EU1127" s="773"/>
      <c r="EV1127" s="773"/>
      <c r="EW1127" s="773"/>
      <c r="EX1127" s="773"/>
      <c r="EY1127" s="773"/>
      <c r="EZ1127" s="773"/>
      <c r="FA1127" s="773"/>
      <c r="FB1127" s="773"/>
      <c r="FC1127" s="773"/>
      <c r="FD1127" s="773"/>
      <c r="FE1127" s="773"/>
      <c r="FF1127" s="773"/>
      <c r="FG1127" s="773"/>
      <c r="FH1127" s="773"/>
      <c r="FI1127" s="773"/>
      <c r="FJ1127" s="773"/>
      <c r="FK1127" s="773"/>
      <c r="FL1127" s="773"/>
      <c r="FM1127" s="773"/>
      <c r="FN1127" s="773"/>
      <c r="FO1127" s="773"/>
      <c r="FP1127" s="773"/>
      <c r="FQ1127" s="773"/>
      <c r="FR1127" s="773"/>
      <c r="FS1127" s="773"/>
      <c r="FT1127" s="773"/>
      <c r="FU1127" s="773"/>
      <c r="FV1127" s="773"/>
      <c r="FW1127" s="773"/>
      <c r="FX1127" s="773"/>
      <c r="FY1127" s="773"/>
      <c r="FZ1127" s="773"/>
      <c r="GA1127" s="773"/>
      <c r="GB1127" s="773"/>
      <c r="GC1127" s="773"/>
      <c r="GD1127" s="773"/>
      <c r="GE1127" s="773"/>
      <c r="GF1127" s="773"/>
      <c r="GG1127" s="773"/>
      <c r="GH1127" s="773"/>
      <c r="GI1127" s="773"/>
      <c r="GJ1127" s="773"/>
      <c r="GK1127" s="773"/>
      <c r="GL1127" s="773"/>
      <c r="GM1127" s="773"/>
      <c r="GN1127" s="773"/>
      <c r="GO1127" s="773"/>
      <c r="GP1127" s="773"/>
      <c r="GQ1127" s="773"/>
      <c r="GR1127" s="773"/>
      <c r="GS1127" s="773"/>
      <c r="GT1127" s="773"/>
      <c r="GU1127" s="773"/>
      <c r="GV1127" s="773"/>
      <c r="GW1127" s="773"/>
      <c r="GX1127" s="773"/>
      <c r="GY1127" s="773"/>
      <c r="GZ1127" s="773"/>
    </row>
    <row r="1128" spans="1:208" s="11" customFormat="1">
      <c r="A1128" s="917"/>
      <c r="B1128" s="918"/>
      <c r="C1128" s="767"/>
      <c r="D1128" s="173"/>
      <c r="E1128" s="769"/>
      <c r="F1128" s="769"/>
      <c r="G1128" s="769"/>
      <c r="H1128" s="769"/>
      <c r="I1128" s="769"/>
      <c r="J1128" s="769"/>
      <c r="K1128" s="209"/>
      <c r="M1128" s="771"/>
      <c r="N1128" s="773"/>
      <c r="O1128" s="772"/>
      <c r="P1128" s="772"/>
      <c r="Q1128" s="772"/>
      <c r="R1128" s="772"/>
      <c r="S1128" s="772"/>
      <c r="T1128" s="773"/>
      <c r="V1128" s="773"/>
      <c r="W1128" s="773"/>
      <c r="X1128" s="773"/>
      <c r="Y1128" s="773"/>
      <c r="Z1128" s="773"/>
      <c r="AA1128" s="773"/>
      <c r="AB1128" s="773"/>
      <c r="AC1128" s="773"/>
      <c r="AD1128" s="773"/>
      <c r="AE1128" s="773"/>
      <c r="AF1128" s="773"/>
      <c r="AG1128" s="773"/>
      <c r="AH1128" s="773"/>
      <c r="AI1128" s="773"/>
      <c r="AJ1128" s="773"/>
      <c r="AK1128" s="773"/>
      <c r="AL1128" s="773"/>
      <c r="AM1128" s="773"/>
      <c r="AN1128" s="773"/>
      <c r="AO1128" s="773"/>
      <c r="AP1128" s="773"/>
      <c r="AQ1128" s="773"/>
      <c r="AR1128" s="773"/>
      <c r="AS1128" s="773"/>
      <c r="AT1128" s="773"/>
      <c r="AU1128" s="773"/>
      <c r="AV1128" s="773"/>
      <c r="AW1128" s="2510"/>
      <c r="BC1128" s="2510"/>
      <c r="BD1128" s="2510"/>
      <c r="BE1128" s="2173"/>
      <c r="BF1128" s="2173"/>
      <c r="BG1128" s="2173"/>
      <c r="BH1128" s="2173"/>
      <c r="BI1128" s="2173"/>
      <c r="BJ1128" s="2173"/>
      <c r="BK1128" s="2173"/>
      <c r="DB1128" s="773"/>
      <c r="DC1128" s="773"/>
      <c r="DD1128" s="773"/>
      <c r="DE1128" s="773"/>
      <c r="DF1128" s="773"/>
      <c r="DG1128" s="773"/>
      <c r="DH1128" s="773"/>
      <c r="DI1128" s="773"/>
      <c r="DJ1128" s="773"/>
      <c r="DK1128" s="773"/>
      <c r="DL1128" s="773"/>
      <c r="DM1128" s="773"/>
      <c r="DN1128" s="773"/>
      <c r="DO1128" s="773"/>
      <c r="DP1128" s="773"/>
      <c r="DQ1128" s="773"/>
      <c r="DR1128" s="773"/>
      <c r="DS1128" s="773"/>
      <c r="DT1128" s="773"/>
      <c r="DU1128" s="773"/>
      <c r="DV1128" s="773"/>
      <c r="DW1128" s="773"/>
      <c r="DX1128" s="773"/>
      <c r="DY1128" s="773"/>
      <c r="DZ1128" s="773"/>
      <c r="EA1128" s="773"/>
      <c r="EB1128" s="773"/>
      <c r="EC1128" s="773"/>
      <c r="ED1128" s="773"/>
      <c r="EE1128" s="773"/>
      <c r="EF1128" s="773"/>
      <c r="EG1128" s="773"/>
      <c r="EH1128" s="773"/>
      <c r="EI1128" s="773"/>
      <c r="EJ1128" s="773"/>
      <c r="EK1128" s="773"/>
      <c r="EL1128" s="773"/>
      <c r="EM1128" s="773"/>
      <c r="EN1128" s="773"/>
      <c r="EO1128" s="773"/>
      <c r="EP1128" s="773"/>
      <c r="EQ1128" s="773"/>
      <c r="ER1128" s="773"/>
      <c r="ES1128" s="773"/>
      <c r="ET1128" s="773"/>
      <c r="EU1128" s="773"/>
      <c r="EV1128" s="773"/>
      <c r="EW1128" s="773"/>
      <c r="EX1128" s="773"/>
      <c r="EY1128" s="773"/>
      <c r="EZ1128" s="773"/>
      <c r="FA1128" s="773"/>
      <c r="FB1128" s="773"/>
      <c r="FC1128" s="773"/>
      <c r="FD1128" s="773"/>
      <c r="FE1128" s="773"/>
      <c r="FF1128" s="773"/>
      <c r="FG1128" s="773"/>
      <c r="FH1128" s="773"/>
      <c r="FI1128" s="773"/>
      <c r="FJ1128" s="773"/>
      <c r="FK1128" s="773"/>
      <c r="FL1128" s="773"/>
      <c r="FM1128" s="773"/>
      <c r="FN1128" s="773"/>
      <c r="FO1128" s="773"/>
      <c r="FP1128" s="773"/>
      <c r="FQ1128" s="773"/>
      <c r="FR1128" s="773"/>
      <c r="FS1128" s="773"/>
      <c r="FT1128" s="773"/>
      <c r="FU1128" s="773"/>
      <c r="FV1128" s="773"/>
      <c r="FW1128" s="773"/>
      <c r="FX1128" s="773"/>
      <c r="FY1128" s="773"/>
      <c r="FZ1128" s="773"/>
      <c r="GA1128" s="773"/>
      <c r="GB1128" s="773"/>
      <c r="GC1128" s="773"/>
      <c r="GD1128" s="773"/>
      <c r="GE1128" s="773"/>
      <c r="GF1128" s="773"/>
      <c r="GG1128" s="773"/>
      <c r="GH1128" s="773"/>
      <c r="GI1128" s="773"/>
      <c r="GJ1128" s="773"/>
      <c r="GK1128" s="773"/>
      <c r="GL1128" s="773"/>
      <c r="GM1128" s="773"/>
      <c r="GN1128" s="773"/>
      <c r="GO1128" s="773"/>
      <c r="GP1128" s="773"/>
      <c r="GQ1128" s="773"/>
      <c r="GR1128" s="773"/>
      <c r="GS1128" s="773"/>
      <c r="GT1128" s="773"/>
      <c r="GU1128" s="773"/>
      <c r="GV1128" s="773"/>
      <c r="GW1128" s="773"/>
      <c r="GX1128" s="773"/>
      <c r="GY1128" s="773"/>
      <c r="GZ1128" s="773"/>
    </row>
    <row r="1129" spans="1:208" s="11" customFormat="1">
      <c r="A1129" s="917"/>
      <c r="B1129" s="918"/>
      <c r="C1129" s="767"/>
      <c r="D1129" s="173"/>
      <c r="E1129" s="769"/>
      <c r="F1129" s="769"/>
      <c r="G1129" s="769"/>
      <c r="H1129" s="769"/>
      <c r="I1129" s="769"/>
      <c r="J1129" s="769"/>
      <c r="K1129" s="209"/>
      <c r="M1129" s="771"/>
      <c r="N1129" s="773"/>
      <c r="O1129" s="772"/>
      <c r="P1129" s="772"/>
      <c r="Q1129" s="772"/>
      <c r="R1129" s="772"/>
      <c r="S1129" s="772"/>
      <c r="T1129" s="773"/>
      <c r="V1129" s="773"/>
      <c r="W1129" s="773"/>
      <c r="X1129" s="773"/>
      <c r="Y1129" s="773"/>
      <c r="Z1129" s="773"/>
      <c r="AA1129" s="773"/>
      <c r="AB1129" s="773"/>
      <c r="AC1129" s="773"/>
      <c r="AD1129" s="773"/>
      <c r="AE1129" s="773"/>
      <c r="AF1129" s="773"/>
      <c r="AG1129" s="773"/>
      <c r="AH1129" s="773"/>
      <c r="AI1129" s="773"/>
      <c r="AJ1129" s="773"/>
      <c r="AK1129" s="773"/>
      <c r="AL1129" s="773"/>
      <c r="AM1129" s="773"/>
      <c r="AN1129" s="773"/>
      <c r="AO1129" s="773"/>
      <c r="AP1129" s="773"/>
      <c r="AQ1129" s="773"/>
      <c r="AR1129" s="773"/>
      <c r="AS1129" s="773"/>
      <c r="AT1129" s="773"/>
      <c r="AU1129" s="773"/>
      <c r="AV1129" s="773"/>
      <c r="AW1129" s="2510"/>
      <c r="BC1129" s="2510"/>
      <c r="BD1129" s="2510"/>
      <c r="BE1129" s="2173"/>
      <c r="BF1129" s="2173"/>
      <c r="BG1129" s="2173"/>
      <c r="BH1129" s="2173"/>
      <c r="BI1129" s="2173"/>
      <c r="BJ1129" s="2173"/>
      <c r="BK1129" s="2173"/>
      <c r="DB1129" s="773"/>
      <c r="DC1129" s="773"/>
      <c r="DD1129" s="773"/>
      <c r="DE1129" s="773"/>
      <c r="DF1129" s="773"/>
      <c r="DG1129" s="773"/>
      <c r="DH1129" s="773"/>
      <c r="DI1129" s="773"/>
      <c r="DJ1129" s="773"/>
      <c r="DK1129" s="773"/>
      <c r="DL1129" s="773"/>
      <c r="DM1129" s="773"/>
      <c r="DN1129" s="773"/>
      <c r="DO1129" s="773"/>
      <c r="DP1129" s="773"/>
      <c r="DQ1129" s="773"/>
      <c r="DR1129" s="773"/>
      <c r="DS1129" s="773"/>
      <c r="DT1129" s="773"/>
      <c r="DU1129" s="773"/>
      <c r="DV1129" s="773"/>
      <c r="DW1129" s="773"/>
      <c r="DX1129" s="773"/>
      <c r="DY1129" s="773"/>
      <c r="DZ1129" s="773"/>
      <c r="EA1129" s="773"/>
      <c r="EB1129" s="773"/>
      <c r="EC1129" s="773"/>
      <c r="ED1129" s="773"/>
      <c r="EE1129" s="773"/>
      <c r="EF1129" s="773"/>
      <c r="EG1129" s="773"/>
      <c r="EH1129" s="773"/>
      <c r="EI1129" s="773"/>
      <c r="EJ1129" s="773"/>
      <c r="EK1129" s="773"/>
      <c r="EL1129" s="773"/>
      <c r="EM1129" s="773"/>
      <c r="EN1129" s="773"/>
      <c r="EO1129" s="773"/>
      <c r="EP1129" s="773"/>
      <c r="EQ1129" s="773"/>
      <c r="ER1129" s="773"/>
      <c r="ES1129" s="773"/>
      <c r="ET1129" s="773"/>
      <c r="EU1129" s="773"/>
      <c r="EV1129" s="773"/>
      <c r="EW1129" s="773"/>
      <c r="EX1129" s="773"/>
      <c r="EY1129" s="773"/>
      <c r="EZ1129" s="773"/>
      <c r="FA1129" s="773"/>
      <c r="FB1129" s="773"/>
      <c r="FC1129" s="773"/>
      <c r="FD1129" s="773"/>
      <c r="FE1129" s="773"/>
      <c r="FF1129" s="773"/>
      <c r="FG1129" s="773"/>
      <c r="FH1129" s="773"/>
      <c r="FI1129" s="773"/>
      <c r="FJ1129" s="773"/>
      <c r="FK1129" s="773"/>
      <c r="FL1129" s="773"/>
      <c r="FM1129" s="773"/>
      <c r="FN1129" s="773"/>
      <c r="FO1129" s="773"/>
      <c r="FP1129" s="773"/>
      <c r="FQ1129" s="773"/>
      <c r="FR1129" s="773"/>
      <c r="FS1129" s="773"/>
      <c r="FT1129" s="773"/>
      <c r="FU1129" s="773"/>
      <c r="FV1129" s="773"/>
      <c r="FW1129" s="773"/>
      <c r="FX1129" s="773"/>
      <c r="FY1129" s="773"/>
      <c r="FZ1129" s="773"/>
      <c r="GA1129" s="773"/>
      <c r="GB1129" s="773"/>
      <c r="GC1129" s="773"/>
      <c r="GD1129" s="773"/>
      <c r="GE1129" s="773"/>
      <c r="GF1129" s="773"/>
      <c r="GG1129" s="773"/>
      <c r="GH1129" s="773"/>
      <c r="GI1129" s="773"/>
      <c r="GJ1129" s="773"/>
      <c r="GK1129" s="773"/>
      <c r="GL1129" s="773"/>
      <c r="GM1129" s="773"/>
      <c r="GN1129" s="773"/>
      <c r="GO1129" s="773"/>
      <c r="GP1129" s="773"/>
      <c r="GQ1129" s="773"/>
      <c r="GR1129" s="773"/>
      <c r="GS1129" s="773"/>
      <c r="GT1129" s="773"/>
      <c r="GU1129" s="773"/>
      <c r="GV1129" s="773"/>
      <c r="GW1129" s="773"/>
      <c r="GX1129" s="773"/>
      <c r="GY1129" s="773"/>
      <c r="GZ1129" s="773"/>
    </row>
    <row r="1130" spans="1:208" s="11" customFormat="1">
      <c r="A1130" s="917"/>
      <c r="B1130" s="918"/>
      <c r="C1130" s="767"/>
      <c r="D1130" s="173"/>
      <c r="E1130" s="769"/>
      <c r="F1130" s="769"/>
      <c r="G1130" s="769"/>
      <c r="H1130" s="769"/>
      <c r="I1130" s="769"/>
      <c r="J1130" s="769"/>
      <c r="K1130" s="209"/>
      <c r="M1130" s="771"/>
      <c r="N1130" s="773"/>
      <c r="O1130" s="772"/>
      <c r="P1130" s="772"/>
      <c r="Q1130" s="772"/>
      <c r="R1130" s="772"/>
      <c r="S1130" s="772"/>
      <c r="T1130" s="773"/>
      <c r="V1130" s="773"/>
      <c r="W1130" s="773"/>
      <c r="X1130" s="773"/>
      <c r="Y1130" s="920"/>
      <c r="Z1130" s="773"/>
      <c r="AA1130" s="773"/>
      <c r="AB1130" s="773"/>
      <c r="AC1130" s="773"/>
      <c r="AD1130" s="773"/>
      <c r="AE1130" s="773"/>
      <c r="AF1130" s="773"/>
      <c r="AG1130" s="773"/>
      <c r="AH1130" s="773"/>
      <c r="AI1130" s="773"/>
      <c r="AJ1130" s="773"/>
      <c r="AK1130" s="773"/>
      <c r="AL1130" s="773"/>
      <c r="AM1130" s="773"/>
      <c r="AN1130" s="773"/>
      <c r="AO1130" s="773"/>
      <c r="AP1130" s="773"/>
      <c r="AQ1130" s="773"/>
      <c r="AR1130" s="773"/>
      <c r="AS1130" s="773"/>
      <c r="AT1130" s="773"/>
      <c r="AU1130" s="773"/>
      <c r="AV1130" s="773"/>
      <c r="AW1130" s="2510"/>
      <c r="BC1130" s="2510"/>
      <c r="BD1130" s="2510"/>
      <c r="BE1130" s="2173"/>
      <c r="BF1130" s="2173"/>
      <c r="BG1130" s="2173"/>
      <c r="BH1130" s="2173"/>
      <c r="BI1130" s="2173"/>
      <c r="BJ1130" s="2173"/>
      <c r="BK1130" s="2173"/>
      <c r="DB1130" s="773"/>
      <c r="DC1130" s="773"/>
      <c r="DD1130" s="773"/>
      <c r="DE1130" s="773"/>
      <c r="DF1130" s="773"/>
      <c r="DG1130" s="773"/>
      <c r="DH1130" s="773"/>
      <c r="DI1130" s="773"/>
      <c r="DJ1130" s="773"/>
      <c r="DK1130" s="773"/>
      <c r="DL1130" s="773"/>
      <c r="DM1130" s="773"/>
      <c r="DN1130" s="773"/>
      <c r="DO1130" s="773"/>
      <c r="DP1130" s="773"/>
      <c r="DQ1130" s="773"/>
      <c r="DR1130" s="773"/>
      <c r="DS1130" s="773"/>
      <c r="DT1130" s="773"/>
      <c r="DU1130" s="773"/>
      <c r="DV1130" s="773"/>
      <c r="DW1130" s="773"/>
      <c r="DX1130" s="773"/>
      <c r="DY1130" s="773"/>
      <c r="DZ1130" s="773"/>
      <c r="EA1130" s="773"/>
      <c r="EB1130" s="773"/>
      <c r="EC1130" s="773"/>
      <c r="ED1130" s="773"/>
      <c r="EE1130" s="773"/>
      <c r="EF1130" s="773"/>
      <c r="EG1130" s="773"/>
      <c r="EH1130" s="773"/>
      <c r="EI1130" s="773"/>
      <c r="EJ1130" s="773"/>
      <c r="EK1130" s="773"/>
      <c r="EL1130" s="773"/>
      <c r="EM1130" s="773"/>
      <c r="EN1130" s="773"/>
      <c r="EO1130" s="773"/>
      <c r="EP1130" s="773"/>
      <c r="EQ1130" s="773"/>
      <c r="ER1130" s="773"/>
      <c r="ES1130" s="773"/>
      <c r="ET1130" s="773"/>
      <c r="EU1130" s="773"/>
      <c r="EV1130" s="773"/>
      <c r="EW1130" s="773"/>
      <c r="EX1130" s="773"/>
      <c r="EY1130" s="773"/>
      <c r="EZ1130" s="773"/>
      <c r="FA1130" s="773"/>
      <c r="FB1130" s="773"/>
      <c r="FC1130" s="773"/>
      <c r="FD1130" s="773"/>
      <c r="FE1130" s="773"/>
      <c r="FF1130" s="773"/>
      <c r="FG1130" s="773"/>
      <c r="FH1130" s="773"/>
      <c r="FI1130" s="773"/>
      <c r="FJ1130" s="773"/>
      <c r="FK1130" s="773"/>
      <c r="FL1130" s="773"/>
      <c r="FM1130" s="773"/>
      <c r="FN1130" s="773"/>
      <c r="FO1130" s="773"/>
      <c r="FP1130" s="773"/>
      <c r="FQ1130" s="773"/>
      <c r="FR1130" s="773"/>
      <c r="FS1130" s="773"/>
      <c r="FT1130" s="773"/>
      <c r="FU1130" s="773"/>
      <c r="FV1130" s="773"/>
      <c r="FW1130" s="773"/>
      <c r="FX1130" s="773"/>
      <c r="FY1130" s="773"/>
      <c r="FZ1130" s="773"/>
      <c r="GA1130" s="773"/>
      <c r="GB1130" s="773"/>
      <c r="GC1130" s="773"/>
      <c r="GD1130" s="773"/>
      <c r="GE1130" s="773"/>
      <c r="GF1130" s="773"/>
      <c r="GG1130" s="773"/>
      <c r="GH1130" s="773"/>
      <c r="GI1130" s="773"/>
      <c r="GJ1130" s="773"/>
      <c r="GK1130" s="773"/>
      <c r="GL1130" s="773"/>
      <c r="GM1130" s="773"/>
      <c r="GN1130" s="773"/>
      <c r="GO1130" s="773"/>
      <c r="GP1130" s="773"/>
      <c r="GQ1130" s="773"/>
      <c r="GR1130" s="773"/>
      <c r="GS1130" s="773"/>
      <c r="GT1130" s="773"/>
      <c r="GU1130" s="773"/>
      <c r="GV1130" s="773"/>
      <c r="GW1130" s="773"/>
      <c r="GX1130" s="773"/>
      <c r="GY1130" s="773"/>
      <c r="GZ1130" s="773"/>
    </row>
    <row r="1131" spans="1:208" s="11" customFormat="1">
      <c r="A1131" s="917"/>
      <c r="B1131" s="918"/>
      <c r="C1131" s="767"/>
      <c r="D1131" s="173"/>
      <c r="E1131" s="769"/>
      <c r="F1131" s="769"/>
      <c r="G1131" s="769"/>
      <c r="H1131" s="769"/>
      <c r="I1131" s="769"/>
      <c r="J1131" s="769"/>
      <c r="K1131" s="209"/>
      <c r="M1131" s="771"/>
      <c r="N1131" s="773"/>
      <c r="O1131" s="772"/>
      <c r="P1131" s="772"/>
      <c r="Q1131" s="772"/>
      <c r="R1131" s="772"/>
      <c r="S1131" s="772"/>
      <c r="T1131" s="773"/>
      <c r="V1131" s="773"/>
      <c r="W1131" s="773"/>
      <c r="X1131" s="773"/>
      <c r="Y1131" s="716"/>
      <c r="Z1131" s="773"/>
      <c r="AA1131" s="773"/>
      <c r="AB1131" s="773"/>
      <c r="AC1131" s="773"/>
      <c r="AD1131" s="773"/>
      <c r="AE1131" s="773"/>
      <c r="AF1131" s="773"/>
      <c r="AG1131" s="773"/>
      <c r="AH1131" s="773"/>
      <c r="AI1131" s="773"/>
      <c r="AJ1131" s="773"/>
      <c r="AK1131" s="773"/>
      <c r="AL1131" s="773"/>
      <c r="AM1131" s="773"/>
      <c r="AN1131" s="773"/>
      <c r="AO1131" s="773"/>
      <c r="AP1131" s="773"/>
      <c r="AQ1131" s="773"/>
      <c r="AR1131" s="773"/>
      <c r="AS1131" s="773"/>
      <c r="AT1131" s="773"/>
      <c r="AU1131" s="773"/>
      <c r="AV1131" s="773"/>
      <c r="AW1131" s="2510"/>
      <c r="BC1131" s="2510"/>
      <c r="BD1131" s="2510"/>
      <c r="BE1131" s="2173"/>
      <c r="BF1131" s="2173"/>
      <c r="BG1131" s="2173"/>
      <c r="BH1131" s="2173"/>
      <c r="BI1131" s="2173"/>
      <c r="BJ1131" s="2173"/>
      <c r="BK1131" s="2173"/>
      <c r="DB1131" s="773"/>
      <c r="DC1131" s="773"/>
      <c r="DD1131" s="773"/>
      <c r="DE1131" s="773"/>
      <c r="DF1131" s="773"/>
      <c r="DG1131" s="773"/>
      <c r="DH1131" s="773"/>
      <c r="DI1131" s="773"/>
      <c r="DJ1131" s="773"/>
      <c r="DK1131" s="773"/>
      <c r="DL1131" s="773"/>
      <c r="DM1131" s="773"/>
      <c r="DN1131" s="773"/>
      <c r="DO1131" s="773"/>
      <c r="DP1131" s="773"/>
      <c r="DQ1131" s="773"/>
      <c r="DR1131" s="773"/>
      <c r="DS1131" s="773"/>
      <c r="DT1131" s="773"/>
      <c r="DU1131" s="773"/>
      <c r="DV1131" s="773"/>
      <c r="DW1131" s="773"/>
      <c r="DX1131" s="773"/>
      <c r="DY1131" s="773"/>
      <c r="DZ1131" s="773"/>
      <c r="EA1131" s="773"/>
      <c r="EB1131" s="773"/>
      <c r="EC1131" s="773"/>
      <c r="ED1131" s="773"/>
      <c r="EE1131" s="773"/>
      <c r="EF1131" s="773"/>
      <c r="EG1131" s="773"/>
      <c r="EH1131" s="773"/>
      <c r="EI1131" s="773"/>
      <c r="EJ1131" s="773"/>
      <c r="EK1131" s="773"/>
      <c r="EL1131" s="773"/>
      <c r="EM1131" s="773"/>
      <c r="EN1131" s="773"/>
      <c r="EO1131" s="773"/>
      <c r="EP1131" s="773"/>
      <c r="EQ1131" s="773"/>
      <c r="ER1131" s="773"/>
      <c r="ES1131" s="773"/>
      <c r="ET1131" s="773"/>
      <c r="EU1131" s="773"/>
      <c r="EV1131" s="773"/>
      <c r="EW1131" s="773"/>
      <c r="EX1131" s="773"/>
      <c r="EY1131" s="773"/>
      <c r="EZ1131" s="773"/>
      <c r="FA1131" s="773"/>
      <c r="FB1131" s="773"/>
      <c r="FC1131" s="773"/>
      <c r="FD1131" s="773"/>
      <c r="FE1131" s="773"/>
      <c r="FF1131" s="773"/>
      <c r="FG1131" s="773"/>
      <c r="FH1131" s="773"/>
      <c r="FI1131" s="773"/>
      <c r="FJ1131" s="773"/>
      <c r="FK1131" s="773"/>
      <c r="FL1131" s="773"/>
      <c r="FM1131" s="773"/>
      <c r="FN1131" s="773"/>
      <c r="FO1131" s="773"/>
      <c r="FP1131" s="773"/>
      <c r="FQ1131" s="773"/>
      <c r="FR1131" s="773"/>
      <c r="FS1131" s="773"/>
      <c r="FT1131" s="773"/>
      <c r="FU1131" s="773"/>
      <c r="FV1131" s="773"/>
      <c r="FW1131" s="773"/>
      <c r="FX1131" s="773"/>
      <c r="FY1131" s="773"/>
      <c r="FZ1131" s="773"/>
      <c r="GA1131" s="773"/>
      <c r="GB1131" s="773"/>
      <c r="GC1131" s="773"/>
      <c r="GD1131" s="773"/>
      <c r="GE1131" s="773"/>
      <c r="GF1131" s="773"/>
      <c r="GG1131" s="773"/>
      <c r="GH1131" s="773"/>
      <c r="GI1131" s="773"/>
      <c r="GJ1131" s="773"/>
      <c r="GK1131" s="773"/>
      <c r="GL1131" s="773"/>
      <c r="GM1131" s="773"/>
      <c r="GN1131" s="773"/>
      <c r="GO1131" s="773"/>
      <c r="GP1131" s="773"/>
      <c r="GQ1131" s="773"/>
      <c r="GR1131" s="773"/>
      <c r="GS1131" s="773"/>
      <c r="GT1131" s="773"/>
      <c r="GU1131" s="773"/>
      <c r="GV1131" s="773"/>
      <c r="GW1131" s="773"/>
      <c r="GX1131" s="773"/>
      <c r="GY1131" s="773"/>
      <c r="GZ1131" s="773"/>
    </row>
    <row r="1132" spans="1:208" s="11" customFormat="1">
      <c r="A1132" s="917"/>
      <c r="B1132" s="918"/>
      <c r="C1132" s="767"/>
      <c r="D1132" s="173"/>
      <c r="E1132" s="769"/>
      <c r="F1132" s="769"/>
      <c r="G1132" s="769"/>
      <c r="H1132" s="769"/>
      <c r="I1132" s="769"/>
      <c r="J1132" s="769"/>
      <c r="K1132" s="209"/>
      <c r="M1132" s="771"/>
      <c r="N1132" s="773"/>
      <c r="O1132" s="772"/>
      <c r="P1132" s="772"/>
      <c r="Q1132" s="772"/>
      <c r="R1132" s="772"/>
      <c r="S1132" s="772"/>
      <c r="T1132" s="773"/>
      <c r="W1132" s="773"/>
      <c r="X1132" s="773"/>
      <c r="Y1132" s="716"/>
      <c r="Z1132" s="773"/>
      <c r="AA1132" s="773"/>
      <c r="AB1132" s="773"/>
      <c r="AC1132" s="773"/>
      <c r="AD1132" s="773"/>
      <c r="AE1132" s="773"/>
      <c r="AF1132" s="773"/>
      <c r="AG1132" s="773"/>
      <c r="AH1132" s="773"/>
      <c r="AI1132" s="773"/>
      <c r="AJ1132" s="773"/>
      <c r="AK1132" s="773"/>
      <c r="AL1132" s="773"/>
      <c r="AM1132" s="773"/>
      <c r="AN1132" s="773"/>
      <c r="AO1132" s="773"/>
      <c r="AP1132" s="773"/>
      <c r="AQ1132" s="773"/>
      <c r="AR1132" s="773"/>
      <c r="AS1132" s="773"/>
      <c r="AT1132" s="773"/>
      <c r="AU1132" s="773"/>
      <c r="AV1132" s="773"/>
      <c r="AW1132" s="2510"/>
      <c r="BC1132" s="2510"/>
      <c r="BD1132" s="2510"/>
      <c r="BE1132" s="2173"/>
      <c r="BF1132" s="2173"/>
      <c r="BG1132" s="2173"/>
      <c r="BH1132" s="2173"/>
      <c r="BI1132" s="2173"/>
      <c r="BJ1132" s="2173"/>
      <c r="BK1132" s="2173"/>
      <c r="DB1132" s="773"/>
      <c r="DC1132" s="773"/>
      <c r="DD1132" s="773"/>
      <c r="DE1132" s="773"/>
      <c r="DF1132" s="773"/>
      <c r="DG1132" s="773"/>
      <c r="DH1132" s="773"/>
      <c r="DI1132" s="773"/>
      <c r="DJ1132" s="773"/>
      <c r="DK1132" s="773"/>
      <c r="DL1132" s="773"/>
      <c r="DM1132" s="773"/>
      <c r="DN1132" s="773"/>
      <c r="DO1132" s="773"/>
      <c r="DP1132" s="773"/>
      <c r="DQ1132" s="773"/>
      <c r="DR1132" s="773"/>
      <c r="DS1132" s="773"/>
      <c r="DT1132" s="773"/>
      <c r="DU1132" s="773"/>
      <c r="DV1132" s="773"/>
      <c r="DW1132" s="773"/>
      <c r="DX1132" s="773"/>
      <c r="DY1132" s="773"/>
      <c r="DZ1132" s="773"/>
      <c r="EA1132" s="773"/>
      <c r="EB1132" s="773"/>
      <c r="EC1132" s="773"/>
      <c r="ED1132" s="773"/>
      <c r="EE1132" s="773"/>
      <c r="EF1132" s="773"/>
      <c r="EG1132" s="773"/>
      <c r="EH1132" s="773"/>
      <c r="EI1132" s="773"/>
      <c r="EJ1132" s="773"/>
      <c r="EK1132" s="773"/>
      <c r="EL1132" s="773"/>
      <c r="EM1132" s="773"/>
      <c r="EN1132" s="773"/>
      <c r="EO1132" s="773"/>
      <c r="EP1132" s="773"/>
      <c r="EQ1132" s="773"/>
      <c r="ER1132" s="773"/>
      <c r="ES1132" s="773"/>
      <c r="ET1132" s="773"/>
      <c r="EU1132" s="773"/>
      <c r="EV1132" s="773"/>
      <c r="EW1132" s="773"/>
      <c r="EX1132" s="773"/>
      <c r="EY1132" s="773"/>
      <c r="EZ1132" s="773"/>
      <c r="FA1132" s="773"/>
      <c r="FB1132" s="773"/>
      <c r="FC1132" s="773"/>
      <c r="FD1132" s="773"/>
      <c r="FE1132" s="773"/>
      <c r="FF1132" s="773"/>
      <c r="FG1132" s="773"/>
      <c r="FH1132" s="773"/>
      <c r="FI1132" s="773"/>
      <c r="FJ1132" s="773"/>
      <c r="FK1132" s="773"/>
      <c r="FL1132" s="773"/>
      <c r="FM1132" s="773"/>
      <c r="FN1132" s="773"/>
      <c r="FO1132" s="773"/>
      <c r="FP1132" s="773"/>
      <c r="FQ1132" s="773"/>
      <c r="FR1132" s="773"/>
      <c r="FS1132" s="773"/>
      <c r="FT1132" s="773"/>
      <c r="FU1132" s="773"/>
      <c r="FV1132" s="773"/>
      <c r="FW1132" s="773"/>
      <c r="FX1132" s="773"/>
      <c r="FY1132" s="773"/>
      <c r="FZ1132" s="773"/>
      <c r="GA1132" s="773"/>
      <c r="GB1132" s="773"/>
      <c r="GC1132" s="773"/>
      <c r="GD1132" s="773"/>
      <c r="GE1132" s="773"/>
      <c r="GF1132" s="773"/>
      <c r="GG1132" s="773"/>
      <c r="GH1132" s="773"/>
      <c r="GI1132" s="773"/>
      <c r="GJ1132" s="773"/>
      <c r="GK1132" s="773"/>
      <c r="GL1132" s="773"/>
      <c r="GM1132" s="773"/>
      <c r="GN1132" s="773"/>
      <c r="GO1132" s="773"/>
      <c r="GP1132" s="773"/>
      <c r="GQ1132" s="773"/>
      <c r="GR1132" s="773"/>
      <c r="GS1132" s="773"/>
      <c r="GT1132" s="773"/>
      <c r="GU1132" s="773"/>
      <c r="GV1132" s="773"/>
      <c r="GW1132" s="773"/>
      <c r="GX1132" s="773"/>
      <c r="GY1132" s="773"/>
      <c r="GZ1132" s="773"/>
    </row>
    <row r="1133" spans="1:208" s="11" customFormat="1">
      <c r="A1133" s="917"/>
      <c r="B1133" s="918"/>
      <c r="C1133" s="767"/>
      <c r="D1133" s="173"/>
      <c r="E1133" s="769"/>
      <c r="F1133" s="769"/>
      <c r="G1133" s="769"/>
      <c r="H1133" s="769"/>
      <c r="I1133" s="769"/>
      <c r="J1133" s="769"/>
      <c r="K1133" s="209"/>
      <c r="M1133" s="771"/>
      <c r="N1133" s="773"/>
      <c r="O1133" s="772"/>
      <c r="P1133" s="772"/>
      <c r="Q1133" s="772"/>
      <c r="R1133" s="772"/>
      <c r="S1133" s="772"/>
      <c r="T1133" s="773"/>
      <c r="W1133" s="773"/>
      <c r="X1133" s="773"/>
      <c r="Y1133" s="722"/>
      <c r="Z1133" s="773"/>
      <c r="AA1133" s="773"/>
      <c r="AB1133" s="773"/>
      <c r="AC1133" s="773"/>
      <c r="AD1133" s="773"/>
      <c r="AE1133" s="773"/>
      <c r="AF1133" s="773"/>
      <c r="AG1133" s="773"/>
      <c r="AH1133" s="773"/>
      <c r="AI1133" s="773"/>
      <c r="AJ1133" s="773"/>
      <c r="AK1133" s="773"/>
      <c r="AL1133" s="773"/>
      <c r="AM1133" s="773"/>
      <c r="AN1133" s="773"/>
      <c r="AO1133" s="773"/>
      <c r="AP1133" s="773"/>
      <c r="AQ1133" s="773"/>
      <c r="AR1133" s="773"/>
      <c r="AS1133" s="773"/>
      <c r="AT1133" s="773"/>
      <c r="AU1133" s="773"/>
      <c r="AV1133" s="773"/>
      <c r="AW1133" s="2510"/>
      <c r="BC1133" s="2510"/>
      <c r="BD1133" s="2510"/>
      <c r="BE1133" s="2173"/>
      <c r="BF1133" s="2173"/>
      <c r="BG1133" s="2173"/>
      <c r="BH1133" s="2173"/>
      <c r="BI1133" s="2173"/>
      <c r="BJ1133" s="2173"/>
      <c r="BK1133" s="2173"/>
      <c r="DB1133" s="773"/>
      <c r="DC1133" s="773"/>
      <c r="DD1133" s="773"/>
      <c r="DE1133" s="773"/>
      <c r="DF1133" s="773"/>
      <c r="DG1133" s="773"/>
      <c r="DH1133" s="773"/>
      <c r="DI1133" s="773"/>
      <c r="DJ1133" s="773"/>
      <c r="DK1133" s="773"/>
      <c r="DL1133" s="773"/>
      <c r="DM1133" s="773"/>
      <c r="DN1133" s="773"/>
      <c r="DO1133" s="773"/>
      <c r="DP1133" s="773"/>
      <c r="DQ1133" s="773"/>
      <c r="DR1133" s="773"/>
      <c r="DS1133" s="773"/>
      <c r="DT1133" s="773"/>
      <c r="DU1133" s="773"/>
      <c r="DV1133" s="773"/>
      <c r="DW1133" s="773"/>
      <c r="DX1133" s="773"/>
      <c r="DY1133" s="773"/>
      <c r="DZ1133" s="773"/>
      <c r="EA1133" s="773"/>
      <c r="EB1133" s="773"/>
      <c r="EC1133" s="773"/>
      <c r="ED1133" s="773"/>
      <c r="EE1133" s="773"/>
      <c r="EF1133" s="773"/>
      <c r="EG1133" s="773"/>
      <c r="EH1133" s="773"/>
      <c r="EI1133" s="773"/>
      <c r="EJ1133" s="773"/>
      <c r="EK1133" s="773"/>
      <c r="EL1133" s="773"/>
      <c r="EM1133" s="773"/>
      <c r="EN1133" s="773"/>
      <c r="EO1133" s="773"/>
      <c r="EP1133" s="773"/>
      <c r="EQ1133" s="773"/>
      <c r="ER1133" s="773"/>
      <c r="ES1133" s="773"/>
      <c r="ET1133" s="773"/>
      <c r="EU1133" s="773"/>
      <c r="EV1133" s="773"/>
      <c r="EW1133" s="773"/>
      <c r="EX1133" s="773"/>
      <c r="EY1133" s="773"/>
      <c r="EZ1133" s="773"/>
      <c r="FA1133" s="773"/>
      <c r="FB1133" s="773"/>
      <c r="FC1133" s="773"/>
      <c r="FD1133" s="773"/>
      <c r="FE1133" s="773"/>
      <c r="FF1133" s="773"/>
      <c r="FG1133" s="773"/>
      <c r="FH1133" s="773"/>
      <c r="FI1133" s="773"/>
      <c r="FJ1133" s="773"/>
      <c r="FK1133" s="773"/>
      <c r="FL1133" s="773"/>
      <c r="FM1133" s="773"/>
      <c r="FN1133" s="773"/>
      <c r="FO1133" s="773"/>
      <c r="FP1133" s="773"/>
      <c r="FQ1133" s="773"/>
      <c r="FR1133" s="773"/>
      <c r="FS1133" s="773"/>
      <c r="FT1133" s="773"/>
      <c r="FU1133" s="773"/>
      <c r="FV1133" s="773"/>
      <c r="FW1133" s="773"/>
      <c r="FX1133" s="773"/>
      <c r="FY1133" s="773"/>
      <c r="FZ1133" s="773"/>
      <c r="GA1133" s="773"/>
      <c r="GB1133" s="773"/>
      <c r="GC1133" s="773"/>
      <c r="GD1133" s="773"/>
      <c r="GE1133" s="773"/>
      <c r="GF1133" s="773"/>
      <c r="GG1133" s="773"/>
      <c r="GH1133" s="773"/>
      <c r="GI1133" s="773"/>
      <c r="GJ1133" s="773"/>
      <c r="GK1133" s="773"/>
      <c r="GL1133" s="773"/>
      <c r="GM1133" s="773"/>
      <c r="GN1133" s="773"/>
      <c r="GO1133" s="773"/>
      <c r="GP1133" s="773"/>
      <c r="GQ1133" s="773"/>
      <c r="GR1133" s="773"/>
      <c r="GS1133" s="773"/>
      <c r="GT1133" s="773"/>
      <c r="GU1133" s="773"/>
      <c r="GV1133" s="773"/>
      <c r="GW1133" s="773"/>
      <c r="GX1133" s="773"/>
      <c r="GY1133" s="773"/>
      <c r="GZ1133" s="773"/>
    </row>
    <row r="1134" spans="1:208" s="11" customFormat="1">
      <c r="A1134" s="917"/>
      <c r="B1134" s="918"/>
      <c r="C1134" s="767"/>
      <c r="D1134" s="173"/>
      <c r="E1134" s="769"/>
      <c r="F1134" s="769"/>
      <c r="G1134" s="769"/>
      <c r="H1134" s="769"/>
      <c r="I1134" s="769"/>
      <c r="J1134" s="769"/>
      <c r="K1134" s="209"/>
      <c r="M1134" s="771"/>
      <c r="N1134" s="773"/>
      <c r="O1134" s="772"/>
      <c r="P1134" s="772"/>
      <c r="Q1134" s="772"/>
      <c r="R1134" s="772"/>
      <c r="S1134" s="772"/>
      <c r="T1134" s="773"/>
      <c r="W1134" s="773"/>
      <c r="X1134" s="773"/>
      <c r="Y1134" s="722"/>
      <c r="Z1134" s="773"/>
      <c r="AA1134" s="773"/>
      <c r="AB1134" s="773"/>
      <c r="AC1134" s="773"/>
      <c r="AD1134" s="773"/>
      <c r="AE1134" s="773"/>
      <c r="AF1134" s="773"/>
      <c r="AG1134" s="773"/>
      <c r="AH1134" s="773"/>
      <c r="AI1134" s="773"/>
      <c r="AJ1134" s="773"/>
      <c r="AK1134" s="773"/>
      <c r="AL1134" s="773"/>
      <c r="AM1134" s="773"/>
      <c r="AN1134" s="773"/>
      <c r="AO1134" s="773"/>
      <c r="AP1134" s="773"/>
      <c r="AQ1134" s="773"/>
      <c r="AR1134" s="773"/>
      <c r="AS1134" s="773"/>
      <c r="AT1134" s="773"/>
      <c r="AU1134" s="773"/>
      <c r="AV1134" s="773"/>
      <c r="AW1134" s="2510"/>
      <c r="BC1134" s="2510"/>
      <c r="BD1134" s="2510"/>
      <c r="BE1134" s="2173"/>
      <c r="BF1134" s="2173"/>
      <c r="BG1134" s="2173"/>
      <c r="BH1134" s="2173"/>
      <c r="BI1134" s="2173"/>
      <c r="BJ1134" s="2173"/>
      <c r="BK1134" s="2173"/>
      <c r="DB1134" s="773"/>
      <c r="DC1134" s="773"/>
      <c r="DD1134" s="773"/>
      <c r="DE1134" s="773"/>
      <c r="DF1134" s="773"/>
      <c r="DG1134" s="773"/>
      <c r="DH1134" s="773"/>
      <c r="DI1134" s="773"/>
      <c r="DJ1134" s="773"/>
      <c r="DK1134" s="773"/>
      <c r="DL1134" s="773"/>
      <c r="DM1134" s="773"/>
      <c r="DN1134" s="773"/>
      <c r="DO1134" s="773"/>
      <c r="DP1134" s="773"/>
      <c r="DQ1134" s="773"/>
      <c r="DR1134" s="773"/>
      <c r="DS1134" s="773"/>
      <c r="DT1134" s="773"/>
      <c r="DU1134" s="773"/>
      <c r="DV1134" s="773"/>
      <c r="DW1134" s="773"/>
      <c r="DX1134" s="773"/>
      <c r="DY1134" s="773"/>
      <c r="DZ1134" s="773"/>
      <c r="EA1134" s="773"/>
      <c r="EB1134" s="773"/>
      <c r="EC1134" s="773"/>
      <c r="ED1134" s="773"/>
      <c r="EE1134" s="773"/>
      <c r="EF1134" s="773"/>
      <c r="EG1134" s="773"/>
      <c r="EH1134" s="773"/>
      <c r="EI1134" s="773"/>
      <c r="EJ1134" s="773"/>
      <c r="EK1134" s="773"/>
      <c r="EL1134" s="773"/>
      <c r="EM1134" s="773"/>
      <c r="EN1134" s="773"/>
      <c r="EO1134" s="773"/>
      <c r="EP1134" s="773"/>
      <c r="EQ1134" s="773"/>
      <c r="ER1134" s="773"/>
      <c r="ES1134" s="773"/>
      <c r="ET1134" s="773"/>
      <c r="EU1134" s="773"/>
      <c r="EV1134" s="773"/>
      <c r="EW1134" s="773"/>
      <c r="EX1134" s="773"/>
      <c r="EY1134" s="773"/>
      <c r="EZ1134" s="773"/>
      <c r="FA1134" s="773"/>
      <c r="FB1134" s="773"/>
      <c r="FC1134" s="773"/>
      <c r="FD1134" s="773"/>
      <c r="FE1134" s="773"/>
      <c r="FF1134" s="773"/>
      <c r="FG1134" s="773"/>
      <c r="FH1134" s="773"/>
      <c r="FI1134" s="773"/>
      <c r="FJ1134" s="773"/>
      <c r="FK1134" s="773"/>
      <c r="FL1134" s="773"/>
      <c r="FM1134" s="773"/>
      <c r="FN1134" s="773"/>
      <c r="FO1134" s="773"/>
      <c r="FP1134" s="773"/>
      <c r="FQ1134" s="773"/>
      <c r="FR1134" s="773"/>
      <c r="FS1134" s="773"/>
      <c r="FT1134" s="773"/>
      <c r="FU1134" s="773"/>
      <c r="FV1134" s="773"/>
      <c r="FW1134" s="773"/>
      <c r="FX1134" s="773"/>
      <c r="FY1134" s="773"/>
      <c r="FZ1134" s="773"/>
      <c r="GA1134" s="773"/>
      <c r="GB1134" s="773"/>
      <c r="GC1134" s="773"/>
      <c r="GD1134" s="773"/>
      <c r="GE1134" s="773"/>
      <c r="GF1134" s="773"/>
      <c r="GG1134" s="773"/>
      <c r="GH1134" s="773"/>
      <c r="GI1134" s="773"/>
      <c r="GJ1134" s="773"/>
      <c r="GK1134" s="773"/>
      <c r="GL1134" s="773"/>
      <c r="GM1134" s="773"/>
      <c r="GN1134" s="773"/>
      <c r="GO1134" s="773"/>
      <c r="GP1134" s="773"/>
      <c r="GQ1134" s="773"/>
      <c r="GR1134" s="773"/>
      <c r="GS1134" s="773"/>
      <c r="GT1134" s="773"/>
      <c r="GU1134" s="773"/>
      <c r="GV1134" s="773"/>
      <c r="GW1134" s="773"/>
      <c r="GX1134" s="773"/>
      <c r="GY1134" s="773"/>
      <c r="GZ1134" s="773"/>
    </row>
    <row r="1135" spans="1:208" s="11" customFormat="1">
      <c r="A1135" s="917"/>
      <c r="B1135" s="918"/>
      <c r="C1135" s="767"/>
      <c r="D1135" s="173"/>
      <c r="E1135" s="769"/>
      <c r="F1135" s="769"/>
      <c r="G1135" s="769"/>
      <c r="H1135" s="769"/>
      <c r="I1135" s="769"/>
      <c r="J1135" s="769"/>
      <c r="K1135" s="209"/>
      <c r="M1135" s="771"/>
      <c r="N1135" s="773"/>
      <c r="O1135" s="772"/>
      <c r="P1135" s="772"/>
      <c r="Q1135" s="772"/>
      <c r="R1135" s="772"/>
      <c r="S1135" s="772"/>
      <c r="T1135" s="773"/>
      <c r="W1135" s="773"/>
      <c r="X1135" s="773"/>
      <c r="Y1135" s="722"/>
      <c r="Z1135" s="773"/>
      <c r="AA1135" s="773"/>
      <c r="AB1135" s="773"/>
      <c r="AC1135" s="773"/>
      <c r="AD1135" s="773"/>
      <c r="AE1135" s="773"/>
      <c r="AF1135" s="773"/>
      <c r="AG1135" s="773"/>
      <c r="AH1135" s="773"/>
      <c r="AI1135" s="773"/>
      <c r="AJ1135" s="773"/>
      <c r="AK1135" s="773"/>
      <c r="AL1135" s="773"/>
      <c r="AM1135" s="773"/>
      <c r="AN1135" s="773"/>
      <c r="AO1135" s="773"/>
      <c r="AP1135" s="773"/>
      <c r="AQ1135" s="773"/>
      <c r="AR1135" s="773"/>
      <c r="AS1135" s="773"/>
      <c r="AT1135" s="773"/>
      <c r="AU1135" s="773"/>
      <c r="AV1135" s="773"/>
      <c r="AW1135" s="2510"/>
      <c r="BC1135" s="2510"/>
      <c r="BD1135" s="2510"/>
      <c r="BE1135" s="2173"/>
      <c r="BF1135" s="2173"/>
      <c r="BG1135" s="2173"/>
      <c r="BH1135" s="2173"/>
      <c r="BI1135" s="2173"/>
      <c r="BJ1135" s="2173"/>
      <c r="BK1135" s="2173"/>
      <c r="DB1135" s="773"/>
      <c r="DC1135" s="773"/>
      <c r="DD1135" s="773"/>
      <c r="DE1135" s="773"/>
      <c r="DF1135" s="773"/>
      <c r="DG1135" s="773"/>
      <c r="DH1135" s="773"/>
      <c r="DI1135" s="773"/>
      <c r="DJ1135" s="773"/>
      <c r="DK1135" s="773"/>
      <c r="DL1135" s="773"/>
      <c r="DM1135" s="773"/>
      <c r="DN1135" s="773"/>
      <c r="DO1135" s="773"/>
      <c r="DP1135" s="773"/>
      <c r="DQ1135" s="773"/>
      <c r="DR1135" s="773"/>
      <c r="DS1135" s="773"/>
      <c r="DT1135" s="773"/>
      <c r="DU1135" s="773"/>
      <c r="DV1135" s="773"/>
      <c r="DW1135" s="773"/>
      <c r="DX1135" s="773"/>
      <c r="DY1135" s="773"/>
      <c r="DZ1135" s="773"/>
      <c r="EA1135" s="773"/>
      <c r="EB1135" s="773"/>
      <c r="EC1135" s="773"/>
      <c r="ED1135" s="773"/>
      <c r="EE1135" s="773"/>
      <c r="EF1135" s="773"/>
      <c r="EG1135" s="773"/>
      <c r="EH1135" s="773"/>
      <c r="EI1135" s="773"/>
      <c r="EJ1135" s="773"/>
      <c r="EK1135" s="773"/>
      <c r="EL1135" s="773"/>
      <c r="EM1135" s="773"/>
      <c r="EN1135" s="773"/>
      <c r="EO1135" s="773"/>
      <c r="EP1135" s="773"/>
      <c r="EQ1135" s="773"/>
      <c r="ER1135" s="773"/>
      <c r="ES1135" s="773"/>
      <c r="ET1135" s="773"/>
      <c r="EU1135" s="773"/>
      <c r="EV1135" s="773"/>
      <c r="EW1135" s="773"/>
      <c r="EX1135" s="773"/>
      <c r="EY1135" s="773"/>
      <c r="EZ1135" s="773"/>
      <c r="FA1135" s="773"/>
      <c r="FB1135" s="773"/>
      <c r="FC1135" s="773"/>
      <c r="FD1135" s="773"/>
      <c r="FE1135" s="773"/>
      <c r="FF1135" s="773"/>
      <c r="FG1135" s="773"/>
      <c r="FH1135" s="773"/>
      <c r="FI1135" s="773"/>
      <c r="FJ1135" s="773"/>
      <c r="FK1135" s="773"/>
      <c r="FL1135" s="773"/>
      <c r="FM1135" s="773"/>
      <c r="FN1135" s="773"/>
      <c r="FO1135" s="773"/>
      <c r="FP1135" s="773"/>
      <c r="FQ1135" s="773"/>
      <c r="FR1135" s="773"/>
      <c r="FS1135" s="773"/>
      <c r="FT1135" s="773"/>
      <c r="FU1135" s="773"/>
      <c r="FV1135" s="773"/>
      <c r="FW1135" s="773"/>
      <c r="FX1135" s="773"/>
      <c r="FY1135" s="773"/>
      <c r="FZ1135" s="773"/>
      <c r="GA1135" s="773"/>
      <c r="GB1135" s="773"/>
      <c r="GC1135" s="773"/>
      <c r="GD1135" s="773"/>
      <c r="GE1135" s="773"/>
      <c r="GF1135" s="773"/>
      <c r="GG1135" s="773"/>
      <c r="GH1135" s="773"/>
      <c r="GI1135" s="773"/>
      <c r="GJ1135" s="773"/>
      <c r="GK1135" s="773"/>
      <c r="GL1135" s="773"/>
      <c r="GM1135" s="773"/>
      <c r="GN1135" s="773"/>
      <c r="GO1135" s="773"/>
      <c r="GP1135" s="773"/>
      <c r="GQ1135" s="773"/>
      <c r="GR1135" s="773"/>
      <c r="GS1135" s="773"/>
      <c r="GT1135" s="773"/>
      <c r="GU1135" s="773"/>
      <c r="GV1135" s="773"/>
      <c r="GW1135" s="773"/>
      <c r="GX1135" s="773"/>
      <c r="GY1135" s="773"/>
      <c r="GZ1135" s="773"/>
    </row>
    <row r="1136" spans="1:208" s="11" customFormat="1">
      <c r="A1136" s="917"/>
      <c r="B1136" s="918"/>
      <c r="C1136" s="767"/>
      <c r="D1136" s="173"/>
      <c r="E1136" s="769"/>
      <c r="F1136" s="769"/>
      <c r="G1136" s="769"/>
      <c r="H1136" s="769"/>
      <c r="I1136" s="769"/>
      <c r="J1136" s="769"/>
      <c r="K1136" s="209"/>
      <c r="M1136" s="771"/>
      <c r="N1136" s="773"/>
      <c r="O1136" s="772"/>
      <c r="P1136" s="772"/>
      <c r="Q1136" s="772"/>
      <c r="R1136" s="772"/>
      <c r="S1136" s="772"/>
      <c r="T1136" s="773"/>
      <c r="W1136" s="773"/>
      <c r="X1136" s="773"/>
      <c r="Y1136" s="716"/>
      <c r="Z1136" s="773"/>
      <c r="AA1136" s="773"/>
      <c r="AB1136" s="773"/>
      <c r="AC1136" s="773"/>
      <c r="AD1136" s="773"/>
      <c r="AE1136" s="773"/>
      <c r="AF1136" s="773"/>
      <c r="AG1136" s="773"/>
      <c r="AH1136" s="773"/>
      <c r="AI1136" s="773"/>
      <c r="AJ1136" s="773"/>
      <c r="AK1136" s="773"/>
      <c r="AL1136" s="773"/>
      <c r="AM1136" s="773"/>
      <c r="AN1136" s="773"/>
      <c r="AO1136" s="773"/>
      <c r="AP1136" s="773"/>
      <c r="AQ1136" s="773"/>
      <c r="AR1136" s="773"/>
      <c r="AS1136" s="773"/>
      <c r="AT1136" s="773"/>
      <c r="AU1136" s="773"/>
      <c r="AV1136" s="773"/>
      <c r="AW1136" s="2510"/>
      <c r="BC1136" s="2510"/>
      <c r="BD1136" s="2510"/>
      <c r="BE1136" s="2173"/>
      <c r="BF1136" s="2173"/>
      <c r="BG1136" s="2173"/>
      <c r="BH1136" s="2173"/>
      <c r="BI1136" s="2173"/>
      <c r="BJ1136" s="2173"/>
      <c r="BK1136" s="2173"/>
      <c r="DB1136" s="773"/>
      <c r="DC1136" s="773"/>
      <c r="DD1136" s="773"/>
      <c r="DE1136" s="773"/>
      <c r="DF1136" s="773"/>
      <c r="DG1136" s="773"/>
      <c r="DH1136" s="773"/>
      <c r="DI1136" s="773"/>
      <c r="DJ1136" s="773"/>
      <c r="DK1136" s="773"/>
      <c r="DL1136" s="773"/>
      <c r="DM1136" s="773"/>
      <c r="DN1136" s="773"/>
      <c r="DO1136" s="773"/>
      <c r="DP1136" s="773"/>
      <c r="DQ1136" s="773"/>
      <c r="DR1136" s="773"/>
      <c r="DS1136" s="773"/>
      <c r="DT1136" s="773"/>
      <c r="DU1136" s="773"/>
      <c r="DV1136" s="773"/>
      <c r="DW1136" s="773"/>
      <c r="DX1136" s="773"/>
      <c r="DY1136" s="773"/>
      <c r="DZ1136" s="773"/>
      <c r="EA1136" s="773"/>
      <c r="EB1136" s="773"/>
      <c r="EC1136" s="773"/>
      <c r="ED1136" s="773"/>
      <c r="EE1136" s="773"/>
      <c r="EF1136" s="773"/>
      <c r="EG1136" s="773"/>
      <c r="EH1136" s="773"/>
      <c r="EI1136" s="773"/>
      <c r="EJ1136" s="773"/>
      <c r="EK1136" s="773"/>
      <c r="EL1136" s="773"/>
      <c r="EM1136" s="773"/>
      <c r="EN1136" s="773"/>
      <c r="EO1136" s="773"/>
      <c r="EP1136" s="773"/>
      <c r="EQ1136" s="773"/>
      <c r="ER1136" s="773"/>
      <c r="ES1136" s="773"/>
      <c r="ET1136" s="773"/>
      <c r="EU1136" s="773"/>
      <c r="EV1136" s="773"/>
      <c r="EW1136" s="773"/>
      <c r="EX1136" s="773"/>
      <c r="EY1136" s="773"/>
      <c r="EZ1136" s="773"/>
      <c r="FA1136" s="773"/>
      <c r="FB1136" s="773"/>
      <c r="FC1136" s="773"/>
      <c r="FD1136" s="773"/>
      <c r="FE1136" s="773"/>
      <c r="FF1136" s="773"/>
      <c r="FG1136" s="773"/>
      <c r="FH1136" s="773"/>
      <c r="FI1136" s="773"/>
      <c r="FJ1136" s="773"/>
      <c r="FK1136" s="773"/>
      <c r="FL1136" s="773"/>
      <c r="FM1136" s="773"/>
      <c r="FN1136" s="773"/>
      <c r="FO1136" s="773"/>
      <c r="FP1136" s="773"/>
      <c r="FQ1136" s="773"/>
      <c r="FR1136" s="773"/>
      <c r="FS1136" s="773"/>
      <c r="FT1136" s="773"/>
      <c r="FU1136" s="773"/>
      <c r="FV1136" s="773"/>
      <c r="FW1136" s="773"/>
      <c r="FX1136" s="773"/>
      <c r="FY1136" s="773"/>
      <c r="FZ1136" s="773"/>
      <c r="GA1136" s="773"/>
      <c r="GB1136" s="773"/>
      <c r="GC1136" s="773"/>
      <c r="GD1136" s="773"/>
      <c r="GE1136" s="773"/>
      <c r="GF1136" s="773"/>
      <c r="GG1136" s="773"/>
      <c r="GH1136" s="773"/>
      <c r="GI1136" s="773"/>
      <c r="GJ1136" s="773"/>
      <c r="GK1136" s="773"/>
      <c r="GL1136" s="773"/>
      <c r="GM1136" s="773"/>
      <c r="GN1136" s="773"/>
      <c r="GO1136" s="773"/>
      <c r="GP1136" s="773"/>
      <c r="GQ1136" s="773"/>
      <c r="GR1136" s="773"/>
      <c r="GS1136" s="773"/>
      <c r="GT1136" s="773"/>
      <c r="GU1136" s="773"/>
      <c r="GV1136" s="773"/>
      <c r="GW1136" s="773"/>
      <c r="GX1136" s="773"/>
      <c r="GY1136" s="773"/>
      <c r="GZ1136" s="773"/>
    </row>
    <row r="1137" spans="1:208" s="11" customFormat="1">
      <c r="A1137" s="917"/>
      <c r="B1137" s="918"/>
      <c r="C1137" s="767"/>
      <c r="D1137" s="173"/>
      <c r="E1137" s="769"/>
      <c r="F1137" s="769"/>
      <c r="G1137" s="769"/>
      <c r="H1137" s="769"/>
      <c r="I1137" s="769"/>
      <c r="J1137" s="769"/>
      <c r="K1137" s="209"/>
      <c r="M1137" s="771"/>
      <c r="N1137" s="772"/>
      <c r="O1137" s="772"/>
      <c r="P1137" s="772"/>
      <c r="Q1137" s="772"/>
      <c r="R1137" s="772"/>
      <c r="S1137" s="772"/>
      <c r="T1137" s="773"/>
      <c r="W1137" s="773"/>
      <c r="X1137" s="773"/>
      <c r="Y1137" s="722"/>
      <c r="Z1137" s="773"/>
      <c r="AA1137" s="773"/>
      <c r="AB1137" s="773"/>
      <c r="AC1137" s="773"/>
      <c r="AD1137" s="773"/>
      <c r="AE1137" s="773"/>
      <c r="AF1137" s="773"/>
      <c r="AG1137" s="773"/>
      <c r="AH1137" s="773"/>
      <c r="AI1137" s="773"/>
      <c r="AJ1137" s="773"/>
      <c r="AK1137" s="773"/>
      <c r="AL1137" s="773"/>
      <c r="AM1137" s="773"/>
      <c r="AN1137" s="773"/>
      <c r="AO1137" s="773"/>
      <c r="AP1137" s="773"/>
      <c r="AQ1137" s="773"/>
      <c r="AR1137" s="773"/>
      <c r="AS1137" s="773"/>
      <c r="AT1137" s="773"/>
      <c r="AU1137" s="773"/>
      <c r="AV1137" s="773"/>
      <c r="AW1137" s="2510"/>
      <c r="BC1137" s="2510"/>
      <c r="BD1137" s="2510"/>
      <c r="BE1137" s="2173"/>
      <c r="BF1137" s="2173"/>
      <c r="BG1137" s="2173"/>
      <c r="BH1137" s="2173"/>
      <c r="BI1137" s="2173"/>
      <c r="BJ1137" s="2173"/>
      <c r="BK1137" s="2173"/>
      <c r="DB1137" s="773"/>
      <c r="DC1137" s="773"/>
      <c r="DD1137" s="773"/>
      <c r="DE1137" s="773"/>
      <c r="DF1137" s="773"/>
      <c r="DG1137" s="773"/>
      <c r="DH1137" s="773"/>
      <c r="DI1137" s="773"/>
      <c r="DJ1137" s="773"/>
      <c r="DK1137" s="773"/>
      <c r="DL1137" s="773"/>
      <c r="DM1137" s="773"/>
      <c r="DN1137" s="773"/>
      <c r="DO1137" s="773"/>
      <c r="DP1137" s="773"/>
      <c r="DQ1137" s="773"/>
      <c r="DR1137" s="773"/>
      <c r="DS1137" s="773"/>
      <c r="DT1137" s="773"/>
      <c r="DU1137" s="773"/>
      <c r="DV1137" s="773"/>
      <c r="DW1137" s="773"/>
      <c r="DX1137" s="773"/>
      <c r="DY1137" s="773"/>
      <c r="DZ1137" s="773"/>
      <c r="EA1137" s="773"/>
      <c r="EB1137" s="773"/>
      <c r="EC1137" s="773"/>
      <c r="ED1137" s="773"/>
      <c r="EE1137" s="773"/>
      <c r="EF1137" s="773"/>
      <c r="EG1137" s="773"/>
      <c r="EH1137" s="773"/>
      <c r="EI1137" s="773"/>
      <c r="EJ1137" s="773"/>
      <c r="EK1137" s="773"/>
      <c r="EL1137" s="773"/>
      <c r="EM1137" s="773"/>
      <c r="EN1137" s="773"/>
      <c r="EO1137" s="773"/>
      <c r="EP1137" s="773"/>
      <c r="EQ1137" s="773"/>
      <c r="ER1137" s="773"/>
      <c r="ES1137" s="773"/>
      <c r="ET1137" s="773"/>
      <c r="EU1137" s="773"/>
      <c r="EV1137" s="773"/>
      <c r="EW1137" s="773"/>
      <c r="EX1137" s="773"/>
      <c r="EY1137" s="773"/>
      <c r="EZ1137" s="773"/>
      <c r="FA1137" s="773"/>
      <c r="FB1137" s="773"/>
      <c r="FC1137" s="773"/>
      <c r="FD1137" s="773"/>
      <c r="FE1137" s="773"/>
      <c r="FF1137" s="773"/>
      <c r="FG1137" s="773"/>
      <c r="FH1137" s="773"/>
      <c r="FI1137" s="773"/>
      <c r="FJ1137" s="773"/>
      <c r="FK1137" s="773"/>
      <c r="FL1137" s="773"/>
      <c r="FM1137" s="773"/>
      <c r="FN1137" s="773"/>
      <c r="FO1137" s="773"/>
      <c r="FP1137" s="773"/>
      <c r="FQ1137" s="773"/>
      <c r="FR1137" s="773"/>
      <c r="FS1137" s="773"/>
      <c r="FT1137" s="773"/>
      <c r="FU1137" s="773"/>
      <c r="FV1137" s="773"/>
      <c r="FW1137" s="773"/>
      <c r="FX1137" s="773"/>
      <c r="FY1137" s="773"/>
      <c r="FZ1137" s="773"/>
      <c r="GA1137" s="773"/>
      <c r="GB1137" s="773"/>
      <c r="GC1137" s="773"/>
      <c r="GD1137" s="773"/>
      <c r="GE1137" s="773"/>
      <c r="GF1137" s="773"/>
      <c r="GG1137" s="773"/>
      <c r="GH1137" s="773"/>
      <c r="GI1137" s="773"/>
      <c r="GJ1137" s="773"/>
      <c r="GK1137" s="773"/>
      <c r="GL1137" s="773"/>
      <c r="GM1137" s="773"/>
      <c r="GN1137" s="773"/>
      <c r="GO1137" s="773"/>
      <c r="GP1137" s="773"/>
      <c r="GQ1137" s="773"/>
      <c r="GR1137" s="773"/>
      <c r="GS1137" s="773"/>
      <c r="GT1137" s="773"/>
      <c r="GU1137" s="773"/>
      <c r="GV1137" s="773"/>
      <c r="GW1137" s="773"/>
      <c r="GX1137" s="773"/>
      <c r="GY1137" s="773"/>
      <c r="GZ1137" s="773"/>
    </row>
    <row r="1138" spans="1:208" s="11" customFormat="1">
      <c r="A1138" s="917"/>
      <c r="B1138" s="918"/>
      <c r="C1138" s="767"/>
      <c r="D1138" s="173"/>
      <c r="E1138" s="769"/>
      <c r="F1138" s="769"/>
      <c r="G1138" s="769"/>
      <c r="H1138" s="769"/>
      <c r="I1138" s="769"/>
      <c r="J1138" s="769"/>
      <c r="K1138" s="209"/>
      <c r="M1138" s="771"/>
      <c r="N1138" s="772"/>
      <c r="O1138" s="772"/>
      <c r="P1138" s="772"/>
      <c r="Q1138" s="772"/>
      <c r="R1138" s="772"/>
      <c r="S1138" s="772"/>
      <c r="T1138" s="773"/>
      <c r="W1138" s="773"/>
      <c r="X1138" s="773"/>
      <c r="Y1138" s="722"/>
      <c r="Z1138" s="773"/>
      <c r="AA1138" s="773"/>
      <c r="AB1138" s="773"/>
      <c r="AC1138" s="773"/>
      <c r="AD1138" s="773"/>
      <c r="AE1138" s="773"/>
      <c r="AF1138" s="773"/>
      <c r="AG1138" s="773"/>
      <c r="AH1138" s="773"/>
      <c r="AI1138" s="773"/>
      <c r="AJ1138" s="773"/>
      <c r="AK1138" s="773"/>
      <c r="AL1138" s="773"/>
      <c r="AM1138" s="773"/>
      <c r="AN1138" s="773"/>
      <c r="AO1138" s="773"/>
      <c r="AP1138" s="773"/>
      <c r="AQ1138" s="773"/>
      <c r="AR1138" s="773"/>
      <c r="AS1138" s="773"/>
      <c r="AT1138" s="773"/>
      <c r="AU1138" s="773"/>
      <c r="AV1138" s="773"/>
      <c r="AW1138" s="2510"/>
      <c r="BC1138" s="2510"/>
      <c r="BD1138" s="2510"/>
      <c r="BE1138" s="2173"/>
      <c r="BF1138" s="2173"/>
      <c r="BG1138" s="2173"/>
      <c r="BH1138" s="2173"/>
      <c r="BI1138" s="2173"/>
      <c r="BJ1138" s="2173"/>
      <c r="BK1138" s="2173"/>
      <c r="DB1138" s="773"/>
      <c r="DC1138" s="773"/>
      <c r="DD1138" s="773"/>
      <c r="DE1138" s="773"/>
      <c r="DF1138" s="773"/>
      <c r="DG1138" s="773"/>
      <c r="DH1138" s="773"/>
      <c r="DI1138" s="773"/>
      <c r="DJ1138" s="773"/>
      <c r="DK1138" s="773"/>
      <c r="DL1138" s="773"/>
      <c r="DM1138" s="773"/>
      <c r="DN1138" s="773"/>
      <c r="DO1138" s="773"/>
      <c r="DP1138" s="773"/>
      <c r="DQ1138" s="773"/>
      <c r="DR1138" s="773"/>
      <c r="DS1138" s="773"/>
      <c r="DT1138" s="773"/>
      <c r="DU1138" s="773"/>
      <c r="DV1138" s="773"/>
      <c r="DW1138" s="773"/>
      <c r="DX1138" s="773"/>
      <c r="DY1138" s="773"/>
      <c r="DZ1138" s="773"/>
      <c r="EA1138" s="773"/>
      <c r="EB1138" s="773"/>
      <c r="EC1138" s="773"/>
      <c r="ED1138" s="773"/>
      <c r="EE1138" s="773"/>
      <c r="EF1138" s="773"/>
      <c r="EG1138" s="773"/>
      <c r="EH1138" s="773"/>
      <c r="EI1138" s="773"/>
      <c r="EJ1138" s="773"/>
      <c r="EK1138" s="773"/>
      <c r="EL1138" s="773"/>
      <c r="EM1138" s="773"/>
      <c r="EN1138" s="773"/>
      <c r="EO1138" s="773"/>
      <c r="EP1138" s="773"/>
      <c r="EQ1138" s="773"/>
      <c r="ER1138" s="773"/>
      <c r="ES1138" s="773"/>
      <c r="ET1138" s="773"/>
      <c r="EU1138" s="773"/>
      <c r="EV1138" s="773"/>
      <c r="EW1138" s="773"/>
      <c r="EX1138" s="773"/>
      <c r="EY1138" s="773"/>
      <c r="EZ1138" s="773"/>
      <c r="FA1138" s="773"/>
      <c r="FB1138" s="773"/>
      <c r="FC1138" s="773"/>
      <c r="FD1138" s="773"/>
      <c r="FE1138" s="773"/>
      <c r="FF1138" s="773"/>
      <c r="FG1138" s="773"/>
      <c r="FH1138" s="773"/>
      <c r="FI1138" s="773"/>
      <c r="FJ1138" s="773"/>
      <c r="FK1138" s="773"/>
      <c r="FL1138" s="773"/>
      <c r="FM1138" s="773"/>
      <c r="FN1138" s="773"/>
      <c r="FO1138" s="773"/>
      <c r="FP1138" s="773"/>
      <c r="FQ1138" s="773"/>
      <c r="FR1138" s="773"/>
      <c r="FS1138" s="773"/>
      <c r="FT1138" s="773"/>
      <c r="FU1138" s="773"/>
      <c r="FV1138" s="773"/>
      <c r="FW1138" s="773"/>
      <c r="FX1138" s="773"/>
      <c r="FY1138" s="773"/>
      <c r="FZ1138" s="773"/>
      <c r="GA1138" s="773"/>
      <c r="GB1138" s="773"/>
      <c r="GC1138" s="773"/>
      <c r="GD1138" s="773"/>
      <c r="GE1138" s="773"/>
      <c r="GF1138" s="773"/>
      <c r="GG1138" s="773"/>
      <c r="GH1138" s="773"/>
      <c r="GI1138" s="773"/>
      <c r="GJ1138" s="773"/>
      <c r="GK1138" s="773"/>
      <c r="GL1138" s="773"/>
      <c r="GM1138" s="773"/>
      <c r="GN1138" s="773"/>
      <c r="GO1138" s="773"/>
      <c r="GP1138" s="773"/>
      <c r="GQ1138" s="773"/>
      <c r="GR1138" s="773"/>
      <c r="GS1138" s="773"/>
      <c r="GT1138" s="773"/>
      <c r="GU1138" s="773"/>
      <c r="GV1138" s="773"/>
      <c r="GW1138" s="773"/>
      <c r="GX1138" s="773"/>
      <c r="GY1138" s="773"/>
      <c r="GZ1138" s="773"/>
    </row>
    <row r="1139" spans="1:208" s="11" customFormat="1">
      <c r="A1139" s="917"/>
      <c r="B1139" s="918"/>
      <c r="C1139" s="767"/>
      <c r="D1139" s="173"/>
      <c r="E1139" s="769"/>
      <c r="F1139" s="769"/>
      <c r="G1139" s="769"/>
      <c r="H1139" s="769"/>
      <c r="I1139" s="769"/>
      <c r="J1139" s="769"/>
      <c r="K1139" s="209"/>
      <c r="M1139" s="771"/>
      <c r="N1139" s="772"/>
      <c r="O1139" s="772"/>
      <c r="P1139" s="772"/>
      <c r="Q1139" s="772"/>
      <c r="R1139" s="772"/>
      <c r="S1139" s="772"/>
      <c r="T1139" s="773"/>
      <c r="W1139" s="773"/>
      <c r="X1139" s="773"/>
      <c r="Y1139" s="722"/>
      <c r="Z1139" s="773"/>
      <c r="AA1139" s="773"/>
      <c r="AB1139" s="773"/>
      <c r="AC1139" s="773"/>
      <c r="AD1139" s="773"/>
      <c r="AE1139" s="773"/>
      <c r="AF1139" s="773"/>
      <c r="AG1139" s="773"/>
      <c r="AH1139" s="773"/>
      <c r="AI1139" s="773"/>
      <c r="AJ1139" s="773"/>
      <c r="AK1139" s="773"/>
      <c r="AL1139" s="773"/>
      <c r="AM1139" s="773"/>
      <c r="AN1139" s="773"/>
      <c r="AO1139" s="773"/>
      <c r="AP1139" s="773"/>
      <c r="AQ1139" s="773"/>
      <c r="AR1139" s="773"/>
      <c r="AS1139" s="773"/>
      <c r="AT1139" s="773"/>
      <c r="AU1139" s="773"/>
      <c r="AV1139" s="773"/>
      <c r="AW1139" s="2510"/>
      <c r="BC1139" s="2510"/>
      <c r="BD1139" s="2510"/>
      <c r="BE1139" s="2173"/>
      <c r="BF1139" s="2173"/>
      <c r="BG1139" s="2173"/>
      <c r="BH1139" s="2173"/>
      <c r="BI1139" s="2173"/>
      <c r="BJ1139" s="2173"/>
      <c r="BK1139" s="2173"/>
      <c r="DB1139" s="773"/>
      <c r="DC1139" s="773"/>
      <c r="DD1139" s="773"/>
      <c r="DE1139" s="773"/>
      <c r="DF1139" s="773"/>
      <c r="DG1139" s="773"/>
      <c r="DH1139" s="773"/>
      <c r="DI1139" s="773"/>
      <c r="DJ1139" s="773"/>
      <c r="DK1139" s="773"/>
      <c r="DL1139" s="773"/>
      <c r="DM1139" s="773"/>
      <c r="DN1139" s="773"/>
      <c r="DO1139" s="773"/>
      <c r="DP1139" s="773"/>
      <c r="DQ1139" s="773"/>
      <c r="DR1139" s="773"/>
      <c r="DS1139" s="773"/>
      <c r="DT1139" s="773"/>
      <c r="DU1139" s="773"/>
      <c r="DV1139" s="773"/>
      <c r="DW1139" s="773"/>
      <c r="DX1139" s="773"/>
      <c r="DY1139" s="773"/>
      <c r="DZ1139" s="773"/>
      <c r="EA1139" s="773"/>
      <c r="EB1139" s="773"/>
      <c r="EC1139" s="773"/>
      <c r="ED1139" s="773"/>
      <c r="EE1139" s="773"/>
      <c r="EF1139" s="773"/>
      <c r="EG1139" s="773"/>
      <c r="EH1139" s="773"/>
      <c r="EI1139" s="773"/>
      <c r="EJ1139" s="773"/>
      <c r="EK1139" s="773"/>
      <c r="EL1139" s="773"/>
      <c r="EM1139" s="773"/>
      <c r="EN1139" s="773"/>
      <c r="EO1139" s="773"/>
      <c r="EP1139" s="773"/>
      <c r="EQ1139" s="773"/>
      <c r="ER1139" s="773"/>
      <c r="ES1139" s="773"/>
      <c r="ET1139" s="773"/>
      <c r="EU1139" s="773"/>
      <c r="EV1139" s="773"/>
      <c r="EW1139" s="773"/>
      <c r="EX1139" s="773"/>
      <c r="EY1139" s="773"/>
      <c r="EZ1139" s="773"/>
      <c r="FA1139" s="773"/>
      <c r="FB1139" s="773"/>
      <c r="FC1139" s="773"/>
      <c r="FD1139" s="773"/>
      <c r="FE1139" s="773"/>
      <c r="FF1139" s="773"/>
      <c r="FG1139" s="773"/>
      <c r="FH1139" s="773"/>
      <c r="FI1139" s="773"/>
      <c r="FJ1139" s="773"/>
      <c r="FK1139" s="773"/>
      <c r="FL1139" s="773"/>
      <c r="FM1139" s="773"/>
      <c r="FN1139" s="773"/>
      <c r="FO1139" s="773"/>
      <c r="FP1139" s="773"/>
      <c r="FQ1139" s="773"/>
      <c r="FR1139" s="773"/>
      <c r="FS1139" s="773"/>
      <c r="FT1139" s="773"/>
      <c r="FU1139" s="773"/>
      <c r="FV1139" s="773"/>
      <c r="FW1139" s="773"/>
      <c r="FX1139" s="773"/>
      <c r="FY1139" s="773"/>
      <c r="FZ1139" s="773"/>
      <c r="GA1139" s="773"/>
      <c r="GB1139" s="773"/>
      <c r="GC1139" s="773"/>
      <c r="GD1139" s="773"/>
      <c r="GE1139" s="773"/>
      <c r="GF1139" s="773"/>
      <c r="GG1139" s="773"/>
      <c r="GH1139" s="773"/>
      <c r="GI1139" s="773"/>
      <c r="GJ1139" s="773"/>
      <c r="GK1139" s="773"/>
      <c r="GL1139" s="773"/>
      <c r="GM1139" s="773"/>
      <c r="GN1139" s="773"/>
      <c r="GO1139" s="773"/>
      <c r="GP1139" s="773"/>
      <c r="GQ1139" s="773"/>
      <c r="GR1139" s="773"/>
      <c r="GS1139" s="773"/>
      <c r="GT1139" s="773"/>
      <c r="GU1139" s="773"/>
      <c r="GV1139" s="773"/>
      <c r="GW1139" s="773"/>
      <c r="GX1139" s="773"/>
      <c r="GY1139" s="773"/>
      <c r="GZ1139" s="773"/>
    </row>
    <row r="1140" spans="1:208" s="11" customFormat="1">
      <c r="A1140" s="917"/>
      <c r="B1140" s="918"/>
      <c r="C1140" s="767"/>
      <c r="D1140" s="173"/>
      <c r="E1140" s="769"/>
      <c r="F1140" s="769"/>
      <c r="G1140" s="769"/>
      <c r="H1140" s="769"/>
      <c r="I1140" s="769"/>
      <c r="J1140" s="769"/>
      <c r="K1140" s="209"/>
      <c r="M1140" s="771"/>
      <c r="N1140" s="772"/>
      <c r="O1140" s="772"/>
      <c r="P1140" s="772"/>
      <c r="Q1140" s="772"/>
      <c r="R1140" s="772"/>
      <c r="S1140" s="772"/>
      <c r="T1140" s="773"/>
      <c r="W1140" s="773"/>
      <c r="Y1140" s="722"/>
      <c r="Z1140" s="773"/>
      <c r="AA1140" s="773"/>
      <c r="AB1140" s="773"/>
      <c r="AC1140" s="773"/>
      <c r="AD1140" s="773"/>
      <c r="AE1140" s="773"/>
      <c r="AF1140" s="773"/>
      <c r="AG1140" s="773"/>
      <c r="AH1140" s="773"/>
      <c r="AI1140" s="773"/>
      <c r="AJ1140" s="773"/>
      <c r="AK1140" s="773"/>
      <c r="AL1140" s="773"/>
      <c r="AM1140" s="773"/>
      <c r="AN1140" s="773"/>
      <c r="AO1140" s="773"/>
      <c r="AP1140" s="773"/>
      <c r="AQ1140" s="773"/>
      <c r="AR1140" s="773"/>
      <c r="AS1140" s="773"/>
      <c r="AT1140" s="773"/>
      <c r="AU1140" s="773"/>
      <c r="AV1140" s="773"/>
      <c r="AW1140" s="2510"/>
      <c r="BC1140" s="2510"/>
      <c r="BD1140" s="2510"/>
      <c r="BE1140" s="2173"/>
      <c r="BF1140" s="2173"/>
      <c r="BG1140" s="2173"/>
      <c r="BH1140" s="2173"/>
      <c r="BI1140" s="2173"/>
      <c r="BJ1140" s="2173"/>
      <c r="BK1140" s="2173"/>
      <c r="DB1140" s="773"/>
      <c r="DC1140" s="773"/>
      <c r="DD1140" s="773"/>
      <c r="DE1140" s="773"/>
      <c r="DF1140" s="773"/>
      <c r="DG1140" s="773"/>
      <c r="DH1140" s="773"/>
      <c r="DI1140" s="773"/>
      <c r="DJ1140" s="773"/>
      <c r="DK1140" s="773"/>
      <c r="DL1140" s="773"/>
      <c r="DM1140" s="773"/>
      <c r="DN1140" s="773"/>
      <c r="DO1140" s="773"/>
      <c r="DP1140" s="773"/>
      <c r="DQ1140" s="773"/>
      <c r="DR1140" s="773"/>
      <c r="DS1140" s="773"/>
      <c r="DT1140" s="773"/>
      <c r="DU1140" s="773"/>
      <c r="DV1140" s="773"/>
      <c r="DW1140" s="773"/>
      <c r="DX1140" s="773"/>
      <c r="DY1140" s="773"/>
      <c r="DZ1140" s="773"/>
      <c r="EA1140" s="773"/>
      <c r="EB1140" s="773"/>
      <c r="EC1140" s="773"/>
      <c r="ED1140" s="773"/>
      <c r="EE1140" s="773"/>
      <c r="EF1140" s="773"/>
      <c r="EG1140" s="773"/>
      <c r="EH1140" s="773"/>
      <c r="EI1140" s="773"/>
      <c r="EJ1140" s="773"/>
      <c r="EK1140" s="773"/>
      <c r="EL1140" s="773"/>
      <c r="EM1140" s="773"/>
      <c r="EN1140" s="773"/>
      <c r="EO1140" s="773"/>
      <c r="EP1140" s="773"/>
      <c r="EQ1140" s="773"/>
      <c r="ER1140" s="773"/>
      <c r="ES1140" s="773"/>
      <c r="ET1140" s="773"/>
      <c r="EU1140" s="773"/>
      <c r="EV1140" s="773"/>
      <c r="EW1140" s="773"/>
      <c r="EX1140" s="773"/>
      <c r="EY1140" s="773"/>
      <c r="EZ1140" s="773"/>
      <c r="FA1140" s="773"/>
      <c r="FB1140" s="773"/>
      <c r="FC1140" s="773"/>
      <c r="FD1140" s="773"/>
      <c r="FE1140" s="773"/>
      <c r="FF1140" s="773"/>
      <c r="FG1140" s="773"/>
      <c r="FH1140" s="773"/>
      <c r="FI1140" s="773"/>
      <c r="FJ1140" s="773"/>
      <c r="FK1140" s="773"/>
      <c r="FL1140" s="773"/>
      <c r="FM1140" s="773"/>
      <c r="FN1140" s="773"/>
      <c r="FO1140" s="773"/>
      <c r="FP1140" s="773"/>
      <c r="FQ1140" s="773"/>
      <c r="FR1140" s="773"/>
      <c r="FS1140" s="773"/>
      <c r="FT1140" s="773"/>
      <c r="FU1140" s="773"/>
      <c r="FV1140" s="773"/>
      <c r="FW1140" s="773"/>
      <c r="FX1140" s="773"/>
      <c r="FY1140" s="773"/>
      <c r="FZ1140" s="773"/>
      <c r="GA1140" s="773"/>
      <c r="GB1140" s="773"/>
      <c r="GC1140" s="773"/>
      <c r="GD1140" s="773"/>
      <c r="GE1140" s="773"/>
      <c r="GF1140" s="773"/>
      <c r="GG1140" s="773"/>
      <c r="GH1140" s="773"/>
      <c r="GI1140" s="773"/>
      <c r="GJ1140" s="773"/>
      <c r="GK1140" s="773"/>
      <c r="GL1140" s="773"/>
      <c r="GM1140" s="773"/>
      <c r="GN1140" s="773"/>
      <c r="GO1140" s="773"/>
      <c r="GP1140" s="773"/>
      <c r="GQ1140" s="773"/>
      <c r="GR1140" s="773"/>
      <c r="GS1140" s="773"/>
      <c r="GT1140" s="773"/>
      <c r="GU1140" s="773"/>
      <c r="GV1140" s="773"/>
      <c r="GW1140" s="773"/>
      <c r="GX1140" s="773"/>
      <c r="GY1140" s="773"/>
      <c r="GZ1140" s="773"/>
    </row>
    <row r="1141" spans="1:208" s="11" customFormat="1">
      <c r="A1141" s="917"/>
      <c r="B1141" s="918"/>
      <c r="C1141" s="767"/>
      <c r="D1141" s="173"/>
      <c r="E1141" s="769"/>
      <c r="F1141" s="769"/>
      <c r="G1141" s="769"/>
      <c r="H1141" s="769"/>
      <c r="I1141" s="769"/>
      <c r="J1141" s="769"/>
      <c r="K1141" s="209"/>
      <c r="M1141" s="771"/>
      <c r="N1141" s="772"/>
      <c r="O1141" s="772"/>
      <c r="P1141" s="772"/>
      <c r="Q1141" s="772"/>
      <c r="R1141" s="772"/>
      <c r="S1141" s="772"/>
      <c r="T1141" s="773"/>
      <c r="W1141" s="773"/>
      <c r="Y1141" s="722"/>
      <c r="Z1141" s="773"/>
      <c r="AA1141" s="773"/>
      <c r="AB1141" s="773"/>
      <c r="AC1141" s="773"/>
      <c r="AD1141" s="773"/>
      <c r="AE1141" s="773"/>
      <c r="AF1141" s="773"/>
      <c r="AG1141" s="773"/>
      <c r="AH1141" s="773"/>
      <c r="AI1141" s="773"/>
      <c r="AJ1141" s="773"/>
      <c r="AK1141" s="773"/>
      <c r="AL1141" s="773"/>
      <c r="AM1141" s="773"/>
      <c r="AN1141" s="773"/>
      <c r="AO1141" s="773"/>
      <c r="AP1141" s="773"/>
      <c r="AQ1141" s="773"/>
      <c r="AR1141" s="773"/>
      <c r="AS1141" s="773"/>
      <c r="AT1141" s="773"/>
      <c r="AU1141" s="773"/>
      <c r="AV1141" s="773"/>
      <c r="AW1141" s="2510"/>
      <c r="BC1141" s="2510"/>
      <c r="BD1141" s="2510"/>
      <c r="BE1141" s="2173"/>
      <c r="BF1141" s="2173"/>
      <c r="BG1141" s="2173"/>
      <c r="BH1141" s="2173"/>
      <c r="BI1141" s="2173"/>
      <c r="BJ1141" s="2173"/>
      <c r="BK1141" s="2173"/>
      <c r="DB1141" s="773"/>
      <c r="DC1141" s="773"/>
      <c r="DD1141" s="773"/>
      <c r="DE1141" s="773"/>
      <c r="DF1141" s="773"/>
      <c r="DG1141" s="773"/>
      <c r="DH1141" s="773"/>
      <c r="DI1141" s="773"/>
      <c r="DJ1141" s="773"/>
      <c r="DK1141" s="773"/>
      <c r="DL1141" s="773"/>
      <c r="DM1141" s="773"/>
      <c r="DN1141" s="773"/>
      <c r="DO1141" s="773"/>
      <c r="DP1141" s="773"/>
      <c r="DQ1141" s="773"/>
      <c r="DR1141" s="773"/>
      <c r="DS1141" s="773"/>
      <c r="DT1141" s="773"/>
      <c r="DU1141" s="773"/>
      <c r="DV1141" s="773"/>
      <c r="DW1141" s="773"/>
      <c r="DX1141" s="773"/>
      <c r="DY1141" s="773"/>
      <c r="DZ1141" s="773"/>
      <c r="EA1141" s="773"/>
      <c r="EB1141" s="773"/>
      <c r="EC1141" s="773"/>
      <c r="ED1141" s="773"/>
      <c r="EE1141" s="773"/>
      <c r="EF1141" s="773"/>
      <c r="EG1141" s="773"/>
      <c r="EH1141" s="773"/>
      <c r="EI1141" s="773"/>
      <c r="EJ1141" s="773"/>
      <c r="EK1141" s="773"/>
      <c r="EL1141" s="773"/>
      <c r="EM1141" s="773"/>
      <c r="EN1141" s="773"/>
      <c r="EO1141" s="773"/>
      <c r="EP1141" s="773"/>
      <c r="EQ1141" s="773"/>
      <c r="ER1141" s="773"/>
      <c r="ES1141" s="773"/>
      <c r="ET1141" s="773"/>
      <c r="EU1141" s="773"/>
      <c r="EV1141" s="773"/>
      <c r="EW1141" s="773"/>
      <c r="EX1141" s="773"/>
      <c r="EY1141" s="773"/>
      <c r="EZ1141" s="773"/>
      <c r="FA1141" s="773"/>
      <c r="FB1141" s="773"/>
      <c r="FC1141" s="773"/>
      <c r="FD1141" s="773"/>
      <c r="FE1141" s="773"/>
      <c r="FF1141" s="773"/>
      <c r="FG1141" s="773"/>
      <c r="FH1141" s="773"/>
      <c r="FI1141" s="773"/>
      <c r="FJ1141" s="773"/>
      <c r="FK1141" s="773"/>
      <c r="FL1141" s="773"/>
      <c r="FM1141" s="773"/>
      <c r="FN1141" s="773"/>
      <c r="FO1141" s="773"/>
      <c r="FP1141" s="773"/>
      <c r="FQ1141" s="773"/>
      <c r="FR1141" s="773"/>
      <c r="FS1141" s="773"/>
      <c r="FT1141" s="773"/>
      <c r="FU1141" s="773"/>
      <c r="FV1141" s="773"/>
      <c r="FW1141" s="773"/>
      <c r="FX1141" s="773"/>
      <c r="FY1141" s="773"/>
      <c r="FZ1141" s="773"/>
      <c r="GA1141" s="773"/>
      <c r="GB1141" s="773"/>
      <c r="GC1141" s="773"/>
      <c r="GD1141" s="773"/>
      <c r="GE1141" s="773"/>
      <c r="GF1141" s="773"/>
      <c r="GG1141" s="773"/>
      <c r="GH1141" s="773"/>
      <c r="GI1141" s="773"/>
      <c r="GJ1141" s="773"/>
      <c r="GK1141" s="773"/>
      <c r="GL1141" s="773"/>
      <c r="GM1141" s="773"/>
      <c r="GN1141" s="773"/>
      <c r="GO1141" s="773"/>
      <c r="GP1141" s="773"/>
      <c r="GQ1141" s="773"/>
      <c r="GR1141" s="773"/>
      <c r="GS1141" s="773"/>
      <c r="GT1141" s="773"/>
      <c r="GU1141" s="773"/>
      <c r="GV1141" s="773"/>
      <c r="GW1141" s="773"/>
      <c r="GX1141" s="773"/>
      <c r="GY1141" s="773"/>
      <c r="GZ1141" s="773"/>
    </row>
    <row r="1142" spans="1:208" s="11" customFormat="1">
      <c r="A1142" s="917"/>
      <c r="B1142" s="918"/>
      <c r="C1142" s="767"/>
      <c r="D1142" s="173"/>
      <c r="E1142" s="769"/>
      <c r="F1142" s="769"/>
      <c r="G1142" s="769"/>
      <c r="H1142" s="769"/>
      <c r="I1142" s="769"/>
      <c r="J1142" s="769"/>
      <c r="K1142" s="209"/>
      <c r="M1142" s="771"/>
      <c r="N1142" s="772"/>
      <c r="O1142" s="772"/>
      <c r="P1142" s="772"/>
      <c r="Q1142" s="772"/>
      <c r="R1142" s="772"/>
      <c r="S1142" s="772"/>
      <c r="T1142" s="773"/>
      <c r="W1142" s="773"/>
      <c r="Y1142" s="773"/>
      <c r="Z1142" s="773"/>
      <c r="AA1142" s="773"/>
      <c r="AB1142" s="773"/>
      <c r="AC1142" s="773"/>
      <c r="AD1142" s="773"/>
      <c r="AE1142" s="773"/>
      <c r="AF1142" s="773"/>
      <c r="AG1142" s="773"/>
      <c r="AH1142" s="773"/>
      <c r="AI1142" s="773"/>
      <c r="AJ1142" s="773"/>
      <c r="AK1142" s="773"/>
      <c r="AL1142" s="773"/>
      <c r="AM1142" s="773"/>
      <c r="AN1142" s="773"/>
      <c r="AO1142" s="773"/>
      <c r="AP1142" s="773"/>
      <c r="AQ1142" s="773"/>
      <c r="AR1142" s="773"/>
      <c r="AS1142" s="773"/>
      <c r="AT1142" s="773"/>
      <c r="AU1142" s="773"/>
      <c r="AV1142" s="773"/>
      <c r="AW1142" s="2510"/>
      <c r="BC1142" s="2510"/>
      <c r="BD1142" s="2510"/>
      <c r="BE1142" s="2173"/>
      <c r="BF1142" s="2173"/>
      <c r="BG1142" s="2173"/>
      <c r="BH1142" s="2173"/>
      <c r="BI1142" s="2173"/>
      <c r="BJ1142" s="2173"/>
      <c r="BK1142" s="2173"/>
      <c r="DB1142" s="773"/>
      <c r="DC1142" s="773"/>
      <c r="DD1142" s="773"/>
      <c r="DE1142" s="773"/>
      <c r="DF1142" s="773"/>
      <c r="DG1142" s="773"/>
      <c r="DH1142" s="773"/>
      <c r="DI1142" s="773"/>
      <c r="DJ1142" s="773"/>
      <c r="DK1142" s="773"/>
      <c r="DL1142" s="773"/>
      <c r="DM1142" s="773"/>
      <c r="DN1142" s="773"/>
      <c r="DO1142" s="773"/>
      <c r="DP1142" s="773"/>
      <c r="DQ1142" s="773"/>
      <c r="DR1142" s="773"/>
      <c r="DS1142" s="773"/>
      <c r="DT1142" s="773"/>
      <c r="DU1142" s="773"/>
      <c r="DV1142" s="773"/>
      <c r="DW1142" s="773"/>
      <c r="DX1142" s="773"/>
      <c r="DY1142" s="773"/>
      <c r="DZ1142" s="773"/>
      <c r="EA1142" s="773"/>
      <c r="EB1142" s="773"/>
      <c r="EC1142" s="773"/>
      <c r="ED1142" s="773"/>
      <c r="EE1142" s="773"/>
      <c r="EF1142" s="773"/>
      <c r="EG1142" s="773"/>
      <c r="EH1142" s="773"/>
      <c r="EI1142" s="773"/>
      <c r="EJ1142" s="773"/>
      <c r="EK1142" s="773"/>
      <c r="EL1142" s="773"/>
      <c r="EM1142" s="773"/>
      <c r="EN1142" s="773"/>
      <c r="EO1142" s="773"/>
      <c r="EP1142" s="773"/>
      <c r="EQ1142" s="773"/>
      <c r="ER1142" s="773"/>
      <c r="ES1142" s="773"/>
      <c r="ET1142" s="773"/>
      <c r="EU1142" s="773"/>
      <c r="EV1142" s="773"/>
      <c r="EW1142" s="773"/>
      <c r="EX1142" s="773"/>
      <c r="EY1142" s="773"/>
      <c r="EZ1142" s="773"/>
      <c r="FA1142" s="773"/>
      <c r="FB1142" s="773"/>
      <c r="FC1142" s="773"/>
      <c r="FD1142" s="773"/>
      <c r="FE1142" s="773"/>
      <c r="FF1142" s="773"/>
      <c r="FG1142" s="773"/>
      <c r="FH1142" s="773"/>
      <c r="FI1142" s="773"/>
      <c r="FJ1142" s="773"/>
      <c r="FK1142" s="773"/>
      <c r="FL1142" s="773"/>
      <c r="FM1142" s="773"/>
      <c r="FN1142" s="773"/>
      <c r="FO1142" s="773"/>
      <c r="FP1142" s="773"/>
      <c r="FQ1142" s="773"/>
      <c r="FR1142" s="773"/>
      <c r="FS1142" s="773"/>
      <c r="FT1142" s="773"/>
      <c r="FU1142" s="773"/>
      <c r="FV1142" s="773"/>
      <c r="FW1142" s="773"/>
      <c r="FX1142" s="773"/>
      <c r="FY1142" s="773"/>
      <c r="FZ1142" s="773"/>
      <c r="GA1142" s="773"/>
      <c r="GB1142" s="773"/>
      <c r="GC1142" s="773"/>
      <c r="GD1142" s="773"/>
      <c r="GE1142" s="773"/>
      <c r="GF1142" s="773"/>
      <c r="GG1142" s="773"/>
      <c r="GH1142" s="773"/>
      <c r="GI1142" s="773"/>
      <c r="GJ1142" s="773"/>
      <c r="GK1142" s="773"/>
      <c r="GL1142" s="773"/>
      <c r="GM1142" s="773"/>
      <c r="GN1142" s="773"/>
      <c r="GO1142" s="773"/>
      <c r="GP1142" s="773"/>
      <c r="GQ1142" s="773"/>
      <c r="GR1142" s="773"/>
      <c r="GS1142" s="773"/>
      <c r="GT1142" s="773"/>
      <c r="GU1142" s="773"/>
      <c r="GV1142" s="773"/>
      <c r="GW1142" s="773"/>
      <c r="GX1142" s="773"/>
      <c r="GY1142" s="773"/>
      <c r="GZ1142" s="773"/>
    </row>
    <row r="1143" spans="1:208" s="11" customFormat="1">
      <c r="A1143" s="917"/>
      <c r="B1143" s="918"/>
      <c r="C1143" s="767"/>
      <c r="D1143" s="173"/>
      <c r="E1143" s="769"/>
      <c r="F1143" s="769"/>
      <c r="G1143" s="769"/>
      <c r="H1143" s="769"/>
      <c r="I1143" s="769"/>
      <c r="J1143" s="769"/>
      <c r="K1143" s="209"/>
      <c r="M1143" s="771"/>
      <c r="N1143" s="772"/>
      <c r="O1143" s="772"/>
      <c r="P1143" s="772"/>
      <c r="Q1143" s="772"/>
      <c r="R1143" s="772"/>
      <c r="S1143" s="772"/>
      <c r="T1143" s="773"/>
      <c r="Y1143" s="773"/>
      <c r="Z1143" s="773"/>
      <c r="AA1143" s="773"/>
      <c r="AB1143" s="773"/>
      <c r="AC1143" s="773"/>
      <c r="AD1143" s="773"/>
      <c r="AE1143" s="773"/>
      <c r="AF1143" s="773"/>
      <c r="AG1143" s="773"/>
      <c r="AH1143" s="773"/>
      <c r="AI1143" s="773"/>
      <c r="AJ1143" s="773"/>
      <c r="AK1143" s="773"/>
      <c r="AL1143" s="773"/>
      <c r="AM1143" s="773"/>
      <c r="AN1143" s="773"/>
      <c r="AO1143" s="773"/>
      <c r="AP1143" s="773"/>
      <c r="AQ1143" s="773"/>
      <c r="AR1143" s="773"/>
      <c r="AS1143" s="773"/>
      <c r="AT1143" s="773"/>
      <c r="AU1143" s="773"/>
      <c r="AW1143" s="2510"/>
      <c r="BC1143" s="2510"/>
      <c r="BD1143" s="2510"/>
      <c r="BE1143" s="2173"/>
      <c r="BF1143" s="2173"/>
      <c r="BG1143" s="2173"/>
      <c r="BH1143" s="2173"/>
      <c r="BI1143" s="2173"/>
      <c r="BJ1143" s="2173"/>
      <c r="BK1143" s="2173"/>
      <c r="DB1143" s="773"/>
      <c r="DC1143" s="773"/>
      <c r="DD1143" s="773"/>
      <c r="DE1143" s="773"/>
      <c r="DF1143" s="773"/>
      <c r="DG1143" s="773"/>
      <c r="DH1143" s="773"/>
      <c r="DI1143" s="773"/>
      <c r="DJ1143" s="773"/>
      <c r="DK1143" s="773"/>
      <c r="DL1143" s="773"/>
      <c r="DM1143" s="773"/>
      <c r="DN1143" s="773"/>
      <c r="DO1143" s="773"/>
      <c r="DP1143" s="773"/>
      <c r="DQ1143" s="773"/>
      <c r="DR1143" s="773"/>
      <c r="DS1143" s="773"/>
      <c r="DT1143" s="773"/>
      <c r="DU1143" s="773"/>
      <c r="DV1143" s="773"/>
      <c r="DW1143" s="773"/>
      <c r="DX1143" s="773"/>
      <c r="DY1143" s="773"/>
      <c r="DZ1143" s="773"/>
      <c r="EA1143" s="773"/>
      <c r="EB1143" s="773"/>
      <c r="EC1143" s="773"/>
      <c r="ED1143" s="773"/>
      <c r="EE1143" s="773"/>
      <c r="EF1143" s="773"/>
      <c r="EG1143" s="773"/>
      <c r="EH1143" s="773"/>
      <c r="EI1143" s="773"/>
      <c r="EJ1143" s="773"/>
      <c r="EK1143" s="773"/>
      <c r="EL1143" s="773"/>
      <c r="EM1143" s="773"/>
      <c r="EN1143" s="773"/>
      <c r="EO1143" s="773"/>
      <c r="EP1143" s="773"/>
      <c r="EQ1143" s="773"/>
      <c r="ER1143" s="773"/>
      <c r="ES1143" s="773"/>
      <c r="ET1143" s="773"/>
      <c r="EU1143" s="773"/>
      <c r="EV1143" s="773"/>
      <c r="EW1143" s="773"/>
      <c r="EX1143" s="773"/>
      <c r="EY1143" s="773"/>
      <c r="EZ1143" s="773"/>
      <c r="FA1143" s="773"/>
      <c r="FB1143" s="773"/>
      <c r="FC1143" s="773"/>
      <c r="FD1143" s="773"/>
      <c r="FE1143" s="773"/>
      <c r="FF1143" s="773"/>
      <c r="FG1143" s="773"/>
      <c r="FH1143" s="773"/>
      <c r="FI1143" s="773"/>
      <c r="FJ1143" s="773"/>
      <c r="FK1143" s="773"/>
      <c r="FL1143" s="773"/>
      <c r="FM1143" s="773"/>
      <c r="FN1143" s="773"/>
      <c r="FO1143" s="773"/>
      <c r="FP1143" s="773"/>
      <c r="FQ1143" s="773"/>
      <c r="FR1143" s="773"/>
      <c r="FS1143" s="773"/>
      <c r="FT1143" s="773"/>
      <c r="FU1143" s="773"/>
      <c r="FV1143" s="773"/>
      <c r="FW1143" s="773"/>
      <c r="FX1143" s="773"/>
      <c r="FY1143" s="773"/>
      <c r="FZ1143" s="773"/>
      <c r="GA1143" s="773"/>
      <c r="GB1143" s="773"/>
      <c r="GC1143" s="773"/>
      <c r="GD1143" s="773"/>
      <c r="GE1143" s="773"/>
      <c r="GF1143" s="773"/>
      <c r="GG1143" s="773"/>
      <c r="GH1143" s="773"/>
      <c r="GI1143" s="773"/>
      <c r="GJ1143" s="773"/>
      <c r="GK1143" s="773"/>
      <c r="GL1143" s="773"/>
      <c r="GM1143" s="773"/>
      <c r="GN1143" s="773"/>
      <c r="GO1143" s="773"/>
      <c r="GP1143" s="773"/>
      <c r="GQ1143" s="773"/>
      <c r="GR1143" s="773"/>
      <c r="GS1143" s="773"/>
      <c r="GT1143" s="773"/>
      <c r="GU1143" s="773"/>
      <c r="GV1143" s="773"/>
      <c r="GW1143" s="773"/>
      <c r="GX1143" s="773"/>
      <c r="GY1143" s="773"/>
      <c r="GZ1143" s="773"/>
    </row>
    <row r="1144" spans="1:208" s="11" customFormat="1">
      <c r="A1144" s="917"/>
      <c r="B1144" s="918"/>
      <c r="C1144" s="767"/>
      <c r="D1144" s="173"/>
      <c r="E1144" s="769"/>
      <c r="F1144" s="769"/>
      <c r="G1144" s="769"/>
      <c r="H1144" s="769"/>
      <c r="I1144" s="769"/>
      <c r="J1144" s="769"/>
      <c r="K1144" s="209"/>
      <c r="M1144" s="771"/>
      <c r="N1144" s="772"/>
      <c r="O1144" s="772"/>
      <c r="P1144" s="772"/>
      <c r="Q1144" s="772"/>
      <c r="R1144" s="772"/>
      <c r="S1144" s="772"/>
      <c r="T1144" s="773"/>
      <c r="Y1144" s="773"/>
      <c r="Z1144" s="773"/>
      <c r="AA1144" s="773"/>
      <c r="AB1144" s="773"/>
      <c r="AC1144" s="773"/>
      <c r="AD1144" s="773"/>
      <c r="AE1144" s="773"/>
      <c r="AF1144" s="773"/>
      <c r="AG1144" s="773"/>
      <c r="AH1144" s="773"/>
      <c r="AI1144" s="773"/>
      <c r="AJ1144" s="773"/>
      <c r="AK1144" s="773"/>
      <c r="AL1144" s="773"/>
      <c r="AM1144" s="773"/>
      <c r="AN1144" s="773"/>
      <c r="AO1144" s="773"/>
      <c r="AP1144" s="773"/>
      <c r="AQ1144" s="773"/>
      <c r="AR1144" s="773"/>
      <c r="AS1144" s="773"/>
      <c r="AT1144" s="773"/>
      <c r="AU1144" s="773"/>
      <c r="AW1144" s="2510"/>
      <c r="BC1144" s="2510"/>
      <c r="BD1144" s="2510"/>
      <c r="BE1144" s="2173"/>
      <c r="BF1144" s="2173"/>
      <c r="BG1144" s="2173"/>
      <c r="BH1144" s="2173"/>
      <c r="BI1144" s="2173"/>
      <c r="BJ1144" s="2173"/>
      <c r="BK1144" s="2173"/>
      <c r="DB1144" s="773"/>
      <c r="DC1144" s="773"/>
      <c r="DD1144" s="773"/>
      <c r="DE1144" s="773"/>
      <c r="DF1144" s="773"/>
      <c r="DG1144" s="773"/>
      <c r="DH1144" s="773"/>
      <c r="DI1144" s="773"/>
      <c r="DJ1144" s="773"/>
      <c r="DK1144" s="773"/>
      <c r="DL1144" s="773"/>
      <c r="DM1144" s="773"/>
      <c r="DN1144" s="773"/>
      <c r="DO1144" s="773"/>
      <c r="DP1144" s="773"/>
      <c r="DQ1144" s="773"/>
      <c r="DR1144" s="773"/>
      <c r="DS1144" s="773"/>
      <c r="DT1144" s="773"/>
      <c r="DU1144" s="773"/>
      <c r="DV1144" s="773"/>
      <c r="DW1144" s="773"/>
      <c r="DX1144" s="773"/>
      <c r="DY1144" s="773"/>
      <c r="DZ1144" s="773"/>
      <c r="EA1144" s="773"/>
      <c r="EB1144" s="773"/>
      <c r="EC1144" s="773"/>
      <c r="ED1144" s="773"/>
      <c r="EE1144" s="773"/>
      <c r="EF1144" s="773"/>
      <c r="EG1144" s="773"/>
      <c r="EH1144" s="773"/>
      <c r="EI1144" s="773"/>
      <c r="EJ1144" s="773"/>
      <c r="EK1144" s="773"/>
      <c r="EL1144" s="773"/>
      <c r="EM1144" s="773"/>
      <c r="EN1144" s="773"/>
      <c r="EO1144" s="773"/>
      <c r="EP1144" s="773"/>
      <c r="EQ1144" s="773"/>
      <c r="ER1144" s="773"/>
      <c r="ES1144" s="773"/>
      <c r="ET1144" s="773"/>
      <c r="EU1144" s="773"/>
      <c r="EV1144" s="773"/>
      <c r="EW1144" s="773"/>
      <c r="EX1144" s="773"/>
      <c r="EY1144" s="773"/>
      <c r="EZ1144" s="773"/>
      <c r="FA1144" s="773"/>
      <c r="FB1144" s="773"/>
      <c r="FC1144" s="773"/>
      <c r="FD1144" s="773"/>
      <c r="FE1144" s="773"/>
      <c r="FF1144" s="773"/>
      <c r="FG1144" s="773"/>
      <c r="FH1144" s="773"/>
      <c r="FI1144" s="773"/>
      <c r="FJ1144" s="773"/>
      <c r="FK1144" s="773"/>
      <c r="FL1144" s="773"/>
      <c r="FM1144" s="773"/>
      <c r="FN1144" s="773"/>
      <c r="FO1144" s="773"/>
      <c r="FP1144" s="773"/>
      <c r="FQ1144" s="773"/>
      <c r="FR1144" s="773"/>
      <c r="FS1144" s="773"/>
      <c r="FT1144" s="773"/>
      <c r="FU1144" s="773"/>
      <c r="FV1144" s="773"/>
      <c r="FW1144" s="773"/>
      <c r="FX1144" s="773"/>
      <c r="FY1144" s="773"/>
      <c r="FZ1144" s="773"/>
      <c r="GA1144" s="773"/>
      <c r="GB1144" s="773"/>
      <c r="GC1144" s="773"/>
      <c r="GD1144" s="773"/>
      <c r="GE1144" s="773"/>
      <c r="GF1144" s="773"/>
      <c r="GG1144" s="773"/>
      <c r="GH1144" s="773"/>
      <c r="GI1144" s="773"/>
      <c r="GJ1144" s="773"/>
      <c r="GK1144" s="773"/>
      <c r="GL1144" s="773"/>
      <c r="GM1144" s="773"/>
      <c r="GN1144" s="773"/>
      <c r="GO1144" s="773"/>
      <c r="GP1144" s="773"/>
      <c r="GQ1144" s="773"/>
      <c r="GR1144" s="773"/>
      <c r="GS1144" s="773"/>
      <c r="GT1144" s="773"/>
      <c r="GU1144" s="773"/>
      <c r="GV1144" s="773"/>
      <c r="GW1144" s="773"/>
      <c r="GX1144" s="773"/>
      <c r="GY1144" s="773"/>
      <c r="GZ1144" s="773"/>
    </row>
    <row r="1145" spans="1:208" s="11" customFormat="1">
      <c r="A1145" s="917"/>
      <c r="B1145" s="918"/>
      <c r="C1145" s="767"/>
      <c r="D1145" s="173"/>
      <c r="E1145" s="769"/>
      <c r="F1145" s="769"/>
      <c r="G1145" s="769"/>
      <c r="H1145" s="769"/>
      <c r="I1145" s="769"/>
      <c r="J1145" s="769"/>
      <c r="K1145" s="209"/>
      <c r="M1145" s="771"/>
      <c r="N1145" s="772"/>
      <c r="O1145" s="772"/>
      <c r="P1145" s="772"/>
      <c r="Q1145" s="772"/>
      <c r="R1145" s="772"/>
      <c r="S1145" s="772"/>
      <c r="T1145" s="773"/>
      <c r="Y1145" s="773"/>
      <c r="Z1145" s="773"/>
      <c r="AA1145" s="773"/>
      <c r="AB1145" s="773"/>
      <c r="AC1145" s="773"/>
      <c r="AD1145" s="773"/>
      <c r="AE1145" s="773"/>
      <c r="AF1145" s="773"/>
      <c r="AG1145" s="773"/>
      <c r="AH1145" s="773"/>
      <c r="AI1145" s="773"/>
      <c r="AJ1145" s="773"/>
      <c r="AK1145" s="773"/>
      <c r="AL1145" s="773"/>
      <c r="AM1145" s="773"/>
      <c r="AN1145" s="773"/>
      <c r="AO1145" s="773"/>
      <c r="AP1145" s="773"/>
      <c r="AQ1145" s="773"/>
      <c r="AR1145" s="773"/>
      <c r="AS1145" s="773"/>
      <c r="AT1145" s="773"/>
      <c r="AU1145" s="773"/>
      <c r="AW1145" s="2510"/>
      <c r="BC1145" s="2510"/>
      <c r="BD1145" s="2510"/>
      <c r="BE1145" s="2173"/>
      <c r="BF1145" s="2173"/>
      <c r="BG1145" s="2173"/>
      <c r="BH1145" s="2173"/>
      <c r="BI1145" s="2173"/>
      <c r="BJ1145" s="2173"/>
      <c r="BK1145" s="2173"/>
      <c r="DB1145" s="773"/>
      <c r="DC1145" s="773"/>
      <c r="DD1145" s="773"/>
      <c r="DE1145" s="773"/>
      <c r="DF1145" s="773"/>
      <c r="DG1145" s="773"/>
      <c r="DH1145" s="773"/>
      <c r="DI1145" s="773"/>
      <c r="DJ1145" s="773"/>
      <c r="DK1145" s="773"/>
      <c r="DL1145" s="773"/>
      <c r="DM1145" s="773"/>
      <c r="DN1145" s="773"/>
      <c r="DO1145" s="773"/>
      <c r="DP1145" s="773"/>
      <c r="DQ1145" s="773"/>
      <c r="DR1145" s="773"/>
      <c r="DS1145" s="773"/>
      <c r="DT1145" s="773"/>
      <c r="DU1145" s="773"/>
      <c r="DV1145" s="773"/>
      <c r="DW1145" s="773"/>
      <c r="DX1145" s="773"/>
      <c r="DY1145" s="773"/>
      <c r="DZ1145" s="773"/>
      <c r="EA1145" s="773"/>
      <c r="EB1145" s="773"/>
      <c r="EC1145" s="773"/>
      <c r="ED1145" s="773"/>
      <c r="EE1145" s="773"/>
      <c r="EF1145" s="773"/>
      <c r="EG1145" s="773"/>
      <c r="EH1145" s="773"/>
      <c r="EI1145" s="773"/>
      <c r="EJ1145" s="773"/>
      <c r="EK1145" s="773"/>
      <c r="EL1145" s="773"/>
      <c r="EM1145" s="773"/>
      <c r="EN1145" s="773"/>
      <c r="EO1145" s="773"/>
      <c r="EP1145" s="773"/>
      <c r="EQ1145" s="773"/>
      <c r="ER1145" s="773"/>
      <c r="ES1145" s="773"/>
      <c r="ET1145" s="773"/>
      <c r="EU1145" s="773"/>
      <c r="EV1145" s="773"/>
      <c r="EW1145" s="773"/>
      <c r="EX1145" s="773"/>
      <c r="EY1145" s="773"/>
      <c r="EZ1145" s="773"/>
      <c r="FA1145" s="773"/>
      <c r="FB1145" s="773"/>
      <c r="FC1145" s="773"/>
      <c r="FD1145" s="773"/>
      <c r="FE1145" s="773"/>
      <c r="FF1145" s="773"/>
      <c r="FG1145" s="773"/>
      <c r="FH1145" s="773"/>
      <c r="FI1145" s="773"/>
      <c r="FJ1145" s="773"/>
      <c r="FK1145" s="773"/>
      <c r="FL1145" s="773"/>
      <c r="FM1145" s="773"/>
      <c r="FN1145" s="773"/>
      <c r="FO1145" s="773"/>
      <c r="FP1145" s="773"/>
      <c r="FQ1145" s="773"/>
      <c r="FR1145" s="773"/>
      <c r="FS1145" s="773"/>
      <c r="FT1145" s="773"/>
      <c r="FU1145" s="773"/>
      <c r="FV1145" s="773"/>
      <c r="FW1145" s="773"/>
      <c r="FX1145" s="773"/>
      <c r="FY1145" s="773"/>
      <c r="FZ1145" s="773"/>
      <c r="GA1145" s="773"/>
      <c r="GB1145" s="773"/>
      <c r="GC1145" s="773"/>
      <c r="GD1145" s="773"/>
      <c r="GE1145" s="773"/>
      <c r="GF1145" s="773"/>
      <c r="GG1145" s="773"/>
      <c r="GH1145" s="773"/>
      <c r="GI1145" s="773"/>
      <c r="GJ1145" s="773"/>
      <c r="GK1145" s="773"/>
      <c r="GL1145" s="773"/>
      <c r="GM1145" s="773"/>
      <c r="GN1145" s="773"/>
      <c r="GO1145" s="773"/>
      <c r="GP1145" s="773"/>
      <c r="GQ1145" s="773"/>
      <c r="GR1145" s="773"/>
      <c r="GS1145" s="773"/>
      <c r="GT1145" s="773"/>
      <c r="GU1145" s="773"/>
      <c r="GV1145" s="773"/>
      <c r="GW1145" s="773"/>
      <c r="GX1145" s="773"/>
      <c r="GY1145" s="773"/>
      <c r="GZ1145" s="773"/>
    </row>
    <row r="1146" spans="1:208" s="11" customFormat="1">
      <c r="A1146" s="917"/>
      <c r="B1146" s="918"/>
      <c r="C1146" s="767"/>
      <c r="D1146" s="173"/>
      <c r="E1146" s="769"/>
      <c r="F1146" s="769"/>
      <c r="G1146" s="769"/>
      <c r="H1146" s="769"/>
      <c r="I1146" s="769"/>
      <c r="J1146" s="769"/>
      <c r="K1146" s="209"/>
      <c r="M1146" s="771"/>
      <c r="N1146" s="772"/>
      <c r="O1146" s="772"/>
      <c r="P1146" s="772"/>
      <c r="Q1146" s="772"/>
      <c r="R1146" s="772"/>
      <c r="S1146" s="772"/>
      <c r="T1146" s="773"/>
      <c r="Y1146" s="773"/>
      <c r="Z1146" s="773"/>
      <c r="AA1146" s="773"/>
      <c r="AB1146" s="773"/>
      <c r="AC1146" s="773"/>
      <c r="AD1146" s="773"/>
      <c r="AE1146" s="773"/>
      <c r="AF1146" s="773"/>
      <c r="AG1146" s="773"/>
      <c r="AH1146" s="773"/>
      <c r="AI1146" s="773"/>
      <c r="AJ1146" s="773"/>
      <c r="AK1146" s="773"/>
      <c r="AL1146" s="773"/>
      <c r="AM1146" s="773"/>
      <c r="AN1146" s="773"/>
      <c r="AO1146" s="773"/>
      <c r="AP1146" s="773"/>
      <c r="AQ1146" s="773"/>
      <c r="AR1146" s="773"/>
      <c r="AS1146" s="773"/>
      <c r="AT1146" s="773"/>
      <c r="AU1146" s="773"/>
      <c r="AW1146" s="2510"/>
      <c r="BC1146" s="2510"/>
      <c r="BD1146" s="2510"/>
      <c r="BE1146" s="2173"/>
      <c r="BF1146" s="2173"/>
      <c r="BG1146" s="2173"/>
      <c r="BH1146" s="2173"/>
      <c r="BI1146" s="2173"/>
      <c r="BJ1146" s="2173"/>
      <c r="BK1146" s="2173"/>
      <c r="DB1146" s="773"/>
      <c r="DC1146" s="773"/>
      <c r="DD1146" s="773"/>
      <c r="DE1146" s="773"/>
      <c r="DF1146" s="773"/>
      <c r="DG1146" s="773"/>
      <c r="DH1146" s="773"/>
      <c r="DI1146" s="773"/>
      <c r="DJ1146" s="773"/>
      <c r="DK1146" s="773"/>
      <c r="DL1146" s="773"/>
      <c r="DM1146" s="773"/>
      <c r="DN1146" s="773"/>
      <c r="DO1146" s="773"/>
      <c r="DP1146" s="773"/>
      <c r="DQ1146" s="773"/>
      <c r="DR1146" s="773"/>
      <c r="DS1146" s="773"/>
      <c r="DT1146" s="773"/>
      <c r="DU1146" s="773"/>
      <c r="DV1146" s="773"/>
      <c r="DW1146" s="773"/>
      <c r="DX1146" s="773"/>
      <c r="DY1146" s="773"/>
      <c r="DZ1146" s="773"/>
      <c r="EA1146" s="773"/>
      <c r="EB1146" s="773"/>
      <c r="EC1146" s="773"/>
      <c r="ED1146" s="773"/>
      <c r="EE1146" s="773"/>
      <c r="EF1146" s="773"/>
      <c r="EG1146" s="773"/>
      <c r="EH1146" s="773"/>
      <c r="EI1146" s="773"/>
      <c r="EJ1146" s="773"/>
      <c r="EK1146" s="773"/>
      <c r="EL1146" s="773"/>
      <c r="EM1146" s="773"/>
      <c r="EN1146" s="773"/>
      <c r="EO1146" s="773"/>
      <c r="EP1146" s="773"/>
      <c r="EQ1146" s="773"/>
      <c r="ER1146" s="773"/>
      <c r="ES1146" s="773"/>
      <c r="ET1146" s="773"/>
      <c r="EU1146" s="773"/>
      <c r="EV1146" s="773"/>
      <c r="EW1146" s="773"/>
      <c r="EX1146" s="773"/>
      <c r="EY1146" s="773"/>
      <c r="EZ1146" s="773"/>
      <c r="FA1146" s="773"/>
      <c r="FB1146" s="773"/>
      <c r="FC1146" s="773"/>
      <c r="FD1146" s="773"/>
      <c r="FE1146" s="773"/>
      <c r="FF1146" s="773"/>
      <c r="FG1146" s="773"/>
      <c r="FH1146" s="773"/>
      <c r="FI1146" s="773"/>
      <c r="FJ1146" s="773"/>
      <c r="FK1146" s="773"/>
      <c r="FL1146" s="773"/>
      <c r="FM1146" s="773"/>
      <c r="FN1146" s="773"/>
      <c r="FO1146" s="773"/>
      <c r="FP1146" s="773"/>
      <c r="FQ1146" s="773"/>
      <c r="FR1146" s="773"/>
      <c r="FS1146" s="773"/>
      <c r="FT1146" s="773"/>
      <c r="FU1146" s="773"/>
      <c r="FV1146" s="773"/>
      <c r="FW1146" s="773"/>
      <c r="FX1146" s="773"/>
      <c r="FY1146" s="773"/>
      <c r="FZ1146" s="773"/>
      <c r="GA1146" s="773"/>
      <c r="GB1146" s="773"/>
      <c r="GC1146" s="773"/>
      <c r="GD1146" s="773"/>
      <c r="GE1146" s="773"/>
      <c r="GF1146" s="773"/>
      <c r="GG1146" s="773"/>
      <c r="GH1146" s="773"/>
      <c r="GI1146" s="773"/>
      <c r="GJ1146" s="773"/>
      <c r="GK1146" s="773"/>
      <c r="GL1146" s="773"/>
      <c r="GM1146" s="773"/>
      <c r="GN1146" s="773"/>
      <c r="GO1146" s="773"/>
      <c r="GP1146" s="773"/>
      <c r="GQ1146" s="773"/>
      <c r="GR1146" s="773"/>
      <c r="GS1146" s="773"/>
      <c r="GT1146" s="773"/>
      <c r="GU1146" s="773"/>
      <c r="GV1146" s="773"/>
      <c r="GW1146" s="773"/>
      <c r="GX1146" s="773"/>
      <c r="GY1146" s="773"/>
      <c r="GZ1146" s="773"/>
    </row>
    <row r="1147" spans="1:208" s="11" customFormat="1">
      <c r="A1147" s="917"/>
      <c r="B1147" s="918"/>
      <c r="C1147" s="767"/>
      <c r="D1147" s="173"/>
      <c r="E1147" s="769"/>
      <c r="F1147" s="769"/>
      <c r="G1147" s="769"/>
      <c r="H1147" s="769"/>
      <c r="I1147" s="769"/>
      <c r="J1147" s="769"/>
      <c r="K1147" s="209"/>
      <c r="M1147" s="771"/>
      <c r="N1147" s="772"/>
      <c r="O1147" s="772"/>
      <c r="P1147" s="772"/>
      <c r="Q1147" s="772"/>
      <c r="R1147" s="772"/>
      <c r="S1147" s="772"/>
      <c r="T1147" s="773"/>
      <c r="Y1147" s="773"/>
      <c r="Z1147" s="773"/>
      <c r="AA1147" s="773"/>
      <c r="AB1147" s="773"/>
      <c r="AC1147" s="773"/>
      <c r="AD1147" s="773"/>
      <c r="AE1147" s="773"/>
      <c r="AF1147" s="773"/>
      <c r="AG1147" s="773"/>
      <c r="AH1147" s="773"/>
      <c r="AI1147" s="773"/>
      <c r="AJ1147" s="773"/>
      <c r="AK1147" s="773"/>
      <c r="AL1147" s="773"/>
      <c r="AM1147" s="773"/>
      <c r="AN1147" s="773"/>
      <c r="AO1147" s="773"/>
      <c r="AP1147" s="773"/>
      <c r="AQ1147" s="773"/>
      <c r="AR1147" s="773"/>
      <c r="AS1147" s="773"/>
      <c r="AT1147" s="773"/>
      <c r="AU1147" s="773"/>
      <c r="AW1147" s="2510"/>
      <c r="BC1147" s="2510"/>
      <c r="BD1147" s="2510"/>
      <c r="BE1147" s="2173"/>
      <c r="BF1147" s="2173"/>
      <c r="BG1147" s="2173"/>
      <c r="BH1147" s="2173"/>
      <c r="BI1147" s="2173"/>
      <c r="BJ1147" s="2173"/>
      <c r="BK1147" s="2173"/>
      <c r="DB1147" s="773"/>
      <c r="DC1147" s="773"/>
      <c r="DD1147" s="773"/>
      <c r="DE1147" s="773"/>
      <c r="DF1147" s="773"/>
      <c r="DG1147" s="773"/>
      <c r="DH1147" s="773"/>
      <c r="DI1147" s="773"/>
      <c r="DJ1147" s="773"/>
      <c r="DK1147" s="773"/>
      <c r="DL1147" s="773"/>
      <c r="DM1147" s="773"/>
      <c r="DN1147" s="773"/>
      <c r="DO1147" s="773"/>
      <c r="DP1147" s="773"/>
      <c r="DQ1147" s="773"/>
      <c r="DR1147" s="773"/>
      <c r="DS1147" s="773"/>
      <c r="DT1147" s="773"/>
      <c r="DU1147" s="773"/>
      <c r="DV1147" s="773"/>
      <c r="DW1147" s="773"/>
      <c r="DX1147" s="773"/>
      <c r="DY1147" s="773"/>
      <c r="DZ1147" s="773"/>
      <c r="EA1147" s="773"/>
      <c r="EB1147" s="773"/>
      <c r="EC1147" s="773"/>
      <c r="ED1147" s="773"/>
      <c r="EE1147" s="773"/>
      <c r="EF1147" s="773"/>
      <c r="EG1147" s="773"/>
      <c r="EH1147" s="773"/>
      <c r="EI1147" s="773"/>
      <c r="EJ1147" s="773"/>
      <c r="EK1147" s="773"/>
      <c r="EL1147" s="773"/>
      <c r="EM1147" s="773"/>
      <c r="EN1147" s="773"/>
      <c r="EO1147" s="773"/>
      <c r="EP1147" s="773"/>
      <c r="EQ1147" s="773"/>
      <c r="ER1147" s="773"/>
      <c r="ES1147" s="773"/>
      <c r="ET1147" s="773"/>
      <c r="EU1147" s="773"/>
      <c r="EV1147" s="773"/>
      <c r="EW1147" s="773"/>
      <c r="EX1147" s="773"/>
      <c r="EY1147" s="773"/>
      <c r="EZ1147" s="773"/>
      <c r="FA1147" s="773"/>
      <c r="FB1147" s="773"/>
      <c r="FC1147" s="773"/>
      <c r="FD1147" s="773"/>
      <c r="FE1147" s="773"/>
      <c r="FF1147" s="773"/>
      <c r="FG1147" s="773"/>
      <c r="FH1147" s="773"/>
      <c r="FI1147" s="773"/>
      <c r="FJ1147" s="773"/>
      <c r="FK1147" s="773"/>
      <c r="FL1147" s="773"/>
      <c r="FM1147" s="773"/>
      <c r="FN1147" s="773"/>
      <c r="FO1147" s="773"/>
      <c r="FP1147" s="773"/>
      <c r="FQ1147" s="773"/>
      <c r="FR1147" s="773"/>
      <c r="FS1147" s="773"/>
      <c r="FT1147" s="773"/>
      <c r="FU1147" s="773"/>
      <c r="FV1147" s="773"/>
      <c r="FW1147" s="773"/>
      <c r="FX1147" s="773"/>
      <c r="FY1147" s="773"/>
      <c r="FZ1147" s="773"/>
      <c r="GA1147" s="773"/>
      <c r="GB1147" s="773"/>
      <c r="GC1147" s="773"/>
      <c r="GD1147" s="773"/>
      <c r="GE1147" s="773"/>
      <c r="GF1147" s="773"/>
      <c r="GG1147" s="773"/>
      <c r="GH1147" s="773"/>
      <c r="GI1147" s="773"/>
      <c r="GJ1147" s="773"/>
      <c r="GK1147" s="773"/>
      <c r="GL1147" s="773"/>
      <c r="GM1147" s="773"/>
      <c r="GN1147" s="773"/>
      <c r="GO1147" s="773"/>
      <c r="GP1147" s="773"/>
      <c r="GQ1147" s="773"/>
      <c r="GR1147" s="773"/>
      <c r="GS1147" s="773"/>
      <c r="GT1147" s="773"/>
      <c r="GU1147" s="773"/>
      <c r="GV1147" s="773"/>
      <c r="GW1147" s="773"/>
      <c r="GX1147" s="773"/>
      <c r="GY1147" s="773"/>
      <c r="GZ1147" s="773"/>
    </row>
    <row r="1148" spans="1:208" s="11" customFormat="1">
      <c r="A1148" s="917"/>
      <c r="B1148" s="918"/>
      <c r="C1148" s="767"/>
      <c r="D1148" s="173"/>
      <c r="E1148" s="769"/>
      <c r="F1148" s="769"/>
      <c r="G1148" s="769"/>
      <c r="H1148" s="769"/>
      <c r="I1148" s="769"/>
      <c r="J1148" s="769"/>
      <c r="K1148" s="209"/>
      <c r="M1148" s="771"/>
      <c r="N1148" s="772"/>
      <c r="O1148" s="772"/>
      <c r="P1148" s="772"/>
      <c r="Q1148" s="772"/>
      <c r="R1148" s="772"/>
      <c r="S1148" s="772"/>
      <c r="T1148" s="773"/>
      <c r="Y1148" s="773"/>
      <c r="Z1148" s="773"/>
      <c r="AA1148" s="773"/>
      <c r="AB1148" s="773"/>
      <c r="AC1148" s="773"/>
      <c r="AD1148" s="773"/>
      <c r="AE1148" s="773"/>
      <c r="AF1148" s="773"/>
      <c r="AG1148" s="773"/>
      <c r="AH1148" s="773"/>
      <c r="AI1148" s="773"/>
      <c r="AJ1148" s="773"/>
      <c r="AK1148" s="773"/>
      <c r="AL1148" s="773"/>
      <c r="AM1148" s="773"/>
      <c r="AN1148" s="773"/>
      <c r="AO1148" s="773"/>
      <c r="AP1148" s="773"/>
      <c r="AQ1148" s="773"/>
      <c r="AR1148" s="773"/>
      <c r="AS1148" s="773"/>
      <c r="AT1148" s="773"/>
      <c r="AU1148" s="773"/>
      <c r="AW1148" s="2510"/>
      <c r="BC1148" s="2510"/>
      <c r="BD1148" s="2510"/>
      <c r="BE1148" s="2173"/>
      <c r="BF1148" s="2173"/>
      <c r="BG1148" s="2173"/>
      <c r="BH1148" s="2173"/>
      <c r="BI1148" s="2173"/>
      <c r="BJ1148" s="2173"/>
      <c r="BK1148" s="2173"/>
      <c r="DB1148" s="773"/>
      <c r="DC1148" s="773"/>
      <c r="DD1148" s="773"/>
      <c r="DE1148" s="773"/>
      <c r="DF1148" s="773"/>
      <c r="DG1148" s="773"/>
      <c r="DH1148" s="773"/>
      <c r="DI1148" s="773"/>
      <c r="DJ1148" s="773"/>
      <c r="DK1148" s="773"/>
      <c r="DL1148" s="773"/>
      <c r="DM1148" s="773"/>
      <c r="DN1148" s="773"/>
      <c r="DO1148" s="773"/>
      <c r="DP1148" s="773"/>
      <c r="DQ1148" s="773"/>
      <c r="DR1148" s="773"/>
      <c r="DS1148" s="773"/>
      <c r="DT1148" s="773"/>
      <c r="DU1148" s="773"/>
      <c r="DV1148" s="773"/>
      <c r="DW1148" s="773"/>
      <c r="DX1148" s="773"/>
      <c r="DY1148" s="773"/>
      <c r="DZ1148" s="773"/>
      <c r="EA1148" s="773"/>
      <c r="EB1148" s="773"/>
      <c r="EC1148" s="773"/>
      <c r="ED1148" s="773"/>
      <c r="EE1148" s="773"/>
      <c r="EF1148" s="773"/>
      <c r="EG1148" s="773"/>
      <c r="EH1148" s="773"/>
      <c r="EI1148" s="773"/>
      <c r="EJ1148" s="773"/>
      <c r="EK1148" s="773"/>
      <c r="EL1148" s="773"/>
      <c r="EM1148" s="773"/>
      <c r="EN1148" s="773"/>
      <c r="EO1148" s="773"/>
      <c r="EP1148" s="773"/>
      <c r="EQ1148" s="773"/>
      <c r="ER1148" s="773"/>
      <c r="ES1148" s="773"/>
      <c r="ET1148" s="773"/>
      <c r="EU1148" s="773"/>
      <c r="EV1148" s="773"/>
      <c r="EW1148" s="773"/>
      <c r="EX1148" s="773"/>
      <c r="EY1148" s="773"/>
      <c r="EZ1148" s="773"/>
      <c r="FA1148" s="773"/>
      <c r="FB1148" s="773"/>
      <c r="FC1148" s="773"/>
      <c r="FD1148" s="773"/>
      <c r="FE1148" s="773"/>
      <c r="FF1148" s="773"/>
      <c r="FG1148" s="773"/>
      <c r="FH1148" s="773"/>
      <c r="FI1148" s="773"/>
      <c r="FJ1148" s="773"/>
      <c r="FK1148" s="773"/>
      <c r="FL1148" s="773"/>
      <c r="FM1148" s="773"/>
      <c r="FN1148" s="773"/>
      <c r="FO1148" s="773"/>
      <c r="FP1148" s="773"/>
      <c r="FQ1148" s="773"/>
      <c r="FR1148" s="773"/>
      <c r="FS1148" s="773"/>
      <c r="FT1148" s="773"/>
      <c r="FU1148" s="773"/>
      <c r="FV1148" s="773"/>
      <c r="FW1148" s="773"/>
      <c r="FX1148" s="773"/>
      <c r="FY1148" s="773"/>
      <c r="FZ1148" s="773"/>
      <c r="GA1148" s="773"/>
      <c r="GB1148" s="773"/>
      <c r="GC1148" s="773"/>
      <c r="GD1148" s="773"/>
      <c r="GE1148" s="773"/>
      <c r="GF1148" s="773"/>
      <c r="GG1148" s="773"/>
      <c r="GH1148" s="773"/>
      <c r="GI1148" s="773"/>
      <c r="GJ1148" s="773"/>
      <c r="GK1148" s="773"/>
      <c r="GL1148" s="773"/>
      <c r="GM1148" s="773"/>
      <c r="GN1148" s="773"/>
      <c r="GO1148" s="773"/>
      <c r="GP1148" s="773"/>
      <c r="GQ1148" s="773"/>
      <c r="GR1148" s="773"/>
      <c r="GS1148" s="773"/>
      <c r="GT1148" s="773"/>
      <c r="GU1148" s="773"/>
      <c r="GV1148" s="773"/>
      <c r="GW1148" s="773"/>
      <c r="GX1148" s="773"/>
      <c r="GY1148" s="773"/>
      <c r="GZ1148" s="773"/>
    </row>
    <row r="1149" spans="1:208" s="11" customFormat="1">
      <c r="A1149" s="917"/>
      <c r="B1149" s="918"/>
      <c r="C1149" s="767"/>
      <c r="D1149" s="173"/>
      <c r="E1149" s="769"/>
      <c r="F1149" s="769"/>
      <c r="G1149" s="769"/>
      <c r="H1149" s="769"/>
      <c r="I1149" s="769"/>
      <c r="J1149" s="769"/>
      <c r="K1149" s="209"/>
      <c r="M1149" s="771"/>
      <c r="N1149" s="772"/>
      <c r="O1149" s="772"/>
      <c r="P1149" s="772"/>
      <c r="Q1149" s="772"/>
      <c r="R1149" s="772"/>
      <c r="S1149" s="772"/>
      <c r="T1149" s="773"/>
      <c r="Y1149" s="773"/>
      <c r="Z1149" s="773"/>
      <c r="AA1149" s="773"/>
      <c r="AB1149" s="773"/>
      <c r="AC1149" s="773"/>
      <c r="AD1149" s="773"/>
      <c r="AE1149" s="773"/>
      <c r="AF1149" s="773"/>
      <c r="AG1149" s="773"/>
      <c r="AH1149" s="773"/>
      <c r="AI1149" s="773"/>
      <c r="AJ1149" s="773"/>
      <c r="AK1149" s="773"/>
      <c r="AL1149" s="773"/>
      <c r="AM1149" s="773"/>
      <c r="AN1149" s="773"/>
      <c r="AO1149" s="773"/>
      <c r="AP1149" s="773"/>
      <c r="AQ1149" s="773"/>
      <c r="AR1149" s="773"/>
      <c r="AS1149" s="773"/>
      <c r="AT1149" s="773"/>
      <c r="AU1149" s="773"/>
      <c r="AW1149" s="2510"/>
      <c r="BC1149" s="2510"/>
      <c r="BD1149" s="2510"/>
      <c r="BE1149" s="2173"/>
      <c r="BF1149" s="2173"/>
      <c r="BG1149" s="2173"/>
      <c r="BH1149" s="2173"/>
      <c r="BI1149" s="2173"/>
      <c r="BJ1149" s="2173"/>
      <c r="BK1149" s="2173"/>
      <c r="DB1149" s="773"/>
      <c r="DC1149" s="773"/>
      <c r="DD1149" s="773"/>
      <c r="DE1149" s="773"/>
      <c r="DF1149" s="773"/>
      <c r="DG1149" s="773"/>
      <c r="DH1149" s="773"/>
      <c r="DI1149" s="773"/>
      <c r="DJ1149" s="773"/>
      <c r="DK1149" s="773"/>
      <c r="DL1149" s="773"/>
      <c r="DM1149" s="773"/>
      <c r="DN1149" s="773"/>
      <c r="DO1149" s="773"/>
      <c r="DP1149" s="773"/>
      <c r="DQ1149" s="773"/>
      <c r="DR1149" s="773"/>
      <c r="DS1149" s="773"/>
      <c r="DT1149" s="773"/>
      <c r="DU1149" s="773"/>
      <c r="DV1149" s="773"/>
      <c r="DW1149" s="773"/>
      <c r="DX1149" s="773"/>
      <c r="DY1149" s="773"/>
      <c r="DZ1149" s="773"/>
      <c r="EA1149" s="773"/>
      <c r="EB1149" s="773"/>
      <c r="EC1149" s="773"/>
      <c r="ED1149" s="773"/>
      <c r="EE1149" s="773"/>
      <c r="EF1149" s="773"/>
      <c r="EG1149" s="773"/>
      <c r="EH1149" s="773"/>
      <c r="EI1149" s="773"/>
      <c r="EJ1149" s="773"/>
      <c r="EK1149" s="773"/>
      <c r="EL1149" s="773"/>
      <c r="EM1149" s="773"/>
      <c r="EN1149" s="773"/>
      <c r="EO1149" s="773"/>
      <c r="EP1149" s="773"/>
      <c r="EQ1149" s="773"/>
      <c r="ER1149" s="773"/>
      <c r="ES1149" s="773"/>
      <c r="ET1149" s="773"/>
      <c r="EU1149" s="773"/>
      <c r="EV1149" s="773"/>
      <c r="EW1149" s="773"/>
      <c r="EX1149" s="773"/>
      <c r="EY1149" s="773"/>
      <c r="EZ1149" s="773"/>
      <c r="FA1149" s="773"/>
      <c r="FB1149" s="773"/>
      <c r="FC1149" s="773"/>
      <c r="FD1149" s="773"/>
      <c r="FE1149" s="773"/>
      <c r="FF1149" s="773"/>
      <c r="FG1149" s="773"/>
      <c r="FH1149" s="773"/>
      <c r="FI1149" s="773"/>
      <c r="FJ1149" s="773"/>
      <c r="FK1149" s="773"/>
      <c r="FL1149" s="773"/>
      <c r="FM1149" s="773"/>
      <c r="FN1149" s="773"/>
      <c r="FO1149" s="773"/>
      <c r="FP1149" s="773"/>
      <c r="FQ1149" s="773"/>
      <c r="FR1149" s="773"/>
      <c r="FS1149" s="773"/>
      <c r="FT1149" s="773"/>
      <c r="FU1149" s="773"/>
      <c r="FV1149" s="773"/>
      <c r="FW1149" s="773"/>
      <c r="FX1149" s="773"/>
      <c r="FY1149" s="773"/>
      <c r="FZ1149" s="773"/>
      <c r="GA1149" s="773"/>
      <c r="GB1149" s="773"/>
      <c r="GC1149" s="773"/>
      <c r="GD1149" s="773"/>
      <c r="GE1149" s="773"/>
      <c r="GF1149" s="773"/>
      <c r="GG1149" s="773"/>
      <c r="GH1149" s="773"/>
      <c r="GI1149" s="773"/>
      <c r="GJ1149" s="773"/>
      <c r="GK1149" s="773"/>
      <c r="GL1149" s="773"/>
      <c r="GM1149" s="773"/>
      <c r="GN1149" s="773"/>
      <c r="GO1149" s="773"/>
      <c r="GP1149" s="773"/>
      <c r="GQ1149" s="773"/>
      <c r="GR1149" s="773"/>
      <c r="GS1149" s="773"/>
      <c r="GT1149" s="773"/>
      <c r="GU1149" s="773"/>
      <c r="GV1149" s="773"/>
      <c r="GW1149" s="773"/>
      <c r="GX1149" s="773"/>
      <c r="GY1149" s="773"/>
      <c r="GZ1149" s="773"/>
    </row>
    <row r="1150" spans="1:208" s="11" customFormat="1">
      <c r="A1150" s="917"/>
      <c r="B1150" s="918"/>
      <c r="C1150" s="767"/>
      <c r="D1150" s="173"/>
      <c r="E1150" s="769"/>
      <c r="F1150" s="769"/>
      <c r="G1150" s="769"/>
      <c r="H1150" s="769"/>
      <c r="I1150" s="769"/>
      <c r="J1150" s="769"/>
      <c r="K1150" s="209"/>
      <c r="M1150" s="771"/>
      <c r="N1150" s="772"/>
      <c r="O1150" s="772"/>
      <c r="P1150" s="772"/>
      <c r="Q1150" s="772"/>
      <c r="R1150" s="772"/>
      <c r="S1150" s="772"/>
      <c r="T1150" s="773"/>
      <c r="Y1150" s="773"/>
      <c r="Z1150" s="773"/>
      <c r="AA1150" s="773"/>
      <c r="AB1150" s="773"/>
      <c r="AC1150" s="773"/>
      <c r="AD1150" s="773"/>
      <c r="AE1150" s="773"/>
      <c r="AF1150" s="773"/>
      <c r="AG1150" s="773"/>
      <c r="AH1150" s="773"/>
      <c r="AI1150" s="773"/>
      <c r="AJ1150" s="773"/>
      <c r="AK1150" s="773"/>
      <c r="AL1150" s="773"/>
      <c r="AM1150" s="773"/>
      <c r="AN1150" s="773"/>
      <c r="AO1150" s="773"/>
      <c r="AP1150" s="773"/>
      <c r="AQ1150" s="773"/>
      <c r="AR1150" s="773"/>
      <c r="AS1150" s="773"/>
      <c r="AT1150" s="773"/>
      <c r="AU1150" s="773"/>
      <c r="AW1150" s="2510"/>
      <c r="BC1150" s="2510"/>
      <c r="BD1150" s="2510"/>
      <c r="BE1150" s="2173"/>
      <c r="BF1150" s="2173"/>
      <c r="BG1150" s="2173"/>
      <c r="BH1150" s="2173"/>
      <c r="BI1150" s="2173"/>
      <c r="BJ1150" s="2173"/>
      <c r="BK1150" s="2173"/>
      <c r="DB1150" s="773"/>
      <c r="DC1150" s="773"/>
      <c r="DD1150" s="773"/>
      <c r="DE1150" s="773"/>
      <c r="DF1150" s="773"/>
      <c r="DG1150" s="773"/>
      <c r="DH1150" s="773"/>
      <c r="DI1150" s="773"/>
      <c r="DJ1150" s="773"/>
      <c r="DK1150" s="773"/>
      <c r="DL1150" s="773"/>
      <c r="DM1150" s="773"/>
      <c r="DN1150" s="773"/>
      <c r="DO1150" s="773"/>
      <c r="DP1150" s="773"/>
      <c r="DQ1150" s="773"/>
      <c r="DR1150" s="773"/>
      <c r="DS1150" s="773"/>
      <c r="DT1150" s="773"/>
      <c r="DU1150" s="773"/>
      <c r="DV1150" s="773"/>
      <c r="DW1150" s="773"/>
      <c r="DX1150" s="773"/>
      <c r="DY1150" s="773"/>
      <c r="DZ1150" s="773"/>
      <c r="EA1150" s="773"/>
      <c r="EB1150" s="773"/>
      <c r="EC1150" s="773"/>
      <c r="ED1150" s="773"/>
      <c r="EE1150" s="773"/>
      <c r="EF1150" s="773"/>
      <c r="EG1150" s="773"/>
      <c r="EH1150" s="773"/>
      <c r="EI1150" s="773"/>
      <c r="EJ1150" s="773"/>
      <c r="EK1150" s="773"/>
      <c r="EL1150" s="773"/>
      <c r="EM1150" s="773"/>
      <c r="EN1150" s="773"/>
      <c r="EO1150" s="773"/>
      <c r="EP1150" s="773"/>
      <c r="EQ1150" s="773"/>
      <c r="ER1150" s="773"/>
      <c r="ES1150" s="773"/>
      <c r="ET1150" s="773"/>
      <c r="EU1150" s="773"/>
      <c r="EV1150" s="773"/>
      <c r="EW1150" s="773"/>
      <c r="EX1150" s="773"/>
      <c r="EY1150" s="773"/>
      <c r="EZ1150" s="773"/>
      <c r="FA1150" s="773"/>
      <c r="FB1150" s="773"/>
      <c r="FC1150" s="773"/>
      <c r="FD1150" s="773"/>
      <c r="FE1150" s="773"/>
      <c r="FF1150" s="773"/>
      <c r="FG1150" s="773"/>
      <c r="FH1150" s="773"/>
      <c r="FI1150" s="773"/>
      <c r="FJ1150" s="773"/>
      <c r="FK1150" s="773"/>
      <c r="FL1150" s="773"/>
      <c r="FM1150" s="773"/>
      <c r="FN1150" s="773"/>
      <c r="FO1150" s="773"/>
      <c r="FP1150" s="773"/>
      <c r="FQ1150" s="773"/>
      <c r="FR1150" s="773"/>
      <c r="FS1150" s="773"/>
      <c r="FT1150" s="773"/>
      <c r="FU1150" s="773"/>
      <c r="FV1150" s="773"/>
      <c r="FW1150" s="773"/>
      <c r="FX1150" s="773"/>
      <c r="FY1150" s="773"/>
      <c r="FZ1150" s="773"/>
      <c r="GA1150" s="773"/>
      <c r="GB1150" s="773"/>
      <c r="GC1150" s="773"/>
      <c r="GD1150" s="773"/>
      <c r="GE1150" s="773"/>
      <c r="GF1150" s="773"/>
      <c r="GG1150" s="773"/>
      <c r="GH1150" s="773"/>
      <c r="GI1150" s="773"/>
      <c r="GJ1150" s="773"/>
      <c r="GK1150" s="773"/>
      <c r="GL1150" s="773"/>
      <c r="GM1150" s="773"/>
      <c r="GN1150" s="773"/>
      <c r="GO1150" s="773"/>
      <c r="GP1150" s="773"/>
      <c r="GQ1150" s="773"/>
      <c r="GR1150" s="773"/>
      <c r="GS1150" s="773"/>
      <c r="GT1150" s="773"/>
      <c r="GU1150" s="773"/>
      <c r="GV1150" s="773"/>
      <c r="GW1150" s="773"/>
      <c r="GX1150" s="773"/>
      <c r="GY1150" s="773"/>
      <c r="GZ1150" s="773"/>
    </row>
    <row r="1151" spans="1:208" s="11" customFormat="1">
      <c r="A1151" s="917"/>
      <c r="B1151" s="918"/>
      <c r="C1151" s="767"/>
      <c r="D1151" s="173"/>
      <c r="E1151" s="769"/>
      <c r="F1151" s="769"/>
      <c r="G1151" s="769"/>
      <c r="H1151" s="769"/>
      <c r="I1151" s="769"/>
      <c r="J1151" s="769"/>
      <c r="K1151" s="209"/>
      <c r="M1151" s="771"/>
      <c r="N1151" s="772"/>
      <c r="O1151" s="772"/>
      <c r="P1151" s="772"/>
      <c r="Q1151" s="772"/>
      <c r="R1151" s="772"/>
      <c r="S1151" s="772"/>
      <c r="T1151" s="773"/>
      <c r="Y1151" s="773"/>
      <c r="Z1151" s="773"/>
      <c r="AA1151" s="773"/>
      <c r="AB1151" s="773"/>
      <c r="AC1151" s="773"/>
      <c r="AD1151" s="773"/>
      <c r="AE1151" s="773"/>
      <c r="AF1151" s="773"/>
      <c r="AG1151" s="773"/>
      <c r="AH1151" s="773"/>
      <c r="AI1151" s="773"/>
      <c r="AJ1151" s="773"/>
      <c r="AK1151" s="773"/>
      <c r="AL1151" s="773"/>
      <c r="AM1151" s="773"/>
      <c r="AN1151" s="773"/>
      <c r="AO1151" s="773"/>
      <c r="AP1151" s="773"/>
      <c r="AQ1151" s="773"/>
      <c r="AR1151" s="773"/>
      <c r="AS1151" s="773"/>
      <c r="AT1151" s="773"/>
      <c r="AU1151" s="773"/>
      <c r="AW1151" s="2510"/>
      <c r="BC1151" s="2510"/>
      <c r="BD1151" s="2510"/>
      <c r="BE1151" s="2173"/>
      <c r="BF1151" s="2173"/>
      <c r="BG1151" s="2173"/>
      <c r="BH1151" s="2173"/>
      <c r="BI1151" s="2173"/>
      <c r="BJ1151" s="2173"/>
      <c r="BK1151" s="2173"/>
      <c r="DB1151" s="773"/>
      <c r="DC1151" s="773"/>
      <c r="DD1151" s="773"/>
      <c r="DE1151" s="773"/>
      <c r="DF1151" s="773"/>
      <c r="DG1151" s="773"/>
      <c r="DH1151" s="773"/>
      <c r="DI1151" s="773"/>
      <c r="DJ1151" s="773"/>
      <c r="DK1151" s="773"/>
      <c r="DL1151" s="773"/>
      <c r="DM1151" s="773"/>
      <c r="DN1151" s="773"/>
      <c r="DO1151" s="773"/>
      <c r="DP1151" s="773"/>
      <c r="DQ1151" s="773"/>
      <c r="DR1151" s="773"/>
      <c r="DS1151" s="773"/>
      <c r="DT1151" s="773"/>
      <c r="DU1151" s="773"/>
      <c r="DV1151" s="773"/>
      <c r="DW1151" s="773"/>
      <c r="DX1151" s="773"/>
      <c r="DY1151" s="773"/>
      <c r="DZ1151" s="773"/>
      <c r="EA1151" s="773"/>
      <c r="EB1151" s="773"/>
      <c r="EC1151" s="773"/>
      <c r="ED1151" s="773"/>
      <c r="EE1151" s="773"/>
      <c r="EF1151" s="773"/>
      <c r="EG1151" s="773"/>
      <c r="EH1151" s="773"/>
      <c r="EI1151" s="773"/>
      <c r="EJ1151" s="773"/>
      <c r="EK1151" s="773"/>
      <c r="EL1151" s="773"/>
      <c r="EM1151" s="773"/>
      <c r="EN1151" s="773"/>
      <c r="EO1151" s="773"/>
      <c r="EP1151" s="773"/>
      <c r="EQ1151" s="773"/>
      <c r="ER1151" s="773"/>
      <c r="ES1151" s="773"/>
      <c r="ET1151" s="773"/>
      <c r="EU1151" s="773"/>
      <c r="EV1151" s="773"/>
      <c r="EW1151" s="773"/>
      <c r="EX1151" s="773"/>
      <c r="EY1151" s="773"/>
      <c r="EZ1151" s="773"/>
      <c r="FA1151" s="773"/>
      <c r="FB1151" s="773"/>
      <c r="FC1151" s="773"/>
      <c r="FD1151" s="773"/>
      <c r="FE1151" s="773"/>
      <c r="FF1151" s="773"/>
      <c r="FG1151" s="773"/>
      <c r="FH1151" s="773"/>
      <c r="FI1151" s="773"/>
      <c r="FJ1151" s="773"/>
      <c r="FK1151" s="773"/>
      <c r="FL1151" s="773"/>
      <c r="FM1151" s="773"/>
      <c r="FN1151" s="773"/>
      <c r="FO1151" s="773"/>
      <c r="FP1151" s="773"/>
      <c r="FQ1151" s="773"/>
      <c r="FR1151" s="773"/>
      <c r="FS1151" s="773"/>
      <c r="FT1151" s="773"/>
      <c r="FU1151" s="773"/>
      <c r="FV1151" s="773"/>
      <c r="FW1151" s="773"/>
      <c r="FX1151" s="773"/>
      <c r="FY1151" s="773"/>
      <c r="FZ1151" s="773"/>
      <c r="GA1151" s="773"/>
      <c r="GB1151" s="773"/>
      <c r="GC1151" s="773"/>
      <c r="GD1151" s="773"/>
      <c r="GE1151" s="773"/>
      <c r="GF1151" s="773"/>
      <c r="GG1151" s="773"/>
      <c r="GH1151" s="773"/>
      <c r="GI1151" s="773"/>
      <c r="GJ1151" s="773"/>
      <c r="GK1151" s="773"/>
      <c r="GL1151" s="773"/>
      <c r="GM1151" s="773"/>
      <c r="GN1151" s="773"/>
      <c r="GO1151" s="773"/>
      <c r="GP1151" s="773"/>
      <c r="GQ1151" s="773"/>
      <c r="GR1151" s="773"/>
      <c r="GS1151" s="773"/>
      <c r="GT1151" s="773"/>
      <c r="GU1151" s="773"/>
      <c r="GV1151" s="773"/>
      <c r="GW1151" s="773"/>
      <c r="GX1151" s="773"/>
      <c r="GY1151" s="773"/>
      <c r="GZ1151" s="773"/>
    </row>
    <row r="1152" spans="1:208" s="11" customFormat="1">
      <c r="A1152" s="917"/>
      <c r="B1152" s="918"/>
      <c r="C1152" s="767"/>
      <c r="D1152" s="173"/>
      <c r="E1152" s="769"/>
      <c r="F1152" s="769"/>
      <c r="G1152" s="769"/>
      <c r="H1152" s="769"/>
      <c r="I1152" s="769"/>
      <c r="J1152" s="769"/>
      <c r="K1152" s="209"/>
      <c r="M1152" s="771"/>
      <c r="N1152" s="772"/>
      <c r="O1152" s="772"/>
      <c r="P1152" s="772"/>
      <c r="Q1152" s="772"/>
      <c r="R1152" s="772"/>
      <c r="S1152" s="772"/>
      <c r="T1152" s="773"/>
      <c r="Y1152" s="773"/>
      <c r="AW1152" s="2510"/>
      <c r="BC1152" s="2510"/>
      <c r="BD1152" s="2510"/>
      <c r="BE1152" s="2173"/>
      <c r="BF1152" s="2173"/>
      <c r="BG1152" s="2173"/>
      <c r="BH1152" s="2173"/>
      <c r="BI1152" s="2173"/>
      <c r="BJ1152" s="2173"/>
      <c r="BK1152" s="2173"/>
      <c r="DB1152" s="773"/>
      <c r="DC1152" s="773"/>
      <c r="DD1152" s="773"/>
      <c r="DE1152" s="773"/>
      <c r="DF1152" s="773"/>
      <c r="DG1152" s="773"/>
      <c r="DH1152" s="773"/>
      <c r="DI1152" s="773"/>
      <c r="DJ1152" s="773"/>
      <c r="DK1152" s="773"/>
      <c r="DL1152" s="773"/>
      <c r="DM1152" s="773"/>
      <c r="DN1152" s="773"/>
      <c r="DO1152" s="773"/>
      <c r="DP1152" s="773"/>
      <c r="DQ1152" s="773"/>
      <c r="DR1152" s="773"/>
      <c r="DS1152" s="773"/>
      <c r="DT1152" s="773"/>
      <c r="DU1152" s="773"/>
      <c r="DV1152" s="773"/>
      <c r="DW1152" s="773"/>
      <c r="DX1152" s="773"/>
      <c r="DY1152" s="773"/>
      <c r="DZ1152" s="773"/>
      <c r="EA1152" s="773"/>
      <c r="EB1152" s="773"/>
      <c r="EC1152" s="773"/>
      <c r="ED1152" s="773"/>
      <c r="EE1152" s="773"/>
      <c r="EF1152" s="773"/>
      <c r="EG1152" s="773"/>
      <c r="EH1152" s="773"/>
      <c r="EI1152" s="773"/>
      <c r="EJ1152" s="773"/>
      <c r="EK1152" s="773"/>
      <c r="EL1152" s="773"/>
      <c r="EM1152" s="773"/>
      <c r="EN1152" s="773"/>
      <c r="EO1152" s="773"/>
      <c r="EP1152" s="773"/>
      <c r="EQ1152" s="773"/>
      <c r="ER1152" s="773"/>
      <c r="ES1152" s="773"/>
      <c r="ET1152" s="773"/>
      <c r="EU1152" s="773"/>
      <c r="EV1152" s="773"/>
      <c r="EW1152" s="773"/>
      <c r="EX1152" s="773"/>
      <c r="EY1152" s="773"/>
      <c r="EZ1152" s="773"/>
      <c r="FA1152" s="773"/>
      <c r="FB1152" s="773"/>
      <c r="FC1152" s="773"/>
      <c r="FD1152" s="773"/>
      <c r="FE1152" s="773"/>
      <c r="FF1152" s="773"/>
      <c r="FG1152" s="773"/>
      <c r="FH1152" s="773"/>
      <c r="FI1152" s="773"/>
      <c r="FJ1152" s="773"/>
      <c r="FK1152" s="773"/>
      <c r="FL1152" s="773"/>
      <c r="FM1152" s="773"/>
      <c r="FN1152" s="773"/>
      <c r="FO1152" s="773"/>
      <c r="FP1152" s="773"/>
      <c r="FQ1152" s="773"/>
      <c r="FR1152" s="773"/>
      <c r="FS1152" s="773"/>
      <c r="FT1152" s="773"/>
      <c r="FU1152" s="773"/>
      <c r="FV1152" s="773"/>
      <c r="FW1152" s="773"/>
      <c r="FX1152" s="773"/>
      <c r="FY1152" s="773"/>
      <c r="FZ1152" s="773"/>
      <c r="GA1152" s="773"/>
      <c r="GB1152" s="773"/>
      <c r="GC1152" s="773"/>
      <c r="GD1152" s="773"/>
      <c r="GE1152" s="773"/>
      <c r="GF1152" s="773"/>
      <c r="GG1152" s="773"/>
      <c r="GH1152" s="773"/>
      <c r="GI1152" s="773"/>
      <c r="GJ1152" s="773"/>
      <c r="GK1152" s="773"/>
      <c r="GL1152" s="773"/>
      <c r="GM1152" s="773"/>
      <c r="GN1152" s="773"/>
      <c r="GO1152" s="773"/>
      <c r="GP1152" s="773"/>
      <c r="GQ1152" s="773"/>
      <c r="GR1152" s="773"/>
      <c r="GS1152" s="773"/>
      <c r="GT1152" s="773"/>
      <c r="GU1152" s="773"/>
      <c r="GV1152" s="773"/>
      <c r="GW1152" s="773"/>
      <c r="GX1152" s="773"/>
      <c r="GY1152" s="773"/>
      <c r="GZ1152" s="773"/>
    </row>
    <row r="1153" spans="1:208" s="11" customFormat="1">
      <c r="A1153" s="917"/>
      <c r="B1153" s="918"/>
      <c r="C1153" s="767"/>
      <c r="D1153" s="173"/>
      <c r="E1153" s="769"/>
      <c r="F1153" s="769"/>
      <c r="G1153" s="769"/>
      <c r="H1153" s="769"/>
      <c r="I1153" s="769"/>
      <c r="J1153" s="769"/>
      <c r="K1153" s="209"/>
      <c r="M1153" s="771"/>
      <c r="N1153" s="772"/>
      <c r="O1153" s="772"/>
      <c r="P1153" s="772"/>
      <c r="Q1153" s="772"/>
      <c r="R1153" s="772"/>
      <c r="S1153" s="772"/>
      <c r="T1153" s="773"/>
      <c r="Y1153" s="773"/>
      <c r="AW1153" s="2510"/>
      <c r="BC1153" s="2510"/>
      <c r="BD1153" s="2510"/>
      <c r="BE1153" s="2173"/>
      <c r="BF1153" s="2173"/>
      <c r="BG1153" s="2173"/>
      <c r="BH1153" s="2173"/>
      <c r="BI1153" s="2173"/>
      <c r="BJ1153" s="2173"/>
      <c r="BK1153" s="2173"/>
      <c r="DB1153" s="773"/>
      <c r="DC1153" s="773"/>
      <c r="DD1153" s="773"/>
      <c r="DE1153" s="773"/>
      <c r="DF1153" s="773"/>
      <c r="DG1153" s="773"/>
      <c r="DH1153" s="773"/>
      <c r="DI1153" s="773"/>
      <c r="DJ1153" s="773"/>
      <c r="DK1153" s="773"/>
      <c r="DL1153" s="773"/>
      <c r="DM1153" s="773"/>
      <c r="DN1153" s="773"/>
      <c r="DO1153" s="773"/>
      <c r="DP1153" s="773"/>
      <c r="DQ1153" s="773"/>
      <c r="DR1153" s="773"/>
      <c r="DS1153" s="773"/>
      <c r="DT1153" s="773"/>
      <c r="DU1153" s="773"/>
      <c r="DV1153" s="773"/>
      <c r="DW1153" s="773"/>
      <c r="DX1153" s="773"/>
      <c r="DY1153" s="773"/>
      <c r="DZ1153" s="773"/>
      <c r="EA1153" s="773"/>
      <c r="EB1153" s="773"/>
      <c r="EC1153" s="773"/>
      <c r="ED1153" s="773"/>
      <c r="EE1153" s="773"/>
      <c r="EF1153" s="773"/>
      <c r="EG1153" s="773"/>
      <c r="EH1153" s="773"/>
      <c r="EI1153" s="773"/>
      <c r="EJ1153" s="773"/>
      <c r="EK1153" s="773"/>
      <c r="EL1153" s="773"/>
      <c r="EM1153" s="773"/>
      <c r="EN1153" s="773"/>
      <c r="EO1153" s="773"/>
      <c r="EP1153" s="773"/>
      <c r="EQ1153" s="773"/>
      <c r="ER1153" s="773"/>
      <c r="ES1153" s="773"/>
      <c r="ET1153" s="773"/>
      <c r="EU1153" s="773"/>
      <c r="EV1153" s="773"/>
      <c r="EW1153" s="773"/>
      <c r="EX1153" s="773"/>
      <c r="EY1153" s="773"/>
      <c r="EZ1153" s="773"/>
      <c r="FA1153" s="773"/>
      <c r="FB1153" s="773"/>
      <c r="FC1153" s="773"/>
      <c r="FD1153" s="773"/>
      <c r="FE1153" s="773"/>
      <c r="FF1153" s="773"/>
      <c r="FG1153" s="773"/>
      <c r="FH1153" s="773"/>
      <c r="FI1153" s="773"/>
      <c r="FJ1153" s="773"/>
      <c r="FK1153" s="773"/>
      <c r="FL1153" s="773"/>
      <c r="FM1153" s="773"/>
      <c r="FN1153" s="773"/>
      <c r="FO1153" s="773"/>
      <c r="FP1153" s="773"/>
      <c r="FQ1153" s="773"/>
      <c r="FR1153" s="773"/>
      <c r="FS1153" s="773"/>
      <c r="FT1153" s="773"/>
      <c r="FU1153" s="773"/>
      <c r="FV1153" s="773"/>
      <c r="FW1153" s="773"/>
      <c r="FX1153" s="773"/>
      <c r="FY1153" s="773"/>
      <c r="FZ1153" s="773"/>
      <c r="GA1153" s="773"/>
      <c r="GB1153" s="773"/>
      <c r="GC1153" s="773"/>
      <c r="GD1153" s="773"/>
      <c r="GE1153" s="773"/>
      <c r="GF1153" s="773"/>
      <c r="GG1153" s="773"/>
      <c r="GH1153" s="773"/>
      <c r="GI1153" s="773"/>
      <c r="GJ1153" s="773"/>
      <c r="GK1153" s="773"/>
      <c r="GL1153" s="773"/>
      <c r="GM1153" s="773"/>
      <c r="GN1153" s="773"/>
      <c r="GO1153" s="773"/>
      <c r="GP1153" s="773"/>
      <c r="GQ1153" s="773"/>
      <c r="GR1153" s="773"/>
      <c r="GS1153" s="773"/>
      <c r="GT1153" s="773"/>
      <c r="GU1153" s="773"/>
      <c r="GV1153" s="773"/>
      <c r="GW1153" s="773"/>
      <c r="GX1153" s="773"/>
      <c r="GY1153" s="773"/>
      <c r="GZ1153" s="773"/>
    </row>
    <row r="1154" spans="1:208" s="11" customFormat="1">
      <c r="A1154" s="917"/>
      <c r="B1154" s="918"/>
      <c r="C1154" s="767"/>
      <c r="D1154" s="173"/>
      <c r="E1154" s="769"/>
      <c r="F1154" s="769"/>
      <c r="G1154" s="769"/>
      <c r="H1154" s="769"/>
      <c r="I1154" s="769"/>
      <c r="J1154" s="769"/>
      <c r="K1154" s="209"/>
      <c r="M1154" s="771"/>
      <c r="N1154" s="772"/>
      <c r="O1154" s="772"/>
      <c r="P1154" s="772"/>
      <c r="Q1154" s="772"/>
      <c r="R1154" s="772"/>
      <c r="S1154" s="772"/>
      <c r="T1154" s="773"/>
      <c r="Y1154" s="773"/>
      <c r="AW1154" s="2510"/>
      <c r="BC1154" s="2510"/>
      <c r="BD1154" s="2510"/>
      <c r="BE1154" s="2173"/>
      <c r="BF1154" s="2173"/>
      <c r="BG1154" s="2173"/>
      <c r="BH1154" s="2173"/>
      <c r="BI1154" s="2173"/>
      <c r="BJ1154" s="2173"/>
      <c r="BK1154" s="2173"/>
      <c r="DB1154" s="773"/>
      <c r="DC1154" s="773"/>
      <c r="DD1154" s="773"/>
      <c r="DE1154" s="773"/>
      <c r="DF1154" s="773"/>
      <c r="DG1154" s="773"/>
      <c r="DH1154" s="773"/>
      <c r="DI1154" s="773"/>
      <c r="DJ1154" s="773"/>
      <c r="DK1154" s="773"/>
      <c r="DL1154" s="773"/>
      <c r="DM1154" s="773"/>
      <c r="DN1154" s="773"/>
      <c r="DO1154" s="773"/>
      <c r="DP1154" s="773"/>
      <c r="DQ1154" s="773"/>
      <c r="DR1154" s="773"/>
      <c r="DS1154" s="773"/>
      <c r="DT1154" s="773"/>
      <c r="DU1154" s="773"/>
      <c r="DV1154" s="773"/>
      <c r="DW1154" s="773"/>
      <c r="DX1154" s="773"/>
      <c r="DY1154" s="773"/>
      <c r="DZ1154" s="773"/>
      <c r="EA1154" s="773"/>
      <c r="EB1154" s="773"/>
      <c r="EC1154" s="773"/>
      <c r="ED1154" s="773"/>
      <c r="EE1154" s="773"/>
      <c r="EF1154" s="773"/>
      <c r="EG1154" s="773"/>
      <c r="EH1154" s="773"/>
      <c r="EI1154" s="773"/>
      <c r="EJ1154" s="773"/>
      <c r="EK1154" s="773"/>
      <c r="EL1154" s="773"/>
      <c r="EM1154" s="773"/>
      <c r="EN1154" s="773"/>
      <c r="EO1154" s="773"/>
      <c r="EP1154" s="773"/>
      <c r="EQ1154" s="773"/>
      <c r="ER1154" s="773"/>
      <c r="ES1154" s="773"/>
      <c r="ET1154" s="773"/>
      <c r="EU1154" s="773"/>
      <c r="EV1154" s="773"/>
      <c r="EW1154" s="773"/>
      <c r="EX1154" s="773"/>
      <c r="EY1154" s="773"/>
      <c r="EZ1154" s="773"/>
      <c r="FA1154" s="773"/>
      <c r="FB1154" s="773"/>
      <c r="FC1154" s="773"/>
      <c r="FD1154" s="773"/>
      <c r="FE1154" s="773"/>
      <c r="FF1154" s="773"/>
      <c r="FG1154" s="773"/>
      <c r="FH1154" s="773"/>
      <c r="FI1154" s="773"/>
      <c r="FJ1154" s="773"/>
      <c r="FK1154" s="773"/>
      <c r="FL1154" s="773"/>
      <c r="FM1154" s="773"/>
      <c r="FN1154" s="773"/>
      <c r="FO1154" s="773"/>
      <c r="FP1154" s="773"/>
      <c r="FQ1154" s="773"/>
      <c r="FR1154" s="773"/>
      <c r="FS1154" s="773"/>
      <c r="FT1154" s="773"/>
      <c r="FU1154" s="773"/>
      <c r="FV1154" s="773"/>
      <c r="FW1154" s="773"/>
      <c r="FX1154" s="773"/>
      <c r="FY1154" s="773"/>
      <c r="FZ1154" s="773"/>
      <c r="GA1154" s="773"/>
      <c r="GB1154" s="773"/>
      <c r="GC1154" s="773"/>
      <c r="GD1154" s="773"/>
      <c r="GE1154" s="773"/>
      <c r="GF1154" s="773"/>
      <c r="GG1154" s="773"/>
      <c r="GH1154" s="773"/>
      <c r="GI1154" s="773"/>
      <c r="GJ1154" s="773"/>
      <c r="GK1154" s="773"/>
      <c r="GL1154" s="773"/>
      <c r="GM1154" s="773"/>
      <c r="GN1154" s="773"/>
      <c r="GO1154" s="773"/>
      <c r="GP1154" s="773"/>
      <c r="GQ1154" s="773"/>
      <c r="GR1154" s="773"/>
      <c r="GS1154" s="773"/>
      <c r="GT1154" s="773"/>
      <c r="GU1154" s="773"/>
      <c r="GV1154" s="773"/>
      <c r="GW1154" s="773"/>
      <c r="GX1154" s="773"/>
      <c r="GY1154" s="773"/>
      <c r="GZ1154" s="773"/>
    </row>
    <row r="1155" spans="1:208" s="11" customFormat="1">
      <c r="A1155" s="917"/>
      <c r="B1155" s="918"/>
      <c r="C1155" s="767"/>
      <c r="D1155" s="173"/>
      <c r="E1155" s="769"/>
      <c r="F1155" s="769"/>
      <c r="G1155" s="769"/>
      <c r="H1155" s="769"/>
      <c r="I1155" s="769"/>
      <c r="J1155" s="769"/>
      <c r="K1155" s="209"/>
      <c r="M1155" s="771"/>
      <c r="N1155" s="772"/>
      <c r="O1155" s="772"/>
      <c r="P1155" s="772"/>
      <c r="Q1155" s="772"/>
      <c r="R1155" s="772"/>
      <c r="S1155" s="772"/>
      <c r="T1155" s="773"/>
      <c r="Y1155" s="773"/>
      <c r="AW1155" s="2510"/>
      <c r="BC1155" s="2510"/>
      <c r="BD1155" s="2510"/>
      <c r="BE1155" s="2173"/>
      <c r="BF1155" s="2173"/>
      <c r="BG1155" s="2173"/>
      <c r="BH1155" s="2173"/>
      <c r="BI1155" s="2173"/>
      <c r="BJ1155" s="2173"/>
      <c r="BK1155" s="2173"/>
      <c r="DB1155" s="773"/>
      <c r="DC1155" s="773"/>
      <c r="DD1155" s="773"/>
      <c r="DE1155" s="773"/>
      <c r="DF1155" s="773"/>
      <c r="DG1155" s="773"/>
      <c r="DH1155" s="773"/>
      <c r="DI1155" s="773"/>
      <c r="DJ1155" s="773"/>
      <c r="DK1155" s="773"/>
      <c r="DL1155" s="773"/>
      <c r="DM1155" s="773"/>
      <c r="DN1155" s="773"/>
      <c r="DO1155" s="773"/>
      <c r="DP1155" s="773"/>
      <c r="DQ1155" s="773"/>
      <c r="DR1155" s="773"/>
      <c r="DS1155" s="773"/>
      <c r="DT1155" s="773"/>
      <c r="DU1155" s="773"/>
      <c r="DV1155" s="773"/>
      <c r="DW1155" s="773"/>
      <c r="DX1155" s="773"/>
      <c r="DY1155" s="773"/>
      <c r="DZ1155" s="773"/>
      <c r="EA1155" s="773"/>
      <c r="EB1155" s="773"/>
      <c r="EC1155" s="773"/>
      <c r="ED1155" s="773"/>
      <c r="EE1155" s="773"/>
      <c r="EF1155" s="773"/>
      <c r="EG1155" s="773"/>
      <c r="EH1155" s="773"/>
      <c r="EI1155" s="773"/>
      <c r="EJ1155" s="773"/>
      <c r="EK1155" s="773"/>
      <c r="EL1155" s="773"/>
      <c r="EM1155" s="773"/>
      <c r="EN1155" s="773"/>
      <c r="EO1155" s="773"/>
      <c r="EP1155" s="773"/>
      <c r="EQ1155" s="773"/>
      <c r="ER1155" s="773"/>
      <c r="ES1155" s="773"/>
      <c r="ET1155" s="773"/>
      <c r="EU1155" s="773"/>
      <c r="EV1155" s="773"/>
      <c r="EW1155" s="773"/>
      <c r="EX1155" s="773"/>
      <c r="EY1155" s="773"/>
      <c r="EZ1155" s="773"/>
      <c r="FA1155" s="773"/>
      <c r="FB1155" s="773"/>
      <c r="FC1155" s="773"/>
      <c r="FD1155" s="773"/>
      <c r="FE1155" s="773"/>
      <c r="FF1155" s="773"/>
      <c r="FG1155" s="773"/>
      <c r="FH1155" s="773"/>
      <c r="FI1155" s="773"/>
      <c r="FJ1155" s="773"/>
      <c r="FK1155" s="773"/>
      <c r="FL1155" s="773"/>
      <c r="FM1155" s="773"/>
      <c r="FN1155" s="773"/>
      <c r="FO1155" s="773"/>
      <c r="FP1155" s="773"/>
      <c r="FQ1155" s="773"/>
      <c r="FR1155" s="773"/>
      <c r="FS1155" s="773"/>
      <c r="FT1155" s="773"/>
      <c r="FU1155" s="773"/>
      <c r="FV1155" s="773"/>
      <c r="FW1155" s="773"/>
      <c r="FX1155" s="773"/>
      <c r="FY1155" s="773"/>
      <c r="FZ1155" s="773"/>
      <c r="GA1155" s="773"/>
      <c r="GB1155" s="773"/>
      <c r="GC1155" s="773"/>
      <c r="GD1155" s="773"/>
      <c r="GE1155" s="773"/>
      <c r="GF1155" s="773"/>
      <c r="GG1155" s="773"/>
      <c r="GH1155" s="773"/>
      <c r="GI1155" s="773"/>
      <c r="GJ1155" s="773"/>
      <c r="GK1155" s="773"/>
      <c r="GL1155" s="773"/>
      <c r="GM1155" s="773"/>
      <c r="GN1155" s="773"/>
      <c r="GO1155" s="773"/>
      <c r="GP1155" s="773"/>
      <c r="GQ1155" s="773"/>
      <c r="GR1155" s="773"/>
      <c r="GS1155" s="773"/>
      <c r="GT1155" s="773"/>
      <c r="GU1155" s="773"/>
      <c r="GV1155" s="773"/>
      <c r="GW1155" s="773"/>
      <c r="GX1155" s="773"/>
      <c r="GY1155" s="773"/>
      <c r="GZ1155" s="773"/>
    </row>
    <row r="1156" spans="1:208" s="11" customFormat="1">
      <c r="A1156" s="917"/>
      <c r="B1156" s="918"/>
      <c r="C1156" s="767"/>
      <c r="D1156" s="173"/>
      <c r="E1156" s="769"/>
      <c r="F1156" s="769"/>
      <c r="G1156" s="769"/>
      <c r="H1156" s="769"/>
      <c r="I1156" s="769"/>
      <c r="J1156" s="769"/>
      <c r="K1156" s="209"/>
      <c r="M1156" s="771"/>
      <c r="N1156" s="772"/>
      <c r="O1156" s="772"/>
      <c r="P1156" s="772"/>
      <c r="Q1156" s="772"/>
      <c r="R1156" s="772"/>
      <c r="S1156" s="772"/>
      <c r="T1156" s="773"/>
      <c r="Y1156" s="773"/>
      <c r="AW1156" s="2510"/>
      <c r="BC1156" s="2510"/>
      <c r="BD1156" s="2510"/>
      <c r="BE1156" s="2173"/>
      <c r="BF1156" s="2173"/>
      <c r="BG1156" s="2173"/>
      <c r="BH1156" s="2173"/>
      <c r="BI1156" s="2173"/>
      <c r="BJ1156" s="2173"/>
      <c r="BK1156" s="2173"/>
      <c r="DB1156" s="773"/>
      <c r="DC1156" s="773"/>
      <c r="DD1156" s="773"/>
      <c r="DE1156" s="773"/>
      <c r="DF1156" s="773"/>
      <c r="DG1156" s="773"/>
      <c r="DH1156" s="773"/>
      <c r="DI1156" s="773"/>
      <c r="DJ1156" s="773"/>
      <c r="DK1156" s="773"/>
      <c r="DL1156" s="773"/>
      <c r="DM1156" s="773"/>
      <c r="DN1156" s="773"/>
      <c r="DO1156" s="773"/>
      <c r="DP1156" s="773"/>
      <c r="DQ1156" s="773"/>
      <c r="DR1156" s="773"/>
      <c r="DS1156" s="773"/>
      <c r="DT1156" s="773"/>
      <c r="DU1156" s="773"/>
      <c r="DV1156" s="773"/>
      <c r="DW1156" s="773"/>
      <c r="DX1156" s="773"/>
      <c r="DY1156" s="773"/>
      <c r="DZ1156" s="773"/>
      <c r="EA1156" s="773"/>
      <c r="EB1156" s="773"/>
      <c r="EC1156" s="773"/>
      <c r="ED1156" s="773"/>
      <c r="EE1156" s="773"/>
      <c r="EF1156" s="773"/>
      <c r="EG1156" s="773"/>
      <c r="EH1156" s="773"/>
      <c r="EI1156" s="773"/>
      <c r="EJ1156" s="773"/>
      <c r="EK1156" s="773"/>
      <c r="EL1156" s="773"/>
      <c r="EM1156" s="773"/>
      <c r="EN1156" s="773"/>
      <c r="EO1156" s="773"/>
      <c r="EP1156" s="773"/>
      <c r="EQ1156" s="773"/>
      <c r="ER1156" s="773"/>
      <c r="ES1156" s="773"/>
      <c r="ET1156" s="773"/>
      <c r="EU1156" s="773"/>
      <c r="EV1156" s="773"/>
      <c r="EW1156" s="773"/>
      <c r="EX1156" s="773"/>
      <c r="EY1156" s="773"/>
      <c r="EZ1156" s="773"/>
      <c r="FA1156" s="773"/>
      <c r="FB1156" s="773"/>
      <c r="FC1156" s="773"/>
      <c r="FD1156" s="773"/>
      <c r="FE1156" s="773"/>
      <c r="FF1156" s="773"/>
      <c r="FG1156" s="773"/>
      <c r="FH1156" s="773"/>
      <c r="FI1156" s="773"/>
      <c r="FJ1156" s="773"/>
      <c r="FK1156" s="773"/>
      <c r="FL1156" s="773"/>
      <c r="FM1156" s="773"/>
      <c r="FN1156" s="773"/>
      <c r="FO1156" s="773"/>
      <c r="FP1156" s="773"/>
      <c r="FQ1156" s="773"/>
      <c r="FR1156" s="773"/>
      <c r="FS1156" s="773"/>
      <c r="FT1156" s="773"/>
      <c r="FU1156" s="773"/>
      <c r="FV1156" s="773"/>
      <c r="FW1156" s="773"/>
      <c r="FX1156" s="773"/>
      <c r="FY1156" s="773"/>
      <c r="FZ1156" s="773"/>
      <c r="GA1156" s="773"/>
      <c r="GB1156" s="773"/>
      <c r="GC1156" s="773"/>
      <c r="GD1156" s="773"/>
      <c r="GE1156" s="773"/>
      <c r="GF1156" s="773"/>
      <c r="GG1156" s="773"/>
      <c r="GH1156" s="773"/>
      <c r="GI1156" s="773"/>
      <c r="GJ1156" s="773"/>
      <c r="GK1156" s="773"/>
      <c r="GL1156" s="773"/>
      <c r="GM1156" s="773"/>
      <c r="GN1156" s="773"/>
      <c r="GO1156" s="773"/>
      <c r="GP1156" s="773"/>
      <c r="GQ1156" s="773"/>
      <c r="GR1156" s="773"/>
      <c r="GS1156" s="773"/>
      <c r="GT1156" s="773"/>
      <c r="GU1156" s="773"/>
      <c r="GV1156" s="773"/>
      <c r="GW1156" s="773"/>
      <c r="GX1156" s="773"/>
      <c r="GY1156" s="773"/>
      <c r="GZ1156" s="773"/>
    </row>
    <row r="1157" spans="1:208" s="11" customFormat="1">
      <c r="A1157" s="917"/>
      <c r="B1157" s="918"/>
      <c r="C1157" s="767"/>
      <c r="D1157" s="173"/>
      <c r="E1157" s="769"/>
      <c r="F1157" s="769"/>
      <c r="G1157" s="769"/>
      <c r="H1157" s="769"/>
      <c r="I1157" s="769"/>
      <c r="J1157" s="769"/>
      <c r="K1157" s="209"/>
      <c r="M1157" s="771"/>
      <c r="N1157" s="772"/>
      <c r="O1157" s="772"/>
      <c r="P1157" s="772"/>
      <c r="Q1157" s="772"/>
      <c r="R1157" s="772"/>
      <c r="S1157" s="772"/>
      <c r="T1157" s="773"/>
      <c r="Y1157" s="773"/>
      <c r="AW1157" s="2510"/>
      <c r="BC1157" s="2510"/>
      <c r="BD1157" s="2510"/>
      <c r="BE1157" s="2173"/>
      <c r="BF1157" s="2173"/>
      <c r="BG1157" s="2173"/>
      <c r="BH1157" s="2173"/>
      <c r="BI1157" s="2173"/>
      <c r="BJ1157" s="2173"/>
      <c r="BK1157" s="2173"/>
      <c r="DB1157" s="773"/>
      <c r="DC1157" s="773"/>
      <c r="DD1157" s="773"/>
      <c r="DE1157" s="773"/>
      <c r="DF1157" s="773"/>
      <c r="DG1157" s="773"/>
      <c r="DH1157" s="773"/>
      <c r="DI1157" s="773"/>
      <c r="DJ1157" s="773"/>
      <c r="DK1157" s="773"/>
      <c r="DL1157" s="773"/>
      <c r="DM1157" s="773"/>
      <c r="DN1157" s="773"/>
      <c r="DO1157" s="773"/>
      <c r="DP1157" s="773"/>
      <c r="DQ1157" s="773"/>
      <c r="DR1157" s="773"/>
      <c r="DS1157" s="773"/>
      <c r="DT1157" s="773"/>
      <c r="DU1157" s="773"/>
      <c r="DV1157" s="773"/>
      <c r="DW1157" s="773"/>
      <c r="DX1157" s="773"/>
      <c r="DY1157" s="773"/>
      <c r="DZ1157" s="773"/>
      <c r="EA1157" s="773"/>
      <c r="EB1157" s="773"/>
      <c r="EC1157" s="773"/>
      <c r="ED1157" s="773"/>
      <c r="EE1157" s="773"/>
      <c r="EF1157" s="773"/>
      <c r="EG1157" s="773"/>
      <c r="EH1157" s="773"/>
      <c r="EI1157" s="773"/>
      <c r="EJ1157" s="773"/>
      <c r="EK1157" s="773"/>
      <c r="EL1157" s="773"/>
      <c r="EM1157" s="773"/>
      <c r="EN1157" s="773"/>
      <c r="EO1157" s="773"/>
      <c r="EP1157" s="773"/>
      <c r="EQ1157" s="773"/>
      <c r="ER1157" s="773"/>
      <c r="ES1157" s="773"/>
      <c r="ET1157" s="773"/>
      <c r="EU1157" s="773"/>
      <c r="EV1157" s="773"/>
      <c r="EW1157" s="773"/>
      <c r="EX1157" s="773"/>
      <c r="EY1157" s="773"/>
      <c r="EZ1157" s="773"/>
      <c r="FA1157" s="773"/>
      <c r="FB1157" s="773"/>
      <c r="FC1157" s="773"/>
      <c r="FD1157" s="773"/>
      <c r="FE1157" s="773"/>
      <c r="FF1157" s="773"/>
      <c r="FG1157" s="773"/>
      <c r="FH1157" s="773"/>
      <c r="FI1157" s="773"/>
      <c r="FJ1157" s="773"/>
      <c r="FK1157" s="773"/>
      <c r="FL1157" s="773"/>
      <c r="FM1157" s="773"/>
      <c r="FN1157" s="773"/>
      <c r="FO1157" s="773"/>
      <c r="FP1157" s="773"/>
      <c r="FQ1157" s="773"/>
      <c r="FR1157" s="773"/>
      <c r="FS1157" s="773"/>
      <c r="FT1157" s="773"/>
      <c r="FU1157" s="773"/>
      <c r="FV1157" s="773"/>
      <c r="FW1157" s="773"/>
      <c r="FX1157" s="773"/>
      <c r="FY1157" s="773"/>
      <c r="FZ1157" s="773"/>
      <c r="GA1157" s="773"/>
      <c r="GB1157" s="773"/>
      <c r="GC1157" s="773"/>
      <c r="GD1157" s="773"/>
      <c r="GE1157" s="773"/>
      <c r="GF1157" s="773"/>
      <c r="GG1157" s="773"/>
      <c r="GH1157" s="773"/>
      <c r="GI1157" s="773"/>
      <c r="GJ1157" s="773"/>
      <c r="GK1157" s="773"/>
      <c r="GL1157" s="773"/>
      <c r="GM1157" s="773"/>
      <c r="GN1157" s="773"/>
      <c r="GO1157" s="773"/>
      <c r="GP1157" s="773"/>
      <c r="GQ1157" s="773"/>
      <c r="GR1157" s="773"/>
      <c r="GS1157" s="773"/>
      <c r="GT1157" s="773"/>
      <c r="GU1157" s="773"/>
      <c r="GV1157" s="773"/>
      <c r="GW1157" s="773"/>
      <c r="GX1157" s="773"/>
      <c r="GY1157" s="773"/>
      <c r="GZ1157" s="773"/>
    </row>
    <row r="1158" spans="1:208" s="11" customFormat="1">
      <c r="A1158" s="917"/>
      <c r="B1158" s="918"/>
      <c r="C1158" s="767"/>
      <c r="D1158" s="173"/>
      <c r="E1158" s="769"/>
      <c r="F1158" s="769"/>
      <c r="G1158" s="769"/>
      <c r="H1158" s="769"/>
      <c r="I1158" s="769"/>
      <c r="J1158" s="769"/>
      <c r="K1158" s="209"/>
      <c r="M1158" s="771"/>
      <c r="N1158" s="772"/>
      <c r="O1158" s="772"/>
      <c r="P1158" s="772"/>
      <c r="Q1158" s="772"/>
      <c r="R1158" s="772"/>
      <c r="S1158" s="772"/>
      <c r="T1158" s="773"/>
      <c r="Y1158" s="773"/>
      <c r="AW1158" s="2510"/>
      <c r="BC1158" s="2510"/>
      <c r="BD1158" s="2510"/>
      <c r="BE1158" s="2173"/>
      <c r="BF1158" s="2173"/>
      <c r="BG1158" s="2173"/>
      <c r="BH1158" s="2173"/>
      <c r="BI1158" s="2173"/>
      <c r="BJ1158" s="2173"/>
      <c r="BK1158" s="2173"/>
      <c r="DB1158" s="773"/>
      <c r="DC1158" s="773"/>
      <c r="DD1158" s="773"/>
      <c r="DE1158" s="773"/>
      <c r="DF1158" s="773"/>
      <c r="DG1158" s="773"/>
      <c r="DH1158" s="773"/>
      <c r="DI1158" s="773"/>
      <c r="DJ1158" s="773"/>
      <c r="DK1158" s="773"/>
      <c r="DL1158" s="773"/>
      <c r="DM1158" s="773"/>
      <c r="DN1158" s="773"/>
      <c r="DO1158" s="773"/>
      <c r="DP1158" s="773"/>
      <c r="DQ1158" s="773"/>
      <c r="DR1158" s="773"/>
      <c r="DS1158" s="773"/>
      <c r="DT1158" s="773"/>
      <c r="DU1158" s="773"/>
      <c r="DV1158" s="773"/>
      <c r="DW1158" s="773"/>
      <c r="DX1158" s="773"/>
      <c r="DY1158" s="773"/>
      <c r="DZ1158" s="773"/>
      <c r="EA1158" s="773"/>
      <c r="EB1158" s="773"/>
      <c r="EC1158" s="773"/>
      <c r="ED1158" s="773"/>
      <c r="EE1158" s="773"/>
      <c r="EF1158" s="773"/>
      <c r="EG1158" s="773"/>
      <c r="EH1158" s="773"/>
      <c r="EI1158" s="773"/>
      <c r="EJ1158" s="773"/>
      <c r="EK1158" s="773"/>
      <c r="EL1158" s="773"/>
      <c r="EM1158" s="773"/>
      <c r="EN1158" s="773"/>
      <c r="EO1158" s="773"/>
      <c r="EP1158" s="773"/>
      <c r="EQ1158" s="773"/>
      <c r="ER1158" s="773"/>
      <c r="ES1158" s="773"/>
      <c r="ET1158" s="773"/>
      <c r="EU1158" s="773"/>
      <c r="EV1158" s="773"/>
      <c r="EW1158" s="773"/>
      <c r="EX1158" s="773"/>
      <c r="EY1158" s="773"/>
      <c r="EZ1158" s="773"/>
      <c r="FA1158" s="773"/>
      <c r="FB1158" s="773"/>
      <c r="FC1158" s="773"/>
      <c r="FD1158" s="773"/>
      <c r="FE1158" s="773"/>
      <c r="FF1158" s="773"/>
      <c r="FG1158" s="773"/>
      <c r="FH1158" s="773"/>
      <c r="FI1158" s="773"/>
      <c r="FJ1158" s="773"/>
      <c r="FK1158" s="773"/>
      <c r="FL1158" s="773"/>
      <c r="FM1158" s="773"/>
      <c r="FN1158" s="773"/>
      <c r="FO1158" s="773"/>
      <c r="FP1158" s="773"/>
      <c r="FQ1158" s="773"/>
      <c r="FR1158" s="773"/>
      <c r="FS1158" s="773"/>
      <c r="FT1158" s="773"/>
      <c r="FU1158" s="773"/>
      <c r="FV1158" s="773"/>
      <c r="FW1158" s="773"/>
      <c r="FX1158" s="773"/>
      <c r="FY1158" s="773"/>
      <c r="FZ1158" s="773"/>
      <c r="GA1158" s="773"/>
      <c r="GB1158" s="773"/>
      <c r="GC1158" s="773"/>
      <c r="GD1158" s="773"/>
      <c r="GE1158" s="773"/>
      <c r="GF1158" s="773"/>
      <c r="GG1158" s="773"/>
      <c r="GH1158" s="773"/>
      <c r="GI1158" s="773"/>
      <c r="GJ1158" s="773"/>
      <c r="GK1158" s="773"/>
      <c r="GL1158" s="773"/>
      <c r="GM1158" s="773"/>
      <c r="GN1158" s="773"/>
      <c r="GO1158" s="773"/>
      <c r="GP1158" s="773"/>
      <c r="GQ1158" s="773"/>
      <c r="GR1158" s="773"/>
      <c r="GS1158" s="773"/>
      <c r="GT1158" s="773"/>
      <c r="GU1158" s="773"/>
      <c r="GV1158" s="773"/>
      <c r="GW1158" s="773"/>
      <c r="GX1158" s="773"/>
      <c r="GY1158" s="773"/>
      <c r="GZ1158" s="773"/>
    </row>
    <row r="1159" spans="1:208" s="11" customFormat="1">
      <c r="A1159" s="917"/>
      <c r="B1159" s="918"/>
      <c r="C1159" s="767"/>
      <c r="D1159" s="173"/>
      <c r="E1159" s="769"/>
      <c r="F1159" s="769"/>
      <c r="G1159" s="769"/>
      <c r="H1159" s="769"/>
      <c r="I1159" s="769"/>
      <c r="J1159" s="769"/>
      <c r="K1159" s="209"/>
      <c r="M1159" s="771"/>
      <c r="N1159" s="772"/>
      <c r="O1159" s="772"/>
      <c r="P1159" s="772"/>
      <c r="Q1159" s="772"/>
      <c r="R1159" s="772"/>
      <c r="S1159" s="772"/>
      <c r="T1159" s="773"/>
      <c r="Y1159" s="773"/>
      <c r="AW1159" s="2510"/>
      <c r="BC1159" s="2510"/>
      <c r="BD1159" s="2510"/>
      <c r="BE1159" s="2173"/>
      <c r="BF1159" s="2173"/>
      <c r="BG1159" s="2173"/>
      <c r="BH1159" s="2173"/>
      <c r="BI1159" s="2173"/>
      <c r="BJ1159" s="2173"/>
      <c r="BK1159" s="2173"/>
      <c r="DB1159" s="773"/>
      <c r="DC1159" s="773"/>
      <c r="DD1159" s="773"/>
      <c r="DE1159" s="773"/>
      <c r="DF1159" s="773"/>
      <c r="DG1159" s="773"/>
      <c r="DH1159" s="773"/>
      <c r="DI1159" s="773"/>
      <c r="DJ1159" s="773"/>
      <c r="DK1159" s="773"/>
      <c r="DL1159" s="773"/>
      <c r="DM1159" s="773"/>
      <c r="DN1159" s="773"/>
      <c r="DO1159" s="773"/>
      <c r="DP1159" s="773"/>
      <c r="DQ1159" s="773"/>
      <c r="DR1159" s="773"/>
      <c r="DS1159" s="773"/>
      <c r="DT1159" s="773"/>
      <c r="DU1159" s="773"/>
      <c r="DV1159" s="773"/>
      <c r="DW1159" s="773"/>
      <c r="DX1159" s="773"/>
      <c r="DY1159" s="773"/>
      <c r="DZ1159" s="773"/>
      <c r="EA1159" s="773"/>
      <c r="EB1159" s="773"/>
      <c r="EC1159" s="773"/>
      <c r="ED1159" s="773"/>
      <c r="EE1159" s="773"/>
      <c r="EF1159" s="773"/>
      <c r="EG1159" s="773"/>
      <c r="EH1159" s="773"/>
      <c r="EI1159" s="773"/>
      <c r="EJ1159" s="773"/>
      <c r="EK1159" s="773"/>
      <c r="EL1159" s="773"/>
      <c r="EM1159" s="773"/>
      <c r="EN1159" s="773"/>
      <c r="EO1159" s="773"/>
      <c r="EP1159" s="773"/>
      <c r="EQ1159" s="773"/>
      <c r="ER1159" s="773"/>
      <c r="ES1159" s="773"/>
      <c r="ET1159" s="773"/>
      <c r="EU1159" s="773"/>
      <c r="EV1159" s="773"/>
      <c r="EW1159" s="773"/>
      <c r="EX1159" s="773"/>
      <c r="EY1159" s="773"/>
      <c r="EZ1159" s="773"/>
      <c r="FA1159" s="773"/>
      <c r="FB1159" s="773"/>
      <c r="FC1159" s="773"/>
      <c r="FD1159" s="773"/>
      <c r="FE1159" s="773"/>
      <c r="FF1159" s="773"/>
      <c r="FG1159" s="773"/>
      <c r="FH1159" s="773"/>
      <c r="FI1159" s="773"/>
      <c r="FJ1159" s="773"/>
      <c r="FK1159" s="773"/>
      <c r="FL1159" s="773"/>
      <c r="FM1159" s="773"/>
      <c r="FN1159" s="773"/>
      <c r="FO1159" s="773"/>
      <c r="FP1159" s="773"/>
      <c r="FQ1159" s="773"/>
      <c r="FR1159" s="773"/>
      <c r="FS1159" s="773"/>
      <c r="FT1159" s="773"/>
      <c r="FU1159" s="773"/>
      <c r="FV1159" s="773"/>
      <c r="FW1159" s="773"/>
      <c r="FX1159" s="773"/>
      <c r="FY1159" s="773"/>
      <c r="FZ1159" s="773"/>
      <c r="GA1159" s="773"/>
      <c r="GB1159" s="773"/>
      <c r="GC1159" s="773"/>
      <c r="GD1159" s="773"/>
      <c r="GE1159" s="773"/>
      <c r="GF1159" s="773"/>
      <c r="GG1159" s="773"/>
      <c r="GH1159" s="773"/>
      <c r="GI1159" s="773"/>
      <c r="GJ1159" s="773"/>
      <c r="GK1159" s="773"/>
      <c r="GL1159" s="773"/>
      <c r="GM1159" s="773"/>
      <c r="GN1159" s="773"/>
      <c r="GO1159" s="773"/>
      <c r="GP1159" s="773"/>
      <c r="GQ1159" s="773"/>
      <c r="GR1159" s="773"/>
      <c r="GS1159" s="773"/>
      <c r="GT1159" s="773"/>
      <c r="GU1159" s="773"/>
      <c r="GV1159" s="773"/>
      <c r="GW1159" s="773"/>
      <c r="GX1159" s="773"/>
      <c r="GY1159" s="773"/>
      <c r="GZ1159" s="773"/>
    </row>
    <row r="1160" spans="1:208" s="11" customFormat="1">
      <c r="A1160" s="917"/>
      <c r="B1160" s="918"/>
      <c r="C1160" s="767"/>
      <c r="D1160" s="173"/>
      <c r="E1160" s="769"/>
      <c r="F1160" s="769"/>
      <c r="G1160" s="769"/>
      <c r="H1160" s="769"/>
      <c r="I1160" s="769"/>
      <c r="J1160" s="769"/>
      <c r="K1160" s="209"/>
      <c r="M1160" s="771"/>
      <c r="N1160" s="772"/>
      <c r="O1160" s="772"/>
      <c r="P1160" s="772"/>
      <c r="Q1160" s="772"/>
      <c r="R1160" s="772"/>
      <c r="S1160" s="772"/>
      <c r="T1160" s="773"/>
      <c r="Y1160" s="773"/>
      <c r="AW1160" s="2510"/>
      <c r="BC1160" s="2510"/>
      <c r="BD1160" s="2510"/>
      <c r="BE1160" s="2173"/>
      <c r="BF1160" s="2173"/>
      <c r="BG1160" s="2173"/>
      <c r="BH1160" s="2173"/>
      <c r="BI1160" s="2173"/>
      <c r="BJ1160" s="2173"/>
      <c r="BK1160" s="2173"/>
      <c r="DB1160" s="773"/>
      <c r="DC1160" s="773"/>
      <c r="DD1160" s="773"/>
      <c r="DE1160" s="773"/>
      <c r="DF1160" s="773"/>
      <c r="DG1160" s="773"/>
      <c r="DH1160" s="773"/>
      <c r="DI1160" s="773"/>
      <c r="DJ1160" s="773"/>
      <c r="DK1160" s="773"/>
      <c r="DL1160" s="773"/>
      <c r="DM1160" s="773"/>
      <c r="DN1160" s="773"/>
      <c r="DO1160" s="773"/>
      <c r="DP1160" s="773"/>
      <c r="DQ1160" s="773"/>
      <c r="DR1160" s="773"/>
      <c r="DS1160" s="773"/>
      <c r="DT1160" s="773"/>
      <c r="DU1160" s="773"/>
      <c r="DV1160" s="773"/>
      <c r="DW1160" s="773"/>
      <c r="DX1160" s="773"/>
      <c r="DY1160" s="773"/>
      <c r="DZ1160" s="773"/>
      <c r="EA1160" s="773"/>
      <c r="EB1160" s="773"/>
      <c r="EC1160" s="773"/>
      <c r="ED1160" s="773"/>
      <c r="EE1160" s="773"/>
      <c r="EF1160" s="773"/>
      <c r="EG1160" s="773"/>
      <c r="EH1160" s="773"/>
      <c r="EI1160" s="773"/>
      <c r="EJ1160" s="773"/>
      <c r="EK1160" s="773"/>
      <c r="EL1160" s="773"/>
      <c r="EM1160" s="773"/>
      <c r="EN1160" s="773"/>
      <c r="EO1160" s="773"/>
      <c r="EP1160" s="773"/>
      <c r="EQ1160" s="773"/>
      <c r="ER1160" s="773"/>
      <c r="ES1160" s="773"/>
      <c r="ET1160" s="773"/>
      <c r="EU1160" s="773"/>
      <c r="EV1160" s="773"/>
      <c r="EW1160" s="773"/>
      <c r="EX1160" s="773"/>
      <c r="EY1160" s="773"/>
      <c r="EZ1160" s="773"/>
      <c r="FA1160" s="773"/>
      <c r="FB1160" s="773"/>
      <c r="FC1160" s="773"/>
      <c r="FD1160" s="773"/>
      <c r="FE1160" s="773"/>
      <c r="FF1160" s="773"/>
      <c r="FG1160" s="773"/>
      <c r="FH1160" s="773"/>
      <c r="FI1160" s="773"/>
      <c r="FJ1160" s="773"/>
      <c r="FK1160" s="773"/>
      <c r="FL1160" s="773"/>
      <c r="FM1160" s="773"/>
      <c r="FN1160" s="773"/>
      <c r="FO1160" s="773"/>
      <c r="FP1160" s="773"/>
      <c r="FQ1160" s="773"/>
      <c r="FR1160" s="773"/>
      <c r="FS1160" s="773"/>
      <c r="FT1160" s="773"/>
      <c r="FU1160" s="773"/>
      <c r="FV1160" s="773"/>
      <c r="FW1160" s="773"/>
      <c r="FX1160" s="773"/>
      <c r="FY1160" s="773"/>
      <c r="FZ1160" s="773"/>
      <c r="GA1160" s="773"/>
      <c r="GB1160" s="773"/>
      <c r="GC1160" s="773"/>
      <c r="GD1160" s="773"/>
      <c r="GE1160" s="773"/>
      <c r="GF1160" s="773"/>
      <c r="GG1160" s="773"/>
      <c r="GH1160" s="773"/>
      <c r="GI1160" s="773"/>
      <c r="GJ1160" s="773"/>
      <c r="GK1160" s="773"/>
      <c r="GL1160" s="773"/>
      <c r="GM1160" s="773"/>
      <c r="GN1160" s="773"/>
      <c r="GO1160" s="773"/>
      <c r="GP1160" s="773"/>
      <c r="GQ1160" s="773"/>
      <c r="GR1160" s="773"/>
      <c r="GS1160" s="773"/>
      <c r="GT1160" s="773"/>
      <c r="GU1160" s="773"/>
      <c r="GV1160" s="773"/>
      <c r="GW1160" s="773"/>
      <c r="GX1160" s="773"/>
      <c r="GY1160" s="773"/>
      <c r="GZ1160" s="773"/>
    </row>
    <row r="1161" spans="1:208" s="11" customFormat="1">
      <c r="A1161" s="917"/>
      <c r="B1161" s="918"/>
      <c r="C1161" s="767"/>
      <c r="D1161" s="173"/>
      <c r="E1161" s="769"/>
      <c r="F1161" s="769"/>
      <c r="G1161" s="769"/>
      <c r="H1161" s="769"/>
      <c r="I1161" s="769"/>
      <c r="J1161" s="769"/>
      <c r="K1161" s="209"/>
      <c r="M1161" s="771"/>
      <c r="N1161" s="772"/>
      <c r="O1161" s="772"/>
      <c r="P1161" s="772"/>
      <c r="Q1161" s="772"/>
      <c r="R1161" s="772"/>
      <c r="S1161" s="772"/>
      <c r="T1161" s="773"/>
      <c r="Y1161" s="773"/>
      <c r="AW1161" s="2510"/>
      <c r="BC1161" s="2510"/>
      <c r="BD1161" s="2510"/>
      <c r="BE1161" s="2173"/>
      <c r="BF1161" s="2173"/>
      <c r="BG1161" s="2173"/>
      <c r="BH1161" s="2173"/>
      <c r="BI1161" s="2173"/>
      <c r="BJ1161" s="2173"/>
      <c r="BK1161" s="2173"/>
      <c r="DB1161" s="773"/>
      <c r="DC1161" s="773"/>
      <c r="DD1161" s="773"/>
      <c r="DE1161" s="773"/>
      <c r="DF1161" s="773"/>
      <c r="DG1161" s="773"/>
      <c r="DH1161" s="773"/>
      <c r="DI1161" s="773"/>
      <c r="DJ1161" s="773"/>
      <c r="DK1161" s="773"/>
      <c r="DL1161" s="773"/>
      <c r="DM1161" s="773"/>
      <c r="DN1161" s="773"/>
      <c r="DO1161" s="773"/>
      <c r="DP1161" s="773"/>
      <c r="DQ1161" s="773"/>
      <c r="DR1161" s="773"/>
      <c r="DS1161" s="773"/>
      <c r="DT1161" s="773"/>
      <c r="DU1161" s="773"/>
      <c r="DV1161" s="773"/>
      <c r="DW1161" s="773"/>
      <c r="DX1161" s="773"/>
      <c r="DY1161" s="773"/>
      <c r="DZ1161" s="773"/>
      <c r="EA1161" s="773"/>
      <c r="EB1161" s="773"/>
      <c r="EC1161" s="773"/>
      <c r="ED1161" s="773"/>
      <c r="EE1161" s="773"/>
      <c r="EF1161" s="773"/>
      <c r="EG1161" s="773"/>
      <c r="EH1161" s="773"/>
      <c r="EI1161" s="773"/>
      <c r="EJ1161" s="773"/>
      <c r="EK1161" s="773"/>
      <c r="EL1161" s="773"/>
      <c r="EM1161" s="773"/>
      <c r="EN1161" s="773"/>
      <c r="EO1161" s="773"/>
      <c r="EP1161" s="773"/>
      <c r="EQ1161" s="773"/>
      <c r="ER1161" s="773"/>
      <c r="ES1161" s="773"/>
      <c r="ET1161" s="773"/>
      <c r="EU1161" s="773"/>
      <c r="EV1161" s="773"/>
      <c r="EW1161" s="773"/>
      <c r="EX1161" s="773"/>
      <c r="EY1161" s="773"/>
      <c r="EZ1161" s="773"/>
      <c r="FA1161" s="773"/>
      <c r="FB1161" s="773"/>
      <c r="FC1161" s="773"/>
      <c r="FD1161" s="773"/>
      <c r="FE1161" s="773"/>
      <c r="FF1161" s="773"/>
      <c r="FG1161" s="773"/>
      <c r="FH1161" s="773"/>
      <c r="FI1161" s="773"/>
      <c r="FJ1161" s="773"/>
      <c r="FK1161" s="773"/>
      <c r="FL1161" s="773"/>
      <c r="FM1161" s="773"/>
      <c r="FN1161" s="773"/>
      <c r="FO1161" s="773"/>
      <c r="FP1161" s="773"/>
      <c r="FQ1161" s="773"/>
      <c r="FR1161" s="773"/>
      <c r="FS1161" s="773"/>
      <c r="FT1161" s="773"/>
      <c r="FU1161" s="773"/>
      <c r="FV1161" s="773"/>
      <c r="FW1161" s="773"/>
      <c r="FX1161" s="773"/>
      <c r="FY1161" s="773"/>
      <c r="FZ1161" s="773"/>
      <c r="GA1161" s="773"/>
      <c r="GB1161" s="773"/>
      <c r="GC1161" s="773"/>
      <c r="GD1161" s="773"/>
      <c r="GE1161" s="773"/>
      <c r="GF1161" s="773"/>
      <c r="GG1161" s="773"/>
      <c r="GH1161" s="773"/>
      <c r="GI1161" s="773"/>
      <c r="GJ1161" s="773"/>
      <c r="GK1161" s="773"/>
      <c r="GL1161" s="773"/>
      <c r="GM1161" s="773"/>
      <c r="GN1161" s="773"/>
      <c r="GO1161" s="773"/>
      <c r="GP1161" s="773"/>
      <c r="GQ1161" s="773"/>
      <c r="GR1161" s="773"/>
      <c r="GS1161" s="773"/>
      <c r="GT1161" s="773"/>
      <c r="GU1161" s="773"/>
      <c r="GV1161" s="773"/>
      <c r="GW1161" s="773"/>
      <c r="GX1161" s="773"/>
      <c r="GY1161" s="773"/>
      <c r="GZ1161" s="773"/>
    </row>
    <row r="1162" spans="1:208" s="11" customFormat="1">
      <c r="A1162" s="917"/>
      <c r="B1162" s="918"/>
      <c r="C1162" s="767"/>
      <c r="D1162" s="173"/>
      <c r="E1162" s="769"/>
      <c r="F1162" s="769"/>
      <c r="G1162" s="769"/>
      <c r="H1162" s="769"/>
      <c r="I1162" s="769"/>
      <c r="J1162" s="769"/>
      <c r="K1162" s="209"/>
      <c r="M1162" s="771"/>
      <c r="N1162" s="772"/>
      <c r="O1162" s="772"/>
      <c r="P1162" s="772"/>
      <c r="Q1162" s="772"/>
      <c r="R1162" s="772"/>
      <c r="S1162" s="772"/>
      <c r="T1162" s="773"/>
      <c r="Y1162" s="773"/>
      <c r="AW1162" s="2510"/>
      <c r="BC1162" s="2510"/>
      <c r="BD1162" s="2510"/>
      <c r="BE1162" s="2173"/>
      <c r="BF1162" s="2173"/>
      <c r="BG1162" s="2173"/>
      <c r="BH1162" s="2173"/>
      <c r="BI1162" s="2173"/>
      <c r="BJ1162" s="2173"/>
      <c r="BK1162" s="2173"/>
      <c r="DB1162" s="773"/>
      <c r="DC1162" s="773"/>
      <c r="DD1162" s="773"/>
      <c r="DE1162" s="773"/>
      <c r="DF1162" s="773"/>
      <c r="DG1162" s="773"/>
      <c r="DH1162" s="773"/>
      <c r="DI1162" s="773"/>
      <c r="DJ1162" s="773"/>
      <c r="DK1162" s="773"/>
      <c r="DL1162" s="773"/>
      <c r="DM1162" s="773"/>
      <c r="DN1162" s="773"/>
      <c r="DO1162" s="773"/>
      <c r="DP1162" s="773"/>
      <c r="DQ1162" s="773"/>
      <c r="DR1162" s="773"/>
      <c r="DS1162" s="773"/>
      <c r="DT1162" s="773"/>
      <c r="DU1162" s="773"/>
      <c r="DV1162" s="773"/>
      <c r="DW1162" s="773"/>
      <c r="DX1162" s="773"/>
      <c r="DY1162" s="773"/>
      <c r="DZ1162" s="773"/>
      <c r="EA1162" s="773"/>
      <c r="EB1162" s="773"/>
      <c r="EC1162" s="773"/>
      <c r="ED1162" s="773"/>
      <c r="EE1162" s="773"/>
      <c r="EF1162" s="773"/>
      <c r="EG1162" s="773"/>
      <c r="EH1162" s="773"/>
      <c r="EI1162" s="773"/>
      <c r="EJ1162" s="773"/>
      <c r="EK1162" s="773"/>
      <c r="EL1162" s="773"/>
      <c r="EM1162" s="773"/>
      <c r="EN1162" s="773"/>
      <c r="EO1162" s="773"/>
      <c r="EP1162" s="773"/>
      <c r="EQ1162" s="773"/>
      <c r="ER1162" s="773"/>
      <c r="ES1162" s="773"/>
      <c r="ET1162" s="773"/>
      <c r="EU1162" s="773"/>
      <c r="EV1162" s="773"/>
      <c r="EW1162" s="773"/>
      <c r="EX1162" s="773"/>
      <c r="EY1162" s="773"/>
      <c r="EZ1162" s="773"/>
      <c r="FA1162" s="773"/>
      <c r="FB1162" s="773"/>
      <c r="FC1162" s="773"/>
      <c r="FD1162" s="773"/>
      <c r="FE1162" s="773"/>
      <c r="FF1162" s="773"/>
      <c r="FG1162" s="773"/>
      <c r="FH1162" s="773"/>
      <c r="FI1162" s="773"/>
      <c r="FJ1162" s="773"/>
      <c r="FK1162" s="773"/>
      <c r="FL1162" s="773"/>
      <c r="FM1162" s="773"/>
      <c r="FN1162" s="773"/>
      <c r="FO1162" s="773"/>
      <c r="FP1162" s="773"/>
      <c r="FQ1162" s="773"/>
      <c r="FR1162" s="773"/>
      <c r="FS1162" s="773"/>
      <c r="FT1162" s="773"/>
      <c r="FU1162" s="773"/>
      <c r="FV1162" s="773"/>
      <c r="FW1162" s="773"/>
      <c r="FX1162" s="773"/>
      <c r="FY1162" s="773"/>
      <c r="FZ1162" s="773"/>
      <c r="GA1162" s="773"/>
      <c r="GB1162" s="773"/>
      <c r="GC1162" s="773"/>
      <c r="GD1162" s="773"/>
      <c r="GE1162" s="773"/>
      <c r="GF1162" s="773"/>
      <c r="GG1162" s="773"/>
      <c r="GH1162" s="773"/>
      <c r="GI1162" s="773"/>
      <c r="GJ1162" s="773"/>
      <c r="GK1162" s="773"/>
      <c r="GL1162" s="773"/>
      <c r="GM1162" s="773"/>
      <c r="GN1162" s="773"/>
      <c r="GO1162" s="773"/>
      <c r="GP1162" s="773"/>
      <c r="GQ1162" s="773"/>
      <c r="GR1162" s="773"/>
      <c r="GS1162" s="773"/>
      <c r="GT1162" s="773"/>
      <c r="GU1162" s="773"/>
      <c r="GV1162" s="773"/>
      <c r="GW1162" s="773"/>
      <c r="GX1162" s="773"/>
      <c r="GY1162" s="773"/>
      <c r="GZ1162" s="773"/>
    </row>
    <row r="1163" spans="1:208" s="11" customFormat="1">
      <c r="A1163" s="917"/>
      <c r="B1163" s="918"/>
      <c r="C1163" s="767"/>
      <c r="D1163" s="173"/>
      <c r="E1163" s="769"/>
      <c r="F1163" s="769"/>
      <c r="G1163" s="769"/>
      <c r="H1163" s="769"/>
      <c r="I1163" s="769"/>
      <c r="J1163" s="769"/>
      <c r="K1163" s="209"/>
      <c r="M1163" s="771"/>
      <c r="N1163" s="772"/>
      <c r="O1163" s="772"/>
      <c r="P1163" s="772"/>
      <c r="Q1163" s="772"/>
      <c r="R1163" s="772"/>
      <c r="S1163" s="772"/>
      <c r="T1163" s="773"/>
      <c r="Y1163" s="773"/>
      <c r="AW1163" s="2510"/>
      <c r="BC1163" s="2510"/>
      <c r="BD1163" s="2510"/>
      <c r="BE1163" s="2173"/>
      <c r="BF1163" s="2173"/>
      <c r="BG1163" s="2173"/>
      <c r="BH1163" s="2173"/>
      <c r="BI1163" s="2173"/>
      <c r="BJ1163" s="2173"/>
      <c r="BK1163" s="2173"/>
      <c r="DB1163" s="773"/>
      <c r="DC1163" s="773"/>
      <c r="DD1163" s="773"/>
      <c r="DE1163" s="773"/>
      <c r="DF1163" s="773"/>
      <c r="DG1163" s="773"/>
      <c r="DH1163" s="773"/>
      <c r="DI1163" s="773"/>
      <c r="DJ1163" s="773"/>
      <c r="DK1163" s="773"/>
      <c r="DL1163" s="773"/>
      <c r="DM1163" s="773"/>
      <c r="DN1163" s="773"/>
      <c r="DO1163" s="773"/>
      <c r="DP1163" s="773"/>
      <c r="DQ1163" s="773"/>
      <c r="DR1163" s="773"/>
      <c r="DS1163" s="773"/>
      <c r="DT1163" s="773"/>
      <c r="DU1163" s="773"/>
      <c r="DV1163" s="773"/>
      <c r="DW1163" s="773"/>
      <c r="DX1163" s="773"/>
      <c r="DY1163" s="773"/>
      <c r="DZ1163" s="773"/>
      <c r="EA1163" s="773"/>
      <c r="EB1163" s="773"/>
      <c r="EC1163" s="773"/>
      <c r="ED1163" s="773"/>
      <c r="EE1163" s="773"/>
      <c r="EF1163" s="773"/>
      <c r="EG1163" s="773"/>
      <c r="EH1163" s="773"/>
      <c r="EI1163" s="773"/>
      <c r="EJ1163" s="773"/>
      <c r="EK1163" s="773"/>
      <c r="EL1163" s="773"/>
      <c r="EM1163" s="773"/>
      <c r="EN1163" s="773"/>
      <c r="EO1163" s="773"/>
      <c r="EP1163" s="773"/>
      <c r="EQ1163" s="773"/>
      <c r="ER1163" s="773"/>
      <c r="ES1163" s="773"/>
      <c r="ET1163" s="773"/>
      <c r="EU1163" s="773"/>
      <c r="EV1163" s="773"/>
      <c r="EW1163" s="773"/>
      <c r="EX1163" s="773"/>
      <c r="EY1163" s="773"/>
      <c r="EZ1163" s="773"/>
      <c r="FA1163" s="773"/>
      <c r="FB1163" s="773"/>
      <c r="FC1163" s="773"/>
      <c r="FD1163" s="773"/>
      <c r="FE1163" s="773"/>
      <c r="FF1163" s="773"/>
      <c r="FG1163" s="773"/>
      <c r="FH1163" s="773"/>
      <c r="FI1163" s="773"/>
      <c r="FJ1163" s="773"/>
      <c r="FK1163" s="773"/>
      <c r="FL1163" s="773"/>
      <c r="FM1163" s="773"/>
      <c r="FN1163" s="773"/>
      <c r="FO1163" s="773"/>
      <c r="FP1163" s="773"/>
      <c r="FQ1163" s="773"/>
      <c r="FR1163" s="773"/>
      <c r="FS1163" s="773"/>
      <c r="FT1163" s="773"/>
      <c r="FU1163" s="773"/>
      <c r="FV1163" s="773"/>
      <c r="FW1163" s="773"/>
      <c r="FX1163" s="773"/>
      <c r="FY1163" s="773"/>
      <c r="FZ1163" s="773"/>
      <c r="GA1163" s="773"/>
      <c r="GB1163" s="773"/>
      <c r="GC1163" s="773"/>
      <c r="GD1163" s="773"/>
      <c r="GE1163" s="773"/>
      <c r="GF1163" s="773"/>
      <c r="GG1163" s="773"/>
      <c r="GH1163" s="773"/>
      <c r="GI1163" s="773"/>
      <c r="GJ1163" s="773"/>
      <c r="GK1163" s="773"/>
      <c r="GL1163" s="773"/>
      <c r="GM1163" s="773"/>
      <c r="GN1163" s="773"/>
      <c r="GO1163" s="773"/>
      <c r="GP1163" s="773"/>
      <c r="GQ1163" s="773"/>
      <c r="GR1163" s="773"/>
      <c r="GS1163" s="773"/>
      <c r="GT1163" s="773"/>
      <c r="GU1163" s="773"/>
      <c r="GV1163" s="773"/>
      <c r="GW1163" s="773"/>
      <c r="GX1163" s="773"/>
      <c r="GY1163" s="773"/>
      <c r="GZ1163" s="773"/>
    </row>
    <row r="1164" spans="1:208" s="11" customFormat="1">
      <c r="A1164" s="917"/>
      <c r="B1164" s="918"/>
      <c r="C1164" s="767"/>
      <c r="D1164" s="173"/>
      <c r="E1164" s="769"/>
      <c r="F1164" s="769"/>
      <c r="G1164" s="769"/>
      <c r="H1164" s="769"/>
      <c r="I1164" s="769"/>
      <c r="J1164" s="769"/>
      <c r="K1164" s="209"/>
      <c r="M1164" s="771"/>
      <c r="N1164" s="772"/>
      <c r="O1164" s="772"/>
      <c r="P1164" s="772"/>
      <c r="Q1164" s="772"/>
      <c r="R1164" s="772"/>
      <c r="S1164" s="772"/>
      <c r="T1164" s="773"/>
      <c r="Y1164" s="773"/>
      <c r="AW1164" s="2510"/>
      <c r="BC1164" s="2510"/>
      <c r="BD1164" s="2510"/>
      <c r="BE1164" s="2173"/>
      <c r="BF1164" s="2173"/>
      <c r="BG1164" s="2173"/>
      <c r="BH1164" s="2173"/>
      <c r="BI1164" s="2173"/>
      <c r="BJ1164" s="2173"/>
      <c r="BK1164" s="2173"/>
      <c r="DB1164" s="773"/>
      <c r="DC1164" s="773"/>
      <c r="DD1164" s="773"/>
      <c r="DE1164" s="773"/>
      <c r="DF1164" s="773"/>
      <c r="DG1164" s="773"/>
      <c r="DH1164" s="773"/>
      <c r="DI1164" s="773"/>
      <c r="DJ1164" s="773"/>
      <c r="DK1164" s="773"/>
      <c r="DL1164" s="773"/>
      <c r="DM1164" s="773"/>
      <c r="DN1164" s="773"/>
      <c r="DO1164" s="773"/>
      <c r="DP1164" s="773"/>
      <c r="DQ1164" s="773"/>
      <c r="DR1164" s="773"/>
      <c r="DS1164" s="773"/>
      <c r="DT1164" s="773"/>
      <c r="DU1164" s="773"/>
      <c r="DV1164" s="773"/>
      <c r="DW1164" s="773"/>
      <c r="DX1164" s="773"/>
      <c r="DY1164" s="773"/>
      <c r="DZ1164" s="773"/>
      <c r="EA1164" s="773"/>
      <c r="EB1164" s="773"/>
      <c r="EC1164" s="773"/>
      <c r="ED1164" s="773"/>
      <c r="EE1164" s="773"/>
      <c r="EF1164" s="773"/>
      <c r="EG1164" s="773"/>
      <c r="EH1164" s="773"/>
      <c r="EI1164" s="773"/>
      <c r="EJ1164" s="773"/>
      <c r="EK1164" s="773"/>
      <c r="EL1164" s="773"/>
      <c r="EM1164" s="773"/>
      <c r="EN1164" s="773"/>
      <c r="EO1164" s="773"/>
      <c r="EP1164" s="773"/>
      <c r="EQ1164" s="773"/>
      <c r="ER1164" s="773"/>
      <c r="ES1164" s="773"/>
      <c r="ET1164" s="773"/>
      <c r="EU1164" s="773"/>
      <c r="EV1164" s="773"/>
      <c r="EW1164" s="773"/>
      <c r="EX1164" s="773"/>
      <c r="EY1164" s="773"/>
      <c r="EZ1164" s="773"/>
      <c r="FA1164" s="773"/>
      <c r="FB1164" s="773"/>
      <c r="FC1164" s="773"/>
      <c r="FD1164" s="773"/>
      <c r="FE1164" s="773"/>
      <c r="FF1164" s="773"/>
      <c r="FG1164" s="773"/>
      <c r="FH1164" s="773"/>
      <c r="FI1164" s="773"/>
      <c r="FJ1164" s="773"/>
      <c r="FK1164" s="773"/>
      <c r="FL1164" s="773"/>
      <c r="FM1164" s="773"/>
      <c r="FN1164" s="773"/>
      <c r="FO1164" s="773"/>
      <c r="FP1164" s="773"/>
      <c r="FQ1164" s="773"/>
      <c r="FR1164" s="773"/>
      <c r="FS1164" s="773"/>
      <c r="FT1164" s="773"/>
      <c r="FU1164" s="773"/>
      <c r="FV1164" s="773"/>
      <c r="FW1164" s="773"/>
      <c r="FX1164" s="773"/>
      <c r="FY1164" s="773"/>
      <c r="FZ1164" s="773"/>
      <c r="GA1164" s="773"/>
      <c r="GB1164" s="773"/>
      <c r="GC1164" s="773"/>
      <c r="GD1164" s="773"/>
      <c r="GE1164" s="773"/>
      <c r="GF1164" s="773"/>
      <c r="GG1164" s="773"/>
      <c r="GH1164" s="773"/>
      <c r="GI1164" s="773"/>
      <c r="GJ1164" s="773"/>
      <c r="GK1164" s="773"/>
      <c r="GL1164" s="773"/>
      <c r="GM1164" s="773"/>
      <c r="GN1164" s="773"/>
      <c r="GO1164" s="773"/>
      <c r="GP1164" s="773"/>
      <c r="GQ1164" s="773"/>
      <c r="GR1164" s="773"/>
      <c r="GS1164" s="773"/>
      <c r="GT1164" s="773"/>
      <c r="GU1164" s="773"/>
      <c r="GV1164" s="773"/>
      <c r="GW1164" s="773"/>
      <c r="GX1164" s="773"/>
      <c r="GY1164" s="773"/>
      <c r="GZ1164" s="773"/>
    </row>
    <row r="1165" spans="1:208" s="11" customFormat="1">
      <c r="A1165" s="917"/>
      <c r="B1165" s="918"/>
      <c r="C1165" s="767"/>
      <c r="D1165" s="173"/>
      <c r="E1165" s="769"/>
      <c r="F1165" s="769"/>
      <c r="G1165" s="769"/>
      <c r="H1165" s="769"/>
      <c r="I1165" s="769"/>
      <c r="J1165" s="769"/>
      <c r="K1165" s="209"/>
      <c r="M1165" s="771"/>
      <c r="N1165" s="772"/>
      <c r="O1165" s="772"/>
      <c r="P1165" s="772"/>
      <c r="Q1165" s="772"/>
      <c r="R1165" s="772"/>
      <c r="S1165" s="772"/>
      <c r="T1165" s="773"/>
      <c r="Y1165" s="773"/>
      <c r="AW1165" s="2510"/>
      <c r="BC1165" s="2510"/>
      <c r="BD1165" s="2510"/>
      <c r="BE1165" s="2173"/>
      <c r="BF1165" s="2173"/>
      <c r="BG1165" s="2173"/>
      <c r="BH1165" s="2173"/>
      <c r="BI1165" s="2173"/>
      <c r="BJ1165" s="2173"/>
      <c r="BK1165" s="2173"/>
      <c r="DB1165" s="773"/>
      <c r="DC1165" s="773"/>
      <c r="DD1165" s="773"/>
      <c r="DE1165" s="773"/>
      <c r="DF1165" s="773"/>
      <c r="DG1165" s="773"/>
      <c r="DH1165" s="773"/>
      <c r="DI1165" s="773"/>
      <c r="DJ1165" s="773"/>
      <c r="DK1165" s="773"/>
      <c r="DL1165" s="773"/>
      <c r="DM1165" s="773"/>
      <c r="DN1165" s="773"/>
      <c r="DO1165" s="773"/>
      <c r="DP1165" s="773"/>
      <c r="DQ1165" s="773"/>
      <c r="DR1165" s="773"/>
      <c r="DS1165" s="773"/>
      <c r="DT1165" s="773"/>
      <c r="DU1165" s="773"/>
      <c r="DV1165" s="773"/>
      <c r="DW1165" s="773"/>
      <c r="DX1165" s="773"/>
      <c r="DY1165" s="773"/>
      <c r="DZ1165" s="773"/>
      <c r="EA1165" s="773"/>
      <c r="EB1165" s="773"/>
      <c r="EC1165" s="773"/>
      <c r="ED1165" s="773"/>
      <c r="EE1165" s="773"/>
      <c r="EF1165" s="773"/>
      <c r="EG1165" s="773"/>
      <c r="EH1165" s="773"/>
      <c r="EI1165" s="773"/>
      <c r="EJ1165" s="773"/>
      <c r="EK1165" s="773"/>
      <c r="EL1165" s="773"/>
      <c r="EM1165" s="773"/>
      <c r="EN1165" s="773"/>
      <c r="EO1165" s="773"/>
      <c r="EP1165" s="773"/>
      <c r="EQ1165" s="773"/>
      <c r="ER1165" s="773"/>
      <c r="ES1165" s="773"/>
      <c r="ET1165" s="773"/>
      <c r="EU1165" s="773"/>
      <c r="EV1165" s="773"/>
      <c r="EW1165" s="773"/>
      <c r="EX1165" s="773"/>
      <c r="EY1165" s="773"/>
      <c r="EZ1165" s="773"/>
      <c r="FA1165" s="773"/>
      <c r="FB1165" s="773"/>
      <c r="FC1165" s="773"/>
      <c r="FD1165" s="773"/>
      <c r="FE1165" s="773"/>
      <c r="FF1165" s="773"/>
      <c r="FG1165" s="773"/>
      <c r="FH1165" s="773"/>
      <c r="FI1165" s="773"/>
      <c r="FJ1165" s="773"/>
      <c r="FK1165" s="773"/>
      <c r="FL1165" s="773"/>
      <c r="FM1165" s="773"/>
      <c r="FN1165" s="773"/>
      <c r="FO1165" s="773"/>
      <c r="FP1165" s="773"/>
      <c r="FQ1165" s="773"/>
      <c r="FR1165" s="773"/>
      <c r="FS1165" s="773"/>
      <c r="FT1165" s="773"/>
      <c r="FU1165" s="773"/>
      <c r="FV1165" s="773"/>
      <c r="FW1165" s="773"/>
      <c r="FX1165" s="773"/>
      <c r="FY1165" s="773"/>
      <c r="FZ1165" s="773"/>
      <c r="GA1165" s="773"/>
      <c r="GB1165" s="773"/>
      <c r="GC1165" s="773"/>
      <c r="GD1165" s="773"/>
      <c r="GE1165" s="773"/>
      <c r="GF1165" s="773"/>
      <c r="GG1165" s="773"/>
      <c r="GH1165" s="773"/>
      <c r="GI1165" s="773"/>
      <c r="GJ1165" s="773"/>
      <c r="GK1165" s="773"/>
      <c r="GL1165" s="773"/>
      <c r="GM1165" s="773"/>
      <c r="GN1165" s="773"/>
      <c r="GO1165" s="773"/>
      <c r="GP1165" s="773"/>
      <c r="GQ1165" s="773"/>
      <c r="GR1165" s="773"/>
      <c r="GS1165" s="773"/>
      <c r="GT1165" s="773"/>
      <c r="GU1165" s="773"/>
      <c r="GV1165" s="773"/>
      <c r="GW1165" s="773"/>
      <c r="GX1165" s="773"/>
      <c r="GY1165" s="773"/>
      <c r="GZ1165" s="773"/>
    </row>
    <row r="1166" spans="1:208" s="11" customFormat="1">
      <c r="A1166" s="917"/>
      <c r="B1166" s="918"/>
      <c r="C1166" s="767"/>
      <c r="D1166" s="173"/>
      <c r="E1166" s="769"/>
      <c r="F1166" s="769"/>
      <c r="G1166" s="769"/>
      <c r="H1166" s="769"/>
      <c r="I1166" s="769"/>
      <c r="J1166" s="769"/>
      <c r="K1166" s="209"/>
      <c r="M1166" s="771"/>
      <c r="N1166" s="772"/>
      <c r="O1166" s="772"/>
      <c r="P1166" s="772"/>
      <c r="Q1166" s="772"/>
      <c r="R1166" s="772"/>
      <c r="S1166" s="772"/>
      <c r="T1166" s="773"/>
      <c r="AW1166" s="2510"/>
      <c r="BC1166" s="2510"/>
      <c r="BD1166" s="2510"/>
      <c r="BE1166" s="2173"/>
      <c r="BF1166" s="2173"/>
      <c r="BG1166" s="2173"/>
      <c r="BH1166" s="2173"/>
      <c r="BI1166" s="2173"/>
      <c r="BJ1166" s="2173"/>
      <c r="BK1166" s="2173"/>
      <c r="DB1166" s="773"/>
      <c r="DC1166" s="773"/>
      <c r="DD1166" s="773"/>
      <c r="DE1166" s="773"/>
      <c r="DF1166" s="773"/>
      <c r="DG1166" s="773"/>
      <c r="DH1166" s="773"/>
      <c r="DI1166" s="773"/>
      <c r="DJ1166" s="773"/>
      <c r="DK1166" s="773"/>
      <c r="DL1166" s="773"/>
      <c r="DM1166" s="773"/>
      <c r="DN1166" s="773"/>
      <c r="DO1166" s="773"/>
      <c r="DP1166" s="773"/>
      <c r="DQ1166" s="773"/>
      <c r="DR1166" s="773"/>
      <c r="DS1166" s="773"/>
      <c r="DT1166" s="773"/>
      <c r="DU1166" s="773"/>
      <c r="DV1166" s="773"/>
      <c r="DW1166" s="773"/>
      <c r="DX1166" s="773"/>
      <c r="DY1166" s="773"/>
      <c r="DZ1166" s="773"/>
      <c r="EA1166" s="773"/>
      <c r="EB1166" s="773"/>
      <c r="EC1166" s="773"/>
      <c r="ED1166" s="773"/>
      <c r="EE1166" s="773"/>
      <c r="EF1166" s="773"/>
      <c r="EG1166" s="773"/>
      <c r="EH1166" s="773"/>
      <c r="EI1166" s="773"/>
      <c r="EJ1166" s="773"/>
      <c r="EK1166" s="773"/>
      <c r="EL1166" s="773"/>
      <c r="EM1166" s="773"/>
      <c r="EN1166" s="773"/>
      <c r="EO1166" s="773"/>
      <c r="EP1166" s="773"/>
      <c r="EQ1166" s="773"/>
      <c r="ER1166" s="773"/>
      <c r="ES1166" s="773"/>
      <c r="ET1166" s="773"/>
      <c r="EU1166" s="773"/>
      <c r="EV1166" s="773"/>
      <c r="EW1166" s="773"/>
      <c r="EX1166" s="773"/>
      <c r="EY1166" s="773"/>
      <c r="EZ1166" s="773"/>
      <c r="FA1166" s="773"/>
      <c r="FB1166" s="773"/>
      <c r="FC1166" s="773"/>
      <c r="FD1166" s="773"/>
      <c r="FE1166" s="773"/>
      <c r="FF1166" s="773"/>
      <c r="FG1166" s="773"/>
      <c r="FH1166" s="773"/>
      <c r="FI1166" s="773"/>
      <c r="FJ1166" s="773"/>
      <c r="FK1166" s="773"/>
      <c r="FL1166" s="773"/>
      <c r="FM1166" s="773"/>
      <c r="FN1166" s="773"/>
      <c r="FO1166" s="773"/>
      <c r="FP1166" s="773"/>
      <c r="FQ1166" s="773"/>
      <c r="FR1166" s="773"/>
      <c r="FS1166" s="773"/>
      <c r="FT1166" s="773"/>
      <c r="FU1166" s="773"/>
      <c r="FV1166" s="773"/>
      <c r="FW1166" s="773"/>
      <c r="FX1166" s="773"/>
      <c r="FY1166" s="773"/>
      <c r="FZ1166" s="773"/>
      <c r="GA1166" s="773"/>
      <c r="GB1166" s="773"/>
      <c r="GC1166" s="773"/>
      <c r="GD1166" s="773"/>
      <c r="GE1166" s="773"/>
      <c r="GF1166" s="773"/>
      <c r="GG1166" s="773"/>
      <c r="GH1166" s="773"/>
      <c r="GI1166" s="773"/>
      <c r="GJ1166" s="773"/>
      <c r="GK1166" s="773"/>
      <c r="GL1166" s="773"/>
      <c r="GM1166" s="773"/>
      <c r="GN1166" s="773"/>
      <c r="GO1166" s="773"/>
      <c r="GP1166" s="773"/>
      <c r="GQ1166" s="773"/>
      <c r="GR1166" s="773"/>
      <c r="GS1166" s="773"/>
      <c r="GT1166" s="773"/>
      <c r="GU1166" s="773"/>
      <c r="GV1166" s="773"/>
      <c r="GW1166" s="773"/>
      <c r="GX1166" s="773"/>
      <c r="GY1166" s="773"/>
      <c r="GZ1166" s="773"/>
    </row>
    <row r="1167" spans="1:208" s="11" customFormat="1">
      <c r="A1167" s="917"/>
      <c r="B1167" s="918"/>
      <c r="C1167" s="767"/>
      <c r="D1167" s="173"/>
      <c r="E1167" s="769"/>
      <c r="F1167" s="769"/>
      <c r="G1167" s="769"/>
      <c r="H1167" s="769"/>
      <c r="I1167" s="769"/>
      <c r="J1167" s="769"/>
      <c r="K1167" s="209"/>
      <c r="M1167" s="771"/>
      <c r="N1167" s="772"/>
      <c r="O1167" s="772"/>
      <c r="P1167" s="772"/>
      <c r="Q1167" s="772"/>
      <c r="R1167" s="772"/>
      <c r="S1167" s="772"/>
      <c r="T1167" s="773"/>
      <c r="AW1167" s="2510"/>
      <c r="BC1167" s="2510"/>
      <c r="BD1167" s="2510"/>
      <c r="BE1167" s="2173"/>
      <c r="BF1167" s="2173"/>
      <c r="BG1167" s="2173"/>
      <c r="BH1167" s="2173"/>
      <c r="BI1167" s="2173"/>
      <c r="BJ1167" s="2173"/>
      <c r="BK1167" s="2173"/>
      <c r="DB1167" s="773"/>
      <c r="DC1167" s="773"/>
      <c r="DD1167" s="773"/>
      <c r="DE1167" s="773"/>
      <c r="DF1167" s="773"/>
      <c r="DG1167" s="773"/>
      <c r="DH1167" s="773"/>
      <c r="DI1167" s="773"/>
      <c r="DJ1167" s="773"/>
      <c r="DK1167" s="773"/>
      <c r="DL1167" s="773"/>
      <c r="DM1167" s="773"/>
      <c r="DN1167" s="773"/>
      <c r="DO1167" s="773"/>
      <c r="DP1167" s="773"/>
      <c r="DQ1167" s="773"/>
      <c r="DR1167" s="773"/>
      <c r="DS1167" s="773"/>
      <c r="DT1167" s="773"/>
      <c r="DU1167" s="773"/>
      <c r="DV1167" s="773"/>
      <c r="DW1167" s="773"/>
      <c r="DX1167" s="773"/>
      <c r="DY1167" s="773"/>
      <c r="DZ1167" s="773"/>
      <c r="EA1167" s="773"/>
      <c r="EB1167" s="773"/>
      <c r="EC1167" s="773"/>
      <c r="ED1167" s="773"/>
      <c r="EE1167" s="773"/>
      <c r="EF1167" s="773"/>
      <c r="EG1167" s="773"/>
      <c r="EH1167" s="773"/>
      <c r="EI1167" s="773"/>
      <c r="EJ1167" s="773"/>
      <c r="EK1167" s="773"/>
      <c r="EL1167" s="773"/>
      <c r="EM1167" s="773"/>
      <c r="EN1167" s="773"/>
      <c r="EO1167" s="773"/>
      <c r="EP1167" s="773"/>
      <c r="EQ1167" s="773"/>
      <c r="ER1167" s="773"/>
      <c r="ES1167" s="773"/>
      <c r="ET1167" s="773"/>
      <c r="EU1167" s="773"/>
      <c r="EV1167" s="773"/>
      <c r="EW1167" s="773"/>
      <c r="EX1167" s="773"/>
      <c r="EY1167" s="773"/>
      <c r="EZ1167" s="773"/>
      <c r="FA1167" s="773"/>
      <c r="FB1167" s="773"/>
      <c r="FC1167" s="773"/>
      <c r="FD1167" s="773"/>
      <c r="FE1167" s="773"/>
      <c r="FF1167" s="773"/>
      <c r="FG1167" s="773"/>
      <c r="FH1167" s="773"/>
      <c r="FI1167" s="773"/>
      <c r="FJ1167" s="773"/>
      <c r="FK1167" s="773"/>
      <c r="FL1167" s="773"/>
      <c r="FM1167" s="773"/>
      <c r="FN1167" s="773"/>
      <c r="FO1167" s="773"/>
      <c r="FP1167" s="773"/>
      <c r="FQ1167" s="773"/>
      <c r="FR1167" s="773"/>
      <c r="FS1167" s="773"/>
      <c r="FT1167" s="773"/>
      <c r="FU1167" s="773"/>
      <c r="FV1167" s="773"/>
      <c r="FW1167" s="773"/>
      <c r="FX1167" s="773"/>
      <c r="FY1167" s="773"/>
      <c r="FZ1167" s="773"/>
      <c r="GA1167" s="773"/>
      <c r="GB1167" s="773"/>
      <c r="GC1167" s="773"/>
      <c r="GD1167" s="773"/>
      <c r="GE1167" s="773"/>
      <c r="GF1167" s="773"/>
      <c r="GG1167" s="773"/>
      <c r="GH1167" s="773"/>
      <c r="GI1167" s="773"/>
      <c r="GJ1167" s="773"/>
      <c r="GK1167" s="773"/>
      <c r="GL1167" s="773"/>
      <c r="GM1167" s="773"/>
      <c r="GN1167" s="773"/>
      <c r="GO1167" s="773"/>
      <c r="GP1167" s="773"/>
      <c r="GQ1167" s="773"/>
      <c r="GR1167" s="773"/>
      <c r="GS1167" s="773"/>
      <c r="GT1167" s="773"/>
      <c r="GU1167" s="773"/>
      <c r="GV1167" s="773"/>
      <c r="GW1167" s="773"/>
      <c r="GX1167" s="773"/>
      <c r="GY1167" s="773"/>
      <c r="GZ1167" s="773"/>
    </row>
    <row r="1168" spans="1:208" s="11" customFormat="1">
      <c r="A1168" s="917"/>
      <c r="B1168" s="918"/>
      <c r="C1168" s="767"/>
      <c r="D1168" s="173"/>
      <c r="E1168" s="769"/>
      <c r="F1168" s="769"/>
      <c r="G1168" s="769"/>
      <c r="H1168" s="769"/>
      <c r="I1168" s="769"/>
      <c r="J1168" s="769"/>
      <c r="K1168" s="209"/>
      <c r="M1168" s="771"/>
      <c r="N1168" s="772"/>
      <c r="O1168" s="772"/>
      <c r="P1168" s="772"/>
      <c r="Q1168" s="772"/>
      <c r="R1168" s="772"/>
      <c r="S1168" s="772"/>
      <c r="T1168" s="773"/>
      <c r="AW1168" s="2510"/>
      <c r="BC1168" s="2510"/>
      <c r="BD1168" s="2510"/>
      <c r="BE1168" s="2173"/>
      <c r="BF1168" s="2173"/>
      <c r="BG1168" s="2173"/>
      <c r="BH1168" s="2173"/>
      <c r="BI1168" s="2173"/>
      <c r="BJ1168" s="2173"/>
      <c r="BK1168" s="2173"/>
      <c r="DB1168" s="773"/>
      <c r="DC1168" s="773"/>
      <c r="DD1168" s="773"/>
      <c r="DE1168" s="773"/>
      <c r="DF1168" s="773"/>
      <c r="DG1168" s="773"/>
      <c r="DH1168" s="773"/>
      <c r="DI1168" s="773"/>
      <c r="DJ1168" s="773"/>
      <c r="DK1168" s="773"/>
      <c r="DL1168" s="773"/>
      <c r="DM1168" s="773"/>
      <c r="DN1168" s="773"/>
      <c r="DO1168" s="773"/>
      <c r="DP1168" s="773"/>
      <c r="DQ1168" s="773"/>
      <c r="DR1168" s="773"/>
      <c r="DS1168" s="773"/>
      <c r="DT1168" s="773"/>
      <c r="DU1168" s="773"/>
      <c r="DV1168" s="773"/>
      <c r="DW1168" s="773"/>
      <c r="DX1168" s="773"/>
      <c r="DY1168" s="773"/>
      <c r="DZ1168" s="773"/>
      <c r="EA1168" s="773"/>
      <c r="EB1168" s="773"/>
      <c r="EC1168" s="773"/>
      <c r="ED1168" s="773"/>
      <c r="EE1168" s="773"/>
      <c r="EF1168" s="773"/>
      <c r="EG1168" s="773"/>
      <c r="EH1168" s="773"/>
      <c r="EI1168" s="773"/>
      <c r="EJ1168" s="773"/>
      <c r="EK1168" s="773"/>
      <c r="EL1168" s="773"/>
      <c r="EM1168" s="773"/>
      <c r="EN1168" s="773"/>
      <c r="EO1168" s="773"/>
      <c r="EP1168" s="773"/>
      <c r="EQ1168" s="773"/>
      <c r="ER1168" s="773"/>
      <c r="ES1168" s="773"/>
      <c r="ET1168" s="773"/>
      <c r="EU1168" s="773"/>
      <c r="EV1168" s="773"/>
      <c r="EW1168" s="773"/>
      <c r="EX1168" s="773"/>
      <c r="EY1168" s="773"/>
      <c r="EZ1168" s="773"/>
      <c r="FA1168" s="773"/>
      <c r="FB1168" s="773"/>
      <c r="FC1168" s="773"/>
      <c r="FD1168" s="773"/>
      <c r="FE1168" s="773"/>
      <c r="FF1168" s="773"/>
      <c r="FG1168" s="773"/>
      <c r="FH1168" s="773"/>
      <c r="FI1168" s="773"/>
      <c r="FJ1168" s="773"/>
      <c r="FK1168" s="773"/>
      <c r="FL1168" s="773"/>
      <c r="FM1168" s="773"/>
      <c r="FN1168" s="773"/>
      <c r="FO1168" s="773"/>
      <c r="FP1168" s="773"/>
      <c r="FQ1168" s="773"/>
      <c r="FR1168" s="773"/>
      <c r="FS1168" s="773"/>
      <c r="FT1168" s="773"/>
      <c r="FU1168" s="773"/>
      <c r="FV1168" s="773"/>
      <c r="FW1168" s="773"/>
      <c r="FX1168" s="773"/>
      <c r="FY1168" s="773"/>
      <c r="FZ1168" s="773"/>
      <c r="GA1168" s="773"/>
      <c r="GB1168" s="773"/>
      <c r="GC1168" s="773"/>
      <c r="GD1168" s="773"/>
      <c r="GE1168" s="773"/>
      <c r="GF1168" s="773"/>
      <c r="GG1168" s="773"/>
      <c r="GH1168" s="773"/>
      <c r="GI1168" s="773"/>
      <c r="GJ1168" s="773"/>
      <c r="GK1168" s="773"/>
      <c r="GL1168" s="773"/>
      <c r="GM1168" s="773"/>
      <c r="GN1168" s="773"/>
      <c r="GO1168" s="773"/>
      <c r="GP1168" s="773"/>
      <c r="GQ1168" s="773"/>
      <c r="GR1168" s="773"/>
      <c r="GS1168" s="773"/>
      <c r="GT1168" s="773"/>
      <c r="GU1168" s="773"/>
      <c r="GV1168" s="773"/>
      <c r="GW1168" s="773"/>
      <c r="GX1168" s="773"/>
      <c r="GY1168" s="773"/>
      <c r="GZ1168" s="773"/>
    </row>
    <row r="1169" spans="1:208" s="11" customFormat="1">
      <c r="A1169" s="917"/>
      <c r="B1169" s="918"/>
      <c r="C1169" s="767"/>
      <c r="D1169" s="173"/>
      <c r="E1169" s="769"/>
      <c r="F1169" s="769"/>
      <c r="G1169" s="769"/>
      <c r="H1169" s="769"/>
      <c r="I1169" s="769"/>
      <c r="J1169" s="769"/>
      <c r="K1169" s="209"/>
      <c r="M1169" s="771"/>
      <c r="N1169" s="772"/>
      <c r="O1169" s="772"/>
      <c r="P1169" s="772"/>
      <c r="Q1169" s="772"/>
      <c r="R1169" s="772"/>
      <c r="S1169" s="772"/>
      <c r="T1169" s="773"/>
      <c r="AW1169" s="2510"/>
      <c r="BC1169" s="2510"/>
      <c r="BD1169" s="2510"/>
      <c r="BE1169" s="2173"/>
      <c r="BF1169" s="2173"/>
      <c r="BG1169" s="2173"/>
      <c r="BH1169" s="2173"/>
      <c r="BI1169" s="2173"/>
      <c r="BJ1169" s="2173"/>
      <c r="BK1169" s="2173"/>
      <c r="DB1169" s="773"/>
      <c r="DC1169" s="773"/>
      <c r="DD1169" s="773"/>
      <c r="DE1169" s="773"/>
      <c r="DF1169" s="773"/>
      <c r="DG1169" s="773"/>
      <c r="DH1169" s="773"/>
      <c r="DI1169" s="773"/>
      <c r="DJ1169" s="773"/>
      <c r="DK1169" s="773"/>
      <c r="DL1169" s="773"/>
      <c r="DM1169" s="773"/>
      <c r="DN1169" s="773"/>
      <c r="DO1169" s="773"/>
      <c r="DP1169" s="773"/>
      <c r="DQ1169" s="773"/>
      <c r="DR1169" s="773"/>
      <c r="DS1169" s="773"/>
      <c r="DT1169" s="773"/>
      <c r="DU1169" s="773"/>
      <c r="DV1169" s="773"/>
      <c r="DW1169" s="773"/>
      <c r="DX1169" s="773"/>
      <c r="DY1169" s="773"/>
      <c r="DZ1169" s="773"/>
      <c r="EA1169" s="773"/>
      <c r="EB1169" s="773"/>
      <c r="EC1169" s="773"/>
      <c r="ED1169" s="773"/>
      <c r="EE1169" s="773"/>
      <c r="EF1169" s="773"/>
      <c r="EG1169" s="773"/>
      <c r="EH1169" s="773"/>
      <c r="EI1169" s="773"/>
      <c r="EJ1169" s="773"/>
      <c r="EK1169" s="773"/>
      <c r="EL1169" s="773"/>
      <c r="EM1169" s="773"/>
      <c r="EN1169" s="773"/>
      <c r="EO1169" s="773"/>
      <c r="EP1169" s="773"/>
      <c r="EQ1169" s="773"/>
      <c r="ER1169" s="773"/>
      <c r="ES1169" s="773"/>
      <c r="ET1169" s="773"/>
      <c r="EU1169" s="773"/>
      <c r="EV1169" s="773"/>
      <c r="EW1169" s="773"/>
      <c r="EX1169" s="773"/>
      <c r="EY1169" s="773"/>
      <c r="EZ1169" s="773"/>
      <c r="FA1169" s="773"/>
      <c r="FB1169" s="773"/>
      <c r="FC1169" s="773"/>
      <c r="FD1169" s="773"/>
      <c r="FE1169" s="773"/>
      <c r="FF1169" s="773"/>
      <c r="FG1169" s="773"/>
      <c r="FH1169" s="773"/>
      <c r="FI1169" s="773"/>
      <c r="FJ1169" s="773"/>
      <c r="FK1169" s="773"/>
      <c r="FL1169" s="773"/>
      <c r="FM1169" s="773"/>
      <c r="FN1169" s="773"/>
      <c r="FO1169" s="773"/>
      <c r="FP1169" s="773"/>
      <c r="FQ1169" s="773"/>
      <c r="FR1169" s="773"/>
      <c r="FS1169" s="773"/>
      <c r="FT1169" s="773"/>
      <c r="FU1169" s="773"/>
      <c r="FV1169" s="773"/>
      <c r="FW1169" s="773"/>
      <c r="FX1169" s="773"/>
      <c r="FY1169" s="773"/>
      <c r="FZ1169" s="773"/>
      <c r="GA1169" s="773"/>
      <c r="GB1169" s="773"/>
      <c r="GC1169" s="773"/>
      <c r="GD1169" s="773"/>
      <c r="GE1169" s="773"/>
      <c r="GF1169" s="773"/>
      <c r="GG1169" s="773"/>
      <c r="GH1169" s="773"/>
      <c r="GI1169" s="773"/>
      <c r="GJ1169" s="773"/>
      <c r="GK1169" s="773"/>
      <c r="GL1169" s="773"/>
      <c r="GM1169" s="773"/>
      <c r="GN1169" s="773"/>
      <c r="GO1169" s="773"/>
      <c r="GP1169" s="773"/>
      <c r="GQ1169" s="773"/>
      <c r="GR1169" s="773"/>
      <c r="GS1169" s="773"/>
      <c r="GT1169" s="773"/>
      <c r="GU1169" s="773"/>
      <c r="GV1169" s="773"/>
      <c r="GW1169" s="773"/>
      <c r="GX1169" s="773"/>
      <c r="GY1169" s="773"/>
      <c r="GZ1169" s="773"/>
    </row>
    <row r="1170" spans="1:208" s="11" customFormat="1">
      <c r="A1170" s="917"/>
      <c r="B1170" s="918"/>
      <c r="C1170" s="767"/>
      <c r="D1170" s="173"/>
      <c r="E1170" s="769"/>
      <c r="F1170" s="769"/>
      <c r="G1170" s="769"/>
      <c r="H1170" s="769"/>
      <c r="I1170" s="769"/>
      <c r="J1170" s="769"/>
      <c r="K1170" s="209"/>
      <c r="M1170" s="771"/>
      <c r="N1170" s="772"/>
      <c r="O1170" s="772"/>
      <c r="P1170" s="772"/>
      <c r="Q1170" s="772"/>
      <c r="R1170" s="772"/>
      <c r="S1170" s="772"/>
      <c r="T1170" s="773"/>
      <c r="AW1170" s="2510"/>
      <c r="BC1170" s="2510"/>
      <c r="BD1170" s="2510"/>
      <c r="BE1170" s="2173"/>
      <c r="BF1170" s="2173"/>
      <c r="BG1170" s="2173"/>
      <c r="BH1170" s="2173"/>
      <c r="BI1170" s="2173"/>
      <c r="BJ1170" s="2173"/>
      <c r="BK1170" s="2173"/>
      <c r="DB1170" s="773"/>
      <c r="DC1170" s="773"/>
      <c r="DD1170" s="773"/>
      <c r="DE1170" s="773"/>
      <c r="DF1170" s="773"/>
      <c r="DG1170" s="773"/>
      <c r="DH1170" s="773"/>
      <c r="DI1170" s="773"/>
      <c r="DJ1170" s="773"/>
      <c r="DK1170" s="773"/>
      <c r="DL1170" s="773"/>
      <c r="DM1170" s="773"/>
      <c r="DN1170" s="773"/>
      <c r="DO1170" s="773"/>
      <c r="DP1170" s="773"/>
      <c r="DQ1170" s="773"/>
      <c r="DR1170" s="773"/>
      <c r="DS1170" s="773"/>
      <c r="DT1170" s="773"/>
      <c r="DU1170" s="773"/>
      <c r="DV1170" s="773"/>
      <c r="DW1170" s="773"/>
      <c r="DX1170" s="773"/>
      <c r="DY1170" s="773"/>
      <c r="DZ1170" s="773"/>
      <c r="EA1170" s="773"/>
      <c r="EB1170" s="773"/>
      <c r="EC1170" s="773"/>
      <c r="ED1170" s="773"/>
      <c r="EE1170" s="773"/>
      <c r="EF1170" s="773"/>
      <c r="EG1170" s="773"/>
      <c r="EH1170" s="773"/>
      <c r="EI1170" s="773"/>
      <c r="EJ1170" s="773"/>
      <c r="EK1170" s="773"/>
      <c r="EL1170" s="773"/>
      <c r="EM1170" s="773"/>
      <c r="EN1170" s="773"/>
      <c r="EO1170" s="773"/>
      <c r="EP1170" s="773"/>
      <c r="EQ1170" s="773"/>
      <c r="ER1170" s="773"/>
      <c r="ES1170" s="773"/>
      <c r="ET1170" s="773"/>
      <c r="EU1170" s="773"/>
      <c r="EV1170" s="773"/>
      <c r="EW1170" s="773"/>
      <c r="EX1170" s="773"/>
      <c r="EY1170" s="773"/>
      <c r="EZ1170" s="773"/>
      <c r="FA1170" s="773"/>
      <c r="FB1170" s="773"/>
      <c r="FC1170" s="773"/>
      <c r="FD1170" s="773"/>
      <c r="FE1170" s="773"/>
      <c r="FF1170" s="773"/>
      <c r="FG1170" s="773"/>
      <c r="FH1170" s="773"/>
      <c r="FI1170" s="773"/>
      <c r="FJ1170" s="773"/>
      <c r="FK1170" s="773"/>
      <c r="FL1170" s="773"/>
      <c r="FM1170" s="773"/>
      <c r="FN1170" s="773"/>
      <c r="FO1170" s="773"/>
      <c r="FP1170" s="773"/>
      <c r="FQ1170" s="773"/>
      <c r="FR1170" s="773"/>
      <c r="FS1170" s="773"/>
      <c r="FT1170" s="773"/>
      <c r="FU1170" s="773"/>
      <c r="FV1170" s="773"/>
      <c r="FW1170" s="773"/>
      <c r="FX1170" s="773"/>
      <c r="FY1170" s="773"/>
      <c r="FZ1170" s="773"/>
      <c r="GA1170" s="773"/>
      <c r="GB1170" s="773"/>
      <c r="GC1170" s="773"/>
      <c r="GD1170" s="773"/>
      <c r="GE1170" s="773"/>
      <c r="GF1170" s="773"/>
      <c r="GG1170" s="773"/>
      <c r="GH1170" s="773"/>
      <c r="GI1170" s="773"/>
      <c r="GJ1170" s="773"/>
      <c r="GK1170" s="773"/>
      <c r="GL1170" s="773"/>
      <c r="GM1170" s="773"/>
      <c r="GN1170" s="773"/>
      <c r="GO1170" s="773"/>
      <c r="GP1170" s="773"/>
      <c r="GQ1170" s="773"/>
      <c r="GR1170" s="773"/>
      <c r="GS1170" s="773"/>
      <c r="GT1170" s="773"/>
      <c r="GU1170" s="773"/>
      <c r="GV1170" s="773"/>
      <c r="GW1170" s="773"/>
      <c r="GX1170" s="773"/>
      <c r="GY1170" s="773"/>
      <c r="GZ1170" s="773"/>
    </row>
    <row r="1171" spans="1:208" s="11" customFormat="1">
      <c r="A1171" s="917"/>
      <c r="B1171" s="918"/>
      <c r="C1171" s="767"/>
      <c r="D1171" s="173"/>
      <c r="E1171" s="769"/>
      <c r="F1171" s="769"/>
      <c r="G1171" s="769"/>
      <c r="H1171" s="769"/>
      <c r="I1171" s="769"/>
      <c r="J1171" s="769"/>
      <c r="K1171" s="209"/>
      <c r="M1171" s="771"/>
      <c r="N1171" s="772"/>
      <c r="O1171" s="772"/>
      <c r="P1171" s="772"/>
      <c r="Q1171" s="772"/>
      <c r="R1171" s="772"/>
      <c r="S1171" s="772"/>
      <c r="T1171" s="773"/>
      <c r="AW1171" s="2510"/>
      <c r="BC1171" s="2510"/>
      <c r="BD1171" s="2510"/>
      <c r="BE1171" s="2173"/>
      <c r="BF1171" s="2173"/>
      <c r="BG1171" s="2173"/>
      <c r="BH1171" s="2173"/>
      <c r="BI1171" s="2173"/>
      <c r="BJ1171" s="2173"/>
      <c r="BK1171" s="2173"/>
      <c r="DB1171" s="773"/>
      <c r="DC1171" s="773"/>
      <c r="DD1171" s="773"/>
      <c r="DE1171" s="773"/>
      <c r="DF1171" s="773"/>
      <c r="DG1171" s="773"/>
      <c r="DH1171" s="773"/>
      <c r="DI1171" s="773"/>
      <c r="DJ1171" s="773"/>
      <c r="DK1171" s="773"/>
      <c r="DL1171" s="773"/>
      <c r="DM1171" s="773"/>
      <c r="DN1171" s="773"/>
      <c r="DO1171" s="773"/>
      <c r="DP1171" s="773"/>
      <c r="DQ1171" s="773"/>
      <c r="DR1171" s="773"/>
      <c r="DS1171" s="773"/>
      <c r="DT1171" s="773"/>
      <c r="DU1171" s="773"/>
      <c r="DV1171" s="773"/>
      <c r="DW1171" s="773"/>
      <c r="DX1171" s="773"/>
      <c r="DY1171" s="773"/>
      <c r="DZ1171" s="773"/>
      <c r="EA1171" s="773"/>
      <c r="EB1171" s="773"/>
      <c r="EC1171" s="773"/>
      <c r="ED1171" s="773"/>
      <c r="EE1171" s="773"/>
      <c r="EF1171" s="773"/>
      <c r="EG1171" s="773"/>
      <c r="EH1171" s="773"/>
      <c r="EI1171" s="773"/>
      <c r="EJ1171" s="773"/>
      <c r="EK1171" s="773"/>
      <c r="EL1171" s="773"/>
      <c r="EM1171" s="773"/>
      <c r="EN1171" s="773"/>
      <c r="EO1171" s="773"/>
      <c r="EP1171" s="773"/>
      <c r="EQ1171" s="773"/>
      <c r="ER1171" s="773"/>
      <c r="ES1171" s="773"/>
      <c r="ET1171" s="773"/>
      <c r="EU1171" s="773"/>
      <c r="EV1171" s="773"/>
      <c r="EW1171" s="773"/>
      <c r="EX1171" s="773"/>
      <c r="EY1171" s="773"/>
      <c r="EZ1171" s="773"/>
      <c r="FA1171" s="773"/>
      <c r="FB1171" s="773"/>
      <c r="FC1171" s="773"/>
      <c r="FD1171" s="773"/>
      <c r="FE1171" s="773"/>
      <c r="FF1171" s="773"/>
      <c r="FG1171" s="773"/>
      <c r="FH1171" s="773"/>
      <c r="FI1171" s="773"/>
      <c r="FJ1171" s="773"/>
      <c r="FK1171" s="773"/>
      <c r="FL1171" s="773"/>
      <c r="FM1171" s="773"/>
      <c r="FN1171" s="773"/>
      <c r="FO1171" s="773"/>
      <c r="FP1171" s="773"/>
      <c r="FQ1171" s="773"/>
      <c r="FR1171" s="773"/>
      <c r="FS1171" s="773"/>
      <c r="FT1171" s="773"/>
      <c r="FU1171" s="773"/>
      <c r="FV1171" s="773"/>
      <c r="FW1171" s="773"/>
      <c r="FX1171" s="773"/>
      <c r="FY1171" s="773"/>
      <c r="FZ1171" s="773"/>
      <c r="GA1171" s="773"/>
      <c r="GB1171" s="773"/>
      <c r="GC1171" s="773"/>
      <c r="GD1171" s="773"/>
      <c r="GE1171" s="773"/>
      <c r="GF1171" s="773"/>
      <c r="GG1171" s="773"/>
      <c r="GH1171" s="773"/>
      <c r="GI1171" s="773"/>
      <c r="GJ1171" s="773"/>
      <c r="GK1171" s="773"/>
      <c r="GL1171" s="773"/>
      <c r="GM1171" s="773"/>
      <c r="GN1171" s="773"/>
      <c r="GO1171" s="773"/>
      <c r="GP1171" s="773"/>
      <c r="GQ1171" s="773"/>
      <c r="GR1171" s="773"/>
      <c r="GS1171" s="773"/>
      <c r="GT1171" s="773"/>
      <c r="GU1171" s="773"/>
      <c r="GV1171" s="773"/>
      <c r="GW1171" s="773"/>
      <c r="GX1171" s="773"/>
      <c r="GY1171" s="773"/>
      <c r="GZ1171" s="773"/>
    </row>
    <row r="1172" spans="1:208" s="11" customFormat="1">
      <c r="A1172" s="917"/>
      <c r="B1172" s="918"/>
      <c r="C1172" s="767"/>
      <c r="D1172" s="173"/>
      <c r="E1172" s="769"/>
      <c r="F1172" s="769"/>
      <c r="G1172" s="769"/>
      <c r="H1172" s="769"/>
      <c r="I1172" s="769"/>
      <c r="J1172" s="769"/>
      <c r="K1172" s="209"/>
      <c r="M1172" s="771"/>
      <c r="N1172" s="772"/>
      <c r="O1172" s="772"/>
      <c r="P1172" s="772"/>
      <c r="Q1172" s="772"/>
      <c r="R1172" s="772"/>
      <c r="S1172" s="772"/>
      <c r="T1172" s="773"/>
      <c r="AW1172" s="2510"/>
      <c r="BC1172" s="2510"/>
      <c r="BD1172" s="2510"/>
      <c r="BE1172" s="2173"/>
      <c r="BF1172" s="2173"/>
      <c r="BG1172" s="2173"/>
      <c r="BH1172" s="2173"/>
      <c r="BI1172" s="2173"/>
      <c r="BJ1172" s="2173"/>
      <c r="BK1172" s="2173"/>
      <c r="DB1172" s="773"/>
      <c r="DC1172" s="773"/>
      <c r="DD1172" s="773"/>
      <c r="DE1172" s="773"/>
      <c r="DF1172" s="773"/>
      <c r="DG1172" s="773"/>
      <c r="DH1172" s="773"/>
      <c r="DI1172" s="773"/>
      <c r="DJ1172" s="773"/>
      <c r="DK1172" s="773"/>
      <c r="DL1172" s="773"/>
      <c r="DM1172" s="773"/>
      <c r="DN1172" s="773"/>
      <c r="DO1172" s="773"/>
      <c r="DP1172" s="773"/>
      <c r="DQ1172" s="773"/>
      <c r="DR1172" s="773"/>
      <c r="DS1172" s="773"/>
      <c r="DT1172" s="773"/>
      <c r="DU1172" s="773"/>
      <c r="DV1172" s="773"/>
      <c r="DW1172" s="773"/>
      <c r="DX1172" s="773"/>
      <c r="DY1172" s="773"/>
      <c r="DZ1172" s="773"/>
      <c r="EA1172" s="773"/>
      <c r="EB1172" s="773"/>
      <c r="EC1172" s="773"/>
      <c r="ED1172" s="773"/>
      <c r="EE1172" s="773"/>
      <c r="EF1172" s="773"/>
      <c r="EG1172" s="773"/>
      <c r="EH1172" s="773"/>
      <c r="EI1172" s="773"/>
      <c r="EJ1172" s="773"/>
      <c r="EK1172" s="773"/>
      <c r="EL1172" s="773"/>
      <c r="EM1172" s="773"/>
      <c r="EN1172" s="773"/>
      <c r="EO1172" s="773"/>
      <c r="EP1172" s="773"/>
      <c r="EQ1172" s="773"/>
      <c r="ER1172" s="773"/>
      <c r="ES1172" s="773"/>
      <c r="ET1172" s="773"/>
      <c r="EU1172" s="773"/>
      <c r="EV1172" s="773"/>
      <c r="EW1172" s="773"/>
      <c r="EX1172" s="773"/>
      <c r="EY1172" s="773"/>
      <c r="EZ1172" s="773"/>
      <c r="FA1172" s="773"/>
      <c r="FB1172" s="773"/>
      <c r="FC1172" s="773"/>
      <c r="FD1172" s="773"/>
      <c r="FE1172" s="773"/>
      <c r="FF1172" s="773"/>
      <c r="FG1172" s="773"/>
      <c r="FH1172" s="773"/>
      <c r="FI1172" s="773"/>
      <c r="FJ1172" s="773"/>
      <c r="FK1172" s="773"/>
      <c r="FL1172" s="773"/>
      <c r="FM1172" s="773"/>
      <c r="FN1172" s="773"/>
      <c r="FO1172" s="773"/>
      <c r="FP1172" s="773"/>
      <c r="FQ1172" s="773"/>
      <c r="FR1172" s="773"/>
      <c r="FS1172" s="773"/>
      <c r="FT1172" s="773"/>
      <c r="FU1172" s="773"/>
      <c r="FV1172" s="773"/>
      <c r="FW1172" s="773"/>
      <c r="FX1172" s="773"/>
      <c r="FY1172" s="773"/>
      <c r="FZ1172" s="773"/>
      <c r="GA1172" s="773"/>
      <c r="GB1172" s="773"/>
      <c r="GC1172" s="773"/>
      <c r="GD1172" s="773"/>
      <c r="GE1172" s="773"/>
      <c r="GF1172" s="773"/>
      <c r="GG1172" s="773"/>
      <c r="GH1172" s="773"/>
      <c r="GI1172" s="773"/>
      <c r="GJ1172" s="773"/>
      <c r="GK1172" s="773"/>
      <c r="GL1172" s="773"/>
      <c r="GM1172" s="773"/>
      <c r="GN1172" s="773"/>
      <c r="GO1172" s="773"/>
      <c r="GP1172" s="773"/>
      <c r="GQ1172" s="773"/>
      <c r="GR1172" s="773"/>
      <c r="GS1172" s="773"/>
      <c r="GT1172" s="773"/>
      <c r="GU1172" s="773"/>
      <c r="GV1172" s="773"/>
      <c r="GW1172" s="773"/>
      <c r="GX1172" s="773"/>
      <c r="GY1172" s="773"/>
      <c r="GZ1172" s="773"/>
    </row>
    <row r="1173" spans="1:208" s="11" customFormat="1">
      <c r="A1173" s="917"/>
      <c r="B1173" s="918"/>
      <c r="C1173" s="767"/>
      <c r="D1173" s="173"/>
      <c r="E1173" s="769"/>
      <c r="F1173" s="769"/>
      <c r="G1173" s="769"/>
      <c r="H1173" s="769"/>
      <c r="I1173" s="769"/>
      <c r="J1173" s="769"/>
      <c r="K1173" s="209"/>
      <c r="M1173" s="771"/>
      <c r="N1173" s="772"/>
      <c r="O1173" s="772"/>
      <c r="P1173" s="772"/>
      <c r="Q1173" s="772"/>
      <c r="R1173" s="772"/>
      <c r="S1173" s="772"/>
      <c r="T1173" s="773"/>
      <c r="AW1173" s="2510"/>
      <c r="BC1173" s="2510"/>
      <c r="BD1173" s="2510"/>
      <c r="BE1173" s="2173"/>
      <c r="BF1173" s="2173"/>
      <c r="BG1173" s="2173"/>
      <c r="BH1173" s="2173"/>
      <c r="BI1173" s="2173"/>
      <c r="BJ1173" s="2173"/>
      <c r="BK1173" s="2173"/>
      <c r="DB1173" s="773"/>
      <c r="DC1173" s="773"/>
      <c r="DD1173" s="773"/>
      <c r="DE1173" s="773"/>
      <c r="DF1173" s="773"/>
      <c r="DG1173" s="773"/>
      <c r="DH1173" s="773"/>
      <c r="DI1173" s="773"/>
      <c r="DJ1173" s="773"/>
      <c r="DK1173" s="773"/>
      <c r="DL1173" s="773"/>
      <c r="DM1173" s="773"/>
      <c r="DN1173" s="773"/>
      <c r="DO1173" s="773"/>
      <c r="DP1173" s="773"/>
      <c r="DQ1173" s="773"/>
      <c r="DR1173" s="773"/>
      <c r="DS1173" s="773"/>
      <c r="DT1173" s="773"/>
      <c r="DU1173" s="773"/>
      <c r="DV1173" s="773"/>
      <c r="DW1173" s="773"/>
      <c r="DX1173" s="773"/>
      <c r="DY1173" s="773"/>
      <c r="DZ1173" s="773"/>
      <c r="EA1173" s="773"/>
      <c r="EB1173" s="773"/>
      <c r="EC1173" s="773"/>
      <c r="ED1173" s="773"/>
      <c r="EE1173" s="773"/>
      <c r="EF1173" s="773"/>
      <c r="EG1173" s="773"/>
      <c r="EH1173" s="773"/>
      <c r="EI1173" s="773"/>
      <c r="EJ1173" s="773"/>
      <c r="EK1173" s="773"/>
      <c r="EL1173" s="773"/>
      <c r="EM1173" s="773"/>
      <c r="EN1173" s="773"/>
      <c r="EO1173" s="773"/>
      <c r="EP1173" s="773"/>
      <c r="EQ1173" s="773"/>
      <c r="ER1173" s="773"/>
      <c r="ES1173" s="773"/>
      <c r="ET1173" s="773"/>
      <c r="EU1173" s="773"/>
      <c r="EV1173" s="773"/>
      <c r="EW1173" s="773"/>
      <c r="EX1173" s="773"/>
      <c r="EY1173" s="773"/>
      <c r="EZ1173" s="773"/>
      <c r="FA1173" s="773"/>
      <c r="FB1173" s="773"/>
      <c r="FC1173" s="773"/>
      <c r="FD1173" s="773"/>
      <c r="FE1173" s="773"/>
      <c r="FF1173" s="773"/>
      <c r="FG1173" s="773"/>
      <c r="FH1173" s="773"/>
      <c r="FI1173" s="773"/>
      <c r="FJ1173" s="773"/>
      <c r="FK1173" s="773"/>
      <c r="FL1173" s="773"/>
      <c r="FM1173" s="773"/>
      <c r="FN1173" s="773"/>
      <c r="FO1173" s="773"/>
      <c r="FP1173" s="773"/>
      <c r="FQ1173" s="773"/>
      <c r="FR1173" s="773"/>
      <c r="FS1173" s="773"/>
      <c r="FT1173" s="773"/>
      <c r="FU1173" s="773"/>
      <c r="FV1173" s="773"/>
      <c r="FW1173" s="773"/>
      <c r="FX1173" s="773"/>
      <c r="FY1173" s="773"/>
      <c r="FZ1173" s="773"/>
      <c r="GA1173" s="773"/>
      <c r="GB1173" s="773"/>
      <c r="GC1173" s="773"/>
      <c r="GD1173" s="773"/>
      <c r="GE1173" s="773"/>
      <c r="GF1173" s="773"/>
      <c r="GG1173" s="773"/>
      <c r="GH1173" s="773"/>
      <c r="GI1173" s="773"/>
      <c r="GJ1173" s="773"/>
      <c r="GK1173" s="773"/>
      <c r="GL1173" s="773"/>
      <c r="GM1173" s="773"/>
      <c r="GN1173" s="773"/>
      <c r="GO1173" s="773"/>
      <c r="GP1173" s="773"/>
      <c r="GQ1173" s="773"/>
      <c r="GR1173" s="773"/>
      <c r="GS1173" s="773"/>
      <c r="GT1173" s="773"/>
      <c r="GU1173" s="773"/>
      <c r="GV1173" s="773"/>
      <c r="GW1173" s="773"/>
      <c r="GX1173" s="773"/>
      <c r="GY1173" s="773"/>
      <c r="GZ1173" s="773"/>
    </row>
    <row r="1174" spans="1:208" s="11" customFormat="1">
      <c r="A1174" s="917"/>
      <c r="B1174" s="918"/>
      <c r="C1174" s="767"/>
      <c r="D1174" s="173"/>
      <c r="E1174" s="769"/>
      <c r="F1174" s="769"/>
      <c r="G1174" s="769"/>
      <c r="H1174" s="769"/>
      <c r="I1174" s="769"/>
      <c r="J1174" s="769"/>
      <c r="K1174" s="209"/>
      <c r="M1174" s="771"/>
      <c r="N1174" s="772"/>
      <c r="O1174" s="772"/>
      <c r="P1174" s="772"/>
      <c r="Q1174" s="772"/>
      <c r="R1174" s="772"/>
      <c r="S1174" s="772"/>
      <c r="T1174" s="773"/>
      <c r="U1174" s="772"/>
      <c r="AW1174" s="2510"/>
      <c r="BC1174" s="2510"/>
      <c r="BD1174" s="2510"/>
      <c r="BE1174" s="2173"/>
      <c r="BF1174" s="2173"/>
      <c r="BG1174" s="2173"/>
      <c r="BH1174" s="2173"/>
      <c r="BI1174" s="2173"/>
      <c r="BJ1174" s="2173"/>
      <c r="BK1174" s="2173"/>
      <c r="DB1174" s="773"/>
      <c r="DC1174" s="773"/>
      <c r="DD1174" s="773"/>
      <c r="DE1174" s="773"/>
      <c r="DF1174" s="773"/>
      <c r="DG1174" s="773"/>
      <c r="DH1174" s="773"/>
      <c r="DI1174" s="773"/>
      <c r="DJ1174" s="773"/>
      <c r="DK1174" s="773"/>
      <c r="DL1174" s="773"/>
      <c r="DM1174" s="773"/>
      <c r="DN1174" s="773"/>
      <c r="DO1174" s="773"/>
      <c r="DP1174" s="773"/>
      <c r="DQ1174" s="773"/>
      <c r="DR1174" s="773"/>
      <c r="DS1174" s="773"/>
      <c r="DT1174" s="773"/>
      <c r="DU1174" s="773"/>
      <c r="DV1174" s="773"/>
      <c r="DW1174" s="773"/>
      <c r="DX1174" s="773"/>
      <c r="DY1174" s="773"/>
      <c r="DZ1174" s="773"/>
      <c r="EA1174" s="773"/>
      <c r="EB1174" s="773"/>
      <c r="EC1174" s="773"/>
      <c r="ED1174" s="773"/>
      <c r="EE1174" s="773"/>
      <c r="EF1174" s="773"/>
      <c r="EG1174" s="773"/>
      <c r="EH1174" s="773"/>
      <c r="EI1174" s="773"/>
      <c r="EJ1174" s="773"/>
      <c r="EK1174" s="773"/>
      <c r="EL1174" s="773"/>
      <c r="EM1174" s="773"/>
      <c r="EN1174" s="773"/>
      <c r="EO1174" s="773"/>
      <c r="EP1174" s="773"/>
      <c r="EQ1174" s="773"/>
      <c r="ER1174" s="773"/>
      <c r="ES1174" s="773"/>
      <c r="ET1174" s="773"/>
      <c r="EU1174" s="773"/>
      <c r="EV1174" s="773"/>
      <c r="EW1174" s="773"/>
      <c r="EX1174" s="773"/>
      <c r="EY1174" s="773"/>
      <c r="EZ1174" s="773"/>
      <c r="FA1174" s="773"/>
      <c r="FB1174" s="773"/>
      <c r="FC1174" s="773"/>
      <c r="FD1174" s="773"/>
      <c r="FE1174" s="773"/>
      <c r="FF1174" s="773"/>
      <c r="FG1174" s="773"/>
      <c r="FH1174" s="773"/>
      <c r="FI1174" s="773"/>
      <c r="FJ1174" s="773"/>
      <c r="FK1174" s="773"/>
      <c r="FL1174" s="773"/>
      <c r="FM1174" s="773"/>
      <c r="FN1174" s="773"/>
      <c r="FO1174" s="773"/>
      <c r="FP1174" s="773"/>
      <c r="FQ1174" s="773"/>
      <c r="FR1174" s="773"/>
      <c r="FS1174" s="773"/>
      <c r="FT1174" s="773"/>
      <c r="FU1174" s="773"/>
      <c r="FV1174" s="773"/>
      <c r="FW1174" s="773"/>
      <c r="FX1174" s="773"/>
      <c r="FY1174" s="773"/>
      <c r="FZ1174" s="773"/>
      <c r="GA1174" s="773"/>
      <c r="GB1174" s="773"/>
      <c r="GC1174" s="773"/>
      <c r="GD1174" s="773"/>
      <c r="GE1174" s="773"/>
      <c r="GF1174" s="773"/>
      <c r="GG1174" s="773"/>
      <c r="GH1174" s="773"/>
      <c r="GI1174" s="773"/>
      <c r="GJ1174" s="773"/>
      <c r="GK1174" s="773"/>
      <c r="GL1174" s="773"/>
      <c r="GM1174" s="773"/>
      <c r="GN1174" s="773"/>
      <c r="GO1174" s="773"/>
      <c r="GP1174" s="773"/>
      <c r="GQ1174" s="773"/>
      <c r="GR1174" s="773"/>
      <c r="GS1174" s="773"/>
      <c r="GT1174" s="773"/>
      <c r="GU1174" s="773"/>
      <c r="GV1174" s="773"/>
      <c r="GW1174" s="773"/>
      <c r="GX1174" s="773"/>
      <c r="GY1174" s="773"/>
      <c r="GZ1174" s="773"/>
    </row>
    <row r="1175" spans="1:208" s="11" customFormat="1">
      <c r="A1175" s="917"/>
      <c r="B1175" s="918"/>
      <c r="C1175" s="767"/>
      <c r="D1175" s="173"/>
      <c r="E1175" s="769"/>
      <c r="F1175" s="769"/>
      <c r="G1175" s="769"/>
      <c r="H1175" s="769"/>
      <c r="I1175" s="769"/>
      <c r="J1175" s="769"/>
      <c r="K1175" s="209"/>
      <c r="M1175" s="771"/>
      <c r="N1175" s="772"/>
      <c r="O1175" s="772"/>
      <c r="P1175" s="772"/>
      <c r="Q1175" s="772"/>
      <c r="R1175" s="772"/>
      <c r="S1175" s="772"/>
      <c r="T1175" s="773"/>
      <c r="U1175" s="772"/>
      <c r="AW1175" s="2510"/>
      <c r="BC1175" s="2510"/>
      <c r="BD1175" s="2510"/>
      <c r="BE1175" s="2173"/>
      <c r="BF1175" s="2173"/>
      <c r="BG1175" s="2173"/>
      <c r="BH1175" s="2173"/>
      <c r="BI1175" s="2173"/>
      <c r="BJ1175" s="2173"/>
      <c r="BK1175" s="2173"/>
      <c r="DB1175" s="773"/>
      <c r="DC1175" s="773"/>
      <c r="DD1175" s="773"/>
      <c r="DE1175" s="773"/>
      <c r="DF1175" s="773"/>
      <c r="DG1175" s="773"/>
      <c r="DH1175" s="773"/>
      <c r="DI1175" s="773"/>
      <c r="DJ1175" s="773"/>
      <c r="DK1175" s="773"/>
      <c r="DL1175" s="773"/>
      <c r="DM1175" s="773"/>
      <c r="DN1175" s="773"/>
      <c r="DO1175" s="773"/>
      <c r="DP1175" s="773"/>
      <c r="DQ1175" s="773"/>
      <c r="DR1175" s="773"/>
      <c r="DS1175" s="773"/>
      <c r="DT1175" s="773"/>
      <c r="DU1175" s="773"/>
      <c r="DV1175" s="773"/>
      <c r="DW1175" s="773"/>
      <c r="DX1175" s="773"/>
      <c r="DY1175" s="773"/>
      <c r="DZ1175" s="773"/>
      <c r="EA1175" s="773"/>
      <c r="EB1175" s="773"/>
      <c r="EC1175" s="773"/>
      <c r="ED1175" s="773"/>
      <c r="EE1175" s="773"/>
      <c r="EF1175" s="773"/>
      <c r="EG1175" s="773"/>
      <c r="EH1175" s="773"/>
      <c r="EI1175" s="773"/>
      <c r="EJ1175" s="773"/>
      <c r="EK1175" s="773"/>
      <c r="EL1175" s="773"/>
      <c r="EM1175" s="773"/>
      <c r="EN1175" s="773"/>
      <c r="EO1175" s="773"/>
      <c r="EP1175" s="773"/>
      <c r="EQ1175" s="773"/>
      <c r="ER1175" s="773"/>
      <c r="ES1175" s="773"/>
      <c r="ET1175" s="773"/>
      <c r="EU1175" s="773"/>
      <c r="EV1175" s="773"/>
      <c r="EW1175" s="773"/>
      <c r="EX1175" s="773"/>
      <c r="EY1175" s="773"/>
      <c r="EZ1175" s="773"/>
      <c r="FA1175" s="773"/>
      <c r="FB1175" s="773"/>
      <c r="FC1175" s="773"/>
      <c r="FD1175" s="773"/>
      <c r="FE1175" s="773"/>
      <c r="FF1175" s="773"/>
      <c r="FG1175" s="773"/>
      <c r="FH1175" s="773"/>
      <c r="FI1175" s="773"/>
      <c r="FJ1175" s="773"/>
      <c r="FK1175" s="773"/>
      <c r="FL1175" s="773"/>
      <c r="FM1175" s="773"/>
      <c r="FN1175" s="773"/>
      <c r="FO1175" s="773"/>
      <c r="FP1175" s="773"/>
      <c r="FQ1175" s="773"/>
      <c r="FR1175" s="773"/>
      <c r="FS1175" s="773"/>
      <c r="FT1175" s="773"/>
      <c r="FU1175" s="773"/>
      <c r="FV1175" s="773"/>
      <c r="FW1175" s="773"/>
      <c r="FX1175" s="773"/>
      <c r="FY1175" s="773"/>
      <c r="FZ1175" s="773"/>
      <c r="GA1175" s="773"/>
      <c r="GB1175" s="773"/>
      <c r="GC1175" s="773"/>
      <c r="GD1175" s="773"/>
      <c r="GE1175" s="773"/>
      <c r="GF1175" s="773"/>
      <c r="GG1175" s="773"/>
      <c r="GH1175" s="773"/>
      <c r="GI1175" s="773"/>
      <c r="GJ1175" s="773"/>
      <c r="GK1175" s="773"/>
      <c r="GL1175" s="773"/>
      <c r="GM1175" s="773"/>
      <c r="GN1175" s="773"/>
      <c r="GO1175" s="773"/>
      <c r="GP1175" s="773"/>
      <c r="GQ1175" s="773"/>
      <c r="GR1175" s="773"/>
      <c r="GS1175" s="773"/>
      <c r="GT1175" s="773"/>
      <c r="GU1175" s="773"/>
      <c r="GV1175" s="773"/>
      <c r="GW1175" s="773"/>
      <c r="GX1175" s="773"/>
      <c r="GY1175" s="773"/>
      <c r="GZ1175" s="773"/>
    </row>
    <row r="1176" spans="1:208" s="11" customFormat="1">
      <c r="A1176" s="917"/>
      <c r="B1176" s="918"/>
      <c r="C1176" s="767"/>
      <c r="D1176" s="173"/>
      <c r="E1176" s="769"/>
      <c r="F1176" s="769"/>
      <c r="G1176" s="769"/>
      <c r="H1176" s="769"/>
      <c r="I1176" s="769"/>
      <c r="J1176" s="769"/>
      <c r="K1176" s="209"/>
      <c r="M1176" s="771"/>
      <c r="N1176" s="772"/>
      <c r="O1176" s="772"/>
      <c r="P1176" s="772"/>
      <c r="Q1176" s="772"/>
      <c r="R1176" s="772"/>
      <c r="S1176" s="772"/>
      <c r="T1176" s="773"/>
      <c r="U1176" s="772"/>
      <c r="AW1176" s="2510"/>
      <c r="BC1176" s="2510"/>
      <c r="BD1176" s="2510"/>
      <c r="BE1176" s="2173"/>
      <c r="BF1176" s="2173"/>
      <c r="BG1176" s="2173"/>
      <c r="BH1176" s="2173"/>
      <c r="BI1176" s="2173"/>
      <c r="BJ1176" s="2173"/>
      <c r="BK1176" s="2173"/>
      <c r="DB1176" s="773"/>
      <c r="DC1176" s="773"/>
      <c r="DD1176" s="773"/>
      <c r="DE1176" s="773"/>
      <c r="DF1176" s="773"/>
      <c r="DG1176" s="773"/>
      <c r="DH1176" s="773"/>
      <c r="DI1176" s="773"/>
      <c r="DJ1176" s="773"/>
      <c r="DK1176" s="773"/>
      <c r="DL1176" s="773"/>
      <c r="DM1176" s="773"/>
      <c r="DN1176" s="773"/>
      <c r="DO1176" s="773"/>
      <c r="DP1176" s="773"/>
      <c r="DQ1176" s="773"/>
      <c r="DR1176" s="773"/>
      <c r="DS1176" s="773"/>
      <c r="DT1176" s="773"/>
      <c r="DU1176" s="773"/>
      <c r="DV1176" s="773"/>
      <c r="DW1176" s="773"/>
      <c r="DX1176" s="773"/>
      <c r="DY1176" s="773"/>
      <c r="DZ1176" s="773"/>
      <c r="EA1176" s="773"/>
      <c r="EB1176" s="773"/>
      <c r="EC1176" s="773"/>
      <c r="ED1176" s="773"/>
      <c r="EE1176" s="773"/>
      <c r="EF1176" s="773"/>
      <c r="EG1176" s="773"/>
      <c r="EH1176" s="773"/>
      <c r="EI1176" s="773"/>
      <c r="EJ1176" s="773"/>
      <c r="EK1176" s="773"/>
      <c r="EL1176" s="773"/>
      <c r="EM1176" s="773"/>
      <c r="EN1176" s="773"/>
      <c r="EO1176" s="773"/>
      <c r="EP1176" s="773"/>
      <c r="EQ1176" s="773"/>
      <c r="ER1176" s="773"/>
      <c r="ES1176" s="773"/>
      <c r="ET1176" s="773"/>
      <c r="EU1176" s="773"/>
      <c r="EV1176" s="773"/>
      <c r="EW1176" s="773"/>
      <c r="EX1176" s="773"/>
      <c r="EY1176" s="773"/>
      <c r="EZ1176" s="773"/>
      <c r="FA1176" s="773"/>
      <c r="FB1176" s="773"/>
      <c r="FC1176" s="773"/>
      <c r="FD1176" s="773"/>
      <c r="FE1176" s="773"/>
      <c r="FF1176" s="773"/>
      <c r="FG1176" s="773"/>
      <c r="FH1176" s="773"/>
      <c r="FI1176" s="773"/>
      <c r="FJ1176" s="773"/>
      <c r="FK1176" s="773"/>
      <c r="FL1176" s="773"/>
      <c r="FM1176" s="773"/>
      <c r="FN1176" s="773"/>
      <c r="FO1176" s="773"/>
      <c r="FP1176" s="773"/>
      <c r="FQ1176" s="773"/>
      <c r="FR1176" s="773"/>
      <c r="FS1176" s="773"/>
      <c r="FT1176" s="773"/>
      <c r="FU1176" s="773"/>
      <c r="FV1176" s="773"/>
      <c r="FW1176" s="773"/>
      <c r="FX1176" s="773"/>
      <c r="FY1176" s="773"/>
      <c r="FZ1176" s="773"/>
      <c r="GA1176" s="773"/>
      <c r="GB1176" s="773"/>
      <c r="GC1176" s="773"/>
      <c r="GD1176" s="773"/>
      <c r="GE1176" s="773"/>
      <c r="GF1176" s="773"/>
      <c r="GG1176" s="773"/>
      <c r="GH1176" s="773"/>
      <c r="GI1176" s="773"/>
      <c r="GJ1176" s="773"/>
      <c r="GK1176" s="773"/>
      <c r="GL1176" s="773"/>
      <c r="GM1176" s="773"/>
      <c r="GN1176" s="773"/>
      <c r="GO1176" s="773"/>
      <c r="GP1176" s="773"/>
      <c r="GQ1176" s="773"/>
      <c r="GR1176" s="773"/>
      <c r="GS1176" s="773"/>
      <c r="GT1176" s="773"/>
      <c r="GU1176" s="773"/>
      <c r="GV1176" s="773"/>
      <c r="GW1176" s="773"/>
      <c r="GX1176" s="773"/>
      <c r="GY1176" s="773"/>
      <c r="GZ1176" s="773"/>
    </row>
    <row r="1177" spans="1:208" s="11" customFormat="1">
      <c r="A1177" s="917"/>
      <c r="B1177" s="918"/>
      <c r="C1177" s="767"/>
      <c r="D1177" s="173"/>
      <c r="E1177" s="769"/>
      <c r="F1177" s="769"/>
      <c r="G1177" s="769"/>
      <c r="H1177" s="769"/>
      <c r="I1177" s="769"/>
      <c r="J1177" s="769"/>
      <c r="K1177" s="209"/>
      <c r="M1177" s="771"/>
      <c r="N1177" s="772"/>
      <c r="O1177" s="772"/>
      <c r="P1177" s="772"/>
      <c r="Q1177" s="772"/>
      <c r="R1177" s="772"/>
      <c r="S1177" s="772"/>
      <c r="T1177" s="773"/>
      <c r="U1177" s="772"/>
      <c r="AW1177" s="2510"/>
      <c r="BC1177" s="2510"/>
      <c r="BD1177" s="2510"/>
      <c r="BE1177" s="2173"/>
      <c r="BF1177" s="2173"/>
      <c r="BG1177" s="2173"/>
      <c r="BH1177" s="2173"/>
      <c r="BI1177" s="2173"/>
      <c r="BJ1177" s="2173"/>
      <c r="BK1177" s="2173"/>
      <c r="DB1177" s="773"/>
      <c r="DC1177" s="773"/>
      <c r="DD1177" s="773"/>
      <c r="DE1177" s="773"/>
      <c r="DF1177" s="773"/>
      <c r="DG1177" s="773"/>
      <c r="DH1177" s="773"/>
      <c r="DI1177" s="773"/>
      <c r="DJ1177" s="773"/>
      <c r="DK1177" s="773"/>
      <c r="DL1177" s="773"/>
      <c r="DM1177" s="773"/>
      <c r="DN1177" s="773"/>
      <c r="DO1177" s="773"/>
      <c r="DP1177" s="773"/>
      <c r="DQ1177" s="773"/>
      <c r="DR1177" s="773"/>
      <c r="DS1177" s="773"/>
      <c r="DT1177" s="773"/>
      <c r="DU1177" s="773"/>
      <c r="DV1177" s="773"/>
      <c r="DW1177" s="773"/>
      <c r="DX1177" s="773"/>
      <c r="DY1177" s="773"/>
      <c r="DZ1177" s="773"/>
      <c r="EA1177" s="773"/>
      <c r="EB1177" s="773"/>
      <c r="EC1177" s="773"/>
      <c r="ED1177" s="773"/>
      <c r="EE1177" s="773"/>
      <c r="EF1177" s="773"/>
      <c r="EG1177" s="773"/>
      <c r="EH1177" s="773"/>
      <c r="EI1177" s="773"/>
      <c r="EJ1177" s="773"/>
      <c r="EK1177" s="773"/>
      <c r="EL1177" s="773"/>
      <c r="EM1177" s="773"/>
      <c r="EN1177" s="773"/>
      <c r="EO1177" s="773"/>
      <c r="EP1177" s="773"/>
      <c r="EQ1177" s="773"/>
      <c r="ER1177" s="773"/>
      <c r="ES1177" s="773"/>
      <c r="ET1177" s="773"/>
      <c r="EU1177" s="773"/>
      <c r="EV1177" s="773"/>
      <c r="EW1177" s="773"/>
      <c r="EX1177" s="773"/>
      <c r="EY1177" s="773"/>
      <c r="EZ1177" s="773"/>
      <c r="FA1177" s="773"/>
      <c r="FB1177" s="773"/>
      <c r="FC1177" s="773"/>
      <c r="FD1177" s="773"/>
      <c r="FE1177" s="773"/>
      <c r="FF1177" s="773"/>
      <c r="FG1177" s="773"/>
      <c r="FH1177" s="773"/>
      <c r="FI1177" s="773"/>
      <c r="FJ1177" s="773"/>
      <c r="FK1177" s="773"/>
      <c r="FL1177" s="773"/>
      <c r="FM1177" s="773"/>
      <c r="FN1177" s="773"/>
      <c r="FO1177" s="773"/>
      <c r="FP1177" s="773"/>
      <c r="FQ1177" s="773"/>
      <c r="FR1177" s="773"/>
      <c r="FS1177" s="773"/>
      <c r="FT1177" s="773"/>
      <c r="FU1177" s="773"/>
      <c r="FV1177" s="773"/>
      <c r="FW1177" s="773"/>
      <c r="FX1177" s="773"/>
      <c r="FY1177" s="773"/>
      <c r="FZ1177" s="773"/>
      <c r="GA1177" s="773"/>
      <c r="GB1177" s="773"/>
      <c r="GC1177" s="773"/>
      <c r="GD1177" s="773"/>
      <c r="GE1177" s="773"/>
      <c r="GF1177" s="773"/>
      <c r="GG1177" s="773"/>
      <c r="GH1177" s="773"/>
      <c r="GI1177" s="773"/>
      <c r="GJ1177" s="773"/>
      <c r="GK1177" s="773"/>
      <c r="GL1177" s="773"/>
      <c r="GM1177" s="773"/>
      <c r="GN1177" s="773"/>
      <c r="GO1177" s="773"/>
      <c r="GP1177" s="773"/>
      <c r="GQ1177" s="773"/>
      <c r="GR1177" s="773"/>
      <c r="GS1177" s="773"/>
      <c r="GT1177" s="773"/>
      <c r="GU1177" s="773"/>
      <c r="GV1177" s="773"/>
      <c r="GW1177" s="773"/>
      <c r="GX1177" s="773"/>
      <c r="GY1177" s="773"/>
      <c r="GZ1177" s="773"/>
    </row>
    <row r="1178" spans="1:208" s="11" customFormat="1">
      <c r="A1178" s="917"/>
      <c r="B1178" s="918"/>
      <c r="C1178" s="767"/>
      <c r="D1178" s="173"/>
      <c r="E1178" s="769"/>
      <c r="F1178" s="769"/>
      <c r="G1178" s="769"/>
      <c r="H1178" s="769"/>
      <c r="I1178" s="769"/>
      <c r="J1178" s="769"/>
      <c r="K1178" s="209"/>
      <c r="M1178" s="771"/>
      <c r="N1178" s="772"/>
      <c r="O1178" s="772"/>
      <c r="P1178" s="772"/>
      <c r="Q1178" s="772"/>
      <c r="R1178" s="772"/>
      <c r="S1178" s="772"/>
      <c r="T1178" s="773"/>
      <c r="U1178" s="772"/>
      <c r="AW1178" s="2510"/>
      <c r="BC1178" s="2510"/>
      <c r="BD1178" s="2510"/>
      <c r="BE1178" s="2173"/>
      <c r="BF1178" s="2173"/>
      <c r="BG1178" s="2173"/>
      <c r="BH1178" s="2173"/>
      <c r="BI1178" s="2173"/>
      <c r="BJ1178" s="2173"/>
      <c r="BK1178" s="2173"/>
      <c r="DB1178" s="773"/>
      <c r="DC1178" s="773"/>
      <c r="DD1178" s="773"/>
      <c r="DE1178" s="773"/>
      <c r="DF1178" s="773"/>
      <c r="DG1178" s="773"/>
      <c r="DH1178" s="773"/>
      <c r="DI1178" s="773"/>
      <c r="DJ1178" s="773"/>
      <c r="DK1178" s="773"/>
      <c r="DL1178" s="773"/>
      <c r="DM1178" s="773"/>
      <c r="DN1178" s="773"/>
      <c r="DO1178" s="773"/>
      <c r="DP1178" s="773"/>
      <c r="DQ1178" s="773"/>
      <c r="DR1178" s="773"/>
      <c r="DS1178" s="773"/>
      <c r="DT1178" s="773"/>
      <c r="DU1178" s="773"/>
      <c r="DV1178" s="773"/>
      <c r="DW1178" s="773"/>
      <c r="DX1178" s="773"/>
      <c r="DY1178" s="773"/>
      <c r="DZ1178" s="773"/>
      <c r="EA1178" s="773"/>
      <c r="EB1178" s="773"/>
      <c r="EC1178" s="773"/>
      <c r="ED1178" s="773"/>
      <c r="EE1178" s="773"/>
      <c r="EF1178" s="773"/>
      <c r="EG1178" s="773"/>
      <c r="EH1178" s="773"/>
      <c r="EI1178" s="773"/>
      <c r="EJ1178" s="773"/>
      <c r="EK1178" s="773"/>
      <c r="EL1178" s="773"/>
      <c r="EM1178" s="773"/>
      <c r="EN1178" s="773"/>
      <c r="EO1178" s="773"/>
      <c r="EP1178" s="773"/>
      <c r="EQ1178" s="773"/>
      <c r="ER1178" s="773"/>
      <c r="ES1178" s="773"/>
      <c r="ET1178" s="773"/>
      <c r="EU1178" s="773"/>
      <c r="EV1178" s="773"/>
      <c r="EW1178" s="773"/>
      <c r="EX1178" s="773"/>
      <c r="EY1178" s="773"/>
      <c r="EZ1178" s="773"/>
      <c r="FA1178" s="773"/>
      <c r="FB1178" s="773"/>
      <c r="FC1178" s="773"/>
      <c r="FD1178" s="773"/>
      <c r="FE1178" s="773"/>
      <c r="FF1178" s="773"/>
      <c r="FG1178" s="773"/>
      <c r="FH1178" s="773"/>
      <c r="FI1178" s="773"/>
      <c r="FJ1178" s="773"/>
      <c r="FK1178" s="773"/>
      <c r="FL1178" s="773"/>
      <c r="FM1178" s="773"/>
      <c r="FN1178" s="773"/>
      <c r="FO1178" s="773"/>
      <c r="FP1178" s="773"/>
      <c r="FQ1178" s="773"/>
      <c r="FR1178" s="773"/>
      <c r="FS1178" s="773"/>
      <c r="FT1178" s="773"/>
      <c r="FU1178" s="773"/>
      <c r="FV1178" s="773"/>
      <c r="FW1178" s="773"/>
      <c r="FX1178" s="773"/>
      <c r="FY1178" s="773"/>
      <c r="FZ1178" s="773"/>
      <c r="GA1178" s="773"/>
      <c r="GB1178" s="773"/>
      <c r="GC1178" s="773"/>
      <c r="GD1178" s="773"/>
      <c r="GE1178" s="773"/>
      <c r="GF1178" s="773"/>
      <c r="GG1178" s="773"/>
      <c r="GH1178" s="773"/>
      <c r="GI1178" s="773"/>
      <c r="GJ1178" s="773"/>
      <c r="GK1178" s="773"/>
      <c r="GL1178" s="773"/>
      <c r="GM1178" s="773"/>
      <c r="GN1178" s="773"/>
      <c r="GO1178" s="773"/>
      <c r="GP1178" s="773"/>
      <c r="GQ1178" s="773"/>
      <c r="GR1178" s="773"/>
      <c r="GS1178" s="773"/>
      <c r="GT1178" s="773"/>
      <c r="GU1178" s="773"/>
      <c r="GV1178" s="773"/>
      <c r="GW1178" s="773"/>
      <c r="GX1178" s="773"/>
      <c r="GY1178" s="773"/>
      <c r="GZ1178" s="773"/>
    </row>
    <row r="1179" spans="1:208" s="11" customFormat="1">
      <c r="A1179" s="917"/>
      <c r="B1179" s="918"/>
      <c r="C1179" s="767"/>
      <c r="D1179" s="173"/>
      <c r="E1179" s="769"/>
      <c r="F1179" s="769"/>
      <c r="G1179" s="769"/>
      <c r="H1179" s="769"/>
      <c r="I1179" s="769"/>
      <c r="J1179" s="769"/>
      <c r="K1179" s="209"/>
      <c r="M1179" s="771"/>
      <c r="N1179" s="772"/>
      <c r="O1179" s="772"/>
      <c r="P1179" s="772"/>
      <c r="Q1179" s="772"/>
      <c r="R1179" s="772"/>
      <c r="S1179" s="772"/>
      <c r="T1179" s="773"/>
      <c r="U1179" s="772"/>
      <c r="AW1179" s="2510"/>
      <c r="BC1179" s="2510"/>
      <c r="BD1179" s="2510"/>
      <c r="BE1179" s="2173"/>
      <c r="BF1179" s="2173"/>
      <c r="BG1179" s="2173"/>
      <c r="BH1179" s="2173"/>
      <c r="BI1179" s="2173"/>
      <c r="BJ1179" s="2173"/>
      <c r="BK1179" s="2173"/>
      <c r="DB1179" s="773"/>
      <c r="DC1179" s="773"/>
      <c r="DD1179" s="773"/>
      <c r="DE1179" s="773"/>
      <c r="DF1179" s="773"/>
      <c r="DG1179" s="773"/>
      <c r="DH1179" s="773"/>
      <c r="DI1179" s="773"/>
      <c r="DJ1179" s="773"/>
      <c r="DK1179" s="773"/>
      <c r="DL1179" s="773"/>
      <c r="DM1179" s="773"/>
      <c r="DN1179" s="773"/>
      <c r="DO1179" s="773"/>
      <c r="DP1179" s="773"/>
      <c r="DQ1179" s="773"/>
      <c r="DR1179" s="773"/>
      <c r="DS1179" s="773"/>
      <c r="DT1179" s="773"/>
      <c r="DU1179" s="773"/>
      <c r="DV1179" s="773"/>
      <c r="DW1179" s="773"/>
      <c r="DX1179" s="773"/>
      <c r="DY1179" s="773"/>
      <c r="DZ1179" s="773"/>
      <c r="EA1179" s="773"/>
      <c r="EB1179" s="773"/>
      <c r="EC1179" s="773"/>
      <c r="ED1179" s="773"/>
      <c r="EE1179" s="773"/>
      <c r="EF1179" s="773"/>
      <c r="EG1179" s="773"/>
      <c r="EH1179" s="773"/>
      <c r="EI1179" s="773"/>
      <c r="EJ1179" s="773"/>
      <c r="EK1179" s="773"/>
      <c r="EL1179" s="773"/>
      <c r="EM1179" s="773"/>
      <c r="EN1179" s="773"/>
      <c r="EO1179" s="773"/>
      <c r="EP1179" s="773"/>
      <c r="EQ1179" s="773"/>
      <c r="ER1179" s="773"/>
      <c r="ES1179" s="773"/>
      <c r="ET1179" s="773"/>
      <c r="EU1179" s="773"/>
      <c r="EV1179" s="773"/>
      <c r="EW1179" s="773"/>
      <c r="EX1179" s="773"/>
      <c r="EY1179" s="773"/>
      <c r="EZ1179" s="773"/>
      <c r="FA1179" s="773"/>
      <c r="FB1179" s="773"/>
      <c r="FC1179" s="773"/>
      <c r="FD1179" s="773"/>
      <c r="FE1179" s="773"/>
      <c r="FF1179" s="773"/>
      <c r="FG1179" s="773"/>
      <c r="FH1179" s="773"/>
      <c r="FI1179" s="773"/>
      <c r="FJ1179" s="773"/>
      <c r="FK1179" s="773"/>
      <c r="FL1179" s="773"/>
      <c r="FM1179" s="773"/>
      <c r="FN1179" s="773"/>
      <c r="FO1179" s="773"/>
      <c r="FP1179" s="773"/>
      <c r="FQ1179" s="773"/>
      <c r="FR1179" s="773"/>
      <c r="FS1179" s="773"/>
      <c r="FT1179" s="773"/>
      <c r="FU1179" s="773"/>
      <c r="FV1179" s="773"/>
      <c r="FW1179" s="773"/>
      <c r="FX1179" s="773"/>
      <c r="FY1179" s="773"/>
      <c r="FZ1179" s="773"/>
      <c r="GA1179" s="773"/>
      <c r="GB1179" s="773"/>
      <c r="GC1179" s="773"/>
      <c r="GD1179" s="773"/>
      <c r="GE1179" s="773"/>
      <c r="GF1179" s="773"/>
      <c r="GG1179" s="773"/>
      <c r="GH1179" s="773"/>
      <c r="GI1179" s="773"/>
      <c r="GJ1179" s="773"/>
      <c r="GK1179" s="773"/>
      <c r="GL1179" s="773"/>
      <c r="GM1179" s="773"/>
      <c r="GN1179" s="773"/>
      <c r="GO1179" s="773"/>
      <c r="GP1179" s="773"/>
      <c r="GQ1179" s="773"/>
      <c r="GR1179" s="773"/>
      <c r="GS1179" s="773"/>
      <c r="GT1179" s="773"/>
      <c r="GU1179" s="773"/>
      <c r="GV1179" s="773"/>
      <c r="GW1179" s="773"/>
      <c r="GX1179" s="773"/>
      <c r="GY1179" s="773"/>
      <c r="GZ1179" s="773"/>
    </row>
    <row r="1180" spans="1:208" s="11" customFormat="1">
      <c r="A1180" s="917"/>
      <c r="B1180" s="918"/>
      <c r="C1180" s="767"/>
      <c r="D1180" s="173"/>
      <c r="E1180" s="769"/>
      <c r="F1180" s="769"/>
      <c r="G1180" s="769"/>
      <c r="H1180" s="769"/>
      <c r="I1180" s="769"/>
      <c r="J1180" s="769"/>
      <c r="K1180" s="209"/>
      <c r="M1180" s="771"/>
      <c r="N1180" s="772"/>
      <c r="O1180" s="772"/>
      <c r="P1180" s="772"/>
      <c r="Q1180" s="772"/>
      <c r="R1180" s="772"/>
      <c r="S1180" s="772"/>
      <c r="T1180" s="773"/>
      <c r="U1180" s="772"/>
      <c r="AW1180" s="2510"/>
      <c r="BC1180" s="2510"/>
      <c r="BD1180" s="2510"/>
      <c r="BE1180" s="2173"/>
      <c r="BF1180" s="2173"/>
      <c r="BG1180" s="2173"/>
      <c r="BH1180" s="2173"/>
      <c r="BI1180" s="2173"/>
      <c r="BJ1180" s="2173"/>
      <c r="BK1180" s="2173"/>
      <c r="DB1180" s="773"/>
      <c r="DC1180" s="773"/>
      <c r="DD1180" s="773"/>
      <c r="DE1180" s="773"/>
      <c r="DF1180" s="773"/>
      <c r="DG1180" s="773"/>
      <c r="DH1180" s="773"/>
      <c r="DI1180" s="773"/>
      <c r="DJ1180" s="773"/>
      <c r="DK1180" s="773"/>
      <c r="DL1180" s="773"/>
      <c r="DM1180" s="773"/>
      <c r="DN1180" s="773"/>
      <c r="DO1180" s="773"/>
      <c r="DP1180" s="773"/>
      <c r="DQ1180" s="773"/>
      <c r="DR1180" s="773"/>
      <c r="DS1180" s="773"/>
      <c r="DT1180" s="773"/>
      <c r="DU1180" s="773"/>
      <c r="DV1180" s="773"/>
      <c r="DW1180" s="773"/>
      <c r="DX1180" s="773"/>
      <c r="DY1180" s="773"/>
      <c r="DZ1180" s="773"/>
      <c r="EA1180" s="773"/>
      <c r="EB1180" s="773"/>
      <c r="EC1180" s="773"/>
      <c r="ED1180" s="773"/>
      <c r="EE1180" s="773"/>
      <c r="EF1180" s="773"/>
      <c r="EG1180" s="773"/>
      <c r="EH1180" s="773"/>
      <c r="EI1180" s="773"/>
      <c r="EJ1180" s="773"/>
      <c r="EK1180" s="773"/>
      <c r="EL1180" s="773"/>
      <c r="EM1180" s="773"/>
      <c r="EN1180" s="773"/>
      <c r="EO1180" s="773"/>
      <c r="EP1180" s="773"/>
      <c r="EQ1180" s="773"/>
      <c r="ER1180" s="773"/>
      <c r="ES1180" s="773"/>
      <c r="ET1180" s="773"/>
      <c r="EU1180" s="773"/>
      <c r="EV1180" s="773"/>
      <c r="EW1180" s="773"/>
      <c r="EX1180" s="773"/>
      <c r="EY1180" s="773"/>
      <c r="EZ1180" s="773"/>
      <c r="FA1180" s="773"/>
      <c r="FB1180" s="773"/>
      <c r="FC1180" s="773"/>
      <c r="FD1180" s="773"/>
      <c r="FE1180" s="773"/>
      <c r="FF1180" s="773"/>
      <c r="FG1180" s="773"/>
      <c r="FH1180" s="773"/>
      <c r="FI1180" s="773"/>
      <c r="FJ1180" s="773"/>
      <c r="FK1180" s="773"/>
      <c r="FL1180" s="773"/>
      <c r="FM1180" s="773"/>
      <c r="FN1180" s="773"/>
      <c r="FO1180" s="773"/>
      <c r="FP1180" s="773"/>
      <c r="FQ1180" s="773"/>
      <c r="FR1180" s="773"/>
      <c r="FS1180" s="773"/>
      <c r="FT1180" s="773"/>
      <c r="FU1180" s="773"/>
      <c r="FV1180" s="773"/>
      <c r="FW1180" s="773"/>
      <c r="FX1180" s="773"/>
      <c r="FY1180" s="773"/>
      <c r="FZ1180" s="773"/>
      <c r="GA1180" s="773"/>
      <c r="GB1180" s="773"/>
      <c r="GC1180" s="773"/>
      <c r="GD1180" s="773"/>
      <c r="GE1180" s="773"/>
      <c r="GF1180" s="773"/>
      <c r="GG1180" s="773"/>
      <c r="GH1180" s="773"/>
      <c r="GI1180" s="773"/>
      <c r="GJ1180" s="773"/>
      <c r="GK1180" s="773"/>
      <c r="GL1180" s="773"/>
      <c r="GM1180" s="773"/>
      <c r="GN1180" s="773"/>
      <c r="GO1180" s="773"/>
      <c r="GP1180" s="773"/>
      <c r="GQ1180" s="773"/>
      <c r="GR1180" s="773"/>
      <c r="GS1180" s="773"/>
      <c r="GT1180" s="773"/>
      <c r="GU1180" s="773"/>
      <c r="GV1180" s="773"/>
      <c r="GW1180" s="773"/>
      <c r="GX1180" s="773"/>
      <c r="GY1180" s="773"/>
      <c r="GZ1180" s="773"/>
    </row>
    <row r="1181" spans="1:208" s="11" customFormat="1">
      <c r="A1181" s="917"/>
      <c r="B1181" s="918"/>
      <c r="C1181" s="767"/>
      <c r="D1181" s="173"/>
      <c r="E1181" s="769"/>
      <c r="F1181" s="769"/>
      <c r="G1181" s="769"/>
      <c r="H1181" s="769"/>
      <c r="I1181" s="769"/>
      <c r="J1181" s="769"/>
      <c r="K1181" s="209"/>
      <c r="M1181" s="771"/>
      <c r="N1181" s="772"/>
      <c r="O1181" s="772"/>
      <c r="P1181" s="772"/>
      <c r="Q1181" s="772"/>
      <c r="R1181" s="772"/>
      <c r="S1181" s="772"/>
      <c r="T1181" s="773"/>
      <c r="U1181" s="772"/>
      <c r="AW1181" s="2510"/>
      <c r="BC1181" s="2510"/>
      <c r="BD1181" s="2510"/>
      <c r="BE1181" s="2173"/>
      <c r="BF1181" s="2173"/>
      <c r="BG1181" s="2173"/>
      <c r="BH1181" s="2173"/>
      <c r="BI1181" s="2173"/>
      <c r="BJ1181" s="2173"/>
      <c r="BK1181" s="2173"/>
      <c r="DB1181" s="773"/>
      <c r="DC1181" s="773"/>
      <c r="DD1181" s="773"/>
      <c r="DE1181" s="773"/>
      <c r="DF1181" s="773"/>
      <c r="DG1181" s="773"/>
      <c r="DH1181" s="773"/>
      <c r="DI1181" s="773"/>
      <c r="DJ1181" s="773"/>
      <c r="DK1181" s="773"/>
      <c r="DL1181" s="773"/>
      <c r="DM1181" s="773"/>
      <c r="DN1181" s="773"/>
      <c r="DO1181" s="773"/>
      <c r="DP1181" s="773"/>
      <c r="DQ1181" s="773"/>
      <c r="DR1181" s="773"/>
      <c r="DS1181" s="773"/>
      <c r="DT1181" s="773"/>
      <c r="DU1181" s="773"/>
      <c r="DV1181" s="773"/>
      <c r="DW1181" s="773"/>
      <c r="DX1181" s="773"/>
      <c r="DY1181" s="773"/>
      <c r="DZ1181" s="773"/>
      <c r="EA1181" s="773"/>
      <c r="EB1181" s="773"/>
      <c r="EC1181" s="773"/>
      <c r="ED1181" s="773"/>
      <c r="EE1181" s="773"/>
      <c r="EF1181" s="773"/>
      <c r="EG1181" s="773"/>
      <c r="EH1181" s="773"/>
      <c r="EI1181" s="773"/>
      <c r="EJ1181" s="773"/>
      <c r="EK1181" s="773"/>
      <c r="EL1181" s="773"/>
      <c r="EM1181" s="773"/>
      <c r="EN1181" s="773"/>
      <c r="EO1181" s="773"/>
      <c r="EP1181" s="773"/>
      <c r="EQ1181" s="773"/>
      <c r="ER1181" s="773"/>
      <c r="ES1181" s="773"/>
      <c r="ET1181" s="773"/>
      <c r="EU1181" s="773"/>
      <c r="EV1181" s="773"/>
      <c r="EW1181" s="773"/>
      <c r="EX1181" s="773"/>
      <c r="EY1181" s="773"/>
      <c r="EZ1181" s="773"/>
      <c r="FA1181" s="773"/>
      <c r="FB1181" s="773"/>
      <c r="FC1181" s="773"/>
      <c r="FD1181" s="773"/>
      <c r="FE1181" s="773"/>
      <c r="FF1181" s="773"/>
      <c r="FG1181" s="773"/>
      <c r="FH1181" s="773"/>
      <c r="FI1181" s="773"/>
      <c r="FJ1181" s="773"/>
      <c r="FK1181" s="773"/>
      <c r="FL1181" s="773"/>
      <c r="FM1181" s="773"/>
      <c r="FN1181" s="773"/>
      <c r="FO1181" s="773"/>
      <c r="FP1181" s="773"/>
      <c r="FQ1181" s="773"/>
      <c r="FR1181" s="773"/>
      <c r="FS1181" s="773"/>
      <c r="FT1181" s="773"/>
      <c r="FU1181" s="773"/>
      <c r="FV1181" s="773"/>
      <c r="FW1181" s="773"/>
      <c r="FX1181" s="773"/>
      <c r="FY1181" s="773"/>
      <c r="FZ1181" s="773"/>
      <c r="GA1181" s="773"/>
      <c r="GB1181" s="773"/>
      <c r="GC1181" s="773"/>
      <c r="GD1181" s="773"/>
      <c r="GE1181" s="773"/>
      <c r="GF1181" s="773"/>
      <c r="GG1181" s="773"/>
      <c r="GH1181" s="773"/>
      <c r="GI1181" s="773"/>
      <c r="GJ1181" s="773"/>
      <c r="GK1181" s="773"/>
      <c r="GL1181" s="773"/>
      <c r="GM1181" s="773"/>
      <c r="GN1181" s="773"/>
      <c r="GO1181" s="773"/>
      <c r="GP1181" s="773"/>
      <c r="GQ1181" s="773"/>
      <c r="GR1181" s="773"/>
      <c r="GS1181" s="773"/>
      <c r="GT1181" s="773"/>
      <c r="GU1181" s="773"/>
      <c r="GV1181" s="773"/>
      <c r="GW1181" s="773"/>
      <c r="GX1181" s="773"/>
      <c r="GY1181" s="773"/>
      <c r="GZ1181" s="773"/>
    </row>
    <row r="1182" spans="1:208" s="11" customFormat="1">
      <c r="A1182" s="917"/>
      <c r="B1182" s="918"/>
      <c r="C1182" s="767"/>
      <c r="D1182" s="173"/>
      <c r="E1182" s="769"/>
      <c r="F1182" s="769"/>
      <c r="G1182" s="769"/>
      <c r="H1182" s="769"/>
      <c r="I1182" s="769"/>
      <c r="J1182" s="769"/>
      <c r="K1182" s="209"/>
      <c r="M1182" s="771"/>
      <c r="N1182" s="772"/>
      <c r="O1182" s="772"/>
      <c r="P1182" s="772"/>
      <c r="Q1182" s="772"/>
      <c r="R1182" s="772"/>
      <c r="S1182" s="772"/>
      <c r="T1182" s="773"/>
      <c r="U1182" s="772"/>
      <c r="AW1182" s="2510"/>
      <c r="BC1182" s="2510"/>
      <c r="BD1182" s="2510"/>
      <c r="BE1182" s="2173"/>
      <c r="BF1182" s="2173"/>
      <c r="BG1182" s="2173"/>
      <c r="BH1182" s="2173"/>
      <c r="BI1182" s="2173"/>
      <c r="BJ1182" s="2173"/>
      <c r="BK1182" s="2173"/>
      <c r="DB1182" s="773"/>
      <c r="DC1182" s="773"/>
      <c r="DD1182" s="773"/>
      <c r="DE1182" s="773"/>
      <c r="DF1182" s="773"/>
      <c r="DG1182" s="773"/>
      <c r="DH1182" s="773"/>
      <c r="DI1182" s="773"/>
      <c r="DJ1182" s="773"/>
      <c r="DK1182" s="773"/>
      <c r="DL1182" s="773"/>
      <c r="DM1182" s="773"/>
      <c r="DN1182" s="773"/>
      <c r="DO1182" s="773"/>
      <c r="DP1182" s="773"/>
      <c r="DQ1182" s="773"/>
      <c r="DR1182" s="773"/>
      <c r="DS1182" s="773"/>
      <c r="DT1182" s="773"/>
      <c r="DU1182" s="773"/>
      <c r="DV1182" s="773"/>
      <c r="DW1182" s="773"/>
      <c r="DX1182" s="773"/>
      <c r="DY1182" s="773"/>
      <c r="DZ1182" s="773"/>
      <c r="EA1182" s="773"/>
      <c r="EB1182" s="773"/>
      <c r="EC1182" s="773"/>
      <c r="ED1182" s="773"/>
      <c r="EE1182" s="773"/>
      <c r="EF1182" s="773"/>
      <c r="EG1182" s="773"/>
      <c r="EH1182" s="773"/>
      <c r="EI1182" s="773"/>
      <c r="EJ1182" s="773"/>
      <c r="EK1182" s="773"/>
      <c r="EL1182" s="773"/>
      <c r="EM1182" s="773"/>
      <c r="EN1182" s="773"/>
      <c r="EO1182" s="773"/>
      <c r="EP1182" s="773"/>
      <c r="EQ1182" s="773"/>
      <c r="ER1182" s="773"/>
      <c r="ES1182" s="773"/>
      <c r="ET1182" s="773"/>
      <c r="EU1182" s="773"/>
      <c r="EV1182" s="773"/>
      <c r="EW1182" s="773"/>
      <c r="EX1182" s="773"/>
      <c r="EY1182" s="773"/>
      <c r="EZ1182" s="773"/>
      <c r="FA1182" s="773"/>
      <c r="FB1182" s="773"/>
      <c r="FC1182" s="773"/>
      <c r="FD1182" s="773"/>
      <c r="FE1182" s="773"/>
      <c r="FF1182" s="773"/>
      <c r="FG1182" s="773"/>
      <c r="FH1182" s="773"/>
      <c r="FI1182" s="773"/>
      <c r="FJ1182" s="773"/>
      <c r="FK1182" s="773"/>
      <c r="FL1182" s="773"/>
      <c r="FM1182" s="773"/>
      <c r="FN1182" s="773"/>
      <c r="FO1182" s="773"/>
      <c r="FP1182" s="773"/>
      <c r="FQ1182" s="773"/>
      <c r="FR1182" s="773"/>
      <c r="FS1182" s="773"/>
      <c r="FT1182" s="773"/>
      <c r="FU1182" s="773"/>
      <c r="FV1182" s="773"/>
      <c r="FW1182" s="773"/>
      <c r="FX1182" s="773"/>
      <c r="FY1182" s="773"/>
      <c r="FZ1182" s="773"/>
      <c r="GA1182" s="773"/>
      <c r="GB1182" s="773"/>
      <c r="GC1182" s="773"/>
      <c r="GD1182" s="773"/>
      <c r="GE1182" s="773"/>
      <c r="GF1182" s="773"/>
      <c r="GG1182" s="773"/>
      <c r="GH1182" s="773"/>
      <c r="GI1182" s="773"/>
      <c r="GJ1182" s="773"/>
      <c r="GK1182" s="773"/>
      <c r="GL1182" s="773"/>
      <c r="GM1182" s="773"/>
      <c r="GN1182" s="773"/>
      <c r="GO1182" s="773"/>
      <c r="GP1182" s="773"/>
      <c r="GQ1182" s="773"/>
      <c r="GR1182" s="773"/>
      <c r="GS1182" s="773"/>
      <c r="GT1182" s="773"/>
      <c r="GU1182" s="773"/>
      <c r="GV1182" s="773"/>
      <c r="GW1182" s="773"/>
      <c r="GX1182" s="773"/>
      <c r="GY1182" s="773"/>
      <c r="GZ1182" s="773"/>
    </row>
    <row r="1183" spans="1:208" s="11" customFormat="1">
      <c r="A1183" s="917"/>
      <c r="B1183" s="918"/>
      <c r="C1183" s="767"/>
      <c r="D1183" s="173"/>
      <c r="E1183" s="769"/>
      <c r="F1183" s="769"/>
      <c r="G1183" s="769"/>
      <c r="H1183" s="769"/>
      <c r="I1183" s="769"/>
      <c r="J1183" s="769"/>
      <c r="K1183" s="209"/>
      <c r="M1183" s="771"/>
      <c r="N1183" s="772"/>
      <c r="O1183" s="772"/>
      <c r="P1183" s="772"/>
      <c r="Q1183" s="772"/>
      <c r="R1183" s="772"/>
      <c r="S1183" s="772"/>
      <c r="T1183" s="773"/>
      <c r="U1183" s="772"/>
      <c r="AW1183" s="2510"/>
      <c r="BC1183" s="2510"/>
      <c r="BD1183" s="2510"/>
      <c r="BE1183" s="2173"/>
      <c r="BF1183" s="2173"/>
      <c r="BG1183" s="2173"/>
      <c r="BH1183" s="2173"/>
      <c r="BI1183" s="2173"/>
      <c r="BJ1183" s="2173"/>
      <c r="BK1183" s="2173"/>
      <c r="DB1183" s="773"/>
      <c r="DC1183" s="773"/>
      <c r="DD1183" s="773"/>
      <c r="DE1183" s="773"/>
      <c r="DF1183" s="773"/>
      <c r="DG1183" s="773"/>
      <c r="DH1183" s="773"/>
      <c r="DI1183" s="773"/>
      <c r="DJ1183" s="773"/>
      <c r="DK1183" s="773"/>
      <c r="DL1183" s="773"/>
      <c r="DM1183" s="773"/>
      <c r="DN1183" s="773"/>
      <c r="DO1183" s="773"/>
      <c r="DP1183" s="773"/>
      <c r="DQ1183" s="773"/>
      <c r="DR1183" s="773"/>
      <c r="DS1183" s="773"/>
      <c r="DT1183" s="773"/>
      <c r="DU1183" s="773"/>
      <c r="DV1183" s="773"/>
      <c r="DW1183" s="773"/>
      <c r="DX1183" s="773"/>
      <c r="DY1183" s="773"/>
      <c r="DZ1183" s="773"/>
      <c r="EA1183" s="773"/>
      <c r="EB1183" s="773"/>
      <c r="EC1183" s="773"/>
      <c r="ED1183" s="773"/>
      <c r="EE1183" s="773"/>
      <c r="EF1183" s="773"/>
      <c r="EG1183" s="773"/>
      <c r="EH1183" s="773"/>
      <c r="EI1183" s="773"/>
      <c r="EJ1183" s="773"/>
      <c r="EK1183" s="773"/>
      <c r="EL1183" s="773"/>
      <c r="EM1183" s="773"/>
      <c r="EN1183" s="773"/>
      <c r="EO1183" s="773"/>
      <c r="EP1183" s="773"/>
      <c r="EQ1183" s="773"/>
      <c r="ER1183" s="773"/>
      <c r="ES1183" s="773"/>
      <c r="ET1183" s="773"/>
      <c r="EU1183" s="773"/>
      <c r="EV1183" s="773"/>
      <c r="EW1183" s="773"/>
      <c r="EX1183" s="773"/>
      <c r="EY1183" s="773"/>
      <c r="EZ1183" s="773"/>
      <c r="FA1183" s="773"/>
      <c r="FB1183" s="773"/>
      <c r="FC1183" s="773"/>
      <c r="FD1183" s="773"/>
      <c r="FE1183" s="773"/>
      <c r="FF1183" s="773"/>
      <c r="FG1183" s="773"/>
      <c r="FH1183" s="773"/>
      <c r="FI1183" s="773"/>
      <c r="FJ1183" s="773"/>
      <c r="FK1183" s="773"/>
      <c r="FL1183" s="773"/>
      <c r="FM1183" s="773"/>
      <c r="FN1183" s="773"/>
      <c r="FO1183" s="773"/>
      <c r="FP1183" s="773"/>
      <c r="FQ1183" s="773"/>
      <c r="FR1183" s="773"/>
      <c r="FS1183" s="773"/>
      <c r="FT1183" s="773"/>
      <c r="FU1183" s="773"/>
      <c r="FV1183" s="773"/>
      <c r="FW1183" s="773"/>
      <c r="FX1183" s="773"/>
      <c r="FY1183" s="773"/>
      <c r="FZ1183" s="773"/>
      <c r="GA1183" s="773"/>
      <c r="GB1183" s="773"/>
      <c r="GC1183" s="773"/>
      <c r="GD1183" s="773"/>
      <c r="GE1183" s="773"/>
      <c r="GF1183" s="773"/>
      <c r="GG1183" s="773"/>
      <c r="GH1183" s="773"/>
      <c r="GI1183" s="773"/>
      <c r="GJ1183" s="773"/>
      <c r="GK1183" s="773"/>
      <c r="GL1183" s="773"/>
      <c r="GM1183" s="773"/>
      <c r="GN1183" s="773"/>
      <c r="GO1183" s="773"/>
      <c r="GP1183" s="773"/>
      <c r="GQ1183" s="773"/>
      <c r="GR1183" s="773"/>
      <c r="GS1183" s="773"/>
      <c r="GT1183" s="773"/>
      <c r="GU1183" s="773"/>
      <c r="GV1183" s="773"/>
      <c r="GW1183" s="773"/>
      <c r="GX1183" s="773"/>
      <c r="GY1183" s="773"/>
      <c r="GZ1183" s="773"/>
    </row>
    <row r="1184" spans="1:208" s="11" customFormat="1">
      <c r="A1184" s="917"/>
      <c r="B1184" s="918"/>
      <c r="C1184" s="767"/>
      <c r="D1184" s="173"/>
      <c r="E1184" s="769"/>
      <c r="F1184" s="769"/>
      <c r="G1184" s="769"/>
      <c r="H1184" s="769"/>
      <c r="I1184" s="769"/>
      <c r="J1184" s="769"/>
      <c r="K1184" s="209"/>
      <c r="M1184" s="771"/>
      <c r="N1184" s="772"/>
      <c r="O1184" s="772"/>
      <c r="P1184" s="772"/>
      <c r="Q1184" s="772"/>
      <c r="R1184" s="772"/>
      <c r="S1184" s="772"/>
      <c r="T1184" s="773"/>
      <c r="U1184" s="772"/>
      <c r="AW1184" s="2510"/>
      <c r="BC1184" s="2510"/>
      <c r="BD1184" s="2510"/>
      <c r="BE1184" s="2173"/>
      <c r="BF1184" s="2173"/>
      <c r="BG1184" s="2173"/>
      <c r="BH1184" s="2173"/>
      <c r="BI1184" s="2173"/>
      <c r="BJ1184" s="2173"/>
      <c r="BK1184" s="2173"/>
      <c r="DB1184" s="773"/>
      <c r="DC1184" s="773"/>
      <c r="DD1184" s="773"/>
      <c r="DE1184" s="773"/>
      <c r="DF1184" s="773"/>
      <c r="DG1184" s="773"/>
      <c r="DH1184" s="773"/>
      <c r="DI1184" s="773"/>
      <c r="DJ1184" s="773"/>
      <c r="DK1184" s="773"/>
      <c r="DL1184" s="773"/>
      <c r="DM1184" s="773"/>
      <c r="DN1184" s="773"/>
      <c r="DO1184" s="773"/>
      <c r="DP1184" s="773"/>
      <c r="DQ1184" s="773"/>
      <c r="DR1184" s="773"/>
      <c r="DS1184" s="773"/>
      <c r="DT1184" s="773"/>
      <c r="DU1184" s="773"/>
      <c r="DV1184" s="773"/>
      <c r="DW1184" s="773"/>
      <c r="DX1184" s="773"/>
      <c r="DY1184" s="773"/>
      <c r="DZ1184" s="773"/>
      <c r="EA1184" s="773"/>
      <c r="EB1184" s="773"/>
      <c r="EC1184" s="773"/>
      <c r="ED1184" s="773"/>
      <c r="EE1184" s="773"/>
      <c r="EF1184" s="773"/>
      <c r="EG1184" s="773"/>
      <c r="EH1184" s="773"/>
      <c r="EI1184" s="773"/>
      <c r="EJ1184" s="773"/>
      <c r="EK1184" s="773"/>
      <c r="EL1184" s="773"/>
      <c r="EM1184" s="773"/>
      <c r="EN1184" s="773"/>
      <c r="EO1184" s="773"/>
      <c r="EP1184" s="773"/>
      <c r="EQ1184" s="773"/>
      <c r="ER1184" s="773"/>
      <c r="ES1184" s="773"/>
      <c r="ET1184" s="773"/>
      <c r="EU1184" s="773"/>
      <c r="EV1184" s="773"/>
      <c r="EW1184" s="773"/>
      <c r="EX1184" s="773"/>
      <c r="EY1184" s="773"/>
      <c r="EZ1184" s="773"/>
      <c r="FA1184" s="773"/>
      <c r="FB1184" s="773"/>
      <c r="FC1184" s="773"/>
      <c r="FD1184" s="773"/>
      <c r="FE1184" s="773"/>
      <c r="FF1184" s="773"/>
      <c r="FG1184" s="773"/>
      <c r="FH1184" s="773"/>
      <c r="FI1184" s="773"/>
      <c r="FJ1184" s="773"/>
      <c r="FK1184" s="773"/>
      <c r="FL1184" s="773"/>
      <c r="FM1184" s="773"/>
      <c r="FN1184" s="773"/>
      <c r="FO1184" s="773"/>
      <c r="FP1184" s="773"/>
      <c r="FQ1184" s="773"/>
      <c r="FR1184" s="773"/>
      <c r="FS1184" s="773"/>
      <c r="FT1184" s="773"/>
      <c r="FU1184" s="773"/>
      <c r="FV1184" s="773"/>
      <c r="FW1184" s="773"/>
      <c r="FX1184" s="773"/>
      <c r="FY1184" s="773"/>
      <c r="FZ1184" s="773"/>
      <c r="GA1184" s="773"/>
      <c r="GB1184" s="773"/>
      <c r="GC1184" s="773"/>
      <c r="GD1184" s="773"/>
      <c r="GE1184" s="773"/>
      <c r="GF1184" s="773"/>
      <c r="GG1184" s="773"/>
      <c r="GH1184" s="773"/>
      <c r="GI1184" s="773"/>
      <c r="GJ1184" s="773"/>
      <c r="GK1184" s="773"/>
      <c r="GL1184" s="773"/>
      <c r="GM1184" s="773"/>
      <c r="GN1184" s="773"/>
      <c r="GO1184" s="773"/>
      <c r="GP1184" s="773"/>
      <c r="GQ1184" s="773"/>
      <c r="GR1184" s="773"/>
      <c r="GS1184" s="773"/>
      <c r="GT1184" s="773"/>
      <c r="GU1184" s="773"/>
      <c r="GV1184" s="773"/>
      <c r="GW1184" s="773"/>
      <c r="GX1184" s="773"/>
      <c r="GY1184" s="773"/>
      <c r="GZ1184" s="773"/>
    </row>
    <row r="1185" spans="1:208" s="11" customFormat="1">
      <c r="A1185" s="917"/>
      <c r="B1185" s="918"/>
      <c r="C1185" s="767"/>
      <c r="D1185" s="173"/>
      <c r="E1185" s="769"/>
      <c r="F1185" s="769"/>
      <c r="G1185" s="769"/>
      <c r="H1185" s="769"/>
      <c r="I1185" s="769"/>
      <c r="J1185" s="769"/>
      <c r="K1185" s="209"/>
      <c r="M1185" s="771"/>
      <c r="N1185" s="772"/>
      <c r="O1185" s="772"/>
      <c r="P1185" s="772"/>
      <c r="Q1185" s="772"/>
      <c r="R1185" s="772"/>
      <c r="S1185" s="772"/>
      <c r="T1185" s="773"/>
      <c r="U1185" s="772"/>
      <c r="AW1185" s="2510"/>
      <c r="BC1185" s="2510"/>
      <c r="BD1185" s="2510"/>
      <c r="BE1185" s="2173"/>
      <c r="BF1185" s="2173"/>
      <c r="BG1185" s="2173"/>
      <c r="BH1185" s="2173"/>
      <c r="BI1185" s="2173"/>
      <c r="BJ1185" s="2173"/>
      <c r="BK1185" s="2173"/>
      <c r="DB1185" s="773"/>
      <c r="DC1185" s="773"/>
      <c r="DD1185" s="773"/>
      <c r="DE1185" s="773"/>
      <c r="DF1185" s="773"/>
      <c r="DG1185" s="773"/>
      <c r="DH1185" s="773"/>
      <c r="DI1185" s="773"/>
      <c r="DJ1185" s="773"/>
      <c r="DK1185" s="773"/>
      <c r="DL1185" s="773"/>
      <c r="DM1185" s="773"/>
      <c r="DN1185" s="773"/>
      <c r="DO1185" s="773"/>
      <c r="DP1185" s="773"/>
      <c r="DQ1185" s="773"/>
      <c r="DR1185" s="773"/>
      <c r="DS1185" s="773"/>
      <c r="DT1185" s="773"/>
      <c r="DU1185" s="773"/>
      <c r="DV1185" s="773"/>
      <c r="DW1185" s="773"/>
      <c r="DX1185" s="773"/>
      <c r="DY1185" s="773"/>
      <c r="DZ1185" s="773"/>
      <c r="EA1185" s="773"/>
      <c r="EB1185" s="773"/>
      <c r="EC1185" s="773"/>
      <c r="ED1185" s="773"/>
      <c r="EE1185" s="773"/>
      <c r="EF1185" s="773"/>
      <c r="EG1185" s="773"/>
      <c r="EH1185" s="773"/>
      <c r="EI1185" s="773"/>
      <c r="EJ1185" s="773"/>
      <c r="EK1185" s="773"/>
      <c r="EL1185" s="773"/>
      <c r="EM1185" s="773"/>
      <c r="EN1185" s="773"/>
      <c r="EO1185" s="773"/>
      <c r="EP1185" s="773"/>
      <c r="EQ1185" s="773"/>
      <c r="ER1185" s="773"/>
      <c r="ES1185" s="773"/>
      <c r="ET1185" s="773"/>
      <c r="EU1185" s="773"/>
      <c r="EV1185" s="773"/>
      <c r="EW1185" s="773"/>
      <c r="EX1185" s="773"/>
      <c r="EY1185" s="773"/>
      <c r="EZ1185" s="773"/>
      <c r="FA1185" s="773"/>
      <c r="FB1185" s="773"/>
      <c r="FC1185" s="773"/>
      <c r="FD1185" s="773"/>
      <c r="FE1185" s="773"/>
      <c r="FF1185" s="773"/>
      <c r="FG1185" s="773"/>
      <c r="FH1185" s="773"/>
      <c r="FI1185" s="773"/>
      <c r="FJ1185" s="773"/>
      <c r="FK1185" s="773"/>
      <c r="FL1185" s="773"/>
      <c r="FM1185" s="773"/>
      <c r="FN1185" s="773"/>
      <c r="FO1185" s="773"/>
      <c r="FP1185" s="773"/>
      <c r="FQ1185" s="773"/>
      <c r="FR1185" s="773"/>
      <c r="FS1185" s="773"/>
      <c r="FT1185" s="773"/>
      <c r="FU1185" s="773"/>
      <c r="FV1185" s="773"/>
      <c r="FW1185" s="773"/>
      <c r="FX1185" s="773"/>
      <c r="FY1185" s="773"/>
      <c r="FZ1185" s="773"/>
      <c r="GA1185" s="773"/>
      <c r="GB1185" s="773"/>
      <c r="GC1185" s="773"/>
      <c r="GD1185" s="773"/>
      <c r="GE1185" s="773"/>
      <c r="GF1185" s="773"/>
      <c r="GG1185" s="773"/>
      <c r="GH1185" s="773"/>
      <c r="GI1185" s="773"/>
      <c r="GJ1185" s="773"/>
      <c r="GK1185" s="773"/>
      <c r="GL1185" s="773"/>
      <c r="GM1185" s="773"/>
      <c r="GN1185" s="773"/>
      <c r="GO1185" s="773"/>
      <c r="GP1185" s="773"/>
      <c r="GQ1185" s="773"/>
      <c r="GR1185" s="773"/>
      <c r="GS1185" s="773"/>
      <c r="GT1185" s="773"/>
      <c r="GU1185" s="773"/>
      <c r="GV1185" s="773"/>
      <c r="GW1185" s="773"/>
      <c r="GX1185" s="773"/>
      <c r="GY1185" s="773"/>
      <c r="GZ1185" s="773"/>
    </row>
    <row r="1186" spans="1:208" s="11" customFormat="1">
      <c r="A1186" s="917"/>
      <c r="B1186" s="918"/>
      <c r="C1186" s="767"/>
      <c r="D1186" s="173"/>
      <c r="E1186" s="769"/>
      <c r="F1186" s="769"/>
      <c r="G1186" s="769"/>
      <c r="H1186" s="769"/>
      <c r="I1186" s="769"/>
      <c r="J1186" s="769"/>
      <c r="K1186" s="209"/>
      <c r="M1186" s="771"/>
      <c r="N1186" s="772"/>
      <c r="O1186" s="772"/>
      <c r="P1186" s="772"/>
      <c r="Q1186" s="772"/>
      <c r="R1186" s="772"/>
      <c r="S1186" s="772"/>
      <c r="T1186" s="773"/>
      <c r="U1186" s="772"/>
      <c r="AW1186" s="2510"/>
      <c r="BC1186" s="2510"/>
      <c r="BD1186" s="2510"/>
      <c r="BE1186" s="2173"/>
      <c r="BF1186" s="2173"/>
      <c r="BG1186" s="2173"/>
      <c r="BH1186" s="2173"/>
      <c r="BI1186" s="2173"/>
      <c r="BJ1186" s="2173"/>
      <c r="BK1186" s="2173"/>
      <c r="DB1186" s="773"/>
      <c r="DC1186" s="773"/>
      <c r="DD1186" s="773"/>
      <c r="DE1186" s="773"/>
      <c r="DF1186" s="773"/>
      <c r="DG1186" s="773"/>
      <c r="DH1186" s="773"/>
      <c r="DI1186" s="773"/>
      <c r="DJ1186" s="773"/>
      <c r="DK1186" s="773"/>
      <c r="DL1186" s="773"/>
      <c r="DM1186" s="773"/>
      <c r="DN1186" s="773"/>
      <c r="DO1186" s="773"/>
      <c r="DP1186" s="773"/>
      <c r="DQ1186" s="773"/>
      <c r="DR1186" s="773"/>
      <c r="DS1186" s="773"/>
      <c r="DT1186" s="773"/>
      <c r="DU1186" s="773"/>
      <c r="DV1186" s="773"/>
      <c r="DW1186" s="773"/>
      <c r="DX1186" s="773"/>
      <c r="DY1186" s="773"/>
      <c r="DZ1186" s="773"/>
      <c r="EA1186" s="773"/>
      <c r="EB1186" s="773"/>
      <c r="EC1186" s="773"/>
      <c r="ED1186" s="773"/>
      <c r="EE1186" s="773"/>
      <c r="EF1186" s="773"/>
      <c r="EG1186" s="773"/>
      <c r="EH1186" s="773"/>
      <c r="EI1186" s="773"/>
      <c r="EJ1186" s="773"/>
      <c r="EK1186" s="773"/>
      <c r="EL1186" s="773"/>
      <c r="EM1186" s="773"/>
      <c r="EN1186" s="773"/>
      <c r="EO1186" s="773"/>
      <c r="EP1186" s="773"/>
      <c r="EQ1186" s="773"/>
      <c r="ER1186" s="773"/>
      <c r="ES1186" s="773"/>
      <c r="ET1186" s="773"/>
      <c r="EU1186" s="773"/>
      <c r="EV1186" s="773"/>
      <c r="EW1186" s="773"/>
      <c r="EX1186" s="773"/>
      <c r="EY1186" s="773"/>
      <c r="EZ1186" s="773"/>
      <c r="FA1186" s="773"/>
      <c r="FB1186" s="773"/>
      <c r="FC1186" s="773"/>
      <c r="FD1186" s="773"/>
      <c r="FE1186" s="773"/>
      <c r="FF1186" s="773"/>
      <c r="FG1186" s="773"/>
      <c r="FH1186" s="773"/>
      <c r="FI1186" s="773"/>
      <c r="FJ1186" s="773"/>
      <c r="FK1186" s="773"/>
      <c r="FL1186" s="773"/>
      <c r="FM1186" s="773"/>
      <c r="FN1186" s="773"/>
      <c r="FO1186" s="773"/>
      <c r="FP1186" s="773"/>
      <c r="FQ1186" s="773"/>
      <c r="FR1186" s="773"/>
      <c r="FS1186" s="773"/>
      <c r="FT1186" s="773"/>
      <c r="FU1186" s="773"/>
      <c r="FV1186" s="773"/>
      <c r="FW1186" s="773"/>
      <c r="FX1186" s="773"/>
      <c r="FY1186" s="773"/>
      <c r="FZ1186" s="773"/>
      <c r="GA1186" s="773"/>
      <c r="GB1186" s="773"/>
      <c r="GC1186" s="773"/>
      <c r="GD1186" s="773"/>
      <c r="GE1186" s="773"/>
      <c r="GF1186" s="773"/>
      <c r="GG1186" s="773"/>
      <c r="GH1186" s="773"/>
      <c r="GI1186" s="773"/>
      <c r="GJ1186" s="773"/>
      <c r="GK1186" s="773"/>
      <c r="GL1186" s="773"/>
      <c r="GM1186" s="773"/>
      <c r="GN1186" s="773"/>
      <c r="GO1186" s="773"/>
      <c r="GP1186" s="773"/>
      <c r="GQ1186" s="773"/>
      <c r="GR1186" s="773"/>
      <c r="GS1186" s="773"/>
      <c r="GT1186" s="773"/>
      <c r="GU1186" s="773"/>
      <c r="GV1186" s="773"/>
      <c r="GW1186" s="773"/>
      <c r="GX1186" s="773"/>
      <c r="GY1186" s="773"/>
      <c r="GZ1186" s="773"/>
    </row>
    <row r="1187" spans="1:208" s="11" customFormat="1">
      <c r="A1187" s="917"/>
      <c r="B1187" s="918"/>
      <c r="C1187" s="767"/>
      <c r="D1187" s="173"/>
      <c r="E1187" s="769"/>
      <c r="F1187" s="769"/>
      <c r="G1187" s="769"/>
      <c r="H1187" s="769"/>
      <c r="I1187" s="769"/>
      <c r="J1187" s="769"/>
      <c r="K1187" s="209"/>
      <c r="M1187" s="771"/>
      <c r="N1187" s="772"/>
      <c r="O1187" s="772"/>
      <c r="P1187" s="772"/>
      <c r="Q1187" s="772"/>
      <c r="R1187" s="772"/>
      <c r="S1187" s="772"/>
      <c r="T1187" s="773"/>
      <c r="U1187" s="772"/>
      <c r="AW1187" s="2510"/>
      <c r="BC1187" s="2510"/>
      <c r="BD1187" s="2510"/>
      <c r="BE1187" s="2173"/>
      <c r="BF1187" s="2173"/>
      <c r="BG1187" s="2173"/>
      <c r="BH1187" s="2173"/>
      <c r="BI1187" s="2173"/>
      <c r="BJ1187" s="2173"/>
      <c r="BK1187" s="2173"/>
      <c r="DB1187" s="773"/>
      <c r="DC1187" s="773"/>
      <c r="DD1187" s="773"/>
      <c r="DE1187" s="773"/>
      <c r="DF1187" s="773"/>
      <c r="DG1187" s="773"/>
      <c r="DH1187" s="773"/>
      <c r="DI1187" s="773"/>
      <c r="DJ1187" s="773"/>
      <c r="DK1187" s="773"/>
      <c r="DL1187" s="773"/>
      <c r="DM1187" s="773"/>
      <c r="DN1187" s="773"/>
      <c r="DO1187" s="773"/>
      <c r="DP1187" s="773"/>
      <c r="DQ1187" s="773"/>
      <c r="DR1187" s="773"/>
      <c r="DS1187" s="773"/>
      <c r="DT1187" s="773"/>
      <c r="DU1187" s="773"/>
      <c r="DV1187" s="773"/>
      <c r="DW1187" s="773"/>
      <c r="DX1187" s="773"/>
      <c r="DY1187" s="773"/>
      <c r="DZ1187" s="773"/>
      <c r="EA1187" s="773"/>
      <c r="EB1187" s="773"/>
      <c r="EC1187" s="773"/>
      <c r="ED1187" s="773"/>
      <c r="EE1187" s="773"/>
      <c r="EF1187" s="773"/>
      <c r="EG1187" s="773"/>
      <c r="EH1187" s="773"/>
      <c r="EI1187" s="773"/>
      <c r="EJ1187" s="773"/>
      <c r="EK1187" s="773"/>
      <c r="EL1187" s="773"/>
      <c r="EM1187" s="773"/>
      <c r="EN1187" s="773"/>
      <c r="EO1187" s="773"/>
      <c r="EP1187" s="773"/>
      <c r="EQ1187" s="773"/>
      <c r="ER1187" s="773"/>
      <c r="ES1187" s="773"/>
      <c r="ET1187" s="773"/>
      <c r="EU1187" s="773"/>
      <c r="EV1187" s="773"/>
      <c r="EW1187" s="773"/>
      <c r="EX1187" s="773"/>
      <c r="EY1187" s="773"/>
      <c r="EZ1187" s="773"/>
      <c r="FA1187" s="773"/>
      <c r="FB1187" s="773"/>
      <c r="FC1187" s="773"/>
      <c r="FD1187" s="773"/>
      <c r="FE1187" s="773"/>
      <c r="FF1187" s="773"/>
      <c r="FG1187" s="773"/>
      <c r="FH1187" s="773"/>
      <c r="FI1187" s="773"/>
      <c r="FJ1187" s="773"/>
      <c r="FK1187" s="773"/>
      <c r="FL1187" s="773"/>
      <c r="FM1187" s="773"/>
      <c r="FN1187" s="773"/>
      <c r="FO1187" s="773"/>
      <c r="FP1187" s="773"/>
      <c r="FQ1187" s="773"/>
      <c r="FR1187" s="773"/>
      <c r="FS1187" s="773"/>
      <c r="FT1187" s="773"/>
      <c r="FU1187" s="773"/>
      <c r="FV1187" s="773"/>
      <c r="FW1187" s="773"/>
      <c r="FX1187" s="773"/>
      <c r="FY1187" s="773"/>
      <c r="FZ1187" s="773"/>
      <c r="GA1187" s="773"/>
      <c r="GB1187" s="773"/>
      <c r="GC1187" s="773"/>
      <c r="GD1187" s="773"/>
      <c r="GE1187" s="773"/>
      <c r="GF1187" s="773"/>
      <c r="GG1187" s="773"/>
      <c r="GH1187" s="773"/>
      <c r="GI1187" s="773"/>
      <c r="GJ1187" s="773"/>
      <c r="GK1187" s="773"/>
      <c r="GL1187" s="773"/>
      <c r="GM1187" s="773"/>
      <c r="GN1187" s="773"/>
      <c r="GO1187" s="773"/>
      <c r="GP1187" s="773"/>
      <c r="GQ1187" s="773"/>
      <c r="GR1187" s="773"/>
      <c r="GS1187" s="773"/>
      <c r="GT1187" s="773"/>
      <c r="GU1187" s="773"/>
      <c r="GV1187" s="773"/>
      <c r="GW1187" s="773"/>
      <c r="GX1187" s="773"/>
      <c r="GY1187" s="773"/>
      <c r="GZ1187" s="773"/>
    </row>
    <row r="1188" spans="1:208" s="11" customFormat="1">
      <c r="A1188" s="917"/>
      <c r="B1188" s="918"/>
      <c r="C1188" s="767"/>
      <c r="D1188" s="173"/>
      <c r="E1188" s="769"/>
      <c r="F1188" s="769"/>
      <c r="G1188" s="769"/>
      <c r="H1188" s="769"/>
      <c r="I1188" s="769"/>
      <c r="J1188" s="769"/>
      <c r="K1188" s="209"/>
      <c r="M1188" s="771"/>
      <c r="N1188" s="772"/>
      <c r="O1188" s="772"/>
      <c r="P1188" s="772"/>
      <c r="Q1188" s="772"/>
      <c r="R1188" s="772"/>
      <c r="S1188" s="772"/>
      <c r="T1188" s="773"/>
      <c r="U1188" s="772"/>
      <c r="AW1188" s="2510"/>
      <c r="BC1188" s="2510"/>
      <c r="BD1188" s="2510"/>
      <c r="BE1188" s="2173"/>
      <c r="BF1188" s="2173"/>
      <c r="BG1188" s="2173"/>
      <c r="BH1188" s="2173"/>
      <c r="BI1188" s="2173"/>
      <c r="BJ1188" s="2173"/>
      <c r="BK1188" s="2173"/>
      <c r="DB1188" s="773"/>
      <c r="DC1188" s="773"/>
      <c r="DD1188" s="773"/>
      <c r="DE1188" s="773"/>
      <c r="DF1188" s="773"/>
      <c r="DG1188" s="773"/>
      <c r="DH1188" s="773"/>
      <c r="DI1188" s="773"/>
      <c r="DJ1188" s="773"/>
      <c r="DK1188" s="773"/>
      <c r="DL1188" s="773"/>
      <c r="DM1188" s="773"/>
      <c r="DN1188" s="773"/>
      <c r="DO1188" s="773"/>
      <c r="DP1188" s="773"/>
      <c r="DQ1188" s="773"/>
      <c r="DR1188" s="773"/>
      <c r="DS1188" s="773"/>
      <c r="DT1188" s="773"/>
      <c r="DU1188" s="773"/>
      <c r="DV1188" s="773"/>
      <c r="DW1188" s="773"/>
      <c r="DX1188" s="773"/>
      <c r="DY1188" s="773"/>
      <c r="DZ1188" s="773"/>
      <c r="EA1188" s="773"/>
      <c r="EB1188" s="773"/>
      <c r="EC1188" s="773"/>
      <c r="ED1188" s="773"/>
      <c r="EE1188" s="773"/>
      <c r="EF1188" s="773"/>
      <c r="EG1188" s="773"/>
      <c r="EH1188" s="773"/>
      <c r="EI1188" s="773"/>
      <c r="EJ1188" s="773"/>
      <c r="EK1188" s="773"/>
      <c r="EL1188" s="773"/>
      <c r="EM1188" s="773"/>
      <c r="EN1188" s="773"/>
      <c r="EO1188" s="773"/>
      <c r="EP1188" s="773"/>
      <c r="EQ1188" s="773"/>
      <c r="ER1188" s="773"/>
      <c r="ES1188" s="773"/>
      <c r="ET1188" s="773"/>
      <c r="EU1188" s="773"/>
      <c r="EV1188" s="773"/>
      <c r="EW1188" s="773"/>
      <c r="EX1188" s="773"/>
      <c r="EY1188" s="773"/>
      <c r="EZ1188" s="773"/>
      <c r="FA1188" s="773"/>
      <c r="FB1188" s="773"/>
      <c r="FC1188" s="773"/>
      <c r="FD1188" s="773"/>
      <c r="FE1188" s="773"/>
      <c r="FF1188" s="773"/>
      <c r="FG1188" s="773"/>
      <c r="FH1188" s="773"/>
      <c r="FI1188" s="773"/>
      <c r="FJ1188" s="773"/>
      <c r="FK1188" s="773"/>
      <c r="FL1188" s="773"/>
      <c r="FM1188" s="773"/>
      <c r="FN1188" s="773"/>
      <c r="FO1188" s="773"/>
      <c r="FP1188" s="773"/>
      <c r="FQ1188" s="773"/>
      <c r="FR1188" s="773"/>
      <c r="FS1188" s="773"/>
      <c r="FT1188" s="773"/>
      <c r="FU1188" s="773"/>
      <c r="FV1188" s="773"/>
      <c r="FW1188" s="773"/>
      <c r="FX1188" s="773"/>
      <c r="FY1188" s="773"/>
      <c r="FZ1188" s="773"/>
      <c r="GA1188" s="773"/>
      <c r="GB1188" s="773"/>
      <c r="GC1188" s="773"/>
      <c r="GD1188" s="773"/>
      <c r="GE1188" s="773"/>
      <c r="GF1188" s="773"/>
      <c r="GG1188" s="773"/>
      <c r="GH1188" s="773"/>
      <c r="GI1188" s="773"/>
      <c r="GJ1188" s="773"/>
      <c r="GK1188" s="773"/>
      <c r="GL1188" s="773"/>
      <c r="GM1188" s="773"/>
      <c r="GN1188" s="773"/>
      <c r="GO1188" s="773"/>
      <c r="GP1188" s="773"/>
      <c r="GQ1188" s="773"/>
      <c r="GR1188" s="773"/>
      <c r="GS1188" s="773"/>
      <c r="GT1188" s="773"/>
      <c r="GU1188" s="773"/>
      <c r="GV1188" s="773"/>
      <c r="GW1188" s="773"/>
      <c r="GX1188" s="773"/>
      <c r="GY1188" s="773"/>
      <c r="GZ1188" s="773"/>
    </row>
    <row r="1189" spans="1:208" s="11" customFormat="1">
      <c r="A1189" s="917"/>
      <c r="B1189" s="918"/>
      <c r="C1189" s="767"/>
      <c r="D1189" s="173"/>
      <c r="E1189" s="769"/>
      <c r="F1189" s="769"/>
      <c r="G1189" s="769"/>
      <c r="H1189" s="769"/>
      <c r="I1189" s="769"/>
      <c r="J1189" s="769"/>
      <c r="K1189" s="209"/>
      <c r="M1189" s="771"/>
      <c r="N1189" s="772"/>
      <c r="O1189" s="772"/>
      <c r="P1189" s="772"/>
      <c r="Q1189" s="772"/>
      <c r="R1189" s="772"/>
      <c r="S1189" s="772"/>
      <c r="T1189" s="773"/>
      <c r="U1189" s="772"/>
      <c r="AW1189" s="2510"/>
      <c r="BC1189" s="2510"/>
      <c r="BD1189" s="2510"/>
      <c r="BE1189" s="2173"/>
      <c r="BF1189" s="2173"/>
      <c r="BG1189" s="2173"/>
      <c r="BH1189" s="2173"/>
      <c r="BI1189" s="2173"/>
      <c r="BJ1189" s="2173"/>
      <c r="BK1189" s="2173"/>
      <c r="DB1189" s="773"/>
      <c r="DC1189" s="773"/>
      <c r="DD1189" s="773"/>
      <c r="DE1189" s="773"/>
      <c r="DF1189" s="773"/>
      <c r="DG1189" s="773"/>
      <c r="DH1189" s="773"/>
      <c r="DI1189" s="773"/>
      <c r="DJ1189" s="773"/>
      <c r="DK1189" s="773"/>
      <c r="DL1189" s="773"/>
      <c r="DM1189" s="773"/>
      <c r="DN1189" s="773"/>
      <c r="DO1189" s="773"/>
      <c r="DP1189" s="773"/>
      <c r="DQ1189" s="773"/>
      <c r="DR1189" s="773"/>
      <c r="DS1189" s="773"/>
      <c r="DT1189" s="773"/>
      <c r="DU1189" s="773"/>
      <c r="DV1189" s="773"/>
      <c r="DW1189" s="773"/>
      <c r="DX1189" s="773"/>
      <c r="DY1189" s="773"/>
      <c r="DZ1189" s="773"/>
      <c r="EA1189" s="773"/>
      <c r="EB1189" s="773"/>
      <c r="EC1189" s="773"/>
      <c r="ED1189" s="773"/>
      <c r="EE1189" s="773"/>
      <c r="EF1189" s="773"/>
      <c r="EG1189" s="773"/>
      <c r="EH1189" s="773"/>
      <c r="EI1189" s="773"/>
      <c r="EJ1189" s="773"/>
      <c r="EK1189" s="773"/>
      <c r="EL1189" s="773"/>
      <c r="EM1189" s="773"/>
      <c r="EN1189" s="773"/>
      <c r="EO1189" s="773"/>
      <c r="EP1189" s="773"/>
      <c r="EQ1189" s="773"/>
      <c r="ER1189" s="773"/>
      <c r="ES1189" s="773"/>
      <c r="ET1189" s="773"/>
      <c r="EU1189" s="773"/>
      <c r="EV1189" s="773"/>
      <c r="EW1189" s="773"/>
      <c r="EX1189" s="773"/>
      <c r="EY1189" s="773"/>
      <c r="EZ1189" s="773"/>
      <c r="FA1189" s="773"/>
      <c r="FB1189" s="773"/>
      <c r="FC1189" s="773"/>
      <c r="FD1189" s="773"/>
      <c r="FE1189" s="773"/>
      <c r="FF1189" s="773"/>
      <c r="FG1189" s="773"/>
      <c r="FH1189" s="773"/>
      <c r="FI1189" s="773"/>
      <c r="FJ1189" s="773"/>
      <c r="FK1189" s="773"/>
      <c r="FL1189" s="773"/>
      <c r="FM1189" s="773"/>
      <c r="FN1189" s="773"/>
      <c r="FO1189" s="773"/>
      <c r="FP1189" s="773"/>
      <c r="FQ1189" s="773"/>
      <c r="FR1189" s="773"/>
      <c r="FS1189" s="773"/>
      <c r="FT1189" s="773"/>
      <c r="FU1189" s="773"/>
      <c r="FV1189" s="773"/>
      <c r="FW1189" s="773"/>
      <c r="FX1189" s="773"/>
      <c r="FY1189" s="773"/>
      <c r="FZ1189" s="773"/>
      <c r="GA1189" s="773"/>
      <c r="GB1189" s="773"/>
      <c r="GC1189" s="773"/>
      <c r="GD1189" s="773"/>
      <c r="GE1189" s="773"/>
      <c r="GF1189" s="773"/>
      <c r="GG1189" s="773"/>
      <c r="GH1189" s="773"/>
      <c r="GI1189" s="773"/>
      <c r="GJ1189" s="773"/>
      <c r="GK1189" s="773"/>
      <c r="GL1189" s="773"/>
      <c r="GM1189" s="773"/>
      <c r="GN1189" s="773"/>
      <c r="GO1189" s="773"/>
      <c r="GP1189" s="773"/>
      <c r="GQ1189" s="773"/>
      <c r="GR1189" s="773"/>
      <c r="GS1189" s="773"/>
      <c r="GT1189" s="773"/>
      <c r="GU1189" s="773"/>
      <c r="GV1189" s="773"/>
      <c r="GW1189" s="773"/>
      <c r="GX1189" s="773"/>
      <c r="GY1189" s="773"/>
      <c r="GZ1189" s="773"/>
    </row>
    <row r="1190" spans="1:208" s="11" customFormat="1">
      <c r="A1190" s="917"/>
      <c r="B1190" s="918"/>
      <c r="C1190" s="767"/>
      <c r="D1190" s="173"/>
      <c r="E1190" s="769"/>
      <c r="F1190" s="769"/>
      <c r="G1190" s="769"/>
      <c r="H1190" s="769"/>
      <c r="I1190" s="769"/>
      <c r="J1190" s="769"/>
      <c r="K1190" s="209"/>
      <c r="M1190" s="771"/>
      <c r="N1190" s="772"/>
      <c r="O1190" s="772"/>
      <c r="P1190" s="772"/>
      <c r="Q1190" s="772"/>
      <c r="R1190" s="772"/>
      <c r="S1190" s="772"/>
      <c r="T1190" s="773"/>
      <c r="U1190" s="772"/>
      <c r="AW1190" s="2510"/>
      <c r="BC1190" s="2510"/>
      <c r="BD1190" s="2510"/>
      <c r="BE1190" s="2173"/>
      <c r="BF1190" s="2173"/>
      <c r="BG1190" s="2173"/>
      <c r="BH1190" s="2173"/>
      <c r="BI1190" s="2173"/>
      <c r="BJ1190" s="2173"/>
      <c r="BK1190" s="2173"/>
      <c r="DB1190" s="773"/>
      <c r="DC1190" s="773"/>
      <c r="DD1190" s="773"/>
      <c r="DE1190" s="773"/>
      <c r="DF1190" s="773"/>
      <c r="DG1190" s="773"/>
      <c r="DH1190" s="773"/>
      <c r="DI1190" s="773"/>
      <c r="DJ1190" s="773"/>
      <c r="DK1190" s="773"/>
      <c r="DL1190" s="773"/>
      <c r="DM1190" s="773"/>
      <c r="DN1190" s="773"/>
      <c r="DO1190" s="773"/>
      <c r="DP1190" s="773"/>
      <c r="DQ1190" s="773"/>
      <c r="DR1190" s="773"/>
      <c r="DS1190" s="773"/>
      <c r="DT1190" s="773"/>
      <c r="DU1190" s="773"/>
      <c r="DV1190" s="773"/>
      <c r="DW1190" s="773"/>
      <c r="DX1190" s="773"/>
      <c r="DY1190" s="773"/>
      <c r="DZ1190" s="773"/>
      <c r="EA1190" s="773"/>
      <c r="EB1190" s="773"/>
      <c r="EC1190" s="773"/>
      <c r="ED1190" s="773"/>
      <c r="EE1190" s="773"/>
      <c r="EF1190" s="773"/>
      <c r="EG1190" s="773"/>
      <c r="EH1190" s="773"/>
      <c r="EI1190" s="773"/>
      <c r="EJ1190" s="773"/>
      <c r="EK1190" s="773"/>
      <c r="EL1190" s="773"/>
      <c r="EM1190" s="773"/>
      <c r="EN1190" s="773"/>
      <c r="EO1190" s="773"/>
      <c r="EP1190" s="773"/>
      <c r="EQ1190" s="773"/>
      <c r="ER1190" s="773"/>
      <c r="ES1190" s="773"/>
      <c r="ET1190" s="773"/>
      <c r="EU1190" s="773"/>
      <c r="EV1190" s="773"/>
      <c r="EW1190" s="773"/>
      <c r="EX1190" s="773"/>
      <c r="EY1190" s="773"/>
      <c r="EZ1190" s="773"/>
      <c r="FA1190" s="773"/>
      <c r="FB1190" s="773"/>
      <c r="FC1190" s="773"/>
      <c r="FD1190" s="773"/>
      <c r="FE1190" s="773"/>
      <c r="FF1190" s="773"/>
      <c r="FG1190" s="773"/>
      <c r="FH1190" s="773"/>
      <c r="FI1190" s="773"/>
      <c r="FJ1190" s="773"/>
      <c r="FK1190" s="773"/>
      <c r="FL1190" s="773"/>
      <c r="FM1190" s="773"/>
      <c r="FN1190" s="773"/>
      <c r="FO1190" s="773"/>
      <c r="FP1190" s="773"/>
      <c r="FQ1190" s="773"/>
      <c r="FR1190" s="773"/>
      <c r="FS1190" s="773"/>
      <c r="FT1190" s="773"/>
      <c r="FU1190" s="773"/>
      <c r="FV1190" s="773"/>
      <c r="FW1190" s="773"/>
      <c r="FX1190" s="773"/>
      <c r="FY1190" s="773"/>
      <c r="FZ1190" s="773"/>
      <c r="GA1190" s="773"/>
      <c r="GB1190" s="773"/>
      <c r="GC1190" s="773"/>
      <c r="GD1190" s="773"/>
      <c r="GE1190" s="773"/>
      <c r="GF1190" s="773"/>
      <c r="GG1190" s="773"/>
      <c r="GH1190" s="773"/>
      <c r="GI1190" s="773"/>
      <c r="GJ1190" s="773"/>
      <c r="GK1190" s="773"/>
      <c r="GL1190" s="773"/>
      <c r="GM1190" s="773"/>
      <c r="GN1190" s="773"/>
      <c r="GO1190" s="773"/>
      <c r="GP1190" s="773"/>
      <c r="GQ1190" s="773"/>
      <c r="GR1190" s="773"/>
      <c r="GS1190" s="773"/>
      <c r="GT1190" s="773"/>
      <c r="GU1190" s="773"/>
      <c r="GV1190" s="773"/>
      <c r="GW1190" s="773"/>
      <c r="GX1190" s="773"/>
      <c r="GY1190" s="773"/>
      <c r="GZ1190" s="773"/>
    </row>
    <row r="1191" spans="1:208" s="11" customFormat="1">
      <c r="A1191" s="917"/>
      <c r="B1191" s="918"/>
      <c r="C1191" s="767"/>
      <c r="D1191" s="173"/>
      <c r="E1191" s="769"/>
      <c r="F1191" s="769"/>
      <c r="G1191" s="769"/>
      <c r="H1191" s="769"/>
      <c r="I1191" s="769"/>
      <c r="J1191" s="769"/>
      <c r="K1191" s="209"/>
      <c r="M1191" s="771"/>
      <c r="N1191" s="772"/>
      <c r="O1191" s="772"/>
      <c r="P1191" s="772"/>
      <c r="Q1191" s="772"/>
      <c r="R1191" s="772"/>
      <c r="S1191" s="772"/>
      <c r="T1191" s="773"/>
      <c r="U1191" s="772"/>
      <c r="AW1191" s="2510"/>
      <c r="BC1191" s="2510"/>
      <c r="BD1191" s="2510"/>
      <c r="BE1191" s="2173"/>
      <c r="BF1191" s="2173"/>
      <c r="BG1191" s="2173"/>
      <c r="BH1191" s="2173"/>
      <c r="BI1191" s="2173"/>
      <c r="BJ1191" s="2173"/>
      <c r="BK1191" s="2173"/>
      <c r="DB1191" s="773"/>
      <c r="DC1191" s="773"/>
      <c r="DD1191" s="773"/>
      <c r="DE1191" s="773"/>
      <c r="DF1191" s="773"/>
      <c r="DG1191" s="773"/>
      <c r="DH1191" s="773"/>
      <c r="DI1191" s="773"/>
      <c r="DJ1191" s="773"/>
      <c r="DK1191" s="773"/>
      <c r="DL1191" s="773"/>
      <c r="DM1191" s="773"/>
      <c r="DN1191" s="773"/>
      <c r="DO1191" s="773"/>
      <c r="DP1191" s="773"/>
      <c r="DQ1191" s="773"/>
      <c r="DR1191" s="773"/>
      <c r="DS1191" s="773"/>
      <c r="DT1191" s="773"/>
      <c r="DU1191" s="773"/>
      <c r="DV1191" s="773"/>
      <c r="DW1191" s="773"/>
      <c r="DX1191" s="773"/>
      <c r="DY1191" s="773"/>
      <c r="DZ1191" s="773"/>
      <c r="EA1191" s="773"/>
      <c r="EB1191" s="773"/>
      <c r="EC1191" s="773"/>
      <c r="ED1191" s="773"/>
      <c r="EE1191" s="773"/>
      <c r="EF1191" s="773"/>
      <c r="EG1191" s="773"/>
      <c r="EH1191" s="773"/>
      <c r="EI1191" s="773"/>
      <c r="EJ1191" s="773"/>
      <c r="EK1191" s="773"/>
      <c r="EL1191" s="773"/>
      <c r="EM1191" s="773"/>
      <c r="EN1191" s="773"/>
      <c r="EO1191" s="773"/>
      <c r="EP1191" s="773"/>
      <c r="EQ1191" s="773"/>
      <c r="ER1191" s="773"/>
      <c r="ES1191" s="773"/>
      <c r="ET1191" s="773"/>
      <c r="EU1191" s="773"/>
      <c r="EV1191" s="773"/>
      <c r="EW1191" s="773"/>
      <c r="EX1191" s="773"/>
      <c r="EY1191" s="773"/>
      <c r="EZ1191" s="773"/>
      <c r="FA1191" s="773"/>
      <c r="FB1191" s="773"/>
      <c r="FC1191" s="773"/>
      <c r="FD1191" s="773"/>
      <c r="FE1191" s="773"/>
      <c r="FF1191" s="773"/>
      <c r="FG1191" s="773"/>
      <c r="FH1191" s="773"/>
      <c r="FI1191" s="773"/>
      <c r="FJ1191" s="773"/>
      <c r="FK1191" s="773"/>
      <c r="FL1191" s="773"/>
      <c r="FM1191" s="773"/>
      <c r="FN1191" s="773"/>
      <c r="FO1191" s="773"/>
      <c r="FP1191" s="773"/>
      <c r="FQ1191" s="773"/>
      <c r="FR1191" s="773"/>
      <c r="FS1191" s="773"/>
      <c r="FT1191" s="773"/>
      <c r="FU1191" s="773"/>
      <c r="FV1191" s="773"/>
      <c r="FW1191" s="773"/>
      <c r="FX1191" s="773"/>
      <c r="FY1191" s="773"/>
      <c r="FZ1191" s="773"/>
      <c r="GA1191" s="773"/>
      <c r="GB1191" s="773"/>
      <c r="GC1191" s="773"/>
      <c r="GD1191" s="773"/>
      <c r="GE1191" s="773"/>
      <c r="GF1191" s="773"/>
      <c r="GG1191" s="773"/>
      <c r="GH1191" s="773"/>
      <c r="GI1191" s="773"/>
      <c r="GJ1191" s="773"/>
      <c r="GK1191" s="773"/>
      <c r="GL1191" s="773"/>
      <c r="GM1191" s="773"/>
      <c r="GN1191" s="773"/>
      <c r="GO1191" s="773"/>
      <c r="GP1191" s="773"/>
      <c r="GQ1191" s="773"/>
      <c r="GR1191" s="773"/>
      <c r="GS1191" s="773"/>
      <c r="GT1191" s="773"/>
      <c r="GU1191" s="773"/>
      <c r="GV1191" s="773"/>
      <c r="GW1191" s="773"/>
      <c r="GX1191" s="773"/>
      <c r="GY1191" s="773"/>
      <c r="GZ1191" s="773"/>
    </row>
    <row r="1192" spans="1:208" s="11" customFormat="1">
      <c r="A1192" s="917"/>
      <c r="B1192" s="918"/>
      <c r="C1192" s="767"/>
      <c r="D1192" s="173"/>
      <c r="E1192" s="769"/>
      <c r="F1192" s="769"/>
      <c r="G1192" s="769"/>
      <c r="H1192" s="769"/>
      <c r="I1192" s="769"/>
      <c r="J1192" s="769"/>
      <c r="K1192" s="209"/>
      <c r="M1192" s="771"/>
      <c r="N1192" s="772"/>
      <c r="O1192" s="772"/>
      <c r="P1192" s="772"/>
      <c r="Q1192" s="772"/>
      <c r="R1192" s="772"/>
      <c r="S1192" s="772"/>
      <c r="T1192" s="773"/>
      <c r="U1192" s="772"/>
      <c r="AW1192" s="2510"/>
      <c r="BC1192" s="2510"/>
      <c r="BD1192" s="2510"/>
      <c r="BE1192" s="2173"/>
      <c r="BF1192" s="2173"/>
      <c r="BG1192" s="2173"/>
      <c r="BH1192" s="2173"/>
      <c r="BI1192" s="2173"/>
      <c r="BJ1192" s="2173"/>
      <c r="BK1192" s="2173"/>
      <c r="DB1192" s="773"/>
      <c r="DC1192" s="773"/>
      <c r="DD1192" s="773"/>
      <c r="DE1192" s="773"/>
      <c r="DF1192" s="773"/>
      <c r="DG1192" s="773"/>
      <c r="DH1192" s="773"/>
      <c r="DI1192" s="773"/>
      <c r="DJ1192" s="773"/>
      <c r="DK1192" s="773"/>
      <c r="DL1192" s="773"/>
      <c r="DM1192" s="773"/>
      <c r="DN1192" s="773"/>
      <c r="DO1192" s="773"/>
      <c r="DP1192" s="773"/>
      <c r="DQ1192" s="773"/>
      <c r="DR1192" s="773"/>
      <c r="DS1192" s="773"/>
      <c r="DT1192" s="773"/>
      <c r="DU1192" s="773"/>
      <c r="DV1192" s="773"/>
      <c r="DW1192" s="773"/>
      <c r="DX1192" s="773"/>
      <c r="DY1192" s="773"/>
      <c r="DZ1192" s="773"/>
      <c r="EA1192" s="773"/>
      <c r="EB1192" s="773"/>
      <c r="EC1192" s="773"/>
      <c r="ED1192" s="773"/>
      <c r="EE1192" s="773"/>
      <c r="EF1192" s="773"/>
      <c r="EG1192" s="773"/>
      <c r="EH1192" s="773"/>
      <c r="EI1192" s="773"/>
      <c r="EJ1192" s="773"/>
      <c r="EK1192" s="773"/>
      <c r="EL1192" s="773"/>
      <c r="EM1192" s="773"/>
      <c r="EN1192" s="773"/>
      <c r="EO1192" s="773"/>
      <c r="EP1192" s="773"/>
      <c r="EQ1192" s="773"/>
      <c r="ER1192" s="773"/>
      <c r="ES1192" s="773"/>
      <c r="ET1192" s="773"/>
      <c r="EU1192" s="773"/>
      <c r="EV1192" s="773"/>
      <c r="EW1192" s="773"/>
      <c r="EX1192" s="773"/>
      <c r="EY1192" s="773"/>
      <c r="EZ1192" s="773"/>
      <c r="FA1192" s="773"/>
      <c r="FB1192" s="773"/>
      <c r="FC1192" s="773"/>
      <c r="FD1192" s="773"/>
      <c r="FE1192" s="773"/>
      <c r="FF1192" s="773"/>
      <c r="FG1192" s="773"/>
      <c r="FH1192" s="773"/>
      <c r="FI1192" s="773"/>
      <c r="FJ1192" s="773"/>
      <c r="FK1192" s="773"/>
      <c r="FL1192" s="773"/>
      <c r="FM1192" s="773"/>
      <c r="FN1192" s="773"/>
      <c r="FO1192" s="773"/>
      <c r="FP1192" s="773"/>
      <c r="FQ1192" s="773"/>
      <c r="FR1192" s="773"/>
      <c r="FS1192" s="773"/>
      <c r="FT1192" s="773"/>
      <c r="FU1192" s="773"/>
      <c r="FV1192" s="773"/>
      <c r="FW1192" s="773"/>
      <c r="FX1192" s="773"/>
      <c r="FY1192" s="773"/>
      <c r="FZ1192" s="773"/>
      <c r="GA1192" s="773"/>
      <c r="GB1192" s="773"/>
      <c r="GC1192" s="773"/>
      <c r="GD1192" s="773"/>
      <c r="GE1192" s="773"/>
      <c r="GF1192" s="773"/>
      <c r="GG1192" s="773"/>
      <c r="GH1192" s="773"/>
      <c r="GI1192" s="773"/>
      <c r="GJ1192" s="773"/>
      <c r="GK1192" s="773"/>
      <c r="GL1192" s="773"/>
      <c r="GM1192" s="773"/>
      <c r="GN1192" s="773"/>
      <c r="GO1192" s="773"/>
      <c r="GP1192" s="773"/>
      <c r="GQ1192" s="773"/>
      <c r="GR1192" s="773"/>
      <c r="GS1192" s="773"/>
      <c r="GT1192" s="773"/>
      <c r="GU1192" s="773"/>
      <c r="GV1192" s="773"/>
      <c r="GW1192" s="773"/>
      <c r="GX1192" s="773"/>
      <c r="GY1192" s="773"/>
      <c r="GZ1192" s="773"/>
    </row>
    <row r="1193" spans="1:208" s="11" customFormat="1">
      <c r="A1193" s="917"/>
      <c r="B1193" s="918"/>
      <c r="C1193" s="767"/>
      <c r="D1193" s="173"/>
      <c r="E1193" s="769"/>
      <c r="F1193" s="769"/>
      <c r="G1193" s="769"/>
      <c r="H1193" s="769"/>
      <c r="I1193" s="769"/>
      <c r="J1193" s="769"/>
      <c r="K1193" s="209"/>
      <c r="M1193" s="771"/>
      <c r="N1193" s="772"/>
      <c r="O1193" s="772"/>
      <c r="P1193" s="772"/>
      <c r="Q1193" s="772"/>
      <c r="R1193" s="772"/>
      <c r="S1193" s="772"/>
      <c r="T1193" s="773"/>
      <c r="U1193" s="772"/>
      <c r="AW1193" s="2510"/>
      <c r="BC1193" s="2510"/>
      <c r="BD1193" s="2510"/>
      <c r="BE1193" s="2173"/>
      <c r="BF1193" s="2173"/>
      <c r="BG1193" s="2173"/>
      <c r="BH1193" s="2173"/>
      <c r="BI1193" s="2173"/>
      <c r="BJ1193" s="2173"/>
      <c r="BK1193" s="2173"/>
      <c r="DB1193" s="773"/>
      <c r="DC1193" s="773"/>
      <c r="DD1193" s="773"/>
      <c r="DE1193" s="773"/>
      <c r="DF1193" s="773"/>
      <c r="DG1193" s="773"/>
      <c r="DH1193" s="773"/>
      <c r="DI1193" s="773"/>
      <c r="DJ1193" s="773"/>
      <c r="DK1193" s="773"/>
      <c r="DL1193" s="773"/>
      <c r="DM1193" s="773"/>
      <c r="DN1193" s="773"/>
      <c r="DO1193" s="773"/>
      <c r="DP1193" s="773"/>
      <c r="DQ1193" s="773"/>
      <c r="DR1193" s="773"/>
      <c r="DS1193" s="773"/>
      <c r="DT1193" s="773"/>
      <c r="DU1193" s="773"/>
      <c r="DV1193" s="773"/>
      <c r="DW1193" s="773"/>
      <c r="DX1193" s="773"/>
      <c r="DY1193" s="773"/>
      <c r="DZ1193" s="773"/>
      <c r="EA1193" s="773"/>
      <c r="EB1193" s="773"/>
      <c r="EC1193" s="773"/>
      <c r="ED1193" s="773"/>
      <c r="EE1193" s="773"/>
      <c r="EF1193" s="773"/>
      <c r="EG1193" s="773"/>
      <c r="EH1193" s="773"/>
      <c r="EI1193" s="773"/>
      <c r="EJ1193" s="773"/>
      <c r="EK1193" s="773"/>
      <c r="EL1193" s="773"/>
      <c r="EM1193" s="773"/>
      <c r="EN1193" s="773"/>
      <c r="EO1193" s="773"/>
      <c r="EP1193" s="773"/>
      <c r="EQ1193" s="773"/>
      <c r="ER1193" s="773"/>
      <c r="ES1193" s="773"/>
      <c r="ET1193" s="773"/>
      <c r="EU1193" s="773"/>
      <c r="EV1193" s="773"/>
      <c r="EW1193" s="773"/>
      <c r="EX1193" s="773"/>
      <c r="EY1193" s="773"/>
      <c r="EZ1193" s="773"/>
      <c r="FA1193" s="773"/>
      <c r="FB1193" s="773"/>
      <c r="FC1193" s="773"/>
      <c r="FD1193" s="773"/>
      <c r="FE1193" s="773"/>
      <c r="FF1193" s="773"/>
      <c r="FG1193" s="773"/>
      <c r="FH1193" s="773"/>
      <c r="FI1193" s="773"/>
      <c r="FJ1193" s="773"/>
      <c r="FK1193" s="773"/>
      <c r="FL1193" s="773"/>
      <c r="FM1193" s="773"/>
      <c r="FN1193" s="773"/>
      <c r="FO1193" s="773"/>
      <c r="FP1193" s="773"/>
      <c r="FQ1193" s="773"/>
      <c r="FR1193" s="773"/>
      <c r="FS1193" s="773"/>
      <c r="FT1193" s="773"/>
      <c r="FU1193" s="773"/>
      <c r="FV1193" s="773"/>
      <c r="FW1193" s="773"/>
      <c r="FX1193" s="773"/>
      <c r="FY1193" s="773"/>
      <c r="FZ1193" s="773"/>
      <c r="GA1193" s="773"/>
      <c r="GB1193" s="773"/>
      <c r="GC1193" s="773"/>
      <c r="GD1193" s="773"/>
      <c r="GE1193" s="773"/>
      <c r="GF1193" s="773"/>
      <c r="GG1193" s="773"/>
      <c r="GH1193" s="773"/>
      <c r="GI1193" s="773"/>
      <c r="GJ1193" s="773"/>
      <c r="GK1193" s="773"/>
      <c r="GL1193" s="773"/>
      <c r="GM1193" s="773"/>
      <c r="GN1193" s="773"/>
      <c r="GO1193" s="773"/>
      <c r="GP1193" s="773"/>
      <c r="GQ1193" s="773"/>
      <c r="GR1193" s="773"/>
      <c r="GS1193" s="773"/>
      <c r="GT1193" s="773"/>
      <c r="GU1193" s="773"/>
      <c r="GV1193" s="773"/>
      <c r="GW1193" s="773"/>
      <c r="GX1193" s="773"/>
      <c r="GY1193" s="773"/>
      <c r="GZ1193" s="773"/>
    </row>
    <row r="1194" spans="1:208" s="11" customFormat="1">
      <c r="A1194" s="917"/>
      <c r="B1194" s="918"/>
      <c r="C1194" s="767"/>
      <c r="D1194" s="173"/>
      <c r="E1194" s="769"/>
      <c r="F1194" s="769"/>
      <c r="G1194" s="769"/>
      <c r="H1194" s="769"/>
      <c r="I1194" s="769"/>
      <c r="J1194" s="769"/>
      <c r="K1194" s="209"/>
      <c r="M1194" s="771"/>
      <c r="N1194" s="772"/>
      <c r="O1194" s="772"/>
      <c r="P1194" s="772"/>
      <c r="Q1194" s="772"/>
      <c r="R1194" s="772"/>
      <c r="S1194" s="772"/>
      <c r="T1194" s="773"/>
      <c r="U1194" s="772"/>
      <c r="AW1194" s="2510"/>
      <c r="BC1194" s="2510"/>
      <c r="BD1194" s="2510"/>
      <c r="BE1194" s="2173"/>
      <c r="BF1194" s="2173"/>
      <c r="BG1194" s="2173"/>
      <c r="BH1194" s="2173"/>
      <c r="BI1194" s="2173"/>
      <c r="BJ1194" s="2173"/>
      <c r="BK1194" s="2173"/>
      <c r="DB1194" s="773"/>
      <c r="DC1194" s="773"/>
      <c r="DD1194" s="773"/>
      <c r="DE1194" s="773"/>
      <c r="DF1194" s="773"/>
      <c r="DG1194" s="773"/>
      <c r="DH1194" s="773"/>
      <c r="DI1194" s="773"/>
      <c r="DJ1194" s="773"/>
      <c r="DK1194" s="773"/>
      <c r="DL1194" s="773"/>
      <c r="DM1194" s="773"/>
      <c r="DN1194" s="773"/>
      <c r="DO1194" s="773"/>
      <c r="DP1194" s="773"/>
      <c r="DQ1194" s="773"/>
      <c r="DR1194" s="773"/>
      <c r="DS1194" s="773"/>
      <c r="DT1194" s="773"/>
      <c r="DU1194" s="773"/>
      <c r="DV1194" s="773"/>
      <c r="DW1194" s="773"/>
      <c r="DX1194" s="773"/>
      <c r="DY1194" s="773"/>
      <c r="DZ1194" s="773"/>
      <c r="EA1194" s="773"/>
      <c r="EB1194" s="773"/>
      <c r="EC1194" s="773"/>
      <c r="ED1194" s="773"/>
      <c r="EE1194" s="773"/>
      <c r="EF1194" s="773"/>
      <c r="EG1194" s="773"/>
      <c r="EH1194" s="773"/>
      <c r="EI1194" s="773"/>
      <c r="EJ1194" s="773"/>
      <c r="EK1194" s="773"/>
      <c r="EL1194" s="773"/>
      <c r="EM1194" s="773"/>
      <c r="EN1194" s="773"/>
      <c r="EO1194" s="773"/>
      <c r="EP1194" s="773"/>
      <c r="EQ1194" s="773"/>
      <c r="ER1194" s="773"/>
      <c r="ES1194" s="773"/>
      <c r="ET1194" s="773"/>
      <c r="EU1194" s="773"/>
      <c r="EV1194" s="773"/>
      <c r="EW1194" s="773"/>
      <c r="EX1194" s="773"/>
      <c r="EY1194" s="773"/>
      <c r="EZ1194" s="773"/>
      <c r="FA1194" s="773"/>
      <c r="FB1194" s="773"/>
      <c r="FC1194" s="773"/>
      <c r="FD1194" s="773"/>
      <c r="FE1194" s="773"/>
      <c r="FF1194" s="773"/>
      <c r="FG1194" s="773"/>
      <c r="FH1194" s="773"/>
      <c r="FI1194" s="773"/>
      <c r="FJ1194" s="773"/>
      <c r="FK1194" s="773"/>
      <c r="FL1194" s="773"/>
      <c r="FM1194" s="773"/>
      <c r="FN1194" s="773"/>
      <c r="FO1194" s="773"/>
      <c r="FP1194" s="773"/>
      <c r="FQ1194" s="773"/>
      <c r="FR1194" s="773"/>
      <c r="FS1194" s="773"/>
      <c r="FT1194" s="773"/>
      <c r="FU1194" s="773"/>
      <c r="FV1194" s="773"/>
      <c r="FW1194" s="773"/>
      <c r="FX1194" s="773"/>
      <c r="FY1194" s="773"/>
      <c r="FZ1194" s="773"/>
      <c r="GA1194" s="773"/>
      <c r="GB1194" s="773"/>
      <c r="GC1194" s="773"/>
      <c r="GD1194" s="773"/>
      <c r="GE1194" s="773"/>
      <c r="GF1194" s="773"/>
      <c r="GG1194" s="773"/>
      <c r="GH1194" s="773"/>
      <c r="GI1194" s="773"/>
      <c r="GJ1194" s="773"/>
      <c r="GK1194" s="773"/>
      <c r="GL1194" s="773"/>
      <c r="GM1194" s="773"/>
      <c r="GN1194" s="773"/>
      <c r="GO1194" s="773"/>
      <c r="GP1194" s="773"/>
      <c r="GQ1194" s="773"/>
      <c r="GR1194" s="773"/>
      <c r="GS1194" s="773"/>
      <c r="GT1194" s="773"/>
      <c r="GU1194" s="773"/>
      <c r="GV1194" s="773"/>
      <c r="GW1194" s="773"/>
      <c r="GX1194" s="773"/>
      <c r="GY1194" s="773"/>
      <c r="GZ1194" s="773"/>
    </row>
    <row r="1195" spans="1:208" s="11" customFormat="1">
      <c r="A1195" s="917"/>
      <c r="B1195" s="918"/>
      <c r="C1195" s="767"/>
      <c r="D1195" s="173"/>
      <c r="E1195" s="769"/>
      <c r="F1195" s="769"/>
      <c r="G1195" s="769"/>
      <c r="H1195" s="769"/>
      <c r="I1195" s="769"/>
      <c r="J1195" s="769"/>
      <c r="K1195" s="209"/>
      <c r="M1195" s="771"/>
      <c r="N1195" s="772"/>
      <c r="O1195" s="772"/>
      <c r="P1195" s="772"/>
      <c r="Q1195" s="772"/>
      <c r="R1195" s="772"/>
      <c r="S1195" s="772"/>
      <c r="T1195" s="773"/>
      <c r="U1195" s="772"/>
      <c r="AW1195" s="2510"/>
      <c r="BC1195" s="2510"/>
      <c r="BD1195" s="2510"/>
      <c r="BE1195" s="2173"/>
      <c r="BF1195" s="2173"/>
      <c r="BG1195" s="2173"/>
      <c r="BH1195" s="2173"/>
      <c r="BI1195" s="2173"/>
      <c r="BJ1195" s="2173"/>
      <c r="BK1195" s="2173"/>
      <c r="DB1195" s="773"/>
      <c r="DC1195" s="773"/>
      <c r="DD1195" s="773"/>
      <c r="DE1195" s="773"/>
      <c r="DF1195" s="773"/>
      <c r="DG1195" s="773"/>
      <c r="DH1195" s="773"/>
      <c r="DI1195" s="773"/>
      <c r="DJ1195" s="773"/>
      <c r="DK1195" s="773"/>
      <c r="DL1195" s="773"/>
      <c r="DM1195" s="773"/>
      <c r="DN1195" s="773"/>
      <c r="DO1195" s="773"/>
      <c r="DP1195" s="773"/>
      <c r="DQ1195" s="773"/>
      <c r="DR1195" s="773"/>
      <c r="DS1195" s="773"/>
      <c r="DT1195" s="773"/>
      <c r="DU1195" s="773"/>
      <c r="DV1195" s="773"/>
      <c r="DW1195" s="773"/>
      <c r="DX1195" s="773"/>
      <c r="DY1195" s="773"/>
      <c r="DZ1195" s="773"/>
      <c r="EA1195" s="773"/>
      <c r="EB1195" s="773"/>
      <c r="EC1195" s="773"/>
      <c r="ED1195" s="773"/>
      <c r="EE1195" s="773"/>
      <c r="EF1195" s="773"/>
      <c r="EG1195" s="773"/>
      <c r="EH1195" s="773"/>
      <c r="EI1195" s="773"/>
      <c r="EJ1195" s="773"/>
      <c r="EK1195" s="773"/>
      <c r="EL1195" s="773"/>
      <c r="EM1195" s="773"/>
      <c r="EN1195" s="773"/>
      <c r="EO1195" s="773"/>
      <c r="EP1195" s="773"/>
      <c r="EQ1195" s="773"/>
      <c r="ER1195" s="773"/>
      <c r="ES1195" s="773"/>
      <c r="ET1195" s="773"/>
      <c r="EU1195" s="773"/>
      <c r="EV1195" s="773"/>
      <c r="EW1195" s="773"/>
      <c r="EX1195" s="773"/>
      <c r="EY1195" s="773"/>
      <c r="EZ1195" s="773"/>
      <c r="FA1195" s="773"/>
      <c r="FB1195" s="773"/>
      <c r="FC1195" s="773"/>
      <c r="FD1195" s="773"/>
      <c r="FE1195" s="773"/>
      <c r="FF1195" s="773"/>
      <c r="FG1195" s="773"/>
      <c r="FH1195" s="773"/>
      <c r="FI1195" s="773"/>
      <c r="FJ1195" s="773"/>
      <c r="FK1195" s="773"/>
      <c r="FL1195" s="773"/>
      <c r="FM1195" s="773"/>
      <c r="FN1195" s="773"/>
      <c r="FO1195" s="773"/>
      <c r="FP1195" s="773"/>
      <c r="FQ1195" s="773"/>
      <c r="FR1195" s="773"/>
      <c r="FS1195" s="773"/>
      <c r="FT1195" s="773"/>
      <c r="FU1195" s="773"/>
      <c r="FV1195" s="773"/>
      <c r="FW1195" s="773"/>
      <c r="FX1195" s="773"/>
      <c r="FY1195" s="773"/>
      <c r="FZ1195" s="773"/>
      <c r="GA1195" s="773"/>
      <c r="GB1195" s="773"/>
      <c r="GC1195" s="773"/>
      <c r="GD1195" s="773"/>
      <c r="GE1195" s="773"/>
      <c r="GF1195" s="773"/>
      <c r="GG1195" s="773"/>
      <c r="GH1195" s="773"/>
      <c r="GI1195" s="773"/>
      <c r="GJ1195" s="773"/>
      <c r="GK1195" s="773"/>
      <c r="GL1195" s="773"/>
      <c r="GM1195" s="773"/>
      <c r="GN1195" s="773"/>
      <c r="GO1195" s="773"/>
      <c r="GP1195" s="773"/>
      <c r="GQ1195" s="773"/>
      <c r="GR1195" s="773"/>
      <c r="GS1195" s="773"/>
      <c r="GT1195" s="773"/>
      <c r="GU1195" s="773"/>
      <c r="GV1195" s="773"/>
      <c r="GW1195" s="773"/>
      <c r="GX1195" s="773"/>
      <c r="GY1195" s="773"/>
      <c r="GZ1195" s="773"/>
    </row>
    <row r="1196" spans="1:208" s="11" customFormat="1">
      <c r="A1196" s="917"/>
      <c r="B1196" s="918"/>
      <c r="C1196" s="767"/>
      <c r="D1196" s="173"/>
      <c r="E1196" s="769"/>
      <c r="F1196" s="769"/>
      <c r="G1196" s="769"/>
      <c r="H1196" s="769"/>
      <c r="I1196" s="769"/>
      <c r="J1196" s="769"/>
      <c r="K1196" s="209"/>
      <c r="M1196" s="771"/>
      <c r="N1196" s="772"/>
      <c r="O1196" s="772"/>
      <c r="P1196" s="772"/>
      <c r="Q1196" s="772"/>
      <c r="R1196" s="772"/>
      <c r="S1196" s="772"/>
      <c r="T1196" s="773"/>
      <c r="U1196" s="772"/>
      <c r="AW1196" s="2510"/>
      <c r="BC1196" s="2510"/>
      <c r="BD1196" s="2510"/>
      <c r="BE1196" s="2173"/>
      <c r="BF1196" s="2173"/>
      <c r="BG1196" s="2173"/>
      <c r="BH1196" s="2173"/>
      <c r="BI1196" s="2173"/>
      <c r="BJ1196" s="2173"/>
      <c r="BK1196" s="2173"/>
      <c r="DB1196" s="773"/>
      <c r="DC1196" s="773"/>
      <c r="DD1196" s="773"/>
      <c r="DE1196" s="773"/>
      <c r="DF1196" s="773"/>
      <c r="DG1196" s="773"/>
      <c r="DH1196" s="773"/>
      <c r="DI1196" s="773"/>
      <c r="DJ1196" s="773"/>
      <c r="DK1196" s="773"/>
      <c r="DL1196" s="773"/>
      <c r="DM1196" s="773"/>
      <c r="DN1196" s="773"/>
      <c r="DO1196" s="773"/>
      <c r="DP1196" s="773"/>
      <c r="DQ1196" s="773"/>
      <c r="DR1196" s="773"/>
      <c r="DS1196" s="773"/>
      <c r="DT1196" s="773"/>
      <c r="DU1196" s="773"/>
      <c r="DV1196" s="773"/>
      <c r="DW1196" s="773"/>
      <c r="DX1196" s="773"/>
      <c r="DY1196" s="773"/>
      <c r="DZ1196" s="773"/>
      <c r="EA1196" s="773"/>
      <c r="EB1196" s="773"/>
      <c r="EC1196" s="773"/>
      <c r="ED1196" s="773"/>
      <c r="EE1196" s="773"/>
      <c r="EF1196" s="773"/>
      <c r="EG1196" s="773"/>
      <c r="EH1196" s="773"/>
      <c r="EI1196" s="773"/>
      <c r="EJ1196" s="773"/>
      <c r="EK1196" s="773"/>
      <c r="EL1196" s="773"/>
      <c r="EM1196" s="773"/>
      <c r="EN1196" s="773"/>
      <c r="EO1196" s="773"/>
      <c r="EP1196" s="773"/>
      <c r="EQ1196" s="773"/>
      <c r="ER1196" s="773"/>
      <c r="ES1196" s="773"/>
      <c r="ET1196" s="773"/>
      <c r="EU1196" s="773"/>
      <c r="EV1196" s="773"/>
      <c r="EW1196" s="773"/>
      <c r="EX1196" s="773"/>
      <c r="EY1196" s="773"/>
      <c r="EZ1196" s="773"/>
      <c r="FA1196" s="773"/>
      <c r="FB1196" s="773"/>
      <c r="FC1196" s="773"/>
      <c r="FD1196" s="773"/>
      <c r="FE1196" s="773"/>
      <c r="FF1196" s="773"/>
      <c r="FG1196" s="773"/>
      <c r="FH1196" s="773"/>
      <c r="FI1196" s="773"/>
      <c r="FJ1196" s="773"/>
      <c r="FK1196" s="773"/>
      <c r="FL1196" s="773"/>
      <c r="FM1196" s="773"/>
      <c r="FN1196" s="773"/>
      <c r="FO1196" s="773"/>
      <c r="FP1196" s="773"/>
      <c r="FQ1196" s="773"/>
      <c r="FR1196" s="773"/>
      <c r="FS1196" s="773"/>
      <c r="FT1196" s="773"/>
      <c r="FU1196" s="773"/>
      <c r="FV1196" s="773"/>
      <c r="FW1196" s="773"/>
      <c r="FX1196" s="773"/>
      <c r="FY1196" s="773"/>
      <c r="FZ1196" s="773"/>
      <c r="GA1196" s="773"/>
      <c r="GB1196" s="773"/>
      <c r="GC1196" s="773"/>
      <c r="GD1196" s="773"/>
      <c r="GE1196" s="773"/>
      <c r="GF1196" s="773"/>
      <c r="GG1196" s="773"/>
      <c r="GH1196" s="773"/>
      <c r="GI1196" s="773"/>
      <c r="GJ1196" s="773"/>
      <c r="GK1196" s="773"/>
      <c r="GL1196" s="773"/>
      <c r="GM1196" s="773"/>
      <c r="GN1196" s="773"/>
      <c r="GO1196" s="773"/>
      <c r="GP1196" s="773"/>
      <c r="GQ1196" s="773"/>
      <c r="GR1196" s="773"/>
      <c r="GS1196" s="773"/>
      <c r="GT1196" s="773"/>
      <c r="GU1196" s="773"/>
      <c r="GV1196" s="773"/>
      <c r="GW1196" s="773"/>
      <c r="GX1196" s="773"/>
      <c r="GY1196" s="773"/>
      <c r="GZ1196" s="773"/>
    </row>
    <row r="1197" spans="1:208" s="11" customFormat="1">
      <c r="A1197" s="917"/>
      <c r="B1197" s="918"/>
      <c r="C1197" s="767"/>
      <c r="D1197" s="173"/>
      <c r="E1197" s="769"/>
      <c r="F1197" s="769"/>
      <c r="G1197" s="769"/>
      <c r="H1197" s="769"/>
      <c r="I1197" s="769"/>
      <c r="J1197" s="769"/>
      <c r="K1197" s="209"/>
      <c r="M1197" s="771"/>
      <c r="N1197" s="772"/>
      <c r="O1197" s="772"/>
      <c r="P1197" s="772"/>
      <c r="Q1197" s="772"/>
      <c r="R1197" s="772"/>
      <c r="S1197" s="772"/>
      <c r="T1197" s="773"/>
      <c r="U1197" s="772"/>
      <c r="AW1197" s="2510"/>
      <c r="BC1197" s="2510"/>
      <c r="BD1197" s="2510"/>
      <c r="BE1197" s="2173"/>
      <c r="BF1197" s="2173"/>
      <c r="BG1197" s="2173"/>
      <c r="BH1197" s="2173"/>
      <c r="BI1197" s="2173"/>
      <c r="BJ1197" s="2173"/>
      <c r="BK1197" s="2173"/>
      <c r="DB1197" s="773"/>
      <c r="DC1197" s="773"/>
      <c r="DD1197" s="773"/>
      <c r="DE1197" s="773"/>
      <c r="DF1197" s="773"/>
      <c r="DG1197" s="773"/>
      <c r="DH1197" s="773"/>
      <c r="DI1197" s="773"/>
      <c r="DJ1197" s="773"/>
      <c r="DK1197" s="773"/>
      <c r="DL1197" s="773"/>
      <c r="DM1197" s="773"/>
      <c r="DN1197" s="773"/>
      <c r="DO1197" s="773"/>
      <c r="DP1197" s="773"/>
      <c r="DQ1197" s="773"/>
      <c r="DR1197" s="773"/>
      <c r="DS1197" s="773"/>
      <c r="DT1197" s="773"/>
      <c r="DU1197" s="773"/>
      <c r="DV1197" s="773"/>
      <c r="DW1197" s="773"/>
      <c r="DX1197" s="773"/>
      <c r="DY1197" s="773"/>
      <c r="DZ1197" s="773"/>
      <c r="EA1197" s="773"/>
      <c r="EB1197" s="773"/>
      <c r="EC1197" s="773"/>
      <c r="ED1197" s="773"/>
      <c r="EE1197" s="773"/>
      <c r="EF1197" s="773"/>
      <c r="EG1197" s="773"/>
      <c r="EH1197" s="773"/>
      <c r="EI1197" s="773"/>
      <c r="EJ1197" s="773"/>
      <c r="EK1197" s="773"/>
      <c r="EL1197" s="773"/>
      <c r="EM1197" s="773"/>
      <c r="EN1197" s="773"/>
      <c r="EO1197" s="773"/>
      <c r="EP1197" s="773"/>
      <c r="EQ1197" s="773"/>
      <c r="ER1197" s="773"/>
      <c r="ES1197" s="773"/>
      <c r="ET1197" s="773"/>
      <c r="EU1197" s="773"/>
      <c r="EV1197" s="773"/>
      <c r="EW1197" s="773"/>
      <c r="EX1197" s="773"/>
      <c r="EY1197" s="773"/>
      <c r="EZ1197" s="773"/>
      <c r="FA1197" s="773"/>
      <c r="FB1197" s="773"/>
      <c r="FC1197" s="773"/>
      <c r="FD1197" s="773"/>
      <c r="FE1197" s="773"/>
      <c r="FF1197" s="773"/>
      <c r="FG1197" s="773"/>
      <c r="FH1197" s="773"/>
      <c r="FI1197" s="773"/>
      <c r="FJ1197" s="773"/>
      <c r="FK1197" s="773"/>
      <c r="FL1197" s="773"/>
      <c r="FM1197" s="773"/>
      <c r="FN1197" s="773"/>
      <c r="FO1197" s="773"/>
      <c r="FP1197" s="773"/>
      <c r="FQ1197" s="773"/>
      <c r="FR1197" s="773"/>
      <c r="FS1197" s="773"/>
      <c r="FT1197" s="773"/>
      <c r="FU1197" s="773"/>
      <c r="FV1197" s="773"/>
      <c r="FW1197" s="773"/>
      <c r="FX1197" s="773"/>
      <c r="FY1197" s="773"/>
      <c r="FZ1197" s="773"/>
      <c r="GA1197" s="773"/>
      <c r="GB1197" s="773"/>
      <c r="GC1197" s="773"/>
      <c r="GD1197" s="773"/>
      <c r="GE1197" s="773"/>
      <c r="GF1197" s="773"/>
      <c r="GG1197" s="773"/>
      <c r="GH1197" s="773"/>
      <c r="GI1197" s="773"/>
      <c r="GJ1197" s="773"/>
      <c r="GK1197" s="773"/>
      <c r="GL1197" s="773"/>
      <c r="GM1197" s="773"/>
      <c r="GN1197" s="773"/>
      <c r="GO1197" s="773"/>
      <c r="GP1197" s="773"/>
      <c r="GQ1197" s="773"/>
      <c r="GR1197" s="773"/>
      <c r="GS1197" s="773"/>
      <c r="GT1197" s="773"/>
      <c r="GU1197" s="773"/>
      <c r="GV1197" s="773"/>
      <c r="GW1197" s="773"/>
      <c r="GX1197" s="773"/>
      <c r="GY1197" s="773"/>
      <c r="GZ1197" s="773"/>
    </row>
    <row r="1198" spans="1:208" s="11" customFormat="1">
      <c r="A1198" s="917"/>
      <c r="B1198" s="918"/>
      <c r="C1198" s="767"/>
      <c r="D1198" s="173"/>
      <c r="E1198" s="769"/>
      <c r="F1198" s="769"/>
      <c r="G1198" s="769"/>
      <c r="H1198" s="769"/>
      <c r="I1198" s="769"/>
      <c r="J1198" s="769"/>
      <c r="K1198" s="209"/>
      <c r="M1198" s="771"/>
      <c r="N1198" s="772"/>
      <c r="O1198" s="772"/>
      <c r="P1198" s="772"/>
      <c r="Q1198" s="772"/>
      <c r="R1198" s="772"/>
      <c r="S1198" s="772"/>
      <c r="T1198" s="773"/>
      <c r="U1198" s="772"/>
      <c r="AW1198" s="2510"/>
      <c r="BC1198" s="2510"/>
      <c r="BD1198" s="2510"/>
      <c r="BE1198" s="2173"/>
      <c r="BF1198" s="2173"/>
      <c r="BG1198" s="2173"/>
      <c r="BH1198" s="2173"/>
      <c r="BI1198" s="2173"/>
      <c r="BJ1198" s="2173"/>
      <c r="BK1198" s="2173"/>
      <c r="DB1198" s="773"/>
      <c r="DC1198" s="773"/>
      <c r="DD1198" s="773"/>
      <c r="DE1198" s="773"/>
      <c r="DF1198" s="773"/>
      <c r="DG1198" s="773"/>
      <c r="DH1198" s="773"/>
      <c r="DI1198" s="773"/>
      <c r="DJ1198" s="773"/>
      <c r="DK1198" s="773"/>
      <c r="DL1198" s="773"/>
      <c r="DM1198" s="773"/>
      <c r="DN1198" s="773"/>
      <c r="DO1198" s="773"/>
      <c r="DP1198" s="773"/>
      <c r="DQ1198" s="773"/>
      <c r="DR1198" s="773"/>
      <c r="DS1198" s="773"/>
      <c r="DT1198" s="773"/>
      <c r="DU1198" s="773"/>
      <c r="DV1198" s="773"/>
      <c r="DW1198" s="773"/>
      <c r="DX1198" s="773"/>
      <c r="DY1198" s="773"/>
      <c r="DZ1198" s="773"/>
      <c r="EA1198" s="773"/>
      <c r="EB1198" s="773"/>
      <c r="EC1198" s="773"/>
      <c r="ED1198" s="773"/>
      <c r="EE1198" s="773"/>
      <c r="EF1198" s="773"/>
      <c r="EG1198" s="773"/>
      <c r="EH1198" s="773"/>
      <c r="EI1198" s="773"/>
      <c r="EJ1198" s="773"/>
      <c r="EK1198" s="773"/>
      <c r="EL1198" s="773"/>
      <c r="EM1198" s="773"/>
      <c r="EN1198" s="773"/>
      <c r="EO1198" s="773"/>
      <c r="EP1198" s="773"/>
      <c r="EQ1198" s="773"/>
      <c r="ER1198" s="773"/>
      <c r="ES1198" s="773"/>
      <c r="ET1198" s="773"/>
      <c r="EU1198" s="773"/>
      <c r="EV1198" s="773"/>
      <c r="EW1198" s="773"/>
      <c r="EX1198" s="773"/>
      <c r="EY1198" s="773"/>
      <c r="EZ1198" s="773"/>
      <c r="FA1198" s="773"/>
      <c r="FB1198" s="773"/>
      <c r="FC1198" s="773"/>
      <c r="FD1198" s="773"/>
      <c r="FE1198" s="773"/>
      <c r="FF1198" s="773"/>
      <c r="FG1198" s="773"/>
      <c r="FH1198" s="773"/>
      <c r="FI1198" s="773"/>
      <c r="FJ1198" s="773"/>
      <c r="FK1198" s="773"/>
      <c r="FL1198" s="773"/>
      <c r="FM1198" s="773"/>
      <c r="FN1198" s="773"/>
      <c r="FO1198" s="773"/>
      <c r="FP1198" s="773"/>
      <c r="FQ1198" s="773"/>
      <c r="FR1198" s="773"/>
      <c r="FS1198" s="773"/>
      <c r="FT1198" s="773"/>
      <c r="FU1198" s="773"/>
      <c r="FV1198" s="773"/>
      <c r="FW1198" s="773"/>
      <c r="FX1198" s="773"/>
      <c r="FY1198" s="773"/>
      <c r="FZ1198" s="773"/>
      <c r="GA1198" s="773"/>
      <c r="GB1198" s="773"/>
      <c r="GC1198" s="773"/>
      <c r="GD1198" s="773"/>
      <c r="GE1198" s="773"/>
      <c r="GF1198" s="773"/>
      <c r="GG1198" s="773"/>
      <c r="GH1198" s="773"/>
      <c r="GI1198" s="773"/>
      <c r="GJ1198" s="773"/>
      <c r="GK1198" s="773"/>
      <c r="GL1198" s="773"/>
      <c r="GM1198" s="773"/>
      <c r="GN1198" s="773"/>
      <c r="GO1198" s="773"/>
      <c r="GP1198" s="773"/>
      <c r="GQ1198" s="773"/>
      <c r="GR1198" s="773"/>
      <c r="GS1198" s="773"/>
      <c r="GT1198" s="773"/>
      <c r="GU1198" s="773"/>
      <c r="GV1198" s="773"/>
      <c r="GW1198" s="773"/>
      <c r="GX1198" s="773"/>
      <c r="GY1198" s="773"/>
      <c r="GZ1198" s="773"/>
    </row>
    <row r="1199" spans="1:208" s="11" customFormat="1">
      <c r="A1199" s="917"/>
      <c r="B1199" s="918"/>
      <c r="C1199" s="767"/>
      <c r="D1199" s="173"/>
      <c r="E1199" s="769"/>
      <c r="F1199" s="769"/>
      <c r="G1199" s="769"/>
      <c r="H1199" s="769"/>
      <c r="I1199" s="769"/>
      <c r="J1199" s="769"/>
      <c r="K1199" s="209"/>
      <c r="M1199" s="771"/>
      <c r="N1199" s="772"/>
      <c r="O1199" s="772"/>
      <c r="P1199" s="772"/>
      <c r="Q1199" s="772"/>
      <c r="R1199" s="772"/>
      <c r="S1199" s="772"/>
      <c r="T1199" s="773"/>
      <c r="U1199" s="772"/>
      <c r="AW1199" s="2510"/>
      <c r="BC1199" s="2510"/>
      <c r="BD1199" s="2510"/>
      <c r="BE1199" s="2173"/>
      <c r="BF1199" s="2173"/>
      <c r="BG1199" s="2173"/>
      <c r="BH1199" s="2173"/>
      <c r="BI1199" s="2173"/>
      <c r="BJ1199" s="2173"/>
      <c r="BK1199" s="2173"/>
      <c r="DB1199" s="773"/>
      <c r="DC1199" s="773"/>
      <c r="DD1199" s="773"/>
      <c r="DE1199" s="773"/>
      <c r="DF1199" s="773"/>
      <c r="DG1199" s="773"/>
      <c r="DH1199" s="773"/>
      <c r="DI1199" s="773"/>
      <c r="DJ1199" s="773"/>
      <c r="DK1199" s="773"/>
      <c r="DL1199" s="773"/>
      <c r="DM1199" s="773"/>
      <c r="DN1199" s="773"/>
      <c r="DO1199" s="773"/>
      <c r="DP1199" s="773"/>
      <c r="DQ1199" s="773"/>
      <c r="DR1199" s="773"/>
      <c r="DS1199" s="773"/>
      <c r="DT1199" s="773"/>
      <c r="DU1199" s="773"/>
      <c r="DV1199" s="773"/>
      <c r="DW1199" s="773"/>
      <c r="DX1199" s="773"/>
      <c r="DY1199" s="773"/>
      <c r="DZ1199" s="773"/>
      <c r="EA1199" s="773"/>
      <c r="EB1199" s="773"/>
      <c r="EC1199" s="773"/>
      <c r="ED1199" s="773"/>
      <c r="EE1199" s="773"/>
      <c r="EF1199" s="773"/>
      <c r="EG1199" s="773"/>
      <c r="EH1199" s="773"/>
      <c r="EI1199" s="773"/>
      <c r="EJ1199" s="773"/>
      <c r="EK1199" s="773"/>
      <c r="EL1199" s="773"/>
      <c r="EM1199" s="773"/>
      <c r="EN1199" s="773"/>
      <c r="EO1199" s="773"/>
      <c r="EP1199" s="773"/>
      <c r="EQ1199" s="773"/>
      <c r="ER1199" s="773"/>
      <c r="ES1199" s="773"/>
      <c r="ET1199" s="773"/>
      <c r="EU1199" s="773"/>
      <c r="EV1199" s="773"/>
      <c r="EW1199" s="773"/>
      <c r="EX1199" s="773"/>
      <c r="EY1199" s="773"/>
      <c r="EZ1199" s="773"/>
      <c r="FA1199" s="773"/>
      <c r="FB1199" s="773"/>
      <c r="FC1199" s="773"/>
      <c r="FD1199" s="773"/>
      <c r="FE1199" s="773"/>
      <c r="FF1199" s="773"/>
      <c r="FG1199" s="773"/>
      <c r="FH1199" s="773"/>
      <c r="FI1199" s="773"/>
      <c r="FJ1199" s="773"/>
      <c r="FK1199" s="773"/>
      <c r="FL1199" s="773"/>
      <c r="FM1199" s="773"/>
      <c r="FN1199" s="773"/>
      <c r="FO1199" s="773"/>
      <c r="FP1199" s="773"/>
      <c r="FQ1199" s="773"/>
      <c r="FR1199" s="773"/>
      <c r="FS1199" s="773"/>
      <c r="FT1199" s="773"/>
      <c r="FU1199" s="773"/>
      <c r="FV1199" s="773"/>
      <c r="FW1199" s="773"/>
      <c r="FX1199" s="773"/>
      <c r="FY1199" s="773"/>
      <c r="FZ1199" s="773"/>
      <c r="GA1199" s="773"/>
      <c r="GB1199" s="773"/>
      <c r="GC1199" s="773"/>
      <c r="GD1199" s="773"/>
      <c r="GE1199" s="773"/>
      <c r="GF1199" s="773"/>
      <c r="GG1199" s="773"/>
      <c r="GH1199" s="773"/>
      <c r="GI1199" s="773"/>
      <c r="GJ1199" s="773"/>
      <c r="GK1199" s="773"/>
      <c r="GL1199" s="773"/>
      <c r="GM1199" s="773"/>
      <c r="GN1199" s="773"/>
      <c r="GO1199" s="773"/>
      <c r="GP1199" s="773"/>
      <c r="GQ1199" s="773"/>
      <c r="GR1199" s="773"/>
      <c r="GS1199" s="773"/>
      <c r="GT1199" s="773"/>
      <c r="GU1199" s="773"/>
      <c r="GV1199" s="773"/>
      <c r="GW1199" s="773"/>
      <c r="GX1199" s="773"/>
      <c r="GY1199" s="773"/>
      <c r="GZ1199" s="773"/>
    </row>
    <row r="1200" spans="1:208" s="11" customFormat="1">
      <c r="A1200" s="917"/>
      <c r="B1200" s="918"/>
      <c r="C1200" s="767"/>
      <c r="D1200" s="173"/>
      <c r="E1200" s="769"/>
      <c r="F1200" s="769"/>
      <c r="G1200" s="769"/>
      <c r="H1200" s="769"/>
      <c r="I1200" s="769"/>
      <c r="J1200" s="769"/>
      <c r="K1200" s="209"/>
      <c r="M1200" s="771"/>
      <c r="N1200" s="772"/>
      <c r="O1200" s="772"/>
      <c r="P1200" s="772"/>
      <c r="Q1200" s="772"/>
      <c r="R1200" s="772"/>
      <c r="S1200" s="772"/>
      <c r="T1200" s="773"/>
      <c r="U1200" s="772"/>
      <c r="AW1200" s="2510"/>
      <c r="BC1200" s="2510"/>
      <c r="BD1200" s="2510"/>
      <c r="BE1200" s="2173"/>
      <c r="BF1200" s="2173"/>
      <c r="BG1200" s="2173"/>
      <c r="BH1200" s="2173"/>
      <c r="BI1200" s="2173"/>
      <c r="BJ1200" s="2173"/>
      <c r="BK1200" s="2173"/>
      <c r="DB1200" s="773"/>
      <c r="DC1200" s="773"/>
      <c r="DD1200" s="773"/>
      <c r="DE1200" s="773"/>
      <c r="DF1200" s="773"/>
      <c r="DG1200" s="773"/>
      <c r="DH1200" s="773"/>
      <c r="DI1200" s="773"/>
      <c r="DJ1200" s="773"/>
      <c r="DK1200" s="773"/>
      <c r="DL1200" s="773"/>
      <c r="DM1200" s="773"/>
      <c r="DN1200" s="773"/>
      <c r="DO1200" s="773"/>
      <c r="DP1200" s="773"/>
      <c r="DQ1200" s="773"/>
      <c r="DR1200" s="773"/>
      <c r="DS1200" s="773"/>
      <c r="DT1200" s="773"/>
      <c r="DU1200" s="773"/>
      <c r="DV1200" s="773"/>
      <c r="DW1200" s="773"/>
      <c r="DX1200" s="773"/>
      <c r="DY1200" s="773"/>
      <c r="DZ1200" s="773"/>
      <c r="EA1200" s="773"/>
      <c r="EB1200" s="773"/>
      <c r="EC1200" s="773"/>
      <c r="ED1200" s="773"/>
      <c r="EE1200" s="773"/>
      <c r="EF1200" s="773"/>
      <c r="EG1200" s="773"/>
      <c r="EH1200" s="773"/>
      <c r="EI1200" s="773"/>
      <c r="EJ1200" s="773"/>
      <c r="EK1200" s="773"/>
      <c r="EL1200" s="773"/>
      <c r="EM1200" s="773"/>
      <c r="EN1200" s="773"/>
      <c r="EO1200" s="773"/>
      <c r="EP1200" s="773"/>
      <c r="EQ1200" s="773"/>
      <c r="ER1200" s="773"/>
      <c r="ES1200" s="773"/>
      <c r="ET1200" s="773"/>
      <c r="EU1200" s="773"/>
      <c r="EV1200" s="773"/>
      <c r="EW1200" s="773"/>
      <c r="EX1200" s="773"/>
      <c r="EY1200" s="773"/>
      <c r="EZ1200" s="773"/>
      <c r="FA1200" s="773"/>
      <c r="FB1200" s="773"/>
      <c r="FC1200" s="773"/>
      <c r="FD1200" s="773"/>
      <c r="FE1200" s="773"/>
      <c r="FF1200" s="773"/>
      <c r="FG1200" s="773"/>
      <c r="FH1200" s="773"/>
      <c r="FI1200" s="773"/>
      <c r="FJ1200" s="773"/>
      <c r="FK1200" s="773"/>
      <c r="FL1200" s="773"/>
      <c r="FM1200" s="773"/>
      <c r="FN1200" s="773"/>
      <c r="FO1200" s="773"/>
      <c r="FP1200" s="773"/>
      <c r="FQ1200" s="773"/>
      <c r="FR1200" s="773"/>
      <c r="FS1200" s="773"/>
      <c r="FT1200" s="773"/>
      <c r="FU1200" s="773"/>
      <c r="FV1200" s="773"/>
      <c r="FW1200" s="773"/>
      <c r="FX1200" s="773"/>
      <c r="FY1200" s="773"/>
      <c r="FZ1200" s="773"/>
      <c r="GA1200" s="773"/>
      <c r="GB1200" s="773"/>
      <c r="GC1200" s="773"/>
      <c r="GD1200" s="773"/>
      <c r="GE1200" s="773"/>
      <c r="GF1200" s="773"/>
      <c r="GG1200" s="773"/>
      <c r="GH1200" s="773"/>
      <c r="GI1200" s="773"/>
      <c r="GJ1200" s="773"/>
      <c r="GK1200" s="773"/>
      <c r="GL1200" s="773"/>
      <c r="GM1200" s="773"/>
      <c r="GN1200" s="773"/>
      <c r="GO1200" s="773"/>
      <c r="GP1200" s="773"/>
      <c r="GQ1200" s="773"/>
      <c r="GR1200" s="773"/>
      <c r="GS1200" s="773"/>
      <c r="GT1200" s="773"/>
      <c r="GU1200" s="773"/>
      <c r="GV1200" s="773"/>
      <c r="GW1200" s="773"/>
      <c r="GX1200" s="773"/>
      <c r="GY1200" s="773"/>
      <c r="GZ1200" s="773"/>
    </row>
    <row r="1201" spans="1:208" s="11" customFormat="1">
      <c r="A1201" s="917"/>
      <c r="B1201" s="918"/>
      <c r="C1201" s="767"/>
      <c r="D1201" s="173"/>
      <c r="E1201" s="769"/>
      <c r="F1201" s="769"/>
      <c r="G1201" s="769"/>
      <c r="H1201" s="769"/>
      <c r="I1201" s="769"/>
      <c r="J1201" s="769"/>
      <c r="K1201" s="209"/>
      <c r="M1201" s="771"/>
      <c r="N1201" s="772"/>
      <c r="O1201" s="772"/>
      <c r="P1201" s="772"/>
      <c r="Q1201" s="772"/>
      <c r="R1201" s="772"/>
      <c r="S1201" s="772"/>
      <c r="T1201" s="773"/>
      <c r="U1201" s="772"/>
      <c r="AW1201" s="2510"/>
      <c r="BC1201" s="2510"/>
      <c r="BD1201" s="2510"/>
      <c r="BE1201" s="2173"/>
      <c r="BF1201" s="2173"/>
      <c r="BG1201" s="2173"/>
      <c r="BH1201" s="2173"/>
      <c r="BI1201" s="2173"/>
      <c r="BJ1201" s="2173"/>
      <c r="BK1201" s="2173"/>
      <c r="DB1201" s="773"/>
      <c r="DC1201" s="773"/>
      <c r="DD1201" s="773"/>
      <c r="DE1201" s="773"/>
      <c r="DF1201" s="773"/>
      <c r="DG1201" s="773"/>
      <c r="DH1201" s="773"/>
      <c r="DI1201" s="773"/>
      <c r="DJ1201" s="773"/>
      <c r="DK1201" s="773"/>
      <c r="DL1201" s="773"/>
      <c r="DM1201" s="773"/>
      <c r="DN1201" s="773"/>
      <c r="DO1201" s="773"/>
      <c r="DP1201" s="773"/>
      <c r="DQ1201" s="773"/>
      <c r="DR1201" s="773"/>
      <c r="DS1201" s="773"/>
      <c r="DT1201" s="773"/>
      <c r="DU1201" s="773"/>
      <c r="DV1201" s="773"/>
      <c r="DW1201" s="773"/>
      <c r="DX1201" s="773"/>
      <c r="DY1201" s="773"/>
      <c r="DZ1201" s="773"/>
      <c r="EA1201" s="773"/>
      <c r="EB1201" s="773"/>
      <c r="EC1201" s="773"/>
      <c r="ED1201" s="773"/>
      <c r="EE1201" s="773"/>
      <c r="EF1201" s="773"/>
      <c r="EG1201" s="773"/>
      <c r="EH1201" s="773"/>
      <c r="EI1201" s="773"/>
      <c r="EJ1201" s="773"/>
      <c r="EK1201" s="773"/>
      <c r="EL1201" s="773"/>
      <c r="EM1201" s="773"/>
      <c r="EN1201" s="773"/>
      <c r="EO1201" s="773"/>
      <c r="EP1201" s="773"/>
      <c r="EQ1201" s="773"/>
      <c r="ER1201" s="773"/>
      <c r="ES1201" s="773"/>
      <c r="ET1201" s="773"/>
      <c r="EU1201" s="773"/>
      <c r="EV1201" s="773"/>
      <c r="EW1201" s="773"/>
      <c r="EX1201" s="773"/>
      <c r="EY1201" s="773"/>
      <c r="EZ1201" s="773"/>
      <c r="FA1201" s="773"/>
      <c r="FB1201" s="773"/>
      <c r="FC1201" s="773"/>
      <c r="FD1201" s="773"/>
      <c r="FE1201" s="773"/>
      <c r="FF1201" s="773"/>
      <c r="FG1201" s="773"/>
      <c r="FH1201" s="773"/>
      <c r="FI1201" s="773"/>
      <c r="FJ1201" s="773"/>
      <c r="FK1201" s="773"/>
      <c r="FL1201" s="773"/>
      <c r="FM1201" s="773"/>
      <c r="FN1201" s="773"/>
      <c r="FO1201" s="773"/>
      <c r="FP1201" s="773"/>
      <c r="FQ1201" s="773"/>
      <c r="FR1201" s="773"/>
      <c r="FS1201" s="773"/>
      <c r="FT1201" s="773"/>
      <c r="FU1201" s="773"/>
      <c r="FV1201" s="773"/>
      <c r="FW1201" s="773"/>
      <c r="FX1201" s="773"/>
      <c r="FY1201" s="773"/>
      <c r="FZ1201" s="773"/>
      <c r="GA1201" s="773"/>
      <c r="GB1201" s="773"/>
      <c r="GC1201" s="773"/>
      <c r="GD1201" s="773"/>
      <c r="GE1201" s="773"/>
      <c r="GF1201" s="773"/>
      <c r="GG1201" s="773"/>
      <c r="GH1201" s="773"/>
      <c r="GI1201" s="773"/>
      <c r="GJ1201" s="773"/>
      <c r="GK1201" s="773"/>
      <c r="GL1201" s="773"/>
      <c r="GM1201" s="773"/>
      <c r="GN1201" s="773"/>
      <c r="GO1201" s="773"/>
      <c r="GP1201" s="773"/>
      <c r="GQ1201" s="773"/>
      <c r="GR1201" s="773"/>
      <c r="GS1201" s="773"/>
      <c r="GT1201" s="773"/>
      <c r="GU1201" s="773"/>
      <c r="GV1201" s="773"/>
      <c r="GW1201" s="773"/>
      <c r="GX1201" s="773"/>
      <c r="GY1201" s="773"/>
      <c r="GZ1201" s="773"/>
    </row>
    <row r="1202" spans="1:208" s="11" customFormat="1">
      <c r="A1202" s="917"/>
      <c r="B1202" s="918"/>
      <c r="C1202" s="767"/>
      <c r="D1202" s="173"/>
      <c r="E1202" s="769"/>
      <c r="F1202" s="769"/>
      <c r="G1202" s="769"/>
      <c r="H1202" s="769"/>
      <c r="I1202" s="769"/>
      <c r="J1202" s="769"/>
      <c r="K1202" s="209"/>
      <c r="M1202" s="771"/>
      <c r="N1202" s="772"/>
      <c r="O1202" s="772"/>
      <c r="P1202" s="772"/>
      <c r="Q1202" s="772"/>
      <c r="R1202" s="772"/>
      <c r="S1202" s="772"/>
      <c r="T1202" s="773"/>
      <c r="U1202" s="772"/>
      <c r="AW1202" s="2510"/>
      <c r="BC1202" s="2510"/>
      <c r="BD1202" s="2510"/>
      <c r="BE1202" s="2173"/>
      <c r="BF1202" s="2173"/>
      <c r="BG1202" s="2173"/>
      <c r="BH1202" s="2173"/>
      <c r="BI1202" s="2173"/>
      <c r="BJ1202" s="2173"/>
      <c r="BK1202" s="2173"/>
      <c r="DB1202" s="773"/>
      <c r="DC1202" s="773"/>
      <c r="DD1202" s="773"/>
      <c r="DE1202" s="773"/>
      <c r="DF1202" s="773"/>
      <c r="DG1202" s="773"/>
      <c r="DH1202" s="773"/>
      <c r="DI1202" s="773"/>
      <c r="DJ1202" s="773"/>
      <c r="DK1202" s="773"/>
      <c r="DL1202" s="773"/>
      <c r="DM1202" s="773"/>
      <c r="DN1202" s="773"/>
      <c r="DO1202" s="773"/>
      <c r="DP1202" s="773"/>
      <c r="DQ1202" s="773"/>
      <c r="DR1202" s="773"/>
      <c r="DS1202" s="773"/>
      <c r="DT1202" s="773"/>
      <c r="DU1202" s="773"/>
      <c r="DV1202" s="773"/>
      <c r="DW1202" s="773"/>
      <c r="DX1202" s="773"/>
      <c r="DY1202" s="773"/>
      <c r="DZ1202" s="773"/>
      <c r="EA1202" s="773"/>
      <c r="EB1202" s="773"/>
      <c r="EC1202" s="773"/>
      <c r="ED1202" s="773"/>
      <c r="EE1202" s="773"/>
      <c r="EF1202" s="773"/>
      <c r="EG1202" s="773"/>
      <c r="EH1202" s="773"/>
      <c r="EI1202" s="773"/>
      <c r="EJ1202" s="773"/>
      <c r="EK1202" s="773"/>
      <c r="EL1202" s="773"/>
      <c r="EM1202" s="773"/>
      <c r="EN1202" s="773"/>
      <c r="EO1202" s="773"/>
      <c r="EP1202" s="773"/>
      <c r="EQ1202" s="773"/>
      <c r="ER1202" s="773"/>
      <c r="ES1202" s="773"/>
      <c r="ET1202" s="773"/>
      <c r="EU1202" s="773"/>
      <c r="EV1202" s="773"/>
      <c r="EW1202" s="773"/>
      <c r="EX1202" s="773"/>
      <c r="EY1202" s="773"/>
      <c r="EZ1202" s="773"/>
      <c r="FA1202" s="773"/>
      <c r="FB1202" s="773"/>
      <c r="FC1202" s="773"/>
      <c r="FD1202" s="773"/>
      <c r="FE1202" s="773"/>
      <c r="FF1202" s="773"/>
      <c r="FG1202" s="773"/>
      <c r="FH1202" s="773"/>
      <c r="FI1202" s="773"/>
      <c r="FJ1202" s="773"/>
      <c r="FK1202" s="773"/>
      <c r="FL1202" s="773"/>
      <c r="FM1202" s="773"/>
      <c r="FN1202" s="773"/>
      <c r="FO1202" s="773"/>
      <c r="FP1202" s="773"/>
      <c r="FQ1202" s="773"/>
      <c r="FR1202" s="773"/>
      <c r="FS1202" s="773"/>
      <c r="FT1202" s="773"/>
      <c r="FU1202" s="773"/>
      <c r="FV1202" s="773"/>
      <c r="FW1202" s="773"/>
      <c r="FX1202" s="773"/>
      <c r="FY1202" s="773"/>
      <c r="FZ1202" s="773"/>
      <c r="GA1202" s="773"/>
      <c r="GB1202" s="773"/>
      <c r="GC1202" s="773"/>
      <c r="GD1202" s="773"/>
      <c r="GE1202" s="773"/>
      <c r="GF1202" s="773"/>
      <c r="GG1202" s="773"/>
      <c r="GH1202" s="773"/>
      <c r="GI1202" s="773"/>
      <c r="GJ1202" s="773"/>
      <c r="GK1202" s="773"/>
      <c r="GL1202" s="773"/>
      <c r="GM1202" s="773"/>
      <c r="GN1202" s="773"/>
      <c r="GO1202" s="773"/>
      <c r="GP1202" s="773"/>
      <c r="GQ1202" s="773"/>
      <c r="GR1202" s="773"/>
      <c r="GS1202" s="773"/>
      <c r="GT1202" s="773"/>
      <c r="GU1202" s="773"/>
      <c r="GV1202" s="773"/>
      <c r="GW1202" s="773"/>
      <c r="GX1202" s="773"/>
      <c r="GY1202" s="773"/>
      <c r="GZ1202" s="773"/>
    </row>
    <row r="1203" spans="1:208" s="11" customFormat="1">
      <c r="A1203" s="917"/>
      <c r="B1203" s="918"/>
      <c r="C1203" s="767"/>
      <c r="D1203" s="173"/>
      <c r="E1203" s="769"/>
      <c r="F1203" s="769"/>
      <c r="G1203" s="769"/>
      <c r="H1203" s="769"/>
      <c r="I1203" s="769"/>
      <c r="J1203" s="769"/>
      <c r="K1203" s="209"/>
      <c r="M1203" s="771"/>
      <c r="N1203" s="772"/>
      <c r="O1203" s="772"/>
      <c r="P1203" s="772"/>
      <c r="Q1203" s="772"/>
      <c r="R1203" s="772"/>
      <c r="S1203" s="772"/>
      <c r="T1203" s="773"/>
      <c r="U1203" s="772"/>
      <c r="AW1203" s="2510"/>
      <c r="BC1203" s="2510"/>
      <c r="BD1203" s="2510"/>
      <c r="BE1203" s="2173"/>
      <c r="BF1203" s="2173"/>
      <c r="BG1203" s="2173"/>
      <c r="BH1203" s="2173"/>
      <c r="BI1203" s="2173"/>
      <c r="BJ1203" s="2173"/>
      <c r="BK1203" s="2173"/>
      <c r="DB1203" s="773"/>
      <c r="DC1203" s="773"/>
      <c r="DD1203" s="773"/>
      <c r="DE1203" s="773"/>
      <c r="DF1203" s="773"/>
      <c r="DG1203" s="773"/>
      <c r="DH1203" s="773"/>
      <c r="DI1203" s="773"/>
      <c r="DJ1203" s="773"/>
      <c r="DK1203" s="773"/>
      <c r="DL1203" s="773"/>
      <c r="DM1203" s="773"/>
      <c r="DN1203" s="773"/>
      <c r="DO1203" s="773"/>
      <c r="DP1203" s="773"/>
      <c r="DQ1203" s="773"/>
      <c r="DR1203" s="773"/>
      <c r="DS1203" s="773"/>
      <c r="DT1203" s="773"/>
      <c r="DU1203" s="773"/>
      <c r="DV1203" s="773"/>
      <c r="DW1203" s="773"/>
      <c r="DX1203" s="773"/>
      <c r="DY1203" s="773"/>
      <c r="DZ1203" s="773"/>
      <c r="EA1203" s="773"/>
      <c r="EB1203" s="773"/>
      <c r="EC1203" s="773"/>
      <c r="ED1203" s="773"/>
      <c r="EE1203" s="773"/>
      <c r="EF1203" s="773"/>
      <c r="EG1203" s="773"/>
      <c r="EH1203" s="773"/>
      <c r="EI1203" s="773"/>
      <c r="EJ1203" s="773"/>
      <c r="EK1203" s="773"/>
      <c r="EL1203" s="773"/>
      <c r="EM1203" s="773"/>
      <c r="EN1203" s="773"/>
      <c r="EO1203" s="773"/>
      <c r="EP1203" s="773"/>
      <c r="EQ1203" s="773"/>
      <c r="ER1203" s="773"/>
      <c r="ES1203" s="773"/>
      <c r="ET1203" s="773"/>
      <c r="EU1203" s="773"/>
      <c r="EV1203" s="773"/>
      <c r="EW1203" s="773"/>
      <c r="EX1203" s="773"/>
      <c r="EY1203" s="773"/>
      <c r="EZ1203" s="773"/>
      <c r="FA1203" s="773"/>
      <c r="FB1203" s="773"/>
      <c r="FC1203" s="773"/>
      <c r="FD1203" s="773"/>
      <c r="FE1203" s="773"/>
      <c r="FF1203" s="773"/>
      <c r="FG1203" s="773"/>
      <c r="FH1203" s="773"/>
      <c r="FI1203" s="773"/>
      <c r="FJ1203" s="773"/>
      <c r="FK1203" s="773"/>
      <c r="FL1203" s="773"/>
      <c r="FM1203" s="773"/>
      <c r="FN1203" s="773"/>
      <c r="FO1203" s="773"/>
      <c r="FP1203" s="773"/>
      <c r="FQ1203" s="773"/>
      <c r="FR1203" s="773"/>
      <c r="FS1203" s="773"/>
      <c r="FT1203" s="773"/>
      <c r="FU1203" s="773"/>
      <c r="FV1203" s="773"/>
      <c r="FW1203" s="773"/>
      <c r="FX1203" s="773"/>
      <c r="FY1203" s="773"/>
      <c r="FZ1203" s="773"/>
      <c r="GA1203" s="773"/>
      <c r="GB1203" s="773"/>
      <c r="GC1203" s="773"/>
      <c r="GD1203" s="773"/>
      <c r="GE1203" s="773"/>
      <c r="GF1203" s="773"/>
      <c r="GG1203" s="773"/>
      <c r="GH1203" s="773"/>
      <c r="GI1203" s="773"/>
      <c r="GJ1203" s="773"/>
      <c r="GK1203" s="773"/>
      <c r="GL1203" s="773"/>
      <c r="GM1203" s="773"/>
      <c r="GN1203" s="773"/>
      <c r="GO1203" s="773"/>
      <c r="GP1203" s="773"/>
      <c r="GQ1203" s="773"/>
      <c r="GR1203" s="773"/>
      <c r="GS1203" s="773"/>
      <c r="GT1203" s="773"/>
      <c r="GU1203" s="773"/>
      <c r="GV1203" s="773"/>
      <c r="GW1203" s="773"/>
      <c r="GX1203" s="773"/>
      <c r="GY1203" s="773"/>
      <c r="GZ1203" s="773"/>
    </row>
    <row r="1204" spans="1:208" s="11" customFormat="1">
      <c r="A1204" s="917"/>
      <c r="B1204" s="918"/>
      <c r="C1204" s="767"/>
      <c r="D1204" s="173"/>
      <c r="E1204" s="769"/>
      <c r="F1204" s="769"/>
      <c r="G1204" s="769"/>
      <c r="H1204" s="769"/>
      <c r="I1204" s="769"/>
      <c r="J1204" s="769"/>
      <c r="K1204" s="209"/>
      <c r="M1204" s="771"/>
      <c r="N1204" s="772"/>
      <c r="O1204" s="772"/>
      <c r="P1204" s="772"/>
      <c r="Q1204" s="772"/>
      <c r="R1204" s="772"/>
      <c r="S1204" s="772"/>
      <c r="T1204" s="773"/>
      <c r="U1204" s="772"/>
      <c r="AW1204" s="2510"/>
      <c r="BC1204" s="2510"/>
      <c r="BD1204" s="2510"/>
      <c r="BE1204" s="2173"/>
      <c r="BF1204" s="2173"/>
      <c r="BG1204" s="2173"/>
      <c r="BH1204" s="2173"/>
      <c r="BI1204" s="2173"/>
      <c r="BJ1204" s="2173"/>
      <c r="BK1204" s="2173"/>
      <c r="DB1204" s="773"/>
      <c r="DC1204" s="773"/>
      <c r="DD1204" s="773"/>
      <c r="DE1204" s="773"/>
      <c r="DF1204" s="773"/>
      <c r="DG1204" s="773"/>
      <c r="DH1204" s="773"/>
      <c r="DI1204" s="773"/>
      <c r="DJ1204" s="773"/>
      <c r="DK1204" s="773"/>
      <c r="DL1204" s="773"/>
      <c r="DM1204" s="773"/>
      <c r="DN1204" s="773"/>
      <c r="DO1204" s="773"/>
      <c r="DP1204" s="773"/>
      <c r="DQ1204" s="773"/>
      <c r="DR1204" s="773"/>
      <c r="DS1204" s="773"/>
      <c r="DT1204" s="773"/>
      <c r="DU1204" s="773"/>
      <c r="DV1204" s="773"/>
      <c r="DW1204" s="773"/>
      <c r="DX1204" s="773"/>
      <c r="DY1204" s="773"/>
      <c r="DZ1204" s="773"/>
      <c r="EA1204" s="773"/>
      <c r="EB1204" s="773"/>
      <c r="EC1204" s="773"/>
      <c r="ED1204" s="773"/>
      <c r="EE1204" s="773"/>
      <c r="EF1204" s="773"/>
      <c r="EG1204" s="773"/>
      <c r="EH1204" s="773"/>
      <c r="EI1204" s="773"/>
      <c r="EJ1204" s="773"/>
      <c r="EK1204" s="773"/>
      <c r="EL1204" s="773"/>
      <c r="EM1204" s="773"/>
      <c r="EN1204" s="773"/>
      <c r="EO1204" s="773"/>
      <c r="EP1204" s="773"/>
      <c r="EQ1204" s="773"/>
      <c r="ER1204" s="773"/>
      <c r="ES1204" s="773"/>
      <c r="ET1204" s="773"/>
      <c r="EU1204" s="773"/>
      <c r="EV1204" s="773"/>
      <c r="EW1204" s="773"/>
      <c r="EX1204" s="773"/>
      <c r="EY1204" s="773"/>
      <c r="EZ1204" s="773"/>
      <c r="FA1204" s="773"/>
      <c r="FB1204" s="773"/>
      <c r="FC1204" s="773"/>
      <c r="FD1204" s="773"/>
      <c r="FE1204" s="773"/>
      <c r="FF1204" s="773"/>
      <c r="FG1204" s="773"/>
      <c r="FH1204" s="773"/>
      <c r="FI1204" s="773"/>
      <c r="FJ1204" s="773"/>
      <c r="FK1204" s="773"/>
      <c r="FL1204" s="773"/>
      <c r="FM1204" s="773"/>
      <c r="FN1204" s="773"/>
      <c r="FO1204" s="773"/>
      <c r="FP1204" s="773"/>
      <c r="FQ1204" s="773"/>
      <c r="FR1204" s="773"/>
      <c r="FS1204" s="773"/>
      <c r="FT1204" s="773"/>
      <c r="FU1204" s="773"/>
      <c r="FV1204" s="773"/>
      <c r="FW1204" s="773"/>
      <c r="FX1204" s="773"/>
      <c r="FY1204" s="773"/>
      <c r="FZ1204" s="773"/>
      <c r="GA1204" s="773"/>
      <c r="GB1204" s="773"/>
      <c r="GC1204" s="773"/>
      <c r="GD1204" s="773"/>
      <c r="GE1204" s="773"/>
      <c r="GF1204" s="773"/>
      <c r="GG1204" s="773"/>
      <c r="GH1204" s="773"/>
      <c r="GI1204" s="773"/>
      <c r="GJ1204" s="773"/>
      <c r="GK1204" s="773"/>
      <c r="GL1204" s="773"/>
      <c r="GM1204" s="773"/>
      <c r="GN1204" s="773"/>
      <c r="GO1204" s="773"/>
      <c r="GP1204" s="773"/>
      <c r="GQ1204" s="773"/>
      <c r="GR1204" s="773"/>
      <c r="GS1204" s="773"/>
      <c r="GT1204" s="773"/>
      <c r="GU1204" s="773"/>
      <c r="GV1204" s="773"/>
      <c r="GW1204" s="773"/>
      <c r="GX1204" s="773"/>
      <c r="GY1204" s="773"/>
      <c r="GZ1204" s="773"/>
    </row>
    <row r="1205" spans="1:208" s="11" customFormat="1">
      <c r="A1205" s="917"/>
      <c r="B1205" s="918"/>
      <c r="C1205" s="767"/>
      <c r="D1205" s="173"/>
      <c r="E1205" s="769"/>
      <c r="F1205" s="769"/>
      <c r="G1205" s="769"/>
      <c r="H1205" s="769"/>
      <c r="I1205" s="769"/>
      <c r="J1205" s="769"/>
      <c r="K1205" s="209"/>
      <c r="M1205" s="771"/>
      <c r="N1205" s="772"/>
      <c r="O1205" s="772"/>
      <c r="P1205" s="772"/>
      <c r="Q1205" s="772"/>
      <c r="R1205" s="772"/>
      <c r="S1205" s="772"/>
      <c r="T1205" s="773"/>
      <c r="U1205" s="772"/>
      <c r="AW1205" s="2510"/>
      <c r="BC1205" s="2510"/>
      <c r="BD1205" s="2510"/>
      <c r="BE1205" s="2173"/>
      <c r="BF1205" s="2173"/>
      <c r="BG1205" s="2173"/>
      <c r="BH1205" s="2173"/>
      <c r="BI1205" s="2173"/>
      <c r="BJ1205" s="2173"/>
      <c r="BK1205" s="2173"/>
      <c r="DB1205" s="773"/>
      <c r="DC1205" s="773"/>
      <c r="DD1205" s="773"/>
      <c r="DE1205" s="773"/>
      <c r="DF1205" s="773"/>
      <c r="DG1205" s="773"/>
      <c r="DH1205" s="773"/>
      <c r="DI1205" s="773"/>
      <c r="DJ1205" s="773"/>
      <c r="DK1205" s="773"/>
      <c r="DL1205" s="773"/>
      <c r="DM1205" s="773"/>
      <c r="DN1205" s="773"/>
      <c r="DO1205" s="773"/>
      <c r="DP1205" s="773"/>
      <c r="DQ1205" s="773"/>
      <c r="DR1205" s="773"/>
      <c r="DS1205" s="773"/>
      <c r="DT1205" s="773"/>
      <c r="DU1205" s="773"/>
      <c r="DV1205" s="773"/>
      <c r="DW1205" s="773"/>
      <c r="DX1205" s="773"/>
      <c r="DY1205" s="773"/>
      <c r="DZ1205" s="773"/>
      <c r="EA1205" s="773"/>
      <c r="EB1205" s="773"/>
      <c r="EC1205" s="773"/>
      <c r="ED1205" s="773"/>
      <c r="EE1205" s="773"/>
      <c r="EF1205" s="773"/>
      <c r="EG1205" s="773"/>
      <c r="EH1205" s="773"/>
      <c r="EI1205" s="773"/>
      <c r="EJ1205" s="773"/>
      <c r="EK1205" s="773"/>
      <c r="EL1205" s="773"/>
      <c r="EM1205" s="773"/>
      <c r="EN1205" s="773"/>
      <c r="EO1205" s="773"/>
      <c r="EP1205" s="773"/>
      <c r="EQ1205" s="773"/>
      <c r="ER1205" s="773"/>
      <c r="ES1205" s="773"/>
      <c r="ET1205" s="773"/>
      <c r="EU1205" s="773"/>
      <c r="EV1205" s="773"/>
      <c r="EW1205" s="773"/>
      <c r="EX1205" s="773"/>
      <c r="EY1205" s="773"/>
      <c r="EZ1205" s="773"/>
      <c r="FA1205" s="773"/>
      <c r="FB1205" s="773"/>
      <c r="FC1205" s="773"/>
      <c r="FD1205" s="773"/>
      <c r="FE1205" s="773"/>
      <c r="FF1205" s="773"/>
      <c r="FG1205" s="773"/>
      <c r="FH1205" s="773"/>
      <c r="FI1205" s="773"/>
      <c r="FJ1205" s="773"/>
      <c r="FK1205" s="773"/>
      <c r="FL1205" s="773"/>
      <c r="FM1205" s="773"/>
      <c r="FN1205" s="773"/>
      <c r="FO1205" s="773"/>
      <c r="FP1205" s="773"/>
      <c r="FQ1205" s="773"/>
      <c r="FR1205" s="773"/>
      <c r="FS1205" s="773"/>
      <c r="FT1205" s="773"/>
      <c r="FU1205" s="773"/>
      <c r="FV1205" s="773"/>
      <c r="FW1205" s="773"/>
      <c r="FX1205" s="773"/>
      <c r="FY1205" s="773"/>
      <c r="FZ1205" s="773"/>
      <c r="GA1205" s="773"/>
      <c r="GB1205" s="773"/>
      <c r="GC1205" s="773"/>
      <c r="GD1205" s="773"/>
      <c r="GE1205" s="773"/>
      <c r="GF1205" s="773"/>
      <c r="GG1205" s="773"/>
      <c r="GH1205" s="773"/>
      <c r="GI1205" s="773"/>
      <c r="GJ1205" s="773"/>
      <c r="GK1205" s="773"/>
      <c r="GL1205" s="773"/>
      <c r="GM1205" s="773"/>
      <c r="GN1205" s="773"/>
      <c r="GO1205" s="773"/>
      <c r="GP1205" s="773"/>
      <c r="GQ1205" s="773"/>
      <c r="GR1205" s="773"/>
      <c r="GS1205" s="773"/>
      <c r="GT1205" s="773"/>
      <c r="GU1205" s="773"/>
      <c r="GV1205" s="773"/>
      <c r="GW1205" s="773"/>
      <c r="GX1205" s="773"/>
      <c r="GY1205" s="773"/>
      <c r="GZ1205" s="773"/>
    </row>
    <row r="1206" spans="1:208" s="11" customFormat="1">
      <c r="A1206" s="917"/>
      <c r="B1206" s="918"/>
      <c r="C1206" s="767"/>
      <c r="D1206" s="173"/>
      <c r="E1206" s="769"/>
      <c r="F1206" s="769"/>
      <c r="G1206" s="769"/>
      <c r="H1206" s="769"/>
      <c r="I1206" s="769"/>
      <c r="J1206" s="769"/>
      <c r="K1206" s="209"/>
      <c r="M1206" s="771"/>
      <c r="N1206" s="772"/>
      <c r="O1206" s="772"/>
      <c r="P1206" s="772"/>
      <c r="Q1206" s="772"/>
      <c r="R1206" s="772"/>
      <c r="S1206" s="772"/>
      <c r="T1206" s="773"/>
      <c r="U1206" s="772"/>
      <c r="AW1206" s="2510"/>
      <c r="BC1206" s="2510"/>
      <c r="BD1206" s="2510"/>
      <c r="BE1206" s="2173"/>
      <c r="BF1206" s="2173"/>
      <c r="BG1206" s="2173"/>
      <c r="BH1206" s="2173"/>
      <c r="BI1206" s="2173"/>
      <c r="BJ1206" s="2173"/>
      <c r="BK1206" s="2173"/>
      <c r="DB1206" s="773"/>
      <c r="DC1206" s="773"/>
      <c r="DD1206" s="773"/>
      <c r="DE1206" s="773"/>
      <c r="DF1206" s="773"/>
      <c r="DG1206" s="773"/>
      <c r="DH1206" s="773"/>
      <c r="DI1206" s="773"/>
      <c r="DJ1206" s="773"/>
      <c r="DK1206" s="773"/>
      <c r="DL1206" s="773"/>
      <c r="DM1206" s="773"/>
      <c r="DN1206" s="773"/>
      <c r="DO1206" s="773"/>
      <c r="DP1206" s="773"/>
      <c r="DQ1206" s="773"/>
      <c r="DR1206" s="773"/>
      <c r="DS1206" s="773"/>
      <c r="DT1206" s="773"/>
      <c r="DU1206" s="773"/>
      <c r="DV1206" s="773"/>
      <c r="DW1206" s="773"/>
      <c r="DX1206" s="773"/>
      <c r="DY1206" s="773"/>
      <c r="DZ1206" s="773"/>
      <c r="EA1206" s="773"/>
      <c r="EB1206" s="773"/>
      <c r="EC1206" s="773"/>
      <c r="ED1206" s="773"/>
      <c r="EE1206" s="773"/>
      <c r="EF1206" s="773"/>
      <c r="EG1206" s="773"/>
      <c r="EH1206" s="773"/>
      <c r="EI1206" s="773"/>
      <c r="EJ1206" s="773"/>
      <c r="EK1206" s="773"/>
      <c r="EL1206" s="773"/>
      <c r="EM1206" s="773"/>
      <c r="EN1206" s="773"/>
      <c r="EO1206" s="773"/>
      <c r="EP1206" s="773"/>
      <c r="EQ1206" s="773"/>
      <c r="ER1206" s="773"/>
      <c r="ES1206" s="773"/>
      <c r="ET1206" s="773"/>
      <c r="EU1206" s="773"/>
      <c r="EV1206" s="773"/>
      <c r="EW1206" s="773"/>
      <c r="EX1206" s="773"/>
      <c r="EY1206" s="773"/>
      <c r="EZ1206" s="773"/>
      <c r="FA1206" s="773"/>
      <c r="FB1206" s="773"/>
      <c r="FC1206" s="773"/>
      <c r="FD1206" s="773"/>
      <c r="FE1206" s="773"/>
      <c r="FF1206" s="773"/>
      <c r="FG1206" s="773"/>
      <c r="FH1206" s="773"/>
      <c r="FI1206" s="773"/>
      <c r="FJ1206" s="773"/>
      <c r="FK1206" s="773"/>
      <c r="FL1206" s="773"/>
      <c r="FM1206" s="773"/>
      <c r="FN1206" s="773"/>
      <c r="FO1206" s="773"/>
      <c r="FP1206" s="773"/>
      <c r="FQ1206" s="773"/>
      <c r="FR1206" s="773"/>
      <c r="FS1206" s="773"/>
      <c r="FT1206" s="773"/>
      <c r="FU1206" s="773"/>
      <c r="FV1206" s="773"/>
      <c r="FW1206" s="773"/>
      <c r="FX1206" s="773"/>
      <c r="FY1206" s="773"/>
      <c r="FZ1206" s="773"/>
      <c r="GA1206" s="773"/>
      <c r="GB1206" s="773"/>
      <c r="GC1206" s="773"/>
      <c r="GD1206" s="773"/>
      <c r="GE1206" s="773"/>
      <c r="GF1206" s="773"/>
      <c r="GG1206" s="773"/>
      <c r="GH1206" s="773"/>
      <c r="GI1206" s="773"/>
      <c r="GJ1206" s="773"/>
      <c r="GK1206" s="773"/>
      <c r="GL1206" s="773"/>
      <c r="GM1206" s="773"/>
      <c r="GN1206" s="773"/>
      <c r="GO1206" s="773"/>
      <c r="GP1206" s="773"/>
      <c r="GQ1206" s="773"/>
      <c r="GR1206" s="773"/>
      <c r="GS1206" s="773"/>
      <c r="GT1206" s="773"/>
      <c r="GU1206" s="773"/>
      <c r="GV1206" s="773"/>
      <c r="GW1206" s="773"/>
      <c r="GX1206" s="773"/>
      <c r="GY1206" s="773"/>
      <c r="GZ1206" s="773"/>
    </row>
    <row r="1207" spans="1:208" s="11" customFormat="1">
      <c r="A1207" s="917"/>
      <c r="B1207" s="918"/>
      <c r="C1207" s="767"/>
      <c r="D1207" s="173"/>
      <c r="E1207" s="769"/>
      <c r="F1207" s="769"/>
      <c r="G1207" s="769"/>
      <c r="H1207" s="769"/>
      <c r="I1207" s="769"/>
      <c r="J1207" s="769"/>
      <c r="K1207" s="209"/>
      <c r="M1207" s="771"/>
      <c r="N1207" s="772"/>
      <c r="O1207" s="772"/>
      <c r="P1207" s="772"/>
      <c r="Q1207" s="772"/>
      <c r="R1207" s="772"/>
      <c r="S1207" s="772"/>
      <c r="T1207" s="772"/>
      <c r="U1207" s="772"/>
      <c r="AW1207" s="2510"/>
      <c r="BC1207" s="2510"/>
      <c r="BD1207" s="2510"/>
      <c r="BE1207" s="2173"/>
      <c r="BF1207" s="2173"/>
      <c r="BG1207" s="2173"/>
      <c r="BH1207" s="2173"/>
      <c r="BI1207" s="2173"/>
      <c r="BJ1207" s="2173"/>
      <c r="BK1207" s="2173"/>
      <c r="DB1207" s="773"/>
      <c r="DC1207" s="773"/>
      <c r="DD1207" s="773"/>
      <c r="DE1207" s="773"/>
      <c r="DF1207" s="773"/>
      <c r="DG1207" s="773"/>
      <c r="DH1207" s="773"/>
      <c r="DI1207" s="773"/>
      <c r="DJ1207" s="773"/>
      <c r="DK1207" s="773"/>
      <c r="DL1207" s="773"/>
      <c r="DM1207" s="773"/>
      <c r="DN1207" s="773"/>
      <c r="DO1207" s="773"/>
      <c r="DP1207" s="773"/>
      <c r="DQ1207" s="773"/>
      <c r="DR1207" s="773"/>
      <c r="DS1207" s="773"/>
      <c r="DT1207" s="773"/>
      <c r="DU1207" s="773"/>
      <c r="DV1207" s="773"/>
      <c r="DW1207" s="773"/>
      <c r="DX1207" s="773"/>
      <c r="DY1207" s="773"/>
      <c r="DZ1207" s="773"/>
      <c r="EA1207" s="773"/>
      <c r="EB1207" s="773"/>
      <c r="EC1207" s="773"/>
      <c r="ED1207" s="773"/>
      <c r="EE1207" s="773"/>
      <c r="EF1207" s="773"/>
      <c r="EG1207" s="773"/>
      <c r="EH1207" s="773"/>
      <c r="EI1207" s="773"/>
      <c r="EJ1207" s="773"/>
      <c r="EK1207" s="773"/>
      <c r="EL1207" s="773"/>
      <c r="EM1207" s="773"/>
      <c r="EN1207" s="773"/>
      <c r="EO1207" s="773"/>
      <c r="EP1207" s="773"/>
      <c r="EQ1207" s="773"/>
      <c r="ER1207" s="773"/>
      <c r="ES1207" s="773"/>
      <c r="ET1207" s="773"/>
      <c r="EU1207" s="773"/>
      <c r="EV1207" s="773"/>
      <c r="EW1207" s="773"/>
      <c r="EX1207" s="773"/>
      <c r="EY1207" s="773"/>
      <c r="EZ1207" s="773"/>
      <c r="FA1207" s="773"/>
      <c r="FB1207" s="773"/>
      <c r="FC1207" s="773"/>
      <c r="FD1207" s="773"/>
      <c r="FE1207" s="773"/>
      <c r="FF1207" s="773"/>
      <c r="FG1207" s="773"/>
      <c r="FH1207" s="773"/>
      <c r="FI1207" s="773"/>
      <c r="FJ1207" s="773"/>
      <c r="FK1207" s="773"/>
      <c r="FL1207" s="773"/>
      <c r="FM1207" s="773"/>
      <c r="FN1207" s="773"/>
      <c r="FO1207" s="773"/>
      <c r="FP1207" s="773"/>
      <c r="FQ1207" s="773"/>
      <c r="FR1207" s="773"/>
      <c r="FS1207" s="773"/>
      <c r="FT1207" s="773"/>
      <c r="FU1207" s="773"/>
      <c r="FV1207" s="773"/>
      <c r="FW1207" s="773"/>
      <c r="FX1207" s="773"/>
      <c r="FY1207" s="773"/>
      <c r="FZ1207" s="773"/>
      <c r="GA1207" s="773"/>
      <c r="GB1207" s="773"/>
      <c r="GC1207" s="773"/>
      <c r="GD1207" s="773"/>
      <c r="GE1207" s="773"/>
      <c r="GF1207" s="773"/>
      <c r="GG1207" s="773"/>
      <c r="GH1207" s="773"/>
      <c r="GI1207" s="773"/>
      <c r="GJ1207" s="773"/>
      <c r="GK1207" s="773"/>
      <c r="GL1207" s="773"/>
      <c r="GM1207" s="773"/>
      <c r="GN1207" s="773"/>
      <c r="GO1207" s="773"/>
      <c r="GP1207" s="773"/>
      <c r="GQ1207" s="773"/>
      <c r="GR1207" s="773"/>
      <c r="GS1207" s="773"/>
      <c r="GT1207" s="773"/>
      <c r="GU1207" s="773"/>
      <c r="GV1207" s="773"/>
      <c r="GW1207" s="773"/>
      <c r="GX1207" s="773"/>
      <c r="GY1207" s="773"/>
      <c r="GZ1207" s="773"/>
    </row>
    <row r="1208" spans="1:208" s="11" customFormat="1">
      <c r="A1208" s="917"/>
      <c r="B1208" s="918"/>
      <c r="C1208" s="767"/>
      <c r="D1208" s="173"/>
      <c r="E1208" s="769"/>
      <c r="F1208" s="769"/>
      <c r="G1208" s="769"/>
      <c r="H1208" s="769"/>
      <c r="I1208" s="769"/>
      <c r="J1208" s="769"/>
      <c r="K1208" s="209"/>
      <c r="M1208" s="771"/>
      <c r="N1208" s="772"/>
      <c r="O1208" s="772"/>
      <c r="P1208" s="772"/>
      <c r="Q1208" s="772"/>
      <c r="R1208" s="772"/>
      <c r="S1208" s="772"/>
      <c r="T1208" s="772"/>
      <c r="U1208" s="772"/>
      <c r="AW1208" s="2510"/>
      <c r="BC1208" s="2510"/>
      <c r="BD1208" s="2510"/>
      <c r="BE1208" s="2173"/>
      <c r="BF1208" s="2173"/>
      <c r="BG1208" s="2173"/>
      <c r="BH1208" s="2173"/>
      <c r="BI1208" s="2173"/>
      <c r="BJ1208" s="2173"/>
      <c r="BK1208" s="2173"/>
      <c r="DB1208" s="773"/>
      <c r="DC1208" s="773"/>
      <c r="DD1208" s="773"/>
      <c r="DE1208" s="773"/>
      <c r="DF1208" s="773"/>
      <c r="DG1208" s="773"/>
      <c r="DH1208" s="773"/>
      <c r="DI1208" s="773"/>
      <c r="DJ1208" s="773"/>
      <c r="DK1208" s="773"/>
      <c r="DL1208" s="773"/>
      <c r="DM1208" s="773"/>
      <c r="DN1208" s="773"/>
      <c r="DO1208" s="773"/>
      <c r="DP1208" s="773"/>
      <c r="DQ1208" s="773"/>
      <c r="DR1208" s="773"/>
      <c r="DS1208" s="773"/>
      <c r="DT1208" s="773"/>
      <c r="DU1208" s="773"/>
      <c r="DV1208" s="773"/>
      <c r="DW1208" s="773"/>
      <c r="DX1208" s="773"/>
      <c r="DY1208" s="773"/>
      <c r="DZ1208" s="773"/>
      <c r="EA1208" s="773"/>
      <c r="EB1208" s="773"/>
      <c r="EC1208" s="773"/>
      <c r="ED1208" s="773"/>
      <c r="EE1208" s="773"/>
      <c r="EF1208" s="773"/>
      <c r="EG1208" s="773"/>
      <c r="EH1208" s="773"/>
      <c r="EI1208" s="773"/>
      <c r="EJ1208" s="773"/>
      <c r="EK1208" s="773"/>
      <c r="EL1208" s="773"/>
      <c r="EM1208" s="773"/>
      <c r="EN1208" s="773"/>
      <c r="EO1208" s="773"/>
      <c r="EP1208" s="773"/>
      <c r="EQ1208" s="773"/>
      <c r="ER1208" s="773"/>
      <c r="ES1208" s="773"/>
      <c r="ET1208" s="773"/>
      <c r="EU1208" s="773"/>
      <c r="EV1208" s="773"/>
      <c r="EW1208" s="773"/>
      <c r="EX1208" s="773"/>
      <c r="EY1208" s="773"/>
      <c r="EZ1208" s="773"/>
      <c r="FA1208" s="773"/>
      <c r="FB1208" s="773"/>
      <c r="FC1208" s="773"/>
      <c r="FD1208" s="773"/>
      <c r="FE1208" s="773"/>
      <c r="FF1208" s="773"/>
      <c r="FG1208" s="773"/>
      <c r="FH1208" s="773"/>
      <c r="FI1208" s="773"/>
      <c r="FJ1208" s="773"/>
      <c r="FK1208" s="773"/>
      <c r="FL1208" s="773"/>
      <c r="FM1208" s="773"/>
      <c r="FN1208" s="773"/>
      <c r="FO1208" s="773"/>
      <c r="FP1208" s="773"/>
      <c r="FQ1208" s="773"/>
      <c r="FR1208" s="773"/>
      <c r="FS1208" s="773"/>
      <c r="FT1208" s="773"/>
      <c r="FU1208" s="773"/>
      <c r="FV1208" s="773"/>
      <c r="FW1208" s="773"/>
      <c r="FX1208" s="773"/>
      <c r="FY1208" s="773"/>
      <c r="FZ1208" s="773"/>
      <c r="GA1208" s="773"/>
      <c r="GB1208" s="773"/>
      <c r="GC1208" s="773"/>
      <c r="GD1208" s="773"/>
      <c r="GE1208" s="773"/>
      <c r="GF1208" s="773"/>
      <c r="GG1208" s="773"/>
      <c r="GH1208" s="773"/>
      <c r="GI1208" s="773"/>
      <c r="GJ1208" s="773"/>
      <c r="GK1208" s="773"/>
      <c r="GL1208" s="773"/>
      <c r="GM1208" s="773"/>
      <c r="GN1208" s="773"/>
      <c r="GO1208" s="773"/>
      <c r="GP1208" s="773"/>
      <c r="GQ1208" s="773"/>
      <c r="GR1208" s="773"/>
      <c r="GS1208" s="773"/>
      <c r="GT1208" s="773"/>
      <c r="GU1208" s="773"/>
      <c r="GV1208" s="773"/>
      <c r="GW1208" s="773"/>
      <c r="GX1208" s="773"/>
      <c r="GY1208" s="773"/>
      <c r="GZ1208" s="773"/>
    </row>
    <row r="1209" spans="1:208" s="11" customFormat="1">
      <c r="A1209" s="917"/>
      <c r="B1209" s="918"/>
      <c r="C1209" s="767"/>
      <c r="D1209" s="173"/>
      <c r="E1209" s="769"/>
      <c r="F1209" s="769"/>
      <c r="G1209" s="769"/>
      <c r="H1209" s="769"/>
      <c r="I1209" s="769"/>
      <c r="J1209" s="769"/>
      <c r="K1209" s="209"/>
      <c r="M1209" s="771"/>
      <c r="N1209" s="772"/>
      <c r="O1209" s="772"/>
      <c r="P1209" s="772"/>
      <c r="Q1209" s="772"/>
      <c r="R1209" s="772"/>
      <c r="S1209" s="772"/>
      <c r="T1209" s="772"/>
      <c r="U1209" s="772"/>
      <c r="AW1209" s="2510"/>
      <c r="BC1209" s="2510"/>
      <c r="BD1209" s="2510"/>
      <c r="BE1209" s="2173"/>
      <c r="BF1209" s="2173"/>
      <c r="BG1209" s="2173"/>
      <c r="BH1209" s="2173"/>
      <c r="BI1209" s="2173"/>
      <c r="BJ1209" s="2173"/>
      <c r="BK1209" s="2173"/>
      <c r="DB1209" s="773"/>
      <c r="DC1209" s="773"/>
      <c r="DD1209" s="773"/>
      <c r="DE1209" s="773"/>
      <c r="DF1209" s="773"/>
      <c r="DG1209" s="773"/>
      <c r="DH1209" s="773"/>
      <c r="DI1209" s="773"/>
      <c r="DJ1209" s="773"/>
      <c r="DK1209" s="773"/>
      <c r="DL1209" s="773"/>
      <c r="DM1209" s="773"/>
      <c r="DN1209" s="773"/>
      <c r="DO1209" s="773"/>
      <c r="DP1209" s="773"/>
      <c r="DQ1209" s="773"/>
      <c r="DR1209" s="773"/>
      <c r="DS1209" s="773"/>
      <c r="DT1209" s="773"/>
      <c r="DU1209" s="773"/>
      <c r="DV1209" s="773"/>
      <c r="DW1209" s="773"/>
      <c r="DX1209" s="773"/>
      <c r="DY1209" s="773"/>
      <c r="DZ1209" s="773"/>
      <c r="EA1209" s="773"/>
      <c r="EB1209" s="773"/>
      <c r="EC1209" s="773"/>
      <c r="ED1209" s="773"/>
      <c r="EE1209" s="773"/>
      <c r="EF1209" s="773"/>
      <c r="EG1209" s="773"/>
      <c r="EH1209" s="773"/>
      <c r="EI1209" s="773"/>
      <c r="EJ1209" s="773"/>
      <c r="EK1209" s="773"/>
      <c r="EL1209" s="773"/>
      <c r="EM1209" s="773"/>
      <c r="EN1209" s="773"/>
      <c r="EO1209" s="773"/>
      <c r="EP1209" s="773"/>
      <c r="EQ1209" s="773"/>
      <c r="ER1209" s="773"/>
      <c r="ES1209" s="773"/>
      <c r="ET1209" s="773"/>
      <c r="EU1209" s="773"/>
      <c r="EV1209" s="773"/>
      <c r="EW1209" s="773"/>
      <c r="EX1209" s="773"/>
      <c r="EY1209" s="773"/>
      <c r="EZ1209" s="773"/>
      <c r="FA1209" s="773"/>
      <c r="FB1209" s="773"/>
      <c r="FC1209" s="773"/>
      <c r="FD1209" s="773"/>
      <c r="FE1209" s="773"/>
      <c r="FF1209" s="773"/>
      <c r="FG1209" s="773"/>
      <c r="FH1209" s="773"/>
      <c r="FI1209" s="773"/>
      <c r="FJ1209" s="773"/>
      <c r="FK1209" s="773"/>
      <c r="FL1209" s="773"/>
      <c r="FM1209" s="773"/>
      <c r="FN1209" s="773"/>
      <c r="FO1209" s="773"/>
      <c r="FP1209" s="773"/>
      <c r="FQ1209" s="773"/>
      <c r="FR1209" s="773"/>
      <c r="FS1209" s="773"/>
      <c r="FT1209" s="773"/>
      <c r="FU1209" s="773"/>
      <c r="FV1209" s="773"/>
      <c r="FW1209" s="773"/>
      <c r="FX1209" s="773"/>
      <c r="FY1209" s="773"/>
      <c r="FZ1209" s="773"/>
      <c r="GA1209" s="773"/>
      <c r="GB1209" s="773"/>
      <c r="GC1209" s="773"/>
      <c r="GD1209" s="773"/>
      <c r="GE1209" s="773"/>
      <c r="GF1209" s="773"/>
      <c r="GG1209" s="773"/>
      <c r="GH1209" s="773"/>
      <c r="GI1209" s="773"/>
      <c r="GJ1209" s="773"/>
      <c r="GK1209" s="773"/>
      <c r="GL1209" s="773"/>
      <c r="GM1209" s="773"/>
      <c r="GN1209" s="773"/>
      <c r="GO1209" s="773"/>
      <c r="GP1209" s="773"/>
      <c r="GQ1209" s="773"/>
      <c r="GR1209" s="773"/>
      <c r="GS1209" s="773"/>
      <c r="GT1209" s="773"/>
      <c r="GU1209" s="773"/>
      <c r="GV1209" s="773"/>
      <c r="GW1209" s="773"/>
      <c r="GX1209" s="773"/>
      <c r="GY1209" s="773"/>
      <c r="GZ1209" s="773"/>
    </row>
    <row r="1210" spans="1:208" s="11" customFormat="1">
      <c r="A1210" s="917"/>
      <c r="B1210" s="918"/>
      <c r="C1210" s="767"/>
      <c r="D1210" s="173"/>
      <c r="E1210" s="769"/>
      <c r="F1210" s="769"/>
      <c r="G1210" s="769"/>
      <c r="H1210" s="769"/>
      <c r="I1210" s="769"/>
      <c r="J1210" s="769"/>
      <c r="K1210" s="209"/>
      <c r="M1210" s="771"/>
      <c r="N1210" s="772"/>
      <c r="O1210" s="772"/>
      <c r="P1210" s="772"/>
      <c r="Q1210" s="772"/>
      <c r="R1210" s="772"/>
      <c r="S1210" s="772"/>
      <c r="T1210" s="772"/>
      <c r="U1210" s="772"/>
      <c r="AW1210" s="2510"/>
      <c r="BC1210" s="2510"/>
      <c r="BD1210" s="2510"/>
      <c r="BE1210" s="2173"/>
      <c r="BF1210" s="2173"/>
      <c r="BG1210" s="2173"/>
      <c r="BH1210" s="2173"/>
      <c r="BI1210" s="2173"/>
      <c r="BJ1210" s="2173"/>
      <c r="BK1210" s="2173"/>
      <c r="DB1210" s="773"/>
      <c r="DC1210" s="773"/>
      <c r="DD1210" s="773"/>
      <c r="DE1210" s="773"/>
      <c r="DF1210" s="773"/>
      <c r="DG1210" s="773"/>
      <c r="DH1210" s="773"/>
      <c r="DI1210" s="773"/>
      <c r="DJ1210" s="773"/>
      <c r="DK1210" s="773"/>
      <c r="DL1210" s="773"/>
      <c r="DM1210" s="773"/>
      <c r="DN1210" s="773"/>
      <c r="DO1210" s="773"/>
      <c r="DP1210" s="773"/>
      <c r="DQ1210" s="773"/>
      <c r="DR1210" s="773"/>
      <c r="DS1210" s="773"/>
      <c r="DT1210" s="773"/>
      <c r="DU1210" s="773"/>
      <c r="DV1210" s="773"/>
      <c r="DW1210" s="773"/>
      <c r="DX1210" s="773"/>
      <c r="DY1210" s="773"/>
      <c r="DZ1210" s="773"/>
      <c r="EA1210" s="773"/>
      <c r="EB1210" s="773"/>
      <c r="EC1210" s="773"/>
      <c r="ED1210" s="773"/>
      <c r="EE1210" s="773"/>
      <c r="EF1210" s="773"/>
      <c r="EG1210" s="773"/>
      <c r="EH1210" s="773"/>
      <c r="EI1210" s="773"/>
      <c r="EJ1210" s="773"/>
      <c r="EK1210" s="773"/>
      <c r="EL1210" s="773"/>
      <c r="EM1210" s="773"/>
      <c r="EN1210" s="773"/>
      <c r="EO1210" s="773"/>
      <c r="EP1210" s="773"/>
      <c r="EQ1210" s="773"/>
      <c r="ER1210" s="773"/>
      <c r="ES1210" s="773"/>
      <c r="ET1210" s="773"/>
      <c r="EU1210" s="773"/>
      <c r="EV1210" s="773"/>
      <c r="EW1210" s="773"/>
      <c r="EX1210" s="773"/>
      <c r="EY1210" s="773"/>
      <c r="EZ1210" s="773"/>
      <c r="FA1210" s="773"/>
      <c r="FB1210" s="773"/>
      <c r="FC1210" s="773"/>
      <c r="FD1210" s="773"/>
      <c r="FE1210" s="773"/>
      <c r="FF1210" s="773"/>
      <c r="FG1210" s="773"/>
      <c r="FH1210" s="773"/>
      <c r="FI1210" s="773"/>
      <c r="FJ1210" s="773"/>
      <c r="FK1210" s="773"/>
      <c r="FL1210" s="773"/>
      <c r="FM1210" s="773"/>
      <c r="FN1210" s="773"/>
      <c r="FO1210" s="773"/>
      <c r="FP1210" s="773"/>
      <c r="FQ1210" s="773"/>
      <c r="FR1210" s="773"/>
      <c r="FS1210" s="773"/>
      <c r="FT1210" s="773"/>
      <c r="FU1210" s="773"/>
      <c r="FV1210" s="773"/>
      <c r="FW1210" s="773"/>
      <c r="FX1210" s="773"/>
      <c r="FY1210" s="773"/>
      <c r="FZ1210" s="773"/>
      <c r="GA1210" s="773"/>
      <c r="GB1210" s="773"/>
      <c r="GC1210" s="773"/>
      <c r="GD1210" s="773"/>
      <c r="GE1210" s="773"/>
      <c r="GF1210" s="773"/>
      <c r="GG1210" s="773"/>
      <c r="GH1210" s="773"/>
      <c r="GI1210" s="773"/>
      <c r="GJ1210" s="773"/>
      <c r="GK1210" s="773"/>
      <c r="GL1210" s="773"/>
      <c r="GM1210" s="773"/>
      <c r="GN1210" s="773"/>
      <c r="GO1210" s="773"/>
      <c r="GP1210" s="773"/>
      <c r="GQ1210" s="773"/>
      <c r="GR1210" s="773"/>
      <c r="GS1210" s="773"/>
      <c r="GT1210" s="773"/>
      <c r="GU1210" s="773"/>
      <c r="GV1210" s="773"/>
      <c r="GW1210" s="773"/>
      <c r="GX1210" s="773"/>
      <c r="GY1210" s="773"/>
      <c r="GZ1210" s="773"/>
    </row>
    <row r="1211" spans="1:208" s="11" customFormat="1">
      <c r="A1211" s="917"/>
      <c r="B1211" s="918"/>
      <c r="C1211" s="767"/>
      <c r="D1211" s="173"/>
      <c r="E1211" s="769"/>
      <c r="F1211" s="769"/>
      <c r="G1211" s="769"/>
      <c r="H1211" s="769"/>
      <c r="I1211" s="769"/>
      <c r="J1211" s="769"/>
      <c r="K1211" s="209"/>
      <c r="M1211" s="771"/>
      <c r="N1211" s="772"/>
      <c r="O1211" s="772"/>
      <c r="P1211" s="772"/>
      <c r="Q1211" s="772"/>
      <c r="R1211" s="772"/>
      <c r="S1211" s="772"/>
      <c r="T1211" s="772"/>
      <c r="U1211" s="772"/>
      <c r="AW1211" s="2510"/>
      <c r="BC1211" s="2510"/>
      <c r="BD1211" s="2510"/>
      <c r="BE1211" s="2173"/>
      <c r="BF1211" s="2173"/>
      <c r="BG1211" s="2173"/>
      <c r="BH1211" s="2173"/>
      <c r="BI1211" s="2173"/>
      <c r="BJ1211" s="2173"/>
      <c r="BK1211" s="2173"/>
      <c r="DB1211" s="773"/>
      <c r="DC1211" s="773"/>
      <c r="DD1211" s="773"/>
      <c r="DE1211" s="773"/>
      <c r="DF1211" s="773"/>
      <c r="DG1211" s="773"/>
      <c r="DH1211" s="773"/>
      <c r="DI1211" s="773"/>
      <c r="DJ1211" s="773"/>
      <c r="DK1211" s="773"/>
      <c r="DL1211" s="773"/>
      <c r="DM1211" s="773"/>
      <c r="DN1211" s="773"/>
      <c r="DO1211" s="773"/>
      <c r="DP1211" s="773"/>
      <c r="DQ1211" s="773"/>
      <c r="DR1211" s="773"/>
      <c r="DS1211" s="773"/>
      <c r="DT1211" s="773"/>
      <c r="DU1211" s="773"/>
      <c r="DV1211" s="773"/>
      <c r="DW1211" s="773"/>
      <c r="DX1211" s="773"/>
      <c r="DY1211" s="773"/>
      <c r="DZ1211" s="773"/>
      <c r="EA1211" s="773"/>
      <c r="EB1211" s="773"/>
      <c r="EC1211" s="773"/>
      <c r="ED1211" s="773"/>
      <c r="EE1211" s="773"/>
      <c r="EF1211" s="773"/>
      <c r="EG1211" s="773"/>
      <c r="EH1211" s="773"/>
      <c r="EI1211" s="773"/>
      <c r="EJ1211" s="773"/>
      <c r="EK1211" s="773"/>
      <c r="EL1211" s="773"/>
      <c r="EM1211" s="773"/>
      <c r="EN1211" s="773"/>
      <c r="EO1211" s="773"/>
      <c r="EP1211" s="773"/>
      <c r="EQ1211" s="773"/>
      <c r="ER1211" s="773"/>
      <c r="ES1211" s="773"/>
      <c r="ET1211" s="773"/>
      <c r="EU1211" s="773"/>
      <c r="EV1211" s="773"/>
      <c r="EW1211" s="773"/>
      <c r="EX1211" s="773"/>
      <c r="EY1211" s="773"/>
      <c r="EZ1211" s="773"/>
      <c r="FA1211" s="773"/>
      <c r="FB1211" s="773"/>
      <c r="FC1211" s="773"/>
      <c r="FD1211" s="773"/>
      <c r="FE1211" s="773"/>
      <c r="FF1211" s="773"/>
      <c r="FG1211" s="773"/>
      <c r="FH1211" s="773"/>
      <c r="FI1211" s="773"/>
      <c r="FJ1211" s="773"/>
      <c r="FK1211" s="773"/>
      <c r="FL1211" s="773"/>
      <c r="FM1211" s="773"/>
      <c r="FN1211" s="773"/>
      <c r="FO1211" s="773"/>
      <c r="FP1211" s="773"/>
      <c r="FQ1211" s="773"/>
      <c r="FR1211" s="773"/>
      <c r="FS1211" s="773"/>
      <c r="FT1211" s="773"/>
      <c r="FU1211" s="773"/>
      <c r="FV1211" s="773"/>
      <c r="FW1211" s="773"/>
      <c r="FX1211" s="773"/>
      <c r="FY1211" s="773"/>
      <c r="FZ1211" s="773"/>
      <c r="GA1211" s="773"/>
      <c r="GB1211" s="773"/>
      <c r="GC1211" s="773"/>
      <c r="GD1211" s="773"/>
      <c r="GE1211" s="773"/>
      <c r="GF1211" s="773"/>
      <c r="GG1211" s="773"/>
      <c r="GH1211" s="773"/>
      <c r="GI1211" s="773"/>
      <c r="GJ1211" s="773"/>
      <c r="GK1211" s="773"/>
      <c r="GL1211" s="773"/>
      <c r="GM1211" s="773"/>
      <c r="GN1211" s="773"/>
      <c r="GO1211" s="773"/>
      <c r="GP1211" s="773"/>
      <c r="GQ1211" s="773"/>
      <c r="GR1211" s="773"/>
      <c r="GS1211" s="773"/>
      <c r="GT1211" s="773"/>
      <c r="GU1211" s="773"/>
      <c r="GV1211" s="773"/>
      <c r="GW1211" s="773"/>
      <c r="GX1211" s="773"/>
      <c r="GY1211" s="773"/>
      <c r="GZ1211" s="773"/>
    </row>
    <row r="1212" spans="1:208" s="11" customFormat="1">
      <c r="A1212" s="917"/>
      <c r="B1212" s="918"/>
      <c r="C1212" s="767"/>
      <c r="D1212" s="173"/>
      <c r="E1212" s="769"/>
      <c r="F1212" s="769"/>
      <c r="G1212" s="769"/>
      <c r="H1212" s="769"/>
      <c r="I1212" s="769"/>
      <c r="J1212" s="769"/>
      <c r="K1212" s="209"/>
      <c r="M1212" s="771"/>
      <c r="N1212" s="772"/>
      <c r="O1212" s="772"/>
      <c r="P1212" s="772"/>
      <c r="Q1212" s="772"/>
      <c r="R1212" s="772"/>
      <c r="S1212" s="772"/>
      <c r="T1212" s="772"/>
      <c r="U1212" s="772"/>
      <c r="AW1212" s="2510"/>
      <c r="BC1212" s="2510"/>
      <c r="BD1212" s="2510"/>
      <c r="BE1212" s="2173"/>
      <c r="BF1212" s="2173"/>
      <c r="BG1212" s="2173"/>
      <c r="BH1212" s="2173"/>
      <c r="BI1212" s="2173"/>
      <c r="BJ1212" s="2173"/>
      <c r="BK1212" s="2173"/>
      <c r="DB1212" s="773"/>
      <c r="DC1212" s="773"/>
      <c r="DD1212" s="773"/>
      <c r="DE1212" s="773"/>
      <c r="DF1212" s="773"/>
      <c r="DG1212" s="773"/>
      <c r="DH1212" s="773"/>
      <c r="DI1212" s="773"/>
      <c r="DJ1212" s="773"/>
      <c r="DK1212" s="773"/>
      <c r="DL1212" s="773"/>
      <c r="DM1212" s="773"/>
      <c r="DN1212" s="773"/>
      <c r="DO1212" s="773"/>
      <c r="DP1212" s="773"/>
      <c r="DQ1212" s="773"/>
      <c r="DR1212" s="773"/>
      <c r="DS1212" s="773"/>
      <c r="DT1212" s="773"/>
      <c r="DU1212" s="773"/>
      <c r="DV1212" s="773"/>
      <c r="DW1212" s="773"/>
      <c r="DX1212" s="773"/>
      <c r="DY1212" s="773"/>
      <c r="DZ1212" s="773"/>
      <c r="EA1212" s="773"/>
      <c r="EB1212" s="773"/>
      <c r="EC1212" s="773"/>
      <c r="ED1212" s="773"/>
      <c r="EE1212" s="773"/>
      <c r="EF1212" s="773"/>
      <c r="EG1212" s="773"/>
      <c r="EH1212" s="773"/>
      <c r="EI1212" s="773"/>
      <c r="EJ1212" s="773"/>
      <c r="EK1212" s="773"/>
      <c r="EL1212" s="773"/>
      <c r="EM1212" s="773"/>
      <c r="EN1212" s="773"/>
      <c r="EO1212" s="773"/>
      <c r="EP1212" s="773"/>
      <c r="EQ1212" s="773"/>
      <c r="ER1212" s="773"/>
      <c r="ES1212" s="773"/>
      <c r="ET1212" s="773"/>
      <c r="EU1212" s="773"/>
      <c r="EV1212" s="773"/>
      <c r="EW1212" s="773"/>
      <c r="EX1212" s="773"/>
      <c r="EY1212" s="773"/>
      <c r="EZ1212" s="773"/>
      <c r="FA1212" s="773"/>
      <c r="FB1212" s="773"/>
      <c r="FC1212" s="773"/>
      <c r="FD1212" s="773"/>
      <c r="FE1212" s="773"/>
      <c r="FF1212" s="773"/>
      <c r="FG1212" s="773"/>
      <c r="FH1212" s="773"/>
      <c r="FI1212" s="773"/>
      <c r="FJ1212" s="773"/>
      <c r="FK1212" s="773"/>
      <c r="FL1212" s="773"/>
      <c r="FM1212" s="773"/>
      <c r="FN1212" s="773"/>
      <c r="FO1212" s="773"/>
      <c r="FP1212" s="773"/>
      <c r="FQ1212" s="773"/>
      <c r="FR1212" s="773"/>
      <c r="FS1212" s="773"/>
      <c r="FT1212" s="773"/>
      <c r="FU1212" s="773"/>
      <c r="FV1212" s="773"/>
      <c r="FW1212" s="773"/>
      <c r="FX1212" s="773"/>
      <c r="FY1212" s="773"/>
      <c r="FZ1212" s="773"/>
      <c r="GA1212" s="773"/>
      <c r="GB1212" s="773"/>
      <c r="GC1212" s="773"/>
      <c r="GD1212" s="773"/>
      <c r="GE1212" s="773"/>
      <c r="GF1212" s="773"/>
      <c r="GG1212" s="773"/>
      <c r="GH1212" s="773"/>
      <c r="GI1212" s="773"/>
      <c r="GJ1212" s="773"/>
      <c r="GK1212" s="773"/>
      <c r="GL1212" s="773"/>
      <c r="GM1212" s="773"/>
      <c r="GN1212" s="773"/>
      <c r="GO1212" s="773"/>
      <c r="GP1212" s="773"/>
      <c r="GQ1212" s="773"/>
      <c r="GR1212" s="773"/>
      <c r="GS1212" s="773"/>
      <c r="GT1212" s="773"/>
      <c r="GU1212" s="773"/>
      <c r="GV1212" s="773"/>
      <c r="GW1212" s="773"/>
      <c r="GX1212" s="773"/>
      <c r="GY1212" s="773"/>
      <c r="GZ1212" s="773"/>
    </row>
    <row r="1213" spans="1:208" s="11" customFormat="1">
      <c r="A1213" s="917"/>
      <c r="B1213" s="918"/>
      <c r="C1213" s="767"/>
      <c r="D1213" s="173"/>
      <c r="E1213" s="769"/>
      <c r="F1213" s="769"/>
      <c r="G1213" s="769"/>
      <c r="H1213" s="769"/>
      <c r="I1213" s="769"/>
      <c r="J1213" s="769"/>
      <c r="K1213" s="209"/>
      <c r="M1213" s="771"/>
      <c r="N1213" s="772"/>
      <c r="O1213" s="772"/>
      <c r="P1213" s="772"/>
      <c r="Q1213" s="772"/>
      <c r="R1213" s="772"/>
      <c r="S1213" s="772"/>
      <c r="T1213" s="772"/>
      <c r="AW1213" s="2510"/>
      <c r="BC1213" s="2510"/>
      <c r="BD1213" s="2510"/>
      <c r="BE1213" s="2173"/>
      <c r="BF1213" s="2173"/>
      <c r="BG1213" s="2173"/>
      <c r="BH1213" s="2173"/>
      <c r="BI1213" s="2173"/>
      <c r="BJ1213" s="2173"/>
      <c r="BK1213" s="2173"/>
      <c r="DB1213" s="773"/>
      <c r="DC1213" s="773"/>
      <c r="DD1213" s="773"/>
      <c r="DE1213" s="773"/>
      <c r="DF1213" s="773"/>
      <c r="DG1213" s="773"/>
      <c r="DH1213" s="773"/>
      <c r="DI1213" s="773"/>
      <c r="DJ1213" s="773"/>
      <c r="DK1213" s="773"/>
      <c r="DL1213" s="773"/>
      <c r="DM1213" s="773"/>
      <c r="DN1213" s="773"/>
      <c r="DO1213" s="773"/>
      <c r="DP1213" s="773"/>
      <c r="DQ1213" s="773"/>
      <c r="DR1213" s="773"/>
      <c r="DS1213" s="773"/>
      <c r="DT1213" s="773"/>
      <c r="DU1213" s="773"/>
      <c r="DV1213" s="773"/>
      <c r="DW1213" s="773"/>
      <c r="DX1213" s="773"/>
      <c r="DY1213" s="773"/>
      <c r="DZ1213" s="773"/>
      <c r="EA1213" s="773"/>
      <c r="EB1213" s="773"/>
      <c r="EC1213" s="773"/>
      <c r="ED1213" s="773"/>
      <c r="EE1213" s="773"/>
      <c r="EF1213" s="773"/>
      <c r="EG1213" s="773"/>
      <c r="EH1213" s="773"/>
      <c r="EI1213" s="773"/>
      <c r="EJ1213" s="773"/>
      <c r="EK1213" s="773"/>
      <c r="EL1213" s="773"/>
      <c r="EM1213" s="773"/>
      <c r="EN1213" s="773"/>
      <c r="EO1213" s="773"/>
      <c r="EP1213" s="773"/>
      <c r="EQ1213" s="773"/>
      <c r="ER1213" s="773"/>
      <c r="ES1213" s="773"/>
      <c r="ET1213" s="773"/>
      <c r="EU1213" s="773"/>
      <c r="EV1213" s="773"/>
      <c r="EW1213" s="773"/>
      <c r="EX1213" s="773"/>
      <c r="EY1213" s="773"/>
      <c r="EZ1213" s="773"/>
      <c r="FA1213" s="773"/>
      <c r="FB1213" s="773"/>
      <c r="FC1213" s="773"/>
      <c r="FD1213" s="773"/>
      <c r="FE1213" s="773"/>
      <c r="FF1213" s="773"/>
      <c r="FG1213" s="773"/>
      <c r="FH1213" s="773"/>
      <c r="FI1213" s="773"/>
      <c r="FJ1213" s="773"/>
      <c r="FK1213" s="773"/>
      <c r="FL1213" s="773"/>
      <c r="FM1213" s="773"/>
      <c r="FN1213" s="773"/>
      <c r="FO1213" s="773"/>
      <c r="FP1213" s="773"/>
      <c r="FQ1213" s="773"/>
      <c r="FR1213" s="773"/>
      <c r="FS1213" s="773"/>
      <c r="FT1213" s="773"/>
      <c r="FU1213" s="773"/>
      <c r="FV1213" s="773"/>
      <c r="FW1213" s="773"/>
      <c r="FX1213" s="773"/>
      <c r="FY1213" s="773"/>
      <c r="FZ1213" s="773"/>
      <c r="GA1213" s="773"/>
      <c r="GB1213" s="773"/>
      <c r="GC1213" s="773"/>
      <c r="GD1213" s="773"/>
      <c r="GE1213" s="773"/>
      <c r="GF1213" s="773"/>
      <c r="GG1213" s="773"/>
      <c r="GH1213" s="773"/>
      <c r="GI1213" s="773"/>
      <c r="GJ1213" s="773"/>
      <c r="GK1213" s="773"/>
      <c r="GL1213" s="773"/>
      <c r="GM1213" s="773"/>
      <c r="GN1213" s="773"/>
      <c r="GO1213" s="773"/>
      <c r="GP1213" s="773"/>
      <c r="GQ1213" s="773"/>
      <c r="GR1213" s="773"/>
      <c r="GS1213" s="773"/>
      <c r="GT1213" s="773"/>
      <c r="GU1213" s="773"/>
      <c r="GV1213" s="773"/>
      <c r="GW1213" s="773"/>
      <c r="GX1213" s="773"/>
      <c r="GY1213" s="773"/>
      <c r="GZ1213" s="773"/>
    </row>
    <row r="1214" spans="1:208" s="11" customFormat="1">
      <c r="A1214" s="917"/>
      <c r="B1214" s="918"/>
      <c r="C1214" s="767"/>
      <c r="D1214" s="173"/>
      <c r="E1214" s="769"/>
      <c r="F1214" s="769"/>
      <c r="G1214" s="769"/>
      <c r="H1214" s="769"/>
      <c r="I1214" s="769"/>
      <c r="J1214" s="769"/>
      <c r="K1214" s="209"/>
      <c r="M1214" s="771"/>
      <c r="N1214" s="772"/>
      <c r="O1214" s="772"/>
      <c r="P1214" s="772"/>
      <c r="Q1214" s="772"/>
      <c r="R1214" s="772"/>
      <c r="S1214" s="772"/>
      <c r="T1214" s="772"/>
      <c r="AW1214" s="2510"/>
      <c r="BC1214" s="2510"/>
      <c r="BD1214" s="2510"/>
      <c r="BE1214" s="2173"/>
      <c r="BF1214" s="2173"/>
      <c r="BG1214" s="2173"/>
      <c r="BH1214" s="2173"/>
      <c r="BI1214" s="2173"/>
      <c r="BJ1214" s="2173"/>
      <c r="BK1214" s="2173"/>
      <c r="DB1214" s="773"/>
      <c r="DC1214" s="773"/>
      <c r="DD1214" s="773"/>
      <c r="DE1214" s="773"/>
      <c r="DF1214" s="773"/>
      <c r="DG1214" s="773"/>
      <c r="DH1214" s="773"/>
      <c r="DI1214" s="773"/>
      <c r="DJ1214" s="773"/>
      <c r="DK1214" s="773"/>
      <c r="DL1214" s="773"/>
      <c r="DM1214" s="773"/>
      <c r="DN1214" s="773"/>
      <c r="DO1214" s="773"/>
      <c r="DP1214" s="773"/>
      <c r="DQ1214" s="773"/>
      <c r="DR1214" s="773"/>
      <c r="DS1214" s="773"/>
      <c r="DT1214" s="773"/>
      <c r="DU1214" s="773"/>
      <c r="DV1214" s="773"/>
      <c r="DW1214" s="773"/>
      <c r="DX1214" s="773"/>
      <c r="DY1214" s="773"/>
      <c r="DZ1214" s="773"/>
      <c r="EA1214" s="773"/>
      <c r="EB1214" s="773"/>
      <c r="EC1214" s="773"/>
      <c r="ED1214" s="773"/>
      <c r="EE1214" s="773"/>
      <c r="EF1214" s="773"/>
      <c r="EG1214" s="773"/>
      <c r="EH1214" s="773"/>
      <c r="EI1214" s="773"/>
      <c r="EJ1214" s="773"/>
      <c r="EK1214" s="773"/>
      <c r="EL1214" s="773"/>
      <c r="EM1214" s="773"/>
      <c r="EN1214" s="773"/>
      <c r="EO1214" s="773"/>
      <c r="EP1214" s="773"/>
      <c r="EQ1214" s="773"/>
      <c r="ER1214" s="773"/>
      <c r="ES1214" s="773"/>
      <c r="ET1214" s="773"/>
      <c r="EU1214" s="773"/>
      <c r="EV1214" s="773"/>
      <c r="EW1214" s="773"/>
      <c r="EX1214" s="773"/>
      <c r="EY1214" s="773"/>
      <c r="EZ1214" s="773"/>
      <c r="FA1214" s="773"/>
      <c r="FB1214" s="773"/>
      <c r="FC1214" s="773"/>
      <c r="FD1214" s="773"/>
      <c r="FE1214" s="773"/>
      <c r="FF1214" s="773"/>
      <c r="FG1214" s="773"/>
      <c r="FH1214" s="773"/>
      <c r="FI1214" s="773"/>
      <c r="FJ1214" s="773"/>
      <c r="FK1214" s="773"/>
      <c r="FL1214" s="773"/>
      <c r="FM1214" s="773"/>
      <c r="FN1214" s="773"/>
      <c r="FO1214" s="773"/>
      <c r="FP1214" s="773"/>
      <c r="FQ1214" s="773"/>
      <c r="FR1214" s="773"/>
      <c r="FS1214" s="773"/>
      <c r="FT1214" s="773"/>
      <c r="FU1214" s="773"/>
      <c r="FV1214" s="773"/>
      <c r="FW1214" s="773"/>
      <c r="FX1214" s="773"/>
      <c r="FY1214" s="773"/>
      <c r="FZ1214" s="773"/>
      <c r="GA1214" s="773"/>
      <c r="GB1214" s="773"/>
      <c r="GC1214" s="773"/>
      <c r="GD1214" s="773"/>
      <c r="GE1214" s="773"/>
      <c r="GF1214" s="773"/>
      <c r="GG1214" s="773"/>
      <c r="GH1214" s="773"/>
      <c r="GI1214" s="773"/>
      <c r="GJ1214" s="773"/>
      <c r="GK1214" s="773"/>
      <c r="GL1214" s="773"/>
      <c r="GM1214" s="773"/>
      <c r="GN1214" s="773"/>
      <c r="GO1214" s="773"/>
      <c r="GP1214" s="773"/>
      <c r="GQ1214" s="773"/>
      <c r="GR1214" s="773"/>
      <c r="GS1214" s="773"/>
      <c r="GT1214" s="773"/>
      <c r="GU1214" s="773"/>
      <c r="GV1214" s="773"/>
      <c r="GW1214" s="773"/>
      <c r="GX1214" s="773"/>
      <c r="GY1214" s="773"/>
      <c r="GZ1214" s="773"/>
    </row>
    <row r="1215" spans="1:208" s="11" customFormat="1">
      <c r="A1215" s="774"/>
      <c r="B1215" s="766"/>
      <c r="C1215" s="767"/>
      <c r="D1215" s="173"/>
      <c r="E1215" s="769"/>
      <c r="F1215" s="769"/>
      <c r="G1215" s="769"/>
      <c r="H1215" s="769"/>
      <c r="I1215" s="769"/>
      <c r="J1215" s="769"/>
      <c r="K1215" s="209"/>
      <c r="L1215" s="770"/>
      <c r="M1215" s="771"/>
      <c r="N1215" s="772"/>
      <c r="O1215" s="772"/>
      <c r="P1215" s="772"/>
      <c r="Q1215" s="772"/>
      <c r="R1215" s="772"/>
      <c r="S1215" s="772"/>
      <c r="T1215" s="772"/>
      <c r="AW1215" s="2510"/>
      <c r="BC1215" s="2510"/>
      <c r="BD1215" s="2510"/>
      <c r="BE1215" s="2173"/>
      <c r="BF1215" s="2173"/>
      <c r="BG1215" s="2173"/>
      <c r="BH1215" s="2173"/>
      <c r="BI1215" s="2173"/>
      <c r="BJ1215" s="2173"/>
      <c r="BK1215" s="2173"/>
      <c r="DB1215" s="773"/>
      <c r="DC1215" s="773"/>
      <c r="DD1215" s="773"/>
      <c r="DE1215" s="773"/>
      <c r="DF1215" s="773"/>
      <c r="DG1215" s="773"/>
      <c r="DH1215" s="773"/>
      <c r="DI1215" s="773"/>
      <c r="DJ1215" s="773"/>
      <c r="DK1215" s="773"/>
      <c r="DL1215" s="773"/>
      <c r="DM1215" s="773"/>
      <c r="DN1215" s="773"/>
      <c r="DO1215" s="773"/>
      <c r="DP1215" s="773"/>
      <c r="DQ1215" s="773"/>
      <c r="DR1215" s="773"/>
      <c r="DS1215" s="773"/>
      <c r="DT1215" s="773"/>
      <c r="DU1215" s="773"/>
      <c r="DV1215" s="773"/>
      <c r="DW1215" s="773"/>
      <c r="DX1215" s="773"/>
      <c r="DY1215" s="773"/>
      <c r="DZ1215" s="773"/>
      <c r="EA1215" s="773"/>
      <c r="EB1215" s="773"/>
      <c r="EC1215" s="773"/>
      <c r="ED1215" s="773"/>
      <c r="EE1215" s="773"/>
      <c r="EF1215" s="773"/>
      <c r="EG1215" s="773"/>
      <c r="EH1215" s="773"/>
      <c r="EI1215" s="773"/>
      <c r="EJ1215" s="773"/>
      <c r="EK1215" s="773"/>
      <c r="EL1215" s="773"/>
      <c r="EM1215" s="773"/>
      <c r="EN1215" s="773"/>
      <c r="EO1215" s="773"/>
      <c r="EP1215" s="773"/>
      <c r="EQ1215" s="773"/>
      <c r="ER1215" s="773"/>
      <c r="ES1215" s="773"/>
      <c r="ET1215" s="773"/>
      <c r="EU1215" s="773"/>
      <c r="EV1215" s="773"/>
      <c r="EW1215" s="773"/>
      <c r="EX1215" s="773"/>
      <c r="EY1215" s="773"/>
      <c r="EZ1215" s="773"/>
      <c r="FA1215" s="773"/>
      <c r="FB1215" s="773"/>
      <c r="FC1215" s="773"/>
      <c r="FD1215" s="773"/>
      <c r="FE1215" s="773"/>
      <c r="FF1215" s="773"/>
      <c r="FG1215" s="773"/>
      <c r="FH1215" s="773"/>
      <c r="FI1215" s="773"/>
      <c r="FJ1215" s="773"/>
      <c r="FK1215" s="773"/>
      <c r="FL1215" s="773"/>
      <c r="FM1215" s="773"/>
      <c r="FN1215" s="773"/>
      <c r="FO1215" s="773"/>
      <c r="FP1215" s="773"/>
      <c r="FQ1215" s="773"/>
      <c r="FR1215" s="773"/>
      <c r="FS1215" s="773"/>
      <c r="FT1215" s="773"/>
      <c r="FU1215" s="773"/>
      <c r="FV1215" s="773"/>
      <c r="FW1215" s="773"/>
      <c r="FX1215" s="773"/>
      <c r="FY1215" s="773"/>
      <c r="FZ1215" s="773"/>
      <c r="GA1215" s="773"/>
      <c r="GB1215" s="773"/>
      <c r="GC1215" s="773"/>
      <c r="GD1215" s="773"/>
      <c r="GE1215" s="773"/>
      <c r="GF1215" s="773"/>
      <c r="GG1215" s="773"/>
      <c r="GH1215" s="773"/>
      <c r="GI1215" s="773"/>
      <c r="GJ1215" s="773"/>
      <c r="GK1215" s="773"/>
      <c r="GL1215" s="773"/>
      <c r="GM1215" s="773"/>
      <c r="GN1215" s="773"/>
      <c r="GO1215" s="773"/>
      <c r="GP1215" s="773"/>
      <c r="GQ1215" s="773"/>
      <c r="GR1215" s="773"/>
      <c r="GS1215" s="773"/>
      <c r="GT1215" s="773"/>
      <c r="GU1215" s="773"/>
      <c r="GV1215" s="773"/>
      <c r="GW1215" s="773"/>
      <c r="GX1215" s="773"/>
      <c r="GY1215" s="773"/>
      <c r="GZ1215" s="773"/>
    </row>
    <row r="1216" spans="1:208" s="11" customFormat="1">
      <c r="A1216" s="774"/>
      <c r="B1216" s="766"/>
      <c r="C1216" s="767"/>
      <c r="D1216" s="173"/>
      <c r="E1216" s="769"/>
      <c r="F1216" s="769"/>
      <c r="G1216" s="769"/>
      <c r="H1216" s="769"/>
      <c r="I1216" s="769"/>
      <c r="J1216" s="769"/>
      <c r="K1216" s="209"/>
      <c r="L1216" s="770"/>
      <c r="M1216" s="771"/>
      <c r="N1216" s="772"/>
      <c r="O1216" s="772"/>
      <c r="P1216" s="772"/>
      <c r="Q1216" s="772"/>
      <c r="R1216" s="772"/>
      <c r="S1216" s="772"/>
      <c r="T1216" s="772"/>
      <c r="AW1216" s="2510"/>
      <c r="BC1216" s="2510"/>
      <c r="BD1216" s="2510"/>
      <c r="BE1216" s="2173"/>
      <c r="BF1216" s="2173"/>
      <c r="BG1216" s="2173"/>
      <c r="BH1216" s="2173"/>
      <c r="BI1216" s="2173"/>
      <c r="BJ1216" s="2173"/>
      <c r="BK1216" s="2173"/>
      <c r="DB1216" s="773"/>
      <c r="DC1216" s="773"/>
      <c r="DD1216" s="773"/>
      <c r="DE1216" s="773"/>
      <c r="DF1216" s="773"/>
      <c r="DG1216" s="773"/>
      <c r="DH1216" s="773"/>
      <c r="DI1216" s="773"/>
      <c r="DJ1216" s="773"/>
      <c r="DK1216" s="773"/>
      <c r="DL1216" s="773"/>
      <c r="DM1216" s="773"/>
      <c r="DN1216" s="773"/>
      <c r="DO1216" s="773"/>
      <c r="DP1216" s="773"/>
      <c r="DQ1216" s="773"/>
      <c r="DR1216" s="773"/>
      <c r="DS1216" s="773"/>
      <c r="DT1216" s="773"/>
      <c r="DU1216" s="773"/>
      <c r="DV1216" s="773"/>
      <c r="DW1216" s="773"/>
      <c r="DX1216" s="773"/>
      <c r="DY1216" s="773"/>
      <c r="DZ1216" s="773"/>
      <c r="EA1216" s="773"/>
      <c r="EB1216" s="773"/>
      <c r="EC1216" s="773"/>
      <c r="ED1216" s="773"/>
      <c r="EE1216" s="773"/>
      <c r="EF1216" s="773"/>
      <c r="EG1216" s="773"/>
      <c r="EH1216" s="773"/>
      <c r="EI1216" s="773"/>
      <c r="EJ1216" s="773"/>
      <c r="EK1216" s="773"/>
      <c r="EL1216" s="773"/>
      <c r="EM1216" s="773"/>
      <c r="EN1216" s="773"/>
      <c r="EO1216" s="773"/>
      <c r="EP1216" s="773"/>
      <c r="EQ1216" s="773"/>
      <c r="ER1216" s="773"/>
      <c r="ES1216" s="773"/>
      <c r="ET1216" s="773"/>
      <c r="EU1216" s="773"/>
      <c r="EV1216" s="773"/>
      <c r="EW1216" s="773"/>
      <c r="EX1216" s="773"/>
      <c r="EY1216" s="773"/>
      <c r="EZ1216" s="773"/>
      <c r="FA1216" s="773"/>
      <c r="FB1216" s="773"/>
      <c r="FC1216" s="773"/>
      <c r="FD1216" s="773"/>
      <c r="FE1216" s="773"/>
      <c r="FF1216" s="773"/>
      <c r="FG1216" s="773"/>
      <c r="FH1216" s="773"/>
      <c r="FI1216" s="773"/>
      <c r="FJ1216" s="773"/>
      <c r="FK1216" s="773"/>
      <c r="FL1216" s="773"/>
      <c r="FM1216" s="773"/>
      <c r="FN1216" s="773"/>
      <c r="FO1216" s="773"/>
      <c r="FP1216" s="773"/>
      <c r="FQ1216" s="773"/>
      <c r="FR1216" s="773"/>
      <c r="FS1216" s="773"/>
      <c r="FT1216" s="773"/>
      <c r="FU1216" s="773"/>
      <c r="FV1216" s="773"/>
      <c r="FW1216" s="773"/>
      <c r="FX1216" s="773"/>
      <c r="FY1216" s="773"/>
      <c r="FZ1216" s="773"/>
      <c r="GA1216" s="773"/>
      <c r="GB1216" s="773"/>
      <c r="GC1216" s="773"/>
      <c r="GD1216" s="773"/>
      <c r="GE1216" s="773"/>
      <c r="GF1216" s="773"/>
      <c r="GG1216" s="773"/>
      <c r="GH1216" s="773"/>
      <c r="GI1216" s="773"/>
      <c r="GJ1216" s="773"/>
      <c r="GK1216" s="773"/>
      <c r="GL1216" s="773"/>
      <c r="GM1216" s="773"/>
      <c r="GN1216" s="773"/>
      <c r="GO1216" s="773"/>
      <c r="GP1216" s="773"/>
      <c r="GQ1216" s="773"/>
      <c r="GR1216" s="773"/>
      <c r="GS1216" s="773"/>
      <c r="GT1216" s="773"/>
      <c r="GU1216" s="773"/>
      <c r="GV1216" s="773"/>
      <c r="GW1216" s="773"/>
      <c r="GX1216" s="773"/>
      <c r="GY1216" s="773"/>
      <c r="GZ1216" s="773"/>
    </row>
    <row r="1217" spans="1:208" s="11" customFormat="1">
      <c r="A1217" s="774"/>
      <c r="B1217" s="766"/>
      <c r="C1217" s="767"/>
      <c r="D1217" s="173"/>
      <c r="E1217" s="769"/>
      <c r="F1217" s="769"/>
      <c r="G1217" s="769"/>
      <c r="H1217" s="769"/>
      <c r="I1217" s="769"/>
      <c r="J1217" s="769"/>
      <c r="K1217" s="209"/>
      <c r="L1217" s="770"/>
      <c r="M1217" s="771"/>
      <c r="N1217" s="772"/>
      <c r="O1217" s="772"/>
      <c r="P1217" s="772"/>
      <c r="Q1217" s="772"/>
      <c r="R1217" s="772"/>
      <c r="S1217" s="772"/>
      <c r="T1217" s="772"/>
      <c r="AW1217" s="2510"/>
      <c r="BC1217" s="2510"/>
      <c r="BD1217" s="2510"/>
      <c r="BE1217" s="2173"/>
      <c r="BF1217" s="2173"/>
      <c r="BG1217" s="2173"/>
      <c r="BH1217" s="2173"/>
      <c r="BI1217" s="2173"/>
      <c r="BJ1217" s="2173"/>
      <c r="BK1217" s="2173"/>
      <c r="DB1217" s="773"/>
      <c r="DC1217" s="773"/>
      <c r="DD1217" s="773"/>
      <c r="DE1217" s="773"/>
      <c r="DF1217" s="773"/>
      <c r="DG1217" s="773"/>
      <c r="DH1217" s="773"/>
      <c r="DI1217" s="773"/>
      <c r="DJ1217" s="773"/>
      <c r="DK1217" s="773"/>
      <c r="DL1217" s="773"/>
      <c r="DM1217" s="773"/>
      <c r="DN1217" s="773"/>
      <c r="DO1217" s="773"/>
      <c r="DP1217" s="773"/>
      <c r="DQ1217" s="773"/>
      <c r="DR1217" s="773"/>
      <c r="DS1217" s="773"/>
      <c r="DT1217" s="773"/>
      <c r="DU1217" s="773"/>
      <c r="DV1217" s="773"/>
      <c r="DW1217" s="773"/>
      <c r="DX1217" s="773"/>
      <c r="DY1217" s="773"/>
      <c r="DZ1217" s="773"/>
      <c r="EA1217" s="773"/>
      <c r="EB1217" s="773"/>
      <c r="EC1217" s="773"/>
      <c r="ED1217" s="773"/>
      <c r="EE1217" s="773"/>
      <c r="EF1217" s="773"/>
      <c r="EG1217" s="773"/>
      <c r="EH1217" s="773"/>
      <c r="EI1217" s="773"/>
      <c r="EJ1217" s="773"/>
      <c r="EK1217" s="773"/>
      <c r="EL1217" s="773"/>
      <c r="EM1217" s="773"/>
      <c r="EN1217" s="773"/>
      <c r="EO1217" s="773"/>
      <c r="EP1217" s="773"/>
      <c r="EQ1217" s="773"/>
      <c r="ER1217" s="773"/>
      <c r="ES1217" s="773"/>
      <c r="ET1217" s="773"/>
      <c r="EU1217" s="773"/>
      <c r="EV1217" s="773"/>
      <c r="EW1217" s="773"/>
      <c r="EX1217" s="773"/>
      <c r="EY1217" s="773"/>
      <c r="EZ1217" s="773"/>
      <c r="FA1217" s="773"/>
      <c r="FB1217" s="773"/>
      <c r="FC1217" s="773"/>
      <c r="FD1217" s="773"/>
      <c r="FE1217" s="773"/>
      <c r="FF1217" s="773"/>
      <c r="FG1217" s="773"/>
      <c r="FH1217" s="773"/>
      <c r="FI1217" s="773"/>
      <c r="FJ1217" s="773"/>
      <c r="FK1217" s="773"/>
      <c r="FL1217" s="773"/>
      <c r="FM1217" s="773"/>
      <c r="FN1217" s="773"/>
      <c r="FO1217" s="773"/>
      <c r="FP1217" s="773"/>
      <c r="FQ1217" s="773"/>
      <c r="FR1217" s="773"/>
      <c r="FS1217" s="773"/>
      <c r="FT1217" s="773"/>
      <c r="FU1217" s="773"/>
      <c r="FV1217" s="773"/>
      <c r="FW1217" s="773"/>
      <c r="FX1217" s="773"/>
      <c r="FY1217" s="773"/>
      <c r="FZ1217" s="773"/>
      <c r="GA1217" s="773"/>
      <c r="GB1217" s="773"/>
      <c r="GC1217" s="773"/>
      <c r="GD1217" s="773"/>
      <c r="GE1217" s="773"/>
      <c r="GF1217" s="773"/>
      <c r="GG1217" s="773"/>
      <c r="GH1217" s="773"/>
      <c r="GI1217" s="773"/>
      <c r="GJ1217" s="773"/>
      <c r="GK1217" s="773"/>
      <c r="GL1217" s="773"/>
      <c r="GM1217" s="773"/>
      <c r="GN1217" s="773"/>
      <c r="GO1217" s="773"/>
      <c r="GP1217" s="773"/>
      <c r="GQ1217" s="773"/>
      <c r="GR1217" s="773"/>
      <c r="GS1217" s="773"/>
      <c r="GT1217" s="773"/>
      <c r="GU1217" s="773"/>
      <c r="GV1217" s="773"/>
      <c r="GW1217" s="773"/>
      <c r="GX1217" s="773"/>
      <c r="GY1217" s="773"/>
      <c r="GZ1217" s="773"/>
    </row>
    <row r="1218" spans="1:208" s="11" customFormat="1">
      <c r="A1218" s="774"/>
      <c r="B1218" s="766"/>
      <c r="C1218" s="767"/>
      <c r="D1218" s="173"/>
      <c r="E1218" s="769"/>
      <c r="F1218" s="769"/>
      <c r="G1218" s="769"/>
      <c r="H1218" s="769"/>
      <c r="I1218" s="769"/>
      <c r="J1218" s="769"/>
      <c r="K1218" s="209"/>
      <c r="L1218" s="770"/>
      <c r="M1218" s="771"/>
      <c r="N1218" s="772"/>
      <c r="O1218" s="772"/>
      <c r="P1218" s="772"/>
      <c r="Q1218" s="772"/>
      <c r="R1218" s="772"/>
      <c r="S1218" s="772"/>
      <c r="T1218" s="772"/>
      <c r="AW1218" s="2510"/>
      <c r="BC1218" s="2510"/>
      <c r="BD1218" s="2510"/>
      <c r="BE1218" s="2173"/>
      <c r="BF1218" s="2173"/>
      <c r="BG1218" s="2173"/>
      <c r="BH1218" s="2173"/>
      <c r="BI1218" s="2173"/>
      <c r="BJ1218" s="2173"/>
      <c r="BK1218" s="2173"/>
      <c r="DB1218" s="773"/>
      <c r="DC1218" s="773"/>
      <c r="DD1218" s="773"/>
      <c r="DE1218" s="773"/>
      <c r="DF1218" s="773"/>
      <c r="DG1218" s="773"/>
      <c r="DH1218" s="773"/>
      <c r="DI1218" s="773"/>
      <c r="DJ1218" s="773"/>
      <c r="DK1218" s="773"/>
      <c r="DL1218" s="773"/>
      <c r="DM1218" s="773"/>
      <c r="DN1218" s="773"/>
      <c r="DO1218" s="773"/>
      <c r="DP1218" s="773"/>
      <c r="DQ1218" s="773"/>
      <c r="DR1218" s="773"/>
      <c r="DS1218" s="773"/>
      <c r="DT1218" s="773"/>
      <c r="DU1218" s="773"/>
      <c r="DV1218" s="773"/>
      <c r="DW1218" s="773"/>
      <c r="DX1218" s="773"/>
      <c r="DY1218" s="773"/>
      <c r="DZ1218" s="773"/>
      <c r="EA1218" s="773"/>
      <c r="EB1218" s="773"/>
      <c r="EC1218" s="773"/>
      <c r="ED1218" s="773"/>
      <c r="EE1218" s="773"/>
      <c r="EF1218" s="773"/>
      <c r="EG1218" s="773"/>
      <c r="EH1218" s="773"/>
      <c r="EI1218" s="773"/>
      <c r="EJ1218" s="773"/>
      <c r="EK1218" s="773"/>
      <c r="EL1218" s="773"/>
      <c r="EM1218" s="773"/>
      <c r="EN1218" s="773"/>
      <c r="EO1218" s="773"/>
      <c r="EP1218" s="773"/>
      <c r="EQ1218" s="773"/>
      <c r="ER1218" s="773"/>
      <c r="ES1218" s="773"/>
      <c r="ET1218" s="773"/>
      <c r="EU1218" s="773"/>
      <c r="EV1218" s="773"/>
      <c r="EW1218" s="773"/>
      <c r="EX1218" s="773"/>
      <c r="EY1218" s="773"/>
      <c r="EZ1218" s="773"/>
      <c r="FA1218" s="773"/>
      <c r="FB1218" s="773"/>
      <c r="FC1218" s="773"/>
      <c r="FD1218" s="773"/>
      <c r="FE1218" s="773"/>
      <c r="FF1218" s="773"/>
      <c r="FG1218" s="773"/>
      <c r="FH1218" s="773"/>
      <c r="FI1218" s="773"/>
      <c r="FJ1218" s="773"/>
      <c r="FK1218" s="773"/>
      <c r="FL1218" s="773"/>
      <c r="FM1218" s="773"/>
      <c r="FN1218" s="773"/>
      <c r="FO1218" s="773"/>
      <c r="FP1218" s="773"/>
      <c r="FQ1218" s="773"/>
      <c r="FR1218" s="773"/>
      <c r="FS1218" s="773"/>
      <c r="FT1218" s="773"/>
      <c r="FU1218" s="773"/>
      <c r="FV1218" s="773"/>
      <c r="FW1218" s="773"/>
      <c r="FX1218" s="773"/>
      <c r="FY1218" s="773"/>
      <c r="FZ1218" s="773"/>
      <c r="GA1218" s="773"/>
      <c r="GB1218" s="773"/>
      <c r="GC1218" s="773"/>
      <c r="GD1218" s="773"/>
      <c r="GE1218" s="773"/>
      <c r="GF1218" s="773"/>
      <c r="GG1218" s="773"/>
      <c r="GH1218" s="773"/>
      <c r="GI1218" s="773"/>
      <c r="GJ1218" s="773"/>
      <c r="GK1218" s="773"/>
      <c r="GL1218" s="773"/>
      <c r="GM1218" s="773"/>
      <c r="GN1218" s="773"/>
      <c r="GO1218" s="773"/>
      <c r="GP1218" s="773"/>
      <c r="GQ1218" s="773"/>
      <c r="GR1218" s="773"/>
      <c r="GS1218" s="773"/>
      <c r="GT1218" s="773"/>
      <c r="GU1218" s="773"/>
      <c r="GV1218" s="773"/>
      <c r="GW1218" s="773"/>
      <c r="GX1218" s="773"/>
      <c r="GY1218" s="773"/>
      <c r="GZ1218" s="773"/>
    </row>
    <row r="1219" spans="1:208" s="11" customFormat="1">
      <c r="A1219" s="774"/>
      <c r="B1219" s="766"/>
      <c r="C1219" s="767"/>
      <c r="D1219" s="173"/>
      <c r="E1219" s="769"/>
      <c r="F1219" s="769"/>
      <c r="G1219" s="769"/>
      <c r="H1219" s="769"/>
      <c r="I1219" s="769"/>
      <c r="J1219" s="769"/>
      <c r="K1219" s="209"/>
      <c r="L1219" s="770"/>
      <c r="M1219" s="771"/>
      <c r="N1219" s="772"/>
      <c r="O1219" s="772"/>
      <c r="P1219" s="772"/>
      <c r="Q1219" s="772"/>
      <c r="R1219" s="772"/>
      <c r="S1219" s="772"/>
      <c r="T1219" s="772"/>
      <c r="AW1219" s="2510"/>
      <c r="BC1219" s="2510"/>
      <c r="BD1219" s="2510"/>
      <c r="BE1219" s="2173"/>
      <c r="BF1219" s="2173"/>
      <c r="BG1219" s="2173"/>
      <c r="BH1219" s="2173"/>
      <c r="BI1219" s="2173"/>
      <c r="BJ1219" s="2173"/>
      <c r="BK1219" s="2173"/>
      <c r="DB1219" s="773"/>
      <c r="DC1219" s="773"/>
      <c r="DD1219" s="773"/>
      <c r="DE1219" s="773"/>
      <c r="DF1219" s="773"/>
      <c r="DG1219" s="773"/>
      <c r="DH1219" s="773"/>
      <c r="DI1219" s="773"/>
      <c r="DJ1219" s="773"/>
      <c r="DK1219" s="773"/>
      <c r="DL1219" s="773"/>
      <c r="DM1219" s="773"/>
      <c r="DN1219" s="773"/>
      <c r="DO1219" s="773"/>
      <c r="DP1219" s="773"/>
      <c r="DQ1219" s="773"/>
      <c r="DR1219" s="773"/>
      <c r="DS1219" s="773"/>
      <c r="DT1219" s="773"/>
      <c r="DU1219" s="773"/>
      <c r="DV1219" s="773"/>
      <c r="DW1219" s="773"/>
      <c r="DX1219" s="773"/>
      <c r="DY1219" s="773"/>
      <c r="DZ1219" s="773"/>
      <c r="EA1219" s="773"/>
      <c r="EB1219" s="773"/>
      <c r="EC1219" s="773"/>
      <c r="ED1219" s="773"/>
      <c r="EE1219" s="773"/>
      <c r="EF1219" s="773"/>
      <c r="EG1219" s="773"/>
      <c r="EH1219" s="773"/>
      <c r="EI1219" s="773"/>
      <c r="EJ1219" s="773"/>
      <c r="EK1219" s="773"/>
      <c r="EL1219" s="773"/>
      <c r="EM1219" s="773"/>
      <c r="EN1219" s="773"/>
      <c r="EO1219" s="773"/>
      <c r="EP1219" s="773"/>
      <c r="EQ1219" s="773"/>
      <c r="ER1219" s="773"/>
      <c r="ES1219" s="773"/>
      <c r="ET1219" s="773"/>
      <c r="EU1219" s="773"/>
      <c r="EV1219" s="773"/>
      <c r="EW1219" s="773"/>
      <c r="EX1219" s="773"/>
      <c r="EY1219" s="773"/>
      <c r="EZ1219" s="773"/>
      <c r="FA1219" s="773"/>
      <c r="FB1219" s="773"/>
      <c r="FC1219" s="773"/>
      <c r="FD1219" s="773"/>
      <c r="FE1219" s="773"/>
      <c r="FF1219" s="773"/>
      <c r="FG1219" s="773"/>
      <c r="FH1219" s="773"/>
      <c r="FI1219" s="773"/>
      <c r="FJ1219" s="773"/>
      <c r="FK1219" s="773"/>
      <c r="FL1219" s="773"/>
      <c r="FM1219" s="773"/>
      <c r="FN1219" s="773"/>
      <c r="FO1219" s="773"/>
      <c r="FP1219" s="773"/>
      <c r="FQ1219" s="773"/>
      <c r="FR1219" s="773"/>
      <c r="FS1219" s="773"/>
      <c r="FT1219" s="773"/>
      <c r="FU1219" s="773"/>
      <c r="FV1219" s="773"/>
      <c r="FW1219" s="773"/>
      <c r="FX1219" s="773"/>
      <c r="FY1219" s="773"/>
      <c r="FZ1219" s="773"/>
      <c r="GA1219" s="773"/>
      <c r="GB1219" s="773"/>
      <c r="GC1219" s="773"/>
      <c r="GD1219" s="773"/>
      <c r="GE1219" s="773"/>
      <c r="GF1219" s="773"/>
      <c r="GG1219" s="773"/>
      <c r="GH1219" s="773"/>
      <c r="GI1219" s="773"/>
      <c r="GJ1219" s="773"/>
      <c r="GK1219" s="773"/>
      <c r="GL1219" s="773"/>
      <c r="GM1219" s="773"/>
      <c r="GN1219" s="773"/>
      <c r="GO1219" s="773"/>
      <c r="GP1219" s="773"/>
      <c r="GQ1219" s="773"/>
      <c r="GR1219" s="773"/>
      <c r="GS1219" s="773"/>
      <c r="GT1219" s="773"/>
      <c r="GU1219" s="773"/>
      <c r="GV1219" s="773"/>
      <c r="GW1219" s="773"/>
      <c r="GX1219" s="773"/>
      <c r="GY1219" s="773"/>
      <c r="GZ1219" s="773"/>
    </row>
    <row r="1220" spans="1:208" s="11" customFormat="1">
      <c r="A1220" s="774"/>
      <c r="B1220" s="766"/>
      <c r="C1220" s="767"/>
      <c r="D1220" s="173"/>
      <c r="E1220" s="769"/>
      <c r="F1220" s="769"/>
      <c r="G1220" s="769"/>
      <c r="H1220" s="769"/>
      <c r="I1220" s="769"/>
      <c r="J1220" s="769"/>
      <c r="K1220" s="209"/>
      <c r="L1220" s="770"/>
      <c r="M1220" s="771"/>
      <c r="N1220" s="772"/>
      <c r="O1220" s="772"/>
      <c r="P1220" s="772"/>
      <c r="Q1220" s="772"/>
      <c r="R1220" s="772"/>
      <c r="S1220" s="772"/>
      <c r="T1220" s="772"/>
      <c r="AW1220" s="2510"/>
      <c r="BC1220" s="2510"/>
      <c r="BD1220" s="2510"/>
      <c r="BE1220" s="2173"/>
      <c r="BF1220" s="2173"/>
      <c r="BG1220" s="2173"/>
      <c r="BH1220" s="2173"/>
      <c r="BI1220" s="2173"/>
      <c r="BJ1220" s="2173"/>
      <c r="BK1220" s="2173"/>
      <c r="DB1220" s="773"/>
      <c r="DC1220" s="773"/>
      <c r="DD1220" s="773"/>
      <c r="DE1220" s="773"/>
      <c r="DF1220" s="773"/>
      <c r="DG1220" s="773"/>
      <c r="DH1220" s="773"/>
      <c r="DI1220" s="773"/>
      <c r="DJ1220" s="773"/>
      <c r="DK1220" s="773"/>
      <c r="DL1220" s="773"/>
      <c r="DM1220" s="773"/>
      <c r="DN1220" s="773"/>
      <c r="DO1220" s="773"/>
      <c r="DP1220" s="773"/>
      <c r="DQ1220" s="773"/>
      <c r="DR1220" s="773"/>
      <c r="DS1220" s="773"/>
      <c r="DT1220" s="773"/>
      <c r="DU1220" s="773"/>
      <c r="DV1220" s="773"/>
      <c r="DW1220" s="773"/>
      <c r="DX1220" s="773"/>
      <c r="DY1220" s="773"/>
      <c r="DZ1220" s="773"/>
      <c r="EA1220" s="773"/>
      <c r="EB1220" s="773"/>
      <c r="EC1220" s="773"/>
      <c r="ED1220" s="773"/>
      <c r="EE1220" s="773"/>
      <c r="EF1220" s="773"/>
      <c r="EG1220" s="773"/>
      <c r="EH1220" s="773"/>
      <c r="EI1220" s="773"/>
      <c r="EJ1220" s="773"/>
      <c r="EK1220" s="773"/>
      <c r="EL1220" s="773"/>
      <c r="EM1220" s="773"/>
      <c r="EN1220" s="773"/>
      <c r="EO1220" s="773"/>
      <c r="EP1220" s="773"/>
      <c r="EQ1220" s="773"/>
      <c r="ER1220" s="773"/>
      <c r="ES1220" s="773"/>
      <c r="ET1220" s="773"/>
      <c r="EU1220" s="773"/>
      <c r="EV1220" s="773"/>
      <c r="EW1220" s="773"/>
      <c r="EX1220" s="773"/>
      <c r="EY1220" s="773"/>
      <c r="EZ1220" s="773"/>
      <c r="FA1220" s="773"/>
      <c r="FB1220" s="773"/>
      <c r="FC1220" s="773"/>
      <c r="FD1220" s="773"/>
      <c r="FE1220" s="773"/>
      <c r="FF1220" s="773"/>
      <c r="FG1220" s="773"/>
      <c r="FH1220" s="773"/>
      <c r="FI1220" s="773"/>
      <c r="FJ1220" s="773"/>
      <c r="FK1220" s="773"/>
      <c r="FL1220" s="773"/>
      <c r="FM1220" s="773"/>
      <c r="FN1220" s="773"/>
      <c r="FO1220" s="773"/>
      <c r="FP1220" s="773"/>
      <c r="FQ1220" s="773"/>
      <c r="FR1220" s="773"/>
      <c r="FS1220" s="773"/>
      <c r="FT1220" s="773"/>
      <c r="FU1220" s="773"/>
      <c r="FV1220" s="773"/>
      <c r="FW1220" s="773"/>
      <c r="FX1220" s="773"/>
      <c r="FY1220" s="773"/>
      <c r="FZ1220" s="773"/>
      <c r="GA1220" s="773"/>
      <c r="GB1220" s="773"/>
      <c r="GC1220" s="773"/>
      <c r="GD1220" s="773"/>
      <c r="GE1220" s="773"/>
      <c r="GF1220" s="773"/>
      <c r="GG1220" s="773"/>
      <c r="GH1220" s="773"/>
      <c r="GI1220" s="773"/>
      <c r="GJ1220" s="773"/>
      <c r="GK1220" s="773"/>
      <c r="GL1220" s="773"/>
      <c r="GM1220" s="773"/>
      <c r="GN1220" s="773"/>
      <c r="GO1220" s="773"/>
      <c r="GP1220" s="773"/>
      <c r="GQ1220" s="773"/>
      <c r="GR1220" s="773"/>
      <c r="GS1220" s="773"/>
      <c r="GT1220" s="773"/>
      <c r="GU1220" s="773"/>
      <c r="GV1220" s="773"/>
      <c r="GW1220" s="773"/>
      <c r="GX1220" s="773"/>
      <c r="GY1220" s="773"/>
      <c r="GZ1220" s="773"/>
    </row>
    <row r="1221" spans="1:208" s="11" customFormat="1">
      <c r="A1221" s="774"/>
      <c r="B1221" s="766"/>
      <c r="C1221" s="767"/>
      <c r="D1221" s="173"/>
      <c r="E1221" s="769"/>
      <c r="F1221" s="769"/>
      <c r="G1221" s="769"/>
      <c r="H1221" s="769"/>
      <c r="I1221" s="769"/>
      <c r="J1221" s="769"/>
      <c r="K1221" s="209"/>
      <c r="L1221" s="770"/>
      <c r="M1221" s="771"/>
      <c r="N1221" s="772"/>
      <c r="O1221" s="772"/>
      <c r="P1221" s="772"/>
      <c r="Q1221" s="772"/>
      <c r="R1221" s="772"/>
      <c r="S1221" s="772"/>
      <c r="T1221" s="772"/>
      <c r="AW1221" s="2510"/>
      <c r="BC1221" s="2510"/>
      <c r="BD1221" s="2510"/>
      <c r="BE1221" s="2173"/>
      <c r="BF1221" s="2173"/>
      <c r="BG1221" s="2173"/>
      <c r="BH1221" s="2173"/>
      <c r="BI1221" s="2173"/>
      <c r="BJ1221" s="2173"/>
      <c r="BK1221" s="2173"/>
      <c r="DB1221" s="773"/>
      <c r="DC1221" s="773"/>
      <c r="DD1221" s="773"/>
      <c r="DE1221" s="773"/>
      <c r="DF1221" s="773"/>
      <c r="DG1221" s="773"/>
      <c r="DH1221" s="773"/>
      <c r="DI1221" s="773"/>
      <c r="DJ1221" s="773"/>
      <c r="DK1221" s="773"/>
      <c r="DL1221" s="773"/>
      <c r="DM1221" s="773"/>
      <c r="DN1221" s="773"/>
      <c r="DO1221" s="773"/>
      <c r="DP1221" s="773"/>
      <c r="DQ1221" s="773"/>
      <c r="DR1221" s="773"/>
      <c r="DS1221" s="773"/>
      <c r="DT1221" s="773"/>
      <c r="DU1221" s="773"/>
      <c r="DV1221" s="773"/>
      <c r="DW1221" s="773"/>
      <c r="DX1221" s="773"/>
      <c r="DY1221" s="773"/>
      <c r="DZ1221" s="773"/>
      <c r="EA1221" s="773"/>
      <c r="EB1221" s="773"/>
      <c r="EC1221" s="773"/>
      <c r="ED1221" s="773"/>
      <c r="EE1221" s="773"/>
      <c r="EF1221" s="773"/>
      <c r="EG1221" s="773"/>
      <c r="EH1221" s="773"/>
      <c r="EI1221" s="773"/>
      <c r="EJ1221" s="773"/>
      <c r="EK1221" s="773"/>
      <c r="EL1221" s="773"/>
      <c r="EM1221" s="773"/>
      <c r="EN1221" s="773"/>
      <c r="EO1221" s="773"/>
      <c r="EP1221" s="773"/>
      <c r="EQ1221" s="773"/>
      <c r="ER1221" s="773"/>
      <c r="ES1221" s="773"/>
      <c r="ET1221" s="773"/>
      <c r="EU1221" s="773"/>
      <c r="EV1221" s="773"/>
      <c r="EW1221" s="773"/>
      <c r="EX1221" s="773"/>
      <c r="EY1221" s="773"/>
      <c r="EZ1221" s="773"/>
      <c r="FA1221" s="773"/>
      <c r="FB1221" s="773"/>
      <c r="FC1221" s="773"/>
      <c r="FD1221" s="773"/>
      <c r="FE1221" s="773"/>
      <c r="FF1221" s="773"/>
      <c r="FG1221" s="773"/>
      <c r="FH1221" s="773"/>
      <c r="FI1221" s="773"/>
      <c r="FJ1221" s="773"/>
      <c r="FK1221" s="773"/>
      <c r="FL1221" s="773"/>
      <c r="FM1221" s="773"/>
      <c r="FN1221" s="773"/>
      <c r="FO1221" s="773"/>
      <c r="FP1221" s="773"/>
      <c r="FQ1221" s="773"/>
      <c r="FR1221" s="773"/>
      <c r="FS1221" s="773"/>
      <c r="FT1221" s="773"/>
      <c r="FU1221" s="773"/>
      <c r="FV1221" s="773"/>
      <c r="FW1221" s="773"/>
      <c r="FX1221" s="773"/>
      <c r="FY1221" s="773"/>
      <c r="FZ1221" s="773"/>
      <c r="GA1221" s="773"/>
      <c r="GB1221" s="773"/>
      <c r="GC1221" s="773"/>
      <c r="GD1221" s="773"/>
      <c r="GE1221" s="773"/>
      <c r="GF1221" s="773"/>
      <c r="GG1221" s="773"/>
      <c r="GH1221" s="773"/>
      <c r="GI1221" s="773"/>
      <c r="GJ1221" s="773"/>
      <c r="GK1221" s="773"/>
      <c r="GL1221" s="773"/>
      <c r="GM1221" s="773"/>
      <c r="GN1221" s="773"/>
      <c r="GO1221" s="773"/>
      <c r="GP1221" s="773"/>
      <c r="GQ1221" s="773"/>
      <c r="GR1221" s="773"/>
      <c r="GS1221" s="773"/>
      <c r="GT1221" s="773"/>
      <c r="GU1221" s="773"/>
      <c r="GV1221" s="773"/>
      <c r="GW1221" s="773"/>
      <c r="GX1221" s="773"/>
      <c r="GY1221" s="773"/>
      <c r="GZ1221" s="773"/>
    </row>
    <row r="1222" spans="1:208" s="11" customFormat="1">
      <c r="A1222" s="774"/>
      <c r="B1222" s="766"/>
      <c r="C1222" s="767"/>
      <c r="D1222" s="173"/>
      <c r="E1222" s="769"/>
      <c r="F1222" s="769"/>
      <c r="G1222" s="769"/>
      <c r="H1222" s="769"/>
      <c r="I1222" s="769"/>
      <c r="J1222" s="769"/>
      <c r="K1222" s="209"/>
      <c r="L1222" s="770"/>
      <c r="M1222" s="771"/>
      <c r="N1222" s="772"/>
      <c r="O1222" s="772"/>
      <c r="P1222" s="772"/>
      <c r="Q1222" s="772"/>
      <c r="R1222" s="772"/>
      <c r="S1222" s="772"/>
      <c r="T1222" s="772"/>
      <c r="AW1222" s="2510"/>
      <c r="BC1222" s="2510"/>
      <c r="BD1222" s="2510"/>
      <c r="BE1222" s="2173"/>
      <c r="BF1222" s="2173"/>
      <c r="BG1222" s="2173"/>
      <c r="BH1222" s="2173"/>
      <c r="BI1222" s="2173"/>
      <c r="BJ1222" s="2173"/>
      <c r="BK1222" s="2173"/>
      <c r="DB1222" s="773"/>
      <c r="DC1222" s="773"/>
      <c r="DD1222" s="773"/>
      <c r="DE1222" s="773"/>
      <c r="DF1222" s="773"/>
      <c r="DG1222" s="773"/>
      <c r="DH1222" s="773"/>
      <c r="DI1222" s="773"/>
      <c r="DJ1222" s="773"/>
      <c r="DK1222" s="773"/>
      <c r="DL1222" s="773"/>
      <c r="DM1222" s="773"/>
      <c r="DN1222" s="773"/>
      <c r="DO1222" s="773"/>
      <c r="DP1222" s="773"/>
      <c r="DQ1222" s="773"/>
      <c r="DR1222" s="773"/>
      <c r="DS1222" s="773"/>
      <c r="DT1222" s="773"/>
      <c r="DU1222" s="773"/>
      <c r="DV1222" s="773"/>
      <c r="DW1222" s="773"/>
      <c r="DX1222" s="773"/>
      <c r="DY1222" s="773"/>
      <c r="DZ1222" s="773"/>
      <c r="EA1222" s="773"/>
      <c r="EB1222" s="773"/>
      <c r="EC1222" s="773"/>
      <c r="ED1222" s="773"/>
      <c r="EE1222" s="773"/>
      <c r="EF1222" s="773"/>
      <c r="EG1222" s="773"/>
      <c r="EH1222" s="773"/>
      <c r="EI1222" s="773"/>
      <c r="EJ1222" s="773"/>
      <c r="EK1222" s="773"/>
      <c r="EL1222" s="773"/>
      <c r="EM1222" s="773"/>
      <c r="EN1222" s="773"/>
      <c r="EO1222" s="773"/>
      <c r="EP1222" s="773"/>
      <c r="EQ1222" s="773"/>
      <c r="ER1222" s="773"/>
      <c r="ES1222" s="773"/>
      <c r="ET1222" s="773"/>
      <c r="EU1222" s="773"/>
      <c r="EV1222" s="773"/>
      <c r="EW1222" s="773"/>
      <c r="EX1222" s="773"/>
      <c r="EY1222" s="773"/>
      <c r="EZ1222" s="773"/>
      <c r="FA1222" s="773"/>
      <c r="FB1222" s="773"/>
      <c r="FC1222" s="773"/>
      <c r="FD1222" s="773"/>
      <c r="FE1222" s="773"/>
      <c r="FF1222" s="773"/>
      <c r="FG1222" s="773"/>
      <c r="FH1222" s="773"/>
      <c r="FI1222" s="773"/>
      <c r="FJ1222" s="773"/>
      <c r="FK1222" s="773"/>
      <c r="FL1222" s="773"/>
      <c r="FM1222" s="773"/>
      <c r="FN1222" s="773"/>
      <c r="FO1222" s="773"/>
      <c r="FP1222" s="773"/>
      <c r="FQ1222" s="773"/>
      <c r="FR1222" s="773"/>
      <c r="FS1222" s="773"/>
      <c r="FT1222" s="773"/>
      <c r="FU1222" s="773"/>
      <c r="FV1222" s="773"/>
      <c r="FW1222" s="773"/>
      <c r="FX1222" s="773"/>
      <c r="FY1222" s="773"/>
      <c r="FZ1222" s="773"/>
      <c r="GA1222" s="773"/>
      <c r="GB1222" s="773"/>
      <c r="GC1222" s="773"/>
      <c r="GD1222" s="773"/>
      <c r="GE1222" s="773"/>
      <c r="GF1222" s="773"/>
      <c r="GG1222" s="773"/>
      <c r="GH1222" s="773"/>
      <c r="GI1222" s="773"/>
      <c r="GJ1222" s="773"/>
      <c r="GK1222" s="773"/>
      <c r="GL1222" s="773"/>
      <c r="GM1222" s="773"/>
      <c r="GN1222" s="773"/>
      <c r="GO1222" s="773"/>
      <c r="GP1222" s="773"/>
      <c r="GQ1222" s="773"/>
      <c r="GR1222" s="773"/>
      <c r="GS1222" s="773"/>
      <c r="GT1222" s="773"/>
      <c r="GU1222" s="773"/>
      <c r="GV1222" s="773"/>
      <c r="GW1222" s="773"/>
      <c r="GX1222" s="773"/>
      <c r="GY1222" s="773"/>
      <c r="GZ1222" s="773"/>
    </row>
    <row r="1223" spans="1:208" s="11" customFormat="1">
      <c r="A1223" s="774"/>
      <c r="B1223" s="766"/>
      <c r="C1223" s="767"/>
      <c r="D1223" s="173"/>
      <c r="E1223" s="769"/>
      <c r="F1223" s="769"/>
      <c r="G1223" s="769"/>
      <c r="H1223" s="769"/>
      <c r="I1223" s="769"/>
      <c r="J1223" s="769"/>
      <c r="K1223" s="209"/>
      <c r="L1223" s="770"/>
      <c r="M1223" s="771"/>
      <c r="N1223" s="772"/>
      <c r="O1223" s="772"/>
      <c r="P1223" s="772"/>
      <c r="Q1223" s="772"/>
      <c r="R1223" s="772"/>
      <c r="S1223" s="772"/>
      <c r="T1223" s="772"/>
      <c r="AW1223" s="2510"/>
      <c r="BC1223" s="2510"/>
      <c r="BD1223" s="2510"/>
      <c r="BE1223" s="2173"/>
      <c r="BF1223" s="2173"/>
      <c r="BG1223" s="2173"/>
      <c r="BH1223" s="2173"/>
      <c r="BI1223" s="2173"/>
      <c r="BJ1223" s="2173"/>
      <c r="BK1223" s="2173"/>
      <c r="DB1223" s="773"/>
      <c r="DC1223" s="773"/>
      <c r="DD1223" s="773"/>
      <c r="DE1223" s="773"/>
      <c r="DF1223" s="773"/>
      <c r="DG1223" s="773"/>
      <c r="DH1223" s="773"/>
      <c r="DI1223" s="773"/>
      <c r="DJ1223" s="773"/>
      <c r="DK1223" s="773"/>
      <c r="DL1223" s="773"/>
      <c r="DM1223" s="773"/>
      <c r="DN1223" s="773"/>
      <c r="DO1223" s="773"/>
      <c r="DP1223" s="773"/>
      <c r="DQ1223" s="773"/>
      <c r="DR1223" s="773"/>
      <c r="DS1223" s="773"/>
      <c r="DT1223" s="773"/>
      <c r="DU1223" s="773"/>
      <c r="DV1223" s="773"/>
      <c r="DW1223" s="773"/>
      <c r="DX1223" s="773"/>
      <c r="DY1223" s="773"/>
      <c r="DZ1223" s="773"/>
      <c r="EA1223" s="773"/>
      <c r="EB1223" s="773"/>
      <c r="EC1223" s="773"/>
      <c r="ED1223" s="773"/>
      <c r="EE1223" s="773"/>
      <c r="EF1223" s="773"/>
      <c r="EG1223" s="773"/>
      <c r="EH1223" s="773"/>
      <c r="EI1223" s="773"/>
      <c r="EJ1223" s="773"/>
      <c r="EK1223" s="773"/>
      <c r="EL1223" s="773"/>
      <c r="EM1223" s="773"/>
      <c r="EN1223" s="773"/>
      <c r="EO1223" s="773"/>
      <c r="EP1223" s="773"/>
      <c r="EQ1223" s="773"/>
      <c r="ER1223" s="773"/>
      <c r="ES1223" s="773"/>
      <c r="ET1223" s="773"/>
      <c r="EU1223" s="773"/>
      <c r="EV1223" s="773"/>
      <c r="EW1223" s="773"/>
      <c r="EX1223" s="773"/>
      <c r="EY1223" s="773"/>
      <c r="EZ1223" s="773"/>
      <c r="FA1223" s="773"/>
      <c r="FB1223" s="773"/>
      <c r="FC1223" s="773"/>
      <c r="FD1223" s="773"/>
      <c r="FE1223" s="773"/>
      <c r="FF1223" s="773"/>
      <c r="FG1223" s="773"/>
      <c r="FH1223" s="773"/>
      <c r="FI1223" s="773"/>
      <c r="FJ1223" s="773"/>
      <c r="FK1223" s="773"/>
      <c r="FL1223" s="773"/>
      <c r="FM1223" s="773"/>
      <c r="FN1223" s="773"/>
      <c r="FO1223" s="773"/>
      <c r="FP1223" s="773"/>
      <c r="FQ1223" s="773"/>
      <c r="FR1223" s="773"/>
      <c r="FS1223" s="773"/>
      <c r="FT1223" s="773"/>
      <c r="FU1223" s="773"/>
      <c r="FV1223" s="773"/>
      <c r="FW1223" s="773"/>
      <c r="FX1223" s="773"/>
      <c r="FY1223" s="773"/>
      <c r="FZ1223" s="773"/>
      <c r="GA1223" s="773"/>
      <c r="GB1223" s="773"/>
      <c r="GC1223" s="773"/>
      <c r="GD1223" s="773"/>
      <c r="GE1223" s="773"/>
      <c r="GF1223" s="773"/>
      <c r="GG1223" s="773"/>
      <c r="GH1223" s="773"/>
      <c r="GI1223" s="773"/>
      <c r="GJ1223" s="773"/>
      <c r="GK1223" s="773"/>
      <c r="GL1223" s="773"/>
      <c r="GM1223" s="773"/>
      <c r="GN1223" s="773"/>
      <c r="GO1223" s="773"/>
      <c r="GP1223" s="773"/>
      <c r="GQ1223" s="773"/>
      <c r="GR1223" s="773"/>
      <c r="GS1223" s="773"/>
      <c r="GT1223" s="773"/>
      <c r="GU1223" s="773"/>
      <c r="GV1223" s="773"/>
      <c r="GW1223" s="773"/>
      <c r="GX1223" s="773"/>
      <c r="GY1223" s="773"/>
      <c r="GZ1223" s="773"/>
    </row>
    <row r="1224" spans="1:208" s="11" customFormat="1">
      <c r="B1224" s="775"/>
      <c r="C1224" s="826"/>
      <c r="D1224" s="775"/>
      <c r="K1224" s="209"/>
      <c r="M1224" s="771"/>
      <c r="N1224" s="772"/>
      <c r="O1224" s="772"/>
      <c r="P1224" s="772"/>
      <c r="Q1224" s="772"/>
      <c r="R1224" s="772"/>
      <c r="S1224" s="772"/>
      <c r="T1224" s="772"/>
      <c r="AW1224" s="2510"/>
      <c r="BC1224" s="2510"/>
      <c r="BD1224" s="2510"/>
      <c r="BE1224" s="2173"/>
      <c r="BF1224" s="2173"/>
      <c r="BG1224" s="2173"/>
      <c r="BH1224" s="2173"/>
      <c r="BI1224" s="2173"/>
      <c r="BJ1224" s="2173"/>
      <c r="BK1224" s="2173"/>
      <c r="DB1224" s="773"/>
      <c r="DC1224" s="773"/>
      <c r="DD1224" s="773"/>
      <c r="DE1224" s="773"/>
      <c r="DF1224" s="773"/>
      <c r="DG1224" s="773"/>
      <c r="DH1224" s="773"/>
      <c r="DI1224" s="773"/>
      <c r="DJ1224" s="773"/>
      <c r="DK1224" s="773"/>
      <c r="DL1224" s="773"/>
      <c r="DM1224" s="773"/>
      <c r="DN1224" s="773"/>
      <c r="DO1224" s="773"/>
      <c r="DP1224" s="773"/>
      <c r="DQ1224" s="773"/>
      <c r="DR1224" s="773"/>
      <c r="DS1224" s="773"/>
      <c r="DT1224" s="773"/>
      <c r="DU1224" s="773"/>
      <c r="DV1224" s="773"/>
      <c r="DW1224" s="773"/>
      <c r="DX1224" s="773"/>
      <c r="DY1224" s="773"/>
      <c r="DZ1224" s="773"/>
      <c r="EA1224" s="773"/>
      <c r="EB1224" s="773"/>
      <c r="EC1224" s="773"/>
      <c r="ED1224" s="773"/>
      <c r="EE1224" s="773"/>
      <c r="EF1224" s="773"/>
      <c r="EG1224" s="773"/>
      <c r="EH1224" s="773"/>
      <c r="EI1224" s="773"/>
      <c r="EJ1224" s="773"/>
      <c r="EK1224" s="773"/>
      <c r="EL1224" s="773"/>
      <c r="EM1224" s="773"/>
      <c r="EN1224" s="773"/>
      <c r="EO1224" s="773"/>
      <c r="EP1224" s="773"/>
      <c r="EQ1224" s="773"/>
      <c r="ER1224" s="773"/>
      <c r="ES1224" s="773"/>
      <c r="ET1224" s="773"/>
      <c r="EU1224" s="773"/>
      <c r="EV1224" s="773"/>
      <c r="EW1224" s="773"/>
      <c r="EX1224" s="773"/>
      <c r="EY1224" s="773"/>
      <c r="EZ1224" s="773"/>
      <c r="FA1224" s="773"/>
      <c r="FB1224" s="773"/>
      <c r="FC1224" s="773"/>
      <c r="FD1224" s="773"/>
      <c r="FE1224" s="773"/>
      <c r="FF1224" s="773"/>
      <c r="FG1224" s="773"/>
      <c r="FH1224" s="773"/>
      <c r="FI1224" s="773"/>
      <c r="FJ1224" s="773"/>
      <c r="FK1224" s="773"/>
      <c r="FL1224" s="773"/>
      <c r="FM1224" s="773"/>
      <c r="FN1224" s="773"/>
      <c r="FO1224" s="773"/>
      <c r="FP1224" s="773"/>
      <c r="FQ1224" s="773"/>
      <c r="FR1224" s="773"/>
      <c r="FS1224" s="773"/>
      <c r="FT1224" s="773"/>
      <c r="FU1224" s="773"/>
      <c r="FV1224" s="773"/>
      <c r="FW1224" s="773"/>
      <c r="FX1224" s="773"/>
      <c r="FY1224" s="773"/>
      <c r="FZ1224" s="773"/>
      <c r="GA1224" s="773"/>
      <c r="GB1224" s="773"/>
      <c r="GC1224" s="773"/>
      <c r="GD1224" s="773"/>
      <c r="GE1224" s="773"/>
      <c r="GF1224" s="773"/>
      <c r="GG1224" s="773"/>
      <c r="GH1224" s="773"/>
      <c r="GI1224" s="773"/>
      <c r="GJ1224" s="773"/>
      <c r="GK1224" s="773"/>
      <c r="GL1224" s="773"/>
      <c r="GM1224" s="773"/>
      <c r="GN1224" s="773"/>
      <c r="GO1224" s="773"/>
      <c r="GP1224" s="773"/>
      <c r="GQ1224" s="773"/>
      <c r="GR1224" s="773"/>
      <c r="GS1224" s="773"/>
      <c r="GT1224" s="773"/>
      <c r="GU1224" s="773"/>
      <c r="GV1224" s="773"/>
      <c r="GW1224" s="773"/>
      <c r="GX1224" s="773"/>
      <c r="GY1224" s="773"/>
      <c r="GZ1224" s="773"/>
    </row>
    <row r="1225" spans="1:208" s="11" customFormat="1">
      <c r="B1225" s="775"/>
      <c r="C1225" s="826"/>
      <c r="D1225" s="775"/>
      <c r="K1225" s="209"/>
      <c r="M1225" s="771"/>
      <c r="N1225" s="772"/>
      <c r="O1225" s="772"/>
      <c r="P1225" s="772"/>
      <c r="Q1225" s="772"/>
      <c r="R1225" s="772"/>
      <c r="S1225" s="772"/>
      <c r="T1225" s="772"/>
      <c r="AW1225" s="2510"/>
      <c r="BC1225" s="2510"/>
      <c r="BD1225" s="2510"/>
      <c r="BE1225" s="2173"/>
      <c r="BF1225" s="2173"/>
      <c r="BG1225" s="2173"/>
      <c r="BH1225" s="2173"/>
      <c r="BI1225" s="2173"/>
      <c r="BJ1225" s="2173"/>
      <c r="BK1225" s="2173"/>
      <c r="DB1225" s="773"/>
      <c r="DC1225" s="773"/>
      <c r="DD1225" s="773"/>
      <c r="DE1225" s="773"/>
      <c r="DF1225" s="773"/>
      <c r="DG1225" s="773"/>
      <c r="DH1225" s="773"/>
      <c r="DI1225" s="773"/>
      <c r="DJ1225" s="773"/>
      <c r="DK1225" s="773"/>
      <c r="DL1225" s="773"/>
      <c r="DM1225" s="773"/>
      <c r="DN1225" s="773"/>
      <c r="DO1225" s="773"/>
      <c r="DP1225" s="773"/>
      <c r="DQ1225" s="773"/>
      <c r="DR1225" s="773"/>
      <c r="DS1225" s="773"/>
      <c r="DT1225" s="773"/>
      <c r="DU1225" s="773"/>
      <c r="DV1225" s="773"/>
      <c r="DW1225" s="773"/>
      <c r="DX1225" s="773"/>
      <c r="DY1225" s="773"/>
      <c r="DZ1225" s="773"/>
      <c r="EA1225" s="773"/>
      <c r="EB1225" s="773"/>
      <c r="EC1225" s="773"/>
      <c r="ED1225" s="773"/>
      <c r="EE1225" s="773"/>
      <c r="EF1225" s="773"/>
      <c r="EG1225" s="773"/>
      <c r="EH1225" s="773"/>
      <c r="EI1225" s="773"/>
      <c r="EJ1225" s="773"/>
      <c r="EK1225" s="773"/>
      <c r="EL1225" s="773"/>
      <c r="EM1225" s="773"/>
      <c r="EN1225" s="773"/>
      <c r="EO1225" s="773"/>
      <c r="EP1225" s="773"/>
      <c r="EQ1225" s="773"/>
      <c r="ER1225" s="773"/>
      <c r="ES1225" s="773"/>
      <c r="ET1225" s="773"/>
      <c r="EU1225" s="773"/>
      <c r="EV1225" s="773"/>
      <c r="EW1225" s="773"/>
      <c r="EX1225" s="773"/>
      <c r="EY1225" s="773"/>
      <c r="EZ1225" s="773"/>
      <c r="FA1225" s="773"/>
      <c r="FB1225" s="773"/>
      <c r="FC1225" s="773"/>
      <c r="FD1225" s="773"/>
      <c r="FE1225" s="773"/>
      <c r="FF1225" s="773"/>
      <c r="FG1225" s="773"/>
      <c r="FH1225" s="773"/>
      <c r="FI1225" s="773"/>
      <c r="FJ1225" s="773"/>
      <c r="FK1225" s="773"/>
      <c r="FL1225" s="773"/>
      <c r="FM1225" s="773"/>
      <c r="FN1225" s="773"/>
      <c r="FO1225" s="773"/>
      <c r="FP1225" s="773"/>
      <c r="FQ1225" s="773"/>
      <c r="FR1225" s="773"/>
      <c r="FS1225" s="773"/>
      <c r="FT1225" s="773"/>
      <c r="FU1225" s="773"/>
      <c r="FV1225" s="773"/>
      <c r="FW1225" s="773"/>
      <c r="FX1225" s="773"/>
      <c r="FY1225" s="773"/>
      <c r="FZ1225" s="773"/>
      <c r="GA1225" s="773"/>
      <c r="GB1225" s="773"/>
      <c r="GC1225" s="773"/>
      <c r="GD1225" s="773"/>
      <c r="GE1225" s="773"/>
      <c r="GF1225" s="773"/>
      <c r="GG1225" s="773"/>
      <c r="GH1225" s="773"/>
      <c r="GI1225" s="773"/>
      <c r="GJ1225" s="773"/>
      <c r="GK1225" s="773"/>
      <c r="GL1225" s="773"/>
      <c r="GM1225" s="773"/>
      <c r="GN1225" s="773"/>
      <c r="GO1225" s="773"/>
      <c r="GP1225" s="773"/>
      <c r="GQ1225" s="773"/>
      <c r="GR1225" s="773"/>
      <c r="GS1225" s="773"/>
      <c r="GT1225" s="773"/>
      <c r="GU1225" s="773"/>
      <c r="GV1225" s="773"/>
      <c r="GW1225" s="773"/>
      <c r="GX1225" s="773"/>
      <c r="GY1225" s="773"/>
      <c r="GZ1225" s="773"/>
    </row>
    <row r="1226" spans="1:208" s="11" customFormat="1">
      <c r="B1226" s="775"/>
      <c r="C1226" s="826"/>
      <c r="D1226" s="775"/>
      <c r="K1226" s="209"/>
      <c r="M1226" s="771"/>
      <c r="N1226" s="772"/>
      <c r="O1226" s="772"/>
      <c r="P1226" s="772"/>
      <c r="Q1226" s="772"/>
      <c r="R1226" s="772"/>
      <c r="S1226" s="772"/>
      <c r="T1226" s="772"/>
      <c r="AW1226" s="2510"/>
      <c r="BC1226" s="2510"/>
      <c r="BD1226" s="2510"/>
      <c r="BE1226" s="2510"/>
      <c r="BF1226" s="2510"/>
      <c r="BH1226" s="2510"/>
      <c r="DB1226" s="773"/>
      <c r="DC1226" s="773"/>
      <c r="DD1226" s="773"/>
      <c r="DE1226" s="773"/>
      <c r="DF1226" s="773"/>
      <c r="DG1226" s="773"/>
      <c r="DH1226" s="773"/>
      <c r="DI1226" s="773"/>
      <c r="DJ1226" s="773"/>
      <c r="DK1226" s="773"/>
      <c r="DL1226" s="773"/>
      <c r="DM1226" s="773"/>
      <c r="DN1226" s="773"/>
      <c r="DO1226" s="773"/>
      <c r="DP1226" s="773"/>
      <c r="DQ1226" s="773"/>
      <c r="DR1226" s="773"/>
      <c r="DS1226" s="773"/>
      <c r="DT1226" s="773"/>
      <c r="DU1226" s="773"/>
      <c r="DV1226" s="773"/>
      <c r="DW1226" s="773"/>
      <c r="DX1226" s="773"/>
      <c r="DY1226" s="773"/>
      <c r="DZ1226" s="773"/>
      <c r="EA1226" s="773"/>
      <c r="EB1226" s="773"/>
      <c r="EC1226" s="773"/>
      <c r="ED1226" s="773"/>
      <c r="EE1226" s="773"/>
      <c r="EF1226" s="773"/>
      <c r="EG1226" s="773"/>
      <c r="EH1226" s="773"/>
      <c r="EI1226" s="773"/>
      <c r="EJ1226" s="773"/>
      <c r="EK1226" s="773"/>
      <c r="EL1226" s="773"/>
      <c r="EM1226" s="773"/>
      <c r="EN1226" s="773"/>
      <c r="EO1226" s="773"/>
      <c r="EP1226" s="773"/>
      <c r="EQ1226" s="773"/>
      <c r="ER1226" s="773"/>
      <c r="ES1226" s="773"/>
      <c r="ET1226" s="773"/>
      <c r="EU1226" s="773"/>
      <c r="EV1226" s="773"/>
      <c r="EW1226" s="773"/>
      <c r="EX1226" s="773"/>
      <c r="EY1226" s="773"/>
      <c r="EZ1226" s="773"/>
      <c r="FA1226" s="773"/>
      <c r="FB1226" s="773"/>
      <c r="FC1226" s="773"/>
      <c r="FD1226" s="773"/>
      <c r="FE1226" s="773"/>
      <c r="FF1226" s="773"/>
      <c r="FG1226" s="773"/>
      <c r="FH1226" s="773"/>
      <c r="FI1226" s="773"/>
      <c r="FJ1226" s="773"/>
      <c r="FK1226" s="773"/>
      <c r="FL1226" s="773"/>
      <c r="FM1226" s="773"/>
      <c r="FN1226" s="773"/>
      <c r="FO1226" s="773"/>
      <c r="FP1226" s="773"/>
      <c r="FQ1226" s="773"/>
      <c r="FR1226" s="773"/>
      <c r="FS1226" s="773"/>
      <c r="FT1226" s="773"/>
      <c r="FU1226" s="773"/>
      <c r="FV1226" s="773"/>
      <c r="FW1226" s="773"/>
      <c r="FX1226" s="773"/>
      <c r="FY1226" s="773"/>
      <c r="FZ1226" s="773"/>
      <c r="GA1226" s="773"/>
      <c r="GB1226" s="773"/>
      <c r="GC1226" s="773"/>
      <c r="GD1226" s="773"/>
      <c r="GE1226" s="773"/>
      <c r="GF1226" s="773"/>
      <c r="GG1226" s="773"/>
      <c r="GH1226" s="773"/>
      <c r="GI1226" s="773"/>
      <c r="GJ1226" s="773"/>
      <c r="GK1226" s="773"/>
      <c r="GL1226" s="773"/>
      <c r="GM1226" s="773"/>
      <c r="GN1226" s="773"/>
      <c r="GO1226" s="773"/>
      <c r="GP1226" s="773"/>
      <c r="GQ1226" s="773"/>
      <c r="GR1226" s="773"/>
      <c r="GS1226" s="773"/>
      <c r="GT1226" s="773"/>
      <c r="GU1226" s="773"/>
      <c r="GV1226" s="773"/>
      <c r="GW1226" s="773"/>
      <c r="GX1226" s="773"/>
      <c r="GY1226" s="773"/>
      <c r="GZ1226" s="773"/>
    </row>
    <row r="1227" spans="1:208" s="11" customFormat="1">
      <c r="B1227" s="775"/>
      <c r="C1227" s="826"/>
      <c r="D1227" s="775"/>
      <c r="K1227" s="209"/>
      <c r="M1227" s="771"/>
      <c r="N1227" s="772"/>
      <c r="O1227" s="772"/>
      <c r="P1227" s="772"/>
      <c r="Q1227" s="772"/>
      <c r="R1227" s="772"/>
      <c r="S1227" s="772"/>
      <c r="T1227" s="772"/>
      <c r="AW1227" s="2510"/>
      <c r="BC1227" s="2510"/>
      <c r="BD1227" s="2510"/>
      <c r="BE1227" s="2510"/>
      <c r="BF1227" s="2510"/>
      <c r="BH1227" s="2510"/>
      <c r="DB1227" s="773"/>
      <c r="DC1227" s="773"/>
      <c r="DD1227" s="773"/>
      <c r="DE1227" s="773"/>
      <c r="DF1227" s="773"/>
      <c r="DG1227" s="773"/>
      <c r="DH1227" s="773"/>
      <c r="DI1227" s="773"/>
      <c r="DJ1227" s="773"/>
      <c r="DK1227" s="773"/>
      <c r="DL1227" s="773"/>
      <c r="DM1227" s="773"/>
      <c r="DN1227" s="773"/>
      <c r="DO1227" s="773"/>
      <c r="DP1227" s="773"/>
      <c r="DQ1227" s="773"/>
      <c r="DR1227" s="773"/>
      <c r="DS1227" s="773"/>
      <c r="DT1227" s="773"/>
      <c r="DU1227" s="773"/>
      <c r="DV1227" s="773"/>
      <c r="DW1227" s="773"/>
      <c r="DX1227" s="773"/>
      <c r="DY1227" s="773"/>
      <c r="DZ1227" s="773"/>
      <c r="EA1227" s="773"/>
      <c r="EB1227" s="773"/>
      <c r="EC1227" s="773"/>
      <c r="ED1227" s="773"/>
      <c r="EE1227" s="773"/>
      <c r="EF1227" s="773"/>
      <c r="EG1227" s="773"/>
      <c r="EH1227" s="773"/>
      <c r="EI1227" s="773"/>
      <c r="EJ1227" s="773"/>
      <c r="EK1227" s="773"/>
      <c r="EL1227" s="773"/>
      <c r="EM1227" s="773"/>
      <c r="EN1227" s="773"/>
      <c r="EO1227" s="773"/>
      <c r="EP1227" s="773"/>
      <c r="EQ1227" s="773"/>
      <c r="ER1227" s="773"/>
      <c r="ES1227" s="773"/>
      <c r="ET1227" s="773"/>
      <c r="EU1227" s="773"/>
      <c r="EV1227" s="773"/>
      <c r="EW1227" s="773"/>
      <c r="EX1227" s="773"/>
      <c r="EY1227" s="773"/>
      <c r="EZ1227" s="773"/>
      <c r="FA1227" s="773"/>
      <c r="FB1227" s="773"/>
      <c r="FC1227" s="773"/>
      <c r="FD1227" s="773"/>
      <c r="FE1227" s="773"/>
      <c r="FF1227" s="773"/>
      <c r="FG1227" s="773"/>
      <c r="FH1227" s="773"/>
      <c r="FI1227" s="773"/>
      <c r="FJ1227" s="773"/>
      <c r="FK1227" s="773"/>
      <c r="FL1227" s="773"/>
      <c r="FM1227" s="773"/>
      <c r="FN1227" s="773"/>
      <c r="FO1227" s="773"/>
      <c r="FP1227" s="773"/>
      <c r="FQ1227" s="773"/>
      <c r="FR1227" s="773"/>
      <c r="FS1227" s="773"/>
      <c r="FT1227" s="773"/>
      <c r="FU1227" s="773"/>
      <c r="FV1227" s="773"/>
      <c r="FW1227" s="773"/>
      <c r="FX1227" s="773"/>
      <c r="FY1227" s="773"/>
      <c r="FZ1227" s="773"/>
      <c r="GA1227" s="773"/>
      <c r="GB1227" s="773"/>
      <c r="GC1227" s="773"/>
      <c r="GD1227" s="773"/>
      <c r="GE1227" s="773"/>
      <c r="GF1227" s="773"/>
      <c r="GG1227" s="773"/>
      <c r="GH1227" s="773"/>
      <c r="GI1227" s="773"/>
      <c r="GJ1227" s="773"/>
      <c r="GK1227" s="773"/>
      <c r="GL1227" s="773"/>
      <c r="GM1227" s="773"/>
      <c r="GN1227" s="773"/>
      <c r="GO1227" s="773"/>
      <c r="GP1227" s="773"/>
      <c r="GQ1227" s="773"/>
      <c r="GR1227" s="773"/>
      <c r="GS1227" s="773"/>
      <c r="GT1227" s="773"/>
      <c r="GU1227" s="773"/>
      <c r="GV1227" s="773"/>
      <c r="GW1227" s="773"/>
      <c r="GX1227" s="773"/>
      <c r="GY1227" s="773"/>
      <c r="GZ1227" s="773"/>
    </row>
    <row r="1228" spans="1:208" s="11" customFormat="1">
      <c r="B1228" s="775"/>
      <c r="C1228" s="826"/>
      <c r="D1228" s="775"/>
      <c r="K1228" s="209"/>
      <c r="M1228" s="771"/>
      <c r="N1228" s="772"/>
      <c r="O1228" s="772"/>
      <c r="P1228" s="772"/>
      <c r="Q1228" s="772"/>
      <c r="R1228" s="772"/>
      <c r="S1228" s="772"/>
      <c r="T1228" s="772"/>
      <c r="AW1228" s="2510"/>
      <c r="BC1228" s="2510"/>
      <c r="BD1228" s="2510"/>
      <c r="BE1228" s="2510"/>
      <c r="BF1228" s="2510"/>
      <c r="BH1228" s="2510"/>
      <c r="DB1228" s="773"/>
      <c r="DC1228" s="773"/>
      <c r="DD1228" s="773"/>
      <c r="DE1228" s="773"/>
      <c r="DF1228" s="773"/>
      <c r="DG1228" s="773"/>
      <c r="DH1228" s="773"/>
      <c r="DI1228" s="773"/>
      <c r="DJ1228" s="773"/>
      <c r="DK1228" s="773"/>
      <c r="DL1228" s="773"/>
      <c r="DM1228" s="773"/>
      <c r="DN1228" s="773"/>
      <c r="DO1228" s="773"/>
      <c r="DP1228" s="773"/>
      <c r="DQ1228" s="773"/>
      <c r="DR1228" s="773"/>
      <c r="DS1228" s="773"/>
      <c r="DT1228" s="773"/>
      <c r="DU1228" s="773"/>
      <c r="DV1228" s="773"/>
      <c r="DW1228" s="773"/>
      <c r="DX1228" s="773"/>
      <c r="DY1228" s="773"/>
      <c r="DZ1228" s="773"/>
      <c r="EA1228" s="773"/>
      <c r="EB1228" s="773"/>
      <c r="EC1228" s="773"/>
      <c r="ED1228" s="773"/>
      <c r="EE1228" s="773"/>
      <c r="EF1228" s="773"/>
      <c r="EG1228" s="773"/>
      <c r="EH1228" s="773"/>
      <c r="EI1228" s="773"/>
      <c r="EJ1228" s="773"/>
      <c r="EK1228" s="773"/>
      <c r="EL1228" s="773"/>
      <c r="EM1228" s="773"/>
      <c r="EN1228" s="773"/>
      <c r="EO1228" s="773"/>
      <c r="EP1228" s="773"/>
      <c r="EQ1228" s="773"/>
      <c r="ER1228" s="773"/>
      <c r="ES1228" s="773"/>
      <c r="ET1228" s="773"/>
      <c r="EU1228" s="773"/>
      <c r="EV1228" s="773"/>
      <c r="EW1228" s="773"/>
      <c r="EX1228" s="773"/>
      <c r="EY1228" s="773"/>
      <c r="EZ1228" s="773"/>
      <c r="FA1228" s="773"/>
      <c r="FB1228" s="773"/>
      <c r="FC1228" s="773"/>
      <c r="FD1228" s="773"/>
      <c r="FE1228" s="773"/>
      <c r="FF1228" s="773"/>
      <c r="FG1228" s="773"/>
      <c r="FH1228" s="773"/>
      <c r="FI1228" s="773"/>
      <c r="FJ1228" s="773"/>
      <c r="FK1228" s="773"/>
      <c r="FL1228" s="773"/>
      <c r="FM1228" s="773"/>
      <c r="FN1228" s="773"/>
      <c r="FO1228" s="773"/>
      <c r="FP1228" s="773"/>
      <c r="FQ1228" s="773"/>
      <c r="FR1228" s="773"/>
      <c r="FS1228" s="773"/>
      <c r="FT1228" s="773"/>
      <c r="FU1228" s="773"/>
      <c r="FV1228" s="773"/>
      <c r="FW1228" s="773"/>
      <c r="FX1228" s="773"/>
      <c r="FY1228" s="773"/>
      <c r="FZ1228" s="773"/>
      <c r="GA1228" s="773"/>
      <c r="GB1228" s="773"/>
      <c r="GC1228" s="773"/>
      <c r="GD1228" s="773"/>
      <c r="GE1228" s="773"/>
      <c r="GF1228" s="773"/>
      <c r="GG1228" s="773"/>
      <c r="GH1228" s="773"/>
      <c r="GI1228" s="773"/>
      <c r="GJ1228" s="773"/>
      <c r="GK1228" s="773"/>
      <c r="GL1228" s="773"/>
      <c r="GM1228" s="773"/>
      <c r="GN1228" s="773"/>
      <c r="GO1228" s="773"/>
      <c r="GP1228" s="773"/>
      <c r="GQ1228" s="773"/>
      <c r="GR1228" s="773"/>
      <c r="GS1228" s="773"/>
      <c r="GT1228" s="773"/>
      <c r="GU1228" s="773"/>
      <c r="GV1228" s="773"/>
      <c r="GW1228" s="773"/>
      <c r="GX1228" s="773"/>
      <c r="GY1228" s="773"/>
      <c r="GZ1228" s="773"/>
    </row>
    <row r="1229" spans="1:208" s="11" customFormat="1">
      <c r="B1229" s="775"/>
      <c r="C1229" s="826"/>
      <c r="D1229" s="775"/>
      <c r="K1229" s="209"/>
      <c r="M1229" s="771"/>
      <c r="N1229" s="772"/>
      <c r="O1229" s="772"/>
      <c r="P1229" s="772"/>
      <c r="Q1229" s="772"/>
      <c r="R1229" s="772"/>
      <c r="S1229" s="772"/>
      <c r="T1229" s="772"/>
      <c r="AW1229" s="2510"/>
      <c r="BC1229" s="2510"/>
      <c r="BD1229" s="2510"/>
      <c r="BE1229" s="2510"/>
      <c r="BF1229" s="2510"/>
      <c r="BH1229" s="2510"/>
      <c r="DB1229" s="773"/>
      <c r="DC1229" s="773"/>
      <c r="DD1229" s="773"/>
      <c r="DE1229" s="773"/>
      <c r="DF1229" s="773"/>
      <c r="DG1229" s="773"/>
      <c r="DH1229" s="773"/>
      <c r="DI1229" s="773"/>
      <c r="DJ1229" s="773"/>
      <c r="DK1229" s="773"/>
      <c r="DL1229" s="773"/>
      <c r="DM1229" s="773"/>
      <c r="DN1229" s="773"/>
      <c r="DO1229" s="773"/>
      <c r="DP1229" s="773"/>
      <c r="DQ1229" s="773"/>
      <c r="DR1229" s="773"/>
      <c r="DS1229" s="773"/>
      <c r="DT1229" s="773"/>
      <c r="DU1229" s="773"/>
      <c r="DV1229" s="773"/>
      <c r="DW1229" s="773"/>
      <c r="DX1229" s="773"/>
      <c r="DY1229" s="773"/>
      <c r="DZ1229" s="773"/>
      <c r="EA1229" s="773"/>
      <c r="EB1229" s="773"/>
      <c r="EC1229" s="773"/>
      <c r="ED1229" s="773"/>
      <c r="EE1229" s="773"/>
      <c r="EF1229" s="773"/>
      <c r="EG1229" s="773"/>
      <c r="EH1229" s="773"/>
      <c r="EI1229" s="773"/>
      <c r="EJ1229" s="773"/>
      <c r="EK1229" s="773"/>
      <c r="EL1229" s="773"/>
      <c r="EM1229" s="773"/>
      <c r="EN1229" s="773"/>
      <c r="EO1229" s="773"/>
      <c r="EP1229" s="773"/>
      <c r="EQ1229" s="773"/>
      <c r="ER1229" s="773"/>
      <c r="ES1229" s="773"/>
      <c r="ET1229" s="773"/>
      <c r="EU1229" s="773"/>
      <c r="EV1229" s="773"/>
      <c r="EW1229" s="773"/>
      <c r="EX1229" s="773"/>
      <c r="EY1229" s="773"/>
      <c r="EZ1229" s="773"/>
      <c r="FA1229" s="773"/>
      <c r="FB1229" s="773"/>
      <c r="FC1229" s="773"/>
      <c r="FD1229" s="773"/>
      <c r="FE1229" s="773"/>
      <c r="FF1229" s="773"/>
      <c r="FG1229" s="773"/>
      <c r="FH1229" s="773"/>
      <c r="FI1229" s="773"/>
      <c r="FJ1229" s="773"/>
      <c r="FK1229" s="773"/>
      <c r="FL1229" s="773"/>
      <c r="FM1229" s="773"/>
      <c r="FN1229" s="773"/>
      <c r="FO1229" s="773"/>
      <c r="FP1229" s="773"/>
      <c r="FQ1229" s="773"/>
      <c r="FR1229" s="773"/>
      <c r="FS1229" s="773"/>
      <c r="FT1229" s="773"/>
      <c r="FU1229" s="773"/>
      <c r="FV1229" s="773"/>
      <c r="FW1229" s="773"/>
      <c r="FX1229" s="773"/>
      <c r="FY1229" s="773"/>
      <c r="FZ1229" s="773"/>
      <c r="GA1229" s="773"/>
      <c r="GB1229" s="773"/>
      <c r="GC1229" s="773"/>
      <c r="GD1229" s="773"/>
      <c r="GE1229" s="773"/>
      <c r="GF1229" s="773"/>
      <c r="GG1229" s="773"/>
      <c r="GH1229" s="773"/>
      <c r="GI1229" s="773"/>
      <c r="GJ1229" s="773"/>
      <c r="GK1229" s="773"/>
      <c r="GL1229" s="773"/>
      <c r="GM1229" s="773"/>
      <c r="GN1229" s="773"/>
      <c r="GO1229" s="773"/>
      <c r="GP1229" s="773"/>
      <c r="GQ1229" s="773"/>
      <c r="GR1229" s="773"/>
      <c r="GS1229" s="773"/>
      <c r="GT1229" s="773"/>
      <c r="GU1229" s="773"/>
      <c r="GV1229" s="773"/>
      <c r="GW1229" s="773"/>
      <c r="GX1229" s="773"/>
      <c r="GY1229" s="773"/>
      <c r="GZ1229" s="773"/>
    </row>
    <row r="1230" spans="1:208" s="11" customFormat="1">
      <c r="B1230" s="775"/>
      <c r="C1230" s="826"/>
      <c r="D1230" s="775"/>
      <c r="K1230" s="209"/>
      <c r="M1230" s="771"/>
      <c r="N1230" s="772"/>
      <c r="O1230" s="772"/>
      <c r="P1230" s="772"/>
      <c r="Q1230" s="772"/>
      <c r="R1230" s="772"/>
      <c r="S1230" s="772"/>
      <c r="T1230" s="772"/>
      <c r="AW1230" s="2510"/>
      <c r="BC1230" s="2510"/>
      <c r="BD1230" s="2510"/>
      <c r="BE1230" s="2510"/>
      <c r="BF1230" s="2510"/>
      <c r="BH1230" s="2510"/>
      <c r="DB1230" s="773"/>
      <c r="DC1230" s="773"/>
      <c r="DD1230" s="773"/>
      <c r="DE1230" s="773"/>
      <c r="DF1230" s="773"/>
      <c r="DG1230" s="773"/>
      <c r="DH1230" s="773"/>
      <c r="DI1230" s="773"/>
      <c r="DJ1230" s="773"/>
      <c r="DK1230" s="773"/>
      <c r="DL1230" s="773"/>
      <c r="DM1230" s="773"/>
      <c r="DN1230" s="773"/>
      <c r="DO1230" s="773"/>
      <c r="DP1230" s="773"/>
      <c r="DQ1230" s="773"/>
      <c r="DR1230" s="773"/>
      <c r="DS1230" s="773"/>
      <c r="DT1230" s="773"/>
      <c r="DU1230" s="773"/>
      <c r="DV1230" s="773"/>
      <c r="DW1230" s="773"/>
      <c r="DX1230" s="773"/>
      <c r="DY1230" s="773"/>
      <c r="DZ1230" s="773"/>
      <c r="EA1230" s="773"/>
      <c r="EB1230" s="773"/>
      <c r="EC1230" s="773"/>
      <c r="ED1230" s="773"/>
      <c r="EE1230" s="773"/>
      <c r="EF1230" s="773"/>
      <c r="EG1230" s="773"/>
      <c r="EH1230" s="773"/>
      <c r="EI1230" s="773"/>
      <c r="EJ1230" s="773"/>
      <c r="EK1230" s="773"/>
      <c r="EL1230" s="773"/>
      <c r="EM1230" s="773"/>
      <c r="EN1230" s="773"/>
      <c r="EO1230" s="773"/>
      <c r="EP1230" s="773"/>
      <c r="EQ1230" s="773"/>
      <c r="ER1230" s="773"/>
      <c r="ES1230" s="773"/>
      <c r="ET1230" s="773"/>
      <c r="EU1230" s="773"/>
      <c r="EV1230" s="773"/>
      <c r="EW1230" s="773"/>
      <c r="EX1230" s="773"/>
      <c r="EY1230" s="773"/>
      <c r="EZ1230" s="773"/>
      <c r="FA1230" s="773"/>
      <c r="FB1230" s="773"/>
      <c r="FC1230" s="773"/>
      <c r="FD1230" s="773"/>
      <c r="FE1230" s="773"/>
      <c r="FF1230" s="773"/>
      <c r="FG1230" s="773"/>
      <c r="FH1230" s="773"/>
      <c r="FI1230" s="773"/>
      <c r="FJ1230" s="773"/>
      <c r="FK1230" s="773"/>
      <c r="FL1230" s="773"/>
      <c r="FM1230" s="773"/>
      <c r="FN1230" s="773"/>
      <c r="FO1230" s="773"/>
      <c r="FP1230" s="773"/>
      <c r="FQ1230" s="773"/>
      <c r="FR1230" s="773"/>
      <c r="FS1230" s="773"/>
      <c r="FT1230" s="773"/>
      <c r="FU1230" s="773"/>
      <c r="FV1230" s="773"/>
      <c r="FW1230" s="773"/>
      <c r="FX1230" s="773"/>
      <c r="FY1230" s="773"/>
      <c r="FZ1230" s="773"/>
      <c r="GA1230" s="773"/>
      <c r="GB1230" s="773"/>
      <c r="GC1230" s="773"/>
      <c r="GD1230" s="773"/>
      <c r="GE1230" s="773"/>
      <c r="GF1230" s="773"/>
      <c r="GG1230" s="773"/>
      <c r="GH1230" s="773"/>
      <c r="GI1230" s="773"/>
      <c r="GJ1230" s="773"/>
      <c r="GK1230" s="773"/>
      <c r="GL1230" s="773"/>
      <c r="GM1230" s="773"/>
      <c r="GN1230" s="773"/>
      <c r="GO1230" s="773"/>
      <c r="GP1230" s="773"/>
      <c r="GQ1230" s="773"/>
      <c r="GR1230" s="773"/>
      <c r="GS1230" s="773"/>
      <c r="GT1230" s="773"/>
      <c r="GU1230" s="773"/>
      <c r="GV1230" s="773"/>
      <c r="GW1230" s="773"/>
      <c r="GX1230" s="773"/>
      <c r="GY1230" s="773"/>
      <c r="GZ1230" s="773"/>
    </row>
    <row r="1231" spans="1:208" s="11" customFormat="1">
      <c r="B1231" s="775"/>
      <c r="C1231" s="826"/>
      <c r="D1231" s="775"/>
      <c r="K1231" s="209"/>
      <c r="M1231" s="771"/>
      <c r="N1231" s="772"/>
      <c r="O1231" s="772"/>
      <c r="P1231" s="772"/>
      <c r="Q1231" s="772"/>
      <c r="R1231" s="772"/>
      <c r="S1231" s="772"/>
      <c r="T1231" s="772"/>
      <c r="AW1231" s="2510"/>
      <c r="BC1231" s="2510"/>
      <c r="BD1231" s="2510"/>
      <c r="BE1231" s="2510"/>
      <c r="BF1231" s="2510"/>
      <c r="BH1231" s="2510"/>
      <c r="DB1231" s="773"/>
      <c r="DC1231" s="773"/>
      <c r="DD1231" s="773"/>
      <c r="DE1231" s="773"/>
      <c r="DF1231" s="773"/>
      <c r="DG1231" s="773"/>
      <c r="DH1231" s="773"/>
      <c r="DI1231" s="773"/>
      <c r="DJ1231" s="773"/>
      <c r="DK1231" s="773"/>
      <c r="DL1231" s="773"/>
      <c r="DM1231" s="773"/>
      <c r="DN1231" s="773"/>
      <c r="DO1231" s="773"/>
      <c r="DP1231" s="773"/>
      <c r="DQ1231" s="773"/>
      <c r="DR1231" s="773"/>
      <c r="DS1231" s="773"/>
      <c r="DT1231" s="773"/>
      <c r="DU1231" s="773"/>
      <c r="DV1231" s="773"/>
      <c r="DW1231" s="773"/>
      <c r="DX1231" s="773"/>
      <c r="DY1231" s="773"/>
      <c r="DZ1231" s="773"/>
      <c r="EA1231" s="773"/>
      <c r="EB1231" s="773"/>
      <c r="EC1231" s="773"/>
      <c r="ED1231" s="773"/>
      <c r="EE1231" s="773"/>
      <c r="EF1231" s="773"/>
      <c r="EG1231" s="773"/>
      <c r="EH1231" s="773"/>
      <c r="EI1231" s="773"/>
      <c r="EJ1231" s="773"/>
      <c r="EK1231" s="773"/>
      <c r="EL1231" s="773"/>
      <c r="EM1231" s="773"/>
      <c r="EN1231" s="773"/>
      <c r="EO1231" s="773"/>
      <c r="EP1231" s="773"/>
      <c r="EQ1231" s="773"/>
      <c r="ER1231" s="773"/>
      <c r="ES1231" s="773"/>
      <c r="ET1231" s="773"/>
      <c r="EU1231" s="773"/>
      <c r="EV1231" s="773"/>
      <c r="EW1231" s="773"/>
      <c r="EX1231" s="773"/>
      <c r="EY1231" s="773"/>
      <c r="EZ1231" s="773"/>
      <c r="FA1231" s="773"/>
      <c r="FB1231" s="773"/>
      <c r="FC1231" s="773"/>
      <c r="FD1231" s="773"/>
      <c r="FE1231" s="773"/>
      <c r="FF1231" s="773"/>
      <c r="FG1231" s="773"/>
      <c r="FH1231" s="773"/>
      <c r="FI1231" s="773"/>
      <c r="FJ1231" s="773"/>
      <c r="FK1231" s="773"/>
      <c r="FL1231" s="773"/>
      <c r="FM1231" s="773"/>
      <c r="FN1231" s="773"/>
      <c r="FO1231" s="773"/>
      <c r="FP1231" s="773"/>
      <c r="FQ1231" s="773"/>
      <c r="FR1231" s="773"/>
      <c r="FS1231" s="773"/>
      <c r="FT1231" s="773"/>
      <c r="FU1231" s="773"/>
      <c r="FV1231" s="773"/>
      <c r="FW1231" s="773"/>
      <c r="FX1231" s="773"/>
      <c r="FY1231" s="773"/>
      <c r="FZ1231" s="773"/>
      <c r="GA1231" s="773"/>
      <c r="GB1231" s="773"/>
      <c r="GC1231" s="773"/>
      <c r="GD1231" s="773"/>
      <c r="GE1231" s="773"/>
      <c r="GF1231" s="773"/>
      <c r="GG1231" s="773"/>
      <c r="GH1231" s="773"/>
      <c r="GI1231" s="773"/>
      <c r="GJ1231" s="773"/>
      <c r="GK1231" s="773"/>
      <c r="GL1231" s="773"/>
      <c r="GM1231" s="773"/>
      <c r="GN1231" s="773"/>
      <c r="GO1231" s="773"/>
      <c r="GP1231" s="773"/>
      <c r="GQ1231" s="773"/>
      <c r="GR1231" s="773"/>
      <c r="GS1231" s="773"/>
      <c r="GT1231" s="773"/>
      <c r="GU1231" s="773"/>
      <c r="GV1231" s="773"/>
      <c r="GW1231" s="773"/>
      <c r="GX1231" s="773"/>
      <c r="GY1231" s="773"/>
      <c r="GZ1231" s="773"/>
    </row>
    <row r="1232" spans="1:208" s="11" customFormat="1">
      <c r="B1232" s="775"/>
      <c r="C1232" s="826"/>
      <c r="D1232" s="775"/>
      <c r="K1232" s="209"/>
      <c r="M1232" s="771"/>
      <c r="N1232" s="772"/>
      <c r="O1232" s="772"/>
      <c r="P1232" s="772"/>
      <c r="Q1232" s="772"/>
      <c r="R1232" s="772"/>
      <c r="S1232" s="772"/>
      <c r="T1232" s="772"/>
      <c r="AW1232" s="2510"/>
      <c r="BC1232" s="2510"/>
      <c r="BD1232" s="2510"/>
      <c r="BE1232" s="2510"/>
      <c r="BF1232" s="2510"/>
      <c r="BH1232" s="2510"/>
      <c r="DB1232" s="773"/>
      <c r="DC1232" s="773"/>
      <c r="DD1232" s="773"/>
      <c r="DE1232" s="773"/>
      <c r="DF1232" s="773"/>
      <c r="DG1232" s="773"/>
      <c r="DH1232" s="773"/>
      <c r="DI1232" s="773"/>
      <c r="DJ1232" s="773"/>
      <c r="DK1232" s="773"/>
      <c r="DL1232" s="773"/>
      <c r="DM1232" s="773"/>
      <c r="DN1232" s="773"/>
      <c r="DO1232" s="773"/>
      <c r="DP1232" s="773"/>
      <c r="DQ1232" s="773"/>
      <c r="DR1232" s="773"/>
      <c r="DS1232" s="773"/>
      <c r="DT1232" s="773"/>
      <c r="DU1232" s="773"/>
      <c r="DV1232" s="773"/>
      <c r="DW1232" s="773"/>
      <c r="DX1232" s="773"/>
      <c r="DY1232" s="773"/>
      <c r="DZ1232" s="773"/>
      <c r="EA1232" s="773"/>
      <c r="EB1232" s="773"/>
      <c r="EC1232" s="773"/>
      <c r="ED1232" s="773"/>
      <c r="EE1232" s="773"/>
      <c r="EF1232" s="773"/>
      <c r="EG1232" s="773"/>
      <c r="EH1232" s="773"/>
      <c r="EI1232" s="773"/>
      <c r="EJ1232" s="773"/>
      <c r="EK1232" s="773"/>
      <c r="EL1232" s="773"/>
      <c r="EM1232" s="773"/>
      <c r="EN1232" s="773"/>
      <c r="EO1232" s="773"/>
      <c r="EP1232" s="773"/>
      <c r="EQ1232" s="773"/>
      <c r="ER1232" s="773"/>
      <c r="ES1232" s="773"/>
      <c r="ET1232" s="773"/>
      <c r="EU1232" s="773"/>
      <c r="EV1232" s="773"/>
      <c r="EW1232" s="773"/>
      <c r="EX1232" s="773"/>
      <c r="EY1232" s="773"/>
      <c r="EZ1232" s="773"/>
      <c r="FA1232" s="773"/>
      <c r="FB1232" s="773"/>
      <c r="FC1232" s="773"/>
      <c r="FD1232" s="773"/>
      <c r="FE1232" s="773"/>
      <c r="FF1232" s="773"/>
      <c r="FG1232" s="773"/>
      <c r="FH1232" s="773"/>
      <c r="FI1232" s="773"/>
      <c r="FJ1232" s="773"/>
      <c r="FK1232" s="773"/>
      <c r="FL1232" s="773"/>
      <c r="FM1232" s="773"/>
      <c r="FN1232" s="773"/>
      <c r="FO1232" s="773"/>
      <c r="FP1232" s="773"/>
      <c r="FQ1232" s="773"/>
      <c r="FR1232" s="773"/>
      <c r="FS1232" s="773"/>
      <c r="FT1232" s="773"/>
      <c r="FU1232" s="773"/>
      <c r="FV1232" s="773"/>
      <c r="FW1232" s="773"/>
      <c r="FX1232" s="773"/>
      <c r="FY1232" s="773"/>
      <c r="FZ1232" s="773"/>
      <c r="GA1232" s="773"/>
      <c r="GB1232" s="773"/>
      <c r="GC1232" s="773"/>
      <c r="GD1232" s="773"/>
      <c r="GE1232" s="773"/>
      <c r="GF1232" s="773"/>
      <c r="GG1232" s="773"/>
      <c r="GH1232" s="773"/>
      <c r="GI1232" s="773"/>
      <c r="GJ1232" s="773"/>
      <c r="GK1232" s="773"/>
      <c r="GL1232" s="773"/>
      <c r="GM1232" s="773"/>
      <c r="GN1232" s="773"/>
      <c r="GO1232" s="773"/>
      <c r="GP1232" s="773"/>
      <c r="GQ1232" s="773"/>
      <c r="GR1232" s="773"/>
      <c r="GS1232" s="773"/>
      <c r="GT1232" s="773"/>
      <c r="GU1232" s="773"/>
      <c r="GV1232" s="773"/>
      <c r="GW1232" s="773"/>
      <c r="GX1232" s="773"/>
      <c r="GY1232" s="773"/>
      <c r="GZ1232" s="773"/>
    </row>
    <row r="1233" spans="2:208" s="11" customFormat="1">
      <c r="B1233" s="775"/>
      <c r="C1233" s="826"/>
      <c r="D1233" s="775"/>
      <c r="K1233" s="209"/>
      <c r="M1233" s="771"/>
      <c r="N1233" s="772"/>
      <c r="O1233" s="772"/>
      <c r="P1233" s="772"/>
      <c r="Q1233" s="772"/>
      <c r="R1233" s="772"/>
      <c r="S1233" s="772"/>
      <c r="T1233" s="772"/>
      <c r="AW1233" s="2510"/>
      <c r="BC1233" s="2510"/>
      <c r="BD1233" s="2510"/>
      <c r="BE1233" s="2510"/>
      <c r="BF1233" s="2510"/>
      <c r="BH1233" s="2510"/>
      <c r="DB1233" s="773"/>
      <c r="DC1233" s="773"/>
      <c r="DD1233" s="773"/>
      <c r="DE1233" s="773"/>
      <c r="DF1233" s="773"/>
      <c r="DG1233" s="773"/>
      <c r="DH1233" s="773"/>
      <c r="DI1233" s="773"/>
      <c r="DJ1233" s="773"/>
      <c r="DK1233" s="773"/>
      <c r="DL1233" s="773"/>
      <c r="DM1233" s="773"/>
      <c r="DN1233" s="773"/>
      <c r="DO1233" s="773"/>
      <c r="DP1233" s="773"/>
      <c r="DQ1233" s="773"/>
      <c r="DR1233" s="773"/>
      <c r="DS1233" s="773"/>
      <c r="DT1233" s="773"/>
      <c r="DU1233" s="773"/>
      <c r="DV1233" s="773"/>
      <c r="DW1233" s="773"/>
      <c r="DX1233" s="773"/>
      <c r="DY1233" s="773"/>
      <c r="DZ1233" s="773"/>
      <c r="EA1233" s="773"/>
      <c r="EB1233" s="773"/>
      <c r="EC1233" s="773"/>
      <c r="ED1233" s="773"/>
      <c r="EE1233" s="773"/>
      <c r="EF1233" s="773"/>
      <c r="EG1233" s="773"/>
      <c r="EH1233" s="773"/>
      <c r="EI1233" s="773"/>
      <c r="EJ1233" s="773"/>
      <c r="EK1233" s="773"/>
      <c r="EL1233" s="773"/>
      <c r="EM1233" s="773"/>
      <c r="EN1233" s="773"/>
      <c r="EO1233" s="773"/>
      <c r="EP1233" s="773"/>
      <c r="EQ1233" s="773"/>
      <c r="ER1233" s="773"/>
      <c r="ES1233" s="773"/>
      <c r="ET1233" s="773"/>
      <c r="EU1233" s="773"/>
      <c r="EV1233" s="773"/>
      <c r="EW1233" s="773"/>
      <c r="EX1233" s="773"/>
      <c r="EY1233" s="773"/>
      <c r="EZ1233" s="773"/>
      <c r="FA1233" s="773"/>
      <c r="FB1233" s="773"/>
      <c r="FC1233" s="773"/>
      <c r="FD1233" s="773"/>
      <c r="FE1233" s="773"/>
      <c r="FF1233" s="773"/>
      <c r="FG1233" s="773"/>
      <c r="FH1233" s="773"/>
      <c r="FI1233" s="773"/>
      <c r="FJ1233" s="773"/>
      <c r="FK1233" s="773"/>
      <c r="FL1233" s="773"/>
      <c r="FM1233" s="773"/>
      <c r="FN1233" s="773"/>
      <c r="FO1233" s="773"/>
      <c r="FP1233" s="773"/>
      <c r="FQ1233" s="773"/>
      <c r="FR1233" s="773"/>
      <c r="FS1233" s="773"/>
      <c r="FT1233" s="773"/>
      <c r="FU1233" s="773"/>
      <c r="FV1233" s="773"/>
      <c r="FW1233" s="773"/>
      <c r="FX1233" s="773"/>
      <c r="FY1233" s="773"/>
      <c r="FZ1233" s="773"/>
      <c r="GA1233" s="773"/>
      <c r="GB1233" s="773"/>
      <c r="GC1233" s="773"/>
      <c r="GD1233" s="773"/>
      <c r="GE1233" s="773"/>
      <c r="GF1233" s="773"/>
      <c r="GG1233" s="773"/>
      <c r="GH1233" s="773"/>
      <c r="GI1233" s="773"/>
      <c r="GJ1233" s="773"/>
      <c r="GK1233" s="773"/>
      <c r="GL1233" s="773"/>
      <c r="GM1233" s="773"/>
      <c r="GN1233" s="773"/>
      <c r="GO1233" s="773"/>
      <c r="GP1233" s="773"/>
      <c r="GQ1233" s="773"/>
      <c r="GR1233" s="773"/>
      <c r="GS1233" s="773"/>
      <c r="GT1233" s="773"/>
      <c r="GU1233" s="773"/>
      <c r="GV1233" s="773"/>
      <c r="GW1233" s="773"/>
      <c r="GX1233" s="773"/>
      <c r="GY1233" s="773"/>
      <c r="GZ1233" s="773"/>
    </row>
    <row r="1234" spans="2:208" s="11" customFormat="1">
      <c r="B1234" s="775"/>
      <c r="C1234" s="826"/>
      <c r="D1234" s="775"/>
      <c r="K1234" s="209"/>
      <c r="M1234" s="771"/>
      <c r="N1234" s="772"/>
      <c r="O1234" s="772"/>
      <c r="P1234" s="772"/>
      <c r="Q1234" s="772"/>
      <c r="R1234" s="772"/>
      <c r="S1234" s="772"/>
      <c r="T1234" s="772"/>
      <c r="AW1234" s="2510"/>
      <c r="BC1234" s="2510"/>
      <c r="BD1234" s="2510"/>
      <c r="BE1234" s="2510"/>
      <c r="BF1234" s="2510"/>
      <c r="BH1234" s="2510"/>
      <c r="DB1234" s="773"/>
      <c r="DC1234" s="773"/>
      <c r="DD1234" s="773"/>
      <c r="DE1234" s="773"/>
      <c r="DF1234" s="773"/>
      <c r="DG1234" s="773"/>
      <c r="DH1234" s="773"/>
      <c r="DI1234" s="773"/>
      <c r="DJ1234" s="773"/>
      <c r="DK1234" s="773"/>
      <c r="DL1234" s="773"/>
      <c r="DM1234" s="773"/>
      <c r="DN1234" s="773"/>
      <c r="DO1234" s="773"/>
      <c r="DP1234" s="773"/>
      <c r="DQ1234" s="773"/>
      <c r="DR1234" s="773"/>
      <c r="DS1234" s="773"/>
      <c r="DT1234" s="773"/>
      <c r="DU1234" s="773"/>
      <c r="DV1234" s="773"/>
      <c r="DW1234" s="773"/>
      <c r="DX1234" s="773"/>
      <c r="DY1234" s="773"/>
      <c r="DZ1234" s="773"/>
      <c r="EA1234" s="773"/>
      <c r="EB1234" s="773"/>
      <c r="EC1234" s="773"/>
      <c r="ED1234" s="773"/>
      <c r="EE1234" s="773"/>
      <c r="EF1234" s="773"/>
      <c r="EG1234" s="773"/>
      <c r="EH1234" s="773"/>
      <c r="EI1234" s="773"/>
      <c r="EJ1234" s="773"/>
      <c r="EK1234" s="773"/>
      <c r="EL1234" s="773"/>
      <c r="EM1234" s="773"/>
      <c r="EN1234" s="773"/>
      <c r="EO1234" s="773"/>
      <c r="EP1234" s="773"/>
      <c r="EQ1234" s="773"/>
      <c r="ER1234" s="773"/>
      <c r="ES1234" s="773"/>
      <c r="ET1234" s="773"/>
      <c r="EU1234" s="773"/>
      <c r="EV1234" s="773"/>
      <c r="EW1234" s="773"/>
      <c r="EX1234" s="773"/>
      <c r="EY1234" s="773"/>
      <c r="EZ1234" s="773"/>
      <c r="FA1234" s="773"/>
      <c r="FB1234" s="773"/>
      <c r="FC1234" s="773"/>
      <c r="FD1234" s="773"/>
      <c r="FE1234" s="773"/>
      <c r="FF1234" s="773"/>
      <c r="FG1234" s="773"/>
      <c r="FH1234" s="773"/>
      <c r="FI1234" s="773"/>
      <c r="FJ1234" s="773"/>
      <c r="FK1234" s="773"/>
      <c r="FL1234" s="773"/>
      <c r="FM1234" s="773"/>
      <c r="FN1234" s="773"/>
      <c r="FO1234" s="773"/>
      <c r="FP1234" s="773"/>
      <c r="FQ1234" s="773"/>
      <c r="FR1234" s="773"/>
      <c r="FS1234" s="773"/>
      <c r="FT1234" s="773"/>
      <c r="FU1234" s="773"/>
      <c r="FV1234" s="773"/>
      <c r="FW1234" s="773"/>
      <c r="FX1234" s="773"/>
      <c r="FY1234" s="773"/>
      <c r="FZ1234" s="773"/>
      <c r="GA1234" s="773"/>
      <c r="GB1234" s="773"/>
      <c r="GC1234" s="773"/>
      <c r="GD1234" s="773"/>
      <c r="GE1234" s="773"/>
      <c r="GF1234" s="773"/>
      <c r="GG1234" s="773"/>
      <c r="GH1234" s="773"/>
      <c r="GI1234" s="773"/>
      <c r="GJ1234" s="773"/>
      <c r="GK1234" s="773"/>
      <c r="GL1234" s="773"/>
      <c r="GM1234" s="773"/>
      <c r="GN1234" s="773"/>
      <c r="GO1234" s="773"/>
      <c r="GP1234" s="773"/>
      <c r="GQ1234" s="773"/>
      <c r="GR1234" s="773"/>
      <c r="GS1234" s="773"/>
      <c r="GT1234" s="773"/>
      <c r="GU1234" s="773"/>
      <c r="GV1234" s="773"/>
      <c r="GW1234" s="773"/>
      <c r="GX1234" s="773"/>
      <c r="GY1234" s="773"/>
      <c r="GZ1234" s="773"/>
    </row>
    <row r="1235" spans="2:208" s="11" customFormat="1">
      <c r="B1235" s="775"/>
      <c r="C1235" s="826"/>
      <c r="D1235" s="775"/>
      <c r="K1235" s="209"/>
      <c r="M1235" s="771"/>
      <c r="N1235" s="772"/>
      <c r="O1235" s="772"/>
      <c r="P1235" s="772"/>
      <c r="Q1235" s="772"/>
      <c r="R1235" s="772"/>
      <c r="S1235" s="772"/>
      <c r="T1235" s="772"/>
      <c r="AW1235" s="2510"/>
      <c r="BC1235" s="2510"/>
      <c r="BD1235" s="2510"/>
      <c r="BE1235" s="2510"/>
      <c r="BF1235" s="2510"/>
      <c r="BH1235" s="2510"/>
      <c r="DB1235" s="773"/>
      <c r="DC1235" s="773"/>
      <c r="DD1235" s="773"/>
      <c r="DE1235" s="773"/>
      <c r="DF1235" s="773"/>
      <c r="DG1235" s="773"/>
      <c r="DH1235" s="773"/>
      <c r="DI1235" s="773"/>
      <c r="DJ1235" s="773"/>
      <c r="DK1235" s="773"/>
      <c r="DL1235" s="773"/>
      <c r="DM1235" s="773"/>
      <c r="DN1235" s="773"/>
      <c r="DO1235" s="773"/>
      <c r="DP1235" s="773"/>
      <c r="DQ1235" s="773"/>
      <c r="DR1235" s="773"/>
      <c r="DS1235" s="773"/>
      <c r="DT1235" s="773"/>
      <c r="DU1235" s="773"/>
      <c r="DV1235" s="773"/>
      <c r="DW1235" s="773"/>
      <c r="DX1235" s="773"/>
      <c r="DY1235" s="773"/>
      <c r="DZ1235" s="773"/>
      <c r="EA1235" s="773"/>
      <c r="EB1235" s="773"/>
      <c r="EC1235" s="773"/>
      <c r="ED1235" s="773"/>
      <c r="EE1235" s="773"/>
      <c r="EF1235" s="773"/>
      <c r="EG1235" s="773"/>
      <c r="EH1235" s="773"/>
      <c r="EI1235" s="773"/>
      <c r="EJ1235" s="773"/>
      <c r="EK1235" s="773"/>
      <c r="EL1235" s="773"/>
      <c r="EM1235" s="773"/>
      <c r="EN1235" s="773"/>
      <c r="EO1235" s="773"/>
      <c r="EP1235" s="773"/>
      <c r="EQ1235" s="773"/>
      <c r="ER1235" s="773"/>
      <c r="ES1235" s="773"/>
      <c r="ET1235" s="773"/>
      <c r="EU1235" s="773"/>
      <c r="EV1235" s="773"/>
      <c r="EW1235" s="773"/>
      <c r="EX1235" s="773"/>
      <c r="EY1235" s="773"/>
      <c r="EZ1235" s="773"/>
      <c r="FA1235" s="773"/>
      <c r="FB1235" s="773"/>
      <c r="FC1235" s="773"/>
      <c r="FD1235" s="773"/>
      <c r="FE1235" s="773"/>
      <c r="FF1235" s="773"/>
      <c r="FG1235" s="773"/>
      <c r="FH1235" s="773"/>
      <c r="FI1235" s="773"/>
      <c r="FJ1235" s="773"/>
      <c r="FK1235" s="773"/>
      <c r="FL1235" s="773"/>
      <c r="FM1235" s="773"/>
      <c r="FN1235" s="773"/>
      <c r="FO1235" s="773"/>
      <c r="FP1235" s="773"/>
      <c r="FQ1235" s="773"/>
      <c r="FR1235" s="773"/>
      <c r="FS1235" s="773"/>
      <c r="FT1235" s="773"/>
      <c r="FU1235" s="773"/>
      <c r="FV1235" s="773"/>
      <c r="FW1235" s="773"/>
      <c r="FX1235" s="773"/>
      <c r="FY1235" s="773"/>
      <c r="FZ1235" s="773"/>
      <c r="GA1235" s="773"/>
      <c r="GB1235" s="773"/>
      <c r="GC1235" s="773"/>
      <c r="GD1235" s="773"/>
      <c r="GE1235" s="773"/>
      <c r="GF1235" s="773"/>
      <c r="GG1235" s="773"/>
      <c r="GH1235" s="773"/>
      <c r="GI1235" s="773"/>
      <c r="GJ1235" s="773"/>
      <c r="GK1235" s="773"/>
      <c r="GL1235" s="773"/>
      <c r="GM1235" s="773"/>
      <c r="GN1235" s="773"/>
      <c r="GO1235" s="773"/>
      <c r="GP1235" s="773"/>
      <c r="GQ1235" s="773"/>
      <c r="GR1235" s="773"/>
      <c r="GS1235" s="773"/>
      <c r="GT1235" s="773"/>
      <c r="GU1235" s="773"/>
      <c r="GV1235" s="773"/>
      <c r="GW1235" s="773"/>
      <c r="GX1235" s="773"/>
      <c r="GY1235" s="773"/>
      <c r="GZ1235" s="773"/>
    </row>
    <row r="1236" spans="2:208" s="11" customFormat="1">
      <c r="B1236" s="775"/>
      <c r="C1236" s="826"/>
      <c r="D1236" s="775"/>
      <c r="K1236" s="209"/>
      <c r="M1236" s="771"/>
      <c r="N1236" s="772"/>
      <c r="O1236" s="772"/>
      <c r="P1236" s="772"/>
      <c r="Q1236" s="772"/>
      <c r="R1236" s="772"/>
      <c r="S1236" s="772"/>
      <c r="T1236" s="772"/>
      <c r="AW1236" s="2510"/>
      <c r="BC1236" s="2510"/>
      <c r="BD1236" s="2510"/>
      <c r="BE1236" s="2510"/>
      <c r="BF1236" s="2510"/>
      <c r="BH1236" s="2510"/>
      <c r="DB1236" s="773"/>
      <c r="DC1236" s="773"/>
      <c r="DD1236" s="773"/>
      <c r="DE1236" s="773"/>
      <c r="DF1236" s="773"/>
      <c r="DG1236" s="773"/>
      <c r="DH1236" s="773"/>
      <c r="DI1236" s="773"/>
      <c r="DJ1236" s="773"/>
      <c r="DK1236" s="773"/>
      <c r="DL1236" s="773"/>
      <c r="DM1236" s="773"/>
      <c r="DN1236" s="773"/>
      <c r="DO1236" s="773"/>
      <c r="DP1236" s="773"/>
      <c r="DQ1236" s="773"/>
      <c r="DR1236" s="773"/>
      <c r="DS1236" s="773"/>
      <c r="DT1236" s="773"/>
      <c r="DU1236" s="773"/>
      <c r="DV1236" s="773"/>
      <c r="DW1236" s="773"/>
      <c r="DX1236" s="773"/>
      <c r="DY1236" s="773"/>
      <c r="DZ1236" s="773"/>
      <c r="EA1236" s="773"/>
      <c r="EB1236" s="773"/>
      <c r="EC1236" s="773"/>
      <c r="ED1236" s="773"/>
      <c r="EE1236" s="773"/>
      <c r="EF1236" s="773"/>
      <c r="EG1236" s="773"/>
      <c r="EH1236" s="773"/>
      <c r="EI1236" s="773"/>
      <c r="EJ1236" s="773"/>
      <c r="EK1236" s="773"/>
      <c r="EL1236" s="773"/>
      <c r="EM1236" s="773"/>
      <c r="EN1236" s="773"/>
      <c r="EO1236" s="773"/>
      <c r="EP1236" s="773"/>
      <c r="EQ1236" s="773"/>
      <c r="ER1236" s="773"/>
      <c r="ES1236" s="773"/>
      <c r="ET1236" s="773"/>
      <c r="EU1236" s="773"/>
      <c r="EV1236" s="773"/>
      <c r="EW1236" s="773"/>
      <c r="EX1236" s="773"/>
      <c r="EY1236" s="773"/>
      <c r="EZ1236" s="773"/>
      <c r="FA1236" s="773"/>
      <c r="FB1236" s="773"/>
      <c r="FC1236" s="773"/>
      <c r="FD1236" s="773"/>
      <c r="FE1236" s="773"/>
      <c r="FF1236" s="773"/>
      <c r="FG1236" s="773"/>
      <c r="FH1236" s="773"/>
      <c r="FI1236" s="773"/>
      <c r="FJ1236" s="773"/>
      <c r="FK1236" s="773"/>
      <c r="FL1236" s="773"/>
      <c r="FM1236" s="773"/>
      <c r="FN1236" s="773"/>
      <c r="FO1236" s="773"/>
      <c r="FP1236" s="773"/>
      <c r="FQ1236" s="773"/>
      <c r="FR1236" s="773"/>
      <c r="FS1236" s="773"/>
      <c r="FT1236" s="773"/>
      <c r="FU1236" s="773"/>
      <c r="FV1236" s="773"/>
      <c r="FW1236" s="773"/>
      <c r="FX1236" s="773"/>
      <c r="FY1236" s="773"/>
      <c r="FZ1236" s="773"/>
      <c r="GA1236" s="773"/>
      <c r="GB1236" s="773"/>
      <c r="GC1236" s="773"/>
      <c r="GD1236" s="773"/>
      <c r="GE1236" s="773"/>
      <c r="GF1236" s="773"/>
      <c r="GG1236" s="773"/>
      <c r="GH1236" s="773"/>
      <c r="GI1236" s="773"/>
      <c r="GJ1236" s="773"/>
      <c r="GK1236" s="773"/>
      <c r="GL1236" s="773"/>
      <c r="GM1236" s="773"/>
      <c r="GN1236" s="773"/>
      <c r="GO1236" s="773"/>
      <c r="GP1236" s="773"/>
      <c r="GQ1236" s="773"/>
      <c r="GR1236" s="773"/>
      <c r="GS1236" s="773"/>
      <c r="GT1236" s="773"/>
      <c r="GU1236" s="773"/>
      <c r="GV1236" s="773"/>
      <c r="GW1236" s="773"/>
      <c r="GX1236" s="773"/>
      <c r="GY1236" s="773"/>
      <c r="GZ1236" s="773"/>
    </row>
    <row r="1237" spans="2:208" s="11" customFormat="1">
      <c r="B1237" s="775"/>
      <c r="C1237" s="826"/>
      <c r="D1237" s="775"/>
      <c r="K1237" s="209"/>
      <c r="M1237" s="771"/>
      <c r="N1237" s="772"/>
      <c r="O1237" s="772"/>
      <c r="P1237" s="772"/>
      <c r="Q1237" s="772"/>
      <c r="R1237" s="772"/>
      <c r="S1237" s="772"/>
      <c r="T1237" s="772"/>
      <c r="AW1237" s="2510"/>
      <c r="BC1237" s="2510"/>
      <c r="BD1237" s="2510"/>
      <c r="BE1237" s="2510"/>
      <c r="BF1237" s="2510"/>
      <c r="BH1237" s="2510"/>
      <c r="DB1237" s="773"/>
      <c r="DC1237" s="773"/>
      <c r="DD1237" s="773"/>
      <c r="DE1237" s="773"/>
      <c r="DF1237" s="773"/>
      <c r="DG1237" s="773"/>
      <c r="DH1237" s="773"/>
      <c r="DI1237" s="773"/>
      <c r="DJ1237" s="773"/>
      <c r="DK1237" s="773"/>
      <c r="DL1237" s="773"/>
      <c r="DM1237" s="773"/>
      <c r="DN1237" s="773"/>
      <c r="DO1237" s="773"/>
      <c r="DP1237" s="773"/>
      <c r="DQ1237" s="773"/>
      <c r="DR1237" s="773"/>
      <c r="DS1237" s="773"/>
      <c r="DT1237" s="773"/>
      <c r="DU1237" s="773"/>
      <c r="DV1237" s="773"/>
      <c r="DW1237" s="773"/>
      <c r="DX1237" s="773"/>
      <c r="DY1237" s="773"/>
      <c r="DZ1237" s="773"/>
      <c r="EA1237" s="773"/>
      <c r="EB1237" s="773"/>
      <c r="EC1237" s="773"/>
      <c r="ED1237" s="773"/>
      <c r="EE1237" s="773"/>
      <c r="EF1237" s="773"/>
      <c r="EG1237" s="773"/>
      <c r="EH1237" s="773"/>
      <c r="EI1237" s="773"/>
      <c r="EJ1237" s="773"/>
      <c r="EK1237" s="773"/>
      <c r="EL1237" s="773"/>
      <c r="EM1237" s="773"/>
      <c r="EN1237" s="773"/>
      <c r="EO1237" s="773"/>
      <c r="EP1237" s="773"/>
      <c r="EQ1237" s="773"/>
      <c r="ER1237" s="773"/>
      <c r="ES1237" s="773"/>
      <c r="ET1237" s="773"/>
      <c r="EU1237" s="773"/>
      <c r="EV1237" s="773"/>
      <c r="EW1237" s="773"/>
      <c r="EX1237" s="773"/>
      <c r="EY1237" s="773"/>
      <c r="EZ1237" s="773"/>
      <c r="FA1237" s="773"/>
      <c r="FB1237" s="773"/>
      <c r="FC1237" s="773"/>
      <c r="FD1237" s="773"/>
      <c r="FE1237" s="773"/>
      <c r="FF1237" s="773"/>
      <c r="FG1237" s="773"/>
      <c r="FH1237" s="773"/>
      <c r="FI1237" s="773"/>
      <c r="FJ1237" s="773"/>
      <c r="FK1237" s="773"/>
      <c r="FL1237" s="773"/>
      <c r="FM1237" s="773"/>
      <c r="FN1237" s="773"/>
      <c r="FO1237" s="773"/>
      <c r="FP1237" s="773"/>
      <c r="FQ1237" s="773"/>
      <c r="FR1237" s="773"/>
      <c r="FS1237" s="773"/>
      <c r="FT1237" s="773"/>
      <c r="FU1237" s="773"/>
      <c r="FV1237" s="773"/>
      <c r="FW1237" s="773"/>
      <c r="FX1237" s="773"/>
      <c r="FY1237" s="773"/>
      <c r="FZ1237" s="773"/>
      <c r="GA1237" s="773"/>
      <c r="GB1237" s="773"/>
      <c r="GC1237" s="773"/>
      <c r="GD1237" s="773"/>
      <c r="GE1237" s="773"/>
      <c r="GF1237" s="773"/>
      <c r="GG1237" s="773"/>
      <c r="GH1237" s="773"/>
      <c r="GI1237" s="773"/>
      <c r="GJ1237" s="773"/>
      <c r="GK1237" s="773"/>
      <c r="GL1237" s="773"/>
      <c r="GM1237" s="773"/>
      <c r="GN1237" s="773"/>
      <c r="GO1237" s="773"/>
      <c r="GP1237" s="773"/>
      <c r="GQ1237" s="773"/>
      <c r="GR1237" s="773"/>
      <c r="GS1237" s="773"/>
      <c r="GT1237" s="773"/>
      <c r="GU1237" s="773"/>
      <c r="GV1237" s="773"/>
      <c r="GW1237" s="773"/>
      <c r="GX1237" s="773"/>
      <c r="GY1237" s="773"/>
      <c r="GZ1237" s="773"/>
    </row>
    <row r="1238" spans="2:208" s="11" customFormat="1">
      <c r="B1238" s="775"/>
      <c r="C1238" s="826"/>
      <c r="D1238" s="775"/>
      <c r="K1238" s="209"/>
      <c r="M1238" s="771"/>
      <c r="N1238" s="772"/>
      <c r="O1238" s="772"/>
      <c r="P1238" s="772"/>
      <c r="Q1238" s="772"/>
      <c r="R1238" s="772"/>
      <c r="S1238" s="772"/>
      <c r="T1238" s="772"/>
      <c r="AW1238" s="2510"/>
      <c r="BC1238" s="2510"/>
      <c r="BD1238" s="2510"/>
      <c r="BE1238" s="2510"/>
      <c r="BF1238" s="2510"/>
      <c r="BH1238" s="2510"/>
      <c r="DB1238" s="773"/>
      <c r="DC1238" s="773"/>
      <c r="DD1238" s="773"/>
      <c r="DE1238" s="773"/>
      <c r="DF1238" s="773"/>
      <c r="DG1238" s="773"/>
      <c r="DH1238" s="773"/>
      <c r="DI1238" s="773"/>
      <c r="DJ1238" s="773"/>
      <c r="DK1238" s="773"/>
      <c r="DL1238" s="773"/>
      <c r="DM1238" s="773"/>
      <c r="DN1238" s="773"/>
      <c r="DO1238" s="773"/>
      <c r="DP1238" s="773"/>
      <c r="DQ1238" s="773"/>
      <c r="DR1238" s="773"/>
      <c r="DS1238" s="773"/>
      <c r="DT1238" s="773"/>
      <c r="DU1238" s="773"/>
      <c r="DV1238" s="773"/>
      <c r="DW1238" s="773"/>
      <c r="DX1238" s="773"/>
      <c r="DY1238" s="773"/>
      <c r="DZ1238" s="773"/>
      <c r="EA1238" s="773"/>
      <c r="EB1238" s="773"/>
      <c r="EC1238" s="773"/>
      <c r="ED1238" s="773"/>
      <c r="EE1238" s="773"/>
      <c r="EF1238" s="773"/>
      <c r="EG1238" s="773"/>
      <c r="EH1238" s="773"/>
      <c r="EI1238" s="773"/>
      <c r="EJ1238" s="773"/>
      <c r="EK1238" s="773"/>
      <c r="EL1238" s="773"/>
      <c r="EM1238" s="773"/>
      <c r="EN1238" s="773"/>
      <c r="EO1238" s="773"/>
      <c r="EP1238" s="773"/>
      <c r="EQ1238" s="773"/>
      <c r="ER1238" s="773"/>
      <c r="ES1238" s="773"/>
      <c r="ET1238" s="773"/>
      <c r="EU1238" s="773"/>
      <c r="EV1238" s="773"/>
      <c r="EW1238" s="773"/>
      <c r="EX1238" s="773"/>
      <c r="EY1238" s="773"/>
      <c r="EZ1238" s="773"/>
      <c r="FA1238" s="773"/>
      <c r="FB1238" s="773"/>
      <c r="FC1238" s="773"/>
      <c r="FD1238" s="773"/>
      <c r="FE1238" s="773"/>
      <c r="FF1238" s="773"/>
      <c r="FG1238" s="773"/>
      <c r="FH1238" s="773"/>
      <c r="FI1238" s="773"/>
      <c r="FJ1238" s="773"/>
      <c r="FK1238" s="773"/>
      <c r="FL1238" s="773"/>
      <c r="FM1238" s="773"/>
      <c r="FN1238" s="773"/>
      <c r="FO1238" s="773"/>
      <c r="FP1238" s="773"/>
      <c r="FQ1238" s="773"/>
      <c r="FR1238" s="773"/>
      <c r="FS1238" s="773"/>
      <c r="FT1238" s="773"/>
      <c r="FU1238" s="773"/>
      <c r="FV1238" s="773"/>
      <c r="FW1238" s="773"/>
      <c r="FX1238" s="773"/>
      <c r="FY1238" s="773"/>
      <c r="FZ1238" s="773"/>
      <c r="GA1238" s="773"/>
      <c r="GB1238" s="773"/>
      <c r="GC1238" s="773"/>
      <c r="GD1238" s="773"/>
      <c r="GE1238" s="773"/>
      <c r="GF1238" s="773"/>
      <c r="GG1238" s="773"/>
      <c r="GH1238" s="773"/>
      <c r="GI1238" s="773"/>
      <c r="GJ1238" s="773"/>
      <c r="GK1238" s="773"/>
      <c r="GL1238" s="773"/>
      <c r="GM1238" s="773"/>
      <c r="GN1238" s="773"/>
      <c r="GO1238" s="773"/>
      <c r="GP1238" s="773"/>
      <c r="GQ1238" s="773"/>
      <c r="GR1238" s="773"/>
      <c r="GS1238" s="773"/>
      <c r="GT1238" s="773"/>
      <c r="GU1238" s="773"/>
      <c r="GV1238" s="773"/>
      <c r="GW1238" s="773"/>
      <c r="GX1238" s="773"/>
      <c r="GY1238" s="773"/>
      <c r="GZ1238" s="773"/>
    </row>
    <row r="1239" spans="2:208" s="11" customFormat="1">
      <c r="B1239" s="775"/>
      <c r="C1239" s="826"/>
      <c r="D1239" s="775"/>
      <c r="K1239" s="209"/>
      <c r="M1239" s="771"/>
      <c r="N1239" s="772"/>
      <c r="O1239" s="772"/>
      <c r="P1239" s="772"/>
      <c r="Q1239" s="772"/>
      <c r="R1239" s="772"/>
      <c r="S1239" s="772"/>
      <c r="T1239" s="772"/>
      <c r="AW1239" s="2510"/>
      <c r="BC1239" s="2510"/>
      <c r="BD1239" s="2510"/>
      <c r="BE1239" s="2510"/>
      <c r="BF1239" s="2510"/>
      <c r="BH1239" s="2510"/>
      <c r="DB1239" s="773"/>
      <c r="DC1239" s="773"/>
      <c r="DD1239" s="773"/>
      <c r="DE1239" s="773"/>
      <c r="DF1239" s="773"/>
      <c r="DG1239" s="773"/>
      <c r="DH1239" s="773"/>
      <c r="DI1239" s="773"/>
      <c r="DJ1239" s="773"/>
      <c r="DK1239" s="773"/>
      <c r="DL1239" s="773"/>
      <c r="DM1239" s="773"/>
      <c r="DN1239" s="773"/>
      <c r="DO1239" s="773"/>
      <c r="DP1239" s="773"/>
      <c r="DQ1239" s="773"/>
      <c r="DR1239" s="773"/>
      <c r="DS1239" s="773"/>
      <c r="DT1239" s="773"/>
      <c r="DU1239" s="773"/>
      <c r="DV1239" s="773"/>
      <c r="DW1239" s="773"/>
      <c r="DX1239" s="773"/>
      <c r="DY1239" s="773"/>
      <c r="DZ1239" s="773"/>
      <c r="EA1239" s="773"/>
      <c r="EB1239" s="773"/>
      <c r="EC1239" s="773"/>
      <c r="ED1239" s="773"/>
      <c r="EE1239" s="773"/>
      <c r="EF1239" s="773"/>
      <c r="EG1239" s="773"/>
      <c r="EH1239" s="773"/>
      <c r="EI1239" s="773"/>
      <c r="EJ1239" s="773"/>
      <c r="EK1239" s="773"/>
      <c r="EL1239" s="773"/>
      <c r="EM1239" s="773"/>
      <c r="EN1239" s="773"/>
      <c r="EO1239" s="773"/>
      <c r="EP1239" s="773"/>
      <c r="EQ1239" s="773"/>
      <c r="ER1239" s="773"/>
      <c r="ES1239" s="773"/>
      <c r="ET1239" s="773"/>
      <c r="EU1239" s="773"/>
      <c r="EV1239" s="773"/>
      <c r="EW1239" s="773"/>
      <c r="EX1239" s="773"/>
      <c r="EY1239" s="773"/>
      <c r="EZ1239" s="773"/>
      <c r="FA1239" s="773"/>
      <c r="FB1239" s="773"/>
      <c r="FC1239" s="773"/>
      <c r="FD1239" s="773"/>
      <c r="FE1239" s="773"/>
      <c r="FF1239" s="773"/>
      <c r="FG1239" s="773"/>
      <c r="FH1239" s="773"/>
      <c r="FI1239" s="773"/>
      <c r="FJ1239" s="773"/>
      <c r="FK1239" s="773"/>
      <c r="FL1239" s="773"/>
      <c r="FM1239" s="773"/>
      <c r="FN1239" s="773"/>
      <c r="FO1239" s="773"/>
      <c r="FP1239" s="773"/>
      <c r="FQ1239" s="773"/>
      <c r="FR1239" s="773"/>
      <c r="FS1239" s="773"/>
      <c r="FT1239" s="773"/>
      <c r="FU1239" s="773"/>
      <c r="FV1239" s="773"/>
      <c r="FW1239" s="773"/>
      <c r="FX1239" s="773"/>
      <c r="FY1239" s="773"/>
      <c r="FZ1239" s="773"/>
      <c r="GA1239" s="773"/>
      <c r="GB1239" s="773"/>
      <c r="GC1239" s="773"/>
      <c r="GD1239" s="773"/>
      <c r="GE1239" s="773"/>
      <c r="GF1239" s="773"/>
      <c r="GG1239" s="773"/>
      <c r="GH1239" s="773"/>
      <c r="GI1239" s="773"/>
      <c r="GJ1239" s="773"/>
      <c r="GK1239" s="773"/>
      <c r="GL1239" s="773"/>
      <c r="GM1239" s="773"/>
      <c r="GN1239" s="773"/>
      <c r="GO1239" s="773"/>
      <c r="GP1239" s="773"/>
      <c r="GQ1239" s="773"/>
      <c r="GR1239" s="773"/>
      <c r="GS1239" s="773"/>
      <c r="GT1239" s="773"/>
      <c r="GU1239" s="773"/>
      <c r="GV1239" s="773"/>
      <c r="GW1239" s="773"/>
      <c r="GX1239" s="773"/>
      <c r="GY1239" s="773"/>
      <c r="GZ1239" s="773"/>
    </row>
    <row r="1240" spans="2:208" s="11" customFormat="1">
      <c r="B1240" s="775"/>
      <c r="C1240" s="826"/>
      <c r="D1240" s="775"/>
      <c r="K1240" s="209"/>
      <c r="M1240" s="771"/>
      <c r="N1240" s="772"/>
      <c r="O1240" s="772"/>
      <c r="P1240" s="772"/>
      <c r="Q1240" s="772"/>
      <c r="R1240" s="772"/>
      <c r="S1240" s="772"/>
      <c r="T1240" s="772"/>
      <c r="AW1240" s="2510"/>
      <c r="BC1240" s="2510"/>
      <c r="BD1240" s="2510"/>
      <c r="BE1240" s="2510"/>
      <c r="BF1240" s="2510"/>
      <c r="BH1240" s="2510"/>
      <c r="DB1240" s="773"/>
      <c r="DC1240" s="773"/>
      <c r="DD1240" s="773"/>
      <c r="DE1240" s="773"/>
      <c r="DF1240" s="773"/>
      <c r="DG1240" s="773"/>
      <c r="DH1240" s="773"/>
      <c r="DI1240" s="773"/>
      <c r="DJ1240" s="773"/>
      <c r="DK1240" s="773"/>
      <c r="DL1240" s="773"/>
      <c r="DM1240" s="773"/>
      <c r="DN1240" s="773"/>
      <c r="DO1240" s="773"/>
      <c r="DP1240" s="773"/>
      <c r="DQ1240" s="773"/>
      <c r="DR1240" s="773"/>
      <c r="DS1240" s="773"/>
      <c r="DT1240" s="773"/>
      <c r="DU1240" s="773"/>
      <c r="DV1240" s="773"/>
      <c r="DW1240" s="773"/>
      <c r="DX1240" s="773"/>
      <c r="DY1240" s="773"/>
      <c r="DZ1240" s="773"/>
      <c r="EA1240" s="773"/>
      <c r="EB1240" s="773"/>
      <c r="EC1240" s="773"/>
      <c r="ED1240" s="773"/>
      <c r="EE1240" s="773"/>
      <c r="EF1240" s="773"/>
      <c r="EG1240" s="773"/>
      <c r="EH1240" s="773"/>
      <c r="EI1240" s="773"/>
      <c r="EJ1240" s="773"/>
      <c r="EK1240" s="773"/>
      <c r="EL1240" s="773"/>
      <c r="EM1240" s="773"/>
      <c r="EN1240" s="773"/>
      <c r="EO1240" s="773"/>
      <c r="EP1240" s="773"/>
      <c r="EQ1240" s="773"/>
      <c r="ER1240" s="773"/>
      <c r="ES1240" s="773"/>
      <c r="ET1240" s="773"/>
      <c r="EU1240" s="773"/>
      <c r="EV1240" s="773"/>
      <c r="EW1240" s="773"/>
      <c r="EX1240" s="773"/>
      <c r="EY1240" s="773"/>
      <c r="EZ1240" s="773"/>
      <c r="FA1240" s="773"/>
      <c r="FB1240" s="773"/>
      <c r="FC1240" s="773"/>
      <c r="FD1240" s="773"/>
      <c r="FE1240" s="773"/>
      <c r="FF1240" s="773"/>
      <c r="FG1240" s="773"/>
      <c r="FH1240" s="773"/>
      <c r="FI1240" s="773"/>
      <c r="FJ1240" s="773"/>
      <c r="FK1240" s="773"/>
      <c r="FL1240" s="773"/>
      <c r="FM1240" s="773"/>
      <c r="FN1240" s="773"/>
      <c r="FO1240" s="773"/>
      <c r="FP1240" s="773"/>
      <c r="FQ1240" s="773"/>
      <c r="FR1240" s="773"/>
      <c r="FS1240" s="773"/>
      <c r="FT1240" s="773"/>
      <c r="FU1240" s="773"/>
      <c r="FV1240" s="773"/>
      <c r="FW1240" s="773"/>
      <c r="FX1240" s="773"/>
      <c r="FY1240" s="773"/>
      <c r="FZ1240" s="773"/>
      <c r="GA1240" s="773"/>
      <c r="GB1240" s="773"/>
      <c r="GC1240" s="773"/>
      <c r="GD1240" s="773"/>
      <c r="GE1240" s="773"/>
      <c r="GF1240" s="773"/>
      <c r="GG1240" s="773"/>
      <c r="GH1240" s="773"/>
      <c r="GI1240" s="773"/>
      <c r="GJ1240" s="773"/>
      <c r="GK1240" s="773"/>
      <c r="GL1240" s="773"/>
      <c r="GM1240" s="773"/>
      <c r="GN1240" s="773"/>
      <c r="GO1240" s="773"/>
      <c r="GP1240" s="773"/>
      <c r="GQ1240" s="773"/>
      <c r="GR1240" s="773"/>
      <c r="GS1240" s="773"/>
      <c r="GT1240" s="773"/>
      <c r="GU1240" s="773"/>
      <c r="GV1240" s="773"/>
      <c r="GW1240" s="773"/>
      <c r="GX1240" s="773"/>
      <c r="GY1240" s="773"/>
      <c r="GZ1240" s="773"/>
    </row>
    <row r="1241" spans="2:208" s="11" customFormat="1">
      <c r="B1241" s="775"/>
      <c r="C1241" s="826"/>
      <c r="D1241" s="775"/>
      <c r="K1241" s="209"/>
      <c r="M1241" s="771"/>
      <c r="N1241" s="772"/>
      <c r="O1241" s="772"/>
      <c r="P1241" s="772"/>
      <c r="Q1241" s="772"/>
      <c r="R1241" s="772"/>
      <c r="S1241" s="772"/>
      <c r="T1241" s="772"/>
      <c r="AW1241" s="2510"/>
      <c r="BC1241" s="2510"/>
      <c r="BD1241" s="2510"/>
      <c r="BE1241" s="2510"/>
      <c r="BF1241" s="2510"/>
      <c r="BH1241" s="2510"/>
      <c r="DB1241" s="773"/>
      <c r="DC1241" s="773"/>
      <c r="DD1241" s="773"/>
      <c r="DE1241" s="773"/>
      <c r="DF1241" s="773"/>
      <c r="DG1241" s="773"/>
      <c r="DH1241" s="773"/>
      <c r="DI1241" s="773"/>
      <c r="DJ1241" s="773"/>
      <c r="DK1241" s="773"/>
      <c r="DL1241" s="773"/>
      <c r="DM1241" s="773"/>
      <c r="DN1241" s="773"/>
      <c r="DO1241" s="773"/>
      <c r="DP1241" s="773"/>
      <c r="DQ1241" s="773"/>
      <c r="DR1241" s="773"/>
      <c r="DS1241" s="773"/>
      <c r="DT1241" s="773"/>
      <c r="DU1241" s="773"/>
      <c r="DV1241" s="773"/>
      <c r="DW1241" s="773"/>
      <c r="DX1241" s="773"/>
      <c r="DY1241" s="773"/>
      <c r="DZ1241" s="773"/>
      <c r="EA1241" s="773"/>
      <c r="EB1241" s="773"/>
      <c r="EC1241" s="773"/>
      <c r="ED1241" s="773"/>
      <c r="EE1241" s="773"/>
      <c r="EF1241" s="773"/>
      <c r="EG1241" s="773"/>
      <c r="EH1241" s="773"/>
      <c r="EI1241" s="773"/>
      <c r="EJ1241" s="773"/>
      <c r="EK1241" s="773"/>
      <c r="EL1241" s="773"/>
      <c r="EM1241" s="773"/>
      <c r="EN1241" s="773"/>
      <c r="EO1241" s="773"/>
      <c r="EP1241" s="773"/>
      <c r="EQ1241" s="773"/>
      <c r="ER1241" s="773"/>
      <c r="ES1241" s="773"/>
      <c r="ET1241" s="773"/>
      <c r="EU1241" s="773"/>
      <c r="EV1241" s="773"/>
      <c r="EW1241" s="773"/>
      <c r="EX1241" s="773"/>
      <c r="EY1241" s="773"/>
      <c r="EZ1241" s="773"/>
      <c r="FA1241" s="773"/>
      <c r="FB1241" s="773"/>
      <c r="FC1241" s="773"/>
      <c r="FD1241" s="773"/>
      <c r="FE1241" s="773"/>
      <c r="FF1241" s="773"/>
      <c r="FG1241" s="773"/>
      <c r="FH1241" s="773"/>
      <c r="FI1241" s="773"/>
      <c r="FJ1241" s="773"/>
      <c r="FK1241" s="773"/>
      <c r="FL1241" s="773"/>
      <c r="FM1241" s="773"/>
      <c r="FN1241" s="773"/>
      <c r="FO1241" s="773"/>
      <c r="FP1241" s="773"/>
      <c r="FQ1241" s="773"/>
      <c r="FR1241" s="773"/>
      <c r="FS1241" s="773"/>
      <c r="FT1241" s="773"/>
      <c r="FU1241" s="773"/>
      <c r="FV1241" s="773"/>
      <c r="FW1241" s="773"/>
      <c r="FX1241" s="773"/>
      <c r="FY1241" s="773"/>
      <c r="FZ1241" s="773"/>
      <c r="GA1241" s="773"/>
      <c r="GB1241" s="773"/>
      <c r="GC1241" s="773"/>
      <c r="GD1241" s="773"/>
      <c r="GE1241" s="773"/>
      <c r="GF1241" s="773"/>
      <c r="GG1241" s="773"/>
      <c r="GH1241" s="773"/>
      <c r="GI1241" s="773"/>
      <c r="GJ1241" s="773"/>
      <c r="GK1241" s="773"/>
      <c r="GL1241" s="773"/>
      <c r="GM1241" s="773"/>
      <c r="GN1241" s="773"/>
      <c r="GO1241" s="773"/>
      <c r="GP1241" s="773"/>
      <c r="GQ1241" s="773"/>
      <c r="GR1241" s="773"/>
      <c r="GS1241" s="773"/>
      <c r="GT1241" s="773"/>
      <c r="GU1241" s="773"/>
      <c r="GV1241" s="773"/>
      <c r="GW1241" s="773"/>
      <c r="GX1241" s="773"/>
      <c r="GY1241" s="773"/>
      <c r="GZ1241" s="773"/>
    </row>
    <row r="1242" spans="2:208" s="11" customFormat="1">
      <c r="B1242" s="775"/>
      <c r="C1242" s="826"/>
      <c r="D1242" s="775"/>
      <c r="K1242" s="209"/>
      <c r="M1242" s="771"/>
      <c r="N1242" s="772"/>
      <c r="O1242" s="772"/>
      <c r="P1242" s="772"/>
      <c r="Q1242" s="772"/>
      <c r="R1242" s="772"/>
      <c r="S1242" s="772"/>
      <c r="T1242" s="772"/>
      <c r="AW1242" s="2510"/>
      <c r="BC1242" s="2510"/>
      <c r="BD1242" s="2510"/>
      <c r="BE1242" s="2510"/>
      <c r="BF1242" s="2510"/>
      <c r="BH1242" s="2510"/>
      <c r="DB1242" s="773"/>
      <c r="DC1242" s="773"/>
      <c r="DD1242" s="773"/>
      <c r="DE1242" s="773"/>
      <c r="DF1242" s="773"/>
      <c r="DG1242" s="773"/>
      <c r="DH1242" s="773"/>
      <c r="DI1242" s="773"/>
      <c r="DJ1242" s="773"/>
      <c r="DK1242" s="773"/>
      <c r="DL1242" s="773"/>
      <c r="DM1242" s="773"/>
      <c r="DN1242" s="773"/>
      <c r="DO1242" s="773"/>
      <c r="DP1242" s="773"/>
      <c r="DQ1242" s="773"/>
      <c r="DR1242" s="773"/>
      <c r="DS1242" s="773"/>
      <c r="DT1242" s="773"/>
      <c r="DU1242" s="773"/>
      <c r="DV1242" s="773"/>
      <c r="DW1242" s="773"/>
      <c r="DX1242" s="773"/>
      <c r="DY1242" s="773"/>
      <c r="DZ1242" s="773"/>
      <c r="EA1242" s="773"/>
      <c r="EB1242" s="773"/>
      <c r="EC1242" s="773"/>
      <c r="ED1242" s="773"/>
      <c r="EE1242" s="773"/>
      <c r="EF1242" s="773"/>
      <c r="EG1242" s="773"/>
      <c r="EH1242" s="773"/>
      <c r="EI1242" s="773"/>
      <c r="EJ1242" s="773"/>
      <c r="EK1242" s="773"/>
      <c r="EL1242" s="773"/>
      <c r="EM1242" s="773"/>
      <c r="EN1242" s="773"/>
      <c r="EO1242" s="773"/>
      <c r="EP1242" s="773"/>
      <c r="EQ1242" s="773"/>
      <c r="ER1242" s="773"/>
      <c r="ES1242" s="773"/>
      <c r="ET1242" s="773"/>
      <c r="EU1242" s="773"/>
      <c r="EV1242" s="773"/>
      <c r="EW1242" s="773"/>
      <c r="EX1242" s="773"/>
      <c r="EY1242" s="773"/>
      <c r="EZ1242" s="773"/>
      <c r="FA1242" s="773"/>
      <c r="FB1242" s="773"/>
      <c r="FC1242" s="773"/>
      <c r="FD1242" s="773"/>
      <c r="FE1242" s="773"/>
      <c r="FF1242" s="773"/>
      <c r="FG1242" s="773"/>
      <c r="FH1242" s="773"/>
      <c r="FI1242" s="773"/>
      <c r="FJ1242" s="773"/>
      <c r="FK1242" s="773"/>
      <c r="FL1242" s="773"/>
      <c r="FM1242" s="773"/>
      <c r="FN1242" s="773"/>
      <c r="FO1242" s="773"/>
      <c r="FP1242" s="773"/>
      <c r="FQ1242" s="773"/>
      <c r="FR1242" s="773"/>
      <c r="FS1242" s="773"/>
      <c r="FT1242" s="773"/>
      <c r="FU1242" s="773"/>
      <c r="FV1242" s="773"/>
      <c r="FW1242" s="773"/>
      <c r="FX1242" s="773"/>
      <c r="FY1242" s="773"/>
      <c r="FZ1242" s="773"/>
      <c r="GA1242" s="773"/>
      <c r="GB1242" s="773"/>
      <c r="GC1242" s="773"/>
      <c r="GD1242" s="773"/>
      <c r="GE1242" s="773"/>
      <c r="GF1242" s="773"/>
      <c r="GG1242" s="773"/>
      <c r="GH1242" s="773"/>
      <c r="GI1242" s="773"/>
      <c r="GJ1242" s="773"/>
      <c r="GK1242" s="773"/>
      <c r="GL1242" s="773"/>
      <c r="GM1242" s="773"/>
      <c r="GN1242" s="773"/>
      <c r="GO1242" s="773"/>
      <c r="GP1242" s="773"/>
      <c r="GQ1242" s="773"/>
      <c r="GR1242" s="773"/>
      <c r="GS1242" s="773"/>
      <c r="GT1242" s="773"/>
      <c r="GU1242" s="773"/>
      <c r="GV1242" s="773"/>
      <c r="GW1242" s="773"/>
      <c r="GX1242" s="773"/>
      <c r="GY1242" s="773"/>
      <c r="GZ1242" s="773"/>
    </row>
    <row r="1243" spans="2:208" s="11" customFormat="1">
      <c r="B1243" s="775"/>
      <c r="C1243" s="826"/>
      <c r="D1243" s="775"/>
      <c r="K1243" s="209"/>
      <c r="M1243" s="771"/>
      <c r="N1243" s="772"/>
      <c r="O1243" s="772"/>
      <c r="P1243" s="772"/>
      <c r="Q1243" s="772"/>
      <c r="R1243" s="772"/>
      <c r="S1243" s="772"/>
      <c r="T1243" s="772"/>
      <c r="AW1243" s="2510"/>
      <c r="BC1243" s="2510"/>
      <c r="BD1243" s="2510"/>
      <c r="BE1243" s="2510"/>
      <c r="BF1243" s="2510"/>
      <c r="BH1243" s="2510"/>
      <c r="DB1243" s="773"/>
      <c r="DC1243" s="773"/>
      <c r="DD1243" s="773"/>
      <c r="DE1243" s="773"/>
      <c r="DF1243" s="773"/>
      <c r="DG1243" s="773"/>
      <c r="DH1243" s="773"/>
      <c r="DI1243" s="773"/>
      <c r="DJ1243" s="773"/>
      <c r="DK1243" s="773"/>
      <c r="DL1243" s="773"/>
      <c r="DM1243" s="773"/>
      <c r="DN1243" s="773"/>
      <c r="DO1243" s="773"/>
      <c r="DP1243" s="773"/>
      <c r="DQ1243" s="773"/>
      <c r="DR1243" s="773"/>
      <c r="DS1243" s="773"/>
      <c r="DT1243" s="773"/>
      <c r="DU1243" s="773"/>
      <c r="DV1243" s="773"/>
      <c r="DW1243" s="773"/>
      <c r="DX1243" s="773"/>
      <c r="DY1243" s="773"/>
      <c r="DZ1243" s="773"/>
      <c r="EA1243" s="773"/>
      <c r="EB1243" s="773"/>
      <c r="EC1243" s="773"/>
      <c r="ED1243" s="773"/>
      <c r="EE1243" s="773"/>
      <c r="EF1243" s="773"/>
      <c r="EG1243" s="773"/>
      <c r="EH1243" s="773"/>
      <c r="EI1243" s="773"/>
      <c r="EJ1243" s="773"/>
      <c r="EK1243" s="773"/>
      <c r="EL1243" s="773"/>
      <c r="EM1243" s="773"/>
      <c r="EN1243" s="773"/>
      <c r="EO1243" s="773"/>
      <c r="EP1243" s="773"/>
      <c r="EQ1243" s="773"/>
      <c r="ER1243" s="773"/>
      <c r="ES1243" s="773"/>
      <c r="ET1243" s="773"/>
      <c r="EU1243" s="773"/>
      <c r="EV1243" s="773"/>
      <c r="EW1243" s="773"/>
      <c r="EX1243" s="773"/>
      <c r="EY1243" s="773"/>
      <c r="EZ1243" s="773"/>
      <c r="FA1243" s="773"/>
      <c r="FB1243" s="773"/>
      <c r="FC1243" s="773"/>
      <c r="FD1243" s="773"/>
      <c r="FE1243" s="773"/>
      <c r="FF1243" s="773"/>
      <c r="FG1243" s="773"/>
      <c r="FH1243" s="773"/>
      <c r="FI1243" s="773"/>
      <c r="FJ1243" s="773"/>
      <c r="FK1243" s="773"/>
      <c r="FL1243" s="773"/>
      <c r="FM1243" s="773"/>
      <c r="FN1243" s="773"/>
      <c r="FO1243" s="773"/>
      <c r="FP1243" s="773"/>
      <c r="FQ1243" s="773"/>
      <c r="FR1243" s="773"/>
      <c r="FS1243" s="773"/>
      <c r="FT1243" s="773"/>
      <c r="FU1243" s="773"/>
      <c r="FV1243" s="773"/>
      <c r="FW1243" s="773"/>
      <c r="FX1243" s="773"/>
      <c r="FY1243" s="773"/>
      <c r="FZ1243" s="773"/>
      <c r="GA1243" s="773"/>
      <c r="GB1243" s="773"/>
      <c r="GC1243" s="773"/>
      <c r="GD1243" s="773"/>
      <c r="GE1243" s="773"/>
      <c r="GF1243" s="773"/>
      <c r="GG1243" s="773"/>
      <c r="GH1243" s="773"/>
      <c r="GI1243" s="773"/>
      <c r="GJ1243" s="773"/>
      <c r="GK1243" s="773"/>
      <c r="GL1243" s="773"/>
      <c r="GM1243" s="773"/>
      <c r="GN1243" s="773"/>
      <c r="GO1243" s="773"/>
      <c r="GP1243" s="773"/>
      <c r="GQ1243" s="773"/>
      <c r="GR1243" s="773"/>
      <c r="GS1243" s="773"/>
      <c r="GT1243" s="773"/>
      <c r="GU1243" s="773"/>
      <c r="GV1243" s="773"/>
      <c r="GW1243" s="773"/>
      <c r="GX1243" s="773"/>
      <c r="GY1243" s="773"/>
      <c r="GZ1243" s="773"/>
    </row>
    <row r="1244" spans="2:208" s="11" customFormat="1">
      <c r="B1244" s="775"/>
      <c r="C1244" s="826"/>
      <c r="D1244" s="775"/>
      <c r="K1244" s="209"/>
      <c r="M1244" s="771"/>
      <c r="N1244" s="772"/>
      <c r="O1244" s="772"/>
      <c r="P1244" s="772"/>
      <c r="Q1244" s="772"/>
      <c r="R1244" s="772"/>
      <c r="S1244" s="772"/>
      <c r="T1244" s="772"/>
      <c r="AW1244" s="2510"/>
      <c r="BC1244" s="2510"/>
      <c r="BD1244" s="2510"/>
      <c r="BE1244" s="2510"/>
      <c r="BF1244" s="2510"/>
      <c r="BH1244" s="2510"/>
      <c r="DB1244" s="773"/>
      <c r="DC1244" s="773"/>
      <c r="DD1244" s="773"/>
      <c r="DE1244" s="773"/>
      <c r="DF1244" s="773"/>
      <c r="DG1244" s="773"/>
      <c r="DH1244" s="773"/>
      <c r="DI1244" s="773"/>
      <c r="DJ1244" s="773"/>
      <c r="DK1244" s="773"/>
      <c r="DL1244" s="773"/>
      <c r="DM1244" s="773"/>
      <c r="DN1244" s="773"/>
      <c r="DO1244" s="773"/>
      <c r="DP1244" s="773"/>
      <c r="DQ1244" s="773"/>
      <c r="DR1244" s="773"/>
      <c r="DS1244" s="773"/>
      <c r="DT1244" s="773"/>
      <c r="DU1244" s="773"/>
      <c r="DV1244" s="773"/>
      <c r="DW1244" s="773"/>
      <c r="DX1244" s="773"/>
      <c r="DY1244" s="773"/>
      <c r="DZ1244" s="773"/>
      <c r="EA1244" s="773"/>
      <c r="EB1244" s="773"/>
      <c r="EC1244" s="773"/>
      <c r="ED1244" s="773"/>
      <c r="EE1244" s="773"/>
      <c r="EF1244" s="773"/>
      <c r="EG1244" s="773"/>
      <c r="EH1244" s="773"/>
      <c r="EI1244" s="773"/>
      <c r="EJ1244" s="773"/>
      <c r="EK1244" s="773"/>
      <c r="EL1244" s="773"/>
      <c r="EM1244" s="773"/>
      <c r="EN1244" s="773"/>
      <c r="EO1244" s="773"/>
      <c r="EP1244" s="773"/>
      <c r="EQ1244" s="773"/>
      <c r="ER1244" s="773"/>
      <c r="ES1244" s="773"/>
      <c r="ET1244" s="773"/>
      <c r="EU1244" s="773"/>
      <c r="EV1244" s="773"/>
      <c r="EW1244" s="773"/>
      <c r="EX1244" s="773"/>
      <c r="EY1244" s="773"/>
      <c r="EZ1244" s="773"/>
      <c r="FA1244" s="773"/>
      <c r="FB1244" s="773"/>
      <c r="FC1244" s="773"/>
      <c r="FD1244" s="773"/>
      <c r="FE1244" s="773"/>
      <c r="FF1244" s="773"/>
      <c r="FG1244" s="773"/>
      <c r="FH1244" s="773"/>
      <c r="FI1244" s="773"/>
      <c r="FJ1244" s="773"/>
      <c r="FK1244" s="773"/>
      <c r="FL1244" s="773"/>
      <c r="FM1244" s="773"/>
      <c r="FN1244" s="773"/>
      <c r="FO1244" s="773"/>
      <c r="FP1244" s="773"/>
      <c r="FQ1244" s="773"/>
      <c r="FR1244" s="773"/>
      <c r="FS1244" s="773"/>
      <c r="FT1244" s="773"/>
      <c r="FU1244" s="773"/>
      <c r="FV1244" s="773"/>
      <c r="FW1244" s="773"/>
      <c r="FX1244" s="773"/>
      <c r="FY1244" s="773"/>
      <c r="FZ1244" s="773"/>
      <c r="GA1244" s="773"/>
      <c r="GB1244" s="773"/>
      <c r="GC1244" s="773"/>
      <c r="GD1244" s="773"/>
      <c r="GE1244" s="773"/>
      <c r="GF1244" s="773"/>
      <c r="GG1244" s="773"/>
      <c r="GH1244" s="773"/>
      <c r="GI1244" s="773"/>
      <c r="GJ1244" s="773"/>
      <c r="GK1244" s="773"/>
      <c r="GL1244" s="773"/>
      <c r="GM1244" s="773"/>
      <c r="GN1244" s="773"/>
      <c r="GO1244" s="773"/>
      <c r="GP1244" s="773"/>
      <c r="GQ1244" s="773"/>
      <c r="GR1244" s="773"/>
      <c r="GS1244" s="773"/>
      <c r="GT1244" s="773"/>
      <c r="GU1244" s="773"/>
      <c r="GV1244" s="773"/>
      <c r="GW1244" s="773"/>
      <c r="GX1244" s="773"/>
      <c r="GY1244" s="773"/>
      <c r="GZ1244" s="773"/>
    </row>
    <row r="1245" spans="2:208" s="11" customFormat="1">
      <c r="B1245" s="775"/>
      <c r="C1245" s="826"/>
      <c r="D1245" s="775"/>
      <c r="K1245" s="209"/>
      <c r="M1245" s="771"/>
      <c r="N1245" s="772"/>
      <c r="O1245" s="772"/>
      <c r="P1245" s="772"/>
      <c r="Q1245" s="772"/>
      <c r="R1245" s="772"/>
      <c r="S1245" s="772"/>
      <c r="T1245" s="772"/>
      <c r="AW1245" s="2510"/>
      <c r="BC1245" s="2510"/>
      <c r="BD1245" s="2510"/>
      <c r="BE1245" s="2510"/>
      <c r="BF1245" s="2510"/>
      <c r="BH1245" s="2510"/>
      <c r="DB1245" s="773"/>
      <c r="DC1245" s="773"/>
      <c r="DD1245" s="773"/>
      <c r="DE1245" s="773"/>
      <c r="DF1245" s="773"/>
      <c r="DG1245" s="773"/>
      <c r="DH1245" s="773"/>
      <c r="DI1245" s="773"/>
      <c r="DJ1245" s="773"/>
      <c r="DK1245" s="773"/>
      <c r="DL1245" s="773"/>
      <c r="DM1245" s="773"/>
      <c r="DN1245" s="773"/>
      <c r="DO1245" s="773"/>
      <c r="DP1245" s="773"/>
      <c r="DQ1245" s="773"/>
      <c r="DR1245" s="773"/>
      <c r="DS1245" s="773"/>
      <c r="DT1245" s="773"/>
      <c r="DU1245" s="773"/>
      <c r="DV1245" s="773"/>
      <c r="DW1245" s="773"/>
      <c r="DX1245" s="773"/>
      <c r="DY1245" s="773"/>
      <c r="DZ1245" s="773"/>
      <c r="EA1245" s="773"/>
      <c r="EB1245" s="773"/>
      <c r="EC1245" s="773"/>
      <c r="ED1245" s="773"/>
      <c r="EE1245" s="773"/>
      <c r="EF1245" s="773"/>
      <c r="EG1245" s="773"/>
      <c r="EH1245" s="773"/>
      <c r="EI1245" s="773"/>
      <c r="EJ1245" s="773"/>
      <c r="EK1245" s="773"/>
      <c r="EL1245" s="773"/>
      <c r="EM1245" s="773"/>
      <c r="EN1245" s="773"/>
      <c r="EO1245" s="773"/>
      <c r="EP1245" s="773"/>
      <c r="EQ1245" s="773"/>
      <c r="ER1245" s="773"/>
      <c r="ES1245" s="773"/>
      <c r="ET1245" s="773"/>
      <c r="EU1245" s="773"/>
      <c r="EV1245" s="773"/>
      <c r="EW1245" s="773"/>
      <c r="EX1245" s="773"/>
      <c r="EY1245" s="773"/>
      <c r="EZ1245" s="773"/>
      <c r="FA1245" s="773"/>
      <c r="FB1245" s="773"/>
      <c r="FC1245" s="773"/>
      <c r="FD1245" s="773"/>
      <c r="FE1245" s="773"/>
      <c r="FF1245" s="773"/>
      <c r="FG1245" s="773"/>
      <c r="FH1245" s="773"/>
      <c r="FI1245" s="773"/>
      <c r="FJ1245" s="773"/>
      <c r="FK1245" s="773"/>
      <c r="FL1245" s="773"/>
      <c r="FM1245" s="773"/>
      <c r="FN1245" s="773"/>
      <c r="FO1245" s="773"/>
      <c r="FP1245" s="773"/>
      <c r="FQ1245" s="773"/>
      <c r="FR1245" s="773"/>
      <c r="FS1245" s="773"/>
      <c r="FT1245" s="773"/>
      <c r="FU1245" s="773"/>
      <c r="FV1245" s="773"/>
      <c r="FW1245" s="773"/>
      <c r="FX1245" s="773"/>
      <c r="FY1245" s="773"/>
      <c r="FZ1245" s="773"/>
      <c r="GA1245" s="773"/>
      <c r="GB1245" s="773"/>
      <c r="GC1245" s="773"/>
      <c r="GD1245" s="773"/>
      <c r="GE1245" s="773"/>
      <c r="GF1245" s="773"/>
      <c r="GG1245" s="773"/>
      <c r="GH1245" s="773"/>
      <c r="GI1245" s="773"/>
      <c r="GJ1245" s="773"/>
      <c r="GK1245" s="773"/>
      <c r="GL1245" s="773"/>
      <c r="GM1245" s="773"/>
      <c r="GN1245" s="773"/>
      <c r="GO1245" s="773"/>
      <c r="GP1245" s="773"/>
      <c r="GQ1245" s="773"/>
      <c r="GR1245" s="773"/>
      <c r="GS1245" s="773"/>
      <c r="GT1245" s="773"/>
      <c r="GU1245" s="773"/>
      <c r="GV1245" s="773"/>
      <c r="GW1245" s="773"/>
      <c r="GX1245" s="773"/>
      <c r="GY1245" s="773"/>
      <c r="GZ1245" s="773"/>
    </row>
    <row r="1246" spans="2:208" s="11" customFormat="1">
      <c r="B1246" s="775"/>
      <c r="C1246" s="826"/>
      <c r="D1246" s="775"/>
      <c r="K1246" s="209"/>
      <c r="M1246" s="771"/>
      <c r="N1246" s="772"/>
      <c r="O1246" s="772"/>
      <c r="P1246" s="772"/>
      <c r="Q1246" s="772"/>
      <c r="R1246" s="772"/>
      <c r="S1246" s="772"/>
      <c r="T1246" s="772"/>
      <c r="AW1246" s="2510"/>
      <c r="BC1246" s="2510"/>
      <c r="BD1246" s="2510"/>
      <c r="BE1246" s="2510"/>
      <c r="BF1246" s="2510"/>
      <c r="BH1246" s="2510"/>
      <c r="DB1246" s="773"/>
      <c r="DC1246" s="773"/>
      <c r="DD1246" s="773"/>
      <c r="DE1246" s="773"/>
      <c r="DF1246" s="773"/>
      <c r="DG1246" s="773"/>
      <c r="DH1246" s="773"/>
      <c r="DI1246" s="773"/>
      <c r="DJ1246" s="773"/>
      <c r="DK1246" s="773"/>
      <c r="DL1246" s="773"/>
      <c r="DM1246" s="773"/>
      <c r="DN1246" s="773"/>
      <c r="DO1246" s="773"/>
      <c r="DP1246" s="773"/>
      <c r="DQ1246" s="773"/>
      <c r="DR1246" s="773"/>
      <c r="DS1246" s="773"/>
      <c r="DT1246" s="773"/>
      <c r="DU1246" s="773"/>
      <c r="DV1246" s="773"/>
      <c r="DW1246" s="773"/>
      <c r="DX1246" s="773"/>
      <c r="DY1246" s="773"/>
      <c r="DZ1246" s="773"/>
      <c r="EA1246" s="773"/>
      <c r="EB1246" s="773"/>
      <c r="EC1246" s="773"/>
      <c r="ED1246" s="773"/>
      <c r="EE1246" s="773"/>
      <c r="EF1246" s="773"/>
      <c r="EG1246" s="773"/>
      <c r="EH1246" s="773"/>
      <c r="EI1246" s="773"/>
      <c r="EJ1246" s="773"/>
      <c r="EK1246" s="773"/>
      <c r="EL1246" s="773"/>
      <c r="EM1246" s="773"/>
      <c r="EN1246" s="773"/>
      <c r="EO1246" s="773"/>
      <c r="EP1246" s="773"/>
      <c r="EQ1246" s="773"/>
      <c r="ER1246" s="773"/>
      <c r="ES1246" s="773"/>
      <c r="ET1246" s="773"/>
      <c r="EU1246" s="773"/>
      <c r="EV1246" s="773"/>
      <c r="EW1246" s="773"/>
      <c r="EX1246" s="773"/>
      <c r="EY1246" s="773"/>
      <c r="EZ1246" s="773"/>
      <c r="FA1246" s="773"/>
      <c r="FB1246" s="773"/>
      <c r="FC1246" s="773"/>
      <c r="FD1246" s="773"/>
      <c r="FE1246" s="773"/>
      <c r="FF1246" s="773"/>
      <c r="FG1246" s="773"/>
      <c r="FH1246" s="773"/>
      <c r="FI1246" s="773"/>
      <c r="FJ1246" s="773"/>
      <c r="FK1246" s="773"/>
      <c r="FL1246" s="773"/>
      <c r="FM1246" s="773"/>
      <c r="FN1246" s="773"/>
      <c r="FO1246" s="773"/>
      <c r="FP1246" s="773"/>
      <c r="FQ1246" s="773"/>
      <c r="FR1246" s="773"/>
      <c r="FS1246" s="773"/>
      <c r="FT1246" s="773"/>
      <c r="FU1246" s="773"/>
      <c r="FV1246" s="773"/>
      <c r="FW1246" s="773"/>
      <c r="FX1246" s="773"/>
      <c r="FY1246" s="773"/>
      <c r="FZ1246" s="773"/>
      <c r="GA1246" s="773"/>
      <c r="GB1246" s="773"/>
      <c r="GC1246" s="773"/>
      <c r="GD1246" s="773"/>
      <c r="GE1246" s="773"/>
      <c r="GF1246" s="773"/>
      <c r="GG1246" s="773"/>
      <c r="GH1246" s="773"/>
      <c r="GI1246" s="773"/>
      <c r="GJ1246" s="773"/>
      <c r="GK1246" s="773"/>
      <c r="GL1246" s="773"/>
      <c r="GM1246" s="773"/>
      <c r="GN1246" s="773"/>
      <c r="GO1246" s="773"/>
      <c r="GP1246" s="773"/>
      <c r="GQ1246" s="773"/>
      <c r="GR1246" s="773"/>
      <c r="GS1246" s="773"/>
      <c r="GT1246" s="773"/>
      <c r="GU1246" s="773"/>
      <c r="GV1246" s="773"/>
      <c r="GW1246" s="773"/>
      <c r="GX1246" s="773"/>
      <c r="GY1246" s="773"/>
      <c r="GZ1246" s="773"/>
    </row>
    <row r="1247" spans="2:208" s="11" customFormat="1">
      <c r="B1247" s="775"/>
      <c r="C1247" s="826"/>
      <c r="D1247" s="775"/>
      <c r="K1247" s="209"/>
      <c r="M1247" s="771"/>
      <c r="N1247" s="772"/>
      <c r="O1247" s="772"/>
      <c r="P1247" s="772"/>
      <c r="Q1247" s="772"/>
      <c r="R1247" s="772"/>
      <c r="S1247" s="772"/>
      <c r="T1247" s="772"/>
      <c r="AW1247" s="2510"/>
      <c r="BC1247" s="2510"/>
      <c r="BD1247" s="2510"/>
      <c r="BE1247" s="2510"/>
      <c r="BF1247" s="2510"/>
      <c r="BH1247" s="2510"/>
      <c r="DB1247" s="773"/>
      <c r="DC1247" s="773"/>
      <c r="DD1247" s="773"/>
      <c r="DE1247" s="773"/>
      <c r="DF1247" s="773"/>
      <c r="DG1247" s="773"/>
      <c r="DH1247" s="773"/>
      <c r="DI1247" s="773"/>
      <c r="DJ1247" s="773"/>
      <c r="DK1247" s="773"/>
      <c r="DL1247" s="773"/>
      <c r="DM1247" s="773"/>
      <c r="DN1247" s="773"/>
      <c r="DO1247" s="773"/>
      <c r="DP1247" s="773"/>
      <c r="DQ1247" s="773"/>
      <c r="DR1247" s="773"/>
      <c r="DS1247" s="773"/>
      <c r="DT1247" s="773"/>
      <c r="DU1247" s="773"/>
      <c r="DV1247" s="773"/>
      <c r="DW1247" s="773"/>
      <c r="DX1247" s="773"/>
      <c r="DY1247" s="773"/>
      <c r="DZ1247" s="773"/>
      <c r="EA1247" s="773"/>
      <c r="EB1247" s="773"/>
      <c r="EC1247" s="773"/>
      <c r="ED1247" s="773"/>
      <c r="EE1247" s="773"/>
      <c r="EF1247" s="773"/>
      <c r="EG1247" s="773"/>
      <c r="EH1247" s="773"/>
      <c r="EI1247" s="773"/>
      <c r="EJ1247" s="773"/>
      <c r="EK1247" s="773"/>
      <c r="EL1247" s="773"/>
      <c r="EM1247" s="773"/>
      <c r="EN1247" s="773"/>
      <c r="EO1247" s="773"/>
      <c r="EP1247" s="773"/>
      <c r="EQ1247" s="773"/>
      <c r="ER1247" s="773"/>
      <c r="ES1247" s="773"/>
      <c r="ET1247" s="773"/>
      <c r="EU1247" s="773"/>
      <c r="EV1247" s="773"/>
      <c r="EW1247" s="773"/>
      <c r="EX1247" s="773"/>
      <c r="EY1247" s="773"/>
      <c r="EZ1247" s="773"/>
      <c r="FA1247" s="773"/>
      <c r="FB1247" s="773"/>
      <c r="FC1247" s="773"/>
      <c r="FD1247" s="773"/>
      <c r="FE1247" s="773"/>
      <c r="FF1247" s="773"/>
      <c r="FG1247" s="773"/>
      <c r="FH1247" s="773"/>
      <c r="FI1247" s="773"/>
      <c r="FJ1247" s="773"/>
      <c r="FK1247" s="773"/>
      <c r="FL1247" s="773"/>
      <c r="FM1247" s="773"/>
      <c r="FN1247" s="773"/>
      <c r="FO1247" s="773"/>
      <c r="FP1247" s="773"/>
      <c r="FQ1247" s="773"/>
      <c r="FR1247" s="773"/>
      <c r="FS1247" s="773"/>
      <c r="FT1247" s="773"/>
      <c r="FU1247" s="773"/>
      <c r="FV1247" s="773"/>
      <c r="FW1247" s="773"/>
      <c r="FX1247" s="773"/>
      <c r="FY1247" s="773"/>
      <c r="FZ1247" s="773"/>
      <c r="GA1247" s="773"/>
      <c r="GB1247" s="773"/>
      <c r="GC1247" s="773"/>
      <c r="GD1247" s="773"/>
      <c r="GE1247" s="773"/>
      <c r="GF1247" s="773"/>
      <c r="GG1247" s="773"/>
      <c r="GH1247" s="773"/>
      <c r="GI1247" s="773"/>
      <c r="GJ1247" s="773"/>
      <c r="GK1247" s="773"/>
      <c r="GL1247" s="773"/>
      <c r="GM1247" s="773"/>
      <c r="GN1247" s="773"/>
      <c r="GO1247" s="773"/>
      <c r="GP1247" s="773"/>
      <c r="GQ1247" s="773"/>
      <c r="GR1247" s="773"/>
      <c r="GS1247" s="773"/>
      <c r="GT1247" s="773"/>
      <c r="GU1247" s="773"/>
      <c r="GV1247" s="773"/>
      <c r="GW1247" s="773"/>
      <c r="GX1247" s="773"/>
      <c r="GY1247" s="773"/>
      <c r="GZ1247" s="773"/>
    </row>
    <row r="1248" spans="2:208" s="11" customFormat="1">
      <c r="B1248" s="775"/>
      <c r="C1248" s="826"/>
      <c r="D1248" s="775"/>
      <c r="K1248" s="209"/>
      <c r="M1248" s="771"/>
      <c r="N1248" s="772"/>
      <c r="O1248" s="772"/>
      <c r="P1248" s="772"/>
      <c r="Q1248" s="772"/>
      <c r="R1248" s="772"/>
      <c r="S1248" s="772"/>
      <c r="T1248" s="772"/>
      <c r="AW1248" s="2510"/>
      <c r="BC1248" s="2510"/>
      <c r="BD1248" s="2510"/>
      <c r="BE1248" s="2510"/>
      <c r="BF1248" s="2510"/>
      <c r="BH1248" s="2510"/>
      <c r="DB1248" s="773"/>
      <c r="DC1248" s="773"/>
      <c r="DD1248" s="773"/>
      <c r="DE1248" s="773"/>
      <c r="DF1248" s="773"/>
      <c r="DG1248" s="773"/>
      <c r="DH1248" s="773"/>
      <c r="DI1248" s="773"/>
      <c r="DJ1248" s="773"/>
      <c r="DK1248" s="773"/>
      <c r="DL1248" s="773"/>
      <c r="DM1248" s="773"/>
      <c r="DN1248" s="773"/>
      <c r="DO1248" s="773"/>
      <c r="DP1248" s="773"/>
      <c r="DQ1248" s="773"/>
      <c r="DR1248" s="773"/>
      <c r="DS1248" s="773"/>
      <c r="DT1248" s="773"/>
      <c r="DU1248" s="773"/>
      <c r="DV1248" s="773"/>
      <c r="DW1248" s="773"/>
      <c r="DX1248" s="773"/>
      <c r="DY1248" s="773"/>
      <c r="DZ1248" s="773"/>
      <c r="EA1248" s="773"/>
      <c r="EB1248" s="773"/>
      <c r="EC1248" s="773"/>
      <c r="ED1248" s="773"/>
      <c r="EE1248" s="773"/>
      <c r="EF1248" s="773"/>
      <c r="EG1248" s="773"/>
      <c r="EH1248" s="773"/>
      <c r="EI1248" s="773"/>
      <c r="EJ1248" s="773"/>
      <c r="EK1248" s="773"/>
      <c r="EL1248" s="773"/>
      <c r="EM1248" s="773"/>
      <c r="EN1248" s="773"/>
      <c r="EO1248" s="773"/>
      <c r="EP1248" s="773"/>
      <c r="EQ1248" s="773"/>
      <c r="ER1248" s="773"/>
      <c r="ES1248" s="773"/>
      <c r="ET1248" s="773"/>
      <c r="EU1248" s="773"/>
      <c r="EV1248" s="773"/>
      <c r="EW1248" s="773"/>
      <c r="EX1248" s="773"/>
      <c r="EY1248" s="773"/>
      <c r="EZ1248" s="773"/>
      <c r="FA1248" s="773"/>
      <c r="FB1248" s="773"/>
      <c r="FC1248" s="773"/>
      <c r="FD1248" s="773"/>
      <c r="FE1248" s="773"/>
      <c r="FF1248" s="773"/>
      <c r="FG1248" s="773"/>
      <c r="FH1248" s="773"/>
      <c r="FI1248" s="773"/>
      <c r="FJ1248" s="773"/>
      <c r="FK1248" s="773"/>
      <c r="FL1248" s="773"/>
      <c r="FM1248" s="773"/>
      <c r="FN1248" s="773"/>
      <c r="FO1248" s="773"/>
      <c r="FP1248" s="773"/>
      <c r="FQ1248" s="773"/>
      <c r="FR1248" s="773"/>
      <c r="FS1248" s="773"/>
      <c r="FT1248" s="773"/>
      <c r="FU1248" s="773"/>
      <c r="FV1248" s="773"/>
      <c r="FW1248" s="773"/>
      <c r="FX1248" s="773"/>
      <c r="FY1248" s="773"/>
      <c r="FZ1248" s="773"/>
      <c r="GA1248" s="773"/>
      <c r="GB1248" s="773"/>
      <c r="GC1248" s="773"/>
      <c r="GD1248" s="773"/>
      <c r="GE1248" s="773"/>
      <c r="GF1248" s="773"/>
      <c r="GG1248" s="773"/>
      <c r="GH1248" s="773"/>
      <c r="GI1248" s="773"/>
      <c r="GJ1248" s="773"/>
      <c r="GK1248" s="773"/>
      <c r="GL1248" s="773"/>
      <c r="GM1248" s="773"/>
      <c r="GN1248" s="773"/>
      <c r="GO1248" s="773"/>
      <c r="GP1248" s="773"/>
      <c r="GQ1248" s="773"/>
      <c r="GR1248" s="773"/>
      <c r="GS1248" s="773"/>
      <c r="GT1248" s="773"/>
      <c r="GU1248" s="773"/>
      <c r="GV1248" s="773"/>
      <c r="GW1248" s="773"/>
      <c r="GX1248" s="773"/>
      <c r="GY1248" s="773"/>
      <c r="GZ1248" s="773"/>
    </row>
    <row r="1249" spans="2:208" s="11" customFormat="1">
      <c r="B1249" s="775"/>
      <c r="C1249" s="826"/>
      <c r="D1249" s="775"/>
      <c r="K1249" s="209"/>
      <c r="M1249" s="771"/>
      <c r="N1249" s="772"/>
      <c r="O1249" s="772"/>
      <c r="P1249" s="772"/>
      <c r="Q1249" s="772"/>
      <c r="R1249" s="772"/>
      <c r="S1249" s="772"/>
      <c r="T1249" s="772"/>
      <c r="AW1249" s="2510"/>
      <c r="BC1249" s="2510"/>
      <c r="BD1249" s="2510"/>
      <c r="BE1249" s="2510"/>
      <c r="BF1249" s="2510"/>
      <c r="BH1249" s="2510"/>
      <c r="DB1249" s="773"/>
      <c r="DC1249" s="773"/>
      <c r="DD1249" s="773"/>
      <c r="DE1249" s="773"/>
      <c r="DF1249" s="773"/>
      <c r="DG1249" s="773"/>
      <c r="DH1249" s="773"/>
      <c r="DI1249" s="773"/>
      <c r="DJ1249" s="773"/>
      <c r="DK1249" s="773"/>
      <c r="DL1249" s="773"/>
      <c r="DM1249" s="773"/>
      <c r="DN1249" s="773"/>
      <c r="DO1249" s="773"/>
      <c r="DP1249" s="773"/>
      <c r="DQ1249" s="773"/>
      <c r="DR1249" s="773"/>
      <c r="DS1249" s="773"/>
      <c r="DT1249" s="773"/>
      <c r="DU1249" s="773"/>
      <c r="DV1249" s="773"/>
      <c r="DW1249" s="773"/>
      <c r="DX1249" s="773"/>
      <c r="DY1249" s="773"/>
      <c r="DZ1249" s="773"/>
      <c r="EA1249" s="773"/>
      <c r="EB1249" s="773"/>
      <c r="EC1249" s="773"/>
      <c r="ED1249" s="773"/>
      <c r="EE1249" s="773"/>
      <c r="EF1249" s="773"/>
      <c r="EG1249" s="773"/>
      <c r="EH1249" s="773"/>
      <c r="EI1249" s="773"/>
      <c r="EJ1249" s="773"/>
      <c r="EK1249" s="773"/>
      <c r="EL1249" s="773"/>
      <c r="EM1249" s="773"/>
      <c r="EN1249" s="773"/>
      <c r="EO1249" s="773"/>
      <c r="EP1249" s="773"/>
      <c r="EQ1249" s="773"/>
      <c r="ER1249" s="773"/>
      <c r="ES1249" s="773"/>
      <c r="ET1249" s="773"/>
      <c r="EU1249" s="773"/>
      <c r="EV1249" s="773"/>
      <c r="EW1249" s="773"/>
      <c r="EX1249" s="773"/>
      <c r="EY1249" s="773"/>
      <c r="EZ1249" s="773"/>
      <c r="FA1249" s="773"/>
      <c r="FB1249" s="773"/>
      <c r="FC1249" s="773"/>
      <c r="FD1249" s="773"/>
      <c r="FE1249" s="773"/>
      <c r="FF1249" s="773"/>
      <c r="FG1249" s="773"/>
      <c r="FH1249" s="773"/>
      <c r="FI1249" s="773"/>
      <c r="FJ1249" s="773"/>
      <c r="FK1249" s="773"/>
      <c r="FL1249" s="773"/>
      <c r="FM1249" s="773"/>
      <c r="FN1249" s="773"/>
      <c r="FO1249" s="773"/>
      <c r="FP1249" s="773"/>
      <c r="FQ1249" s="773"/>
      <c r="FR1249" s="773"/>
      <c r="FS1249" s="773"/>
      <c r="FT1249" s="773"/>
      <c r="FU1249" s="773"/>
      <c r="FV1249" s="773"/>
      <c r="FW1249" s="773"/>
      <c r="FX1249" s="773"/>
      <c r="FY1249" s="773"/>
      <c r="FZ1249" s="773"/>
      <c r="GA1249" s="773"/>
      <c r="GB1249" s="773"/>
      <c r="GC1249" s="773"/>
      <c r="GD1249" s="773"/>
      <c r="GE1249" s="773"/>
      <c r="GF1249" s="773"/>
      <c r="GG1249" s="773"/>
      <c r="GH1249" s="773"/>
      <c r="GI1249" s="773"/>
      <c r="GJ1249" s="773"/>
      <c r="GK1249" s="773"/>
      <c r="GL1249" s="773"/>
      <c r="GM1249" s="773"/>
      <c r="GN1249" s="773"/>
      <c r="GO1249" s="773"/>
      <c r="GP1249" s="773"/>
      <c r="GQ1249" s="773"/>
      <c r="GR1249" s="773"/>
      <c r="GS1249" s="773"/>
      <c r="GT1249" s="773"/>
      <c r="GU1249" s="773"/>
      <c r="GV1249" s="773"/>
      <c r="GW1249" s="773"/>
      <c r="GX1249" s="773"/>
      <c r="GY1249" s="773"/>
      <c r="GZ1249" s="773"/>
    </row>
    <row r="1250" spans="2:208" s="11" customFormat="1">
      <c r="B1250" s="775"/>
      <c r="C1250" s="826"/>
      <c r="D1250" s="775"/>
      <c r="K1250" s="209"/>
      <c r="M1250" s="771"/>
      <c r="N1250" s="772"/>
      <c r="O1250" s="772"/>
      <c r="P1250" s="772"/>
      <c r="Q1250" s="772"/>
      <c r="R1250" s="772"/>
      <c r="S1250" s="772"/>
      <c r="T1250" s="772"/>
      <c r="AW1250" s="2510"/>
      <c r="BC1250" s="2510"/>
      <c r="BD1250" s="2510"/>
      <c r="BE1250" s="2510"/>
      <c r="BF1250" s="2510"/>
      <c r="BH1250" s="2510"/>
      <c r="DB1250" s="773"/>
      <c r="DC1250" s="773"/>
      <c r="DD1250" s="773"/>
      <c r="DE1250" s="773"/>
      <c r="DF1250" s="773"/>
      <c r="DG1250" s="773"/>
      <c r="DH1250" s="773"/>
      <c r="DI1250" s="773"/>
      <c r="DJ1250" s="773"/>
      <c r="DK1250" s="773"/>
      <c r="DL1250" s="773"/>
      <c r="DM1250" s="773"/>
      <c r="DN1250" s="773"/>
      <c r="DO1250" s="773"/>
      <c r="DP1250" s="773"/>
      <c r="DQ1250" s="773"/>
      <c r="DR1250" s="773"/>
      <c r="DS1250" s="773"/>
      <c r="DT1250" s="773"/>
      <c r="DU1250" s="773"/>
      <c r="DV1250" s="773"/>
      <c r="DW1250" s="773"/>
      <c r="DX1250" s="773"/>
      <c r="DY1250" s="773"/>
      <c r="DZ1250" s="773"/>
      <c r="EA1250" s="773"/>
      <c r="EB1250" s="773"/>
      <c r="EC1250" s="773"/>
      <c r="ED1250" s="773"/>
      <c r="EE1250" s="773"/>
      <c r="EF1250" s="773"/>
      <c r="EG1250" s="773"/>
      <c r="EH1250" s="773"/>
      <c r="EI1250" s="773"/>
      <c r="EJ1250" s="773"/>
      <c r="EK1250" s="773"/>
      <c r="EL1250" s="773"/>
      <c r="EM1250" s="773"/>
      <c r="EN1250" s="773"/>
      <c r="EO1250" s="773"/>
      <c r="EP1250" s="773"/>
      <c r="EQ1250" s="773"/>
      <c r="ER1250" s="773"/>
      <c r="ES1250" s="773"/>
      <c r="ET1250" s="773"/>
      <c r="EU1250" s="773"/>
      <c r="EV1250" s="773"/>
      <c r="EW1250" s="773"/>
      <c r="EX1250" s="773"/>
      <c r="EY1250" s="773"/>
      <c r="EZ1250" s="773"/>
      <c r="FA1250" s="773"/>
      <c r="FB1250" s="773"/>
      <c r="FC1250" s="773"/>
      <c r="FD1250" s="773"/>
      <c r="FE1250" s="773"/>
      <c r="FF1250" s="773"/>
      <c r="FG1250" s="773"/>
      <c r="FH1250" s="773"/>
      <c r="FI1250" s="773"/>
      <c r="FJ1250" s="773"/>
      <c r="FK1250" s="773"/>
      <c r="FL1250" s="773"/>
      <c r="FM1250" s="773"/>
      <c r="FN1250" s="773"/>
      <c r="FO1250" s="773"/>
      <c r="FP1250" s="773"/>
      <c r="FQ1250" s="773"/>
      <c r="FR1250" s="773"/>
      <c r="FS1250" s="773"/>
      <c r="FT1250" s="773"/>
      <c r="FU1250" s="773"/>
      <c r="FV1250" s="773"/>
      <c r="FW1250" s="773"/>
      <c r="FX1250" s="773"/>
      <c r="FY1250" s="773"/>
      <c r="FZ1250" s="773"/>
      <c r="GA1250" s="773"/>
      <c r="GB1250" s="773"/>
      <c r="GC1250" s="773"/>
      <c r="GD1250" s="773"/>
      <c r="GE1250" s="773"/>
      <c r="GF1250" s="773"/>
      <c r="GG1250" s="773"/>
      <c r="GH1250" s="773"/>
      <c r="GI1250" s="773"/>
      <c r="GJ1250" s="773"/>
      <c r="GK1250" s="773"/>
      <c r="GL1250" s="773"/>
      <c r="GM1250" s="773"/>
      <c r="GN1250" s="773"/>
      <c r="GO1250" s="773"/>
      <c r="GP1250" s="773"/>
      <c r="GQ1250" s="773"/>
      <c r="GR1250" s="773"/>
      <c r="GS1250" s="773"/>
      <c r="GT1250" s="773"/>
      <c r="GU1250" s="773"/>
      <c r="GV1250" s="773"/>
      <c r="GW1250" s="773"/>
      <c r="GX1250" s="773"/>
      <c r="GY1250" s="773"/>
      <c r="GZ1250" s="773"/>
    </row>
    <row r="1251" spans="2:208" s="11" customFormat="1">
      <c r="B1251" s="775"/>
      <c r="C1251" s="826"/>
      <c r="D1251" s="775"/>
      <c r="K1251" s="209"/>
      <c r="M1251" s="771"/>
      <c r="N1251" s="772"/>
      <c r="O1251" s="772"/>
      <c r="P1251" s="772"/>
      <c r="Q1251" s="772"/>
      <c r="R1251" s="772"/>
      <c r="S1251" s="772"/>
      <c r="T1251" s="772"/>
      <c r="AW1251" s="2510"/>
      <c r="BC1251" s="2510"/>
      <c r="BD1251" s="2510"/>
      <c r="BE1251" s="2510"/>
      <c r="BF1251" s="2510"/>
      <c r="BH1251" s="2510"/>
      <c r="DB1251" s="773"/>
      <c r="DC1251" s="773"/>
      <c r="DD1251" s="773"/>
      <c r="DE1251" s="773"/>
      <c r="DF1251" s="773"/>
      <c r="DG1251" s="773"/>
      <c r="DH1251" s="773"/>
      <c r="DI1251" s="773"/>
      <c r="DJ1251" s="773"/>
      <c r="DK1251" s="773"/>
      <c r="DL1251" s="773"/>
      <c r="DM1251" s="773"/>
      <c r="DN1251" s="773"/>
      <c r="DO1251" s="773"/>
      <c r="DP1251" s="773"/>
      <c r="DQ1251" s="773"/>
      <c r="DR1251" s="773"/>
      <c r="DS1251" s="773"/>
      <c r="DT1251" s="773"/>
      <c r="DU1251" s="773"/>
      <c r="DV1251" s="773"/>
      <c r="DW1251" s="773"/>
      <c r="DX1251" s="773"/>
      <c r="DY1251" s="773"/>
      <c r="DZ1251" s="773"/>
      <c r="EA1251" s="773"/>
      <c r="EB1251" s="773"/>
      <c r="EC1251" s="773"/>
      <c r="ED1251" s="773"/>
      <c r="EE1251" s="773"/>
      <c r="EF1251" s="773"/>
      <c r="EG1251" s="773"/>
      <c r="EH1251" s="773"/>
      <c r="EI1251" s="773"/>
      <c r="EJ1251" s="773"/>
      <c r="EK1251" s="773"/>
      <c r="EL1251" s="773"/>
      <c r="EM1251" s="773"/>
      <c r="EN1251" s="773"/>
      <c r="EO1251" s="773"/>
      <c r="EP1251" s="773"/>
      <c r="EQ1251" s="773"/>
      <c r="ER1251" s="773"/>
      <c r="ES1251" s="773"/>
      <c r="ET1251" s="773"/>
      <c r="EU1251" s="773"/>
      <c r="EV1251" s="773"/>
      <c r="EW1251" s="773"/>
      <c r="EX1251" s="773"/>
      <c r="EY1251" s="773"/>
      <c r="EZ1251" s="773"/>
      <c r="FA1251" s="773"/>
      <c r="FB1251" s="773"/>
      <c r="FC1251" s="773"/>
      <c r="FD1251" s="773"/>
      <c r="FE1251" s="773"/>
      <c r="FF1251" s="773"/>
      <c r="FG1251" s="773"/>
      <c r="FH1251" s="773"/>
      <c r="FI1251" s="773"/>
      <c r="FJ1251" s="773"/>
      <c r="FK1251" s="773"/>
      <c r="FL1251" s="773"/>
      <c r="FM1251" s="773"/>
      <c r="FN1251" s="773"/>
      <c r="FO1251" s="773"/>
      <c r="FP1251" s="773"/>
      <c r="FQ1251" s="773"/>
      <c r="FR1251" s="773"/>
      <c r="FS1251" s="773"/>
      <c r="FT1251" s="773"/>
      <c r="FU1251" s="773"/>
      <c r="FV1251" s="773"/>
      <c r="FW1251" s="773"/>
      <c r="FX1251" s="773"/>
      <c r="FY1251" s="773"/>
      <c r="FZ1251" s="773"/>
      <c r="GA1251" s="773"/>
      <c r="GB1251" s="773"/>
      <c r="GC1251" s="773"/>
      <c r="GD1251" s="773"/>
      <c r="GE1251" s="773"/>
      <c r="GF1251" s="773"/>
      <c r="GG1251" s="773"/>
      <c r="GH1251" s="773"/>
      <c r="GI1251" s="773"/>
      <c r="GJ1251" s="773"/>
      <c r="GK1251" s="773"/>
      <c r="GL1251" s="773"/>
      <c r="GM1251" s="773"/>
      <c r="GN1251" s="773"/>
      <c r="GO1251" s="773"/>
      <c r="GP1251" s="773"/>
      <c r="GQ1251" s="773"/>
      <c r="GR1251" s="773"/>
      <c r="GS1251" s="773"/>
      <c r="GT1251" s="773"/>
      <c r="GU1251" s="773"/>
      <c r="GV1251" s="773"/>
      <c r="GW1251" s="773"/>
      <c r="GX1251" s="773"/>
      <c r="GY1251" s="773"/>
      <c r="GZ1251" s="773"/>
    </row>
    <row r="1252" spans="2:208" s="11" customFormat="1">
      <c r="B1252" s="775"/>
      <c r="C1252" s="826"/>
      <c r="D1252" s="775"/>
      <c r="K1252" s="209"/>
      <c r="M1252" s="771"/>
      <c r="N1252" s="772"/>
      <c r="O1252" s="772"/>
      <c r="P1252" s="772"/>
      <c r="Q1252" s="772"/>
      <c r="R1252" s="772"/>
      <c r="S1252" s="772"/>
      <c r="T1252" s="772"/>
      <c r="AW1252" s="2510"/>
      <c r="BC1252" s="2510"/>
      <c r="BD1252" s="2510"/>
      <c r="BE1252" s="2510"/>
      <c r="BF1252" s="2510"/>
      <c r="BH1252" s="2510"/>
      <c r="DB1252" s="773"/>
      <c r="DC1252" s="773"/>
      <c r="DD1252" s="773"/>
      <c r="DE1252" s="773"/>
      <c r="DF1252" s="773"/>
      <c r="DG1252" s="773"/>
      <c r="DH1252" s="773"/>
      <c r="DI1252" s="773"/>
      <c r="DJ1252" s="773"/>
      <c r="DK1252" s="773"/>
      <c r="DL1252" s="773"/>
      <c r="DM1252" s="773"/>
      <c r="DN1252" s="773"/>
      <c r="DO1252" s="773"/>
      <c r="DP1252" s="773"/>
      <c r="DQ1252" s="773"/>
      <c r="DR1252" s="773"/>
      <c r="DS1252" s="773"/>
      <c r="DT1252" s="773"/>
      <c r="DU1252" s="773"/>
      <c r="DV1252" s="773"/>
      <c r="DW1252" s="773"/>
      <c r="DX1252" s="773"/>
      <c r="DY1252" s="773"/>
      <c r="DZ1252" s="773"/>
      <c r="EA1252" s="773"/>
      <c r="EB1252" s="773"/>
      <c r="EC1252" s="773"/>
      <c r="ED1252" s="773"/>
      <c r="EE1252" s="773"/>
      <c r="EF1252" s="773"/>
      <c r="EG1252" s="773"/>
      <c r="EH1252" s="773"/>
      <c r="EI1252" s="773"/>
      <c r="EJ1252" s="773"/>
      <c r="EK1252" s="773"/>
      <c r="EL1252" s="773"/>
      <c r="EM1252" s="773"/>
      <c r="EN1252" s="773"/>
      <c r="EO1252" s="773"/>
      <c r="EP1252" s="773"/>
      <c r="EQ1252" s="773"/>
      <c r="ER1252" s="773"/>
      <c r="ES1252" s="773"/>
      <c r="ET1252" s="773"/>
      <c r="EU1252" s="773"/>
      <c r="EV1252" s="773"/>
      <c r="EW1252" s="773"/>
      <c r="EX1252" s="773"/>
      <c r="EY1252" s="773"/>
      <c r="EZ1252" s="773"/>
      <c r="FA1252" s="773"/>
      <c r="FB1252" s="773"/>
      <c r="FC1252" s="773"/>
      <c r="FD1252" s="773"/>
      <c r="FE1252" s="773"/>
      <c r="FF1252" s="773"/>
      <c r="FG1252" s="773"/>
      <c r="FH1252" s="773"/>
      <c r="FI1252" s="773"/>
      <c r="FJ1252" s="773"/>
      <c r="FK1252" s="773"/>
      <c r="FL1252" s="773"/>
      <c r="FM1252" s="773"/>
      <c r="FN1252" s="773"/>
      <c r="FO1252" s="773"/>
      <c r="FP1252" s="773"/>
      <c r="FQ1252" s="773"/>
      <c r="FR1252" s="773"/>
      <c r="FS1252" s="773"/>
      <c r="FT1252" s="773"/>
      <c r="FU1252" s="773"/>
      <c r="FV1252" s="773"/>
      <c r="FW1252" s="773"/>
      <c r="FX1252" s="773"/>
      <c r="FY1252" s="773"/>
      <c r="FZ1252" s="773"/>
      <c r="GA1252" s="773"/>
      <c r="GB1252" s="773"/>
      <c r="GC1252" s="773"/>
      <c r="GD1252" s="773"/>
      <c r="GE1252" s="773"/>
      <c r="GF1252" s="773"/>
      <c r="GG1252" s="773"/>
      <c r="GH1252" s="773"/>
      <c r="GI1252" s="773"/>
      <c r="GJ1252" s="773"/>
      <c r="GK1252" s="773"/>
      <c r="GL1252" s="773"/>
      <c r="GM1252" s="773"/>
      <c r="GN1252" s="773"/>
      <c r="GO1252" s="773"/>
      <c r="GP1252" s="773"/>
      <c r="GQ1252" s="773"/>
      <c r="GR1252" s="773"/>
      <c r="GS1252" s="773"/>
      <c r="GT1252" s="773"/>
      <c r="GU1252" s="773"/>
      <c r="GV1252" s="773"/>
      <c r="GW1252" s="773"/>
      <c r="GX1252" s="773"/>
      <c r="GY1252" s="773"/>
      <c r="GZ1252" s="773"/>
    </row>
    <row r="1253" spans="2:208" s="11" customFormat="1">
      <c r="B1253" s="775"/>
      <c r="C1253" s="826"/>
      <c r="D1253" s="775"/>
      <c r="K1253" s="209"/>
      <c r="M1253" s="771"/>
      <c r="N1253" s="772"/>
      <c r="O1253" s="772"/>
      <c r="P1253" s="772"/>
      <c r="Q1253" s="772"/>
      <c r="R1253" s="772"/>
      <c r="S1253" s="772"/>
      <c r="T1253" s="772"/>
      <c r="AW1253" s="2510"/>
      <c r="BC1253" s="2510"/>
      <c r="BD1253" s="2510"/>
      <c r="BE1253" s="2510"/>
      <c r="BF1253" s="2510"/>
      <c r="BH1253" s="2510"/>
      <c r="DB1253" s="773"/>
      <c r="DC1253" s="773"/>
      <c r="DD1253" s="773"/>
      <c r="DE1253" s="773"/>
      <c r="DF1253" s="773"/>
      <c r="DG1253" s="773"/>
      <c r="DH1253" s="773"/>
      <c r="DI1253" s="773"/>
      <c r="DJ1253" s="773"/>
      <c r="DK1253" s="773"/>
      <c r="DL1253" s="773"/>
      <c r="DM1253" s="773"/>
      <c r="DN1253" s="773"/>
      <c r="DO1253" s="773"/>
      <c r="DP1253" s="773"/>
      <c r="DQ1253" s="773"/>
      <c r="DR1253" s="773"/>
      <c r="DS1253" s="773"/>
      <c r="DT1253" s="773"/>
      <c r="DU1253" s="773"/>
      <c r="DV1253" s="773"/>
      <c r="DW1253" s="773"/>
      <c r="DX1253" s="773"/>
      <c r="DY1253" s="773"/>
      <c r="DZ1253" s="773"/>
      <c r="EA1253" s="773"/>
      <c r="EB1253" s="773"/>
      <c r="EC1253" s="773"/>
      <c r="ED1253" s="773"/>
      <c r="EE1253" s="773"/>
      <c r="EF1253" s="773"/>
      <c r="EG1253" s="773"/>
      <c r="EH1253" s="773"/>
      <c r="EI1253" s="773"/>
      <c r="EJ1253" s="773"/>
      <c r="EK1253" s="773"/>
      <c r="EL1253" s="773"/>
      <c r="EM1253" s="773"/>
      <c r="EN1253" s="773"/>
      <c r="EO1253" s="773"/>
      <c r="EP1253" s="773"/>
      <c r="EQ1253" s="773"/>
      <c r="ER1253" s="773"/>
      <c r="ES1253" s="773"/>
      <c r="ET1253" s="773"/>
      <c r="EU1253" s="773"/>
      <c r="EV1253" s="773"/>
      <c r="EW1253" s="773"/>
      <c r="EX1253" s="773"/>
      <c r="EY1253" s="773"/>
      <c r="EZ1253" s="773"/>
      <c r="FA1253" s="773"/>
      <c r="FB1253" s="773"/>
      <c r="FC1253" s="773"/>
      <c r="FD1253" s="773"/>
      <c r="FE1253" s="773"/>
      <c r="FF1253" s="773"/>
      <c r="FG1253" s="773"/>
      <c r="FH1253" s="773"/>
      <c r="FI1253" s="773"/>
      <c r="FJ1253" s="773"/>
      <c r="FK1253" s="773"/>
      <c r="FL1253" s="773"/>
      <c r="FM1253" s="773"/>
      <c r="FN1253" s="773"/>
      <c r="FO1253" s="773"/>
      <c r="FP1253" s="773"/>
      <c r="FQ1253" s="773"/>
      <c r="FR1253" s="773"/>
      <c r="FS1253" s="773"/>
      <c r="FT1253" s="773"/>
      <c r="FU1253" s="773"/>
      <c r="FV1253" s="773"/>
      <c r="FW1253" s="773"/>
      <c r="FX1253" s="773"/>
      <c r="FY1253" s="773"/>
      <c r="FZ1253" s="773"/>
      <c r="GA1253" s="773"/>
      <c r="GB1253" s="773"/>
      <c r="GC1253" s="773"/>
      <c r="GD1253" s="773"/>
      <c r="GE1253" s="773"/>
      <c r="GF1253" s="773"/>
      <c r="GG1253" s="773"/>
      <c r="GH1253" s="773"/>
      <c r="GI1253" s="773"/>
      <c r="GJ1253" s="773"/>
      <c r="GK1253" s="773"/>
      <c r="GL1253" s="773"/>
      <c r="GM1253" s="773"/>
      <c r="GN1253" s="773"/>
      <c r="GO1253" s="773"/>
      <c r="GP1253" s="773"/>
      <c r="GQ1253" s="773"/>
      <c r="GR1253" s="773"/>
      <c r="GS1253" s="773"/>
      <c r="GT1253" s="773"/>
      <c r="GU1253" s="773"/>
      <c r="GV1253" s="773"/>
      <c r="GW1253" s="773"/>
      <c r="GX1253" s="773"/>
      <c r="GY1253" s="773"/>
      <c r="GZ1253" s="773"/>
    </row>
    <row r="1254" spans="2:208" s="11" customFormat="1">
      <c r="B1254" s="775"/>
      <c r="C1254" s="826"/>
      <c r="D1254" s="775"/>
      <c r="K1254" s="209"/>
      <c r="M1254" s="771"/>
      <c r="N1254" s="772"/>
      <c r="O1254" s="772"/>
      <c r="P1254" s="772"/>
      <c r="Q1254" s="772"/>
      <c r="R1254" s="772"/>
      <c r="S1254" s="772"/>
      <c r="T1254" s="772"/>
      <c r="AW1254" s="2510"/>
      <c r="BC1254" s="2510"/>
      <c r="BD1254" s="2510"/>
      <c r="BE1254" s="2510"/>
      <c r="BF1254" s="2510"/>
      <c r="BH1254" s="2510"/>
      <c r="DB1254" s="773"/>
      <c r="DC1254" s="773"/>
      <c r="DD1254" s="773"/>
      <c r="DE1254" s="773"/>
      <c r="DF1254" s="773"/>
      <c r="DG1254" s="773"/>
      <c r="DH1254" s="773"/>
      <c r="DI1254" s="773"/>
      <c r="DJ1254" s="773"/>
      <c r="DK1254" s="773"/>
      <c r="DL1254" s="773"/>
      <c r="DM1254" s="773"/>
      <c r="DN1254" s="773"/>
      <c r="DO1254" s="773"/>
      <c r="DP1254" s="773"/>
      <c r="DQ1254" s="773"/>
      <c r="DR1254" s="773"/>
      <c r="DS1254" s="773"/>
      <c r="DT1254" s="773"/>
      <c r="DU1254" s="773"/>
      <c r="DV1254" s="773"/>
      <c r="DW1254" s="773"/>
      <c r="DX1254" s="773"/>
      <c r="DY1254" s="773"/>
      <c r="DZ1254" s="773"/>
      <c r="EA1254" s="773"/>
      <c r="EB1254" s="773"/>
      <c r="EC1254" s="773"/>
      <c r="ED1254" s="773"/>
      <c r="EE1254" s="773"/>
      <c r="EF1254" s="773"/>
      <c r="EG1254" s="773"/>
      <c r="EH1254" s="773"/>
      <c r="EI1254" s="773"/>
      <c r="EJ1254" s="773"/>
      <c r="EK1254" s="773"/>
      <c r="EL1254" s="773"/>
      <c r="EM1254" s="773"/>
      <c r="EN1254" s="773"/>
      <c r="EO1254" s="773"/>
      <c r="EP1254" s="773"/>
      <c r="EQ1254" s="773"/>
      <c r="ER1254" s="773"/>
      <c r="ES1254" s="773"/>
      <c r="ET1254" s="773"/>
      <c r="EU1254" s="773"/>
      <c r="EV1254" s="773"/>
      <c r="EW1254" s="773"/>
      <c r="EX1254" s="773"/>
      <c r="EY1254" s="773"/>
      <c r="EZ1254" s="773"/>
      <c r="FA1254" s="773"/>
      <c r="FB1254" s="773"/>
      <c r="FC1254" s="773"/>
      <c r="FD1254" s="773"/>
      <c r="FE1254" s="773"/>
      <c r="FF1254" s="773"/>
      <c r="FG1254" s="773"/>
      <c r="FH1254" s="773"/>
      <c r="FI1254" s="773"/>
      <c r="FJ1254" s="773"/>
      <c r="FK1254" s="773"/>
      <c r="FL1254" s="773"/>
      <c r="FM1254" s="773"/>
      <c r="FN1254" s="773"/>
      <c r="FO1254" s="773"/>
      <c r="FP1254" s="773"/>
      <c r="FQ1254" s="773"/>
      <c r="FR1254" s="773"/>
      <c r="FS1254" s="773"/>
      <c r="FT1254" s="773"/>
      <c r="FU1254" s="773"/>
      <c r="FV1254" s="773"/>
      <c r="FW1254" s="773"/>
      <c r="FX1254" s="773"/>
      <c r="FY1254" s="773"/>
      <c r="FZ1254" s="773"/>
      <c r="GA1254" s="773"/>
      <c r="GB1254" s="773"/>
      <c r="GC1254" s="773"/>
      <c r="GD1254" s="773"/>
      <c r="GE1254" s="773"/>
      <c r="GF1254" s="773"/>
      <c r="GG1254" s="773"/>
      <c r="GH1254" s="773"/>
      <c r="GI1254" s="773"/>
      <c r="GJ1254" s="773"/>
      <c r="GK1254" s="773"/>
      <c r="GL1254" s="773"/>
      <c r="GM1254" s="773"/>
      <c r="GN1254" s="773"/>
      <c r="GO1254" s="773"/>
      <c r="GP1254" s="773"/>
      <c r="GQ1254" s="773"/>
      <c r="GR1254" s="773"/>
      <c r="GS1254" s="773"/>
      <c r="GT1254" s="773"/>
      <c r="GU1254" s="773"/>
      <c r="GV1254" s="773"/>
      <c r="GW1254" s="773"/>
      <c r="GX1254" s="773"/>
      <c r="GY1254" s="773"/>
      <c r="GZ1254" s="773"/>
    </row>
    <row r="1255" spans="2:208" s="11" customFormat="1">
      <c r="B1255" s="775"/>
      <c r="C1255" s="826"/>
      <c r="D1255" s="775"/>
      <c r="K1255" s="209"/>
      <c r="M1255" s="771"/>
      <c r="N1255" s="772"/>
      <c r="O1255" s="772"/>
      <c r="P1255" s="772"/>
      <c r="Q1255" s="772"/>
      <c r="R1255" s="772"/>
      <c r="S1255" s="772"/>
      <c r="T1255" s="772"/>
      <c r="AW1255" s="2510"/>
      <c r="BC1255" s="2510"/>
      <c r="BD1255" s="2510"/>
      <c r="BE1255" s="2510"/>
      <c r="BF1255" s="2510"/>
      <c r="BH1255" s="2510"/>
      <c r="DB1255" s="773"/>
      <c r="DC1255" s="773"/>
      <c r="DD1255" s="773"/>
      <c r="DE1255" s="773"/>
      <c r="DF1255" s="773"/>
      <c r="DG1255" s="773"/>
      <c r="DH1255" s="773"/>
      <c r="DI1255" s="773"/>
      <c r="DJ1255" s="773"/>
      <c r="DK1255" s="773"/>
      <c r="DL1255" s="773"/>
      <c r="DM1255" s="773"/>
      <c r="DN1255" s="773"/>
      <c r="DO1255" s="773"/>
      <c r="DP1255" s="773"/>
      <c r="DQ1255" s="773"/>
      <c r="DR1255" s="773"/>
      <c r="DS1255" s="773"/>
      <c r="DT1255" s="773"/>
      <c r="DU1255" s="773"/>
      <c r="DV1255" s="773"/>
      <c r="DW1255" s="773"/>
      <c r="DX1255" s="773"/>
      <c r="DY1255" s="773"/>
      <c r="DZ1255" s="773"/>
      <c r="EA1255" s="773"/>
      <c r="EB1255" s="773"/>
      <c r="EC1255" s="773"/>
      <c r="ED1255" s="773"/>
      <c r="EE1255" s="773"/>
      <c r="EF1255" s="773"/>
      <c r="EG1255" s="773"/>
      <c r="EH1255" s="773"/>
      <c r="EI1255" s="773"/>
      <c r="EJ1255" s="773"/>
      <c r="EK1255" s="773"/>
      <c r="EL1255" s="773"/>
      <c r="EM1255" s="773"/>
      <c r="EN1255" s="773"/>
      <c r="EO1255" s="773"/>
      <c r="EP1255" s="773"/>
      <c r="EQ1255" s="773"/>
      <c r="ER1255" s="773"/>
      <c r="ES1255" s="773"/>
      <c r="ET1255" s="773"/>
      <c r="EU1255" s="773"/>
      <c r="EV1255" s="773"/>
      <c r="EW1255" s="773"/>
      <c r="EX1255" s="773"/>
      <c r="EY1255" s="773"/>
      <c r="EZ1255" s="773"/>
      <c r="FA1255" s="773"/>
      <c r="FB1255" s="773"/>
      <c r="FC1255" s="773"/>
      <c r="FD1255" s="773"/>
      <c r="FE1255" s="773"/>
      <c r="FF1255" s="773"/>
      <c r="FG1255" s="773"/>
      <c r="FH1255" s="773"/>
      <c r="FI1255" s="773"/>
      <c r="FJ1255" s="773"/>
      <c r="FK1255" s="773"/>
      <c r="FL1255" s="773"/>
      <c r="FM1255" s="773"/>
      <c r="FN1255" s="773"/>
      <c r="FO1255" s="773"/>
      <c r="FP1255" s="773"/>
      <c r="FQ1255" s="773"/>
      <c r="FR1255" s="773"/>
      <c r="FS1255" s="773"/>
      <c r="FT1255" s="773"/>
      <c r="FU1255" s="773"/>
      <c r="FV1255" s="773"/>
      <c r="FW1255" s="773"/>
      <c r="FX1255" s="773"/>
      <c r="FY1255" s="773"/>
      <c r="FZ1255" s="773"/>
      <c r="GA1255" s="773"/>
      <c r="GB1255" s="773"/>
      <c r="GC1255" s="773"/>
      <c r="GD1255" s="773"/>
      <c r="GE1255" s="773"/>
      <c r="GF1255" s="773"/>
      <c r="GG1255" s="773"/>
      <c r="GH1255" s="773"/>
      <c r="GI1255" s="773"/>
      <c r="GJ1255" s="773"/>
      <c r="GK1255" s="773"/>
      <c r="GL1255" s="773"/>
      <c r="GM1255" s="773"/>
      <c r="GN1255" s="773"/>
      <c r="GO1255" s="773"/>
      <c r="GP1255" s="773"/>
      <c r="GQ1255" s="773"/>
      <c r="GR1255" s="773"/>
      <c r="GS1255" s="773"/>
      <c r="GT1255" s="773"/>
      <c r="GU1255" s="773"/>
      <c r="GV1255" s="773"/>
      <c r="GW1255" s="773"/>
      <c r="GX1255" s="773"/>
      <c r="GY1255" s="773"/>
      <c r="GZ1255" s="773"/>
    </row>
    <row r="1256" spans="2:208" s="11" customFormat="1">
      <c r="B1256" s="775"/>
      <c r="C1256" s="826"/>
      <c r="D1256" s="775"/>
      <c r="K1256" s="209"/>
      <c r="M1256" s="771"/>
      <c r="N1256" s="772"/>
      <c r="O1256" s="772"/>
      <c r="P1256" s="772"/>
      <c r="Q1256" s="772"/>
      <c r="R1256" s="772"/>
      <c r="S1256" s="772"/>
      <c r="T1256" s="772"/>
      <c r="AW1256" s="2510"/>
      <c r="BC1256" s="2510"/>
      <c r="BD1256" s="2510"/>
      <c r="BE1256" s="2510"/>
      <c r="BF1256" s="2510"/>
      <c r="BH1256" s="2510"/>
      <c r="DB1256" s="773"/>
      <c r="DC1256" s="773"/>
      <c r="DD1256" s="773"/>
      <c r="DE1256" s="773"/>
      <c r="DF1256" s="773"/>
      <c r="DG1256" s="773"/>
      <c r="DH1256" s="773"/>
      <c r="DI1256" s="773"/>
      <c r="DJ1256" s="773"/>
      <c r="DK1256" s="773"/>
      <c r="DL1256" s="773"/>
      <c r="DM1256" s="773"/>
      <c r="DN1256" s="773"/>
      <c r="DO1256" s="773"/>
      <c r="DP1256" s="773"/>
      <c r="DQ1256" s="773"/>
      <c r="DR1256" s="773"/>
      <c r="DS1256" s="773"/>
      <c r="DT1256" s="773"/>
      <c r="DU1256" s="773"/>
      <c r="DV1256" s="773"/>
      <c r="DW1256" s="773"/>
      <c r="DX1256" s="773"/>
      <c r="DY1256" s="773"/>
      <c r="DZ1256" s="773"/>
      <c r="EA1256" s="773"/>
      <c r="EB1256" s="773"/>
      <c r="EC1256" s="773"/>
      <c r="ED1256" s="773"/>
      <c r="EE1256" s="773"/>
      <c r="EF1256" s="773"/>
      <c r="EG1256" s="773"/>
      <c r="EH1256" s="773"/>
      <c r="EI1256" s="773"/>
      <c r="EJ1256" s="773"/>
      <c r="EK1256" s="773"/>
      <c r="EL1256" s="773"/>
      <c r="EM1256" s="773"/>
      <c r="EN1256" s="773"/>
      <c r="EO1256" s="773"/>
      <c r="EP1256" s="773"/>
      <c r="EQ1256" s="773"/>
      <c r="ER1256" s="773"/>
      <c r="ES1256" s="773"/>
      <c r="ET1256" s="773"/>
      <c r="EU1256" s="773"/>
      <c r="EV1256" s="773"/>
      <c r="EW1256" s="773"/>
      <c r="EX1256" s="773"/>
      <c r="EY1256" s="773"/>
      <c r="EZ1256" s="773"/>
      <c r="FA1256" s="773"/>
      <c r="FB1256" s="773"/>
      <c r="FC1256" s="773"/>
      <c r="FD1256" s="773"/>
      <c r="FE1256" s="773"/>
      <c r="FF1256" s="773"/>
      <c r="FG1256" s="773"/>
      <c r="FH1256" s="773"/>
      <c r="FI1256" s="773"/>
      <c r="FJ1256" s="773"/>
      <c r="FK1256" s="773"/>
      <c r="FL1256" s="773"/>
      <c r="FM1256" s="773"/>
      <c r="FN1256" s="773"/>
      <c r="FO1256" s="773"/>
      <c r="FP1256" s="773"/>
      <c r="FQ1256" s="773"/>
      <c r="FR1256" s="773"/>
      <c r="FS1256" s="773"/>
      <c r="FT1256" s="773"/>
      <c r="FU1256" s="773"/>
      <c r="FV1256" s="773"/>
      <c r="FW1256" s="773"/>
      <c r="FX1256" s="773"/>
      <c r="FY1256" s="773"/>
      <c r="FZ1256" s="773"/>
      <c r="GA1256" s="773"/>
      <c r="GB1256" s="773"/>
      <c r="GC1256" s="773"/>
      <c r="GD1256" s="773"/>
      <c r="GE1256" s="773"/>
      <c r="GF1256" s="773"/>
      <c r="GG1256" s="773"/>
      <c r="GH1256" s="773"/>
      <c r="GI1256" s="773"/>
      <c r="GJ1256" s="773"/>
      <c r="GK1256" s="773"/>
      <c r="GL1256" s="773"/>
      <c r="GM1256" s="773"/>
      <c r="GN1256" s="773"/>
      <c r="GO1256" s="773"/>
      <c r="GP1256" s="773"/>
      <c r="GQ1256" s="773"/>
      <c r="GR1256" s="773"/>
      <c r="GS1256" s="773"/>
      <c r="GT1256" s="773"/>
      <c r="GU1256" s="773"/>
      <c r="GV1256" s="773"/>
      <c r="GW1256" s="773"/>
      <c r="GX1256" s="773"/>
      <c r="GY1256" s="773"/>
      <c r="GZ1256" s="773"/>
    </row>
    <row r="1257" spans="2:208" s="11" customFormat="1">
      <c r="B1257" s="775"/>
      <c r="C1257" s="826"/>
      <c r="D1257" s="775"/>
      <c r="K1257" s="209"/>
      <c r="M1257" s="771"/>
      <c r="N1257" s="772"/>
      <c r="O1257" s="772"/>
      <c r="P1257" s="772"/>
      <c r="Q1257" s="772"/>
      <c r="R1257" s="772"/>
      <c r="S1257" s="772"/>
      <c r="T1257" s="772"/>
      <c r="AW1257" s="2510"/>
      <c r="BC1257" s="2510"/>
      <c r="BD1257" s="2510"/>
      <c r="BE1257" s="2510"/>
      <c r="BF1257" s="2510"/>
      <c r="BH1257" s="2510"/>
      <c r="DB1257" s="773"/>
      <c r="DC1257" s="773"/>
      <c r="DD1257" s="773"/>
      <c r="DE1257" s="773"/>
      <c r="DF1257" s="773"/>
      <c r="DG1257" s="773"/>
      <c r="DH1257" s="773"/>
      <c r="DI1257" s="773"/>
      <c r="DJ1257" s="773"/>
      <c r="DK1257" s="773"/>
      <c r="DL1257" s="773"/>
      <c r="DM1257" s="773"/>
      <c r="DN1257" s="773"/>
      <c r="DO1257" s="773"/>
      <c r="DP1257" s="773"/>
      <c r="DQ1257" s="773"/>
      <c r="DR1257" s="773"/>
      <c r="DS1257" s="773"/>
      <c r="DT1257" s="773"/>
      <c r="DU1257" s="773"/>
      <c r="DV1257" s="773"/>
      <c r="DW1257" s="773"/>
      <c r="DX1257" s="773"/>
      <c r="DY1257" s="773"/>
      <c r="DZ1257" s="773"/>
      <c r="EA1257" s="773"/>
      <c r="EB1257" s="773"/>
      <c r="EC1257" s="773"/>
      <c r="ED1257" s="773"/>
      <c r="EE1257" s="773"/>
      <c r="EF1257" s="773"/>
      <c r="EG1257" s="773"/>
      <c r="EH1257" s="773"/>
      <c r="EI1257" s="773"/>
      <c r="EJ1257" s="773"/>
      <c r="EK1257" s="773"/>
      <c r="EL1257" s="773"/>
      <c r="EM1257" s="773"/>
      <c r="EN1257" s="773"/>
      <c r="EO1257" s="773"/>
      <c r="EP1257" s="773"/>
      <c r="EQ1257" s="773"/>
      <c r="ER1257" s="773"/>
      <c r="ES1257" s="773"/>
      <c r="ET1257" s="773"/>
      <c r="EU1257" s="773"/>
      <c r="EV1257" s="773"/>
      <c r="EW1257" s="773"/>
      <c r="EX1257" s="773"/>
      <c r="EY1257" s="773"/>
      <c r="EZ1257" s="773"/>
      <c r="FA1257" s="773"/>
      <c r="FB1257" s="773"/>
      <c r="FC1257" s="773"/>
      <c r="FD1257" s="773"/>
      <c r="FE1257" s="773"/>
      <c r="FF1257" s="773"/>
      <c r="FG1257" s="773"/>
      <c r="FH1257" s="773"/>
      <c r="FI1257" s="773"/>
      <c r="FJ1257" s="773"/>
      <c r="FK1257" s="773"/>
      <c r="FL1257" s="773"/>
      <c r="FM1257" s="773"/>
      <c r="FN1257" s="773"/>
      <c r="FO1257" s="773"/>
      <c r="FP1257" s="773"/>
      <c r="FQ1257" s="773"/>
      <c r="FR1257" s="773"/>
      <c r="FS1257" s="773"/>
      <c r="FT1257" s="773"/>
      <c r="FU1257" s="773"/>
      <c r="FV1257" s="773"/>
      <c r="FW1257" s="773"/>
      <c r="FX1257" s="773"/>
      <c r="FY1257" s="773"/>
      <c r="FZ1257" s="773"/>
      <c r="GA1257" s="773"/>
      <c r="GB1257" s="773"/>
      <c r="GC1257" s="773"/>
      <c r="GD1257" s="773"/>
      <c r="GE1257" s="773"/>
      <c r="GF1257" s="773"/>
      <c r="GG1257" s="773"/>
      <c r="GH1257" s="773"/>
      <c r="GI1257" s="773"/>
      <c r="GJ1257" s="773"/>
      <c r="GK1257" s="773"/>
      <c r="GL1257" s="773"/>
      <c r="GM1257" s="773"/>
      <c r="GN1257" s="773"/>
      <c r="GO1257" s="773"/>
      <c r="GP1257" s="773"/>
      <c r="GQ1257" s="773"/>
      <c r="GR1257" s="773"/>
      <c r="GS1257" s="773"/>
      <c r="GT1257" s="773"/>
      <c r="GU1257" s="773"/>
      <c r="GV1257" s="773"/>
      <c r="GW1257" s="773"/>
      <c r="GX1257" s="773"/>
      <c r="GY1257" s="773"/>
      <c r="GZ1257" s="773"/>
    </row>
    <row r="1258" spans="2:208" s="11" customFormat="1">
      <c r="B1258" s="775"/>
      <c r="C1258" s="826"/>
      <c r="D1258" s="775"/>
      <c r="K1258" s="209"/>
      <c r="M1258" s="771"/>
      <c r="N1258" s="772"/>
      <c r="O1258" s="772"/>
      <c r="P1258" s="772"/>
      <c r="Q1258" s="772"/>
      <c r="R1258" s="772"/>
      <c r="S1258" s="772"/>
      <c r="T1258" s="772"/>
      <c r="AW1258" s="2510"/>
      <c r="BC1258" s="2510"/>
      <c r="BD1258" s="2510"/>
      <c r="BE1258" s="2510"/>
      <c r="BF1258" s="2510"/>
      <c r="BH1258" s="2510"/>
      <c r="DB1258" s="773"/>
      <c r="DC1258" s="773"/>
      <c r="DD1258" s="773"/>
      <c r="DE1258" s="773"/>
      <c r="DF1258" s="773"/>
      <c r="DG1258" s="773"/>
      <c r="DH1258" s="773"/>
      <c r="DI1258" s="773"/>
      <c r="DJ1258" s="773"/>
      <c r="DK1258" s="773"/>
      <c r="DL1258" s="773"/>
      <c r="DM1258" s="773"/>
      <c r="DN1258" s="773"/>
      <c r="DO1258" s="773"/>
      <c r="DP1258" s="773"/>
      <c r="DQ1258" s="773"/>
      <c r="DR1258" s="773"/>
      <c r="DS1258" s="773"/>
      <c r="DT1258" s="773"/>
      <c r="DU1258" s="773"/>
      <c r="DV1258" s="773"/>
      <c r="DW1258" s="773"/>
      <c r="DX1258" s="773"/>
      <c r="DY1258" s="773"/>
      <c r="DZ1258" s="773"/>
      <c r="EA1258" s="773"/>
      <c r="EB1258" s="773"/>
      <c r="EC1258" s="773"/>
      <c r="ED1258" s="773"/>
      <c r="EE1258" s="773"/>
      <c r="EF1258" s="773"/>
      <c r="EG1258" s="773"/>
      <c r="EH1258" s="773"/>
      <c r="EI1258" s="773"/>
      <c r="EJ1258" s="773"/>
      <c r="EK1258" s="773"/>
      <c r="EL1258" s="773"/>
      <c r="EM1258" s="773"/>
      <c r="EN1258" s="773"/>
      <c r="EO1258" s="773"/>
      <c r="EP1258" s="773"/>
      <c r="EQ1258" s="773"/>
      <c r="ER1258" s="773"/>
      <c r="ES1258" s="773"/>
      <c r="ET1258" s="773"/>
      <c r="EU1258" s="773"/>
      <c r="EV1258" s="773"/>
      <c r="EW1258" s="773"/>
      <c r="EX1258" s="773"/>
      <c r="EY1258" s="773"/>
      <c r="EZ1258" s="773"/>
      <c r="FA1258" s="773"/>
      <c r="FB1258" s="773"/>
      <c r="FC1258" s="773"/>
      <c r="FD1258" s="773"/>
      <c r="FE1258" s="773"/>
      <c r="FF1258" s="773"/>
      <c r="FG1258" s="773"/>
      <c r="FH1258" s="773"/>
      <c r="FI1258" s="773"/>
      <c r="FJ1258" s="773"/>
      <c r="FK1258" s="773"/>
      <c r="FL1258" s="773"/>
      <c r="FM1258" s="773"/>
      <c r="FN1258" s="773"/>
      <c r="FO1258" s="773"/>
      <c r="FP1258" s="773"/>
      <c r="FQ1258" s="773"/>
      <c r="FR1258" s="773"/>
      <c r="FS1258" s="773"/>
      <c r="FT1258" s="773"/>
      <c r="FU1258" s="773"/>
      <c r="FV1258" s="773"/>
      <c r="FW1258" s="773"/>
      <c r="FX1258" s="773"/>
      <c r="FY1258" s="773"/>
      <c r="FZ1258" s="773"/>
      <c r="GA1258" s="773"/>
      <c r="GB1258" s="773"/>
      <c r="GC1258" s="773"/>
      <c r="GD1258" s="773"/>
      <c r="GE1258" s="773"/>
      <c r="GF1258" s="773"/>
      <c r="GG1258" s="773"/>
      <c r="GH1258" s="773"/>
      <c r="GI1258" s="773"/>
      <c r="GJ1258" s="773"/>
      <c r="GK1258" s="773"/>
      <c r="GL1258" s="773"/>
      <c r="GM1258" s="773"/>
      <c r="GN1258" s="773"/>
      <c r="GO1258" s="773"/>
      <c r="GP1258" s="773"/>
      <c r="GQ1258" s="773"/>
      <c r="GR1258" s="773"/>
      <c r="GS1258" s="773"/>
      <c r="GT1258" s="773"/>
      <c r="GU1258" s="773"/>
      <c r="GV1258" s="773"/>
      <c r="GW1258" s="773"/>
      <c r="GX1258" s="773"/>
      <c r="GY1258" s="773"/>
      <c r="GZ1258" s="773"/>
    </row>
    <row r="1259" spans="2:208" s="11" customFormat="1">
      <c r="B1259" s="775"/>
      <c r="C1259" s="826"/>
      <c r="D1259" s="775"/>
      <c r="K1259" s="209"/>
      <c r="M1259" s="771"/>
      <c r="N1259" s="772"/>
      <c r="O1259" s="772"/>
      <c r="P1259" s="772"/>
      <c r="Q1259" s="772"/>
      <c r="R1259" s="772"/>
      <c r="S1259" s="772"/>
      <c r="T1259" s="772"/>
      <c r="AW1259" s="2510"/>
      <c r="BC1259" s="2510"/>
      <c r="BD1259" s="2510"/>
      <c r="BE1259" s="2510"/>
      <c r="BF1259" s="2510"/>
      <c r="BH1259" s="2510"/>
      <c r="DB1259" s="773"/>
      <c r="DC1259" s="773"/>
      <c r="DD1259" s="773"/>
      <c r="DE1259" s="773"/>
      <c r="DF1259" s="773"/>
      <c r="DG1259" s="773"/>
      <c r="DH1259" s="773"/>
      <c r="DI1259" s="773"/>
      <c r="DJ1259" s="773"/>
      <c r="DK1259" s="773"/>
      <c r="DL1259" s="773"/>
      <c r="DM1259" s="773"/>
      <c r="DN1259" s="773"/>
      <c r="DO1259" s="773"/>
      <c r="DP1259" s="773"/>
      <c r="DQ1259" s="773"/>
      <c r="DR1259" s="773"/>
      <c r="DS1259" s="773"/>
      <c r="DT1259" s="773"/>
      <c r="DU1259" s="773"/>
      <c r="DV1259" s="773"/>
      <c r="DW1259" s="773"/>
      <c r="DX1259" s="773"/>
      <c r="DY1259" s="773"/>
      <c r="DZ1259" s="773"/>
      <c r="EA1259" s="773"/>
      <c r="EB1259" s="773"/>
      <c r="EC1259" s="773"/>
      <c r="ED1259" s="773"/>
      <c r="EE1259" s="773"/>
      <c r="EF1259" s="773"/>
      <c r="EG1259" s="773"/>
      <c r="EH1259" s="773"/>
      <c r="EI1259" s="773"/>
      <c r="EJ1259" s="773"/>
      <c r="EK1259" s="773"/>
      <c r="EL1259" s="773"/>
      <c r="EM1259" s="773"/>
      <c r="EN1259" s="773"/>
      <c r="EO1259" s="773"/>
      <c r="EP1259" s="773"/>
      <c r="EQ1259" s="773"/>
      <c r="ER1259" s="773"/>
      <c r="ES1259" s="773"/>
      <c r="ET1259" s="773"/>
      <c r="EU1259" s="773"/>
      <c r="EV1259" s="773"/>
      <c r="EW1259" s="773"/>
      <c r="EX1259" s="773"/>
      <c r="EY1259" s="773"/>
      <c r="EZ1259" s="773"/>
      <c r="FA1259" s="773"/>
      <c r="FB1259" s="773"/>
      <c r="FC1259" s="773"/>
      <c r="FD1259" s="773"/>
      <c r="FE1259" s="773"/>
      <c r="FF1259" s="773"/>
      <c r="FG1259" s="773"/>
      <c r="FH1259" s="773"/>
      <c r="FI1259" s="773"/>
      <c r="FJ1259" s="773"/>
      <c r="FK1259" s="773"/>
      <c r="FL1259" s="773"/>
      <c r="FM1259" s="773"/>
      <c r="FN1259" s="773"/>
      <c r="FO1259" s="773"/>
      <c r="FP1259" s="773"/>
      <c r="FQ1259" s="773"/>
      <c r="FR1259" s="773"/>
      <c r="FS1259" s="773"/>
      <c r="FT1259" s="773"/>
      <c r="FU1259" s="773"/>
      <c r="FV1259" s="773"/>
      <c r="FW1259" s="773"/>
      <c r="FX1259" s="773"/>
      <c r="FY1259" s="773"/>
      <c r="FZ1259" s="773"/>
      <c r="GA1259" s="773"/>
      <c r="GB1259" s="773"/>
      <c r="GC1259" s="773"/>
      <c r="GD1259" s="773"/>
      <c r="GE1259" s="773"/>
      <c r="GF1259" s="773"/>
      <c r="GG1259" s="773"/>
      <c r="GH1259" s="773"/>
      <c r="GI1259" s="773"/>
      <c r="GJ1259" s="773"/>
      <c r="GK1259" s="773"/>
      <c r="GL1259" s="773"/>
      <c r="GM1259" s="773"/>
      <c r="GN1259" s="773"/>
      <c r="GO1259" s="773"/>
      <c r="GP1259" s="773"/>
      <c r="GQ1259" s="773"/>
      <c r="GR1259" s="773"/>
      <c r="GS1259" s="773"/>
      <c r="GT1259" s="773"/>
      <c r="GU1259" s="773"/>
      <c r="GV1259" s="773"/>
      <c r="GW1259" s="773"/>
      <c r="GX1259" s="773"/>
      <c r="GY1259" s="773"/>
      <c r="GZ1259" s="773"/>
    </row>
    <row r="1260" spans="2:208" s="11" customFormat="1">
      <c r="B1260" s="775"/>
      <c r="C1260" s="826"/>
      <c r="D1260" s="775"/>
      <c r="K1260" s="209"/>
      <c r="M1260" s="771"/>
      <c r="N1260" s="772"/>
      <c r="O1260" s="772"/>
      <c r="P1260" s="772"/>
      <c r="Q1260" s="772"/>
      <c r="R1260" s="772"/>
      <c r="S1260" s="772"/>
      <c r="T1260" s="772"/>
      <c r="AW1260" s="2510"/>
      <c r="BC1260" s="2510"/>
      <c r="BD1260" s="2510"/>
      <c r="BE1260" s="2510"/>
      <c r="BF1260" s="2510"/>
      <c r="BH1260" s="2510"/>
      <c r="DB1260" s="773"/>
      <c r="DC1260" s="773"/>
      <c r="DD1260" s="773"/>
      <c r="DE1260" s="773"/>
      <c r="DF1260" s="773"/>
      <c r="DG1260" s="773"/>
      <c r="DH1260" s="773"/>
      <c r="DI1260" s="773"/>
      <c r="DJ1260" s="773"/>
      <c r="DK1260" s="773"/>
      <c r="DL1260" s="773"/>
      <c r="DM1260" s="773"/>
      <c r="DN1260" s="773"/>
      <c r="DO1260" s="773"/>
      <c r="DP1260" s="773"/>
      <c r="DQ1260" s="773"/>
      <c r="DR1260" s="773"/>
      <c r="DS1260" s="773"/>
      <c r="DT1260" s="773"/>
      <c r="DU1260" s="773"/>
      <c r="DV1260" s="773"/>
      <c r="DW1260" s="773"/>
      <c r="DX1260" s="773"/>
      <c r="DY1260" s="773"/>
      <c r="DZ1260" s="773"/>
      <c r="EA1260" s="773"/>
      <c r="EB1260" s="773"/>
      <c r="EC1260" s="773"/>
      <c r="ED1260" s="773"/>
      <c r="EE1260" s="773"/>
      <c r="EF1260" s="773"/>
      <c r="EG1260" s="773"/>
      <c r="EH1260" s="773"/>
      <c r="EI1260" s="773"/>
      <c r="EJ1260" s="773"/>
      <c r="EK1260" s="773"/>
      <c r="EL1260" s="773"/>
      <c r="EM1260" s="773"/>
      <c r="EN1260" s="773"/>
      <c r="EO1260" s="773"/>
      <c r="EP1260" s="773"/>
      <c r="EQ1260" s="773"/>
      <c r="ER1260" s="773"/>
      <c r="ES1260" s="773"/>
      <c r="ET1260" s="773"/>
      <c r="EU1260" s="773"/>
      <c r="EV1260" s="773"/>
      <c r="EW1260" s="773"/>
      <c r="EX1260" s="773"/>
      <c r="EY1260" s="773"/>
      <c r="EZ1260" s="773"/>
      <c r="FA1260" s="773"/>
      <c r="FB1260" s="773"/>
      <c r="FC1260" s="773"/>
      <c r="FD1260" s="773"/>
      <c r="FE1260" s="773"/>
      <c r="FF1260" s="773"/>
      <c r="FG1260" s="773"/>
      <c r="FH1260" s="773"/>
      <c r="FI1260" s="773"/>
      <c r="FJ1260" s="773"/>
      <c r="FK1260" s="773"/>
      <c r="FL1260" s="773"/>
      <c r="FM1260" s="773"/>
      <c r="FN1260" s="773"/>
      <c r="FO1260" s="773"/>
      <c r="FP1260" s="773"/>
      <c r="FQ1260" s="773"/>
      <c r="FR1260" s="773"/>
      <c r="FS1260" s="773"/>
      <c r="FT1260" s="773"/>
      <c r="FU1260" s="773"/>
      <c r="FV1260" s="773"/>
      <c r="FW1260" s="773"/>
      <c r="FX1260" s="773"/>
      <c r="FY1260" s="773"/>
      <c r="FZ1260" s="773"/>
      <c r="GA1260" s="773"/>
      <c r="GB1260" s="773"/>
      <c r="GC1260" s="773"/>
      <c r="GD1260" s="773"/>
      <c r="GE1260" s="773"/>
      <c r="GF1260" s="773"/>
      <c r="GG1260" s="773"/>
      <c r="GH1260" s="773"/>
      <c r="GI1260" s="773"/>
      <c r="GJ1260" s="773"/>
      <c r="GK1260" s="773"/>
      <c r="GL1260" s="773"/>
      <c r="GM1260" s="773"/>
      <c r="GN1260" s="773"/>
      <c r="GO1260" s="773"/>
      <c r="GP1260" s="773"/>
      <c r="GQ1260" s="773"/>
      <c r="GR1260" s="773"/>
      <c r="GS1260" s="773"/>
      <c r="GT1260" s="773"/>
      <c r="GU1260" s="773"/>
      <c r="GV1260" s="773"/>
      <c r="GW1260" s="773"/>
      <c r="GX1260" s="773"/>
      <c r="GY1260" s="773"/>
      <c r="GZ1260" s="773"/>
    </row>
    <row r="1261" spans="2:208" s="11" customFormat="1">
      <c r="B1261" s="775"/>
      <c r="C1261" s="826"/>
      <c r="D1261" s="775"/>
      <c r="K1261" s="209"/>
      <c r="M1261" s="771"/>
      <c r="N1261" s="772"/>
      <c r="O1261" s="772"/>
      <c r="P1261" s="772"/>
      <c r="Q1261" s="772"/>
      <c r="R1261" s="772"/>
      <c r="S1261" s="772"/>
      <c r="T1261" s="772"/>
      <c r="AW1261" s="2510"/>
      <c r="BC1261" s="2510"/>
      <c r="BD1261" s="2510"/>
      <c r="BE1261" s="2510"/>
      <c r="BF1261" s="2510"/>
      <c r="BH1261" s="2510"/>
      <c r="DB1261" s="773"/>
      <c r="DC1261" s="773"/>
      <c r="DD1261" s="773"/>
      <c r="DE1261" s="773"/>
      <c r="DF1261" s="773"/>
      <c r="DG1261" s="773"/>
      <c r="DH1261" s="773"/>
      <c r="DI1261" s="773"/>
      <c r="DJ1261" s="773"/>
      <c r="DK1261" s="773"/>
      <c r="DL1261" s="773"/>
      <c r="DM1261" s="773"/>
      <c r="DN1261" s="773"/>
      <c r="DO1261" s="773"/>
      <c r="DP1261" s="773"/>
      <c r="DQ1261" s="773"/>
      <c r="DR1261" s="773"/>
      <c r="DS1261" s="773"/>
      <c r="DT1261" s="773"/>
      <c r="DU1261" s="773"/>
      <c r="DV1261" s="773"/>
      <c r="DW1261" s="773"/>
      <c r="DX1261" s="773"/>
      <c r="DY1261" s="773"/>
      <c r="DZ1261" s="773"/>
      <c r="EA1261" s="773"/>
      <c r="EB1261" s="773"/>
      <c r="EC1261" s="773"/>
      <c r="ED1261" s="773"/>
      <c r="EE1261" s="773"/>
      <c r="EF1261" s="773"/>
      <c r="EG1261" s="773"/>
      <c r="EH1261" s="773"/>
      <c r="EI1261" s="773"/>
      <c r="EJ1261" s="773"/>
      <c r="EK1261" s="773"/>
      <c r="EL1261" s="773"/>
      <c r="EM1261" s="773"/>
      <c r="EN1261" s="773"/>
      <c r="EO1261" s="773"/>
      <c r="EP1261" s="773"/>
      <c r="EQ1261" s="773"/>
      <c r="ER1261" s="773"/>
      <c r="ES1261" s="773"/>
      <c r="ET1261" s="773"/>
      <c r="EU1261" s="773"/>
      <c r="EV1261" s="773"/>
      <c r="EW1261" s="773"/>
      <c r="EX1261" s="773"/>
      <c r="EY1261" s="773"/>
      <c r="EZ1261" s="773"/>
      <c r="FA1261" s="773"/>
      <c r="FB1261" s="773"/>
      <c r="FC1261" s="773"/>
      <c r="FD1261" s="773"/>
      <c r="FE1261" s="773"/>
      <c r="FF1261" s="773"/>
      <c r="FG1261" s="773"/>
      <c r="FH1261" s="773"/>
      <c r="FI1261" s="773"/>
      <c r="FJ1261" s="773"/>
      <c r="FK1261" s="773"/>
      <c r="FL1261" s="773"/>
      <c r="FM1261" s="773"/>
      <c r="FN1261" s="773"/>
      <c r="FO1261" s="773"/>
      <c r="FP1261" s="773"/>
      <c r="FQ1261" s="773"/>
      <c r="FR1261" s="773"/>
      <c r="FS1261" s="773"/>
      <c r="FT1261" s="773"/>
      <c r="FU1261" s="773"/>
      <c r="FV1261" s="773"/>
      <c r="FW1261" s="773"/>
      <c r="FX1261" s="773"/>
      <c r="FY1261" s="773"/>
      <c r="FZ1261" s="773"/>
      <c r="GA1261" s="773"/>
      <c r="GB1261" s="773"/>
      <c r="GC1261" s="773"/>
      <c r="GD1261" s="773"/>
      <c r="GE1261" s="773"/>
      <c r="GF1261" s="773"/>
      <c r="GG1261" s="773"/>
      <c r="GH1261" s="773"/>
      <c r="GI1261" s="773"/>
      <c r="GJ1261" s="773"/>
      <c r="GK1261" s="773"/>
      <c r="GL1261" s="773"/>
      <c r="GM1261" s="773"/>
      <c r="GN1261" s="773"/>
      <c r="GO1261" s="773"/>
      <c r="GP1261" s="773"/>
      <c r="GQ1261" s="773"/>
      <c r="GR1261" s="773"/>
      <c r="GS1261" s="773"/>
      <c r="GT1261" s="773"/>
      <c r="GU1261" s="773"/>
      <c r="GV1261" s="773"/>
      <c r="GW1261" s="773"/>
      <c r="GX1261" s="773"/>
      <c r="GY1261" s="773"/>
      <c r="GZ1261" s="773"/>
    </row>
    <row r="1262" spans="2:208" s="11" customFormat="1">
      <c r="B1262" s="775"/>
      <c r="C1262" s="826"/>
      <c r="D1262" s="775"/>
      <c r="K1262" s="209"/>
      <c r="M1262" s="771"/>
      <c r="N1262" s="772"/>
      <c r="O1262" s="772"/>
      <c r="P1262" s="772"/>
      <c r="Q1262" s="772"/>
      <c r="R1262" s="772"/>
      <c r="S1262" s="772"/>
      <c r="T1262" s="772"/>
      <c r="AW1262" s="2510"/>
      <c r="BC1262" s="2510"/>
      <c r="BD1262" s="2510"/>
      <c r="BE1262" s="2510"/>
      <c r="BF1262" s="2510"/>
      <c r="BH1262" s="2510"/>
      <c r="DB1262" s="773"/>
      <c r="DC1262" s="773"/>
      <c r="DD1262" s="773"/>
      <c r="DE1262" s="773"/>
      <c r="DF1262" s="773"/>
      <c r="DG1262" s="773"/>
      <c r="DH1262" s="773"/>
      <c r="DI1262" s="773"/>
      <c r="DJ1262" s="773"/>
      <c r="DK1262" s="773"/>
      <c r="DL1262" s="773"/>
      <c r="DM1262" s="773"/>
      <c r="DN1262" s="773"/>
      <c r="DO1262" s="773"/>
      <c r="DP1262" s="773"/>
      <c r="DQ1262" s="773"/>
      <c r="DR1262" s="773"/>
      <c r="DS1262" s="773"/>
      <c r="DT1262" s="773"/>
      <c r="DU1262" s="773"/>
      <c r="DV1262" s="773"/>
      <c r="DW1262" s="773"/>
      <c r="DX1262" s="773"/>
      <c r="DY1262" s="773"/>
      <c r="DZ1262" s="773"/>
      <c r="EA1262" s="773"/>
      <c r="EB1262" s="773"/>
      <c r="EC1262" s="773"/>
      <c r="ED1262" s="773"/>
      <c r="EE1262" s="773"/>
      <c r="EF1262" s="773"/>
      <c r="EG1262" s="773"/>
      <c r="EH1262" s="773"/>
      <c r="EI1262" s="773"/>
      <c r="EJ1262" s="773"/>
      <c r="EK1262" s="773"/>
      <c r="EL1262" s="773"/>
      <c r="EM1262" s="773"/>
      <c r="EN1262" s="773"/>
      <c r="EO1262" s="773"/>
      <c r="EP1262" s="773"/>
      <c r="EQ1262" s="773"/>
      <c r="ER1262" s="773"/>
      <c r="ES1262" s="773"/>
      <c r="ET1262" s="773"/>
      <c r="EU1262" s="773"/>
      <c r="EV1262" s="773"/>
      <c r="EW1262" s="773"/>
      <c r="EX1262" s="773"/>
      <c r="EY1262" s="773"/>
      <c r="EZ1262" s="773"/>
      <c r="FA1262" s="773"/>
      <c r="FB1262" s="773"/>
      <c r="FC1262" s="773"/>
      <c r="FD1262" s="773"/>
      <c r="FE1262" s="773"/>
      <c r="FF1262" s="773"/>
      <c r="FG1262" s="773"/>
      <c r="FH1262" s="773"/>
      <c r="FI1262" s="773"/>
      <c r="FJ1262" s="773"/>
      <c r="FK1262" s="773"/>
      <c r="FL1262" s="773"/>
      <c r="FM1262" s="773"/>
      <c r="FN1262" s="773"/>
      <c r="FO1262" s="773"/>
      <c r="FP1262" s="773"/>
      <c r="FQ1262" s="773"/>
      <c r="FR1262" s="773"/>
      <c r="FS1262" s="773"/>
      <c r="FT1262" s="773"/>
      <c r="FU1262" s="773"/>
      <c r="FV1262" s="773"/>
      <c r="FW1262" s="773"/>
      <c r="FX1262" s="773"/>
      <c r="FY1262" s="773"/>
      <c r="FZ1262" s="773"/>
      <c r="GA1262" s="773"/>
      <c r="GB1262" s="773"/>
      <c r="GC1262" s="773"/>
      <c r="GD1262" s="773"/>
      <c r="GE1262" s="773"/>
      <c r="GF1262" s="773"/>
      <c r="GG1262" s="773"/>
      <c r="GH1262" s="773"/>
      <c r="GI1262" s="773"/>
      <c r="GJ1262" s="773"/>
      <c r="GK1262" s="773"/>
      <c r="GL1262" s="773"/>
      <c r="GM1262" s="773"/>
      <c r="GN1262" s="773"/>
      <c r="GO1262" s="773"/>
      <c r="GP1262" s="773"/>
      <c r="GQ1262" s="773"/>
      <c r="GR1262" s="773"/>
      <c r="GS1262" s="773"/>
      <c r="GT1262" s="773"/>
      <c r="GU1262" s="773"/>
      <c r="GV1262" s="773"/>
      <c r="GW1262" s="773"/>
      <c r="GX1262" s="773"/>
      <c r="GY1262" s="773"/>
      <c r="GZ1262" s="773"/>
    </row>
    <row r="1263" spans="2:208" s="11" customFormat="1">
      <c r="B1263" s="775"/>
      <c r="C1263" s="826"/>
      <c r="D1263" s="775"/>
      <c r="K1263" s="209"/>
      <c r="M1263" s="771"/>
      <c r="N1263" s="772"/>
      <c r="O1263" s="772"/>
      <c r="P1263" s="772"/>
      <c r="Q1263" s="772"/>
      <c r="R1263" s="772"/>
      <c r="S1263" s="772"/>
      <c r="T1263" s="772"/>
      <c r="AW1263" s="2510"/>
      <c r="BC1263" s="2510"/>
      <c r="BD1263" s="2510"/>
      <c r="BE1263" s="2510"/>
      <c r="BF1263" s="2510"/>
      <c r="BH1263" s="2510"/>
      <c r="DB1263" s="773"/>
      <c r="DC1263" s="773"/>
      <c r="DD1263" s="773"/>
      <c r="DE1263" s="773"/>
      <c r="DF1263" s="773"/>
      <c r="DG1263" s="773"/>
      <c r="DH1263" s="773"/>
      <c r="DI1263" s="773"/>
      <c r="DJ1263" s="773"/>
      <c r="DK1263" s="773"/>
      <c r="DL1263" s="773"/>
      <c r="DM1263" s="773"/>
      <c r="DN1263" s="773"/>
      <c r="DO1263" s="773"/>
      <c r="DP1263" s="773"/>
      <c r="DQ1263" s="773"/>
      <c r="DR1263" s="773"/>
      <c r="DS1263" s="773"/>
      <c r="DT1263" s="773"/>
      <c r="DU1263" s="773"/>
      <c r="DV1263" s="773"/>
      <c r="DW1263" s="773"/>
      <c r="DX1263" s="773"/>
      <c r="DY1263" s="773"/>
      <c r="DZ1263" s="773"/>
      <c r="EA1263" s="773"/>
      <c r="EB1263" s="773"/>
      <c r="EC1263" s="773"/>
      <c r="ED1263" s="773"/>
      <c r="EE1263" s="773"/>
      <c r="EF1263" s="773"/>
      <c r="EG1263" s="773"/>
      <c r="EH1263" s="773"/>
      <c r="EI1263" s="773"/>
      <c r="EJ1263" s="773"/>
      <c r="EK1263" s="773"/>
      <c r="EL1263" s="773"/>
      <c r="EM1263" s="773"/>
      <c r="EN1263" s="773"/>
      <c r="EO1263" s="773"/>
      <c r="EP1263" s="773"/>
      <c r="EQ1263" s="773"/>
      <c r="ER1263" s="773"/>
      <c r="ES1263" s="773"/>
      <c r="ET1263" s="773"/>
      <c r="EU1263" s="773"/>
      <c r="EV1263" s="773"/>
      <c r="EW1263" s="773"/>
      <c r="EX1263" s="773"/>
      <c r="EY1263" s="773"/>
      <c r="EZ1263" s="773"/>
      <c r="FA1263" s="773"/>
      <c r="FB1263" s="773"/>
      <c r="FC1263" s="773"/>
      <c r="FD1263" s="773"/>
      <c r="FE1263" s="773"/>
      <c r="FF1263" s="773"/>
      <c r="FG1263" s="773"/>
      <c r="FH1263" s="773"/>
      <c r="FI1263" s="773"/>
      <c r="FJ1263" s="773"/>
      <c r="FK1263" s="773"/>
      <c r="FL1263" s="773"/>
      <c r="FM1263" s="773"/>
      <c r="FN1263" s="773"/>
      <c r="FO1263" s="773"/>
      <c r="FP1263" s="773"/>
      <c r="FQ1263" s="773"/>
      <c r="FR1263" s="773"/>
      <c r="FS1263" s="773"/>
      <c r="FT1263" s="773"/>
      <c r="FU1263" s="773"/>
      <c r="FV1263" s="773"/>
      <c r="FW1263" s="773"/>
      <c r="FX1263" s="773"/>
      <c r="FY1263" s="773"/>
      <c r="FZ1263" s="773"/>
      <c r="GA1263" s="773"/>
      <c r="GB1263" s="773"/>
      <c r="GC1263" s="773"/>
      <c r="GD1263" s="773"/>
      <c r="GE1263" s="773"/>
      <c r="GF1263" s="773"/>
      <c r="GG1263" s="773"/>
      <c r="GH1263" s="773"/>
      <c r="GI1263" s="773"/>
      <c r="GJ1263" s="773"/>
      <c r="GK1263" s="773"/>
      <c r="GL1263" s="773"/>
      <c r="GM1263" s="773"/>
      <c r="GN1263" s="773"/>
      <c r="GO1263" s="773"/>
      <c r="GP1263" s="773"/>
      <c r="GQ1263" s="773"/>
      <c r="GR1263" s="773"/>
      <c r="GS1263" s="773"/>
      <c r="GT1263" s="773"/>
      <c r="GU1263" s="773"/>
      <c r="GV1263" s="773"/>
      <c r="GW1263" s="773"/>
      <c r="GX1263" s="773"/>
      <c r="GY1263" s="773"/>
      <c r="GZ1263" s="773"/>
    </row>
    <row r="1264" spans="2:208" s="11" customFormat="1">
      <c r="B1264" s="775"/>
      <c r="C1264" s="826"/>
      <c r="D1264" s="775"/>
      <c r="K1264" s="209"/>
      <c r="M1264" s="771"/>
      <c r="N1264" s="772"/>
      <c r="O1264" s="772"/>
      <c r="P1264" s="772"/>
      <c r="Q1264" s="772"/>
      <c r="R1264" s="772"/>
      <c r="S1264" s="772"/>
      <c r="T1264" s="772"/>
      <c r="AW1264" s="2510"/>
      <c r="BC1264" s="2510"/>
      <c r="BD1264" s="2510"/>
      <c r="BE1264" s="2510"/>
      <c r="BF1264" s="2510"/>
      <c r="BH1264" s="2510"/>
      <c r="DB1264" s="773"/>
      <c r="DC1264" s="773"/>
      <c r="DD1264" s="773"/>
      <c r="DE1264" s="773"/>
      <c r="DF1264" s="773"/>
      <c r="DG1264" s="773"/>
      <c r="DH1264" s="773"/>
      <c r="DI1264" s="773"/>
      <c r="DJ1264" s="773"/>
      <c r="DK1264" s="773"/>
      <c r="DL1264" s="773"/>
      <c r="DM1264" s="773"/>
      <c r="DN1264" s="773"/>
      <c r="DO1264" s="773"/>
      <c r="DP1264" s="773"/>
      <c r="DQ1264" s="773"/>
      <c r="DR1264" s="773"/>
      <c r="DS1264" s="773"/>
      <c r="DT1264" s="773"/>
      <c r="DU1264" s="773"/>
      <c r="DV1264" s="773"/>
      <c r="DW1264" s="773"/>
      <c r="DX1264" s="773"/>
      <c r="DY1264" s="773"/>
      <c r="DZ1264" s="773"/>
      <c r="EA1264" s="773"/>
      <c r="EB1264" s="773"/>
      <c r="EC1264" s="773"/>
      <c r="ED1264" s="773"/>
      <c r="EE1264" s="773"/>
      <c r="EF1264" s="773"/>
      <c r="EG1264" s="773"/>
      <c r="EH1264" s="773"/>
      <c r="EI1264" s="773"/>
      <c r="EJ1264" s="773"/>
      <c r="EK1264" s="773"/>
      <c r="EL1264" s="773"/>
      <c r="EM1264" s="773"/>
      <c r="EN1264" s="773"/>
      <c r="EO1264" s="773"/>
      <c r="EP1264" s="773"/>
      <c r="EQ1264" s="773"/>
      <c r="ER1264" s="773"/>
      <c r="ES1264" s="773"/>
      <c r="ET1264" s="773"/>
      <c r="EU1264" s="773"/>
      <c r="EV1264" s="773"/>
      <c r="EW1264" s="773"/>
      <c r="EX1264" s="773"/>
      <c r="EY1264" s="773"/>
      <c r="EZ1264" s="773"/>
      <c r="FA1264" s="773"/>
      <c r="FB1264" s="773"/>
      <c r="FC1264" s="773"/>
      <c r="FD1264" s="773"/>
      <c r="FE1264" s="773"/>
      <c r="FF1264" s="773"/>
      <c r="FG1264" s="773"/>
      <c r="FH1264" s="773"/>
      <c r="FI1264" s="773"/>
      <c r="FJ1264" s="773"/>
      <c r="FK1264" s="773"/>
      <c r="FL1264" s="773"/>
      <c r="FM1264" s="773"/>
      <c r="FN1264" s="773"/>
      <c r="FO1264" s="773"/>
      <c r="FP1264" s="773"/>
      <c r="FQ1264" s="773"/>
      <c r="FR1264" s="773"/>
      <c r="FS1264" s="773"/>
      <c r="FT1264" s="773"/>
      <c r="FU1264" s="773"/>
      <c r="FV1264" s="773"/>
      <c r="FW1264" s="773"/>
      <c r="FX1264" s="773"/>
      <c r="FY1264" s="773"/>
      <c r="FZ1264" s="773"/>
      <c r="GA1264" s="773"/>
      <c r="GB1264" s="773"/>
      <c r="GC1264" s="773"/>
      <c r="GD1264" s="773"/>
      <c r="GE1264" s="773"/>
      <c r="GF1264" s="773"/>
      <c r="GG1264" s="773"/>
      <c r="GH1264" s="773"/>
      <c r="GI1264" s="773"/>
      <c r="GJ1264" s="773"/>
      <c r="GK1264" s="773"/>
      <c r="GL1264" s="773"/>
      <c r="GM1264" s="773"/>
      <c r="GN1264" s="773"/>
      <c r="GO1264" s="773"/>
      <c r="GP1264" s="773"/>
      <c r="GQ1264" s="773"/>
      <c r="GR1264" s="773"/>
      <c r="GS1264" s="773"/>
      <c r="GT1264" s="773"/>
      <c r="GU1264" s="773"/>
      <c r="GV1264" s="773"/>
      <c r="GW1264" s="773"/>
      <c r="GX1264" s="773"/>
      <c r="GY1264" s="773"/>
      <c r="GZ1264" s="773"/>
    </row>
    <row r="1265" spans="2:208" s="11" customFormat="1">
      <c r="B1265" s="775"/>
      <c r="C1265" s="826"/>
      <c r="D1265" s="775"/>
      <c r="K1265" s="209"/>
      <c r="M1265" s="771"/>
      <c r="N1265" s="772"/>
      <c r="O1265" s="772"/>
      <c r="P1265" s="772"/>
      <c r="Q1265" s="772"/>
      <c r="R1265" s="772"/>
      <c r="S1265" s="772"/>
      <c r="T1265" s="772"/>
      <c r="AW1265" s="2510"/>
      <c r="BC1265" s="2510"/>
      <c r="BD1265" s="2510"/>
      <c r="BE1265" s="2510"/>
      <c r="BF1265" s="2510"/>
      <c r="BH1265" s="2510"/>
      <c r="DB1265" s="773"/>
      <c r="DC1265" s="773"/>
      <c r="DD1265" s="773"/>
      <c r="DE1265" s="773"/>
      <c r="DF1265" s="773"/>
      <c r="DG1265" s="773"/>
      <c r="DH1265" s="773"/>
      <c r="DI1265" s="773"/>
      <c r="DJ1265" s="773"/>
      <c r="DK1265" s="773"/>
      <c r="DL1265" s="773"/>
      <c r="DM1265" s="773"/>
      <c r="DN1265" s="773"/>
      <c r="DO1265" s="773"/>
      <c r="DP1265" s="773"/>
      <c r="DQ1265" s="773"/>
      <c r="DR1265" s="773"/>
      <c r="DS1265" s="773"/>
      <c r="DT1265" s="773"/>
      <c r="DU1265" s="773"/>
      <c r="DV1265" s="773"/>
      <c r="DW1265" s="773"/>
      <c r="DX1265" s="773"/>
      <c r="DY1265" s="773"/>
      <c r="DZ1265" s="773"/>
      <c r="EA1265" s="773"/>
      <c r="EB1265" s="773"/>
      <c r="EC1265" s="773"/>
      <c r="ED1265" s="773"/>
      <c r="EE1265" s="773"/>
      <c r="EF1265" s="773"/>
      <c r="EG1265" s="773"/>
      <c r="EH1265" s="773"/>
      <c r="EI1265" s="773"/>
      <c r="EJ1265" s="773"/>
      <c r="EK1265" s="773"/>
      <c r="EL1265" s="773"/>
      <c r="EM1265" s="773"/>
      <c r="EN1265" s="773"/>
      <c r="EO1265" s="773"/>
      <c r="EP1265" s="773"/>
      <c r="EQ1265" s="773"/>
      <c r="ER1265" s="773"/>
      <c r="ES1265" s="773"/>
      <c r="ET1265" s="773"/>
      <c r="EU1265" s="773"/>
      <c r="EV1265" s="773"/>
      <c r="EW1265" s="773"/>
      <c r="EX1265" s="773"/>
      <c r="EY1265" s="773"/>
      <c r="EZ1265" s="773"/>
      <c r="FA1265" s="773"/>
      <c r="FB1265" s="773"/>
      <c r="FC1265" s="773"/>
      <c r="FD1265" s="773"/>
      <c r="FE1265" s="773"/>
      <c r="FF1265" s="773"/>
      <c r="FG1265" s="773"/>
      <c r="FH1265" s="773"/>
      <c r="FI1265" s="773"/>
      <c r="FJ1265" s="773"/>
      <c r="FK1265" s="773"/>
      <c r="FL1265" s="773"/>
      <c r="FM1265" s="773"/>
      <c r="FN1265" s="773"/>
      <c r="FO1265" s="773"/>
      <c r="FP1265" s="773"/>
      <c r="FQ1265" s="773"/>
      <c r="FR1265" s="773"/>
      <c r="FS1265" s="773"/>
      <c r="FT1265" s="773"/>
      <c r="FU1265" s="773"/>
      <c r="FV1265" s="773"/>
      <c r="FW1265" s="773"/>
      <c r="FX1265" s="773"/>
      <c r="FY1265" s="773"/>
      <c r="FZ1265" s="773"/>
      <c r="GA1265" s="773"/>
      <c r="GB1265" s="773"/>
      <c r="GC1265" s="773"/>
      <c r="GD1265" s="773"/>
      <c r="GE1265" s="773"/>
      <c r="GF1265" s="773"/>
      <c r="GG1265" s="773"/>
      <c r="GH1265" s="773"/>
      <c r="GI1265" s="773"/>
      <c r="GJ1265" s="773"/>
      <c r="GK1265" s="773"/>
      <c r="GL1265" s="773"/>
      <c r="GM1265" s="773"/>
      <c r="GN1265" s="773"/>
      <c r="GO1265" s="773"/>
      <c r="GP1265" s="773"/>
      <c r="GQ1265" s="773"/>
      <c r="GR1265" s="773"/>
      <c r="GS1265" s="773"/>
      <c r="GT1265" s="773"/>
      <c r="GU1265" s="773"/>
      <c r="GV1265" s="773"/>
      <c r="GW1265" s="773"/>
      <c r="GX1265" s="773"/>
      <c r="GY1265" s="773"/>
      <c r="GZ1265" s="773"/>
    </row>
    <row r="1266" spans="2:208" s="11" customFormat="1">
      <c r="B1266" s="775"/>
      <c r="C1266" s="826"/>
      <c r="D1266" s="775"/>
      <c r="K1266" s="209"/>
      <c r="M1266" s="771"/>
      <c r="N1266" s="772"/>
      <c r="O1266" s="772"/>
      <c r="P1266" s="772"/>
      <c r="Q1266" s="772"/>
      <c r="R1266" s="772"/>
      <c r="S1266" s="772"/>
      <c r="T1266" s="772"/>
      <c r="AW1266" s="2510"/>
      <c r="BC1266" s="2510"/>
      <c r="BD1266" s="2510"/>
      <c r="BE1266" s="2510"/>
      <c r="BF1266" s="2510"/>
      <c r="BH1266" s="2510"/>
      <c r="DB1266" s="773"/>
      <c r="DC1266" s="773"/>
      <c r="DD1266" s="773"/>
      <c r="DE1266" s="773"/>
      <c r="DF1266" s="773"/>
      <c r="DG1266" s="773"/>
      <c r="DH1266" s="773"/>
      <c r="DI1266" s="773"/>
      <c r="DJ1266" s="773"/>
      <c r="DK1266" s="773"/>
      <c r="DL1266" s="773"/>
      <c r="DM1266" s="773"/>
      <c r="DN1266" s="773"/>
      <c r="DO1266" s="773"/>
      <c r="DP1266" s="773"/>
      <c r="DQ1266" s="773"/>
      <c r="DR1266" s="773"/>
      <c r="DS1266" s="773"/>
      <c r="DT1266" s="773"/>
      <c r="DU1266" s="773"/>
      <c r="DV1266" s="773"/>
      <c r="DW1266" s="773"/>
      <c r="DX1266" s="773"/>
      <c r="DY1266" s="773"/>
      <c r="DZ1266" s="773"/>
      <c r="EA1266" s="773"/>
      <c r="EB1266" s="773"/>
      <c r="EC1266" s="773"/>
      <c r="ED1266" s="773"/>
      <c r="EE1266" s="773"/>
      <c r="EF1266" s="773"/>
      <c r="EG1266" s="773"/>
      <c r="EH1266" s="773"/>
      <c r="EI1266" s="773"/>
      <c r="EJ1266" s="773"/>
      <c r="EK1266" s="773"/>
      <c r="EL1266" s="773"/>
      <c r="EM1266" s="773"/>
      <c r="EN1266" s="773"/>
      <c r="EO1266" s="773"/>
      <c r="EP1266" s="773"/>
      <c r="EQ1266" s="773"/>
      <c r="ER1266" s="773"/>
      <c r="ES1266" s="773"/>
      <c r="ET1266" s="773"/>
      <c r="EU1266" s="773"/>
      <c r="EV1266" s="773"/>
      <c r="EW1266" s="773"/>
      <c r="EX1266" s="773"/>
      <c r="EY1266" s="773"/>
      <c r="EZ1266" s="773"/>
      <c r="FA1266" s="773"/>
      <c r="FB1266" s="773"/>
      <c r="FC1266" s="773"/>
      <c r="FD1266" s="773"/>
      <c r="FE1266" s="773"/>
      <c r="FF1266" s="773"/>
      <c r="FG1266" s="773"/>
      <c r="FH1266" s="773"/>
      <c r="FI1266" s="773"/>
      <c r="FJ1266" s="773"/>
      <c r="FK1266" s="773"/>
      <c r="FL1266" s="773"/>
      <c r="FM1266" s="773"/>
      <c r="FN1266" s="773"/>
      <c r="FO1266" s="773"/>
      <c r="FP1266" s="773"/>
      <c r="FQ1266" s="773"/>
      <c r="FR1266" s="773"/>
      <c r="FS1266" s="773"/>
      <c r="FT1266" s="773"/>
      <c r="FU1266" s="773"/>
      <c r="FV1266" s="773"/>
      <c r="FW1266" s="773"/>
      <c r="FX1266" s="773"/>
      <c r="FY1266" s="773"/>
      <c r="FZ1266" s="773"/>
      <c r="GA1266" s="773"/>
      <c r="GB1266" s="773"/>
      <c r="GC1266" s="773"/>
      <c r="GD1266" s="773"/>
      <c r="GE1266" s="773"/>
      <c r="GF1266" s="773"/>
      <c r="GG1266" s="773"/>
      <c r="GH1266" s="773"/>
      <c r="GI1266" s="773"/>
      <c r="GJ1266" s="773"/>
      <c r="GK1266" s="773"/>
      <c r="GL1266" s="773"/>
      <c r="GM1266" s="773"/>
      <c r="GN1266" s="773"/>
      <c r="GO1266" s="773"/>
      <c r="GP1266" s="773"/>
      <c r="GQ1266" s="773"/>
      <c r="GR1266" s="773"/>
      <c r="GS1266" s="773"/>
      <c r="GT1266" s="773"/>
      <c r="GU1266" s="773"/>
      <c r="GV1266" s="773"/>
      <c r="GW1266" s="773"/>
      <c r="GX1266" s="773"/>
      <c r="GY1266" s="773"/>
      <c r="GZ1266" s="773"/>
    </row>
    <row r="1267" spans="2:208" s="11" customFormat="1">
      <c r="B1267" s="775"/>
      <c r="C1267" s="826"/>
      <c r="D1267" s="775"/>
      <c r="K1267" s="209"/>
      <c r="M1267" s="771"/>
      <c r="N1267" s="772"/>
      <c r="O1267" s="772"/>
      <c r="P1267" s="772"/>
      <c r="Q1267" s="772"/>
      <c r="R1267" s="772"/>
      <c r="S1267" s="772"/>
      <c r="T1267" s="772"/>
      <c r="AW1267" s="2510"/>
      <c r="BC1267" s="2510"/>
      <c r="BD1267" s="2510"/>
      <c r="BE1267" s="2510"/>
      <c r="BF1267" s="2510"/>
      <c r="BH1267" s="2510"/>
      <c r="DB1267" s="773"/>
      <c r="DC1267" s="773"/>
      <c r="DD1267" s="773"/>
      <c r="DE1267" s="773"/>
      <c r="DF1267" s="773"/>
      <c r="DG1267" s="773"/>
      <c r="DH1267" s="773"/>
      <c r="DI1267" s="773"/>
      <c r="DJ1267" s="773"/>
      <c r="DK1267" s="773"/>
      <c r="DL1267" s="773"/>
      <c r="DM1267" s="773"/>
      <c r="DN1267" s="773"/>
      <c r="DO1267" s="773"/>
      <c r="DP1267" s="773"/>
      <c r="DQ1267" s="773"/>
      <c r="DR1267" s="773"/>
      <c r="DS1267" s="773"/>
      <c r="DT1267" s="773"/>
      <c r="DU1267" s="773"/>
      <c r="DV1267" s="773"/>
      <c r="DW1267" s="773"/>
      <c r="DX1267" s="773"/>
      <c r="DY1267" s="773"/>
      <c r="DZ1267" s="773"/>
      <c r="EA1267" s="773"/>
      <c r="EB1267" s="773"/>
      <c r="EC1267" s="773"/>
      <c r="ED1267" s="773"/>
      <c r="EE1267" s="773"/>
      <c r="EF1267" s="773"/>
      <c r="EG1267" s="773"/>
      <c r="EH1267" s="773"/>
      <c r="EI1267" s="773"/>
      <c r="EJ1267" s="773"/>
      <c r="EK1267" s="773"/>
      <c r="EL1267" s="773"/>
      <c r="EM1267" s="773"/>
      <c r="EN1267" s="773"/>
      <c r="EO1267" s="773"/>
      <c r="EP1267" s="773"/>
      <c r="EQ1267" s="773"/>
      <c r="ER1267" s="773"/>
      <c r="ES1267" s="773"/>
      <c r="ET1267" s="773"/>
      <c r="EU1267" s="773"/>
      <c r="EV1267" s="773"/>
      <c r="EW1267" s="773"/>
      <c r="EX1267" s="773"/>
      <c r="EY1267" s="773"/>
      <c r="EZ1267" s="773"/>
      <c r="FA1267" s="773"/>
      <c r="FB1267" s="773"/>
      <c r="FC1267" s="773"/>
      <c r="FD1267" s="773"/>
      <c r="FE1267" s="773"/>
      <c r="FF1267" s="773"/>
      <c r="FG1267" s="773"/>
      <c r="FH1267" s="773"/>
      <c r="FI1267" s="773"/>
      <c r="FJ1267" s="773"/>
      <c r="FK1267" s="773"/>
      <c r="FL1267" s="773"/>
      <c r="FM1267" s="773"/>
      <c r="FN1267" s="773"/>
      <c r="FO1267" s="773"/>
      <c r="FP1267" s="773"/>
      <c r="FQ1267" s="773"/>
      <c r="FR1267" s="773"/>
      <c r="FS1267" s="773"/>
      <c r="FT1267" s="773"/>
      <c r="FU1267" s="773"/>
      <c r="FV1267" s="773"/>
      <c r="FW1267" s="773"/>
      <c r="FX1267" s="773"/>
      <c r="FY1267" s="773"/>
      <c r="FZ1267" s="773"/>
      <c r="GA1267" s="773"/>
      <c r="GB1267" s="773"/>
      <c r="GC1267" s="773"/>
      <c r="GD1267" s="773"/>
      <c r="GE1267" s="773"/>
      <c r="GF1267" s="773"/>
      <c r="GG1267" s="773"/>
      <c r="GH1267" s="773"/>
      <c r="GI1267" s="773"/>
      <c r="GJ1267" s="773"/>
      <c r="GK1267" s="773"/>
      <c r="GL1267" s="773"/>
      <c r="GM1267" s="773"/>
      <c r="GN1267" s="773"/>
      <c r="GO1267" s="773"/>
      <c r="GP1267" s="773"/>
      <c r="GQ1267" s="773"/>
      <c r="GR1267" s="773"/>
      <c r="GS1267" s="773"/>
      <c r="GT1267" s="773"/>
      <c r="GU1267" s="773"/>
      <c r="GV1267" s="773"/>
      <c r="GW1267" s="773"/>
      <c r="GX1267" s="773"/>
      <c r="GY1267" s="773"/>
      <c r="GZ1267" s="773"/>
    </row>
    <row r="1268" spans="2:208" s="11" customFormat="1">
      <c r="B1268" s="775"/>
      <c r="C1268" s="826"/>
      <c r="D1268" s="775"/>
      <c r="K1268" s="209"/>
      <c r="M1268" s="771"/>
      <c r="N1268" s="772"/>
      <c r="O1268" s="772"/>
      <c r="P1268" s="772"/>
      <c r="Q1268" s="772"/>
      <c r="R1268" s="772"/>
      <c r="S1268" s="772"/>
      <c r="T1268" s="772"/>
      <c r="AW1268" s="2510"/>
      <c r="BC1268" s="2510"/>
      <c r="BD1268" s="2510"/>
      <c r="BE1268" s="2510"/>
      <c r="BF1268" s="2510"/>
      <c r="BH1268" s="2510"/>
      <c r="DB1268" s="773"/>
      <c r="DC1268" s="773"/>
      <c r="DD1268" s="773"/>
      <c r="DE1268" s="773"/>
      <c r="DF1268" s="773"/>
      <c r="DG1268" s="773"/>
      <c r="DH1268" s="773"/>
      <c r="DI1268" s="773"/>
      <c r="DJ1268" s="773"/>
      <c r="DK1268" s="773"/>
      <c r="DL1268" s="773"/>
      <c r="DM1268" s="773"/>
      <c r="DN1268" s="773"/>
      <c r="DO1268" s="773"/>
      <c r="DP1268" s="773"/>
      <c r="DQ1268" s="773"/>
      <c r="DR1268" s="773"/>
      <c r="DS1268" s="773"/>
      <c r="DT1268" s="773"/>
      <c r="DU1268" s="773"/>
      <c r="DV1268" s="773"/>
      <c r="DW1268" s="773"/>
      <c r="DX1268" s="773"/>
      <c r="DY1268" s="773"/>
      <c r="DZ1268" s="773"/>
      <c r="EA1268" s="773"/>
      <c r="EB1268" s="773"/>
      <c r="EC1268" s="773"/>
      <c r="ED1268" s="773"/>
      <c r="EE1268" s="773"/>
      <c r="EF1268" s="773"/>
      <c r="EG1268" s="773"/>
      <c r="EH1268" s="773"/>
      <c r="EI1268" s="773"/>
      <c r="EJ1268" s="773"/>
      <c r="EK1268" s="773"/>
      <c r="EL1268" s="773"/>
      <c r="EM1268" s="773"/>
      <c r="EN1268" s="773"/>
      <c r="EO1268" s="773"/>
      <c r="EP1268" s="773"/>
      <c r="EQ1268" s="773"/>
      <c r="ER1268" s="773"/>
      <c r="ES1268" s="773"/>
      <c r="ET1268" s="773"/>
      <c r="EU1268" s="773"/>
      <c r="EV1268" s="773"/>
      <c r="EW1268" s="773"/>
      <c r="EX1268" s="773"/>
      <c r="EY1268" s="773"/>
      <c r="EZ1268" s="773"/>
      <c r="FA1268" s="773"/>
      <c r="FB1268" s="773"/>
      <c r="FC1268" s="773"/>
      <c r="FD1268" s="773"/>
      <c r="FE1268" s="773"/>
      <c r="FF1268" s="773"/>
      <c r="FG1268" s="773"/>
      <c r="FH1268" s="773"/>
      <c r="FI1268" s="773"/>
      <c r="FJ1268" s="773"/>
      <c r="FK1268" s="773"/>
      <c r="FL1268" s="773"/>
      <c r="FM1268" s="773"/>
      <c r="FN1268" s="773"/>
      <c r="FO1268" s="773"/>
      <c r="FP1268" s="773"/>
      <c r="FQ1268" s="773"/>
      <c r="FR1268" s="773"/>
      <c r="FS1268" s="773"/>
      <c r="FT1268" s="773"/>
      <c r="FU1268" s="773"/>
      <c r="FV1268" s="773"/>
      <c r="FW1268" s="773"/>
      <c r="FX1268" s="773"/>
      <c r="FY1268" s="773"/>
      <c r="FZ1268" s="773"/>
      <c r="GA1268" s="773"/>
      <c r="GB1268" s="773"/>
      <c r="GC1268" s="773"/>
      <c r="GD1268" s="773"/>
      <c r="GE1268" s="773"/>
      <c r="GF1268" s="773"/>
      <c r="GG1268" s="773"/>
      <c r="GH1268" s="773"/>
      <c r="GI1268" s="773"/>
      <c r="GJ1268" s="773"/>
      <c r="GK1268" s="773"/>
      <c r="GL1268" s="773"/>
      <c r="GM1268" s="773"/>
      <c r="GN1268" s="773"/>
      <c r="GO1268" s="773"/>
      <c r="GP1268" s="773"/>
      <c r="GQ1268" s="773"/>
      <c r="GR1268" s="773"/>
      <c r="GS1268" s="773"/>
      <c r="GT1268" s="773"/>
      <c r="GU1268" s="773"/>
      <c r="GV1268" s="773"/>
      <c r="GW1268" s="773"/>
      <c r="GX1268" s="773"/>
      <c r="GY1268" s="773"/>
      <c r="GZ1268" s="773"/>
    </row>
    <row r="1269" spans="2:208" s="11" customFormat="1">
      <c r="B1269" s="775"/>
      <c r="C1269" s="826"/>
      <c r="D1269" s="775"/>
      <c r="K1269" s="209"/>
      <c r="M1269" s="771"/>
      <c r="N1269" s="772"/>
      <c r="O1269" s="772"/>
      <c r="P1269" s="772"/>
      <c r="Q1269" s="772"/>
      <c r="R1269" s="772"/>
      <c r="S1269" s="772"/>
      <c r="T1269" s="772"/>
      <c r="AW1269" s="2510"/>
      <c r="BC1269" s="2510"/>
      <c r="BD1269" s="2510"/>
      <c r="BE1269" s="2510"/>
      <c r="BF1269" s="2510"/>
      <c r="BH1269" s="2510"/>
      <c r="DB1269" s="773"/>
      <c r="DC1269" s="773"/>
      <c r="DD1269" s="773"/>
      <c r="DE1269" s="773"/>
      <c r="DF1269" s="773"/>
      <c r="DG1269" s="773"/>
      <c r="DH1269" s="773"/>
      <c r="DI1269" s="773"/>
      <c r="DJ1269" s="773"/>
      <c r="DK1269" s="773"/>
      <c r="DL1269" s="773"/>
      <c r="DM1269" s="773"/>
      <c r="DN1269" s="773"/>
      <c r="DO1269" s="773"/>
      <c r="DP1269" s="773"/>
      <c r="DQ1269" s="773"/>
      <c r="DR1269" s="773"/>
      <c r="DS1269" s="773"/>
      <c r="DT1269" s="773"/>
      <c r="DU1269" s="773"/>
      <c r="DV1269" s="773"/>
      <c r="DW1269" s="773"/>
      <c r="DX1269" s="773"/>
      <c r="DY1269" s="773"/>
      <c r="DZ1269" s="773"/>
      <c r="EA1269" s="773"/>
      <c r="EB1269" s="773"/>
      <c r="EC1269" s="773"/>
      <c r="ED1269" s="773"/>
      <c r="EE1269" s="773"/>
      <c r="EF1269" s="773"/>
      <c r="EG1269" s="773"/>
      <c r="EH1269" s="773"/>
      <c r="EI1269" s="773"/>
      <c r="EJ1269" s="773"/>
      <c r="EK1269" s="773"/>
      <c r="EL1269" s="773"/>
      <c r="EM1269" s="773"/>
      <c r="EN1269" s="773"/>
      <c r="EO1269" s="773"/>
      <c r="EP1269" s="773"/>
      <c r="EQ1269" s="773"/>
      <c r="ER1269" s="773"/>
      <c r="ES1269" s="773"/>
      <c r="ET1269" s="773"/>
      <c r="EU1269" s="773"/>
      <c r="EV1269" s="773"/>
      <c r="EW1269" s="773"/>
      <c r="EX1269" s="773"/>
      <c r="EY1269" s="773"/>
      <c r="EZ1269" s="773"/>
      <c r="FA1269" s="773"/>
      <c r="FB1269" s="773"/>
      <c r="FC1269" s="773"/>
      <c r="FD1269" s="773"/>
      <c r="FE1269" s="773"/>
      <c r="FF1269" s="773"/>
      <c r="FG1269" s="773"/>
      <c r="FH1269" s="773"/>
      <c r="FI1269" s="773"/>
      <c r="FJ1269" s="773"/>
      <c r="FK1269" s="773"/>
      <c r="FL1269" s="773"/>
      <c r="FM1269" s="773"/>
      <c r="FN1269" s="773"/>
      <c r="FO1269" s="773"/>
      <c r="FP1269" s="773"/>
      <c r="FQ1269" s="773"/>
      <c r="FR1269" s="773"/>
      <c r="FS1269" s="773"/>
      <c r="FT1269" s="773"/>
      <c r="FU1269" s="773"/>
      <c r="FV1269" s="773"/>
      <c r="FW1269" s="773"/>
      <c r="FX1269" s="773"/>
      <c r="FY1269" s="773"/>
      <c r="FZ1269" s="773"/>
      <c r="GA1269" s="773"/>
      <c r="GB1269" s="773"/>
      <c r="GC1269" s="773"/>
      <c r="GD1269" s="773"/>
      <c r="GE1269" s="773"/>
      <c r="GF1269" s="773"/>
      <c r="GG1269" s="773"/>
      <c r="GH1269" s="773"/>
      <c r="GI1269" s="773"/>
      <c r="GJ1269" s="773"/>
      <c r="GK1269" s="773"/>
      <c r="GL1269" s="773"/>
      <c r="GM1269" s="773"/>
      <c r="GN1269" s="773"/>
      <c r="GO1269" s="773"/>
      <c r="GP1269" s="773"/>
      <c r="GQ1269" s="773"/>
      <c r="GR1269" s="773"/>
      <c r="GS1269" s="773"/>
      <c r="GT1269" s="773"/>
      <c r="GU1269" s="773"/>
      <c r="GV1269" s="773"/>
      <c r="GW1269" s="773"/>
      <c r="GX1269" s="773"/>
      <c r="GY1269" s="773"/>
      <c r="GZ1269" s="773"/>
    </row>
    <row r="1270" spans="2:208" s="11" customFormat="1">
      <c r="B1270" s="775"/>
      <c r="C1270" s="826"/>
      <c r="D1270" s="775"/>
      <c r="K1270" s="209"/>
      <c r="M1270" s="771"/>
      <c r="N1270" s="772"/>
      <c r="O1270" s="772"/>
      <c r="P1270" s="772"/>
      <c r="Q1270" s="772"/>
      <c r="R1270" s="772"/>
      <c r="S1270" s="772"/>
      <c r="T1270" s="772"/>
      <c r="AW1270" s="2510"/>
      <c r="BC1270" s="2510"/>
      <c r="BD1270" s="2510"/>
      <c r="BE1270" s="2510"/>
      <c r="BF1270" s="2510"/>
      <c r="BH1270" s="2510"/>
      <c r="DB1270" s="773"/>
      <c r="DC1270" s="773"/>
      <c r="DD1270" s="773"/>
      <c r="DE1270" s="773"/>
      <c r="DF1270" s="773"/>
      <c r="DG1270" s="773"/>
      <c r="DH1270" s="773"/>
      <c r="DI1270" s="773"/>
      <c r="DJ1270" s="773"/>
      <c r="DK1270" s="773"/>
      <c r="DL1270" s="773"/>
      <c r="DM1270" s="773"/>
      <c r="DN1270" s="773"/>
      <c r="DO1270" s="773"/>
      <c r="DP1270" s="773"/>
      <c r="DQ1270" s="773"/>
      <c r="DR1270" s="773"/>
      <c r="DS1270" s="773"/>
      <c r="DT1270" s="773"/>
      <c r="DU1270" s="773"/>
      <c r="DV1270" s="773"/>
      <c r="DW1270" s="773"/>
      <c r="DX1270" s="773"/>
      <c r="DY1270" s="773"/>
      <c r="DZ1270" s="773"/>
      <c r="EA1270" s="773"/>
      <c r="EB1270" s="773"/>
      <c r="EC1270" s="773"/>
      <c r="ED1270" s="773"/>
      <c r="EE1270" s="773"/>
      <c r="EF1270" s="773"/>
      <c r="EG1270" s="773"/>
      <c r="EH1270" s="773"/>
      <c r="EI1270" s="773"/>
      <c r="EJ1270" s="773"/>
      <c r="EK1270" s="773"/>
      <c r="EL1270" s="773"/>
      <c r="EM1270" s="773"/>
      <c r="EN1270" s="773"/>
      <c r="EO1270" s="773"/>
      <c r="EP1270" s="773"/>
      <c r="EQ1270" s="773"/>
      <c r="ER1270" s="773"/>
      <c r="ES1270" s="773"/>
      <c r="ET1270" s="773"/>
      <c r="EU1270" s="773"/>
      <c r="EV1270" s="773"/>
      <c r="EW1270" s="773"/>
      <c r="EX1270" s="773"/>
      <c r="EY1270" s="773"/>
      <c r="EZ1270" s="773"/>
      <c r="FA1270" s="773"/>
      <c r="FB1270" s="773"/>
      <c r="FC1270" s="773"/>
      <c r="FD1270" s="773"/>
      <c r="FE1270" s="773"/>
      <c r="FF1270" s="773"/>
      <c r="FG1270" s="773"/>
      <c r="FH1270" s="773"/>
      <c r="FI1270" s="773"/>
      <c r="FJ1270" s="773"/>
      <c r="FK1270" s="773"/>
      <c r="FL1270" s="773"/>
      <c r="FM1270" s="773"/>
      <c r="FN1270" s="773"/>
      <c r="FO1270" s="773"/>
      <c r="FP1270" s="773"/>
      <c r="FQ1270" s="773"/>
      <c r="FR1270" s="773"/>
      <c r="FS1270" s="773"/>
      <c r="FT1270" s="773"/>
      <c r="FU1270" s="773"/>
      <c r="FV1270" s="773"/>
      <c r="FW1270" s="773"/>
      <c r="FX1270" s="773"/>
      <c r="FY1270" s="773"/>
      <c r="FZ1270" s="773"/>
      <c r="GA1270" s="773"/>
      <c r="GB1270" s="773"/>
      <c r="GC1270" s="773"/>
      <c r="GD1270" s="773"/>
      <c r="GE1270" s="773"/>
      <c r="GF1270" s="773"/>
      <c r="GG1270" s="773"/>
      <c r="GH1270" s="773"/>
      <c r="GI1270" s="773"/>
      <c r="GJ1270" s="773"/>
      <c r="GK1270" s="773"/>
      <c r="GL1270" s="773"/>
      <c r="GM1270" s="773"/>
      <c r="GN1270" s="773"/>
      <c r="GO1270" s="773"/>
      <c r="GP1270" s="773"/>
      <c r="GQ1270" s="773"/>
      <c r="GR1270" s="773"/>
      <c r="GS1270" s="773"/>
      <c r="GT1270" s="773"/>
      <c r="GU1270" s="773"/>
      <c r="GV1270" s="773"/>
      <c r="GW1270" s="773"/>
      <c r="GX1270" s="773"/>
      <c r="GY1270" s="773"/>
      <c r="GZ1270" s="773"/>
    </row>
    <row r="1271" spans="2:208" s="11" customFormat="1">
      <c r="B1271" s="775"/>
      <c r="C1271" s="826"/>
      <c r="D1271" s="775"/>
      <c r="K1271" s="209"/>
      <c r="M1271" s="771"/>
      <c r="N1271" s="772"/>
      <c r="O1271" s="772"/>
      <c r="P1271" s="772"/>
      <c r="Q1271" s="772"/>
      <c r="R1271" s="772"/>
      <c r="S1271" s="772"/>
      <c r="T1271" s="772"/>
      <c r="AW1271" s="2510"/>
      <c r="BC1271" s="2510"/>
      <c r="BD1271" s="2510"/>
      <c r="BE1271" s="2510"/>
      <c r="BF1271" s="2510"/>
      <c r="BH1271" s="2510"/>
      <c r="DB1271" s="773"/>
      <c r="DC1271" s="773"/>
      <c r="DD1271" s="773"/>
      <c r="DE1271" s="773"/>
      <c r="DF1271" s="773"/>
      <c r="DG1271" s="773"/>
      <c r="DH1271" s="773"/>
      <c r="DI1271" s="773"/>
      <c r="DJ1271" s="773"/>
      <c r="DK1271" s="773"/>
      <c r="DL1271" s="773"/>
      <c r="DM1271" s="773"/>
      <c r="DN1271" s="773"/>
      <c r="DO1271" s="773"/>
      <c r="DP1271" s="773"/>
      <c r="DQ1271" s="773"/>
      <c r="DR1271" s="773"/>
      <c r="DS1271" s="773"/>
      <c r="DT1271" s="773"/>
      <c r="DU1271" s="773"/>
      <c r="DV1271" s="773"/>
      <c r="DW1271" s="773"/>
      <c r="DX1271" s="773"/>
      <c r="DY1271" s="773"/>
      <c r="DZ1271" s="773"/>
      <c r="EA1271" s="773"/>
      <c r="EB1271" s="773"/>
      <c r="EC1271" s="773"/>
      <c r="ED1271" s="773"/>
      <c r="EE1271" s="773"/>
      <c r="EF1271" s="773"/>
      <c r="EG1271" s="773"/>
      <c r="EH1271" s="773"/>
      <c r="EI1271" s="773"/>
      <c r="EJ1271" s="773"/>
      <c r="EK1271" s="773"/>
      <c r="EL1271" s="773"/>
      <c r="EM1271" s="773"/>
      <c r="EN1271" s="773"/>
      <c r="EO1271" s="773"/>
      <c r="EP1271" s="773"/>
      <c r="EQ1271" s="773"/>
      <c r="ER1271" s="773"/>
      <c r="ES1271" s="773"/>
      <c r="ET1271" s="773"/>
      <c r="EU1271" s="773"/>
      <c r="EV1271" s="773"/>
      <c r="EW1271" s="773"/>
      <c r="EX1271" s="773"/>
      <c r="EY1271" s="773"/>
      <c r="EZ1271" s="773"/>
      <c r="FA1271" s="773"/>
      <c r="FB1271" s="773"/>
      <c r="FC1271" s="773"/>
      <c r="FD1271" s="773"/>
      <c r="FE1271" s="773"/>
      <c r="FF1271" s="773"/>
      <c r="FG1271" s="773"/>
      <c r="FH1271" s="773"/>
      <c r="FI1271" s="773"/>
      <c r="FJ1271" s="773"/>
      <c r="FK1271" s="773"/>
      <c r="FL1271" s="773"/>
      <c r="FM1271" s="773"/>
      <c r="FN1271" s="773"/>
      <c r="FO1271" s="773"/>
      <c r="FP1271" s="773"/>
      <c r="FQ1271" s="773"/>
      <c r="FR1271" s="773"/>
      <c r="FS1271" s="773"/>
      <c r="FT1271" s="773"/>
      <c r="FU1271" s="773"/>
      <c r="FV1271" s="773"/>
      <c r="FW1271" s="773"/>
      <c r="FX1271" s="773"/>
      <c r="FY1271" s="773"/>
      <c r="FZ1271" s="773"/>
      <c r="GA1271" s="773"/>
      <c r="GB1271" s="773"/>
      <c r="GC1271" s="773"/>
      <c r="GD1271" s="773"/>
      <c r="GE1271" s="773"/>
      <c r="GF1271" s="773"/>
      <c r="GG1271" s="773"/>
      <c r="GH1271" s="773"/>
      <c r="GI1271" s="773"/>
      <c r="GJ1271" s="773"/>
      <c r="GK1271" s="773"/>
      <c r="GL1271" s="773"/>
      <c r="GM1271" s="773"/>
      <c r="GN1271" s="773"/>
      <c r="GO1271" s="773"/>
      <c r="GP1271" s="773"/>
      <c r="GQ1271" s="773"/>
      <c r="GR1271" s="773"/>
      <c r="GS1271" s="773"/>
      <c r="GT1271" s="773"/>
      <c r="GU1271" s="773"/>
      <c r="GV1271" s="773"/>
      <c r="GW1271" s="773"/>
      <c r="GX1271" s="773"/>
      <c r="GY1271" s="773"/>
      <c r="GZ1271" s="773"/>
    </row>
    <row r="1272" spans="2:208" s="11" customFormat="1">
      <c r="B1272" s="775"/>
      <c r="C1272" s="826"/>
      <c r="D1272" s="775"/>
      <c r="K1272" s="209"/>
      <c r="M1272" s="771"/>
      <c r="N1272" s="772"/>
      <c r="O1272" s="772"/>
      <c r="P1272" s="772"/>
      <c r="Q1272" s="772"/>
      <c r="R1272" s="772"/>
      <c r="S1272" s="772"/>
      <c r="T1272" s="772"/>
      <c r="AW1272" s="2510"/>
      <c r="BC1272" s="2510"/>
      <c r="BD1272" s="2510"/>
      <c r="BE1272" s="2510"/>
      <c r="BF1272" s="2510"/>
      <c r="BH1272" s="2510"/>
      <c r="DB1272" s="773"/>
      <c r="DC1272" s="773"/>
      <c r="DD1272" s="773"/>
      <c r="DE1272" s="773"/>
      <c r="DF1272" s="773"/>
      <c r="DG1272" s="773"/>
      <c r="DH1272" s="773"/>
      <c r="DI1272" s="773"/>
      <c r="DJ1272" s="773"/>
      <c r="DK1272" s="773"/>
      <c r="DL1272" s="773"/>
      <c r="DM1272" s="773"/>
      <c r="DN1272" s="773"/>
      <c r="DO1272" s="773"/>
      <c r="DP1272" s="773"/>
      <c r="DQ1272" s="773"/>
      <c r="DR1272" s="773"/>
      <c r="DS1272" s="773"/>
      <c r="DT1272" s="773"/>
      <c r="DU1272" s="773"/>
      <c r="DV1272" s="773"/>
      <c r="DW1272" s="773"/>
      <c r="DX1272" s="773"/>
      <c r="DY1272" s="773"/>
      <c r="DZ1272" s="773"/>
      <c r="EA1272" s="773"/>
      <c r="EB1272" s="773"/>
      <c r="EC1272" s="773"/>
      <c r="ED1272" s="773"/>
      <c r="EE1272" s="773"/>
      <c r="EF1272" s="773"/>
      <c r="EG1272" s="773"/>
      <c r="EH1272" s="773"/>
      <c r="EI1272" s="773"/>
      <c r="EJ1272" s="773"/>
      <c r="EK1272" s="773"/>
      <c r="EL1272" s="773"/>
      <c r="EM1272" s="773"/>
      <c r="EN1272" s="773"/>
      <c r="EO1272" s="773"/>
      <c r="EP1272" s="773"/>
      <c r="EQ1272" s="773"/>
      <c r="ER1272" s="773"/>
      <c r="ES1272" s="773"/>
      <c r="ET1272" s="773"/>
      <c r="EU1272" s="773"/>
      <c r="EV1272" s="773"/>
      <c r="EW1272" s="773"/>
      <c r="EX1272" s="773"/>
      <c r="EY1272" s="773"/>
      <c r="EZ1272" s="773"/>
      <c r="FA1272" s="773"/>
      <c r="FB1272" s="773"/>
      <c r="FC1272" s="773"/>
      <c r="FD1272" s="773"/>
      <c r="FE1272" s="773"/>
      <c r="FF1272" s="773"/>
      <c r="FG1272" s="773"/>
      <c r="FH1272" s="773"/>
      <c r="FI1272" s="773"/>
      <c r="FJ1272" s="773"/>
      <c r="FK1272" s="773"/>
      <c r="FL1272" s="773"/>
      <c r="FM1272" s="773"/>
      <c r="FN1272" s="773"/>
      <c r="FO1272" s="773"/>
      <c r="FP1272" s="773"/>
      <c r="FQ1272" s="773"/>
      <c r="FR1272" s="773"/>
      <c r="FS1272" s="773"/>
      <c r="FT1272" s="773"/>
      <c r="FU1272" s="773"/>
      <c r="FV1272" s="773"/>
      <c r="FW1272" s="773"/>
      <c r="FX1272" s="773"/>
      <c r="FY1272" s="773"/>
      <c r="FZ1272" s="773"/>
      <c r="GA1272" s="773"/>
      <c r="GB1272" s="773"/>
      <c r="GC1272" s="773"/>
      <c r="GD1272" s="773"/>
      <c r="GE1272" s="773"/>
      <c r="GF1272" s="773"/>
      <c r="GG1272" s="773"/>
      <c r="GH1272" s="773"/>
      <c r="GI1272" s="773"/>
      <c r="GJ1272" s="773"/>
      <c r="GK1272" s="773"/>
      <c r="GL1272" s="773"/>
      <c r="GM1272" s="773"/>
      <c r="GN1272" s="773"/>
      <c r="GO1272" s="773"/>
      <c r="GP1272" s="773"/>
      <c r="GQ1272" s="773"/>
      <c r="GR1272" s="773"/>
      <c r="GS1272" s="773"/>
      <c r="GT1272" s="773"/>
      <c r="GU1272" s="773"/>
      <c r="GV1272" s="773"/>
      <c r="GW1272" s="773"/>
      <c r="GX1272" s="773"/>
      <c r="GY1272" s="773"/>
      <c r="GZ1272" s="773"/>
    </row>
    <row r="1273" spans="2:208" s="11" customFormat="1">
      <c r="B1273" s="775"/>
      <c r="C1273" s="826"/>
      <c r="D1273" s="775"/>
      <c r="K1273" s="209"/>
      <c r="M1273" s="771"/>
      <c r="N1273" s="772"/>
      <c r="O1273" s="772"/>
      <c r="P1273" s="772"/>
      <c r="Q1273" s="772"/>
      <c r="R1273" s="772"/>
      <c r="S1273" s="772"/>
      <c r="T1273" s="772"/>
      <c r="AW1273" s="2510"/>
      <c r="BC1273" s="2510"/>
      <c r="BD1273" s="2510"/>
      <c r="BE1273" s="2510"/>
      <c r="BF1273" s="2510"/>
      <c r="BH1273" s="2510"/>
      <c r="DB1273" s="773"/>
      <c r="DC1273" s="773"/>
      <c r="DD1273" s="773"/>
      <c r="DE1273" s="773"/>
      <c r="DF1273" s="773"/>
      <c r="DG1273" s="773"/>
      <c r="DH1273" s="773"/>
      <c r="DI1273" s="773"/>
      <c r="DJ1273" s="773"/>
      <c r="DK1273" s="773"/>
      <c r="DL1273" s="773"/>
      <c r="DM1273" s="773"/>
      <c r="DN1273" s="773"/>
      <c r="DO1273" s="773"/>
      <c r="DP1273" s="773"/>
      <c r="DQ1273" s="773"/>
      <c r="DR1273" s="773"/>
      <c r="DS1273" s="773"/>
      <c r="DT1273" s="773"/>
      <c r="DU1273" s="773"/>
      <c r="DV1273" s="773"/>
      <c r="DW1273" s="773"/>
      <c r="DX1273" s="773"/>
      <c r="DY1273" s="773"/>
      <c r="DZ1273" s="773"/>
      <c r="EA1273" s="773"/>
      <c r="EB1273" s="773"/>
      <c r="EC1273" s="773"/>
      <c r="ED1273" s="773"/>
      <c r="EE1273" s="773"/>
      <c r="EF1273" s="773"/>
      <c r="EG1273" s="773"/>
      <c r="EH1273" s="773"/>
      <c r="EI1273" s="773"/>
      <c r="EJ1273" s="773"/>
      <c r="EK1273" s="773"/>
      <c r="EL1273" s="773"/>
      <c r="EM1273" s="773"/>
      <c r="EN1273" s="773"/>
      <c r="EO1273" s="773"/>
      <c r="EP1273" s="773"/>
      <c r="EQ1273" s="773"/>
      <c r="ER1273" s="773"/>
      <c r="ES1273" s="773"/>
      <c r="ET1273" s="773"/>
      <c r="EU1273" s="773"/>
      <c r="EV1273" s="773"/>
      <c r="EW1273" s="773"/>
      <c r="EX1273" s="773"/>
      <c r="EY1273" s="773"/>
      <c r="EZ1273" s="773"/>
      <c r="FA1273" s="773"/>
      <c r="FB1273" s="773"/>
      <c r="FC1273" s="773"/>
      <c r="FD1273" s="773"/>
      <c r="FE1273" s="773"/>
      <c r="FF1273" s="773"/>
      <c r="FG1273" s="773"/>
      <c r="FH1273" s="773"/>
      <c r="FI1273" s="773"/>
      <c r="FJ1273" s="773"/>
      <c r="FK1273" s="773"/>
      <c r="FL1273" s="773"/>
      <c r="FM1273" s="773"/>
      <c r="FN1273" s="773"/>
      <c r="FO1273" s="773"/>
      <c r="FP1273" s="773"/>
      <c r="FQ1273" s="773"/>
      <c r="FR1273" s="773"/>
      <c r="FS1273" s="773"/>
      <c r="FT1273" s="773"/>
      <c r="FU1273" s="773"/>
      <c r="FV1273" s="773"/>
      <c r="FW1273" s="773"/>
      <c r="FX1273" s="773"/>
      <c r="FY1273" s="773"/>
      <c r="FZ1273" s="773"/>
      <c r="GA1273" s="773"/>
      <c r="GB1273" s="773"/>
      <c r="GC1273" s="773"/>
      <c r="GD1273" s="773"/>
      <c r="GE1273" s="773"/>
      <c r="GF1273" s="773"/>
      <c r="GG1273" s="773"/>
      <c r="GH1273" s="773"/>
      <c r="GI1273" s="773"/>
      <c r="GJ1273" s="773"/>
      <c r="GK1273" s="773"/>
      <c r="GL1273" s="773"/>
      <c r="GM1273" s="773"/>
      <c r="GN1273" s="773"/>
      <c r="GO1273" s="773"/>
      <c r="GP1273" s="773"/>
      <c r="GQ1273" s="773"/>
      <c r="GR1273" s="773"/>
      <c r="GS1273" s="773"/>
      <c r="GT1273" s="773"/>
      <c r="GU1273" s="773"/>
      <c r="GV1273" s="773"/>
      <c r="GW1273" s="773"/>
      <c r="GX1273" s="773"/>
      <c r="GY1273" s="773"/>
      <c r="GZ1273" s="773"/>
    </row>
    <row r="1274" spans="2:208" s="11" customFormat="1">
      <c r="B1274" s="775"/>
      <c r="C1274" s="826"/>
      <c r="D1274" s="775"/>
      <c r="K1274" s="209"/>
      <c r="M1274" s="771"/>
      <c r="N1274" s="772"/>
      <c r="O1274" s="772"/>
      <c r="P1274" s="772"/>
      <c r="Q1274" s="772"/>
      <c r="R1274" s="772"/>
      <c r="S1274" s="772"/>
      <c r="T1274" s="772"/>
      <c r="AW1274" s="2510"/>
      <c r="BC1274" s="2510"/>
      <c r="BD1274" s="2510"/>
      <c r="BE1274" s="2510"/>
      <c r="BF1274" s="2510"/>
      <c r="BH1274" s="2510"/>
      <c r="DB1274" s="773"/>
      <c r="DC1274" s="773"/>
      <c r="DD1274" s="773"/>
      <c r="DE1274" s="773"/>
      <c r="DF1274" s="773"/>
      <c r="DG1274" s="773"/>
      <c r="DH1274" s="773"/>
      <c r="DI1274" s="773"/>
      <c r="DJ1274" s="773"/>
      <c r="DK1274" s="773"/>
      <c r="DL1274" s="773"/>
      <c r="DM1274" s="773"/>
      <c r="DN1274" s="773"/>
      <c r="DO1274" s="773"/>
      <c r="DP1274" s="773"/>
      <c r="DQ1274" s="773"/>
      <c r="DR1274" s="773"/>
      <c r="DS1274" s="773"/>
      <c r="DT1274" s="773"/>
      <c r="DU1274" s="773"/>
      <c r="DV1274" s="773"/>
      <c r="DW1274" s="773"/>
      <c r="DX1274" s="773"/>
      <c r="DY1274" s="773"/>
      <c r="DZ1274" s="773"/>
      <c r="EA1274" s="773"/>
      <c r="EB1274" s="773"/>
      <c r="EC1274" s="773"/>
      <c r="ED1274" s="773"/>
      <c r="EE1274" s="773"/>
      <c r="EF1274" s="773"/>
      <c r="EG1274" s="773"/>
      <c r="EH1274" s="773"/>
      <c r="EI1274" s="773"/>
      <c r="EJ1274" s="773"/>
      <c r="EK1274" s="773"/>
      <c r="EL1274" s="773"/>
      <c r="EM1274" s="773"/>
      <c r="EN1274" s="773"/>
      <c r="EO1274" s="773"/>
      <c r="EP1274" s="773"/>
      <c r="EQ1274" s="773"/>
      <c r="ER1274" s="773"/>
      <c r="ES1274" s="773"/>
      <c r="ET1274" s="773"/>
      <c r="EU1274" s="773"/>
      <c r="EV1274" s="773"/>
      <c r="EW1274" s="773"/>
      <c r="EX1274" s="773"/>
      <c r="EY1274" s="773"/>
      <c r="EZ1274" s="773"/>
      <c r="FA1274" s="773"/>
      <c r="FB1274" s="773"/>
      <c r="FC1274" s="773"/>
      <c r="FD1274" s="773"/>
      <c r="FE1274" s="773"/>
      <c r="FF1274" s="773"/>
      <c r="FG1274" s="773"/>
      <c r="FH1274" s="773"/>
      <c r="FI1274" s="773"/>
      <c r="FJ1274" s="773"/>
      <c r="FK1274" s="773"/>
      <c r="FL1274" s="773"/>
      <c r="FM1274" s="773"/>
      <c r="FN1274" s="773"/>
      <c r="FO1274" s="773"/>
      <c r="FP1274" s="773"/>
      <c r="FQ1274" s="773"/>
      <c r="FR1274" s="773"/>
      <c r="FS1274" s="773"/>
      <c r="FT1274" s="773"/>
      <c r="FU1274" s="773"/>
      <c r="FV1274" s="773"/>
      <c r="FW1274" s="773"/>
      <c r="FX1274" s="773"/>
      <c r="FY1274" s="773"/>
      <c r="FZ1274" s="773"/>
      <c r="GA1274" s="773"/>
      <c r="GB1274" s="773"/>
      <c r="GC1274" s="773"/>
      <c r="GD1274" s="773"/>
      <c r="GE1274" s="773"/>
      <c r="GF1274" s="773"/>
      <c r="GG1274" s="773"/>
      <c r="GH1274" s="773"/>
      <c r="GI1274" s="773"/>
      <c r="GJ1274" s="773"/>
      <c r="GK1274" s="773"/>
      <c r="GL1274" s="773"/>
      <c r="GM1274" s="773"/>
      <c r="GN1274" s="773"/>
      <c r="GO1274" s="773"/>
      <c r="GP1274" s="773"/>
      <c r="GQ1274" s="773"/>
      <c r="GR1274" s="773"/>
      <c r="GS1274" s="773"/>
      <c r="GT1274" s="773"/>
      <c r="GU1274" s="773"/>
      <c r="GV1274" s="773"/>
      <c r="GW1274" s="773"/>
      <c r="GX1274" s="773"/>
      <c r="GY1274" s="773"/>
      <c r="GZ1274" s="773"/>
    </row>
    <row r="1275" spans="2:208" s="11" customFormat="1">
      <c r="B1275" s="775"/>
      <c r="C1275" s="826"/>
      <c r="D1275" s="775"/>
      <c r="K1275" s="209"/>
      <c r="M1275" s="771"/>
      <c r="N1275" s="772"/>
      <c r="O1275" s="772"/>
      <c r="P1275" s="772"/>
      <c r="Q1275" s="772"/>
      <c r="R1275" s="772"/>
      <c r="S1275" s="772"/>
      <c r="T1275" s="772"/>
      <c r="AW1275" s="2510"/>
      <c r="BC1275" s="2510"/>
      <c r="BD1275" s="2510"/>
      <c r="BE1275" s="2510"/>
      <c r="BF1275" s="2510"/>
      <c r="BH1275" s="2510"/>
      <c r="DB1275" s="773"/>
      <c r="DC1275" s="773"/>
      <c r="DD1275" s="773"/>
      <c r="DE1275" s="773"/>
      <c r="DF1275" s="773"/>
      <c r="DG1275" s="773"/>
      <c r="DH1275" s="773"/>
      <c r="DI1275" s="773"/>
      <c r="DJ1275" s="773"/>
      <c r="DK1275" s="773"/>
      <c r="DL1275" s="773"/>
      <c r="DM1275" s="773"/>
      <c r="DN1275" s="773"/>
      <c r="DO1275" s="773"/>
      <c r="DP1275" s="773"/>
      <c r="DQ1275" s="773"/>
      <c r="DR1275" s="773"/>
      <c r="DS1275" s="773"/>
      <c r="DT1275" s="773"/>
      <c r="DU1275" s="773"/>
      <c r="DV1275" s="773"/>
      <c r="DW1275" s="773"/>
      <c r="DX1275" s="773"/>
      <c r="DY1275" s="773"/>
      <c r="DZ1275" s="773"/>
      <c r="EA1275" s="773"/>
      <c r="EB1275" s="773"/>
      <c r="EC1275" s="773"/>
      <c r="ED1275" s="773"/>
      <c r="EE1275" s="773"/>
      <c r="EF1275" s="773"/>
      <c r="EG1275" s="773"/>
      <c r="EH1275" s="773"/>
      <c r="EI1275" s="773"/>
      <c r="EJ1275" s="773"/>
      <c r="EK1275" s="773"/>
      <c r="EL1275" s="773"/>
      <c r="EM1275" s="773"/>
      <c r="EN1275" s="773"/>
      <c r="EO1275" s="773"/>
      <c r="EP1275" s="773"/>
      <c r="EQ1275" s="773"/>
      <c r="ER1275" s="773"/>
      <c r="ES1275" s="773"/>
      <c r="ET1275" s="773"/>
      <c r="EU1275" s="773"/>
      <c r="EV1275" s="773"/>
      <c r="EW1275" s="773"/>
      <c r="EX1275" s="773"/>
      <c r="EY1275" s="773"/>
      <c r="EZ1275" s="773"/>
      <c r="FA1275" s="773"/>
      <c r="FB1275" s="773"/>
      <c r="FC1275" s="773"/>
      <c r="FD1275" s="773"/>
      <c r="FE1275" s="773"/>
      <c r="FF1275" s="773"/>
      <c r="FG1275" s="773"/>
      <c r="FH1275" s="773"/>
      <c r="FI1275" s="773"/>
      <c r="FJ1275" s="773"/>
      <c r="FK1275" s="773"/>
      <c r="FL1275" s="773"/>
      <c r="FM1275" s="773"/>
      <c r="FN1275" s="773"/>
      <c r="FO1275" s="773"/>
      <c r="FP1275" s="773"/>
      <c r="FQ1275" s="773"/>
      <c r="FR1275" s="773"/>
      <c r="FS1275" s="773"/>
      <c r="FT1275" s="773"/>
      <c r="FU1275" s="773"/>
      <c r="FV1275" s="773"/>
      <c r="FW1275" s="773"/>
      <c r="FX1275" s="773"/>
      <c r="FY1275" s="773"/>
      <c r="FZ1275" s="773"/>
      <c r="GA1275" s="773"/>
      <c r="GB1275" s="773"/>
      <c r="GC1275" s="773"/>
      <c r="GD1275" s="773"/>
      <c r="GE1275" s="773"/>
      <c r="GF1275" s="773"/>
      <c r="GG1275" s="773"/>
      <c r="GH1275" s="773"/>
      <c r="GI1275" s="773"/>
      <c r="GJ1275" s="773"/>
      <c r="GK1275" s="773"/>
      <c r="GL1275" s="773"/>
      <c r="GM1275" s="773"/>
      <c r="GN1275" s="773"/>
      <c r="GO1275" s="773"/>
      <c r="GP1275" s="773"/>
      <c r="GQ1275" s="773"/>
      <c r="GR1275" s="773"/>
      <c r="GS1275" s="773"/>
      <c r="GT1275" s="773"/>
      <c r="GU1275" s="773"/>
      <c r="GV1275" s="773"/>
      <c r="GW1275" s="773"/>
      <c r="GX1275" s="773"/>
      <c r="GY1275" s="773"/>
      <c r="GZ1275" s="773"/>
    </row>
    <row r="1276" spans="2:208" s="11" customFormat="1">
      <c r="B1276" s="775"/>
      <c r="C1276" s="826"/>
      <c r="D1276" s="775"/>
      <c r="K1276" s="209"/>
      <c r="M1276" s="771"/>
      <c r="N1276" s="772"/>
      <c r="O1276" s="772"/>
      <c r="P1276" s="772"/>
      <c r="Q1276" s="772"/>
      <c r="R1276" s="772"/>
      <c r="S1276" s="772"/>
      <c r="T1276" s="772"/>
      <c r="AW1276" s="2510"/>
      <c r="BC1276" s="2510"/>
      <c r="BD1276" s="2510"/>
      <c r="BE1276" s="2510"/>
      <c r="BF1276" s="2510"/>
      <c r="BH1276" s="2510"/>
      <c r="DB1276" s="773"/>
      <c r="DC1276" s="773"/>
      <c r="DD1276" s="773"/>
      <c r="DE1276" s="773"/>
      <c r="DF1276" s="773"/>
      <c r="DG1276" s="773"/>
      <c r="DH1276" s="773"/>
      <c r="DI1276" s="773"/>
      <c r="DJ1276" s="773"/>
      <c r="DK1276" s="773"/>
      <c r="DL1276" s="773"/>
      <c r="DM1276" s="773"/>
      <c r="DN1276" s="773"/>
      <c r="DO1276" s="773"/>
      <c r="DP1276" s="773"/>
      <c r="DQ1276" s="773"/>
      <c r="DR1276" s="773"/>
      <c r="DS1276" s="773"/>
      <c r="DT1276" s="773"/>
      <c r="DU1276" s="773"/>
      <c r="DV1276" s="773"/>
      <c r="DW1276" s="773"/>
      <c r="DX1276" s="773"/>
      <c r="DY1276" s="773"/>
      <c r="DZ1276" s="773"/>
      <c r="EA1276" s="773"/>
      <c r="EB1276" s="773"/>
      <c r="EC1276" s="773"/>
      <c r="ED1276" s="773"/>
      <c r="EE1276" s="773"/>
      <c r="EF1276" s="773"/>
      <c r="EG1276" s="773"/>
      <c r="EH1276" s="773"/>
      <c r="EI1276" s="773"/>
      <c r="EJ1276" s="773"/>
      <c r="EK1276" s="773"/>
      <c r="EL1276" s="773"/>
      <c r="EM1276" s="773"/>
      <c r="EN1276" s="773"/>
      <c r="EO1276" s="773"/>
      <c r="EP1276" s="773"/>
      <c r="EQ1276" s="773"/>
      <c r="ER1276" s="773"/>
      <c r="ES1276" s="773"/>
      <c r="ET1276" s="773"/>
      <c r="EU1276" s="773"/>
      <c r="EV1276" s="773"/>
      <c r="EW1276" s="773"/>
      <c r="EX1276" s="773"/>
      <c r="EY1276" s="773"/>
      <c r="EZ1276" s="773"/>
      <c r="FA1276" s="773"/>
      <c r="FB1276" s="773"/>
      <c r="FC1276" s="773"/>
      <c r="FD1276" s="773"/>
      <c r="FE1276" s="773"/>
      <c r="FF1276" s="773"/>
      <c r="FG1276" s="773"/>
      <c r="FH1276" s="773"/>
      <c r="FI1276" s="773"/>
      <c r="FJ1276" s="773"/>
      <c r="FK1276" s="773"/>
      <c r="FL1276" s="773"/>
      <c r="FM1276" s="773"/>
      <c r="FN1276" s="773"/>
      <c r="FO1276" s="773"/>
      <c r="FP1276" s="773"/>
      <c r="FQ1276" s="773"/>
      <c r="FR1276" s="773"/>
      <c r="FS1276" s="773"/>
      <c r="FT1276" s="773"/>
      <c r="FU1276" s="773"/>
      <c r="FV1276" s="773"/>
      <c r="FW1276" s="773"/>
      <c r="FX1276" s="773"/>
      <c r="FY1276" s="773"/>
      <c r="FZ1276" s="773"/>
      <c r="GA1276" s="773"/>
      <c r="GB1276" s="773"/>
      <c r="GC1276" s="773"/>
      <c r="GD1276" s="773"/>
      <c r="GE1276" s="773"/>
      <c r="GF1276" s="773"/>
      <c r="GG1276" s="773"/>
      <c r="GH1276" s="773"/>
      <c r="GI1276" s="773"/>
      <c r="GJ1276" s="773"/>
      <c r="GK1276" s="773"/>
      <c r="GL1276" s="773"/>
      <c r="GM1276" s="773"/>
      <c r="GN1276" s="773"/>
      <c r="GO1276" s="773"/>
      <c r="GP1276" s="773"/>
      <c r="GQ1276" s="773"/>
      <c r="GR1276" s="773"/>
      <c r="GS1276" s="773"/>
      <c r="GT1276" s="773"/>
      <c r="GU1276" s="773"/>
      <c r="GV1276" s="773"/>
      <c r="GW1276" s="773"/>
      <c r="GX1276" s="773"/>
      <c r="GY1276" s="773"/>
      <c r="GZ1276" s="773"/>
    </row>
    <row r="1277" spans="2:208" s="11" customFormat="1">
      <c r="B1277" s="775"/>
      <c r="C1277" s="826"/>
      <c r="D1277" s="775"/>
      <c r="K1277" s="209"/>
      <c r="M1277" s="771"/>
      <c r="N1277" s="772"/>
      <c r="O1277" s="772"/>
      <c r="P1277" s="772"/>
      <c r="Q1277" s="772"/>
      <c r="R1277" s="772"/>
      <c r="S1277" s="772"/>
      <c r="T1277" s="772"/>
      <c r="AW1277" s="2510"/>
      <c r="BC1277" s="2510"/>
      <c r="BD1277" s="2510"/>
      <c r="BE1277" s="2510"/>
      <c r="BF1277" s="2510"/>
      <c r="BH1277" s="2510"/>
      <c r="DB1277" s="773"/>
      <c r="DC1277" s="773"/>
      <c r="DD1277" s="773"/>
      <c r="DE1277" s="773"/>
      <c r="DF1277" s="773"/>
      <c r="DG1277" s="773"/>
      <c r="DH1277" s="773"/>
      <c r="DI1277" s="773"/>
      <c r="DJ1277" s="773"/>
      <c r="DK1277" s="773"/>
      <c r="DL1277" s="773"/>
      <c r="DM1277" s="773"/>
      <c r="DN1277" s="773"/>
      <c r="DO1277" s="773"/>
      <c r="DP1277" s="773"/>
      <c r="DQ1277" s="773"/>
      <c r="DR1277" s="773"/>
      <c r="DS1277" s="773"/>
      <c r="DT1277" s="773"/>
      <c r="DU1277" s="773"/>
      <c r="DV1277" s="773"/>
      <c r="DW1277" s="773"/>
      <c r="DX1277" s="773"/>
      <c r="DY1277" s="773"/>
      <c r="DZ1277" s="773"/>
      <c r="EA1277" s="773"/>
      <c r="EB1277" s="773"/>
      <c r="EC1277" s="773"/>
      <c r="ED1277" s="773"/>
      <c r="EE1277" s="773"/>
      <c r="EF1277" s="773"/>
      <c r="EG1277" s="773"/>
      <c r="EH1277" s="773"/>
      <c r="EI1277" s="773"/>
      <c r="EJ1277" s="773"/>
      <c r="EK1277" s="773"/>
      <c r="EL1277" s="773"/>
      <c r="EM1277" s="773"/>
      <c r="EN1277" s="773"/>
      <c r="EO1277" s="773"/>
      <c r="EP1277" s="773"/>
      <c r="EQ1277" s="773"/>
      <c r="ER1277" s="773"/>
      <c r="ES1277" s="773"/>
      <c r="ET1277" s="773"/>
      <c r="EU1277" s="773"/>
      <c r="EV1277" s="773"/>
      <c r="EW1277" s="773"/>
      <c r="EX1277" s="773"/>
      <c r="EY1277" s="773"/>
      <c r="EZ1277" s="773"/>
      <c r="FA1277" s="773"/>
      <c r="FB1277" s="773"/>
      <c r="FC1277" s="773"/>
      <c r="FD1277" s="773"/>
      <c r="FE1277" s="773"/>
      <c r="FF1277" s="773"/>
      <c r="FG1277" s="773"/>
      <c r="FH1277" s="773"/>
      <c r="FI1277" s="773"/>
      <c r="FJ1277" s="773"/>
      <c r="FK1277" s="773"/>
      <c r="FL1277" s="773"/>
      <c r="FM1277" s="773"/>
      <c r="FN1277" s="773"/>
      <c r="FO1277" s="773"/>
      <c r="FP1277" s="773"/>
      <c r="FQ1277" s="773"/>
      <c r="FR1277" s="773"/>
      <c r="FS1277" s="773"/>
      <c r="FT1277" s="773"/>
      <c r="FU1277" s="773"/>
      <c r="FV1277" s="773"/>
      <c r="FW1277" s="773"/>
      <c r="FX1277" s="773"/>
      <c r="FY1277" s="773"/>
      <c r="FZ1277" s="773"/>
      <c r="GA1277" s="773"/>
      <c r="GB1277" s="773"/>
      <c r="GC1277" s="773"/>
      <c r="GD1277" s="773"/>
      <c r="GE1277" s="773"/>
      <c r="GF1277" s="773"/>
      <c r="GG1277" s="773"/>
      <c r="GH1277" s="773"/>
      <c r="GI1277" s="773"/>
      <c r="GJ1277" s="773"/>
      <c r="GK1277" s="773"/>
      <c r="GL1277" s="773"/>
      <c r="GM1277" s="773"/>
      <c r="GN1277" s="773"/>
      <c r="GO1277" s="773"/>
      <c r="GP1277" s="773"/>
      <c r="GQ1277" s="773"/>
      <c r="GR1277" s="773"/>
      <c r="GS1277" s="773"/>
      <c r="GT1277" s="773"/>
      <c r="GU1277" s="773"/>
      <c r="GV1277" s="773"/>
      <c r="GW1277" s="773"/>
      <c r="GX1277" s="773"/>
      <c r="GY1277" s="773"/>
      <c r="GZ1277" s="773"/>
    </row>
    <row r="1278" spans="2:208" s="11" customFormat="1">
      <c r="B1278" s="775"/>
      <c r="C1278" s="826"/>
      <c r="D1278" s="775"/>
      <c r="K1278" s="209"/>
      <c r="M1278" s="771"/>
      <c r="N1278" s="772"/>
      <c r="O1278" s="772"/>
      <c r="P1278" s="772"/>
      <c r="Q1278" s="772"/>
      <c r="R1278" s="772"/>
      <c r="S1278" s="772"/>
      <c r="T1278" s="772"/>
      <c r="AW1278" s="2510"/>
      <c r="BC1278" s="2510"/>
      <c r="BD1278" s="2510"/>
      <c r="BE1278" s="2510"/>
      <c r="BF1278" s="2510"/>
      <c r="BH1278" s="2510"/>
      <c r="DB1278" s="773"/>
      <c r="DC1278" s="773"/>
      <c r="DD1278" s="773"/>
      <c r="DE1278" s="773"/>
      <c r="DF1278" s="773"/>
      <c r="DG1278" s="773"/>
      <c r="DH1278" s="773"/>
      <c r="DI1278" s="773"/>
      <c r="DJ1278" s="773"/>
      <c r="DK1278" s="773"/>
      <c r="DL1278" s="773"/>
      <c r="DM1278" s="773"/>
      <c r="DN1278" s="773"/>
      <c r="DO1278" s="773"/>
      <c r="DP1278" s="773"/>
      <c r="DQ1278" s="773"/>
      <c r="DR1278" s="773"/>
      <c r="DS1278" s="773"/>
      <c r="DT1278" s="773"/>
      <c r="DU1278" s="773"/>
      <c r="DV1278" s="773"/>
      <c r="DW1278" s="773"/>
      <c r="DX1278" s="773"/>
      <c r="DY1278" s="773"/>
      <c r="DZ1278" s="773"/>
      <c r="EA1278" s="773"/>
      <c r="EB1278" s="773"/>
      <c r="EC1278" s="773"/>
      <c r="ED1278" s="773"/>
      <c r="EE1278" s="773"/>
      <c r="EF1278" s="773"/>
      <c r="EG1278" s="773"/>
      <c r="EH1278" s="773"/>
      <c r="EI1278" s="773"/>
      <c r="EJ1278" s="773"/>
      <c r="EK1278" s="773"/>
      <c r="EL1278" s="773"/>
      <c r="EM1278" s="773"/>
      <c r="EN1278" s="773"/>
      <c r="EO1278" s="773"/>
      <c r="EP1278" s="773"/>
      <c r="EQ1278" s="773"/>
      <c r="ER1278" s="773"/>
      <c r="ES1278" s="773"/>
      <c r="ET1278" s="773"/>
      <c r="EU1278" s="773"/>
      <c r="EV1278" s="773"/>
      <c r="EW1278" s="773"/>
      <c r="EX1278" s="773"/>
      <c r="EY1278" s="773"/>
      <c r="EZ1278" s="773"/>
      <c r="FA1278" s="773"/>
      <c r="FB1278" s="773"/>
      <c r="FC1278" s="773"/>
      <c r="FD1278" s="773"/>
      <c r="FE1278" s="773"/>
      <c r="FF1278" s="773"/>
      <c r="FG1278" s="773"/>
      <c r="FH1278" s="773"/>
      <c r="FI1278" s="773"/>
      <c r="FJ1278" s="773"/>
      <c r="FK1278" s="773"/>
      <c r="FL1278" s="773"/>
      <c r="FM1278" s="773"/>
      <c r="FN1278" s="773"/>
      <c r="FO1278" s="773"/>
      <c r="FP1278" s="773"/>
      <c r="FQ1278" s="773"/>
      <c r="FR1278" s="773"/>
      <c r="FS1278" s="773"/>
      <c r="FT1278" s="773"/>
      <c r="FU1278" s="773"/>
      <c r="FV1278" s="773"/>
      <c r="FW1278" s="773"/>
      <c r="FX1278" s="773"/>
      <c r="FY1278" s="773"/>
      <c r="FZ1278" s="773"/>
      <c r="GA1278" s="773"/>
      <c r="GB1278" s="773"/>
      <c r="GC1278" s="773"/>
      <c r="GD1278" s="773"/>
      <c r="GE1278" s="773"/>
      <c r="GF1278" s="773"/>
      <c r="GG1278" s="773"/>
      <c r="GH1278" s="773"/>
      <c r="GI1278" s="773"/>
      <c r="GJ1278" s="773"/>
      <c r="GK1278" s="773"/>
      <c r="GL1278" s="773"/>
      <c r="GM1278" s="773"/>
      <c r="GN1278" s="773"/>
      <c r="GO1278" s="773"/>
      <c r="GP1278" s="773"/>
      <c r="GQ1278" s="773"/>
      <c r="GR1278" s="773"/>
      <c r="GS1278" s="773"/>
      <c r="GT1278" s="773"/>
      <c r="GU1278" s="773"/>
      <c r="GV1278" s="773"/>
      <c r="GW1278" s="773"/>
      <c r="GX1278" s="773"/>
      <c r="GY1278" s="773"/>
      <c r="GZ1278" s="773"/>
    </row>
    <row r="1279" spans="2:208" s="11" customFormat="1">
      <c r="B1279" s="775"/>
      <c r="C1279" s="826"/>
      <c r="D1279" s="775"/>
      <c r="K1279" s="209"/>
      <c r="M1279" s="771"/>
      <c r="N1279" s="772"/>
      <c r="O1279" s="772"/>
      <c r="P1279" s="772"/>
      <c r="Q1279" s="772"/>
      <c r="R1279" s="772"/>
      <c r="S1279" s="772"/>
      <c r="T1279" s="772"/>
      <c r="AW1279" s="2510"/>
      <c r="BC1279" s="2510"/>
      <c r="BD1279" s="2510"/>
      <c r="BE1279" s="2510"/>
      <c r="BF1279" s="2510"/>
      <c r="BH1279" s="2510"/>
      <c r="DB1279" s="773"/>
      <c r="DC1279" s="773"/>
      <c r="DD1279" s="773"/>
      <c r="DE1279" s="773"/>
      <c r="DF1279" s="773"/>
      <c r="DG1279" s="773"/>
      <c r="DH1279" s="773"/>
      <c r="DI1279" s="773"/>
      <c r="DJ1279" s="773"/>
      <c r="DK1279" s="773"/>
      <c r="DL1279" s="773"/>
      <c r="DM1279" s="773"/>
      <c r="DN1279" s="773"/>
      <c r="DO1279" s="773"/>
      <c r="DP1279" s="773"/>
      <c r="DQ1279" s="773"/>
      <c r="DR1279" s="773"/>
      <c r="DS1279" s="773"/>
      <c r="DT1279" s="773"/>
      <c r="DU1279" s="773"/>
      <c r="DV1279" s="773"/>
      <c r="DW1279" s="773"/>
      <c r="DX1279" s="773"/>
      <c r="DY1279" s="773"/>
      <c r="DZ1279" s="773"/>
      <c r="EA1279" s="773"/>
      <c r="EB1279" s="773"/>
      <c r="EC1279" s="773"/>
      <c r="ED1279" s="773"/>
      <c r="EE1279" s="773"/>
      <c r="EF1279" s="773"/>
      <c r="EG1279" s="773"/>
      <c r="EH1279" s="773"/>
      <c r="EI1279" s="773"/>
      <c r="EJ1279" s="773"/>
      <c r="EK1279" s="773"/>
      <c r="EL1279" s="773"/>
      <c r="EM1279" s="773"/>
      <c r="EN1279" s="773"/>
      <c r="EO1279" s="773"/>
      <c r="EP1279" s="773"/>
      <c r="EQ1279" s="773"/>
      <c r="ER1279" s="773"/>
      <c r="ES1279" s="773"/>
      <c r="ET1279" s="773"/>
      <c r="EU1279" s="773"/>
      <c r="EV1279" s="773"/>
      <c r="EW1279" s="773"/>
      <c r="EX1279" s="773"/>
      <c r="EY1279" s="773"/>
      <c r="EZ1279" s="773"/>
      <c r="FA1279" s="773"/>
      <c r="FB1279" s="773"/>
      <c r="FC1279" s="773"/>
      <c r="FD1279" s="773"/>
      <c r="FE1279" s="773"/>
      <c r="FF1279" s="773"/>
      <c r="FG1279" s="773"/>
      <c r="FH1279" s="773"/>
      <c r="FI1279" s="773"/>
      <c r="FJ1279" s="773"/>
      <c r="FK1279" s="773"/>
      <c r="FL1279" s="773"/>
      <c r="FM1279" s="773"/>
      <c r="FN1279" s="773"/>
      <c r="FO1279" s="773"/>
      <c r="FP1279" s="773"/>
      <c r="FQ1279" s="773"/>
      <c r="FR1279" s="773"/>
      <c r="FS1279" s="773"/>
      <c r="FT1279" s="773"/>
      <c r="FU1279" s="773"/>
      <c r="FV1279" s="773"/>
      <c r="FW1279" s="773"/>
      <c r="FX1279" s="773"/>
      <c r="FY1279" s="773"/>
      <c r="FZ1279" s="773"/>
      <c r="GA1279" s="773"/>
      <c r="GB1279" s="773"/>
      <c r="GC1279" s="773"/>
      <c r="GD1279" s="773"/>
      <c r="GE1279" s="773"/>
      <c r="GF1279" s="773"/>
      <c r="GG1279" s="773"/>
      <c r="GH1279" s="773"/>
      <c r="GI1279" s="773"/>
      <c r="GJ1279" s="773"/>
      <c r="GK1279" s="773"/>
      <c r="GL1279" s="773"/>
      <c r="GM1279" s="773"/>
      <c r="GN1279" s="773"/>
      <c r="GO1279" s="773"/>
      <c r="GP1279" s="773"/>
      <c r="GQ1279" s="773"/>
      <c r="GR1279" s="773"/>
      <c r="GS1279" s="773"/>
      <c r="GT1279" s="773"/>
      <c r="GU1279" s="773"/>
      <c r="GV1279" s="773"/>
      <c r="GW1279" s="773"/>
      <c r="GX1279" s="773"/>
      <c r="GY1279" s="773"/>
      <c r="GZ1279" s="773"/>
    </row>
    <row r="1280" spans="2:208" s="11" customFormat="1">
      <c r="B1280" s="775"/>
      <c r="C1280" s="826"/>
      <c r="D1280" s="775"/>
      <c r="K1280" s="209"/>
      <c r="M1280" s="771"/>
      <c r="N1280" s="772"/>
      <c r="O1280" s="772"/>
      <c r="P1280" s="772"/>
      <c r="Q1280" s="772"/>
      <c r="R1280" s="772"/>
      <c r="S1280" s="772"/>
      <c r="T1280" s="772"/>
      <c r="AW1280" s="2510"/>
      <c r="BC1280" s="2510"/>
      <c r="BD1280" s="2510"/>
      <c r="BE1280" s="2510"/>
      <c r="BF1280" s="2510"/>
      <c r="BH1280" s="2510"/>
      <c r="DB1280" s="773"/>
      <c r="DC1280" s="773"/>
      <c r="DD1280" s="773"/>
      <c r="DE1280" s="773"/>
      <c r="DF1280" s="773"/>
      <c r="DG1280" s="773"/>
      <c r="DH1280" s="773"/>
      <c r="DI1280" s="773"/>
      <c r="DJ1280" s="773"/>
      <c r="DK1280" s="773"/>
      <c r="DL1280" s="773"/>
      <c r="DM1280" s="773"/>
      <c r="DN1280" s="773"/>
      <c r="DO1280" s="773"/>
      <c r="DP1280" s="773"/>
      <c r="DQ1280" s="773"/>
      <c r="DR1280" s="773"/>
      <c r="DS1280" s="773"/>
      <c r="DT1280" s="773"/>
      <c r="DU1280" s="773"/>
      <c r="DV1280" s="773"/>
      <c r="DW1280" s="773"/>
      <c r="DX1280" s="773"/>
      <c r="DY1280" s="773"/>
      <c r="DZ1280" s="773"/>
      <c r="EA1280" s="773"/>
      <c r="EB1280" s="773"/>
      <c r="EC1280" s="773"/>
      <c r="ED1280" s="773"/>
      <c r="EE1280" s="773"/>
      <c r="EF1280" s="773"/>
      <c r="EG1280" s="773"/>
      <c r="EH1280" s="773"/>
      <c r="EI1280" s="773"/>
      <c r="EJ1280" s="773"/>
      <c r="EK1280" s="773"/>
      <c r="EL1280" s="773"/>
      <c r="EM1280" s="773"/>
      <c r="EN1280" s="773"/>
      <c r="EO1280" s="773"/>
      <c r="EP1280" s="773"/>
      <c r="EQ1280" s="773"/>
      <c r="ER1280" s="773"/>
      <c r="ES1280" s="773"/>
      <c r="ET1280" s="773"/>
      <c r="EU1280" s="773"/>
      <c r="EV1280" s="773"/>
      <c r="EW1280" s="773"/>
      <c r="EX1280" s="773"/>
      <c r="EY1280" s="773"/>
      <c r="EZ1280" s="773"/>
      <c r="FA1280" s="773"/>
      <c r="FB1280" s="773"/>
      <c r="FC1280" s="773"/>
      <c r="FD1280" s="773"/>
      <c r="FE1280" s="773"/>
      <c r="FF1280" s="773"/>
      <c r="FG1280" s="773"/>
      <c r="FH1280" s="773"/>
      <c r="FI1280" s="773"/>
      <c r="FJ1280" s="773"/>
      <c r="FK1280" s="773"/>
      <c r="FL1280" s="773"/>
      <c r="FM1280" s="773"/>
      <c r="FN1280" s="773"/>
      <c r="FO1280" s="773"/>
      <c r="FP1280" s="773"/>
      <c r="FQ1280" s="773"/>
      <c r="FR1280" s="773"/>
      <c r="FS1280" s="773"/>
      <c r="FT1280" s="773"/>
      <c r="FU1280" s="773"/>
      <c r="FV1280" s="773"/>
      <c r="FW1280" s="773"/>
      <c r="FX1280" s="773"/>
      <c r="FY1280" s="773"/>
      <c r="FZ1280" s="773"/>
      <c r="GA1280" s="773"/>
      <c r="GB1280" s="773"/>
      <c r="GC1280" s="773"/>
      <c r="GD1280" s="773"/>
      <c r="GE1280" s="773"/>
      <c r="GF1280" s="773"/>
      <c r="GG1280" s="773"/>
      <c r="GH1280" s="773"/>
      <c r="GI1280" s="773"/>
      <c r="GJ1280" s="773"/>
      <c r="GK1280" s="773"/>
      <c r="GL1280" s="773"/>
      <c r="GM1280" s="773"/>
      <c r="GN1280" s="773"/>
      <c r="GO1280" s="773"/>
      <c r="GP1280" s="773"/>
      <c r="GQ1280" s="773"/>
      <c r="GR1280" s="773"/>
      <c r="GS1280" s="773"/>
      <c r="GT1280" s="773"/>
      <c r="GU1280" s="773"/>
      <c r="GV1280" s="773"/>
      <c r="GW1280" s="773"/>
      <c r="GX1280" s="773"/>
      <c r="GY1280" s="773"/>
      <c r="GZ1280" s="773"/>
    </row>
    <row r="1281" spans="2:208" s="11" customFormat="1">
      <c r="B1281" s="775"/>
      <c r="C1281" s="826"/>
      <c r="D1281" s="775"/>
      <c r="K1281" s="209"/>
      <c r="M1281" s="771"/>
      <c r="N1281" s="772"/>
      <c r="O1281" s="772"/>
      <c r="P1281" s="772"/>
      <c r="Q1281" s="772"/>
      <c r="R1281" s="772"/>
      <c r="S1281" s="772"/>
      <c r="T1281" s="772"/>
      <c r="AW1281" s="2510"/>
      <c r="BC1281" s="2510"/>
      <c r="BD1281" s="2510"/>
      <c r="BE1281" s="2510"/>
      <c r="BF1281" s="2510"/>
      <c r="BH1281" s="2510"/>
      <c r="DB1281" s="773"/>
      <c r="DC1281" s="773"/>
      <c r="DD1281" s="773"/>
      <c r="DE1281" s="773"/>
      <c r="DF1281" s="773"/>
      <c r="DG1281" s="773"/>
      <c r="DH1281" s="773"/>
      <c r="DI1281" s="773"/>
      <c r="DJ1281" s="773"/>
      <c r="DK1281" s="773"/>
      <c r="DL1281" s="773"/>
      <c r="DM1281" s="773"/>
      <c r="DN1281" s="773"/>
      <c r="DO1281" s="773"/>
      <c r="DP1281" s="773"/>
      <c r="DQ1281" s="773"/>
      <c r="DR1281" s="773"/>
      <c r="DS1281" s="773"/>
      <c r="DT1281" s="773"/>
      <c r="DU1281" s="773"/>
      <c r="DV1281" s="773"/>
      <c r="DW1281" s="773"/>
      <c r="DX1281" s="773"/>
      <c r="DY1281" s="773"/>
      <c r="DZ1281" s="773"/>
      <c r="EA1281" s="773"/>
      <c r="EB1281" s="773"/>
      <c r="EC1281" s="773"/>
      <c r="ED1281" s="773"/>
      <c r="EE1281" s="773"/>
      <c r="EF1281" s="773"/>
      <c r="EG1281" s="773"/>
      <c r="EH1281" s="773"/>
      <c r="EI1281" s="773"/>
      <c r="EJ1281" s="773"/>
      <c r="EK1281" s="773"/>
      <c r="EL1281" s="773"/>
      <c r="EM1281" s="773"/>
      <c r="EN1281" s="773"/>
      <c r="EO1281" s="773"/>
      <c r="EP1281" s="773"/>
      <c r="EQ1281" s="773"/>
      <c r="ER1281" s="773"/>
      <c r="ES1281" s="773"/>
      <c r="ET1281" s="773"/>
      <c r="EU1281" s="773"/>
      <c r="EV1281" s="773"/>
      <c r="EW1281" s="773"/>
      <c r="EX1281" s="773"/>
      <c r="EY1281" s="773"/>
      <c r="EZ1281" s="773"/>
      <c r="FA1281" s="773"/>
      <c r="FB1281" s="773"/>
      <c r="FC1281" s="773"/>
      <c r="FD1281" s="773"/>
      <c r="FE1281" s="773"/>
      <c r="FF1281" s="773"/>
      <c r="FG1281" s="773"/>
      <c r="FH1281" s="773"/>
      <c r="FI1281" s="773"/>
      <c r="FJ1281" s="773"/>
      <c r="FK1281" s="773"/>
      <c r="FL1281" s="773"/>
      <c r="FM1281" s="773"/>
      <c r="FN1281" s="773"/>
      <c r="FO1281" s="773"/>
      <c r="FP1281" s="773"/>
      <c r="FQ1281" s="773"/>
      <c r="FR1281" s="773"/>
      <c r="FS1281" s="773"/>
      <c r="FT1281" s="773"/>
      <c r="FU1281" s="773"/>
      <c r="FV1281" s="773"/>
      <c r="FW1281" s="773"/>
      <c r="FX1281" s="773"/>
      <c r="FY1281" s="773"/>
      <c r="FZ1281" s="773"/>
      <c r="GA1281" s="773"/>
      <c r="GB1281" s="773"/>
      <c r="GC1281" s="773"/>
      <c r="GD1281" s="773"/>
      <c r="GE1281" s="773"/>
      <c r="GF1281" s="773"/>
      <c r="GG1281" s="773"/>
      <c r="GH1281" s="773"/>
      <c r="GI1281" s="773"/>
      <c r="GJ1281" s="773"/>
      <c r="GK1281" s="773"/>
      <c r="GL1281" s="773"/>
      <c r="GM1281" s="773"/>
      <c r="GN1281" s="773"/>
      <c r="GO1281" s="773"/>
      <c r="GP1281" s="773"/>
      <c r="GQ1281" s="773"/>
      <c r="GR1281" s="773"/>
      <c r="GS1281" s="773"/>
      <c r="GT1281" s="773"/>
      <c r="GU1281" s="773"/>
      <c r="GV1281" s="773"/>
      <c r="GW1281" s="773"/>
      <c r="GX1281" s="773"/>
      <c r="GY1281" s="773"/>
      <c r="GZ1281" s="773"/>
    </row>
    <row r="1282" spans="2:208" s="11" customFormat="1">
      <c r="B1282" s="775"/>
      <c r="C1282" s="826"/>
      <c r="D1282" s="775"/>
      <c r="K1282" s="209"/>
      <c r="M1282" s="771"/>
      <c r="N1282" s="772"/>
      <c r="O1282" s="772"/>
      <c r="P1282" s="772"/>
      <c r="Q1282" s="772"/>
      <c r="R1282" s="772"/>
      <c r="S1282" s="772"/>
      <c r="T1282" s="772"/>
      <c r="AW1282" s="2510"/>
      <c r="BC1282" s="2510"/>
      <c r="BD1282" s="2510"/>
      <c r="BE1282" s="2510"/>
      <c r="BF1282" s="2510"/>
      <c r="BH1282" s="2510"/>
      <c r="DB1282" s="773"/>
      <c r="DC1282" s="773"/>
      <c r="DD1282" s="773"/>
      <c r="DE1282" s="773"/>
      <c r="DF1282" s="773"/>
      <c r="DG1282" s="773"/>
      <c r="DH1282" s="773"/>
      <c r="DI1282" s="773"/>
      <c r="DJ1282" s="773"/>
      <c r="DK1282" s="773"/>
      <c r="DL1282" s="773"/>
      <c r="DM1282" s="773"/>
      <c r="DN1282" s="773"/>
      <c r="DO1282" s="773"/>
      <c r="DP1282" s="773"/>
      <c r="DQ1282" s="773"/>
      <c r="DR1282" s="773"/>
      <c r="DS1282" s="773"/>
      <c r="DT1282" s="773"/>
      <c r="DU1282" s="773"/>
      <c r="DV1282" s="773"/>
      <c r="DW1282" s="773"/>
      <c r="DX1282" s="773"/>
      <c r="DY1282" s="773"/>
      <c r="DZ1282" s="773"/>
      <c r="EA1282" s="773"/>
      <c r="EB1282" s="773"/>
      <c r="EC1282" s="773"/>
      <c r="ED1282" s="773"/>
      <c r="EE1282" s="773"/>
      <c r="EF1282" s="773"/>
      <c r="EG1282" s="773"/>
      <c r="EH1282" s="773"/>
      <c r="EI1282" s="773"/>
      <c r="EJ1282" s="773"/>
      <c r="EK1282" s="773"/>
      <c r="EL1282" s="773"/>
      <c r="EM1282" s="773"/>
      <c r="EN1282" s="773"/>
      <c r="EO1282" s="773"/>
      <c r="EP1282" s="773"/>
      <c r="EQ1282" s="773"/>
      <c r="ER1282" s="773"/>
      <c r="ES1282" s="773"/>
      <c r="ET1282" s="773"/>
      <c r="EU1282" s="773"/>
      <c r="EV1282" s="773"/>
      <c r="EW1282" s="773"/>
      <c r="EX1282" s="773"/>
      <c r="EY1282" s="773"/>
      <c r="EZ1282" s="773"/>
      <c r="FA1282" s="773"/>
      <c r="FB1282" s="773"/>
      <c r="FC1282" s="773"/>
      <c r="FD1282" s="773"/>
      <c r="FE1282" s="773"/>
      <c r="FF1282" s="773"/>
      <c r="FG1282" s="773"/>
      <c r="FH1282" s="773"/>
      <c r="FI1282" s="773"/>
      <c r="FJ1282" s="773"/>
      <c r="FK1282" s="773"/>
      <c r="FL1282" s="773"/>
      <c r="FM1282" s="773"/>
      <c r="FN1282" s="773"/>
      <c r="FO1282" s="773"/>
      <c r="FP1282" s="773"/>
      <c r="FQ1282" s="773"/>
      <c r="FR1282" s="773"/>
      <c r="FS1282" s="773"/>
      <c r="FT1282" s="773"/>
      <c r="FU1282" s="773"/>
      <c r="FV1282" s="773"/>
      <c r="FW1282" s="773"/>
      <c r="FX1282" s="773"/>
      <c r="FY1282" s="773"/>
      <c r="FZ1282" s="773"/>
      <c r="GA1282" s="773"/>
      <c r="GB1282" s="773"/>
      <c r="GC1282" s="773"/>
      <c r="GD1282" s="773"/>
      <c r="GE1282" s="773"/>
      <c r="GF1282" s="773"/>
      <c r="GG1282" s="773"/>
      <c r="GH1282" s="773"/>
      <c r="GI1282" s="773"/>
      <c r="GJ1282" s="773"/>
      <c r="GK1282" s="773"/>
      <c r="GL1282" s="773"/>
      <c r="GM1282" s="773"/>
      <c r="GN1282" s="773"/>
      <c r="GO1282" s="773"/>
      <c r="GP1282" s="773"/>
      <c r="GQ1282" s="773"/>
      <c r="GR1282" s="773"/>
      <c r="GS1282" s="773"/>
      <c r="GT1282" s="773"/>
      <c r="GU1282" s="773"/>
      <c r="GV1282" s="773"/>
      <c r="GW1282" s="773"/>
      <c r="GX1282" s="773"/>
      <c r="GY1282" s="773"/>
      <c r="GZ1282" s="773"/>
    </row>
    <row r="1283" spans="2:208" s="11" customFormat="1">
      <c r="B1283" s="775"/>
      <c r="C1283" s="826"/>
      <c r="D1283" s="775"/>
      <c r="K1283" s="209"/>
      <c r="M1283" s="771"/>
      <c r="N1283" s="772"/>
      <c r="O1283" s="772"/>
      <c r="P1283" s="772"/>
      <c r="Q1283" s="772"/>
      <c r="R1283" s="772"/>
      <c r="S1283" s="772"/>
      <c r="T1283" s="772"/>
      <c r="AW1283" s="2510"/>
      <c r="BC1283" s="2510"/>
      <c r="BD1283" s="2510"/>
      <c r="BE1283" s="2510"/>
      <c r="BF1283" s="2510"/>
      <c r="BH1283" s="2510"/>
      <c r="DB1283" s="773"/>
      <c r="DC1283" s="773"/>
      <c r="DD1283" s="773"/>
      <c r="DE1283" s="773"/>
      <c r="DF1283" s="773"/>
      <c r="DG1283" s="773"/>
      <c r="DH1283" s="773"/>
      <c r="DI1283" s="773"/>
      <c r="DJ1283" s="773"/>
      <c r="DK1283" s="773"/>
      <c r="DL1283" s="773"/>
      <c r="DM1283" s="773"/>
      <c r="DN1283" s="773"/>
      <c r="DO1283" s="773"/>
      <c r="DP1283" s="773"/>
      <c r="DQ1283" s="773"/>
      <c r="DR1283" s="773"/>
      <c r="DS1283" s="773"/>
      <c r="DT1283" s="773"/>
      <c r="DU1283" s="773"/>
      <c r="DV1283" s="773"/>
      <c r="DW1283" s="773"/>
      <c r="DX1283" s="773"/>
      <c r="DY1283" s="773"/>
      <c r="DZ1283" s="773"/>
      <c r="EA1283" s="773"/>
      <c r="EB1283" s="773"/>
      <c r="EC1283" s="773"/>
      <c r="ED1283" s="773"/>
      <c r="EE1283" s="773"/>
      <c r="EF1283" s="773"/>
      <c r="EG1283" s="773"/>
      <c r="EH1283" s="773"/>
      <c r="EI1283" s="773"/>
      <c r="EJ1283" s="773"/>
      <c r="EK1283" s="773"/>
      <c r="EL1283" s="773"/>
      <c r="EM1283" s="773"/>
      <c r="EN1283" s="773"/>
      <c r="EO1283" s="773"/>
      <c r="EP1283" s="773"/>
      <c r="EQ1283" s="773"/>
      <c r="ER1283" s="773"/>
      <c r="ES1283" s="773"/>
      <c r="ET1283" s="773"/>
      <c r="EU1283" s="773"/>
      <c r="EV1283" s="773"/>
      <c r="EW1283" s="773"/>
      <c r="EX1283" s="773"/>
      <c r="EY1283" s="773"/>
      <c r="EZ1283" s="773"/>
      <c r="FA1283" s="773"/>
      <c r="FB1283" s="773"/>
      <c r="FC1283" s="773"/>
      <c r="FD1283" s="773"/>
      <c r="FE1283" s="773"/>
      <c r="FF1283" s="773"/>
      <c r="FG1283" s="773"/>
      <c r="FH1283" s="773"/>
      <c r="FI1283" s="773"/>
      <c r="FJ1283" s="773"/>
      <c r="FK1283" s="773"/>
      <c r="FL1283" s="773"/>
      <c r="FM1283" s="773"/>
      <c r="FN1283" s="773"/>
      <c r="FO1283" s="773"/>
      <c r="FP1283" s="773"/>
      <c r="FQ1283" s="773"/>
      <c r="FR1283" s="773"/>
      <c r="FS1283" s="773"/>
      <c r="FT1283" s="773"/>
      <c r="FU1283" s="773"/>
      <c r="FV1283" s="773"/>
      <c r="FW1283" s="773"/>
      <c r="FX1283" s="773"/>
      <c r="FY1283" s="773"/>
      <c r="FZ1283" s="773"/>
      <c r="GA1283" s="773"/>
      <c r="GB1283" s="773"/>
      <c r="GC1283" s="773"/>
      <c r="GD1283" s="773"/>
      <c r="GE1283" s="773"/>
      <c r="GF1283" s="773"/>
      <c r="GG1283" s="773"/>
      <c r="GH1283" s="773"/>
      <c r="GI1283" s="773"/>
      <c r="GJ1283" s="773"/>
      <c r="GK1283" s="773"/>
      <c r="GL1283" s="773"/>
      <c r="GM1283" s="773"/>
      <c r="GN1283" s="773"/>
      <c r="GO1283" s="773"/>
      <c r="GP1283" s="773"/>
      <c r="GQ1283" s="773"/>
      <c r="GR1283" s="773"/>
      <c r="GS1283" s="773"/>
      <c r="GT1283" s="773"/>
      <c r="GU1283" s="773"/>
      <c r="GV1283" s="773"/>
      <c r="GW1283" s="773"/>
      <c r="GX1283" s="773"/>
      <c r="GY1283" s="773"/>
      <c r="GZ1283" s="773"/>
    </row>
    <row r="1284" spans="2:208" s="11" customFormat="1">
      <c r="B1284" s="775"/>
      <c r="C1284" s="826"/>
      <c r="D1284" s="775"/>
      <c r="K1284" s="209"/>
      <c r="M1284" s="771"/>
      <c r="N1284" s="772"/>
      <c r="O1284" s="772"/>
      <c r="P1284" s="772"/>
      <c r="Q1284" s="772"/>
      <c r="R1284" s="772"/>
      <c r="S1284" s="772"/>
      <c r="T1284" s="772"/>
      <c r="AW1284" s="2510"/>
      <c r="BC1284" s="2510"/>
      <c r="BD1284" s="2510"/>
      <c r="BE1284" s="2510"/>
      <c r="BF1284" s="2510"/>
      <c r="BH1284" s="2510"/>
      <c r="DB1284" s="773"/>
      <c r="DC1284" s="773"/>
      <c r="DD1284" s="773"/>
      <c r="DE1284" s="773"/>
      <c r="DF1284" s="773"/>
      <c r="DG1284" s="773"/>
      <c r="DH1284" s="773"/>
      <c r="DI1284" s="773"/>
      <c r="DJ1284" s="773"/>
      <c r="DK1284" s="773"/>
      <c r="DL1284" s="773"/>
      <c r="DM1284" s="773"/>
      <c r="DN1284" s="773"/>
      <c r="DO1284" s="773"/>
      <c r="DP1284" s="773"/>
      <c r="DQ1284" s="773"/>
      <c r="DR1284" s="773"/>
      <c r="DS1284" s="773"/>
      <c r="DT1284" s="773"/>
      <c r="DU1284" s="773"/>
      <c r="DV1284" s="773"/>
      <c r="DW1284" s="773"/>
      <c r="DX1284" s="773"/>
      <c r="DY1284" s="773"/>
      <c r="DZ1284" s="773"/>
      <c r="EA1284" s="773"/>
      <c r="EB1284" s="773"/>
      <c r="EC1284" s="773"/>
      <c r="ED1284" s="773"/>
      <c r="EE1284" s="773"/>
      <c r="EF1284" s="773"/>
      <c r="EG1284" s="773"/>
      <c r="EH1284" s="773"/>
      <c r="EI1284" s="773"/>
      <c r="EJ1284" s="773"/>
      <c r="EK1284" s="773"/>
      <c r="EL1284" s="773"/>
      <c r="EM1284" s="773"/>
      <c r="EN1284" s="773"/>
      <c r="EO1284" s="773"/>
      <c r="EP1284" s="773"/>
      <c r="EQ1284" s="773"/>
      <c r="ER1284" s="773"/>
      <c r="ES1284" s="773"/>
      <c r="ET1284" s="773"/>
      <c r="EU1284" s="773"/>
      <c r="EV1284" s="773"/>
      <c r="EW1284" s="773"/>
      <c r="EX1284" s="773"/>
      <c r="EY1284" s="773"/>
      <c r="EZ1284" s="773"/>
      <c r="FA1284" s="773"/>
      <c r="FB1284" s="773"/>
      <c r="FC1284" s="773"/>
      <c r="FD1284" s="773"/>
      <c r="FE1284" s="773"/>
      <c r="FF1284" s="773"/>
      <c r="FG1284" s="773"/>
      <c r="FH1284" s="773"/>
      <c r="FI1284" s="773"/>
      <c r="FJ1284" s="773"/>
      <c r="FK1284" s="773"/>
      <c r="FL1284" s="773"/>
      <c r="FM1284" s="773"/>
      <c r="FN1284" s="773"/>
      <c r="FO1284" s="773"/>
      <c r="FP1284" s="773"/>
      <c r="FQ1284" s="773"/>
      <c r="FR1284" s="773"/>
      <c r="FS1284" s="773"/>
      <c r="FT1284" s="773"/>
      <c r="FU1284" s="773"/>
      <c r="FV1284" s="773"/>
      <c r="FW1284" s="773"/>
      <c r="FX1284" s="773"/>
      <c r="FY1284" s="773"/>
      <c r="FZ1284" s="773"/>
      <c r="GA1284" s="773"/>
      <c r="GB1284" s="773"/>
      <c r="GC1284" s="773"/>
      <c r="GD1284" s="773"/>
      <c r="GE1284" s="773"/>
      <c r="GF1284" s="773"/>
      <c r="GG1284" s="773"/>
      <c r="GH1284" s="773"/>
      <c r="GI1284" s="773"/>
      <c r="GJ1284" s="773"/>
      <c r="GK1284" s="773"/>
      <c r="GL1284" s="773"/>
      <c r="GM1284" s="773"/>
      <c r="GN1284" s="773"/>
      <c r="GO1284" s="773"/>
      <c r="GP1284" s="773"/>
      <c r="GQ1284" s="773"/>
      <c r="GR1284" s="773"/>
      <c r="GS1284" s="773"/>
      <c r="GT1284" s="773"/>
      <c r="GU1284" s="773"/>
      <c r="GV1284" s="773"/>
      <c r="GW1284" s="773"/>
      <c r="GX1284" s="773"/>
      <c r="GY1284" s="773"/>
      <c r="GZ1284" s="773"/>
    </row>
    <row r="1285" spans="2:208" s="11" customFormat="1">
      <c r="B1285" s="775"/>
      <c r="C1285" s="826"/>
      <c r="D1285" s="775"/>
      <c r="K1285" s="209"/>
      <c r="M1285" s="771"/>
      <c r="N1285" s="772"/>
      <c r="O1285" s="772"/>
      <c r="P1285" s="772"/>
      <c r="Q1285" s="772"/>
      <c r="R1285" s="772"/>
      <c r="S1285" s="772"/>
      <c r="T1285" s="772"/>
      <c r="AW1285" s="2510"/>
      <c r="BC1285" s="2510"/>
      <c r="BD1285" s="2510"/>
      <c r="BE1285" s="2510"/>
      <c r="BF1285" s="2510"/>
      <c r="BH1285" s="2510"/>
      <c r="DB1285" s="773"/>
      <c r="DC1285" s="773"/>
      <c r="DD1285" s="773"/>
      <c r="DE1285" s="773"/>
      <c r="DF1285" s="773"/>
      <c r="DG1285" s="773"/>
      <c r="DH1285" s="773"/>
      <c r="DI1285" s="773"/>
      <c r="DJ1285" s="773"/>
      <c r="DK1285" s="773"/>
      <c r="DL1285" s="773"/>
      <c r="DM1285" s="773"/>
      <c r="DN1285" s="773"/>
      <c r="DO1285" s="773"/>
      <c r="DP1285" s="773"/>
      <c r="DQ1285" s="773"/>
      <c r="DR1285" s="773"/>
      <c r="DS1285" s="773"/>
      <c r="DT1285" s="773"/>
      <c r="DU1285" s="773"/>
      <c r="DV1285" s="773"/>
      <c r="DW1285" s="773"/>
      <c r="DX1285" s="773"/>
      <c r="DY1285" s="773"/>
      <c r="DZ1285" s="773"/>
      <c r="EA1285" s="773"/>
      <c r="EB1285" s="773"/>
      <c r="EC1285" s="773"/>
      <c r="ED1285" s="773"/>
      <c r="EE1285" s="773"/>
      <c r="EF1285" s="773"/>
      <c r="EG1285" s="773"/>
      <c r="EH1285" s="773"/>
      <c r="EI1285" s="773"/>
      <c r="EJ1285" s="773"/>
      <c r="EK1285" s="773"/>
      <c r="EL1285" s="773"/>
      <c r="EM1285" s="773"/>
      <c r="EN1285" s="773"/>
      <c r="EO1285" s="773"/>
      <c r="EP1285" s="773"/>
      <c r="EQ1285" s="773"/>
      <c r="ER1285" s="773"/>
      <c r="ES1285" s="773"/>
      <c r="ET1285" s="773"/>
      <c r="EU1285" s="773"/>
      <c r="EV1285" s="773"/>
      <c r="EW1285" s="773"/>
      <c r="EX1285" s="773"/>
      <c r="EY1285" s="773"/>
      <c r="EZ1285" s="773"/>
      <c r="FA1285" s="773"/>
      <c r="FB1285" s="773"/>
      <c r="FC1285" s="773"/>
      <c r="FD1285" s="773"/>
      <c r="FE1285" s="773"/>
      <c r="FF1285" s="773"/>
      <c r="FG1285" s="773"/>
      <c r="FH1285" s="773"/>
      <c r="FI1285" s="773"/>
      <c r="FJ1285" s="773"/>
      <c r="FK1285" s="773"/>
      <c r="FL1285" s="773"/>
      <c r="FM1285" s="773"/>
      <c r="FN1285" s="773"/>
      <c r="FO1285" s="773"/>
      <c r="FP1285" s="773"/>
      <c r="FQ1285" s="773"/>
      <c r="FR1285" s="773"/>
      <c r="FS1285" s="773"/>
      <c r="FT1285" s="773"/>
      <c r="FU1285" s="773"/>
      <c r="FV1285" s="773"/>
      <c r="FW1285" s="773"/>
      <c r="FX1285" s="773"/>
      <c r="FY1285" s="773"/>
      <c r="FZ1285" s="773"/>
      <c r="GA1285" s="773"/>
      <c r="GB1285" s="773"/>
      <c r="GC1285" s="773"/>
      <c r="GD1285" s="773"/>
      <c r="GE1285" s="773"/>
      <c r="GF1285" s="773"/>
      <c r="GG1285" s="773"/>
      <c r="GH1285" s="773"/>
      <c r="GI1285" s="773"/>
      <c r="GJ1285" s="773"/>
      <c r="GK1285" s="773"/>
      <c r="GL1285" s="773"/>
      <c r="GM1285" s="773"/>
      <c r="GN1285" s="773"/>
      <c r="GO1285" s="773"/>
      <c r="GP1285" s="773"/>
      <c r="GQ1285" s="773"/>
      <c r="GR1285" s="773"/>
      <c r="GS1285" s="773"/>
      <c r="GT1285" s="773"/>
      <c r="GU1285" s="773"/>
      <c r="GV1285" s="773"/>
      <c r="GW1285" s="773"/>
      <c r="GX1285" s="773"/>
      <c r="GY1285" s="773"/>
      <c r="GZ1285" s="773"/>
    </row>
    <row r="1286" spans="2:208" s="11" customFormat="1">
      <c r="B1286" s="775"/>
      <c r="C1286" s="826"/>
      <c r="D1286" s="775"/>
      <c r="K1286" s="209"/>
      <c r="M1286" s="771"/>
      <c r="N1286" s="772"/>
      <c r="O1286" s="772"/>
      <c r="P1286" s="772"/>
      <c r="Q1286" s="772"/>
      <c r="R1286" s="772"/>
      <c r="S1286" s="772"/>
      <c r="T1286" s="772"/>
      <c r="AW1286" s="2510"/>
      <c r="BC1286" s="2510"/>
      <c r="BD1286" s="2510"/>
      <c r="BE1286" s="2510"/>
      <c r="BF1286" s="2510"/>
      <c r="BH1286" s="2510"/>
      <c r="DB1286" s="773"/>
      <c r="DC1286" s="773"/>
      <c r="DD1286" s="773"/>
      <c r="DE1286" s="773"/>
      <c r="DF1286" s="773"/>
      <c r="DG1286" s="773"/>
      <c r="DH1286" s="773"/>
      <c r="DI1286" s="773"/>
      <c r="DJ1286" s="773"/>
      <c r="DK1286" s="773"/>
      <c r="DL1286" s="773"/>
      <c r="DM1286" s="773"/>
      <c r="DN1286" s="773"/>
      <c r="DO1286" s="773"/>
      <c r="DP1286" s="773"/>
      <c r="DQ1286" s="773"/>
      <c r="DR1286" s="773"/>
      <c r="DS1286" s="773"/>
      <c r="DT1286" s="773"/>
      <c r="DU1286" s="773"/>
      <c r="DV1286" s="773"/>
      <c r="DW1286" s="773"/>
      <c r="DX1286" s="773"/>
      <c r="DY1286" s="773"/>
      <c r="DZ1286" s="773"/>
      <c r="EA1286" s="773"/>
      <c r="EB1286" s="773"/>
      <c r="EC1286" s="773"/>
      <c r="ED1286" s="773"/>
      <c r="EE1286" s="773"/>
      <c r="EF1286" s="773"/>
      <c r="EG1286" s="773"/>
      <c r="EH1286" s="773"/>
      <c r="EI1286" s="773"/>
      <c r="EJ1286" s="773"/>
      <c r="EK1286" s="773"/>
      <c r="EL1286" s="773"/>
      <c r="EM1286" s="773"/>
      <c r="EN1286" s="773"/>
      <c r="EO1286" s="773"/>
      <c r="EP1286" s="773"/>
      <c r="EQ1286" s="773"/>
      <c r="ER1286" s="773"/>
      <c r="ES1286" s="773"/>
      <c r="ET1286" s="773"/>
      <c r="EU1286" s="773"/>
      <c r="EV1286" s="773"/>
      <c r="EW1286" s="773"/>
      <c r="EX1286" s="773"/>
      <c r="EY1286" s="773"/>
      <c r="EZ1286" s="773"/>
      <c r="FA1286" s="773"/>
      <c r="FB1286" s="773"/>
      <c r="FC1286" s="773"/>
      <c r="FD1286" s="773"/>
      <c r="FE1286" s="773"/>
      <c r="FF1286" s="773"/>
      <c r="FG1286" s="773"/>
      <c r="FH1286" s="773"/>
      <c r="FI1286" s="773"/>
      <c r="FJ1286" s="773"/>
      <c r="FK1286" s="773"/>
      <c r="FL1286" s="773"/>
      <c r="FM1286" s="773"/>
      <c r="FN1286" s="773"/>
      <c r="FO1286" s="773"/>
      <c r="FP1286" s="773"/>
      <c r="FQ1286" s="773"/>
      <c r="FR1286" s="773"/>
      <c r="FS1286" s="773"/>
      <c r="FT1286" s="773"/>
      <c r="FU1286" s="773"/>
      <c r="FV1286" s="773"/>
      <c r="FW1286" s="773"/>
      <c r="FX1286" s="773"/>
      <c r="FY1286" s="773"/>
      <c r="FZ1286" s="773"/>
      <c r="GA1286" s="773"/>
      <c r="GB1286" s="773"/>
      <c r="GC1286" s="773"/>
      <c r="GD1286" s="773"/>
      <c r="GE1286" s="773"/>
      <c r="GF1286" s="773"/>
      <c r="GG1286" s="773"/>
      <c r="GH1286" s="773"/>
      <c r="GI1286" s="773"/>
      <c r="GJ1286" s="773"/>
      <c r="GK1286" s="773"/>
      <c r="GL1286" s="773"/>
      <c r="GM1286" s="773"/>
      <c r="GN1286" s="773"/>
      <c r="GO1286" s="773"/>
      <c r="GP1286" s="773"/>
      <c r="GQ1286" s="773"/>
      <c r="GR1286" s="773"/>
      <c r="GS1286" s="773"/>
      <c r="GT1286" s="773"/>
      <c r="GU1286" s="773"/>
      <c r="GV1286" s="773"/>
      <c r="GW1286" s="773"/>
      <c r="GX1286" s="773"/>
      <c r="GY1286" s="773"/>
      <c r="GZ1286" s="773"/>
    </row>
    <row r="1287" spans="2:208" s="11" customFormat="1">
      <c r="B1287" s="775"/>
      <c r="C1287" s="826"/>
      <c r="D1287" s="775"/>
      <c r="K1287" s="209"/>
      <c r="M1287" s="771"/>
      <c r="N1287" s="772"/>
      <c r="O1287" s="772"/>
      <c r="P1287" s="772"/>
      <c r="Q1287" s="772"/>
      <c r="R1287" s="772"/>
      <c r="S1287" s="772"/>
      <c r="T1287" s="772"/>
      <c r="AW1287" s="2510"/>
      <c r="BC1287" s="2510"/>
      <c r="BD1287" s="2510"/>
      <c r="BE1287" s="2510"/>
      <c r="BF1287" s="2510"/>
      <c r="BH1287" s="2510"/>
      <c r="DB1287" s="773"/>
      <c r="DC1287" s="773"/>
      <c r="DD1287" s="773"/>
      <c r="DE1287" s="773"/>
      <c r="DF1287" s="773"/>
      <c r="DG1287" s="773"/>
      <c r="DH1287" s="773"/>
      <c r="DI1287" s="773"/>
      <c r="DJ1287" s="773"/>
      <c r="DK1287" s="773"/>
      <c r="DL1287" s="773"/>
      <c r="DM1287" s="773"/>
      <c r="DN1287" s="773"/>
      <c r="DO1287" s="773"/>
      <c r="DP1287" s="773"/>
      <c r="DQ1287" s="773"/>
      <c r="DR1287" s="773"/>
      <c r="DS1287" s="773"/>
      <c r="DT1287" s="773"/>
      <c r="DU1287" s="773"/>
      <c r="DV1287" s="773"/>
      <c r="DW1287" s="773"/>
      <c r="DX1287" s="773"/>
      <c r="DY1287" s="773"/>
      <c r="DZ1287" s="773"/>
      <c r="EA1287" s="773"/>
      <c r="EB1287" s="773"/>
      <c r="EC1287" s="773"/>
      <c r="ED1287" s="773"/>
      <c r="EE1287" s="773"/>
      <c r="EF1287" s="773"/>
      <c r="EG1287" s="773"/>
      <c r="EH1287" s="773"/>
      <c r="EI1287" s="773"/>
      <c r="EJ1287" s="773"/>
      <c r="EK1287" s="773"/>
      <c r="EL1287" s="773"/>
      <c r="EM1287" s="773"/>
      <c r="EN1287" s="773"/>
      <c r="EO1287" s="773"/>
      <c r="EP1287" s="773"/>
      <c r="EQ1287" s="773"/>
      <c r="ER1287" s="773"/>
      <c r="ES1287" s="773"/>
      <c r="ET1287" s="773"/>
      <c r="EU1287" s="773"/>
      <c r="EV1287" s="773"/>
      <c r="EW1287" s="773"/>
      <c r="EX1287" s="773"/>
      <c r="EY1287" s="773"/>
      <c r="EZ1287" s="773"/>
      <c r="FA1287" s="773"/>
      <c r="FB1287" s="773"/>
      <c r="FC1287" s="773"/>
      <c r="FD1287" s="773"/>
      <c r="FE1287" s="773"/>
      <c r="FF1287" s="773"/>
      <c r="FG1287" s="773"/>
      <c r="FH1287" s="773"/>
      <c r="FI1287" s="773"/>
      <c r="FJ1287" s="773"/>
      <c r="FK1287" s="773"/>
      <c r="FL1287" s="773"/>
      <c r="FM1287" s="773"/>
      <c r="FN1287" s="773"/>
      <c r="FO1287" s="773"/>
      <c r="FP1287" s="773"/>
      <c r="FQ1287" s="773"/>
      <c r="FR1287" s="773"/>
      <c r="FS1287" s="773"/>
      <c r="FT1287" s="773"/>
      <c r="FU1287" s="773"/>
      <c r="FV1287" s="773"/>
      <c r="FW1287" s="773"/>
      <c r="FX1287" s="773"/>
      <c r="FY1287" s="773"/>
      <c r="FZ1287" s="773"/>
      <c r="GA1287" s="773"/>
      <c r="GB1287" s="773"/>
      <c r="GC1287" s="773"/>
      <c r="GD1287" s="773"/>
      <c r="GE1287" s="773"/>
      <c r="GF1287" s="773"/>
      <c r="GG1287" s="773"/>
      <c r="GH1287" s="773"/>
      <c r="GI1287" s="773"/>
      <c r="GJ1287" s="773"/>
      <c r="GK1287" s="773"/>
      <c r="GL1287" s="773"/>
      <c r="GM1287" s="773"/>
      <c r="GN1287" s="773"/>
      <c r="GO1287" s="773"/>
      <c r="GP1287" s="773"/>
      <c r="GQ1287" s="773"/>
      <c r="GR1287" s="773"/>
      <c r="GS1287" s="773"/>
      <c r="GT1287" s="773"/>
      <c r="GU1287" s="773"/>
      <c r="GV1287" s="773"/>
      <c r="GW1287" s="773"/>
      <c r="GX1287" s="773"/>
      <c r="GY1287" s="773"/>
      <c r="GZ1287" s="773"/>
    </row>
    <row r="1288" spans="2:208" s="11" customFormat="1">
      <c r="B1288" s="775"/>
      <c r="C1288" s="826"/>
      <c r="D1288" s="775"/>
      <c r="K1288" s="209"/>
      <c r="M1288" s="771"/>
      <c r="N1288" s="772"/>
      <c r="O1288" s="772"/>
      <c r="P1288" s="772"/>
      <c r="Q1288" s="772"/>
      <c r="R1288" s="772"/>
      <c r="S1288" s="772"/>
      <c r="T1288" s="772"/>
      <c r="AW1288" s="2510"/>
      <c r="BC1288" s="2510"/>
      <c r="BD1288" s="2510"/>
      <c r="BE1288" s="2510"/>
      <c r="BF1288" s="2510"/>
      <c r="BH1288" s="2510"/>
      <c r="DB1288" s="773"/>
      <c r="DC1288" s="773"/>
      <c r="DD1288" s="773"/>
      <c r="DE1288" s="773"/>
      <c r="DF1288" s="773"/>
      <c r="DG1288" s="773"/>
      <c r="DH1288" s="773"/>
      <c r="DI1288" s="773"/>
      <c r="DJ1288" s="773"/>
      <c r="DK1288" s="773"/>
      <c r="DL1288" s="773"/>
      <c r="DM1288" s="773"/>
      <c r="DN1288" s="773"/>
      <c r="DO1288" s="773"/>
      <c r="DP1288" s="773"/>
      <c r="DQ1288" s="773"/>
      <c r="DR1288" s="773"/>
      <c r="DS1288" s="773"/>
      <c r="DT1288" s="773"/>
      <c r="DU1288" s="773"/>
      <c r="DV1288" s="773"/>
      <c r="DW1288" s="773"/>
      <c r="DX1288" s="773"/>
      <c r="DY1288" s="773"/>
      <c r="DZ1288" s="773"/>
      <c r="EA1288" s="773"/>
      <c r="EB1288" s="773"/>
      <c r="EC1288" s="773"/>
      <c r="ED1288" s="773"/>
      <c r="EE1288" s="773"/>
      <c r="EF1288" s="773"/>
      <c r="EG1288" s="773"/>
      <c r="EH1288" s="773"/>
      <c r="EI1288" s="773"/>
      <c r="EJ1288" s="773"/>
      <c r="EK1288" s="773"/>
      <c r="EL1288" s="773"/>
      <c r="EM1288" s="773"/>
      <c r="EN1288" s="773"/>
      <c r="EO1288" s="773"/>
      <c r="EP1288" s="773"/>
      <c r="EQ1288" s="773"/>
      <c r="ER1288" s="773"/>
      <c r="ES1288" s="773"/>
      <c r="ET1288" s="773"/>
      <c r="EU1288" s="773"/>
      <c r="EV1288" s="773"/>
      <c r="EW1288" s="773"/>
      <c r="EX1288" s="773"/>
      <c r="EY1288" s="773"/>
      <c r="EZ1288" s="773"/>
      <c r="FA1288" s="773"/>
      <c r="FB1288" s="773"/>
      <c r="FC1288" s="773"/>
      <c r="FD1288" s="773"/>
      <c r="FE1288" s="773"/>
      <c r="FF1288" s="773"/>
      <c r="FG1288" s="773"/>
      <c r="FH1288" s="773"/>
      <c r="FI1288" s="773"/>
      <c r="FJ1288" s="773"/>
      <c r="FK1288" s="773"/>
      <c r="FL1288" s="773"/>
      <c r="FM1288" s="773"/>
      <c r="FN1288" s="773"/>
      <c r="FO1288" s="773"/>
      <c r="FP1288" s="773"/>
      <c r="FQ1288" s="773"/>
      <c r="FR1288" s="773"/>
      <c r="FS1288" s="773"/>
      <c r="FT1288" s="773"/>
      <c r="FU1288" s="773"/>
      <c r="FV1288" s="773"/>
      <c r="FW1288" s="773"/>
      <c r="FX1288" s="773"/>
      <c r="FY1288" s="773"/>
      <c r="FZ1288" s="773"/>
      <c r="GA1288" s="773"/>
      <c r="GB1288" s="773"/>
      <c r="GC1288" s="773"/>
      <c r="GD1288" s="773"/>
      <c r="GE1288" s="773"/>
      <c r="GF1288" s="773"/>
      <c r="GG1288" s="773"/>
      <c r="GH1288" s="773"/>
      <c r="GI1288" s="773"/>
      <c r="GJ1288" s="773"/>
      <c r="GK1288" s="773"/>
      <c r="GL1288" s="773"/>
      <c r="GM1288" s="773"/>
      <c r="GN1288" s="773"/>
      <c r="GO1288" s="773"/>
      <c r="GP1288" s="773"/>
      <c r="GQ1288" s="773"/>
      <c r="GR1288" s="773"/>
      <c r="GS1288" s="773"/>
      <c r="GT1288" s="773"/>
      <c r="GU1288" s="773"/>
      <c r="GV1288" s="773"/>
      <c r="GW1288" s="773"/>
      <c r="GX1288" s="773"/>
      <c r="GY1288" s="773"/>
      <c r="GZ1288" s="773"/>
    </row>
    <row r="1289" spans="2:208" s="11" customFormat="1">
      <c r="B1289" s="775"/>
      <c r="C1289" s="826"/>
      <c r="D1289" s="775"/>
      <c r="K1289" s="209"/>
      <c r="M1289" s="771"/>
      <c r="N1289" s="772"/>
      <c r="O1289" s="772"/>
      <c r="P1289" s="772"/>
      <c r="Q1289" s="772"/>
      <c r="R1289" s="772"/>
      <c r="S1289" s="772"/>
      <c r="T1289" s="772"/>
      <c r="AW1289" s="2510"/>
      <c r="BC1289" s="2510"/>
      <c r="BD1289" s="2510"/>
      <c r="BE1289" s="2510"/>
      <c r="BF1289" s="2510"/>
      <c r="BH1289" s="2510"/>
      <c r="DB1289" s="773"/>
      <c r="DC1289" s="773"/>
      <c r="DD1289" s="773"/>
      <c r="DE1289" s="773"/>
      <c r="DF1289" s="773"/>
      <c r="DG1289" s="773"/>
      <c r="DH1289" s="773"/>
      <c r="DI1289" s="773"/>
      <c r="DJ1289" s="773"/>
      <c r="DK1289" s="773"/>
      <c r="DL1289" s="773"/>
      <c r="DM1289" s="773"/>
      <c r="DN1289" s="773"/>
      <c r="DO1289" s="773"/>
      <c r="DP1289" s="773"/>
      <c r="DQ1289" s="773"/>
      <c r="DR1289" s="773"/>
      <c r="DS1289" s="773"/>
      <c r="DT1289" s="773"/>
      <c r="DU1289" s="773"/>
      <c r="DV1289" s="773"/>
      <c r="DW1289" s="773"/>
      <c r="DX1289" s="773"/>
      <c r="DY1289" s="773"/>
      <c r="DZ1289" s="773"/>
      <c r="EA1289" s="773"/>
      <c r="EB1289" s="773"/>
      <c r="EC1289" s="773"/>
      <c r="ED1289" s="773"/>
      <c r="EE1289" s="773"/>
      <c r="EF1289" s="773"/>
      <c r="EG1289" s="773"/>
      <c r="EH1289" s="773"/>
      <c r="EI1289" s="773"/>
      <c r="EJ1289" s="773"/>
      <c r="EK1289" s="773"/>
      <c r="EL1289" s="773"/>
      <c r="EM1289" s="773"/>
      <c r="EN1289" s="773"/>
      <c r="EO1289" s="773"/>
      <c r="EP1289" s="773"/>
      <c r="EQ1289" s="773"/>
      <c r="ER1289" s="773"/>
      <c r="ES1289" s="773"/>
      <c r="ET1289" s="773"/>
      <c r="EU1289" s="773"/>
      <c r="EV1289" s="773"/>
      <c r="EW1289" s="773"/>
      <c r="EX1289" s="773"/>
      <c r="EY1289" s="773"/>
      <c r="EZ1289" s="773"/>
      <c r="FA1289" s="773"/>
      <c r="FB1289" s="773"/>
      <c r="FC1289" s="773"/>
      <c r="FD1289" s="773"/>
      <c r="FE1289" s="773"/>
      <c r="FF1289" s="773"/>
      <c r="FG1289" s="773"/>
      <c r="FH1289" s="773"/>
      <c r="FI1289" s="773"/>
      <c r="FJ1289" s="773"/>
      <c r="FK1289" s="773"/>
      <c r="FL1289" s="773"/>
      <c r="FM1289" s="773"/>
      <c r="FN1289" s="773"/>
      <c r="FO1289" s="773"/>
      <c r="FP1289" s="773"/>
      <c r="FQ1289" s="773"/>
      <c r="FR1289" s="773"/>
      <c r="FS1289" s="773"/>
      <c r="FT1289" s="773"/>
      <c r="FU1289" s="773"/>
      <c r="FV1289" s="773"/>
      <c r="FW1289" s="773"/>
      <c r="FX1289" s="773"/>
      <c r="FY1289" s="773"/>
      <c r="FZ1289" s="773"/>
      <c r="GA1289" s="773"/>
      <c r="GB1289" s="773"/>
      <c r="GC1289" s="773"/>
      <c r="GD1289" s="773"/>
      <c r="GE1289" s="773"/>
      <c r="GF1289" s="773"/>
      <c r="GG1289" s="773"/>
      <c r="GH1289" s="773"/>
      <c r="GI1289" s="773"/>
      <c r="GJ1289" s="773"/>
      <c r="GK1289" s="773"/>
      <c r="GL1289" s="773"/>
      <c r="GM1289" s="773"/>
      <c r="GN1289" s="773"/>
      <c r="GO1289" s="773"/>
      <c r="GP1289" s="773"/>
      <c r="GQ1289" s="773"/>
      <c r="GR1289" s="773"/>
      <c r="GS1289" s="773"/>
      <c r="GT1289" s="773"/>
      <c r="GU1289" s="773"/>
      <c r="GV1289" s="773"/>
      <c r="GW1289" s="773"/>
      <c r="GX1289" s="773"/>
      <c r="GY1289" s="773"/>
      <c r="GZ1289" s="773"/>
    </row>
    <row r="1290" spans="2:208" s="11" customFormat="1">
      <c r="B1290" s="775"/>
      <c r="C1290" s="826"/>
      <c r="D1290" s="775"/>
      <c r="K1290" s="209"/>
      <c r="M1290" s="771"/>
      <c r="N1290" s="772"/>
      <c r="O1290" s="772"/>
      <c r="P1290" s="772"/>
      <c r="Q1290" s="772"/>
      <c r="R1290" s="772"/>
      <c r="S1290" s="772"/>
      <c r="T1290" s="772"/>
      <c r="AW1290" s="2510"/>
      <c r="BC1290" s="2510"/>
      <c r="BD1290" s="2510"/>
      <c r="BE1290" s="2510"/>
      <c r="BF1290" s="2510"/>
      <c r="BH1290" s="2510"/>
      <c r="DB1290" s="773"/>
      <c r="DC1290" s="773"/>
      <c r="DD1290" s="773"/>
      <c r="DE1290" s="773"/>
      <c r="DF1290" s="773"/>
      <c r="DG1290" s="773"/>
      <c r="DH1290" s="773"/>
      <c r="DI1290" s="773"/>
      <c r="DJ1290" s="773"/>
      <c r="DK1290" s="773"/>
      <c r="DL1290" s="773"/>
      <c r="DM1290" s="773"/>
      <c r="DN1290" s="773"/>
      <c r="DO1290" s="773"/>
      <c r="DP1290" s="773"/>
      <c r="DQ1290" s="773"/>
      <c r="DR1290" s="773"/>
      <c r="DS1290" s="773"/>
      <c r="DT1290" s="773"/>
      <c r="DU1290" s="773"/>
      <c r="DV1290" s="773"/>
      <c r="DW1290" s="773"/>
      <c r="DX1290" s="773"/>
      <c r="DY1290" s="773"/>
      <c r="DZ1290" s="773"/>
      <c r="EA1290" s="773"/>
      <c r="EB1290" s="773"/>
      <c r="EC1290" s="773"/>
      <c r="ED1290" s="773"/>
      <c r="EE1290" s="773"/>
      <c r="EF1290" s="773"/>
      <c r="EG1290" s="773"/>
      <c r="EH1290" s="773"/>
      <c r="EI1290" s="773"/>
      <c r="EJ1290" s="773"/>
      <c r="EK1290" s="773"/>
      <c r="EL1290" s="773"/>
      <c r="EM1290" s="773"/>
      <c r="EN1290" s="773"/>
      <c r="EO1290" s="773"/>
      <c r="EP1290" s="773"/>
      <c r="EQ1290" s="773"/>
      <c r="ER1290" s="773"/>
      <c r="ES1290" s="773"/>
      <c r="ET1290" s="773"/>
      <c r="EU1290" s="773"/>
      <c r="EV1290" s="773"/>
      <c r="EW1290" s="773"/>
      <c r="EX1290" s="773"/>
      <c r="EY1290" s="773"/>
      <c r="EZ1290" s="773"/>
      <c r="FA1290" s="773"/>
      <c r="FB1290" s="773"/>
      <c r="FC1290" s="773"/>
      <c r="FD1290" s="773"/>
      <c r="FE1290" s="773"/>
      <c r="FF1290" s="773"/>
      <c r="FG1290" s="773"/>
      <c r="FH1290" s="773"/>
      <c r="FI1290" s="773"/>
      <c r="FJ1290" s="773"/>
      <c r="FK1290" s="773"/>
      <c r="FL1290" s="773"/>
      <c r="FM1290" s="773"/>
      <c r="FN1290" s="773"/>
      <c r="FO1290" s="773"/>
      <c r="FP1290" s="773"/>
      <c r="FQ1290" s="773"/>
      <c r="FR1290" s="773"/>
      <c r="FS1290" s="773"/>
      <c r="FT1290" s="773"/>
      <c r="FU1290" s="773"/>
      <c r="FV1290" s="773"/>
      <c r="FW1290" s="773"/>
      <c r="FX1290" s="773"/>
      <c r="FY1290" s="773"/>
      <c r="FZ1290" s="773"/>
      <c r="GA1290" s="773"/>
      <c r="GB1290" s="773"/>
      <c r="GC1290" s="773"/>
      <c r="GD1290" s="773"/>
      <c r="GE1290" s="773"/>
      <c r="GF1290" s="773"/>
      <c r="GG1290" s="773"/>
      <c r="GH1290" s="773"/>
      <c r="GI1290" s="773"/>
      <c r="GJ1290" s="773"/>
      <c r="GK1290" s="773"/>
      <c r="GL1290" s="773"/>
      <c r="GM1290" s="773"/>
      <c r="GN1290" s="773"/>
      <c r="GO1290" s="773"/>
      <c r="GP1290" s="773"/>
      <c r="GQ1290" s="773"/>
      <c r="GR1290" s="773"/>
      <c r="GS1290" s="773"/>
      <c r="GT1290" s="773"/>
      <c r="GU1290" s="773"/>
      <c r="GV1290" s="773"/>
      <c r="GW1290" s="773"/>
      <c r="GX1290" s="773"/>
      <c r="GY1290" s="773"/>
      <c r="GZ1290" s="773"/>
    </row>
    <row r="1291" spans="2:208" s="11" customFormat="1">
      <c r="B1291" s="775"/>
      <c r="C1291" s="826"/>
      <c r="D1291" s="775"/>
      <c r="K1291" s="209"/>
      <c r="M1291" s="771"/>
      <c r="N1291" s="772"/>
      <c r="O1291" s="772"/>
      <c r="P1291" s="772"/>
      <c r="Q1291" s="772"/>
      <c r="R1291" s="772"/>
      <c r="S1291" s="772"/>
      <c r="T1291" s="772"/>
      <c r="AW1291" s="2510"/>
      <c r="BC1291" s="2510"/>
      <c r="BD1291" s="2510"/>
      <c r="BE1291" s="2510"/>
      <c r="BF1291" s="2510"/>
      <c r="BH1291" s="2510"/>
      <c r="DB1291" s="773"/>
      <c r="DC1291" s="773"/>
      <c r="DD1291" s="773"/>
      <c r="DE1291" s="773"/>
      <c r="DF1291" s="773"/>
      <c r="DG1291" s="773"/>
      <c r="DH1291" s="773"/>
      <c r="DI1291" s="773"/>
      <c r="DJ1291" s="773"/>
      <c r="DK1291" s="773"/>
      <c r="DL1291" s="773"/>
      <c r="DM1291" s="773"/>
      <c r="DN1291" s="773"/>
      <c r="DO1291" s="773"/>
      <c r="DP1291" s="773"/>
      <c r="DQ1291" s="773"/>
      <c r="DR1291" s="773"/>
      <c r="DS1291" s="773"/>
      <c r="DT1291" s="773"/>
      <c r="DU1291" s="773"/>
      <c r="DV1291" s="773"/>
      <c r="DW1291" s="773"/>
      <c r="DX1291" s="773"/>
      <c r="DY1291" s="773"/>
      <c r="DZ1291" s="773"/>
      <c r="EA1291" s="773"/>
      <c r="EB1291" s="773"/>
      <c r="EC1291" s="773"/>
      <c r="ED1291" s="773"/>
      <c r="EE1291" s="773"/>
      <c r="EF1291" s="773"/>
      <c r="EG1291" s="773"/>
      <c r="EH1291" s="773"/>
      <c r="EI1291" s="773"/>
      <c r="EJ1291" s="773"/>
      <c r="EK1291" s="773"/>
      <c r="EL1291" s="773"/>
      <c r="EM1291" s="773"/>
      <c r="EN1291" s="773"/>
      <c r="EO1291" s="773"/>
      <c r="EP1291" s="773"/>
      <c r="EQ1291" s="773"/>
      <c r="ER1291" s="773"/>
      <c r="ES1291" s="773"/>
      <c r="ET1291" s="773"/>
      <c r="EU1291" s="773"/>
      <c r="EV1291" s="773"/>
      <c r="EW1291" s="773"/>
      <c r="EX1291" s="773"/>
      <c r="EY1291" s="773"/>
      <c r="EZ1291" s="773"/>
      <c r="FA1291" s="773"/>
      <c r="FB1291" s="773"/>
      <c r="FC1291" s="773"/>
      <c r="FD1291" s="773"/>
      <c r="FE1291" s="773"/>
      <c r="FF1291" s="773"/>
      <c r="FG1291" s="773"/>
      <c r="FH1291" s="773"/>
      <c r="FI1291" s="773"/>
      <c r="FJ1291" s="773"/>
      <c r="FK1291" s="773"/>
      <c r="FL1291" s="773"/>
      <c r="FM1291" s="773"/>
      <c r="FN1291" s="773"/>
      <c r="FO1291" s="773"/>
      <c r="FP1291" s="773"/>
      <c r="FQ1291" s="773"/>
      <c r="FR1291" s="773"/>
      <c r="FS1291" s="773"/>
      <c r="FT1291" s="773"/>
      <c r="FU1291" s="773"/>
      <c r="FV1291" s="773"/>
      <c r="FW1291" s="773"/>
      <c r="FX1291" s="773"/>
      <c r="FY1291" s="773"/>
      <c r="FZ1291" s="773"/>
      <c r="GA1291" s="773"/>
      <c r="GB1291" s="773"/>
      <c r="GC1291" s="773"/>
      <c r="GD1291" s="773"/>
      <c r="GE1291" s="773"/>
      <c r="GF1291" s="773"/>
      <c r="GG1291" s="773"/>
      <c r="GH1291" s="773"/>
      <c r="GI1291" s="773"/>
      <c r="GJ1291" s="773"/>
      <c r="GK1291" s="773"/>
      <c r="GL1291" s="773"/>
      <c r="GM1291" s="773"/>
      <c r="GN1291" s="773"/>
      <c r="GO1291" s="773"/>
      <c r="GP1291" s="773"/>
      <c r="GQ1291" s="773"/>
      <c r="GR1291" s="773"/>
      <c r="GS1291" s="773"/>
      <c r="GT1291" s="773"/>
      <c r="GU1291" s="773"/>
      <c r="GV1291" s="773"/>
      <c r="GW1291" s="773"/>
      <c r="GX1291" s="773"/>
      <c r="GY1291" s="773"/>
      <c r="GZ1291" s="773"/>
    </row>
    <row r="1292" spans="2:208" s="11" customFormat="1">
      <c r="B1292" s="775"/>
      <c r="C1292" s="826"/>
      <c r="D1292" s="775"/>
      <c r="K1292" s="209"/>
      <c r="M1292" s="771"/>
      <c r="N1292" s="772"/>
      <c r="O1292" s="772"/>
      <c r="P1292" s="772"/>
      <c r="Q1292" s="772"/>
      <c r="R1292" s="772"/>
      <c r="S1292" s="772"/>
      <c r="T1292" s="772"/>
      <c r="AW1292" s="2510"/>
      <c r="BC1292" s="2510"/>
      <c r="BD1292" s="2510"/>
      <c r="BE1292" s="2510"/>
      <c r="BF1292" s="2510"/>
      <c r="BH1292" s="2510"/>
      <c r="DB1292" s="773"/>
      <c r="DC1292" s="773"/>
      <c r="DD1292" s="773"/>
      <c r="DE1292" s="773"/>
      <c r="DF1292" s="773"/>
      <c r="DG1292" s="773"/>
      <c r="DH1292" s="773"/>
      <c r="DI1292" s="773"/>
      <c r="DJ1292" s="773"/>
      <c r="DK1292" s="773"/>
      <c r="DL1292" s="773"/>
      <c r="DM1292" s="773"/>
      <c r="DN1292" s="773"/>
      <c r="DO1292" s="773"/>
      <c r="DP1292" s="773"/>
      <c r="DQ1292" s="773"/>
      <c r="DR1292" s="773"/>
      <c r="DS1292" s="773"/>
      <c r="DT1292" s="773"/>
      <c r="DU1292" s="773"/>
      <c r="DV1292" s="773"/>
      <c r="DW1292" s="773"/>
      <c r="DX1292" s="773"/>
      <c r="DY1292" s="773"/>
      <c r="DZ1292" s="773"/>
      <c r="EA1292" s="773"/>
      <c r="EB1292" s="773"/>
      <c r="EC1292" s="773"/>
      <c r="ED1292" s="773"/>
      <c r="EE1292" s="773"/>
      <c r="EF1292" s="773"/>
      <c r="EG1292" s="773"/>
      <c r="EH1292" s="773"/>
      <c r="EI1292" s="773"/>
      <c r="EJ1292" s="773"/>
      <c r="EK1292" s="773"/>
      <c r="EL1292" s="773"/>
      <c r="EM1292" s="773"/>
      <c r="EN1292" s="773"/>
      <c r="EO1292" s="773"/>
      <c r="EP1292" s="773"/>
      <c r="EQ1292" s="773"/>
      <c r="ER1292" s="773"/>
      <c r="ES1292" s="773"/>
      <c r="ET1292" s="773"/>
      <c r="EU1292" s="773"/>
      <c r="EV1292" s="773"/>
      <c r="EW1292" s="773"/>
      <c r="EX1292" s="773"/>
      <c r="EY1292" s="773"/>
      <c r="EZ1292" s="773"/>
      <c r="FA1292" s="773"/>
      <c r="FB1292" s="773"/>
      <c r="FC1292" s="773"/>
      <c r="FD1292" s="773"/>
      <c r="FE1292" s="773"/>
      <c r="FF1292" s="773"/>
      <c r="FG1292" s="773"/>
      <c r="FH1292" s="773"/>
      <c r="FI1292" s="773"/>
      <c r="FJ1292" s="773"/>
      <c r="FK1292" s="773"/>
      <c r="FL1292" s="773"/>
      <c r="FM1292" s="773"/>
      <c r="FN1292" s="773"/>
      <c r="FO1292" s="773"/>
      <c r="FP1292" s="773"/>
      <c r="FQ1292" s="773"/>
      <c r="FR1292" s="773"/>
      <c r="FS1292" s="773"/>
      <c r="FT1292" s="773"/>
      <c r="FU1292" s="773"/>
      <c r="FV1292" s="773"/>
      <c r="FW1292" s="773"/>
      <c r="FX1292" s="773"/>
      <c r="FY1292" s="773"/>
      <c r="FZ1292" s="773"/>
      <c r="GA1292" s="773"/>
      <c r="GB1292" s="773"/>
      <c r="GC1292" s="773"/>
      <c r="GD1292" s="773"/>
      <c r="GE1292" s="773"/>
      <c r="GF1292" s="773"/>
      <c r="GG1292" s="773"/>
      <c r="GH1292" s="773"/>
      <c r="GI1292" s="773"/>
      <c r="GJ1292" s="773"/>
      <c r="GK1292" s="773"/>
      <c r="GL1292" s="773"/>
      <c r="GM1292" s="773"/>
      <c r="GN1292" s="773"/>
      <c r="GO1292" s="773"/>
      <c r="GP1292" s="773"/>
      <c r="GQ1292" s="773"/>
      <c r="GR1292" s="773"/>
      <c r="GS1292" s="773"/>
      <c r="GT1292" s="773"/>
      <c r="GU1292" s="773"/>
      <c r="GV1292" s="773"/>
      <c r="GW1292" s="773"/>
      <c r="GX1292" s="773"/>
      <c r="GY1292" s="773"/>
      <c r="GZ1292" s="773"/>
    </row>
    <row r="1293" spans="2:208" s="11" customFormat="1">
      <c r="B1293" s="775"/>
      <c r="C1293" s="826"/>
      <c r="D1293" s="775"/>
      <c r="K1293" s="209"/>
      <c r="M1293" s="771"/>
      <c r="N1293" s="772"/>
      <c r="O1293" s="772"/>
      <c r="P1293" s="772"/>
      <c r="Q1293" s="772"/>
      <c r="R1293" s="772"/>
      <c r="S1293" s="772"/>
      <c r="T1293" s="772"/>
      <c r="AW1293" s="2510"/>
      <c r="BC1293" s="2510"/>
      <c r="BD1293" s="2510"/>
      <c r="BE1293" s="2510"/>
      <c r="BF1293" s="2510"/>
      <c r="BH1293" s="2510"/>
      <c r="DB1293" s="773"/>
      <c r="DC1293" s="773"/>
      <c r="DD1293" s="773"/>
      <c r="DE1293" s="773"/>
      <c r="DF1293" s="773"/>
      <c r="DG1293" s="773"/>
      <c r="DH1293" s="773"/>
      <c r="DI1293" s="773"/>
      <c r="DJ1293" s="773"/>
      <c r="DK1293" s="773"/>
      <c r="DL1293" s="773"/>
      <c r="DM1293" s="773"/>
      <c r="DN1293" s="773"/>
      <c r="DO1293" s="773"/>
      <c r="DP1293" s="773"/>
      <c r="DQ1293" s="773"/>
      <c r="DR1293" s="773"/>
      <c r="DS1293" s="773"/>
      <c r="DT1293" s="773"/>
      <c r="DU1293" s="773"/>
      <c r="DV1293" s="773"/>
      <c r="DW1293" s="773"/>
      <c r="DX1293" s="773"/>
      <c r="DY1293" s="773"/>
      <c r="DZ1293" s="773"/>
      <c r="EA1293" s="773"/>
      <c r="EB1293" s="773"/>
      <c r="EC1293" s="773"/>
      <c r="ED1293" s="773"/>
      <c r="EE1293" s="773"/>
      <c r="EF1293" s="773"/>
      <c r="EG1293" s="773"/>
      <c r="EH1293" s="773"/>
      <c r="EI1293" s="773"/>
      <c r="EJ1293" s="773"/>
      <c r="EK1293" s="773"/>
      <c r="EL1293" s="773"/>
      <c r="EM1293" s="773"/>
      <c r="EN1293" s="773"/>
      <c r="EO1293" s="773"/>
      <c r="EP1293" s="773"/>
      <c r="EQ1293" s="773"/>
      <c r="ER1293" s="773"/>
      <c r="ES1293" s="773"/>
      <c r="ET1293" s="773"/>
      <c r="EU1293" s="773"/>
      <c r="EV1293" s="773"/>
      <c r="EW1293" s="773"/>
      <c r="EX1293" s="773"/>
      <c r="EY1293" s="773"/>
      <c r="EZ1293" s="773"/>
      <c r="FA1293" s="773"/>
      <c r="FB1293" s="773"/>
      <c r="FC1293" s="773"/>
      <c r="FD1293" s="773"/>
      <c r="FE1293" s="773"/>
      <c r="FF1293" s="773"/>
      <c r="FG1293" s="773"/>
      <c r="FH1293" s="773"/>
      <c r="FI1293" s="773"/>
      <c r="FJ1293" s="773"/>
      <c r="FK1293" s="773"/>
      <c r="FL1293" s="773"/>
      <c r="FM1293" s="773"/>
      <c r="FN1293" s="773"/>
      <c r="FO1293" s="773"/>
      <c r="FP1293" s="773"/>
      <c r="FQ1293" s="773"/>
      <c r="FR1293" s="773"/>
      <c r="FS1293" s="773"/>
      <c r="FT1293" s="773"/>
      <c r="FU1293" s="773"/>
      <c r="FV1293" s="773"/>
      <c r="FW1293" s="773"/>
      <c r="FX1293" s="773"/>
      <c r="FY1293" s="773"/>
      <c r="FZ1293" s="773"/>
      <c r="GA1293" s="773"/>
      <c r="GB1293" s="773"/>
      <c r="GC1293" s="773"/>
      <c r="GD1293" s="773"/>
      <c r="GE1293" s="773"/>
      <c r="GF1293" s="773"/>
      <c r="GG1293" s="773"/>
      <c r="GH1293" s="773"/>
      <c r="GI1293" s="773"/>
      <c r="GJ1293" s="773"/>
      <c r="GK1293" s="773"/>
      <c r="GL1293" s="773"/>
      <c r="GM1293" s="773"/>
      <c r="GN1293" s="773"/>
      <c r="GO1293" s="773"/>
      <c r="GP1293" s="773"/>
      <c r="GQ1293" s="773"/>
      <c r="GR1293" s="773"/>
      <c r="GS1293" s="773"/>
      <c r="GT1293" s="773"/>
      <c r="GU1293" s="773"/>
      <c r="GV1293" s="773"/>
      <c r="GW1293" s="773"/>
      <c r="GX1293" s="773"/>
      <c r="GY1293" s="773"/>
      <c r="GZ1293" s="773"/>
    </row>
    <row r="1294" spans="2:208" s="11" customFormat="1">
      <c r="B1294" s="775"/>
      <c r="C1294" s="826"/>
      <c r="D1294" s="775"/>
      <c r="K1294" s="209"/>
      <c r="M1294" s="771"/>
      <c r="N1294" s="772"/>
      <c r="O1294" s="772"/>
      <c r="P1294" s="772"/>
      <c r="Q1294" s="772"/>
      <c r="R1294" s="772"/>
      <c r="S1294" s="772"/>
      <c r="T1294" s="772"/>
      <c r="AW1294" s="2510"/>
      <c r="BC1294" s="2510"/>
      <c r="BD1294" s="2510"/>
      <c r="BE1294" s="2510"/>
      <c r="BF1294" s="2510"/>
      <c r="BH1294" s="2510"/>
      <c r="DB1294" s="773"/>
      <c r="DC1294" s="773"/>
      <c r="DD1294" s="773"/>
      <c r="DE1294" s="773"/>
      <c r="DF1294" s="773"/>
      <c r="DG1294" s="773"/>
      <c r="DH1294" s="773"/>
      <c r="DI1294" s="773"/>
      <c r="DJ1294" s="773"/>
      <c r="DK1294" s="773"/>
      <c r="DL1294" s="773"/>
      <c r="DM1294" s="773"/>
      <c r="DN1294" s="773"/>
      <c r="DO1294" s="773"/>
      <c r="DP1294" s="773"/>
      <c r="DQ1294" s="773"/>
      <c r="DR1294" s="773"/>
      <c r="DS1294" s="773"/>
      <c r="DT1294" s="773"/>
      <c r="DU1294" s="773"/>
      <c r="DV1294" s="773"/>
      <c r="DW1294" s="773"/>
      <c r="DX1294" s="773"/>
      <c r="DY1294" s="773"/>
      <c r="DZ1294" s="773"/>
      <c r="EA1294" s="773"/>
      <c r="EB1294" s="773"/>
      <c r="EC1294" s="773"/>
      <c r="ED1294" s="773"/>
      <c r="EE1294" s="773"/>
      <c r="EF1294" s="773"/>
      <c r="EG1294" s="773"/>
      <c r="EH1294" s="773"/>
      <c r="EI1294" s="773"/>
      <c r="EJ1294" s="773"/>
      <c r="EK1294" s="773"/>
      <c r="EL1294" s="773"/>
      <c r="EM1294" s="773"/>
      <c r="EN1294" s="773"/>
      <c r="EO1294" s="773"/>
      <c r="EP1294" s="773"/>
      <c r="EQ1294" s="773"/>
      <c r="ER1294" s="773"/>
      <c r="ES1294" s="773"/>
      <c r="ET1294" s="773"/>
      <c r="EU1294" s="773"/>
      <c r="EV1294" s="773"/>
      <c r="EW1294" s="773"/>
      <c r="EX1294" s="773"/>
      <c r="EY1294" s="773"/>
      <c r="EZ1294" s="773"/>
      <c r="FA1294" s="773"/>
      <c r="FB1294" s="773"/>
      <c r="FC1294" s="773"/>
      <c r="FD1294" s="773"/>
      <c r="FE1294" s="773"/>
      <c r="FF1294" s="773"/>
      <c r="FG1294" s="773"/>
      <c r="FH1294" s="773"/>
      <c r="FI1294" s="773"/>
      <c r="FJ1294" s="773"/>
      <c r="FK1294" s="773"/>
      <c r="FL1294" s="773"/>
      <c r="FM1294" s="773"/>
      <c r="FN1294" s="773"/>
      <c r="FO1294" s="773"/>
      <c r="FP1294" s="773"/>
      <c r="FQ1294" s="773"/>
      <c r="FR1294" s="773"/>
      <c r="FS1294" s="773"/>
      <c r="FT1294" s="773"/>
      <c r="FU1294" s="773"/>
      <c r="FV1294" s="773"/>
      <c r="FW1294" s="773"/>
      <c r="FX1294" s="773"/>
      <c r="FY1294" s="773"/>
      <c r="FZ1294" s="773"/>
      <c r="GA1294" s="773"/>
      <c r="GB1294" s="773"/>
      <c r="GC1294" s="773"/>
      <c r="GD1294" s="773"/>
      <c r="GE1294" s="773"/>
      <c r="GF1294" s="773"/>
      <c r="GG1294" s="773"/>
      <c r="GH1294" s="773"/>
      <c r="GI1294" s="773"/>
      <c r="GJ1294" s="773"/>
      <c r="GK1294" s="773"/>
      <c r="GL1294" s="773"/>
      <c r="GM1294" s="773"/>
      <c r="GN1294" s="773"/>
      <c r="GO1294" s="773"/>
      <c r="GP1294" s="773"/>
      <c r="GQ1294" s="773"/>
      <c r="GR1294" s="773"/>
      <c r="GS1294" s="773"/>
      <c r="GT1294" s="773"/>
      <c r="GU1294" s="773"/>
      <c r="GV1294" s="773"/>
      <c r="GW1294" s="773"/>
      <c r="GX1294" s="773"/>
      <c r="GY1294" s="773"/>
      <c r="GZ1294" s="773"/>
    </row>
    <row r="1295" spans="2:208" s="11" customFormat="1">
      <c r="B1295" s="775"/>
      <c r="C1295" s="826"/>
      <c r="D1295" s="775"/>
      <c r="K1295" s="209"/>
      <c r="M1295" s="771"/>
      <c r="N1295" s="772"/>
      <c r="O1295" s="772"/>
      <c r="P1295" s="772"/>
      <c r="Q1295" s="772"/>
      <c r="R1295" s="772"/>
      <c r="S1295" s="772"/>
      <c r="T1295" s="772"/>
      <c r="AW1295" s="2510"/>
      <c r="BC1295" s="2510"/>
      <c r="BD1295" s="2510"/>
      <c r="BE1295" s="2510"/>
      <c r="BF1295" s="2510"/>
      <c r="BH1295" s="2510"/>
      <c r="DB1295" s="773"/>
      <c r="DC1295" s="773"/>
      <c r="DD1295" s="773"/>
      <c r="DE1295" s="773"/>
      <c r="DF1295" s="773"/>
      <c r="DG1295" s="773"/>
      <c r="DH1295" s="773"/>
      <c r="DI1295" s="773"/>
      <c r="DJ1295" s="773"/>
      <c r="DK1295" s="773"/>
      <c r="DL1295" s="773"/>
      <c r="DM1295" s="773"/>
      <c r="DN1295" s="773"/>
      <c r="DO1295" s="773"/>
      <c r="DP1295" s="773"/>
      <c r="DQ1295" s="773"/>
      <c r="DR1295" s="773"/>
      <c r="DS1295" s="773"/>
      <c r="DT1295" s="773"/>
      <c r="DU1295" s="773"/>
      <c r="DV1295" s="773"/>
      <c r="DW1295" s="773"/>
      <c r="DX1295" s="773"/>
      <c r="DY1295" s="773"/>
      <c r="DZ1295" s="773"/>
      <c r="EA1295" s="773"/>
      <c r="EB1295" s="773"/>
      <c r="EC1295" s="773"/>
      <c r="ED1295" s="773"/>
      <c r="EE1295" s="773"/>
      <c r="EF1295" s="773"/>
      <c r="EG1295" s="773"/>
      <c r="EH1295" s="773"/>
      <c r="EI1295" s="773"/>
      <c r="EJ1295" s="773"/>
      <c r="EK1295" s="773"/>
      <c r="EL1295" s="773"/>
      <c r="EM1295" s="773"/>
      <c r="EN1295" s="773"/>
      <c r="EO1295" s="773"/>
      <c r="EP1295" s="773"/>
      <c r="EQ1295" s="773"/>
      <c r="ER1295" s="773"/>
      <c r="ES1295" s="773"/>
      <c r="ET1295" s="773"/>
      <c r="EU1295" s="773"/>
      <c r="EV1295" s="773"/>
      <c r="EW1295" s="773"/>
      <c r="EX1295" s="773"/>
      <c r="EY1295" s="773"/>
      <c r="EZ1295" s="773"/>
      <c r="FA1295" s="773"/>
      <c r="FB1295" s="773"/>
      <c r="FC1295" s="773"/>
      <c r="FD1295" s="773"/>
      <c r="FE1295" s="773"/>
      <c r="FF1295" s="773"/>
      <c r="FG1295" s="773"/>
      <c r="FH1295" s="773"/>
      <c r="FI1295" s="773"/>
      <c r="FJ1295" s="773"/>
      <c r="FK1295" s="773"/>
      <c r="FL1295" s="773"/>
      <c r="FM1295" s="773"/>
      <c r="FN1295" s="773"/>
      <c r="FO1295" s="773"/>
      <c r="FP1295" s="773"/>
      <c r="FQ1295" s="773"/>
      <c r="FR1295" s="773"/>
      <c r="FS1295" s="773"/>
      <c r="FT1295" s="773"/>
      <c r="FU1295" s="773"/>
      <c r="FV1295" s="773"/>
      <c r="FW1295" s="773"/>
      <c r="FX1295" s="773"/>
      <c r="FY1295" s="773"/>
      <c r="FZ1295" s="773"/>
      <c r="GA1295" s="773"/>
      <c r="GB1295" s="773"/>
      <c r="GC1295" s="773"/>
      <c r="GD1295" s="773"/>
      <c r="GE1295" s="773"/>
      <c r="GF1295" s="773"/>
      <c r="GG1295" s="773"/>
      <c r="GH1295" s="773"/>
      <c r="GI1295" s="773"/>
      <c r="GJ1295" s="773"/>
      <c r="GK1295" s="773"/>
      <c r="GL1295" s="773"/>
      <c r="GM1295" s="773"/>
      <c r="GN1295" s="773"/>
      <c r="GO1295" s="773"/>
      <c r="GP1295" s="773"/>
      <c r="GQ1295" s="773"/>
      <c r="GR1295" s="773"/>
      <c r="GS1295" s="773"/>
      <c r="GT1295" s="773"/>
      <c r="GU1295" s="773"/>
      <c r="GV1295" s="773"/>
      <c r="GW1295" s="773"/>
      <c r="GX1295" s="773"/>
      <c r="GY1295" s="773"/>
      <c r="GZ1295" s="773"/>
    </row>
    <row r="1296" spans="2:208" s="11" customFormat="1">
      <c r="B1296" s="775"/>
      <c r="C1296" s="826"/>
      <c r="D1296" s="775"/>
      <c r="K1296" s="209"/>
      <c r="M1296" s="771"/>
      <c r="N1296" s="772"/>
      <c r="O1296" s="772"/>
      <c r="P1296" s="772"/>
      <c r="Q1296" s="772"/>
      <c r="R1296" s="772"/>
      <c r="S1296" s="772"/>
      <c r="T1296" s="772"/>
      <c r="AW1296" s="2510"/>
      <c r="BC1296" s="2510"/>
      <c r="BD1296" s="2510"/>
      <c r="BE1296" s="2510"/>
      <c r="BF1296" s="2510"/>
      <c r="BH1296" s="2510"/>
      <c r="DB1296" s="773"/>
      <c r="DC1296" s="773"/>
      <c r="DD1296" s="773"/>
      <c r="DE1296" s="773"/>
      <c r="DF1296" s="773"/>
      <c r="DG1296" s="773"/>
      <c r="DH1296" s="773"/>
      <c r="DI1296" s="773"/>
      <c r="DJ1296" s="773"/>
      <c r="DK1296" s="773"/>
      <c r="DL1296" s="773"/>
      <c r="DM1296" s="773"/>
      <c r="DN1296" s="773"/>
      <c r="DO1296" s="773"/>
      <c r="DP1296" s="773"/>
      <c r="DQ1296" s="773"/>
      <c r="DR1296" s="773"/>
      <c r="DS1296" s="773"/>
      <c r="DT1296" s="773"/>
      <c r="DU1296" s="773"/>
      <c r="DV1296" s="773"/>
      <c r="DW1296" s="773"/>
      <c r="DX1296" s="773"/>
      <c r="DY1296" s="773"/>
      <c r="DZ1296" s="773"/>
      <c r="EA1296" s="773"/>
      <c r="EB1296" s="773"/>
      <c r="EC1296" s="773"/>
      <c r="ED1296" s="773"/>
      <c r="EE1296" s="773"/>
      <c r="EF1296" s="773"/>
      <c r="EG1296" s="773"/>
      <c r="EH1296" s="773"/>
      <c r="EI1296" s="773"/>
      <c r="EJ1296" s="773"/>
      <c r="EK1296" s="773"/>
      <c r="EL1296" s="773"/>
      <c r="EM1296" s="773"/>
      <c r="EN1296" s="773"/>
      <c r="EO1296" s="773"/>
      <c r="EP1296" s="773"/>
      <c r="EQ1296" s="773"/>
      <c r="ER1296" s="773"/>
      <c r="ES1296" s="773"/>
      <c r="ET1296" s="773"/>
      <c r="EU1296" s="773"/>
      <c r="EV1296" s="773"/>
      <c r="EW1296" s="773"/>
      <c r="EX1296" s="773"/>
      <c r="EY1296" s="773"/>
      <c r="EZ1296" s="773"/>
      <c r="FA1296" s="773"/>
      <c r="FB1296" s="773"/>
      <c r="FC1296" s="773"/>
      <c r="FD1296" s="773"/>
      <c r="FE1296" s="773"/>
      <c r="FF1296" s="773"/>
      <c r="FG1296" s="773"/>
      <c r="FH1296" s="773"/>
      <c r="FI1296" s="773"/>
      <c r="FJ1296" s="773"/>
      <c r="FK1296" s="773"/>
      <c r="FL1296" s="773"/>
      <c r="FM1296" s="773"/>
      <c r="FN1296" s="773"/>
      <c r="FO1296" s="773"/>
      <c r="FP1296" s="773"/>
      <c r="FQ1296" s="773"/>
      <c r="FR1296" s="773"/>
      <c r="FS1296" s="773"/>
      <c r="FT1296" s="773"/>
      <c r="FU1296" s="773"/>
      <c r="FV1296" s="773"/>
      <c r="FW1296" s="773"/>
      <c r="FX1296" s="773"/>
      <c r="FY1296" s="773"/>
      <c r="FZ1296" s="773"/>
      <c r="GA1296" s="773"/>
      <c r="GB1296" s="773"/>
      <c r="GC1296" s="773"/>
      <c r="GD1296" s="773"/>
      <c r="GE1296" s="773"/>
      <c r="GF1296" s="773"/>
      <c r="GG1296" s="773"/>
      <c r="GH1296" s="773"/>
      <c r="GI1296" s="773"/>
      <c r="GJ1296" s="773"/>
      <c r="GK1296" s="773"/>
      <c r="GL1296" s="773"/>
      <c r="GM1296" s="773"/>
      <c r="GN1296" s="773"/>
      <c r="GO1296" s="773"/>
      <c r="GP1296" s="773"/>
      <c r="GQ1296" s="773"/>
      <c r="GR1296" s="773"/>
      <c r="GS1296" s="773"/>
      <c r="GT1296" s="773"/>
      <c r="GU1296" s="773"/>
      <c r="GV1296" s="773"/>
      <c r="GW1296" s="773"/>
      <c r="GX1296" s="773"/>
      <c r="GY1296" s="773"/>
      <c r="GZ1296" s="773"/>
    </row>
    <row r="1297" spans="2:208" s="11" customFormat="1">
      <c r="B1297" s="775"/>
      <c r="C1297" s="826"/>
      <c r="D1297" s="775"/>
      <c r="K1297" s="209"/>
      <c r="M1297" s="771"/>
      <c r="N1297" s="772"/>
      <c r="O1297" s="772"/>
      <c r="P1297" s="772"/>
      <c r="Q1297" s="772"/>
      <c r="R1297" s="772"/>
      <c r="S1297" s="772"/>
      <c r="T1297" s="772"/>
      <c r="AW1297" s="2510"/>
      <c r="BC1297" s="2510"/>
      <c r="BD1297" s="2510"/>
      <c r="BE1297" s="2510"/>
      <c r="BF1297" s="2510"/>
      <c r="BH1297" s="2510"/>
      <c r="DB1297" s="773"/>
      <c r="DC1297" s="773"/>
      <c r="DD1297" s="773"/>
      <c r="DE1297" s="773"/>
      <c r="DF1297" s="773"/>
      <c r="DG1297" s="773"/>
      <c r="DH1297" s="773"/>
      <c r="DI1297" s="773"/>
      <c r="DJ1297" s="773"/>
      <c r="DK1297" s="773"/>
      <c r="DL1297" s="773"/>
      <c r="DM1297" s="773"/>
      <c r="DN1297" s="773"/>
      <c r="DO1297" s="773"/>
      <c r="DP1297" s="773"/>
      <c r="DQ1297" s="773"/>
      <c r="DR1297" s="773"/>
      <c r="DS1297" s="773"/>
      <c r="DT1297" s="773"/>
      <c r="DU1297" s="773"/>
      <c r="DV1297" s="773"/>
      <c r="DW1297" s="773"/>
      <c r="DX1297" s="773"/>
      <c r="DY1297" s="773"/>
      <c r="DZ1297" s="773"/>
      <c r="EA1297" s="773"/>
      <c r="EB1297" s="773"/>
      <c r="EC1297" s="773"/>
      <c r="ED1297" s="773"/>
      <c r="EE1297" s="773"/>
      <c r="EF1297" s="773"/>
      <c r="EG1297" s="773"/>
      <c r="EH1297" s="773"/>
      <c r="EI1297" s="773"/>
      <c r="EJ1297" s="773"/>
      <c r="EK1297" s="773"/>
      <c r="EL1297" s="773"/>
      <c r="EM1297" s="773"/>
      <c r="EN1297" s="773"/>
      <c r="EO1297" s="773"/>
      <c r="EP1297" s="773"/>
      <c r="EQ1297" s="773"/>
      <c r="ER1297" s="773"/>
      <c r="ES1297" s="773"/>
      <c r="ET1297" s="773"/>
      <c r="EU1297" s="773"/>
      <c r="EV1297" s="773"/>
      <c r="EW1297" s="773"/>
      <c r="EX1297" s="773"/>
      <c r="EY1297" s="773"/>
      <c r="EZ1297" s="773"/>
      <c r="FA1297" s="773"/>
      <c r="FB1297" s="773"/>
      <c r="FC1297" s="773"/>
      <c r="FD1297" s="773"/>
      <c r="FE1297" s="773"/>
      <c r="FF1297" s="773"/>
      <c r="FG1297" s="773"/>
      <c r="FH1297" s="773"/>
      <c r="FI1297" s="773"/>
      <c r="FJ1297" s="773"/>
      <c r="FK1297" s="773"/>
      <c r="FL1297" s="773"/>
      <c r="FM1297" s="773"/>
      <c r="FN1297" s="773"/>
      <c r="FO1297" s="773"/>
      <c r="FP1297" s="773"/>
      <c r="FQ1297" s="773"/>
      <c r="FR1297" s="773"/>
      <c r="FS1297" s="773"/>
      <c r="FT1297" s="773"/>
      <c r="FU1297" s="773"/>
      <c r="FV1297" s="773"/>
      <c r="FW1297" s="773"/>
      <c r="FX1297" s="773"/>
      <c r="FY1297" s="773"/>
      <c r="FZ1297" s="773"/>
      <c r="GA1297" s="773"/>
      <c r="GB1297" s="773"/>
      <c r="GC1297" s="773"/>
      <c r="GD1297" s="773"/>
      <c r="GE1297" s="773"/>
      <c r="GF1297" s="773"/>
      <c r="GG1297" s="773"/>
      <c r="GH1297" s="773"/>
      <c r="GI1297" s="773"/>
      <c r="GJ1297" s="773"/>
      <c r="GK1297" s="773"/>
      <c r="GL1297" s="773"/>
      <c r="GM1297" s="773"/>
      <c r="GN1297" s="773"/>
      <c r="GO1297" s="773"/>
      <c r="GP1297" s="773"/>
      <c r="GQ1297" s="773"/>
      <c r="GR1297" s="773"/>
      <c r="GS1297" s="773"/>
      <c r="GT1297" s="773"/>
      <c r="GU1297" s="773"/>
      <c r="GV1297" s="773"/>
      <c r="GW1297" s="773"/>
      <c r="GX1297" s="773"/>
      <c r="GY1297" s="773"/>
      <c r="GZ1297" s="773"/>
    </row>
    <row r="1298" spans="2:208" s="11" customFormat="1">
      <c r="B1298" s="775"/>
      <c r="C1298" s="826"/>
      <c r="D1298" s="775"/>
      <c r="K1298" s="209"/>
      <c r="M1298" s="771"/>
      <c r="N1298" s="772"/>
      <c r="O1298" s="772"/>
      <c r="P1298" s="772"/>
      <c r="Q1298" s="772"/>
      <c r="R1298" s="772"/>
      <c r="S1298" s="772"/>
      <c r="T1298" s="772"/>
      <c r="AW1298" s="2510"/>
      <c r="BC1298" s="2510"/>
      <c r="BD1298" s="2510"/>
      <c r="BE1298" s="2510"/>
      <c r="BF1298" s="2510"/>
      <c r="BH1298" s="2510"/>
      <c r="DB1298" s="773"/>
      <c r="DC1298" s="773"/>
      <c r="DD1298" s="773"/>
      <c r="DE1298" s="773"/>
      <c r="DF1298" s="773"/>
      <c r="DG1298" s="773"/>
      <c r="DH1298" s="773"/>
      <c r="DI1298" s="773"/>
      <c r="DJ1298" s="773"/>
      <c r="DK1298" s="773"/>
      <c r="DL1298" s="773"/>
      <c r="DM1298" s="773"/>
      <c r="DN1298" s="773"/>
      <c r="DO1298" s="773"/>
      <c r="DP1298" s="773"/>
      <c r="DQ1298" s="773"/>
      <c r="DR1298" s="773"/>
      <c r="DS1298" s="773"/>
      <c r="DT1298" s="773"/>
      <c r="DU1298" s="773"/>
      <c r="DV1298" s="773"/>
      <c r="DW1298" s="773"/>
      <c r="DX1298" s="773"/>
      <c r="DY1298" s="773"/>
      <c r="DZ1298" s="773"/>
      <c r="EA1298" s="773"/>
      <c r="EB1298" s="773"/>
      <c r="EC1298" s="773"/>
      <c r="ED1298" s="773"/>
      <c r="EE1298" s="773"/>
      <c r="EF1298" s="773"/>
      <c r="EG1298" s="773"/>
      <c r="EH1298" s="773"/>
      <c r="EI1298" s="773"/>
      <c r="EJ1298" s="773"/>
      <c r="EK1298" s="773"/>
      <c r="EL1298" s="773"/>
      <c r="EM1298" s="773"/>
      <c r="EN1298" s="773"/>
      <c r="EO1298" s="773"/>
      <c r="EP1298" s="773"/>
      <c r="EQ1298" s="773"/>
      <c r="ER1298" s="773"/>
      <c r="ES1298" s="773"/>
      <c r="ET1298" s="773"/>
      <c r="EU1298" s="773"/>
      <c r="EV1298" s="773"/>
      <c r="EW1298" s="773"/>
      <c r="EX1298" s="773"/>
      <c r="EY1298" s="773"/>
      <c r="EZ1298" s="773"/>
      <c r="FA1298" s="773"/>
      <c r="FB1298" s="773"/>
      <c r="FC1298" s="773"/>
      <c r="FD1298" s="773"/>
      <c r="FE1298" s="773"/>
      <c r="FF1298" s="773"/>
      <c r="FG1298" s="773"/>
      <c r="FH1298" s="773"/>
      <c r="FI1298" s="773"/>
      <c r="FJ1298" s="773"/>
      <c r="FK1298" s="773"/>
      <c r="FL1298" s="773"/>
      <c r="FM1298" s="773"/>
      <c r="FN1298" s="773"/>
      <c r="FO1298" s="773"/>
      <c r="FP1298" s="773"/>
      <c r="FQ1298" s="773"/>
      <c r="FR1298" s="773"/>
      <c r="FS1298" s="773"/>
      <c r="FT1298" s="773"/>
      <c r="FU1298" s="773"/>
      <c r="FV1298" s="773"/>
      <c r="FW1298" s="773"/>
      <c r="FX1298" s="773"/>
      <c r="FY1298" s="773"/>
      <c r="FZ1298" s="773"/>
      <c r="GA1298" s="773"/>
      <c r="GB1298" s="773"/>
      <c r="GC1298" s="773"/>
      <c r="GD1298" s="773"/>
      <c r="GE1298" s="773"/>
      <c r="GF1298" s="773"/>
      <c r="GG1298" s="773"/>
      <c r="GH1298" s="773"/>
      <c r="GI1298" s="773"/>
      <c r="GJ1298" s="773"/>
      <c r="GK1298" s="773"/>
      <c r="GL1298" s="773"/>
      <c r="GM1298" s="773"/>
      <c r="GN1298" s="773"/>
      <c r="GO1298" s="773"/>
      <c r="GP1298" s="773"/>
      <c r="GQ1298" s="773"/>
      <c r="GR1298" s="773"/>
      <c r="GS1298" s="773"/>
      <c r="GT1298" s="773"/>
      <c r="GU1298" s="773"/>
      <c r="GV1298" s="773"/>
      <c r="GW1298" s="773"/>
      <c r="GX1298" s="773"/>
      <c r="GY1298" s="773"/>
      <c r="GZ1298" s="773"/>
    </row>
    <row r="1299" spans="2:208" s="11" customFormat="1">
      <c r="B1299" s="775"/>
      <c r="C1299" s="826"/>
      <c r="D1299" s="775"/>
      <c r="K1299" s="209"/>
      <c r="M1299" s="771"/>
      <c r="N1299" s="772"/>
      <c r="O1299" s="772"/>
      <c r="P1299" s="772"/>
      <c r="Q1299" s="772"/>
      <c r="R1299" s="772"/>
      <c r="S1299" s="772"/>
      <c r="T1299" s="772"/>
      <c r="AW1299" s="2510"/>
      <c r="BC1299" s="2510"/>
      <c r="BD1299" s="2510"/>
      <c r="BE1299" s="2510"/>
      <c r="BF1299" s="2510"/>
      <c r="BH1299" s="2510"/>
      <c r="DB1299" s="773"/>
      <c r="DC1299" s="773"/>
      <c r="DD1299" s="773"/>
      <c r="DE1299" s="773"/>
      <c r="DF1299" s="773"/>
      <c r="DG1299" s="773"/>
      <c r="DH1299" s="773"/>
      <c r="DI1299" s="773"/>
      <c r="DJ1299" s="773"/>
      <c r="DK1299" s="773"/>
      <c r="DL1299" s="773"/>
      <c r="DM1299" s="773"/>
      <c r="DN1299" s="773"/>
      <c r="DO1299" s="773"/>
      <c r="DP1299" s="773"/>
      <c r="DQ1299" s="773"/>
      <c r="DR1299" s="773"/>
      <c r="DS1299" s="773"/>
      <c r="DT1299" s="773"/>
      <c r="DU1299" s="773"/>
      <c r="DV1299" s="773"/>
      <c r="DW1299" s="773"/>
      <c r="DX1299" s="773"/>
      <c r="DY1299" s="773"/>
      <c r="DZ1299" s="773"/>
      <c r="EA1299" s="773"/>
      <c r="EB1299" s="773"/>
      <c r="EC1299" s="773"/>
      <c r="ED1299" s="773"/>
      <c r="EE1299" s="773"/>
      <c r="EF1299" s="773"/>
      <c r="EG1299" s="773"/>
      <c r="EH1299" s="773"/>
      <c r="EI1299" s="773"/>
      <c r="EJ1299" s="773"/>
      <c r="EK1299" s="773"/>
      <c r="EL1299" s="773"/>
      <c r="EM1299" s="773"/>
      <c r="EN1299" s="773"/>
      <c r="EO1299" s="773"/>
      <c r="EP1299" s="773"/>
      <c r="EQ1299" s="773"/>
      <c r="ER1299" s="773"/>
      <c r="ES1299" s="773"/>
      <c r="ET1299" s="773"/>
      <c r="EU1299" s="773"/>
      <c r="EV1299" s="773"/>
      <c r="EW1299" s="773"/>
      <c r="EX1299" s="773"/>
      <c r="EY1299" s="773"/>
      <c r="EZ1299" s="773"/>
      <c r="FA1299" s="773"/>
      <c r="FB1299" s="773"/>
      <c r="FC1299" s="773"/>
      <c r="FD1299" s="773"/>
      <c r="FE1299" s="773"/>
      <c r="FF1299" s="773"/>
      <c r="FG1299" s="773"/>
      <c r="FH1299" s="773"/>
      <c r="FI1299" s="773"/>
      <c r="FJ1299" s="773"/>
      <c r="FK1299" s="773"/>
      <c r="FL1299" s="773"/>
      <c r="FM1299" s="773"/>
      <c r="FN1299" s="773"/>
      <c r="FO1299" s="773"/>
      <c r="FP1299" s="773"/>
      <c r="FQ1299" s="773"/>
      <c r="FR1299" s="773"/>
      <c r="FS1299" s="773"/>
      <c r="FT1299" s="773"/>
      <c r="FU1299" s="773"/>
      <c r="FV1299" s="773"/>
      <c r="FW1299" s="773"/>
      <c r="FX1299" s="773"/>
      <c r="FY1299" s="773"/>
      <c r="FZ1299" s="773"/>
      <c r="GA1299" s="773"/>
      <c r="GB1299" s="773"/>
      <c r="GC1299" s="773"/>
      <c r="GD1299" s="773"/>
      <c r="GE1299" s="773"/>
      <c r="GF1299" s="773"/>
      <c r="GG1299" s="773"/>
      <c r="GH1299" s="773"/>
      <c r="GI1299" s="773"/>
      <c r="GJ1299" s="773"/>
      <c r="GK1299" s="773"/>
      <c r="GL1299" s="773"/>
      <c r="GM1299" s="773"/>
      <c r="GN1299" s="773"/>
      <c r="GO1299" s="773"/>
      <c r="GP1299" s="773"/>
      <c r="GQ1299" s="773"/>
      <c r="GR1299" s="773"/>
      <c r="GS1299" s="773"/>
      <c r="GT1299" s="773"/>
      <c r="GU1299" s="773"/>
      <c r="GV1299" s="773"/>
      <c r="GW1299" s="773"/>
      <c r="GX1299" s="773"/>
      <c r="GY1299" s="773"/>
      <c r="GZ1299" s="773"/>
    </row>
    <row r="1300" spans="2:208" s="11" customFormat="1">
      <c r="B1300" s="775"/>
      <c r="C1300" s="826"/>
      <c r="D1300" s="775"/>
      <c r="K1300" s="209"/>
      <c r="M1300" s="771"/>
      <c r="N1300" s="772"/>
      <c r="O1300" s="772"/>
      <c r="P1300" s="772"/>
      <c r="Q1300" s="772"/>
      <c r="R1300" s="772"/>
      <c r="S1300" s="772"/>
      <c r="T1300" s="772"/>
      <c r="AW1300" s="2510"/>
      <c r="BC1300" s="2510"/>
      <c r="BD1300" s="2510"/>
      <c r="BE1300" s="2510"/>
      <c r="BF1300" s="2510"/>
      <c r="BH1300" s="2510"/>
      <c r="DB1300" s="773"/>
      <c r="DC1300" s="773"/>
      <c r="DD1300" s="773"/>
      <c r="DE1300" s="773"/>
      <c r="DF1300" s="773"/>
      <c r="DG1300" s="773"/>
      <c r="DH1300" s="773"/>
      <c r="DI1300" s="773"/>
      <c r="DJ1300" s="773"/>
      <c r="DK1300" s="773"/>
      <c r="DL1300" s="773"/>
      <c r="DM1300" s="773"/>
      <c r="DN1300" s="773"/>
      <c r="DO1300" s="773"/>
      <c r="DP1300" s="773"/>
      <c r="DQ1300" s="773"/>
      <c r="DR1300" s="773"/>
      <c r="DS1300" s="773"/>
      <c r="DT1300" s="773"/>
      <c r="DU1300" s="773"/>
      <c r="DV1300" s="773"/>
      <c r="DW1300" s="773"/>
      <c r="DX1300" s="773"/>
      <c r="DY1300" s="773"/>
      <c r="DZ1300" s="773"/>
      <c r="EA1300" s="773"/>
      <c r="EB1300" s="773"/>
      <c r="EC1300" s="773"/>
      <c r="ED1300" s="773"/>
      <c r="EE1300" s="773"/>
      <c r="EF1300" s="773"/>
      <c r="EG1300" s="773"/>
      <c r="EH1300" s="773"/>
      <c r="EI1300" s="773"/>
      <c r="EJ1300" s="773"/>
      <c r="EK1300" s="773"/>
      <c r="EL1300" s="773"/>
      <c r="EM1300" s="773"/>
      <c r="EN1300" s="773"/>
      <c r="EO1300" s="773"/>
      <c r="EP1300" s="773"/>
      <c r="EQ1300" s="773"/>
      <c r="ER1300" s="773"/>
      <c r="ES1300" s="773"/>
      <c r="ET1300" s="773"/>
      <c r="EU1300" s="773"/>
      <c r="EV1300" s="773"/>
      <c r="EW1300" s="773"/>
      <c r="EX1300" s="773"/>
      <c r="EY1300" s="773"/>
      <c r="EZ1300" s="773"/>
      <c r="FA1300" s="773"/>
      <c r="FB1300" s="773"/>
      <c r="FC1300" s="773"/>
      <c r="FD1300" s="773"/>
      <c r="FE1300" s="773"/>
      <c r="FF1300" s="773"/>
      <c r="FG1300" s="773"/>
      <c r="FH1300" s="773"/>
      <c r="FI1300" s="773"/>
      <c r="FJ1300" s="773"/>
      <c r="FK1300" s="773"/>
      <c r="FL1300" s="773"/>
      <c r="FM1300" s="773"/>
      <c r="FN1300" s="773"/>
      <c r="FO1300" s="773"/>
      <c r="FP1300" s="773"/>
      <c r="FQ1300" s="773"/>
      <c r="FR1300" s="773"/>
      <c r="FS1300" s="773"/>
      <c r="FT1300" s="773"/>
      <c r="FU1300" s="773"/>
      <c r="FV1300" s="773"/>
      <c r="FW1300" s="773"/>
      <c r="FX1300" s="773"/>
      <c r="FY1300" s="773"/>
      <c r="FZ1300" s="773"/>
      <c r="GA1300" s="773"/>
      <c r="GB1300" s="773"/>
      <c r="GC1300" s="773"/>
      <c r="GD1300" s="773"/>
      <c r="GE1300" s="773"/>
      <c r="GF1300" s="773"/>
      <c r="GG1300" s="773"/>
      <c r="GH1300" s="773"/>
      <c r="GI1300" s="773"/>
      <c r="GJ1300" s="773"/>
      <c r="GK1300" s="773"/>
      <c r="GL1300" s="773"/>
      <c r="GM1300" s="773"/>
      <c r="GN1300" s="773"/>
      <c r="GO1300" s="773"/>
      <c r="GP1300" s="773"/>
      <c r="GQ1300" s="773"/>
      <c r="GR1300" s="773"/>
      <c r="GS1300" s="773"/>
      <c r="GT1300" s="773"/>
      <c r="GU1300" s="773"/>
      <c r="GV1300" s="773"/>
      <c r="GW1300" s="773"/>
      <c r="GX1300" s="773"/>
      <c r="GY1300" s="773"/>
      <c r="GZ1300" s="773"/>
    </row>
    <row r="1301" spans="2:208" s="11" customFormat="1">
      <c r="B1301" s="775"/>
      <c r="C1301" s="826"/>
      <c r="D1301" s="775"/>
      <c r="K1301" s="209"/>
      <c r="M1301" s="771"/>
      <c r="N1301" s="772"/>
      <c r="O1301" s="772"/>
      <c r="P1301" s="772"/>
      <c r="Q1301" s="772"/>
      <c r="R1301" s="772"/>
      <c r="S1301" s="772"/>
      <c r="T1301" s="772"/>
      <c r="AW1301" s="2510"/>
      <c r="BC1301" s="2510"/>
      <c r="BD1301" s="2510"/>
      <c r="BE1301" s="2510"/>
      <c r="BF1301" s="2510"/>
      <c r="BH1301" s="2510"/>
      <c r="DB1301" s="773"/>
      <c r="DC1301" s="773"/>
      <c r="DD1301" s="773"/>
      <c r="DE1301" s="773"/>
      <c r="DF1301" s="773"/>
      <c r="DG1301" s="773"/>
      <c r="DH1301" s="773"/>
      <c r="DI1301" s="773"/>
      <c r="DJ1301" s="773"/>
      <c r="DK1301" s="773"/>
      <c r="DL1301" s="773"/>
      <c r="DM1301" s="773"/>
      <c r="DN1301" s="773"/>
      <c r="DO1301" s="773"/>
      <c r="DP1301" s="773"/>
      <c r="DQ1301" s="773"/>
      <c r="DR1301" s="773"/>
      <c r="DS1301" s="773"/>
      <c r="DT1301" s="773"/>
      <c r="DU1301" s="773"/>
      <c r="DV1301" s="773"/>
      <c r="DW1301" s="773"/>
      <c r="DX1301" s="773"/>
      <c r="DY1301" s="773"/>
      <c r="DZ1301" s="773"/>
      <c r="EA1301" s="773"/>
      <c r="EB1301" s="773"/>
      <c r="EC1301" s="773"/>
      <c r="ED1301" s="773"/>
      <c r="EE1301" s="773"/>
      <c r="EF1301" s="773"/>
      <c r="EG1301" s="773"/>
      <c r="EH1301" s="773"/>
      <c r="EI1301" s="773"/>
      <c r="EJ1301" s="773"/>
      <c r="EK1301" s="773"/>
      <c r="EL1301" s="773"/>
      <c r="EM1301" s="773"/>
      <c r="EN1301" s="773"/>
      <c r="EO1301" s="773"/>
      <c r="EP1301" s="773"/>
      <c r="EQ1301" s="773"/>
      <c r="ER1301" s="773"/>
      <c r="ES1301" s="773"/>
      <c r="ET1301" s="773"/>
      <c r="EU1301" s="773"/>
      <c r="EV1301" s="773"/>
      <c r="EW1301" s="773"/>
      <c r="EX1301" s="773"/>
      <c r="EY1301" s="773"/>
      <c r="EZ1301" s="773"/>
      <c r="FA1301" s="773"/>
      <c r="FB1301" s="773"/>
      <c r="FC1301" s="773"/>
      <c r="FD1301" s="773"/>
      <c r="FE1301" s="773"/>
      <c r="FF1301" s="773"/>
      <c r="FG1301" s="773"/>
      <c r="FH1301" s="773"/>
      <c r="FI1301" s="773"/>
      <c r="FJ1301" s="773"/>
      <c r="FK1301" s="773"/>
      <c r="FL1301" s="773"/>
      <c r="FM1301" s="773"/>
      <c r="FN1301" s="773"/>
      <c r="FO1301" s="773"/>
      <c r="FP1301" s="773"/>
      <c r="FQ1301" s="773"/>
      <c r="FR1301" s="773"/>
      <c r="FS1301" s="773"/>
      <c r="FT1301" s="773"/>
      <c r="FU1301" s="773"/>
      <c r="FV1301" s="773"/>
      <c r="FW1301" s="773"/>
      <c r="FX1301" s="773"/>
      <c r="FY1301" s="773"/>
      <c r="FZ1301" s="773"/>
      <c r="GA1301" s="773"/>
      <c r="GB1301" s="773"/>
      <c r="GC1301" s="773"/>
      <c r="GD1301" s="773"/>
      <c r="GE1301" s="773"/>
      <c r="GF1301" s="773"/>
      <c r="GG1301" s="773"/>
      <c r="GH1301" s="773"/>
      <c r="GI1301" s="773"/>
      <c r="GJ1301" s="773"/>
      <c r="GK1301" s="773"/>
      <c r="GL1301" s="773"/>
      <c r="GM1301" s="773"/>
      <c r="GN1301" s="773"/>
      <c r="GO1301" s="773"/>
      <c r="GP1301" s="773"/>
      <c r="GQ1301" s="773"/>
      <c r="GR1301" s="773"/>
      <c r="GS1301" s="773"/>
      <c r="GT1301" s="773"/>
      <c r="GU1301" s="773"/>
      <c r="GV1301" s="773"/>
      <c r="GW1301" s="773"/>
      <c r="GX1301" s="773"/>
      <c r="GY1301" s="773"/>
      <c r="GZ1301" s="773"/>
    </row>
    <row r="1302" spans="2:208" s="11" customFormat="1">
      <c r="B1302" s="775"/>
      <c r="C1302" s="826"/>
      <c r="D1302" s="775"/>
      <c r="K1302" s="209"/>
      <c r="M1302" s="771"/>
      <c r="N1302" s="772"/>
      <c r="O1302" s="772"/>
      <c r="P1302" s="772"/>
      <c r="Q1302" s="772"/>
      <c r="R1302" s="772"/>
      <c r="S1302" s="772"/>
      <c r="T1302" s="772"/>
      <c r="AW1302" s="2510"/>
      <c r="BC1302" s="2510"/>
      <c r="BD1302" s="2510"/>
      <c r="BE1302" s="2510"/>
      <c r="BF1302" s="2510"/>
      <c r="BH1302" s="2510"/>
      <c r="DB1302" s="773"/>
      <c r="DC1302" s="773"/>
      <c r="DD1302" s="773"/>
      <c r="DE1302" s="773"/>
      <c r="DF1302" s="773"/>
      <c r="DG1302" s="773"/>
      <c r="DH1302" s="773"/>
      <c r="DI1302" s="773"/>
      <c r="DJ1302" s="773"/>
      <c r="DK1302" s="773"/>
      <c r="DL1302" s="773"/>
      <c r="DM1302" s="773"/>
      <c r="DN1302" s="773"/>
      <c r="DO1302" s="773"/>
      <c r="DP1302" s="773"/>
      <c r="DQ1302" s="773"/>
      <c r="DR1302" s="773"/>
      <c r="DS1302" s="773"/>
      <c r="DT1302" s="773"/>
      <c r="DU1302" s="773"/>
      <c r="DV1302" s="773"/>
      <c r="DW1302" s="773"/>
      <c r="DX1302" s="773"/>
      <c r="DY1302" s="773"/>
      <c r="DZ1302" s="773"/>
      <c r="EA1302" s="773"/>
      <c r="EB1302" s="773"/>
      <c r="EC1302" s="773"/>
      <c r="ED1302" s="773"/>
      <c r="EE1302" s="773"/>
      <c r="EF1302" s="773"/>
      <c r="EG1302" s="773"/>
      <c r="EH1302" s="773"/>
      <c r="EI1302" s="773"/>
      <c r="EJ1302" s="773"/>
      <c r="EK1302" s="773"/>
      <c r="EL1302" s="773"/>
      <c r="EM1302" s="773"/>
      <c r="EN1302" s="773"/>
      <c r="EO1302" s="773"/>
      <c r="EP1302" s="773"/>
      <c r="EQ1302" s="773"/>
      <c r="ER1302" s="773"/>
      <c r="ES1302" s="773"/>
      <c r="ET1302" s="773"/>
      <c r="EU1302" s="773"/>
      <c r="EV1302" s="773"/>
      <c r="EW1302" s="773"/>
      <c r="EX1302" s="773"/>
      <c r="EY1302" s="773"/>
      <c r="EZ1302" s="773"/>
      <c r="FA1302" s="773"/>
      <c r="FB1302" s="773"/>
      <c r="FC1302" s="773"/>
      <c r="FD1302" s="773"/>
      <c r="FE1302" s="773"/>
      <c r="FF1302" s="773"/>
      <c r="FG1302" s="773"/>
      <c r="FH1302" s="773"/>
      <c r="FI1302" s="773"/>
      <c r="FJ1302" s="773"/>
      <c r="FK1302" s="773"/>
      <c r="FL1302" s="773"/>
      <c r="FM1302" s="773"/>
      <c r="FN1302" s="773"/>
      <c r="FO1302" s="773"/>
      <c r="FP1302" s="773"/>
      <c r="FQ1302" s="773"/>
      <c r="FR1302" s="773"/>
      <c r="FS1302" s="773"/>
      <c r="FT1302" s="773"/>
      <c r="FU1302" s="773"/>
      <c r="FV1302" s="773"/>
      <c r="FW1302" s="773"/>
      <c r="FX1302" s="773"/>
      <c r="FY1302" s="773"/>
      <c r="FZ1302" s="773"/>
      <c r="GA1302" s="773"/>
      <c r="GB1302" s="773"/>
      <c r="GC1302" s="773"/>
      <c r="GD1302" s="773"/>
      <c r="GE1302" s="773"/>
      <c r="GF1302" s="773"/>
      <c r="GG1302" s="773"/>
      <c r="GH1302" s="773"/>
      <c r="GI1302" s="773"/>
      <c r="GJ1302" s="773"/>
      <c r="GK1302" s="773"/>
      <c r="GL1302" s="773"/>
      <c r="GM1302" s="773"/>
      <c r="GN1302" s="773"/>
      <c r="GO1302" s="773"/>
      <c r="GP1302" s="773"/>
      <c r="GQ1302" s="773"/>
      <c r="GR1302" s="773"/>
      <c r="GS1302" s="773"/>
      <c r="GT1302" s="773"/>
      <c r="GU1302" s="773"/>
      <c r="GV1302" s="773"/>
      <c r="GW1302" s="773"/>
      <c r="GX1302" s="773"/>
      <c r="GY1302" s="773"/>
      <c r="GZ1302" s="773"/>
    </row>
    <row r="1303" spans="2:208" s="11" customFormat="1">
      <c r="B1303" s="775"/>
      <c r="C1303" s="826"/>
      <c r="D1303" s="775"/>
      <c r="K1303" s="209"/>
      <c r="M1303" s="771"/>
      <c r="N1303" s="772"/>
      <c r="O1303" s="772"/>
      <c r="P1303" s="772"/>
      <c r="Q1303" s="772"/>
      <c r="R1303" s="772"/>
      <c r="S1303" s="772"/>
      <c r="T1303" s="772"/>
      <c r="AW1303" s="2510"/>
      <c r="BC1303" s="2510"/>
      <c r="BD1303" s="2510"/>
      <c r="BE1303" s="2510"/>
      <c r="BF1303" s="2510"/>
      <c r="BH1303" s="2510"/>
      <c r="DB1303" s="773"/>
      <c r="DC1303" s="773"/>
      <c r="DD1303" s="773"/>
      <c r="DE1303" s="773"/>
      <c r="DF1303" s="773"/>
      <c r="DG1303" s="773"/>
      <c r="DH1303" s="773"/>
      <c r="DI1303" s="773"/>
      <c r="DJ1303" s="773"/>
      <c r="DK1303" s="773"/>
      <c r="DL1303" s="773"/>
      <c r="DM1303" s="773"/>
      <c r="DN1303" s="773"/>
      <c r="DO1303" s="773"/>
      <c r="DP1303" s="773"/>
      <c r="DQ1303" s="773"/>
      <c r="DR1303" s="773"/>
      <c r="DS1303" s="773"/>
      <c r="DT1303" s="773"/>
      <c r="DU1303" s="773"/>
      <c r="DV1303" s="773"/>
      <c r="DW1303" s="773"/>
      <c r="DX1303" s="773"/>
      <c r="DY1303" s="773"/>
      <c r="DZ1303" s="773"/>
      <c r="EA1303" s="773"/>
      <c r="EB1303" s="773"/>
      <c r="EC1303" s="773"/>
      <c r="ED1303" s="773"/>
      <c r="EE1303" s="773"/>
      <c r="EF1303" s="773"/>
      <c r="EG1303" s="773"/>
      <c r="EH1303" s="773"/>
      <c r="EI1303" s="773"/>
      <c r="EJ1303" s="773"/>
      <c r="EK1303" s="773"/>
      <c r="EL1303" s="773"/>
      <c r="EM1303" s="773"/>
      <c r="EN1303" s="773"/>
      <c r="EO1303" s="773"/>
      <c r="EP1303" s="773"/>
      <c r="EQ1303" s="773"/>
      <c r="ER1303" s="773"/>
      <c r="ES1303" s="773"/>
      <c r="ET1303" s="773"/>
      <c r="EU1303" s="773"/>
      <c r="EV1303" s="773"/>
      <c r="EW1303" s="773"/>
      <c r="EX1303" s="773"/>
      <c r="EY1303" s="773"/>
      <c r="EZ1303" s="773"/>
      <c r="FA1303" s="773"/>
      <c r="FB1303" s="773"/>
      <c r="FC1303" s="773"/>
      <c r="FD1303" s="773"/>
      <c r="FE1303" s="773"/>
      <c r="FF1303" s="773"/>
      <c r="FG1303" s="773"/>
      <c r="FH1303" s="773"/>
      <c r="FI1303" s="773"/>
      <c r="FJ1303" s="773"/>
      <c r="FK1303" s="773"/>
      <c r="FL1303" s="773"/>
      <c r="FM1303" s="773"/>
      <c r="FN1303" s="773"/>
      <c r="FO1303" s="773"/>
      <c r="FP1303" s="773"/>
      <c r="FQ1303" s="773"/>
      <c r="FR1303" s="773"/>
      <c r="FS1303" s="773"/>
      <c r="FT1303" s="773"/>
      <c r="FU1303" s="773"/>
      <c r="FV1303" s="773"/>
      <c r="FW1303" s="773"/>
      <c r="FX1303" s="773"/>
      <c r="FY1303" s="773"/>
      <c r="FZ1303" s="773"/>
      <c r="GA1303" s="773"/>
      <c r="GB1303" s="773"/>
      <c r="GC1303" s="773"/>
      <c r="GD1303" s="773"/>
      <c r="GE1303" s="773"/>
      <c r="GF1303" s="773"/>
      <c r="GG1303" s="773"/>
      <c r="GH1303" s="773"/>
      <c r="GI1303" s="773"/>
      <c r="GJ1303" s="773"/>
      <c r="GK1303" s="773"/>
      <c r="GL1303" s="773"/>
      <c r="GM1303" s="773"/>
      <c r="GN1303" s="773"/>
      <c r="GO1303" s="773"/>
      <c r="GP1303" s="773"/>
      <c r="GQ1303" s="773"/>
      <c r="GR1303" s="773"/>
      <c r="GS1303" s="773"/>
      <c r="GT1303" s="773"/>
      <c r="GU1303" s="773"/>
      <c r="GV1303" s="773"/>
      <c r="GW1303" s="773"/>
      <c r="GX1303" s="773"/>
      <c r="GY1303" s="773"/>
      <c r="GZ1303" s="773"/>
    </row>
    <row r="1304" spans="2:208" s="11" customFormat="1">
      <c r="B1304" s="775"/>
      <c r="C1304" s="826"/>
      <c r="D1304" s="775"/>
      <c r="K1304" s="209"/>
      <c r="M1304" s="771"/>
      <c r="N1304" s="772"/>
      <c r="O1304" s="772"/>
      <c r="P1304" s="772"/>
      <c r="Q1304" s="772"/>
      <c r="R1304" s="772"/>
      <c r="S1304" s="772"/>
      <c r="T1304" s="772"/>
      <c r="AW1304" s="2510"/>
      <c r="BC1304" s="2510"/>
      <c r="BD1304" s="2510"/>
      <c r="BE1304" s="2510"/>
      <c r="BF1304" s="2510"/>
      <c r="BH1304" s="2510"/>
      <c r="DB1304" s="773"/>
      <c r="DC1304" s="773"/>
      <c r="DD1304" s="773"/>
      <c r="DE1304" s="773"/>
      <c r="DF1304" s="773"/>
      <c r="DG1304" s="773"/>
      <c r="DH1304" s="773"/>
      <c r="DI1304" s="773"/>
      <c r="DJ1304" s="773"/>
      <c r="DK1304" s="773"/>
      <c r="DL1304" s="773"/>
      <c r="DM1304" s="773"/>
      <c r="DN1304" s="773"/>
      <c r="DO1304" s="773"/>
      <c r="DP1304" s="773"/>
      <c r="DQ1304" s="773"/>
      <c r="DR1304" s="773"/>
      <c r="DS1304" s="773"/>
      <c r="DT1304" s="773"/>
      <c r="DU1304" s="773"/>
      <c r="DV1304" s="773"/>
      <c r="DW1304" s="773"/>
      <c r="DX1304" s="773"/>
      <c r="DY1304" s="773"/>
      <c r="DZ1304" s="773"/>
      <c r="EA1304" s="773"/>
      <c r="EB1304" s="773"/>
      <c r="EC1304" s="773"/>
      <c r="ED1304" s="773"/>
      <c r="EE1304" s="773"/>
      <c r="EF1304" s="773"/>
      <c r="EG1304" s="773"/>
      <c r="EH1304" s="773"/>
      <c r="EI1304" s="773"/>
      <c r="EJ1304" s="773"/>
      <c r="EK1304" s="773"/>
      <c r="EL1304" s="773"/>
      <c r="EM1304" s="773"/>
      <c r="EN1304" s="773"/>
      <c r="EO1304" s="773"/>
      <c r="EP1304" s="773"/>
      <c r="EQ1304" s="773"/>
      <c r="ER1304" s="773"/>
      <c r="ES1304" s="773"/>
      <c r="ET1304" s="773"/>
      <c r="EU1304" s="773"/>
      <c r="EV1304" s="773"/>
      <c r="EW1304" s="773"/>
      <c r="EX1304" s="773"/>
      <c r="EY1304" s="773"/>
      <c r="EZ1304" s="773"/>
      <c r="FA1304" s="773"/>
      <c r="FB1304" s="773"/>
      <c r="FC1304" s="773"/>
      <c r="FD1304" s="773"/>
      <c r="FE1304" s="773"/>
      <c r="FF1304" s="773"/>
      <c r="FG1304" s="773"/>
      <c r="FH1304" s="773"/>
      <c r="FI1304" s="773"/>
      <c r="FJ1304" s="773"/>
      <c r="FK1304" s="773"/>
      <c r="FL1304" s="773"/>
      <c r="FM1304" s="773"/>
      <c r="FN1304" s="773"/>
      <c r="FO1304" s="773"/>
      <c r="FP1304" s="773"/>
      <c r="FQ1304" s="773"/>
      <c r="FR1304" s="773"/>
      <c r="FS1304" s="773"/>
      <c r="FT1304" s="773"/>
      <c r="FU1304" s="773"/>
      <c r="FV1304" s="773"/>
      <c r="FW1304" s="773"/>
      <c r="FX1304" s="773"/>
      <c r="FY1304" s="773"/>
      <c r="FZ1304" s="773"/>
      <c r="GA1304" s="773"/>
      <c r="GB1304" s="773"/>
      <c r="GC1304" s="773"/>
      <c r="GD1304" s="773"/>
      <c r="GE1304" s="773"/>
      <c r="GF1304" s="773"/>
      <c r="GG1304" s="773"/>
      <c r="GH1304" s="773"/>
      <c r="GI1304" s="773"/>
      <c r="GJ1304" s="773"/>
      <c r="GK1304" s="773"/>
      <c r="GL1304" s="773"/>
      <c r="GM1304" s="773"/>
      <c r="GN1304" s="773"/>
      <c r="GO1304" s="773"/>
      <c r="GP1304" s="773"/>
      <c r="GQ1304" s="773"/>
      <c r="GR1304" s="773"/>
      <c r="GS1304" s="773"/>
      <c r="GT1304" s="773"/>
      <c r="GU1304" s="773"/>
      <c r="GV1304" s="773"/>
      <c r="GW1304" s="773"/>
      <c r="GX1304" s="773"/>
      <c r="GY1304" s="773"/>
      <c r="GZ1304" s="773"/>
    </row>
    <row r="1305" spans="2:208" s="11" customFormat="1">
      <c r="B1305" s="775"/>
      <c r="C1305" s="826"/>
      <c r="D1305" s="775"/>
      <c r="K1305" s="209"/>
      <c r="M1305" s="771"/>
      <c r="N1305" s="772"/>
      <c r="O1305" s="772"/>
      <c r="P1305" s="772"/>
      <c r="Q1305" s="772"/>
      <c r="R1305" s="772"/>
      <c r="S1305" s="772"/>
      <c r="T1305" s="772"/>
      <c r="AW1305" s="2510"/>
      <c r="BC1305" s="2510"/>
      <c r="BD1305" s="2510"/>
      <c r="BE1305" s="2510"/>
      <c r="BF1305" s="2510"/>
      <c r="BH1305" s="2510"/>
      <c r="DB1305" s="773"/>
      <c r="DC1305" s="773"/>
      <c r="DD1305" s="773"/>
      <c r="DE1305" s="773"/>
      <c r="DF1305" s="773"/>
      <c r="DG1305" s="773"/>
      <c r="DH1305" s="773"/>
      <c r="DI1305" s="773"/>
      <c r="DJ1305" s="773"/>
      <c r="DK1305" s="773"/>
      <c r="DL1305" s="773"/>
      <c r="DM1305" s="773"/>
      <c r="DN1305" s="773"/>
      <c r="DO1305" s="773"/>
      <c r="DP1305" s="773"/>
      <c r="DQ1305" s="773"/>
      <c r="DR1305" s="773"/>
      <c r="DS1305" s="773"/>
      <c r="DT1305" s="773"/>
      <c r="DU1305" s="773"/>
      <c r="DV1305" s="773"/>
      <c r="DW1305" s="773"/>
      <c r="DX1305" s="773"/>
      <c r="DY1305" s="773"/>
      <c r="DZ1305" s="773"/>
      <c r="EA1305" s="773"/>
      <c r="EB1305" s="773"/>
      <c r="EC1305" s="773"/>
      <c r="ED1305" s="773"/>
      <c r="EE1305" s="773"/>
      <c r="EF1305" s="773"/>
      <c r="EG1305" s="773"/>
      <c r="EH1305" s="773"/>
      <c r="EI1305" s="773"/>
      <c r="EJ1305" s="773"/>
      <c r="EK1305" s="773"/>
      <c r="EL1305" s="773"/>
      <c r="EM1305" s="773"/>
      <c r="EN1305" s="773"/>
      <c r="EO1305" s="773"/>
      <c r="EP1305" s="773"/>
      <c r="EQ1305" s="773"/>
      <c r="ER1305" s="773"/>
      <c r="ES1305" s="773"/>
      <c r="ET1305" s="773"/>
      <c r="EU1305" s="773"/>
      <c r="EV1305" s="773"/>
      <c r="EW1305" s="773"/>
      <c r="EX1305" s="773"/>
      <c r="EY1305" s="773"/>
      <c r="EZ1305" s="773"/>
      <c r="FA1305" s="773"/>
      <c r="FB1305" s="773"/>
      <c r="FC1305" s="773"/>
      <c r="FD1305" s="773"/>
      <c r="FE1305" s="773"/>
      <c r="FF1305" s="773"/>
      <c r="FG1305" s="773"/>
      <c r="FH1305" s="773"/>
      <c r="FI1305" s="773"/>
      <c r="FJ1305" s="773"/>
      <c r="FK1305" s="773"/>
      <c r="FL1305" s="773"/>
      <c r="FM1305" s="773"/>
      <c r="FN1305" s="773"/>
      <c r="FO1305" s="773"/>
      <c r="FP1305" s="773"/>
      <c r="FQ1305" s="773"/>
      <c r="FR1305" s="773"/>
      <c r="FS1305" s="773"/>
      <c r="FT1305" s="773"/>
      <c r="FU1305" s="773"/>
      <c r="FV1305" s="773"/>
      <c r="FW1305" s="773"/>
      <c r="FX1305" s="773"/>
      <c r="FY1305" s="773"/>
      <c r="FZ1305" s="773"/>
      <c r="GA1305" s="773"/>
      <c r="GB1305" s="773"/>
      <c r="GC1305" s="773"/>
      <c r="GD1305" s="773"/>
      <c r="GE1305" s="773"/>
      <c r="GF1305" s="773"/>
      <c r="GG1305" s="773"/>
      <c r="GH1305" s="773"/>
      <c r="GI1305" s="773"/>
      <c r="GJ1305" s="773"/>
      <c r="GK1305" s="773"/>
      <c r="GL1305" s="773"/>
      <c r="GM1305" s="773"/>
      <c r="GN1305" s="773"/>
      <c r="GO1305" s="773"/>
      <c r="GP1305" s="773"/>
      <c r="GQ1305" s="773"/>
      <c r="GR1305" s="773"/>
      <c r="GS1305" s="773"/>
      <c r="GT1305" s="773"/>
      <c r="GU1305" s="773"/>
      <c r="GV1305" s="773"/>
      <c r="GW1305" s="773"/>
      <c r="GX1305" s="773"/>
      <c r="GY1305" s="773"/>
      <c r="GZ1305" s="773"/>
    </row>
    <row r="1306" spans="2:208" s="11" customFormat="1">
      <c r="B1306" s="775"/>
      <c r="C1306" s="826"/>
      <c r="D1306" s="775"/>
      <c r="K1306" s="209"/>
      <c r="M1306" s="771"/>
      <c r="N1306" s="772"/>
      <c r="O1306" s="772"/>
      <c r="P1306" s="772"/>
      <c r="Q1306" s="772"/>
      <c r="R1306" s="772"/>
      <c r="S1306" s="772"/>
      <c r="T1306" s="772"/>
      <c r="AW1306" s="2510"/>
      <c r="BC1306" s="2510"/>
      <c r="BD1306" s="2510"/>
      <c r="BE1306" s="2510"/>
      <c r="BF1306" s="2510"/>
      <c r="BH1306" s="2510"/>
      <c r="DB1306" s="773"/>
      <c r="DC1306" s="773"/>
      <c r="DD1306" s="773"/>
      <c r="DE1306" s="773"/>
      <c r="DF1306" s="773"/>
      <c r="DG1306" s="773"/>
      <c r="DH1306" s="773"/>
      <c r="DI1306" s="773"/>
      <c r="DJ1306" s="773"/>
      <c r="DK1306" s="773"/>
      <c r="DL1306" s="773"/>
      <c r="DM1306" s="773"/>
      <c r="DN1306" s="773"/>
      <c r="DO1306" s="773"/>
      <c r="DP1306" s="773"/>
      <c r="DQ1306" s="773"/>
      <c r="DR1306" s="773"/>
      <c r="DS1306" s="773"/>
      <c r="DT1306" s="773"/>
      <c r="DU1306" s="773"/>
      <c r="DV1306" s="773"/>
      <c r="DW1306" s="773"/>
      <c r="DX1306" s="773"/>
      <c r="DY1306" s="773"/>
      <c r="DZ1306" s="773"/>
      <c r="EA1306" s="773"/>
      <c r="EB1306" s="773"/>
      <c r="EC1306" s="773"/>
      <c r="ED1306" s="773"/>
      <c r="EE1306" s="773"/>
      <c r="EF1306" s="773"/>
      <c r="EG1306" s="773"/>
      <c r="EH1306" s="773"/>
      <c r="EI1306" s="773"/>
      <c r="EJ1306" s="773"/>
      <c r="EK1306" s="773"/>
      <c r="EL1306" s="773"/>
      <c r="EM1306" s="773"/>
      <c r="EN1306" s="773"/>
      <c r="EO1306" s="773"/>
      <c r="EP1306" s="773"/>
      <c r="EQ1306" s="773"/>
      <c r="ER1306" s="773"/>
      <c r="ES1306" s="773"/>
      <c r="ET1306" s="773"/>
      <c r="EU1306" s="773"/>
      <c r="EV1306" s="773"/>
      <c r="EW1306" s="773"/>
      <c r="EX1306" s="773"/>
      <c r="EY1306" s="773"/>
      <c r="EZ1306" s="773"/>
      <c r="FA1306" s="773"/>
      <c r="FB1306" s="773"/>
      <c r="FC1306" s="773"/>
      <c r="FD1306" s="773"/>
      <c r="FE1306" s="773"/>
      <c r="FF1306" s="773"/>
      <c r="FG1306" s="773"/>
      <c r="FH1306" s="773"/>
      <c r="FI1306" s="773"/>
      <c r="FJ1306" s="773"/>
      <c r="FK1306" s="773"/>
      <c r="FL1306" s="773"/>
      <c r="FM1306" s="773"/>
      <c r="FN1306" s="773"/>
      <c r="FO1306" s="773"/>
      <c r="FP1306" s="773"/>
      <c r="FQ1306" s="773"/>
      <c r="FR1306" s="773"/>
      <c r="FS1306" s="773"/>
      <c r="FT1306" s="773"/>
      <c r="FU1306" s="773"/>
      <c r="FV1306" s="773"/>
      <c r="FW1306" s="773"/>
      <c r="FX1306" s="773"/>
      <c r="FY1306" s="773"/>
      <c r="FZ1306" s="773"/>
      <c r="GA1306" s="773"/>
      <c r="GB1306" s="773"/>
      <c r="GC1306" s="773"/>
      <c r="GD1306" s="773"/>
      <c r="GE1306" s="773"/>
      <c r="GF1306" s="773"/>
      <c r="GG1306" s="773"/>
      <c r="GH1306" s="773"/>
      <c r="GI1306" s="773"/>
      <c r="GJ1306" s="773"/>
      <c r="GK1306" s="773"/>
      <c r="GL1306" s="773"/>
      <c r="GM1306" s="773"/>
      <c r="GN1306" s="773"/>
      <c r="GO1306" s="773"/>
      <c r="GP1306" s="773"/>
      <c r="GQ1306" s="773"/>
      <c r="GR1306" s="773"/>
      <c r="GS1306" s="773"/>
      <c r="GT1306" s="773"/>
      <c r="GU1306" s="773"/>
      <c r="GV1306" s="773"/>
      <c r="GW1306" s="773"/>
      <c r="GX1306" s="773"/>
      <c r="GY1306" s="773"/>
      <c r="GZ1306" s="773"/>
    </row>
    <row r="1307" spans="2:208" s="11" customFormat="1">
      <c r="B1307" s="775"/>
      <c r="C1307" s="826"/>
      <c r="D1307" s="775"/>
      <c r="K1307" s="209"/>
      <c r="M1307" s="771"/>
      <c r="N1307" s="772"/>
      <c r="O1307" s="772"/>
      <c r="P1307" s="772"/>
      <c r="Q1307" s="772"/>
      <c r="R1307" s="772"/>
      <c r="S1307" s="772"/>
      <c r="T1307" s="772"/>
      <c r="AW1307" s="2510"/>
      <c r="BC1307" s="2510"/>
      <c r="BD1307" s="2510"/>
      <c r="BE1307" s="2510"/>
      <c r="BF1307" s="2510"/>
      <c r="BH1307" s="2510"/>
      <c r="DB1307" s="773"/>
      <c r="DC1307" s="773"/>
      <c r="DD1307" s="773"/>
      <c r="DE1307" s="773"/>
      <c r="DF1307" s="773"/>
      <c r="DG1307" s="773"/>
      <c r="DH1307" s="773"/>
      <c r="DI1307" s="773"/>
      <c r="DJ1307" s="773"/>
      <c r="DK1307" s="773"/>
      <c r="DL1307" s="773"/>
      <c r="DM1307" s="773"/>
      <c r="DN1307" s="773"/>
      <c r="DO1307" s="773"/>
      <c r="DP1307" s="773"/>
      <c r="DQ1307" s="773"/>
      <c r="DR1307" s="773"/>
      <c r="DS1307" s="773"/>
      <c r="DT1307" s="773"/>
      <c r="DU1307" s="773"/>
      <c r="DV1307" s="773"/>
      <c r="DW1307" s="773"/>
      <c r="DX1307" s="773"/>
      <c r="DY1307" s="773"/>
      <c r="DZ1307" s="773"/>
      <c r="EA1307" s="773"/>
      <c r="EB1307" s="773"/>
      <c r="EC1307" s="773"/>
      <c r="ED1307" s="773"/>
      <c r="EE1307" s="773"/>
      <c r="EF1307" s="773"/>
      <c r="EG1307" s="773"/>
      <c r="EH1307" s="773"/>
      <c r="EI1307" s="773"/>
      <c r="EJ1307" s="773"/>
      <c r="EK1307" s="773"/>
      <c r="EL1307" s="773"/>
      <c r="EM1307" s="773"/>
      <c r="EN1307" s="773"/>
      <c r="EO1307" s="773"/>
      <c r="EP1307" s="773"/>
      <c r="EQ1307" s="773"/>
      <c r="ER1307" s="773"/>
      <c r="ES1307" s="773"/>
      <c r="ET1307" s="773"/>
      <c r="EU1307" s="773"/>
      <c r="EV1307" s="773"/>
      <c r="EW1307" s="773"/>
      <c r="EX1307" s="773"/>
      <c r="EY1307" s="773"/>
      <c r="EZ1307" s="773"/>
      <c r="FA1307" s="773"/>
      <c r="FB1307" s="773"/>
      <c r="FC1307" s="773"/>
      <c r="FD1307" s="773"/>
      <c r="FE1307" s="773"/>
      <c r="FF1307" s="773"/>
      <c r="FG1307" s="773"/>
      <c r="FH1307" s="773"/>
      <c r="FI1307" s="773"/>
      <c r="FJ1307" s="773"/>
      <c r="FK1307" s="773"/>
      <c r="FL1307" s="773"/>
      <c r="FM1307" s="773"/>
      <c r="FN1307" s="773"/>
      <c r="FO1307" s="773"/>
      <c r="FP1307" s="773"/>
      <c r="FQ1307" s="773"/>
      <c r="FR1307" s="773"/>
      <c r="FS1307" s="773"/>
      <c r="FT1307" s="773"/>
      <c r="FU1307" s="773"/>
      <c r="FV1307" s="773"/>
      <c r="FW1307" s="773"/>
      <c r="FX1307" s="773"/>
      <c r="FY1307" s="773"/>
      <c r="FZ1307" s="773"/>
      <c r="GA1307" s="773"/>
      <c r="GB1307" s="773"/>
      <c r="GC1307" s="773"/>
      <c r="GD1307" s="773"/>
      <c r="GE1307" s="773"/>
      <c r="GF1307" s="773"/>
      <c r="GG1307" s="773"/>
      <c r="GH1307" s="773"/>
      <c r="GI1307" s="773"/>
      <c r="GJ1307" s="773"/>
      <c r="GK1307" s="773"/>
      <c r="GL1307" s="773"/>
      <c r="GM1307" s="773"/>
      <c r="GN1307" s="773"/>
      <c r="GO1307" s="773"/>
      <c r="GP1307" s="773"/>
      <c r="GQ1307" s="773"/>
      <c r="GR1307" s="773"/>
      <c r="GS1307" s="773"/>
      <c r="GT1307" s="773"/>
      <c r="GU1307" s="773"/>
      <c r="GV1307" s="773"/>
      <c r="GW1307" s="773"/>
      <c r="GX1307" s="773"/>
      <c r="GY1307" s="773"/>
      <c r="GZ1307" s="773"/>
    </row>
    <row r="1308" spans="2:208" s="11" customFormat="1">
      <c r="B1308" s="775"/>
      <c r="C1308" s="826"/>
      <c r="D1308" s="775"/>
      <c r="K1308" s="209"/>
      <c r="M1308" s="771"/>
      <c r="N1308" s="772"/>
      <c r="O1308" s="772"/>
      <c r="P1308" s="772"/>
      <c r="Q1308" s="772"/>
      <c r="R1308" s="772"/>
      <c r="S1308" s="772"/>
      <c r="T1308" s="772"/>
      <c r="AW1308" s="2510"/>
      <c r="BC1308" s="2510"/>
      <c r="BD1308" s="2510"/>
      <c r="BE1308" s="2510"/>
      <c r="BF1308" s="2510"/>
      <c r="BH1308" s="2510"/>
      <c r="DB1308" s="773"/>
      <c r="DC1308" s="773"/>
      <c r="DD1308" s="773"/>
      <c r="DE1308" s="773"/>
      <c r="DF1308" s="773"/>
      <c r="DG1308" s="773"/>
      <c r="DH1308" s="773"/>
      <c r="DI1308" s="773"/>
      <c r="DJ1308" s="773"/>
      <c r="DK1308" s="773"/>
      <c r="DL1308" s="773"/>
      <c r="DM1308" s="773"/>
      <c r="DN1308" s="773"/>
      <c r="DO1308" s="773"/>
      <c r="DP1308" s="773"/>
      <c r="DQ1308" s="773"/>
      <c r="DR1308" s="773"/>
      <c r="DS1308" s="773"/>
      <c r="DT1308" s="773"/>
      <c r="DU1308" s="773"/>
      <c r="DV1308" s="773"/>
      <c r="DW1308" s="773"/>
      <c r="DX1308" s="773"/>
      <c r="DY1308" s="773"/>
      <c r="DZ1308" s="773"/>
      <c r="EA1308" s="773"/>
      <c r="EB1308" s="773"/>
      <c r="EC1308" s="773"/>
      <c r="ED1308" s="773"/>
      <c r="EE1308" s="773"/>
      <c r="EF1308" s="773"/>
      <c r="EG1308" s="773"/>
      <c r="EH1308" s="773"/>
      <c r="EI1308" s="773"/>
      <c r="EJ1308" s="773"/>
      <c r="EK1308" s="773"/>
      <c r="EL1308" s="773"/>
      <c r="EM1308" s="773"/>
      <c r="EN1308" s="773"/>
      <c r="EO1308" s="773"/>
      <c r="EP1308" s="773"/>
      <c r="EQ1308" s="773"/>
      <c r="ER1308" s="773"/>
      <c r="ES1308" s="773"/>
      <c r="ET1308" s="773"/>
      <c r="EU1308" s="773"/>
      <c r="EV1308" s="773"/>
      <c r="EW1308" s="773"/>
      <c r="EX1308" s="773"/>
      <c r="EY1308" s="773"/>
      <c r="EZ1308" s="773"/>
      <c r="FA1308" s="773"/>
      <c r="FB1308" s="773"/>
      <c r="FC1308" s="773"/>
      <c r="FD1308" s="773"/>
      <c r="FE1308" s="773"/>
      <c r="FF1308" s="773"/>
      <c r="FG1308" s="773"/>
      <c r="FH1308" s="773"/>
      <c r="FI1308" s="773"/>
      <c r="FJ1308" s="773"/>
      <c r="FK1308" s="773"/>
      <c r="FL1308" s="773"/>
      <c r="FM1308" s="773"/>
      <c r="FN1308" s="773"/>
      <c r="FO1308" s="773"/>
      <c r="FP1308" s="773"/>
      <c r="FQ1308" s="773"/>
      <c r="FR1308" s="773"/>
      <c r="FS1308" s="773"/>
      <c r="FT1308" s="773"/>
      <c r="FU1308" s="773"/>
      <c r="FV1308" s="773"/>
      <c r="FW1308" s="773"/>
      <c r="FX1308" s="773"/>
      <c r="FY1308" s="773"/>
      <c r="FZ1308" s="773"/>
      <c r="GA1308" s="773"/>
      <c r="GB1308" s="773"/>
      <c r="GC1308" s="773"/>
      <c r="GD1308" s="773"/>
      <c r="GE1308" s="773"/>
      <c r="GF1308" s="773"/>
      <c r="GG1308" s="773"/>
      <c r="GH1308" s="773"/>
      <c r="GI1308" s="773"/>
      <c r="GJ1308" s="773"/>
      <c r="GK1308" s="773"/>
      <c r="GL1308" s="773"/>
      <c r="GM1308" s="773"/>
      <c r="GN1308" s="773"/>
      <c r="GO1308" s="773"/>
      <c r="GP1308" s="773"/>
      <c r="GQ1308" s="773"/>
      <c r="GR1308" s="773"/>
      <c r="GS1308" s="773"/>
      <c r="GT1308" s="773"/>
      <c r="GU1308" s="773"/>
      <c r="GV1308" s="773"/>
      <c r="GW1308" s="773"/>
      <c r="GX1308" s="773"/>
      <c r="GY1308" s="773"/>
      <c r="GZ1308" s="773"/>
    </row>
    <row r="1309" spans="2:208" s="11" customFormat="1">
      <c r="B1309" s="775"/>
      <c r="C1309" s="826"/>
      <c r="D1309" s="775"/>
      <c r="K1309" s="209"/>
      <c r="M1309" s="771"/>
      <c r="N1309" s="772"/>
      <c r="O1309" s="772"/>
      <c r="P1309" s="772"/>
      <c r="Q1309" s="772"/>
      <c r="R1309" s="772"/>
      <c r="S1309" s="772"/>
      <c r="T1309" s="772"/>
      <c r="AW1309" s="2510"/>
      <c r="BC1309" s="2510"/>
      <c r="BD1309" s="2510"/>
      <c r="BE1309" s="2510"/>
      <c r="BF1309" s="2510"/>
      <c r="BH1309" s="2510"/>
      <c r="DB1309" s="773"/>
      <c r="DC1309" s="773"/>
      <c r="DD1309" s="773"/>
      <c r="DE1309" s="773"/>
      <c r="DF1309" s="773"/>
      <c r="DG1309" s="773"/>
      <c r="DH1309" s="773"/>
      <c r="DI1309" s="773"/>
      <c r="DJ1309" s="773"/>
      <c r="DK1309" s="773"/>
      <c r="DL1309" s="773"/>
      <c r="DM1309" s="773"/>
      <c r="DN1309" s="773"/>
      <c r="DO1309" s="773"/>
      <c r="DP1309" s="773"/>
      <c r="DQ1309" s="773"/>
      <c r="DR1309" s="773"/>
      <c r="DS1309" s="773"/>
      <c r="DT1309" s="773"/>
      <c r="DU1309" s="773"/>
      <c r="DV1309" s="773"/>
      <c r="DW1309" s="773"/>
      <c r="DX1309" s="773"/>
      <c r="DY1309" s="773"/>
      <c r="DZ1309" s="773"/>
      <c r="EA1309" s="773"/>
      <c r="EB1309" s="773"/>
      <c r="EC1309" s="773"/>
      <c r="ED1309" s="773"/>
      <c r="EE1309" s="773"/>
      <c r="EF1309" s="773"/>
      <c r="EG1309" s="773"/>
      <c r="EH1309" s="773"/>
      <c r="EI1309" s="773"/>
      <c r="EJ1309" s="773"/>
      <c r="EK1309" s="773"/>
      <c r="EL1309" s="773"/>
      <c r="EM1309" s="773"/>
      <c r="EN1309" s="773"/>
      <c r="EO1309" s="773"/>
      <c r="EP1309" s="773"/>
      <c r="EQ1309" s="773"/>
      <c r="ER1309" s="773"/>
      <c r="ES1309" s="773"/>
      <c r="ET1309" s="773"/>
      <c r="EU1309" s="773"/>
      <c r="EV1309" s="773"/>
      <c r="EW1309" s="773"/>
      <c r="EX1309" s="773"/>
      <c r="EY1309" s="773"/>
      <c r="EZ1309" s="773"/>
      <c r="FA1309" s="773"/>
      <c r="FB1309" s="773"/>
      <c r="FC1309" s="773"/>
      <c r="FD1309" s="773"/>
      <c r="FE1309" s="773"/>
      <c r="FF1309" s="773"/>
      <c r="FG1309" s="773"/>
      <c r="FH1309" s="773"/>
      <c r="FI1309" s="773"/>
      <c r="FJ1309" s="773"/>
      <c r="FK1309" s="773"/>
      <c r="FL1309" s="773"/>
      <c r="FM1309" s="773"/>
      <c r="FN1309" s="773"/>
      <c r="FO1309" s="773"/>
      <c r="FP1309" s="773"/>
      <c r="FQ1309" s="773"/>
      <c r="FR1309" s="773"/>
      <c r="FS1309" s="773"/>
      <c r="FT1309" s="773"/>
      <c r="FU1309" s="773"/>
      <c r="FV1309" s="773"/>
      <c r="FW1309" s="773"/>
      <c r="FX1309" s="773"/>
      <c r="FY1309" s="773"/>
      <c r="FZ1309" s="773"/>
      <c r="GA1309" s="773"/>
      <c r="GB1309" s="773"/>
      <c r="GC1309" s="773"/>
      <c r="GD1309" s="773"/>
      <c r="GE1309" s="773"/>
      <c r="GF1309" s="773"/>
      <c r="GG1309" s="773"/>
      <c r="GH1309" s="773"/>
      <c r="GI1309" s="773"/>
      <c r="GJ1309" s="773"/>
      <c r="GK1309" s="773"/>
      <c r="GL1309" s="773"/>
      <c r="GM1309" s="773"/>
      <c r="GN1309" s="773"/>
      <c r="GO1309" s="773"/>
      <c r="GP1309" s="773"/>
      <c r="GQ1309" s="773"/>
      <c r="GR1309" s="773"/>
      <c r="GS1309" s="773"/>
      <c r="GT1309" s="773"/>
      <c r="GU1309" s="773"/>
      <c r="GV1309" s="773"/>
      <c r="GW1309" s="773"/>
      <c r="GX1309" s="773"/>
      <c r="GY1309" s="773"/>
      <c r="GZ1309" s="773"/>
    </row>
    <row r="1310" spans="2:208" s="11" customFormat="1">
      <c r="B1310" s="775"/>
      <c r="C1310" s="826"/>
      <c r="D1310" s="775"/>
      <c r="K1310" s="209"/>
      <c r="M1310" s="771"/>
      <c r="N1310" s="772"/>
      <c r="O1310" s="772"/>
      <c r="P1310" s="772"/>
      <c r="Q1310" s="772"/>
      <c r="R1310" s="772"/>
      <c r="S1310" s="772"/>
      <c r="T1310" s="772"/>
      <c r="AW1310" s="2510"/>
      <c r="BC1310" s="2510"/>
      <c r="BD1310" s="2510"/>
      <c r="BE1310" s="2510"/>
      <c r="BF1310" s="2510"/>
      <c r="BH1310" s="2510"/>
      <c r="DB1310" s="773"/>
      <c r="DC1310" s="773"/>
      <c r="DD1310" s="773"/>
      <c r="DE1310" s="773"/>
      <c r="DF1310" s="773"/>
      <c r="DG1310" s="773"/>
      <c r="DH1310" s="773"/>
      <c r="DI1310" s="773"/>
      <c r="DJ1310" s="773"/>
      <c r="DK1310" s="773"/>
      <c r="DL1310" s="773"/>
      <c r="DM1310" s="773"/>
      <c r="DN1310" s="773"/>
      <c r="DO1310" s="773"/>
      <c r="DP1310" s="773"/>
      <c r="DQ1310" s="773"/>
      <c r="DR1310" s="773"/>
      <c r="DS1310" s="773"/>
      <c r="DT1310" s="773"/>
      <c r="DU1310" s="773"/>
      <c r="DV1310" s="773"/>
      <c r="DW1310" s="773"/>
      <c r="DX1310" s="773"/>
      <c r="DY1310" s="773"/>
      <c r="DZ1310" s="773"/>
      <c r="EA1310" s="773"/>
      <c r="EB1310" s="773"/>
      <c r="EC1310" s="773"/>
      <c r="ED1310" s="773"/>
      <c r="EE1310" s="773"/>
      <c r="EF1310" s="773"/>
      <c r="EG1310" s="773"/>
      <c r="EH1310" s="773"/>
      <c r="EI1310" s="773"/>
      <c r="EJ1310" s="773"/>
      <c r="EK1310" s="773"/>
      <c r="EL1310" s="773"/>
      <c r="EM1310" s="773"/>
      <c r="EN1310" s="773"/>
      <c r="EO1310" s="773"/>
      <c r="EP1310" s="773"/>
      <c r="EQ1310" s="773"/>
      <c r="ER1310" s="773"/>
      <c r="ES1310" s="773"/>
      <c r="ET1310" s="773"/>
      <c r="EU1310" s="773"/>
      <c r="EV1310" s="773"/>
      <c r="EW1310" s="773"/>
      <c r="EX1310" s="773"/>
      <c r="EY1310" s="773"/>
      <c r="EZ1310" s="773"/>
      <c r="FA1310" s="773"/>
      <c r="FB1310" s="773"/>
      <c r="FC1310" s="773"/>
      <c r="FD1310" s="773"/>
      <c r="FE1310" s="773"/>
      <c r="FF1310" s="773"/>
      <c r="FG1310" s="773"/>
      <c r="FH1310" s="773"/>
      <c r="FI1310" s="773"/>
      <c r="FJ1310" s="773"/>
      <c r="FK1310" s="773"/>
      <c r="FL1310" s="773"/>
      <c r="FM1310" s="773"/>
      <c r="FN1310" s="773"/>
      <c r="FO1310" s="773"/>
      <c r="FP1310" s="773"/>
      <c r="FQ1310" s="773"/>
      <c r="FR1310" s="773"/>
      <c r="FS1310" s="773"/>
      <c r="FT1310" s="773"/>
      <c r="FU1310" s="773"/>
      <c r="FV1310" s="773"/>
      <c r="FW1310" s="773"/>
      <c r="FX1310" s="773"/>
      <c r="FY1310" s="773"/>
      <c r="FZ1310" s="773"/>
      <c r="GA1310" s="773"/>
      <c r="GB1310" s="773"/>
      <c r="GC1310" s="773"/>
      <c r="GD1310" s="773"/>
      <c r="GE1310" s="773"/>
      <c r="GF1310" s="773"/>
      <c r="GG1310" s="773"/>
      <c r="GH1310" s="773"/>
      <c r="GI1310" s="773"/>
      <c r="GJ1310" s="773"/>
      <c r="GK1310" s="773"/>
      <c r="GL1310" s="773"/>
      <c r="GM1310" s="773"/>
      <c r="GN1310" s="773"/>
      <c r="GO1310" s="773"/>
      <c r="GP1310" s="773"/>
      <c r="GQ1310" s="773"/>
      <c r="GR1310" s="773"/>
      <c r="GS1310" s="773"/>
      <c r="GT1310" s="773"/>
      <c r="GU1310" s="773"/>
      <c r="GV1310" s="773"/>
      <c r="GW1310" s="773"/>
      <c r="GX1310" s="773"/>
      <c r="GY1310" s="773"/>
      <c r="GZ1310" s="773"/>
    </row>
    <row r="1311" spans="2:208" s="11" customFormat="1">
      <c r="B1311" s="775"/>
      <c r="C1311" s="826"/>
      <c r="D1311" s="775"/>
      <c r="K1311" s="209"/>
      <c r="M1311" s="771"/>
      <c r="N1311" s="772"/>
      <c r="O1311" s="772"/>
      <c r="P1311" s="772"/>
      <c r="Q1311" s="772"/>
      <c r="R1311" s="772"/>
      <c r="S1311" s="772"/>
      <c r="T1311" s="772"/>
      <c r="AW1311" s="2510"/>
      <c r="BC1311" s="2510"/>
      <c r="BD1311" s="2510"/>
      <c r="BE1311" s="2510"/>
      <c r="BF1311" s="2510"/>
      <c r="BH1311" s="2510"/>
      <c r="DB1311" s="773"/>
      <c r="DC1311" s="773"/>
      <c r="DD1311" s="773"/>
      <c r="DE1311" s="773"/>
      <c r="DF1311" s="773"/>
      <c r="DG1311" s="773"/>
      <c r="DH1311" s="773"/>
      <c r="DI1311" s="773"/>
      <c r="DJ1311" s="773"/>
      <c r="DK1311" s="773"/>
      <c r="DL1311" s="773"/>
      <c r="DM1311" s="773"/>
      <c r="DN1311" s="773"/>
      <c r="DO1311" s="773"/>
      <c r="DP1311" s="773"/>
      <c r="DQ1311" s="773"/>
      <c r="DR1311" s="773"/>
      <c r="DS1311" s="773"/>
      <c r="DT1311" s="773"/>
      <c r="DU1311" s="773"/>
      <c r="DV1311" s="773"/>
      <c r="DW1311" s="773"/>
      <c r="DX1311" s="773"/>
      <c r="DY1311" s="773"/>
      <c r="DZ1311" s="773"/>
      <c r="EA1311" s="773"/>
      <c r="EB1311" s="773"/>
      <c r="EC1311" s="773"/>
      <c r="ED1311" s="773"/>
      <c r="EE1311" s="773"/>
      <c r="EF1311" s="773"/>
      <c r="EG1311" s="773"/>
      <c r="EH1311" s="773"/>
      <c r="EI1311" s="773"/>
      <c r="EJ1311" s="773"/>
      <c r="EK1311" s="773"/>
      <c r="EL1311" s="773"/>
      <c r="EM1311" s="773"/>
      <c r="EN1311" s="773"/>
      <c r="EO1311" s="773"/>
      <c r="EP1311" s="773"/>
      <c r="EQ1311" s="773"/>
      <c r="ER1311" s="773"/>
      <c r="ES1311" s="773"/>
      <c r="ET1311" s="773"/>
      <c r="EU1311" s="773"/>
      <c r="EV1311" s="773"/>
      <c r="EW1311" s="773"/>
      <c r="EX1311" s="773"/>
      <c r="EY1311" s="773"/>
      <c r="EZ1311" s="773"/>
      <c r="FA1311" s="773"/>
      <c r="FB1311" s="773"/>
      <c r="FC1311" s="773"/>
      <c r="FD1311" s="773"/>
      <c r="FE1311" s="773"/>
      <c r="FF1311" s="773"/>
      <c r="FG1311" s="773"/>
      <c r="FH1311" s="773"/>
      <c r="FI1311" s="773"/>
      <c r="FJ1311" s="773"/>
      <c r="FK1311" s="773"/>
      <c r="FL1311" s="773"/>
      <c r="FM1311" s="773"/>
      <c r="FN1311" s="773"/>
      <c r="FO1311" s="773"/>
      <c r="FP1311" s="773"/>
      <c r="FQ1311" s="773"/>
      <c r="FR1311" s="773"/>
      <c r="FS1311" s="773"/>
      <c r="FT1311" s="773"/>
      <c r="FU1311" s="773"/>
      <c r="FV1311" s="773"/>
      <c r="FW1311" s="773"/>
      <c r="FX1311" s="773"/>
      <c r="FY1311" s="773"/>
      <c r="FZ1311" s="773"/>
      <c r="GA1311" s="773"/>
      <c r="GB1311" s="773"/>
      <c r="GC1311" s="773"/>
      <c r="GD1311" s="773"/>
      <c r="GE1311" s="773"/>
      <c r="GF1311" s="773"/>
      <c r="GG1311" s="773"/>
      <c r="GH1311" s="773"/>
      <c r="GI1311" s="773"/>
      <c r="GJ1311" s="773"/>
      <c r="GK1311" s="773"/>
      <c r="GL1311" s="773"/>
      <c r="GM1311" s="773"/>
      <c r="GN1311" s="773"/>
      <c r="GO1311" s="773"/>
      <c r="GP1311" s="773"/>
      <c r="GQ1311" s="773"/>
      <c r="GR1311" s="773"/>
      <c r="GS1311" s="773"/>
      <c r="GT1311" s="773"/>
      <c r="GU1311" s="773"/>
      <c r="GV1311" s="773"/>
      <c r="GW1311" s="773"/>
      <c r="GX1311" s="773"/>
      <c r="GY1311" s="773"/>
      <c r="GZ1311" s="773"/>
    </row>
    <row r="1312" spans="2:208" s="11" customFormat="1">
      <c r="B1312" s="775"/>
      <c r="C1312" s="826"/>
      <c r="D1312" s="775"/>
      <c r="K1312" s="209"/>
      <c r="M1312" s="771"/>
      <c r="N1312" s="772"/>
      <c r="O1312" s="772"/>
      <c r="P1312" s="772"/>
      <c r="Q1312" s="772"/>
      <c r="R1312" s="772"/>
      <c r="S1312" s="772"/>
      <c r="T1312" s="772"/>
      <c r="AW1312" s="2510"/>
      <c r="BC1312" s="2510"/>
      <c r="BD1312" s="2510"/>
      <c r="BE1312" s="2510"/>
      <c r="BF1312" s="2510"/>
      <c r="BH1312" s="2510"/>
      <c r="DB1312" s="773"/>
      <c r="DC1312" s="773"/>
      <c r="DD1312" s="773"/>
      <c r="DE1312" s="773"/>
      <c r="DF1312" s="773"/>
      <c r="DG1312" s="773"/>
      <c r="DH1312" s="773"/>
      <c r="DI1312" s="773"/>
      <c r="DJ1312" s="773"/>
      <c r="DK1312" s="773"/>
      <c r="DL1312" s="773"/>
      <c r="DM1312" s="773"/>
      <c r="DN1312" s="773"/>
      <c r="DO1312" s="773"/>
      <c r="DP1312" s="773"/>
      <c r="DQ1312" s="773"/>
      <c r="DR1312" s="773"/>
      <c r="DS1312" s="773"/>
      <c r="DT1312" s="773"/>
      <c r="DU1312" s="773"/>
      <c r="DV1312" s="773"/>
      <c r="DW1312" s="773"/>
      <c r="DX1312" s="773"/>
      <c r="DY1312" s="773"/>
      <c r="DZ1312" s="773"/>
      <c r="EA1312" s="773"/>
      <c r="EB1312" s="773"/>
      <c r="EC1312" s="773"/>
      <c r="ED1312" s="773"/>
      <c r="EE1312" s="773"/>
      <c r="EF1312" s="773"/>
      <c r="EG1312" s="773"/>
      <c r="EH1312" s="773"/>
      <c r="EI1312" s="773"/>
      <c r="EJ1312" s="773"/>
      <c r="EK1312" s="773"/>
      <c r="EL1312" s="773"/>
      <c r="EM1312" s="773"/>
      <c r="EN1312" s="773"/>
      <c r="EO1312" s="773"/>
      <c r="EP1312" s="773"/>
      <c r="EQ1312" s="773"/>
      <c r="ER1312" s="773"/>
      <c r="ES1312" s="773"/>
      <c r="ET1312" s="773"/>
      <c r="EU1312" s="773"/>
      <c r="EV1312" s="773"/>
      <c r="EW1312" s="773"/>
      <c r="EX1312" s="773"/>
      <c r="EY1312" s="773"/>
      <c r="EZ1312" s="773"/>
      <c r="FA1312" s="773"/>
      <c r="FB1312" s="773"/>
      <c r="FC1312" s="773"/>
      <c r="FD1312" s="773"/>
      <c r="FE1312" s="773"/>
      <c r="FF1312" s="773"/>
      <c r="FG1312" s="773"/>
      <c r="FH1312" s="773"/>
      <c r="FI1312" s="773"/>
      <c r="FJ1312" s="773"/>
      <c r="FK1312" s="773"/>
      <c r="FL1312" s="773"/>
      <c r="FM1312" s="773"/>
      <c r="FN1312" s="773"/>
      <c r="FO1312" s="773"/>
      <c r="FP1312" s="773"/>
      <c r="FQ1312" s="773"/>
      <c r="FR1312" s="773"/>
      <c r="FS1312" s="773"/>
      <c r="FT1312" s="773"/>
      <c r="FU1312" s="773"/>
      <c r="FV1312" s="773"/>
      <c r="FW1312" s="773"/>
      <c r="FX1312" s="773"/>
      <c r="FY1312" s="773"/>
      <c r="FZ1312" s="773"/>
      <c r="GA1312" s="773"/>
      <c r="GB1312" s="773"/>
      <c r="GC1312" s="773"/>
      <c r="GD1312" s="773"/>
      <c r="GE1312" s="773"/>
      <c r="GF1312" s="773"/>
      <c r="GG1312" s="773"/>
      <c r="GH1312" s="773"/>
      <c r="GI1312" s="773"/>
      <c r="GJ1312" s="773"/>
      <c r="GK1312" s="773"/>
      <c r="GL1312" s="773"/>
      <c r="GM1312" s="773"/>
      <c r="GN1312" s="773"/>
      <c r="GO1312" s="773"/>
      <c r="GP1312" s="773"/>
      <c r="GQ1312" s="773"/>
      <c r="GR1312" s="773"/>
      <c r="GS1312" s="773"/>
      <c r="GT1312" s="773"/>
      <c r="GU1312" s="773"/>
      <c r="GV1312" s="773"/>
      <c r="GW1312" s="773"/>
      <c r="GX1312" s="773"/>
      <c r="GY1312" s="773"/>
      <c r="GZ1312" s="773"/>
    </row>
    <row r="1313" spans="2:208" s="11" customFormat="1">
      <c r="B1313" s="775"/>
      <c r="C1313" s="826"/>
      <c r="D1313" s="775"/>
      <c r="K1313" s="209"/>
      <c r="M1313" s="771"/>
      <c r="N1313" s="772"/>
      <c r="O1313" s="772"/>
      <c r="P1313" s="772"/>
      <c r="Q1313" s="772"/>
      <c r="R1313" s="772"/>
      <c r="S1313" s="772"/>
      <c r="T1313" s="772"/>
      <c r="AW1313" s="2510"/>
      <c r="BC1313" s="2510"/>
      <c r="BD1313" s="2510"/>
      <c r="BE1313" s="2510"/>
      <c r="BF1313" s="2510"/>
      <c r="BH1313" s="2510"/>
      <c r="DB1313" s="773"/>
      <c r="DC1313" s="773"/>
      <c r="DD1313" s="773"/>
      <c r="DE1313" s="773"/>
      <c r="DF1313" s="773"/>
      <c r="DG1313" s="773"/>
      <c r="DH1313" s="773"/>
      <c r="DI1313" s="773"/>
      <c r="DJ1313" s="773"/>
      <c r="DK1313" s="773"/>
      <c r="DL1313" s="773"/>
      <c r="DM1313" s="773"/>
      <c r="DN1313" s="773"/>
      <c r="DO1313" s="773"/>
      <c r="DP1313" s="773"/>
      <c r="DQ1313" s="773"/>
      <c r="DR1313" s="773"/>
      <c r="DS1313" s="773"/>
      <c r="DT1313" s="773"/>
      <c r="DU1313" s="773"/>
      <c r="DV1313" s="773"/>
      <c r="DW1313" s="773"/>
      <c r="DX1313" s="773"/>
      <c r="DY1313" s="773"/>
      <c r="DZ1313" s="773"/>
      <c r="EA1313" s="773"/>
      <c r="EB1313" s="773"/>
      <c r="EC1313" s="773"/>
      <c r="ED1313" s="773"/>
      <c r="EE1313" s="773"/>
      <c r="EF1313" s="773"/>
      <c r="EG1313" s="773"/>
      <c r="EH1313" s="773"/>
      <c r="EI1313" s="773"/>
      <c r="EJ1313" s="773"/>
      <c r="EK1313" s="773"/>
      <c r="EL1313" s="773"/>
      <c r="EM1313" s="773"/>
      <c r="EN1313" s="773"/>
      <c r="EO1313" s="773"/>
      <c r="EP1313" s="773"/>
      <c r="EQ1313" s="773"/>
      <c r="ER1313" s="773"/>
      <c r="ES1313" s="773"/>
      <c r="ET1313" s="773"/>
      <c r="EU1313" s="773"/>
      <c r="EV1313" s="773"/>
      <c r="EW1313" s="773"/>
      <c r="EX1313" s="773"/>
      <c r="EY1313" s="773"/>
      <c r="EZ1313" s="773"/>
      <c r="FA1313" s="773"/>
      <c r="FB1313" s="773"/>
      <c r="FC1313" s="773"/>
      <c r="FD1313" s="773"/>
      <c r="FE1313" s="773"/>
      <c r="FF1313" s="773"/>
      <c r="FG1313" s="773"/>
      <c r="FH1313" s="773"/>
      <c r="FI1313" s="773"/>
      <c r="FJ1313" s="773"/>
      <c r="FK1313" s="773"/>
      <c r="FL1313" s="773"/>
      <c r="FM1313" s="773"/>
      <c r="FN1313" s="773"/>
      <c r="FO1313" s="773"/>
      <c r="FP1313" s="773"/>
      <c r="FQ1313" s="773"/>
      <c r="FR1313" s="773"/>
      <c r="FS1313" s="773"/>
      <c r="FT1313" s="773"/>
      <c r="FU1313" s="773"/>
      <c r="FV1313" s="773"/>
      <c r="FW1313" s="773"/>
      <c r="FX1313" s="773"/>
      <c r="FY1313" s="773"/>
      <c r="FZ1313" s="773"/>
      <c r="GA1313" s="773"/>
      <c r="GB1313" s="773"/>
      <c r="GC1313" s="773"/>
      <c r="GD1313" s="773"/>
      <c r="GE1313" s="773"/>
      <c r="GF1313" s="773"/>
      <c r="GG1313" s="773"/>
      <c r="GH1313" s="773"/>
      <c r="GI1313" s="773"/>
      <c r="GJ1313" s="773"/>
      <c r="GK1313" s="773"/>
      <c r="GL1313" s="773"/>
      <c r="GM1313" s="773"/>
      <c r="GN1313" s="773"/>
      <c r="GO1313" s="773"/>
      <c r="GP1313" s="773"/>
      <c r="GQ1313" s="773"/>
      <c r="GR1313" s="773"/>
      <c r="GS1313" s="773"/>
      <c r="GT1313" s="773"/>
      <c r="GU1313" s="773"/>
      <c r="GV1313" s="773"/>
      <c r="GW1313" s="773"/>
      <c r="GX1313" s="773"/>
      <c r="GY1313" s="773"/>
      <c r="GZ1313" s="773"/>
    </row>
    <row r="1314" spans="2:208" s="11" customFormat="1">
      <c r="B1314" s="775"/>
      <c r="C1314" s="826"/>
      <c r="D1314" s="775"/>
      <c r="K1314" s="209"/>
      <c r="M1314" s="771"/>
      <c r="N1314" s="772"/>
      <c r="O1314" s="772"/>
      <c r="P1314" s="772"/>
      <c r="Q1314" s="772"/>
      <c r="R1314" s="772"/>
      <c r="S1314" s="772"/>
      <c r="T1314" s="772"/>
      <c r="AW1314" s="2510"/>
      <c r="BC1314" s="2510"/>
      <c r="BD1314" s="2510"/>
      <c r="BE1314" s="2510"/>
      <c r="BF1314" s="2510"/>
      <c r="BH1314" s="2510"/>
      <c r="DB1314" s="773"/>
      <c r="DC1314" s="773"/>
      <c r="DD1314" s="773"/>
      <c r="DE1314" s="773"/>
      <c r="DF1314" s="773"/>
      <c r="DG1314" s="773"/>
      <c r="DH1314" s="773"/>
      <c r="DI1314" s="773"/>
      <c r="DJ1314" s="773"/>
      <c r="DK1314" s="773"/>
      <c r="DL1314" s="773"/>
      <c r="DM1314" s="773"/>
      <c r="DN1314" s="773"/>
      <c r="DO1314" s="773"/>
      <c r="DP1314" s="773"/>
      <c r="DQ1314" s="773"/>
      <c r="DR1314" s="773"/>
      <c r="DS1314" s="773"/>
      <c r="DT1314" s="773"/>
      <c r="DU1314" s="773"/>
      <c r="DV1314" s="773"/>
      <c r="DW1314" s="773"/>
      <c r="DX1314" s="773"/>
      <c r="DY1314" s="773"/>
      <c r="DZ1314" s="773"/>
      <c r="EA1314" s="773"/>
      <c r="EB1314" s="773"/>
      <c r="EC1314" s="773"/>
      <c r="ED1314" s="773"/>
      <c r="EE1314" s="773"/>
      <c r="EF1314" s="773"/>
      <c r="EG1314" s="773"/>
      <c r="EH1314" s="773"/>
      <c r="EI1314" s="773"/>
      <c r="EJ1314" s="773"/>
      <c r="EK1314" s="773"/>
      <c r="EL1314" s="773"/>
      <c r="EM1314" s="773"/>
      <c r="EN1314" s="773"/>
      <c r="EO1314" s="773"/>
      <c r="EP1314" s="773"/>
      <c r="EQ1314" s="773"/>
      <c r="ER1314" s="773"/>
      <c r="ES1314" s="773"/>
      <c r="ET1314" s="773"/>
      <c r="EU1314" s="773"/>
      <c r="EV1314" s="773"/>
      <c r="EW1314" s="773"/>
      <c r="EX1314" s="773"/>
      <c r="EY1314" s="773"/>
      <c r="EZ1314" s="773"/>
      <c r="FA1314" s="773"/>
      <c r="FB1314" s="773"/>
      <c r="FC1314" s="773"/>
      <c r="FD1314" s="773"/>
      <c r="FE1314" s="773"/>
      <c r="FF1314" s="773"/>
      <c r="FG1314" s="773"/>
      <c r="FH1314" s="773"/>
      <c r="FI1314" s="773"/>
      <c r="FJ1314" s="773"/>
      <c r="FK1314" s="773"/>
      <c r="FL1314" s="773"/>
      <c r="FM1314" s="773"/>
      <c r="FN1314" s="773"/>
      <c r="FO1314" s="773"/>
      <c r="FP1314" s="773"/>
      <c r="FQ1314" s="773"/>
      <c r="FR1314" s="773"/>
      <c r="FS1314" s="773"/>
      <c r="FT1314" s="773"/>
      <c r="FU1314" s="773"/>
      <c r="FV1314" s="773"/>
      <c r="FW1314" s="773"/>
      <c r="FX1314" s="773"/>
      <c r="FY1314" s="773"/>
      <c r="FZ1314" s="773"/>
      <c r="GA1314" s="773"/>
      <c r="GB1314" s="773"/>
      <c r="GC1314" s="773"/>
      <c r="GD1314" s="773"/>
      <c r="GE1314" s="773"/>
      <c r="GF1314" s="773"/>
      <c r="GG1314" s="773"/>
      <c r="GH1314" s="773"/>
      <c r="GI1314" s="773"/>
      <c r="GJ1314" s="773"/>
      <c r="GK1314" s="773"/>
      <c r="GL1314" s="773"/>
      <c r="GM1314" s="773"/>
      <c r="GN1314" s="773"/>
      <c r="GO1314" s="773"/>
      <c r="GP1314" s="773"/>
      <c r="GQ1314" s="773"/>
      <c r="GR1314" s="773"/>
      <c r="GS1314" s="773"/>
      <c r="GT1314" s="773"/>
      <c r="GU1314" s="773"/>
      <c r="GV1314" s="773"/>
      <c r="GW1314" s="773"/>
      <c r="GX1314" s="773"/>
      <c r="GY1314" s="773"/>
      <c r="GZ1314" s="773"/>
    </row>
    <row r="1315" spans="2:208" s="11" customFormat="1">
      <c r="B1315" s="775"/>
      <c r="C1315" s="826"/>
      <c r="D1315" s="775"/>
      <c r="K1315" s="209"/>
      <c r="M1315" s="771"/>
      <c r="N1315" s="772"/>
      <c r="O1315" s="772"/>
      <c r="P1315" s="772"/>
      <c r="Q1315" s="772"/>
      <c r="R1315" s="772"/>
      <c r="S1315" s="772"/>
      <c r="T1315" s="772"/>
      <c r="AW1315" s="2510"/>
      <c r="BC1315" s="2510"/>
      <c r="BD1315" s="2510"/>
      <c r="BE1315" s="2510"/>
      <c r="BF1315" s="2510"/>
      <c r="BH1315" s="2510"/>
      <c r="DB1315" s="773"/>
      <c r="DC1315" s="773"/>
      <c r="DD1315" s="773"/>
      <c r="DE1315" s="773"/>
      <c r="DF1315" s="773"/>
      <c r="DG1315" s="773"/>
      <c r="DH1315" s="773"/>
      <c r="DI1315" s="773"/>
      <c r="DJ1315" s="773"/>
      <c r="DK1315" s="773"/>
      <c r="DL1315" s="773"/>
      <c r="DM1315" s="773"/>
      <c r="DN1315" s="773"/>
      <c r="DO1315" s="773"/>
      <c r="DP1315" s="773"/>
      <c r="DQ1315" s="773"/>
      <c r="DR1315" s="773"/>
      <c r="DS1315" s="773"/>
      <c r="DT1315" s="773"/>
      <c r="DU1315" s="773"/>
      <c r="DV1315" s="773"/>
      <c r="DW1315" s="773"/>
      <c r="DX1315" s="773"/>
      <c r="DY1315" s="773"/>
      <c r="DZ1315" s="773"/>
      <c r="EA1315" s="773"/>
      <c r="EB1315" s="773"/>
      <c r="EC1315" s="773"/>
      <c r="ED1315" s="773"/>
      <c r="EE1315" s="773"/>
      <c r="EF1315" s="773"/>
      <c r="EG1315" s="773"/>
      <c r="EH1315" s="773"/>
      <c r="EI1315" s="773"/>
      <c r="EJ1315" s="773"/>
      <c r="EK1315" s="773"/>
      <c r="EL1315" s="773"/>
      <c r="EM1315" s="773"/>
      <c r="EN1315" s="773"/>
      <c r="EO1315" s="773"/>
      <c r="EP1315" s="773"/>
      <c r="EQ1315" s="773"/>
      <c r="ER1315" s="773"/>
      <c r="ES1315" s="773"/>
      <c r="ET1315" s="773"/>
      <c r="EU1315" s="773"/>
      <c r="EV1315" s="773"/>
      <c r="EW1315" s="773"/>
      <c r="EX1315" s="773"/>
      <c r="EY1315" s="773"/>
      <c r="EZ1315" s="773"/>
      <c r="FA1315" s="773"/>
      <c r="FB1315" s="773"/>
      <c r="FC1315" s="773"/>
      <c r="FD1315" s="773"/>
      <c r="FE1315" s="773"/>
      <c r="FF1315" s="773"/>
      <c r="FG1315" s="773"/>
      <c r="FH1315" s="773"/>
      <c r="FI1315" s="773"/>
      <c r="FJ1315" s="773"/>
      <c r="FK1315" s="773"/>
      <c r="FL1315" s="773"/>
      <c r="FM1315" s="773"/>
      <c r="FN1315" s="773"/>
      <c r="FO1315" s="773"/>
      <c r="FP1315" s="773"/>
      <c r="FQ1315" s="773"/>
      <c r="FR1315" s="773"/>
      <c r="FS1315" s="773"/>
      <c r="FT1315" s="773"/>
      <c r="FU1315" s="773"/>
      <c r="FV1315" s="773"/>
      <c r="FW1315" s="773"/>
      <c r="FX1315" s="773"/>
      <c r="FY1315" s="773"/>
      <c r="FZ1315" s="773"/>
      <c r="GA1315" s="773"/>
      <c r="GB1315" s="773"/>
      <c r="GC1315" s="773"/>
      <c r="GD1315" s="773"/>
      <c r="GE1315" s="773"/>
      <c r="GF1315" s="773"/>
      <c r="GG1315" s="773"/>
      <c r="GH1315" s="773"/>
      <c r="GI1315" s="773"/>
      <c r="GJ1315" s="773"/>
      <c r="GK1315" s="773"/>
      <c r="GL1315" s="773"/>
      <c r="GM1315" s="773"/>
      <c r="GN1315" s="773"/>
      <c r="GO1315" s="773"/>
      <c r="GP1315" s="773"/>
      <c r="GQ1315" s="773"/>
      <c r="GR1315" s="773"/>
      <c r="GS1315" s="773"/>
      <c r="GT1315" s="773"/>
      <c r="GU1315" s="773"/>
      <c r="GV1315" s="773"/>
      <c r="GW1315" s="773"/>
      <c r="GX1315" s="773"/>
      <c r="GY1315" s="773"/>
      <c r="GZ1315" s="773"/>
    </row>
    <row r="1316" spans="2:208" s="11" customFormat="1">
      <c r="B1316" s="775"/>
      <c r="C1316" s="826"/>
      <c r="D1316" s="775"/>
      <c r="K1316" s="209"/>
      <c r="M1316" s="771"/>
      <c r="N1316" s="772"/>
      <c r="O1316" s="772"/>
      <c r="P1316" s="772"/>
      <c r="Q1316" s="772"/>
      <c r="R1316" s="772"/>
      <c r="S1316" s="772"/>
      <c r="T1316" s="772"/>
      <c r="AW1316" s="2510"/>
      <c r="BC1316" s="2510"/>
      <c r="BD1316" s="2510"/>
      <c r="BE1316" s="2510"/>
      <c r="BF1316" s="2510"/>
      <c r="BH1316" s="2510"/>
      <c r="DB1316" s="773"/>
      <c r="DC1316" s="773"/>
      <c r="DD1316" s="773"/>
      <c r="DE1316" s="773"/>
      <c r="DF1316" s="773"/>
      <c r="DG1316" s="773"/>
      <c r="DH1316" s="773"/>
      <c r="DI1316" s="773"/>
      <c r="DJ1316" s="773"/>
      <c r="DK1316" s="773"/>
      <c r="DL1316" s="773"/>
      <c r="DM1316" s="773"/>
      <c r="DN1316" s="773"/>
      <c r="DO1316" s="773"/>
      <c r="DP1316" s="773"/>
      <c r="DQ1316" s="773"/>
      <c r="DR1316" s="773"/>
      <c r="DS1316" s="773"/>
      <c r="DT1316" s="773"/>
      <c r="DU1316" s="773"/>
      <c r="DV1316" s="773"/>
      <c r="DW1316" s="773"/>
      <c r="DX1316" s="773"/>
      <c r="DY1316" s="773"/>
      <c r="DZ1316" s="773"/>
      <c r="EA1316" s="773"/>
      <c r="EB1316" s="773"/>
      <c r="EC1316" s="773"/>
      <c r="ED1316" s="773"/>
      <c r="EE1316" s="773"/>
      <c r="EF1316" s="773"/>
      <c r="EG1316" s="773"/>
      <c r="EH1316" s="773"/>
      <c r="EI1316" s="773"/>
      <c r="EJ1316" s="773"/>
      <c r="EK1316" s="773"/>
      <c r="EL1316" s="773"/>
      <c r="EM1316" s="773"/>
      <c r="EN1316" s="773"/>
      <c r="EO1316" s="773"/>
      <c r="EP1316" s="773"/>
      <c r="EQ1316" s="773"/>
      <c r="ER1316" s="773"/>
      <c r="ES1316" s="773"/>
      <c r="ET1316" s="773"/>
      <c r="EU1316" s="773"/>
      <c r="EV1316" s="773"/>
      <c r="EW1316" s="773"/>
      <c r="EX1316" s="773"/>
      <c r="EY1316" s="773"/>
      <c r="EZ1316" s="773"/>
      <c r="FA1316" s="773"/>
      <c r="FB1316" s="773"/>
      <c r="FC1316" s="773"/>
      <c r="FD1316" s="773"/>
      <c r="FE1316" s="773"/>
      <c r="FF1316" s="773"/>
      <c r="FG1316" s="773"/>
      <c r="FH1316" s="773"/>
      <c r="FI1316" s="773"/>
      <c r="FJ1316" s="773"/>
      <c r="FK1316" s="773"/>
      <c r="FL1316" s="773"/>
      <c r="FM1316" s="773"/>
      <c r="FN1316" s="773"/>
      <c r="FO1316" s="773"/>
      <c r="FP1316" s="773"/>
      <c r="FQ1316" s="773"/>
      <c r="FR1316" s="773"/>
      <c r="FS1316" s="773"/>
      <c r="FT1316" s="773"/>
      <c r="FU1316" s="773"/>
      <c r="FV1316" s="773"/>
      <c r="FW1316" s="773"/>
      <c r="FX1316" s="773"/>
      <c r="FY1316" s="773"/>
      <c r="FZ1316" s="773"/>
      <c r="GA1316" s="773"/>
      <c r="GB1316" s="773"/>
      <c r="GC1316" s="773"/>
      <c r="GD1316" s="773"/>
      <c r="GE1316" s="773"/>
      <c r="GF1316" s="773"/>
      <c r="GG1316" s="773"/>
      <c r="GH1316" s="773"/>
      <c r="GI1316" s="773"/>
      <c r="GJ1316" s="773"/>
      <c r="GK1316" s="773"/>
      <c r="GL1316" s="773"/>
      <c r="GM1316" s="773"/>
      <c r="GN1316" s="773"/>
      <c r="GO1316" s="773"/>
      <c r="GP1316" s="773"/>
      <c r="GQ1316" s="773"/>
      <c r="GR1316" s="773"/>
      <c r="GS1316" s="773"/>
      <c r="GT1316" s="773"/>
      <c r="GU1316" s="773"/>
      <c r="GV1316" s="773"/>
      <c r="GW1316" s="773"/>
      <c r="GX1316" s="773"/>
      <c r="GY1316" s="773"/>
      <c r="GZ1316" s="773"/>
    </row>
    <row r="1317" spans="2:208" s="11" customFormat="1">
      <c r="B1317" s="775"/>
      <c r="C1317" s="826"/>
      <c r="D1317" s="775"/>
      <c r="K1317" s="209"/>
      <c r="M1317" s="771"/>
      <c r="N1317" s="772"/>
      <c r="O1317" s="772"/>
      <c r="P1317" s="772"/>
      <c r="Q1317" s="772"/>
      <c r="R1317" s="772"/>
      <c r="S1317" s="772"/>
      <c r="T1317" s="772"/>
      <c r="AW1317" s="2510"/>
      <c r="BC1317" s="2510"/>
      <c r="BD1317" s="2510"/>
      <c r="BE1317" s="2510"/>
      <c r="BF1317" s="2510"/>
      <c r="BH1317" s="2510"/>
      <c r="DB1317" s="773"/>
      <c r="DC1317" s="773"/>
      <c r="DD1317" s="773"/>
      <c r="DE1317" s="773"/>
      <c r="DF1317" s="773"/>
      <c r="DG1317" s="773"/>
      <c r="DH1317" s="773"/>
      <c r="DI1317" s="773"/>
      <c r="DJ1317" s="773"/>
      <c r="DK1317" s="773"/>
      <c r="DL1317" s="773"/>
      <c r="DM1317" s="773"/>
      <c r="DN1317" s="773"/>
      <c r="DO1317" s="773"/>
      <c r="DP1317" s="773"/>
      <c r="DQ1317" s="773"/>
      <c r="DR1317" s="773"/>
      <c r="DS1317" s="773"/>
      <c r="DT1317" s="773"/>
      <c r="DU1317" s="773"/>
      <c r="DV1317" s="773"/>
      <c r="DW1317" s="773"/>
      <c r="DX1317" s="773"/>
      <c r="DY1317" s="773"/>
      <c r="DZ1317" s="773"/>
      <c r="EA1317" s="773"/>
      <c r="EB1317" s="773"/>
      <c r="EC1317" s="773"/>
      <c r="ED1317" s="773"/>
      <c r="EE1317" s="773"/>
      <c r="EF1317" s="773"/>
      <c r="EG1317" s="773"/>
      <c r="EH1317" s="773"/>
      <c r="EI1317" s="773"/>
      <c r="EJ1317" s="773"/>
      <c r="EK1317" s="773"/>
      <c r="EL1317" s="773"/>
      <c r="EM1317" s="773"/>
      <c r="EN1317" s="773"/>
      <c r="EO1317" s="773"/>
      <c r="EP1317" s="773"/>
      <c r="EQ1317" s="773"/>
      <c r="ER1317" s="773"/>
      <c r="ES1317" s="773"/>
      <c r="ET1317" s="773"/>
      <c r="EU1317" s="773"/>
      <c r="EV1317" s="773"/>
      <c r="EW1317" s="773"/>
      <c r="EX1317" s="773"/>
      <c r="EY1317" s="773"/>
      <c r="EZ1317" s="773"/>
      <c r="FA1317" s="773"/>
      <c r="FB1317" s="773"/>
      <c r="FC1317" s="773"/>
      <c r="FD1317" s="773"/>
      <c r="FE1317" s="773"/>
      <c r="FF1317" s="773"/>
      <c r="FG1317" s="773"/>
      <c r="FH1317" s="773"/>
      <c r="FI1317" s="773"/>
      <c r="FJ1317" s="773"/>
      <c r="FK1317" s="773"/>
      <c r="FL1317" s="773"/>
      <c r="FM1317" s="773"/>
      <c r="FN1317" s="773"/>
      <c r="FO1317" s="773"/>
      <c r="FP1317" s="773"/>
      <c r="FQ1317" s="773"/>
      <c r="FR1317" s="773"/>
      <c r="FS1317" s="773"/>
      <c r="FT1317" s="773"/>
      <c r="FU1317" s="773"/>
      <c r="FV1317" s="773"/>
      <c r="FW1317" s="773"/>
      <c r="FX1317" s="773"/>
      <c r="FY1317" s="773"/>
      <c r="FZ1317" s="773"/>
      <c r="GA1317" s="773"/>
      <c r="GB1317" s="773"/>
      <c r="GC1317" s="773"/>
      <c r="GD1317" s="773"/>
      <c r="GE1317" s="773"/>
      <c r="GF1317" s="773"/>
      <c r="GG1317" s="773"/>
      <c r="GH1317" s="773"/>
      <c r="GI1317" s="773"/>
      <c r="GJ1317" s="773"/>
      <c r="GK1317" s="773"/>
      <c r="GL1317" s="773"/>
      <c r="GM1317" s="773"/>
      <c r="GN1317" s="773"/>
      <c r="GO1317" s="773"/>
      <c r="GP1317" s="773"/>
      <c r="GQ1317" s="773"/>
      <c r="GR1317" s="773"/>
      <c r="GS1317" s="773"/>
      <c r="GT1317" s="773"/>
      <c r="GU1317" s="773"/>
      <c r="GV1317" s="773"/>
      <c r="GW1317" s="773"/>
      <c r="GX1317" s="773"/>
      <c r="GY1317" s="773"/>
      <c r="GZ1317" s="773"/>
    </row>
    <row r="1318" spans="2:208" s="11" customFormat="1">
      <c r="B1318" s="775"/>
      <c r="C1318" s="826"/>
      <c r="D1318" s="775"/>
      <c r="K1318" s="209"/>
      <c r="M1318" s="771"/>
      <c r="N1318" s="772"/>
      <c r="O1318" s="772"/>
      <c r="P1318" s="772"/>
      <c r="Q1318" s="772"/>
      <c r="R1318" s="772"/>
      <c r="S1318" s="772"/>
      <c r="T1318" s="772"/>
      <c r="AW1318" s="2510"/>
      <c r="BC1318" s="2510"/>
      <c r="BD1318" s="2510"/>
      <c r="BE1318" s="2510"/>
      <c r="BF1318" s="2510"/>
      <c r="BH1318" s="2510"/>
      <c r="DB1318" s="773"/>
      <c r="DC1318" s="773"/>
      <c r="DD1318" s="773"/>
      <c r="DE1318" s="773"/>
      <c r="DF1318" s="773"/>
      <c r="DG1318" s="773"/>
      <c r="DH1318" s="773"/>
      <c r="DI1318" s="773"/>
      <c r="DJ1318" s="773"/>
      <c r="DK1318" s="773"/>
      <c r="DL1318" s="773"/>
      <c r="DM1318" s="773"/>
      <c r="DN1318" s="773"/>
      <c r="DO1318" s="773"/>
      <c r="DP1318" s="773"/>
      <c r="DQ1318" s="773"/>
      <c r="DR1318" s="773"/>
      <c r="DS1318" s="773"/>
      <c r="DT1318" s="773"/>
      <c r="DU1318" s="773"/>
      <c r="DV1318" s="773"/>
      <c r="DW1318" s="773"/>
      <c r="DX1318" s="773"/>
      <c r="DY1318" s="773"/>
      <c r="DZ1318" s="773"/>
      <c r="EA1318" s="773"/>
      <c r="EB1318" s="773"/>
      <c r="EC1318" s="773"/>
      <c r="ED1318" s="773"/>
      <c r="EE1318" s="773"/>
      <c r="EF1318" s="773"/>
      <c r="EG1318" s="773"/>
      <c r="EH1318" s="773"/>
      <c r="EI1318" s="773"/>
      <c r="EJ1318" s="773"/>
      <c r="EK1318" s="773"/>
      <c r="EL1318" s="773"/>
      <c r="EM1318" s="773"/>
      <c r="EN1318" s="773"/>
      <c r="EO1318" s="773"/>
      <c r="EP1318" s="773"/>
      <c r="EQ1318" s="773"/>
      <c r="ER1318" s="773"/>
      <c r="ES1318" s="773"/>
      <c r="ET1318" s="773"/>
      <c r="EU1318" s="773"/>
      <c r="EV1318" s="773"/>
      <c r="EW1318" s="773"/>
      <c r="EX1318" s="773"/>
      <c r="EY1318" s="773"/>
      <c r="EZ1318" s="773"/>
      <c r="FA1318" s="773"/>
      <c r="FB1318" s="773"/>
      <c r="FC1318" s="773"/>
      <c r="FD1318" s="773"/>
      <c r="FE1318" s="773"/>
      <c r="FF1318" s="773"/>
      <c r="FG1318" s="773"/>
      <c r="FH1318" s="773"/>
      <c r="FI1318" s="773"/>
      <c r="FJ1318" s="773"/>
      <c r="FK1318" s="773"/>
      <c r="FL1318" s="773"/>
      <c r="FM1318" s="773"/>
      <c r="FN1318" s="773"/>
      <c r="FO1318" s="773"/>
      <c r="FP1318" s="773"/>
      <c r="FQ1318" s="773"/>
      <c r="FR1318" s="773"/>
      <c r="FS1318" s="773"/>
      <c r="FT1318" s="773"/>
      <c r="FU1318" s="773"/>
      <c r="FV1318" s="773"/>
      <c r="FW1318" s="773"/>
      <c r="FX1318" s="773"/>
      <c r="FY1318" s="773"/>
      <c r="FZ1318" s="773"/>
      <c r="GA1318" s="773"/>
      <c r="GB1318" s="773"/>
      <c r="GC1318" s="773"/>
      <c r="GD1318" s="773"/>
      <c r="GE1318" s="773"/>
      <c r="GF1318" s="773"/>
      <c r="GG1318" s="773"/>
      <c r="GH1318" s="773"/>
      <c r="GI1318" s="773"/>
      <c r="GJ1318" s="773"/>
      <c r="GK1318" s="773"/>
      <c r="GL1318" s="773"/>
      <c r="GM1318" s="773"/>
      <c r="GN1318" s="773"/>
      <c r="GO1318" s="773"/>
      <c r="GP1318" s="773"/>
      <c r="GQ1318" s="773"/>
      <c r="GR1318" s="773"/>
      <c r="GS1318" s="773"/>
      <c r="GT1318" s="773"/>
      <c r="GU1318" s="773"/>
      <c r="GV1318" s="773"/>
      <c r="GW1318" s="773"/>
      <c r="GX1318" s="773"/>
      <c r="GY1318" s="773"/>
      <c r="GZ1318" s="773"/>
    </row>
    <row r="1319" spans="2:208" s="11" customFormat="1">
      <c r="B1319" s="775"/>
      <c r="C1319" s="826"/>
      <c r="D1319" s="775"/>
      <c r="K1319" s="209"/>
      <c r="M1319" s="771"/>
      <c r="N1319" s="772"/>
      <c r="O1319" s="772"/>
      <c r="P1319" s="772"/>
      <c r="Q1319" s="772"/>
      <c r="R1319" s="772"/>
      <c r="S1319" s="772"/>
      <c r="T1319" s="772"/>
      <c r="AW1319" s="2510"/>
      <c r="BC1319" s="2510"/>
      <c r="BD1319" s="2510"/>
      <c r="BE1319" s="2510"/>
      <c r="BF1319" s="2510"/>
      <c r="BH1319" s="2510"/>
      <c r="DB1319" s="773"/>
      <c r="DC1319" s="773"/>
      <c r="DD1319" s="773"/>
      <c r="DE1319" s="773"/>
      <c r="DF1319" s="773"/>
      <c r="DG1319" s="773"/>
      <c r="DH1319" s="773"/>
      <c r="DI1319" s="773"/>
      <c r="DJ1319" s="773"/>
      <c r="DK1319" s="773"/>
      <c r="DL1319" s="773"/>
      <c r="DM1319" s="773"/>
      <c r="DN1319" s="773"/>
      <c r="DO1319" s="773"/>
      <c r="DP1319" s="773"/>
      <c r="DQ1319" s="773"/>
      <c r="DR1319" s="773"/>
      <c r="DS1319" s="773"/>
      <c r="DT1319" s="773"/>
      <c r="DU1319" s="773"/>
      <c r="DV1319" s="773"/>
      <c r="DW1319" s="773"/>
      <c r="DX1319" s="773"/>
      <c r="DY1319" s="773"/>
      <c r="DZ1319" s="773"/>
      <c r="EA1319" s="773"/>
      <c r="EB1319" s="773"/>
      <c r="EC1319" s="773"/>
      <c r="ED1319" s="773"/>
      <c r="EE1319" s="773"/>
      <c r="EF1319" s="773"/>
      <c r="EG1319" s="773"/>
      <c r="EH1319" s="773"/>
      <c r="EI1319" s="773"/>
      <c r="EJ1319" s="773"/>
      <c r="EK1319" s="773"/>
      <c r="EL1319" s="773"/>
      <c r="EM1319" s="773"/>
      <c r="EN1319" s="773"/>
      <c r="EO1319" s="773"/>
      <c r="EP1319" s="773"/>
      <c r="EQ1319" s="773"/>
      <c r="ER1319" s="773"/>
      <c r="ES1319" s="773"/>
      <c r="ET1319" s="773"/>
      <c r="EU1319" s="773"/>
      <c r="EV1319" s="773"/>
      <c r="EW1319" s="773"/>
      <c r="EX1319" s="773"/>
      <c r="EY1319" s="773"/>
      <c r="EZ1319" s="773"/>
      <c r="FA1319" s="773"/>
      <c r="FB1319" s="773"/>
      <c r="FC1319" s="773"/>
      <c r="FD1319" s="773"/>
      <c r="FE1319" s="773"/>
      <c r="FF1319" s="773"/>
      <c r="FG1319" s="773"/>
      <c r="FH1319" s="773"/>
      <c r="FI1319" s="773"/>
      <c r="FJ1319" s="773"/>
      <c r="FK1319" s="773"/>
      <c r="FL1319" s="773"/>
      <c r="FM1319" s="773"/>
      <c r="FN1319" s="773"/>
      <c r="FO1319" s="773"/>
      <c r="FP1319" s="773"/>
      <c r="FQ1319" s="773"/>
      <c r="FR1319" s="773"/>
      <c r="FS1319" s="773"/>
      <c r="FT1319" s="773"/>
      <c r="FU1319" s="773"/>
      <c r="FV1319" s="773"/>
      <c r="FW1319" s="773"/>
      <c r="FX1319" s="773"/>
      <c r="FY1319" s="773"/>
      <c r="FZ1319" s="773"/>
      <c r="GA1319" s="773"/>
      <c r="GB1319" s="773"/>
      <c r="GC1319" s="773"/>
      <c r="GD1319" s="773"/>
      <c r="GE1319" s="773"/>
      <c r="GF1319" s="773"/>
      <c r="GG1319" s="773"/>
      <c r="GH1319" s="773"/>
      <c r="GI1319" s="773"/>
      <c r="GJ1319" s="773"/>
      <c r="GK1319" s="773"/>
      <c r="GL1319" s="773"/>
      <c r="GM1319" s="773"/>
      <c r="GN1319" s="773"/>
      <c r="GO1319" s="773"/>
      <c r="GP1319" s="773"/>
      <c r="GQ1319" s="773"/>
      <c r="GR1319" s="773"/>
      <c r="GS1319" s="773"/>
      <c r="GT1319" s="773"/>
      <c r="GU1319" s="773"/>
      <c r="GV1319" s="773"/>
      <c r="GW1319" s="773"/>
      <c r="GX1319" s="773"/>
      <c r="GY1319" s="773"/>
      <c r="GZ1319" s="773"/>
    </row>
    <row r="1320" spans="2:208" s="11" customFormat="1">
      <c r="B1320" s="775"/>
      <c r="C1320" s="826"/>
      <c r="D1320" s="775"/>
      <c r="K1320" s="209"/>
      <c r="M1320" s="771"/>
      <c r="N1320" s="772"/>
      <c r="O1320" s="772"/>
      <c r="P1320" s="772"/>
      <c r="Q1320" s="772"/>
      <c r="R1320" s="772"/>
      <c r="S1320" s="772"/>
      <c r="T1320" s="772"/>
      <c r="AW1320" s="2510"/>
      <c r="BC1320" s="2510"/>
      <c r="BD1320" s="2510"/>
      <c r="BE1320" s="2510"/>
      <c r="BF1320" s="2510"/>
      <c r="BH1320" s="2510"/>
      <c r="DB1320" s="773"/>
      <c r="DC1320" s="773"/>
      <c r="DD1320" s="773"/>
      <c r="DE1320" s="773"/>
      <c r="DF1320" s="773"/>
      <c r="DG1320" s="773"/>
      <c r="DH1320" s="773"/>
      <c r="DI1320" s="773"/>
      <c r="DJ1320" s="773"/>
      <c r="DK1320" s="773"/>
      <c r="DL1320" s="773"/>
      <c r="DM1320" s="773"/>
      <c r="DN1320" s="773"/>
      <c r="DO1320" s="773"/>
      <c r="DP1320" s="773"/>
      <c r="DQ1320" s="773"/>
      <c r="DR1320" s="773"/>
      <c r="DS1320" s="773"/>
      <c r="DT1320" s="773"/>
      <c r="DU1320" s="773"/>
      <c r="DV1320" s="773"/>
      <c r="DW1320" s="773"/>
      <c r="DX1320" s="773"/>
      <c r="DY1320" s="773"/>
      <c r="DZ1320" s="773"/>
      <c r="EA1320" s="773"/>
      <c r="EB1320" s="773"/>
      <c r="EC1320" s="773"/>
      <c r="ED1320" s="773"/>
      <c r="EE1320" s="773"/>
      <c r="EF1320" s="773"/>
      <c r="EG1320" s="773"/>
      <c r="EH1320" s="773"/>
      <c r="EI1320" s="773"/>
      <c r="EJ1320" s="773"/>
      <c r="EK1320" s="773"/>
      <c r="EL1320" s="773"/>
      <c r="EM1320" s="773"/>
      <c r="EN1320" s="773"/>
      <c r="EO1320" s="773"/>
      <c r="EP1320" s="773"/>
      <c r="EQ1320" s="773"/>
      <c r="ER1320" s="773"/>
      <c r="ES1320" s="773"/>
      <c r="ET1320" s="773"/>
      <c r="EU1320" s="773"/>
      <c r="EV1320" s="773"/>
      <c r="EW1320" s="773"/>
      <c r="EX1320" s="773"/>
      <c r="EY1320" s="773"/>
      <c r="EZ1320" s="773"/>
      <c r="FA1320" s="773"/>
      <c r="FB1320" s="773"/>
      <c r="FC1320" s="773"/>
      <c r="FD1320" s="773"/>
      <c r="FE1320" s="773"/>
      <c r="FF1320" s="773"/>
      <c r="FG1320" s="773"/>
      <c r="FH1320" s="773"/>
      <c r="FI1320" s="773"/>
      <c r="FJ1320" s="773"/>
      <c r="FK1320" s="773"/>
      <c r="FL1320" s="773"/>
      <c r="FM1320" s="773"/>
      <c r="FN1320" s="773"/>
      <c r="FO1320" s="773"/>
      <c r="FP1320" s="773"/>
      <c r="FQ1320" s="773"/>
      <c r="FR1320" s="773"/>
      <c r="FS1320" s="773"/>
      <c r="FT1320" s="773"/>
      <c r="FU1320" s="773"/>
      <c r="FV1320" s="773"/>
      <c r="FW1320" s="773"/>
      <c r="FX1320" s="773"/>
      <c r="FY1320" s="773"/>
      <c r="FZ1320" s="773"/>
      <c r="GA1320" s="773"/>
      <c r="GB1320" s="773"/>
      <c r="GC1320" s="773"/>
      <c r="GD1320" s="773"/>
      <c r="GE1320" s="773"/>
      <c r="GF1320" s="773"/>
      <c r="GG1320" s="773"/>
      <c r="GH1320" s="773"/>
      <c r="GI1320" s="773"/>
      <c r="GJ1320" s="773"/>
      <c r="GK1320" s="773"/>
      <c r="GL1320" s="773"/>
      <c r="GM1320" s="773"/>
      <c r="GN1320" s="773"/>
      <c r="GO1320" s="773"/>
      <c r="GP1320" s="773"/>
      <c r="GQ1320" s="773"/>
      <c r="GR1320" s="773"/>
      <c r="GS1320" s="773"/>
      <c r="GT1320" s="773"/>
      <c r="GU1320" s="773"/>
      <c r="GV1320" s="773"/>
      <c r="GW1320" s="773"/>
      <c r="GX1320" s="773"/>
      <c r="GY1320" s="773"/>
      <c r="GZ1320" s="773"/>
    </row>
    <row r="1321" spans="2:208" s="11" customFormat="1">
      <c r="B1321" s="775"/>
      <c r="C1321" s="826"/>
      <c r="D1321" s="775"/>
      <c r="K1321" s="209"/>
      <c r="M1321" s="771"/>
      <c r="N1321" s="772"/>
      <c r="O1321" s="772"/>
      <c r="P1321" s="772"/>
      <c r="Q1321" s="772"/>
      <c r="R1321" s="772"/>
      <c r="S1321" s="772"/>
      <c r="T1321" s="772"/>
      <c r="AW1321" s="2510"/>
      <c r="BC1321" s="2510"/>
      <c r="BD1321" s="2510"/>
      <c r="BE1321" s="2510"/>
      <c r="BF1321" s="2510"/>
      <c r="BH1321" s="2510"/>
      <c r="DB1321" s="773"/>
      <c r="DC1321" s="773"/>
      <c r="DD1321" s="773"/>
      <c r="DE1321" s="773"/>
      <c r="DF1321" s="773"/>
      <c r="DG1321" s="773"/>
      <c r="DH1321" s="773"/>
      <c r="DI1321" s="773"/>
      <c r="DJ1321" s="773"/>
      <c r="DK1321" s="773"/>
      <c r="DL1321" s="773"/>
      <c r="DM1321" s="773"/>
      <c r="DN1321" s="773"/>
      <c r="DO1321" s="773"/>
      <c r="DP1321" s="773"/>
      <c r="DQ1321" s="773"/>
      <c r="DR1321" s="773"/>
      <c r="DS1321" s="773"/>
      <c r="DT1321" s="773"/>
      <c r="DU1321" s="773"/>
      <c r="DV1321" s="773"/>
      <c r="DW1321" s="773"/>
      <c r="DX1321" s="773"/>
      <c r="DY1321" s="773"/>
      <c r="DZ1321" s="773"/>
      <c r="EA1321" s="773"/>
      <c r="EB1321" s="773"/>
      <c r="EC1321" s="773"/>
      <c r="ED1321" s="773"/>
      <c r="EE1321" s="773"/>
      <c r="EF1321" s="773"/>
      <c r="EG1321" s="773"/>
      <c r="EH1321" s="773"/>
      <c r="EI1321" s="773"/>
      <c r="EJ1321" s="773"/>
      <c r="EK1321" s="773"/>
      <c r="EL1321" s="773"/>
      <c r="EM1321" s="773"/>
      <c r="EN1321" s="773"/>
      <c r="EO1321" s="773"/>
      <c r="EP1321" s="773"/>
      <c r="EQ1321" s="773"/>
      <c r="ER1321" s="773"/>
      <c r="ES1321" s="773"/>
      <c r="ET1321" s="773"/>
      <c r="EU1321" s="773"/>
      <c r="EV1321" s="773"/>
      <c r="EW1321" s="773"/>
      <c r="EX1321" s="773"/>
      <c r="EY1321" s="773"/>
      <c r="EZ1321" s="773"/>
      <c r="FA1321" s="773"/>
      <c r="FB1321" s="773"/>
      <c r="FC1321" s="773"/>
      <c r="FD1321" s="773"/>
      <c r="FE1321" s="773"/>
      <c r="FF1321" s="773"/>
      <c r="FG1321" s="773"/>
      <c r="FH1321" s="773"/>
      <c r="FI1321" s="773"/>
      <c r="FJ1321" s="773"/>
      <c r="FK1321" s="773"/>
      <c r="FL1321" s="773"/>
      <c r="FM1321" s="773"/>
      <c r="FN1321" s="773"/>
      <c r="FO1321" s="773"/>
      <c r="FP1321" s="773"/>
      <c r="FQ1321" s="773"/>
      <c r="FR1321" s="773"/>
      <c r="FS1321" s="773"/>
      <c r="FT1321" s="773"/>
      <c r="FU1321" s="773"/>
      <c r="FV1321" s="773"/>
      <c r="FW1321" s="773"/>
      <c r="FX1321" s="773"/>
      <c r="FY1321" s="773"/>
      <c r="FZ1321" s="773"/>
      <c r="GA1321" s="773"/>
      <c r="GB1321" s="773"/>
      <c r="GC1321" s="773"/>
      <c r="GD1321" s="773"/>
      <c r="GE1321" s="773"/>
      <c r="GF1321" s="773"/>
      <c r="GG1321" s="773"/>
      <c r="GH1321" s="773"/>
      <c r="GI1321" s="773"/>
      <c r="GJ1321" s="773"/>
      <c r="GK1321" s="773"/>
      <c r="GL1321" s="773"/>
      <c r="GM1321" s="773"/>
      <c r="GN1321" s="773"/>
      <c r="GO1321" s="773"/>
      <c r="GP1321" s="773"/>
      <c r="GQ1321" s="773"/>
      <c r="GR1321" s="773"/>
      <c r="GS1321" s="773"/>
      <c r="GT1321" s="773"/>
      <c r="GU1321" s="773"/>
      <c r="GV1321" s="773"/>
      <c r="GW1321" s="773"/>
      <c r="GX1321" s="773"/>
      <c r="GY1321" s="773"/>
      <c r="GZ1321" s="773"/>
    </row>
    <row r="1322" spans="2:208" s="11" customFormat="1">
      <c r="B1322" s="775"/>
      <c r="C1322" s="826"/>
      <c r="D1322" s="775"/>
      <c r="K1322" s="209"/>
      <c r="M1322" s="771"/>
      <c r="N1322" s="772"/>
      <c r="O1322" s="772"/>
      <c r="P1322" s="772"/>
      <c r="Q1322" s="772"/>
      <c r="R1322" s="772"/>
      <c r="S1322" s="772"/>
      <c r="T1322" s="772"/>
      <c r="AW1322" s="2510"/>
      <c r="BC1322" s="2510"/>
      <c r="BD1322" s="2510"/>
      <c r="BE1322" s="2510"/>
      <c r="BF1322" s="2510"/>
      <c r="BH1322" s="2510"/>
      <c r="DB1322" s="773"/>
      <c r="DC1322" s="773"/>
      <c r="DD1322" s="773"/>
      <c r="DE1322" s="773"/>
      <c r="DF1322" s="773"/>
      <c r="DG1322" s="773"/>
      <c r="DH1322" s="773"/>
      <c r="DI1322" s="773"/>
      <c r="DJ1322" s="773"/>
      <c r="DK1322" s="773"/>
      <c r="DL1322" s="773"/>
      <c r="DM1322" s="773"/>
      <c r="DN1322" s="773"/>
      <c r="DO1322" s="773"/>
      <c r="DP1322" s="773"/>
      <c r="DQ1322" s="773"/>
      <c r="DR1322" s="773"/>
      <c r="DS1322" s="773"/>
      <c r="DT1322" s="773"/>
      <c r="DU1322" s="773"/>
      <c r="DV1322" s="773"/>
      <c r="DW1322" s="773"/>
      <c r="DX1322" s="773"/>
      <c r="DY1322" s="773"/>
      <c r="DZ1322" s="773"/>
      <c r="EA1322" s="773"/>
      <c r="EB1322" s="773"/>
      <c r="EC1322" s="773"/>
      <c r="ED1322" s="773"/>
      <c r="EE1322" s="773"/>
      <c r="EF1322" s="773"/>
      <c r="EG1322" s="773"/>
      <c r="EH1322" s="773"/>
      <c r="EI1322" s="773"/>
      <c r="EJ1322" s="773"/>
      <c r="EK1322" s="773"/>
      <c r="EL1322" s="773"/>
      <c r="EM1322" s="773"/>
      <c r="EN1322" s="773"/>
      <c r="EO1322" s="773"/>
      <c r="EP1322" s="773"/>
      <c r="EQ1322" s="773"/>
      <c r="ER1322" s="773"/>
      <c r="ES1322" s="773"/>
      <c r="ET1322" s="773"/>
      <c r="EU1322" s="773"/>
      <c r="EV1322" s="773"/>
      <c r="EW1322" s="773"/>
      <c r="EX1322" s="773"/>
      <c r="EY1322" s="773"/>
      <c r="EZ1322" s="773"/>
      <c r="FA1322" s="773"/>
      <c r="FB1322" s="773"/>
      <c r="FC1322" s="773"/>
      <c r="FD1322" s="773"/>
      <c r="FE1322" s="773"/>
      <c r="FF1322" s="773"/>
      <c r="FG1322" s="773"/>
      <c r="FH1322" s="773"/>
      <c r="FI1322" s="773"/>
      <c r="FJ1322" s="773"/>
      <c r="FK1322" s="773"/>
      <c r="FL1322" s="773"/>
      <c r="FM1322" s="773"/>
      <c r="FN1322" s="773"/>
      <c r="FO1322" s="773"/>
      <c r="FP1322" s="773"/>
      <c r="FQ1322" s="773"/>
      <c r="FR1322" s="773"/>
      <c r="FS1322" s="773"/>
      <c r="FT1322" s="773"/>
      <c r="FU1322" s="773"/>
      <c r="FV1322" s="773"/>
      <c r="FW1322" s="773"/>
      <c r="FX1322" s="773"/>
      <c r="FY1322" s="773"/>
      <c r="FZ1322" s="773"/>
      <c r="GA1322" s="773"/>
      <c r="GB1322" s="773"/>
      <c r="GC1322" s="773"/>
      <c r="GD1322" s="773"/>
      <c r="GE1322" s="773"/>
      <c r="GF1322" s="773"/>
      <c r="GG1322" s="773"/>
      <c r="GH1322" s="773"/>
      <c r="GI1322" s="773"/>
      <c r="GJ1322" s="773"/>
      <c r="GK1322" s="773"/>
      <c r="GL1322" s="773"/>
      <c r="GM1322" s="773"/>
      <c r="GN1322" s="773"/>
      <c r="GO1322" s="773"/>
      <c r="GP1322" s="773"/>
      <c r="GQ1322" s="773"/>
      <c r="GR1322" s="773"/>
      <c r="GS1322" s="773"/>
      <c r="GT1322" s="773"/>
      <c r="GU1322" s="773"/>
      <c r="GV1322" s="773"/>
      <c r="GW1322" s="773"/>
      <c r="GX1322" s="773"/>
      <c r="GY1322" s="773"/>
      <c r="GZ1322" s="773"/>
    </row>
    <row r="1323" spans="2:208" s="11" customFormat="1">
      <c r="B1323" s="775"/>
      <c r="C1323" s="826"/>
      <c r="D1323" s="775"/>
      <c r="K1323" s="209"/>
      <c r="M1323" s="771"/>
      <c r="N1323" s="772"/>
      <c r="O1323" s="772"/>
      <c r="P1323" s="772"/>
      <c r="Q1323" s="772"/>
      <c r="R1323" s="772"/>
      <c r="S1323" s="772"/>
      <c r="T1323" s="772"/>
      <c r="AW1323" s="2510"/>
      <c r="BC1323" s="2510"/>
      <c r="BD1323" s="2510"/>
      <c r="BE1323" s="2510"/>
      <c r="BF1323" s="2510"/>
      <c r="BH1323" s="2510"/>
      <c r="DB1323" s="773"/>
      <c r="DC1323" s="773"/>
      <c r="DD1323" s="773"/>
      <c r="DE1323" s="773"/>
      <c r="DF1323" s="773"/>
      <c r="DG1323" s="773"/>
      <c r="DH1323" s="773"/>
      <c r="DI1323" s="773"/>
      <c r="DJ1323" s="773"/>
      <c r="DK1323" s="773"/>
      <c r="DL1323" s="773"/>
      <c r="DM1323" s="773"/>
      <c r="DN1323" s="773"/>
      <c r="DO1323" s="773"/>
      <c r="DP1323" s="773"/>
      <c r="DQ1323" s="773"/>
      <c r="DR1323" s="773"/>
      <c r="DS1323" s="773"/>
      <c r="DT1323" s="773"/>
      <c r="DU1323" s="773"/>
      <c r="DV1323" s="773"/>
      <c r="DW1323" s="773"/>
      <c r="DX1323" s="773"/>
      <c r="DY1323" s="773"/>
      <c r="DZ1323" s="773"/>
      <c r="EA1323" s="773"/>
      <c r="EB1323" s="773"/>
      <c r="EC1323" s="773"/>
      <c r="ED1323" s="773"/>
      <c r="EE1323" s="773"/>
      <c r="EF1323" s="773"/>
      <c r="EG1323" s="773"/>
      <c r="EH1323" s="773"/>
      <c r="EI1323" s="773"/>
      <c r="EJ1323" s="773"/>
      <c r="EK1323" s="773"/>
      <c r="EL1323" s="773"/>
      <c r="EM1323" s="773"/>
      <c r="EN1323" s="773"/>
      <c r="EO1323" s="773"/>
      <c r="EP1323" s="773"/>
      <c r="EQ1323" s="773"/>
      <c r="ER1323" s="773"/>
      <c r="ES1323" s="773"/>
      <c r="ET1323" s="773"/>
      <c r="EU1323" s="773"/>
      <c r="EV1323" s="773"/>
      <c r="EW1323" s="773"/>
      <c r="EX1323" s="773"/>
      <c r="EY1323" s="773"/>
      <c r="EZ1323" s="773"/>
      <c r="FA1323" s="773"/>
      <c r="FB1323" s="773"/>
      <c r="FC1323" s="773"/>
      <c r="FD1323" s="773"/>
      <c r="FE1323" s="773"/>
      <c r="FF1323" s="773"/>
      <c r="FG1323" s="773"/>
      <c r="FH1323" s="773"/>
      <c r="FI1323" s="773"/>
      <c r="FJ1323" s="773"/>
      <c r="FK1323" s="773"/>
      <c r="FL1323" s="773"/>
      <c r="FM1323" s="773"/>
      <c r="FN1323" s="773"/>
      <c r="FO1323" s="773"/>
      <c r="FP1323" s="773"/>
      <c r="FQ1323" s="773"/>
      <c r="FR1323" s="773"/>
      <c r="FS1323" s="773"/>
      <c r="FT1323" s="773"/>
      <c r="FU1323" s="773"/>
      <c r="FV1323" s="773"/>
      <c r="FW1323" s="773"/>
      <c r="FX1323" s="773"/>
      <c r="FY1323" s="773"/>
      <c r="FZ1323" s="773"/>
      <c r="GA1323" s="773"/>
      <c r="GB1323" s="773"/>
      <c r="GC1323" s="773"/>
      <c r="GD1323" s="773"/>
      <c r="GE1323" s="773"/>
      <c r="GF1323" s="773"/>
      <c r="GG1323" s="773"/>
      <c r="GH1323" s="773"/>
      <c r="GI1323" s="773"/>
      <c r="GJ1323" s="773"/>
      <c r="GK1323" s="773"/>
      <c r="GL1323" s="773"/>
      <c r="GM1323" s="773"/>
      <c r="GN1323" s="773"/>
      <c r="GO1323" s="773"/>
      <c r="GP1323" s="773"/>
      <c r="GQ1323" s="773"/>
      <c r="GR1323" s="773"/>
      <c r="GS1323" s="773"/>
      <c r="GT1323" s="773"/>
      <c r="GU1323" s="773"/>
      <c r="GV1323" s="773"/>
      <c r="GW1323" s="773"/>
      <c r="GX1323" s="773"/>
      <c r="GY1323" s="773"/>
      <c r="GZ1323" s="773"/>
    </row>
    <row r="1324" spans="2:208" s="11" customFormat="1">
      <c r="B1324" s="775"/>
      <c r="C1324" s="826"/>
      <c r="D1324" s="775"/>
      <c r="K1324" s="209"/>
      <c r="M1324" s="771"/>
      <c r="N1324" s="772"/>
      <c r="O1324" s="772"/>
      <c r="P1324" s="772"/>
      <c r="Q1324" s="772"/>
      <c r="R1324" s="772"/>
      <c r="S1324" s="772"/>
      <c r="T1324" s="772"/>
      <c r="AW1324" s="2510"/>
      <c r="BC1324" s="2510"/>
      <c r="BD1324" s="2510"/>
      <c r="BE1324" s="2510"/>
      <c r="BF1324" s="2510"/>
      <c r="BH1324" s="2510"/>
      <c r="DB1324" s="773"/>
      <c r="DC1324" s="773"/>
      <c r="DD1324" s="773"/>
      <c r="DE1324" s="773"/>
      <c r="DF1324" s="773"/>
      <c r="DG1324" s="773"/>
      <c r="DH1324" s="773"/>
      <c r="DI1324" s="773"/>
      <c r="DJ1324" s="773"/>
      <c r="DK1324" s="773"/>
      <c r="DL1324" s="773"/>
      <c r="DM1324" s="773"/>
      <c r="DN1324" s="773"/>
      <c r="DO1324" s="773"/>
      <c r="DP1324" s="773"/>
      <c r="DQ1324" s="773"/>
      <c r="DR1324" s="773"/>
      <c r="DS1324" s="773"/>
      <c r="DT1324" s="773"/>
      <c r="DU1324" s="773"/>
      <c r="DV1324" s="773"/>
      <c r="DW1324" s="773"/>
      <c r="DX1324" s="773"/>
      <c r="DY1324" s="773"/>
      <c r="DZ1324" s="773"/>
      <c r="EA1324" s="773"/>
      <c r="EB1324" s="773"/>
      <c r="EC1324" s="773"/>
      <c r="ED1324" s="773"/>
      <c r="EE1324" s="773"/>
      <c r="EF1324" s="773"/>
      <c r="EG1324" s="773"/>
      <c r="EH1324" s="773"/>
      <c r="EI1324" s="773"/>
      <c r="EJ1324" s="773"/>
      <c r="EK1324" s="773"/>
      <c r="EL1324" s="773"/>
      <c r="EM1324" s="773"/>
      <c r="EN1324" s="773"/>
      <c r="EO1324" s="773"/>
      <c r="EP1324" s="773"/>
      <c r="EQ1324" s="773"/>
      <c r="ER1324" s="773"/>
      <c r="ES1324" s="773"/>
      <c r="ET1324" s="773"/>
      <c r="EU1324" s="773"/>
      <c r="EV1324" s="773"/>
      <c r="EW1324" s="773"/>
      <c r="EX1324" s="773"/>
      <c r="EY1324" s="773"/>
      <c r="EZ1324" s="773"/>
      <c r="FA1324" s="773"/>
      <c r="FB1324" s="773"/>
      <c r="FC1324" s="773"/>
      <c r="FD1324" s="773"/>
      <c r="FE1324" s="773"/>
      <c r="FF1324" s="773"/>
      <c r="FG1324" s="773"/>
      <c r="FH1324" s="773"/>
      <c r="FI1324" s="773"/>
      <c r="FJ1324" s="773"/>
      <c r="FK1324" s="773"/>
      <c r="FL1324" s="773"/>
      <c r="FM1324" s="773"/>
      <c r="FN1324" s="773"/>
      <c r="FO1324" s="773"/>
      <c r="FP1324" s="773"/>
      <c r="FQ1324" s="773"/>
      <c r="FR1324" s="773"/>
      <c r="FS1324" s="773"/>
      <c r="FT1324" s="773"/>
      <c r="FU1324" s="773"/>
      <c r="FV1324" s="773"/>
      <c r="FW1324" s="773"/>
      <c r="FX1324" s="773"/>
      <c r="FY1324" s="773"/>
      <c r="FZ1324" s="773"/>
      <c r="GA1324" s="773"/>
      <c r="GB1324" s="773"/>
      <c r="GC1324" s="773"/>
      <c r="GD1324" s="773"/>
      <c r="GE1324" s="773"/>
      <c r="GF1324" s="773"/>
      <c r="GG1324" s="773"/>
      <c r="GH1324" s="773"/>
      <c r="GI1324" s="773"/>
      <c r="GJ1324" s="773"/>
      <c r="GK1324" s="773"/>
      <c r="GL1324" s="773"/>
      <c r="GM1324" s="773"/>
      <c r="GN1324" s="773"/>
      <c r="GO1324" s="773"/>
      <c r="GP1324" s="773"/>
      <c r="GQ1324" s="773"/>
      <c r="GR1324" s="773"/>
      <c r="GS1324" s="773"/>
      <c r="GT1324" s="773"/>
      <c r="GU1324" s="773"/>
      <c r="GV1324" s="773"/>
      <c r="GW1324" s="773"/>
      <c r="GX1324" s="773"/>
      <c r="GY1324" s="773"/>
      <c r="GZ1324" s="773"/>
    </row>
    <row r="1325" spans="2:208" s="11" customFormat="1">
      <c r="B1325" s="775"/>
      <c r="C1325" s="826"/>
      <c r="D1325" s="775"/>
      <c r="K1325" s="209"/>
      <c r="M1325" s="771"/>
      <c r="N1325" s="772"/>
      <c r="O1325" s="772"/>
      <c r="P1325" s="772"/>
      <c r="Q1325" s="772"/>
      <c r="R1325" s="772"/>
      <c r="S1325" s="772"/>
      <c r="T1325" s="772"/>
      <c r="AW1325" s="2510"/>
      <c r="BC1325" s="2510"/>
      <c r="BD1325" s="2510"/>
      <c r="BE1325" s="2510"/>
      <c r="BF1325" s="2510"/>
      <c r="BH1325" s="2510"/>
      <c r="DB1325" s="773"/>
      <c r="DC1325" s="773"/>
      <c r="DD1325" s="773"/>
      <c r="DE1325" s="773"/>
      <c r="DF1325" s="773"/>
      <c r="DG1325" s="773"/>
      <c r="DH1325" s="773"/>
      <c r="DI1325" s="773"/>
      <c r="DJ1325" s="773"/>
      <c r="DK1325" s="773"/>
      <c r="DL1325" s="773"/>
      <c r="DM1325" s="773"/>
      <c r="DN1325" s="773"/>
      <c r="DO1325" s="773"/>
      <c r="DP1325" s="773"/>
      <c r="DQ1325" s="773"/>
      <c r="DR1325" s="773"/>
      <c r="DS1325" s="773"/>
      <c r="DT1325" s="773"/>
      <c r="DU1325" s="773"/>
      <c r="DV1325" s="773"/>
      <c r="DW1325" s="773"/>
      <c r="DX1325" s="773"/>
      <c r="DY1325" s="773"/>
      <c r="DZ1325" s="773"/>
      <c r="EA1325" s="773"/>
      <c r="EB1325" s="773"/>
      <c r="EC1325" s="773"/>
      <c r="ED1325" s="773"/>
      <c r="EE1325" s="773"/>
      <c r="EF1325" s="773"/>
      <c r="EG1325" s="773"/>
      <c r="EH1325" s="773"/>
      <c r="EI1325" s="773"/>
      <c r="EJ1325" s="773"/>
      <c r="EK1325" s="773"/>
      <c r="EL1325" s="773"/>
      <c r="EM1325" s="773"/>
      <c r="EN1325" s="773"/>
      <c r="EO1325" s="773"/>
      <c r="EP1325" s="773"/>
      <c r="EQ1325" s="773"/>
      <c r="ER1325" s="773"/>
      <c r="ES1325" s="773"/>
      <c r="ET1325" s="773"/>
      <c r="EU1325" s="773"/>
      <c r="EV1325" s="773"/>
      <c r="EW1325" s="773"/>
      <c r="EX1325" s="773"/>
      <c r="EY1325" s="773"/>
      <c r="EZ1325" s="773"/>
      <c r="FA1325" s="773"/>
      <c r="FB1325" s="773"/>
      <c r="FC1325" s="773"/>
      <c r="FD1325" s="773"/>
      <c r="FE1325" s="773"/>
      <c r="FF1325" s="773"/>
      <c r="FG1325" s="773"/>
      <c r="FH1325" s="773"/>
      <c r="FI1325" s="773"/>
      <c r="FJ1325" s="773"/>
      <c r="FK1325" s="773"/>
      <c r="FL1325" s="773"/>
      <c r="FM1325" s="773"/>
      <c r="FN1325" s="773"/>
      <c r="FO1325" s="773"/>
      <c r="FP1325" s="773"/>
      <c r="FQ1325" s="773"/>
      <c r="FR1325" s="773"/>
      <c r="FS1325" s="773"/>
      <c r="FT1325" s="773"/>
      <c r="FU1325" s="773"/>
      <c r="FV1325" s="773"/>
      <c r="FW1325" s="773"/>
      <c r="FX1325" s="773"/>
      <c r="FY1325" s="773"/>
      <c r="FZ1325" s="773"/>
      <c r="GA1325" s="773"/>
      <c r="GB1325" s="773"/>
      <c r="GC1325" s="773"/>
      <c r="GD1325" s="773"/>
      <c r="GE1325" s="773"/>
      <c r="GF1325" s="773"/>
      <c r="GG1325" s="773"/>
      <c r="GH1325" s="773"/>
      <c r="GI1325" s="773"/>
      <c r="GJ1325" s="773"/>
      <c r="GK1325" s="773"/>
      <c r="GL1325" s="773"/>
      <c r="GM1325" s="773"/>
      <c r="GN1325" s="773"/>
      <c r="GO1325" s="773"/>
      <c r="GP1325" s="773"/>
      <c r="GQ1325" s="773"/>
      <c r="GR1325" s="773"/>
      <c r="GS1325" s="773"/>
      <c r="GT1325" s="773"/>
      <c r="GU1325" s="773"/>
      <c r="GV1325" s="773"/>
      <c r="GW1325" s="773"/>
      <c r="GX1325" s="773"/>
      <c r="GY1325" s="773"/>
      <c r="GZ1325" s="773"/>
    </row>
    <row r="1326" spans="2:208" s="11" customFormat="1">
      <c r="B1326" s="775"/>
      <c r="C1326" s="826"/>
      <c r="D1326" s="775"/>
      <c r="K1326" s="209"/>
      <c r="M1326" s="771"/>
      <c r="N1326" s="772"/>
      <c r="O1326" s="772"/>
      <c r="P1326" s="772"/>
      <c r="Q1326" s="772"/>
      <c r="R1326" s="772"/>
      <c r="S1326" s="772"/>
      <c r="T1326" s="772"/>
      <c r="AW1326" s="2510"/>
      <c r="BC1326" s="2510"/>
      <c r="BD1326" s="2510"/>
      <c r="BE1326" s="2510"/>
      <c r="BF1326" s="2510"/>
      <c r="BH1326" s="2510"/>
      <c r="DB1326" s="773"/>
      <c r="DC1326" s="773"/>
      <c r="DD1326" s="773"/>
      <c r="DE1326" s="773"/>
      <c r="DF1326" s="773"/>
      <c r="DG1326" s="773"/>
      <c r="DH1326" s="773"/>
      <c r="DI1326" s="773"/>
      <c r="DJ1326" s="773"/>
      <c r="DK1326" s="773"/>
      <c r="DL1326" s="773"/>
      <c r="DM1326" s="773"/>
      <c r="DN1326" s="773"/>
      <c r="DO1326" s="773"/>
      <c r="DP1326" s="773"/>
      <c r="DQ1326" s="773"/>
      <c r="DR1326" s="773"/>
      <c r="DS1326" s="773"/>
      <c r="DT1326" s="773"/>
      <c r="DU1326" s="773"/>
      <c r="DV1326" s="773"/>
      <c r="DW1326" s="773"/>
      <c r="DX1326" s="773"/>
      <c r="DY1326" s="773"/>
      <c r="DZ1326" s="773"/>
      <c r="EA1326" s="773"/>
      <c r="EB1326" s="773"/>
      <c r="EC1326" s="773"/>
      <c r="ED1326" s="773"/>
      <c r="EE1326" s="773"/>
      <c r="EF1326" s="773"/>
      <c r="EG1326" s="773"/>
      <c r="EH1326" s="773"/>
      <c r="EI1326" s="773"/>
      <c r="EJ1326" s="773"/>
      <c r="EK1326" s="773"/>
      <c r="EL1326" s="773"/>
      <c r="EM1326" s="773"/>
      <c r="EN1326" s="773"/>
      <c r="EO1326" s="773"/>
      <c r="EP1326" s="773"/>
      <c r="EQ1326" s="773"/>
      <c r="ER1326" s="773"/>
      <c r="ES1326" s="773"/>
      <c r="ET1326" s="773"/>
      <c r="EU1326" s="773"/>
      <c r="EV1326" s="773"/>
      <c r="EW1326" s="773"/>
      <c r="EX1326" s="773"/>
      <c r="EY1326" s="773"/>
      <c r="EZ1326" s="773"/>
      <c r="FA1326" s="773"/>
      <c r="FB1326" s="773"/>
      <c r="FC1326" s="773"/>
      <c r="FD1326" s="773"/>
      <c r="FE1326" s="773"/>
      <c r="FF1326" s="773"/>
      <c r="FG1326" s="773"/>
      <c r="FH1326" s="773"/>
      <c r="FI1326" s="773"/>
      <c r="FJ1326" s="773"/>
      <c r="FK1326" s="773"/>
      <c r="FL1326" s="773"/>
      <c r="FM1326" s="773"/>
      <c r="FN1326" s="773"/>
      <c r="FO1326" s="773"/>
      <c r="FP1326" s="773"/>
      <c r="FQ1326" s="773"/>
      <c r="FR1326" s="773"/>
      <c r="FS1326" s="773"/>
      <c r="FT1326" s="773"/>
      <c r="FU1326" s="773"/>
      <c r="FV1326" s="773"/>
      <c r="FW1326" s="773"/>
      <c r="FX1326" s="773"/>
      <c r="FY1326" s="773"/>
      <c r="FZ1326" s="773"/>
      <c r="GA1326" s="773"/>
      <c r="GB1326" s="773"/>
      <c r="GC1326" s="773"/>
      <c r="GD1326" s="773"/>
      <c r="GE1326" s="773"/>
      <c r="GF1326" s="773"/>
      <c r="GG1326" s="773"/>
      <c r="GH1326" s="773"/>
      <c r="GI1326" s="773"/>
      <c r="GJ1326" s="773"/>
      <c r="GK1326" s="773"/>
      <c r="GL1326" s="773"/>
      <c r="GM1326" s="773"/>
      <c r="GN1326" s="773"/>
      <c r="GO1326" s="773"/>
      <c r="GP1326" s="773"/>
      <c r="GQ1326" s="773"/>
      <c r="GR1326" s="773"/>
      <c r="GS1326" s="773"/>
      <c r="GT1326" s="773"/>
      <c r="GU1326" s="773"/>
      <c r="GV1326" s="773"/>
      <c r="GW1326" s="773"/>
      <c r="GX1326" s="773"/>
      <c r="GY1326" s="773"/>
      <c r="GZ1326" s="773"/>
    </row>
    <row r="1327" spans="2:208" s="11" customFormat="1">
      <c r="B1327" s="775"/>
      <c r="C1327" s="826"/>
      <c r="D1327" s="775"/>
      <c r="K1327" s="209"/>
      <c r="M1327" s="771"/>
      <c r="N1327" s="772"/>
      <c r="O1327" s="772"/>
      <c r="P1327" s="772"/>
      <c r="Q1327" s="772"/>
      <c r="R1327" s="772"/>
      <c r="S1327" s="772"/>
      <c r="T1327" s="772"/>
      <c r="AW1327" s="2510"/>
      <c r="BC1327" s="2510"/>
      <c r="BD1327" s="2510"/>
      <c r="BE1327" s="2510"/>
      <c r="BF1327" s="2510"/>
      <c r="BH1327" s="2510"/>
      <c r="DB1327" s="773"/>
      <c r="DC1327" s="773"/>
      <c r="DD1327" s="773"/>
      <c r="DE1327" s="773"/>
      <c r="DF1327" s="773"/>
      <c r="DG1327" s="773"/>
      <c r="DH1327" s="773"/>
      <c r="DI1327" s="773"/>
      <c r="DJ1327" s="773"/>
      <c r="DK1327" s="773"/>
      <c r="DL1327" s="773"/>
      <c r="DM1327" s="773"/>
      <c r="DN1327" s="773"/>
      <c r="DO1327" s="773"/>
      <c r="DP1327" s="773"/>
      <c r="DQ1327" s="773"/>
      <c r="DR1327" s="773"/>
      <c r="DS1327" s="773"/>
      <c r="DT1327" s="773"/>
      <c r="DU1327" s="773"/>
      <c r="DV1327" s="773"/>
      <c r="DW1327" s="773"/>
      <c r="DX1327" s="773"/>
      <c r="DY1327" s="773"/>
      <c r="DZ1327" s="773"/>
      <c r="EA1327" s="773"/>
      <c r="EB1327" s="773"/>
      <c r="EC1327" s="773"/>
      <c r="ED1327" s="773"/>
      <c r="EE1327" s="773"/>
      <c r="EF1327" s="773"/>
      <c r="EG1327" s="773"/>
      <c r="EH1327" s="773"/>
      <c r="EI1327" s="773"/>
      <c r="EJ1327" s="773"/>
      <c r="EK1327" s="773"/>
      <c r="EL1327" s="773"/>
      <c r="EM1327" s="773"/>
      <c r="EN1327" s="773"/>
      <c r="EO1327" s="773"/>
      <c r="EP1327" s="773"/>
      <c r="EQ1327" s="773"/>
      <c r="ER1327" s="773"/>
      <c r="ES1327" s="773"/>
      <c r="ET1327" s="773"/>
      <c r="EU1327" s="773"/>
      <c r="EV1327" s="773"/>
      <c r="EW1327" s="773"/>
      <c r="EX1327" s="773"/>
      <c r="EY1327" s="773"/>
      <c r="EZ1327" s="773"/>
      <c r="FA1327" s="773"/>
      <c r="FB1327" s="773"/>
      <c r="FC1327" s="773"/>
      <c r="FD1327" s="773"/>
      <c r="FE1327" s="773"/>
      <c r="FF1327" s="773"/>
      <c r="FG1327" s="773"/>
      <c r="FH1327" s="773"/>
      <c r="FI1327" s="773"/>
      <c r="FJ1327" s="773"/>
      <c r="FK1327" s="773"/>
      <c r="FL1327" s="773"/>
      <c r="FM1327" s="773"/>
      <c r="FN1327" s="773"/>
      <c r="FO1327" s="773"/>
      <c r="FP1327" s="773"/>
      <c r="FQ1327" s="773"/>
      <c r="FR1327" s="773"/>
      <c r="FS1327" s="773"/>
      <c r="FT1327" s="773"/>
      <c r="FU1327" s="773"/>
      <c r="FV1327" s="773"/>
      <c r="FW1327" s="773"/>
      <c r="FX1327" s="773"/>
      <c r="FY1327" s="773"/>
      <c r="FZ1327" s="773"/>
      <c r="GA1327" s="773"/>
      <c r="GB1327" s="773"/>
      <c r="GC1327" s="773"/>
      <c r="GD1327" s="773"/>
      <c r="GE1327" s="773"/>
      <c r="GF1327" s="773"/>
      <c r="GG1327" s="773"/>
      <c r="GH1327" s="773"/>
      <c r="GI1327" s="773"/>
      <c r="GJ1327" s="773"/>
      <c r="GK1327" s="773"/>
      <c r="GL1327" s="773"/>
      <c r="GM1327" s="773"/>
      <c r="GN1327" s="773"/>
      <c r="GO1327" s="773"/>
      <c r="GP1327" s="773"/>
      <c r="GQ1327" s="773"/>
      <c r="GR1327" s="773"/>
      <c r="GS1327" s="773"/>
      <c r="GT1327" s="773"/>
      <c r="GU1327" s="773"/>
      <c r="GV1327" s="773"/>
      <c r="GW1327" s="773"/>
      <c r="GX1327" s="773"/>
      <c r="GY1327" s="773"/>
      <c r="GZ1327" s="773"/>
    </row>
    <row r="1328" spans="2:208" s="11" customFormat="1">
      <c r="B1328" s="775"/>
      <c r="C1328" s="826"/>
      <c r="D1328" s="775"/>
      <c r="K1328" s="209"/>
      <c r="M1328" s="771"/>
      <c r="N1328" s="772"/>
      <c r="O1328" s="772"/>
      <c r="P1328" s="772"/>
      <c r="Q1328" s="772"/>
      <c r="R1328" s="772"/>
      <c r="S1328" s="772"/>
      <c r="AW1328" s="2510"/>
      <c r="BC1328" s="2510"/>
      <c r="BD1328" s="2510"/>
      <c r="BE1328" s="2510"/>
      <c r="BF1328" s="2510"/>
      <c r="BH1328" s="2510"/>
      <c r="DB1328" s="773"/>
      <c r="DC1328" s="773"/>
      <c r="DD1328" s="773"/>
      <c r="DE1328" s="773"/>
      <c r="DF1328" s="773"/>
      <c r="DG1328" s="773"/>
      <c r="DH1328" s="773"/>
      <c r="DI1328" s="773"/>
      <c r="DJ1328" s="773"/>
      <c r="DK1328" s="773"/>
      <c r="DL1328" s="773"/>
      <c r="DM1328" s="773"/>
      <c r="DN1328" s="773"/>
      <c r="DO1328" s="773"/>
      <c r="DP1328" s="773"/>
      <c r="DQ1328" s="773"/>
      <c r="DR1328" s="773"/>
      <c r="DS1328" s="773"/>
      <c r="DT1328" s="773"/>
      <c r="DU1328" s="773"/>
      <c r="DV1328" s="773"/>
      <c r="DW1328" s="773"/>
      <c r="DX1328" s="773"/>
      <c r="DY1328" s="773"/>
      <c r="DZ1328" s="773"/>
      <c r="EA1328" s="773"/>
      <c r="EB1328" s="773"/>
      <c r="EC1328" s="773"/>
      <c r="ED1328" s="773"/>
      <c r="EE1328" s="773"/>
      <c r="EF1328" s="773"/>
      <c r="EG1328" s="773"/>
      <c r="EH1328" s="773"/>
      <c r="EI1328" s="773"/>
      <c r="EJ1328" s="773"/>
      <c r="EK1328" s="773"/>
      <c r="EL1328" s="773"/>
      <c r="EM1328" s="773"/>
      <c r="EN1328" s="773"/>
      <c r="EO1328" s="773"/>
      <c r="EP1328" s="773"/>
      <c r="EQ1328" s="773"/>
      <c r="ER1328" s="773"/>
      <c r="ES1328" s="773"/>
      <c r="ET1328" s="773"/>
      <c r="EU1328" s="773"/>
      <c r="EV1328" s="773"/>
      <c r="EW1328" s="773"/>
      <c r="EX1328" s="773"/>
      <c r="EY1328" s="773"/>
      <c r="EZ1328" s="773"/>
      <c r="FA1328" s="773"/>
      <c r="FB1328" s="773"/>
      <c r="FC1328" s="773"/>
      <c r="FD1328" s="773"/>
      <c r="FE1328" s="773"/>
      <c r="FF1328" s="773"/>
      <c r="FG1328" s="773"/>
      <c r="FH1328" s="773"/>
      <c r="FI1328" s="773"/>
      <c r="FJ1328" s="773"/>
      <c r="FK1328" s="773"/>
      <c r="FL1328" s="773"/>
      <c r="FM1328" s="773"/>
      <c r="FN1328" s="773"/>
      <c r="FO1328" s="773"/>
      <c r="FP1328" s="773"/>
      <c r="FQ1328" s="773"/>
      <c r="FR1328" s="773"/>
      <c r="FS1328" s="773"/>
      <c r="FT1328" s="773"/>
      <c r="FU1328" s="773"/>
      <c r="FV1328" s="773"/>
      <c r="FW1328" s="773"/>
      <c r="FX1328" s="773"/>
      <c r="FY1328" s="773"/>
      <c r="FZ1328" s="773"/>
      <c r="GA1328" s="773"/>
      <c r="GB1328" s="773"/>
      <c r="GC1328" s="773"/>
      <c r="GD1328" s="773"/>
      <c r="GE1328" s="773"/>
      <c r="GF1328" s="773"/>
      <c r="GG1328" s="773"/>
      <c r="GH1328" s="773"/>
      <c r="GI1328" s="773"/>
      <c r="GJ1328" s="773"/>
      <c r="GK1328" s="773"/>
      <c r="GL1328" s="773"/>
      <c r="GM1328" s="773"/>
      <c r="GN1328" s="773"/>
      <c r="GO1328" s="773"/>
      <c r="GP1328" s="773"/>
      <c r="GQ1328" s="773"/>
      <c r="GR1328" s="773"/>
      <c r="GS1328" s="773"/>
      <c r="GT1328" s="773"/>
      <c r="GU1328" s="773"/>
      <c r="GV1328" s="773"/>
      <c r="GW1328" s="773"/>
      <c r="GX1328" s="773"/>
      <c r="GY1328" s="773"/>
      <c r="GZ1328" s="773"/>
    </row>
    <row r="1329" spans="2:208" s="11" customFormat="1">
      <c r="B1329" s="775"/>
      <c r="C1329" s="826"/>
      <c r="D1329" s="775"/>
      <c r="K1329" s="209"/>
      <c r="M1329" s="771"/>
      <c r="N1329" s="772"/>
      <c r="O1329" s="772"/>
      <c r="P1329" s="772"/>
      <c r="Q1329" s="772"/>
      <c r="R1329" s="772"/>
      <c r="S1329" s="772"/>
      <c r="AW1329" s="2510"/>
      <c r="BC1329" s="2510"/>
      <c r="BD1329" s="2510"/>
      <c r="BE1329" s="2510"/>
      <c r="BF1329" s="2510"/>
      <c r="BH1329" s="2510"/>
      <c r="DB1329" s="773"/>
      <c r="DC1329" s="773"/>
      <c r="DD1329" s="773"/>
      <c r="DE1329" s="773"/>
      <c r="DF1329" s="773"/>
      <c r="DG1329" s="773"/>
      <c r="DH1329" s="773"/>
      <c r="DI1329" s="773"/>
      <c r="DJ1329" s="773"/>
      <c r="DK1329" s="773"/>
      <c r="DL1329" s="773"/>
      <c r="DM1329" s="773"/>
      <c r="DN1329" s="773"/>
      <c r="DO1329" s="773"/>
      <c r="DP1329" s="773"/>
      <c r="DQ1329" s="773"/>
      <c r="DR1329" s="773"/>
      <c r="DS1329" s="773"/>
      <c r="DT1329" s="773"/>
      <c r="DU1329" s="773"/>
      <c r="DV1329" s="773"/>
      <c r="DW1329" s="773"/>
      <c r="DX1329" s="773"/>
      <c r="DY1329" s="773"/>
      <c r="DZ1329" s="773"/>
      <c r="EA1329" s="773"/>
      <c r="EB1329" s="773"/>
      <c r="EC1329" s="773"/>
      <c r="ED1329" s="773"/>
      <c r="EE1329" s="773"/>
      <c r="EF1329" s="773"/>
      <c r="EG1329" s="773"/>
      <c r="EH1329" s="773"/>
      <c r="EI1329" s="773"/>
      <c r="EJ1329" s="773"/>
      <c r="EK1329" s="773"/>
      <c r="EL1329" s="773"/>
      <c r="EM1329" s="773"/>
      <c r="EN1329" s="773"/>
      <c r="EO1329" s="773"/>
      <c r="EP1329" s="773"/>
      <c r="EQ1329" s="773"/>
      <c r="ER1329" s="773"/>
      <c r="ES1329" s="773"/>
      <c r="ET1329" s="773"/>
      <c r="EU1329" s="773"/>
      <c r="EV1329" s="773"/>
      <c r="EW1329" s="773"/>
      <c r="EX1329" s="773"/>
      <c r="EY1329" s="773"/>
      <c r="EZ1329" s="773"/>
      <c r="FA1329" s="773"/>
      <c r="FB1329" s="773"/>
      <c r="FC1329" s="773"/>
      <c r="FD1329" s="773"/>
      <c r="FE1329" s="773"/>
      <c r="FF1329" s="773"/>
      <c r="FG1329" s="773"/>
      <c r="FH1329" s="773"/>
      <c r="FI1329" s="773"/>
      <c r="FJ1329" s="773"/>
      <c r="FK1329" s="773"/>
      <c r="FL1329" s="773"/>
      <c r="FM1329" s="773"/>
      <c r="FN1329" s="773"/>
      <c r="FO1329" s="773"/>
      <c r="FP1329" s="773"/>
      <c r="FQ1329" s="773"/>
      <c r="FR1329" s="773"/>
      <c r="FS1329" s="773"/>
      <c r="FT1329" s="773"/>
      <c r="FU1329" s="773"/>
      <c r="FV1329" s="773"/>
      <c r="FW1329" s="773"/>
      <c r="FX1329" s="773"/>
      <c r="FY1329" s="773"/>
      <c r="FZ1329" s="773"/>
      <c r="GA1329" s="773"/>
      <c r="GB1329" s="773"/>
      <c r="GC1329" s="773"/>
      <c r="GD1329" s="773"/>
      <c r="GE1329" s="773"/>
      <c r="GF1329" s="773"/>
      <c r="GG1329" s="773"/>
      <c r="GH1329" s="773"/>
      <c r="GI1329" s="773"/>
      <c r="GJ1329" s="773"/>
      <c r="GK1329" s="773"/>
      <c r="GL1329" s="773"/>
      <c r="GM1329" s="773"/>
      <c r="GN1329" s="773"/>
      <c r="GO1329" s="773"/>
      <c r="GP1329" s="773"/>
      <c r="GQ1329" s="773"/>
      <c r="GR1329" s="773"/>
      <c r="GS1329" s="773"/>
      <c r="GT1329" s="773"/>
      <c r="GU1329" s="773"/>
      <c r="GV1329" s="773"/>
      <c r="GW1329" s="773"/>
      <c r="GX1329" s="773"/>
      <c r="GY1329" s="773"/>
      <c r="GZ1329" s="773"/>
    </row>
    <row r="1330" spans="2:208" s="11" customFormat="1">
      <c r="B1330" s="775"/>
      <c r="C1330" s="826"/>
      <c r="D1330" s="775"/>
      <c r="K1330" s="209"/>
      <c r="M1330" s="771"/>
      <c r="N1330" s="772"/>
      <c r="O1330" s="772"/>
      <c r="P1330" s="772"/>
      <c r="Q1330" s="772"/>
      <c r="R1330" s="772"/>
      <c r="S1330" s="772"/>
      <c r="AW1330" s="2510"/>
      <c r="BC1330" s="2510"/>
      <c r="BD1330" s="2510"/>
      <c r="BE1330" s="2510"/>
      <c r="BF1330" s="2510"/>
      <c r="BH1330" s="2510"/>
      <c r="DB1330" s="773"/>
      <c r="DC1330" s="773"/>
      <c r="DD1330" s="773"/>
      <c r="DE1330" s="773"/>
      <c r="DF1330" s="773"/>
      <c r="DG1330" s="773"/>
      <c r="DH1330" s="773"/>
      <c r="DI1330" s="773"/>
      <c r="DJ1330" s="773"/>
      <c r="DK1330" s="773"/>
      <c r="DL1330" s="773"/>
      <c r="DM1330" s="773"/>
      <c r="DN1330" s="773"/>
      <c r="DO1330" s="773"/>
      <c r="DP1330" s="773"/>
      <c r="DQ1330" s="773"/>
      <c r="DR1330" s="773"/>
      <c r="DS1330" s="773"/>
      <c r="DT1330" s="773"/>
      <c r="DU1330" s="773"/>
      <c r="DV1330" s="773"/>
      <c r="DW1330" s="773"/>
      <c r="DX1330" s="773"/>
      <c r="DY1330" s="773"/>
      <c r="DZ1330" s="773"/>
      <c r="EA1330" s="773"/>
      <c r="EB1330" s="773"/>
      <c r="EC1330" s="773"/>
      <c r="ED1330" s="773"/>
      <c r="EE1330" s="773"/>
      <c r="EF1330" s="773"/>
      <c r="EG1330" s="773"/>
      <c r="EH1330" s="773"/>
      <c r="EI1330" s="773"/>
      <c r="EJ1330" s="773"/>
      <c r="EK1330" s="773"/>
      <c r="EL1330" s="773"/>
      <c r="EM1330" s="773"/>
      <c r="EN1330" s="773"/>
      <c r="EO1330" s="773"/>
      <c r="EP1330" s="773"/>
      <c r="EQ1330" s="773"/>
      <c r="ER1330" s="773"/>
      <c r="ES1330" s="773"/>
      <c r="ET1330" s="773"/>
      <c r="EU1330" s="773"/>
      <c r="EV1330" s="773"/>
      <c r="EW1330" s="773"/>
      <c r="EX1330" s="773"/>
      <c r="EY1330" s="773"/>
      <c r="EZ1330" s="773"/>
      <c r="FA1330" s="773"/>
      <c r="FB1330" s="773"/>
      <c r="FC1330" s="773"/>
      <c r="FD1330" s="773"/>
      <c r="FE1330" s="773"/>
      <c r="FF1330" s="773"/>
      <c r="FG1330" s="773"/>
      <c r="FH1330" s="773"/>
      <c r="FI1330" s="773"/>
      <c r="FJ1330" s="773"/>
      <c r="FK1330" s="773"/>
      <c r="FL1330" s="773"/>
      <c r="FM1330" s="773"/>
      <c r="FN1330" s="773"/>
      <c r="FO1330" s="773"/>
      <c r="FP1330" s="773"/>
      <c r="FQ1330" s="773"/>
      <c r="FR1330" s="773"/>
      <c r="FS1330" s="773"/>
      <c r="FT1330" s="773"/>
      <c r="FU1330" s="773"/>
      <c r="FV1330" s="773"/>
      <c r="FW1330" s="773"/>
      <c r="FX1330" s="773"/>
      <c r="FY1330" s="773"/>
      <c r="FZ1330" s="773"/>
      <c r="GA1330" s="773"/>
      <c r="GB1330" s="773"/>
      <c r="GC1330" s="773"/>
      <c r="GD1330" s="773"/>
      <c r="GE1330" s="773"/>
      <c r="GF1330" s="773"/>
      <c r="GG1330" s="773"/>
      <c r="GH1330" s="773"/>
      <c r="GI1330" s="773"/>
      <c r="GJ1330" s="773"/>
      <c r="GK1330" s="773"/>
      <c r="GL1330" s="773"/>
      <c r="GM1330" s="773"/>
      <c r="GN1330" s="773"/>
      <c r="GO1330" s="773"/>
      <c r="GP1330" s="773"/>
      <c r="GQ1330" s="773"/>
      <c r="GR1330" s="773"/>
      <c r="GS1330" s="773"/>
      <c r="GT1330" s="773"/>
      <c r="GU1330" s="773"/>
      <c r="GV1330" s="773"/>
      <c r="GW1330" s="773"/>
      <c r="GX1330" s="773"/>
      <c r="GY1330" s="773"/>
      <c r="GZ1330" s="773"/>
    </row>
    <row r="1331" spans="2:208" s="11" customFormat="1">
      <c r="B1331" s="775"/>
      <c r="C1331" s="826"/>
      <c r="D1331" s="775"/>
      <c r="K1331" s="209"/>
      <c r="M1331" s="771"/>
      <c r="N1331" s="772"/>
      <c r="O1331" s="772"/>
      <c r="P1331" s="772"/>
      <c r="Q1331" s="772"/>
      <c r="R1331" s="772"/>
      <c r="S1331" s="772"/>
      <c r="AW1331" s="2510"/>
      <c r="BC1331" s="2510"/>
      <c r="BD1331" s="2510"/>
      <c r="BE1331" s="2510"/>
      <c r="BF1331" s="2510"/>
      <c r="BH1331" s="2510"/>
      <c r="DB1331" s="773"/>
      <c r="DC1331" s="773"/>
      <c r="DD1331" s="773"/>
      <c r="DE1331" s="773"/>
      <c r="DF1331" s="773"/>
      <c r="DG1331" s="773"/>
      <c r="DH1331" s="773"/>
      <c r="DI1331" s="773"/>
      <c r="DJ1331" s="773"/>
      <c r="DK1331" s="773"/>
      <c r="DL1331" s="773"/>
      <c r="DM1331" s="773"/>
      <c r="DN1331" s="773"/>
      <c r="DO1331" s="773"/>
      <c r="DP1331" s="773"/>
      <c r="DQ1331" s="773"/>
      <c r="DR1331" s="773"/>
      <c r="DS1331" s="773"/>
      <c r="DT1331" s="773"/>
      <c r="DU1331" s="773"/>
      <c r="DV1331" s="773"/>
      <c r="DW1331" s="773"/>
      <c r="DX1331" s="773"/>
      <c r="DY1331" s="773"/>
      <c r="DZ1331" s="773"/>
      <c r="EA1331" s="773"/>
      <c r="EB1331" s="773"/>
      <c r="EC1331" s="773"/>
      <c r="ED1331" s="773"/>
      <c r="EE1331" s="773"/>
      <c r="EF1331" s="773"/>
      <c r="EG1331" s="773"/>
      <c r="EH1331" s="773"/>
      <c r="EI1331" s="773"/>
      <c r="EJ1331" s="773"/>
      <c r="EK1331" s="773"/>
      <c r="EL1331" s="773"/>
      <c r="EM1331" s="773"/>
      <c r="EN1331" s="773"/>
      <c r="EO1331" s="773"/>
      <c r="EP1331" s="773"/>
      <c r="EQ1331" s="773"/>
      <c r="ER1331" s="773"/>
      <c r="ES1331" s="773"/>
      <c r="ET1331" s="773"/>
      <c r="EU1331" s="773"/>
      <c r="EV1331" s="773"/>
      <c r="EW1331" s="773"/>
      <c r="EX1331" s="773"/>
      <c r="EY1331" s="773"/>
      <c r="EZ1331" s="773"/>
      <c r="FA1331" s="773"/>
      <c r="FB1331" s="773"/>
      <c r="FC1331" s="773"/>
      <c r="FD1331" s="773"/>
      <c r="FE1331" s="773"/>
      <c r="FF1331" s="773"/>
      <c r="FG1331" s="773"/>
      <c r="FH1331" s="773"/>
      <c r="FI1331" s="773"/>
      <c r="FJ1331" s="773"/>
      <c r="FK1331" s="773"/>
      <c r="FL1331" s="773"/>
      <c r="FM1331" s="773"/>
      <c r="FN1331" s="773"/>
      <c r="FO1331" s="773"/>
      <c r="FP1331" s="773"/>
      <c r="FQ1331" s="773"/>
      <c r="FR1331" s="773"/>
      <c r="FS1331" s="773"/>
      <c r="FT1331" s="773"/>
      <c r="FU1331" s="773"/>
      <c r="FV1331" s="773"/>
      <c r="FW1331" s="773"/>
      <c r="FX1331" s="773"/>
      <c r="FY1331" s="773"/>
      <c r="FZ1331" s="773"/>
      <c r="GA1331" s="773"/>
      <c r="GB1331" s="773"/>
      <c r="GC1331" s="773"/>
      <c r="GD1331" s="773"/>
      <c r="GE1331" s="773"/>
      <c r="GF1331" s="773"/>
      <c r="GG1331" s="773"/>
      <c r="GH1331" s="773"/>
      <c r="GI1331" s="773"/>
      <c r="GJ1331" s="773"/>
      <c r="GK1331" s="773"/>
      <c r="GL1331" s="773"/>
      <c r="GM1331" s="773"/>
      <c r="GN1331" s="773"/>
      <c r="GO1331" s="773"/>
      <c r="GP1331" s="773"/>
      <c r="GQ1331" s="773"/>
      <c r="GR1331" s="773"/>
      <c r="GS1331" s="773"/>
      <c r="GT1331" s="773"/>
      <c r="GU1331" s="773"/>
      <c r="GV1331" s="773"/>
      <c r="GW1331" s="773"/>
      <c r="GX1331" s="773"/>
      <c r="GY1331" s="773"/>
      <c r="GZ1331" s="773"/>
    </row>
    <row r="1332" spans="2:208" s="11" customFormat="1">
      <c r="B1332" s="775"/>
      <c r="C1332" s="826"/>
      <c r="D1332" s="775"/>
      <c r="K1332" s="209"/>
      <c r="M1332" s="771"/>
      <c r="N1332" s="772"/>
      <c r="O1332" s="772"/>
      <c r="P1332" s="772"/>
      <c r="Q1332" s="772"/>
      <c r="R1332" s="772"/>
      <c r="S1332" s="772"/>
      <c r="AW1332" s="2510"/>
      <c r="BC1332" s="2510"/>
      <c r="BD1332" s="2510"/>
      <c r="BE1332" s="2510"/>
      <c r="BF1332" s="2510"/>
      <c r="BH1332" s="2510"/>
      <c r="DB1332" s="773"/>
      <c r="DC1332" s="773"/>
      <c r="DD1332" s="773"/>
      <c r="DE1332" s="773"/>
      <c r="DF1332" s="773"/>
      <c r="DG1332" s="773"/>
      <c r="DH1332" s="773"/>
      <c r="DI1332" s="773"/>
      <c r="DJ1332" s="773"/>
      <c r="DK1332" s="773"/>
      <c r="DL1332" s="773"/>
      <c r="DM1332" s="773"/>
      <c r="DN1332" s="773"/>
      <c r="DO1332" s="773"/>
      <c r="DP1332" s="773"/>
      <c r="DQ1332" s="773"/>
      <c r="DR1332" s="773"/>
      <c r="DS1332" s="773"/>
      <c r="DT1332" s="773"/>
      <c r="DU1332" s="773"/>
      <c r="DV1332" s="773"/>
      <c r="DW1332" s="773"/>
      <c r="DX1332" s="773"/>
      <c r="DY1332" s="773"/>
      <c r="DZ1332" s="773"/>
      <c r="EA1332" s="773"/>
      <c r="EB1332" s="773"/>
      <c r="EC1332" s="773"/>
      <c r="ED1332" s="773"/>
      <c r="EE1332" s="773"/>
      <c r="EF1332" s="773"/>
      <c r="EG1332" s="773"/>
      <c r="EH1332" s="773"/>
      <c r="EI1332" s="773"/>
      <c r="EJ1332" s="773"/>
      <c r="EK1332" s="773"/>
      <c r="EL1332" s="773"/>
      <c r="EM1332" s="773"/>
      <c r="EN1332" s="773"/>
      <c r="EO1332" s="773"/>
      <c r="EP1332" s="773"/>
      <c r="EQ1332" s="773"/>
      <c r="ER1332" s="773"/>
      <c r="ES1332" s="773"/>
      <c r="ET1332" s="773"/>
      <c r="EU1332" s="773"/>
      <c r="EV1332" s="773"/>
      <c r="EW1332" s="773"/>
      <c r="EX1332" s="773"/>
      <c r="EY1332" s="773"/>
      <c r="EZ1332" s="773"/>
      <c r="FA1332" s="773"/>
      <c r="FB1332" s="773"/>
      <c r="FC1332" s="773"/>
      <c r="FD1332" s="773"/>
      <c r="FE1332" s="773"/>
      <c r="FF1332" s="773"/>
      <c r="FG1332" s="773"/>
      <c r="FH1332" s="773"/>
      <c r="FI1332" s="773"/>
      <c r="FJ1332" s="773"/>
      <c r="FK1332" s="773"/>
      <c r="FL1332" s="773"/>
      <c r="FM1332" s="773"/>
      <c r="FN1332" s="773"/>
      <c r="FO1332" s="773"/>
      <c r="FP1332" s="773"/>
      <c r="FQ1332" s="773"/>
      <c r="FR1332" s="773"/>
      <c r="FS1332" s="773"/>
      <c r="FT1332" s="773"/>
      <c r="FU1332" s="773"/>
      <c r="FV1332" s="773"/>
      <c r="FW1332" s="773"/>
      <c r="FX1332" s="773"/>
      <c r="FY1332" s="773"/>
      <c r="FZ1332" s="773"/>
      <c r="GA1332" s="773"/>
      <c r="GB1332" s="773"/>
      <c r="GC1332" s="773"/>
      <c r="GD1332" s="773"/>
      <c r="GE1332" s="773"/>
      <c r="GF1332" s="773"/>
      <c r="GG1332" s="773"/>
      <c r="GH1332" s="773"/>
      <c r="GI1332" s="773"/>
      <c r="GJ1332" s="773"/>
      <c r="GK1332" s="773"/>
      <c r="GL1332" s="773"/>
      <c r="GM1332" s="773"/>
      <c r="GN1332" s="773"/>
      <c r="GO1332" s="773"/>
      <c r="GP1332" s="773"/>
      <c r="GQ1332" s="773"/>
      <c r="GR1332" s="773"/>
      <c r="GS1332" s="773"/>
      <c r="GT1332" s="773"/>
      <c r="GU1332" s="773"/>
      <c r="GV1332" s="773"/>
      <c r="GW1332" s="773"/>
      <c r="GX1332" s="773"/>
      <c r="GY1332" s="773"/>
      <c r="GZ1332" s="773"/>
    </row>
    <row r="1333" spans="2:208" s="11" customFormat="1">
      <c r="B1333" s="775"/>
      <c r="C1333" s="826"/>
      <c r="D1333" s="775"/>
      <c r="K1333" s="209"/>
      <c r="M1333" s="771"/>
      <c r="N1333" s="772"/>
      <c r="O1333" s="772"/>
      <c r="P1333" s="772"/>
      <c r="Q1333" s="772"/>
      <c r="R1333" s="772"/>
      <c r="S1333" s="772"/>
      <c r="AW1333" s="2510"/>
      <c r="BC1333" s="2510"/>
      <c r="BD1333" s="2510"/>
      <c r="BE1333" s="2510"/>
      <c r="BF1333" s="2510"/>
      <c r="BH1333" s="2510"/>
      <c r="DB1333" s="773"/>
      <c r="DC1333" s="773"/>
      <c r="DD1333" s="773"/>
      <c r="DE1333" s="773"/>
      <c r="DF1333" s="773"/>
      <c r="DG1333" s="773"/>
      <c r="DH1333" s="773"/>
      <c r="DI1333" s="773"/>
      <c r="DJ1333" s="773"/>
      <c r="DK1333" s="773"/>
      <c r="DL1333" s="773"/>
      <c r="DM1333" s="773"/>
      <c r="DN1333" s="773"/>
      <c r="DO1333" s="773"/>
      <c r="DP1333" s="773"/>
      <c r="DQ1333" s="773"/>
      <c r="DR1333" s="773"/>
      <c r="DS1333" s="773"/>
      <c r="DT1333" s="773"/>
      <c r="DU1333" s="773"/>
      <c r="DV1333" s="773"/>
      <c r="DW1333" s="773"/>
      <c r="DX1333" s="773"/>
      <c r="DY1333" s="773"/>
      <c r="DZ1333" s="773"/>
      <c r="EA1333" s="773"/>
      <c r="EB1333" s="773"/>
      <c r="EC1333" s="773"/>
      <c r="ED1333" s="773"/>
      <c r="EE1333" s="773"/>
      <c r="EF1333" s="773"/>
      <c r="EG1333" s="773"/>
      <c r="EH1333" s="773"/>
      <c r="EI1333" s="773"/>
      <c r="EJ1333" s="773"/>
      <c r="EK1333" s="773"/>
      <c r="EL1333" s="773"/>
      <c r="EM1333" s="773"/>
      <c r="EN1333" s="773"/>
      <c r="EO1333" s="773"/>
      <c r="EP1333" s="773"/>
      <c r="EQ1333" s="773"/>
      <c r="ER1333" s="773"/>
      <c r="ES1333" s="773"/>
      <c r="ET1333" s="773"/>
      <c r="EU1333" s="773"/>
      <c r="EV1333" s="773"/>
      <c r="EW1333" s="773"/>
      <c r="EX1333" s="773"/>
      <c r="EY1333" s="773"/>
      <c r="EZ1333" s="773"/>
      <c r="FA1333" s="773"/>
      <c r="FB1333" s="773"/>
      <c r="FC1333" s="773"/>
      <c r="FD1333" s="773"/>
      <c r="FE1333" s="773"/>
      <c r="FF1333" s="773"/>
      <c r="FG1333" s="773"/>
      <c r="FH1333" s="773"/>
      <c r="FI1333" s="773"/>
      <c r="FJ1333" s="773"/>
      <c r="FK1333" s="773"/>
      <c r="FL1333" s="773"/>
      <c r="FM1333" s="773"/>
      <c r="FN1333" s="773"/>
      <c r="FO1333" s="773"/>
      <c r="FP1333" s="773"/>
      <c r="FQ1333" s="773"/>
      <c r="FR1333" s="773"/>
      <c r="FS1333" s="773"/>
      <c r="FT1333" s="773"/>
      <c r="FU1333" s="773"/>
      <c r="FV1333" s="773"/>
      <c r="FW1333" s="773"/>
      <c r="FX1333" s="773"/>
      <c r="FY1333" s="773"/>
      <c r="FZ1333" s="773"/>
      <c r="GA1333" s="773"/>
      <c r="GB1333" s="773"/>
      <c r="GC1333" s="773"/>
      <c r="GD1333" s="773"/>
      <c r="GE1333" s="773"/>
      <c r="GF1333" s="773"/>
      <c r="GG1333" s="773"/>
      <c r="GH1333" s="773"/>
      <c r="GI1333" s="773"/>
      <c r="GJ1333" s="773"/>
      <c r="GK1333" s="773"/>
      <c r="GL1333" s="773"/>
      <c r="GM1333" s="773"/>
      <c r="GN1333" s="773"/>
      <c r="GO1333" s="773"/>
      <c r="GP1333" s="773"/>
      <c r="GQ1333" s="773"/>
      <c r="GR1333" s="773"/>
      <c r="GS1333" s="773"/>
      <c r="GT1333" s="773"/>
      <c r="GU1333" s="773"/>
      <c r="GV1333" s="773"/>
      <c r="GW1333" s="773"/>
      <c r="GX1333" s="773"/>
      <c r="GY1333" s="773"/>
      <c r="GZ1333" s="773"/>
    </row>
    <row r="1334" spans="2:208" s="11" customFormat="1">
      <c r="B1334" s="775"/>
      <c r="C1334" s="826"/>
      <c r="D1334" s="775"/>
      <c r="K1334" s="209"/>
      <c r="M1334" s="771"/>
      <c r="N1334" s="772"/>
      <c r="O1334" s="772"/>
      <c r="P1334" s="772"/>
      <c r="Q1334" s="772"/>
      <c r="R1334" s="772"/>
      <c r="S1334" s="772"/>
      <c r="AW1334" s="2510"/>
      <c r="BC1334" s="2510"/>
      <c r="BD1334" s="2510"/>
      <c r="BE1334" s="2510"/>
      <c r="BF1334" s="2510"/>
      <c r="BH1334" s="2510"/>
      <c r="DB1334" s="773"/>
      <c r="DC1334" s="773"/>
      <c r="DD1334" s="773"/>
      <c r="DE1334" s="773"/>
      <c r="DF1334" s="773"/>
      <c r="DG1334" s="773"/>
      <c r="DH1334" s="773"/>
      <c r="DI1334" s="773"/>
      <c r="DJ1334" s="773"/>
      <c r="DK1334" s="773"/>
      <c r="DL1334" s="773"/>
      <c r="DM1334" s="773"/>
      <c r="DN1334" s="773"/>
      <c r="DO1334" s="773"/>
      <c r="DP1334" s="773"/>
      <c r="DQ1334" s="773"/>
      <c r="DR1334" s="773"/>
      <c r="DS1334" s="773"/>
      <c r="DT1334" s="773"/>
      <c r="DU1334" s="773"/>
      <c r="DV1334" s="773"/>
      <c r="DW1334" s="773"/>
      <c r="DX1334" s="773"/>
      <c r="DY1334" s="773"/>
      <c r="DZ1334" s="773"/>
      <c r="EA1334" s="773"/>
      <c r="EB1334" s="773"/>
      <c r="EC1334" s="773"/>
      <c r="ED1334" s="773"/>
      <c r="EE1334" s="773"/>
      <c r="EF1334" s="773"/>
      <c r="EG1334" s="773"/>
      <c r="EH1334" s="773"/>
      <c r="EI1334" s="773"/>
      <c r="EJ1334" s="773"/>
      <c r="EK1334" s="773"/>
      <c r="EL1334" s="773"/>
      <c r="EM1334" s="773"/>
      <c r="EN1334" s="773"/>
      <c r="EO1334" s="773"/>
      <c r="EP1334" s="773"/>
      <c r="EQ1334" s="773"/>
      <c r="ER1334" s="773"/>
      <c r="ES1334" s="773"/>
      <c r="ET1334" s="773"/>
      <c r="EU1334" s="773"/>
      <c r="EV1334" s="773"/>
      <c r="EW1334" s="773"/>
      <c r="EX1334" s="773"/>
      <c r="EY1334" s="773"/>
      <c r="EZ1334" s="773"/>
      <c r="FA1334" s="773"/>
      <c r="FB1334" s="773"/>
      <c r="FC1334" s="773"/>
      <c r="FD1334" s="773"/>
      <c r="FE1334" s="773"/>
      <c r="FF1334" s="773"/>
      <c r="FG1334" s="773"/>
      <c r="FH1334" s="773"/>
      <c r="FI1334" s="773"/>
      <c r="FJ1334" s="773"/>
      <c r="FK1334" s="773"/>
      <c r="FL1334" s="773"/>
      <c r="FM1334" s="773"/>
      <c r="FN1334" s="773"/>
      <c r="FO1334" s="773"/>
      <c r="FP1334" s="773"/>
      <c r="FQ1334" s="773"/>
      <c r="FR1334" s="773"/>
      <c r="FS1334" s="773"/>
      <c r="FT1334" s="773"/>
      <c r="FU1334" s="773"/>
      <c r="FV1334" s="773"/>
      <c r="FW1334" s="773"/>
      <c r="FX1334" s="773"/>
      <c r="FY1334" s="773"/>
      <c r="FZ1334" s="773"/>
      <c r="GA1334" s="773"/>
      <c r="GB1334" s="773"/>
      <c r="GC1334" s="773"/>
      <c r="GD1334" s="773"/>
      <c r="GE1334" s="773"/>
      <c r="GF1334" s="773"/>
      <c r="GG1334" s="773"/>
      <c r="GH1334" s="773"/>
      <c r="GI1334" s="773"/>
      <c r="GJ1334" s="773"/>
      <c r="GK1334" s="773"/>
      <c r="GL1334" s="773"/>
      <c r="GM1334" s="773"/>
      <c r="GN1334" s="773"/>
      <c r="GO1334" s="773"/>
      <c r="GP1334" s="773"/>
      <c r="GQ1334" s="773"/>
      <c r="GR1334" s="773"/>
      <c r="GS1334" s="773"/>
      <c r="GT1334" s="773"/>
      <c r="GU1334" s="773"/>
      <c r="GV1334" s="773"/>
      <c r="GW1334" s="773"/>
      <c r="GX1334" s="773"/>
      <c r="GY1334" s="773"/>
      <c r="GZ1334" s="773"/>
    </row>
    <row r="1335" spans="2:208" s="11" customFormat="1">
      <c r="B1335" s="775"/>
      <c r="C1335" s="826"/>
      <c r="D1335" s="775"/>
      <c r="K1335" s="209"/>
      <c r="M1335" s="771"/>
      <c r="N1335" s="772"/>
      <c r="O1335" s="772"/>
      <c r="P1335" s="772"/>
      <c r="Q1335" s="772"/>
      <c r="R1335" s="772"/>
      <c r="S1335" s="772"/>
      <c r="AW1335" s="2510"/>
      <c r="BC1335" s="2510"/>
      <c r="BD1335" s="2510"/>
      <c r="BE1335" s="2510"/>
      <c r="BF1335" s="2510"/>
      <c r="BH1335" s="2510"/>
      <c r="DB1335" s="773"/>
      <c r="DC1335" s="773"/>
      <c r="DD1335" s="773"/>
      <c r="DE1335" s="773"/>
      <c r="DF1335" s="773"/>
      <c r="DG1335" s="773"/>
      <c r="DH1335" s="773"/>
      <c r="DI1335" s="773"/>
      <c r="DJ1335" s="773"/>
      <c r="DK1335" s="773"/>
      <c r="DL1335" s="773"/>
      <c r="DM1335" s="773"/>
      <c r="DN1335" s="773"/>
      <c r="DO1335" s="773"/>
      <c r="DP1335" s="773"/>
      <c r="DQ1335" s="773"/>
      <c r="DR1335" s="773"/>
      <c r="DS1335" s="773"/>
      <c r="DT1335" s="773"/>
      <c r="DU1335" s="773"/>
      <c r="DV1335" s="773"/>
      <c r="DW1335" s="773"/>
      <c r="DX1335" s="773"/>
      <c r="DY1335" s="773"/>
      <c r="DZ1335" s="773"/>
      <c r="EA1335" s="773"/>
      <c r="EB1335" s="773"/>
      <c r="EC1335" s="773"/>
      <c r="ED1335" s="773"/>
      <c r="EE1335" s="773"/>
      <c r="EF1335" s="773"/>
      <c r="EG1335" s="773"/>
      <c r="EH1335" s="773"/>
      <c r="EI1335" s="773"/>
      <c r="EJ1335" s="773"/>
      <c r="EK1335" s="773"/>
      <c r="EL1335" s="773"/>
      <c r="EM1335" s="773"/>
      <c r="EN1335" s="773"/>
      <c r="EO1335" s="773"/>
      <c r="EP1335" s="773"/>
      <c r="EQ1335" s="773"/>
      <c r="ER1335" s="773"/>
      <c r="ES1335" s="773"/>
      <c r="ET1335" s="773"/>
      <c r="EU1335" s="773"/>
      <c r="EV1335" s="773"/>
      <c r="EW1335" s="773"/>
      <c r="EX1335" s="773"/>
      <c r="EY1335" s="773"/>
      <c r="EZ1335" s="773"/>
      <c r="FA1335" s="773"/>
      <c r="FB1335" s="773"/>
      <c r="FC1335" s="773"/>
      <c r="FD1335" s="773"/>
      <c r="FE1335" s="773"/>
      <c r="FF1335" s="773"/>
      <c r="FG1335" s="773"/>
      <c r="FH1335" s="773"/>
      <c r="FI1335" s="773"/>
      <c r="FJ1335" s="773"/>
      <c r="FK1335" s="773"/>
      <c r="FL1335" s="773"/>
      <c r="FM1335" s="773"/>
      <c r="FN1335" s="773"/>
      <c r="FO1335" s="773"/>
      <c r="FP1335" s="773"/>
      <c r="FQ1335" s="773"/>
      <c r="FR1335" s="773"/>
      <c r="FS1335" s="773"/>
      <c r="FT1335" s="773"/>
      <c r="FU1335" s="773"/>
      <c r="FV1335" s="773"/>
      <c r="FW1335" s="773"/>
      <c r="FX1335" s="773"/>
      <c r="FY1335" s="773"/>
      <c r="FZ1335" s="773"/>
      <c r="GA1335" s="773"/>
      <c r="GB1335" s="773"/>
      <c r="GC1335" s="773"/>
      <c r="GD1335" s="773"/>
      <c r="GE1335" s="773"/>
      <c r="GF1335" s="773"/>
      <c r="GG1335" s="773"/>
      <c r="GH1335" s="773"/>
      <c r="GI1335" s="773"/>
      <c r="GJ1335" s="773"/>
      <c r="GK1335" s="773"/>
      <c r="GL1335" s="773"/>
      <c r="GM1335" s="773"/>
      <c r="GN1335" s="773"/>
      <c r="GO1335" s="773"/>
      <c r="GP1335" s="773"/>
      <c r="GQ1335" s="773"/>
      <c r="GR1335" s="773"/>
      <c r="GS1335" s="773"/>
      <c r="GT1335" s="773"/>
      <c r="GU1335" s="773"/>
      <c r="GV1335" s="773"/>
      <c r="GW1335" s="773"/>
      <c r="GX1335" s="773"/>
      <c r="GY1335" s="773"/>
      <c r="GZ1335" s="773"/>
    </row>
    <row r="1336" spans="2:208" s="11" customFormat="1">
      <c r="B1336" s="775"/>
      <c r="C1336" s="826"/>
      <c r="D1336" s="775"/>
      <c r="K1336" s="209"/>
      <c r="M1336" s="771"/>
      <c r="N1336" s="772"/>
      <c r="O1336" s="772"/>
      <c r="P1336" s="772"/>
      <c r="Q1336" s="772"/>
      <c r="R1336" s="772"/>
      <c r="S1336" s="772"/>
      <c r="AW1336" s="2510"/>
      <c r="BC1336" s="2510"/>
      <c r="BD1336" s="2510"/>
      <c r="BE1336" s="2510"/>
      <c r="BF1336" s="2510"/>
      <c r="BH1336" s="2510"/>
      <c r="DB1336" s="773"/>
      <c r="DC1336" s="773"/>
      <c r="DD1336" s="773"/>
      <c r="DE1336" s="773"/>
      <c r="DF1336" s="773"/>
      <c r="DG1336" s="773"/>
      <c r="DH1336" s="773"/>
      <c r="DI1336" s="773"/>
      <c r="DJ1336" s="773"/>
      <c r="DK1336" s="773"/>
      <c r="DL1336" s="773"/>
      <c r="DM1336" s="773"/>
      <c r="DN1336" s="773"/>
      <c r="DO1336" s="773"/>
      <c r="DP1336" s="773"/>
      <c r="DQ1336" s="773"/>
      <c r="DR1336" s="773"/>
      <c r="DS1336" s="773"/>
      <c r="DT1336" s="773"/>
      <c r="DU1336" s="773"/>
      <c r="DV1336" s="773"/>
      <c r="DW1336" s="773"/>
      <c r="DX1336" s="773"/>
      <c r="DY1336" s="773"/>
      <c r="DZ1336" s="773"/>
      <c r="EA1336" s="773"/>
      <c r="EB1336" s="773"/>
      <c r="EC1336" s="773"/>
      <c r="ED1336" s="773"/>
      <c r="EE1336" s="773"/>
      <c r="EF1336" s="773"/>
      <c r="EG1336" s="773"/>
      <c r="EH1336" s="773"/>
      <c r="EI1336" s="773"/>
      <c r="EJ1336" s="773"/>
      <c r="EK1336" s="773"/>
      <c r="EL1336" s="773"/>
      <c r="EM1336" s="773"/>
      <c r="EN1336" s="773"/>
      <c r="EO1336" s="773"/>
      <c r="EP1336" s="773"/>
      <c r="EQ1336" s="773"/>
      <c r="ER1336" s="773"/>
      <c r="ES1336" s="773"/>
      <c r="ET1336" s="773"/>
      <c r="EU1336" s="773"/>
      <c r="EV1336" s="773"/>
      <c r="EW1336" s="773"/>
      <c r="EX1336" s="773"/>
      <c r="EY1336" s="773"/>
      <c r="EZ1336" s="773"/>
      <c r="FA1336" s="773"/>
      <c r="FB1336" s="773"/>
      <c r="FC1336" s="773"/>
      <c r="FD1336" s="773"/>
      <c r="FE1336" s="773"/>
      <c r="FF1336" s="773"/>
      <c r="FG1336" s="773"/>
      <c r="FH1336" s="773"/>
      <c r="FI1336" s="773"/>
      <c r="FJ1336" s="773"/>
      <c r="FK1336" s="773"/>
      <c r="FL1336" s="773"/>
      <c r="FM1336" s="773"/>
      <c r="FN1336" s="773"/>
      <c r="FO1336" s="773"/>
      <c r="FP1336" s="773"/>
      <c r="FQ1336" s="773"/>
      <c r="FR1336" s="773"/>
      <c r="FS1336" s="773"/>
      <c r="FT1336" s="773"/>
      <c r="FU1336" s="773"/>
      <c r="FV1336" s="773"/>
      <c r="FW1336" s="773"/>
      <c r="FX1336" s="773"/>
      <c r="FY1336" s="773"/>
      <c r="FZ1336" s="773"/>
      <c r="GA1336" s="773"/>
      <c r="GB1336" s="773"/>
      <c r="GC1336" s="773"/>
      <c r="GD1336" s="773"/>
      <c r="GE1336" s="773"/>
      <c r="GF1336" s="773"/>
      <c r="GG1336" s="773"/>
      <c r="GH1336" s="773"/>
      <c r="GI1336" s="773"/>
      <c r="GJ1336" s="773"/>
      <c r="GK1336" s="773"/>
      <c r="GL1336" s="773"/>
      <c r="GM1336" s="773"/>
      <c r="GN1336" s="773"/>
      <c r="GO1336" s="773"/>
      <c r="GP1336" s="773"/>
      <c r="GQ1336" s="773"/>
      <c r="GR1336" s="773"/>
      <c r="GS1336" s="773"/>
      <c r="GT1336" s="773"/>
      <c r="GU1336" s="773"/>
      <c r="GV1336" s="773"/>
      <c r="GW1336" s="773"/>
      <c r="GX1336" s="773"/>
      <c r="GY1336" s="773"/>
      <c r="GZ1336" s="773"/>
    </row>
    <row r="1337" spans="2:208" s="11" customFormat="1">
      <c r="B1337" s="775"/>
      <c r="C1337" s="826"/>
      <c r="D1337" s="775"/>
      <c r="K1337" s="209"/>
      <c r="M1337" s="771"/>
      <c r="N1337" s="772"/>
      <c r="O1337" s="772"/>
      <c r="P1337" s="772"/>
      <c r="Q1337" s="772"/>
      <c r="R1337" s="772"/>
      <c r="S1337" s="772"/>
      <c r="AW1337" s="2510"/>
      <c r="BC1337" s="2510"/>
      <c r="BD1337" s="2510"/>
      <c r="BE1337" s="2510"/>
      <c r="BF1337" s="2510"/>
      <c r="BH1337" s="2510"/>
      <c r="DB1337" s="773"/>
      <c r="DC1337" s="773"/>
      <c r="DD1337" s="773"/>
      <c r="DE1337" s="773"/>
      <c r="DF1337" s="773"/>
      <c r="DG1337" s="773"/>
      <c r="DH1337" s="773"/>
      <c r="DI1337" s="773"/>
      <c r="DJ1337" s="773"/>
      <c r="DK1337" s="773"/>
      <c r="DL1337" s="773"/>
      <c r="DM1337" s="773"/>
      <c r="DN1337" s="773"/>
      <c r="DO1337" s="773"/>
      <c r="DP1337" s="773"/>
      <c r="DQ1337" s="773"/>
      <c r="DR1337" s="773"/>
      <c r="DS1337" s="773"/>
      <c r="DT1337" s="773"/>
      <c r="DU1337" s="773"/>
      <c r="DV1337" s="773"/>
      <c r="DW1337" s="773"/>
      <c r="DX1337" s="773"/>
      <c r="DY1337" s="773"/>
      <c r="DZ1337" s="773"/>
      <c r="EA1337" s="773"/>
      <c r="EB1337" s="773"/>
      <c r="EC1337" s="773"/>
      <c r="ED1337" s="773"/>
      <c r="EE1337" s="773"/>
      <c r="EF1337" s="773"/>
      <c r="EG1337" s="773"/>
      <c r="EH1337" s="773"/>
      <c r="EI1337" s="773"/>
      <c r="EJ1337" s="773"/>
      <c r="EK1337" s="773"/>
      <c r="EL1337" s="773"/>
      <c r="EM1337" s="773"/>
      <c r="EN1337" s="773"/>
      <c r="EO1337" s="773"/>
      <c r="EP1337" s="773"/>
      <c r="EQ1337" s="773"/>
      <c r="ER1337" s="773"/>
      <c r="ES1337" s="773"/>
      <c r="ET1337" s="773"/>
      <c r="EU1337" s="773"/>
      <c r="EV1337" s="773"/>
      <c r="EW1337" s="773"/>
      <c r="EX1337" s="773"/>
      <c r="EY1337" s="773"/>
      <c r="EZ1337" s="773"/>
      <c r="FA1337" s="773"/>
      <c r="FB1337" s="773"/>
      <c r="FC1337" s="773"/>
      <c r="FD1337" s="773"/>
      <c r="FE1337" s="773"/>
      <c r="FF1337" s="773"/>
      <c r="FG1337" s="773"/>
      <c r="FH1337" s="773"/>
      <c r="FI1337" s="773"/>
      <c r="FJ1337" s="773"/>
      <c r="FK1337" s="773"/>
      <c r="FL1337" s="773"/>
      <c r="FM1337" s="773"/>
      <c r="FN1337" s="773"/>
      <c r="FO1337" s="773"/>
      <c r="FP1337" s="773"/>
      <c r="FQ1337" s="773"/>
      <c r="FR1337" s="773"/>
      <c r="FS1337" s="773"/>
      <c r="FT1337" s="773"/>
      <c r="FU1337" s="773"/>
      <c r="FV1337" s="773"/>
      <c r="FW1337" s="773"/>
      <c r="FX1337" s="773"/>
      <c r="FY1337" s="773"/>
      <c r="FZ1337" s="773"/>
      <c r="GA1337" s="773"/>
      <c r="GB1337" s="773"/>
      <c r="GC1337" s="773"/>
      <c r="GD1337" s="773"/>
      <c r="GE1337" s="773"/>
      <c r="GF1337" s="773"/>
      <c r="GG1337" s="773"/>
      <c r="GH1337" s="773"/>
      <c r="GI1337" s="773"/>
      <c r="GJ1337" s="773"/>
      <c r="GK1337" s="773"/>
      <c r="GL1337" s="773"/>
      <c r="GM1337" s="773"/>
      <c r="GN1337" s="773"/>
      <c r="GO1337" s="773"/>
      <c r="GP1337" s="773"/>
      <c r="GQ1337" s="773"/>
      <c r="GR1337" s="773"/>
      <c r="GS1337" s="773"/>
      <c r="GT1337" s="773"/>
      <c r="GU1337" s="773"/>
      <c r="GV1337" s="773"/>
      <c r="GW1337" s="773"/>
      <c r="GX1337" s="773"/>
      <c r="GY1337" s="773"/>
      <c r="GZ1337" s="773"/>
    </row>
    <row r="1338" spans="2:208" s="11" customFormat="1">
      <c r="B1338" s="775"/>
      <c r="C1338" s="826"/>
      <c r="D1338" s="775"/>
      <c r="K1338" s="209"/>
      <c r="M1338" s="771"/>
      <c r="N1338" s="772"/>
      <c r="O1338" s="772"/>
      <c r="P1338" s="772"/>
      <c r="Q1338" s="772"/>
      <c r="R1338" s="772"/>
      <c r="S1338" s="772"/>
      <c r="AW1338" s="2510"/>
      <c r="BC1338" s="2510"/>
      <c r="BD1338" s="2510"/>
      <c r="BE1338" s="2510"/>
      <c r="BF1338" s="2510"/>
      <c r="BH1338" s="2510"/>
      <c r="DB1338" s="773"/>
      <c r="DC1338" s="773"/>
      <c r="DD1338" s="773"/>
      <c r="DE1338" s="773"/>
      <c r="DF1338" s="773"/>
      <c r="DG1338" s="773"/>
      <c r="DH1338" s="773"/>
      <c r="DI1338" s="773"/>
      <c r="DJ1338" s="773"/>
      <c r="DK1338" s="773"/>
      <c r="DL1338" s="773"/>
      <c r="DM1338" s="773"/>
      <c r="DN1338" s="773"/>
      <c r="DO1338" s="773"/>
      <c r="DP1338" s="773"/>
      <c r="DQ1338" s="773"/>
      <c r="DR1338" s="773"/>
      <c r="DS1338" s="773"/>
      <c r="DT1338" s="773"/>
      <c r="DU1338" s="773"/>
      <c r="DV1338" s="773"/>
      <c r="DW1338" s="773"/>
      <c r="DX1338" s="773"/>
      <c r="DY1338" s="773"/>
      <c r="DZ1338" s="773"/>
      <c r="EA1338" s="773"/>
      <c r="EB1338" s="773"/>
      <c r="EC1338" s="773"/>
      <c r="ED1338" s="773"/>
      <c r="EE1338" s="773"/>
      <c r="EF1338" s="773"/>
      <c r="EG1338" s="773"/>
      <c r="EH1338" s="773"/>
      <c r="EI1338" s="773"/>
      <c r="EJ1338" s="773"/>
      <c r="EK1338" s="773"/>
      <c r="EL1338" s="773"/>
      <c r="EM1338" s="773"/>
      <c r="EN1338" s="773"/>
      <c r="EO1338" s="773"/>
      <c r="EP1338" s="773"/>
      <c r="EQ1338" s="773"/>
      <c r="ER1338" s="773"/>
      <c r="ES1338" s="773"/>
      <c r="ET1338" s="773"/>
      <c r="EU1338" s="773"/>
      <c r="EV1338" s="773"/>
      <c r="EW1338" s="773"/>
      <c r="EX1338" s="773"/>
      <c r="EY1338" s="773"/>
      <c r="EZ1338" s="773"/>
      <c r="FA1338" s="773"/>
      <c r="FB1338" s="773"/>
      <c r="FC1338" s="773"/>
      <c r="FD1338" s="773"/>
      <c r="FE1338" s="773"/>
      <c r="FF1338" s="773"/>
      <c r="FG1338" s="773"/>
      <c r="FH1338" s="773"/>
      <c r="FI1338" s="773"/>
      <c r="FJ1338" s="773"/>
      <c r="FK1338" s="773"/>
      <c r="FL1338" s="773"/>
      <c r="FM1338" s="773"/>
      <c r="FN1338" s="773"/>
      <c r="FO1338" s="773"/>
      <c r="FP1338" s="773"/>
      <c r="FQ1338" s="773"/>
      <c r="FR1338" s="773"/>
      <c r="FS1338" s="773"/>
      <c r="FT1338" s="773"/>
      <c r="FU1338" s="773"/>
      <c r="FV1338" s="773"/>
      <c r="FW1338" s="773"/>
      <c r="FX1338" s="773"/>
      <c r="FY1338" s="773"/>
      <c r="FZ1338" s="773"/>
      <c r="GA1338" s="773"/>
      <c r="GB1338" s="773"/>
      <c r="GC1338" s="773"/>
      <c r="GD1338" s="773"/>
      <c r="GE1338" s="773"/>
      <c r="GF1338" s="773"/>
      <c r="GG1338" s="773"/>
      <c r="GH1338" s="773"/>
      <c r="GI1338" s="773"/>
      <c r="GJ1338" s="773"/>
      <c r="GK1338" s="773"/>
      <c r="GL1338" s="773"/>
      <c r="GM1338" s="773"/>
      <c r="GN1338" s="773"/>
      <c r="GO1338" s="773"/>
      <c r="GP1338" s="773"/>
      <c r="GQ1338" s="773"/>
      <c r="GR1338" s="773"/>
      <c r="GS1338" s="773"/>
      <c r="GT1338" s="773"/>
      <c r="GU1338" s="773"/>
      <c r="GV1338" s="773"/>
      <c r="GW1338" s="773"/>
      <c r="GX1338" s="773"/>
      <c r="GY1338" s="773"/>
      <c r="GZ1338" s="773"/>
    </row>
    <row r="1339" spans="2:208" s="11" customFormat="1">
      <c r="B1339" s="775"/>
      <c r="C1339" s="826"/>
      <c r="D1339" s="775"/>
      <c r="K1339" s="209"/>
      <c r="M1339" s="771"/>
      <c r="N1339" s="772"/>
      <c r="O1339" s="772"/>
      <c r="P1339" s="772"/>
      <c r="Q1339" s="772"/>
      <c r="R1339" s="772"/>
      <c r="S1339" s="772"/>
      <c r="AW1339" s="2510"/>
      <c r="BC1339" s="2510"/>
      <c r="BD1339" s="2510"/>
      <c r="BE1339" s="2510"/>
      <c r="BF1339" s="2510"/>
      <c r="BH1339" s="2510"/>
      <c r="DB1339" s="773"/>
      <c r="DC1339" s="773"/>
      <c r="DD1339" s="773"/>
      <c r="DE1339" s="773"/>
      <c r="DF1339" s="773"/>
      <c r="DG1339" s="773"/>
      <c r="DH1339" s="773"/>
      <c r="DI1339" s="773"/>
      <c r="DJ1339" s="773"/>
      <c r="DK1339" s="773"/>
      <c r="DL1339" s="773"/>
      <c r="DM1339" s="773"/>
      <c r="DN1339" s="773"/>
      <c r="DO1339" s="773"/>
      <c r="DP1339" s="773"/>
      <c r="DQ1339" s="773"/>
      <c r="DR1339" s="773"/>
      <c r="DS1339" s="773"/>
      <c r="DT1339" s="773"/>
      <c r="DU1339" s="773"/>
      <c r="DV1339" s="773"/>
      <c r="DW1339" s="773"/>
      <c r="DX1339" s="773"/>
      <c r="DY1339" s="773"/>
      <c r="DZ1339" s="773"/>
      <c r="EA1339" s="773"/>
      <c r="EB1339" s="773"/>
      <c r="EC1339" s="773"/>
      <c r="ED1339" s="773"/>
      <c r="EE1339" s="773"/>
      <c r="EF1339" s="773"/>
      <c r="EG1339" s="773"/>
      <c r="EH1339" s="773"/>
      <c r="EI1339" s="773"/>
      <c r="EJ1339" s="773"/>
      <c r="EK1339" s="773"/>
      <c r="EL1339" s="773"/>
      <c r="EM1339" s="773"/>
      <c r="EN1339" s="773"/>
      <c r="EO1339" s="773"/>
      <c r="EP1339" s="773"/>
      <c r="EQ1339" s="773"/>
      <c r="ER1339" s="773"/>
      <c r="ES1339" s="773"/>
      <c r="ET1339" s="773"/>
      <c r="EU1339" s="773"/>
      <c r="EV1339" s="773"/>
      <c r="EW1339" s="773"/>
      <c r="EX1339" s="773"/>
      <c r="EY1339" s="773"/>
      <c r="EZ1339" s="773"/>
      <c r="FA1339" s="773"/>
      <c r="FB1339" s="773"/>
      <c r="FC1339" s="773"/>
      <c r="FD1339" s="773"/>
      <c r="FE1339" s="773"/>
      <c r="FF1339" s="773"/>
      <c r="FG1339" s="773"/>
      <c r="FH1339" s="773"/>
      <c r="FI1339" s="773"/>
      <c r="FJ1339" s="773"/>
      <c r="FK1339" s="773"/>
      <c r="FL1339" s="773"/>
      <c r="FM1339" s="773"/>
      <c r="FN1339" s="773"/>
      <c r="FO1339" s="773"/>
      <c r="FP1339" s="773"/>
      <c r="FQ1339" s="773"/>
      <c r="FR1339" s="773"/>
      <c r="FS1339" s="773"/>
      <c r="FT1339" s="773"/>
      <c r="FU1339" s="773"/>
      <c r="FV1339" s="773"/>
      <c r="FW1339" s="773"/>
      <c r="FX1339" s="773"/>
      <c r="FY1339" s="773"/>
      <c r="FZ1339" s="773"/>
      <c r="GA1339" s="773"/>
      <c r="GB1339" s="773"/>
      <c r="GC1339" s="773"/>
      <c r="GD1339" s="773"/>
      <c r="GE1339" s="773"/>
      <c r="GF1339" s="773"/>
      <c r="GG1339" s="773"/>
      <c r="GH1339" s="773"/>
      <c r="GI1339" s="773"/>
      <c r="GJ1339" s="773"/>
      <c r="GK1339" s="773"/>
      <c r="GL1339" s="773"/>
      <c r="GM1339" s="773"/>
      <c r="GN1339" s="773"/>
      <c r="GO1339" s="773"/>
      <c r="GP1339" s="773"/>
      <c r="GQ1339" s="773"/>
      <c r="GR1339" s="773"/>
      <c r="GS1339" s="773"/>
      <c r="GT1339" s="773"/>
      <c r="GU1339" s="773"/>
      <c r="GV1339" s="773"/>
      <c r="GW1339" s="773"/>
      <c r="GX1339" s="773"/>
      <c r="GY1339" s="773"/>
      <c r="GZ1339" s="773"/>
    </row>
    <row r="1340" spans="2:208" s="11" customFormat="1">
      <c r="B1340" s="775"/>
      <c r="C1340" s="826"/>
      <c r="D1340" s="775"/>
      <c r="K1340" s="209"/>
      <c r="M1340" s="771"/>
      <c r="N1340" s="772"/>
      <c r="O1340" s="772"/>
      <c r="P1340" s="772"/>
      <c r="Q1340" s="772"/>
      <c r="R1340" s="772"/>
      <c r="S1340" s="772"/>
      <c r="AW1340" s="2510"/>
      <c r="BC1340" s="2510"/>
      <c r="BD1340" s="2510"/>
      <c r="BE1340" s="2510"/>
      <c r="BF1340" s="2510"/>
      <c r="BH1340" s="2510"/>
      <c r="DB1340" s="773"/>
      <c r="DC1340" s="773"/>
      <c r="DD1340" s="773"/>
      <c r="DE1340" s="773"/>
      <c r="DF1340" s="773"/>
      <c r="DG1340" s="773"/>
      <c r="DH1340" s="773"/>
      <c r="DI1340" s="773"/>
      <c r="DJ1340" s="773"/>
      <c r="DK1340" s="773"/>
      <c r="DL1340" s="773"/>
      <c r="DM1340" s="773"/>
      <c r="DN1340" s="773"/>
      <c r="DO1340" s="773"/>
      <c r="DP1340" s="773"/>
      <c r="DQ1340" s="773"/>
      <c r="DR1340" s="773"/>
      <c r="DS1340" s="773"/>
      <c r="DT1340" s="773"/>
      <c r="DU1340" s="773"/>
      <c r="DV1340" s="773"/>
      <c r="DW1340" s="773"/>
      <c r="DX1340" s="773"/>
      <c r="DY1340" s="773"/>
      <c r="DZ1340" s="773"/>
      <c r="EA1340" s="773"/>
      <c r="EB1340" s="773"/>
      <c r="EC1340" s="773"/>
      <c r="ED1340" s="773"/>
      <c r="EE1340" s="773"/>
      <c r="EF1340" s="773"/>
      <c r="EG1340" s="773"/>
      <c r="EH1340" s="773"/>
      <c r="EI1340" s="773"/>
      <c r="EJ1340" s="773"/>
      <c r="EK1340" s="773"/>
      <c r="EL1340" s="773"/>
      <c r="EM1340" s="773"/>
      <c r="EN1340" s="773"/>
      <c r="EO1340" s="773"/>
      <c r="EP1340" s="773"/>
      <c r="EQ1340" s="773"/>
      <c r="ER1340" s="773"/>
      <c r="ES1340" s="773"/>
      <c r="ET1340" s="773"/>
      <c r="EU1340" s="773"/>
      <c r="EV1340" s="773"/>
      <c r="EW1340" s="773"/>
      <c r="EX1340" s="773"/>
      <c r="EY1340" s="773"/>
      <c r="EZ1340" s="773"/>
      <c r="FA1340" s="773"/>
      <c r="FB1340" s="773"/>
      <c r="FC1340" s="773"/>
      <c r="FD1340" s="773"/>
      <c r="FE1340" s="773"/>
      <c r="FF1340" s="773"/>
      <c r="FG1340" s="773"/>
      <c r="FH1340" s="773"/>
      <c r="FI1340" s="773"/>
      <c r="FJ1340" s="773"/>
      <c r="FK1340" s="773"/>
      <c r="FL1340" s="773"/>
      <c r="FM1340" s="773"/>
      <c r="FN1340" s="773"/>
      <c r="FO1340" s="773"/>
      <c r="FP1340" s="773"/>
      <c r="FQ1340" s="773"/>
      <c r="FR1340" s="773"/>
      <c r="FS1340" s="773"/>
      <c r="FT1340" s="773"/>
      <c r="FU1340" s="773"/>
      <c r="FV1340" s="773"/>
      <c r="FW1340" s="773"/>
      <c r="FX1340" s="773"/>
      <c r="FY1340" s="773"/>
      <c r="FZ1340" s="773"/>
      <c r="GA1340" s="773"/>
      <c r="GB1340" s="773"/>
      <c r="GC1340" s="773"/>
      <c r="GD1340" s="773"/>
      <c r="GE1340" s="773"/>
      <c r="GF1340" s="773"/>
      <c r="GG1340" s="773"/>
      <c r="GH1340" s="773"/>
      <c r="GI1340" s="773"/>
      <c r="GJ1340" s="773"/>
      <c r="GK1340" s="773"/>
      <c r="GL1340" s="773"/>
      <c r="GM1340" s="773"/>
      <c r="GN1340" s="773"/>
      <c r="GO1340" s="773"/>
      <c r="GP1340" s="773"/>
      <c r="GQ1340" s="773"/>
      <c r="GR1340" s="773"/>
      <c r="GS1340" s="773"/>
      <c r="GT1340" s="773"/>
      <c r="GU1340" s="773"/>
      <c r="GV1340" s="773"/>
      <c r="GW1340" s="773"/>
      <c r="GX1340" s="773"/>
      <c r="GY1340" s="773"/>
      <c r="GZ1340" s="773"/>
    </row>
    <row r="1341" spans="2:208" s="11" customFormat="1">
      <c r="B1341" s="775"/>
      <c r="C1341" s="826"/>
      <c r="D1341" s="775"/>
      <c r="K1341" s="209"/>
      <c r="M1341" s="771"/>
      <c r="N1341" s="772"/>
      <c r="O1341" s="772"/>
      <c r="P1341" s="772"/>
      <c r="Q1341" s="772"/>
      <c r="R1341" s="772"/>
      <c r="S1341" s="772"/>
      <c r="AW1341" s="2510"/>
      <c r="BC1341" s="2510"/>
      <c r="BD1341" s="2510"/>
      <c r="BE1341" s="2510"/>
      <c r="BF1341" s="2510"/>
      <c r="BH1341" s="2510"/>
      <c r="DB1341" s="773"/>
      <c r="DC1341" s="773"/>
      <c r="DD1341" s="773"/>
      <c r="DE1341" s="773"/>
      <c r="DF1341" s="773"/>
      <c r="DG1341" s="773"/>
      <c r="DH1341" s="773"/>
      <c r="DI1341" s="773"/>
      <c r="DJ1341" s="773"/>
      <c r="DK1341" s="773"/>
      <c r="DL1341" s="773"/>
      <c r="DM1341" s="773"/>
      <c r="DN1341" s="773"/>
      <c r="DO1341" s="773"/>
      <c r="DP1341" s="773"/>
      <c r="DQ1341" s="773"/>
      <c r="DR1341" s="773"/>
      <c r="DS1341" s="773"/>
      <c r="DT1341" s="773"/>
      <c r="DU1341" s="773"/>
      <c r="DV1341" s="773"/>
      <c r="DW1341" s="773"/>
      <c r="DX1341" s="773"/>
      <c r="DY1341" s="773"/>
      <c r="DZ1341" s="773"/>
      <c r="EA1341" s="773"/>
      <c r="EB1341" s="773"/>
      <c r="EC1341" s="773"/>
      <c r="ED1341" s="773"/>
      <c r="EE1341" s="773"/>
      <c r="EF1341" s="773"/>
      <c r="EG1341" s="773"/>
      <c r="EH1341" s="773"/>
      <c r="EI1341" s="773"/>
      <c r="EJ1341" s="773"/>
      <c r="EK1341" s="773"/>
      <c r="EL1341" s="773"/>
      <c r="EM1341" s="773"/>
      <c r="EN1341" s="773"/>
      <c r="EO1341" s="773"/>
      <c r="EP1341" s="773"/>
      <c r="EQ1341" s="773"/>
      <c r="ER1341" s="773"/>
      <c r="ES1341" s="773"/>
      <c r="ET1341" s="773"/>
      <c r="EU1341" s="773"/>
      <c r="EV1341" s="773"/>
      <c r="EW1341" s="773"/>
      <c r="EX1341" s="773"/>
      <c r="EY1341" s="773"/>
      <c r="EZ1341" s="773"/>
      <c r="FA1341" s="773"/>
      <c r="FB1341" s="773"/>
      <c r="FC1341" s="773"/>
      <c r="FD1341" s="773"/>
      <c r="FE1341" s="773"/>
      <c r="FF1341" s="773"/>
      <c r="FG1341" s="773"/>
      <c r="FH1341" s="773"/>
      <c r="FI1341" s="773"/>
      <c r="FJ1341" s="773"/>
      <c r="FK1341" s="773"/>
      <c r="FL1341" s="773"/>
      <c r="FM1341" s="773"/>
      <c r="FN1341" s="773"/>
      <c r="FO1341" s="773"/>
      <c r="FP1341" s="773"/>
      <c r="FQ1341" s="773"/>
      <c r="FR1341" s="773"/>
      <c r="FS1341" s="773"/>
      <c r="FT1341" s="773"/>
      <c r="FU1341" s="773"/>
      <c r="FV1341" s="773"/>
      <c r="FW1341" s="773"/>
      <c r="FX1341" s="773"/>
      <c r="FY1341" s="773"/>
      <c r="FZ1341" s="773"/>
      <c r="GA1341" s="773"/>
      <c r="GB1341" s="773"/>
      <c r="GC1341" s="773"/>
      <c r="GD1341" s="773"/>
      <c r="GE1341" s="773"/>
      <c r="GF1341" s="773"/>
      <c r="GG1341" s="773"/>
      <c r="GH1341" s="773"/>
      <c r="GI1341" s="773"/>
      <c r="GJ1341" s="773"/>
      <c r="GK1341" s="773"/>
      <c r="GL1341" s="773"/>
      <c r="GM1341" s="773"/>
      <c r="GN1341" s="773"/>
      <c r="GO1341" s="773"/>
      <c r="GP1341" s="773"/>
      <c r="GQ1341" s="773"/>
      <c r="GR1341" s="773"/>
      <c r="GS1341" s="773"/>
      <c r="GT1341" s="773"/>
      <c r="GU1341" s="773"/>
      <c r="GV1341" s="773"/>
      <c r="GW1341" s="773"/>
      <c r="GX1341" s="773"/>
      <c r="GY1341" s="773"/>
      <c r="GZ1341" s="773"/>
    </row>
    <row r="1342" spans="2:208" s="11" customFormat="1">
      <c r="B1342" s="775"/>
      <c r="C1342" s="826"/>
      <c r="D1342" s="775"/>
      <c r="K1342" s="209"/>
      <c r="M1342" s="771"/>
      <c r="N1342" s="772"/>
      <c r="O1342" s="772"/>
      <c r="P1342" s="772"/>
      <c r="Q1342" s="772"/>
      <c r="R1342" s="772"/>
      <c r="S1342" s="772"/>
      <c r="AW1342" s="2510"/>
      <c r="BC1342" s="2510"/>
      <c r="BD1342" s="2510"/>
      <c r="BE1342" s="2510"/>
      <c r="BF1342" s="2510"/>
      <c r="BH1342" s="2510"/>
      <c r="DB1342" s="773"/>
      <c r="DC1342" s="773"/>
      <c r="DD1342" s="773"/>
      <c r="DE1342" s="773"/>
      <c r="DF1342" s="773"/>
      <c r="DG1342" s="773"/>
      <c r="DH1342" s="773"/>
      <c r="DI1342" s="773"/>
      <c r="DJ1342" s="773"/>
      <c r="DK1342" s="773"/>
      <c r="DL1342" s="773"/>
      <c r="DM1342" s="773"/>
      <c r="DN1342" s="773"/>
      <c r="DO1342" s="773"/>
      <c r="DP1342" s="773"/>
      <c r="DQ1342" s="773"/>
      <c r="DR1342" s="773"/>
      <c r="DS1342" s="773"/>
      <c r="DT1342" s="773"/>
      <c r="DU1342" s="773"/>
      <c r="DV1342" s="773"/>
      <c r="DW1342" s="773"/>
      <c r="DX1342" s="773"/>
      <c r="DY1342" s="773"/>
      <c r="DZ1342" s="773"/>
      <c r="EA1342" s="773"/>
      <c r="EB1342" s="773"/>
      <c r="EC1342" s="773"/>
      <c r="ED1342" s="773"/>
      <c r="EE1342" s="773"/>
      <c r="EF1342" s="773"/>
      <c r="EG1342" s="773"/>
      <c r="EH1342" s="773"/>
      <c r="EI1342" s="773"/>
      <c r="EJ1342" s="773"/>
      <c r="EK1342" s="773"/>
      <c r="EL1342" s="773"/>
      <c r="EM1342" s="773"/>
      <c r="EN1342" s="773"/>
      <c r="EO1342" s="773"/>
      <c r="EP1342" s="773"/>
      <c r="EQ1342" s="773"/>
      <c r="ER1342" s="773"/>
      <c r="ES1342" s="773"/>
      <c r="ET1342" s="773"/>
      <c r="EU1342" s="773"/>
      <c r="EV1342" s="773"/>
      <c r="EW1342" s="773"/>
      <c r="EX1342" s="773"/>
      <c r="EY1342" s="773"/>
      <c r="EZ1342" s="773"/>
      <c r="FA1342" s="773"/>
      <c r="FB1342" s="773"/>
      <c r="FC1342" s="773"/>
      <c r="FD1342" s="773"/>
      <c r="FE1342" s="773"/>
      <c r="FF1342" s="773"/>
      <c r="FG1342" s="773"/>
      <c r="FH1342" s="773"/>
      <c r="FI1342" s="773"/>
      <c r="FJ1342" s="773"/>
      <c r="FK1342" s="773"/>
      <c r="FL1342" s="773"/>
      <c r="FM1342" s="773"/>
      <c r="FN1342" s="773"/>
      <c r="FO1342" s="773"/>
      <c r="FP1342" s="773"/>
      <c r="FQ1342" s="773"/>
      <c r="FR1342" s="773"/>
      <c r="FS1342" s="773"/>
      <c r="FT1342" s="773"/>
      <c r="FU1342" s="773"/>
      <c r="FV1342" s="773"/>
      <c r="FW1342" s="773"/>
      <c r="FX1342" s="773"/>
      <c r="FY1342" s="773"/>
      <c r="FZ1342" s="773"/>
      <c r="GA1342" s="773"/>
      <c r="GB1342" s="773"/>
      <c r="GC1342" s="773"/>
      <c r="GD1342" s="773"/>
      <c r="GE1342" s="773"/>
      <c r="GF1342" s="773"/>
      <c r="GG1342" s="773"/>
      <c r="GH1342" s="773"/>
      <c r="GI1342" s="773"/>
      <c r="GJ1342" s="773"/>
      <c r="GK1342" s="773"/>
      <c r="GL1342" s="773"/>
      <c r="GM1342" s="773"/>
      <c r="GN1342" s="773"/>
      <c r="GO1342" s="773"/>
      <c r="GP1342" s="773"/>
      <c r="GQ1342" s="773"/>
      <c r="GR1342" s="773"/>
      <c r="GS1342" s="773"/>
      <c r="GT1342" s="773"/>
      <c r="GU1342" s="773"/>
      <c r="GV1342" s="773"/>
      <c r="GW1342" s="773"/>
      <c r="GX1342" s="773"/>
      <c r="GY1342" s="773"/>
      <c r="GZ1342" s="773"/>
    </row>
    <row r="1343" spans="2:208" s="11" customFormat="1">
      <c r="B1343" s="775"/>
      <c r="C1343" s="826"/>
      <c r="D1343" s="775"/>
      <c r="K1343" s="209"/>
      <c r="M1343" s="771"/>
      <c r="N1343" s="772"/>
      <c r="O1343" s="772"/>
      <c r="P1343" s="772"/>
      <c r="Q1343" s="772"/>
      <c r="R1343" s="772"/>
      <c r="S1343" s="772"/>
      <c r="AW1343" s="2510"/>
      <c r="BC1343" s="2510"/>
      <c r="BD1343" s="2510"/>
      <c r="BE1343" s="2510"/>
      <c r="BF1343" s="2510"/>
      <c r="BH1343" s="2510"/>
      <c r="DB1343" s="773"/>
      <c r="DC1343" s="773"/>
      <c r="DD1343" s="773"/>
      <c r="DE1343" s="773"/>
      <c r="DF1343" s="773"/>
      <c r="DG1343" s="773"/>
      <c r="DH1343" s="773"/>
      <c r="DI1343" s="773"/>
      <c r="DJ1343" s="773"/>
      <c r="DK1343" s="773"/>
      <c r="DL1343" s="773"/>
      <c r="DM1343" s="773"/>
      <c r="DN1343" s="773"/>
      <c r="DO1343" s="773"/>
      <c r="DP1343" s="773"/>
      <c r="DQ1343" s="773"/>
      <c r="DR1343" s="773"/>
      <c r="DS1343" s="773"/>
      <c r="DT1343" s="773"/>
      <c r="DU1343" s="773"/>
      <c r="DV1343" s="773"/>
      <c r="DW1343" s="773"/>
      <c r="DX1343" s="773"/>
      <c r="DY1343" s="773"/>
      <c r="DZ1343" s="773"/>
      <c r="EA1343" s="773"/>
      <c r="EB1343" s="773"/>
      <c r="EC1343" s="773"/>
      <c r="ED1343" s="773"/>
      <c r="EE1343" s="773"/>
      <c r="EF1343" s="773"/>
      <c r="EG1343" s="773"/>
      <c r="EH1343" s="773"/>
      <c r="EI1343" s="773"/>
      <c r="EJ1343" s="773"/>
      <c r="EK1343" s="773"/>
      <c r="EL1343" s="773"/>
      <c r="EM1343" s="773"/>
      <c r="EN1343" s="773"/>
      <c r="EO1343" s="773"/>
      <c r="EP1343" s="773"/>
      <c r="EQ1343" s="773"/>
      <c r="ER1343" s="773"/>
      <c r="ES1343" s="773"/>
      <c r="ET1343" s="773"/>
      <c r="EU1343" s="773"/>
      <c r="EV1343" s="773"/>
      <c r="EW1343" s="773"/>
      <c r="EX1343" s="773"/>
      <c r="EY1343" s="773"/>
      <c r="EZ1343" s="773"/>
      <c r="FA1343" s="773"/>
      <c r="FB1343" s="773"/>
      <c r="FC1343" s="773"/>
      <c r="FD1343" s="773"/>
      <c r="FE1343" s="773"/>
      <c r="FF1343" s="773"/>
      <c r="FG1343" s="773"/>
      <c r="FH1343" s="773"/>
      <c r="FI1343" s="773"/>
      <c r="FJ1343" s="773"/>
      <c r="FK1343" s="773"/>
      <c r="FL1343" s="773"/>
      <c r="FM1343" s="773"/>
      <c r="FN1343" s="773"/>
      <c r="FO1343" s="773"/>
      <c r="FP1343" s="773"/>
      <c r="FQ1343" s="773"/>
      <c r="FR1343" s="773"/>
      <c r="FS1343" s="773"/>
      <c r="FT1343" s="773"/>
      <c r="FU1343" s="773"/>
      <c r="FV1343" s="773"/>
      <c r="FW1343" s="773"/>
      <c r="FX1343" s="773"/>
      <c r="FY1343" s="773"/>
      <c r="FZ1343" s="773"/>
      <c r="GA1343" s="773"/>
      <c r="GB1343" s="773"/>
      <c r="GC1343" s="773"/>
      <c r="GD1343" s="773"/>
      <c r="GE1343" s="773"/>
      <c r="GF1343" s="773"/>
      <c r="GG1343" s="773"/>
      <c r="GH1343" s="773"/>
      <c r="GI1343" s="773"/>
      <c r="GJ1343" s="773"/>
      <c r="GK1343" s="773"/>
      <c r="GL1343" s="773"/>
      <c r="GM1343" s="773"/>
      <c r="GN1343" s="773"/>
      <c r="GO1343" s="773"/>
      <c r="GP1343" s="773"/>
      <c r="GQ1343" s="773"/>
      <c r="GR1343" s="773"/>
      <c r="GS1343" s="773"/>
      <c r="GT1343" s="773"/>
      <c r="GU1343" s="773"/>
      <c r="GV1343" s="773"/>
      <c r="GW1343" s="773"/>
      <c r="GX1343" s="773"/>
      <c r="GY1343" s="773"/>
      <c r="GZ1343" s="773"/>
    </row>
    <row r="1344" spans="2:208" s="11" customFormat="1">
      <c r="B1344" s="775"/>
      <c r="C1344" s="826"/>
      <c r="D1344" s="775"/>
      <c r="K1344" s="209"/>
      <c r="M1344" s="771"/>
      <c r="N1344" s="772"/>
      <c r="O1344" s="772"/>
      <c r="P1344" s="772"/>
      <c r="Q1344" s="772"/>
      <c r="R1344" s="772"/>
      <c r="S1344" s="772"/>
      <c r="AW1344" s="2510"/>
      <c r="BC1344" s="2510"/>
      <c r="BD1344" s="2510"/>
      <c r="BE1344" s="2510"/>
      <c r="BF1344" s="2510"/>
      <c r="BH1344" s="2510"/>
      <c r="DB1344" s="773"/>
      <c r="DC1344" s="773"/>
      <c r="DD1344" s="773"/>
      <c r="DE1344" s="773"/>
      <c r="DF1344" s="773"/>
      <c r="DG1344" s="773"/>
      <c r="DH1344" s="773"/>
      <c r="DI1344" s="773"/>
      <c r="DJ1344" s="773"/>
      <c r="DK1344" s="773"/>
      <c r="DL1344" s="773"/>
      <c r="DM1344" s="773"/>
      <c r="DN1344" s="773"/>
      <c r="DO1344" s="773"/>
      <c r="DP1344" s="773"/>
      <c r="DQ1344" s="773"/>
      <c r="DR1344" s="773"/>
      <c r="DS1344" s="773"/>
      <c r="DT1344" s="773"/>
      <c r="DU1344" s="773"/>
      <c r="DV1344" s="773"/>
      <c r="DW1344" s="773"/>
      <c r="DX1344" s="773"/>
      <c r="DY1344" s="773"/>
      <c r="DZ1344" s="773"/>
      <c r="EA1344" s="773"/>
      <c r="EB1344" s="773"/>
      <c r="EC1344" s="773"/>
      <c r="ED1344" s="773"/>
      <c r="EE1344" s="773"/>
      <c r="EF1344" s="773"/>
      <c r="EG1344" s="773"/>
      <c r="EH1344" s="773"/>
      <c r="EI1344" s="773"/>
      <c r="EJ1344" s="773"/>
      <c r="EK1344" s="773"/>
      <c r="EL1344" s="773"/>
      <c r="EM1344" s="773"/>
      <c r="EN1344" s="773"/>
      <c r="EO1344" s="773"/>
      <c r="EP1344" s="773"/>
      <c r="EQ1344" s="773"/>
      <c r="ER1344" s="773"/>
      <c r="ES1344" s="773"/>
      <c r="ET1344" s="773"/>
      <c r="EU1344" s="773"/>
      <c r="EV1344" s="773"/>
      <c r="EW1344" s="773"/>
      <c r="EX1344" s="773"/>
      <c r="EY1344" s="773"/>
      <c r="EZ1344" s="773"/>
      <c r="FA1344" s="773"/>
      <c r="FB1344" s="773"/>
      <c r="FC1344" s="773"/>
      <c r="FD1344" s="773"/>
      <c r="FE1344" s="773"/>
      <c r="FF1344" s="773"/>
      <c r="FG1344" s="773"/>
      <c r="FH1344" s="773"/>
      <c r="FI1344" s="773"/>
      <c r="FJ1344" s="773"/>
      <c r="FK1344" s="773"/>
      <c r="FL1344" s="773"/>
      <c r="FM1344" s="773"/>
      <c r="FN1344" s="773"/>
      <c r="FO1344" s="773"/>
      <c r="FP1344" s="773"/>
      <c r="FQ1344" s="773"/>
      <c r="FR1344" s="773"/>
      <c r="FS1344" s="773"/>
      <c r="FT1344" s="773"/>
      <c r="FU1344" s="773"/>
      <c r="FV1344" s="773"/>
      <c r="FW1344" s="773"/>
      <c r="FX1344" s="773"/>
      <c r="FY1344" s="773"/>
      <c r="FZ1344" s="773"/>
      <c r="GA1344" s="773"/>
      <c r="GB1344" s="773"/>
      <c r="GC1344" s="773"/>
      <c r="GD1344" s="773"/>
      <c r="GE1344" s="773"/>
      <c r="GF1344" s="773"/>
      <c r="GG1344" s="773"/>
      <c r="GH1344" s="773"/>
      <c r="GI1344" s="773"/>
      <c r="GJ1344" s="773"/>
      <c r="GK1344" s="773"/>
      <c r="GL1344" s="773"/>
      <c r="GM1344" s="773"/>
      <c r="GN1344" s="773"/>
      <c r="GO1344" s="773"/>
      <c r="GP1344" s="773"/>
      <c r="GQ1344" s="773"/>
      <c r="GR1344" s="773"/>
      <c r="GS1344" s="773"/>
      <c r="GT1344" s="773"/>
      <c r="GU1344" s="773"/>
      <c r="GV1344" s="773"/>
      <c r="GW1344" s="773"/>
      <c r="GX1344" s="773"/>
      <c r="GY1344" s="773"/>
      <c r="GZ1344" s="773"/>
    </row>
    <row r="1345" spans="2:208" s="11" customFormat="1">
      <c r="B1345" s="775"/>
      <c r="C1345" s="826"/>
      <c r="D1345" s="775"/>
      <c r="K1345" s="209"/>
      <c r="M1345" s="771"/>
      <c r="N1345" s="772"/>
      <c r="O1345" s="772"/>
      <c r="P1345" s="772"/>
      <c r="Q1345" s="772"/>
      <c r="R1345" s="772"/>
      <c r="S1345" s="772"/>
      <c r="AW1345" s="2510"/>
      <c r="BC1345" s="2510"/>
      <c r="BD1345" s="2510"/>
      <c r="BE1345" s="2510"/>
      <c r="BF1345" s="2510"/>
      <c r="BH1345" s="2510"/>
      <c r="DB1345" s="773"/>
      <c r="DC1345" s="773"/>
      <c r="DD1345" s="773"/>
      <c r="DE1345" s="773"/>
      <c r="DF1345" s="773"/>
      <c r="DG1345" s="773"/>
      <c r="DH1345" s="773"/>
      <c r="DI1345" s="773"/>
      <c r="DJ1345" s="773"/>
      <c r="DK1345" s="773"/>
      <c r="DL1345" s="773"/>
      <c r="DM1345" s="773"/>
      <c r="DN1345" s="773"/>
      <c r="DO1345" s="773"/>
      <c r="DP1345" s="773"/>
      <c r="DQ1345" s="773"/>
      <c r="DR1345" s="773"/>
      <c r="DS1345" s="773"/>
      <c r="DT1345" s="773"/>
      <c r="DU1345" s="773"/>
      <c r="DV1345" s="773"/>
      <c r="DW1345" s="773"/>
      <c r="DX1345" s="773"/>
      <c r="DY1345" s="773"/>
      <c r="DZ1345" s="773"/>
      <c r="EA1345" s="773"/>
      <c r="EB1345" s="773"/>
      <c r="EC1345" s="773"/>
      <c r="ED1345" s="773"/>
      <c r="EE1345" s="773"/>
      <c r="EF1345" s="773"/>
      <c r="EG1345" s="773"/>
      <c r="EH1345" s="773"/>
      <c r="EI1345" s="773"/>
      <c r="EJ1345" s="773"/>
      <c r="EK1345" s="773"/>
      <c r="EL1345" s="773"/>
      <c r="EM1345" s="773"/>
      <c r="EN1345" s="773"/>
      <c r="EO1345" s="773"/>
      <c r="EP1345" s="773"/>
      <c r="EQ1345" s="773"/>
      <c r="ER1345" s="773"/>
      <c r="ES1345" s="773"/>
      <c r="ET1345" s="773"/>
      <c r="EU1345" s="773"/>
      <c r="EV1345" s="773"/>
      <c r="EW1345" s="773"/>
      <c r="EX1345" s="773"/>
      <c r="EY1345" s="773"/>
      <c r="EZ1345" s="773"/>
      <c r="FA1345" s="773"/>
      <c r="FB1345" s="773"/>
      <c r="FC1345" s="773"/>
      <c r="FD1345" s="773"/>
      <c r="FE1345" s="773"/>
      <c r="FF1345" s="773"/>
      <c r="FG1345" s="773"/>
      <c r="FH1345" s="773"/>
      <c r="FI1345" s="773"/>
      <c r="FJ1345" s="773"/>
      <c r="FK1345" s="773"/>
      <c r="FL1345" s="773"/>
      <c r="FM1345" s="773"/>
      <c r="FN1345" s="773"/>
      <c r="FO1345" s="773"/>
      <c r="FP1345" s="773"/>
      <c r="FQ1345" s="773"/>
      <c r="FR1345" s="773"/>
      <c r="FS1345" s="773"/>
      <c r="FT1345" s="773"/>
      <c r="FU1345" s="773"/>
      <c r="FV1345" s="773"/>
      <c r="FW1345" s="773"/>
      <c r="FX1345" s="773"/>
      <c r="FY1345" s="773"/>
      <c r="FZ1345" s="773"/>
      <c r="GA1345" s="773"/>
      <c r="GB1345" s="773"/>
      <c r="GC1345" s="773"/>
      <c r="GD1345" s="773"/>
      <c r="GE1345" s="773"/>
      <c r="GF1345" s="773"/>
      <c r="GG1345" s="773"/>
      <c r="GH1345" s="773"/>
      <c r="GI1345" s="773"/>
      <c r="GJ1345" s="773"/>
      <c r="GK1345" s="773"/>
      <c r="GL1345" s="773"/>
      <c r="GM1345" s="773"/>
      <c r="GN1345" s="773"/>
      <c r="GO1345" s="773"/>
      <c r="GP1345" s="773"/>
      <c r="GQ1345" s="773"/>
      <c r="GR1345" s="773"/>
      <c r="GS1345" s="773"/>
      <c r="GT1345" s="773"/>
      <c r="GU1345" s="773"/>
      <c r="GV1345" s="773"/>
      <c r="GW1345" s="773"/>
      <c r="GX1345" s="773"/>
      <c r="GY1345" s="773"/>
      <c r="GZ1345" s="773"/>
    </row>
    <row r="1346" spans="2:208" s="11" customFormat="1">
      <c r="B1346" s="775"/>
      <c r="C1346" s="826"/>
      <c r="D1346" s="775"/>
      <c r="K1346" s="209"/>
      <c r="M1346" s="771"/>
      <c r="N1346" s="772"/>
      <c r="O1346" s="772"/>
      <c r="P1346" s="772"/>
      <c r="Q1346" s="772"/>
      <c r="R1346" s="772"/>
      <c r="S1346" s="772"/>
      <c r="AW1346" s="2510"/>
      <c r="BC1346" s="2510"/>
      <c r="BD1346" s="2510"/>
      <c r="BE1346" s="2510"/>
      <c r="BF1346" s="2510"/>
      <c r="BH1346" s="2510"/>
      <c r="DB1346" s="773"/>
      <c r="DC1346" s="773"/>
      <c r="DD1346" s="773"/>
      <c r="DE1346" s="773"/>
      <c r="DF1346" s="773"/>
      <c r="DG1346" s="773"/>
      <c r="DH1346" s="773"/>
      <c r="DI1346" s="773"/>
      <c r="DJ1346" s="773"/>
      <c r="DK1346" s="773"/>
      <c r="DL1346" s="773"/>
      <c r="DM1346" s="773"/>
      <c r="DN1346" s="773"/>
      <c r="DO1346" s="773"/>
      <c r="DP1346" s="773"/>
      <c r="DQ1346" s="773"/>
      <c r="DR1346" s="773"/>
      <c r="DS1346" s="773"/>
      <c r="DT1346" s="773"/>
      <c r="DU1346" s="773"/>
      <c r="DV1346" s="773"/>
      <c r="DW1346" s="773"/>
      <c r="DX1346" s="773"/>
      <c r="DY1346" s="773"/>
      <c r="DZ1346" s="773"/>
      <c r="EA1346" s="773"/>
      <c r="EB1346" s="773"/>
      <c r="EC1346" s="773"/>
      <c r="ED1346" s="773"/>
      <c r="EE1346" s="773"/>
      <c r="EF1346" s="773"/>
      <c r="EG1346" s="773"/>
      <c r="EH1346" s="773"/>
      <c r="EI1346" s="773"/>
      <c r="EJ1346" s="773"/>
      <c r="EK1346" s="773"/>
      <c r="EL1346" s="773"/>
      <c r="EM1346" s="773"/>
      <c r="EN1346" s="773"/>
      <c r="EO1346" s="773"/>
      <c r="EP1346" s="773"/>
      <c r="EQ1346" s="773"/>
      <c r="ER1346" s="773"/>
      <c r="ES1346" s="773"/>
      <c r="ET1346" s="773"/>
      <c r="EU1346" s="773"/>
      <c r="EV1346" s="773"/>
      <c r="EW1346" s="773"/>
      <c r="EX1346" s="773"/>
      <c r="EY1346" s="773"/>
      <c r="EZ1346" s="773"/>
      <c r="FA1346" s="773"/>
      <c r="FB1346" s="773"/>
      <c r="FC1346" s="773"/>
      <c r="FD1346" s="773"/>
      <c r="FE1346" s="773"/>
      <c r="FF1346" s="773"/>
      <c r="FG1346" s="773"/>
      <c r="FH1346" s="773"/>
      <c r="FI1346" s="773"/>
      <c r="FJ1346" s="773"/>
      <c r="FK1346" s="773"/>
      <c r="FL1346" s="773"/>
      <c r="FM1346" s="773"/>
      <c r="FN1346" s="773"/>
      <c r="FO1346" s="773"/>
      <c r="FP1346" s="773"/>
      <c r="FQ1346" s="773"/>
      <c r="FR1346" s="773"/>
      <c r="FS1346" s="773"/>
      <c r="FT1346" s="773"/>
      <c r="FU1346" s="773"/>
      <c r="FV1346" s="773"/>
      <c r="FW1346" s="773"/>
      <c r="FX1346" s="773"/>
      <c r="FY1346" s="773"/>
      <c r="FZ1346" s="773"/>
      <c r="GA1346" s="773"/>
      <c r="GB1346" s="773"/>
      <c r="GC1346" s="773"/>
      <c r="GD1346" s="773"/>
      <c r="GE1346" s="773"/>
      <c r="GF1346" s="773"/>
      <c r="GG1346" s="773"/>
      <c r="GH1346" s="773"/>
      <c r="GI1346" s="773"/>
      <c r="GJ1346" s="773"/>
      <c r="GK1346" s="773"/>
      <c r="GL1346" s="773"/>
      <c r="GM1346" s="773"/>
      <c r="GN1346" s="773"/>
      <c r="GO1346" s="773"/>
      <c r="GP1346" s="773"/>
      <c r="GQ1346" s="773"/>
      <c r="GR1346" s="773"/>
      <c r="GS1346" s="773"/>
      <c r="GT1346" s="773"/>
      <c r="GU1346" s="773"/>
      <c r="GV1346" s="773"/>
      <c r="GW1346" s="773"/>
      <c r="GX1346" s="773"/>
      <c r="GY1346" s="773"/>
      <c r="GZ1346" s="773"/>
    </row>
    <row r="1347" spans="2:208" s="11" customFormat="1">
      <c r="B1347" s="775"/>
      <c r="C1347" s="826"/>
      <c r="D1347" s="775"/>
      <c r="K1347" s="209"/>
      <c r="M1347" s="771"/>
      <c r="N1347" s="772"/>
      <c r="O1347" s="772"/>
      <c r="P1347" s="772"/>
      <c r="Q1347" s="772"/>
      <c r="R1347" s="772"/>
      <c r="S1347" s="772"/>
      <c r="AW1347" s="2510"/>
      <c r="BC1347" s="2510"/>
      <c r="BD1347" s="2510"/>
      <c r="BE1347" s="2510"/>
      <c r="BF1347" s="2510"/>
      <c r="BH1347" s="2510"/>
      <c r="DB1347" s="773"/>
      <c r="DC1347" s="773"/>
      <c r="DD1347" s="773"/>
      <c r="DE1347" s="773"/>
      <c r="DF1347" s="773"/>
      <c r="DG1347" s="773"/>
      <c r="DH1347" s="773"/>
      <c r="DI1347" s="773"/>
      <c r="DJ1347" s="773"/>
      <c r="DK1347" s="773"/>
      <c r="DL1347" s="773"/>
      <c r="DM1347" s="773"/>
      <c r="DN1347" s="773"/>
      <c r="DO1347" s="773"/>
      <c r="DP1347" s="773"/>
      <c r="DQ1347" s="773"/>
      <c r="DR1347" s="773"/>
      <c r="DS1347" s="773"/>
      <c r="DT1347" s="773"/>
      <c r="DU1347" s="773"/>
      <c r="DV1347" s="773"/>
      <c r="DW1347" s="773"/>
      <c r="DX1347" s="773"/>
      <c r="DY1347" s="773"/>
      <c r="DZ1347" s="773"/>
      <c r="EA1347" s="773"/>
      <c r="EB1347" s="773"/>
      <c r="EC1347" s="773"/>
      <c r="ED1347" s="773"/>
      <c r="EE1347" s="773"/>
      <c r="EF1347" s="773"/>
      <c r="EG1347" s="773"/>
      <c r="EH1347" s="773"/>
      <c r="EI1347" s="773"/>
      <c r="EJ1347" s="773"/>
      <c r="EK1347" s="773"/>
      <c r="EL1347" s="773"/>
      <c r="EM1347" s="773"/>
      <c r="EN1347" s="773"/>
      <c r="EO1347" s="773"/>
      <c r="EP1347" s="773"/>
      <c r="EQ1347" s="773"/>
      <c r="ER1347" s="773"/>
      <c r="ES1347" s="773"/>
      <c r="ET1347" s="773"/>
      <c r="EU1347" s="773"/>
      <c r="EV1347" s="773"/>
      <c r="EW1347" s="773"/>
      <c r="EX1347" s="773"/>
      <c r="EY1347" s="773"/>
      <c r="EZ1347" s="773"/>
      <c r="FA1347" s="773"/>
      <c r="FB1347" s="773"/>
      <c r="FC1347" s="773"/>
      <c r="FD1347" s="773"/>
      <c r="FE1347" s="773"/>
      <c r="FF1347" s="773"/>
      <c r="FG1347" s="773"/>
      <c r="FH1347" s="773"/>
      <c r="FI1347" s="773"/>
      <c r="FJ1347" s="773"/>
      <c r="FK1347" s="773"/>
      <c r="FL1347" s="773"/>
      <c r="FM1347" s="773"/>
      <c r="FN1347" s="773"/>
      <c r="FO1347" s="773"/>
      <c r="FP1347" s="773"/>
      <c r="FQ1347" s="773"/>
      <c r="FR1347" s="773"/>
      <c r="FS1347" s="773"/>
      <c r="FT1347" s="773"/>
      <c r="FU1347" s="773"/>
      <c r="FV1347" s="773"/>
      <c r="FW1347" s="773"/>
      <c r="FX1347" s="773"/>
      <c r="FY1347" s="773"/>
      <c r="FZ1347" s="773"/>
      <c r="GA1347" s="773"/>
      <c r="GB1347" s="773"/>
      <c r="GC1347" s="773"/>
      <c r="GD1347" s="773"/>
      <c r="GE1347" s="773"/>
      <c r="GF1347" s="773"/>
      <c r="GG1347" s="773"/>
      <c r="GH1347" s="773"/>
      <c r="GI1347" s="773"/>
      <c r="GJ1347" s="773"/>
      <c r="GK1347" s="773"/>
      <c r="GL1347" s="773"/>
      <c r="GM1347" s="773"/>
      <c r="GN1347" s="773"/>
      <c r="GO1347" s="773"/>
      <c r="GP1347" s="773"/>
      <c r="GQ1347" s="773"/>
      <c r="GR1347" s="773"/>
      <c r="GS1347" s="773"/>
      <c r="GT1347" s="773"/>
      <c r="GU1347" s="773"/>
      <c r="GV1347" s="773"/>
      <c r="GW1347" s="773"/>
      <c r="GX1347" s="773"/>
      <c r="GY1347" s="773"/>
      <c r="GZ1347" s="773"/>
    </row>
    <row r="1348" spans="2:208" s="11" customFormat="1">
      <c r="B1348" s="775"/>
      <c r="C1348" s="826"/>
      <c r="D1348" s="775"/>
      <c r="K1348" s="209"/>
      <c r="M1348" s="771"/>
      <c r="N1348" s="772"/>
      <c r="O1348" s="772"/>
      <c r="P1348" s="772"/>
      <c r="Q1348" s="772"/>
      <c r="R1348" s="772"/>
      <c r="S1348" s="772"/>
      <c r="AW1348" s="2510"/>
      <c r="BC1348" s="2510"/>
      <c r="BD1348" s="2510"/>
      <c r="BE1348" s="2510"/>
      <c r="BF1348" s="2510"/>
      <c r="BH1348" s="2510"/>
      <c r="DB1348" s="773"/>
      <c r="DC1348" s="773"/>
      <c r="DD1348" s="773"/>
      <c r="DE1348" s="773"/>
      <c r="DF1348" s="773"/>
      <c r="DG1348" s="773"/>
      <c r="DH1348" s="773"/>
      <c r="DI1348" s="773"/>
      <c r="DJ1348" s="773"/>
      <c r="DK1348" s="773"/>
      <c r="DL1348" s="773"/>
      <c r="DM1348" s="773"/>
      <c r="DN1348" s="773"/>
      <c r="DO1348" s="773"/>
      <c r="DP1348" s="773"/>
      <c r="DQ1348" s="773"/>
      <c r="DR1348" s="773"/>
      <c r="DS1348" s="773"/>
      <c r="DT1348" s="773"/>
      <c r="DU1348" s="773"/>
      <c r="DV1348" s="773"/>
      <c r="DW1348" s="773"/>
      <c r="DX1348" s="773"/>
      <c r="DY1348" s="773"/>
      <c r="DZ1348" s="773"/>
      <c r="EA1348" s="773"/>
      <c r="EB1348" s="773"/>
      <c r="EC1348" s="773"/>
      <c r="ED1348" s="773"/>
      <c r="EE1348" s="773"/>
      <c r="EF1348" s="773"/>
      <c r="EG1348" s="773"/>
      <c r="EH1348" s="773"/>
      <c r="EI1348" s="773"/>
      <c r="EJ1348" s="773"/>
      <c r="EK1348" s="773"/>
      <c r="EL1348" s="773"/>
      <c r="EM1348" s="773"/>
      <c r="EN1348" s="773"/>
      <c r="EO1348" s="773"/>
      <c r="EP1348" s="773"/>
      <c r="EQ1348" s="773"/>
      <c r="ER1348" s="773"/>
      <c r="ES1348" s="773"/>
      <c r="ET1348" s="773"/>
      <c r="EU1348" s="773"/>
      <c r="EV1348" s="773"/>
      <c r="EW1348" s="773"/>
      <c r="EX1348" s="773"/>
      <c r="EY1348" s="773"/>
      <c r="EZ1348" s="773"/>
      <c r="FA1348" s="773"/>
      <c r="FB1348" s="773"/>
      <c r="FC1348" s="773"/>
      <c r="FD1348" s="773"/>
      <c r="FE1348" s="773"/>
      <c r="FF1348" s="773"/>
      <c r="FG1348" s="773"/>
      <c r="FH1348" s="773"/>
      <c r="FI1348" s="773"/>
      <c r="FJ1348" s="773"/>
      <c r="FK1348" s="773"/>
      <c r="FL1348" s="773"/>
      <c r="FM1348" s="773"/>
      <c r="FN1348" s="773"/>
      <c r="FO1348" s="773"/>
      <c r="FP1348" s="773"/>
      <c r="FQ1348" s="773"/>
      <c r="FR1348" s="773"/>
      <c r="FS1348" s="773"/>
      <c r="FT1348" s="773"/>
      <c r="FU1348" s="773"/>
      <c r="FV1348" s="773"/>
      <c r="FW1348" s="773"/>
      <c r="FX1348" s="773"/>
      <c r="FY1348" s="773"/>
      <c r="FZ1348" s="773"/>
      <c r="GA1348" s="773"/>
      <c r="GB1348" s="773"/>
      <c r="GC1348" s="773"/>
      <c r="GD1348" s="773"/>
      <c r="GE1348" s="773"/>
      <c r="GF1348" s="773"/>
      <c r="GG1348" s="773"/>
      <c r="GH1348" s="773"/>
      <c r="GI1348" s="773"/>
      <c r="GJ1348" s="773"/>
      <c r="GK1348" s="773"/>
      <c r="GL1348" s="773"/>
      <c r="GM1348" s="773"/>
      <c r="GN1348" s="773"/>
      <c r="GO1348" s="773"/>
      <c r="GP1348" s="773"/>
      <c r="GQ1348" s="773"/>
      <c r="GR1348" s="773"/>
      <c r="GS1348" s="773"/>
      <c r="GT1348" s="773"/>
      <c r="GU1348" s="773"/>
      <c r="GV1348" s="773"/>
      <c r="GW1348" s="773"/>
      <c r="GX1348" s="773"/>
      <c r="GY1348" s="773"/>
      <c r="GZ1348" s="773"/>
    </row>
    <row r="1349" spans="2:208" s="11" customFormat="1">
      <c r="B1349" s="775"/>
      <c r="C1349" s="826"/>
      <c r="D1349" s="775"/>
      <c r="K1349" s="209"/>
      <c r="M1349" s="771"/>
      <c r="N1349" s="772"/>
      <c r="O1349" s="772"/>
      <c r="P1349" s="772"/>
      <c r="Q1349" s="772"/>
      <c r="R1349" s="772"/>
      <c r="S1349" s="772"/>
      <c r="AW1349" s="2510"/>
      <c r="BC1349" s="2510"/>
      <c r="BD1349" s="2510"/>
      <c r="BE1349" s="2510"/>
      <c r="BF1349" s="2510"/>
      <c r="BH1349" s="2510"/>
      <c r="DB1349" s="773"/>
      <c r="DC1349" s="773"/>
      <c r="DD1349" s="773"/>
      <c r="DE1349" s="773"/>
      <c r="DF1349" s="773"/>
      <c r="DG1349" s="773"/>
      <c r="DH1349" s="773"/>
      <c r="DI1349" s="773"/>
      <c r="DJ1349" s="773"/>
      <c r="DK1349" s="773"/>
      <c r="DL1349" s="773"/>
      <c r="DM1349" s="773"/>
      <c r="DN1349" s="773"/>
      <c r="DO1349" s="773"/>
      <c r="DP1349" s="773"/>
      <c r="DQ1349" s="773"/>
      <c r="DR1349" s="773"/>
      <c r="DS1349" s="773"/>
      <c r="DT1349" s="773"/>
      <c r="DU1349" s="773"/>
      <c r="DV1349" s="773"/>
      <c r="DW1349" s="773"/>
      <c r="DX1349" s="773"/>
      <c r="DY1349" s="773"/>
      <c r="DZ1349" s="773"/>
      <c r="EA1349" s="773"/>
      <c r="EB1349" s="773"/>
      <c r="EC1349" s="773"/>
      <c r="ED1349" s="773"/>
      <c r="EE1349" s="773"/>
      <c r="EF1349" s="773"/>
      <c r="EG1349" s="773"/>
      <c r="EH1349" s="773"/>
      <c r="EI1349" s="773"/>
      <c r="EJ1349" s="773"/>
      <c r="EK1349" s="773"/>
      <c r="EL1349" s="773"/>
      <c r="EM1349" s="773"/>
      <c r="EN1349" s="773"/>
      <c r="EO1349" s="773"/>
      <c r="EP1349" s="773"/>
      <c r="EQ1349" s="773"/>
      <c r="ER1349" s="773"/>
      <c r="ES1349" s="773"/>
      <c r="ET1349" s="773"/>
      <c r="EU1349" s="773"/>
      <c r="EV1349" s="773"/>
      <c r="EW1349" s="773"/>
      <c r="EX1349" s="773"/>
      <c r="EY1349" s="773"/>
      <c r="EZ1349" s="773"/>
      <c r="FA1349" s="773"/>
      <c r="FB1349" s="773"/>
      <c r="FC1349" s="773"/>
      <c r="FD1349" s="773"/>
      <c r="FE1349" s="773"/>
      <c r="FF1349" s="773"/>
      <c r="FG1349" s="773"/>
      <c r="FH1349" s="773"/>
      <c r="FI1349" s="773"/>
      <c r="FJ1349" s="773"/>
      <c r="FK1349" s="773"/>
      <c r="FL1349" s="773"/>
      <c r="FM1349" s="773"/>
      <c r="FN1349" s="773"/>
      <c r="FO1349" s="773"/>
      <c r="FP1349" s="773"/>
      <c r="FQ1349" s="773"/>
      <c r="FR1349" s="773"/>
      <c r="FS1349" s="773"/>
      <c r="FT1349" s="773"/>
      <c r="FU1349" s="773"/>
      <c r="FV1349" s="773"/>
      <c r="FW1349" s="773"/>
      <c r="FX1349" s="773"/>
      <c r="FY1349" s="773"/>
      <c r="FZ1349" s="773"/>
      <c r="GA1349" s="773"/>
      <c r="GB1349" s="773"/>
      <c r="GC1349" s="773"/>
      <c r="GD1349" s="773"/>
      <c r="GE1349" s="773"/>
      <c r="GF1349" s="773"/>
      <c r="GG1349" s="773"/>
      <c r="GH1349" s="773"/>
      <c r="GI1349" s="773"/>
      <c r="GJ1349" s="773"/>
      <c r="GK1349" s="773"/>
      <c r="GL1349" s="773"/>
      <c r="GM1349" s="773"/>
      <c r="GN1349" s="773"/>
      <c r="GO1349" s="773"/>
      <c r="GP1349" s="773"/>
      <c r="GQ1349" s="773"/>
      <c r="GR1349" s="773"/>
      <c r="GS1349" s="773"/>
      <c r="GT1349" s="773"/>
      <c r="GU1349" s="773"/>
      <c r="GV1349" s="773"/>
      <c r="GW1349" s="773"/>
      <c r="GX1349" s="773"/>
      <c r="GY1349" s="773"/>
      <c r="GZ1349" s="773"/>
    </row>
    <row r="1350" spans="2:208" s="11" customFormat="1">
      <c r="B1350" s="775"/>
      <c r="C1350" s="826"/>
      <c r="D1350" s="775"/>
      <c r="K1350" s="209"/>
      <c r="M1350" s="771"/>
      <c r="N1350" s="772"/>
      <c r="O1350" s="772"/>
      <c r="P1350" s="772"/>
      <c r="Q1350" s="772"/>
      <c r="R1350" s="772"/>
      <c r="S1350" s="772"/>
      <c r="AW1350" s="2510"/>
      <c r="BC1350" s="2510"/>
      <c r="BD1350" s="2510"/>
      <c r="BE1350" s="2510"/>
      <c r="BF1350" s="2510"/>
      <c r="BH1350" s="2510"/>
      <c r="DB1350" s="773"/>
      <c r="DC1350" s="773"/>
      <c r="DD1350" s="773"/>
      <c r="DE1350" s="773"/>
      <c r="DF1350" s="773"/>
      <c r="DG1350" s="773"/>
      <c r="DH1350" s="773"/>
      <c r="DI1350" s="773"/>
      <c r="DJ1350" s="773"/>
      <c r="DK1350" s="773"/>
      <c r="DL1350" s="773"/>
      <c r="DM1350" s="773"/>
      <c r="DN1350" s="773"/>
      <c r="DO1350" s="773"/>
      <c r="DP1350" s="773"/>
      <c r="DQ1350" s="773"/>
      <c r="DR1350" s="773"/>
      <c r="DS1350" s="773"/>
      <c r="DT1350" s="773"/>
      <c r="DU1350" s="773"/>
      <c r="DV1350" s="773"/>
      <c r="DW1350" s="773"/>
      <c r="DX1350" s="773"/>
      <c r="DY1350" s="773"/>
      <c r="DZ1350" s="773"/>
      <c r="EA1350" s="773"/>
      <c r="EB1350" s="773"/>
      <c r="EC1350" s="773"/>
      <c r="ED1350" s="773"/>
      <c r="EE1350" s="773"/>
      <c r="EF1350" s="773"/>
      <c r="EG1350" s="773"/>
      <c r="EH1350" s="773"/>
      <c r="EI1350" s="773"/>
      <c r="EJ1350" s="773"/>
      <c r="EK1350" s="773"/>
      <c r="EL1350" s="773"/>
      <c r="EM1350" s="773"/>
      <c r="EN1350" s="773"/>
      <c r="EO1350" s="773"/>
      <c r="EP1350" s="773"/>
      <c r="EQ1350" s="773"/>
      <c r="ER1350" s="773"/>
      <c r="ES1350" s="773"/>
      <c r="ET1350" s="773"/>
      <c r="EU1350" s="773"/>
      <c r="EV1350" s="773"/>
      <c r="EW1350" s="773"/>
      <c r="EX1350" s="773"/>
      <c r="EY1350" s="773"/>
      <c r="EZ1350" s="773"/>
      <c r="FA1350" s="773"/>
      <c r="FB1350" s="773"/>
      <c r="FC1350" s="773"/>
      <c r="FD1350" s="773"/>
      <c r="FE1350" s="773"/>
      <c r="FF1350" s="773"/>
      <c r="FG1350" s="773"/>
      <c r="FH1350" s="773"/>
      <c r="FI1350" s="773"/>
      <c r="FJ1350" s="773"/>
      <c r="FK1350" s="773"/>
      <c r="FL1350" s="773"/>
      <c r="FM1350" s="773"/>
      <c r="FN1350" s="773"/>
      <c r="FO1350" s="773"/>
      <c r="FP1350" s="773"/>
      <c r="FQ1350" s="773"/>
      <c r="FR1350" s="773"/>
      <c r="FS1350" s="773"/>
      <c r="FT1350" s="773"/>
      <c r="FU1350" s="773"/>
      <c r="FV1350" s="773"/>
      <c r="FW1350" s="773"/>
      <c r="FX1350" s="773"/>
      <c r="FY1350" s="773"/>
      <c r="FZ1350" s="773"/>
      <c r="GA1350" s="773"/>
      <c r="GB1350" s="773"/>
      <c r="GC1350" s="773"/>
      <c r="GD1350" s="773"/>
      <c r="GE1350" s="773"/>
      <c r="GF1350" s="773"/>
      <c r="GG1350" s="773"/>
      <c r="GH1350" s="773"/>
      <c r="GI1350" s="773"/>
      <c r="GJ1350" s="773"/>
      <c r="GK1350" s="773"/>
      <c r="GL1350" s="773"/>
      <c r="GM1350" s="773"/>
      <c r="GN1350" s="773"/>
      <c r="GO1350" s="773"/>
      <c r="GP1350" s="773"/>
      <c r="GQ1350" s="773"/>
      <c r="GR1350" s="773"/>
      <c r="GS1350" s="773"/>
      <c r="GT1350" s="773"/>
      <c r="GU1350" s="773"/>
      <c r="GV1350" s="773"/>
      <c r="GW1350" s="773"/>
      <c r="GX1350" s="773"/>
      <c r="GY1350" s="773"/>
      <c r="GZ1350" s="773"/>
    </row>
    <row r="1351" spans="2:208" s="11" customFormat="1">
      <c r="B1351" s="775"/>
      <c r="C1351" s="826"/>
      <c r="D1351" s="775"/>
      <c r="K1351" s="209"/>
      <c r="M1351" s="771"/>
      <c r="N1351" s="772"/>
      <c r="O1351" s="772"/>
      <c r="P1351" s="772"/>
      <c r="Q1351" s="772"/>
      <c r="R1351" s="772"/>
      <c r="S1351" s="772"/>
      <c r="AW1351" s="2510"/>
      <c r="BC1351" s="2510"/>
      <c r="BD1351" s="2510"/>
      <c r="BE1351" s="2510"/>
      <c r="BF1351" s="2510"/>
      <c r="BH1351" s="2510"/>
      <c r="DB1351" s="773"/>
      <c r="DC1351" s="773"/>
      <c r="DD1351" s="773"/>
      <c r="DE1351" s="773"/>
      <c r="DF1351" s="773"/>
      <c r="DG1351" s="773"/>
      <c r="DH1351" s="773"/>
      <c r="DI1351" s="773"/>
      <c r="DJ1351" s="773"/>
      <c r="DK1351" s="773"/>
      <c r="DL1351" s="773"/>
      <c r="DM1351" s="773"/>
      <c r="DN1351" s="773"/>
      <c r="DO1351" s="773"/>
      <c r="DP1351" s="773"/>
      <c r="DQ1351" s="773"/>
      <c r="DR1351" s="773"/>
      <c r="DS1351" s="773"/>
      <c r="DT1351" s="773"/>
      <c r="DU1351" s="773"/>
      <c r="DV1351" s="773"/>
      <c r="DW1351" s="773"/>
      <c r="DX1351" s="773"/>
      <c r="DY1351" s="773"/>
      <c r="DZ1351" s="773"/>
      <c r="EA1351" s="773"/>
      <c r="EB1351" s="773"/>
      <c r="EC1351" s="773"/>
      <c r="ED1351" s="773"/>
      <c r="EE1351" s="773"/>
      <c r="EF1351" s="773"/>
      <c r="EG1351" s="773"/>
      <c r="EH1351" s="773"/>
      <c r="EI1351" s="773"/>
      <c r="EJ1351" s="773"/>
      <c r="EK1351" s="773"/>
      <c r="EL1351" s="773"/>
      <c r="EM1351" s="773"/>
      <c r="EN1351" s="773"/>
      <c r="EO1351" s="773"/>
      <c r="EP1351" s="773"/>
      <c r="EQ1351" s="773"/>
      <c r="ER1351" s="773"/>
      <c r="ES1351" s="773"/>
      <c r="ET1351" s="773"/>
      <c r="EU1351" s="773"/>
      <c r="EV1351" s="773"/>
      <c r="EW1351" s="773"/>
      <c r="EX1351" s="773"/>
      <c r="EY1351" s="773"/>
      <c r="EZ1351" s="773"/>
      <c r="FA1351" s="773"/>
      <c r="FB1351" s="773"/>
      <c r="FC1351" s="773"/>
      <c r="FD1351" s="773"/>
      <c r="FE1351" s="773"/>
      <c r="FF1351" s="773"/>
      <c r="FG1351" s="773"/>
      <c r="FH1351" s="773"/>
      <c r="FI1351" s="773"/>
      <c r="FJ1351" s="773"/>
      <c r="FK1351" s="773"/>
      <c r="FL1351" s="773"/>
      <c r="FM1351" s="773"/>
      <c r="FN1351" s="773"/>
      <c r="FO1351" s="773"/>
      <c r="FP1351" s="773"/>
      <c r="FQ1351" s="773"/>
      <c r="FR1351" s="773"/>
      <c r="FS1351" s="773"/>
      <c r="FT1351" s="773"/>
      <c r="FU1351" s="773"/>
      <c r="FV1351" s="773"/>
      <c r="FW1351" s="773"/>
      <c r="FX1351" s="773"/>
      <c r="FY1351" s="773"/>
      <c r="FZ1351" s="773"/>
      <c r="GA1351" s="773"/>
      <c r="GB1351" s="773"/>
      <c r="GC1351" s="773"/>
      <c r="GD1351" s="773"/>
      <c r="GE1351" s="773"/>
      <c r="GF1351" s="773"/>
      <c r="GG1351" s="773"/>
      <c r="GH1351" s="773"/>
      <c r="GI1351" s="773"/>
      <c r="GJ1351" s="773"/>
      <c r="GK1351" s="773"/>
      <c r="GL1351" s="773"/>
      <c r="GM1351" s="773"/>
      <c r="GN1351" s="773"/>
      <c r="GO1351" s="773"/>
      <c r="GP1351" s="773"/>
      <c r="GQ1351" s="773"/>
      <c r="GR1351" s="773"/>
      <c r="GS1351" s="773"/>
      <c r="GT1351" s="773"/>
      <c r="GU1351" s="773"/>
      <c r="GV1351" s="773"/>
      <c r="GW1351" s="773"/>
      <c r="GX1351" s="773"/>
      <c r="GY1351" s="773"/>
      <c r="GZ1351" s="773"/>
    </row>
    <row r="1352" spans="2:208" s="11" customFormat="1">
      <c r="B1352" s="775"/>
      <c r="C1352" s="826"/>
      <c r="D1352" s="775"/>
      <c r="K1352" s="209"/>
      <c r="M1352" s="771"/>
      <c r="N1352" s="772"/>
      <c r="O1352" s="772"/>
      <c r="P1352" s="772"/>
      <c r="Q1352" s="772"/>
      <c r="R1352" s="772"/>
      <c r="S1352" s="772"/>
      <c r="AW1352" s="2510"/>
      <c r="BC1352" s="2510"/>
      <c r="BD1352" s="2510"/>
      <c r="BE1352" s="2510"/>
      <c r="BF1352" s="2510"/>
      <c r="BH1352" s="2510"/>
      <c r="DB1352" s="773"/>
      <c r="DC1352" s="773"/>
      <c r="DD1352" s="773"/>
      <c r="DE1352" s="773"/>
      <c r="DF1352" s="773"/>
      <c r="DG1352" s="773"/>
      <c r="DH1352" s="773"/>
      <c r="DI1352" s="773"/>
      <c r="DJ1352" s="773"/>
      <c r="DK1352" s="773"/>
      <c r="DL1352" s="773"/>
      <c r="DM1352" s="773"/>
      <c r="DN1352" s="773"/>
      <c r="DO1352" s="773"/>
      <c r="DP1352" s="773"/>
      <c r="DQ1352" s="773"/>
      <c r="DR1352" s="773"/>
      <c r="DS1352" s="773"/>
      <c r="DT1352" s="773"/>
      <c r="DU1352" s="773"/>
      <c r="DV1352" s="773"/>
      <c r="DW1352" s="773"/>
      <c r="DX1352" s="773"/>
      <c r="DY1352" s="773"/>
      <c r="DZ1352" s="773"/>
      <c r="EA1352" s="773"/>
      <c r="EB1352" s="773"/>
      <c r="EC1352" s="773"/>
      <c r="ED1352" s="773"/>
      <c r="EE1352" s="773"/>
      <c r="EF1352" s="773"/>
      <c r="EG1352" s="773"/>
      <c r="EH1352" s="773"/>
      <c r="EI1352" s="773"/>
      <c r="EJ1352" s="773"/>
      <c r="EK1352" s="773"/>
      <c r="EL1352" s="773"/>
      <c r="EM1352" s="773"/>
      <c r="EN1352" s="773"/>
      <c r="EO1352" s="773"/>
      <c r="EP1352" s="773"/>
      <c r="EQ1352" s="773"/>
      <c r="ER1352" s="773"/>
      <c r="ES1352" s="773"/>
      <c r="ET1352" s="773"/>
      <c r="EU1352" s="773"/>
      <c r="EV1352" s="773"/>
      <c r="EW1352" s="773"/>
      <c r="EX1352" s="773"/>
      <c r="EY1352" s="773"/>
      <c r="EZ1352" s="773"/>
      <c r="FA1352" s="773"/>
      <c r="FB1352" s="773"/>
      <c r="FC1352" s="773"/>
      <c r="FD1352" s="773"/>
      <c r="FE1352" s="773"/>
      <c r="FF1352" s="773"/>
      <c r="FG1352" s="773"/>
      <c r="FH1352" s="773"/>
      <c r="FI1352" s="773"/>
      <c r="FJ1352" s="773"/>
      <c r="FK1352" s="773"/>
      <c r="FL1352" s="773"/>
      <c r="FM1352" s="773"/>
      <c r="FN1352" s="773"/>
      <c r="FO1352" s="773"/>
      <c r="FP1352" s="773"/>
      <c r="FQ1352" s="773"/>
      <c r="FR1352" s="773"/>
      <c r="FS1352" s="773"/>
      <c r="FT1352" s="773"/>
      <c r="FU1352" s="773"/>
      <c r="FV1352" s="773"/>
      <c r="FW1352" s="773"/>
      <c r="FX1352" s="773"/>
      <c r="FY1352" s="773"/>
      <c r="FZ1352" s="773"/>
      <c r="GA1352" s="773"/>
      <c r="GB1352" s="773"/>
      <c r="GC1352" s="773"/>
      <c r="GD1352" s="773"/>
      <c r="GE1352" s="773"/>
      <c r="GF1352" s="773"/>
      <c r="GG1352" s="773"/>
      <c r="GH1352" s="773"/>
      <c r="GI1352" s="773"/>
      <c r="GJ1352" s="773"/>
      <c r="GK1352" s="773"/>
      <c r="GL1352" s="773"/>
      <c r="GM1352" s="773"/>
      <c r="GN1352" s="773"/>
      <c r="GO1352" s="773"/>
      <c r="GP1352" s="773"/>
      <c r="GQ1352" s="773"/>
      <c r="GR1352" s="773"/>
      <c r="GS1352" s="773"/>
      <c r="GT1352" s="773"/>
      <c r="GU1352" s="773"/>
      <c r="GV1352" s="773"/>
      <c r="GW1352" s="773"/>
      <c r="GX1352" s="773"/>
      <c r="GY1352" s="773"/>
      <c r="GZ1352" s="773"/>
    </row>
    <row r="1353" spans="2:208" s="11" customFormat="1">
      <c r="B1353" s="775"/>
      <c r="C1353" s="826"/>
      <c r="D1353" s="775"/>
      <c r="K1353" s="209"/>
      <c r="M1353" s="771"/>
      <c r="N1353" s="772"/>
      <c r="O1353" s="772"/>
      <c r="P1353" s="772"/>
      <c r="Q1353" s="772"/>
      <c r="R1353" s="772"/>
      <c r="S1353" s="772"/>
      <c r="AW1353" s="2510"/>
      <c r="BC1353" s="2510"/>
      <c r="BD1353" s="2510"/>
      <c r="BE1353" s="2510"/>
      <c r="BF1353" s="2510"/>
      <c r="BH1353" s="2510"/>
      <c r="DB1353" s="773"/>
      <c r="DC1353" s="773"/>
      <c r="DD1353" s="773"/>
      <c r="DE1353" s="773"/>
      <c r="DF1353" s="773"/>
      <c r="DG1353" s="773"/>
      <c r="DH1353" s="773"/>
      <c r="DI1353" s="773"/>
      <c r="DJ1353" s="773"/>
      <c r="DK1353" s="773"/>
      <c r="DL1353" s="773"/>
      <c r="DM1353" s="773"/>
      <c r="DN1353" s="773"/>
      <c r="DO1353" s="773"/>
      <c r="DP1353" s="773"/>
      <c r="DQ1353" s="773"/>
      <c r="DR1353" s="773"/>
      <c r="DS1353" s="773"/>
      <c r="DT1353" s="773"/>
      <c r="DU1353" s="773"/>
      <c r="DV1353" s="773"/>
      <c r="DW1353" s="773"/>
      <c r="DX1353" s="773"/>
      <c r="DY1353" s="773"/>
      <c r="DZ1353" s="773"/>
      <c r="EA1353" s="773"/>
      <c r="EB1353" s="773"/>
      <c r="EC1353" s="773"/>
      <c r="ED1353" s="773"/>
      <c r="EE1353" s="773"/>
      <c r="EF1353" s="773"/>
      <c r="EG1353" s="773"/>
      <c r="EH1353" s="773"/>
      <c r="EI1353" s="773"/>
      <c r="EJ1353" s="773"/>
      <c r="EK1353" s="773"/>
      <c r="EL1353" s="773"/>
      <c r="EM1353" s="773"/>
      <c r="EN1353" s="773"/>
      <c r="EO1353" s="773"/>
      <c r="EP1353" s="773"/>
      <c r="EQ1353" s="773"/>
      <c r="ER1353" s="773"/>
      <c r="ES1353" s="773"/>
      <c r="ET1353" s="773"/>
      <c r="EU1353" s="773"/>
      <c r="EV1353" s="773"/>
      <c r="EW1353" s="773"/>
      <c r="EX1353" s="773"/>
      <c r="EY1353" s="773"/>
      <c r="EZ1353" s="773"/>
      <c r="FA1353" s="773"/>
      <c r="FB1353" s="773"/>
      <c r="FC1353" s="773"/>
      <c r="FD1353" s="773"/>
      <c r="FE1353" s="773"/>
      <c r="FF1353" s="773"/>
      <c r="FG1353" s="773"/>
      <c r="FH1353" s="773"/>
      <c r="FI1353" s="773"/>
      <c r="FJ1353" s="773"/>
      <c r="FK1353" s="773"/>
      <c r="FL1353" s="773"/>
      <c r="FM1353" s="773"/>
      <c r="FN1353" s="773"/>
      <c r="FO1353" s="773"/>
      <c r="FP1353" s="773"/>
      <c r="FQ1353" s="773"/>
      <c r="FR1353" s="773"/>
      <c r="FS1353" s="773"/>
      <c r="FT1353" s="773"/>
      <c r="FU1353" s="773"/>
      <c r="FV1353" s="773"/>
      <c r="FW1353" s="773"/>
      <c r="FX1353" s="773"/>
      <c r="FY1353" s="773"/>
      <c r="FZ1353" s="773"/>
      <c r="GA1353" s="773"/>
      <c r="GB1353" s="773"/>
      <c r="GC1353" s="773"/>
      <c r="GD1353" s="773"/>
      <c r="GE1353" s="773"/>
      <c r="GF1353" s="773"/>
      <c r="GG1353" s="773"/>
      <c r="GH1353" s="773"/>
      <c r="GI1353" s="773"/>
      <c r="GJ1353" s="773"/>
      <c r="GK1353" s="773"/>
      <c r="GL1353" s="773"/>
      <c r="GM1353" s="773"/>
      <c r="GN1353" s="773"/>
      <c r="GO1353" s="773"/>
      <c r="GP1353" s="773"/>
      <c r="GQ1353" s="773"/>
      <c r="GR1353" s="773"/>
      <c r="GS1353" s="773"/>
      <c r="GT1353" s="773"/>
      <c r="GU1353" s="773"/>
      <c r="GV1353" s="773"/>
      <c r="GW1353" s="773"/>
      <c r="GX1353" s="773"/>
      <c r="GY1353" s="773"/>
      <c r="GZ1353" s="773"/>
    </row>
    <row r="1354" spans="2:208" s="11" customFormat="1">
      <c r="B1354" s="775"/>
      <c r="C1354" s="826"/>
      <c r="D1354" s="775"/>
      <c r="K1354" s="209"/>
      <c r="M1354" s="771"/>
      <c r="N1354" s="772"/>
      <c r="O1354" s="772"/>
      <c r="P1354" s="772"/>
      <c r="Q1354" s="772"/>
      <c r="R1354" s="772"/>
      <c r="S1354" s="772"/>
      <c r="AW1354" s="2510"/>
      <c r="BC1354" s="2510"/>
      <c r="BD1354" s="2510"/>
      <c r="BE1354" s="2510"/>
      <c r="BF1354" s="2510"/>
      <c r="BH1354" s="2510"/>
      <c r="DB1354" s="773"/>
      <c r="DC1354" s="773"/>
      <c r="DD1354" s="773"/>
      <c r="DE1354" s="773"/>
      <c r="DF1354" s="773"/>
      <c r="DG1354" s="773"/>
      <c r="DH1354" s="773"/>
      <c r="DI1354" s="773"/>
      <c r="DJ1354" s="773"/>
      <c r="DK1354" s="773"/>
      <c r="DL1354" s="773"/>
      <c r="DM1354" s="773"/>
      <c r="DN1354" s="773"/>
      <c r="DO1354" s="773"/>
      <c r="DP1354" s="773"/>
      <c r="DQ1354" s="773"/>
      <c r="DR1354" s="773"/>
      <c r="DS1354" s="773"/>
      <c r="DT1354" s="773"/>
      <c r="DU1354" s="773"/>
      <c r="DV1354" s="773"/>
      <c r="DW1354" s="773"/>
      <c r="DX1354" s="773"/>
      <c r="DY1354" s="773"/>
      <c r="DZ1354" s="773"/>
      <c r="EA1354" s="773"/>
      <c r="EB1354" s="773"/>
      <c r="EC1354" s="773"/>
      <c r="ED1354" s="773"/>
      <c r="EE1354" s="773"/>
      <c r="EF1354" s="773"/>
      <c r="EG1354" s="773"/>
      <c r="EH1354" s="773"/>
      <c r="EI1354" s="773"/>
      <c r="EJ1354" s="773"/>
      <c r="EK1354" s="773"/>
      <c r="EL1354" s="773"/>
      <c r="EM1354" s="773"/>
      <c r="EN1354" s="773"/>
      <c r="EO1354" s="773"/>
      <c r="EP1354" s="773"/>
      <c r="EQ1354" s="773"/>
      <c r="ER1354" s="773"/>
      <c r="ES1354" s="773"/>
      <c r="ET1354" s="773"/>
      <c r="EU1354" s="773"/>
      <c r="EV1354" s="773"/>
      <c r="EW1354" s="773"/>
      <c r="EX1354" s="773"/>
      <c r="EY1354" s="773"/>
      <c r="EZ1354" s="773"/>
      <c r="FA1354" s="773"/>
      <c r="FB1354" s="773"/>
      <c r="FC1354" s="773"/>
      <c r="FD1354" s="773"/>
      <c r="FE1354" s="773"/>
      <c r="FF1354" s="773"/>
      <c r="FG1354" s="773"/>
      <c r="FH1354" s="773"/>
      <c r="FI1354" s="773"/>
      <c r="FJ1354" s="773"/>
      <c r="FK1354" s="773"/>
      <c r="FL1354" s="773"/>
      <c r="FM1354" s="773"/>
      <c r="FN1354" s="773"/>
      <c r="FO1354" s="773"/>
      <c r="FP1354" s="773"/>
      <c r="FQ1354" s="773"/>
      <c r="FR1354" s="773"/>
      <c r="FS1354" s="773"/>
      <c r="FT1354" s="773"/>
      <c r="FU1354" s="773"/>
      <c r="FV1354" s="773"/>
      <c r="FW1354" s="773"/>
      <c r="FX1354" s="773"/>
      <c r="FY1354" s="773"/>
      <c r="FZ1354" s="773"/>
      <c r="GA1354" s="773"/>
      <c r="GB1354" s="773"/>
      <c r="GC1354" s="773"/>
      <c r="GD1354" s="773"/>
      <c r="GE1354" s="773"/>
      <c r="GF1354" s="773"/>
      <c r="GG1354" s="773"/>
      <c r="GH1354" s="773"/>
      <c r="GI1354" s="773"/>
      <c r="GJ1354" s="773"/>
      <c r="GK1354" s="773"/>
      <c r="GL1354" s="773"/>
      <c r="GM1354" s="773"/>
      <c r="GN1354" s="773"/>
      <c r="GO1354" s="773"/>
      <c r="GP1354" s="773"/>
      <c r="GQ1354" s="773"/>
      <c r="GR1354" s="773"/>
      <c r="GS1354" s="773"/>
      <c r="GT1354" s="773"/>
      <c r="GU1354" s="773"/>
      <c r="GV1354" s="773"/>
      <c r="GW1354" s="773"/>
      <c r="GX1354" s="773"/>
      <c r="GY1354" s="773"/>
      <c r="GZ1354" s="773"/>
    </row>
    <row r="1355" spans="2:208" s="11" customFormat="1">
      <c r="B1355" s="775"/>
      <c r="C1355" s="826"/>
      <c r="D1355" s="775"/>
      <c r="K1355" s="209"/>
      <c r="M1355" s="771"/>
      <c r="N1355" s="772"/>
      <c r="O1355" s="772"/>
      <c r="P1355" s="772"/>
      <c r="Q1355" s="772"/>
      <c r="R1355" s="772"/>
      <c r="S1355" s="772"/>
      <c r="AW1355" s="2510"/>
      <c r="BC1355" s="2510"/>
      <c r="BD1355" s="2510"/>
      <c r="BE1355" s="2510"/>
      <c r="BF1355" s="2510"/>
      <c r="BH1355" s="2510"/>
      <c r="DB1355" s="773"/>
      <c r="DC1355" s="773"/>
      <c r="DD1355" s="773"/>
      <c r="DE1355" s="773"/>
      <c r="DF1355" s="773"/>
      <c r="DG1355" s="773"/>
      <c r="DH1355" s="773"/>
      <c r="DI1355" s="773"/>
      <c r="DJ1355" s="773"/>
      <c r="DK1355" s="773"/>
      <c r="DL1355" s="773"/>
      <c r="DM1355" s="773"/>
      <c r="DN1355" s="773"/>
      <c r="DO1355" s="773"/>
      <c r="DP1355" s="773"/>
      <c r="DQ1355" s="773"/>
      <c r="DR1355" s="773"/>
      <c r="DS1355" s="773"/>
      <c r="DT1355" s="773"/>
      <c r="DU1355" s="773"/>
      <c r="DV1355" s="773"/>
      <c r="DW1355" s="773"/>
      <c r="DX1355" s="773"/>
      <c r="DY1355" s="773"/>
      <c r="DZ1355" s="773"/>
      <c r="EA1355" s="773"/>
      <c r="EB1355" s="773"/>
      <c r="EC1355" s="773"/>
      <c r="ED1355" s="773"/>
      <c r="EE1355" s="773"/>
      <c r="EF1355" s="773"/>
      <c r="EG1355" s="773"/>
      <c r="EH1355" s="773"/>
      <c r="EI1355" s="773"/>
      <c r="EJ1355" s="773"/>
      <c r="EK1355" s="773"/>
      <c r="EL1355" s="773"/>
      <c r="EM1355" s="773"/>
      <c r="EN1355" s="773"/>
      <c r="EO1355" s="773"/>
      <c r="EP1355" s="773"/>
      <c r="EQ1355" s="773"/>
      <c r="ER1355" s="773"/>
      <c r="ES1355" s="773"/>
      <c r="ET1355" s="773"/>
      <c r="EU1355" s="773"/>
      <c r="EV1355" s="773"/>
      <c r="EW1355" s="773"/>
      <c r="EX1355" s="773"/>
      <c r="EY1355" s="773"/>
      <c r="EZ1355" s="773"/>
      <c r="FA1355" s="773"/>
      <c r="FB1355" s="773"/>
      <c r="FC1355" s="773"/>
      <c r="FD1355" s="773"/>
      <c r="FE1355" s="773"/>
      <c r="FF1355" s="773"/>
      <c r="FG1355" s="773"/>
      <c r="FH1355" s="773"/>
      <c r="FI1355" s="773"/>
      <c r="FJ1355" s="773"/>
      <c r="FK1355" s="773"/>
      <c r="FL1355" s="773"/>
      <c r="FM1355" s="773"/>
      <c r="FN1355" s="773"/>
      <c r="FO1355" s="773"/>
      <c r="FP1355" s="773"/>
      <c r="FQ1355" s="773"/>
      <c r="FR1355" s="773"/>
      <c r="FS1355" s="773"/>
      <c r="FT1355" s="773"/>
      <c r="FU1355" s="773"/>
      <c r="FV1355" s="773"/>
      <c r="FW1355" s="773"/>
      <c r="FX1355" s="773"/>
      <c r="FY1355" s="773"/>
      <c r="FZ1355" s="773"/>
      <c r="GA1355" s="773"/>
      <c r="GB1355" s="773"/>
      <c r="GC1355" s="773"/>
      <c r="GD1355" s="773"/>
      <c r="GE1355" s="773"/>
      <c r="GF1355" s="773"/>
      <c r="GG1355" s="773"/>
      <c r="GH1355" s="773"/>
      <c r="GI1355" s="773"/>
      <c r="GJ1355" s="773"/>
      <c r="GK1355" s="773"/>
      <c r="GL1355" s="773"/>
      <c r="GM1355" s="773"/>
      <c r="GN1355" s="773"/>
      <c r="GO1355" s="773"/>
      <c r="GP1355" s="773"/>
      <c r="GQ1355" s="773"/>
      <c r="GR1355" s="773"/>
      <c r="GS1355" s="773"/>
      <c r="GT1355" s="773"/>
      <c r="GU1355" s="773"/>
      <c r="GV1355" s="773"/>
      <c r="GW1355" s="773"/>
      <c r="GX1355" s="773"/>
      <c r="GY1355" s="773"/>
      <c r="GZ1355" s="773"/>
    </row>
    <row r="1356" spans="2:208" s="11" customFormat="1">
      <c r="B1356" s="775"/>
      <c r="C1356" s="826"/>
      <c r="D1356" s="775"/>
      <c r="K1356" s="209"/>
      <c r="M1356" s="771"/>
      <c r="N1356" s="772"/>
      <c r="O1356" s="772"/>
      <c r="P1356" s="772"/>
      <c r="Q1356" s="772"/>
      <c r="R1356" s="772"/>
      <c r="S1356" s="772"/>
      <c r="AW1356" s="2510"/>
      <c r="BC1356" s="2510"/>
      <c r="BD1356" s="2510"/>
      <c r="BE1356" s="2510"/>
      <c r="BF1356" s="2510"/>
      <c r="BH1356" s="2510"/>
      <c r="DB1356" s="773"/>
      <c r="DC1356" s="773"/>
      <c r="DD1356" s="773"/>
      <c r="DE1356" s="773"/>
      <c r="DF1356" s="773"/>
      <c r="DG1356" s="773"/>
      <c r="DH1356" s="773"/>
      <c r="DI1356" s="773"/>
      <c r="DJ1356" s="773"/>
      <c r="DK1356" s="773"/>
      <c r="DL1356" s="773"/>
      <c r="DM1356" s="773"/>
      <c r="DN1356" s="773"/>
      <c r="DO1356" s="773"/>
      <c r="DP1356" s="773"/>
      <c r="DQ1356" s="773"/>
      <c r="DR1356" s="773"/>
      <c r="DS1356" s="773"/>
      <c r="DT1356" s="773"/>
      <c r="DU1356" s="773"/>
      <c r="DV1356" s="773"/>
      <c r="DW1356" s="773"/>
      <c r="DX1356" s="773"/>
      <c r="DY1356" s="773"/>
      <c r="DZ1356" s="773"/>
      <c r="EA1356" s="773"/>
      <c r="EB1356" s="773"/>
      <c r="EC1356" s="773"/>
      <c r="ED1356" s="773"/>
      <c r="EE1356" s="773"/>
      <c r="EF1356" s="773"/>
      <c r="EG1356" s="773"/>
      <c r="EH1356" s="773"/>
      <c r="EI1356" s="773"/>
      <c r="EJ1356" s="773"/>
      <c r="EK1356" s="773"/>
      <c r="EL1356" s="773"/>
      <c r="EM1356" s="773"/>
      <c r="EN1356" s="773"/>
      <c r="EO1356" s="773"/>
      <c r="EP1356" s="773"/>
      <c r="EQ1356" s="773"/>
      <c r="ER1356" s="773"/>
      <c r="ES1356" s="773"/>
      <c r="ET1356" s="773"/>
      <c r="EU1356" s="773"/>
      <c r="EV1356" s="773"/>
      <c r="EW1356" s="773"/>
      <c r="EX1356" s="773"/>
      <c r="EY1356" s="773"/>
      <c r="EZ1356" s="773"/>
      <c r="FA1356" s="773"/>
      <c r="FB1356" s="773"/>
      <c r="FC1356" s="773"/>
      <c r="FD1356" s="773"/>
      <c r="FE1356" s="773"/>
      <c r="FF1356" s="773"/>
      <c r="FG1356" s="773"/>
      <c r="FH1356" s="773"/>
      <c r="FI1356" s="773"/>
      <c r="FJ1356" s="773"/>
      <c r="FK1356" s="773"/>
      <c r="FL1356" s="773"/>
      <c r="FM1356" s="773"/>
      <c r="FN1356" s="773"/>
      <c r="FO1356" s="773"/>
      <c r="FP1356" s="773"/>
      <c r="FQ1356" s="773"/>
      <c r="FR1356" s="773"/>
      <c r="FS1356" s="773"/>
      <c r="FT1356" s="773"/>
      <c r="FU1356" s="773"/>
      <c r="FV1356" s="773"/>
      <c r="FW1356" s="773"/>
      <c r="FX1356" s="773"/>
      <c r="FY1356" s="773"/>
      <c r="FZ1356" s="773"/>
      <c r="GA1356" s="773"/>
      <c r="GB1356" s="773"/>
      <c r="GC1356" s="773"/>
      <c r="GD1356" s="773"/>
      <c r="GE1356" s="773"/>
      <c r="GF1356" s="773"/>
      <c r="GG1356" s="773"/>
      <c r="GH1356" s="773"/>
      <c r="GI1356" s="773"/>
      <c r="GJ1356" s="773"/>
      <c r="GK1356" s="773"/>
      <c r="GL1356" s="773"/>
      <c r="GM1356" s="773"/>
      <c r="GN1356" s="773"/>
      <c r="GO1356" s="773"/>
      <c r="GP1356" s="773"/>
      <c r="GQ1356" s="773"/>
      <c r="GR1356" s="773"/>
      <c r="GS1356" s="773"/>
      <c r="GT1356" s="773"/>
      <c r="GU1356" s="773"/>
      <c r="GV1356" s="773"/>
      <c r="GW1356" s="773"/>
      <c r="GX1356" s="773"/>
      <c r="GY1356" s="773"/>
      <c r="GZ1356" s="773"/>
    </row>
    <row r="1357" spans="2:208" s="11" customFormat="1">
      <c r="B1357" s="775"/>
      <c r="C1357" s="826"/>
      <c r="D1357" s="775"/>
      <c r="K1357" s="209"/>
      <c r="M1357" s="771"/>
      <c r="N1357" s="772"/>
      <c r="O1357" s="772"/>
      <c r="P1357" s="772"/>
      <c r="Q1357" s="772"/>
      <c r="R1357" s="772"/>
      <c r="S1357" s="772"/>
      <c r="AW1357" s="2510"/>
      <c r="BC1357" s="2510"/>
      <c r="BD1357" s="2510"/>
      <c r="BE1357" s="2510"/>
      <c r="BF1357" s="2510"/>
      <c r="BH1357" s="2510"/>
      <c r="DB1357" s="773"/>
      <c r="DC1357" s="773"/>
      <c r="DD1357" s="773"/>
      <c r="DE1357" s="773"/>
      <c r="DF1357" s="773"/>
      <c r="DG1357" s="773"/>
      <c r="DH1357" s="773"/>
      <c r="DI1357" s="773"/>
      <c r="DJ1357" s="773"/>
      <c r="DK1357" s="773"/>
      <c r="DL1357" s="773"/>
      <c r="DM1357" s="773"/>
      <c r="DN1357" s="773"/>
      <c r="DO1357" s="773"/>
      <c r="DP1357" s="773"/>
      <c r="DQ1357" s="773"/>
      <c r="DR1357" s="773"/>
      <c r="DS1357" s="773"/>
      <c r="DT1357" s="773"/>
      <c r="DU1357" s="773"/>
      <c r="DV1357" s="773"/>
      <c r="DW1357" s="773"/>
      <c r="DX1357" s="773"/>
      <c r="DY1357" s="773"/>
      <c r="DZ1357" s="773"/>
      <c r="EA1357" s="773"/>
      <c r="EB1357" s="773"/>
      <c r="EC1357" s="773"/>
      <c r="ED1357" s="773"/>
      <c r="EE1357" s="773"/>
      <c r="EF1357" s="773"/>
      <c r="EG1357" s="773"/>
      <c r="EH1357" s="773"/>
      <c r="EI1357" s="773"/>
      <c r="EJ1357" s="773"/>
      <c r="EK1357" s="773"/>
      <c r="EL1357" s="773"/>
      <c r="EM1357" s="773"/>
      <c r="EN1357" s="773"/>
      <c r="EO1357" s="773"/>
      <c r="EP1357" s="773"/>
      <c r="EQ1357" s="773"/>
      <c r="ER1357" s="773"/>
      <c r="ES1357" s="773"/>
      <c r="ET1357" s="773"/>
      <c r="EU1357" s="773"/>
      <c r="EV1357" s="773"/>
      <c r="EW1357" s="773"/>
      <c r="EX1357" s="773"/>
      <c r="EY1357" s="773"/>
      <c r="EZ1357" s="773"/>
      <c r="FA1357" s="773"/>
      <c r="FB1357" s="773"/>
      <c r="FC1357" s="773"/>
      <c r="FD1357" s="773"/>
      <c r="FE1357" s="773"/>
      <c r="FF1357" s="773"/>
      <c r="FG1357" s="773"/>
      <c r="FH1357" s="773"/>
      <c r="FI1357" s="773"/>
      <c r="FJ1357" s="773"/>
      <c r="FK1357" s="773"/>
      <c r="FL1357" s="773"/>
      <c r="FM1357" s="773"/>
      <c r="FN1357" s="773"/>
      <c r="FO1357" s="773"/>
      <c r="FP1357" s="773"/>
      <c r="FQ1357" s="773"/>
      <c r="FR1357" s="773"/>
      <c r="FS1357" s="773"/>
      <c r="FT1357" s="773"/>
      <c r="FU1357" s="773"/>
      <c r="FV1357" s="773"/>
      <c r="FW1357" s="773"/>
      <c r="FX1357" s="773"/>
      <c r="FY1357" s="773"/>
      <c r="FZ1357" s="773"/>
      <c r="GA1357" s="773"/>
      <c r="GB1357" s="773"/>
      <c r="GC1357" s="773"/>
      <c r="GD1357" s="773"/>
      <c r="GE1357" s="773"/>
      <c r="GF1357" s="773"/>
      <c r="GG1357" s="773"/>
      <c r="GH1357" s="773"/>
      <c r="GI1357" s="773"/>
      <c r="GJ1357" s="773"/>
      <c r="GK1357" s="773"/>
      <c r="GL1357" s="773"/>
      <c r="GM1357" s="773"/>
      <c r="GN1357" s="773"/>
      <c r="GO1357" s="773"/>
      <c r="GP1357" s="773"/>
      <c r="GQ1357" s="773"/>
      <c r="GR1357" s="773"/>
      <c r="GS1357" s="773"/>
      <c r="GT1357" s="773"/>
      <c r="GU1357" s="773"/>
      <c r="GV1357" s="773"/>
      <c r="GW1357" s="773"/>
      <c r="GX1357" s="773"/>
      <c r="GY1357" s="773"/>
      <c r="GZ1357" s="773"/>
    </row>
    <row r="1358" spans="2:208" s="11" customFormat="1">
      <c r="B1358" s="775"/>
      <c r="C1358" s="826"/>
      <c r="D1358" s="775"/>
      <c r="K1358" s="209"/>
      <c r="M1358" s="771"/>
      <c r="N1358" s="772"/>
      <c r="O1358" s="772"/>
      <c r="P1358" s="772"/>
      <c r="Q1358" s="772"/>
      <c r="R1358" s="772"/>
      <c r="S1358" s="772"/>
      <c r="AW1358" s="2510"/>
      <c r="BC1358" s="2510"/>
      <c r="BD1358" s="2510"/>
      <c r="BE1358" s="2510"/>
      <c r="BF1358" s="2510"/>
      <c r="BH1358" s="2510"/>
      <c r="DB1358" s="773"/>
      <c r="DC1358" s="773"/>
      <c r="DD1358" s="773"/>
      <c r="DE1358" s="773"/>
      <c r="DF1358" s="773"/>
      <c r="DG1358" s="773"/>
      <c r="DH1358" s="773"/>
      <c r="DI1358" s="773"/>
      <c r="DJ1358" s="773"/>
      <c r="DK1358" s="773"/>
      <c r="DL1358" s="773"/>
      <c r="DM1358" s="773"/>
      <c r="DN1358" s="773"/>
      <c r="DO1358" s="773"/>
      <c r="DP1358" s="773"/>
      <c r="DQ1358" s="773"/>
      <c r="DR1358" s="773"/>
      <c r="DS1358" s="773"/>
      <c r="DT1358" s="773"/>
      <c r="DU1358" s="773"/>
      <c r="DV1358" s="773"/>
      <c r="DW1358" s="773"/>
      <c r="DX1358" s="773"/>
      <c r="DY1358" s="773"/>
      <c r="DZ1358" s="773"/>
      <c r="EA1358" s="773"/>
      <c r="EB1358" s="773"/>
      <c r="EC1358" s="773"/>
      <c r="ED1358" s="773"/>
      <c r="EE1358" s="773"/>
      <c r="EF1358" s="773"/>
      <c r="EG1358" s="773"/>
      <c r="EH1358" s="773"/>
      <c r="EI1358" s="773"/>
      <c r="EJ1358" s="773"/>
      <c r="EK1358" s="773"/>
      <c r="EL1358" s="773"/>
      <c r="EM1358" s="773"/>
      <c r="EN1358" s="773"/>
      <c r="EO1358" s="773"/>
      <c r="EP1358" s="773"/>
      <c r="EQ1358" s="773"/>
      <c r="ER1358" s="773"/>
      <c r="ES1358" s="773"/>
      <c r="ET1358" s="773"/>
      <c r="EU1358" s="773"/>
      <c r="EV1358" s="773"/>
      <c r="EW1358" s="773"/>
      <c r="EX1358" s="773"/>
      <c r="EY1358" s="773"/>
      <c r="EZ1358" s="773"/>
      <c r="FA1358" s="773"/>
      <c r="FB1358" s="773"/>
      <c r="FC1358" s="773"/>
      <c r="FD1358" s="773"/>
      <c r="FE1358" s="773"/>
      <c r="FF1358" s="773"/>
      <c r="FG1358" s="773"/>
      <c r="FH1358" s="773"/>
      <c r="FI1358" s="773"/>
      <c r="FJ1358" s="773"/>
      <c r="FK1358" s="773"/>
      <c r="FL1358" s="773"/>
      <c r="FM1358" s="773"/>
      <c r="FN1358" s="773"/>
      <c r="FO1358" s="773"/>
      <c r="FP1358" s="773"/>
      <c r="FQ1358" s="773"/>
      <c r="FR1358" s="773"/>
      <c r="FS1358" s="773"/>
      <c r="FT1358" s="773"/>
      <c r="FU1358" s="773"/>
      <c r="FV1358" s="773"/>
      <c r="FW1358" s="773"/>
      <c r="FX1358" s="773"/>
      <c r="FY1358" s="773"/>
      <c r="FZ1358" s="773"/>
      <c r="GA1358" s="773"/>
      <c r="GB1358" s="773"/>
      <c r="GC1358" s="773"/>
      <c r="GD1358" s="773"/>
      <c r="GE1358" s="773"/>
      <c r="GF1358" s="773"/>
      <c r="GG1358" s="773"/>
      <c r="GH1358" s="773"/>
      <c r="GI1358" s="773"/>
      <c r="GJ1358" s="773"/>
      <c r="GK1358" s="773"/>
      <c r="GL1358" s="773"/>
      <c r="GM1358" s="773"/>
      <c r="GN1358" s="773"/>
      <c r="GO1358" s="773"/>
      <c r="GP1358" s="773"/>
      <c r="GQ1358" s="773"/>
      <c r="GR1358" s="773"/>
      <c r="GS1358" s="773"/>
      <c r="GT1358" s="773"/>
      <c r="GU1358" s="773"/>
      <c r="GV1358" s="773"/>
      <c r="GW1358" s="773"/>
      <c r="GX1358" s="773"/>
      <c r="GY1358" s="773"/>
      <c r="GZ1358" s="773"/>
    </row>
    <row r="1359" spans="2:208" s="11" customFormat="1">
      <c r="B1359" s="775"/>
      <c r="C1359" s="826"/>
      <c r="D1359" s="775"/>
      <c r="K1359" s="209"/>
      <c r="M1359" s="771"/>
      <c r="N1359" s="772"/>
      <c r="O1359" s="772"/>
      <c r="P1359" s="772"/>
      <c r="Q1359" s="772"/>
      <c r="R1359" s="772"/>
      <c r="S1359" s="772"/>
      <c r="AW1359" s="2510"/>
      <c r="BC1359" s="2510"/>
      <c r="BD1359" s="2510"/>
      <c r="BE1359" s="2510"/>
      <c r="BF1359" s="2510"/>
      <c r="BH1359" s="2510"/>
      <c r="DB1359" s="773"/>
      <c r="DC1359" s="773"/>
      <c r="DD1359" s="773"/>
      <c r="DE1359" s="773"/>
      <c r="DF1359" s="773"/>
      <c r="DG1359" s="773"/>
      <c r="DH1359" s="773"/>
      <c r="DI1359" s="773"/>
      <c r="DJ1359" s="773"/>
      <c r="DK1359" s="773"/>
      <c r="DL1359" s="773"/>
      <c r="DM1359" s="773"/>
      <c r="DN1359" s="773"/>
      <c r="DO1359" s="773"/>
      <c r="DP1359" s="773"/>
      <c r="DQ1359" s="773"/>
      <c r="DR1359" s="773"/>
      <c r="DS1359" s="773"/>
      <c r="DT1359" s="773"/>
      <c r="DU1359" s="773"/>
      <c r="DV1359" s="773"/>
      <c r="DW1359" s="773"/>
      <c r="DX1359" s="773"/>
      <c r="DY1359" s="773"/>
      <c r="DZ1359" s="773"/>
      <c r="EA1359" s="773"/>
      <c r="EB1359" s="773"/>
      <c r="EC1359" s="773"/>
      <c r="ED1359" s="773"/>
      <c r="EE1359" s="773"/>
      <c r="EF1359" s="773"/>
      <c r="EG1359" s="773"/>
      <c r="EH1359" s="773"/>
      <c r="EI1359" s="773"/>
      <c r="EJ1359" s="773"/>
      <c r="EK1359" s="773"/>
      <c r="EL1359" s="773"/>
      <c r="EM1359" s="773"/>
      <c r="EN1359" s="773"/>
      <c r="EO1359" s="773"/>
      <c r="EP1359" s="773"/>
      <c r="EQ1359" s="773"/>
      <c r="ER1359" s="773"/>
      <c r="ES1359" s="773"/>
      <c r="ET1359" s="773"/>
      <c r="EU1359" s="773"/>
      <c r="EV1359" s="773"/>
      <c r="EW1359" s="773"/>
      <c r="EX1359" s="773"/>
      <c r="EY1359" s="773"/>
      <c r="EZ1359" s="773"/>
      <c r="FA1359" s="773"/>
      <c r="FB1359" s="773"/>
      <c r="FC1359" s="773"/>
      <c r="FD1359" s="773"/>
      <c r="FE1359" s="773"/>
      <c r="FF1359" s="773"/>
      <c r="FG1359" s="773"/>
      <c r="FH1359" s="773"/>
      <c r="FI1359" s="773"/>
      <c r="FJ1359" s="773"/>
      <c r="FK1359" s="773"/>
      <c r="FL1359" s="773"/>
      <c r="FM1359" s="773"/>
      <c r="FN1359" s="773"/>
      <c r="FO1359" s="773"/>
      <c r="FP1359" s="773"/>
      <c r="FQ1359" s="773"/>
      <c r="FR1359" s="773"/>
      <c r="FS1359" s="773"/>
      <c r="FT1359" s="773"/>
      <c r="FU1359" s="773"/>
      <c r="FV1359" s="773"/>
      <c r="FW1359" s="773"/>
      <c r="FX1359" s="773"/>
      <c r="FY1359" s="773"/>
      <c r="FZ1359" s="773"/>
      <c r="GA1359" s="773"/>
      <c r="GB1359" s="773"/>
      <c r="GC1359" s="773"/>
      <c r="GD1359" s="773"/>
      <c r="GE1359" s="773"/>
      <c r="GF1359" s="773"/>
      <c r="GG1359" s="773"/>
      <c r="GH1359" s="773"/>
      <c r="GI1359" s="773"/>
      <c r="GJ1359" s="773"/>
      <c r="GK1359" s="773"/>
      <c r="GL1359" s="773"/>
      <c r="GM1359" s="773"/>
      <c r="GN1359" s="773"/>
      <c r="GO1359" s="773"/>
      <c r="GP1359" s="773"/>
      <c r="GQ1359" s="773"/>
      <c r="GR1359" s="773"/>
      <c r="GS1359" s="773"/>
      <c r="GT1359" s="773"/>
      <c r="GU1359" s="773"/>
      <c r="GV1359" s="773"/>
      <c r="GW1359" s="773"/>
      <c r="GX1359" s="773"/>
      <c r="GY1359" s="773"/>
      <c r="GZ1359" s="773"/>
    </row>
    <row r="1360" spans="2:208" s="11" customFormat="1">
      <c r="B1360" s="775"/>
      <c r="C1360" s="826"/>
      <c r="D1360" s="775"/>
      <c r="K1360" s="209"/>
      <c r="M1360" s="771"/>
      <c r="N1360" s="772"/>
      <c r="O1360" s="772"/>
      <c r="P1360" s="772"/>
      <c r="Q1360" s="772"/>
      <c r="R1360" s="772"/>
      <c r="S1360" s="772"/>
      <c r="AW1360" s="2510"/>
      <c r="BC1360" s="2510"/>
      <c r="BD1360" s="2510"/>
      <c r="BE1360" s="2510"/>
      <c r="BF1360" s="2510"/>
      <c r="BH1360" s="2510"/>
      <c r="DB1360" s="773"/>
      <c r="DC1360" s="773"/>
      <c r="DD1360" s="773"/>
      <c r="DE1360" s="773"/>
      <c r="DF1360" s="773"/>
      <c r="DG1360" s="773"/>
      <c r="DH1360" s="773"/>
      <c r="DI1360" s="773"/>
      <c r="DJ1360" s="773"/>
      <c r="DK1360" s="773"/>
      <c r="DL1360" s="773"/>
      <c r="DM1360" s="773"/>
      <c r="DN1360" s="773"/>
      <c r="DO1360" s="773"/>
      <c r="DP1360" s="773"/>
      <c r="DQ1360" s="773"/>
      <c r="DR1360" s="773"/>
      <c r="DS1360" s="773"/>
      <c r="DT1360" s="773"/>
      <c r="DU1360" s="773"/>
      <c r="DV1360" s="773"/>
      <c r="DW1360" s="773"/>
      <c r="DX1360" s="773"/>
      <c r="DY1360" s="773"/>
      <c r="DZ1360" s="773"/>
      <c r="EA1360" s="773"/>
      <c r="EB1360" s="773"/>
      <c r="EC1360" s="773"/>
      <c r="ED1360" s="773"/>
      <c r="EE1360" s="773"/>
      <c r="EF1360" s="773"/>
      <c r="EG1360" s="773"/>
      <c r="EH1360" s="773"/>
      <c r="EI1360" s="773"/>
      <c r="EJ1360" s="773"/>
      <c r="EK1360" s="773"/>
      <c r="EL1360" s="773"/>
      <c r="EM1360" s="773"/>
      <c r="EN1360" s="773"/>
      <c r="EO1360" s="773"/>
      <c r="EP1360" s="773"/>
      <c r="EQ1360" s="773"/>
      <c r="ER1360" s="773"/>
      <c r="ES1360" s="773"/>
      <c r="ET1360" s="773"/>
      <c r="EU1360" s="773"/>
      <c r="EV1360" s="773"/>
      <c r="EW1360" s="773"/>
      <c r="EX1360" s="773"/>
      <c r="EY1360" s="773"/>
      <c r="EZ1360" s="773"/>
      <c r="FA1360" s="773"/>
      <c r="FB1360" s="773"/>
      <c r="FC1360" s="773"/>
      <c r="FD1360" s="773"/>
      <c r="FE1360" s="773"/>
      <c r="FF1360" s="773"/>
      <c r="FG1360" s="773"/>
      <c r="FH1360" s="773"/>
      <c r="FI1360" s="773"/>
      <c r="FJ1360" s="773"/>
      <c r="FK1360" s="773"/>
      <c r="FL1360" s="773"/>
      <c r="FM1360" s="773"/>
      <c r="FN1360" s="773"/>
      <c r="FO1360" s="773"/>
      <c r="FP1360" s="773"/>
      <c r="FQ1360" s="773"/>
      <c r="FR1360" s="773"/>
      <c r="FS1360" s="773"/>
      <c r="FT1360" s="773"/>
      <c r="FU1360" s="773"/>
      <c r="FV1360" s="773"/>
      <c r="FW1360" s="773"/>
      <c r="FX1360" s="773"/>
      <c r="FY1360" s="773"/>
      <c r="FZ1360" s="773"/>
      <c r="GA1360" s="773"/>
      <c r="GB1360" s="773"/>
      <c r="GC1360" s="773"/>
      <c r="GD1360" s="773"/>
      <c r="GE1360" s="773"/>
      <c r="GF1360" s="773"/>
      <c r="GG1360" s="773"/>
      <c r="GH1360" s="773"/>
      <c r="GI1360" s="773"/>
      <c r="GJ1360" s="773"/>
      <c r="GK1360" s="773"/>
      <c r="GL1360" s="773"/>
      <c r="GM1360" s="773"/>
      <c r="GN1360" s="773"/>
      <c r="GO1360" s="773"/>
      <c r="GP1360" s="773"/>
      <c r="GQ1360" s="773"/>
      <c r="GR1360" s="773"/>
      <c r="GS1360" s="773"/>
      <c r="GT1360" s="773"/>
      <c r="GU1360" s="773"/>
      <c r="GV1360" s="773"/>
      <c r="GW1360" s="773"/>
      <c r="GX1360" s="773"/>
      <c r="GY1360" s="773"/>
      <c r="GZ1360" s="773"/>
    </row>
    <row r="1361" spans="1:208" s="11" customFormat="1">
      <c r="B1361" s="775"/>
      <c r="C1361" s="826"/>
      <c r="D1361" s="775"/>
      <c r="K1361" s="209"/>
      <c r="M1361" s="771"/>
      <c r="N1361" s="772"/>
      <c r="O1361" s="772"/>
      <c r="P1361" s="772"/>
      <c r="Q1361" s="772"/>
      <c r="R1361" s="772"/>
      <c r="S1361" s="772"/>
      <c r="AW1361" s="2510"/>
      <c r="BC1361" s="2510"/>
      <c r="BD1361" s="2510"/>
      <c r="BE1361" s="2510"/>
      <c r="BF1361" s="2510"/>
      <c r="BH1361" s="2510"/>
      <c r="DB1361" s="773"/>
      <c r="DC1361" s="773"/>
      <c r="DD1361" s="773"/>
      <c r="DE1361" s="773"/>
      <c r="DF1361" s="773"/>
      <c r="DG1361" s="773"/>
      <c r="DH1361" s="773"/>
      <c r="DI1361" s="773"/>
      <c r="DJ1361" s="773"/>
      <c r="DK1361" s="773"/>
      <c r="DL1361" s="773"/>
      <c r="DM1361" s="773"/>
      <c r="DN1361" s="773"/>
      <c r="DO1361" s="773"/>
      <c r="DP1361" s="773"/>
      <c r="DQ1361" s="773"/>
      <c r="DR1361" s="773"/>
      <c r="DS1361" s="773"/>
      <c r="DT1361" s="773"/>
      <c r="DU1361" s="773"/>
      <c r="DV1361" s="773"/>
      <c r="DW1361" s="773"/>
      <c r="DX1361" s="773"/>
      <c r="DY1361" s="773"/>
      <c r="DZ1361" s="773"/>
      <c r="EA1361" s="773"/>
      <c r="EB1361" s="773"/>
      <c r="EC1361" s="773"/>
      <c r="ED1361" s="773"/>
      <c r="EE1361" s="773"/>
      <c r="EF1361" s="773"/>
      <c r="EG1361" s="773"/>
      <c r="EH1361" s="773"/>
      <c r="EI1361" s="773"/>
      <c r="EJ1361" s="773"/>
      <c r="EK1361" s="773"/>
      <c r="EL1361" s="773"/>
      <c r="EM1361" s="773"/>
      <c r="EN1361" s="773"/>
      <c r="EO1361" s="773"/>
      <c r="EP1361" s="773"/>
      <c r="EQ1361" s="773"/>
      <c r="ER1361" s="773"/>
      <c r="ES1361" s="773"/>
      <c r="ET1361" s="773"/>
      <c r="EU1361" s="773"/>
      <c r="EV1361" s="773"/>
      <c r="EW1361" s="773"/>
      <c r="EX1361" s="773"/>
      <c r="EY1361" s="773"/>
      <c r="EZ1361" s="773"/>
      <c r="FA1361" s="773"/>
      <c r="FB1361" s="773"/>
      <c r="FC1361" s="773"/>
      <c r="FD1361" s="773"/>
      <c r="FE1361" s="773"/>
      <c r="FF1361" s="773"/>
      <c r="FG1361" s="773"/>
      <c r="FH1361" s="773"/>
      <c r="FI1361" s="773"/>
      <c r="FJ1361" s="773"/>
      <c r="FK1361" s="773"/>
      <c r="FL1361" s="773"/>
      <c r="FM1361" s="773"/>
      <c r="FN1361" s="773"/>
      <c r="FO1361" s="773"/>
      <c r="FP1361" s="773"/>
      <c r="FQ1361" s="773"/>
      <c r="FR1361" s="773"/>
      <c r="FS1361" s="773"/>
      <c r="FT1361" s="773"/>
      <c r="FU1361" s="773"/>
      <c r="FV1361" s="773"/>
      <c r="FW1361" s="773"/>
      <c r="FX1361" s="773"/>
      <c r="FY1361" s="773"/>
      <c r="FZ1361" s="773"/>
      <c r="GA1361" s="773"/>
      <c r="GB1361" s="773"/>
      <c r="GC1361" s="773"/>
      <c r="GD1361" s="773"/>
      <c r="GE1361" s="773"/>
      <c r="GF1361" s="773"/>
      <c r="GG1361" s="773"/>
      <c r="GH1361" s="773"/>
      <c r="GI1361" s="773"/>
      <c r="GJ1361" s="773"/>
      <c r="GK1361" s="773"/>
      <c r="GL1361" s="773"/>
      <c r="GM1361" s="773"/>
      <c r="GN1361" s="773"/>
      <c r="GO1361" s="773"/>
      <c r="GP1361" s="773"/>
      <c r="GQ1361" s="773"/>
      <c r="GR1361" s="773"/>
      <c r="GS1361" s="773"/>
      <c r="GT1361" s="773"/>
      <c r="GU1361" s="773"/>
      <c r="GV1361" s="773"/>
      <c r="GW1361" s="773"/>
      <c r="GX1361" s="773"/>
      <c r="GY1361" s="773"/>
      <c r="GZ1361" s="773"/>
    </row>
    <row r="1362" spans="1:208" s="11" customFormat="1">
      <c r="B1362" s="775"/>
      <c r="C1362" s="826"/>
      <c r="D1362" s="775"/>
      <c r="K1362" s="209"/>
      <c r="M1362" s="771"/>
      <c r="N1362" s="772"/>
      <c r="O1362" s="772"/>
      <c r="P1362" s="772"/>
      <c r="Q1362" s="772"/>
      <c r="R1362" s="772"/>
      <c r="S1362" s="772"/>
      <c r="AW1362" s="2510"/>
      <c r="BC1362" s="2510"/>
      <c r="BD1362" s="2510"/>
      <c r="BE1362" s="2510"/>
      <c r="BF1362" s="2510"/>
      <c r="BH1362" s="2510"/>
      <c r="DB1362" s="773"/>
      <c r="DC1362" s="773"/>
      <c r="DD1362" s="773"/>
      <c r="DE1362" s="773"/>
      <c r="DF1362" s="773"/>
      <c r="DG1362" s="773"/>
      <c r="DH1362" s="773"/>
      <c r="DI1362" s="773"/>
      <c r="DJ1362" s="773"/>
      <c r="DK1362" s="773"/>
      <c r="DL1362" s="773"/>
      <c r="DM1362" s="773"/>
      <c r="DN1362" s="773"/>
      <c r="DO1362" s="773"/>
      <c r="DP1362" s="773"/>
      <c r="DQ1362" s="773"/>
      <c r="DR1362" s="773"/>
      <c r="DS1362" s="773"/>
      <c r="DT1362" s="773"/>
      <c r="DU1362" s="773"/>
      <c r="DV1362" s="773"/>
      <c r="DW1362" s="773"/>
      <c r="DX1362" s="773"/>
      <c r="DY1362" s="773"/>
      <c r="DZ1362" s="773"/>
      <c r="EA1362" s="773"/>
      <c r="EB1362" s="773"/>
      <c r="EC1362" s="773"/>
      <c r="ED1362" s="773"/>
      <c r="EE1362" s="773"/>
      <c r="EF1362" s="773"/>
      <c r="EG1362" s="773"/>
      <c r="EH1362" s="773"/>
      <c r="EI1362" s="773"/>
      <c r="EJ1362" s="773"/>
      <c r="EK1362" s="773"/>
      <c r="EL1362" s="773"/>
      <c r="EM1362" s="773"/>
      <c r="EN1362" s="773"/>
      <c r="EO1362" s="773"/>
      <c r="EP1362" s="773"/>
      <c r="EQ1362" s="773"/>
      <c r="ER1362" s="773"/>
      <c r="ES1362" s="773"/>
      <c r="ET1362" s="773"/>
      <c r="EU1362" s="773"/>
      <c r="EV1362" s="773"/>
      <c r="EW1362" s="773"/>
      <c r="EX1362" s="773"/>
      <c r="EY1362" s="773"/>
      <c r="EZ1362" s="773"/>
      <c r="FA1362" s="773"/>
      <c r="FB1362" s="773"/>
      <c r="FC1362" s="773"/>
      <c r="FD1362" s="773"/>
      <c r="FE1362" s="773"/>
      <c r="FF1362" s="773"/>
      <c r="FG1362" s="773"/>
      <c r="FH1362" s="773"/>
      <c r="FI1362" s="773"/>
      <c r="FJ1362" s="773"/>
      <c r="FK1362" s="773"/>
      <c r="FL1362" s="773"/>
      <c r="FM1362" s="773"/>
      <c r="FN1362" s="773"/>
      <c r="FO1362" s="773"/>
      <c r="FP1362" s="773"/>
      <c r="FQ1362" s="773"/>
      <c r="FR1362" s="773"/>
      <c r="FS1362" s="773"/>
      <c r="FT1362" s="773"/>
      <c r="FU1362" s="773"/>
      <c r="FV1362" s="773"/>
      <c r="FW1362" s="773"/>
      <c r="FX1362" s="773"/>
      <c r="FY1362" s="773"/>
      <c r="FZ1362" s="773"/>
      <c r="GA1362" s="773"/>
      <c r="GB1362" s="773"/>
      <c r="GC1362" s="773"/>
      <c r="GD1362" s="773"/>
      <c r="GE1362" s="773"/>
      <c r="GF1362" s="773"/>
      <c r="GG1362" s="773"/>
      <c r="GH1362" s="773"/>
      <c r="GI1362" s="773"/>
      <c r="GJ1362" s="773"/>
      <c r="GK1362" s="773"/>
      <c r="GL1362" s="773"/>
      <c r="GM1362" s="773"/>
      <c r="GN1362" s="773"/>
      <c r="GO1362" s="773"/>
      <c r="GP1362" s="773"/>
      <c r="GQ1362" s="773"/>
      <c r="GR1362" s="773"/>
      <c r="GS1362" s="773"/>
      <c r="GT1362" s="773"/>
      <c r="GU1362" s="773"/>
      <c r="GV1362" s="773"/>
      <c r="GW1362" s="773"/>
      <c r="GX1362" s="773"/>
      <c r="GY1362" s="773"/>
      <c r="GZ1362" s="773"/>
    </row>
    <row r="1363" spans="1:208" s="11" customFormat="1">
      <c r="B1363" s="775"/>
      <c r="C1363" s="826"/>
      <c r="D1363" s="775"/>
      <c r="K1363" s="209"/>
      <c r="M1363" s="771"/>
      <c r="N1363" s="772"/>
      <c r="O1363" s="772"/>
      <c r="P1363" s="772"/>
      <c r="Q1363" s="772"/>
      <c r="R1363" s="772"/>
      <c r="S1363" s="772"/>
      <c r="AW1363" s="2510"/>
      <c r="BC1363" s="2510"/>
      <c r="BD1363" s="2510"/>
      <c r="BE1363" s="2510"/>
      <c r="BF1363" s="2510"/>
      <c r="BH1363" s="2510"/>
      <c r="DB1363" s="773"/>
      <c r="DC1363" s="773"/>
      <c r="DD1363" s="773"/>
      <c r="DE1363" s="773"/>
      <c r="DF1363" s="773"/>
      <c r="DG1363" s="773"/>
      <c r="DH1363" s="773"/>
      <c r="DI1363" s="773"/>
      <c r="DJ1363" s="773"/>
      <c r="DK1363" s="773"/>
      <c r="DL1363" s="773"/>
      <c r="DM1363" s="773"/>
      <c r="DN1363" s="773"/>
      <c r="DO1363" s="773"/>
      <c r="DP1363" s="773"/>
      <c r="DQ1363" s="773"/>
      <c r="DR1363" s="773"/>
      <c r="DS1363" s="773"/>
      <c r="DT1363" s="773"/>
      <c r="DU1363" s="773"/>
      <c r="DV1363" s="773"/>
      <c r="DW1363" s="773"/>
      <c r="DX1363" s="773"/>
      <c r="DY1363" s="773"/>
      <c r="DZ1363" s="773"/>
      <c r="EA1363" s="773"/>
      <c r="EB1363" s="773"/>
      <c r="EC1363" s="773"/>
      <c r="ED1363" s="773"/>
      <c r="EE1363" s="773"/>
      <c r="EF1363" s="773"/>
      <c r="EG1363" s="773"/>
      <c r="EH1363" s="773"/>
      <c r="EI1363" s="773"/>
      <c r="EJ1363" s="773"/>
      <c r="EK1363" s="773"/>
      <c r="EL1363" s="773"/>
      <c r="EM1363" s="773"/>
      <c r="EN1363" s="773"/>
      <c r="EO1363" s="773"/>
      <c r="EP1363" s="773"/>
      <c r="EQ1363" s="773"/>
      <c r="ER1363" s="773"/>
      <c r="ES1363" s="773"/>
      <c r="ET1363" s="773"/>
      <c r="EU1363" s="773"/>
      <c r="EV1363" s="773"/>
      <c r="EW1363" s="773"/>
      <c r="EX1363" s="773"/>
      <c r="EY1363" s="773"/>
      <c r="EZ1363" s="773"/>
      <c r="FA1363" s="773"/>
      <c r="FB1363" s="773"/>
      <c r="FC1363" s="773"/>
      <c r="FD1363" s="773"/>
      <c r="FE1363" s="773"/>
      <c r="FF1363" s="773"/>
      <c r="FG1363" s="773"/>
      <c r="FH1363" s="773"/>
      <c r="FI1363" s="773"/>
      <c r="FJ1363" s="773"/>
      <c r="FK1363" s="773"/>
      <c r="FL1363" s="773"/>
      <c r="FM1363" s="773"/>
      <c r="FN1363" s="773"/>
      <c r="FO1363" s="773"/>
      <c r="FP1363" s="773"/>
      <c r="FQ1363" s="773"/>
      <c r="FR1363" s="773"/>
      <c r="FS1363" s="773"/>
      <c r="FT1363" s="773"/>
      <c r="FU1363" s="773"/>
      <c r="FV1363" s="773"/>
      <c r="FW1363" s="773"/>
      <c r="FX1363" s="773"/>
      <c r="FY1363" s="773"/>
      <c r="FZ1363" s="773"/>
      <c r="GA1363" s="773"/>
      <c r="GB1363" s="773"/>
      <c r="GC1363" s="773"/>
      <c r="GD1363" s="773"/>
      <c r="GE1363" s="773"/>
      <c r="GF1363" s="773"/>
      <c r="GG1363" s="773"/>
      <c r="GH1363" s="773"/>
      <c r="GI1363" s="773"/>
      <c r="GJ1363" s="773"/>
      <c r="GK1363" s="773"/>
      <c r="GL1363" s="773"/>
      <c r="GM1363" s="773"/>
      <c r="GN1363" s="773"/>
      <c r="GO1363" s="773"/>
      <c r="GP1363" s="773"/>
      <c r="GQ1363" s="773"/>
      <c r="GR1363" s="773"/>
      <c r="GS1363" s="773"/>
      <c r="GT1363" s="773"/>
      <c r="GU1363" s="773"/>
      <c r="GV1363" s="773"/>
      <c r="GW1363" s="773"/>
      <c r="GX1363" s="773"/>
      <c r="GY1363" s="773"/>
      <c r="GZ1363" s="773"/>
    </row>
    <row r="1364" spans="1:208" s="11" customFormat="1">
      <c r="B1364" s="775"/>
      <c r="C1364" s="826"/>
      <c r="D1364" s="775"/>
      <c r="K1364" s="209"/>
      <c r="M1364" s="771"/>
      <c r="N1364" s="772"/>
      <c r="O1364" s="772"/>
      <c r="P1364" s="772"/>
      <c r="Q1364" s="772"/>
      <c r="R1364" s="772"/>
      <c r="S1364" s="772"/>
      <c r="AW1364" s="2510"/>
      <c r="BC1364" s="2510"/>
      <c r="BD1364" s="2510"/>
      <c r="BE1364" s="2510"/>
      <c r="BF1364" s="2510"/>
      <c r="BH1364" s="2510"/>
      <c r="DB1364" s="773"/>
      <c r="DC1364" s="773"/>
      <c r="DD1364" s="773"/>
      <c r="DE1364" s="773"/>
      <c r="DF1364" s="773"/>
      <c r="DG1364" s="773"/>
      <c r="DH1364" s="773"/>
      <c r="DI1364" s="773"/>
      <c r="DJ1364" s="773"/>
      <c r="DK1364" s="773"/>
      <c r="DL1364" s="773"/>
      <c r="DM1364" s="773"/>
      <c r="DN1364" s="773"/>
      <c r="DO1364" s="773"/>
      <c r="DP1364" s="773"/>
      <c r="DQ1364" s="773"/>
      <c r="DR1364" s="773"/>
      <c r="DS1364" s="773"/>
      <c r="DT1364" s="773"/>
      <c r="DU1364" s="773"/>
      <c r="DV1364" s="773"/>
      <c r="DW1364" s="773"/>
      <c r="DX1364" s="773"/>
      <c r="DY1364" s="773"/>
      <c r="DZ1364" s="773"/>
      <c r="EA1364" s="773"/>
      <c r="EB1364" s="773"/>
      <c r="EC1364" s="773"/>
      <c r="ED1364" s="773"/>
      <c r="EE1364" s="773"/>
      <c r="EF1364" s="773"/>
      <c r="EG1364" s="773"/>
      <c r="EH1364" s="773"/>
      <c r="EI1364" s="773"/>
      <c r="EJ1364" s="773"/>
      <c r="EK1364" s="773"/>
      <c r="EL1364" s="773"/>
      <c r="EM1364" s="773"/>
      <c r="EN1364" s="773"/>
      <c r="EO1364" s="773"/>
      <c r="EP1364" s="773"/>
      <c r="EQ1364" s="773"/>
      <c r="ER1364" s="773"/>
      <c r="ES1364" s="773"/>
      <c r="ET1364" s="773"/>
      <c r="EU1364" s="773"/>
      <c r="EV1364" s="773"/>
      <c r="EW1364" s="773"/>
      <c r="EX1364" s="773"/>
      <c r="EY1364" s="773"/>
      <c r="EZ1364" s="773"/>
      <c r="FA1364" s="773"/>
      <c r="FB1364" s="773"/>
      <c r="FC1364" s="773"/>
      <c r="FD1364" s="773"/>
      <c r="FE1364" s="773"/>
      <c r="FF1364" s="773"/>
      <c r="FG1364" s="773"/>
      <c r="FH1364" s="773"/>
      <c r="FI1364" s="773"/>
      <c r="FJ1364" s="773"/>
      <c r="FK1364" s="773"/>
      <c r="FL1364" s="773"/>
      <c r="FM1364" s="773"/>
      <c r="FN1364" s="773"/>
      <c r="FO1364" s="773"/>
      <c r="FP1364" s="773"/>
      <c r="FQ1364" s="773"/>
      <c r="FR1364" s="773"/>
      <c r="FS1364" s="773"/>
      <c r="FT1364" s="773"/>
      <c r="FU1364" s="773"/>
      <c r="FV1364" s="773"/>
      <c r="FW1364" s="773"/>
      <c r="FX1364" s="773"/>
      <c r="FY1364" s="773"/>
      <c r="FZ1364" s="773"/>
      <c r="GA1364" s="773"/>
      <c r="GB1364" s="773"/>
      <c r="GC1364" s="773"/>
      <c r="GD1364" s="773"/>
      <c r="GE1364" s="773"/>
      <c r="GF1364" s="773"/>
      <c r="GG1364" s="773"/>
      <c r="GH1364" s="773"/>
      <c r="GI1364" s="773"/>
      <c r="GJ1364" s="773"/>
      <c r="GK1364" s="773"/>
      <c r="GL1364" s="773"/>
      <c r="GM1364" s="773"/>
      <c r="GN1364" s="773"/>
      <c r="GO1364" s="773"/>
      <c r="GP1364" s="773"/>
      <c r="GQ1364" s="773"/>
      <c r="GR1364" s="773"/>
      <c r="GS1364" s="773"/>
      <c r="GT1364" s="773"/>
      <c r="GU1364" s="773"/>
      <c r="GV1364" s="773"/>
      <c r="GW1364" s="773"/>
      <c r="GX1364" s="773"/>
      <c r="GY1364" s="773"/>
      <c r="GZ1364" s="773"/>
    </row>
    <row r="1365" spans="1:208" s="11" customFormat="1">
      <c r="B1365" s="775"/>
      <c r="C1365" s="826"/>
      <c r="D1365" s="775"/>
      <c r="K1365" s="209"/>
      <c r="M1365" s="771"/>
      <c r="N1365" s="772"/>
      <c r="O1365" s="772"/>
      <c r="P1365" s="772"/>
      <c r="Q1365" s="772"/>
      <c r="R1365" s="772"/>
      <c r="S1365" s="772"/>
      <c r="AW1365" s="2510"/>
      <c r="BC1365" s="2510"/>
      <c r="BD1365" s="2510"/>
      <c r="BE1365" s="2510"/>
      <c r="BF1365" s="2510"/>
      <c r="BH1365" s="2510"/>
      <c r="DB1365" s="773"/>
      <c r="DC1365" s="773"/>
      <c r="DD1365" s="773"/>
      <c r="DE1365" s="773"/>
      <c r="DF1365" s="773"/>
      <c r="DG1365" s="773"/>
      <c r="DH1365" s="773"/>
      <c r="DI1365" s="773"/>
      <c r="DJ1365" s="773"/>
      <c r="DK1365" s="773"/>
      <c r="DL1365" s="773"/>
      <c r="DM1365" s="773"/>
      <c r="DN1365" s="773"/>
      <c r="DO1365" s="773"/>
      <c r="DP1365" s="773"/>
      <c r="DQ1365" s="773"/>
      <c r="DR1365" s="773"/>
      <c r="DS1365" s="773"/>
      <c r="DT1365" s="773"/>
      <c r="DU1365" s="773"/>
      <c r="DV1365" s="773"/>
      <c r="DW1365" s="773"/>
      <c r="DX1365" s="773"/>
      <c r="DY1365" s="773"/>
      <c r="DZ1365" s="773"/>
      <c r="EA1365" s="773"/>
      <c r="EB1365" s="773"/>
      <c r="EC1365" s="773"/>
      <c r="ED1365" s="773"/>
      <c r="EE1365" s="773"/>
      <c r="EF1365" s="773"/>
      <c r="EG1365" s="773"/>
      <c r="EH1365" s="773"/>
      <c r="EI1365" s="773"/>
      <c r="EJ1365" s="773"/>
      <c r="EK1365" s="773"/>
      <c r="EL1365" s="773"/>
      <c r="EM1365" s="773"/>
      <c r="EN1365" s="773"/>
      <c r="EO1365" s="773"/>
      <c r="EP1365" s="773"/>
      <c r="EQ1365" s="773"/>
      <c r="ER1365" s="773"/>
      <c r="ES1365" s="773"/>
      <c r="ET1365" s="773"/>
      <c r="EU1365" s="773"/>
      <c r="EV1365" s="773"/>
      <c r="EW1365" s="773"/>
      <c r="EX1365" s="773"/>
      <c r="EY1365" s="773"/>
      <c r="EZ1365" s="773"/>
      <c r="FA1365" s="773"/>
      <c r="FB1365" s="773"/>
      <c r="FC1365" s="773"/>
      <c r="FD1365" s="773"/>
      <c r="FE1365" s="773"/>
      <c r="FF1365" s="773"/>
      <c r="FG1365" s="773"/>
      <c r="FH1365" s="773"/>
      <c r="FI1365" s="773"/>
      <c r="FJ1365" s="773"/>
      <c r="FK1365" s="773"/>
      <c r="FL1365" s="773"/>
      <c r="FM1365" s="773"/>
      <c r="FN1365" s="773"/>
      <c r="FO1365" s="773"/>
      <c r="FP1365" s="773"/>
      <c r="FQ1365" s="773"/>
      <c r="FR1365" s="773"/>
      <c r="FS1365" s="773"/>
      <c r="FT1365" s="773"/>
      <c r="FU1365" s="773"/>
      <c r="FV1365" s="773"/>
      <c r="FW1365" s="773"/>
      <c r="FX1365" s="773"/>
      <c r="FY1365" s="773"/>
      <c r="FZ1365" s="773"/>
      <c r="GA1365" s="773"/>
      <c r="GB1365" s="773"/>
      <c r="GC1365" s="773"/>
      <c r="GD1365" s="773"/>
      <c r="GE1365" s="773"/>
      <c r="GF1365" s="773"/>
      <c r="GG1365" s="773"/>
      <c r="GH1365" s="773"/>
      <c r="GI1365" s="773"/>
      <c r="GJ1365" s="773"/>
      <c r="GK1365" s="773"/>
      <c r="GL1365" s="773"/>
      <c r="GM1365" s="773"/>
      <c r="GN1365" s="773"/>
      <c r="GO1365" s="773"/>
      <c r="GP1365" s="773"/>
      <c r="GQ1365" s="773"/>
      <c r="GR1365" s="773"/>
      <c r="GS1365" s="773"/>
      <c r="GT1365" s="773"/>
      <c r="GU1365" s="773"/>
      <c r="GV1365" s="773"/>
      <c r="GW1365" s="773"/>
      <c r="GX1365" s="773"/>
      <c r="GY1365" s="773"/>
      <c r="GZ1365" s="773"/>
    </row>
    <row r="1366" spans="1:208" s="11" customFormat="1">
      <c r="B1366" s="775"/>
      <c r="C1366" s="826"/>
      <c r="D1366" s="775"/>
      <c r="K1366" s="209"/>
      <c r="M1366" s="771"/>
      <c r="N1366" s="772"/>
      <c r="O1366" s="772"/>
      <c r="P1366" s="772"/>
      <c r="Q1366" s="772"/>
      <c r="R1366" s="772"/>
      <c r="S1366" s="772"/>
      <c r="AW1366" s="2510"/>
      <c r="BC1366" s="2510"/>
      <c r="BD1366" s="2510"/>
      <c r="BE1366" s="2510"/>
      <c r="BF1366" s="2510"/>
      <c r="BH1366" s="2510"/>
      <c r="DB1366" s="773"/>
      <c r="DC1366" s="773"/>
      <c r="DD1366" s="773"/>
      <c r="DE1366" s="773"/>
      <c r="DF1366" s="773"/>
      <c r="DG1366" s="773"/>
      <c r="DH1366" s="773"/>
      <c r="DI1366" s="773"/>
      <c r="DJ1366" s="773"/>
      <c r="DK1366" s="773"/>
      <c r="DL1366" s="773"/>
      <c r="DM1366" s="773"/>
      <c r="DN1366" s="773"/>
      <c r="DO1366" s="773"/>
      <c r="DP1366" s="773"/>
      <c r="DQ1366" s="773"/>
      <c r="DR1366" s="773"/>
      <c r="DS1366" s="773"/>
      <c r="DT1366" s="773"/>
      <c r="DU1366" s="773"/>
      <c r="DV1366" s="773"/>
      <c r="DW1366" s="773"/>
      <c r="DX1366" s="773"/>
      <c r="DY1366" s="773"/>
      <c r="DZ1366" s="773"/>
      <c r="EA1366" s="773"/>
      <c r="EB1366" s="773"/>
      <c r="EC1366" s="773"/>
      <c r="ED1366" s="773"/>
      <c r="EE1366" s="773"/>
      <c r="EF1366" s="773"/>
      <c r="EG1366" s="773"/>
      <c r="EH1366" s="773"/>
      <c r="EI1366" s="773"/>
      <c r="EJ1366" s="773"/>
      <c r="EK1366" s="773"/>
      <c r="EL1366" s="773"/>
      <c r="EM1366" s="773"/>
      <c r="EN1366" s="773"/>
      <c r="EO1366" s="773"/>
      <c r="EP1366" s="773"/>
      <c r="EQ1366" s="773"/>
      <c r="ER1366" s="773"/>
      <c r="ES1366" s="773"/>
      <c r="ET1366" s="773"/>
      <c r="EU1366" s="773"/>
      <c r="EV1366" s="773"/>
      <c r="EW1366" s="773"/>
      <c r="EX1366" s="773"/>
      <c r="EY1366" s="773"/>
      <c r="EZ1366" s="773"/>
      <c r="FA1366" s="773"/>
      <c r="FB1366" s="773"/>
      <c r="FC1366" s="773"/>
      <c r="FD1366" s="773"/>
      <c r="FE1366" s="773"/>
      <c r="FF1366" s="773"/>
      <c r="FG1366" s="773"/>
      <c r="FH1366" s="773"/>
      <c r="FI1366" s="773"/>
      <c r="FJ1366" s="773"/>
      <c r="FK1366" s="773"/>
      <c r="FL1366" s="773"/>
      <c r="FM1366" s="773"/>
      <c r="FN1366" s="773"/>
      <c r="FO1366" s="773"/>
      <c r="FP1366" s="773"/>
      <c r="FQ1366" s="773"/>
      <c r="FR1366" s="773"/>
      <c r="FS1366" s="773"/>
      <c r="FT1366" s="773"/>
      <c r="FU1366" s="773"/>
      <c r="FV1366" s="773"/>
      <c r="FW1366" s="773"/>
      <c r="FX1366" s="773"/>
      <c r="FY1366" s="773"/>
      <c r="FZ1366" s="773"/>
      <c r="GA1366" s="773"/>
      <c r="GB1366" s="773"/>
      <c r="GC1366" s="773"/>
      <c r="GD1366" s="773"/>
      <c r="GE1366" s="773"/>
      <c r="GF1366" s="773"/>
      <c r="GG1366" s="773"/>
      <c r="GH1366" s="773"/>
      <c r="GI1366" s="773"/>
      <c r="GJ1366" s="773"/>
      <c r="GK1366" s="773"/>
      <c r="GL1366" s="773"/>
      <c r="GM1366" s="773"/>
      <c r="GN1366" s="773"/>
      <c r="GO1366" s="773"/>
      <c r="GP1366" s="773"/>
      <c r="GQ1366" s="773"/>
      <c r="GR1366" s="773"/>
      <c r="GS1366" s="773"/>
      <c r="GT1366" s="773"/>
      <c r="GU1366" s="773"/>
      <c r="GV1366" s="773"/>
      <c r="GW1366" s="773"/>
      <c r="GX1366" s="773"/>
      <c r="GY1366" s="773"/>
      <c r="GZ1366" s="773"/>
    </row>
    <row r="1367" spans="1:208" s="11" customFormat="1">
      <c r="B1367" s="775"/>
      <c r="C1367" s="826"/>
      <c r="D1367" s="775"/>
      <c r="K1367" s="209"/>
      <c r="M1367" s="771"/>
      <c r="N1367" s="772"/>
      <c r="O1367" s="772"/>
      <c r="P1367" s="772"/>
      <c r="Q1367" s="772"/>
      <c r="R1367" s="772"/>
      <c r="S1367" s="772"/>
      <c r="AW1367" s="2510"/>
      <c r="BC1367" s="2510"/>
      <c r="BD1367" s="2510"/>
      <c r="BE1367" s="2510"/>
      <c r="BF1367" s="2510"/>
      <c r="BH1367" s="2510"/>
      <c r="DB1367" s="773"/>
      <c r="DC1367" s="773"/>
      <c r="DD1367" s="773"/>
      <c r="DE1367" s="773"/>
      <c r="DF1367" s="773"/>
      <c r="DG1367" s="773"/>
      <c r="DH1367" s="773"/>
      <c r="DI1367" s="773"/>
      <c r="DJ1367" s="773"/>
      <c r="DK1367" s="773"/>
      <c r="DL1367" s="773"/>
      <c r="DM1367" s="773"/>
      <c r="DN1367" s="773"/>
      <c r="DO1367" s="773"/>
      <c r="DP1367" s="773"/>
      <c r="DQ1367" s="773"/>
      <c r="DR1367" s="773"/>
      <c r="DS1367" s="773"/>
      <c r="DT1367" s="773"/>
      <c r="DU1367" s="773"/>
      <c r="DV1367" s="773"/>
      <c r="DW1367" s="773"/>
      <c r="DX1367" s="773"/>
      <c r="DY1367" s="773"/>
      <c r="DZ1367" s="773"/>
      <c r="EA1367" s="773"/>
      <c r="EB1367" s="773"/>
      <c r="EC1367" s="773"/>
      <c r="ED1367" s="773"/>
      <c r="EE1367" s="773"/>
      <c r="EF1367" s="773"/>
      <c r="EG1367" s="773"/>
      <c r="EH1367" s="773"/>
      <c r="EI1367" s="773"/>
      <c r="EJ1367" s="773"/>
      <c r="EK1367" s="773"/>
      <c r="EL1367" s="773"/>
      <c r="EM1367" s="773"/>
      <c r="EN1367" s="773"/>
      <c r="EO1367" s="773"/>
      <c r="EP1367" s="773"/>
      <c r="EQ1367" s="773"/>
      <c r="ER1367" s="773"/>
      <c r="ES1367" s="773"/>
      <c r="ET1367" s="773"/>
      <c r="EU1367" s="773"/>
      <c r="EV1367" s="773"/>
      <c r="EW1367" s="773"/>
      <c r="EX1367" s="773"/>
      <c r="EY1367" s="773"/>
      <c r="EZ1367" s="773"/>
      <c r="FA1367" s="773"/>
      <c r="FB1367" s="773"/>
      <c r="FC1367" s="773"/>
      <c r="FD1367" s="773"/>
      <c r="FE1367" s="773"/>
      <c r="FF1367" s="773"/>
      <c r="FG1367" s="773"/>
      <c r="FH1367" s="773"/>
      <c r="FI1367" s="773"/>
      <c r="FJ1367" s="773"/>
      <c r="FK1367" s="773"/>
      <c r="FL1367" s="773"/>
      <c r="FM1367" s="773"/>
      <c r="FN1367" s="773"/>
      <c r="FO1367" s="773"/>
      <c r="FP1367" s="773"/>
      <c r="FQ1367" s="773"/>
      <c r="FR1367" s="773"/>
      <c r="FS1367" s="773"/>
      <c r="FT1367" s="773"/>
      <c r="FU1367" s="773"/>
      <c r="FV1367" s="773"/>
      <c r="FW1367" s="773"/>
      <c r="FX1367" s="773"/>
      <c r="FY1367" s="773"/>
      <c r="FZ1367" s="773"/>
      <c r="GA1367" s="773"/>
      <c r="GB1367" s="773"/>
      <c r="GC1367" s="773"/>
      <c r="GD1367" s="773"/>
      <c r="GE1367" s="773"/>
      <c r="GF1367" s="773"/>
      <c r="GG1367" s="773"/>
      <c r="GH1367" s="773"/>
      <c r="GI1367" s="773"/>
      <c r="GJ1367" s="773"/>
      <c r="GK1367" s="773"/>
      <c r="GL1367" s="773"/>
      <c r="GM1367" s="773"/>
      <c r="GN1367" s="773"/>
      <c r="GO1367" s="773"/>
      <c r="GP1367" s="773"/>
      <c r="GQ1367" s="773"/>
      <c r="GR1367" s="773"/>
      <c r="GS1367" s="773"/>
      <c r="GT1367" s="773"/>
      <c r="GU1367" s="773"/>
      <c r="GV1367" s="773"/>
      <c r="GW1367" s="773"/>
      <c r="GX1367" s="773"/>
      <c r="GY1367" s="773"/>
      <c r="GZ1367" s="773"/>
    </row>
    <row r="1368" spans="1:208" s="11" customFormat="1">
      <c r="B1368" s="775"/>
      <c r="C1368" s="826"/>
      <c r="D1368" s="775"/>
      <c r="K1368" s="209"/>
      <c r="M1368" s="771"/>
      <c r="N1368" s="772"/>
      <c r="O1368" s="772"/>
      <c r="P1368" s="772"/>
      <c r="Q1368" s="772"/>
      <c r="R1368" s="772"/>
      <c r="S1368" s="772"/>
      <c r="AW1368" s="2510"/>
      <c r="BC1368" s="2510"/>
      <c r="BD1368" s="2510"/>
      <c r="BE1368" s="2510"/>
      <c r="BF1368" s="2510"/>
      <c r="BH1368" s="2510"/>
      <c r="DB1368" s="773"/>
      <c r="DC1368" s="773"/>
      <c r="DD1368" s="773"/>
      <c r="DE1368" s="773"/>
      <c r="DF1368" s="773"/>
      <c r="DG1368" s="773"/>
      <c r="DH1368" s="773"/>
      <c r="DI1368" s="773"/>
      <c r="DJ1368" s="773"/>
      <c r="DK1368" s="773"/>
      <c r="DL1368" s="773"/>
      <c r="DM1368" s="773"/>
      <c r="DN1368" s="773"/>
      <c r="DO1368" s="773"/>
      <c r="DP1368" s="773"/>
      <c r="DQ1368" s="773"/>
      <c r="DR1368" s="773"/>
      <c r="DS1368" s="773"/>
      <c r="DT1368" s="773"/>
      <c r="DU1368" s="773"/>
      <c r="DV1368" s="773"/>
      <c r="DW1368" s="773"/>
      <c r="DX1368" s="773"/>
      <c r="DY1368" s="773"/>
      <c r="DZ1368" s="773"/>
      <c r="EA1368" s="773"/>
      <c r="EB1368" s="773"/>
      <c r="EC1368" s="773"/>
      <c r="ED1368" s="773"/>
      <c r="EE1368" s="773"/>
      <c r="EF1368" s="773"/>
      <c r="EG1368" s="773"/>
      <c r="EH1368" s="773"/>
      <c r="EI1368" s="773"/>
      <c r="EJ1368" s="773"/>
      <c r="EK1368" s="773"/>
      <c r="EL1368" s="773"/>
      <c r="EM1368" s="773"/>
      <c r="EN1368" s="773"/>
      <c r="EO1368" s="773"/>
      <c r="EP1368" s="773"/>
      <c r="EQ1368" s="773"/>
      <c r="ER1368" s="773"/>
      <c r="ES1368" s="773"/>
      <c r="ET1368" s="773"/>
      <c r="EU1368" s="773"/>
      <c r="EV1368" s="773"/>
      <c r="EW1368" s="773"/>
      <c r="EX1368" s="773"/>
      <c r="EY1368" s="773"/>
      <c r="EZ1368" s="773"/>
      <c r="FA1368" s="773"/>
      <c r="FB1368" s="773"/>
      <c r="FC1368" s="773"/>
      <c r="FD1368" s="773"/>
      <c r="FE1368" s="773"/>
      <c r="FF1368" s="773"/>
      <c r="FG1368" s="773"/>
      <c r="FH1368" s="773"/>
      <c r="FI1368" s="773"/>
      <c r="FJ1368" s="773"/>
      <c r="FK1368" s="773"/>
      <c r="FL1368" s="773"/>
      <c r="FM1368" s="773"/>
      <c r="FN1368" s="773"/>
      <c r="FO1368" s="773"/>
      <c r="FP1368" s="773"/>
      <c r="FQ1368" s="773"/>
      <c r="FR1368" s="773"/>
      <c r="FS1368" s="773"/>
      <c r="FT1368" s="773"/>
      <c r="FU1368" s="773"/>
      <c r="FV1368" s="773"/>
      <c r="FW1368" s="773"/>
      <c r="FX1368" s="773"/>
      <c r="FY1368" s="773"/>
      <c r="FZ1368" s="773"/>
      <c r="GA1368" s="773"/>
      <c r="GB1368" s="773"/>
      <c r="GC1368" s="773"/>
      <c r="GD1368" s="773"/>
      <c r="GE1368" s="773"/>
      <c r="GF1368" s="773"/>
      <c r="GG1368" s="773"/>
      <c r="GH1368" s="773"/>
      <c r="GI1368" s="773"/>
      <c r="GJ1368" s="773"/>
      <c r="GK1368" s="773"/>
      <c r="GL1368" s="773"/>
      <c r="GM1368" s="773"/>
      <c r="GN1368" s="773"/>
      <c r="GO1368" s="773"/>
      <c r="GP1368" s="773"/>
      <c r="GQ1368" s="773"/>
      <c r="GR1368" s="773"/>
      <c r="GS1368" s="773"/>
      <c r="GT1368" s="773"/>
      <c r="GU1368" s="773"/>
      <c r="GV1368" s="773"/>
      <c r="GW1368" s="773"/>
      <c r="GX1368" s="773"/>
      <c r="GY1368" s="773"/>
      <c r="GZ1368" s="773"/>
    </row>
    <row r="1369" spans="1:208" s="11" customFormat="1">
      <c r="B1369" s="775"/>
      <c r="C1369" s="826"/>
      <c r="D1369" s="775"/>
      <c r="K1369" s="209"/>
      <c r="M1369" s="771"/>
      <c r="N1369" s="772"/>
      <c r="O1369" s="772"/>
      <c r="P1369" s="772"/>
      <c r="Q1369" s="772"/>
      <c r="R1369" s="772"/>
      <c r="S1369" s="772"/>
      <c r="AW1369" s="2510"/>
      <c r="BC1369" s="2510"/>
      <c r="BD1369" s="2510"/>
      <c r="BE1369" s="2510"/>
      <c r="BF1369" s="2510"/>
      <c r="BH1369" s="2510"/>
      <c r="DB1369" s="773"/>
      <c r="DC1369" s="773"/>
      <c r="DD1369" s="773"/>
      <c r="DE1369" s="773"/>
      <c r="DF1369" s="773"/>
      <c r="DG1369" s="773"/>
      <c r="DH1369" s="773"/>
      <c r="DI1369" s="773"/>
      <c r="DJ1369" s="773"/>
      <c r="DK1369" s="773"/>
      <c r="DL1369" s="773"/>
      <c r="DM1369" s="773"/>
      <c r="DN1369" s="773"/>
      <c r="DO1369" s="773"/>
      <c r="DP1369" s="773"/>
      <c r="DQ1369" s="773"/>
      <c r="DR1369" s="773"/>
      <c r="DS1369" s="773"/>
      <c r="DT1369" s="773"/>
      <c r="DU1369" s="773"/>
      <c r="DV1369" s="773"/>
      <c r="DW1369" s="773"/>
      <c r="DX1369" s="773"/>
      <c r="DY1369" s="773"/>
      <c r="DZ1369" s="773"/>
      <c r="EA1369" s="773"/>
      <c r="EB1369" s="773"/>
      <c r="EC1369" s="773"/>
      <c r="ED1369" s="773"/>
      <c r="EE1369" s="773"/>
      <c r="EF1369" s="773"/>
      <c r="EG1369" s="773"/>
      <c r="EH1369" s="773"/>
      <c r="EI1369" s="773"/>
      <c r="EJ1369" s="773"/>
      <c r="EK1369" s="773"/>
      <c r="EL1369" s="773"/>
      <c r="EM1369" s="773"/>
      <c r="EN1369" s="773"/>
      <c r="EO1369" s="773"/>
      <c r="EP1369" s="773"/>
      <c r="EQ1369" s="773"/>
      <c r="ER1369" s="773"/>
      <c r="ES1369" s="773"/>
      <c r="ET1369" s="773"/>
      <c r="EU1369" s="773"/>
      <c r="EV1369" s="773"/>
      <c r="EW1369" s="773"/>
      <c r="EX1369" s="773"/>
      <c r="EY1369" s="773"/>
      <c r="EZ1369" s="773"/>
      <c r="FA1369" s="773"/>
      <c r="FB1369" s="773"/>
      <c r="FC1369" s="773"/>
      <c r="FD1369" s="773"/>
      <c r="FE1369" s="773"/>
      <c r="FF1369" s="773"/>
      <c r="FG1369" s="773"/>
      <c r="FH1369" s="773"/>
      <c r="FI1369" s="773"/>
      <c r="FJ1369" s="773"/>
      <c r="FK1369" s="773"/>
      <c r="FL1369" s="773"/>
      <c r="FM1369" s="773"/>
      <c r="FN1369" s="773"/>
      <c r="FO1369" s="773"/>
      <c r="FP1369" s="773"/>
      <c r="FQ1369" s="773"/>
      <c r="FR1369" s="773"/>
      <c r="FS1369" s="773"/>
      <c r="FT1369" s="773"/>
      <c r="FU1369" s="773"/>
      <c r="FV1369" s="773"/>
      <c r="FW1369" s="773"/>
      <c r="FX1369" s="773"/>
      <c r="FY1369" s="773"/>
      <c r="FZ1369" s="773"/>
      <c r="GA1369" s="773"/>
      <c r="GB1369" s="773"/>
      <c r="GC1369" s="773"/>
      <c r="GD1369" s="773"/>
      <c r="GE1369" s="773"/>
      <c r="GF1369" s="773"/>
      <c r="GG1369" s="773"/>
      <c r="GH1369" s="773"/>
      <c r="GI1369" s="773"/>
      <c r="GJ1369" s="773"/>
      <c r="GK1369" s="773"/>
      <c r="GL1369" s="773"/>
      <c r="GM1369" s="773"/>
      <c r="GN1369" s="773"/>
      <c r="GO1369" s="773"/>
      <c r="GP1369" s="773"/>
      <c r="GQ1369" s="773"/>
      <c r="GR1369" s="773"/>
      <c r="GS1369" s="773"/>
      <c r="GT1369" s="773"/>
      <c r="GU1369" s="773"/>
      <c r="GV1369" s="773"/>
      <c r="GW1369" s="773"/>
      <c r="GX1369" s="773"/>
      <c r="GY1369" s="773"/>
      <c r="GZ1369" s="773"/>
    </row>
    <row r="1370" spans="1:208" s="11" customFormat="1">
      <c r="B1370" s="775"/>
      <c r="C1370" s="826"/>
      <c r="D1370" s="775"/>
      <c r="K1370" s="209"/>
      <c r="M1370" s="771"/>
      <c r="N1370" s="772"/>
      <c r="O1370" s="772"/>
      <c r="P1370" s="772"/>
      <c r="Q1370" s="772"/>
      <c r="R1370" s="772"/>
      <c r="S1370" s="772"/>
      <c r="AW1370" s="2510"/>
      <c r="BC1370" s="2510"/>
      <c r="BD1370" s="2510"/>
      <c r="BE1370" s="2510"/>
      <c r="BF1370" s="2510"/>
      <c r="BH1370" s="2510"/>
      <c r="DB1370" s="773"/>
      <c r="DC1370" s="773"/>
      <c r="DD1370" s="773"/>
      <c r="DE1370" s="773"/>
      <c r="DF1370" s="773"/>
      <c r="DG1370" s="773"/>
      <c r="DH1370" s="773"/>
      <c r="DI1370" s="773"/>
      <c r="DJ1370" s="773"/>
      <c r="DK1370" s="773"/>
      <c r="DL1370" s="773"/>
      <c r="DM1370" s="773"/>
      <c r="DN1370" s="773"/>
      <c r="DO1370" s="773"/>
      <c r="DP1370" s="773"/>
      <c r="DQ1370" s="773"/>
      <c r="DR1370" s="773"/>
      <c r="DS1370" s="773"/>
      <c r="DT1370" s="773"/>
      <c r="DU1370" s="773"/>
      <c r="DV1370" s="773"/>
      <c r="DW1370" s="773"/>
      <c r="DX1370" s="773"/>
      <c r="DY1370" s="773"/>
      <c r="DZ1370" s="773"/>
      <c r="EA1370" s="773"/>
      <c r="EB1370" s="773"/>
      <c r="EC1370" s="773"/>
      <c r="ED1370" s="773"/>
      <c r="EE1370" s="773"/>
      <c r="EF1370" s="773"/>
      <c r="EG1370" s="773"/>
      <c r="EH1370" s="773"/>
      <c r="EI1370" s="773"/>
      <c r="EJ1370" s="773"/>
      <c r="EK1370" s="773"/>
      <c r="EL1370" s="773"/>
      <c r="EM1370" s="773"/>
      <c r="EN1370" s="773"/>
      <c r="EO1370" s="773"/>
      <c r="EP1370" s="773"/>
      <c r="EQ1370" s="773"/>
      <c r="ER1370" s="773"/>
      <c r="ES1370" s="773"/>
      <c r="ET1370" s="773"/>
      <c r="EU1370" s="773"/>
      <c r="EV1370" s="773"/>
      <c r="EW1370" s="773"/>
      <c r="EX1370" s="773"/>
      <c r="EY1370" s="773"/>
      <c r="EZ1370" s="773"/>
      <c r="FA1370" s="773"/>
      <c r="FB1370" s="773"/>
      <c r="FC1370" s="773"/>
      <c r="FD1370" s="773"/>
      <c r="FE1370" s="773"/>
      <c r="FF1370" s="773"/>
      <c r="FG1370" s="773"/>
      <c r="FH1370" s="773"/>
      <c r="FI1370" s="773"/>
      <c r="FJ1370" s="773"/>
      <c r="FK1370" s="773"/>
      <c r="FL1370" s="773"/>
      <c r="FM1370" s="773"/>
      <c r="FN1370" s="773"/>
      <c r="FO1370" s="773"/>
      <c r="FP1370" s="773"/>
      <c r="FQ1370" s="773"/>
      <c r="FR1370" s="773"/>
      <c r="FS1370" s="773"/>
      <c r="FT1370" s="773"/>
      <c r="FU1370" s="773"/>
      <c r="FV1370" s="773"/>
      <c r="FW1370" s="773"/>
      <c r="FX1370" s="773"/>
      <c r="FY1370" s="773"/>
      <c r="FZ1370" s="773"/>
      <c r="GA1370" s="773"/>
      <c r="GB1370" s="773"/>
      <c r="GC1370" s="773"/>
      <c r="GD1370" s="773"/>
      <c r="GE1370" s="773"/>
      <c r="GF1370" s="773"/>
      <c r="GG1370" s="773"/>
      <c r="GH1370" s="773"/>
      <c r="GI1370" s="773"/>
      <c r="GJ1370" s="773"/>
      <c r="GK1370" s="773"/>
      <c r="GL1370" s="773"/>
      <c r="GM1370" s="773"/>
      <c r="GN1370" s="773"/>
      <c r="GO1370" s="773"/>
      <c r="GP1370" s="773"/>
      <c r="GQ1370" s="773"/>
      <c r="GR1370" s="773"/>
      <c r="GS1370" s="773"/>
      <c r="GT1370" s="773"/>
      <c r="GU1370" s="773"/>
      <c r="GV1370" s="773"/>
      <c r="GW1370" s="773"/>
      <c r="GX1370" s="773"/>
      <c r="GY1370" s="773"/>
      <c r="GZ1370" s="773"/>
    </row>
    <row r="1371" spans="1:208">
      <c r="A1371" s="799"/>
      <c r="B1371" s="1807"/>
      <c r="C1371" s="1808"/>
      <c r="L1371" s="799"/>
      <c r="T1371" s="799"/>
    </row>
    <row r="1372" spans="1:208">
      <c r="A1372" s="799"/>
      <c r="B1372" s="1807"/>
      <c r="C1372" s="1808"/>
      <c r="L1372" s="799"/>
      <c r="T1372" s="799"/>
    </row>
    <row r="1373" spans="1:208">
      <c r="A1373" s="799"/>
      <c r="B1373" s="1807"/>
      <c r="C1373" s="1808"/>
      <c r="L1373" s="799"/>
      <c r="T1373" s="799"/>
    </row>
    <row r="1374" spans="1:208">
      <c r="A1374" s="799"/>
      <c r="B1374" s="1807"/>
      <c r="C1374" s="1808"/>
      <c r="L1374" s="799"/>
      <c r="T1374" s="799"/>
    </row>
    <row r="1375" spans="1:208">
      <c r="A1375" s="799"/>
      <c r="B1375" s="1807"/>
      <c r="C1375" s="1808"/>
      <c r="L1375" s="799"/>
      <c r="T1375" s="799"/>
    </row>
    <row r="1376" spans="1:208">
      <c r="A1376" s="799"/>
      <c r="B1376" s="1807"/>
      <c r="C1376" s="1808"/>
      <c r="L1376" s="799"/>
      <c r="T1376" s="799"/>
    </row>
    <row r="1377" spans="1:208">
      <c r="A1377" s="799"/>
      <c r="B1377" s="1807"/>
      <c r="C1377" s="1808"/>
      <c r="L1377" s="799"/>
      <c r="T1377" s="799"/>
      <c r="DB1377" s="799"/>
      <c r="DC1377" s="799"/>
      <c r="DD1377" s="799"/>
      <c r="DE1377" s="799"/>
      <c r="DF1377" s="799"/>
      <c r="DG1377" s="799"/>
      <c r="DH1377" s="799"/>
      <c r="DI1377" s="799"/>
      <c r="DJ1377" s="799"/>
      <c r="DK1377" s="799"/>
      <c r="DL1377" s="799"/>
      <c r="DM1377" s="799"/>
      <c r="DN1377" s="799"/>
      <c r="DO1377" s="799"/>
      <c r="DP1377" s="799"/>
      <c r="DQ1377" s="799"/>
      <c r="DR1377" s="799"/>
      <c r="DS1377" s="799"/>
      <c r="DT1377" s="799"/>
      <c r="DU1377" s="799"/>
      <c r="DV1377" s="799"/>
      <c r="DW1377" s="799"/>
      <c r="DX1377" s="799"/>
      <c r="DY1377" s="799"/>
      <c r="DZ1377" s="799"/>
      <c r="EA1377" s="799"/>
      <c r="EB1377" s="799"/>
      <c r="EC1377" s="799"/>
      <c r="ED1377" s="799"/>
      <c r="EE1377" s="799"/>
      <c r="EF1377" s="799"/>
      <c r="EG1377" s="799"/>
      <c r="EH1377" s="799"/>
      <c r="EI1377" s="799"/>
      <c r="EJ1377" s="799"/>
      <c r="EK1377" s="799"/>
      <c r="EL1377" s="799"/>
      <c r="EM1377" s="799"/>
      <c r="EN1377" s="799"/>
      <c r="EO1377" s="799"/>
      <c r="EP1377" s="799"/>
      <c r="EQ1377" s="799"/>
      <c r="ER1377" s="799"/>
      <c r="ES1377" s="799"/>
      <c r="ET1377" s="799"/>
      <c r="EU1377" s="799"/>
      <c r="EV1377" s="799"/>
      <c r="EW1377" s="799"/>
      <c r="EX1377" s="799"/>
      <c r="EY1377" s="799"/>
      <c r="EZ1377" s="799"/>
      <c r="FA1377" s="799"/>
      <c r="FB1377" s="799"/>
      <c r="FC1377" s="799"/>
      <c r="FD1377" s="799"/>
      <c r="FE1377" s="799"/>
      <c r="FF1377" s="799"/>
      <c r="FG1377" s="799"/>
      <c r="FH1377" s="799"/>
      <c r="FI1377" s="799"/>
      <c r="FJ1377" s="799"/>
      <c r="FK1377" s="799"/>
      <c r="FL1377" s="799"/>
      <c r="FM1377" s="799"/>
      <c r="FN1377" s="799"/>
      <c r="FO1377" s="799"/>
      <c r="FP1377" s="799"/>
      <c r="FQ1377" s="799"/>
      <c r="FR1377" s="799"/>
      <c r="FS1377" s="799"/>
      <c r="FT1377" s="799"/>
      <c r="FU1377" s="799"/>
      <c r="FV1377" s="799"/>
      <c r="FW1377" s="799"/>
      <c r="FX1377" s="799"/>
      <c r="FY1377" s="799"/>
      <c r="FZ1377" s="799"/>
      <c r="GA1377" s="799"/>
      <c r="GB1377" s="799"/>
      <c r="GC1377" s="799"/>
      <c r="GD1377" s="799"/>
      <c r="GE1377" s="799"/>
      <c r="GF1377" s="799"/>
      <c r="GG1377" s="799"/>
      <c r="GH1377" s="799"/>
      <c r="GI1377" s="799"/>
      <c r="GJ1377" s="799"/>
      <c r="GK1377" s="799"/>
      <c r="GL1377" s="799"/>
      <c r="GM1377" s="799"/>
      <c r="GN1377" s="799"/>
      <c r="GO1377" s="799"/>
      <c r="GP1377" s="799"/>
      <c r="GQ1377" s="799"/>
      <c r="GR1377" s="799"/>
      <c r="GS1377" s="799"/>
      <c r="GT1377" s="799"/>
      <c r="GU1377" s="799"/>
      <c r="GV1377" s="799"/>
      <c r="GW1377" s="799"/>
      <c r="GX1377" s="799"/>
      <c r="GY1377" s="799"/>
      <c r="GZ1377" s="799"/>
    </row>
    <row r="1378" spans="1:208">
      <c r="T1378" s="799"/>
      <c r="DB1378" s="799"/>
      <c r="DC1378" s="799"/>
      <c r="DD1378" s="799"/>
      <c r="DE1378" s="799"/>
      <c r="DF1378" s="799"/>
      <c r="DG1378" s="799"/>
      <c r="DH1378" s="799"/>
      <c r="DI1378" s="799"/>
      <c r="DJ1378" s="799"/>
      <c r="DK1378" s="799"/>
      <c r="DL1378" s="799"/>
      <c r="DM1378" s="799"/>
      <c r="DN1378" s="799"/>
      <c r="DO1378" s="799"/>
      <c r="DP1378" s="799"/>
      <c r="DQ1378" s="799"/>
      <c r="DR1378" s="799"/>
      <c r="DS1378" s="799"/>
      <c r="DT1378" s="799"/>
      <c r="DU1378" s="799"/>
      <c r="DV1378" s="799"/>
      <c r="DW1378" s="799"/>
      <c r="DX1378" s="799"/>
      <c r="DY1378" s="799"/>
      <c r="DZ1378" s="799"/>
      <c r="EA1378" s="799"/>
      <c r="EB1378" s="799"/>
      <c r="EC1378" s="799"/>
      <c r="ED1378" s="799"/>
      <c r="EE1378" s="799"/>
      <c r="EF1378" s="799"/>
      <c r="EG1378" s="799"/>
      <c r="EH1378" s="799"/>
      <c r="EI1378" s="799"/>
      <c r="EJ1378" s="799"/>
      <c r="EK1378" s="799"/>
      <c r="EL1378" s="799"/>
      <c r="EM1378" s="799"/>
      <c r="EN1378" s="799"/>
      <c r="EO1378" s="799"/>
      <c r="EP1378" s="799"/>
      <c r="EQ1378" s="799"/>
      <c r="ER1378" s="799"/>
      <c r="ES1378" s="799"/>
      <c r="ET1378" s="799"/>
      <c r="EU1378" s="799"/>
      <c r="EV1378" s="799"/>
      <c r="EW1378" s="799"/>
      <c r="EX1378" s="799"/>
      <c r="EY1378" s="799"/>
      <c r="EZ1378" s="799"/>
      <c r="FA1378" s="799"/>
      <c r="FB1378" s="799"/>
      <c r="FC1378" s="799"/>
      <c r="FD1378" s="799"/>
      <c r="FE1378" s="799"/>
      <c r="FF1378" s="799"/>
      <c r="FG1378" s="799"/>
      <c r="FH1378" s="799"/>
      <c r="FI1378" s="799"/>
      <c r="FJ1378" s="799"/>
      <c r="FK1378" s="799"/>
      <c r="FL1378" s="799"/>
      <c r="FM1378" s="799"/>
      <c r="FN1378" s="799"/>
      <c r="FO1378" s="799"/>
      <c r="FP1378" s="799"/>
      <c r="FQ1378" s="799"/>
      <c r="FR1378" s="799"/>
      <c r="FS1378" s="799"/>
      <c r="FT1378" s="799"/>
      <c r="FU1378" s="799"/>
      <c r="FV1378" s="799"/>
      <c r="FW1378" s="799"/>
      <c r="FX1378" s="799"/>
      <c r="FY1378" s="799"/>
      <c r="FZ1378" s="799"/>
      <c r="GA1378" s="799"/>
      <c r="GB1378" s="799"/>
      <c r="GC1378" s="799"/>
      <c r="GD1378" s="799"/>
      <c r="GE1378" s="799"/>
      <c r="GF1378" s="799"/>
      <c r="GG1378" s="799"/>
      <c r="GH1378" s="799"/>
      <c r="GI1378" s="799"/>
      <c r="GJ1378" s="799"/>
      <c r="GK1378" s="799"/>
      <c r="GL1378" s="799"/>
      <c r="GM1378" s="799"/>
      <c r="GN1378" s="799"/>
      <c r="GO1378" s="799"/>
      <c r="GP1378" s="799"/>
      <c r="GQ1378" s="799"/>
      <c r="GR1378" s="799"/>
      <c r="GS1378" s="799"/>
      <c r="GT1378" s="799"/>
      <c r="GU1378" s="799"/>
      <c r="GV1378" s="799"/>
      <c r="GW1378" s="799"/>
      <c r="GX1378" s="799"/>
      <c r="GY1378" s="799"/>
      <c r="GZ1378" s="799"/>
    </row>
    <row r="1379" spans="1:208">
      <c r="T1379" s="799"/>
      <c r="DB1379" s="799"/>
      <c r="DC1379" s="799"/>
      <c r="DD1379" s="799"/>
      <c r="DE1379" s="799"/>
      <c r="DF1379" s="799"/>
      <c r="DG1379" s="799"/>
      <c r="DH1379" s="799"/>
      <c r="DI1379" s="799"/>
      <c r="DJ1379" s="799"/>
      <c r="DK1379" s="799"/>
      <c r="DL1379" s="799"/>
      <c r="DM1379" s="799"/>
      <c r="DN1379" s="799"/>
      <c r="DO1379" s="799"/>
      <c r="DP1379" s="799"/>
      <c r="DQ1379" s="799"/>
      <c r="DR1379" s="799"/>
      <c r="DS1379" s="799"/>
      <c r="DT1379" s="799"/>
      <c r="DU1379" s="799"/>
      <c r="DV1379" s="799"/>
      <c r="DW1379" s="799"/>
      <c r="DX1379" s="799"/>
      <c r="DY1379" s="799"/>
      <c r="DZ1379" s="799"/>
      <c r="EA1379" s="799"/>
      <c r="EB1379" s="799"/>
      <c r="EC1379" s="799"/>
      <c r="ED1379" s="799"/>
      <c r="EE1379" s="799"/>
      <c r="EF1379" s="799"/>
      <c r="EG1379" s="799"/>
      <c r="EH1379" s="799"/>
      <c r="EI1379" s="799"/>
      <c r="EJ1379" s="799"/>
      <c r="EK1379" s="799"/>
      <c r="EL1379" s="799"/>
      <c r="EM1379" s="799"/>
      <c r="EN1379" s="799"/>
      <c r="EO1379" s="799"/>
      <c r="EP1379" s="799"/>
      <c r="EQ1379" s="799"/>
      <c r="ER1379" s="799"/>
      <c r="ES1379" s="799"/>
      <c r="ET1379" s="799"/>
      <c r="EU1379" s="799"/>
      <c r="EV1379" s="799"/>
      <c r="EW1379" s="799"/>
      <c r="EX1379" s="799"/>
      <c r="EY1379" s="799"/>
      <c r="EZ1379" s="799"/>
      <c r="FA1379" s="799"/>
      <c r="FB1379" s="799"/>
      <c r="FC1379" s="799"/>
      <c r="FD1379" s="799"/>
      <c r="FE1379" s="799"/>
      <c r="FF1379" s="799"/>
      <c r="FG1379" s="799"/>
      <c r="FH1379" s="799"/>
      <c r="FI1379" s="799"/>
      <c r="FJ1379" s="799"/>
      <c r="FK1379" s="799"/>
      <c r="FL1379" s="799"/>
      <c r="FM1379" s="799"/>
      <c r="FN1379" s="799"/>
      <c r="FO1379" s="799"/>
      <c r="FP1379" s="799"/>
      <c r="FQ1379" s="799"/>
      <c r="FR1379" s="799"/>
      <c r="FS1379" s="799"/>
      <c r="FT1379" s="799"/>
      <c r="FU1379" s="799"/>
      <c r="FV1379" s="799"/>
      <c r="FW1379" s="799"/>
      <c r="FX1379" s="799"/>
      <c r="FY1379" s="799"/>
      <c r="FZ1379" s="799"/>
      <c r="GA1379" s="799"/>
      <c r="GB1379" s="799"/>
      <c r="GC1379" s="799"/>
      <c r="GD1379" s="799"/>
      <c r="GE1379" s="799"/>
      <c r="GF1379" s="799"/>
      <c r="GG1379" s="799"/>
      <c r="GH1379" s="799"/>
      <c r="GI1379" s="799"/>
      <c r="GJ1379" s="799"/>
      <c r="GK1379" s="799"/>
      <c r="GL1379" s="799"/>
      <c r="GM1379" s="799"/>
      <c r="GN1379" s="799"/>
      <c r="GO1379" s="799"/>
      <c r="GP1379" s="799"/>
      <c r="GQ1379" s="799"/>
      <c r="GR1379" s="799"/>
      <c r="GS1379" s="799"/>
      <c r="GT1379" s="799"/>
      <c r="GU1379" s="799"/>
      <c r="GV1379" s="799"/>
      <c r="GW1379" s="799"/>
      <c r="GX1379" s="799"/>
      <c r="GY1379" s="799"/>
      <c r="GZ1379" s="799"/>
    </row>
    <row r="1380" spans="1:208">
      <c r="T1380" s="799"/>
      <c r="DB1380" s="799"/>
      <c r="DC1380" s="799"/>
      <c r="DD1380" s="799"/>
      <c r="DE1380" s="799"/>
      <c r="DF1380" s="799"/>
      <c r="DG1380" s="799"/>
      <c r="DH1380" s="799"/>
      <c r="DI1380" s="799"/>
      <c r="DJ1380" s="799"/>
      <c r="DK1380" s="799"/>
      <c r="DL1380" s="799"/>
      <c r="DM1380" s="799"/>
      <c r="DN1380" s="799"/>
      <c r="DO1380" s="799"/>
      <c r="DP1380" s="799"/>
      <c r="DQ1380" s="799"/>
      <c r="DR1380" s="799"/>
      <c r="DS1380" s="799"/>
      <c r="DT1380" s="799"/>
      <c r="DU1380" s="799"/>
      <c r="DV1380" s="799"/>
      <c r="DW1380" s="799"/>
      <c r="DX1380" s="799"/>
      <c r="DY1380" s="799"/>
      <c r="DZ1380" s="799"/>
      <c r="EA1380" s="799"/>
      <c r="EB1380" s="799"/>
      <c r="EC1380" s="799"/>
      <c r="ED1380" s="799"/>
      <c r="EE1380" s="799"/>
      <c r="EF1380" s="799"/>
      <c r="EG1380" s="799"/>
      <c r="EH1380" s="799"/>
      <c r="EI1380" s="799"/>
      <c r="EJ1380" s="799"/>
      <c r="EK1380" s="799"/>
      <c r="EL1380" s="799"/>
      <c r="EM1380" s="799"/>
      <c r="EN1380" s="799"/>
      <c r="EO1380" s="799"/>
      <c r="EP1380" s="799"/>
      <c r="EQ1380" s="799"/>
      <c r="ER1380" s="799"/>
      <c r="ES1380" s="799"/>
      <c r="ET1380" s="799"/>
      <c r="EU1380" s="799"/>
      <c r="EV1380" s="799"/>
      <c r="EW1380" s="799"/>
      <c r="EX1380" s="799"/>
      <c r="EY1380" s="799"/>
      <c r="EZ1380" s="799"/>
      <c r="FA1380" s="799"/>
      <c r="FB1380" s="799"/>
      <c r="FC1380" s="799"/>
      <c r="FD1380" s="799"/>
      <c r="FE1380" s="799"/>
      <c r="FF1380" s="799"/>
      <c r="FG1380" s="799"/>
      <c r="FH1380" s="799"/>
      <c r="FI1380" s="799"/>
      <c r="FJ1380" s="799"/>
      <c r="FK1380" s="799"/>
      <c r="FL1380" s="799"/>
      <c r="FM1380" s="799"/>
      <c r="FN1380" s="799"/>
      <c r="FO1380" s="799"/>
      <c r="FP1380" s="799"/>
      <c r="FQ1380" s="799"/>
      <c r="FR1380" s="799"/>
      <c r="FS1380" s="799"/>
      <c r="FT1380" s="799"/>
      <c r="FU1380" s="799"/>
      <c r="FV1380" s="799"/>
      <c r="FW1380" s="799"/>
      <c r="FX1380" s="799"/>
      <c r="FY1380" s="799"/>
      <c r="FZ1380" s="799"/>
      <c r="GA1380" s="799"/>
      <c r="GB1380" s="799"/>
      <c r="GC1380" s="799"/>
      <c r="GD1380" s="799"/>
      <c r="GE1380" s="799"/>
      <c r="GF1380" s="799"/>
      <c r="GG1380" s="799"/>
      <c r="GH1380" s="799"/>
      <c r="GI1380" s="799"/>
      <c r="GJ1380" s="799"/>
      <c r="GK1380" s="799"/>
      <c r="GL1380" s="799"/>
      <c r="GM1380" s="799"/>
      <c r="GN1380" s="799"/>
      <c r="GO1380" s="799"/>
      <c r="GP1380" s="799"/>
      <c r="GQ1380" s="799"/>
      <c r="GR1380" s="799"/>
      <c r="GS1380" s="799"/>
      <c r="GT1380" s="799"/>
      <c r="GU1380" s="799"/>
      <c r="GV1380" s="799"/>
      <c r="GW1380" s="799"/>
      <c r="GX1380" s="799"/>
      <c r="GY1380" s="799"/>
      <c r="GZ1380" s="799"/>
    </row>
    <row r="1381" spans="1:208">
      <c r="T1381" s="799"/>
      <c r="DB1381" s="799"/>
      <c r="DC1381" s="799"/>
      <c r="DD1381" s="799"/>
      <c r="DE1381" s="799"/>
      <c r="DF1381" s="799"/>
      <c r="DG1381" s="799"/>
      <c r="DH1381" s="799"/>
      <c r="DI1381" s="799"/>
      <c r="DJ1381" s="799"/>
      <c r="DK1381" s="799"/>
      <c r="DL1381" s="799"/>
      <c r="DM1381" s="799"/>
      <c r="DN1381" s="799"/>
      <c r="DO1381" s="799"/>
      <c r="DP1381" s="799"/>
      <c r="DQ1381" s="799"/>
      <c r="DR1381" s="799"/>
      <c r="DS1381" s="799"/>
      <c r="DT1381" s="799"/>
      <c r="DU1381" s="799"/>
      <c r="DV1381" s="799"/>
      <c r="DW1381" s="799"/>
      <c r="DX1381" s="799"/>
      <c r="DY1381" s="799"/>
      <c r="DZ1381" s="799"/>
      <c r="EA1381" s="799"/>
      <c r="EB1381" s="799"/>
      <c r="EC1381" s="799"/>
      <c r="ED1381" s="799"/>
      <c r="EE1381" s="799"/>
      <c r="EF1381" s="799"/>
      <c r="EG1381" s="799"/>
      <c r="EH1381" s="799"/>
      <c r="EI1381" s="799"/>
      <c r="EJ1381" s="799"/>
      <c r="EK1381" s="799"/>
      <c r="EL1381" s="799"/>
      <c r="EM1381" s="799"/>
      <c r="EN1381" s="799"/>
      <c r="EO1381" s="799"/>
      <c r="EP1381" s="799"/>
      <c r="EQ1381" s="799"/>
      <c r="ER1381" s="799"/>
      <c r="ES1381" s="799"/>
      <c r="ET1381" s="799"/>
      <c r="EU1381" s="799"/>
      <c r="EV1381" s="799"/>
      <c r="EW1381" s="799"/>
      <c r="EX1381" s="799"/>
      <c r="EY1381" s="799"/>
      <c r="EZ1381" s="799"/>
      <c r="FA1381" s="799"/>
      <c r="FB1381" s="799"/>
      <c r="FC1381" s="799"/>
      <c r="FD1381" s="799"/>
      <c r="FE1381" s="799"/>
      <c r="FF1381" s="799"/>
      <c r="FG1381" s="799"/>
      <c r="FH1381" s="799"/>
      <c r="FI1381" s="799"/>
      <c r="FJ1381" s="799"/>
      <c r="FK1381" s="799"/>
      <c r="FL1381" s="799"/>
      <c r="FM1381" s="799"/>
      <c r="FN1381" s="799"/>
      <c r="FO1381" s="799"/>
      <c r="FP1381" s="799"/>
      <c r="FQ1381" s="799"/>
      <c r="FR1381" s="799"/>
      <c r="FS1381" s="799"/>
      <c r="FT1381" s="799"/>
      <c r="FU1381" s="799"/>
      <c r="FV1381" s="799"/>
      <c r="FW1381" s="799"/>
      <c r="FX1381" s="799"/>
      <c r="FY1381" s="799"/>
      <c r="FZ1381" s="799"/>
      <c r="GA1381" s="799"/>
      <c r="GB1381" s="799"/>
      <c r="GC1381" s="799"/>
      <c r="GD1381" s="799"/>
      <c r="GE1381" s="799"/>
      <c r="GF1381" s="799"/>
      <c r="GG1381" s="799"/>
      <c r="GH1381" s="799"/>
      <c r="GI1381" s="799"/>
      <c r="GJ1381" s="799"/>
      <c r="GK1381" s="799"/>
      <c r="GL1381" s="799"/>
      <c r="GM1381" s="799"/>
      <c r="GN1381" s="799"/>
      <c r="GO1381" s="799"/>
      <c r="GP1381" s="799"/>
      <c r="GQ1381" s="799"/>
      <c r="GR1381" s="799"/>
      <c r="GS1381" s="799"/>
      <c r="GT1381" s="799"/>
      <c r="GU1381" s="799"/>
      <c r="GV1381" s="799"/>
      <c r="GW1381" s="799"/>
      <c r="GX1381" s="799"/>
      <c r="GY1381" s="799"/>
      <c r="GZ1381" s="799"/>
    </row>
    <row r="1382" spans="1:208" s="209" customFormat="1">
      <c r="A1382" s="780"/>
      <c r="B1382" s="850"/>
      <c r="C1382" s="1809"/>
      <c r="D1382" s="1807"/>
      <c r="E1382" s="799"/>
      <c r="F1382" s="799"/>
      <c r="G1382" s="799"/>
      <c r="H1382" s="799"/>
      <c r="I1382" s="799"/>
      <c r="J1382" s="799"/>
      <c r="L1382" s="1810"/>
      <c r="M1382" s="799"/>
      <c r="N1382" s="829"/>
      <c r="O1382" s="829"/>
      <c r="P1382" s="829"/>
      <c r="Q1382" s="829"/>
      <c r="R1382" s="829"/>
      <c r="S1382" s="829"/>
      <c r="T1382" s="799"/>
      <c r="U1382" s="799"/>
      <c r="V1382" s="799"/>
      <c r="W1382" s="799"/>
      <c r="X1382" s="799"/>
      <c r="Y1382" s="799"/>
      <c r="Z1382" s="799"/>
      <c r="AA1382" s="799"/>
      <c r="AB1382" s="799"/>
      <c r="AC1382" s="799"/>
      <c r="AD1382" s="799"/>
      <c r="AE1382" s="799"/>
      <c r="AF1382" s="799"/>
      <c r="AG1382" s="799"/>
      <c r="AH1382" s="799"/>
      <c r="AI1382" s="799"/>
      <c r="AJ1382" s="799"/>
      <c r="AK1382" s="799"/>
      <c r="AL1382" s="799"/>
      <c r="AM1382" s="799"/>
      <c r="AN1382" s="799"/>
      <c r="AO1382" s="799"/>
      <c r="AP1382" s="799"/>
      <c r="AQ1382" s="799"/>
      <c r="AR1382" s="799"/>
      <c r="AS1382" s="799"/>
      <c r="AT1382" s="799"/>
      <c r="AU1382" s="799"/>
      <c r="AV1382" s="799"/>
      <c r="AW1382" s="2520"/>
      <c r="AX1382" s="799"/>
      <c r="AY1382" s="799"/>
      <c r="AZ1382" s="799"/>
      <c r="BA1382" s="799"/>
      <c r="BB1382" s="799"/>
      <c r="BC1382" s="2520"/>
      <c r="BD1382" s="2520"/>
      <c r="BE1382" s="2520"/>
      <c r="BF1382" s="2520"/>
      <c r="BH1382" s="2520"/>
      <c r="BI1382" s="799"/>
      <c r="BJ1382" s="799"/>
      <c r="BK1382" s="799"/>
      <c r="BL1382" s="799"/>
      <c r="BM1382" s="799"/>
      <c r="BN1382" s="799"/>
      <c r="BO1382" s="799"/>
      <c r="BP1382" s="799"/>
      <c r="BQ1382" s="799"/>
      <c r="BR1382" s="799"/>
      <c r="BS1382" s="799"/>
      <c r="BT1382" s="799"/>
      <c r="BU1382" s="799"/>
      <c r="BV1382" s="799"/>
      <c r="BW1382" s="799"/>
      <c r="BX1382" s="799"/>
      <c r="BY1382" s="799"/>
      <c r="BZ1382" s="799"/>
      <c r="CA1382" s="799"/>
      <c r="CB1382" s="799"/>
      <c r="CC1382" s="799"/>
      <c r="CD1382" s="799"/>
      <c r="CE1382" s="799"/>
      <c r="CF1382" s="799"/>
      <c r="CG1382" s="799"/>
      <c r="CH1382" s="799"/>
      <c r="CI1382" s="799"/>
      <c r="CJ1382" s="799"/>
      <c r="CK1382" s="799"/>
      <c r="CL1382" s="799"/>
      <c r="CM1382" s="799"/>
      <c r="CN1382" s="799"/>
      <c r="CO1382" s="799"/>
      <c r="CP1382" s="799"/>
      <c r="CQ1382" s="799"/>
      <c r="CR1382" s="799"/>
      <c r="CS1382" s="799"/>
      <c r="CT1382" s="799"/>
      <c r="CU1382" s="799"/>
      <c r="CV1382" s="799"/>
      <c r="CW1382" s="799"/>
      <c r="CX1382" s="799"/>
      <c r="CY1382" s="799"/>
      <c r="CZ1382" s="799"/>
      <c r="DA1382" s="799"/>
    </row>
    <row r="1383" spans="1:208" s="209" customFormat="1">
      <c r="A1383" s="780"/>
      <c r="B1383" s="850"/>
      <c r="C1383" s="1809"/>
      <c r="D1383" s="1807"/>
      <c r="E1383" s="799"/>
      <c r="F1383" s="799"/>
      <c r="G1383" s="799"/>
      <c r="H1383" s="799"/>
      <c r="I1383" s="799"/>
      <c r="J1383" s="799"/>
      <c r="L1383" s="1810"/>
      <c r="M1383" s="799"/>
      <c r="N1383" s="829"/>
      <c r="O1383" s="829"/>
      <c r="P1383" s="829"/>
      <c r="Q1383" s="829"/>
      <c r="R1383" s="829"/>
      <c r="S1383" s="829"/>
      <c r="T1383" s="799"/>
      <c r="U1383" s="799"/>
      <c r="V1383" s="799"/>
      <c r="W1383" s="799"/>
      <c r="X1383" s="799"/>
      <c r="Y1383" s="799"/>
      <c r="Z1383" s="799"/>
      <c r="AA1383" s="799"/>
      <c r="AB1383" s="799"/>
      <c r="AC1383" s="799"/>
      <c r="AD1383" s="799"/>
      <c r="AE1383" s="799"/>
      <c r="AF1383" s="799"/>
      <c r="AG1383" s="799"/>
      <c r="AH1383" s="799"/>
      <c r="AI1383" s="799"/>
      <c r="AJ1383" s="799"/>
      <c r="AK1383" s="799"/>
      <c r="AL1383" s="799"/>
      <c r="AM1383" s="799"/>
      <c r="AN1383" s="799"/>
      <c r="AO1383" s="799"/>
      <c r="AP1383" s="799"/>
      <c r="AQ1383" s="799"/>
      <c r="AR1383" s="799"/>
      <c r="AS1383" s="799"/>
      <c r="AT1383" s="799"/>
      <c r="AU1383" s="799"/>
      <c r="AV1383" s="799"/>
      <c r="AW1383" s="2520"/>
      <c r="AX1383" s="799"/>
      <c r="AY1383" s="799"/>
      <c r="AZ1383" s="799"/>
      <c r="BA1383" s="799"/>
      <c r="BB1383" s="799"/>
      <c r="BC1383" s="2520"/>
      <c r="BD1383" s="2520"/>
      <c r="BE1383" s="2520"/>
      <c r="BF1383" s="2520"/>
      <c r="BH1383" s="2520"/>
      <c r="BI1383" s="799"/>
      <c r="BJ1383" s="799"/>
      <c r="BK1383" s="799"/>
      <c r="BL1383" s="799"/>
      <c r="BM1383" s="799"/>
      <c r="BN1383" s="799"/>
      <c r="BO1383" s="799"/>
      <c r="BP1383" s="799"/>
      <c r="BQ1383" s="799"/>
      <c r="BR1383" s="799"/>
      <c r="BS1383" s="799"/>
      <c r="BT1383" s="799"/>
      <c r="BU1383" s="799"/>
      <c r="BV1383" s="799"/>
      <c r="BW1383" s="799"/>
      <c r="BX1383" s="799"/>
      <c r="BY1383" s="799"/>
      <c r="BZ1383" s="799"/>
      <c r="CA1383" s="799"/>
      <c r="CB1383" s="799"/>
      <c r="CC1383" s="799"/>
      <c r="CD1383" s="799"/>
      <c r="CE1383" s="799"/>
      <c r="CF1383" s="799"/>
      <c r="CG1383" s="799"/>
      <c r="CH1383" s="799"/>
      <c r="CI1383" s="799"/>
      <c r="CJ1383" s="799"/>
      <c r="CK1383" s="799"/>
      <c r="CL1383" s="799"/>
      <c r="CM1383" s="799"/>
      <c r="CN1383" s="799"/>
      <c r="CO1383" s="799"/>
      <c r="CP1383" s="799"/>
      <c r="CQ1383" s="799"/>
      <c r="CR1383" s="799"/>
      <c r="CS1383" s="799"/>
      <c r="CT1383" s="799"/>
      <c r="CU1383" s="799"/>
      <c r="CV1383" s="799"/>
      <c r="CW1383" s="799"/>
      <c r="CX1383" s="799"/>
      <c r="CY1383" s="799"/>
      <c r="CZ1383" s="799"/>
      <c r="DA1383" s="799"/>
    </row>
    <row r="1384" spans="1:208" s="209" customFormat="1">
      <c r="A1384" s="780"/>
      <c r="B1384" s="850"/>
      <c r="C1384" s="1809"/>
      <c r="D1384" s="1807"/>
      <c r="E1384" s="799"/>
      <c r="F1384" s="799"/>
      <c r="G1384" s="799"/>
      <c r="H1384" s="799"/>
      <c r="I1384" s="799"/>
      <c r="J1384" s="799"/>
      <c r="L1384" s="1810"/>
      <c r="M1384" s="799"/>
      <c r="N1384" s="829"/>
      <c r="O1384" s="829"/>
      <c r="P1384" s="829"/>
      <c r="Q1384" s="829"/>
      <c r="R1384" s="829"/>
      <c r="S1384" s="829"/>
      <c r="T1384" s="799"/>
      <c r="U1384" s="799"/>
      <c r="V1384" s="799"/>
      <c r="W1384" s="799"/>
      <c r="X1384" s="799"/>
      <c r="Y1384" s="799"/>
      <c r="Z1384" s="799"/>
      <c r="AA1384" s="799"/>
      <c r="AB1384" s="799"/>
      <c r="AC1384" s="799"/>
      <c r="AD1384" s="799"/>
      <c r="AE1384" s="799"/>
      <c r="AF1384" s="799"/>
      <c r="AG1384" s="799"/>
      <c r="AH1384" s="799"/>
      <c r="AI1384" s="799"/>
      <c r="AJ1384" s="799"/>
      <c r="AK1384" s="799"/>
      <c r="AL1384" s="799"/>
      <c r="AM1384" s="799"/>
      <c r="AN1384" s="799"/>
      <c r="AO1384" s="799"/>
      <c r="AP1384" s="799"/>
      <c r="AQ1384" s="799"/>
      <c r="AR1384" s="799"/>
      <c r="AS1384" s="799"/>
      <c r="AT1384" s="799"/>
      <c r="AU1384" s="799"/>
      <c r="AV1384" s="799"/>
      <c r="AW1384" s="2520"/>
      <c r="AX1384" s="799"/>
      <c r="AY1384" s="799"/>
      <c r="AZ1384" s="799"/>
      <c r="BA1384" s="799"/>
      <c r="BB1384" s="799"/>
      <c r="BC1384" s="2520"/>
      <c r="BD1384" s="2520"/>
      <c r="BE1384" s="2520"/>
      <c r="BF1384" s="2520"/>
      <c r="BH1384" s="2520"/>
      <c r="BI1384" s="799"/>
      <c r="BJ1384" s="799"/>
      <c r="BK1384" s="799"/>
      <c r="BL1384" s="799"/>
      <c r="BM1384" s="799"/>
      <c r="BN1384" s="799"/>
      <c r="BO1384" s="799"/>
      <c r="BP1384" s="799"/>
      <c r="BQ1384" s="799"/>
      <c r="BR1384" s="799"/>
      <c r="BS1384" s="799"/>
      <c r="BT1384" s="799"/>
      <c r="BU1384" s="799"/>
      <c r="BV1384" s="799"/>
      <c r="BW1384" s="799"/>
      <c r="BX1384" s="799"/>
      <c r="BY1384" s="799"/>
      <c r="BZ1384" s="799"/>
      <c r="CA1384" s="799"/>
      <c r="CB1384" s="799"/>
      <c r="CC1384" s="799"/>
      <c r="CD1384" s="799"/>
      <c r="CE1384" s="799"/>
      <c r="CF1384" s="799"/>
      <c r="CG1384" s="799"/>
      <c r="CH1384" s="799"/>
      <c r="CI1384" s="799"/>
      <c r="CJ1384" s="799"/>
      <c r="CK1384" s="799"/>
      <c r="CL1384" s="799"/>
      <c r="CM1384" s="799"/>
      <c r="CN1384" s="799"/>
      <c r="CO1384" s="799"/>
      <c r="CP1384" s="799"/>
      <c r="CQ1384" s="799"/>
      <c r="CR1384" s="799"/>
      <c r="CS1384" s="799"/>
      <c r="CT1384" s="799"/>
      <c r="CU1384" s="799"/>
      <c r="CV1384" s="799"/>
      <c r="CW1384" s="799"/>
      <c r="CX1384" s="799"/>
      <c r="CY1384" s="799"/>
      <c r="CZ1384" s="799"/>
      <c r="DA1384" s="799"/>
    </row>
    <row r="1385" spans="1:208">
      <c r="T1385" s="799"/>
      <c r="DB1385" s="799"/>
      <c r="DC1385" s="799"/>
      <c r="DD1385" s="799"/>
      <c r="DE1385" s="799"/>
      <c r="DF1385" s="799"/>
      <c r="DG1385" s="799"/>
      <c r="DH1385" s="799"/>
      <c r="DI1385" s="799"/>
      <c r="DJ1385" s="799"/>
      <c r="DK1385" s="799"/>
      <c r="DL1385" s="799"/>
      <c r="DM1385" s="799"/>
      <c r="DN1385" s="799"/>
      <c r="DO1385" s="799"/>
      <c r="DP1385" s="799"/>
      <c r="DQ1385" s="799"/>
      <c r="DR1385" s="799"/>
      <c r="DS1385" s="799"/>
      <c r="DT1385" s="799"/>
      <c r="DU1385" s="799"/>
      <c r="DV1385" s="799"/>
      <c r="DW1385" s="799"/>
      <c r="DX1385" s="799"/>
      <c r="DY1385" s="799"/>
      <c r="DZ1385" s="799"/>
      <c r="EA1385" s="799"/>
      <c r="EB1385" s="799"/>
      <c r="EC1385" s="799"/>
      <c r="ED1385" s="799"/>
      <c r="EE1385" s="799"/>
      <c r="EF1385" s="799"/>
      <c r="EG1385" s="799"/>
      <c r="EH1385" s="799"/>
      <c r="EI1385" s="799"/>
      <c r="EJ1385" s="799"/>
      <c r="EK1385" s="799"/>
      <c r="EL1385" s="799"/>
      <c r="EM1385" s="799"/>
      <c r="EN1385" s="799"/>
      <c r="EO1385" s="799"/>
      <c r="EP1385" s="799"/>
      <c r="EQ1385" s="799"/>
      <c r="ER1385" s="799"/>
      <c r="ES1385" s="799"/>
      <c r="ET1385" s="799"/>
      <c r="EU1385" s="799"/>
      <c r="EV1385" s="799"/>
      <c r="EW1385" s="799"/>
      <c r="EX1385" s="799"/>
      <c r="EY1385" s="799"/>
      <c r="EZ1385" s="799"/>
      <c r="FA1385" s="799"/>
      <c r="FB1385" s="799"/>
      <c r="FC1385" s="799"/>
      <c r="FD1385" s="799"/>
      <c r="FE1385" s="799"/>
      <c r="FF1385" s="799"/>
      <c r="FG1385" s="799"/>
      <c r="FH1385" s="799"/>
      <c r="FI1385" s="799"/>
      <c r="FJ1385" s="799"/>
      <c r="FK1385" s="799"/>
      <c r="FL1385" s="799"/>
      <c r="FM1385" s="799"/>
      <c r="FN1385" s="799"/>
      <c r="FO1385" s="799"/>
      <c r="FP1385" s="799"/>
      <c r="FQ1385" s="799"/>
      <c r="FR1385" s="799"/>
      <c r="FS1385" s="799"/>
      <c r="FT1385" s="799"/>
      <c r="FU1385" s="799"/>
      <c r="FV1385" s="799"/>
      <c r="FW1385" s="799"/>
      <c r="FX1385" s="799"/>
      <c r="FY1385" s="799"/>
      <c r="FZ1385" s="799"/>
      <c r="GA1385" s="799"/>
      <c r="GB1385" s="799"/>
      <c r="GC1385" s="799"/>
      <c r="GD1385" s="799"/>
      <c r="GE1385" s="799"/>
      <c r="GF1385" s="799"/>
      <c r="GG1385" s="799"/>
      <c r="GH1385" s="799"/>
      <c r="GI1385" s="799"/>
      <c r="GJ1385" s="799"/>
      <c r="GK1385" s="799"/>
      <c r="GL1385" s="799"/>
      <c r="GM1385" s="799"/>
      <c r="GN1385" s="799"/>
      <c r="GO1385" s="799"/>
      <c r="GP1385" s="799"/>
      <c r="GQ1385" s="799"/>
      <c r="GR1385" s="799"/>
      <c r="GS1385" s="799"/>
      <c r="GT1385" s="799"/>
      <c r="GU1385" s="799"/>
      <c r="GV1385" s="799"/>
      <c r="GW1385" s="799"/>
      <c r="GX1385" s="799"/>
      <c r="GY1385" s="799"/>
      <c r="GZ1385" s="799"/>
    </row>
    <row r="1386" spans="1:208">
      <c r="T1386" s="799"/>
      <c r="DB1386" s="799"/>
      <c r="DC1386" s="799"/>
      <c r="DD1386" s="799"/>
      <c r="DE1386" s="799"/>
      <c r="DF1386" s="799"/>
      <c r="DG1386" s="799"/>
      <c r="DH1386" s="799"/>
      <c r="DI1386" s="799"/>
      <c r="DJ1386" s="799"/>
      <c r="DK1386" s="799"/>
      <c r="DL1386" s="799"/>
      <c r="DM1386" s="799"/>
      <c r="DN1386" s="799"/>
      <c r="DO1386" s="799"/>
      <c r="DP1386" s="799"/>
      <c r="DQ1386" s="799"/>
      <c r="DR1386" s="799"/>
      <c r="DS1386" s="799"/>
      <c r="DT1386" s="799"/>
      <c r="DU1386" s="799"/>
      <c r="DV1386" s="799"/>
      <c r="DW1386" s="799"/>
      <c r="DX1386" s="799"/>
      <c r="DY1386" s="799"/>
      <c r="DZ1386" s="799"/>
      <c r="EA1386" s="799"/>
      <c r="EB1386" s="799"/>
      <c r="EC1386" s="799"/>
      <c r="ED1386" s="799"/>
      <c r="EE1386" s="799"/>
      <c r="EF1386" s="799"/>
      <c r="EG1386" s="799"/>
      <c r="EH1386" s="799"/>
      <c r="EI1386" s="799"/>
      <c r="EJ1386" s="799"/>
      <c r="EK1386" s="799"/>
      <c r="EL1386" s="799"/>
      <c r="EM1386" s="799"/>
      <c r="EN1386" s="799"/>
      <c r="EO1386" s="799"/>
      <c r="EP1386" s="799"/>
      <c r="EQ1386" s="799"/>
      <c r="ER1386" s="799"/>
      <c r="ES1386" s="799"/>
      <c r="ET1386" s="799"/>
      <c r="EU1386" s="799"/>
      <c r="EV1386" s="799"/>
      <c r="EW1386" s="799"/>
      <c r="EX1386" s="799"/>
      <c r="EY1386" s="799"/>
      <c r="EZ1386" s="799"/>
      <c r="FA1386" s="799"/>
      <c r="FB1386" s="799"/>
      <c r="FC1386" s="799"/>
      <c r="FD1386" s="799"/>
      <c r="FE1386" s="799"/>
      <c r="FF1386" s="799"/>
      <c r="FG1386" s="799"/>
      <c r="FH1386" s="799"/>
      <c r="FI1386" s="799"/>
      <c r="FJ1386" s="799"/>
      <c r="FK1386" s="799"/>
      <c r="FL1386" s="799"/>
      <c r="FM1386" s="799"/>
      <c r="FN1386" s="799"/>
      <c r="FO1386" s="799"/>
      <c r="FP1386" s="799"/>
      <c r="FQ1386" s="799"/>
      <c r="FR1386" s="799"/>
      <c r="FS1386" s="799"/>
      <c r="FT1386" s="799"/>
      <c r="FU1386" s="799"/>
      <c r="FV1386" s="799"/>
      <c r="FW1386" s="799"/>
      <c r="FX1386" s="799"/>
      <c r="FY1386" s="799"/>
      <c r="FZ1386" s="799"/>
      <c r="GA1386" s="799"/>
      <c r="GB1386" s="799"/>
      <c r="GC1386" s="799"/>
      <c r="GD1386" s="799"/>
      <c r="GE1386" s="799"/>
      <c r="GF1386" s="799"/>
      <c r="GG1386" s="799"/>
      <c r="GH1386" s="799"/>
      <c r="GI1386" s="799"/>
      <c r="GJ1386" s="799"/>
      <c r="GK1386" s="799"/>
      <c r="GL1386" s="799"/>
      <c r="GM1386" s="799"/>
      <c r="GN1386" s="799"/>
      <c r="GO1386" s="799"/>
      <c r="GP1386" s="799"/>
      <c r="GQ1386" s="799"/>
      <c r="GR1386" s="799"/>
      <c r="GS1386" s="799"/>
      <c r="GT1386" s="799"/>
      <c r="GU1386" s="799"/>
      <c r="GV1386" s="799"/>
      <c r="GW1386" s="799"/>
      <c r="GX1386" s="799"/>
      <c r="GY1386" s="799"/>
      <c r="GZ1386" s="799"/>
    </row>
    <row r="1387" spans="1:208">
      <c r="T1387" s="799"/>
      <c r="DB1387" s="799"/>
      <c r="DC1387" s="799"/>
      <c r="DD1387" s="799"/>
      <c r="DE1387" s="799"/>
      <c r="DF1387" s="799"/>
      <c r="DG1387" s="799"/>
      <c r="DH1387" s="799"/>
      <c r="DI1387" s="799"/>
      <c r="DJ1387" s="799"/>
      <c r="DK1387" s="799"/>
      <c r="DL1387" s="799"/>
      <c r="DM1387" s="799"/>
      <c r="DN1387" s="799"/>
      <c r="DO1387" s="799"/>
      <c r="DP1387" s="799"/>
      <c r="DQ1387" s="799"/>
      <c r="DR1387" s="799"/>
      <c r="DS1387" s="799"/>
      <c r="DT1387" s="799"/>
      <c r="DU1387" s="799"/>
      <c r="DV1387" s="799"/>
      <c r="DW1387" s="799"/>
      <c r="DX1387" s="799"/>
      <c r="DY1387" s="799"/>
      <c r="DZ1387" s="799"/>
      <c r="EA1387" s="799"/>
      <c r="EB1387" s="799"/>
      <c r="EC1387" s="799"/>
      <c r="ED1387" s="799"/>
      <c r="EE1387" s="799"/>
      <c r="EF1387" s="799"/>
      <c r="EG1387" s="799"/>
      <c r="EH1387" s="799"/>
      <c r="EI1387" s="799"/>
      <c r="EJ1387" s="799"/>
      <c r="EK1387" s="799"/>
      <c r="EL1387" s="799"/>
      <c r="EM1387" s="799"/>
      <c r="EN1387" s="799"/>
      <c r="EO1387" s="799"/>
      <c r="EP1387" s="799"/>
      <c r="EQ1387" s="799"/>
      <c r="ER1387" s="799"/>
      <c r="ES1387" s="799"/>
      <c r="ET1387" s="799"/>
      <c r="EU1387" s="799"/>
      <c r="EV1387" s="799"/>
      <c r="EW1387" s="799"/>
      <c r="EX1387" s="799"/>
      <c r="EY1387" s="799"/>
      <c r="EZ1387" s="799"/>
      <c r="FA1387" s="799"/>
      <c r="FB1387" s="799"/>
      <c r="FC1387" s="799"/>
      <c r="FD1387" s="799"/>
      <c r="FE1387" s="799"/>
      <c r="FF1387" s="799"/>
      <c r="FG1387" s="799"/>
      <c r="FH1387" s="799"/>
      <c r="FI1387" s="799"/>
      <c r="FJ1387" s="799"/>
      <c r="FK1387" s="799"/>
      <c r="FL1387" s="799"/>
      <c r="FM1387" s="799"/>
      <c r="FN1387" s="799"/>
      <c r="FO1387" s="799"/>
      <c r="FP1387" s="799"/>
      <c r="FQ1387" s="799"/>
      <c r="FR1387" s="799"/>
      <c r="FS1387" s="799"/>
      <c r="FT1387" s="799"/>
      <c r="FU1387" s="799"/>
      <c r="FV1387" s="799"/>
      <c r="FW1387" s="799"/>
      <c r="FX1387" s="799"/>
      <c r="FY1387" s="799"/>
      <c r="FZ1387" s="799"/>
      <c r="GA1387" s="799"/>
      <c r="GB1387" s="799"/>
      <c r="GC1387" s="799"/>
      <c r="GD1387" s="799"/>
      <c r="GE1387" s="799"/>
      <c r="GF1387" s="799"/>
      <c r="GG1387" s="799"/>
      <c r="GH1387" s="799"/>
      <c r="GI1387" s="799"/>
      <c r="GJ1387" s="799"/>
      <c r="GK1387" s="799"/>
      <c r="GL1387" s="799"/>
      <c r="GM1387" s="799"/>
      <c r="GN1387" s="799"/>
      <c r="GO1387" s="799"/>
      <c r="GP1387" s="799"/>
      <c r="GQ1387" s="799"/>
      <c r="GR1387" s="799"/>
      <c r="GS1387" s="799"/>
      <c r="GT1387" s="799"/>
      <c r="GU1387" s="799"/>
      <c r="GV1387" s="799"/>
      <c r="GW1387" s="799"/>
      <c r="GX1387" s="799"/>
      <c r="GY1387" s="799"/>
      <c r="GZ1387" s="799"/>
    </row>
    <row r="1388" spans="1:208">
      <c r="T1388" s="799"/>
      <c r="DB1388" s="799"/>
      <c r="DC1388" s="799"/>
      <c r="DD1388" s="799"/>
      <c r="DE1388" s="799"/>
      <c r="DF1388" s="799"/>
      <c r="DG1388" s="799"/>
      <c r="DH1388" s="799"/>
      <c r="DI1388" s="799"/>
      <c r="DJ1388" s="799"/>
      <c r="DK1388" s="799"/>
      <c r="DL1388" s="799"/>
      <c r="DM1388" s="799"/>
      <c r="DN1388" s="799"/>
      <c r="DO1388" s="799"/>
      <c r="DP1388" s="799"/>
      <c r="DQ1388" s="799"/>
      <c r="DR1388" s="799"/>
      <c r="DS1388" s="799"/>
      <c r="DT1388" s="799"/>
      <c r="DU1388" s="799"/>
      <c r="DV1388" s="799"/>
      <c r="DW1388" s="799"/>
      <c r="DX1388" s="799"/>
      <c r="DY1388" s="799"/>
      <c r="DZ1388" s="799"/>
      <c r="EA1388" s="799"/>
      <c r="EB1388" s="799"/>
      <c r="EC1388" s="799"/>
      <c r="ED1388" s="799"/>
      <c r="EE1388" s="799"/>
      <c r="EF1388" s="799"/>
      <c r="EG1388" s="799"/>
      <c r="EH1388" s="799"/>
      <c r="EI1388" s="799"/>
      <c r="EJ1388" s="799"/>
      <c r="EK1388" s="799"/>
      <c r="EL1388" s="799"/>
      <c r="EM1388" s="799"/>
      <c r="EN1388" s="799"/>
      <c r="EO1388" s="799"/>
      <c r="EP1388" s="799"/>
      <c r="EQ1388" s="799"/>
      <c r="ER1388" s="799"/>
      <c r="ES1388" s="799"/>
      <c r="ET1388" s="799"/>
      <c r="EU1388" s="799"/>
      <c r="EV1388" s="799"/>
      <c r="EW1388" s="799"/>
      <c r="EX1388" s="799"/>
      <c r="EY1388" s="799"/>
      <c r="EZ1388" s="799"/>
      <c r="FA1388" s="799"/>
      <c r="FB1388" s="799"/>
      <c r="FC1388" s="799"/>
      <c r="FD1388" s="799"/>
      <c r="FE1388" s="799"/>
      <c r="FF1388" s="799"/>
      <c r="FG1388" s="799"/>
      <c r="FH1388" s="799"/>
      <c r="FI1388" s="799"/>
      <c r="FJ1388" s="799"/>
      <c r="FK1388" s="799"/>
      <c r="FL1388" s="799"/>
      <c r="FM1388" s="799"/>
      <c r="FN1388" s="799"/>
      <c r="FO1388" s="799"/>
      <c r="FP1388" s="799"/>
      <c r="FQ1388" s="799"/>
      <c r="FR1388" s="799"/>
      <c r="FS1388" s="799"/>
      <c r="FT1388" s="799"/>
      <c r="FU1388" s="799"/>
      <c r="FV1388" s="799"/>
      <c r="FW1388" s="799"/>
      <c r="FX1388" s="799"/>
      <c r="FY1388" s="799"/>
      <c r="FZ1388" s="799"/>
      <c r="GA1388" s="799"/>
      <c r="GB1388" s="799"/>
      <c r="GC1388" s="799"/>
      <c r="GD1388" s="799"/>
      <c r="GE1388" s="799"/>
      <c r="GF1388" s="799"/>
      <c r="GG1388" s="799"/>
      <c r="GH1388" s="799"/>
      <c r="GI1388" s="799"/>
      <c r="GJ1388" s="799"/>
      <c r="GK1388" s="799"/>
      <c r="GL1388" s="799"/>
      <c r="GM1388" s="799"/>
      <c r="GN1388" s="799"/>
      <c r="GO1388" s="799"/>
      <c r="GP1388" s="799"/>
      <c r="GQ1388" s="799"/>
      <c r="GR1388" s="799"/>
      <c r="GS1388" s="799"/>
      <c r="GT1388" s="799"/>
      <c r="GU1388" s="799"/>
      <c r="GV1388" s="799"/>
      <c r="GW1388" s="799"/>
      <c r="GX1388" s="799"/>
      <c r="GY1388" s="799"/>
      <c r="GZ1388" s="799"/>
    </row>
    <row r="1389" spans="1:208">
      <c r="T1389" s="799"/>
      <c r="DB1389" s="799"/>
      <c r="DC1389" s="799"/>
      <c r="DD1389" s="799"/>
      <c r="DE1389" s="799"/>
      <c r="DF1389" s="799"/>
      <c r="DG1389" s="799"/>
      <c r="DH1389" s="799"/>
      <c r="DI1389" s="799"/>
      <c r="DJ1389" s="799"/>
      <c r="DK1389" s="799"/>
      <c r="DL1389" s="799"/>
      <c r="DM1389" s="799"/>
      <c r="DN1389" s="799"/>
      <c r="DO1389" s="799"/>
      <c r="DP1389" s="799"/>
      <c r="DQ1389" s="799"/>
      <c r="DR1389" s="799"/>
      <c r="DS1389" s="799"/>
      <c r="DT1389" s="799"/>
      <c r="DU1389" s="799"/>
      <c r="DV1389" s="799"/>
      <c r="DW1389" s="799"/>
      <c r="DX1389" s="799"/>
      <c r="DY1389" s="799"/>
      <c r="DZ1389" s="799"/>
      <c r="EA1389" s="799"/>
      <c r="EB1389" s="799"/>
      <c r="EC1389" s="799"/>
      <c r="ED1389" s="799"/>
      <c r="EE1389" s="799"/>
      <c r="EF1389" s="799"/>
      <c r="EG1389" s="799"/>
      <c r="EH1389" s="799"/>
      <c r="EI1389" s="799"/>
      <c r="EJ1389" s="799"/>
      <c r="EK1389" s="799"/>
      <c r="EL1389" s="799"/>
      <c r="EM1389" s="799"/>
      <c r="EN1389" s="799"/>
      <c r="EO1389" s="799"/>
      <c r="EP1389" s="799"/>
      <c r="EQ1389" s="799"/>
      <c r="ER1389" s="799"/>
      <c r="ES1389" s="799"/>
      <c r="ET1389" s="799"/>
      <c r="EU1389" s="799"/>
      <c r="EV1389" s="799"/>
      <c r="EW1389" s="799"/>
      <c r="EX1389" s="799"/>
      <c r="EY1389" s="799"/>
      <c r="EZ1389" s="799"/>
      <c r="FA1389" s="799"/>
      <c r="FB1389" s="799"/>
      <c r="FC1389" s="799"/>
      <c r="FD1389" s="799"/>
      <c r="FE1389" s="799"/>
      <c r="FF1389" s="799"/>
      <c r="FG1389" s="799"/>
      <c r="FH1389" s="799"/>
      <c r="FI1389" s="799"/>
      <c r="FJ1389" s="799"/>
      <c r="FK1389" s="799"/>
      <c r="FL1389" s="799"/>
      <c r="FM1389" s="799"/>
      <c r="FN1389" s="799"/>
      <c r="FO1389" s="799"/>
      <c r="FP1389" s="799"/>
      <c r="FQ1389" s="799"/>
      <c r="FR1389" s="799"/>
      <c r="FS1389" s="799"/>
      <c r="FT1389" s="799"/>
      <c r="FU1389" s="799"/>
      <c r="FV1389" s="799"/>
      <c r="FW1389" s="799"/>
      <c r="FX1389" s="799"/>
      <c r="FY1389" s="799"/>
      <c r="FZ1389" s="799"/>
      <c r="GA1389" s="799"/>
      <c r="GB1389" s="799"/>
      <c r="GC1389" s="799"/>
      <c r="GD1389" s="799"/>
      <c r="GE1389" s="799"/>
      <c r="GF1389" s="799"/>
      <c r="GG1389" s="799"/>
      <c r="GH1389" s="799"/>
      <c r="GI1389" s="799"/>
      <c r="GJ1389" s="799"/>
      <c r="GK1389" s="799"/>
      <c r="GL1389" s="799"/>
      <c r="GM1389" s="799"/>
      <c r="GN1389" s="799"/>
      <c r="GO1389" s="799"/>
      <c r="GP1389" s="799"/>
      <c r="GQ1389" s="799"/>
      <c r="GR1389" s="799"/>
      <c r="GS1389" s="799"/>
      <c r="GT1389" s="799"/>
      <c r="GU1389" s="799"/>
      <c r="GV1389" s="799"/>
      <c r="GW1389" s="799"/>
      <c r="GX1389" s="799"/>
      <c r="GY1389" s="799"/>
      <c r="GZ1389" s="799"/>
    </row>
  </sheetData>
  <mergeCells count="20">
    <mergeCell ref="B2:D2"/>
    <mergeCell ref="E3:J3"/>
    <mergeCell ref="M399:M400"/>
    <mergeCell ref="K800:K812"/>
    <mergeCell ref="K813:K823"/>
    <mergeCell ref="K778:K791"/>
    <mergeCell ref="K775:K776"/>
    <mergeCell ref="K792:K799"/>
    <mergeCell ref="K399:K401"/>
    <mergeCell ref="K915:K924"/>
    <mergeCell ref="K908:K914"/>
    <mergeCell ref="T3:U3"/>
    <mergeCell ref="K478:K479"/>
    <mergeCell ref="K480:K481"/>
    <mergeCell ref="K847:K852"/>
    <mergeCell ref="K865:K883"/>
    <mergeCell ref="K853:K864"/>
    <mergeCell ref="K884:K895"/>
    <mergeCell ref="K828:K839"/>
    <mergeCell ref="K896:K907"/>
  </mergeCells>
  <phoneticPr fontId="75" type="noConversion"/>
  <conditionalFormatting sqref="C927">
    <cfRule type="duplicateValues" dxfId="471" priority="6"/>
  </conditionalFormatting>
  <conditionalFormatting sqref="C417:C421">
    <cfRule type="duplicateValues" dxfId="470" priority="5"/>
  </conditionalFormatting>
  <conditionalFormatting sqref="C514:C515">
    <cfRule type="duplicateValues" dxfId="469" priority="4"/>
  </conditionalFormatting>
  <conditionalFormatting sqref="C928:C930">
    <cfRule type="duplicateValues" dxfId="468" priority="3"/>
  </conditionalFormatting>
  <conditionalFormatting sqref="C422:C513 C516:C861 C411:C416 C1:C409 C863:C916 C920:C926 C931:C1048576">
    <cfRule type="duplicateValues" dxfId="467" priority="21119"/>
  </conditionalFormatting>
  <conditionalFormatting sqref="C862">
    <cfRule type="duplicateValues" dxfId="466" priority="2"/>
  </conditionalFormatting>
  <conditionalFormatting sqref="C917:C919">
    <cfRule type="duplicateValues" dxfId="465" priority="1"/>
  </conditionalFormatting>
  <hyperlinks>
    <hyperlink ref="M261" location="FA!A1" display="FA!A1" xr:uid="{00000000-0004-0000-1900-000003000000}"/>
    <hyperlink ref="N442" location="'Post-Closing Withdrawl Updated'!E40" display="Post-Closing Withdrawl'!A1" xr:uid="{AEE8715C-1702-426F-8A65-45040048F482}"/>
    <hyperlink ref="M241" location="'Prepaid expenses'!A1" display="'Prepaid expenses'!A1" xr:uid="{CCB3C58B-104C-4A6D-A917-98A6AB1AF9F2}"/>
    <hyperlink ref="M427" location="'Accrued expenses'!A68" display="'Accrued expenses'!A68" xr:uid="{6CDAAA39-7E5F-42CF-9902-D8B63C37D409}"/>
    <hyperlink ref="M349" location="'Accrued expenses'!A69" display="'Accrued expenses'!A69" xr:uid="{451F5ABC-8133-4F03-9DD0-DE97A7D54AEB}"/>
  </hyperlinks>
  <pageMargins left="0.7" right="0.7" top="0.75" bottom="0.75" header="0.3" footer="0.3"/>
  <pageSetup paperSize="9" orientation="portrait" r:id="rId1"/>
  <ignoredErrors>
    <ignoredError sqref="F277" formula="1"/>
  </ignoredErrors>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1">
    <tabColor rgb="FFFFFF00"/>
    <pageSetUpPr fitToPage="1"/>
  </sheetPr>
  <dimension ref="A1:L1078"/>
  <sheetViews>
    <sheetView zoomScale="80" zoomScaleNormal="80" workbookViewId="0">
      <pane ySplit="4" topLeftCell="A149" activePane="bottomLeft" state="frozen"/>
      <selection pane="bottomLeft" activeCell="L165" sqref="L165"/>
    </sheetView>
  </sheetViews>
  <sheetFormatPr defaultColWidth="9.33203125" defaultRowHeight="12.75"/>
  <cols>
    <col min="1" max="1" width="11.33203125" style="33" customWidth="1"/>
    <col min="2" max="2" width="18.6640625" style="698" customWidth="1"/>
    <col min="3" max="3" width="50" style="32" customWidth="1"/>
    <col min="4" max="4" width="18.1640625" style="32" customWidth="1"/>
    <col min="5" max="5" width="59.33203125" style="32" customWidth="1"/>
    <col min="6" max="6" width="29" style="317" customWidth="1"/>
    <col min="7" max="7" width="56.83203125" style="738" customWidth="1"/>
    <col min="8" max="8" width="12.6640625" style="32" bestFit="1" customWidth="1"/>
    <col min="9" max="9" width="15.1640625" style="716" bestFit="1" customWidth="1"/>
    <col min="10" max="10" width="15.33203125" style="32" bestFit="1" customWidth="1"/>
    <col min="11" max="11" width="24.1640625" style="32" bestFit="1" customWidth="1"/>
    <col min="12" max="12" width="13.33203125" style="32" customWidth="1"/>
    <col min="13" max="17" width="9.33203125" style="32"/>
    <col min="18" max="18" width="9.5" style="32" bestFit="1" customWidth="1"/>
    <col min="19" max="19" width="10.6640625" style="32" bestFit="1" customWidth="1"/>
    <col min="20" max="16384" width="9.33203125" style="32"/>
  </cols>
  <sheetData>
    <row r="1" spans="1:9" s="153" customFormat="1" ht="15.75" thickBot="1">
      <c r="A1" s="37" t="s">
        <v>285</v>
      </c>
      <c r="B1" s="2936" t="s">
        <v>2629</v>
      </c>
      <c r="C1" s="2126" t="s">
        <v>2321</v>
      </c>
      <c r="D1" s="2127" t="s">
        <v>294</v>
      </c>
      <c r="E1" s="2128" t="s">
        <v>2630</v>
      </c>
      <c r="F1" s="2129" t="s">
        <v>2631</v>
      </c>
      <c r="G1" s="2130" t="s">
        <v>2603</v>
      </c>
      <c r="I1" s="716"/>
    </row>
    <row r="2" spans="1:9" s="153" customFormat="1" ht="15">
      <c r="A2" s="3319"/>
      <c r="B2" s="3320"/>
      <c r="C2" s="3321"/>
      <c r="D2" s="3322"/>
      <c r="E2" s="3322"/>
      <c r="F2" s="3323"/>
      <c r="G2" s="3323"/>
      <c r="I2" s="716"/>
    </row>
    <row r="3" spans="1:9" s="153" customFormat="1" ht="15">
      <c r="A3" s="3319"/>
      <c r="B3" s="3320"/>
      <c r="C3" s="3321"/>
      <c r="D3" s="3322"/>
      <c r="E3" s="3322"/>
      <c r="F3" s="3323"/>
      <c r="G3" s="3323"/>
      <c r="I3" s="716"/>
    </row>
    <row r="4" spans="1:9" s="153" customFormat="1" ht="15.75" thickBot="1">
      <c r="A4" s="3319"/>
      <c r="B4" s="3320"/>
      <c r="C4" s="3321"/>
      <c r="D4" s="3322"/>
      <c r="E4" s="3322"/>
      <c r="F4" s="3323"/>
      <c r="G4" s="3323"/>
      <c r="I4" s="716"/>
    </row>
    <row r="5" spans="1:9" ht="13.5" thickBot="1">
      <c r="A5" s="3692"/>
      <c r="B5" s="2937"/>
      <c r="C5" s="716"/>
      <c r="D5" s="2507">
        <f>SUM(D6:D165)</f>
        <v>0</v>
      </c>
      <c r="E5" s="739"/>
      <c r="F5" s="32"/>
      <c r="G5" s="32"/>
    </row>
    <row r="6" spans="1:9">
      <c r="A6" s="4517">
        <v>1</v>
      </c>
      <c r="B6" s="2160">
        <v>2400001</v>
      </c>
      <c r="C6" s="723" t="str">
        <f>VLOOKUP(B6,'New TB INC'!$C:$D,2,0)</f>
        <v>Accrued Exp Employee Related</v>
      </c>
      <c r="D6" s="2492">
        <f>-SUM(D7:D8)</f>
        <v>0</v>
      </c>
      <c r="E6" s="4522" t="s">
        <v>4833</v>
      </c>
      <c r="F6" s="4533" t="s">
        <v>3421</v>
      </c>
      <c r="G6" s="2181" t="s">
        <v>2814</v>
      </c>
    </row>
    <row r="7" spans="1:9">
      <c r="A7" s="4517"/>
      <c r="B7" s="2506">
        <v>7110003</v>
      </c>
      <c r="C7" s="337" t="str">
        <f>VLOOKUP(B7,'New TB INC'!$C:$D,2,0)</f>
        <v>Commission - Sales from provision only</v>
      </c>
      <c r="D7" s="1602"/>
      <c r="E7" s="4524"/>
      <c r="F7" s="4534"/>
      <c r="G7" s="990" t="s">
        <v>3517</v>
      </c>
    </row>
    <row r="8" spans="1:9" ht="13.5" thickBot="1">
      <c r="A8" s="4517"/>
      <c r="B8" s="2508">
        <v>7110003</v>
      </c>
      <c r="C8" s="338" t="str">
        <f>VLOOKUP(B8,'New TB INC'!$C:$D,2,0)</f>
        <v>Commission - Sales from provision only</v>
      </c>
      <c r="D8" s="1605"/>
      <c r="E8" s="4523"/>
      <c r="F8" s="4535"/>
      <c r="G8" s="2182" t="s">
        <v>2074</v>
      </c>
    </row>
    <row r="9" spans="1:9" ht="13.5" thickBot="1">
      <c r="A9" s="3692"/>
      <c r="B9" s="2937"/>
      <c r="C9" s="716"/>
      <c r="D9" s="490"/>
      <c r="E9" s="739"/>
      <c r="F9" s="32"/>
      <c r="G9" s="32"/>
    </row>
    <row r="10" spans="1:9">
      <c r="A10" s="4517">
        <f>A6+1</f>
        <v>2</v>
      </c>
      <c r="B10" s="1249">
        <v>93100</v>
      </c>
      <c r="C10" s="723" t="str">
        <f>VLOOKUP(B10,'New TB INC'!$C:$D,2,0)</f>
        <v>Allocation of G&amp;A to other departments</v>
      </c>
      <c r="D10" s="2492"/>
      <c r="E10" s="4527" t="s">
        <v>2290</v>
      </c>
      <c r="F10" s="4530" t="s">
        <v>2834</v>
      </c>
      <c r="G10" s="2181"/>
    </row>
    <row r="11" spans="1:9">
      <c r="A11" s="4517"/>
      <c r="B11" s="1250">
        <v>6129999</v>
      </c>
      <c r="C11" s="337" t="str">
        <f>VLOOKUP(B11,'New TB INC'!$C:$D,2,0)</f>
        <v>Allocation of G&amp;A to PM</v>
      </c>
      <c r="D11" s="1602"/>
      <c r="E11" s="4528"/>
      <c r="F11" s="4531"/>
      <c r="G11" s="990"/>
    </row>
    <row r="12" spans="1:9">
      <c r="A12" s="4517"/>
      <c r="B12" s="1250">
        <v>5419999</v>
      </c>
      <c r="C12" s="337" t="str">
        <f>VLOOKUP(B12,'New TB INC'!$C:$D,2,0)</f>
        <v>Allocation of G&amp;A to COGS TRAINING</v>
      </c>
      <c r="D12" s="1602"/>
      <c r="E12" s="4528"/>
      <c r="F12" s="4531"/>
      <c r="G12" s="990"/>
    </row>
    <row r="13" spans="1:9">
      <c r="A13" s="4517"/>
      <c r="B13" s="1250">
        <v>5219999</v>
      </c>
      <c r="C13" s="337" t="str">
        <f>VLOOKUP(B13,'New TB INC'!$C:$D,2,0)</f>
        <v>Allocation of G&amp;A to COGS PS</v>
      </c>
      <c r="D13" s="1602"/>
      <c r="E13" s="4528"/>
      <c r="F13" s="4531"/>
      <c r="G13" s="990"/>
    </row>
    <row r="14" spans="1:9">
      <c r="A14" s="4517"/>
      <c r="B14" s="1250">
        <v>5119999</v>
      </c>
      <c r="C14" s="337" t="str">
        <f>VLOOKUP(B14,'New TB INC'!$C:$D,2,0)</f>
        <v>Allocation of G&amp;A to COGS SUPPORT</v>
      </c>
      <c r="D14" s="1602"/>
      <c r="E14" s="4528"/>
      <c r="F14" s="4531"/>
      <c r="G14" s="990"/>
    </row>
    <row r="15" spans="1:9" ht="13.5" thickBot="1">
      <c r="A15" s="4517"/>
      <c r="B15" s="1251">
        <v>7029999</v>
      </c>
      <c r="C15" s="338" t="str">
        <f>VLOOKUP(B15,'New TB INC'!$C:$D,2,0)</f>
        <v>Allocation of G&amp;A to S&amp;M</v>
      </c>
      <c r="D15" s="1605"/>
      <c r="E15" s="4529"/>
      <c r="F15" s="4532"/>
      <c r="G15" s="2182"/>
    </row>
    <row r="16" spans="1:9" ht="13.5" thickBot="1">
      <c r="A16" s="3692"/>
      <c r="B16" s="2937"/>
      <c r="C16" s="716"/>
      <c r="D16" s="2162"/>
      <c r="E16" s="2247"/>
      <c r="F16" s="32"/>
      <c r="G16" s="32"/>
    </row>
    <row r="17" spans="1:7" ht="13.5" thickBot="1">
      <c r="A17" s="4517">
        <v>3</v>
      </c>
      <c r="B17" s="2938">
        <v>1130001</v>
      </c>
      <c r="C17" s="728" t="s">
        <v>801</v>
      </c>
      <c r="D17" s="2163"/>
      <c r="E17" s="2248" t="s">
        <v>3286</v>
      </c>
      <c r="F17" s="4525" t="s">
        <v>2879</v>
      </c>
      <c r="G17" s="1008">
        <f>+'Tax - Inc'!D8</f>
        <v>5.1525093149393797E-3</v>
      </c>
    </row>
    <row r="18" spans="1:7" ht="13.5" thickBot="1">
      <c r="A18" s="4517"/>
      <c r="B18" s="2939">
        <v>5900001</v>
      </c>
      <c r="C18" s="1064" t="s">
        <v>735</v>
      </c>
      <c r="D18" s="2164">
        <f>-D17</f>
        <v>0</v>
      </c>
      <c r="E18" s="2249"/>
      <c r="F18" s="4526"/>
      <c r="G18" s="2182"/>
    </row>
    <row r="19" spans="1:7" ht="13.5" thickBot="1">
      <c r="A19" s="4254"/>
      <c r="B19" s="337"/>
      <c r="C19" s="204"/>
      <c r="D19" s="2213"/>
      <c r="E19" s="2360"/>
      <c r="F19" s="4252"/>
      <c r="G19" s="320"/>
    </row>
    <row r="20" spans="1:7">
      <c r="A20" s="4254"/>
      <c r="B20" s="2938">
        <v>1130001</v>
      </c>
      <c r="C20" s="728" t="s">
        <v>801</v>
      </c>
      <c r="D20" s="2163"/>
      <c r="E20" s="4554" t="s">
        <v>4963</v>
      </c>
      <c r="F20" s="4525" t="s">
        <v>2879</v>
      </c>
      <c r="G20" s="320"/>
    </row>
    <row r="21" spans="1:7" ht="13.5" thickBot="1">
      <c r="A21" s="4254"/>
      <c r="B21" s="2939">
        <v>5900001</v>
      </c>
      <c r="C21" s="1064" t="s">
        <v>735</v>
      </c>
      <c r="D21" s="2164">
        <f>-D20</f>
        <v>0</v>
      </c>
      <c r="E21" s="4555"/>
      <c r="F21" s="4526"/>
      <c r="G21" s="320"/>
    </row>
    <row r="22" spans="1:7" ht="13.5" thickBot="1">
      <c r="A22" s="3692"/>
      <c r="B22" s="337"/>
      <c r="C22" s="204"/>
      <c r="D22" s="2213"/>
      <c r="E22" s="2360"/>
      <c r="F22" s="2361"/>
      <c r="G22" s="32"/>
    </row>
    <row r="23" spans="1:7">
      <c r="A23" s="3692">
        <v>4</v>
      </c>
      <c r="B23" s="2938">
        <v>2400001</v>
      </c>
      <c r="C23" s="723" t="str">
        <f>VLOOKUP(B23,'New TB INC'!$C:$D,2,0)</f>
        <v>Accrued Exp Employee Related</v>
      </c>
      <c r="D23" s="2163"/>
      <c r="E23" s="4536" t="s">
        <v>4960</v>
      </c>
      <c r="F23" s="4525"/>
      <c r="G23" s="4251" t="s">
        <v>3421</v>
      </c>
    </row>
    <row r="24" spans="1:7" ht="13.5" thickBot="1">
      <c r="A24" s="3692"/>
      <c r="B24" s="1251">
        <v>7110003</v>
      </c>
      <c r="C24" s="338" t="str">
        <f>VLOOKUP(B24,'New TB INC'!$C:$D,2,0)</f>
        <v>Commission - Sales from provision only</v>
      </c>
      <c r="D24" s="2164">
        <f>-D23</f>
        <v>0</v>
      </c>
      <c r="E24" s="4537"/>
      <c r="F24" s="4526"/>
      <c r="G24" s="3429" t="s">
        <v>4959</v>
      </c>
    </row>
    <row r="25" spans="1:7" ht="13.5" thickBot="1">
      <c r="A25" s="3692"/>
      <c r="B25" s="2937"/>
      <c r="C25" s="716"/>
      <c r="D25" s="490"/>
      <c r="E25" s="2247"/>
      <c r="F25" s="32"/>
      <c r="G25" s="32"/>
    </row>
    <row r="26" spans="1:7">
      <c r="A26" s="3692">
        <f>A23+1</f>
        <v>5</v>
      </c>
      <c r="B26" s="1218" t="s">
        <v>718</v>
      </c>
      <c r="C26" s="723" t="str">
        <f>VLOOKUP(B26,'New TB INC'!$C:$D,2,0)</f>
        <v>Sorted income</v>
      </c>
      <c r="D26" s="1220"/>
      <c r="E26" s="4522" t="s">
        <v>4192</v>
      </c>
      <c r="F26" s="4520" t="s">
        <v>4837</v>
      </c>
      <c r="G26" s="4518" t="s">
        <v>3421</v>
      </c>
    </row>
    <row r="27" spans="1:7" ht="13.5" thickBot="1">
      <c r="A27" s="3692"/>
      <c r="B27" s="1219">
        <v>53599</v>
      </c>
      <c r="C27" s="338" t="str">
        <f>VLOOKUP(B27,'New TB INC'!$C:$D,2,0)</f>
        <v>Sorting from Income</v>
      </c>
      <c r="D27" s="1221">
        <f>-D26</f>
        <v>0</v>
      </c>
      <c r="E27" s="4523"/>
      <c r="F27" s="4521"/>
      <c r="G27" s="4519"/>
    </row>
    <row r="28" spans="1:7" ht="13.5" thickBot="1">
      <c r="A28" s="3692"/>
      <c r="B28" s="2937"/>
      <c r="C28" s="716"/>
      <c r="E28" s="2247"/>
      <c r="F28" s="32"/>
      <c r="G28" s="32"/>
    </row>
    <row r="29" spans="1:7">
      <c r="A29" s="4517">
        <f>A26+1</f>
        <v>6</v>
      </c>
      <c r="B29" s="1218" t="s">
        <v>718</v>
      </c>
      <c r="C29" s="723" t="str">
        <f>VLOOKUP(B29,'New TB INC'!$C:$D,2,0)</f>
        <v>Sorted income</v>
      </c>
      <c r="D29" s="1220"/>
      <c r="E29" s="4522" t="s">
        <v>4192</v>
      </c>
      <c r="F29" s="4520" t="s">
        <v>4836</v>
      </c>
      <c r="G29" s="4518" t="s">
        <v>3421</v>
      </c>
    </row>
    <row r="30" spans="1:7" ht="13.5" thickBot="1">
      <c r="A30" s="4517"/>
      <c r="B30" s="1219">
        <v>53599</v>
      </c>
      <c r="C30" s="338" t="str">
        <f>VLOOKUP(B30,'New TB INC'!$C:$D,2,0)</f>
        <v>Sorting from Income</v>
      </c>
      <c r="D30" s="1221">
        <f>-D29</f>
        <v>0</v>
      </c>
      <c r="E30" s="4523"/>
      <c r="F30" s="4521"/>
      <c r="G30" s="4519"/>
    </row>
    <row r="31" spans="1:7" ht="13.5" thickBot="1">
      <c r="A31" s="3692"/>
      <c r="B31" s="2176"/>
      <c r="C31" s="337"/>
      <c r="D31" s="733"/>
      <c r="E31" s="2250"/>
      <c r="F31" s="32"/>
      <c r="G31" s="32"/>
    </row>
    <row r="32" spans="1:7">
      <c r="A32" s="3692">
        <f>A29+1</f>
        <v>7</v>
      </c>
      <c r="B32" s="2938">
        <v>8030020</v>
      </c>
      <c r="C32" s="723" t="str">
        <f>VLOOKUP(B32,'New TB INC'!$C:$D,2,0)</f>
        <v>Depreciation Expense</v>
      </c>
      <c r="D32" s="1220"/>
      <c r="E32" s="4522" t="s">
        <v>4748</v>
      </c>
      <c r="F32" s="4520"/>
      <c r="G32" s="4518" t="s">
        <v>2879</v>
      </c>
    </row>
    <row r="33" spans="1:10" ht="13.5" thickBot="1">
      <c r="A33" s="3692"/>
      <c r="B33" s="1251">
        <v>1490006</v>
      </c>
      <c r="C33" s="338" t="str">
        <f>VLOOKUP(B33,'New TB INC'!$C:$D,2,0)</f>
        <v>Accumulated Depreciation</v>
      </c>
      <c r="D33" s="1221">
        <f>-D32</f>
        <v>0</v>
      </c>
      <c r="E33" s="4523"/>
      <c r="F33" s="4521"/>
      <c r="G33" s="4519"/>
    </row>
    <row r="34" spans="1:10" ht="13.5" thickBot="1">
      <c r="A34" s="3692"/>
      <c r="B34" s="2176"/>
      <c r="C34" s="337"/>
      <c r="D34" s="733"/>
      <c r="E34" s="2250"/>
      <c r="F34" s="32"/>
      <c r="G34" s="32"/>
    </row>
    <row r="35" spans="1:10" ht="12.95" customHeight="1">
      <c r="A35" s="4517">
        <f>A32+1</f>
        <v>8</v>
      </c>
      <c r="B35" s="2938">
        <v>1100008</v>
      </c>
      <c r="C35" s="723" t="str">
        <f>VLOOKUP(B35,'New TB INC'!$C:$D,2,0)</f>
        <v>income receivable</v>
      </c>
      <c r="D35" s="1220"/>
      <c r="E35" s="4522" t="s">
        <v>4757</v>
      </c>
      <c r="F35" s="4520"/>
      <c r="G35" s="4518" t="s">
        <v>4758</v>
      </c>
    </row>
    <row r="36" spans="1:10" ht="13.5" customHeight="1" thickBot="1">
      <c r="A36" s="4517"/>
      <c r="B36" s="1251">
        <v>53599</v>
      </c>
      <c r="C36" s="338" t="str">
        <f>VLOOKUP(B36,'New TB INC'!$C:$D,2,0)</f>
        <v>Sorting from Income</v>
      </c>
      <c r="D36" s="1221">
        <f>-D35</f>
        <v>0</v>
      </c>
      <c r="E36" s="4523"/>
      <c r="F36" s="4521"/>
      <c r="G36" s="4519"/>
    </row>
    <row r="37" spans="1:10" ht="13.5" thickBot="1">
      <c r="A37" s="3692"/>
      <c r="B37" s="2176"/>
      <c r="C37" s="337"/>
      <c r="D37" s="733"/>
      <c r="E37" s="2250"/>
      <c r="F37" s="32"/>
      <c r="G37" s="32"/>
    </row>
    <row r="38" spans="1:10">
      <c r="A38" s="4517">
        <f>A35+1</f>
        <v>9</v>
      </c>
      <c r="B38" s="1218" t="s">
        <v>1868</v>
      </c>
      <c r="C38" s="723" t="str">
        <f>VLOOKUP(B38,'New TB INC'!$C:$D,2,0)</f>
        <v>Deferred Revenue-Trial balance only</v>
      </c>
      <c r="D38" s="1220">
        <f>-D39</f>
        <v>0</v>
      </c>
      <c r="E38" s="4522" t="s">
        <v>3824</v>
      </c>
      <c r="F38" s="2181"/>
      <c r="G38" s="4520" t="s">
        <v>3421</v>
      </c>
    </row>
    <row r="39" spans="1:10" ht="13.5" thickBot="1">
      <c r="A39" s="4517"/>
      <c r="B39" s="1219">
        <v>2610001</v>
      </c>
      <c r="C39" s="338" t="str">
        <f>VLOOKUP(B39,'New TB INC'!$C:$D,2,0)</f>
        <v>Deferred Revenue LT</v>
      </c>
      <c r="D39" s="1221"/>
      <c r="E39" s="4523"/>
      <c r="F39" s="2182"/>
      <c r="G39" s="4521"/>
    </row>
    <row r="40" spans="1:10" ht="13.5" thickBot="1">
      <c r="A40" s="3692"/>
      <c r="B40" s="2937"/>
      <c r="C40" s="2191"/>
      <c r="D40" s="1016"/>
      <c r="E40" s="739"/>
      <c r="F40" s="32"/>
      <c r="G40" s="32"/>
    </row>
    <row r="41" spans="1:10">
      <c r="A41" s="3692">
        <f>A38+1</f>
        <v>10</v>
      </c>
      <c r="B41" s="1218">
        <v>2200003</v>
      </c>
      <c r="C41" s="337" t="str">
        <f>VLOOKUP(B41,'New TB INC'!$C:$D,2,0)</f>
        <v>Accrued exp- Post Closing Withdrawl ST</v>
      </c>
      <c r="D41" s="1220">
        <f>-D42</f>
        <v>0</v>
      </c>
      <c r="E41" s="4522" t="s">
        <v>3768</v>
      </c>
      <c r="F41" s="2181"/>
      <c r="G41" s="4520" t="s">
        <v>2879</v>
      </c>
    </row>
    <row r="42" spans="1:10" s="153" customFormat="1" ht="13.5" thickBot="1">
      <c r="A42" s="3692"/>
      <c r="B42" s="1219">
        <v>9010007</v>
      </c>
      <c r="C42" s="338" t="str">
        <f>VLOOKUP(B42,'New TB INC'!$C:$D,2,0)</f>
        <v>Interest for Founders</v>
      </c>
      <c r="D42" s="1221"/>
      <c r="E42" s="4523"/>
      <c r="F42" s="2182"/>
      <c r="G42" s="4521"/>
      <c r="H42" s="32"/>
      <c r="I42" s="716"/>
      <c r="J42" s="32"/>
    </row>
    <row r="43" spans="1:10" ht="13.5" thickBot="1">
      <c r="A43" s="3692"/>
      <c r="D43" s="1016"/>
      <c r="F43" s="380"/>
      <c r="G43" s="32"/>
    </row>
    <row r="44" spans="1:10">
      <c r="A44" s="3692">
        <f>A41+1</f>
        <v>11</v>
      </c>
      <c r="B44" s="1249">
        <v>5100019</v>
      </c>
      <c r="C44" s="723" t="str">
        <f>VLOOKUP(B44,'New TB INC'!$C:$D,2,0)</f>
        <v>FAS123 Support</v>
      </c>
      <c r="D44" s="2161"/>
      <c r="E44" s="4536" t="s">
        <v>2722</v>
      </c>
      <c r="F44" s="2212"/>
      <c r="G44" s="4518" t="s">
        <v>2879</v>
      </c>
    </row>
    <row r="45" spans="1:10">
      <c r="A45" s="3692"/>
      <c r="B45" s="1250">
        <v>6011019</v>
      </c>
      <c r="C45" s="337" t="str">
        <f>VLOOKUP(B45,'New TB INC'!$C:$D,2,0)</f>
        <v>FAS123 Customer Focus</v>
      </c>
      <c r="D45" s="1353"/>
      <c r="E45" s="4544"/>
      <c r="F45" s="566"/>
      <c r="G45" s="4556"/>
    </row>
    <row r="46" spans="1:10">
      <c r="A46" s="3692"/>
      <c r="B46" s="1250">
        <v>7110006</v>
      </c>
      <c r="C46" s="337" t="str">
        <f>VLOOKUP(B46,'New TB INC'!$C:$D,2,0)</f>
        <v>FAS123 Sales US</v>
      </c>
      <c r="D46" s="1353"/>
      <c r="E46" s="4544"/>
      <c r="F46" s="566"/>
      <c r="G46" s="4556"/>
    </row>
    <row r="47" spans="1:10">
      <c r="A47" s="3692"/>
      <c r="B47" s="1250">
        <v>7010018</v>
      </c>
      <c r="C47" s="337" t="str">
        <f>VLOOKUP(B47,'New TB INC'!$C:$D,2,0)</f>
        <v>Share-Based Payment FAS123 - Marketing</v>
      </c>
      <c r="D47" s="1353"/>
      <c r="E47" s="4544"/>
      <c r="F47" s="566"/>
      <c r="G47" s="4556"/>
    </row>
    <row r="48" spans="1:10">
      <c r="A48" s="3692"/>
      <c r="B48" s="1250">
        <v>8010008</v>
      </c>
      <c r="C48" s="337" t="str">
        <f>VLOOKUP(B48,'New TB INC'!$C:$D,2,0)</f>
        <v>FAS 123 G&amp;A</v>
      </c>
      <c r="D48" s="1353"/>
      <c r="E48" s="4544"/>
      <c r="F48" s="566"/>
      <c r="G48" s="4556"/>
    </row>
    <row r="49" spans="1:7" ht="13.5" thickBot="1">
      <c r="A49" s="3692"/>
      <c r="B49" s="2940">
        <v>3020003</v>
      </c>
      <c r="C49" s="338" t="str">
        <f>VLOOKUP(B49,'New TB INC'!$C:$D,2,0)</f>
        <v>APIC - FAS123</v>
      </c>
      <c r="D49" s="1462">
        <f>-SUM(D44:D48)</f>
        <v>0</v>
      </c>
      <c r="E49" s="4537"/>
      <c r="F49" s="567"/>
      <c r="G49" s="4519"/>
    </row>
    <row r="50" spans="1:7" ht="13.5" thickBot="1">
      <c r="A50" s="3692"/>
      <c r="B50" s="2929"/>
      <c r="C50" s="182"/>
      <c r="D50" s="1016"/>
      <c r="E50" s="739"/>
      <c r="F50" s="380"/>
      <c r="G50" s="32"/>
    </row>
    <row r="51" spans="1:7">
      <c r="A51" s="3692">
        <f>A44+1</f>
        <v>12</v>
      </c>
      <c r="B51" s="1249">
        <v>1130012</v>
      </c>
      <c r="C51" s="723" t="str">
        <f>VLOOKUP(B51,'New TB INC'!$C:$D,2,0)</f>
        <v>Algosec India</v>
      </c>
      <c r="D51" s="2161"/>
      <c r="E51" s="4536" t="s">
        <v>2723</v>
      </c>
      <c r="F51" s="2212"/>
      <c r="G51" s="4557" t="s">
        <v>2879</v>
      </c>
    </row>
    <row r="52" spans="1:7">
      <c r="A52" s="3692"/>
      <c r="B52" s="1250">
        <v>1130013</v>
      </c>
      <c r="C52" s="337" t="str">
        <f>VLOOKUP(B52,'New TB INC'!$C:$D,2,0)</f>
        <v>Algosec France</v>
      </c>
      <c r="D52" s="1353"/>
      <c r="E52" s="4544"/>
      <c r="F52" s="566"/>
      <c r="G52" s="4558"/>
    </row>
    <row r="53" spans="1:7">
      <c r="A53" s="3692"/>
      <c r="B53" s="1250">
        <v>1130006</v>
      </c>
      <c r="C53" s="337" t="str">
        <f>VLOOKUP(B53,'New TB INC'!$C:$D,2,0)</f>
        <v>Algosec Australia</v>
      </c>
      <c r="D53" s="1353"/>
      <c r="E53" s="4544"/>
      <c r="F53" s="566"/>
      <c r="G53" s="4558"/>
    </row>
    <row r="54" spans="1:7">
      <c r="A54" s="3692"/>
      <c r="B54" s="1250">
        <v>1130001</v>
      </c>
      <c r="C54" s="337" t="str">
        <f>VLOOKUP(B54,'New TB INC'!$C:$D,2,0)</f>
        <v>Algosec  LTD Intercompany Account</v>
      </c>
      <c r="D54" s="1353"/>
      <c r="E54" s="4544"/>
      <c r="F54" s="566"/>
      <c r="G54" s="4558"/>
    </row>
    <row r="55" spans="1:7" ht="13.5" thickBot="1">
      <c r="A55" s="3692"/>
      <c r="B55" s="2940">
        <v>3020003</v>
      </c>
      <c r="C55" s="338" t="str">
        <f>VLOOKUP(B55,'New TB INC'!$C:$D,2,0)</f>
        <v>APIC - FAS123</v>
      </c>
      <c r="D55" s="1462">
        <f>-SUM(D51:D54)</f>
        <v>0</v>
      </c>
      <c r="E55" s="4537"/>
      <c r="F55" s="567"/>
      <c r="G55" s="4559"/>
    </row>
    <row r="56" spans="1:7" ht="13.5" thickBot="1">
      <c r="A56" s="3692"/>
      <c r="B56" s="2941"/>
      <c r="C56" s="337"/>
      <c r="D56" s="2213"/>
      <c r="E56" s="2246"/>
      <c r="F56" s="383"/>
      <c r="G56" s="320"/>
    </row>
    <row r="57" spans="1:7">
      <c r="A57" s="4546">
        <f>A51+1</f>
        <v>13</v>
      </c>
      <c r="B57" s="1249">
        <v>7170003</v>
      </c>
      <c r="C57" s="723" t="str">
        <f>VLOOKUP(B57,'New TB INC'!$C:$D,2,0)</f>
        <v>MBO - Business Dev.</v>
      </c>
      <c r="D57" s="2161"/>
      <c r="E57" s="4536" t="s">
        <v>4889</v>
      </c>
      <c r="F57" s="2212"/>
      <c r="G57" s="2181" t="s">
        <v>2758</v>
      </c>
    </row>
    <row r="58" spans="1:7">
      <c r="A58" s="4547"/>
      <c r="B58" s="1250" t="s">
        <v>1749</v>
      </c>
      <c r="C58" s="337" t="str">
        <f>VLOOKUP(B58,'New TB INC'!$C:$D,2,0)</f>
        <v>MBO - Business Dev. CAD</v>
      </c>
      <c r="D58" s="1353"/>
      <c r="E58" s="4544"/>
      <c r="F58" s="566"/>
      <c r="G58" s="990" t="s">
        <v>3517</v>
      </c>
    </row>
    <row r="59" spans="1:7">
      <c r="A59" s="4547"/>
      <c r="B59" s="1250">
        <v>8210003</v>
      </c>
      <c r="C59" s="337" t="str">
        <f>VLOOKUP(B59,'New TB INC'!$C:$D,2,0)</f>
        <v>MBO - HR</v>
      </c>
      <c r="D59" s="1353"/>
      <c r="E59" s="4544"/>
      <c r="F59" s="566"/>
      <c r="G59" s="990" t="s">
        <v>3517</v>
      </c>
    </row>
    <row r="60" spans="1:7">
      <c r="A60" s="4547"/>
      <c r="B60" s="1250">
        <v>7110018</v>
      </c>
      <c r="C60" s="337" t="str">
        <f>VLOOKUP(B60,'New TB INC'!$C:$D,2,0)</f>
        <v>MBO - Sales Americas</v>
      </c>
      <c r="D60" s="1353"/>
      <c r="E60" s="4544"/>
      <c r="F60" s="566"/>
      <c r="G60" s="990" t="s">
        <v>3517</v>
      </c>
    </row>
    <row r="61" spans="1:7">
      <c r="A61" s="4547"/>
      <c r="B61" s="1250">
        <v>7010003</v>
      </c>
      <c r="C61" s="337" t="str">
        <f>VLOOKUP(B61,'New TB INC'!$C:$D,2,0)</f>
        <v>MBO Marketing</v>
      </c>
      <c r="D61" s="1353"/>
      <c r="E61" s="4544"/>
      <c r="F61" s="566"/>
      <c r="G61" s="990" t="s">
        <v>3517</v>
      </c>
    </row>
    <row r="62" spans="1:7">
      <c r="A62" s="4547"/>
      <c r="B62" s="1250">
        <v>5200003</v>
      </c>
      <c r="C62" s="337" t="str">
        <f>VLOOKUP(B62,'New TB INC'!$C:$D,2,0)</f>
        <v>MBO - Professional  Services</v>
      </c>
      <c r="D62" s="1353"/>
      <c r="E62" s="4544"/>
      <c r="F62" s="566"/>
      <c r="G62" s="990" t="s">
        <v>3517</v>
      </c>
    </row>
    <row r="63" spans="1:7">
      <c r="A63" s="4547"/>
      <c r="B63" s="1250" t="s">
        <v>3335</v>
      </c>
      <c r="C63" s="337" t="str">
        <f>VLOOKUP(B63,'New TB INC'!$C:$D,2,0)</f>
        <v>MBO - Delivery CAD</v>
      </c>
      <c r="D63" s="1353"/>
      <c r="E63" s="4544"/>
      <c r="F63" s="566"/>
      <c r="G63" s="990" t="s">
        <v>3517</v>
      </c>
    </row>
    <row r="64" spans="1:7">
      <c r="A64" s="4547"/>
      <c r="B64" s="1250">
        <v>6011002</v>
      </c>
      <c r="C64" s="337" t="str">
        <f>VLOOKUP(B64,'New TB INC'!$C:$D,2,0)</f>
        <v>MBO - Customer Focus</v>
      </c>
      <c r="D64" s="1353"/>
      <c r="E64" s="4544"/>
      <c r="F64" s="566"/>
      <c r="G64" s="990" t="s">
        <v>3517</v>
      </c>
    </row>
    <row r="65" spans="1:9">
      <c r="A65" s="4547"/>
      <c r="B65" s="1250">
        <v>6011013</v>
      </c>
      <c r="C65" s="337" t="str">
        <f>VLOOKUP(B65,'New TB INC'!$C:$D,2,0)</f>
        <v>MBO - Customer Focus CAD</v>
      </c>
      <c r="D65" s="1353"/>
      <c r="E65" s="4544"/>
      <c r="F65" s="566"/>
      <c r="G65" s="990" t="s">
        <v>3517</v>
      </c>
    </row>
    <row r="66" spans="1:9">
      <c r="A66" s="4547"/>
      <c r="B66" s="1250">
        <v>7110002</v>
      </c>
      <c r="C66" s="337" t="str">
        <f>VLOOKUP(B66,'New TB INC'!$C:$D,2,0)</f>
        <v>MBO - Sales</v>
      </c>
      <c r="D66" s="1353"/>
      <c r="E66" s="4544"/>
      <c r="F66" s="566"/>
      <c r="G66" s="990" t="s">
        <v>3517</v>
      </c>
    </row>
    <row r="67" spans="1:9">
      <c r="A67" s="4547"/>
      <c r="B67" s="1250">
        <v>7111012</v>
      </c>
      <c r="C67" s="337" t="str">
        <f>VLOOKUP(B67,'New TB INC'!$C:$D,2,0)</f>
        <v>MBO - CAD Sales</v>
      </c>
      <c r="D67" s="1353"/>
      <c r="E67" s="4544"/>
      <c r="F67" s="566"/>
      <c r="G67" s="990" t="s">
        <v>3517</v>
      </c>
    </row>
    <row r="68" spans="1:9">
      <c r="A68" s="4547"/>
      <c r="B68" s="1250">
        <v>7130002</v>
      </c>
      <c r="C68" s="337" t="str">
        <f>VLOOKUP(B68,'New TB INC'!$C:$D,2,0)</f>
        <v>MBO - Sales West</v>
      </c>
      <c r="D68" s="1353"/>
      <c r="E68" s="4544"/>
      <c r="F68" s="566"/>
      <c r="G68" s="990" t="s">
        <v>3517</v>
      </c>
    </row>
    <row r="69" spans="1:9">
      <c r="A69" s="4547"/>
      <c r="B69" s="1250">
        <v>7112023</v>
      </c>
      <c r="C69" s="337" t="str">
        <f>VLOOKUP(B69,'New TB INC'!$C:$D,2,0)</f>
        <v>MBO -Sales Corp</v>
      </c>
      <c r="D69" s="1353"/>
      <c r="E69" s="4544"/>
      <c r="F69" s="566"/>
      <c r="G69" s="990" t="s">
        <v>3932</v>
      </c>
    </row>
    <row r="70" spans="1:9">
      <c r="A70" s="4547"/>
      <c r="B70" s="1250">
        <v>7111023</v>
      </c>
      <c r="C70" s="337" t="str">
        <f>VLOOKUP(B70,'New TB INC'!$C:$D,2,0)</f>
        <v>MBO -Sales Manager</v>
      </c>
      <c r="D70" s="1353"/>
      <c r="E70" s="4544"/>
      <c r="F70" s="566"/>
      <c r="G70" s="990" t="s">
        <v>3932</v>
      </c>
    </row>
    <row r="71" spans="1:9">
      <c r="A71" s="4547"/>
      <c r="B71" s="1250">
        <v>7140002</v>
      </c>
      <c r="C71" s="337" t="str">
        <f>VLOOKUP(B71,'New TB INC'!$C:$D,2,0)</f>
        <v>MBO - SE</v>
      </c>
      <c r="D71" s="1353"/>
      <c r="E71" s="4544"/>
      <c r="F71" s="566"/>
      <c r="G71" s="990" t="s">
        <v>3517</v>
      </c>
    </row>
    <row r="72" spans="1:9">
      <c r="A72" s="4547"/>
      <c r="B72" s="1250">
        <v>7140009</v>
      </c>
      <c r="C72" s="337" t="str">
        <f>VLOOKUP(B72,'New TB INC'!$C:$D,2,0)</f>
        <v>MBO - SE CAD</v>
      </c>
      <c r="D72" s="1353"/>
      <c r="E72" s="4544"/>
      <c r="F72" s="566"/>
      <c r="G72" s="990" t="s">
        <v>3517</v>
      </c>
    </row>
    <row r="73" spans="1:9">
      <c r="A73" s="4547"/>
      <c r="B73" s="1250">
        <v>7190002</v>
      </c>
      <c r="C73" s="337" t="str">
        <f>VLOOKUP(B73,'New TB INC'!$C:$D,2,0)</f>
        <v>MBO - SE West</v>
      </c>
      <c r="D73" s="1353"/>
      <c r="E73" s="4544"/>
      <c r="F73" s="566"/>
      <c r="G73" s="990" t="s">
        <v>3517</v>
      </c>
    </row>
    <row r="74" spans="1:9">
      <c r="A74" s="4547"/>
      <c r="B74" s="1250">
        <v>5100003</v>
      </c>
      <c r="C74" s="337" t="str">
        <f>VLOOKUP(B74,'New TB INC'!$C:$D,2,0)</f>
        <v>MBO - Support</v>
      </c>
      <c r="D74" s="1353"/>
      <c r="E74" s="4544"/>
      <c r="F74" s="566"/>
      <c r="G74" s="990" t="s">
        <v>3517</v>
      </c>
    </row>
    <row r="75" spans="1:9">
      <c r="A75" s="4547"/>
      <c r="B75" s="1250" t="s">
        <v>3333</v>
      </c>
      <c r="C75" s="337" t="str">
        <f>VLOOKUP(B75,'New TB INC'!$C:$D,2,0)</f>
        <v>MBO - Support CAD</v>
      </c>
      <c r="D75" s="1353"/>
      <c r="E75" s="4544"/>
      <c r="F75" s="566"/>
      <c r="G75" s="990" t="s">
        <v>3517</v>
      </c>
    </row>
    <row r="76" spans="1:9">
      <c r="A76" s="4547"/>
      <c r="B76" s="1250">
        <v>5400002</v>
      </c>
      <c r="C76" s="337" t="str">
        <f>VLOOKUP(B76,'New TB INC'!$C:$D,2,0)</f>
        <v>MBO - Training</v>
      </c>
      <c r="D76" s="1353"/>
      <c r="E76" s="4544"/>
      <c r="F76" s="566"/>
      <c r="G76" s="990" t="s">
        <v>3517</v>
      </c>
    </row>
    <row r="77" spans="1:9" ht="13.5" thickBot="1">
      <c r="A77" s="4548"/>
      <c r="B77" s="4205">
        <v>2400001</v>
      </c>
      <c r="C77" s="4206" t="str">
        <f>VLOOKUP(B77,'New TB INC'!$C:$D,2,0)</f>
        <v>Accrued Exp Employee Related</v>
      </c>
      <c r="D77" s="3710">
        <f>-SUM(D57:D76)</f>
        <v>0</v>
      </c>
      <c r="E77" s="4537"/>
      <c r="F77" s="567"/>
      <c r="G77" s="2182"/>
    </row>
    <row r="78" spans="1:9" ht="13.5" thickBot="1">
      <c r="A78" s="3692"/>
      <c r="B78" s="1250"/>
      <c r="C78" s="337"/>
      <c r="D78" s="2213"/>
      <c r="E78" s="2246"/>
      <c r="F78" s="383"/>
      <c r="G78" s="320"/>
    </row>
    <row r="79" spans="1:9">
      <c r="A79" s="3692">
        <f>A57+1</f>
        <v>14</v>
      </c>
      <c r="B79" s="1249">
        <v>1620001</v>
      </c>
      <c r="C79" s="723" t="s">
        <v>808</v>
      </c>
      <c r="D79" s="2161"/>
      <c r="E79" s="4536" t="s">
        <v>4955</v>
      </c>
      <c r="F79" s="2212"/>
      <c r="G79" s="2181"/>
      <c r="I79" s="32"/>
    </row>
    <row r="80" spans="1:9" ht="13.5" thickBot="1">
      <c r="A80" s="3692"/>
      <c r="B80" s="1251">
        <v>9100003</v>
      </c>
      <c r="C80" s="338" t="s">
        <v>1431</v>
      </c>
      <c r="D80" s="1462">
        <f>-D79</f>
        <v>0</v>
      </c>
      <c r="E80" s="4537"/>
      <c r="F80" s="567"/>
      <c r="G80" s="2182"/>
      <c r="I80" s="32"/>
    </row>
    <row r="81" spans="1:9" ht="13.5" thickBot="1">
      <c r="A81" s="3692"/>
      <c r="B81" s="2196"/>
      <c r="C81" s="337"/>
      <c r="D81" s="383"/>
      <c r="E81" s="2246"/>
      <c r="F81" s="383"/>
      <c r="G81" s="320"/>
      <c r="I81" s="32"/>
    </row>
    <row r="82" spans="1:9">
      <c r="A82" s="3692">
        <f>A79+1</f>
        <v>15</v>
      </c>
      <c r="B82" s="1249">
        <v>1610005</v>
      </c>
      <c r="C82" s="723" t="str">
        <f>VLOOKUP(B82,'New TB INC'!$C:$D,2,0)</f>
        <v xml:space="preserve">Prepaid Comm 606 - Long term </v>
      </c>
      <c r="D82" s="724"/>
      <c r="E82" s="4560" t="s">
        <v>3515</v>
      </c>
      <c r="F82" s="383"/>
      <c r="G82" s="320"/>
      <c r="I82" s="32"/>
    </row>
    <row r="83" spans="1:9" ht="13.5" thickBot="1">
      <c r="A83" s="3692"/>
      <c r="B83" s="1251">
        <v>1100099</v>
      </c>
      <c r="C83" s="338" t="str">
        <f>VLOOKUP(B83,'New TB INC'!$C:$D,2,0)</f>
        <v>Prepaid Comm 606</v>
      </c>
      <c r="D83" s="725"/>
      <c r="E83" s="4561"/>
      <c r="F83" s="383"/>
      <c r="G83" s="320"/>
      <c r="I83" s="32"/>
    </row>
    <row r="84" spans="1:9" ht="13.5" thickBot="1">
      <c r="A84" s="3692"/>
      <c r="B84" s="731"/>
      <c r="C84" s="730"/>
      <c r="D84" s="320"/>
      <c r="E84" s="739"/>
      <c r="F84" s="383"/>
      <c r="G84" s="320"/>
      <c r="I84" s="32"/>
    </row>
    <row r="85" spans="1:9">
      <c r="A85" s="3692">
        <f>A82+1</f>
        <v>16</v>
      </c>
      <c r="B85" s="1249">
        <v>7110044</v>
      </c>
      <c r="C85" s="723" t="str">
        <f>VLOOKUP(B85,'New TB INC'!$C:$D,2,0)</f>
        <v>Comm Sales US 606</v>
      </c>
      <c r="D85" s="717"/>
      <c r="E85" s="740" t="s">
        <v>3516</v>
      </c>
      <c r="F85" s="383"/>
      <c r="G85" s="320"/>
      <c r="I85" s="32"/>
    </row>
    <row r="86" spans="1:9" ht="13.5" thickBot="1">
      <c r="A86" s="3692"/>
      <c r="B86" s="1251">
        <v>1100099</v>
      </c>
      <c r="C86" s="338" t="str">
        <f>VLOOKUP(B86,'New TB INC'!$C:$D,2,0)</f>
        <v>Prepaid Comm 606</v>
      </c>
      <c r="D86" s="3505">
        <f>-D85</f>
        <v>0</v>
      </c>
      <c r="E86" s="741"/>
      <c r="F86" s="383"/>
      <c r="G86" s="320"/>
      <c r="I86" s="32"/>
    </row>
    <row r="87" spans="1:9" ht="13.5" thickBot="1">
      <c r="A87" s="3692"/>
      <c r="B87" s="2196"/>
      <c r="C87" s="337"/>
      <c r="E87" s="2246"/>
      <c r="F87" s="383"/>
      <c r="G87" s="320"/>
      <c r="I87" s="32"/>
    </row>
    <row r="88" spans="1:9">
      <c r="A88" s="3692">
        <f>A85+1</f>
        <v>17</v>
      </c>
      <c r="B88" s="1249">
        <v>7110055</v>
      </c>
      <c r="C88" s="723" t="str">
        <f>VLOOKUP(B88,'New TB INC'!$C:$D,2,0)</f>
        <v>Comm Sales  606 - 2019</v>
      </c>
      <c r="D88" s="1220"/>
      <c r="E88" s="740" t="s">
        <v>4932</v>
      </c>
      <c r="F88" s="383"/>
      <c r="G88" s="320"/>
      <c r="I88" s="32"/>
    </row>
    <row r="89" spans="1:9" ht="13.5" thickBot="1">
      <c r="A89" s="3692"/>
      <c r="B89" s="1251">
        <v>1100099</v>
      </c>
      <c r="C89" s="338" t="str">
        <f>VLOOKUP(B89,'New TB INC'!$C:$D,2,0)</f>
        <v>Prepaid Comm 606</v>
      </c>
      <c r="D89" s="4220">
        <f>-D88</f>
        <v>0</v>
      </c>
      <c r="E89" s="741"/>
      <c r="F89" s="383"/>
      <c r="G89" s="320"/>
      <c r="I89" s="32"/>
    </row>
    <row r="90" spans="1:9" ht="13.5" thickBot="1">
      <c r="A90" s="3692"/>
      <c r="B90" s="2196"/>
      <c r="C90" s="727"/>
      <c r="D90" s="1016"/>
      <c r="E90" s="739"/>
      <c r="F90" s="383"/>
      <c r="G90" s="320"/>
      <c r="I90" s="32"/>
    </row>
    <row r="91" spans="1:9">
      <c r="A91" s="3692">
        <f>A88+1</f>
        <v>18</v>
      </c>
      <c r="B91" s="1249">
        <v>7110055</v>
      </c>
      <c r="C91" s="723" t="str">
        <f>VLOOKUP(B91,'New TB INC'!$C:$D,2,0)</f>
        <v>Comm Sales  606 - 2019</v>
      </c>
      <c r="D91" s="1220"/>
      <c r="E91" s="740" t="s">
        <v>4933</v>
      </c>
      <c r="F91" s="383"/>
      <c r="G91" s="320"/>
      <c r="I91" s="32"/>
    </row>
    <row r="92" spans="1:9" ht="13.5" thickBot="1">
      <c r="A92" s="3692"/>
      <c r="B92" s="1251">
        <v>1100099</v>
      </c>
      <c r="C92" s="338" t="str">
        <f>VLOOKUP(B92,'New TB INC'!$C:$D,2,0)</f>
        <v>Prepaid Comm 606</v>
      </c>
      <c r="D92" s="4220">
        <f>-D91</f>
        <v>0</v>
      </c>
      <c r="E92" s="741"/>
      <c r="F92" s="383"/>
      <c r="G92" s="320"/>
      <c r="I92" s="32"/>
    </row>
    <row r="93" spans="1:9" ht="13.5" thickBot="1">
      <c r="A93" s="3692"/>
      <c r="B93" s="2196"/>
      <c r="C93" s="727"/>
      <c r="E93" s="744"/>
      <c r="F93" s="383"/>
      <c r="G93" s="320"/>
      <c r="I93" s="32"/>
    </row>
    <row r="94" spans="1:9">
      <c r="A94" s="3692">
        <f>A91+1</f>
        <v>19</v>
      </c>
      <c r="B94" s="1249">
        <v>7110055</v>
      </c>
      <c r="C94" s="723" t="str">
        <f>VLOOKUP(B94,'New TB INC'!$C:$D,2,0)</f>
        <v>Comm Sales  606 - 2019</v>
      </c>
      <c r="D94" s="1220"/>
      <c r="E94" s="740" t="s">
        <v>4934</v>
      </c>
      <c r="F94" s="383"/>
      <c r="G94" s="320"/>
      <c r="I94" s="32"/>
    </row>
    <row r="95" spans="1:9" ht="13.5" thickBot="1">
      <c r="A95" s="3692"/>
      <c r="B95" s="1251">
        <v>1100099</v>
      </c>
      <c r="C95" s="338" t="str">
        <f>VLOOKUP(B95,'New TB INC'!$C:$D,2,0)</f>
        <v>Prepaid Comm 606</v>
      </c>
      <c r="D95" s="4220">
        <f>-D94</f>
        <v>0</v>
      </c>
      <c r="E95" s="741"/>
      <c r="F95" s="383"/>
      <c r="G95" s="320"/>
      <c r="I95" s="32"/>
    </row>
    <row r="96" spans="1:9" ht="13.5" thickBot="1">
      <c r="A96" s="3692"/>
      <c r="B96" s="2196"/>
      <c r="C96" s="337"/>
      <c r="D96" s="1016"/>
      <c r="E96" s="2246"/>
      <c r="F96" s="383"/>
      <c r="G96" s="320"/>
      <c r="I96" s="32"/>
    </row>
    <row r="97" spans="1:9">
      <c r="A97" s="3692">
        <f>A94+1</f>
        <v>20</v>
      </c>
      <c r="B97" s="1249">
        <v>7110055</v>
      </c>
      <c r="C97" s="723" t="str">
        <f>VLOOKUP(B97,'New TB INC'!$C:$D,2,0)</f>
        <v>Comm Sales  606 - 2019</v>
      </c>
      <c r="D97" s="1220"/>
      <c r="E97" s="740" t="s">
        <v>4935</v>
      </c>
      <c r="F97" s="383"/>
      <c r="G97" s="320"/>
      <c r="I97" s="32"/>
    </row>
    <row r="98" spans="1:9" ht="13.5" thickBot="1">
      <c r="A98" s="3692"/>
      <c r="B98" s="1251">
        <v>1100099</v>
      </c>
      <c r="C98" s="338" t="str">
        <f>VLOOKUP(B98,'New TB INC'!$C:$D,2,0)</f>
        <v>Prepaid Comm 606</v>
      </c>
      <c r="D98" s="4220">
        <f>-D97</f>
        <v>0</v>
      </c>
      <c r="E98" s="741"/>
      <c r="F98" s="383"/>
      <c r="G98" s="320"/>
      <c r="I98" s="32"/>
    </row>
    <row r="99" spans="1:9" ht="13.5" thickBot="1">
      <c r="A99" s="3692"/>
      <c r="B99" s="2196"/>
      <c r="C99" s="337"/>
      <c r="D99" s="1016"/>
      <c r="E99" s="2246"/>
      <c r="F99" s="383"/>
      <c r="G99" s="320"/>
      <c r="I99" s="32"/>
    </row>
    <row r="100" spans="1:9">
      <c r="A100" s="3692">
        <f>A97+1</f>
        <v>21</v>
      </c>
      <c r="B100" s="1249">
        <v>7110066</v>
      </c>
      <c r="C100" s="723" t="str">
        <f>VLOOKUP(B100,'New TB INC'!$C:$D,2,0)</f>
        <v>Comm Sales US 606 2020</v>
      </c>
      <c r="D100" s="1220"/>
      <c r="E100" s="740" t="s">
        <v>4936</v>
      </c>
      <c r="F100" s="383"/>
      <c r="G100" s="320"/>
      <c r="I100" s="32"/>
    </row>
    <row r="101" spans="1:9" ht="13.5" thickBot="1">
      <c r="A101" s="3692"/>
      <c r="B101" s="1251">
        <v>1100099</v>
      </c>
      <c r="C101" s="338" t="str">
        <f>VLOOKUP(B101,'New TB INC'!$C:$D,2,0)</f>
        <v>Prepaid Comm 606</v>
      </c>
      <c r="D101" s="4220">
        <f>-D100</f>
        <v>0</v>
      </c>
      <c r="E101" s="741"/>
    </row>
    <row r="102" spans="1:9" ht="13.5" thickBot="1">
      <c r="A102" s="3692"/>
      <c r="B102" s="731"/>
      <c r="C102" s="730"/>
      <c r="E102" s="739"/>
    </row>
    <row r="103" spans="1:9">
      <c r="A103" s="3692">
        <f>A100+1</f>
        <v>22</v>
      </c>
      <c r="B103" s="1249">
        <v>7110066</v>
      </c>
      <c r="C103" s="723" t="str">
        <f>VLOOKUP(B103,'New TB INC'!$C:$D,2,0)</f>
        <v>Comm Sales US 606 2020</v>
      </c>
      <c r="D103" s="1220"/>
      <c r="E103" s="740" t="s">
        <v>4937</v>
      </c>
    </row>
    <row r="104" spans="1:9" ht="13.5" thickBot="1">
      <c r="A104" s="3692"/>
      <c r="B104" s="1251">
        <v>1100099</v>
      </c>
      <c r="C104" s="338" t="str">
        <f>VLOOKUP(B104,'New TB INC'!$C:$D,2,0)</f>
        <v>Prepaid Comm 606</v>
      </c>
      <c r="D104" s="4220">
        <f>-D103</f>
        <v>0</v>
      </c>
      <c r="E104" s="741"/>
      <c r="F104" s="383"/>
      <c r="G104" s="320"/>
      <c r="I104" s="32"/>
    </row>
    <row r="105" spans="1:9" ht="13.5" thickBot="1">
      <c r="A105" s="3692"/>
      <c r="B105" s="2196"/>
      <c r="C105" s="144"/>
      <c r="E105" s="743"/>
      <c r="F105" s="383"/>
      <c r="G105" s="320"/>
      <c r="I105" s="32"/>
    </row>
    <row r="106" spans="1:9">
      <c r="A106" s="3692">
        <f>A103+1</f>
        <v>23</v>
      </c>
      <c r="B106" s="1249">
        <v>7110066</v>
      </c>
      <c r="C106" s="723" t="str">
        <f>VLOOKUP(B106,'New TB INC'!$C:$D,2,0)</f>
        <v>Comm Sales US 606 2020</v>
      </c>
      <c r="D106" s="1220"/>
      <c r="E106" s="740" t="s">
        <v>4938</v>
      </c>
      <c r="F106" s="383"/>
      <c r="G106" s="320"/>
      <c r="I106" s="32"/>
    </row>
    <row r="107" spans="1:9" ht="13.5" thickBot="1">
      <c r="A107" s="3692"/>
      <c r="B107" s="1251">
        <v>1100099</v>
      </c>
      <c r="C107" s="338" t="str">
        <f>VLOOKUP(B107,'New TB INC'!$C:$D,2,0)</f>
        <v>Prepaid Comm 606</v>
      </c>
      <c r="D107" s="4220">
        <f>-D106</f>
        <v>0</v>
      </c>
      <c r="E107" s="741"/>
      <c r="F107" s="383"/>
      <c r="G107" s="320"/>
      <c r="I107" s="32"/>
    </row>
    <row r="108" spans="1:9" ht="13.5" thickBot="1">
      <c r="A108" s="4221"/>
    </row>
    <row r="109" spans="1:9">
      <c r="A109" s="3692">
        <f>A106+1</f>
        <v>24</v>
      </c>
      <c r="B109" s="1249">
        <v>7110066</v>
      </c>
      <c r="C109" s="723" t="str">
        <f>VLOOKUP(B109,'New TB INC'!$C:$D,2,0)</f>
        <v>Comm Sales US 606 2020</v>
      </c>
      <c r="D109" s="1220"/>
      <c r="E109" s="740" t="s">
        <v>4939</v>
      </c>
      <c r="F109" s="383"/>
      <c r="G109" s="320"/>
      <c r="I109" s="32"/>
    </row>
    <row r="110" spans="1:9" ht="13.5" thickBot="1">
      <c r="A110" s="3692"/>
      <c r="B110" s="1251">
        <v>1100099</v>
      </c>
      <c r="C110" s="338" t="str">
        <f>VLOOKUP(B110,'New TB INC'!$C:$D,2,0)</f>
        <v>Prepaid Comm 606</v>
      </c>
      <c r="D110" s="4220">
        <f>-D109</f>
        <v>0</v>
      </c>
      <c r="E110" s="741"/>
      <c r="F110" s="383"/>
      <c r="G110" s="320"/>
      <c r="I110" s="32"/>
    </row>
    <row r="111" spans="1:9" ht="13.5" thickBot="1">
      <c r="A111" s="3692"/>
      <c r="B111" s="2196"/>
      <c r="C111" s="730"/>
      <c r="E111" s="739"/>
      <c r="F111" s="383"/>
      <c r="G111" s="320"/>
      <c r="I111" s="32"/>
    </row>
    <row r="112" spans="1:9">
      <c r="A112" s="3692">
        <f>A106+1</f>
        <v>24</v>
      </c>
      <c r="B112" s="1249">
        <v>7110077</v>
      </c>
      <c r="C112" s="723" t="str">
        <f>VLOOKUP(B112,'New TB INC'!$C:$D,2,0)</f>
        <v>Comm Sales US 606 2021</v>
      </c>
      <c r="D112" s="1220"/>
      <c r="E112" s="3206" t="s">
        <v>4940</v>
      </c>
      <c r="F112" s="383"/>
      <c r="G112" s="320"/>
      <c r="I112" s="32"/>
    </row>
    <row r="113" spans="1:9" ht="13.5" thickBot="1">
      <c r="A113" s="3692"/>
      <c r="B113" s="1251">
        <v>1100099</v>
      </c>
      <c r="C113" s="338" t="str">
        <f>VLOOKUP(B113,'New TB INC'!$C:$D,2,0)</f>
        <v>Prepaid Comm 606</v>
      </c>
      <c r="D113" s="4220">
        <f>-D112</f>
        <v>0</v>
      </c>
      <c r="E113" s="3205"/>
      <c r="F113" s="383"/>
      <c r="G113" s="320"/>
      <c r="I113" s="32"/>
    </row>
    <row r="114" spans="1:9" ht="13.5" thickBot="1">
      <c r="A114" s="3692"/>
      <c r="B114" s="2196"/>
      <c r="C114" s="337"/>
      <c r="D114" s="383"/>
      <c r="E114" s="2246"/>
      <c r="F114" s="383"/>
      <c r="G114" s="320"/>
      <c r="I114" s="32"/>
    </row>
    <row r="115" spans="1:9">
      <c r="A115" s="3692">
        <f>A112+1</f>
        <v>25</v>
      </c>
      <c r="B115" s="1249">
        <v>7110077</v>
      </c>
      <c r="C115" s="723" t="str">
        <f>VLOOKUP(B115,'New TB INC'!$C:$D,2,0)</f>
        <v>Comm Sales US 606 2021</v>
      </c>
      <c r="D115" s="1220"/>
      <c r="E115" s="3206" t="s">
        <v>4941</v>
      </c>
      <c r="F115" s="383"/>
      <c r="G115" s="320"/>
      <c r="I115" s="32"/>
    </row>
    <row r="116" spans="1:9" ht="13.5" thickBot="1">
      <c r="A116" s="3692"/>
      <c r="B116" s="1251">
        <v>1100099</v>
      </c>
      <c r="C116" s="338" t="str">
        <f>VLOOKUP(B116,'New TB INC'!$C:$D,2,0)</f>
        <v>Prepaid Comm 606</v>
      </c>
      <c r="D116" s="1221">
        <f>-D115</f>
        <v>0</v>
      </c>
      <c r="E116" s="3205"/>
      <c r="F116" s="383"/>
      <c r="G116" s="320"/>
      <c r="I116" s="32"/>
    </row>
    <row r="117" spans="1:9" ht="13.5" thickBot="1">
      <c r="A117" s="3692"/>
      <c r="B117" s="2196"/>
      <c r="C117" s="337"/>
      <c r="D117" s="383"/>
      <c r="E117" s="2246"/>
      <c r="F117" s="383"/>
      <c r="G117" s="320"/>
      <c r="I117" s="32"/>
    </row>
    <row r="118" spans="1:9">
      <c r="A118" s="3692">
        <f>A115+1</f>
        <v>26</v>
      </c>
      <c r="B118" s="1249">
        <v>7110077</v>
      </c>
      <c r="C118" s="723" t="str">
        <f>VLOOKUP(B118,'New TB INC'!$C:$D,2,0)</f>
        <v>Comm Sales US 606 2021</v>
      </c>
      <c r="D118" s="1220"/>
      <c r="E118" s="3206" t="s">
        <v>4942</v>
      </c>
      <c r="F118" s="383"/>
      <c r="G118" s="320"/>
      <c r="I118" s="32"/>
    </row>
    <row r="119" spans="1:9" ht="13.5" thickBot="1">
      <c r="A119" s="3692"/>
      <c r="B119" s="1251">
        <v>1100099</v>
      </c>
      <c r="C119" s="338" t="str">
        <f>VLOOKUP(B119,'New TB INC'!$C:$D,2,0)</f>
        <v>Prepaid Comm 606</v>
      </c>
      <c r="D119" s="1221">
        <f>-D118</f>
        <v>0</v>
      </c>
      <c r="E119" s="3205"/>
      <c r="F119" s="383"/>
      <c r="G119" s="320"/>
      <c r="I119" s="32"/>
    </row>
    <row r="120" spans="1:9" ht="13.5" thickBot="1">
      <c r="A120" s="3692"/>
      <c r="B120" s="2196"/>
      <c r="C120" s="337"/>
      <c r="D120" s="383"/>
      <c r="E120" s="2246"/>
      <c r="F120" s="383"/>
      <c r="G120" s="320"/>
      <c r="I120" s="32"/>
    </row>
    <row r="121" spans="1:9">
      <c r="A121" s="3692">
        <f>A118+1</f>
        <v>27</v>
      </c>
      <c r="B121" s="1249">
        <v>7110077</v>
      </c>
      <c r="C121" s="723" t="str">
        <f>VLOOKUP(B121,'New TB INC'!$C:$D,2,0)</f>
        <v>Comm Sales US 606 2021</v>
      </c>
      <c r="D121" s="1220"/>
      <c r="E121" s="4562" t="s">
        <v>4943</v>
      </c>
      <c r="F121" s="383"/>
      <c r="G121" s="320"/>
      <c r="I121" s="32"/>
    </row>
    <row r="122" spans="1:9" ht="13.5" thickBot="1">
      <c r="A122" s="3692"/>
      <c r="B122" s="1251">
        <v>1100099</v>
      </c>
      <c r="C122" s="338" t="str">
        <f>VLOOKUP(B122,'New TB INC'!$C:$D,2,0)</f>
        <v>Prepaid Comm 606</v>
      </c>
      <c r="D122" s="1221">
        <f>-D121</f>
        <v>0</v>
      </c>
      <c r="E122" s="4563"/>
      <c r="F122" s="383"/>
      <c r="G122" s="320"/>
      <c r="I122" s="32"/>
    </row>
    <row r="123" spans="1:9" ht="13.5" thickBot="1">
      <c r="A123" s="3692"/>
      <c r="B123" s="2196"/>
      <c r="C123" s="337"/>
      <c r="D123" s="2213"/>
      <c r="E123" s="2246"/>
      <c r="F123" s="383"/>
      <c r="G123" s="320"/>
      <c r="I123" s="32"/>
    </row>
    <row r="124" spans="1:9" ht="13.5" thickBot="1">
      <c r="A124" s="3692">
        <f>A121+1</f>
        <v>28</v>
      </c>
      <c r="B124" s="1249">
        <v>9100002</v>
      </c>
      <c r="C124" s="729" t="s">
        <v>329</v>
      </c>
      <c r="D124" s="2163"/>
      <c r="E124" s="4542" t="s">
        <v>2230</v>
      </c>
      <c r="F124" s="4540"/>
      <c r="G124" s="4552" t="s">
        <v>3866</v>
      </c>
      <c r="H124" s="183">
        <f>H125-D124</f>
        <v>-124549.56667616221</v>
      </c>
      <c r="I124" s="32"/>
    </row>
    <row r="125" spans="1:9" ht="13.5" thickBot="1">
      <c r="A125" s="3692"/>
      <c r="B125" s="1251">
        <v>2500202</v>
      </c>
      <c r="C125" s="736" t="s">
        <v>531</v>
      </c>
      <c r="D125" s="2164">
        <f>-D124</f>
        <v>0</v>
      </c>
      <c r="E125" s="4543"/>
      <c r="F125" s="4541"/>
      <c r="G125" s="4553"/>
      <c r="H125" s="2531">
        <f>'Tax - Inc'!F70</f>
        <v>-124549.56667616221</v>
      </c>
      <c r="I125" s="32"/>
    </row>
    <row r="126" spans="1:9" ht="13.5" thickBot="1">
      <c r="A126" s="3692"/>
      <c r="B126" s="2942"/>
      <c r="C126" s="383"/>
      <c r="D126" s="2213" t="s">
        <v>1388</v>
      </c>
      <c r="E126" s="380"/>
      <c r="F126" s="383"/>
      <c r="G126" s="320"/>
      <c r="I126" s="32"/>
    </row>
    <row r="127" spans="1:9">
      <c r="A127" s="3692">
        <f>A124+1</f>
        <v>29</v>
      </c>
      <c r="B127" s="1249">
        <v>1100008</v>
      </c>
      <c r="C127" s="723" t="str">
        <f>VLOOKUP(B127,'New TB INC'!$C:$D,2,0)</f>
        <v>income receivable</v>
      </c>
      <c r="D127" s="2163">
        <f>-D128</f>
        <v>0</v>
      </c>
      <c r="E127" s="4527" t="s">
        <v>4261</v>
      </c>
      <c r="F127" s="4540" t="s">
        <v>4262</v>
      </c>
      <c r="G127" s="4538" t="s">
        <v>2879</v>
      </c>
      <c r="I127" s="32"/>
    </row>
    <row r="128" spans="1:9" ht="13.5" thickBot="1">
      <c r="A128" s="3692"/>
      <c r="B128" s="1251">
        <v>53599</v>
      </c>
      <c r="C128" s="338" t="str">
        <f>VLOOKUP(B128,'New TB INC'!$C:$D,2,0)</f>
        <v>Sorting from Income</v>
      </c>
      <c r="D128" s="2164"/>
      <c r="E128" s="4529"/>
      <c r="F128" s="4541"/>
      <c r="G128" s="4539"/>
      <c r="I128" s="32"/>
    </row>
    <row r="129" spans="1:9" ht="13.5" thickBot="1">
      <c r="A129" s="3692"/>
      <c r="B129" s="2196"/>
      <c r="C129" s="735"/>
      <c r="D129" s="2213"/>
      <c r="E129" s="745"/>
      <c r="F129" s="383"/>
      <c r="G129" s="320"/>
      <c r="I129" s="32"/>
    </row>
    <row r="130" spans="1:9">
      <c r="A130" s="4517">
        <f>A127+1</f>
        <v>30</v>
      </c>
      <c r="B130" s="1249">
        <v>2400001</v>
      </c>
      <c r="C130" s="723" t="str">
        <f>VLOOKUP(B130,'New TB INC'!$C:$D,2,0)</f>
        <v>Accrued Exp Employee Related</v>
      </c>
      <c r="D130" s="1220">
        <f>-SUM(D131:D132)</f>
        <v>0</v>
      </c>
      <c r="E130" s="4540" t="s">
        <v>4834</v>
      </c>
      <c r="F130" s="4566" t="s">
        <v>2879</v>
      </c>
      <c r="G130" s="2456" t="s">
        <v>2814</v>
      </c>
      <c r="I130" s="32"/>
    </row>
    <row r="131" spans="1:9">
      <c r="A131" s="4517"/>
      <c r="B131" s="2506">
        <v>7110003</v>
      </c>
      <c r="C131" s="337" t="str">
        <f>VLOOKUP(B131,'New TB INC'!$C:$D,2,0)</f>
        <v>Commission - Sales from provision only</v>
      </c>
      <c r="D131" s="1602"/>
      <c r="E131" s="4545"/>
      <c r="F131" s="4567"/>
      <c r="G131" s="990" t="s">
        <v>3517</v>
      </c>
      <c r="I131" s="32"/>
    </row>
    <row r="132" spans="1:9" ht="13.5" thickBot="1">
      <c r="A132" s="4517"/>
      <c r="B132" s="2508">
        <v>7110003</v>
      </c>
      <c r="C132" s="338" t="str">
        <f>VLOOKUP(B132,'New TB INC'!$C:$D,2,0)</f>
        <v>Commission - Sales from provision only</v>
      </c>
      <c r="D132" s="1605"/>
      <c r="E132" s="4541"/>
      <c r="F132" s="4568"/>
      <c r="G132" s="2182" t="s">
        <v>2074</v>
      </c>
      <c r="I132" s="32"/>
    </row>
    <row r="133" spans="1:9" ht="13.5" thickBot="1">
      <c r="A133" s="3692"/>
      <c r="B133" s="2196"/>
      <c r="C133" s="716"/>
      <c r="D133" s="380"/>
      <c r="E133" s="739"/>
      <c r="F133" s="614"/>
      <c r="G133" s="32"/>
    </row>
    <row r="134" spans="1:9">
      <c r="A134" s="3692">
        <f>A130+1</f>
        <v>31</v>
      </c>
      <c r="B134" s="1249">
        <v>2090001</v>
      </c>
      <c r="C134" s="723" t="s">
        <v>1509</v>
      </c>
      <c r="D134" s="2161"/>
      <c r="E134" s="4522" t="s">
        <v>3113</v>
      </c>
      <c r="F134" s="2680"/>
      <c r="G134" s="4550" t="s">
        <v>3298</v>
      </c>
    </row>
    <row r="135" spans="1:9" ht="13.5" thickBot="1">
      <c r="A135" s="3692"/>
      <c r="B135" s="1251">
        <v>53602</v>
      </c>
      <c r="C135" s="338" t="str">
        <f>VLOOKUP(B135,'New TB INC'!$C:$D,2,0)</f>
        <v>Sorting Customer credit balances</v>
      </c>
      <c r="D135" s="1605">
        <f>-D134</f>
        <v>0</v>
      </c>
      <c r="E135" s="4523"/>
      <c r="F135" s="2681"/>
      <c r="G135" s="4551"/>
    </row>
    <row r="136" spans="1:9" ht="13.5" thickBot="1">
      <c r="A136" s="3692"/>
      <c r="B136" s="2196"/>
      <c r="C136" s="716"/>
      <c r="D136" s="380"/>
      <c r="E136" s="739"/>
      <c r="F136" s="614"/>
      <c r="G136" s="32"/>
    </row>
    <row r="137" spans="1:9">
      <c r="A137" s="3692">
        <f>A134+1</f>
        <v>32</v>
      </c>
      <c r="B137" s="1249">
        <v>7110077</v>
      </c>
      <c r="C137" s="723" t="str">
        <f>VLOOKUP(B137,'New TB INC'!$C:$D,2,0)</f>
        <v>Comm Sales US 606 2021</v>
      </c>
      <c r="D137" s="2161">
        <f>-D138</f>
        <v>0</v>
      </c>
      <c r="E137" s="4536" t="s">
        <v>4944</v>
      </c>
      <c r="F137" s="2680"/>
      <c r="G137" s="4520"/>
    </row>
    <row r="138" spans="1:9" ht="13.5" thickBot="1">
      <c r="A138" s="3692"/>
      <c r="B138" s="1251">
        <v>1100099</v>
      </c>
      <c r="C138" s="338" t="str">
        <f>VLOOKUP(B138,'New TB INC'!$C:$D,2,0)</f>
        <v>Prepaid Comm 606</v>
      </c>
      <c r="D138" s="1605"/>
      <c r="E138" s="4537"/>
      <c r="F138" s="2681"/>
      <c r="G138" s="4521"/>
    </row>
    <row r="139" spans="1:9" ht="13.5" thickBot="1">
      <c r="A139" s="3692"/>
      <c r="B139" s="2196"/>
      <c r="C139" s="716"/>
      <c r="D139" s="380"/>
      <c r="E139" s="739"/>
      <c r="F139" s="614"/>
      <c r="G139" s="32"/>
    </row>
    <row r="140" spans="1:9">
      <c r="A140" s="3692">
        <f>A137+1</f>
        <v>33</v>
      </c>
      <c r="B140" s="1249">
        <v>2400001</v>
      </c>
      <c r="C140" s="723" t="str">
        <f>VLOOKUP(B140,'New TB INC'!$C:$D,2,0)</f>
        <v>Accrued Exp Employee Related</v>
      </c>
      <c r="D140" s="2163">
        <f>-SUM(D141:D144)</f>
        <v>0</v>
      </c>
      <c r="E140" s="4536" t="s">
        <v>4749</v>
      </c>
      <c r="F140" s="2469"/>
      <c r="G140" s="2456" t="s">
        <v>2814</v>
      </c>
    </row>
    <row r="141" spans="1:9">
      <c r="A141" s="3692"/>
      <c r="B141" s="1250">
        <v>5200002</v>
      </c>
      <c r="C141" s="337" t="str">
        <f>VLOOKUP(B141,'New TB INC'!$C:$D,2,0)</f>
        <v>Other Bonus - Professional  Services</v>
      </c>
      <c r="D141" s="2213"/>
      <c r="E141" s="4544"/>
      <c r="F141" s="2470"/>
      <c r="G141" s="3801" t="s">
        <v>3517</v>
      </c>
    </row>
    <row r="142" spans="1:9">
      <c r="A142" s="3692"/>
      <c r="B142" s="1250">
        <v>7110005</v>
      </c>
      <c r="C142" s="337" t="str">
        <f>VLOOKUP(B142,'New TB INC'!$C:$D,2,0)</f>
        <v>Other Bonus - Sales</v>
      </c>
      <c r="D142" s="2213"/>
      <c r="E142" s="4544"/>
      <c r="F142" s="2470"/>
      <c r="G142" s="3801" t="s">
        <v>3517</v>
      </c>
    </row>
    <row r="143" spans="1:9">
      <c r="A143" s="3692"/>
      <c r="B143" s="1250">
        <v>7112031</v>
      </c>
      <c r="C143" s="337" t="str">
        <f>VLOOKUP(B143,'New TB INC'!$C:$D,2,0)</f>
        <v>Other Bonus - Sales Corp</v>
      </c>
      <c r="D143" s="2213"/>
      <c r="E143" s="4544"/>
      <c r="F143" s="2470"/>
      <c r="G143" s="3801" t="s">
        <v>2074</v>
      </c>
    </row>
    <row r="144" spans="1:9" ht="13.5" thickBot="1">
      <c r="A144" s="3692"/>
      <c r="B144" s="1251">
        <v>7140003</v>
      </c>
      <c r="C144" s="338" t="str">
        <f>VLOOKUP(B144,'New TB INC'!$C:$D,2,0)</f>
        <v>Other Bonus SE</v>
      </c>
      <c r="D144" s="2164"/>
      <c r="E144" s="4537"/>
      <c r="F144" s="2471"/>
      <c r="G144" s="3802" t="s">
        <v>3517</v>
      </c>
    </row>
    <row r="145" spans="1:12" ht="13.5" thickBot="1">
      <c r="A145" s="3692"/>
      <c r="B145" s="2196"/>
      <c r="C145" s="716"/>
      <c r="D145" s="380"/>
      <c r="E145" s="739"/>
      <c r="F145" s="614"/>
      <c r="G145" s="32"/>
      <c r="L145" s="320"/>
    </row>
    <row r="146" spans="1:12">
      <c r="A146" s="3692">
        <v>30</v>
      </c>
      <c r="B146" s="1249">
        <v>1100008</v>
      </c>
      <c r="C146" s="723" t="str">
        <f>VLOOKUP(B146,'New TB INC'!$C:$D,2,0)</f>
        <v>income receivable</v>
      </c>
      <c r="D146" s="2161"/>
      <c r="E146" s="4536" t="s">
        <v>4843</v>
      </c>
      <c r="F146" s="4564" t="s">
        <v>3421</v>
      </c>
      <c r="G146" s="4520"/>
      <c r="L146" s="320"/>
    </row>
    <row r="147" spans="1:12" ht="13.5" thickBot="1">
      <c r="A147" s="3692"/>
      <c r="B147" s="1251" t="s">
        <v>2618</v>
      </c>
      <c r="C147" s="338" t="str">
        <f>VLOOKUP(B147,'New TB INC'!$C:$D,2,0)</f>
        <v>Maintenance Revenues Appliance Foreign Curre-1</v>
      </c>
      <c r="D147" s="1605">
        <f>-D146</f>
        <v>0</v>
      </c>
      <c r="E147" s="4537"/>
      <c r="F147" s="4565"/>
      <c r="G147" s="4521"/>
      <c r="L147" s="320"/>
    </row>
    <row r="148" spans="1:12" ht="13.5" thickBot="1">
      <c r="A148" s="3692"/>
      <c r="B148" s="2941"/>
      <c r="C148" s="722"/>
      <c r="D148" s="380"/>
      <c r="E148" s="742"/>
      <c r="F148" s="380"/>
      <c r="G148" s="32"/>
      <c r="L148" s="320"/>
    </row>
    <row r="149" spans="1:12" s="320" customFormat="1">
      <c r="A149" s="3692">
        <f>A146+1</f>
        <v>31</v>
      </c>
      <c r="B149" s="1249">
        <v>3000001</v>
      </c>
      <c r="C149" s="723" t="str">
        <f>VLOOKUP(B149,'New TB INC'!$C:$D,2,0)</f>
        <v>Common Stock</v>
      </c>
      <c r="D149" s="2161">
        <f>-D150</f>
        <v>0</v>
      </c>
      <c r="E149" s="4536" t="s">
        <v>4850</v>
      </c>
      <c r="F149" s="4525" t="s">
        <v>2879</v>
      </c>
      <c r="G149" s="2923"/>
      <c r="I149" s="144"/>
    </row>
    <row r="150" spans="1:12" s="320" customFormat="1" ht="13.5" thickBot="1">
      <c r="A150" s="3692"/>
      <c r="B150" s="1251">
        <v>3020002</v>
      </c>
      <c r="C150" s="338" t="str">
        <f>VLOOKUP(B150,'New TB INC'!$C:$D,2,0)</f>
        <v>Employee Stock Option Exercised</v>
      </c>
      <c r="D150" s="1605"/>
      <c r="E150" s="4537"/>
      <c r="F150" s="4526"/>
      <c r="G150" s="2924"/>
      <c r="I150" s="144"/>
    </row>
    <row r="151" spans="1:12" s="320" customFormat="1" ht="13.5" thickBot="1">
      <c r="A151" s="3692"/>
      <c r="B151" s="2941"/>
      <c r="C151" s="722"/>
      <c r="D151" s="380"/>
      <c r="E151" s="742"/>
      <c r="F151" s="380"/>
      <c r="G151" s="32"/>
      <c r="I151" s="144"/>
    </row>
    <row r="152" spans="1:12" s="320" customFormat="1">
      <c r="A152" s="3692">
        <f>A149+1</f>
        <v>32</v>
      </c>
      <c r="B152" s="1249">
        <v>3000001</v>
      </c>
      <c r="C152" s="723" t="str">
        <f>VLOOKUP(B152,'New TB INC'!$C:$D,2,0)</f>
        <v>Common Stock</v>
      </c>
      <c r="D152" s="2161">
        <f>-D153</f>
        <v>0</v>
      </c>
      <c r="E152" s="4536" t="s">
        <v>4851</v>
      </c>
      <c r="F152" s="4525" t="s">
        <v>2879</v>
      </c>
      <c r="G152" s="2923"/>
      <c r="I152" s="144"/>
    </row>
    <row r="153" spans="1:12" s="320" customFormat="1" ht="13.5" thickBot="1">
      <c r="A153" s="3692"/>
      <c r="B153" s="1251">
        <v>3020002</v>
      </c>
      <c r="C153" s="338" t="str">
        <f>VLOOKUP(B153,'New TB INC'!$C:$D,2,0)</f>
        <v>Employee Stock Option Exercised</v>
      </c>
      <c r="D153" s="1605"/>
      <c r="E153" s="4537"/>
      <c r="F153" s="4526"/>
      <c r="G153" s="2924"/>
      <c r="I153" s="144"/>
    </row>
    <row r="154" spans="1:12" s="320" customFormat="1" ht="13.5" thickBot="1">
      <c r="A154" s="3692"/>
      <c r="B154" s="2941"/>
      <c r="C154" s="722"/>
      <c r="D154" s="380"/>
      <c r="E154" s="742"/>
      <c r="F154" s="380"/>
      <c r="G154" s="32"/>
      <c r="I154" s="144"/>
    </row>
    <row r="155" spans="1:12" s="320" customFormat="1">
      <c r="A155" s="3692">
        <f>A152+1</f>
        <v>33</v>
      </c>
      <c r="B155" s="2160">
        <v>2400001</v>
      </c>
      <c r="C155" s="723" t="str">
        <f>VLOOKUP(B155,'New TB INC'!$C:$D,2,0)</f>
        <v>Accrued Exp Employee Related</v>
      </c>
      <c r="D155" s="2161">
        <f>-SUM(D156:D158)</f>
        <v>0</v>
      </c>
      <c r="E155" s="4536" t="s">
        <v>4176</v>
      </c>
      <c r="F155" s="2923"/>
      <c r="G155" s="2923" t="s">
        <v>2814</v>
      </c>
      <c r="I155" s="144"/>
    </row>
    <row r="156" spans="1:12" s="320" customFormat="1">
      <c r="A156" s="3692"/>
      <c r="B156" s="2506">
        <v>7110003</v>
      </c>
      <c r="C156" s="337" t="str">
        <f>VLOOKUP(B156,'New TB INC'!$C:$D,2,0)</f>
        <v>Commission - Sales from provision only</v>
      </c>
      <c r="D156" s="1353"/>
      <c r="E156" s="4544"/>
      <c r="F156" s="2928"/>
      <c r="G156" s="2928" t="s">
        <v>2759</v>
      </c>
      <c r="I156" s="144"/>
    </row>
    <row r="157" spans="1:12" s="320" customFormat="1">
      <c r="A157" s="3692"/>
      <c r="B157" s="1250">
        <v>7110003</v>
      </c>
      <c r="C157" s="337" t="str">
        <f>VLOOKUP(B157,'New TB INC'!$C:$D,2,0)</f>
        <v>Commission - Sales from provision only</v>
      </c>
      <c r="D157" s="1353"/>
      <c r="E157" s="4544"/>
      <c r="F157" s="2928"/>
      <c r="G157" s="2928" t="s">
        <v>3517</v>
      </c>
      <c r="I157" s="144"/>
    </row>
    <row r="158" spans="1:12" s="320" customFormat="1" ht="13.5" thickBot="1">
      <c r="A158" s="3692"/>
      <c r="B158" s="1251">
        <v>7110003</v>
      </c>
      <c r="C158" s="338" t="str">
        <f>VLOOKUP(B158,'New TB INC'!$C:$D,2,0)</f>
        <v>Commission - Sales from provision only</v>
      </c>
      <c r="D158" s="1462"/>
      <c r="E158" s="4537"/>
      <c r="F158" s="2924"/>
      <c r="G158" s="2924" t="s">
        <v>3932</v>
      </c>
      <c r="I158" s="144"/>
    </row>
    <row r="159" spans="1:12" s="320" customFormat="1" ht="13.5" thickBot="1">
      <c r="A159" s="3692"/>
      <c r="B159" s="1250"/>
      <c r="C159" s="337"/>
      <c r="D159" s="2213"/>
      <c r="E159" s="3239"/>
      <c r="F159" s="2927"/>
      <c r="G159" s="2928"/>
      <c r="I159" s="144"/>
    </row>
    <row r="160" spans="1:12">
      <c r="A160" s="3692">
        <f>A155+1</f>
        <v>34</v>
      </c>
      <c r="B160" s="2160" t="s">
        <v>718</v>
      </c>
      <c r="C160" s="723" t="str">
        <f>VLOOKUP(B160,'New TB INC'!$C:$D,2,0)</f>
        <v>Sorted income</v>
      </c>
      <c r="D160" s="1220"/>
      <c r="E160" s="4522" t="s">
        <v>4839</v>
      </c>
      <c r="F160" s="4520"/>
      <c r="G160" s="4518" t="s">
        <v>3421</v>
      </c>
    </row>
    <row r="161" spans="1:11" ht="13.5" thickBot="1">
      <c r="A161" s="3692"/>
      <c r="B161" s="1219">
        <v>53599</v>
      </c>
      <c r="C161" s="338" t="str">
        <f>VLOOKUP(B161,'New TB INC'!$C:$D,2,0)</f>
        <v>Sorting from Income</v>
      </c>
      <c r="D161" s="1221">
        <f>-D160</f>
        <v>0</v>
      </c>
      <c r="E161" s="4523"/>
      <c r="F161" s="4521"/>
      <c r="G161" s="4519"/>
    </row>
    <row r="162" spans="1:11" ht="13.5" thickBot="1">
      <c r="A162" s="4304"/>
      <c r="B162" s="2937"/>
      <c r="C162" s="716"/>
      <c r="E162" s="2247"/>
      <c r="F162" s="32"/>
      <c r="G162" s="32"/>
    </row>
    <row r="163" spans="1:11">
      <c r="A163" s="4304"/>
      <c r="B163" s="2160" t="s">
        <v>5054</v>
      </c>
      <c r="C163" s="723" t="str">
        <f>VLOOKUP(B163,'New TB INC'!$C:$D,2,0)</f>
        <v>Accrued exp- Uncertain tax positions</v>
      </c>
      <c r="D163" s="1220">
        <f>-D164</f>
        <v>-12844.785416020302</v>
      </c>
      <c r="E163" s="4522" t="s">
        <v>5056</v>
      </c>
      <c r="F163" s="4520"/>
      <c r="G163" s="4518"/>
    </row>
    <row r="164" spans="1:11" ht="13.5" thickBot="1">
      <c r="A164" s="4304"/>
      <c r="B164" s="1219">
        <v>9100004</v>
      </c>
      <c r="C164" s="338" t="str">
        <f>VLOOKUP(B164,'New TB INC'!$C:$D,2,0)</f>
        <v xml:space="preserve">Taxation Previous Year </v>
      </c>
      <c r="D164" s="1221">
        <f>[18]TOTAL!$D$14</f>
        <v>12844.785416020302</v>
      </c>
      <c r="E164" s="4523"/>
      <c r="F164" s="4521"/>
      <c r="G164" s="4519"/>
    </row>
    <row r="165" spans="1:11" ht="13.5" thickBot="1">
      <c r="A165" s="1247"/>
      <c r="B165" s="337"/>
      <c r="C165" s="337"/>
      <c r="D165" s="383"/>
      <c r="E165" s="739"/>
      <c r="F165" s="32"/>
      <c r="G165" s="32"/>
    </row>
    <row r="166" spans="1:11" ht="13.35" customHeight="1" thickBot="1">
      <c r="A166" s="4400" t="s">
        <v>4717</v>
      </c>
      <c r="B166" s="4549"/>
      <c r="C166" s="4549"/>
      <c r="D166" s="4549"/>
      <c r="E166" s="4549"/>
      <c r="F166" s="4549"/>
      <c r="G166" s="4401"/>
    </row>
    <row r="168" spans="1:11" s="380" customFormat="1" ht="15">
      <c r="A168" s="1707" t="s">
        <v>427</v>
      </c>
      <c r="B168" s="2943" t="s">
        <v>428</v>
      </c>
      <c r="C168" s="1707" t="s">
        <v>429</v>
      </c>
      <c r="D168" s="1707" t="s">
        <v>430</v>
      </c>
      <c r="E168" s="1707" t="s">
        <v>431</v>
      </c>
      <c r="F168" s="1708" t="s">
        <v>2147</v>
      </c>
      <c r="G168" s="2943" t="s">
        <v>2148</v>
      </c>
      <c r="H168" s="1709" t="s">
        <v>2275</v>
      </c>
      <c r="I168" s="32"/>
      <c r="J168" s="32"/>
      <c r="K168" s="32"/>
    </row>
    <row r="169" spans="1:11" s="380" customFormat="1">
      <c r="A169" s="515" t="s">
        <v>2327</v>
      </c>
      <c r="B169" s="515" t="s">
        <v>2328</v>
      </c>
      <c r="C169" s="515" t="s">
        <v>2329</v>
      </c>
      <c r="D169" s="2785">
        <v>1000002</v>
      </c>
      <c r="E169" s="515" t="s">
        <v>795</v>
      </c>
      <c r="F169" s="173">
        <v>4128525.95</v>
      </c>
      <c r="G169" s="515" t="s">
        <v>294</v>
      </c>
      <c r="H169" s="32">
        <f>VLOOKUP(D169,'New TB INC'!C:K,3,0)-F169</f>
        <v>0</v>
      </c>
      <c r="I169" s="32"/>
      <c r="K169" s="32"/>
    </row>
    <row r="170" spans="1:11" s="380" customFormat="1">
      <c r="A170" s="515" t="s">
        <v>2327</v>
      </c>
      <c r="B170" s="515" t="s">
        <v>2328</v>
      </c>
      <c r="C170" s="515" t="s">
        <v>2329</v>
      </c>
      <c r="D170" s="2785">
        <v>1000003</v>
      </c>
      <c r="E170" s="515" t="s">
        <v>796</v>
      </c>
      <c r="F170" s="173">
        <v>16738579.710000001</v>
      </c>
      <c r="G170" s="515" t="s">
        <v>294</v>
      </c>
      <c r="H170" s="32">
        <f>VLOOKUP(D170,'New TB INC'!C:K,3,0)-F170</f>
        <v>0</v>
      </c>
      <c r="I170" s="32"/>
      <c r="K170" s="32"/>
    </row>
    <row r="171" spans="1:11" s="380" customFormat="1">
      <c r="A171" s="515" t="s">
        <v>2327</v>
      </c>
      <c r="B171" s="515" t="s">
        <v>2328</v>
      </c>
      <c r="C171" s="515" t="s">
        <v>2329</v>
      </c>
      <c r="D171" s="2785">
        <v>1000031</v>
      </c>
      <c r="E171" s="515" t="s">
        <v>1347</v>
      </c>
      <c r="F171" s="173">
        <v>-0.2</v>
      </c>
      <c r="G171" s="515" t="s">
        <v>294</v>
      </c>
      <c r="H171" s="32">
        <f>VLOOKUP(D171,'New TB INC'!C:K,3,0)-F171</f>
        <v>0</v>
      </c>
      <c r="I171" s="32"/>
      <c r="K171" s="32"/>
    </row>
    <row r="172" spans="1:11" s="380" customFormat="1">
      <c r="A172" s="515" t="s">
        <v>2327</v>
      </c>
      <c r="B172" s="515" t="s">
        <v>2328</v>
      </c>
      <c r="C172" s="515" t="s">
        <v>2329</v>
      </c>
      <c r="D172" s="2785">
        <v>10002</v>
      </c>
      <c r="E172" s="515" t="s">
        <v>3915</v>
      </c>
      <c r="F172" s="173">
        <v>32.31</v>
      </c>
      <c r="G172" s="515" t="s">
        <v>294</v>
      </c>
      <c r="H172" s="32">
        <f>VLOOKUP(D172,'New TB INC'!C:K,3,0)-F172</f>
        <v>0</v>
      </c>
      <c r="I172" s="32"/>
      <c r="K172" s="32"/>
    </row>
    <row r="173" spans="1:11" s="380" customFormat="1">
      <c r="A173" s="515" t="s">
        <v>2327</v>
      </c>
      <c r="B173" s="515" t="s">
        <v>2330</v>
      </c>
      <c r="C173" s="515" t="s">
        <v>1348</v>
      </c>
      <c r="D173" s="2785">
        <v>1100001</v>
      </c>
      <c r="E173" s="515" t="s">
        <v>550</v>
      </c>
      <c r="F173" s="173">
        <v>17360.5</v>
      </c>
      <c r="G173" s="515" t="s">
        <v>294</v>
      </c>
      <c r="H173" s="32">
        <f>VLOOKUP(D173,'New TB INC'!C:K,3,0)-F173</f>
        <v>0</v>
      </c>
      <c r="I173" s="32"/>
      <c r="K173" s="32"/>
    </row>
    <row r="174" spans="1:11" s="380" customFormat="1">
      <c r="A174" s="515" t="s">
        <v>2327</v>
      </c>
      <c r="B174" s="515" t="s">
        <v>2330</v>
      </c>
      <c r="C174" s="515" t="s">
        <v>1348</v>
      </c>
      <c r="D174" s="2785">
        <v>1100008</v>
      </c>
      <c r="E174" s="515" t="s">
        <v>2194</v>
      </c>
      <c r="F174" s="173">
        <v>277680.40000000002</v>
      </c>
      <c r="G174" s="515" t="s">
        <v>294</v>
      </c>
      <c r="H174" s="32">
        <f>VLOOKUP(D174,'New TB INC'!C:K,3,0)-F174</f>
        <v>0</v>
      </c>
      <c r="I174" s="32"/>
      <c r="K174" s="32"/>
    </row>
    <row r="175" spans="1:11" s="380" customFormat="1">
      <c r="A175" s="515" t="s">
        <v>2327</v>
      </c>
      <c r="B175" s="515" t="s">
        <v>2330</v>
      </c>
      <c r="C175" s="515" t="s">
        <v>1348</v>
      </c>
      <c r="D175" s="2785">
        <v>1100099</v>
      </c>
      <c r="E175" s="515" t="s">
        <v>2331</v>
      </c>
      <c r="F175" s="173">
        <v>1010254.64</v>
      </c>
      <c r="G175" s="515" t="s">
        <v>294</v>
      </c>
      <c r="H175" s="32">
        <f>VLOOKUP(D175,'New TB INC'!C:K,3,0)-F175</f>
        <v>0</v>
      </c>
      <c r="I175" s="32"/>
      <c r="K175" s="32"/>
    </row>
    <row r="176" spans="1:11" s="380" customFormat="1">
      <c r="A176" s="515" t="s">
        <v>2327</v>
      </c>
      <c r="B176" s="515" t="s">
        <v>2330</v>
      </c>
      <c r="C176" s="515" t="s">
        <v>2332</v>
      </c>
      <c r="D176" s="2785">
        <v>1110002</v>
      </c>
      <c r="E176" s="515" t="s">
        <v>1578</v>
      </c>
      <c r="F176" s="173">
        <v>7365.59</v>
      </c>
      <c r="G176" s="515" t="s">
        <v>294</v>
      </c>
      <c r="H176" s="32">
        <f>VLOOKUP(D176,'New TB INC'!C:K,3,0)-F176</f>
        <v>0</v>
      </c>
      <c r="I176" s="32"/>
      <c r="K176" s="32"/>
    </row>
    <row r="177" spans="1:11" s="380" customFormat="1">
      <c r="A177" s="515" t="s">
        <v>2327</v>
      </c>
      <c r="B177" s="515" t="s">
        <v>2330</v>
      </c>
      <c r="C177" s="515" t="s">
        <v>2332</v>
      </c>
      <c r="D177" s="2785">
        <v>1110003</v>
      </c>
      <c r="E177" s="515" t="s">
        <v>3916</v>
      </c>
      <c r="F177" s="173">
        <v>500</v>
      </c>
      <c r="G177" s="515" t="s">
        <v>294</v>
      </c>
      <c r="H177" s="32">
        <f>VLOOKUP(D177,'New TB INC'!C:K,3,0)-F177</f>
        <v>0</v>
      </c>
      <c r="I177" s="32"/>
      <c r="K177" s="32"/>
    </row>
    <row r="178" spans="1:11" s="380" customFormat="1">
      <c r="A178" s="515" t="s">
        <v>2327</v>
      </c>
      <c r="B178" s="515" t="s">
        <v>2330</v>
      </c>
      <c r="C178" s="515" t="s">
        <v>2332</v>
      </c>
      <c r="D178" s="2785">
        <v>1110005</v>
      </c>
      <c r="E178" s="515" t="s">
        <v>4152</v>
      </c>
      <c r="F178" s="173">
        <v>4191.75</v>
      </c>
      <c r="G178" s="515" t="s">
        <v>294</v>
      </c>
      <c r="H178" s="32">
        <f>VLOOKUP(D178,'New TB INC'!C:K,3,0)-F178</f>
        <v>0</v>
      </c>
      <c r="I178" s="32"/>
      <c r="K178" s="32"/>
    </row>
    <row r="179" spans="1:11" s="380" customFormat="1">
      <c r="A179" s="515" t="s">
        <v>2327</v>
      </c>
      <c r="B179" s="515" t="s">
        <v>2330</v>
      </c>
      <c r="C179" s="515" t="s">
        <v>2333</v>
      </c>
      <c r="D179" s="2785">
        <v>1120001</v>
      </c>
      <c r="E179" s="515" t="s">
        <v>800</v>
      </c>
      <c r="F179" s="173">
        <v>0.24</v>
      </c>
      <c r="G179" s="515" t="s">
        <v>294</v>
      </c>
      <c r="H179" s="32">
        <f>VLOOKUP(D179,'New TB INC'!C:K,3,0)-F179</f>
        <v>0</v>
      </c>
      <c r="I179" s="32"/>
      <c r="K179" s="32"/>
    </row>
    <row r="180" spans="1:11" s="380" customFormat="1">
      <c r="A180" s="515" t="s">
        <v>2327</v>
      </c>
      <c r="B180" s="515" t="s">
        <v>2330</v>
      </c>
      <c r="C180" s="515" t="s">
        <v>1349</v>
      </c>
      <c r="D180" s="2785">
        <v>1130001</v>
      </c>
      <c r="E180" s="515" t="s">
        <v>801</v>
      </c>
      <c r="F180" s="173">
        <v>5158528.63</v>
      </c>
      <c r="G180" s="515" t="s">
        <v>294</v>
      </c>
      <c r="H180" s="32">
        <f>VLOOKUP(D180,'New TB INC'!C:K,3,0)-F180</f>
        <v>0</v>
      </c>
      <c r="I180" s="32"/>
      <c r="K180" s="32"/>
    </row>
    <row r="181" spans="1:11" s="380" customFormat="1">
      <c r="A181" s="515" t="s">
        <v>2327</v>
      </c>
      <c r="B181" s="515" t="s">
        <v>2330</v>
      </c>
      <c r="C181" s="515" t="s">
        <v>1349</v>
      </c>
      <c r="D181" s="2785">
        <v>1130006</v>
      </c>
      <c r="E181" s="515" t="s">
        <v>690</v>
      </c>
      <c r="F181" s="173">
        <v>14383.75</v>
      </c>
      <c r="G181" s="515" t="s">
        <v>294</v>
      </c>
      <c r="H181" s="32">
        <f>VLOOKUP(D181,'New TB INC'!C:K,3,0)-F181</f>
        <v>0</v>
      </c>
      <c r="I181" s="32"/>
      <c r="K181" s="32"/>
    </row>
    <row r="182" spans="1:11" s="380" customFormat="1">
      <c r="A182" s="515" t="s">
        <v>2327</v>
      </c>
      <c r="B182" s="515" t="s">
        <v>2330</v>
      </c>
      <c r="C182" s="515" t="s">
        <v>1349</v>
      </c>
      <c r="D182" s="2785">
        <v>1130012</v>
      </c>
      <c r="E182" s="515" t="s">
        <v>2487</v>
      </c>
      <c r="F182" s="173">
        <v>40926.910000000003</v>
      </c>
      <c r="G182" s="515" t="s">
        <v>294</v>
      </c>
      <c r="H182" s="32">
        <f>VLOOKUP(D182,'New TB INC'!C:K,3,0)-F182</f>
        <v>0</v>
      </c>
      <c r="I182" s="32"/>
      <c r="K182" s="32"/>
    </row>
    <row r="183" spans="1:11" s="380" customFormat="1">
      <c r="A183" s="515" t="s">
        <v>2327</v>
      </c>
      <c r="B183" s="515" t="s">
        <v>2330</v>
      </c>
      <c r="C183" s="515" t="s">
        <v>1349</v>
      </c>
      <c r="D183" s="2785">
        <v>1130013</v>
      </c>
      <c r="E183" s="515" t="s">
        <v>2259</v>
      </c>
      <c r="F183" s="173">
        <v>6292.12</v>
      </c>
      <c r="G183" s="515" t="s">
        <v>294</v>
      </c>
      <c r="H183" s="32">
        <f>VLOOKUP(D183,'New TB INC'!C:K,3,0)-F183</f>
        <v>0</v>
      </c>
      <c r="I183" s="32"/>
      <c r="K183" s="32"/>
    </row>
    <row r="184" spans="1:11" s="380" customFormat="1">
      <c r="A184" s="515" t="s">
        <v>2327</v>
      </c>
      <c r="B184" s="515" t="s">
        <v>2334</v>
      </c>
      <c r="C184" s="515" t="s">
        <v>1350</v>
      </c>
      <c r="D184" s="2785">
        <v>200815</v>
      </c>
      <c r="E184" s="515" t="s">
        <v>4005</v>
      </c>
      <c r="F184" s="173">
        <v>1800</v>
      </c>
      <c r="G184" s="515" t="s">
        <v>294</v>
      </c>
      <c r="H184" s="32">
        <f>VLOOKUP(D184,'New TB INC'!C:K,3,0)-F184</f>
        <v>0</v>
      </c>
      <c r="I184" s="32"/>
      <c r="K184" s="32"/>
    </row>
    <row r="185" spans="1:11" s="380" customFormat="1">
      <c r="A185" s="515" t="s">
        <v>2327</v>
      </c>
      <c r="B185" s="515" t="s">
        <v>2334</v>
      </c>
      <c r="C185" s="515" t="s">
        <v>1350</v>
      </c>
      <c r="D185" s="2785">
        <v>201195</v>
      </c>
      <c r="E185" s="515" t="s">
        <v>2223</v>
      </c>
      <c r="F185" s="173">
        <v>2507.5</v>
      </c>
      <c r="G185" s="515" t="s">
        <v>294</v>
      </c>
      <c r="H185" s="32">
        <f>VLOOKUP(D185,'New TB INC'!C:K,3,0)-F185</f>
        <v>0</v>
      </c>
      <c r="I185" s="32"/>
      <c r="K185" s="32"/>
    </row>
    <row r="186" spans="1:11" s="380" customFormat="1">
      <c r="A186" s="515" t="s">
        <v>2327</v>
      </c>
      <c r="B186" s="515" t="s">
        <v>2334</v>
      </c>
      <c r="C186" s="515" t="s">
        <v>1350</v>
      </c>
      <c r="D186" s="2785">
        <v>201238</v>
      </c>
      <c r="E186" s="515" t="s">
        <v>2263</v>
      </c>
      <c r="F186" s="173">
        <v>385824.22</v>
      </c>
      <c r="G186" s="515" t="s">
        <v>294</v>
      </c>
      <c r="H186" s="32">
        <f>VLOOKUP(D186,'New TB INC'!C:K,3,0)-F186</f>
        <v>0</v>
      </c>
      <c r="I186" s="32"/>
      <c r="K186" s="32"/>
    </row>
    <row r="187" spans="1:11" s="380" customFormat="1">
      <c r="A187" s="515" t="s">
        <v>2327</v>
      </c>
      <c r="B187" s="515" t="s">
        <v>2334</v>
      </c>
      <c r="C187" s="515" t="s">
        <v>1350</v>
      </c>
      <c r="D187" s="2785">
        <v>201791</v>
      </c>
      <c r="E187" s="515" t="s">
        <v>4692</v>
      </c>
      <c r="F187" s="173">
        <v>219602.15</v>
      </c>
      <c r="G187" s="515" t="s">
        <v>294</v>
      </c>
      <c r="H187" s="32">
        <f>VLOOKUP(D187,'New TB INC'!C:K,3,0)-F187</f>
        <v>0</v>
      </c>
      <c r="I187" s="32"/>
      <c r="K187" s="32"/>
    </row>
    <row r="188" spans="1:11" s="380" customFormat="1">
      <c r="A188" s="515" t="s">
        <v>2327</v>
      </c>
      <c r="B188" s="515" t="s">
        <v>2334</v>
      </c>
      <c r="C188" s="515" t="s">
        <v>1350</v>
      </c>
      <c r="D188" s="2785">
        <v>201986</v>
      </c>
      <c r="E188" s="515" t="s">
        <v>2858</v>
      </c>
      <c r="F188" s="173">
        <v>405102.91</v>
      </c>
      <c r="G188" s="515" t="s">
        <v>294</v>
      </c>
      <c r="H188" s="32">
        <f>VLOOKUP(D188,'New TB INC'!C:K,3,0)-F188</f>
        <v>0</v>
      </c>
      <c r="I188" s="32"/>
      <c r="K188" s="32"/>
    </row>
    <row r="189" spans="1:11" s="380" customFormat="1">
      <c r="A189" s="515" t="s">
        <v>2327</v>
      </c>
      <c r="B189" s="515" t="s">
        <v>2334</v>
      </c>
      <c r="C189" s="515" t="s">
        <v>1350</v>
      </c>
      <c r="D189" s="2785">
        <v>202053</v>
      </c>
      <c r="E189" s="515" t="s">
        <v>2264</v>
      </c>
      <c r="F189" s="173">
        <v>1349484.07</v>
      </c>
      <c r="G189" s="515" t="s">
        <v>294</v>
      </c>
      <c r="H189" s="32">
        <f>VLOOKUP(D189,'New TB INC'!C:K,3,0)-F189</f>
        <v>0</v>
      </c>
      <c r="I189" s="32"/>
      <c r="K189" s="32"/>
    </row>
    <row r="190" spans="1:11" s="380" customFormat="1">
      <c r="A190" s="515" t="s">
        <v>2327</v>
      </c>
      <c r="B190" s="515" t="s">
        <v>2334</v>
      </c>
      <c r="C190" s="515" t="s">
        <v>1350</v>
      </c>
      <c r="D190" s="2785">
        <v>202975</v>
      </c>
      <c r="E190" s="515" t="s">
        <v>4497</v>
      </c>
      <c r="F190" s="173">
        <v>308458.31</v>
      </c>
      <c r="G190" s="515" t="s">
        <v>294</v>
      </c>
      <c r="H190" s="32">
        <f>VLOOKUP(D190,'New TB INC'!C:K,3,0)-F190</f>
        <v>0</v>
      </c>
      <c r="I190" s="32"/>
      <c r="K190" s="32"/>
    </row>
    <row r="191" spans="1:11" s="380" customFormat="1">
      <c r="A191" s="515" t="s">
        <v>2327</v>
      </c>
      <c r="B191" s="515" t="s">
        <v>2334</v>
      </c>
      <c r="C191" s="515" t="s">
        <v>1350</v>
      </c>
      <c r="D191" s="2785">
        <v>203261</v>
      </c>
      <c r="E191" s="515" t="s">
        <v>2265</v>
      </c>
      <c r="F191" s="173">
        <v>40252.449999999997</v>
      </c>
      <c r="G191" s="515" t="s">
        <v>294</v>
      </c>
      <c r="H191" s="32">
        <f>VLOOKUP(D191,'New TB INC'!C:K,3,0)-F191</f>
        <v>0</v>
      </c>
      <c r="I191" s="32"/>
      <c r="K191" s="32"/>
    </row>
    <row r="192" spans="1:11" s="380" customFormat="1">
      <c r="A192" s="515" t="s">
        <v>2327</v>
      </c>
      <c r="B192" s="515" t="s">
        <v>2334</v>
      </c>
      <c r="C192" s="515" t="s">
        <v>1350</v>
      </c>
      <c r="D192" s="2785">
        <v>203861</v>
      </c>
      <c r="E192" s="515" t="s">
        <v>3085</v>
      </c>
      <c r="F192" s="173">
        <v>418059.22</v>
      </c>
      <c r="G192" s="515" t="s">
        <v>294</v>
      </c>
      <c r="H192" s="32">
        <f>VLOOKUP(D192,'New TB INC'!C:K,3,0)-F192</f>
        <v>0</v>
      </c>
      <c r="I192" s="32"/>
      <c r="K192" s="32"/>
    </row>
    <row r="193" spans="1:11" s="380" customFormat="1">
      <c r="A193" s="515" t="s">
        <v>2327</v>
      </c>
      <c r="B193" s="515" t="s">
        <v>2334</v>
      </c>
      <c r="C193" s="515" t="s">
        <v>1350</v>
      </c>
      <c r="D193" s="2785">
        <v>204469</v>
      </c>
      <c r="E193" s="515" t="s">
        <v>2985</v>
      </c>
      <c r="F193" s="173">
        <v>457065.95</v>
      </c>
      <c r="G193" s="515" t="s">
        <v>294</v>
      </c>
      <c r="H193" s="32">
        <f>VLOOKUP(D193,'New TB INC'!C:K,3,0)-F193</f>
        <v>0</v>
      </c>
      <c r="I193" s="32"/>
      <c r="K193" s="32"/>
    </row>
    <row r="194" spans="1:11" s="380" customFormat="1">
      <c r="A194" s="515" t="s">
        <v>2327</v>
      </c>
      <c r="B194" s="515" t="s">
        <v>2334</v>
      </c>
      <c r="C194" s="515" t="s">
        <v>1350</v>
      </c>
      <c r="D194" s="2785">
        <v>204727</v>
      </c>
      <c r="E194" s="515" t="s">
        <v>2987</v>
      </c>
      <c r="F194" s="173">
        <v>6000.06</v>
      </c>
      <c r="G194" s="515" t="s">
        <v>294</v>
      </c>
      <c r="H194" s="32">
        <f>VLOOKUP(D194,'New TB INC'!C:K,3,0)-F194</f>
        <v>0</v>
      </c>
      <c r="I194" s="32"/>
      <c r="K194" s="32"/>
    </row>
    <row r="195" spans="1:11" s="380" customFormat="1">
      <c r="A195" s="515" t="s">
        <v>2327</v>
      </c>
      <c r="B195" s="515" t="s">
        <v>2334</v>
      </c>
      <c r="C195" s="515" t="s">
        <v>1350</v>
      </c>
      <c r="D195" s="2785">
        <v>204864</v>
      </c>
      <c r="E195" s="515" t="s">
        <v>2645</v>
      </c>
      <c r="F195" s="173">
        <v>27129.49</v>
      </c>
      <c r="G195" s="515" t="s">
        <v>294</v>
      </c>
      <c r="H195" s="32">
        <f>VLOOKUP(D195,'New TB INC'!C:K,3,0)-F195</f>
        <v>0</v>
      </c>
      <c r="I195" s="32"/>
      <c r="K195" s="32"/>
    </row>
    <row r="196" spans="1:11" s="380" customFormat="1">
      <c r="A196" s="515" t="s">
        <v>2327</v>
      </c>
      <c r="B196" s="515" t="s">
        <v>2334</v>
      </c>
      <c r="C196" s="515" t="s">
        <v>1350</v>
      </c>
      <c r="D196" s="2785">
        <v>205985</v>
      </c>
      <c r="E196" s="515" t="s">
        <v>523</v>
      </c>
      <c r="F196" s="173">
        <v>15549.86</v>
      </c>
      <c r="G196" s="515" t="s">
        <v>294</v>
      </c>
      <c r="H196" s="32">
        <f>VLOOKUP(D196,'New TB INC'!C:K,3,0)-F196</f>
        <v>0</v>
      </c>
      <c r="I196" s="32"/>
      <c r="K196" s="32"/>
    </row>
    <row r="197" spans="1:11" s="380" customFormat="1">
      <c r="A197" s="515" t="s">
        <v>2327</v>
      </c>
      <c r="B197" s="515" t="s">
        <v>2334</v>
      </c>
      <c r="C197" s="515" t="s">
        <v>1350</v>
      </c>
      <c r="D197" s="2785">
        <v>206071</v>
      </c>
      <c r="E197" s="515" t="s">
        <v>4498</v>
      </c>
      <c r="F197" s="173">
        <v>1805112.8</v>
      </c>
      <c r="G197" s="515" t="s">
        <v>294</v>
      </c>
      <c r="H197" s="32">
        <f>VLOOKUP(D197,'New TB INC'!C:K,3,0)-F197</f>
        <v>0</v>
      </c>
      <c r="I197" s="32"/>
      <c r="K197" s="32"/>
    </row>
    <row r="198" spans="1:11" s="380" customFormat="1">
      <c r="A198" s="515" t="s">
        <v>2327</v>
      </c>
      <c r="B198" s="515" t="s">
        <v>2334</v>
      </c>
      <c r="C198" s="515" t="s">
        <v>1350</v>
      </c>
      <c r="D198" s="2785">
        <v>206593</v>
      </c>
      <c r="E198" s="515" t="s">
        <v>4499</v>
      </c>
      <c r="F198" s="173">
        <v>59823</v>
      </c>
      <c r="G198" s="515" t="s">
        <v>294</v>
      </c>
      <c r="H198" s="32">
        <f>VLOOKUP(D198,'New TB INC'!C:K,3,0)-F198</f>
        <v>0</v>
      </c>
      <c r="I198" s="32"/>
      <c r="K198" s="32"/>
    </row>
    <row r="199" spans="1:11" s="380" customFormat="1">
      <c r="A199" s="515" t="s">
        <v>2327</v>
      </c>
      <c r="B199" s="515" t="s">
        <v>2334</v>
      </c>
      <c r="C199" s="515" t="s">
        <v>1350</v>
      </c>
      <c r="D199" s="2785">
        <v>207181</v>
      </c>
      <c r="E199" s="515" t="s">
        <v>4153</v>
      </c>
      <c r="F199" s="173">
        <v>532448.68999999994</v>
      </c>
      <c r="G199" s="515" t="s">
        <v>294</v>
      </c>
      <c r="H199" s="32">
        <f>VLOOKUP(D199,'New TB INC'!C:K,3,0)-F199</f>
        <v>0</v>
      </c>
      <c r="I199" s="32"/>
      <c r="K199" s="32"/>
    </row>
    <row r="200" spans="1:11" s="380" customFormat="1">
      <c r="A200" s="515" t="s">
        <v>2327</v>
      </c>
      <c r="B200" s="515" t="s">
        <v>2334</v>
      </c>
      <c r="C200" s="515" t="s">
        <v>1350</v>
      </c>
      <c r="D200" s="2785">
        <v>207464</v>
      </c>
      <c r="E200" s="515" t="s">
        <v>2227</v>
      </c>
      <c r="F200" s="173">
        <v>329534.90999999997</v>
      </c>
      <c r="G200" s="515" t="s">
        <v>294</v>
      </c>
      <c r="H200" s="32">
        <f>VLOOKUP(D200,'New TB INC'!C:K,3,0)-F200</f>
        <v>0</v>
      </c>
      <c r="I200" s="32"/>
      <c r="K200" s="32"/>
    </row>
    <row r="201" spans="1:11" s="380" customFormat="1">
      <c r="A201" s="515" t="s">
        <v>2327</v>
      </c>
      <c r="B201" s="515" t="s">
        <v>2334</v>
      </c>
      <c r="C201" s="515" t="s">
        <v>1350</v>
      </c>
      <c r="D201" s="2785">
        <v>207555</v>
      </c>
      <c r="E201" s="515" t="s">
        <v>2149</v>
      </c>
      <c r="F201" s="173">
        <v>12908.89</v>
      </c>
      <c r="G201" s="515" t="s">
        <v>294</v>
      </c>
      <c r="H201" s="32">
        <f>VLOOKUP(D201,'New TB INC'!C:K,3,0)-F201</f>
        <v>0</v>
      </c>
      <c r="I201" s="32"/>
      <c r="K201" s="32"/>
    </row>
    <row r="202" spans="1:11" s="380" customFormat="1">
      <c r="A202" s="515" t="s">
        <v>2327</v>
      </c>
      <c r="B202" s="515" t="s">
        <v>2334</v>
      </c>
      <c r="C202" s="515" t="s">
        <v>1350</v>
      </c>
      <c r="D202" s="2785">
        <v>207946</v>
      </c>
      <c r="E202" s="515" t="s">
        <v>2559</v>
      </c>
      <c r="F202" s="173">
        <v>4000</v>
      </c>
      <c r="G202" s="515" t="s">
        <v>294</v>
      </c>
      <c r="H202" s="32">
        <f>VLOOKUP(D202,'New TB INC'!C:K,3,0)-F202</f>
        <v>0</v>
      </c>
      <c r="I202" s="32"/>
      <c r="K202" s="32"/>
    </row>
    <row r="203" spans="1:11" s="380" customFormat="1">
      <c r="A203" s="515" t="s">
        <v>2327</v>
      </c>
      <c r="B203" s="515" t="s">
        <v>2334</v>
      </c>
      <c r="C203" s="515" t="s">
        <v>1350</v>
      </c>
      <c r="D203" s="2785">
        <v>208111</v>
      </c>
      <c r="E203" s="515" t="s">
        <v>524</v>
      </c>
      <c r="F203" s="173">
        <v>1150712.7</v>
      </c>
      <c r="G203" s="515" t="s">
        <v>294</v>
      </c>
      <c r="H203" s="32">
        <f>VLOOKUP(D203,'New TB INC'!C:K,3,0)-F203</f>
        <v>0</v>
      </c>
      <c r="I203" s="32"/>
      <c r="K203" s="32"/>
    </row>
    <row r="204" spans="1:11" s="380" customFormat="1">
      <c r="A204" s="515" t="s">
        <v>2327</v>
      </c>
      <c r="B204" s="515" t="s">
        <v>2334</v>
      </c>
      <c r="C204" s="515" t="s">
        <v>1350</v>
      </c>
      <c r="D204" s="2785">
        <v>208791</v>
      </c>
      <c r="E204" s="515" t="s">
        <v>3088</v>
      </c>
      <c r="F204" s="173">
        <v>3180.49</v>
      </c>
      <c r="G204" s="515" t="s">
        <v>294</v>
      </c>
      <c r="H204" s="32">
        <f>VLOOKUP(D204,'New TB INC'!C:K,3,0)-F204</f>
        <v>0</v>
      </c>
      <c r="I204" s="32"/>
      <c r="K204" s="32"/>
    </row>
    <row r="205" spans="1:11" s="380" customFormat="1">
      <c r="A205" s="515" t="s">
        <v>2327</v>
      </c>
      <c r="B205" s="515" t="s">
        <v>2334</v>
      </c>
      <c r="C205" s="515" t="s">
        <v>1350</v>
      </c>
      <c r="D205" s="2785">
        <v>209052</v>
      </c>
      <c r="E205" s="515" t="s">
        <v>2649</v>
      </c>
      <c r="F205" s="173">
        <v>922301.65</v>
      </c>
      <c r="G205" s="515" t="s">
        <v>294</v>
      </c>
      <c r="H205" s="32">
        <f>VLOOKUP(D205,'New TB INC'!C:K,3,0)-F205</f>
        <v>0</v>
      </c>
      <c r="I205" s="32"/>
      <c r="K205" s="32"/>
    </row>
    <row r="206" spans="1:11" s="380" customFormat="1">
      <c r="A206" s="515" t="s">
        <v>2327</v>
      </c>
      <c r="B206" s="515" t="s">
        <v>2334</v>
      </c>
      <c r="C206" s="515" t="s">
        <v>1350</v>
      </c>
      <c r="D206" s="2785">
        <v>212002</v>
      </c>
      <c r="E206" s="515" t="s">
        <v>2863</v>
      </c>
      <c r="F206" s="173">
        <v>1534176.74</v>
      </c>
      <c r="G206" s="515" t="s">
        <v>294</v>
      </c>
      <c r="H206" s="32">
        <f>VLOOKUP(D206,'New TB INC'!C:K,3,0)-F206</f>
        <v>0</v>
      </c>
      <c r="I206" s="32"/>
      <c r="K206" s="32"/>
    </row>
    <row r="207" spans="1:11" s="380" customFormat="1">
      <c r="A207" s="515" t="s">
        <v>2327</v>
      </c>
      <c r="B207" s="515" t="s">
        <v>2334</v>
      </c>
      <c r="C207" s="515" t="s">
        <v>1350</v>
      </c>
      <c r="D207" s="2785">
        <v>213687</v>
      </c>
      <c r="E207" s="515" t="s">
        <v>3796</v>
      </c>
      <c r="F207" s="173">
        <v>156245.76000000001</v>
      </c>
      <c r="G207" s="515" t="s">
        <v>294</v>
      </c>
      <c r="H207" s="32">
        <f>VLOOKUP(D207,'New TB INC'!C:K,3,0)-F207</f>
        <v>0</v>
      </c>
      <c r="I207" s="32"/>
      <c r="K207" s="32"/>
    </row>
    <row r="208" spans="1:11" s="380" customFormat="1">
      <c r="A208" s="515" t="s">
        <v>2327</v>
      </c>
      <c r="B208" s="515" t="s">
        <v>2334</v>
      </c>
      <c r="C208" s="515" t="s">
        <v>1350</v>
      </c>
      <c r="D208" s="2785">
        <v>213781</v>
      </c>
      <c r="E208" s="515" t="s">
        <v>1769</v>
      </c>
      <c r="F208" s="173">
        <v>8591.0300000000007</v>
      </c>
      <c r="G208" s="515" t="s">
        <v>294</v>
      </c>
      <c r="H208" s="32">
        <f>VLOOKUP(D208,'New TB INC'!C:K,3,0)-F208</f>
        <v>0</v>
      </c>
      <c r="I208" s="32"/>
      <c r="K208" s="32"/>
    </row>
    <row r="209" spans="1:11" s="380" customFormat="1">
      <c r="A209" s="515" t="s">
        <v>2327</v>
      </c>
      <c r="B209" s="515" t="s">
        <v>2334</v>
      </c>
      <c r="C209" s="515" t="s">
        <v>1350</v>
      </c>
      <c r="D209" s="2785">
        <v>213795</v>
      </c>
      <c r="E209" s="515" t="s">
        <v>3583</v>
      </c>
      <c r="F209" s="173">
        <v>422824.04</v>
      </c>
      <c r="G209" s="515" t="s">
        <v>294</v>
      </c>
      <c r="H209" s="32">
        <f>VLOOKUP(D209,'New TB INC'!C:K,3,0)-F209</f>
        <v>0</v>
      </c>
      <c r="I209" s="32"/>
      <c r="K209" s="32"/>
    </row>
    <row r="210" spans="1:11" s="380" customFormat="1">
      <c r="A210" s="515" t="s">
        <v>2327</v>
      </c>
      <c r="B210" s="515" t="s">
        <v>2334</v>
      </c>
      <c r="C210" s="515" t="s">
        <v>1350</v>
      </c>
      <c r="D210" s="2785">
        <v>215586</v>
      </c>
      <c r="E210" s="515" t="s">
        <v>4289</v>
      </c>
      <c r="F210" s="173">
        <v>34617.160000000003</v>
      </c>
      <c r="G210" s="515" t="s">
        <v>294</v>
      </c>
      <c r="H210" s="32">
        <f>VLOOKUP(D210,'New TB INC'!C:K,3,0)-F210</f>
        <v>0</v>
      </c>
      <c r="I210" s="32"/>
      <c r="K210" s="32"/>
    </row>
    <row r="211" spans="1:11" s="380" customFormat="1">
      <c r="A211" s="515" t="s">
        <v>2327</v>
      </c>
      <c r="B211" s="515" t="s">
        <v>2334</v>
      </c>
      <c r="C211" s="515" t="s">
        <v>1350</v>
      </c>
      <c r="D211" s="2785">
        <v>217579</v>
      </c>
      <c r="E211" s="515" t="s">
        <v>4693</v>
      </c>
      <c r="F211" s="173">
        <v>20942.21</v>
      </c>
      <c r="G211" s="515" t="s">
        <v>294</v>
      </c>
      <c r="H211" s="32">
        <f>VLOOKUP(D211,'New TB INC'!C:K,3,0)-F211</f>
        <v>0</v>
      </c>
      <c r="I211" s="32"/>
      <c r="K211" s="32"/>
    </row>
    <row r="212" spans="1:11" s="380" customFormat="1">
      <c r="A212" s="515" t="s">
        <v>2327</v>
      </c>
      <c r="B212" s="515" t="s">
        <v>2334</v>
      </c>
      <c r="C212" s="515" t="s">
        <v>1350</v>
      </c>
      <c r="D212" s="2785">
        <v>217966</v>
      </c>
      <c r="E212" s="515" t="s">
        <v>3407</v>
      </c>
      <c r="F212" s="173">
        <v>10319.4</v>
      </c>
      <c r="G212" s="515" t="s">
        <v>294</v>
      </c>
      <c r="H212" s="32">
        <f>VLOOKUP(D212,'New TB INC'!C:K,3,0)-F212</f>
        <v>0</v>
      </c>
      <c r="I212" s="32"/>
      <c r="K212" s="32"/>
    </row>
    <row r="213" spans="1:11" s="380" customFormat="1">
      <c r="A213" s="515" t="s">
        <v>2327</v>
      </c>
      <c r="B213" s="515" t="s">
        <v>2334</v>
      </c>
      <c r="C213" s="515" t="s">
        <v>1350</v>
      </c>
      <c r="D213" s="2785">
        <v>218684</v>
      </c>
      <c r="E213" s="515" t="s">
        <v>3746</v>
      </c>
      <c r="F213" s="173">
        <v>6094.5</v>
      </c>
      <c r="G213" s="515" t="s">
        <v>294</v>
      </c>
      <c r="H213" s="32">
        <f>VLOOKUP(D213,'New TB INC'!C:K,3,0)-F213</f>
        <v>0</v>
      </c>
      <c r="I213" s="32"/>
      <c r="K213" s="32"/>
    </row>
    <row r="214" spans="1:11" s="380" customFormat="1">
      <c r="A214" s="515" t="s">
        <v>2327</v>
      </c>
      <c r="B214" s="515" t="s">
        <v>2334</v>
      </c>
      <c r="C214" s="515" t="s">
        <v>1350</v>
      </c>
      <c r="D214" s="2785">
        <v>219173</v>
      </c>
      <c r="E214" s="515" t="s">
        <v>2652</v>
      </c>
      <c r="F214" s="173">
        <v>23452.74</v>
      </c>
      <c r="G214" s="515" t="s">
        <v>294</v>
      </c>
      <c r="H214" s="32">
        <f>VLOOKUP(D214,'New TB INC'!C:K,3,0)-F214</f>
        <v>0</v>
      </c>
      <c r="I214" s="32"/>
      <c r="K214" s="32"/>
    </row>
    <row r="215" spans="1:11" s="380" customFormat="1">
      <c r="A215" s="515" t="s">
        <v>2327</v>
      </c>
      <c r="B215" s="515" t="s">
        <v>2334</v>
      </c>
      <c r="C215" s="515" t="s">
        <v>1350</v>
      </c>
      <c r="D215" s="2785">
        <v>219203</v>
      </c>
      <c r="E215" s="515" t="s">
        <v>2653</v>
      </c>
      <c r="F215" s="173">
        <v>101323.56</v>
      </c>
      <c r="G215" s="515" t="s">
        <v>294</v>
      </c>
      <c r="H215" s="32">
        <f>VLOOKUP(D215,'New TB INC'!C:K,3,0)-F215</f>
        <v>0</v>
      </c>
      <c r="I215" s="32"/>
      <c r="K215" s="32"/>
    </row>
    <row r="216" spans="1:11" s="380" customFormat="1">
      <c r="A216" s="515" t="s">
        <v>2327</v>
      </c>
      <c r="B216" s="515" t="s">
        <v>2334</v>
      </c>
      <c r="C216" s="515" t="s">
        <v>1350</v>
      </c>
      <c r="D216" s="2785">
        <v>219350</v>
      </c>
      <c r="E216" s="515" t="s">
        <v>2654</v>
      </c>
      <c r="F216" s="173">
        <v>9772.18</v>
      </c>
      <c r="G216" s="515" t="s">
        <v>294</v>
      </c>
      <c r="H216" s="32">
        <f>VLOOKUP(D216,'New TB INC'!C:K,3,0)-F216</f>
        <v>0</v>
      </c>
      <c r="I216" s="32"/>
      <c r="K216" s="32"/>
    </row>
    <row r="217" spans="1:11" s="380" customFormat="1">
      <c r="A217" s="515" t="s">
        <v>2327</v>
      </c>
      <c r="B217" s="515" t="s">
        <v>2334</v>
      </c>
      <c r="C217" s="515" t="s">
        <v>1350</v>
      </c>
      <c r="D217" s="2785">
        <v>220626</v>
      </c>
      <c r="E217" s="515" t="s">
        <v>4502</v>
      </c>
      <c r="F217" s="173">
        <v>580584.25</v>
      </c>
      <c r="G217" s="515" t="s">
        <v>294</v>
      </c>
      <c r="H217" s="32">
        <f>VLOOKUP(D217,'New TB INC'!C:K,3,0)-F217</f>
        <v>0</v>
      </c>
      <c r="I217" s="32"/>
      <c r="K217" s="32"/>
    </row>
    <row r="218" spans="1:11" s="380" customFormat="1">
      <c r="A218" s="515" t="s">
        <v>2327</v>
      </c>
      <c r="B218" s="515" t="s">
        <v>2334</v>
      </c>
      <c r="C218" s="515" t="s">
        <v>1350</v>
      </c>
      <c r="D218" s="2785">
        <v>221725</v>
      </c>
      <c r="E218" s="515" t="s">
        <v>3586</v>
      </c>
      <c r="F218" s="173">
        <v>7303.84</v>
      </c>
      <c r="G218" s="515" t="s">
        <v>294</v>
      </c>
      <c r="H218" s="32">
        <f>VLOOKUP(D218,'New TB INC'!C:K,3,0)-F218</f>
        <v>0</v>
      </c>
      <c r="I218" s="32"/>
      <c r="K218" s="32"/>
    </row>
    <row r="219" spans="1:11" s="380" customFormat="1">
      <c r="A219" s="515" t="s">
        <v>2327</v>
      </c>
      <c r="B219" s="515" t="s">
        <v>2334</v>
      </c>
      <c r="C219" s="515" t="s">
        <v>1350</v>
      </c>
      <c r="D219" s="2785">
        <v>221758</v>
      </c>
      <c r="E219" s="515" t="s">
        <v>4503</v>
      </c>
      <c r="F219" s="173">
        <v>9617.4500000000007</v>
      </c>
      <c r="G219" s="515" t="s">
        <v>294</v>
      </c>
      <c r="H219" s="32">
        <f>VLOOKUP(D219,'New TB INC'!C:K,3,0)-F219</f>
        <v>0</v>
      </c>
      <c r="I219" s="32"/>
      <c r="K219" s="32"/>
    </row>
    <row r="220" spans="1:11" s="380" customFormat="1">
      <c r="A220" s="515" t="s">
        <v>2327</v>
      </c>
      <c r="B220" s="515" t="s">
        <v>2334</v>
      </c>
      <c r="C220" s="515" t="s">
        <v>1350</v>
      </c>
      <c r="D220" s="2785">
        <v>221995</v>
      </c>
      <c r="E220" s="515" t="s">
        <v>4504</v>
      </c>
      <c r="F220" s="173">
        <v>23178.6</v>
      </c>
      <c r="G220" s="515" t="s">
        <v>294</v>
      </c>
      <c r="H220" s="32">
        <f>VLOOKUP(D220,'New TB INC'!C:K,3,0)-F220</f>
        <v>0</v>
      </c>
      <c r="I220" s="32"/>
      <c r="K220" s="32"/>
    </row>
    <row r="221" spans="1:11" s="380" customFormat="1">
      <c r="A221" s="515" t="s">
        <v>2327</v>
      </c>
      <c r="B221" s="515" t="s">
        <v>2334</v>
      </c>
      <c r="C221" s="515" t="s">
        <v>1350</v>
      </c>
      <c r="D221" s="2785">
        <v>222712</v>
      </c>
      <c r="E221" s="515" t="s">
        <v>3749</v>
      </c>
      <c r="F221" s="173">
        <v>15131.8</v>
      </c>
      <c r="G221" s="515" t="s">
        <v>294</v>
      </c>
      <c r="H221" s="32">
        <f>VLOOKUP(D221,'New TB INC'!C:K,3,0)-F221</f>
        <v>0</v>
      </c>
      <c r="I221" s="32"/>
      <c r="K221" s="32"/>
    </row>
    <row r="222" spans="1:11" s="380" customFormat="1">
      <c r="A222" s="515" t="s">
        <v>2327</v>
      </c>
      <c r="B222" s="515" t="s">
        <v>2334</v>
      </c>
      <c r="C222" s="515" t="s">
        <v>1350</v>
      </c>
      <c r="D222" s="2785">
        <v>223613</v>
      </c>
      <c r="E222" s="515" t="s">
        <v>2994</v>
      </c>
      <c r="F222" s="173">
        <v>43312.5</v>
      </c>
      <c r="G222" s="515" t="s">
        <v>294</v>
      </c>
      <c r="H222" s="32">
        <f>VLOOKUP(D222,'New TB INC'!C:K,3,0)-F222</f>
        <v>0</v>
      </c>
      <c r="I222" s="32"/>
      <c r="K222" s="32"/>
    </row>
    <row r="223" spans="1:11" s="380" customFormat="1">
      <c r="A223" s="515" t="s">
        <v>2327</v>
      </c>
      <c r="B223" s="515" t="s">
        <v>2334</v>
      </c>
      <c r="C223" s="515" t="s">
        <v>1350</v>
      </c>
      <c r="D223" s="2785">
        <v>224122</v>
      </c>
      <c r="E223" s="515" t="s">
        <v>2995</v>
      </c>
      <c r="F223" s="173">
        <v>9324</v>
      </c>
      <c r="G223" s="515" t="s">
        <v>294</v>
      </c>
      <c r="H223" s="32">
        <f>VLOOKUP(D223,'New TB INC'!C:K,3,0)-F223</f>
        <v>0</v>
      </c>
      <c r="I223" s="32"/>
      <c r="K223" s="32"/>
    </row>
    <row r="224" spans="1:11" s="380" customFormat="1">
      <c r="A224" s="515" t="s">
        <v>2327</v>
      </c>
      <c r="B224" s="515" t="s">
        <v>2334</v>
      </c>
      <c r="C224" s="515" t="s">
        <v>1350</v>
      </c>
      <c r="D224" s="2785">
        <v>224691</v>
      </c>
      <c r="E224" s="515" t="s">
        <v>3250</v>
      </c>
      <c r="F224" s="173">
        <v>6780</v>
      </c>
      <c r="G224" s="515" t="s">
        <v>294</v>
      </c>
      <c r="H224" s="32">
        <f>VLOOKUP(D224,'New TB INC'!C:K,3,0)-F224</f>
        <v>0</v>
      </c>
      <c r="I224" s="32"/>
      <c r="K224" s="32"/>
    </row>
    <row r="225" spans="1:11" s="380" customFormat="1">
      <c r="A225" s="515" t="s">
        <v>2327</v>
      </c>
      <c r="B225" s="515" t="s">
        <v>2334</v>
      </c>
      <c r="C225" s="515" t="s">
        <v>1350</v>
      </c>
      <c r="D225" s="2785">
        <v>226928</v>
      </c>
      <c r="E225" s="515" t="s">
        <v>2183</v>
      </c>
      <c r="F225" s="173">
        <v>-1.68</v>
      </c>
      <c r="G225" s="515" t="s">
        <v>294</v>
      </c>
      <c r="H225" s="32">
        <f>VLOOKUP(D225,'New TB INC'!C:K,3,0)-F225</f>
        <v>0</v>
      </c>
      <c r="I225" s="32"/>
      <c r="K225" s="32"/>
    </row>
    <row r="226" spans="1:11" s="380" customFormat="1">
      <c r="A226" s="515" t="s">
        <v>2327</v>
      </c>
      <c r="B226" s="515" t="s">
        <v>2334</v>
      </c>
      <c r="C226" s="515" t="s">
        <v>1350</v>
      </c>
      <c r="D226" s="2785">
        <v>227533</v>
      </c>
      <c r="E226" s="515" t="s">
        <v>4291</v>
      </c>
      <c r="F226" s="173">
        <v>22000</v>
      </c>
      <c r="G226" s="515" t="s">
        <v>294</v>
      </c>
      <c r="H226" s="32">
        <f>VLOOKUP(D226,'New TB INC'!C:K,3,0)-F226</f>
        <v>0</v>
      </c>
      <c r="I226" s="32"/>
      <c r="K226" s="32"/>
    </row>
    <row r="227" spans="1:11" s="380" customFormat="1">
      <c r="A227" s="515" t="s">
        <v>2327</v>
      </c>
      <c r="B227" s="515" t="s">
        <v>2334</v>
      </c>
      <c r="C227" s="515" t="s">
        <v>1350</v>
      </c>
      <c r="D227" s="2785">
        <v>228113</v>
      </c>
      <c r="E227" s="515" t="s">
        <v>4694</v>
      </c>
      <c r="F227" s="173">
        <v>21096.85</v>
      </c>
      <c r="G227" s="515" t="s">
        <v>294</v>
      </c>
      <c r="H227" s="32">
        <f>VLOOKUP(D227,'New TB INC'!C:K,3,0)-F227</f>
        <v>0</v>
      </c>
      <c r="I227" s="32"/>
      <c r="K227" s="32"/>
    </row>
    <row r="228" spans="1:11" s="380" customFormat="1">
      <c r="A228" s="515" t="s">
        <v>2327</v>
      </c>
      <c r="B228" s="515" t="s">
        <v>2334</v>
      </c>
      <c r="C228" s="515" t="s">
        <v>1350</v>
      </c>
      <c r="D228" s="2785">
        <v>228911</v>
      </c>
      <c r="E228" s="515" t="s">
        <v>3096</v>
      </c>
      <c r="F228" s="173">
        <v>10000.5</v>
      </c>
      <c r="G228" s="515" t="s">
        <v>294</v>
      </c>
      <c r="H228" s="32">
        <f>VLOOKUP(D228,'New TB INC'!C:K,3,0)-F228</f>
        <v>0</v>
      </c>
      <c r="I228" s="32"/>
      <c r="K228" s="32"/>
    </row>
    <row r="229" spans="1:11" s="380" customFormat="1">
      <c r="A229" s="515" t="s">
        <v>2327</v>
      </c>
      <c r="B229" s="515" t="s">
        <v>2334</v>
      </c>
      <c r="C229" s="515" t="s">
        <v>1350</v>
      </c>
      <c r="D229" s="2785">
        <v>230024</v>
      </c>
      <c r="E229" s="515" t="s">
        <v>3099</v>
      </c>
      <c r="F229" s="173">
        <v>10920</v>
      </c>
      <c r="G229" s="515" t="s">
        <v>294</v>
      </c>
      <c r="H229" s="32">
        <f>VLOOKUP(D229,'New TB INC'!C:K,3,0)-F229</f>
        <v>0</v>
      </c>
      <c r="I229" s="32"/>
      <c r="K229" s="32"/>
    </row>
    <row r="230" spans="1:11" s="380" customFormat="1">
      <c r="A230" s="515" t="s">
        <v>2327</v>
      </c>
      <c r="B230" s="515" t="s">
        <v>2334</v>
      </c>
      <c r="C230" s="515" t="s">
        <v>1350</v>
      </c>
      <c r="D230" s="2785">
        <v>230060</v>
      </c>
      <c r="E230" s="515" t="s">
        <v>4155</v>
      </c>
      <c r="F230" s="173">
        <v>116252.46</v>
      </c>
      <c r="G230" s="515" t="s">
        <v>294</v>
      </c>
      <c r="H230" s="32">
        <f>VLOOKUP(D230,'New TB INC'!C:K,3,0)-F230</f>
        <v>0</v>
      </c>
      <c r="I230" s="32"/>
      <c r="K230" s="32"/>
    </row>
    <row r="231" spans="1:11" s="380" customFormat="1">
      <c r="A231" s="515" t="s">
        <v>2327</v>
      </c>
      <c r="B231" s="515" t="s">
        <v>2334</v>
      </c>
      <c r="C231" s="515" t="s">
        <v>1350</v>
      </c>
      <c r="D231" s="2785">
        <v>230635</v>
      </c>
      <c r="E231" s="515" t="s">
        <v>4505</v>
      </c>
      <c r="F231" s="173">
        <v>30158.75</v>
      </c>
      <c r="G231" s="515" t="s">
        <v>294</v>
      </c>
      <c r="H231" s="32">
        <f>VLOOKUP(D231,'New TB INC'!C:K,3,0)-F231</f>
        <v>0</v>
      </c>
      <c r="I231" s="32"/>
      <c r="K231" s="32"/>
    </row>
    <row r="232" spans="1:11" s="380" customFormat="1">
      <c r="A232" s="515" t="s">
        <v>2327</v>
      </c>
      <c r="B232" s="515" t="s">
        <v>2334</v>
      </c>
      <c r="C232" s="515" t="s">
        <v>1350</v>
      </c>
      <c r="D232" s="2785">
        <v>230994</v>
      </c>
      <c r="E232" s="515" t="s">
        <v>3754</v>
      </c>
      <c r="F232" s="173">
        <v>6800</v>
      </c>
      <c r="G232" s="515" t="s">
        <v>294</v>
      </c>
      <c r="H232" s="32">
        <f>VLOOKUP(D232,'New TB INC'!C:K,3,0)-F232</f>
        <v>0</v>
      </c>
      <c r="I232" s="32"/>
      <c r="K232" s="32"/>
    </row>
    <row r="233" spans="1:11" s="380" customFormat="1">
      <c r="A233" s="515" t="s">
        <v>2327</v>
      </c>
      <c r="B233" s="515" t="s">
        <v>2334</v>
      </c>
      <c r="C233" s="515" t="s">
        <v>1350</v>
      </c>
      <c r="D233" s="2785">
        <v>231074</v>
      </c>
      <c r="E233" s="515" t="s">
        <v>4009</v>
      </c>
      <c r="F233" s="173">
        <v>-27945</v>
      </c>
      <c r="G233" s="515" t="s">
        <v>294</v>
      </c>
      <c r="H233" s="32">
        <f>VLOOKUP(D233,'New TB INC'!C:K,3,0)-F233</f>
        <v>0</v>
      </c>
      <c r="I233" s="32"/>
      <c r="K233" s="32"/>
    </row>
    <row r="234" spans="1:11" s="380" customFormat="1">
      <c r="A234" s="515" t="s">
        <v>2327</v>
      </c>
      <c r="B234" s="515" t="s">
        <v>2334</v>
      </c>
      <c r="C234" s="515" t="s">
        <v>1350</v>
      </c>
      <c r="D234" s="2785">
        <v>231539</v>
      </c>
      <c r="E234" s="515" t="s">
        <v>3755</v>
      </c>
      <c r="F234" s="173">
        <v>468679.33</v>
      </c>
      <c r="G234" s="515" t="s">
        <v>294</v>
      </c>
      <c r="H234" s="32">
        <f>VLOOKUP(D234,'New TB INC'!C:K,3,0)-F234</f>
        <v>0</v>
      </c>
      <c r="I234" s="32"/>
      <c r="K234" s="32"/>
    </row>
    <row r="235" spans="1:11" s="380" customFormat="1">
      <c r="A235" s="515" t="s">
        <v>2327</v>
      </c>
      <c r="B235" s="515" t="s">
        <v>2334</v>
      </c>
      <c r="C235" s="515" t="s">
        <v>1350</v>
      </c>
      <c r="D235" s="2785">
        <v>232070</v>
      </c>
      <c r="E235" s="515" t="s">
        <v>4157</v>
      </c>
      <c r="F235" s="173">
        <v>7867.55</v>
      </c>
      <c r="G235" s="515" t="s">
        <v>294</v>
      </c>
      <c r="H235" s="32">
        <f>VLOOKUP(D235,'New TB INC'!C:K,3,0)-F235</f>
        <v>0</v>
      </c>
      <c r="I235" s="32"/>
      <c r="K235" s="32"/>
    </row>
    <row r="236" spans="1:11" s="380" customFormat="1">
      <c r="A236" s="515" t="s">
        <v>2327</v>
      </c>
      <c r="B236" s="515" t="s">
        <v>2334</v>
      </c>
      <c r="C236" s="515" t="s">
        <v>1350</v>
      </c>
      <c r="D236" s="2785">
        <v>232113</v>
      </c>
      <c r="E236" s="515" t="s">
        <v>4695</v>
      </c>
      <c r="F236" s="173">
        <v>104218</v>
      </c>
      <c r="G236" s="515" t="s">
        <v>294</v>
      </c>
      <c r="H236" s="32">
        <f>VLOOKUP(D236,'New TB INC'!C:K,3,0)-F236</f>
        <v>0</v>
      </c>
      <c r="I236" s="32"/>
      <c r="K236" s="32"/>
    </row>
    <row r="237" spans="1:11" s="380" customFormat="1">
      <c r="A237" s="515" t="s">
        <v>2327</v>
      </c>
      <c r="B237" s="515" t="s">
        <v>2334</v>
      </c>
      <c r="C237" s="515" t="s">
        <v>4763</v>
      </c>
      <c r="D237" s="2785">
        <v>2090001</v>
      </c>
      <c r="E237" s="515" t="s">
        <v>4686</v>
      </c>
      <c r="F237" s="173">
        <v>27945</v>
      </c>
      <c r="G237" s="515" t="s">
        <v>294</v>
      </c>
      <c r="H237" s="32">
        <f>VLOOKUP(D237,'New TB INC'!C:K,3,0)-F237</f>
        <v>0</v>
      </c>
      <c r="I237" s="32"/>
      <c r="K237" s="32"/>
    </row>
    <row r="238" spans="1:11" s="380" customFormat="1">
      <c r="A238" s="515" t="s">
        <v>2327</v>
      </c>
      <c r="B238" s="515" t="s">
        <v>2335</v>
      </c>
      <c r="C238" s="515" t="s">
        <v>2336</v>
      </c>
      <c r="D238" s="2785">
        <v>1400001</v>
      </c>
      <c r="E238" s="515" t="s">
        <v>2337</v>
      </c>
      <c r="F238" s="173">
        <v>292026.96999999997</v>
      </c>
      <c r="G238" s="515" t="s">
        <v>294</v>
      </c>
      <c r="H238" s="32">
        <f>VLOOKUP(D238,'New TB INC'!C:K,3,0)-F238</f>
        <v>0</v>
      </c>
      <c r="I238" s="32"/>
      <c r="K238" s="32"/>
    </row>
    <row r="239" spans="1:11" s="380" customFormat="1">
      <c r="A239" s="515" t="s">
        <v>2327</v>
      </c>
      <c r="B239" s="515" t="s">
        <v>2335</v>
      </c>
      <c r="C239" s="515" t="s">
        <v>2338</v>
      </c>
      <c r="D239" s="2785">
        <v>1420002</v>
      </c>
      <c r="E239" s="515" t="s">
        <v>473</v>
      </c>
      <c r="F239" s="173">
        <v>98391.38</v>
      </c>
      <c r="G239" s="515" t="s">
        <v>294</v>
      </c>
      <c r="H239" s="32">
        <f>VLOOKUP(D239,'New TB INC'!C:K,3,0)-F239</f>
        <v>0</v>
      </c>
      <c r="I239" s="32"/>
      <c r="K239" s="32"/>
    </row>
    <row r="240" spans="1:11" s="380" customFormat="1">
      <c r="A240" s="515" t="s">
        <v>2327</v>
      </c>
      <c r="B240" s="515" t="s">
        <v>2335</v>
      </c>
      <c r="C240" s="515" t="s">
        <v>2339</v>
      </c>
      <c r="D240" s="2785">
        <v>1430001</v>
      </c>
      <c r="E240" s="515" t="s">
        <v>655</v>
      </c>
      <c r="F240" s="173">
        <v>131794.39000000001</v>
      </c>
      <c r="G240" s="515" t="s">
        <v>294</v>
      </c>
      <c r="H240" s="32">
        <f>VLOOKUP(D240,'New TB INC'!C:K,3,0)-F240</f>
        <v>0</v>
      </c>
      <c r="I240" s="32"/>
      <c r="K240" s="32"/>
    </row>
    <row r="241" spans="1:11" s="380" customFormat="1">
      <c r="A241" s="515" t="s">
        <v>2327</v>
      </c>
      <c r="B241" s="515" t="s">
        <v>2335</v>
      </c>
      <c r="C241" s="515" t="s">
        <v>2340</v>
      </c>
      <c r="D241" s="2785">
        <v>1490006</v>
      </c>
      <c r="E241" s="515" t="s">
        <v>474</v>
      </c>
      <c r="F241" s="173">
        <v>-401006</v>
      </c>
      <c r="G241" s="515" t="s">
        <v>294</v>
      </c>
      <c r="H241" s="32">
        <f>VLOOKUP(D241,'New TB INC'!C:K,3,0)-F241</f>
        <v>0</v>
      </c>
      <c r="I241" s="32"/>
      <c r="K241" s="32"/>
    </row>
    <row r="242" spans="1:11" s="380" customFormat="1">
      <c r="A242" s="515" t="s">
        <v>2327</v>
      </c>
      <c r="B242" s="515" t="s">
        <v>2341</v>
      </c>
      <c r="C242" s="515" t="s">
        <v>2342</v>
      </c>
      <c r="D242" s="2785">
        <v>1510001</v>
      </c>
      <c r="E242" s="515" t="s">
        <v>472</v>
      </c>
      <c r="F242" s="173">
        <v>8050</v>
      </c>
      <c r="G242" s="515" t="s">
        <v>294</v>
      </c>
      <c r="H242" s="32">
        <f>VLOOKUP(D242,'New TB INC'!C:K,3,0)-F242</f>
        <v>0</v>
      </c>
      <c r="I242" s="32"/>
      <c r="K242" s="32"/>
    </row>
    <row r="243" spans="1:11" s="380" customFormat="1">
      <c r="A243" s="515" t="s">
        <v>2327</v>
      </c>
      <c r="B243" s="515" t="s">
        <v>2341</v>
      </c>
      <c r="C243" s="515" t="s">
        <v>2342</v>
      </c>
      <c r="D243" s="2785">
        <v>1510002</v>
      </c>
      <c r="E243" s="515" t="s">
        <v>522</v>
      </c>
      <c r="F243" s="173">
        <v>3010.08</v>
      </c>
      <c r="G243" s="515" t="s">
        <v>294</v>
      </c>
      <c r="H243" s="32">
        <f>VLOOKUP(D243,'New TB INC'!C:K,3,0)-F243</f>
        <v>0</v>
      </c>
      <c r="I243" s="32"/>
      <c r="K243" s="32"/>
    </row>
    <row r="244" spans="1:11" s="380" customFormat="1">
      <c r="A244" s="515" t="s">
        <v>2327</v>
      </c>
      <c r="B244" s="515" t="s">
        <v>2343</v>
      </c>
      <c r="C244" s="515" t="s">
        <v>2344</v>
      </c>
      <c r="D244" s="2785">
        <v>1610005</v>
      </c>
      <c r="E244" s="515" t="s">
        <v>1940</v>
      </c>
      <c r="F244" s="173">
        <v>1152543.54</v>
      </c>
      <c r="G244" s="515" t="s">
        <v>294</v>
      </c>
      <c r="H244" s="32">
        <f>VLOOKUP(D244,'New TB INC'!C:K,3,0)-F244</f>
        <v>0</v>
      </c>
      <c r="I244" s="32"/>
      <c r="K244" s="32"/>
    </row>
    <row r="245" spans="1:11" s="380" customFormat="1">
      <c r="A245" s="515" t="s">
        <v>2327</v>
      </c>
      <c r="B245" s="515" t="s">
        <v>2343</v>
      </c>
      <c r="C245" s="515" t="s">
        <v>2345</v>
      </c>
      <c r="D245" s="2785">
        <v>1620001</v>
      </c>
      <c r="E245" s="515" t="s">
        <v>808</v>
      </c>
      <c r="F245" s="173">
        <v>45550.53</v>
      </c>
      <c r="G245" s="515" t="s">
        <v>294</v>
      </c>
      <c r="H245" s="32">
        <f>VLOOKUP(D245,'New TB INC'!C:K,3,0)-F245</f>
        <v>0</v>
      </c>
      <c r="I245" s="32"/>
      <c r="K245" s="32"/>
    </row>
    <row r="246" spans="1:11" s="380" customFormat="1">
      <c r="A246" s="515" t="s">
        <v>2346</v>
      </c>
      <c r="B246" s="515" t="s">
        <v>2347</v>
      </c>
      <c r="C246" s="515" t="s">
        <v>1816</v>
      </c>
      <c r="D246" s="2785" t="s">
        <v>1868</v>
      </c>
      <c r="E246" s="515" t="s">
        <v>2237</v>
      </c>
      <c r="F246" s="173">
        <v>9061564.1799999997</v>
      </c>
      <c r="G246" s="515" t="s">
        <v>294</v>
      </c>
      <c r="H246" s="32">
        <f>VLOOKUP(D246,'New TB INC'!C:K,3,0)-F246</f>
        <v>0</v>
      </c>
      <c r="I246" s="32"/>
      <c r="K246" s="32"/>
    </row>
    <row r="247" spans="1:11" s="380" customFormat="1">
      <c r="A247" s="515" t="s">
        <v>2346</v>
      </c>
      <c r="B247" s="515" t="s">
        <v>2347</v>
      </c>
      <c r="C247" s="515" t="s">
        <v>1816</v>
      </c>
      <c r="D247" s="2785">
        <v>53501</v>
      </c>
      <c r="E247" s="515" t="s">
        <v>694</v>
      </c>
      <c r="F247" s="173">
        <v>-12465207.800000001</v>
      </c>
      <c r="G247" s="515" t="s">
        <v>294</v>
      </c>
      <c r="H247" s="32">
        <f>VLOOKUP(D247,'New TB INC'!C:K,3,0)-F247</f>
        <v>0</v>
      </c>
      <c r="I247" s="32"/>
      <c r="K247" s="32"/>
    </row>
    <row r="248" spans="1:11" s="380" customFormat="1">
      <c r="A248" s="515" t="s">
        <v>2346</v>
      </c>
      <c r="B248" s="515" t="s">
        <v>2347</v>
      </c>
      <c r="C248" s="515" t="s">
        <v>1816</v>
      </c>
      <c r="D248" s="2785">
        <v>53502</v>
      </c>
      <c r="E248" s="515" t="s">
        <v>695</v>
      </c>
      <c r="F248" s="173">
        <v>-35448.35</v>
      </c>
      <c r="G248" s="515" t="s">
        <v>294</v>
      </c>
      <c r="H248" s="32">
        <f>VLOOKUP(D248,'New TB INC'!C:K,3,0)-F248</f>
        <v>0</v>
      </c>
      <c r="I248" s="32"/>
      <c r="K248" s="32"/>
    </row>
    <row r="249" spans="1:11" s="380" customFormat="1">
      <c r="A249" s="515" t="s">
        <v>2346</v>
      </c>
      <c r="B249" s="515" t="s">
        <v>2347</v>
      </c>
      <c r="C249" s="515" t="s">
        <v>1816</v>
      </c>
      <c r="D249" s="2785">
        <v>53510</v>
      </c>
      <c r="E249" s="515" t="s">
        <v>696</v>
      </c>
      <c r="F249" s="173">
        <v>-0.93</v>
      </c>
      <c r="G249" s="515" t="s">
        <v>294</v>
      </c>
      <c r="H249" s="32">
        <f>VLOOKUP(D249,'New TB INC'!C:K,3,0)-F249</f>
        <v>0</v>
      </c>
      <c r="I249" s="32"/>
      <c r="K249" s="32"/>
    </row>
    <row r="250" spans="1:11" s="380" customFormat="1">
      <c r="A250" s="515" t="s">
        <v>2346</v>
      </c>
      <c r="B250" s="515" t="s">
        <v>2347</v>
      </c>
      <c r="C250" s="515" t="s">
        <v>1816</v>
      </c>
      <c r="D250" s="2785">
        <v>53513</v>
      </c>
      <c r="E250" s="515" t="s">
        <v>697</v>
      </c>
      <c r="F250" s="173">
        <v>-3143386.02</v>
      </c>
      <c r="G250" s="515" t="s">
        <v>294</v>
      </c>
      <c r="H250" s="32">
        <f>VLOOKUP(D250,'New TB INC'!C:K,3,0)-F250</f>
        <v>0</v>
      </c>
      <c r="I250" s="32"/>
      <c r="K250" s="32"/>
    </row>
    <row r="251" spans="1:11" s="380" customFormat="1">
      <c r="A251" s="515" t="s">
        <v>2346</v>
      </c>
      <c r="B251" s="515" t="s">
        <v>2347</v>
      </c>
      <c r="C251" s="515" t="s">
        <v>1816</v>
      </c>
      <c r="D251" s="2785">
        <v>53515</v>
      </c>
      <c r="E251" s="515" t="s">
        <v>2348</v>
      </c>
      <c r="F251" s="173">
        <v>-38720.9</v>
      </c>
      <c r="G251" s="515" t="s">
        <v>294</v>
      </c>
      <c r="H251" s="32">
        <f>VLOOKUP(D251,'New TB INC'!C:K,3,0)-F251</f>
        <v>0</v>
      </c>
      <c r="I251" s="32"/>
      <c r="K251" s="32"/>
    </row>
    <row r="252" spans="1:11" s="380" customFormat="1">
      <c r="A252" s="515" t="s">
        <v>2346</v>
      </c>
      <c r="B252" s="515" t="s">
        <v>2347</v>
      </c>
      <c r="C252" s="515" t="s">
        <v>1816</v>
      </c>
      <c r="D252" s="2785">
        <v>53516</v>
      </c>
      <c r="E252" s="515" t="s">
        <v>1617</v>
      </c>
      <c r="F252" s="173">
        <v>-1052743.24</v>
      </c>
      <c r="G252" s="515" t="s">
        <v>294</v>
      </c>
      <c r="H252" s="32">
        <f>VLOOKUP(D252,'New TB INC'!C:K,3,0)-F252</f>
        <v>0</v>
      </c>
      <c r="I252" s="32"/>
      <c r="K252" s="32"/>
    </row>
    <row r="253" spans="1:11" s="380" customFormat="1">
      <c r="A253" s="515" t="s">
        <v>2346</v>
      </c>
      <c r="B253" s="515" t="s">
        <v>2347</v>
      </c>
      <c r="C253" s="515" t="s">
        <v>1816</v>
      </c>
      <c r="D253" s="2785">
        <v>53580</v>
      </c>
      <c r="E253" s="515" t="s">
        <v>696</v>
      </c>
      <c r="F253" s="173">
        <v>-6531426.0300000003</v>
      </c>
      <c r="G253" s="515" t="s">
        <v>294</v>
      </c>
      <c r="H253" s="32">
        <f>VLOOKUP(D253,'New TB INC'!C:K,3,0)-F253</f>
        <v>0</v>
      </c>
      <c r="I253" s="32"/>
      <c r="K253" s="32"/>
    </row>
    <row r="254" spans="1:11" s="380" customFormat="1">
      <c r="A254" s="515" t="s">
        <v>2346</v>
      </c>
      <c r="B254" s="515" t="s">
        <v>2347</v>
      </c>
      <c r="C254" s="515" t="s">
        <v>1816</v>
      </c>
      <c r="D254" s="2785">
        <v>53590</v>
      </c>
      <c r="E254" s="515" t="s">
        <v>2202</v>
      </c>
      <c r="F254" s="173">
        <v>-1897964.19</v>
      </c>
      <c r="G254" s="515" t="s">
        <v>294</v>
      </c>
      <c r="H254" s="32">
        <f>VLOOKUP(D254,'New TB INC'!C:K,3,0)-F254</f>
        <v>0</v>
      </c>
      <c r="I254" s="32"/>
      <c r="K254" s="32"/>
    </row>
    <row r="255" spans="1:11" s="380" customFormat="1">
      <c r="A255" s="515" t="s">
        <v>2346</v>
      </c>
      <c r="B255" s="515" t="s">
        <v>2347</v>
      </c>
      <c r="C255" s="515" t="s">
        <v>1816</v>
      </c>
      <c r="D255" s="2785">
        <v>53599</v>
      </c>
      <c r="E255" s="515" t="s">
        <v>700</v>
      </c>
      <c r="F255" s="173">
        <v>-1035720.24</v>
      </c>
      <c r="G255" s="515" t="s">
        <v>294</v>
      </c>
      <c r="H255" s="32">
        <f>VLOOKUP(D255,'New TB INC'!C:K,3,0)-F255</f>
        <v>0</v>
      </c>
      <c r="I255" s="32"/>
      <c r="K255" s="32"/>
    </row>
    <row r="256" spans="1:11" s="380" customFormat="1">
      <c r="A256" s="515" t="s">
        <v>2346</v>
      </c>
      <c r="B256" s="515" t="s">
        <v>2347</v>
      </c>
      <c r="C256" s="515" t="s">
        <v>1816</v>
      </c>
      <c r="D256" s="2785">
        <v>53602</v>
      </c>
      <c r="E256" s="515" t="s">
        <v>3114</v>
      </c>
      <c r="F256" s="173">
        <v>-27945</v>
      </c>
      <c r="G256" s="515" t="s">
        <v>294</v>
      </c>
      <c r="H256" s="32">
        <f>VLOOKUP(D256,'New TB INC'!C:K,3,0)-F256</f>
        <v>0</v>
      </c>
      <c r="I256" s="32"/>
      <c r="K256" s="32"/>
    </row>
    <row r="257" spans="1:11" s="380" customFormat="1">
      <c r="A257" s="515" t="s">
        <v>2346</v>
      </c>
      <c r="B257" s="515" t="s">
        <v>2349</v>
      </c>
      <c r="C257" s="515" t="s">
        <v>2350</v>
      </c>
      <c r="D257" s="2785">
        <v>210223</v>
      </c>
      <c r="E257" s="515" t="s">
        <v>1671</v>
      </c>
      <c r="F257" s="173">
        <v>-26855.08</v>
      </c>
      <c r="G257" s="515" t="s">
        <v>294</v>
      </c>
      <c r="H257" s="32">
        <f>VLOOKUP(D257,'New TB INC'!C:K,3,0)-F257</f>
        <v>0</v>
      </c>
      <c r="I257" s="32"/>
      <c r="K257" s="32"/>
    </row>
    <row r="258" spans="1:11" s="380" customFormat="1">
      <c r="A258" s="515" t="s">
        <v>2346</v>
      </c>
      <c r="B258" s="515" t="s">
        <v>2349</v>
      </c>
      <c r="C258" s="515" t="s">
        <v>2350</v>
      </c>
      <c r="D258" s="2785">
        <v>2120035</v>
      </c>
      <c r="E258" s="515" t="s">
        <v>3253</v>
      </c>
      <c r="F258" s="173">
        <v>80.989999999999995</v>
      </c>
      <c r="G258" s="515" t="s">
        <v>294</v>
      </c>
      <c r="H258" s="32">
        <f>VLOOKUP(D258,'New TB INC'!C:K,3,0)-F258</f>
        <v>0</v>
      </c>
      <c r="I258" s="32"/>
      <c r="K258" s="32"/>
    </row>
    <row r="259" spans="1:11" s="380" customFormat="1">
      <c r="A259" s="515" t="s">
        <v>2346</v>
      </c>
      <c r="B259" s="515" t="s">
        <v>2349</v>
      </c>
      <c r="C259" s="515" t="s">
        <v>2350</v>
      </c>
      <c r="D259" s="2785">
        <v>2120073</v>
      </c>
      <c r="E259" s="515" t="s">
        <v>476</v>
      </c>
      <c r="F259" s="173">
        <v>-9229</v>
      </c>
      <c r="G259" s="515" t="s">
        <v>294</v>
      </c>
      <c r="H259" s="32">
        <f>VLOOKUP(D259,'New TB INC'!C:K,3,0)-F259</f>
        <v>0</v>
      </c>
      <c r="I259" s="32"/>
      <c r="K259" s="32"/>
    </row>
    <row r="260" spans="1:11" s="380" customFormat="1">
      <c r="A260" s="515" t="s">
        <v>2346</v>
      </c>
      <c r="B260" s="515" t="s">
        <v>2349</v>
      </c>
      <c r="C260" s="515" t="s">
        <v>2350</v>
      </c>
      <c r="D260" s="2785">
        <v>2120100</v>
      </c>
      <c r="E260" s="515" t="s">
        <v>2566</v>
      </c>
      <c r="F260" s="173">
        <v>-604.79999999999995</v>
      </c>
      <c r="G260" s="515" t="s">
        <v>294</v>
      </c>
      <c r="H260" s="32">
        <f>VLOOKUP(D260,'New TB INC'!C:K,3,0)-F260</f>
        <v>0</v>
      </c>
      <c r="I260" s="32"/>
      <c r="K260" s="32"/>
    </row>
    <row r="261" spans="1:11" s="380" customFormat="1">
      <c r="A261" s="515" t="s">
        <v>2346</v>
      </c>
      <c r="B261" s="515" t="s">
        <v>2349</v>
      </c>
      <c r="C261" s="515" t="s">
        <v>2350</v>
      </c>
      <c r="D261" s="2785">
        <v>2120174</v>
      </c>
      <c r="E261" s="515" t="s">
        <v>811</v>
      </c>
      <c r="F261" s="173">
        <v>-309.39</v>
      </c>
      <c r="G261" s="515" t="s">
        <v>294</v>
      </c>
      <c r="H261" s="32">
        <f>VLOOKUP(D261,'New TB INC'!C:K,3,0)-F261</f>
        <v>0</v>
      </c>
      <c r="I261" s="32"/>
      <c r="K261" s="32"/>
    </row>
    <row r="262" spans="1:11" s="380" customFormat="1">
      <c r="A262" s="515" t="s">
        <v>2346</v>
      </c>
      <c r="B262" s="515" t="s">
        <v>2349</v>
      </c>
      <c r="C262" s="515" t="s">
        <v>2350</v>
      </c>
      <c r="D262" s="2785">
        <v>2120212</v>
      </c>
      <c r="E262" s="515" t="s">
        <v>1594</v>
      </c>
      <c r="F262" s="173">
        <v>-264</v>
      </c>
      <c r="G262" s="515" t="s">
        <v>294</v>
      </c>
      <c r="H262" s="32">
        <f>VLOOKUP(D262,'New TB INC'!C:K,3,0)-F262</f>
        <v>0</v>
      </c>
      <c r="I262" s="32"/>
      <c r="K262" s="32"/>
    </row>
    <row r="263" spans="1:11" s="380" customFormat="1">
      <c r="A263" s="515" t="s">
        <v>2346</v>
      </c>
      <c r="B263" s="515" t="s">
        <v>2349</v>
      </c>
      <c r="C263" s="515" t="s">
        <v>2350</v>
      </c>
      <c r="D263" s="2785">
        <v>2120215</v>
      </c>
      <c r="E263" s="515" t="s">
        <v>1840</v>
      </c>
      <c r="F263" s="173">
        <v>-107.27</v>
      </c>
      <c r="G263" s="515" t="s">
        <v>294</v>
      </c>
      <c r="H263" s="32">
        <f>VLOOKUP(D263,'New TB INC'!C:K,3,0)-F263</f>
        <v>0</v>
      </c>
      <c r="I263" s="32"/>
      <c r="K263" s="32"/>
    </row>
    <row r="264" spans="1:11" s="380" customFormat="1">
      <c r="A264" s="515" t="s">
        <v>2346</v>
      </c>
      <c r="B264" s="515" t="s">
        <v>2349</v>
      </c>
      <c r="C264" s="515" t="s">
        <v>2350</v>
      </c>
      <c r="D264" s="2785">
        <v>2120216</v>
      </c>
      <c r="E264" s="515" t="s">
        <v>1841</v>
      </c>
      <c r="F264" s="173">
        <v>-204.3</v>
      </c>
      <c r="G264" s="515" t="s">
        <v>294</v>
      </c>
      <c r="H264" s="32">
        <f>VLOOKUP(D264,'New TB INC'!C:K,3,0)-F264</f>
        <v>0</v>
      </c>
      <c r="I264" s="32"/>
      <c r="K264" s="32"/>
    </row>
    <row r="265" spans="1:11" s="380" customFormat="1">
      <c r="A265" s="515" t="s">
        <v>2346</v>
      </c>
      <c r="B265" s="515" t="s">
        <v>2349</v>
      </c>
      <c r="C265" s="515" t="s">
        <v>2350</v>
      </c>
      <c r="D265" s="2785">
        <v>2120217</v>
      </c>
      <c r="E265" s="515" t="s">
        <v>1595</v>
      </c>
      <c r="F265" s="173">
        <v>-61.58</v>
      </c>
      <c r="G265" s="515" t="s">
        <v>294</v>
      </c>
      <c r="H265" s="32">
        <f>VLOOKUP(D265,'New TB INC'!C:K,3,0)-F265</f>
        <v>0</v>
      </c>
      <c r="I265" s="32"/>
      <c r="K265" s="32"/>
    </row>
    <row r="266" spans="1:11" s="380" customFormat="1">
      <c r="A266" s="515" t="s">
        <v>2346</v>
      </c>
      <c r="B266" s="515" t="s">
        <v>2349</v>
      </c>
      <c r="C266" s="515" t="s">
        <v>2350</v>
      </c>
      <c r="D266" s="2785">
        <v>2120220</v>
      </c>
      <c r="E266" s="515" t="s">
        <v>1672</v>
      </c>
      <c r="F266" s="173">
        <v>-5525.16</v>
      </c>
      <c r="G266" s="515" t="s">
        <v>294</v>
      </c>
      <c r="H266" s="32">
        <f>VLOOKUP(D266,'New TB INC'!C:K,3,0)-F266</f>
        <v>0</v>
      </c>
      <c r="I266" s="32"/>
      <c r="K266" s="32"/>
    </row>
    <row r="267" spans="1:11" s="380" customFormat="1">
      <c r="A267" s="515" t="s">
        <v>2346</v>
      </c>
      <c r="B267" s="515" t="s">
        <v>2349</v>
      </c>
      <c r="C267" s="515" t="s">
        <v>2350</v>
      </c>
      <c r="D267" s="2785">
        <v>2120221</v>
      </c>
      <c r="E267" s="515" t="s">
        <v>1853</v>
      </c>
      <c r="F267" s="173">
        <v>-459.03</v>
      </c>
      <c r="G267" s="515" t="s">
        <v>294</v>
      </c>
      <c r="H267" s="32">
        <f>VLOOKUP(D267,'New TB INC'!C:K,3,0)-F267</f>
        <v>0</v>
      </c>
      <c r="I267" s="32"/>
      <c r="K267" s="32"/>
    </row>
    <row r="268" spans="1:11" s="380" customFormat="1">
      <c r="A268" s="515" t="s">
        <v>2346</v>
      </c>
      <c r="B268" s="515" t="s">
        <v>2349</v>
      </c>
      <c r="C268" s="515" t="s">
        <v>2350</v>
      </c>
      <c r="D268" s="2785">
        <v>2120226</v>
      </c>
      <c r="E268" s="515" t="s">
        <v>1727</v>
      </c>
      <c r="F268" s="173">
        <v>-131.93</v>
      </c>
      <c r="G268" s="515" t="s">
        <v>294</v>
      </c>
      <c r="H268" s="32">
        <f>VLOOKUP(D268,'New TB INC'!C:K,3,0)-F268</f>
        <v>0</v>
      </c>
      <c r="I268" s="32"/>
      <c r="K268" s="32"/>
    </row>
    <row r="269" spans="1:11" s="380" customFormat="1">
      <c r="A269" s="515" t="s">
        <v>2346</v>
      </c>
      <c r="B269" s="515" t="s">
        <v>2349</v>
      </c>
      <c r="C269" s="515" t="s">
        <v>2350</v>
      </c>
      <c r="D269" s="2785">
        <v>2120230</v>
      </c>
      <c r="E269" s="515" t="s">
        <v>1770</v>
      </c>
      <c r="F269" s="173">
        <v>-3463.99</v>
      </c>
      <c r="G269" s="515" t="s">
        <v>294</v>
      </c>
      <c r="H269" s="32">
        <f>VLOOKUP(D269,'New TB INC'!C:K,3,0)-F269</f>
        <v>0</v>
      </c>
      <c r="I269" s="32"/>
      <c r="K269" s="32"/>
    </row>
    <row r="270" spans="1:11" s="380" customFormat="1">
      <c r="A270" s="515" t="s">
        <v>2346</v>
      </c>
      <c r="B270" s="515" t="s">
        <v>2349</v>
      </c>
      <c r="C270" s="515" t="s">
        <v>2350</v>
      </c>
      <c r="D270" s="2785">
        <v>2120234</v>
      </c>
      <c r="E270" s="515" t="s">
        <v>1854</v>
      </c>
      <c r="F270" s="173">
        <v>27.3</v>
      </c>
      <c r="G270" s="515" t="s">
        <v>294</v>
      </c>
      <c r="H270" s="32">
        <f>VLOOKUP(D270,'New TB INC'!C:K,3,0)-F270</f>
        <v>0</v>
      </c>
      <c r="I270" s="32"/>
      <c r="K270" s="32"/>
    </row>
    <row r="271" spans="1:11" s="380" customFormat="1">
      <c r="A271" s="515" t="s">
        <v>2346</v>
      </c>
      <c r="B271" s="515" t="s">
        <v>2349</v>
      </c>
      <c r="C271" s="515" t="s">
        <v>2350</v>
      </c>
      <c r="D271" s="2785">
        <v>2120251</v>
      </c>
      <c r="E271" s="515" t="s">
        <v>2061</v>
      </c>
      <c r="F271" s="173">
        <v>0.3</v>
      </c>
      <c r="G271" s="515" t="s">
        <v>294</v>
      </c>
      <c r="H271" s="32">
        <f>VLOOKUP(D271,'New TB INC'!C:K,3,0)-F271</f>
        <v>0</v>
      </c>
      <c r="I271" s="32"/>
      <c r="K271" s="32"/>
    </row>
    <row r="272" spans="1:11" s="380" customFormat="1">
      <c r="A272" s="515" t="s">
        <v>2346</v>
      </c>
      <c r="B272" s="515" t="s">
        <v>2349</v>
      </c>
      <c r="C272" s="515" t="s">
        <v>2350</v>
      </c>
      <c r="D272" s="2785">
        <v>2120261</v>
      </c>
      <c r="E272" s="515" t="s">
        <v>4696</v>
      </c>
      <c r="F272" s="173">
        <v>-140.30000000000001</v>
      </c>
      <c r="G272" s="515" t="s">
        <v>294</v>
      </c>
      <c r="H272" s="32">
        <f>VLOOKUP(D272,'New TB INC'!C:K,3,0)-F272</f>
        <v>0</v>
      </c>
      <c r="I272" s="32"/>
      <c r="K272" s="32"/>
    </row>
    <row r="273" spans="1:11" s="380" customFormat="1">
      <c r="A273" s="515" t="s">
        <v>2346</v>
      </c>
      <c r="B273" s="515" t="s">
        <v>2349</v>
      </c>
      <c r="C273" s="515" t="s">
        <v>2350</v>
      </c>
      <c r="D273" s="2785">
        <v>2170355</v>
      </c>
      <c r="E273" s="515" t="s">
        <v>4697</v>
      </c>
      <c r="F273" s="173">
        <v>-82000</v>
      </c>
      <c r="G273" s="515" t="s">
        <v>294</v>
      </c>
      <c r="H273" s="32">
        <f>VLOOKUP(D273,'New TB INC'!C:K,3,0)-F273</f>
        <v>0</v>
      </c>
      <c r="I273" s="32"/>
      <c r="K273" s="32"/>
    </row>
    <row r="274" spans="1:11" s="380" customFormat="1">
      <c r="A274" s="515" t="s">
        <v>2346</v>
      </c>
      <c r="B274" s="515" t="s">
        <v>2349</v>
      </c>
      <c r="C274" s="515" t="s">
        <v>2350</v>
      </c>
      <c r="D274" s="2785">
        <v>2170362</v>
      </c>
      <c r="E274" s="515" t="s">
        <v>3332</v>
      </c>
      <c r="F274" s="173">
        <v>-9360</v>
      </c>
      <c r="G274" s="515" t="s">
        <v>294</v>
      </c>
      <c r="H274" s="32">
        <f>VLOOKUP(D274,'New TB INC'!C:K,3,0)-F274</f>
        <v>0</v>
      </c>
      <c r="I274" s="32"/>
      <c r="K274" s="32"/>
    </row>
    <row r="275" spans="1:11" s="380" customFormat="1">
      <c r="A275" s="515" t="s">
        <v>2346</v>
      </c>
      <c r="B275" s="515" t="s">
        <v>2349</v>
      </c>
      <c r="C275" s="515" t="s">
        <v>2350</v>
      </c>
      <c r="D275" s="2785">
        <v>2170368</v>
      </c>
      <c r="E275" s="515" t="s">
        <v>3103</v>
      </c>
      <c r="F275" s="173">
        <v>-346.85</v>
      </c>
      <c r="G275" s="515" t="s">
        <v>294</v>
      </c>
      <c r="H275" s="32">
        <f>VLOOKUP(D275,'New TB INC'!C:K,3,0)-F275</f>
        <v>0</v>
      </c>
      <c r="I275" s="32"/>
      <c r="K275" s="32"/>
    </row>
    <row r="276" spans="1:11" s="380" customFormat="1">
      <c r="A276" s="515" t="s">
        <v>2346</v>
      </c>
      <c r="B276" s="515" t="s">
        <v>2349</v>
      </c>
      <c r="C276" s="515" t="s">
        <v>2350</v>
      </c>
      <c r="D276" s="2785">
        <v>2170380</v>
      </c>
      <c r="E276" s="515" t="s">
        <v>3924</v>
      </c>
      <c r="F276" s="173">
        <v>-25760</v>
      </c>
      <c r="G276" s="515" t="s">
        <v>294</v>
      </c>
      <c r="H276" s="32">
        <f>VLOOKUP(D276,'New TB INC'!C:K,3,0)-F276</f>
        <v>0</v>
      </c>
      <c r="I276" s="32"/>
      <c r="K276" s="32"/>
    </row>
    <row r="277" spans="1:11" s="380" customFormat="1">
      <c r="A277" s="515" t="s">
        <v>2346</v>
      </c>
      <c r="B277" s="515" t="s">
        <v>2349</v>
      </c>
      <c r="C277" s="515" t="s">
        <v>2350</v>
      </c>
      <c r="D277" s="2785">
        <v>2170385</v>
      </c>
      <c r="E277" s="515" t="s">
        <v>4154</v>
      </c>
      <c r="F277" s="173">
        <v>-5500</v>
      </c>
      <c r="G277" s="515" t="s">
        <v>294</v>
      </c>
      <c r="H277" s="32">
        <f>VLOOKUP(D277,'New TB INC'!C:K,3,0)-F277</f>
        <v>0</v>
      </c>
      <c r="I277" s="32"/>
      <c r="K277" s="32"/>
    </row>
    <row r="278" spans="1:11" s="380" customFormat="1">
      <c r="A278" s="515" t="s">
        <v>2346</v>
      </c>
      <c r="B278" s="515" t="s">
        <v>2349</v>
      </c>
      <c r="C278" s="515" t="s">
        <v>2350</v>
      </c>
      <c r="D278" s="2785">
        <v>2170387</v>
      </c>
      <c r="E278" s="515" t="s">
        <v>4698</v>
      </c>
      <c r="F278" s="173">
        <v>-9000</v>
      </c>
      <c r="G278" s="515" t="s">
        <v>294</v>
      </c>
      <c r="H278" s="32">
        <f>VLOOKUP(D278,'New TB INC'!C:K,3,0)-F278</f>
        <v>0</v>
      </c>
      <c r="I278" s="32"/>
      <c r="K278" s="32"/>
    </row>
    <row r="279" spans="1:11" s="380" customFormat="1">
      <c r="A279" s="515" t="s">
        <v>2346</v>
      </c>
      <c r="B279" s="515" t="s">
        <v>2351</v>
      </c>
      <c r="C279" s="515" t="s">
        <v>2352</v>
      </c>
      <c r="D279" s="2785">
        <v>2200001</v>
      </c>
      <c r="E279" s="515" t="s">
        <v>702</v>
      </c>
      <c r="F279" s="173">
        <v>-29998.52</v>
      </c>
      <c r="G279" s="515" t="s">
        <v>294</v>
      </c>
      <c r="H279" s="32">
        <f>VLOOKUP(D279,'New TB INC'!C:K,3,0)-F279</f>
        <v>0</v>
      </c>
      <c r="I279" s="32"/>
      <c r="K279" s="32"/>
    </row>
    <row r="280" spans="1:11" s="380" customFormat="1">
      <c r="A280" s="515" t="s">
        <v>2346</v>
      </c>
      <c r="B280" s="515" t="s">
        <v>2351</v>
      </c>
      <c r="C280" s="515" t="s">
        <v>2352</v>
      </c>
      <c r="D280" s="2785">
        <v>2200003</v>
      </c>
      <c r="E280" s="515" t="s">
        <v>1413</v>
      </c>
      <c r="F280" s="173">
        <v>-5835920.9699999997</v>
      </c>
      <c r="G280" s="515" t="s">
        <v>294</v>
      </c>
      <c r="H280" s="32">
        <f>VLOOKUP(D280,'New TB INC'!C:K,3,0)-F280</f>
        <v>0</v>
      </c>
      <c r="I280" s="32"/>
      <c r="K280" s="32"/>
    </row>
    <row r="281" spans="1:11" s="380" customFormat="1">
      <c r="A281" s="515" t="s">
        <v>2346</v>
      </c>
      <c r="B281" s="515" t="s">
        <v>2351</v>
      </c>
      <c r="C281" s="515" t="s">
        <v>2352</v>
      </c>
      <c r="D281" s="2785">
        <v>2200005</v>
      </c>
      <c r="E281" s="515" t="s">
        <v>2089</v>
      </c>
      <c r="F281" s="173">
        <v>-760.49</v>
      </c>
      <c r="G281" s="515" t="s">
        <v>294</v>
      </c>
      <c r="H281" s="32">
        <f>VLOOKUP(D281,'New TB INC'!C:K,3,0)-F281</f>
        <v>0</v>
      </c>
      <c r="I281" s="32"/>
      <c r="K281" s="32"/>
    </row>
    <row r="282" spans="1:11" s="380" customFormat="1">
      <c r="A282" s="515" t="s">
        <v>2346</v>
      </c>
      <c r="B282" s="515" t="s">
        <v>2353</v>
      </c>
      <c r="C282" s="515" t="s">
        <v>2354</v>
      </c>
      <c r="D282" s="2785">
        <v>2400001</v>
      </c>
      <c r="E282" s="515" t="s">
        <v>525</v>
      </c>
      <c r="F282" s="173">
        <v>-1534081.27</v>
      </c>
      <c r="G282" s="515" t="s">
        <v>294</v>
      </c>
      <c r="H282" s="32">
        <f>VLOOKUP(D282,'New TB INC'!C:K,3,0)-F282</f>
        <v>0</v>
      </c>
      <c r="I282" s="32"/>
      <c r="K282" s="32"/>
    </row>
    <row r="283" spans="1:11" s="380" customFormat="1">
      <c r="A283" s="515" t="s">
        <v>2346</v>
      </c>
      <c r="B283" s="515" t="s">
        <v>2353</v>
      </c>
      <c r="C283" s="515" t="s">
        <v>2354</v>
      </c>
      <c r="D283" s="2785">
        <v>2400003</v>
      </c>
      <c r="E283" s="515" t="s">
        <v>521</v>
      </c>
      <c r="F283" s="173">
        <v>-4605.7299999999996</v>
      </c>
      <c r="G283" s="515" t="s">
        <v>294</v>
      </c>
      <c r="H283" s="32">
        <f>VLOOKUP(D283,'New TB INC'!C:K,3,0)-F283</f>
        <v>0</v>
      </c>
      <c r="I283" s="32"/>
      <c r="K283" s="32"/>
    </row>
    <row r="284" spans="1:11" s="380" customFormat="1">
      <c r="A284" s="515" t="s">
        <v>2346</v>
      </c>
      <c r="B284" s="515" t="s">
        <v>2353</v>
      </c>
      <c r="C284" s="515" t="s">
        <v>2354</v>
      </c>
      <c r="D284" s="2785">
        <v>2400008</v>
      </c>
      <c r="E284" s="515" t="s">
        <v>4699</v>
      </c>
      <c r="F284" s="173">
        <v>-877.23</v>
      </c>
      <c r="G284" s="515" t="s">
        <v>294</v>
      </c>
      <c r="H284" s="32">
        <f>VLOOKUP(D284,'New TB INC'!C:K,3,0)-F284</f>
        <v>0</v>
      </c>
      <c r="I284" s="32"/>
      <c r="K284" s="32"/>
    </row>
    <row r="285" spans="1:11" s="380" customFormat="1">
      <c r="A285" s="515" t="s">
        <v>2346</v>
      </c>
      <c r="B285" s="515" t="s">
        <v>2353</v>
      </c>
      <c r="C285" s="515" t="s">
        <v>2354</v>
      </c>
      <c r="D285" s="2785">
        <v>2400021</v>
      </c>
      <c r="E285" s="515" t="s">
        <v>477</v>
      </c>
      <c r="F285" s="173">
        <v>0.01</v>
      </c>
      <c r="G285" s="515" t="s">
        <v>294</v>
      </c>
      <c r="H285" s="32">
        <f>VLOOKUP(D285,'New TB INC'!C:K,3,0)-F285</f>
        <v>0</v>
      </c>
      <c r="I285" s="32"/>
      <c r="K285" s="32"/>
    </row>
    <row r="286" spans="1:11" s="380" customFormat="1">
      <c r="A286" s="515" t="s">
        <v>2346</v>
      </c>
      <c r="B286" s="515" t="s">
        <v>2353</v>
      </c>
      <c r="C286" s="515" t="s">
        <v>2354</v>
      </c>
      <c r="D286" s="2785">
        <v>2400027</v>
      </c>
      <c r="E286" s="515" t="s">
        <v>812</v>
      </c>
      <c r="F286" s="173">
        <v>0.01</v>
      </c>
      <c r="G286" s="515" t="s">
        <v>294</v>
      </c>
      <c r="H286" s="32">
        <f>VLOOKUP(D286,'New TB INC'!C:K,3,0)-F286</f>
        <v>0</v>
      </c>
      <c r="I286" s="32"/>
      <c r="K286" s="32"/>
    </row>
    <row r="287" spans="1:11" s="380" customFormat="1">
      <c r="A287" s="515" t="s">
        <v>2346</v>
      </c>
      <c r="B287" s="515" t="s">
        <v>2353</v>
      </c>
      <c r="C287" s="515" t="s">
        <v>2354</v>
      </c>
      <c r="D287" s="2785">
        <v>2400037</v>
      </c>
      <c r="E287" s="515" t="s">
        <v>526</v>
      </c>
      <c r="F287" s="173">
        <v>-0.17</v>
      </c>
      <c r="G287" s="515" t="s">
        <v>294</v>
      </c>
      <c r="H287" s="32">
        <f>VLOOKUP(D287,'New TB INC'!C:K,3,0)-F287</f>
        <v>0</v>
      </c>
      <c r="I287" s="32"/>
      <c r="K287" s="32"/>
    </row>
    <row r="288" spans="1:11" s="380" customFormat="1">
      <c r="A288" s="515" t="s">
        <v>2346</v>
      </c>
      <c r="B288" s="515" t="s">
        <v>2353</v>
      </c>
      <c r="C288" s="515" t="s">
        <v>2354</v>
      </c>
      <c r="D288" s="2785">
        <v>2400042</v>
      </c>
      <c r="E288" s="515" t="s">
        <v>813</v>
      </c>
      <c r="F288" s="173">
        <v>0.02</v>
      </c>
      <c r="G288" s="515" t="s">
        <v>294</v>
      </c>
      <c r="H288" s="32">
        <f>VLOOKUP(D288,'New TB INC'!C:K,3,0)-F288</f>
        <v>0</v>
      </c>
      <c r="I288" s="32"/>
      <c r="K288" s="32"/>
    </row>
    <row r="289" spans="1:11" s="380" customFormat="1">
      <c r="A289" s="515" t="s">
        <v>2346</v>
      </c>
      <c r="B289" s="515" t="s">
        <v>2353</v>
      </c>
      <c r="C289" s="515" t="s">
        <v>2354</v>
      </c>
      <c r="D289" s="2785">
        <v>2400049</v>
      </c>
      <c r="E289" s="515" t="s">
        <v>4700</v>
      </c>
      <c r="F289" s="173">
        <v>-300</v>
      </c>
      <c r="G289" s="515" t="s">
        <v>294</v>
      </c>
      <c r="H289" s="32">
        <f>VLOOKUP(D289,'New TB INC'!C:K,3,0)-F289</f>
        <v>0</v>
      </c>
      <c r="I289" s="32"/>
      <c r="K289" s="32"/>
    </row>
    <row r="290" spans="1:11" s="380" customFormat="1">
      <c r="A290" s="515" t="s">
        <v>2346</v>
      </c>
      <c r="B290" s="515" t="s">
        <v>2353</v>
      </c>
      <c r="C290" s="515" t="s">
        <v>2354</v>
      </c>
      <c r="D290" s="2785">
        <v>2400050</v>
      </c>
      <c r="E290" s="515" t="s">
        <v>814</v>
      </c>
      <c r="F290" s="173">
        <v>0.03</v>
      </c>
      <c r="G290" s="515" t="s">
        <v>294</v>
      </c>
      <c r="H290" s="32">
        <f>VLOOKUP(D290,'New TB INC'!C:K,3,0)-F290</f>
        <v>0</v>
      </c>
      <c r="I290" s="32"/>
      <c r="K290" s="32"/>
    </row>
    <row r="291" spans="1:11" s="380" customFormat="1">
      <c r="A291" s="515" t="s">
        <v>2346</v>
      </c>
      <c r="B291" s="515" t="s">
        <v>2353</v>
      </c>
      <c r="C291" s="515" t="s">
        <v>2354</v>
      </c>
      <c r="D291" s="2785">
        <v>2400051</v>
      </c>
      <c r="E291" s="515" t="s">
        <v>815</v>
      </c>
      <c r="F291" s="173">
        <v>0.01</v>
      </c>
      <c r="G291" s="515" t="s">
        <v>294</v>
      </c>
      <c r="H291" s="32">
        <f>VLOOKUP(D291,'New TB INC'!C:K,3,0)-F291</f>
        <v>0</v>
      </c>
      <c r="I291" s="32"/>
      <c r="K291" s="32"/>
    </row>
    <row r="292" spans="1:11" s="380" customFormat="1">
      <c r="A292" s="515" t="s">
        <v>2346</v>
      </c>
      <c r="B292" s="515" t="s">
        <v>2353</v>
      </c>
      <c r="C292" s="515" t="s">
        <v>2354</v>
      </c>
      <c r="D292" s="2785">
        <v>2400053</v>
      </c>
      <c r="E292" s="515" t="s">
        <v>527</v>
      </c>
      <c r="F292" s="173">
        <v>0.15</v>
      </c>
      <c r="G292" s="515" t="s">
        <v>294</v>
      </c>
      <c r="H292" s="32">
        <f>VLOOKUP(D292,'New TB INC'!C:K,3,0)-F292</f>
        <v>0</v>
      </c>
      <c r="I292" s="32"/>
      <c r="K292" s="32"/>
    </row>
    <row r="293" spans="1:11" s="380" customFormat="1">
      <c r="A293" s="515" t="s">
        <v>2346</v>
      </c>
      <c r="B293" s="515" t="s">
        <v>2353</v>
      </c>
      <c r="C293" s="515" t="s">
        <v>2354</v>
      </c>
      <c r="D293" s="2785">
        <v>2400059</v>
      </c>
      <c r="E293" s="515" t="s">
        <v>4161</v>
      </c>
      <c r="F293" s="173">
        <v>-295.39999999999998</v>
      </c>
      <c r="G293" s="515" t="s">
        <v>294</v>
      </c>
      <c r="H293" s="32">
        <f>VLOOKUP(D293,'New TB INC'!C:K,3,0)-F293</f>
        <v>0</v>
      </c>
      <c r="I293" s="32"/>
      <c r="K293" s="32"/>
    </row>
    <row r="294" spans="1:11" s="380" customFormat="1">
      <c r="A294" s="515" t="s">
        <v>2346</v>
      </c>
      <c r="B294" s="515" t="s">
        <v>2353</v>
      </c>
      <c r="C294" s="515" t="s">
        <v>2354</v>
      </c>
      <c r="D294" s="2785">
        <v>2400060</v>
      </c>
      <c r="E294" s="515" t="s">
        <v>528</v>
      </c>
      <c r="F294" s="173">
        <v>0.03</v>
      </c>
      <c r="G294" s="515" t="s">
        <v>294</v>
      </c>
      <c r="H294" s="32">
        <f>VLOOKUP(D294,'New TB INC'!C:K,3,0)-F294</f>
        <v>0</v>
      </c>
      <c r="I294" s="32"/>
      <c r="K294" s="32"/>
    </row>
    <row r="295" spans="1:11" s="380" customFormat="1">
      <c r="A295" s="515" t="s">
        <v>2346</v>
      </c>
      <c r="B295" s="515" t="s">
        <v>2353</v>
      </c>
      <c r="C295" s="515" t="s">
        <v>2354</v>
      </c>
      <c r="D295" s="2785">
        <v>2400070</v>
      </c>
      <c r="E295" s="515" t="s">
        <v>816</v>
      </c>
      <c r="F295" s="173">
        <v>-0.01</v>
      </c>
      <c r="G295" s="515" t="s">
        <v>294</v>
      </c>
      <c r="H295" s="32">
        <f>VLOOKUP(D295,'New TB INC'!C:K,3,0)-F295</f>
        <v>0</v>
      </c>
      <c r="I295" s="32"/>
      <c r="K295" s="32"/>
    </row>
    <row r="296" spans="1:11" s="380" customFormat="1">
      <c r="A296" s="515" t="s">
        <v>2346</v>
      </c>
      <c r="B296" s="515" t="s">
        <v>2353</v>
      </c>
      <c r="C296" s="515" t="s">
        <v>2354</v>
      </c>
      <c r="D296" s="2785">
        <v>2400074</v>
      </c>
      <c r="E296" s="515" t="s">
        <v>2870</v>
      </c>
      <c r="F296" s="173">
        <v>-0.01</v>
      </c>
      <c r="G296" s="515" t="s">
        <v>294</v>
      </c>
      <c r="H296" s="32">
        <f>VLOOKUP(D296,'New TB INC'!C:K,3,0)-F296</f>
        <v>0</v>
      </c>
      <c r="I296" s="32"/>
      <c r="K296" s="32"/>
    </row>
    <row r="297" spans="1:11" s="380" customFormat="1">
      <c r="A297" s="515" t="s">
        <v>2346</v>
      </c>
      <c r="B297" s="515" t="s">
        <v>2353</v>
      </c>
      <c r="C297" s="515" t="s">
        <v>2354</v>
      </c>
      <c r="D297" s="2785">
        <v>2400075</v>
      </c>
      <c r="E297" s="515" t="s">
        <v>3926</v>
      </c>
      <c r="F297" s="173">
        <v>-2.2000000000000002</v>
      </c>
      <c r="G297" s="515" t="s">
        <v>294</v>
      </c>
      <c r="H297" s="32">
        <f>VLOOKUP(D297,'New TB INC'!C:K,3,0)-F297</f>
        <v>0</v>
      </c>
      <c r="I297" s="32"/>
      <c r="K297" s="32"/>
    </row>
    <row r="298" spans="1:11" s="380" customFormat="1">
      <c r="A298" s="515" t="s">
        <v>2346</v>
      </c>
      <c r="B298" s="515" t="s">
        <v>2353</v>
      </c>
      <c r="C298" s="515" t="s">
        <v>2354</v>
      </c>
      <c r="D298" s="2785">
        <v>2400078</v>
      </c>
      <c r="E298" s="515" t="s">
        <v>4701</v>
      </c>
      <c r="F298" s="173">
        <v>-304.27999999999997</v>
      </c>
      <c r="G298" s="515" t="s">
        <v>294</v>
      </c>
      <c r="H298" s="32">
        <f>VLOOKUP(D298,'New TB INC'!C:K,3,0)-F298</f>
        <v>0</v>
      </c>
      <c r="I298" s="32"/>
      <c r="K298" s="32"/>
    </row>
    <row r="299" spans="1:11" s="380" customFormat="1">
      <c r="A299" s="515" t="s">
        <v>2346</v>
      </c>
      <c r="B299" s="515" t="s">
        <v>2353</v>
      </c>
      <c r="C299" s="515" t="s">
        <v>2354</v>
      </c>
      <c r="D299" s="2785">
        <v>2400097</v>
      </c>
      <c r="E299" s="515" t="s">
        <v>4702</v>
      </c>
      <c r="F299" s="173">
        <v>-300</v>
      </c>
      <c r="G299" s="515" t="s">
        <v>294</v>
      </c>
      <c r="H299" s="32">
        <f>VLOOKUP(D299,'New TB INC'!C:K,3,0)-F299</f>
        <v>0</v>
      </c>
      <c r="I299" s="32"/>
      <c r="K299" s="32"/>
    </row>
    <row r="300" spans="1:11" s="380" customFormat="1">
      <c r="A300" s="515" t="s">
        <v>2346</v>
      </c>
      <c r="B300" s="515" t="s">
        <v>2353</v>
      </c>
      <c r="C300" s="515" t="s">
        <v>2354</v>
      </c>
      <c r="D300" s="2785">
        <v>2400108</v>
      </c>
      <c r="E300" s="515" t="s">
        <v>2871</v>
      </c>
      <c r="F300" s="173">
        <v>-0.01</v>
      </c>
      <c r="G300" s="515" t="s">
        <v>294</v>
      </c>
      <c r="H300" s="32">
        <f>VLOOKUP(D300,'New TB INC'!C:K,3,0)-F300</f>
        <v>0</v>
      </c>
      <c r="I300" s="32"/>
      <c r="K300" s="32"/>
    </row>
    <row r="301" spans="1:11" s="380" customFormat="1">
      <c r="A301" s="515" t="s">
        <v>2346</v>
      </c>
      <c r="B301" s="515" t="s">
        <v>2353</v>
      </c>
      <c r="C301" s="515" t="s">
        <v>2354</v>
      </c>
      <c r="D301" s="2785">
        <v>2400113</v>
      </c>
      <c r="E301" s="515" t="s">
        <v>4703</v>
      </c>
      <c r="F301" s="173">
        <v>-266.73</v>
      </c>
      <c r="G301" s="515" t="s">
        <v>294</v>
      </c>
      <c r="H301" s="32">
        <f>VLOOKUP(D301,'New TB INC'!C:K,3,0)-F301</f>
        <v>0</v>
      </c>
      <c r="I301" s="32"/>
      <c r="K301" s="32"/>
    </row>
    <row r="302" spans="1:11" s="380" customFormat="1">
      <c r="A302" s="515" t="s">
        <v>2346</v>
      </c>
      <c r="B302" s="515" t="s">
        <v>2353</v>
      </c>
      <c r="C302" s="515" t="s">
        <v>2354</v>
      </c>
      <c r="D302" s="2785">
        <v>2400128</v>
      </c>
      <c r="E302" s="515" t="s">
        <v>4295</v>
      </c>
      <c r="F302" s="173">
        <v>-290.79000000000002</v>
      </c>
      <c r="G302" s="515" t="s">
        <v>294</v>
      </c>
      <c r="H302" s="32">
        <f>VLOOKUP(D302,'New TB INC'!C:K,3,0)-F302</f>
        <v>0</v>
      </c>
      <c r="I302" s="32"/>
      <c r="K302" s="32"/>
    </row>
    <row r="303" spans="1:11" s="380" customFormat="1">
      <c r="A303" s="515" t="s">
        <v>2346</v>
      </c>
      <c r="B303" s="515" t="s">
        <v>2353</v>
      </c>
      <c r="C303" s="515" t="s">
        <v>2354</v>
      </c>
      <c r="D303" s="2785">
        <v>2400129</v>
      </c>
      <c r="E303" s="515" t="s">
        <v>4296</v>
      </c>
      <c r="F303" s="173">
        <v>-379.43</v>
      </c>
      <c r="G303" s="515" t="s">
        <v>294</v>
      </c>
      <c r="H303" s="32">
        <f>VLOOKUP(D303,'New TB INC'!C:K,3,0)-F303</f>
        <v>0</v>
      </c>
      <c r="I303" s="32"/>
      <c r="K303" s="32"/>
    </row>
    <row r="304" spans="1:11" s="380" customFormat="1">
      <c r="A304" s="515" t="s">
        <v>2346</v>
      </c>
      <c r="B304" s="515" t="s">
        <v>2353</v>
      </c>
      <c r="C304" s="515" t="s">
        <v>2354</v>
      </c>
      <c r="D304" s="2785">
        <v>2400131</v>
      </c>
      <c r="E304" s="515" t="s">
        <v>2128</v>
      </c>
      <c r="F304" s="173">
        <v>-66.819999999999993</v>
      </c>
      <c r="G304" s="515" t="s">
        <v>294</v>
      </c>
      <c r="H304" s="32">
        <f>VLOOKUP(D304,'New TB INC'!C:K,3,0)-F304</f>
        <v>0</v>
      </c>
      <c r="I304" s="32"/>
      <c r="K304" s="32"/>
    </row>
    <row r="305" spans="1:11" s="380" customFormat="1">
      <c r="A305" s="515" t="s">
        <v>2346</v>
      </c>
      <c r="B305" s="515" t="s">
        <v>2353</v>
      </c>
      <c r="C305" s="515" t="s">
        <v>2354</v>
      </c>
      <c r="D305" s="2785">
        <v>2400136</v>
      </c>
      <c r="E305" s="515" t="s">
        <v>2872</v>
      </c>
      <c r="F305" s="173">
        <v>-0.01</v>
      </c>
      <c r="G305" s="515" t="s">
        <v>294</v>
      </c>
      <c r="H305" s="32">
        <f>VLOOKUP(D305,'New TB INC'!C:K,3,0)-F305</f>
        <v>0</v>
      </c>
      <c r="I305" s="32"/>
      <c r="K305" s="32"/>
    </row>
    <row r="306" spans="1:11" s="380" customFormat="1">
      <c r="A306" s="515" t="s">
        <v>2346</v>
      </c>
      <c r="B306" s="515" t="s">
        <v>2353</v>
      </c>
      <c r="C306" s="515" t="s">
        <v>2354</v>
      </c>
      <c r="D306" s="2785">
        <v>2400138</v>
      </c>
      <c r="E306" s="515" t="s">
        <v>4704</v>
      </c>
      <c r="F306" s="173">
        <v>-187.51</v>
      </c>
      <c r="G306" s="515" t="s">
        <v>294</v>
      </c>
      <c r="H306" s="32">
        <f>VLOOKUP(D306,'New TB INC'!C:K,3,0)-F306</f>
        <v>0</v>
      </c>
      <c r="I306" s="32"/>
      <c r="K306" s="32"/>
    </row>
    <row r="307" spans="1:11" s="380" customFormat="1">
      <c r="A307" s="515" t="s">
        <v>2346</v>
      </c>
      <c r="B307" s="515" t="s">
        <v>2353</v>
      </c>
      <c r="C307" s="515" t="s">
        <v>2354</v>
      </c>
      <c r="D307" s="2785">
        <v>2400139</v>
      </c>
      <c r="E307" s="515" t="s">
        <v>3356</v>
      </c>
      <c r="F307" s="173">
        <v>-0.01</v>
      </c>
      <c r="G307" s="515" t="s">
        <v>294</v>
      </c>
      <c r="H307" s="32">
        <f>VLOOKUP(D307,'New TB INC'!C:K,3,0)-F307</f>
        <v>0</v>
      </c>
      <c r="I307" s="32"/>
      <c r="K307" s="32"/>
    </row>
    <row r="308" spans="1:11" s="380" customFormat="1">
      <c r="A308" s="515" t="s">
        <v>2346</v>
      </c>
      <c r="B308" s="515" t="s">
        <v>2353</v>
      </c>
      <c r="C308" s="515" t="s">
        <v>2354</v>
      </c>
      <c r="D308" s="2785">
        <v>2400143</v>
      </c>
      <c r="E308" s="515" t="s">
        <v>3105</v>
      </c>
      <c r="F308" s="173">
        <v>-1287.18</v>
      </c>
      <c r="G308" s="515" t="s">
        <v>294</v>
      </c>
      <c r="H308" s="32">
        <f>VLOOKUP(D308,'New TB INC'!C:K,3,0)-F308</f>
        <v>0</v>
      </c>
      <c r="I308" s="32"/>
      <c r="K308" s="32"/>
    </row>
    <row r="309" spans="1:11" s="380" customFormat="1">
      <c r="A309" s="515" t="s">
        <v>2346</v>
      </c>
      <c r="B309" s="515" t="s">
        <v>2353</v>
      </c>
      <c r="C309" s="515" t="s">
        <v>2354</v>
      </c>
      <c r="D309" s="2785">
        <v>2400154</v>
      </c>
      <c r="E309" s="515" t="s">
        <v>4705</v>
      </c>
      <c r="F309" s="173">
        <v>-300</v>
      </c>
      <c r="G309" s="515" t="s">
        <v>294</v>
      </c>
      <c r="H309" s="32">
        <f>VLOOKUP(D309,'New TB INC'!C:K,3,0)-F309</f>
        <v>0</v>
      </c>
      <c r="I309" s="32"/>
      <c r="K309" s="32"/>
    </row>
    <row r="310" spans="1:11" s="380" customFormat="1">
      <c r="A310" s="515" t="s">
        <v>2346</v>
      </c>
      <c r="B310" s="515" t="s">
        <v>2353</v>
      </c>
      <c r="C310" s="515" t="s">
        <v>2354</v>
      </c>
      <c r="D310" s="2785">
        <v>2400156</v>
      </c>
      <c r="E310" s="515" t="s">
        <v>4706</v>
      </c>
      <c r="F310" s="173">
        <v>-1841.1</v>
      </c>
      <c r="G310" s="515" t="s">
        <v>294</v>
      </c>
      <c r="H310" s="32">
        <f>VLOOKUP(D310,'New TB INC'!C:K,3,0)-F310</f>
        <v>0</v>
      </c>
      <c r="I310" s="32"/>
      <c r="K310" s="32"/>
    </row>
    <row r="311" spans="1:11" s="380" customFormat="1">
      <c r="A311" s="515" t="s">
        <v>2346</v>
      </c>
      <c r="B311" s="515" t="s">
        <v>2353</v>
      </c>
      <c r="C311" s="515" t="s">
        <v>2354</v>
      </c>
      <c r="D311" s="2785">
        <v>2400157</v>
      </c>
      <c r="E311" s="515" t="s">
        <v>4707</v>
      </c>
      <c r="F311" s="173">
        <v>-250.2</v>
      </c>
      <c r="G311" s="515" t="s">
        <v>294</v>
      </c>
      <c r="H311" s="32">
        <f>VLOOKUP(D311,'New TB INC'!C:K,3,0)-F311</f>
        <v>0</v>
      </c>
      <c r="I311" s="32"/>
      <c r="K311" s="32"/>
    </row>
    <row r="312" spans="1:11" s="380" customFormat="1">
      <c r="A312" s="515" t="s">
        <v>2346</v>
      </c>
      <c r="B312" s="515" t="s">
        <v>2353</v>
      </c>
      <c r="C312" s="515" t="s">
        <v>2354</v>
      </c>
      <c r="D312" s="2785">
        <v>2400159</v>
      </c>
      <c r="E312" s="515" t="s">
        <v>4708</v>
      </c>
      <c r="F312" s="173">
        <v>-300</v>
      </c>
      <c r="G312" s="515" t="s">
        <v>294</v>
      </c>
      <c r="H312" s="32">
        <f>VLOOKUP(D312,'New TB INC'!C:K,3,0)-F312</f>
        <v>0</v>
      </c>
      <c r="I312" s="32"/>
      <c r="K312" s="32"/>
    </row>
    <row r="313" spans="1:11" s="380" customFormat="1">
      <c r="A313" s="515" t="s">
        <v>2346</v>
      </c>
      <c r="B313" s="515" t="s">
        <v>2353</v>
      </c>
      <c r="C313" s="515" t="s">
        <v>2354</v>
      </c>
      <c r="D313" s="2785">
        <v>2400161</v>
      </c>
      <c r="E313" s="515" t="s">
        <v>4162</v>
      </c>
      <c r="F313" s="173">
        <v>-887.06</v>
      </c>
      <c r="G313" s="515" t="s">
        <v>294</v>
      </c>
      <c r="H313" s="32">
        <f>VLOOKUP(D313,'New TB INC'!C:K,3,0)-F313</f>
        <v>0</v>
      </c>
      <c r="I313" s="32"/>
      <c r="K313" s="32"/>
    </row>
    <row r="314" spans="1:11" s="380" customFormat="1">
      <c r="A314" s="515" t="s">
        <v>2346</v>
      </c>
      <c r="B314" s="515" t="s">
        <v>2353</v>
      </c>
      <c r="C314" s="515" t="s">
        <v>2354</v>
      </c>
      <c r="D314" s="2785">
        <v>2400166</v>
      </c>
      <c r="E314" s="515" t="s">
        <v>4195</v>
      </c>
      <c r="F314" s="173">
        <v>4.1399999999999997</v>
      </c>
      <c r="G314" s="515" t="s">
        <v>294</v>
      </c>
      <c r="H314" s="32">
        <f>VLOOKUP(D314,'New TB INC'!C:K,3,0)-F314</f>
        <v>0</v>
      </c>
      <c r="I314" s="32"/>
      <c r="K314" s="32"/>
    </row>
    <row r="315" spans="1:11" s="380" customFormat="1">
      <c r="A315" s="515" t="s">
        <v>2346</v>
      </c>
      <c r="B315" s="515" t="s">
        <v>2353</v>
      </c>
      <c r="C315" s="515" t="s">
        <v>2354</v>
      </c>
      <c r="D315" s="2785">
        <v>2400167</v>
      </c>
      <c r="E315" s="515" t="s">
        <v>4709</v>
      </c>
      <c r="F315" s="173">
        <v>-2643.01</v>
      </c>
      <c r="G315" s="515" t="s">
        <v>294</v>
      </c>
      <c r="H315" s="32">
        <f>VLOOKUP(D315,'New TB INC'!C:K,3,0)-F315</f>
        <v>0</v>
      </c>
      <c r="I315" s="32"/>
      <c r="K315" s="32"/>
    </row>
    <row r="316" spans="1:11" s="380" customFormat="1">
      <c r="A316" s="515" t="s">
        <v>2346</v>
      </c>
      <c r="B316" s="515" t="s">
        <v>2353</v>
      </c>
      <c r="C316" s="515" t="s">
        <v>2354</v>
      </c>
      <c r="D316" s="2785">
        <v>2400172</v>
      </c>
      <c r="E316" s="515" t="s">
        <v>4196</v>
      </c>
      <c r="F316" s="173">
        <v>-300</v>
      </c>
      <c r="G316" s="515" t="s">
        <v>294</v>
      </c>
      <c r="H316" s="32">
        <f>VLOOKUP(D316,'New TB INC'!C:K,3,0)-F316</f>
        <v>0</v>
      </c>
      <c r="I316" s="32"/>
      <c r="K316" s="32"/>
    </row>
    <row r="317" spans="1:11" s="380" customFormat="1">
      <c r="A317" s="515" t="s">
        <v>2346</v>
      </c>
      <c r="B317" s="515" t="s">
        <v>2353</v>
      </c>
      <c r="C317" s="515" t="s">
        <v>2354</v>
      </c>
      <c r="D317" s="2785">
        <v>2410041</v>
      </c>
      <c r="E317" s="515" t="s">
        <v>520</v>
      </c>
      <c r="F317" s="173">
        <v>-5694.8</v>
      </c>
      <c r="G317" s="515" t="s">
        <v>294</v>
      </c>
      <c r="H317" s="32">
        <f>VLOOKUP(D317,'New TB INC'!C:K,3,0)-F317</f>
        <v>0</v>
      </c>
      <c r="I317" s="32"/>
      <c r="K317" s="32"/>
    </row>
    <row r="318" spans="1:11" s="380" customFormat="1">
      <c r="A318" s="515" t="s">
        <v>2346</v>
      </c>
      <c r="B318" s="515" t="s">
        <v>2353</v>
      </c>
      <c r="C318" s="515" t="s">
        <v>1351</v>
      </c>
      <c r="D318" s="2785">
        <v>2410008</v>
      </c>
      <c r="E318" s="515" t="s">
        <v>817</v>
      </c>
      <c r="F318" s="173">
        <v>-10461.85</v>
      </c>
      <c r="G318" s="515" t="s">
        <v>294</v>
      </c>
      <c r="H318" s="32">
        <f>VLOOKUP(D318,'New TB INC'!C:K,3,0)-F318</f>
        <v>0</v>
      </c>
      <c r="I318" s="32"/>
      <c r="K318" s="32"/>
    </row>
    <row r="319" spans="1:11" s="380" customFormat="1">
      <c r="A319" s="515" t="s">
        <v>2346</v>
      </c>
      <c r="B319" s="515" t="s">
        <v>2353</v>
      </c>
      <c r="C319" s="515" t="s">
        <v>1351</v>
      </c>
      <c r="D319" s="2785">
        <v>2410042</v>
      </c>
      <c r="E319" s="515" t="s">
        <v>818</v>
      </c>
      <c r="F319" s="173">
        <v>0.04</v>
      </c>
      <c r="G319" s="515" t="s">
        <v>294</v>
      </c>
      <c r="H319" s="32">
        <f>VLOOKUP(D319,'New TB INC'!C:K,3,0)-F319</f>
        <v>0</v>
      </c>
      <c r="I319" s="32"/>
      <c r="K319" s="32"/>
    </row>
    <row r="320" spans="1:11" s="380" customFormat="1">
      <c r="A320" s="515" t="s">
        <v>2346</v>
      </c>
      <c r="B320" s="515" t="s">
        <v>2355</v>
      </c>
      <c r="C320" s="515" t="s">
        <v>2356</v>
      </c>
      <c r="D320" s="2785">
        <v>2500041</v>
      </c>
      <c r="E320" s="515" t="s">
        <v>1741</v>
      </c>
      <c r="F320" s="173">
        <v>0.1</v>
      </c>
      <c r="G320" s="515" t="s">
        <v>294</v>
      </c>
      <c r="H320" s="32">
        <f>VLOOKUP(D320,'New TB INC'!C:K,3,0)-F320</f>
        <v>0</v>
      </c>
      <c r="I320" s="32"/>
      <c r="K320" s="32"/>
    </row>
    <row r="321" spans="1:11" s="380" customFormat="1">
      <c r="A321" s="515" t="s">
        <v>2346</v>
      </c>
      <c r="B321" s="515" t="s">
        <v>2355</v>
      </c>
      <c r="C321" s="515" t="s">
        <v>2356</v>
      </c>
      <c r="D321" s="2785">
        <v>2500200</v>
      </c>
      <c r="E321" s="515" t="s">
        <v>529</v>
      </c>
      <c r="F321" s="173">
        <v>147391</v>
      </c>
      <c r="G321" s="515" t="s">
        <v>294</v>
      </c>
      <c r="H321" s="32">
        <f>VLOOKUP(D321,'New TB INC'!C:K,3,0)-F321</f>
        <v>0</v>
      </c>
      <c r="I321" s="32"/>
      <c r="K321" s="32"/>
    </row>
    <row r="322" spans="1:11" s="380" customFormat="1">
      <c r="A322" s="515" t="s">
        <v>2346</v>
      </c>
      <c r="B322" s="515" t="s">
        <v>2355</v>
      </c>
      <c r="C322" s="515" t="s">
        <v>2356</v>
      </c>
      <c r="D322" s="2785">
        <v>2500201</v>
      </c>
      <c r="E322" s="515" t="s">
        <v>530</v>
      </c>
      <c r="F322" s="173">
        <v>-0.4</v>
      </c>
      <c r="G322" s="515" t="s">
        <v>294</v>
      </c>
      <c r="H322" s="32">
        <f>VLOOKUP(D322,'New TB INC'!C:K,3,0)-F322</f>
        <v>0</v>
      </c>
      <c r="I322" s="32"/>
      <c r="K322" s="32"/>
    </row>
    <row r="323" spans="1:11" s="380" customFormat="1">
      <c r="A323" s="515" t="s">
        <v>2346</v>
      </c>
      <c r="B323" s="515" t="s">
        <v>2355</v>
      </c>
      <c r="C323" s="515" t="s">
        <v>2356</v>
      </c>
      <c r="D323" s="2785">
        <v>2500203</v>
      </c>
      <c r="E323" s="515" t="s">
        <v>532</v>
      </c>
      <c r="F323" s="173">
        <v>0.43</v>
      </c>
      <c r="G323" s="515" t="s">
        <v>294</v>
      </c>
      <c r="H323" s="32">
        <f>VLOOKUP(D323,'New TB INC'!C:K,3,0)-F323</f>
        <v>0</v>
      </c>
      <c r="I323" s="32"/>
      <c r="K323" s="32"/>
    </row>
    <row r="324" spans="1:11" s="380" customFormat="1">
      <c r="A324" s="515" t="s">
        <v>2346</v>
      </c>
      <c r="B324" s="515" t="s">
        <v>2355</v>
      </c>
      <c r="C324" s="515" t="s">
        <v>2357</v>
      </c>
      <c r="D324" s="2785">
        <v>2520003</v>
      </c>
      <c r="E324" s="515" t="s">
        <v>3106</v>
      </c>
      <c r="F324" s="173">
        <v>-1581.64</v>
      </c>
      <c r="G324" s="515" t="s">
        <v>294</v>
      </c>
      <c r="H324" s="32">
        <f>VLOOKUP(D324,'New TB INC'!C:K,3,0)-F324</f>
        <v>0</v>
      </c>
      <c r="I324" s="32"/>
      <c r="K324" s="32"/>
    </row>
    <row r="325" spans="1:11" s="380" customFormat="1">
      <c r="A325" s="515" t="s">
        <v>2346</v>
      </c>
      <c r="B325" s="515" t="s">
        <v>2355</v>
      </c>
      <c r="C325" s="515" t="s">
        <v>2357</v>
      </c>
      <c r="D325" s="2785">
        <v>2520004</v>
      </c>
      <c r="E325" s="515" t="s">
        <v>478</v>
      </c>
      <c r="F325" s="173">
        <v>-2210.3000000000002</v>
      </c>
      <c r="G325" s="515" t="s">
        <v>294</v>
      </c>
      <c r="H325" s="32">
        <f>VLOOKUP(D325,'New TB INC'!C:K,3,0)-F325</f>
        <v>0</v>
      </c>
      <c r="I325" s="32"/>
      <c r="K325" s="32"/>
    </row>
    <row r="326" spans="1:11" s="380" customFormat="1">
      <c r="A326" s="515" t="s">
        <v>2346</v>
      </c>
      <c r="B326" s="515" t="s">
        <v>2355</v>
      </c>
      <c r="C326" s="515" t="s">
        <v>2357</v>
      </c>
      <c r="D326" s="2785">
        <v>2520007</v>
      </c>
      <c r="E326" s="515" t="s">
        <v>479</v>
      </c>
      <c r="F326" s="173">
        <v>-1614.35</v>
      </c>
      <c r="G326" s="515" t="s">
        <v>294</v>
      </c>
      <c r="H326" s="32">
        <f>VLOOKUP(D326,'New TB INC'!C:K,3,0)-F326</f>
        <v>0</v>
      </c>
      <c r="I326" s="32"/>
      <c r="K326" s="32"/>
    </row>
    <row r="327" spans="1:11" s="380" customFormat="1">
      <c r="A327" s="515" t="s">
        <v>2346</v>
      </c>
      <c r="B327" s="515" t="s">
        <v>2355</v>
      </c>
      <c r="C327" s="515" t="s">
        <v>2357</v>
      </c>
      <c r="D327" s="2785">
        <v>2520008</v>
      </c>
      <c r="E327" s="515" t="s">
        <v>480</v>
      </c>
      <c r="F327" s="173">
        <v>0.03</v>
      </c>
      <c r="G327" s="515" t="s">
        <v>294</v>
      </c>
      <c r="H327" s="32">
        <f>VLOOKUP(D327,'New TB INC'!C:K,3,0)-F327</f>
        <v>0</v>
      </c>
      <c r="I327" s="32"/>
      <c r="K327" s="32"/>
    </row>
    <row r="328" spans="1:11" s="380" customFormat="1">
      <c r="A328" s="515" t="s">
        <v>2346</v>
      </c>
      <c r="B328" s="515" t="s">
        <v>2355</v>
      </c>
      <c r="C328" s="515" t="s">
        <v>2357</v>
      </c>
      <c r="D328" s="2785">
        <v>2520010</v>
      </c>
      <c r="E328" s="515" t="s">
        <v>4710</v>
      </c>
      <c r="F328" s="173">
        <v>-6818</v>
      </c>
      <c r="G328" s="515" t="s">
        <v>294</v>
      </c>
      <c r="H328" s="32">
        <f>VLOOKUP(D328,'New TB INC'!C:K,3,0)-F328</f>
        <v>0</v>
      </c>
      <c r="I328" s="32"/>
      <c r="K328" s="32"/>
    </row>
    <row r="329" spans="1:11" s="380" customFormat="1">
      <c r="A329" s="515" t="s">
        <v>2346</v>
      </c>
      <c r="B329" s="515" t="s">
        <v>2355</v>
      </c>
      <c r="C329" s="515" t="s">
        <v>2357</v>
      </c>
      <c r="D329" s="2785">
        <v>2520011</v>
      </c>
      <c r="E329" s="515" t="s">
        <v>4508</v>
      </c>
      <c r="F329" s="173">
        <v>-1312.5</v>
      </c>
      <c r="G329" s="515" t="s">
        <v>294</v>
      </c>
      <c r="H329" s="32">
        <f>VLOOKUP(D329,'New TB INC'!C:K,3,0)-F329</f>
        <v>0</v>
      </c>
      <c r="I329" s="32"/>
      <c r="K329" s="32"/>
    </row>
    <row r="330" spans="1:11" s="380" customFormat="1">
      <c r="A330" s="515" t="s">
        <v>2346</v>
      </c>
      <c r="B330" s="515" t="s">
        <v>2355</v>
      </c>
      <c r="C330" s="515" t="s">
        <v>2357</v>
      </c>
      <c r="D330" s="2785">
        <v>2520019</v>
      </c>
      <c r="E330" s="515" t="s">
        <v>820</v>
      </c>
      <c r="F330" s="173">
        <v>-90064.56</v>
      </c>
      <c r="G330" s="515" t="s">
        <v>294</v>
      </c>
      <c r="H330" s="32">
        <f>VLOOKUP(D330,'New TB INC'!C:K,3,0)-F330</f>
        <v>0</v>
      </c>
      <c r="I330" s="32"/>
      <c r="K330" s="32"/>
    </row>
    <row r="331" spans="1:11" s="380" customFormat="1">
      <c r="A331" s="515" t="s">
        <v>2346</v>
      </c>
      <c r="B331" s="515" t="s">
        <v>2355</v>
      </c>
      <c r="C331" s="515" t="s">
        <v>2357</v>
      </c>
      <c r="D331" s="2785">
        <v>2520020</v>
      </c>
      <c r="E331" s="515" t="s">
        <v>821</v>
      </c>
      <c r="F331" s="173">
        <v>7898.27</v>
      </c>
      <c r="G331" s="515" t="s">
        <v>294</v>
      </c>
      <c r="H331" s="32">
        <f>VLOOKUP(D331,'New TB INC'!C:K,3,0)-F331</f>
        <v>0</v>
      </c>
      <c r="I331" s="32"/>
      <c r="K331" s="32"/>
    </row>
    <row r="332" spans="1:11" s="380" customFormat="1">
      <c r="A332" s="515" t="s">
        <v>2346</v>
      </c>
      <c r="B332" s="515" t="s">
        <v>2355</v>
      </c>
      <c r="C332" s="515" t="s">
        <v>2357</v>
      </c>
      <c r="D332" s="2785">
        <v>2520036</v>
      </c>
      <c r="E332" s="515" t="s">
        <v>1897</v>
      </c>
      <c r="F332" s="173">
        <v>-3142.91</v>
      </c>
      <c r="G332" s="515" t="s">
        <v>294</v>
      </c>
      <c r="H332" s="32">
        <f>VLOOKUP(D332,'New TB INC'!C:K,3,0)-F332</f>
        <v>0</v>
      </c>
      <c r="I332" s="32"/>
      <c r="K332" s="32"/>
    </row>
    <row r="333" spans="1:11" s="380" customFormat="1">
      <c r="A333" s="515" t="s">
        <v>2346</v>
      </c>
      <c r="B333" s="515" t="s">
        <v>2355</v>
      </c>
      <c r="C333" s="515" t="s">
        <v>2357</v>
      </c>
      <c r="D333" s="2785">
        <v>2520038</v>
      </c>
      <c r="E333" s="515" t="s">
        <v>3757</v>
      </c>
      <c r="F333" s="173">
        <v>-27.65</v>
      </c>
      <c r="G333" s="515" t="s">
        <v>294</v>
      </c>
      <c r="H333" s="32">
        <f>VLOOKUP(D333,'New TB INC'!C:K,3,0)-F333</f>
        <v>0</v>
      </c>
      <c r="I333" s="32"/>
      <c r="K333" s="32"/>
    </row>
    <row r="334" spans="1:11" s="380" customFormat="1">
      <c r="A334" s="515" t="s">
        <v>2346</v>
      </c>
      <c r="B334" s="515" t="s">
        <v>2355</v>
      </c>
      <c r="C334" s="515" t="s">
        <v>2357</v>
      </c>
      <c r="D334" s="2785">
        <v>2520044</v>
      </c>
      <c r="E334" s="515" t="s">
        <v>3003</v>
      </c>
      <c r="F334" s="173">
        <v>0.01</v>
      </c>
      <c r="G334" s="515" t="s">
        <v>294</v>
      </c>
      <c r="H334" s="32">
        <f>VLOOKUP(D334,'New TB INC'!C:K,3,0)-F334</f>
        <v>0</v>
      </c>
      <c r="I334" s="32"/>
      <c r="K334" s="32"/>
    </row>
    <row r="335" spans="1:11" s="380" customFormat="1">
      <c r="A335" s="515" t="s">
        <v>2346</v>
      </c>
      <c r="B335" s="515" t="s">
        <v>4952</v>
      </c>
      <c r="C335" s="515" t="s">
        <v>4953</v>
      </c>
      <c r="D335" s="2785">
        <v>2610001</v>
      </c>
      <c r="E335" s="515" t="s">
        <v>499</v>
      </c>
      <c r="F335" s="173">
        <v>-9061564.1799999997</v>
      </c>
      <c r="G335" s="515" t="s">
        <v>294</v>
      </c>
      <c r="H335" s="32">
        <f>VLOOKUP(D335,'New TB INC'!C:K,3,0)-F335</f>
        <v>0</v>
      </c>
      <c r="I335" s="32"/>
      <c r="K335" s="32"/>
    </row>
    <row r="336" spans="1:11" s="380" customFormat="1">
      <c r="A336" s="515" t="s">
        <v>2358</v>
      </c>
      <c r="B336" s="515" t="s">
        <v>2359</v>
      </c>
      <c r="C336" s="515" t="s">
        <v>2360</v>
      </c>
      <c r="D336" s="2785">
        <v>3000001</v>
      </c>
      <c r="E336" s="515" t="s">
        <v>823</v>
      </c>
      <c r="F336" s="173">
        <v>-2722.04</v>
      </c>
      <c r="G336" s="515" t="s">
        <v>294</v>
      </c>
      <c r="H336" s="32">
        <f>VLOOKUP(D336,'New TB INC'!C:K,3,0)-F336</f>
        <v>0</v>
      </c>
      <c r="I336" s="32"/>
      <c r="K336" s="32"/>
    </row>
    <row r="337" spans="1:11" s="380" customFormat="1">
      <c r="A337" s="515" t="s">
        <v>2358</v>
      </c>
      <c r="B337" s="515" t="s">
        <v>2359</v>
      </c>
      <c r="C337" s="515" t="s">
        <v>2360</v>
      </c>
      <c r="D337" s="2785">
        <v>3000002</v>
      </c>
      <c r="E337" s="515" t="s">
        <v>824</v>
      </c>
      <c r="F337" s="173">
        <v>-796.91</v>
      </c>
      <c r="G337" s="515" t="s">
        <v>294</v>
      </c>
      <c r="H337" s="32">
        <f>VLOOKUP(D337,'New TB INC'!C:K,3,0)-F337</f>
        <v>0</v>
      </c>
      <c r="I337" s="32"/>
      <c r="K337" s="32"/>
    </row>
    <row r="338" spans="1:11" s="380" customFormat="1">
      <c r="A338" s="515" t="s">
        <v>2358</v>
      </c>
      <c r="B338" s="515" t="s">
        <v>2359</v>
      </c>
      <c r="C338" s="515" t="s">
        <v>2361</v>
      </c>
      <c r="D338" s="2785">
        <v>3010001</v>
      </c>
      <c r="E338" s="515" t="s">
        <v>269</v>
      </c>
      <c r="F338" s="173">
        <v>-36403827.740000002</v>
      </c>
      <c r="G338" s="515" t="s">
        <v>294</v>
      </c>
      <c r="H338" s="32">
        <f>VLOOKUP(D338,'New TB INC'!C:K,3,0)-F338</f>
        <v>0</v>
      </c>
      <c r="I338" s="32"/>
      <c r="K338" s="32"/>
    </row>
    <row r="339" spans="1:11" s="380" customFormat="1">
      <c r="A339" s="515" t="s">
        <v>2358</v>
      </c>
      <c r="B339" s="515" t="s">
        <v>2359</v>
      </c>
      <c r="C339" s="515" t="s">
        <v>2361</v>
      </c>
      <c r="D339" s="2785">
        <v>3010002</v>
      </c>
      <c r="E339" s="515" t="s">
        <v>826</v>
      </c>
      <c r="F339" s="173">
        <v>293474</v>
      </c>
      <c r="G339" s="515" t="s">
        <v>294</v>
      </c>
      <c r="H339" s="32">
        <f>VLOOKUP(D339,'New TB INC'!C:K,3,0)-F339</f>
        <v>0</v>
      </c>
      <c r="I339" s="32"/>
      <c r="K339" s="32"/>
    </row>
    <row r="340" spans="1:11" s="380" customFormat="1">
      <c r="A340" s="515" t="s">
        <v>2358</v>
      </c>
      <c r="B340" s="515" t="s">
        <v>2359</v>
      </c>
      <c r="C340" s="515" t="s">
        <v>2361</v>
      </c>
      <c r="D340" s="2785">
        <v>3010081</v>
      </c>
      <c r="E340" s="515" t="s">
        <v>1618</v>
      </c>
      <c r="F340" s="173">
        <v>35707980</v>
      </c>
      <c r="G340" s="515" t="s">
        <v>294</v>
      </c>
      <c r="H340" s="32">
        <f>VLOOKUP(D340,'New TB INC'!C:K,3,0)-F340</f>
        <v>0</v>
      </c>
      <c r="I340" s="32"/>
      <c r="K340" s="32"/>
    </row>
    <row r="341" spans="1:11" s="380" customFormat="1">
      <c r="A341" s="515" t="s">
        <v>2358</v>
      </c>
      <c r="B341" s="515" t="s">
        <v>2359</v>
      </c>
      <c r="C341" s="515" t="s">
        <v>2362</v>
      </c>
      <c r="D341" s="2785">
        <v>3020002</v>
      </c>
      <c r="E341" s="515" t="s">
        <v>654</v>
      </c>
      <c r="F341" s="173">
        <v>-1504467.7</v>
      </c>
      <c r="G341" s="515" t="s">
        <v>294</v>
      </c>
      <c r="H341" s="32">
        <f>VLOOKUP(D341,'New TB INC'!C:K,3,0)-F341</f>
        <v>0</v>
      </c>
      <c r="I341" s="32"/>
      <c r="K341" s="32"/>
    </row>
    <row r="342" spans="1:11" s="380" customFormat="1">
      <c r="A342" s="515" t="s">
        <v>2358</v>
      </c>
      <c r="B342" s="515" t="s">
        <v>2359</v>
      </c>
      <c r="C342" s="515" t="s">
        <v>2362</v>
      </c>
      <c r="D342" s="2785">
        <v>3020003</v>
      </c>
      <c r="E342" s="515" t="s">
        <v>827</v>
      </c>
      <c r="F342" s="173">
        <v>-11488367.98</v>
      </c>
      <c r="G342" s="515" t="s">
        <v>294</v>
      </c>
      <c r="H342" s="32">
        <f>VLOOKUP(D342,'New TB INC'!C:K,3,0)-F342</f>
        <v>0</v>
      </c>
      <c r="I342" s="32"/>
      <c r="K342" s="32"/>
    </row>
    <row r="343" spans="1:11" s="380" customFormat="1">
      <c r="A343" s="515" t="s">
        <v>2358</v>
      </c>
      <c r="B343" s="515" t="s">
        <v>2359</v>
      </c>
      <c r="C343" s="515" t="s">
        <v>2363</v>
      </c>
      <c r="D343" s="2785">
        <v>3030001</v>
      </c>
      <c r="E343" s="515" t="s">
        <v>513</v>
      </c>
      <c r="F343" s="173">
        <v>-1559754.17</v>
      </c>
      <c r="G343" s="515" t="s">
        <v>294</v>
      </c>
      <c r="H343" s="32">
        <f>VLOOKUP(D343,'New TB INC'!C:K,3,0)-F343</f>
        <v>0</v>
      </c>
      <c r="I343" s="32"/>
      <c r="K343" s="32"/>
    </row>
    <row r="344" spans="1:11" s="380" customFormat="1">
      <c r="A344" s="515" t="s">
        <v>2358</v>
      </c>
      <c r="B344" s="515" t="s">
        <v>2359</v>
      </c>
      <c r="C344" s="515" t="s">
        <v>2363</v>
      </c>
      <c r="D344" s="2785">
        <v>3030098</v>
      </c>
      <c r="E344" s="515" t="s">
        <v>3200</v>
      </c>
      <c r="F344" s="173">
        <v>10905008</v>
      </c>
      <c r="G344" s="515" t="s">
        <v>294</v>
      </c>
      <c r="H344" s="32">
        <f>VLOOKUP(D344,'New TB INC'!C:K,3,0)-F344</f>
        <v>0</v>
      </c>
      <c r="I344" s="32"/>
      <c r="K344" s="32"/>
    </row>
    <row r="345" spans="1:11" s="380" customFormat="1">
      <c r="A345" s="515" t="s">
        <v>2358</v>
      </c>
      <c r="B345" s="515" t="s">
        <v>2359</v>
      </c>
      <c r="C345" s="515" t="s">
        <v>2363</v>
      </c>
      <c r="D345" s="2785">
        <v>3030099</v>
      </c>
      <c r="E345" s="515" t="s">
        <v>1836</v>
      </c>
      <c r="F345" s="173">
        <v>-30037</v>
      </c>
      <c r="G345" s="515" t="s">
        <v>294</v>
      </c>
      <c r="H345" s="32">
        <f>VLOOKUP(D345,'New TB INC'!C:K,3,0)-F345</f>
        <v>0</v>
      </c>
      <c r="I345" s="32"/>
      <c r="K345" s="32"/>
    </row>
    <row r="346" spans="1:11" s="380" customFormat="1">
      <c r="A346" s="515" t="s">
        <v>2364</v>
      </c>
      <c r="B346" s="515" t="s">
        <v>2365</v>
      </c>
      <c r="C346" s="515" t="s">
        <v>2366</v>
      </c>
      <c r="D346" s="2785">
        <v>80001</v>
      </c>
      <c r="E346" s="515" t="s">
        <v>714</v>
      </c>
      <c r="F346" s="173">
        <v>-6373088.1600000001</v>
      </c>
      <c r="G346" s="515" t="s">
        <v>294</v>
      </c>
      <c r="H346" s="32">
        <f>VLOOKUP(D346,'New TB INC'!C:K,3,0)-F346</f>
        <v>0</v>
      </c>
      <c r="I346" s="32"/>
      <c r="K346" s="32"/>
    </row>
    <row r="347" spans="1:11" s="380" customFormat="1">
      <c r="A347" s="515" t="s">
        <v>2364</v>
      </c>
      <c r="B347" s="515" t="s">
        <v>2365</v>
      </c>
      <c r="C347" s="515" t="s">
        <v>2366</v>
      </c>
      <c r="D347" s="2785">
        <v>80002</v>
      </c>
      <c r="E347" s="515" t="s">
        <v>715</v>
      </c>
      <c r="F347" s="173">
        <v>-1989464.03</v>
      </c>
      <c r="G347" s="515" t="s">
        <v>294</v>
      </c>
      <c r="H347" s="32">
        <f>VLOOKUP(D347,'New TB INC'!C:K,3,0)-F347</f>
        <v>0</v>
      </c>
      <c r="I347" s="32"/>
      <c r="K347" s="32"/>
    </row>
    <row r="348" spans="1:11" s="380" customFormat="1">
      <c r="A348" s="515" t="s">
        <v>2364</v>
      </c>
      <c r="B348" s="515" t="s">
        <v>2365</v>
      </c>
      <c r="C348" s="515" t="s">
        <v>2366</v>
      </c>
      <c r="D348" s="2785" t="s">
        <v>718</v>
      </c>
      <c r="E348" s="515" t="s">
        <v>719</v>
      </c>
      <c r="F348" s="173">
        <v>702944.11</v>
      </c>
      <c r="G348" s="515" t="s">
        <v>294</v>
      </c>
      <c r="H348" s="32">
        <f>VLOOKUP(D348,'New TB INC'!C:K,3,0)-F348</f>
        <v>0</v>
      </c>
      <c r="I348" s="32"/>
      <c r="K348" s="32"/>
    </row>
    <row r="349" spans="1:11" s="380" customFormat="1">
      <c r="A349" s="515" t="s">
        <v>2364</v>
      </c>
      <c r="B349" s="515" t="s">
        <v>2365</v>
      </c>
      <c r="C349" s="515" t="s">
        <v>2366</v>
      </c>
      <c r="D349" s="2785">
        <v>80160</v>
      </c>
      <c r="E349" s="515" t="s">
        <v>535</v>
      </c>
      <c r="F349" s="173">
        <v>-18135.98</v>
      </c>
      <c r="G349" s="515" t="s">
        <v>294</v>
      </c>
      <c r="H349" s="32">
        <f>VLOOKUP(D349,'New TB INC'!C:K,3,0)-F349</f>
        <v>0</v>
      </c>
      <c r="I349" s="32"/>
      <c r="K349" s="32"/>
    </row>
    <row r="350" spans="1:11" s="380" customFormat="1">
      <c r="A350" s="515" t="s">
        <v>2364</v>
      </c>
      <c r="B350" s="515" t="s">
        <v>2365</v>
      </c>
      <c r="C350" s="515" t="s">
        <v>2367</v>
      </c>
      <c r="D350" s="2785">
        <v>80060</v>
      </c>
      <c r="E350" s="515" t="s">
        <v>721</v>
      </c>
      <c r="F350" s="173">
        <v>-12464383.699999999</v>
      </c>
      <c r="G350" s="515" t="s">
        <v>294</v>
      </c>
      <c r="H350" s="32">
        <f>VLOOKUP(D350,'New TB INC'!C:K,3,0)-F350</f>
        <v>0</v>
      </c>
      <c r="I350" s="32"/>
      <c r="K350" s="32"/>
    </row>
    <row r="351" spans="1:11" s="380" customFormat="1">
      <c r="A351" s="515" t="s">
        <v>2364</v>
      </c>
      <c r="B351" s="515" t="s">
        <v>2365</v>
      </c>
      <c r="C351" s="515" t="s">
        <v>2367</v>
      </c>
      <c r="D351" s="2785">
        <v>80061</v>
      </c>
      <c r="E351" s="515" t="s">
        <v>722</v>
      </c>
      <c r="F351" s="173">
        <v>-43803.199999999997</v>
      </c>
      <c r="G351" s="515" t="s">
        <v>294</v>
      </c>
      <c r="H351" s="32">
        <f>VLOOKUP(D351,'New TB INC'!C:K,3,0)-F351</f>
        <v>0</v>
      </c>
      <c r="I351" s="32"/>
      <c r="K351" s="32"/>
    </row>
    <row r="352" spans="1:11" s="380" customFormat="1">
      <c r="A352" s="515" t="s">
        <v>2364</v>
      </c>
      <c r="B352" s="515" t="s">
        <v>2365</v>
      </c>
      <c r="C352" s="515" t="s">
        <v>2367</v>
      </c>
      <c r="D352" s="2785">
        <v>80063</v>
      </c>
      <c r="E352" s="515" t="s">
        <v>724</v>
      </c>
      <c r="F352" s="173">
        <v>-9553.6</v>
      </c>
      <c r="G352" s="515" t="s">
        <v>294</v>
      </c>
      <c r="H352" s="32">
        <f>VLOOKUP(D352,'New TB INC'!C:K,3,0)-F352</f>
        <v>0</v>
      </c>
      <c r="I352" s="32"/>
      <c r="K352" s="32"/>
    </row>
    <row r="353" spans="1:11" s="380" customFormat="1">
      <c r="A353" s="515" t="s">
        <v>2364</v>
      </c>
      <c r="B353" s="515" t="s">
        <v>2365</v>
      </c>
      <c r="C353" s="515" t="s">
        <v>2367</v>
      </c>
      <c r="D353" s="2785">
        <v>80064</v>
      </c>
      <c r="E353" s="515" t="s">
        <v>725</v>
      </c>
      <c r="F353" s="173">
        <v>-30348.47</v>
      </c>
      <c r="G353" s="515" t="s">
        <v>294</v>
      </c>
      <c r="H353" s="32">
        <f>VLOOKUP(D353,'New TB INC'!C:K,3,0)-F353</f>
        <v>0</v>
      </c>
      <c r="I353" s="32"/>
      <c r="K353" s="32"/>
    </row>
    <row r="354" spans="1:11" s="380" customFormat="1">
      <c r="A354" s="515" t="s">
        <v>2364</v>
      </c>
      <c r="B354" s="515" t="s">
        <v>2365</v>
      </c>
      <c r="C354" s="515" t="s">
        <v>2367</v>
      </c>
      <c r="D354" s="2785" t="s">
        <v>2618</v>
      </c>
      <c r="E354" s="515" t="s">
        <v>2658</v>
      </c>
      <c r="F354" s="173">
        <v>-111934.3</v>
      </c>
      <c r="G354" s="515" t="s">
        <v>294</v>
      </c>
      <c r="H354" s="32">
        <f>VLOOKUP(D354,'New TB INC'!C:K,3,0)-F354</f>
        <v>0</v>
      </c>
      <c r="I354" s="32"/>
      <c r="K354" s="32"/>
    </row>
    <row r="355" spans="1:11" s="380" customFormat="1">
      <c r="A355" s="515" t="s">
        <v>2364</v>
      </c>
      <c r="B355" s="515" t="s">
        <v>2365</v>
      </c>
      <c r="C355" s="515" t="s">
        <v>2367</v>
      </c>
      <c r="D355" s="2785">
        <v>80065</v>
      </c>
      <c r="E355" s="515" t="s">
        <v>1628</v>
      </c>
      <c r="F355" s="173">
        <v>-862460.82</v>
      </c>
      <c r="G355" s="515" t="s">
        <v>294</v>
      </c>
      <c r="H355" s="32">
        <f>VLOOKUP(D355,'New TB INC'!C:K,3,0)-F355</f>
        <v>0</v>
      </c>
      <c r="I355" s="32"/>
      <c r="K355" s="32"/>
    </row>
    <row r="356" spans="1:11" s="380" customFormat="1">
      <c r="A356" s="515" t="s">
        <v>2364</v>
      </c>
      <c r="B356" s="515" t="s">
        <v>2365</v>
      </c>
      <c r="C356" s="515" t="s">
        <v>1817</v>
      </c>
      <c r="D356" s="2785">
        <v>80150</v>
      </c>
      <c r="E356" s="515" t="s">
        <v>728</v>
      </c>
      <c r="F356" s="173">
        <v>-3034.5</v>
      </c>
      <c r="G356" s="515" t="s">
        <v>294</v>
      </c>
      <c r="H356" s="32">
        <f>VLOOKUP(D356,'New TB INC'!C:K,3,0)-F356</f>
        <v>0</v>
      </c>
      <c r="I356" s="32"/>
      <c r="K356" s="32"/>
    </row>
    <row r="357" spans="1:11" s="380" customFormat="1">
      <c r="A357" s="515" t="s">
        <v>2364</v>
      </c>
      <c r="B357" s="515" t="s">
        <v>2365</v>
      </c>
      <c r="C357" s="515" t="s">
        <v>1817</v>
      </c>
      <c r="D357" s="2785">
        <v>80151</v>
      </c>
      <c r="E357" s="515" t="s">
        <v>1629</v>
      </c>
      <c r="F357" s="173">
        <v>-294830.68</v>
      </c>
      <c r="G357" s="515" t="s">
        <v>294</v>
      </c>
      <c r="H357" s="32">
        <f>VLOOKUP(D357,'New TB INC'!C:K,3,0)-F357</f>
        <v>0</v>
      </c>
      <c r="I357" s="32"/>
      <c r="K357" s="32"/>
    </row>
    <row r="358" spans="1:11" s="380" customFormat="1">
      <c r="A358" s="515" t="s">
        <v>2364</v>
      </c>
      <c r="B358" s="515" t="s">
        <v>2365</v>
      </c>
      <c r="C358" s="515" t="s">
        <v>1817</v>
      </c>
      <c r="D358" s="2785">
        <v>80153</v>
      </c>
      <c r="E358" s="515" t="s">
        <v>730</v>
      </c>
      <c r="F358" s="173">
        <v>-3111161</v>
      </c>
      <c r="G358" s="515" t="s">
        <v>294</v>
      </c>
      <c r="H358" s="32">
        <f>VLOOKUP(D358,'New TB INC'!C:K,3,0)-F358</f>
        <v>0</v>
      </c>
      <c r="I358" s="32"/>
      <c r="K358" s="32"/>
    </row>
    <row r="359" spans="1:11" s="380" customFormat="1">
      <c r="A359" s="515" t="s">
        <v>2364</v>
      </c>
      <c r="B359" s="515" t="s">
        <v>2365</v>
      </c>
      <c r="C359" s="515" t="s">
        <v>1817</v>
      </c>
      <c r="D359" s="2785" t="s">
        <v>2233</v>
      </c>
      <c r="E359" s="515" t="s">
        <v>2209</v>
      </c>
      <c r="F359" s="173">
        <v>175761.86</v>
      </c>
      <c r="G359" s="515" t="s">
        <v>294</v>
      </c>
      <c r="H359" s="32">
        <f>VLOOKUP(D359,'New TB INC'!C:K,3,0)-F359</f>
        <v>0</v>
      </c>
      <c r="I359" s="32"/>
      <c r="K359" s="32"/>
    </row>
    <row r="360" spans="1:11" s="380" customFormat="1">
      <c r="A360" s="515" t="s">
        <v>2364</v>
      </c>
      <c r="B360" s="515" t="s">
        <v>2365</v>
      </c>
      <c r="C360" s="515" t="s">
        <v>1765</v>
      </c>
      <c r="D360" s="2785">
        <v>80081</v>
      </c>
      <c r="E360" s="515" t="s">
        <v>1674</v>
      </c>
      <c r="F360" s="173">
        <v>-3189925.54</v>
      </c>
      <c r="G360" s="515" t="s">
        <v>294</v>
      </c>
      <c r="H360" s="32">
        <f>VLOOKUP(D360,'New TB INC'!C:K,3,0)-F360</f>
        <v>0</v>
      </c>
      <c r="I360" s="32"/>
      <c r="K360" s="32"/>
    </row>
    <row r="361" spans="1:11" s="380" customFormat="1">
      <c r="A361" s="515" t="s">
        <v>2364</v>
      </c>
      <c r="B361" s="515" t="s">
        <v>2365</v>
      </c>
      <c r="C361" s="515" t="s">
        <v>1765</v>
      </c>
      <c r="D361" s="2785">
        <v>80085</v>
      </c>
      <c r="E361" s="515" t="s">
        <v>2659</v>
      </c>
      <c r="F361" s="173">
        <v>-413952.21</v>
      </c>
      <c r="G361" s="515" t="s">
        <v>294</v>
      </c>
      <c r="H361" s="32">
        <f>VLOOKUP(D361,'New TB INC'!C:K,3,0)-F361</f>
        <v>0</v>
      </c>
      <c r="I361" s="32"/>
      <c r="K361" s="32"/>
    </row>
    <row r="362" spans="1:11" s="380" customFormat="1">
      <c r="A362" s="515" t="s">
        <v>2364</v>
      </c>
      <c r="B362" s="515" t="s">
        <v>2365</v>
      </c>
      <c r="C362" s="515" t="s">
        <v>1766</v>
      </c>
      <c r="D362" s="2785">
        <v>80071</v>
      </c>
      <c r="E362" s="515" t="s">
        <v>1772</v>
      </c>
      <c r="F362" s="173">
        <v>-5385085.75</v>
      </c>
      <c r="G362" s="515" t="s">
        <v>294</v>
      </c>
      <c r="H362" s="32">
        <f>VLOOKUP(D362,'New TB INC'!C:K,3,0)-F362</f>
        <v>0</v>
      </c>
      <c r="I362" s="32"/>
      <c r="K362" s="32"/>
    </row>
    <row r="363" spans="1:11" s="380" customFormat="1">
      <c r="A363" s="515" t="s">
        <v>2364</v>
      </c>
      <c r="B363" s="515" t="s">
        <v>2365</v>
      </c>
      <c r="C363" s="515" t="s">
        <v>1766</v>
      </c>
      <c r="D363" s="2785">
        <v>80075</v>
      </c>
      <c r="E363" s="515" t="s">
        <v>2660</v>
      </c>
      <c r="F363" s="173">
        <v>-2486858.17</v>
      </c>
      <c r="G363" s="515" t="s">
        <v>294</v>
      </c>
      <c r="H363" s="32">
        <f>VLOOKUP(D363,'New TB INC'!C:K,3,0)-F363</f>
        <v>0</v>
      </c>
      <c r="I363" s="32"/>
      <c r="K363" s="32"/>
    </row>
    <row r="364" spans="1:11" s="380" customFormat="1">
      <c r="A364" s="515" t="s">
        <v>2368</v>
      </c>
      <c r="B364" s="515" t="s">
        <v>1282</v>
      </c>
      <c r="C364" s="515" t="s">
        <v>1352</v>
      </c>
      <c r="D364" s="2785">
        <v>5100001</v>
      </c>
      <c r="E364" s="515" t="s">
        <v>832</v>
      </c>
      <c r="F364" s="173">
        <v>787193.85</v>
      </c>
      <c r="G364" s="515" t="s">
        <v>294</v>
      </c>
      <c r="H364" s="32">
        <f>VLOOKUP(D364,'New TB INC'!C:K,3,0)-F364</f>
        <v>0</v>
      </c>
      <c r="I364" s="32"/>
      <c r="K364" s="32"/>
    </row>
    <row r="365" spans="1:11" s="380" customFormat="1">
      <c r="A365" s="515" t="s">
        <v>2368</v>
      </c>
      <c r="B365" s="515" t="s">
        <v>1282</v>
      </c>
      <c r="C365" s="515" t="s">
        <v>1352</v>
      </c>
      <c r="D365" s="2785" t="s">
        <v>1970</v>
      </c>
      <c r="E365" s="515" t="s">
        <v>1971</v>
      </c>
      <c r="F365" s="173">
        <v>78276.27</v>
      </c>
      <c r="G365" s="515" t="s">
        <v>294</v>
      </c>
      <c r="H365" s="32">
        <f>VLOOKUP(D365,'New TB INC'!C:K,3,0)-F365</f>
        <v>0</v>
      </c>
      <c r="I365" s="32"/>
      <c r="K365" s="32"/>
    </row>
    <row r="366" spans="1:11" s="380" customFormat="1">
      <c r="A366" s="515" t="s">
        <v>2368</v>
      </c>
      <c r="B366" s="515" t="s">
        <v>1282</v>
      </c>
      <c r="C366" s="515" t="s">
        <v>1352</v>
      </c>
      <c r="D366" s="2785">
        <v>5100002</v>
      </c>
      <c r="E366" s="515" t="s">
        <v>833</v>
      </c>
      <c r="F366" s="173">
        <v>520</v>
      </c>
      <c r="G366" s="515" t="s">
        <v>294</v>
      </c>
      <c r="H366" s="32">
        <f>VLOOKUP(D366,'New TB INC'!C:K,3,0)-F366</f>
        <v>0</v>
      </c>
      <c r="I366" s="32"/>
      <c r="K366" s="32"/>
    </row>
    <row r="367" spans="1:11" s="380" customFormat="1">
      <c r="A367" s="515" t="s">
        <v>2368</v>
      </c>
      <c r="B367" s="515" t="s">
        <v>1282</v>
      </c>
      <c r="C367" s="515" t="s">
        <v>1352</v>
      </c>
      <c r="D367" s="2785" t="s">
        <v>2129</v>
      </c>
      <c r="E367" s="515" t="s">
        <v>2130</v>
      </c>
      <c r="F367" s="173">
        <v>250.13</v>
      </c>
      <c r="G367" s="515" t="s">
        <v>294</v>
      </c>
      <c r="H367" s="32">
        <f>VLOOKUP(D367,'New TB INC'!C:K,3,0)-F367</f>
        <v>0</v>
      </c>
      <c r="I367" s="32"/>
      <c r="K367" s="32"/>
    </row>
    <row r="368" spans="1:11" s="380" customFormat="1">
      <c r="A368" s="515" t="s">
        <v>2368</v>
      </c>
      <c r="B368" s="515" t="s">
        <v>1282</v>
      </c>
      <c r="C368" s="515" t="s">
        <v>1352</v>
      </c>
      <c r="D368" s="2785">
        <v>5100003</v>
      </c>
      <c r="E368" s="515" t="s">
        <v>834</v>
      </c>
      <c r="F368" s="173">
        <v>34229.69</v>
      </c>
      <c r="G368" s="515" t="s">
        <v>294</v>
      </c>
      <c r="H368" s="32">
        <f>VLOOKUP(D368,'New TB INC'!C:K,3,0)-F368</f>
        <v>0</v>
      </c>
      <c r="I368" s="32"/>
      <c r="K368" s="32"/>
    </row>
    <row r="369" spans="1:11" s="380" customFormat="1">
      <c r="A369" s="515" t="s">
        <v>2368</v>
      </c>
      <c r="B369" s="515" t="s">
        <v>1282</v>
      </c>
      <c r="C369" s="515" t="s">
        <v>1352</v>
      </c>
      <c r="D369" s="2785" t="s">
        <v>3333</v>
      </c>
      <c r="E369" s="515" t="s">
        <v>3334</v>
      </c>
      <c r="F369" s="173">
        <v>9726.65</v>
      </c>
      <c r="G369" s="515" t="s">
        <v>294</v>
      </c>
      <c r="H369" s="32">
        <f>VLOOKUP(D369,'New TB INC'!C:K,3,0)-F369</f>
        <v>0</v>
      </c>
      <c r="I369" s="32"/>
      <c r="K369" s="32"/>
    </row>
    <row r="370" spans="1:11" s="380" customFormat="1">
      <c r="A370" s="515" t="s">
        <v>2368</v>
      </c>
      <c r="B370" s="515" t="s">
        <v>1282</v>
      </c>
      <c r="C370" s="515" t="s">
        <v>1352</v>
      </c>
      <c r="D370" s="2785">
        <v>5100006</v>
      </c>
      <c r="E370" s="515" t="s">
        <v>835</v>
      </c>
      <c r="F370" s="173">
        <v>61234.559999999998</v>
      </c>
      <c r="G370" s="515" t="s">
        <v>294</v>
      </c>
      <c r="H370" s="32">
        <f>VLOOKUP(D370,'New TB INC'!C:K,3,0)-F370</f>
        <v>0</v>
      </c>
      <c r="I370" s="32"/>
      <c r="K370" s="32"/>
    </row>
    <row r="371" spans="1:11" s="380" customFormat="1">
      <c r="A371" s="515" t="s">
        <v>2368</v>
      </c>
      <c r="B371" s="515" t="s">
        <v>1282</v>
      </c>
      <c r="C371" s="515" t="s">
        <v>1352</v>
      </c>
      <c r="D371" s="2785" t="s">
        <v>1972</v>
      </c>
      <c r="E371" s="515" t="s">
        <v>1973</v>
      </c>
      <c r="F371" s="173">
        <v>3861.44</v>
      </c>
      <c r="G371" s="515" t="s">
        <v>294</v>
      </c>
      <c r="H371" s="32">
        <f>VLOOKUP(D371,'New TB INC'!C:K,3,0)-F371</f>
        <v>0</v>
      </c>
      <c r="I371" s="32"/>
      <c r="K371" s="32"/>
    </row>
    <row r="372" spans="1:11" s="380" customFormat="1">
      <c r="A372" s="515" t="s">
        <v>2368</v>
      </c>
      <c r="B372" s="515" t="s">
        <v>1282</v>
      </c>
      <c r="C372" s="515" t="s">
        <v>1352</v>
      </c>
      <c r="D372" s="2785">
        <v>5100007</v>
      </c>
      <c r="E372" s="515" t="s">
        <v>1675</v>
      </c>
      <c r="F372" s="173">
        <v>944.94</v>
      </c>
      <c r="G372" s="515" t="s">
        <v>294</v>
      </c>
      <c r="H372" s="32">
        <f>VLOOKUP(D372,'New TB INC'!C:K,3,0)-F372</f>
        <v>0</v>
      </c>
      <c r="I372" s="32"/>
      <c r="K372" s="32"/>
    </row>
    <row r="373" spans="1:11" s="380" customFormat="1">
      <c r="A373" s="515" t="s">
        <v>2368</v>
      </c>
      <c r="B373" s="515" t="s">
        <v>1282</v>
      </c>
      <c r="C373" s="515" t="s">
        <v>1352</v>
      </c>
      <c r="D373" s="2785">
        <v>5100008</v>
      </c>
      <c r="E373" s="515" t="s">
        <v>836</v>
      </c>
      <c r="F373" s="173">
        <v>517.05999999999995</v>
      </c>
      <c r="G373" s="515" t="s">
        <v>294</v>
      </c>
      <c r="H373" s="32">
        <f>VLOOKUP(D373,'New TB INC'!C:K,3,0)-F373</f>
        <v>0</v>
      </c>
      <c r="I373" s="32"/>
      <c r="K373" s="32"/>
    </row>
    <row r="374" spans="1:11" s="380" customFormat="1">
      <c r="A374" s="515" t="s">
        <v>2368</v>
      </c>
      <c r="B374" s="515" t="s">
        <v>1282</v>
      </c>
      <c r="C374" s="515" t="s">
        <v>1352</v>
      </c>
      <c r="D374" s="2785">
        <v>5100012</v>
      </c>
      <c r="E374" s="515" t="s">
        <v>837</v>
      </c>
      <c r="F374" s="173">
        <v>2000</v>
      </c>
      <c r="G374" s="515" t="s">
        <v>294</v>
      </c>
      <c r="H374" s="32">
        <f>VLOOKUP(D374,'New TB INC'!C:K,3,0)-F374</f>
        <v>0</v>
      </c>
      <c r="I374" s="32"/>
      <c r="K374" s="32"/>
    </row>
    <row r="375" spans="1:11" s="380" customFormat="1">
      <c r="A375" s="515" t="s">
        <v>2368</v>
      </c>
      <c r="B375" s="515" t="s">
        <v>1282</v>
      </c>
      <c r="C375" s="515" t="s">
        <v>1352</v>
      </c>
      <c r="D375" s="2785">
        <v>5100013</v>
      </c>
      <c r="E375" s="515" t="s">
        <v>838</v>
      </c>
      <c r="F375" s="173">
        <v>152558.78</v>
      </c>
      <c r="G375" s="515" t="s">
        <v>294</v>
      </c>
      <c r="H375" s="32">
        <f>VLOOKUP(D375,'New TB INC'!C:K,3,0)-F375</f>
        <v>0</v>
      </c>
      <c r="I375" s="32"/>
      <c r="K375" s="32"/>
    </row>
    <row r="376" spans="1:11" s="380" customFormat="1">
      <c r="A376" s="515" t="s">
        <v>2368</v>
      </c>
      <c r="B376" s="515" t="s">
        <v>1282</v>
      </c>
      <c r="C376" s="515" t="s">
        <v>1352</v>
      </c>
      <c r="D376" s="2785" t="s">
        <v>1238</v>
      </c>
      <c r="E376" s="515" t="s">
        <v>2090</v>
      </c>
      <c r="F376" s="173">
        <v>2723.06</v>
      </c>
      <c r="G376" s="515" t="s">
        <v>294</v>
      </c>
      <c r="H376" s="32">
        <f>VLOOKUP(D376,'New TB INC'!C:K,3,0)-F376</f>
        <v>0</v>
      </c>
      <c r="I376" s="32"/>
      <c r="K376" s="32"/>
    </row>
    <row r="377" spans="1:11" s="380" customFormat="1">
      <c r="A377" s="515" t="s">
        <v>2368</v>
      </c>
      <c r="B377" s="515" t="s">
        <v>1282</v>
      </c>
      <c r="C377" s="515" t="s">
        <v>1352</v>
      </c>
      <c r="D377" s="2785">
        <v>5100014</v>
      </c>
      <c r="E377" s="515" t="s">
        <v>839</v>
      </c>
      <c r="F377" s="173">
        <v>8476.64</v>
      </c>
      <c r="G377" s="515" t="s">
        <v>294</v>
      </c>
      <c r="H377" s="32">
        <f>VLOOKUP(D377,'New TB INC'!C:K,3,0)-F377</f>
        <v>0</v>
      </c>
      <c r="I377" s="32"/>
      <c r="K377" s="32"/>
    </row>
    <row r="378" spans="1:11" s="380" customFormat="1">
      <c r="A378" s="515" t="s">
        <v>2368</v>
      </c>
      <c r="B378" s="515" t="s">
        <v>1282</v>
      </c>
      <c r="C378" s="515" t="s">
        <v>1352</v>
      </c>
      <c r="D378" s="2785">
        <v>5100019</v>
      </c>
      <c r="E378" s="515" t="s">
        <v>1245</v>
      </c>
      <c r="F378" s="173">
        <v>29978.66</v>
      </c>
      <c r="G378" s="515" t="s">
        <v>294</v>
      </c>
      <c r="H378" s="32">
        <f>VLOOKUP(D378,'New TB INC'!C:K,3,0)-F378</f>
        <v>0</v>
      </c>
      <c r="I378" s="32"/>
      <c r="K378" s="32"/>
    </row>
    <row r="379" spans="1:11" s="380" customFormat="1">
      <c r="A379" s="515" t="s">
        <v>2368</v>
      </c>
      <c r="B379" s="515" t="s">
        <v>1282</v>
      </c>
      <c r="C379" s="515" t="s">
        <v>1352</v>
      </c>
      <c r="D379" s="2785">
        <v>5100020</v>
      </c>
      <c r="E379" s="515" t="s">
        <v>841</v>
      </c>
      <c r="F379" s="173">
        <v>21113</v>
      </c>
      <c r="G379" s="515" t="s">
        <v>294</v>
      </c>
      <c r="H379" s="32">
        <f>VLOOKUP(D379,'New TB INC'!C:K,3,0)-F379</f>
        <v>0</v>
      </c>
      <c r="I379" s="32"/>
      <c r="K379" s="32"/>
    </row>
    <row r="380" spans="1:11" s="380" customFormat="1">
      <c r="A380" s="515" t="s">
        <v>2368</v>
      </c>
      <c r="B380" s="515" t="s">
        <v>1282</v>
      </c>
      <c r="C380" s="515" t="s">
        <v>1353</v>
      </c>
      <c r="D380" s="2785">
        <v>5110001</v>
      </c>
      <c r="E380" s="515" t="s">
        <v>842</v>
      </c>
      <c r="F380" s="173">
        <v>1410.24</v>
      </c>
      <c r="G380" s="515" t="s">
        <v>294</v>
      </c>
      <c r="H380" s="32">
        <f>VLOOKUP(D380,'New TB INC'!C:K,3,0)-F380</f>
        <v>0</v>
      </c>
      <c r="I380" s="32"/>
      <c r="K380" s="32"/>
    </row>
    <row r="381" spans="1:11" s="380" customFormat="1">
      <c r="A381" s="515" t="s">
        <v>2368</v>
      </c>
      <c r="B381" s="515" t="s">
        <v>1282</v>
      </c>
      <c r="C381" s="515" t="s">
        <v>1353</v>
      </c>
      <c r="D381" s="2785">
        <v>5110002</v>
      </c>
      <c r="E381" s="515" t="s">
        <v>843</v>
      </c>
      <c r="F381" s="173">
        <v>3241.49</v>
      </c>
      <c r="G381" s="515" t="s">
        <v>294</v>
      </c>
      <c r="H381" s="32">
        <f>VLOOKUP(D381,'New TB INC'!C:K,3,0)-F381</f>
        <v>0</v>
      </c>
      <c r="I381" s="32"/>
      <c r="K381" s="32"/>
    </row>
    <row r="382" spans="1:11" s="380" customFormat="1">
      <c r="A382" s="515" t="s">
        <v>2368</v>
      </c>
      <c r="B382" s="515" t="s">
        <v>1282</v>
      </c>
      <c r="C382" s="515" t="s">
        <v>1353</v>
      </c>
      <c r="D382" s="2785">
        <v>5110003</v>
      </c>
      <c r="E382" s="515" t="s">
        <v>844</v>
      </c>
      <c r="F382" s="173">
        <v>61.44</v>
      </c>
      <c r="G382" s="515" t="s">
        <v>294</v>
      </c>
      <c r="H382" s="32">
        <f>VLOOKUP(D382,'New TB INC'!C:K,3,0)-F382</f>
        <v>0</v>
      </c>
      <c r="I382" s="32"/>
      <c r="K382" s="32"/>
    </row>
    <row r="383" spans="1:11" s="380" customFormat="1">
      <c r="A383" s="515" t="s">
        <v>2368</v>
      </c>
      <c r="B383" s="515" t="s">
        <v>1282</v>
      </c>
      <c r="C383" s="515" t="s">
        <v>1353</v>
      </c>
      <c r="D383" s="2785">
        <v>5110004</v>
      </c>
      <c r="E383" s="515" t="s">
        <v>845</v>
      </c>
      <c r="F383" s="173">
        <v>1626.41</v>
      </c>
      <c r="G383" s="515" t="s">
        <v>294</v>
      </c>
      <c r="H383" s="32">
        <f>VLOOKUP(D383,'New TB INC'!C:K,3,0)-F383</f>
        <v>0</v>
      </c>
      <c r="I383" s="32"/>
      <c r="K383" s="32"/>
    </row>
    <row r="384" spans="1:11" s="380" customFormat="1">
      <c r="A384" s="515" t="s">
        <v>2368</v>
      </c>
      <c r="B384" s="515" t="s">
        <v>1282</v>
      </c>
      <c r="C384" s="515" t="s">
        <v>1353</v>
      </c>
      <c r="D384" s="2785">
        <v>5110005</v>
      </c>
      <c r="E384" s="515" t="s">
        <v>1354</v>
      </c>
      <c r="F384" s="173">
        <v>1768.33</v>
      </c>
      <c r="G384" s="515" t="s">
        <v>294</v>
      </c>
      <c r="H384" s="32">
        <f>VLOOKUP(D384,'New TB INC'!C:K,3,0)-F384</f>
        <v>0</v>
      </c>
      <c r="I384" s="32"/>
      <c r="K384" s="32"/>
    </row>
    <row r="385" spans="1:11" s="380" customFormat="1">
      <c r="A385" s="515" t="s">
        <v>2368</v>
      </c>
      <c r="B385" s="515" t="s">
        <v>1282</v>
      </c>
      <c r="C385" s="515" t="s">
        <v>1353</v>
      </c>
      <c r="D385" s="2785">
        <v>5110007</v>
      </c>
      <c r="E385" s="515" t="s">
        <v>3758</v>
      </c>
      <c r="F385" s="173">
        <v>1631.27</v>
      </c>
      <c r="G385" s="515" t="s">
        <v>294</v>
      </c>
      <c r="H385" s="32">
        <f>VLOOKUP(D385,'New TB INC'!C:K,3,0)-F385</f>
        <v>0</v>
      </c>
      <c r="I385" s="32"/>
      <c r="K385" s="32"/>
    </row>
    <row r="386" spans="1:11" s="380" customFormat="1">
      <c r="A386" s="515" t="s">
        <v>2368</v>
      </c>
      <c r="B386" s="515" t="s">
        <v>1282</v>
      </c>
      <c r="C386" s="515" t="s">
        <v>1353</v>
      </c>
      <c r="D386" s="2785">
        <v>5110008</v>
      </c>
      <c r="E386" s="515" t="s">
        <v>4011</v>
      </c>
      <c r="F386" s="173">
        <v>148.96</v>
      </c>
      <c r="G386" s="515" t="s">
        <v>294</v>
      </c>
      <c r="H386" s="32">
        <f>VLOOKUP(D386,'New TB INC'!C:K,3,0)-F386</f>
        <v>0</v>
      </c>
      <c r="I386" s="32"/>
      <c r="K386" s="32"/>
    </row>
    <row r="387" spans="1:11" s="380" customFormat="1">
      <c r="A387" s="515" t="s">
        <v>2368</v>
      </c>
      <c r="B387" s="515" t="s">
        <v>1282</v>
      </c>
      <c r="C387" s="515" t="s">
        <v>1353</v>
      </c>
      <c r="D387" s="2785">
        <v>5110009</v>
      </c>
      <c r="E387" s="515" t="s">
        <v>4164</v>
      </c>
      <c r="F387" s="173">
        <v>300</v>
      </c>
      <c r="G387" s="515" t="s">
        <v>294</v>
      </c>
      <c r="H387" s="32">
        <f>VLOOKUP(D387,'New TB INC'!C:K,3,0)-F387</f>
        <v>0</v>
      </c>
      <c r="I387" s="32"/>
      <c r="K387" s="32"/>
    </row>
    <row r="388" spans="1:11" s="380" customFormat="1">
      <c r="A388" s="515" t="s">
        <v>2368</v>
      </c>
      <c r="B388" s="515" t="s">
        <v>1282</v>
      </c>
      <c r="C388" s="515" t="s">
        <v>1353</v>
      </c>
      <c r="D388" s="2785">
        <v>5119999</v>
      </c>
      <c r="E388" s="515" t="s">
        <v>3526</v>
      </c>
      <c r="F388" s="173">
        <v>15537.05</v>
      </c>
      <c r="G388" s="515" t="s">
        <v>294</v>
      </c>
      <c r="H388" s="32">
        <f>VLOOKUP(D388,'New TB INC'!C:K,3,0)-F388</f>
        <v>0</v>
      </c>
      <c r="I388" s="32"/>
      <c r="K388" s="32"/>
    </row>
    <row r="389" spans="1:11" s="380" customFormat="1">
      <c r="A389" s="515" t="s">
        <v>2368</v>
      </c>
      <c r="B389" s="515" t="s">
        <v>1283</v>
      </c>
      <c r="C389" s="515" t="s">
        <v>2369</v>
      </c>
      <c r="D389" s="2785">
        <v>5200001</v>
      </c>
      <c r="E389" s="515" t="s">
        <v>2370</v>
      </c>
      <c r="F389" s="173">
        <v>1528041.83</v>
      </c>
      <c r="G389" s="515" t="s">
        <v>294</v>
      </c>
      <c r="H389" s="32">
        <f>VLOOKUP(D389,'New TB INC'!C:K,3,0)-F389</f>
        <v>0</v>
      </c>
      <c r="I389" s="32"/>
      <c r="K389" s="32"/>
    </row>
    <row r="390" spans="1:11" s="380" customFormat="1">
      <c r="A390" s="515" t="s">
        <v>2368</v>
      </c>
      <c r="B390" s="515" t="s">
        <v>1283</v>
      </c>
      <c r="C390" s="515" t="s">
        <v>2369</v>
      </c>
      <c r="D390" s="2785" t="s">
        <v>1676</v>
      </c>
      <c r="E390" s="515" t="s">
        <v>1677</v>
      </c>
      <c r="F390" s="173">
        <v>169807.12</v>
      </c>
      <c r="G390" s="515" t="s">
        <v>294</v>
      </c>
      <c r="H390" s="32">
        <f>VLOOKUP(D390,'New TB INC'!C:K,3,0)-F390</f>
        <v>0</v>
      </c>
      <c r="I390" s="32"/>
      <c r="K390" s="32"/>
    </row>
    <row r="391" spans="1:11" s="380" customFormat="1">
      <c r="A391" s="515" t="s">
        <v>2368</v>
      </c>
      <c r="B391" s="515" t="s">
        <v>1283</v>
      </c>
      <c r="C391" s="515" t="s">
        <v>2369</v>
      </c>
      <c r="D391" s="2785">
        <v>5200002</v>
      </c>
      <c r="E391" s="515" t="s">
        <v>3414</v>
      </c>
      <c r="F391" s="173">
        <v>8660</v>
      </c>
      <c r="G391" s="515" t="s">
        <v>294</v>
      </c>
      <c r="H391" s="32">
        <f>VLOOKUP(D391,'New TB INC'!C:K,3,0)-F391</f>
        <v>0</v>
      </c>
      <c r="I391" s="32"/>
      <c r="K391" s="32"/>
    </row>
    <row r="392" spans="1:11" s="380" customFormat="1">
      <c r="A392" s="515" t="s">
        <v>2368</v>
      </c>
      <c r="B392" s="515" t="s">
        <v>1283</v>
      </c>
      <c r="C392" s="515" t="s">
        <v>2369</v>
      </c>
      <c r="D392" s="2785" t="s">
        <v>2567</v>
      </c>
      <c r="E392" s="515" t="s">
        <v>2568</v>
      </c>
      <c r="F392" s="173">
        <v>1410.58</v>
      </c>
      <c r="G392" s="515" t="s">
        <v>294</v>
      </c>
      <c r="H392" s="32">
        <f>VLOOKUP(D392,'New TB INC'!C:K,3,0)-F392</f>
        <v>0</v>
      </c>
      <c r="I392" s="32"/>
      <c r="K392" s="32"/>
    </row>
    <row r="393" spans="1:11" s="380" customFormat="1">
      <c r="A393" s="515" t="s">
        <v>2368</v>
      </c>
      <c r="B393" s="515" t="s">
        <v>1283</v>
      </c>
      <c r="C393" s="515" t="s">
        <v>2369</v>
      </c>
      <c r="D393" s="2785">
        <v>5200003</v>
      </c>
      <c r="E393" s="515" t="s">
        <v>2371</v>
      </c>
      <c r="F393" s="173">
        <v>93843.07</v>
      </c>
      <c r="G393" s="515" t="s">
        <v>294</v>
      </c>
      <c r="H393" s="32">
        <f>VLOOKUP(D393,'New TB INC'!C:K,3,0)-F393</f>
        <v>0</v>
      </c>
      <c r="I393" s="32"/>
      <c r="K393" s="32"/>
    </row>
    <row r="394" spans="1:11" s="380" customFormat="1">
      <c r="A394" s="515" t="s">
        <v>2368</v>
      </c>
      <c r="B394" s="515" t="s">
        <v>1283</v>
      </c>
      <c r="C394" s="515" t="s">
        <v>2369</v>
      </c>
      <c r="D394" s="2785" t="s">
        <v>3335</v>
      </c>
      <c r="E394" s="515" t="s">
        <v>3336</v>
      </c>
      <c r="F394" s="173">
        <v>8610.4</v>
      </c>
      <c r="G394" s="515" t="s">
        <v>294</v>
      </c>
      <c r="H394" s="32">
        <f>VLOOKUP(D394,'New TB INC'!C:K,3,0)-F394</f>
        <v>0</v>
      </c>
      <c r="I394" s="32"/>
      <c r="K394" s="32"/>
    </row>
    <row r="395" spans="1:11" s="380" customFormat="1">
      <c r="A395" s="515" t="s">
        <v>2368</v>
      </c>
      <c r="B395" s="515" t="s">
        <v>1283</v>
      </c>
      <c r="C395" s="515" t="s">
        <v>2369</v>
      </c>
      <c r="D395" s="2785">
        <v>5200004</v>
      </c>
      <c r="E395" s="515" t="s">
        <v>2372</v>
      </c>
      <c r="F395" s="173">
        <v>6477.71</v>
      </c>
      <c r="G395" s="515" t="s">
        <v>294</v>
      </c>
      <c r="H395" s="32">
        <f>VLOOKUP(D395,'New TB INC'!C:K,3,0)-F395</f>
        <v>0</v>
      </c>
      <c r="I395" s="32"/>
      <c r="K395" s="32"/>
    </row>
    <row r="396" spans="1:11" s="380" customFormat="1">
      <c r="A396" s="515" t="s">
        <v>2368</v>
      </c>
      <c r="B396" s="515" t="s">
        <v>1283</v>
      </c>
      <c r="C396" s="515" t="s">
        <v>2369</v>
      </c>
      <c r="D396" s="2785">
        <v>5200006</v>
      </c>
      <c r="E396" s="515" t="s">
        <v>1678</v>
      </c>
      <c r="F396" s="173">
        <v>-1729.42</v>
      </c>
      <c r="G396" s="515" t="s">
        <v>294</v>
      </c>
      <c r="H396" s="32">
        <f>VLOOKUP(D396,'New TB INC'!C:K,3,0)-F396</f>
        <v>0</v>
      </c>
      <c r="I396" s="32"/>
      <c r="K396" s="32"/>
    </row>
    <row r="397" spans="1:11" s="380" customFormat="1">
      <c r="A397" s="515" t="s">
        <v>2368</v>
      </c>
      <c r="B397" s="515" t="s">
        <v>1283</v>
      </c>
      <c r="C397" s="515" t="s">
        <v>2369</v>
      </c>
      <c r="D397" s="2785" t="s">
        <v>1679</v>
      </c>
      <c r="E397" s="515" t="s">
        <v>1680</v>
      </c>
      <c r="F397" s="173">
        <v>346.27</v>
      </c>
      <c r="G397" s="515" t="s">
        <v>294</v>
      </c>
      <c r="H397" s="32">
        <f>VLOOKUP(D397,'New TB INC'!C:K,3,0)-F397</f>
        <v>0</v>
      </c>
      <c r="I397" s="32"/>
      <c r="K397" s="32"/>
    </row>
    <row r="398" spans="1:11" s="380" customFormat="1">
      <c r="A398" s="515" t="s">
        <v>2368</v>
      </c>
      <c r="B398" s="515" t="s">
        <v>1283</v>
      </c>
      <c r="C398" s="515" t="s">
        <v>2369</v>
      </c>
      <c r="D398" s="2785">
        <v>5200007</v>
      </c>
      <c r="E398" s="515" t="s">
        <v>4711</v>
      </c>
      <c r="F398" s="173">
        <v>-8622.67</v>
      </c>
      <c r="G398" s="515" t="s">
        <v>294</v>
      </c>
      <c r="H398" s="32">
        <f>VLOOKUP(D398,'New TB INC'!C:K,3,0)-F398</f>
        <v>0</v>
      </c>
      <c r="I398" s="32"/>
      <c r="K398" s="32"/>
    </row>
    <row r="399" spans="1:11" s="380" customFormat="1">
      <c r="A399" s="515" t="s">
        <v>2368</v>
      </c>
      <c r="B399" s="515" t="s">
        <v>1283</v>
      </c>
      <c r="C399" s="515" t="s">
        <v>2369</v>
      </c>
      <c r="D399" s="2785">
        <v>5200008</v>
      </c>
      <c r="E399" s="515" t="s">
        <v>2373</v>
      </c>
      <c r="F399" s="173">
        <v>9684.75</v>
      </c>
      <c r="G399" s="515" t="s">
        <v>294</v>
      </c>
      <c r="H399" s="32">
        <f>VLOOKUP(D399,'New TB INC'!C:K,3,0)-F399</f>
        <v>0</v>
      </c>
      <c r="I399" s="32"/>
      <c r="K399" s="32"/>
    </row>
    <row r="400" spans="1:11" s="380" customFormat="1">
      <c r="A400" s="515" t="s">
        <v>2368</v>
      </c>
      <c r="B400" s="515" t="s">
        <v>1283</v>
      </c>
      <c r="C400" s="515" t="s">
        <v>2369</v>
      </c>
      <c r="D400" s="2785">
        <v>5200009</v>
      </c>
      <c r="E400" s="515" t="s">
        <v>2374</v>
      </c>
      <c r="F400" s="173">
        <v>146453.45000000001</v>
      </c>
      <c r="G400" s="515" t="s">
        <v>294</v>
      </c>
      <c r="H400" s="32">
        <f>VLOOKUP(D400,'New TB INC'!C:K,3,0)-F400</f>
        <v>0</v>
      </c>
      <c r="I400" s="32"/>
      <c r="K400" s="32"/>
    </row>
    <row r="401" spans="1:11" s="380" customFormat="1">
      <c r="A401" s="515" t="s">
        <v>2368</v>
      </c>
      <c r="B401" s="515" t="s">
        <v>1283</v>
      </c>
      <c r="C401" s="515" t="s">
        <v>2369</v>
      </c>
      <c r="D401" s="2785" t="s">
        <v>1742</v>
      </c>
      <c r="E401" s="515" t="s">
        <v>2375</v>
      </c>
      <c r="F401" s="173">
        <v>2946.19</v>
      </c>
      <c r="G401" s="515" t="s">
        <v>294</v>
      </c>
      <c r="H401" s="32">
        <f>VLOOKUP(D401,'New TB INC'!C:K,3,0)-F401</f>
        <v>0</v>
      </c>
      <c r="I401" s="32"/>
      <c r="K401" s="32"/>
    </row>
    <row r="402" spans="1:11" s="380" customFormat="1">
      <c r="A402" s="515" t="s">
        <v>2368</v>
      </c>
      <c r="B402" s="515" t="s">
        <v>1283</v>
      </c>
      <c r="C402" s="515" t="s">
        <v>2369</v>
      </c>
      <c r="D402" s="2785">
        <v>5200010</v>
      </c>
      <c r="E402" s="515" t="s">
        <v>2376</v>
      </c>
      <c r="F402" s="173">
        <v>9960.27</v>
      </c>
      <c r="G402" s="515" t="s">
        <v>294</v>
      </c>
      <c r="H402" s="32">
        <f>VLOOKUP(D402,'New TB INC'!C:K,3,0)-F402</f>
        <v>0</v>
      </c>
      <c r="I402" s="32"/>
      <c r="K402" s="32"/>
    </row>
    <row r="403" spans="1:11" s="380" customFormat="1">
      <c r="A403" s="515" t="s">
        <v>2368</v>
      </c>
      <c r="B403" s="515" t="s">
        <v>1283</v>
      </c>
      <c r="C403" s="515" t="s">
        <v>2369</v>
      </c>
      <c r="D403" s="2785">
        <v>5200011</v>
      </c>
      <c r="E403" s="515" t="s">
        <v>4712</v>
      </c>
      <c r="F403" s="173">
        <v>-1008.01</v>
      </c>
      <c r="G403" s="515" t="s">
        <v>294</v>
      </c>
      <c r="H403" s="32">
        <f>VLOOKUP(D403,'New TB INC'!C:K,3,0)-F403</f>
        <v>0</v>
      </c>
      <c r="I403" s="32"/>
      <c r="K403" s="32"/>
    </row>
    <row r="404" spans="1:11" s="380" customFormat="1">
      <c r="A404" s="515" t="s">
        <v>2368</v>
      </c>
      <c r="B404" s="515" t="s">
        <v>1283</v>
      </c>
      <c r="C404" s="515" t="s">
        <v>2369</v>
      </c>
      <c r="D404" s="2785">
        <v>5200012</v>
      </c>
      <c r="E404" s="515" t="s">
        <v>2377</v>
      </c>
      <c r="F404" s="173">
        <v>118963.11</v>
      </c>
      <c r="G404" s="515" t="s">
        <v>294</v>
      </c>
      <c r="H404" s="32">
        <f>VLOOKUP(D404,'New TB INC'!C:K,3,0)-F404</f>
        <v>0</v>
      </c>
      <c r="I404" s="32"/>
      <c r="K404" s="32"/>
    </row>
    <row r="405" spans="1:11" s="380" customFormat="1">
      <c r="A405" s="515" t="s">
        <v>2368</v>
      </c>
      <c r="B405" s="515" t="s">
        <v>1283</v>
      </c>
      <c r="C405" s="515" t="s">
        <v>2369</v>
      </c>
      <c r="D405" s="2785" t="s">
        <v>1681</v>
      </c>
      <c r="E405" s="515" t="s">
        <v>1682</v>
      </c>
      <c r="F405" s="173">
        <v>6588.59</v>
      </c>
      <c r="G405" s="515" t="s">
        <v>294</v>
      </c>
      <c r="H405" s="32">
        <f>VLOOKUP(D405,'New TB INC'!C:K,3,0)-F405</f>
        <v>0</v>
      </c>
      <c r="I405" s="32"/>
      <c r="K405" s="32"/>
    </row>
    <row r="406" spans="1:11" s="380" customFormat="1">
      <c r="A406" s="515" t="s">
        <v>2368</v>
      </c>
      <c r="B406" s="515" t="s">
        <v>1283</v>
      </c>
      <c r="C406" s="515" t="s">
        <v>2369</v>
      </c>
      <c r="D406" s="2785">
        <v>5200014</v>
      </c>
      <c r="E406" s="515" t="s">
        <v>1744</v>
      </c>
      <c r="F406" s="173">
        <v>4038.46</v>
      </c>
      <c r="G406" s="515" t="s">
        <v>294</v>
      </c>
      <c r="H406" s="32">
        <f>VLOOKUP(D406,'New TB INC'!C:K,3,0)-F406</f>
        <v>0</v>
      </c>
      <c r="I406" s="32"/>
      <c r="K406" s="32"/>
    </row>
    <row r="407" spans="1:11" s="380" customFormat="1">
      <c r="A407" s="515" t="s">
        <v>2368</v>
      </c>
      <c r="B407" s="515" t="s">
        <v>1283</v>
      </c>
      <c r="C407" s="515" t="s">
        <v>2369</v>
      </c>
      <c r="D407" s="2785">
        <v>5200020</v>
      </c>
      <c r="E407" s="515" t="s">
        <v>2378</v>
      </c>
      <c r="F407" s="173">
        <v>113343.3</v>
      </c>
      <c r="G407" s="515" t="s">
        <v>294</v>
      </c>
      <c r="H407" s="32">
        <f>VLOOKUP(D407,'New TB INC'!C:K,3,0)-F407</f>
        <v>0</v>
      </c>
      <c r="I407" s="32"/>
      <c r="K407" s="32"/>
    </row>
    <row r="408" spans="1:11" s="380" customFormat="1">
      <c r="A408" s="515" t="s">
        <v>2368</v>
      </c>
      <c r="B408" s="515" t="s">
        <v>1283</v>
      </c>
      <c r="C408" s="515" t="s">
        <v>1355</v>
      </c>
      <c r="D408" s="2785">
        <v>5210001</v>
      </c>
      <c r="E408" s="515" t="s">
        <v>4299</v>
      </c>
      <c r="F408" s="173">
        <v>2736.74</v>
      </c>
      <c r="G408" s="515" t="s">
        <v>294</v>
      </c>
      <c r="H408" s="32">
        <f>VLOOKUP(D408,'New TB INC'!C:K,3,0)-F408</f>
        <v>0</v>
      </c>
      <c r="I408" s="32"/>
      <c r="K408" s="32"/>
    </row>
    <row r="409" spans="1:11" s="380" customFormat="1">
      <c r="A409" s="515" t="s">
        <v>2368</v>
      </c>
      <c r="B409" s="515" t="s">
        <v>1283</v>
      </c>
      <c r="C409" s="515" t="s">
        <v>1355</v>
      </c>
      <c r="D409" s="2785">
        <v>5210002</v>
      </c>
      <c r="E409" s="515" t="s">
        <v>4300</v>
      </c>
      <c r="F409" s="173">
        <v>2999.63</v>
      </c>
      <c r="G409" s="515" t="s">
        <v>294</v>
      </c>
      <c r="H409" s="32">
        <f>VLOOKUP(D409,'New TB INC'!C:K,3,0)-F409</f>
        <v>0</v>
      </c>
      <c r="I409" s="32"/>
      <c r="K409" s="32"/>
    </row>
    <row r="410" spans="1:11" s="380" customFormat="1">
      <c r="A410" s="515" t="s">
        <v>2368</v>
      </c>
      <c r="B410" s="515" t="s">
        <v>1283</v>
      </c>
      <c r="C410" s="515" t="s">
        <v>1355</v>
      </c>
      <c r="D410" s="2785">
        <v>5210003</v>
      </c>
      <c r="E410" s="515" t="s">
        <v>4301</v>
      </c>
      <c r="F410" s="173">
        <v>316.45</v>
      </c>
      <c r="G410" s="515" t="s">
        <v>294</v>
      </c>
      <c r="H410" s="32">
        <f>VLOOKUP(D410,'New TB INC'!C:K,3,0)-F410</f>
        <v>0</v>
      </c>
      <c r="I410" s="32"/>
      <c r="K410" s="32"/>
    </row>
    <row r="411" spans="1:11" s="380" customFormat="1">
      <c r="A411" s="515" t="s">
        <v>2368</v>
      </c>
      <c r="B411" s="515" t="s">
        <v>1283</v>
      </c>
      <c r="C411" s="515" t="s">
        <v>1355</v>
      </c>
      <c r="D411" s="2785">
        <v>5210004</v>
      </c>
      <c r="E411" s="515" t="s">
        <v>4302</v>
      </c>
      <c r="F411" s="173">
        <v>813.99</v>
      </c>
      <c r="G411" s="515" t="s">
        <v>294</v>
      </c>
      <c r="H411" s="32">
        <f>VLOOKUP(D411,'New TB INC'!C:K,3,0)-F411</f>
        <v>0</v>
      </c>
      <c r="I411" s="32"/>
      <c r="K411" s="32"/>
    </row>
    <row r="412" spans="1:11" s="380" customFormat="1">
      <c r="A412" s="515" t="s">
        <v>2368</v>
      </c>
      <c r="B412" s="515" t="s">
        <v>1283</v>
      </c>
      <c r="C412" s="515" t="s">
        <v>1355</v>
      </c>
      <c r="D412" s="2785">
        <v>5210005</v>
      </c>
      <c r="E412" s="515" t="s">
        <v>2379</v>
      </c>
      <c r="F412" s="173">
        <v>3109.9</v>
      </c>
      <c r="G412" s="515" t="s">
        <v>294</v>
      </c>
      <c r="H412" s="32">
        <f>VLOOKUP(D412,'New TB INC'!C:K,3,0)-F412</f>
        <v>0</v>
      </c>
      <c r="I412" s="32"/>
      <c r="K412" s="32"/>
    </row>
    <row r="413" spans="1:11" s="380" customFormat="1">
      <c r="A413" s="515" t="s">
        <v>2368</v>
      </c>
      <c r="B413" s="515" t="s">
        <v>1283</v>
      </c>
      <c r="C413" s="515" t="s">
        <v>1355</v>
      </c>
      <c r="D413" s="2785">
        <v>5210006</v>
      </c>
      <c r="E413" s="515" t="s">
        <v>3107</v>
      </c>
      <c r="F413" s="173">
        <v>596.78</v>
      </c>
      <c r="G413" s="515" t="s">
        <v>294</v>
      </c>
      <c r="H413" s="32">
        <f>VLOOKUP(D413,'New TB INC'!C:K,3,0)-F413</f>
        <v>0</v>
      </c>
      <c r="I413" s="32"/>
      <c r="K413" s="32"/>
    </row>
    <row r="414" spans="1:11" s="380" customFormat="1">
      <c r="A414" s="515" t="s">
        <v>2368</v>
      </c>
      <c r="B414" s="515" t="s">
        <v>1283</v>
      </c>
      <c r="C414" s="515" t="s">
        <v>1355</v>
      </c>
      <c r="D414" s="2785">
        <v>5210007</v>
      </c>
      <c r="E414" s="515" t="s">
        <v>4012</v>
      </c>
      <c r="F414" s="173">
        <v>1909.83</v>
      </c>
      <c r="G414" s="515" t="s">
        <v>294</v>
      </c>
      <c r="H414" s="32">
        <f>VLOOKUP(D414,'New TB INC'!C:K,3,0)-F414</f>
        <v>0</v>
      </c>
      <c r="I414" s="32"/>
      <c r="K414" s="32"/>
    </row>
    <row r="415" spans="1:11" s="380" customFormat="1">
      <c r="A415" s="515" t="s">
        <v>2368</v>
      </c>
      <c r="B415" s="515" t="s">
        <v>1283</v>
      </c>
      <c r="C415" s="515" t="s">
        <v>1355</v>
      </c>
      <c r="D415" s="2785">
        <v>5210008</v>
      </c>
      <c r="E415" s="515" t="s">
        <v>4303</v>
      </c>
      <c r="F415" s="173">
        <v>789.09</v>
      </c>
      <c r="G415" s="515" t="s">
        <v>294</v>
      </c>
      <c r="H415" s="32">
        <f>VLOOKUP(D415,'New TB INC'!C:K,3,0)-F415</f>
        <v>0</v>
      </c>
      <c r="I415" s="32"/>
      <c r="K415" s="32"/>
    </row>
    <row r="416" spans="1:11" s="380" customFormat="1">
      <c r="A416" s="515" t="s">
        <v>2368</v>
      </c>
      <c r="B416" s="515" t="s">
        <v>1283</v>
      </c>
      <c r="C416" s="515" t="s">
        <v>1355</v>
      </c>
      <c r="D416" s="2785">
        <v>5219999</v>
      </c>
      <c r="E416" s="515" t="s">
        <v>1801</v>
      </c>
      <c r="F416" s="173">
        <v>155081.82</v>
      </c>
      <c r="G416" s="515" t="s">
        <v>294</v>
      </c>
      <c r="H416" s="32">
        <f>VLOOKUP(D416,'New TB INC'!C:K,3,0)-F416</f>
        <v>0</v>
      </c>
      <c r="I416" s="32"/>
      <c r="K416" s="32"/>
    </row>
    <row r="417" spans="1:11" s="380" customFormat="1">
      <c r="A417" s="515" t="s">
        <v>2368</v>
      </c>
      <c r="B417" s="515" t="s">
        <v>1284</v>
      </c>
      <c r="C417" s="515" t="s">
        <v>1357</v>
      </c>
      <c r="D417" s="2785">
        <v>5400001</v>
      </c>
      <c r="E417" s="515" t="s">
        <v>859</v>
      </c>
      <c r="F417" s="173">
        <v>221725.05</v>
      </c>
      <c r="G417" s="515" t="s">
        <v>294</v>
      </c>
      <c r="H417" s="32">
        <f>VLOOKUP(D417,'New TB INC'!C:K,3,0)-F417</f>
        <v>0</v>
      </c>
      <c r="I417" s="32"/>
      <c r="K417" s="32"/>
    </row>
    <row r="418" spans="1:11" s="380" customFormat="1">
      <c r="A418" s="515" t="s">
        <v>2368</v>
      </c>
      <c r="B418" s="515" t="s">
        <v>1284</v>
      </c>
      <c r="C418" s="515" t="s">
        <v>1357</v>
      </c>
      <c r="D418" s="2785">
        <v>5400002</v>
      </c>
      <c r="E418" s="515" t="s">
        <v>1232</v>
      </c>
      <c r="F418" s="173">
        <v>5516.24</v>
      </c>
      <c r="G418" s="515" t="s">
        <v>294</v>
      </c>
      <c r="H418" s="32">
        <f>VLOOKUP(D418,'New TB INC'!C:K,3,0)-F418</f>
        <v>0</v>
      </c>
      <c r="I418" s="32"/>
      <c r="K418" s="32"/>
    </row>
    <row r="419" spans="1:11" s="380" customFormat="1">
      <c r="A419" s="515" t="s">
        <v>2368</v>
      </c>
      <c r="B419" s="515" t="s">
        <v>1284</v>
      </c>
      <c r="C419" s="515" t="s">
        <v>1357</v>
      </c>
      <c r="D419" s="2785">
        <v>5400003</v>
      </c>
      <c r="E419" s="515" t="s">
        <v>1418</v>
      </c>
      <c r="F419" s="173">
        <v>1340</v>
      </c>
      <c r="G419" s="515" t="s">
        <v>294</v>
      </c>
      <c r="H419" s="32">
        <f>VLOOKUP(D419,'New TB INC'!C:K,3,0)-F419</f>
        <v>0</v>
      </c>
      <c r="I419" s="32"/>
      <c r="K419" s="32"/>
    </row>
    <row r="420" spans="1:11" s="380" customFormat="1">
      <c r="A420" s="515" t="s">
        <v>2368</v>
      </c>
      <c r="B420" s="515" t="s">
        <v>1284</v>
      </c>
      <c r="C420" s="515" t="s">
        <v>1357</v>
      </c>
      <c r="D420" s="2785">
        <v>5400008</v>
      </c>
      <c r="E420" s="515" t="s">
        <v>1516</v>
      </c>
      <c r="F420" s="173">
        <v>110</v>
      </c>
      <c r="G420" s="515" t="s">
        <v>294</v>
      </c>
      <c r="H420" s="32">
        <f>VLOOKUP(D420,'New TB INC'!C:K,3,0)-F420</f>
        <v>0</v>
      </c>
      <c r="I420" s="32"/>
      <c r="K420" s="32"/>
    </row>
    <row r="421" spans="1:11" s="380" customFormat="1">
      <c r="A421" s="515" t="s">
        <v>2368</v>
      </c>
      <c r="B421" s="515" t="s">
        <v>1284</v>
      </c>
      <c r="C421" s="515" t="s">
        <v>1357</v>
      </c>
      <c r="D421" s="2785">
        <v>5400009</v>
      </c>
      <c r="E421" s="515" t="s">
        <v>861</v>
      </c>
      <c r="F421" s="173">
        <v>17870.82</v>
      </c>
      <c r="G421" s="515" t="s">
        <v>294</v>
      </c>
      <c r="H421" s="32">
        <f>VLOOKUP(D421,'New TB INC'!C:K,3,0)-F421</f>
        <v>0</v>
      </c>
      <c r="I421" s="32"/>
      <c r="K421" s="32"/>
    </row>
    <row r="422" spans="1:11" s="380" customFormat="1">
      <c r="A422" s="515" t="s">
        <v>2368</v>
      </c>
      <c r="B422" s="515" t="s">
        <v>1284</v>
      </c>
      <c r="C422" s="515" t="s">
        <v>1357</v>
      </c>
      <c r="D422" s="2785">
        <v>5400010</v>
      </c>
      <c r="E422" s="515" t="s">
        <v>862</v>
      </c>
      <c r="F422" s="173">
        <v>23339.3</v>
      </c>
      <c r="G422" s="515" t="s">
        <v>294</v>
      </c>
      <c r="H422" s="32">
        <f>VLOOKUP(D422,'New TB INC'!C:K,3,0)-F422</f>
        <v>0</v>
      </c>
      <c r="I422" s="32"/>
      <c r="K422" s="32"/>
    </row>
    <row r="423" spans="1:11" s="380" customFormat="1">
      <c r="A423" s="515" t="s">
        <v>2368</v>
      </c>
      <c r="B423" s="515" t="s">
        <v>1284</v>
      </c>
      <c r="C423" s="515" t="s">
        <v>1357</v>
      </c>
      <c r="D423" s="2785">
        <v>5400011</v>
      </c>
      <c r="E423" s="515" t="s">
        <v>863</v>
      </c>
      <c r="F423" s="173">
        <v>2130.41</v>
      </c>
      <c r="G423" s="515" t="s">
        <v>294</v>
      </c>
      <c r="H423" s="32">
        <f>VLOOKUP(D423,'New TB INC'!C:K,3,0)-F423</f>
        <v>0</v>
      </c>
      <c r="I423" s="32"/>
      <c r="K423" s="32"/>
    </row>
    <row r="424" spans="1:11" s="380" customFormat="1">
      <c r="A424" s="515" t="s">
        <v>2368</v>
      </c>
      <c r="B424" s="515" t="s">
        <v>1284</v>
      </c>
      <c r="C424" s="515" t="s">
        <v>1357</v>
      </c>
      <c r="D424" s="2785">
        <v>5400012</v>
      </c>
      <c r="E424" s="515" t="s">
        <v>2380</v>
      </c>
      <c r="F424" s="173">
        <v>152.33000000000001</v>
      </c>
      <c r="G424" s="515" t="s">
        <v>294</v>
      </c>
      <c r="H424" s="32">
        <f>VLOOKUP(D424,'New TB INC'!C:K,3,0)-F424</f>
        <v>0</v>
      </c>
      <c r="I424" s="32"/>
      <c r="K424" s="32"/>
    </row>
    <row r="425" spans="1:11" s="380" customFormat="1">
      <c r="A425" s="515" t="s">
        <v>2368</v>
      </c>
      <c r="B425" s="515" t="s">
        <v>1284</v>
      </c>
      <c r="C425" s="515" t="s">
        <v>1359</v>
      </c>
      <c r="D425" s="2785">
        <v>5400007</v>
      </c>
      <c r="E425" s="515" t="s">
        <v>2381</v>
      </c>
      <c r="F425" s="173">
        <v>104369.85</v>
      </c>
      <c r="G425" s="515" t="s">
        <v>294</v>
      </c>
      <c r="H425" s="32">
        <f>VLOOKUP(D425,'New TB INC'!C:K,3,0)-F425</f>
        <v>0</v>
      </c>
      <c r="I425" s="32"/>
      <c r="K425" s="32"/>
    </row>
    <row r="426" spans="1:11" s="380" customFormat="1">
      <c r="A426" s="515" t="s">
        <v>2368</v>
      </c>
      <c r="B426" s="515" t="s">
        <v>1284</v>
      </c>
      <c r="C426" s="515" t="s">
        <v>1359</v>
      </c>
      <c r="D426" s="2785">
        <v>5410002</v>
      </c>
      <c r="E426" s="515" t="s">
        <v>865</v>
      </c>
      <c r="F426" s="173">
        <v>295.76</v>
      </c>
      <c r="G426" s="515" t="s">
        <v>294</v>
      </c>
      <c r="H426" s="32">
        <f>VLOOKUP(D426,'New TB INC'!C:K,3,0)-F426</f>
        <v>0</v>
      </c>
      <c r="I426" s="32"/>
      <c r="K426" s="32"/>
    </row>
    <row r="427" spans="1:11" s="380" customFormat="1">
      <c r="A427" s="515" t="s">
        <v>2368</v>
      </c>
      <c r="B427" s="515" t="s">
        <v>1284</v>
      </c>
      <c r="C427" s="515" t="s">
        <v>1359</v>
      </c>
      <c r="D427" s="2785">
        <v>5410003</v>
      </c>
      <c r="E427" s="515" t="s">
        <v>866</v>
      </c>
      <c r="F427" s="173">
        <v>119.45</v>
      </c>
      <c r="G427" s="515" t="s">
        <v>294</v>
      </c>
      <c r="H427" s="32">
        <f>VLOOKUP(D427,'New TB INC'!C:K,3,0)-F427</f>
        <v>0</v>
      </c>
      <c r="I427" s="32"/>
      <c r="K427" s="32"/>
    </row>
    <row r="428" spans="1:11" s="380" customFormat="1">
      <c r="A428" s="515" t="s">
        <v>2368</v>
      </c>
      <c r="B428" s="515" t="s">
        <v>1284</v>
      </c>
      <c r="C428" s="515" t="s">
        <v>1359</v>
      </c>
      <c r="D428" s="2785">
        <v>5410004</v>
      </c>
      <c r="E428" s="515" t="s">
        <v>4013</v>
      </c>
      <c r="F428" s="173">
        <v>512.12</v>
      </c>
      <c r="G428" s="515" t="s">
        <v>294</v>
      </c>
      <c r="H428" s="32">
        <f>VLOOKUP(D428,'New TB INC'!C:K,3,0)-F428</f>
        <v>0</v>
      </c>
      <c r="I428" s="32"/>
      <c r="K428" s="32"/>
    </row>
    <row r="429" spans="1:11" s="380" customFormat="1">
      <c r="A429" s="515" t="s">
        <v>2368</v>
      </c>
      <c r="B429" s="515" t="s">
        <v>1284</v>
      </c>
      <c r="C429" s="515" t="s">
        <v>1359</v>
      </c>
      <c r="D429" s="2785">
        <v>5410005</v>
      </c>
      <c r="E429" s="515" t="s">
        <v>868</v>
      </c>
      <c r="F429" s="173">
        <v>99</v>
      </c>
      <c r="G429" s="515" t="s">
        <v>294</v>
      </c>
      <c r="H429" s="32">
        <f>VLOOKUP(D429,'New TB INC'!C:K,3,0)-F429</f>
        <v>0</v>
      </c>
      <c r="I429" s="32"/>
      <c r="K429" s="32"/>
    </row>
    <row r="430" spans="1:11" s="380" customFormat="1">
      <c r="A430" s="515" t="s">
        <v>2368</v>
      </c>
      <c r="B430" s="515" t="s">
        <v>1284</v>
      </c>
      <c r="C430" s="515" t="s">
        <v>1359</v>
      </c>
      <c r="D430" s="2785">
        <v>5419999</v>
      </c>
      <c r="E430" s="515" t="s">
        <v>3527</v>
      </c>
      <c r="F430" s="173">
        <v>10458.32</v>
      </c>
      <c r="G430" s="515" t="s">
        <v>294</v>
      </c>
      <c r="H430" s="32">
        <f>VLOOKUP(D430,'New TB INC'!C:K,3,0)-F430</f>
        <v>0</v>
      </c>
      <c r="I430" s="32"/>
      <c r="K430" s="32"/>
    </row>
    <row r="431" spans="1:11" s="380" customFormat="1">
      <c r="A431" s="515" t="s">
        <v>2368</v>
      </c>
      <c r="B431" s="515" t="s">
        <v>3337</v>
      </c>
      <c r="C431" s="515" t="s">
        <v>2131</v>
      </c>
      <c r="D431" s="2785">
        <v>5800002</v>
      </c>
      <c r="E431" s="515" t="s">
        <v>3338</v>
      </c>
      <c r="F431" s="173">
        <v>74547.31</v>
      </c>
      <c r="G431" s="515" t="s">
        <v>294</v>
      </c>
      <c r="H431" s="32">
        <f>VLOOKUP(D431,'New TB INC'!C:K,3,0)-F431</f>
        <v>0</v>
      </c>
      <c r="I431" s="32"/>
      <c r="K431" s="32"/>
    </row>
    <row r="432" spans="1:11" s="380" customFormat="1">
      <c r="A432" s="515" t="s">
        <v>2368</v>
      </c>
      <c r="B432" s="515" t="s">
        <v>3533</v>
      </c>
      <c r="C432" s="515" t="s">
        <v>3534</v>
      </c>
      <c r="D432" s="2785">
        <v>5900001</v>
      </c>
      <c r="E432" s="515" t="s">
        <v>735</v>
      </c>
      <c r="F432" s="173">
        <v>15404371.859999999</v>
      </c>
      <c r="G432" s="515" t="s">
        <v>294</v>
      </c>
      <c r="H432" s="32">
        <f>VLOOKUP(D432,'New TB INC'!C:K,3,0)-F432</f>
        <v>0</v>
      </c>
      <c r="I432" s="32"/>
      <c r="K432" s="32"/>
    </row>
    <row r="433" spans="1:11" s="380" customFormat="1">
      <c r="A433" s="515" t="s">
        <v>2382</v>
      </c>
      <c r="B433" s="515" t="s">
        <v>2383</v>
      </c>
      <c r="C433" s="515" t="s">
        <v>1361</v>
      </c>
      <c r="D433" s="2785">
        <v>6011001</v>
      </c>
      <c r="E433" s="515" t="s">
        <v>871</v>
      </c>
      <c r="F433" s="173">
        <v>540930.63</v>
      </c>
      <c r="G433" s="515" t="s">
        <v>294</v>
      </c>
      <c r="H433" s="32">
        <f>VLOOKUP(D433,'New TB INC'!C:K,3,0)-F433</f>
        <v>0</v>
      </c>
      <c r="I433" s="32"/>
      <c r="K433" s="32"/>
    </row>
    <row r="434" spans="1:11" s="380" customFormat="1">
      <c r="A434" s="515" t="s">
        <v>2382</v>
      </c>
      <c r="B434" s="515" t="s">
        <v>2383</v>
      </c>
      <c r="C434" s="515" t="s">
        <v>1361</v>
      </c>
      <c r="D434" s="2785" t="s">
        <v>2873</v>
      </c>
      <c r="E434" s="515" t="s">
        <v>2874</v>
      </c>
      <c r="F434" s="173">
        <v>750.48</v>
      </c>
      <c r="G434" s="515" t="s">
        <v>294</v>
      </c>
      <c r="H434" s="32">
        <f>VLOOKUP(D434,'New TB INC'!C:K,3,0)-F434</f>
        <v>0</v>
      </c>
      <c r="I434" s="32"/>
      <c r="K434" s="32"/>
    </row>
    <row r="435" spans="1:11" s="380" customFormat="1">
      <c r="A435" s="515" t="s">
        <v>2382</v>
      </c>
      <c r="B435" s="515" t="s">
        <v>2383</v>
      </c>
      <c r="C435" s="515" t="s">
        <v>1361</v>
      </c>
      <c r="D435" s="2785">
        <v>6011002</v>
      </c>
      <c r="E435" s="515" t="s">
        <v>872</v>
      </c>
      <c r="F435" s="173">
        <v>22485.72</v>
      </c>
      <c r="G435" s="515" t="s">
        <v>294</v>
      </c>
      <c r="H435" s="32">
        <f>VLOOKUP(D435,'New TB INC'!C:K,3,0)-F435</f>
        <v>0</v>
      </c>
      <c r="I435" s="32"/>
      <c r="K435" s="32"/>
    </row>
    <row r="436" spans="1:11" s="380" customFormat="1">
      <c r="A436" s="515" t="s">
        <v>2382</v>
      </c>
      <c r="B436" s="515" t="s">
        <v>2383</v>
      </c>
      <c r="C436" s="515" t="s">
        <v>1361</v>
      </c>
      <c r="D436" s="2785">
        <v>6011003</v>
      </c>
      <c r="E436" s="515" t="s">
        <v>873</v>
      </c>
      <c r="F436" s="173">
        <v>900</v>
      </c>
      <c r="G436" s="515" t="s">
        <v>294</v>
      </c>
      <c r="H436" s="32">
        <f>VLOOKUP(D436,'New TB INC'!C:K,3,0)-F436</f>
        <v>0</v>
      </c>
      <c r="I436" s="32"/>
      <c r="K436" s="32"/>
    </row>
    <row r="437" spans="1:11" s="380" customFormat="1">
      <c r="A437" s="515" t="s">
        <v>2382</v>
      </c>
      <c r="B437" s="515" t="s">
        <v>2383</v>
      </c>
      <c r="C437" s="515" t="s">
        <v>1361</v>
      </c>
      <c r="D437" s="2785">
        <v>6011004</v>
      </c>
      <c r="E437" s="515" t="s">
        <v>2384</v>
      </c>
      <c r="F437" s="173">
        <v>1053.8599999999999</v>
      </c>
      <c r="G437" s="515" t="s">
        <v>294</v>
      </c>
      <c r="H437" s="32">
        <f>VLOOKUP(D437,'New TB INC'!C:K,3,0)-F437</f>
        <v>0</v>
      </c>
      <c r="I437" s="32"/>
      <c r="K437" s="32"/>
    </row>
    <row r="438" spans="1:11" s="380" customFormat="1">
      <c r="A438" s="515" t="s">
        <v>2382</v>
      </c>
      <c r="B438" s="515" t="s">
        <v>2383</v>
      </c>
      <c r="C438" s="515" t="s">
        <v>1361</v>
      </c>
      <c r="D438" s="2785" t="s">
        <v>2661</v>
      </c>
      <c r="E438" s="515" t="s">
        <v>2662</v>
      </c>
      <c r="F438" s="173">
        <v>654.47</v>
      </c>
      <c r="G438" s="515" t="s">
        <v>294</v>
      </c>
      <c r="H438" s="32">
        <f>VLOOKUP(D438,'New TB INC'!C:K,3,0)-F438</f>
        <v>0</v>
      </c>
      <c r="I438" s="32"/>
      <c r="K438" s="32"/>
    </row>
    <row r="439" spans="1:11" s="380" customFormat="1">
      <c r="A439" s="515" t="s">
        <v>2382</v>
      </c>
      <c r="B439" s="515" t="s">
        <v>2383</v>
      </c>
      <c r="C439" s="515" t="s">
        <v>1361</v>
      </c>
      <c r="D439" s="2785" t="s">
        <v>4304</v>
      </c>
      <c r="E439" s="515" t="s">
        <v>4305</v>
      </c>
      <c r="F439" s="173">
        <v>1770.7</v>
      </c>
      <c r="G439" s="515" t="s">
        <v>294</v>
      </c>
      <c r="H439" s="32">
        <f>VLOOKUP(D439,'New TB INC'!C:K,3,0)-F439</f>
        <v>0</v>
      </c>
      <c r="I439" s="32"/>
      <c r="K439" s="32"/>
    </row>
    <row r="440" spans="1:11" s="380" customFormat="1">
      <c r="A440" s="515" t="s">
        <v>2382</v>
      </c>
      <c r="B440" s="515" t="s">
        <v>2383</v>
      </c>
      <c r="C440" s="515" t="s">
        <v>1361</v>
      </c>
      <c r="D440" s="2785">
        <v>6011008</v>
      </c>
      <c r="E440" s="515" t="s">
        <v>875</v>
      </c>
      <c r="F440" s="173">
        <v>2436.27</v>
      </c>
      <c r="G440" s="515" t="s">
        <v>294</v>
      </c>
      <c r="H440" s="32">
        <f>VLOOKUP(D440,'New TB INC'!C:K,3,0)-F440</f>
        <v>0</v>
      </c>
      <c r="I440" s="32"/>
      <c r="K440" s="32"/>
    </row>
    <row r="441" spans="1:11" s="380" customFormat="1">
      <c r="A441" s="515" t="s">
        <v>2382</v>
      </c>
      <c r="B441" s="515" t="s">
        <v>2383</v>
      </c>
      <c r="C441" s="515" t="s">
        <v>1361</v>
      </c>
      <c r="D441" s="2785">
        <v>6011009</v>
      </c>
      <c r="E441" s="515" t="s">
        <v>876</v>
      </c>
      <c r="F441" s="173">
        <v>33222.31</v>
      </c>
      <c r="G441" s="515" t="s">
        <v>294</v>
      </c>
      <c r="H441" s="32">
        <f>VLOOKUP(D441,'New TB INC'!C:K,3,0)-F441</f>
        <v>0</v>
      </c>
      <c r="I441" s="32"/>
      <c r="K441" s="32"/>
    </row>
    <row r="442" spans="1:11" s="380" customFormat="1">
      <c r="A442" s="515" t="s">
        <v>2382</v>
      </c>
      <c r="B442" s="515" t="s">
        <v>2383</v>
      </c>
      <c r="C442" s="515" t="s">
        <v>1361</v>
      </c>
      <c r="D442" s="2785">
        <v>6011010</v>
      </c>
      <c r="E442" s="515" t="s">
        <v>877</v>
      </c>
      <c r="F442" s="173">
        <v>3024.06</v>
      </c>
      <c r="G442" s="515" t="s">
        <v>294</v>
      </c>
      <c r="H442" s="32">
        <f>VLOOKUP(D442,'New TB INC'!C:K,3,0)-F442</f>
        <v>0</v>
      </c>
      <c r="I442" s="32"/>
      <c r="K442" s="32"/>
    </row>
    <row r="443" spans="1:11" s="380" customFormat="1">
      <c r="A443" s="515" t="s">
        <v>2382</v>
      </c>
      <c r="B443" s="515" t="s">
        <v>2383</v>
      </c>
      <c r="C443" s="515" t="s">
        <v>1361</v>
      </c>
      <c r="D443" s="2785">
        <v>6011012</v>
      </c>
      <c r="E443" s="515" t="s">
        <v>878</v>
      </c>
      <c r="F443" s="173">
        <v>371141.27</v>
      </c>
      <c r="G443" s="515" t="s">
        <v>294</v>
      </c>
      <c r="H443" s="32">
        <f>VLOOKUP(D443,'New TB INC'!C:K,3,0)-F443</f>
        <v>0</v>
      </c>
      <c r="I443" s="32"/>
      <c r="K443" s="32"/>
    </row>
    <row r="444" spans="1:11" s="380" customFormat="1">
      <c r="A444" s="515" t="s">
        <v>2382</v>
      </c>
      <c r="B444" s="515" t="s">
        <v>2383</v>
      </c>
      <c r="C444" s="515" t="s">
        <v>1361</v>
      </c>
      <c r="D444" s="2785" t="s">
        <v>2875</v>
      </c>
      <c r="E444" s="515" t="s">
        <v>2876</v>
      </c>
      <c r="F444" s="173">
        <v>3995.05</v>
      </c>
      <c r="G444" s="515" t="s">
        <v>294</v>
      </c>
      <c r="H444" s="32">
        <f>VLOOKUP(D444,'New TB INC'!C:K,3,0)-F444</f>
        <v>0</v>
      </c>
      <c r="I444" s="32"/>
      <c r="K444" s="32"/>
    </row>
    <row r="445" spans="1:11" s="380" customFormat="1">
      <c r="A445" s="515" t="s">
        <v>2382</v>
      </c>
      <c r="B445" s="515" t="s">
        <v>2383</v>
      </c>
      <c r="C445" s="515" t="s">
        <v>1361</v>
      </c>
      <c r="D445" s="2785">
        <v>6011013</v>
      </c>
      <c r="E445" s="515" t="s">
        <v>879</v>
      </c>
      <c r="F445" s="173">
        <v>15476.48</v>
      </c>
      <c r="G445" s="515" t="s">
        <v>294</v>
      </c>
      <c r="H445" s="32">
        <f>VLOOKUP(D445,'New TB INC'!C:K,3,0)-F445</f>
        <v>0</v>
      </c>
      <c r="I445" s="32"/>
      <c r="K445" s="32"/>
    </row>
    <row r="446" spans="1:11" s="380" customFormat="1">
      <c r="A446" s="515" t="s">
        <v>2382</v>
      </c>
      <c r="B446" s="515" t="s">
        <v>2383</v>
      </c>
      <c r="C446" s="515" t="s">
        <v>1361</v>
      </c>
      <c r="D446" s="2785" t="s">
        <v>1842</v>
      </c>
      <c r="E446" s="515" t="s">
        <v>1843</v>
      </c>
      <c r="F446" s="173">
        <v>7512.64</v>
      </c>
      <c r="G446" s="515" t="s">
        <v>294</v>
      </c>
      <c r="H446" s="32">
        <f>VLOOKUP(D446,'New TB INC'!C:K,3,0)-F446</f>
        <v>0</v>
      </c>
      <c r="I446" s="32"/>
      <c r="K446" s="32"/>
    </row>
    <row r="447" spans="1:11" s="380" customFormat="1">
      <c r="A447" s="515" t="s">
        <v>2382</v>
      </c>
      <c r="B447" s="515" t="s">
        <v>2383</v>
      </c>
      <c r="C447" s="515" t="s">
        <v>1361</v>
      </c>
      <c r="D447" s="2785">
        <v>6011015</v>
      </c>
      <c r="E447" s="515" t="s">
        <v>881</v>
      </c>
      <c r="F447" s="173">
        <v>-539.97</v>
      </c>
      <c r="G447" s="515" t="s">
        <v>294</v>
      </c>
      <c r="H447" s="32">
        <f>VLOOKUP(D447,'New TB INC'!C:K,3,0)-F447</f>
        <v>0</v>
      </c>
      <c r="I447" s="32"/>
      <c r="K447" s="32"/>
    </row>
    <row r="448" spans="1:11" s="380" customFormat="1">
      <c r="A448" s="515" t="s">
        <v>2382</v>
      </c>
      <c r="B448" s="515" t="s">
        <v>2383</v>
      </c>
      <c r="C448" s="515" t="s">
        <v>1361</v>
      </c>
      <c r="D448" s="2785">
        <v>6011016</v>
      </c>
      <c r="E448" s="515" t="s">
        <v>882</v>
      </c>
      <c r="F448" s="173">
        <v>10476.89</v>
      </c>
      <c r="G448" s="515" t="s">
        <v>294</v>
      </c>
      <c r="H448" s="32">
        <f>VLOOKUP(D448,'New TB INC'!C:K,3,0)-F448</f>
        <v>0</v>
      </c>
      <c r="I448" s="32"/>
      <c r="K448" s="32"/>
    </row>
    <row r="449" spans="1:11" s="380" customFormat="1">
      <c r="A449" s="515" t="s">
        <v>2382</v>
      </c>
      <c r="B449" s="515" t="s">
        <v>2383</v>
      </c>
      <c r="C449" s="515" t="s">
        <v>1361</v>
      </c>
      <c r="D449" s="2785">
        <v>6011017</v>
      </c>
      <c r="E449" s="515" t="s">
        <v>883</v>
      </c>
      <c r="F449" s="173">
        <v>43862.74</v>
      </c>
      <c r="G449" s="515" t="s">
        <v>294</v>
      </c>
      <c r="H449" s="32">
        <f>VLOOKUP(D449,'New TB INC'!C:K,3,0)-F449</f>
        <v>0</v>
      </c>
      <c r="I449" s="32"/>
      <c r="K449" s="32"/>
    </row>
    <row r="450" spans="1:11" s="380" customFormat="1">
      <c r="A450" s="515" t="s">
        <v>2382</v>
      </c>
      <c r="B450" s="515" t="s">
        <v>2383</v>
      </c>
      <c r="C450" s="515" t="s">
        <v>1361</v>
      </c>
      <c r="D450" s="2785">
        <v>6011018</v>
      </c>
      <c r="E450" s="515" t="s">
        <v>884</v>
      </c>
      <c r="F450" s="173">
        <v>86355.6</v>
      </c>
      <c r="G450" s="515" t="s">
        <v>294</v>
      </c>
      <c r="H450" s="32">
        <f>VLOOKUP(D450,'New TB INC'!C:K,3,0)-F450</f>
        <v>0</v>
      </c>
      <c r="I450" s="32"/>
      <c r="K450" s="32"/>
    </row>
    <row r="451" spans="1:11" s="380" customFormat="1">
      <c r="A451" s="515" t="s">
        <v>2382</v>
      </c>
      <c r="B451" s="515" t="s">
        <v>2383</v>
      </c>
      <c r="C451" s="515" t="s">
        <v>1361</v>
      </c>
      <c r="D451" s="2785">
        <v>6011019</v>
      </c>
      <c r="E451" s="515" t="s">
        <v>1420</v>
      </c>
      <c r="F451" s="173">
        <v>27396.75</v>
      </c>
      <c r="G451" s="515" t="s">
        <v>294</v>
      </c>
      <c r="H451" s="32">
        <f>VLOOKUP(D451,'New TB INC'!C:K,3,0)-F451</f>
        <v>0</v>
      </c>
      <c r="I451" s="32"/>
      <c r="K451" s="32"/>
    </row>
    <row r="452" spans="1:11" s="380" customFormat="1">
      <c r="A452" s="515" t="s">
        <v>2382</v>
      </c>
      <c r="B452" s="515" t="s">
        <v>2383</v>
      </c>
      <c r="C452" s="515" t="s">
        <v>1362</v>
      </c>
      <c r="D452" s="2785">
        <v>6020004</v>
      </c>
      <c r="E452" s="515" t="s">
        <v>4165</v>
      </c>
      <c r="F452" s="173">
        <v>1079.95</v>
      </c>
      <c r="G452" s="515" t="s">
        <v>294</v>
      </c>
      <c r="H452" s="32">
        <f>VLOOKUP(D452,'New TB INC'!C:K,3,0)-F452</f>
        <v>0</v>
      </c>
      <c r="I452" s="32"/>
      <c r="K452" s="32"/>
    </row>
    <row r="453" spans="1:11" s="380" customFormat="1">
      <c r="A453" s="515" t="s">
        <v>2382</v>
      </c>
      <c r="B453" s="515" t="s">
        <v>2383</v>
      </c>
      <c r="C453" s="515" t="s">
        <v>1362</v>
      </c>
      <c r="D453" s="2785">
        <v>6020005</v>
      </c>
      <c r="E453" s="515" t="s">
        <v>3255</v>
      </c>
      <c r="F453" s="173">
        <v>592.76</v>
      </c>
      <c r="G453" s="515" t="s">
        <v>294</v>
      </c>
      <c r="H453" s="32">
        <f>VLOOKUP(D453,'New TB INC'!C:K,3,0)-F453</f>
        <v>0</v>
      </c>
      <c r="I453" s="32"/>
      <c r="K453" s="32"/>
    </row>
    <row r="454" spans="1:11" s="380" customFormat="1">
      <c r="A454" s="515" t="s">
        <v>2382</v>
      </c>
      <c r="B454" s="515" t="s">
        <v>2383</v>
      </c>
      <c r="C454" s="515" t="s">
        <v>1362</v>
      </c>
      <c r="D454" s="2785">
        <v>6020006</v>
      </c>
      <c r="E454" s="515" t="s">
        <v>3927</v>
      </c>
      <c r="F454" s="173">
        <v>5822.15</v>
      </c>
      <c r="G454" s="515" t="s">
        <v>294</v>
      </c>
      <c r="H454" s="32">
        <f>VLOOKUP(D454,'New TB INC'!C:K,3,0)-F454</f>
        <v>0</v>
      </c>
      <c r="I454" s="32"/>
      <c r="K454" s="32"/>
    </row>
    <row r="455" spans="1:11" s="380" customFormat="1">
      <c r="A455" s="515" t="s">
        <v>2382</v>
      </c>
      <c r="B455" s="515" t="s">
        <v>3528</v>
      </c>
      <c r="C455" s="515" t="s">
        <v>1363</v>
      </c>
      <c r="D455" s="2785">
        <v>6129999</v>
      </c>
      <c r="E455" s="515" t="s">
        <v>1613</v>
      </c>
      <c r="F455" s="173">
        <v>49710.85</v>
      </c>
      <c r="G455" s="515" t="s">
        <v>294</v>
      </c>
      <c r="H455" s="32">
        <f>VLOOKUP(D455,'New TB INC'!C:K,3,0)-F455</f>
        <v>0</v>
      </c>
      <c r="I455" s="32"/>
      <c r="K455" s="32"/>
    </row>
    <row r="456" spans="1:11" s="380" customFormat="1">
      <c r="A456" s="515" t="s">
        <v>2385</v>
      </c>
      <c r="B456" s="515" t="s">
        <v>2386</v>
      </c>
      <c r="C456" s="515" t="s">
        <v>1366</v>
      </c>
      <c r="D456" s="2785">
        <v>7010001</v>
      </c>
      <c r="E456" s="515" t="s">
        <v>892</v>
      </c>
      <c r="F456" s="173">
        <v>448389.13</v>
      </c>
      <c r="G456" s="515" t="s">
        <v>294</v>
      </c>
      <c r="H456" s="32">
        <f>VLOOKUP(D456,'New TB INC'!C:K,3,0)-F456</f>
        <v>0</v>
      </c>
      <c r="I456" s="32"/>
      <c r="K456" s="32"/>
    </row>
    <row r="457" spans="1:11" s="380" customFormat="1">
      <c r="A457" s="515" t="s">
        <v>2385</v>
      </c>
      <c r="B457" s="515" t="s">
        <v>2386</v>
      </c>
      <c r="C457" s="515" t="s">
        <v>1366</v>
      </c>
      <c r="D457" s="2785">
        <v>7010003</v>
      </c>
      <c r="E457" s="515" t="s">
        <v>893</v>
      </c>
      <c r="F457" s="173">
        <v>69486.13</v>
      </c>
      <c r="G457" s="515" t="s">
        <v>294</v>
      </c>
      <c r="H457" s="32">
        <f>VLOOKUP(D457,'New TB INC'!C:K,3,0)-F457</f>
        <v>0</v>
      </c>
      <c r="I457" s="32"/>
      <c r="K457" s="32"/>
    </row>
    <row r="458" spans="1:11" s="380" customFormat="1">
      <c r="A458" s="515" t="s">
        <v>2385</v>
      </c>
      <c r="B458" s="515" t="s">
        <v>2386</v>
      </c>
      <c r="C458" s="515" t="s">
        <v>1366</v>
      </c>
      <c r="D458" s="2785">
        <v>7010005</v>
      </c>
      <c r="E458" s="515" t="s">
        <v>894</v>
      </c>
      <c r="F458" s="173">
        <v>45826.46</v>
      </c>
      <c r="G458" s="515" t="s">
        <v>294</v>
      </c>
      <c r="H458" s="32">
        <f>VLOOKUP(D458,'New TB INC'!C:K,3,0)-F458</f>
        <v>0</v>
      </c>
      <c r="I458" s="32"/>
      <c r="K458" s="32"/>
    </row>
    <row r="459" spans="1:11" s="380" customFormat="1">
      <c r="A459" s="515" t="s">
        <v>2385</v>
      </c>
      <c r="B459" s="515" t="s">
        <v>2386</v>
      </c>
      <c r="C459" s="515" t="s">
        <v>1366</v>
      </c>
      <c r="D459" s="2785">
        <v>7010006</v>
      </c>
      <c r="E459" s="515" t="s">
        <v>2387</v>
      </c>
      <c r="F459" s="173">
        <v>1451.39</v>
      </c>
      <c r="G459" s="515" t="s">
        <v>294</v>
      </c>
      <c r="H459" s="32">
        <f>VLOOKUP(D459,'New TB INC'!C:K,3,0)-F459</f>
        <v>0</v>
      </c>
      <c r="I459" s="32"/>
      <c r="K459" s="32"/>
    </row>
    <row r="460" spans="1:11" s="380" customFormat="1">
      <c r="A460" s="515" t="s">
        <v>2385</v>
      </c>
      <c r="B460" s="515" t="s">
        <v>2386</v>
      </c>
      <c r="C460" s="515" t="s">
        <v>1366</v>
      </c>
      <c r="D460" s="2785">
        <v>7010010</v>
      </c>
      <c r="E460" s="515" t="s">
        <v>1423</v>
      </c>
      <c r="F460" s="173">
        <v>61479.65</v>
      </c>
      <c r="G460" s="515" t="s">
        <v>294</v>
      </c>
      <c r="H460" s="32">
        <f>VLOOKUP(D460,'New TB INC'!C:K,3,0)-F460</f>
        <v>0</v>
      </c>
      <c r="I460" s="32"/>
      <c r="K460" s="32"/>
    </row>
    <row r="461" spans="1:11" s="380" customFormat="1">
      <c r="A461" s="515" t="s">
        <v>2385</v>
      </c>
      <c r="B461" s="515" t="s">
        <v>2386</v>
      </c>
      <c r="C461" s="515" t="s">
        <v>1366</v>
      </c>
      <c r="D461" s="2785">
        <v>7010011</v>
      </c>
      <c r="E461" s="515" t="s">
        <v>1903</v>
      </c>
      <c r="F461" s="173">
        <v>7038.52</v>
      </c>
      <c r="G461" s="515" t="s">
        <v>294</v>
      </c>
      <c r="H461" s="32">
        <f>VLOOKUP(D461,'New TB INC'!C:K,3,0)-F461</f>
        <v>0</v>
      </c>
      <c r="I461" s="32"/>
      <c r="K461" s="32"/>
    </row>
    <row r="462" spans="1:11" s="380" customFormat="1">
      <c r="A462" s="515" t="s">
        <v>2385</v>
      </c>
      <c r="B462" s="515" t="s">
        <v>2386</v>
      </c>
      <c r="C462" s="515" t="s">
        <v>1366</v>
      </c>
      <c r="D462" s="2785">
        <v>7010016</v>
      </c>
      <c r="E462" s="515" t="s">
        <v>895</v>
      </c>
      <c r="F462" s="173">
        <v>1581.01</v>
      </c>
      <c r="G462" s="515" t="s">
        <v>294</v>
      </c>
      <c r="H462" s="32">
        <f>VLOOKUP(D462,'New TB INC'!C:K,3,0)-F462</f>
        <v>0</v>
      </c>
      <c r="I462" s="32"/>
      <c r="K462" s="32"/>
    </row>
    <row r="463" spans="1:11" s="380" customFormat="1">
      <c r="A463" s="515" t="s">
        <v>2385</v>
      </c>
      <c r="B463" s="515" t="s">
        <v>2386</v>
      </c>
      <c r="C463" s="515" t="s">
        <v>1366</v>
      </c>
      <c r="D463" s="2785">
        <v>7010018</v>
      </c>
      <c r="E463" s="515" t="s">
        <v>1424</v>
      </c>
      <c r="F463" s="173">
        <v>4688.8999999999996</v>
      </c>
      <c r="G463" s="515" t="s">
        <v>294</v>
      </c>
      <c r="H463" s="32">
        <f>VLOOKUP(D463,'New TB INC'!C:K,3,0)-F463</f>
        <v>0</v>
      </c>
      <c r="I463" s="32"/>
      <c r="K463" s="32"/>
    </row>
    <row r="464" spans="1:11" s="380" customFormat="1">
      <c r="A464" s="515" t="s">
        <v>2385</v>
      </c>
      <c r="B464" s="515" t="s">
        <v>2386</v>
      </c>
      <c r="C464" s="515" t="s">
        <v>1366</v>
      </c>
      <c r="D464" s="2785">
        <v>7010019</v>
      </c>
      <c r="E464" s="515" t="s">
        <v>537</v>
      </c>
      <c r="F464" s="173">
        <v>708.8</v>
      </c>
      <c r="G464" s="515" t="s">
        <v>294</v>
      </c>
      <c r="H464" s="32">
        <f>VLOOKUP(D464,'New TB INC'!C:K,3,0)-F464</f>
        <v>0</v>
      </c>
      <c r="I464" s="32"/>
      <c r="K464" s="32"/>
    </row>
    <row r="465" spans="1:11" s="380" customFormat="1">
      <c r="A465" s="515" t="s">
        <v>2385</v>
      </c>
      <c r="B465" s="515" t="s">
        <v>2386</v>
      </c>
      <c r="C465" s="515" t="s">
        <v>1366</v>
      </c>
      <c r="D465" s="2785">
        <v>7010020</v>
      </c>
      <c r="E465" s="515" t="s">
        <v>896</v>
      </c>
      <c r="F465" s="173">
        <v>18360.73</v>
      </c>
      <c r="G465" s="515" t="s">
        <v>294</v>
      </c>
      <c r="H465" s="32">
        <f>VLOOKUP(D465,'New TB INC'!C:K,3,0)-F465</f>
        <v>0</v>
      </c>
      <c r="I465" s="32"/>
      <c r="K465" s="32"/>
    </row>
    <row r="466" spans="1:11" s="380" customFormat="1">
      <c r="A466" s="515" t="s">
        <v>2385</v>
      </c>
      <c r="B466" s="515" t="s">
        <v>2386</v>
      </c>
      <c r="C466" s="515" t="s">
        <v>1366</v>
      </c>
      <c r="D466" s="2785">
        <v>7010022</v>
      </c>
      <c r="E466" s="515" t="s">
        <v>1492</v>
      </c>
      <c r="F466" s="173">
        <v>2946.62</v>
      </c>
      <c r="G466" s="515" t="s">
        <v>294</v>
      </c>
      <c r="H466" s="32">
        <f>VLOOKUP(D466,'New TB INC'!C:K,3,0)-F466</f>
        <v>0</v>
      </c>
      <c r="I466" s="32"/>
      <c r="K466" s="32"/>
    </row>
    <row r="467" spans="1:11" s="380" customFormat="1">
      <c r="A467" s="515" t="s">
        <v>2385</v>
      </c>
      <c r="B467" s="515" t="s">
        <v>2386</v>
      </c>
      <c r="C467" s="515" t="s">
        <v>1818</v>
      </c>
      <c r="D467" s="2785">
        <v>7020001</v>
      </c>
      <c r="E467" s="515" t="s">
        <v>930</v>
      </c>
      <c r="F467" s="173">
        <v>2373.86</v>
      </c>
      <c r="G467" s="515" t="s">
        <v>294</v>
      </c>
      <c r="H467" s="32">
        <f>VLOOKUP(D467,'New TB INC'!C:K,3,0)-F467</f>
        <v>0</v>
      </c>
      <c r="I467" s="32"/>
      <c r="K467" s="32"/>
    </row>
    <row r="468" spans="1:11" s="380" customFormat="1">
      <c r="A468" s="515" t="s">
        <v>2385</v>
      </c>
      <c r="B468" s="515" t="s">
        <v>2386</v>
      </c>
      <c r="C468" s="515" t="s">
        <v>1818</v>
      </c>
      <c r="D468" s="2785">
        <v>7020002</v>
      </c>
      <c r="E468" s="515" t="s">
        <v>931</v>
      </c>
      <c r="F468" s="173">
        <v>2615.33</v>
      </c>
      <c r="G468" s="515" t="s">
        <v>294</v>
      </c>
      <c r="H468" s="32">
        <f>VLOOKUP(D468,'New TB INC'!C:K,3,0)-F468</f>
        <v>0</v>
      </c>
      <c r="I468" s="32"/>
      <c r="K468" s="32"/>
    </row>
    <row r="469" spans="1:11" s="380" customFormat="1">
      <c r="A469" s="515" t="s">
        <v>2385</v>
      </c>
      <c r="B469" s="515" t="s">
        <v>2386</v>
      </c>
      <c r="C469" s="515" t="s">
        <v>1818</v>
      </c>
      <c r="D469" s="2785">
        <v>7020003</v>
      </c>
      <c r="E469" s="515" t="s">
        <v>932</v>
      </c>
      <c r="F469" s="173">
        <v>257.39999999999998</v>
      </c>
      <c r="G469" s="515" t="s">
        <v>294</v>
      </c>
      <c r="H469" s="32">
        <f>VLOOKUP(D469,'New TB INC'!C:K,3,0)-F469</f>
        <v>0</v>
      </c>
      <c r="I469" s="32"/>
      <c r="K469" s="32"/>
    </row>
    <row r="470" spans="1:11" s="380" customFormat="1">
      <c r="A470" s="515" t="s">
        <v>2385</v>
      </c>
      <c r="B470" s="515" t="s">
        <v>2386</v>
      </c>
      <c r="C470" s="515" t="s">
        <v>1818</v>
      </c>
      <c r="D470" s="2785">
        <v>7020004</v>
      </c>
      <c r="E470" s="515" t="s">
        <v>933</v>
      </c>
      <c r="F470" s="173">
        <v>900.49</v>
      </c>
      <c r="G470" s="515" t="s">
        <v>294</v>
      </c>
      <c r="H470" s="32">
        <f>VLOOKUP(D470,'New TB INC'!C:K,3,0)-F470</f>
        <v>0</v>
      </c>
      <c r="I470" s="32"/>
      <c r="K470" s="32"/>
    </row>
    <row r="471" spans="1:11" s="380" customFormat="1">
      <c r="A471" s="515" t="s">
        <v>2385</v>
      </c>
      <c r="B471" s="515" t="s">
        <v>2386</v>
      </c>
      <c r="C471" s="515" t="s">
        <v>1818</v>
      </c>
      <c r="D471" s="2785">
        <v>7020005</v>
      </c>
      <c r="E471" s="515" t="s">
        <v>3108</v>
      </c>
      <c r="F471" s="173">
        <v>3712.2</v>
      </c>
      <c r="G471" s="515" t="s">
        <v>294</v>
      </c>
      <c r="H471" s="32">
        <f>VLOOKUP(D471,'New TB INC'!C:K,3,0)-F471</f>
        <v>0</v>
      </c>
      <c r="I471" s="32"/>
      <c r="K471" s="32"/>
    </row>
    <row r="472" spans="1:11" s="380" customFormat="1">
      <c r="A472" s="515" t="s">
        <v>2385</v>
      </c>
      <c r="B472" s="515" t="s">
        <v>2386</v>
      </c>
      <c r="C472" s="515" t="s">
        <v>1818</v>
      </c>
      <c r="D472" s="2785">
        <v>7020006</v>
      </c>
      <c r="E472" s="515" t="s">
        <v>3005</v>
      </c>
      <c r="F472" s="173">
        <v>518.61</v>
      </c>
      <c r="G472" s="515" t="s">
        <v>294</v>
      </c>
      <c r="H472" s="32">
        <f>VLOOKUP(D472,'New TB INC'!C:K,3,0)-F472</f>
        <v>0</v>
      </c>
      <c r="I472" s="32"/>
      <c r="K472" s="32"/>
    </row>
    <row r="473" spans="1:11" s="380" customFormat="1">
      <c r="A473" s="515" t="s">
        <v>2385</v>
      </c>
      <c r="B473" s="515" t="s">
        <v>2386</v>
      </c>
      <c r="C473" s="515" t="s">
        <v>1818</v>
      </c>
      <c r="D473" s="2785">
        <v>7020008</v>
      </c>
      <c r="E473" s="515" t="s">
        <v>4014</v>
      </c>
      <c r="F473" s="173">
        <v>3553.53</v>
      </c>
      <c r="G473" s="515" t="s">
        <v>294</v>
      </c>
      <c r="H473" s="32">
        <f>VLOOKUP(D473,'New TB INC'!C:K,3,0)-F473</f>
        <v>0</v>
      </c>
      <c r="I473" s="32"/>
      <c r="K473" s="32"/>
    </row>
    <row r="474" spans="1:11" s="380" customFormat="1">
      <c r="A474" s="515" t="s">
        <v>2385</v>
      </c>
      <c r="B474" s="515" t="s">
        <v>2386</v>
      </c>
      <c r="C474" s="515" t="s">
        <v>1818</v>
      </c>
      <c r="D474" s="2785">
        <v>7020025</v>
      </c>
      <c r="E474" s="515" t="s">
        <v>4509</v>
      </c>
      <c r="F474" s="173">
        <v>200</v>
      </c>
      <c r="G474" s="515" t="s">
        <v>294</v>
      </c>
      <c r="H474" s="32">
        <f>VLOOKUP(D474,'New TB INC'!C:K,3,0)-F474</f>
        <v>0</v>
      </c>
      <c r="I474" s="32"/>
      <c r="K474" s="32"/>
    </row>
    <row r="475" spans="1:11" s="380" customFormat="1">
      <c r="A475" s="515" t="s">
        <v>2385</v>
      </c>
      <c r="B475" s="515" t="s">
        <v>2386</v>
      </c>
      <c r="C475" s="515" t="s">
        <v>1818</v>
      </c>
      <c r="D475" s="2785">
        <v>7020026</v>
      </c>
      <c r="E475" s="515" t="s">
        <v>934</v>
      </c>
      <c r="F475" s="173">
        <v>2320.7399999999998</v>
      </c>
      <c r="G475" s="515" t="s">
        <v>294</v>
      </c>
      <c r="H475" s="32">
        <f>VLOOKUP(D475,'New TB INC'!C:K,3,0)-F475</f>
        <v>0</v>
      </c>
      <c r="I475" s="32"/>
      <c r="K475" s="32"/>
    </row>
    <row r="476" spans="1:11" s="380" customFormat="1">
      <c r="A476" s="515" t="s">
        <v>2385</v>
      </c>
      <c r="B476" s="515" t="s">
        <v>2386</v>
      </c>
      <c r="C476" s="515" t="s">
        <v>1818</v>
      </c>
      <c r="D476" s="2785">
        <v>7020027</v>
      </c>
      <c r="E476" s="515" t="s">
        <v>737</v>
      </c>
      <c r="F476" s="173">
        <v>88060</v>
      </c>
      <c r="G476" s="515" t="s">
        <v>294</v>
      </c>
      <c r="H476" s="32">
        <f>VLOOKUP(D476,'New TB INC'!C:K,3,0)-F476</f>
        <v>0</v>
      </c>
      <c r="I476" s="32"/>
      <c r="K476" s="32"/>
    </row>
    <row r="477" spans="1:11" s="380" customFormat="1">
      <c r="A477" s="515" t="s">
        <v>2385</v>
      </c>
      <c r="B477" s="515" t="s">
        <v>2386</v>
      </c>
      <c r="C477" s="515" t="s">
        <v>1818</v>
      </c>
      <c r="D477" s="2785">
        <v>7020028</v>
      </c>
      <c r="E477" s="515" t="s">
        <v>935</v>
      </c>
      <c r="F477" s="173">
        <v>102610.11</v>
      </c>
      <c r="G477" s="515" t="s">
        <v>294</v>
      </c>
      <c r="H477" s="32">
        <f>VLOOKUP(D477,'New TB INC'!C:K,3,0)-F477</f>
        <v>0</v>
      </c>
      <c r="I477" s="32"/>
      <c r="K477" s="32"/>
    </row>
    <row r="478" spans="1:11" s="380" customFormat="1">
      <c r="A478" s="515" t="s">
        <v>2385</v>
      </c>
      <c r="B478" s="515" t="s">
        <v>2386</v>
      </c>
      <c r="C478" s="515" t="s">
        <v>1818</v>
      </c>
      <c r="D478" s="2785">
        <v>7020029</v>
      </c>
      <c r="E478" s="515" t="s">
        <v>936</v>
      </c>
      <c r="F478" s="173">
        <v>4908.1499999999996</v>
      </c>
      <c r="G478" s="515" t="s">
        <v>294</v>
      </c>
      <c r="H478" s="32">
        <f>VLOOKUP(D478,'New TB INC'!C:K,3,0)-F478</f>
        <v>0</v>
      </c>
      <c r="I478" s="32"/>
      <c r="K478" s="32"/>
    </row>
    <row r="479" spans="1:11" s="380" customFormat="1">
      <c r="A479" s="515" t="s">
        <v>2385</v>
      </c>
      <c r="B479" s="515" t="s">
        <v>2386</v>
      </c>
      <c r="C479" s="515" t="s">
        <v>1818</v>
      </c>
      <c r="D479" s="2785">
        <v>7020030</v>
      </c>
      <c r="E479" s="515" t="s">
        <v>937</v>
      </c>
      <c r="F479" s="173">
        <v>15228</v>
      </c>
      <c r="G479" s="515" t="s">
        <v>294</v>
      </c>
      <c r="H479" s="32">
        <f>VLOOKUP(D479,'New TB INC'!C:K,3,0)-F479</f>
        <v>0</v>
      </c>
      <c r="I479" s="32"/>
      <c r="K479" s="32"/>
    </row>
    <row r="480" spans="1:11" s="380" customFormat="1">
      <c r="A480" s="515" t="s">
        <v>2385</v>
      </c>
      <c r="B480" s="515" t="s">
        <v>2386</v>
      </c>
      <c r="C480" s="515" t="s">
        <v>1818</v>
      </c>
      <c r="D480" s="2785">
        <v>7020034</v>
      </c>
      <c r="E480" s="515" t="s">
        <v>738</v>
      </c>
      <c r="F480" s="173">
        <v>649.9</v>
      </c>
      <c r="G480" s="515" t="s">
        <v>294</v>
      </c>
      <c r="H480" s="32">
        <f>VLOOKUP(D480,'New TB INC'!C:K,3,0)-F480</f>
        <v>0</v>
      </c>
      <c r="I480" s="32"/>
      <c r="K480" s="32"/>
    </row>
    <row r="481" spans="1:11" s="380" customFormat="1">
      <c r="A481" s="515" t="s">
        <v>2385</v>
      </c>
      <c r="B481" s="515" t="s">
        <v>2386</v>
      </c>
      <c r="C481" s="515" t="s">
        <v>1818</v>
      </c>
      <c r="D481" s="2785">
        <v>7020037</v>
      </c>
      <c r="E481" s="515" t="s">
        <v>739</v>
      </c>
      <c r="F481" s="173">
        <v>85243.839999999997</v>
      </c>
      <c r="G481" s="515" t="s">
        <v>294</v>
      </c>
      <c r="H481" s="32">
        <f>VLOOKUP(D481,'New TB INC'!C:K,3,0)-F481</f>
        <v>0</v>
      </c>
      <c r="I481" s="32"/>
      <c r="K481" s="32"/>
    </row>
    <row r="482" spans="1:11" s="380" customFormat="1">
      <c r="A482" s="515" t="s">
        <v>2385</v>
      </c>
      <c r="B482" s="515" t="s">
        <v>2386</v>
      </c>
      <c r="C482" s="515" t="s">
        <v>1818</v>
      </c>
      <c r="D482" s="2785">
        <v>7020038</v>
      </c>
      <c r="E482" s="515" t="s">
        <v>2163</v>
      </c>
      <c r="F482" s="173">
        <v>222500</v>
      </c>
      <c r="G482" s="515" t="s">
        <v>294</v>
      </c>
      <c r="H482" s="32">
        <f>VLOOKUP(D482,'New TB INC'!C:K,3,0)-F482</f>
        <v>0</v>
      </c>
      <c r="I482" s="32"/>
      <c r="K482" s="32"/>
    </row>
    <row r="483" spans="1:11" s="380" customFormat="1">
      <c r="A483" s="515" t="s">
        <v>2385</v>
      </c>
      <c r="B483" s="515" t="s">
        <v>2386</v>
      </c>
      <c r="C483" s="515" t="s">
        <v>1818</v>
      </c>
      <c r="D483" s="2785">
        <v>7020039</v>
      </c>
      <c r="E483" s="515" t="s">
        <v>2388</v>
      </c>
      <c r="F483" s="173">
        <v>12289.72</v>
      </c>
      <c r="G483" s="515" t="s">
        <v>294</v>
      </c>
      <c r="H483" s="32">
        <f>VLOOKUP(D483,'New TB INC'!C:K,3,0)-F483</f>
        <v>0</v>
      </c>
      <c r="I483" s="32"/>
      <c r="K483" s="32"/>
    </row>
    <row r="484" spans="1:11" s="380" customFormat="1">
      <c r="A484" s="515" t="s">
        <v>2385</v>
      </c>
      <c r="B484" s="515" t="s">
        <v>2386</v>
      </c>
      <c r="C484" s="515" t="s">
        <v>1818</v>
      </c>
      <c r="D484" s="2785">
        <v>7020040</v>
      </c>
      <c r="E484" s="515" t="s">
        <v>3256</v>
      </c>
      <c r="F484" s="173">
        <v>1235</v>
      </c>
      <c r="G484" s="515" t="s">
        <v>294</v>
      </c>
      <c r="H484" s="32">
        <f>VLOOKUP(D484,'New TB INC'!C:K,3,0)-F484</f>
        <v>0</v>
      </c>
      <c r="I484" s="32"/>
      <c r="K484" s="32"/>
    </row>
    <row r="485" spans="1:11" s="380" customFormat="1">
      <c r="A485" s="515" t="s">
        <v>2385</v>
      </c>
      <c r="B485" s="515" t="s">
        <v>2386</v>
      </c>
      <c r="C485" s="515" t="s">
        <v>1818</v>
      </c>
      <c r="D485" s="2785">
        <v>7020050</v>
      </c>
      <c r="E485" s="515" t="s">
        <v>492</v>
      </c>
      <c r="F485" s="173">
        <v>14880</v>
      </c>
      <c r="G485" s="515" t="s">
        <v>294</v>
      </c>
      <c r="H485" s="32">
        <f>VLOOKUP(D485,'New TB INC'!C:K,3,0)-F485</f>
        <v>0</v>
      </c>
      <c r="I485" s="32"/>
      <c r="K485" s="32"/>
    </row>
    <row r="486" spans="1:11" s="380" customFormat="1">
      <c r="A486" s="515" t="s">
        <v>2385</v>
      </c>
      <c r="B486" s="515" t="s">
        <v>2386</v>
      </c>
      <c r="C486" s="515" t="s">
        <v>1818</v>
      </c>
      <c r="D486" s="2785">
        <v>7020070</v>
      </c>
      <c r="E486" s="515" t="s">
        <v>3257</v>
      </c>
      <c r="F486" s="173">
        <v>8921.9</v>
      </c>
      <c r="G486" s="515" t="s">
        <v>294</v>
      </c>
      <c r="H486" s="32">
        <f>VLOOKUP(D486,'New TB INC'!C:K,3,0)-F486</f>
        <v>0</v>
      </c>
      <c r="I486" s="32"/>
      <c r="K486" s="32"/>
    </row>
    <row r="487" spans="1:11" s="380" customFormat="1">
      <c r="A487" s="515" t="s">
        <v>2385</v>
      </c>
      <c r="B487" s="515" t="s">
        <v>2386</v>
      </c>
      <c r="C487" s="515" t="s">
        <v>1818</v>
      </c>
      <c r="D487" s="2785">
        <v>7029999</v>
      </c>
      <c r="E487" s="515" t="s">
        <v>1614</v>
      </c>
      <c r="F487" s="173">
        <v>269470.88</v>
      </c>
      <c r="G487" s="515" t="s">
        <v>294</v>
      </c>
      <c r="H487" s="32">
        <f>VLOOKUP(D487,'New TB INC'!C:K,3,0)-F487</f>
        <v>0</v>
      </c>
      <c r="I487" s="32"/>
      <c r="K487" s="32"/>
    </row>
    <row r="488" spans="1:11" s="380" customFormat="1">
      <c r="A488" s="515" t="s">
        <v>2385</v>
      </c>
      <c r="B488" s="515" t="s">
        <v>2389</v>
      </c>
      <c r="C488" s="515" t="s">
        <v>1368</v>
      </c>
      <c r="D488" s="2785">
        <v>7110001</v>
      </c>
      <c r="E488" s="515" t="s">
        <v>2390</v>
      </c>
      <c r="F488" s="173">
        <v>780015.75</v>
      </c>
      <c r="G488" s="515" t="s">
        <v>294</v>
      </c>
      <c r="H488" s="32">
        <f>VLOOKUP(D488,'New TB INC'!C:K,3,0)-F488</f>
        <v>0</v>
      </c>
      <c r="I488" s="32"/>
      <c r="K488" s="32"/>
    </row>
    <row r="489" spans="1:11" s="380" customFormat="1">
      <c r="A489" s="515" t="s">
        <v>2385</v>
      </c>
      <c r="B489" s="515" t="s">
        <v>2389</v>
      </c>
      <c r="C489" s="515" t="s">
        <v>1368</v>
      </c>
      <c r="D489" s="2785">
        <v>7110002</v>
      </c>
      <c r="E489" s="515" t="s">
        <v>2391</v>
      </c>
      <c r="F489" s="173">
        <v>-3736.9</v>
      </c>
      <c r="G489" s="515" t="s">
        <v>294</v>
      </c>
      <c r="H489" s="32">
        <f>VLOOKUP(D489,'New TB INC'!C:K,3,0)-F489</f>
        <v>0</v>
      </c>
      <c r="I489" s="32"/>
      <c r="K489" s="32"/>
    </row>
    <row r="490" spans="1:11" s="380" customFormat="1">
      <c r="A490" s="515" t="s">
        <v>2385</v>
      </c>
      <c r="B490" s="515" t="s">
        <v>2389</v>
      </c>
      <c r="C490" s="515" t="s">
        <v>1368</v>
      </c>
      <c r="D490" s="2785">
        <v>7110003</v>
      </c>
      <c r="E490" s="515" t="s">
        <v>3299</v>
      </c>
      <c r="F490" s="173">
        <v>-389910.37</v>
      </c>
      <c r="G490" s="515" t="s">
        <v>294</v>
      </c>
      <c r="H490" s="32">
        <f>VLOOKUP(D490,'New TB INC'!C:K,3,0)-F490</f>
        <v>0</v>
      </c>
      <c r="I490" s="32"/>
      <c r="K490" s="32"/>
    </row>
    <row r="491" spans="1:11" s="380" customFormat="1">
      <c r="A491" s="515" t="s">
        <v>2385</v>
      </c>
      <c r="B491" s="515" t="s">
        <v>2389</v>
      </c>
      <c r="C491" s="515" t="s">
        <v>1368</v>
      </c>
      <c r="D491" s="2785">
        <v>7110004</v>
      </c>
      <c r="E491" s="515" t="s">
        <v>2392</v>
      </c>
      <c r="F491" s="173">
        <v>1230439.06</v>
      </c>
      <c r="G491" s="515" t="s">
        <v>294</v>
      </c>
      <c r="H491" s="32">
        <f>VLOOKUP(D491,'New TB INC'!C:K,3,0)-F491</f>
        <v>0</v>
      </c>
      <c r="I491" s="32"/>
      <c r="K491" s="32"/>
    </row>
    <row r="492" spans="1:11" s="380" customFormat="1">
      <c r="A492" s="515" t="s">
        <v>2385</v>
      </c>
      <c r="B492" s="515" t="s">
        <v>2389</v>
      </c>
      <c r="C492" s="515" t="s">
        <v>1368</v>
      </c>
      <c r="D492" s="2785">
        <v>7110005</v>
      </c>
      <c r="E492" s="515" t="s">
        <v>3339</v>
      </c>
      <c r="F492" s="173">
        <v>3452.08</v>
      </c>
      <c r="G492" s="515" t="s">
        <v>294</v>
      </c>
      <c r="H492" s="32">
        <f>VLOOKUP(D492,'New TB INC'!C:K,3,0)-F492</f>
        <v>0</v>
      </c>
      <c r="I492" s="32"/>
      <c r="K492" s="32"/>
    </row>
    <row r="493" spans="1:11" s="380" customFormat="1">
      <c r="A493" s="515" t="s">
        <v>2385</v>
      </c>
      <c r="B493" s="515" t="s">
        <v>2389</v>
      </c>
      <c r="C493" s="515" t="s">
        <v>1368</v>
      </c>
      <c r="D493" s="2785">
        <v>7110006</v>
      </c>
      <c r="E493" s="515" t="s">
        <v>3530</v>
      </c>
      <c r="F493" s="173">
        <v>301086.28000000003</v>
      </c>
      <c r="G493" s="515" t="s">
        <v>294</v>
      </c>
      <c r="H493" s="32">
        <f>VLOOKUP(D493,'New TB INC'!C:K,3,0)-F493</f>
        <v>0</v>
      </c>
      <c r="I493" s="32"/>
      <c r="K493" s="32"/>
    </row>
    <row r="494" spans="1:11" s="380" customFormat="1">
      <c r="A494" s="515" t="s">
        <v>2385</v>
      </c>
      <c r="B494" s="515" t="s">
        <v>2389</v>
      </c>
      <c r="C494" s="515" t="s">
        <v>1368</v>
      </c>
      <c r="D494" s="2785">
        <v>7110016</v>
      </c>
      <c r="E494" s="515" t="s">
        <v>4171</v>
      </c>
      <c r="F494" s="173">
        <v>57159.15</v>
      </c>
      <c r="G494" s="515" t="s">
        <v>294</v>
      </c>
      <c r="H494" s="32">
        <f>VLOOKUP(D494,'New TB INC'!C:K,3,0)-F494</f>
        <v>0</v>
      </c>
      <c r="I494" s="32"/>
      <c r="K494" s="32"/>
    </row>
    <row r="495" spans="1:11" s="380" customFormat="1">
      <c r="A495" s="515" t="s">
        <v>2385</v>
      </c>
      <c r="B495" s="515" t="s">
        <v>2389</v>
      </c>
      <c r="C495" s="515" t="s">
        <v>1368</v>
      </c>
      <c r="D495" s="2785">
        <v>7110017</v>
      </c>
      <c r="E495" s="515" t="s">
        <v>4166</v>
      </c>
      <c r="F495" s="173">
        <v>123608.97</v>
      </c>
      <c r="G495" s="515" t="s">
        <v>294</v>
      </c>
      <c r="H495" s="32">
        <f>VLOOKUP(D495,'New TB INC'!C:K,3,0)-F495</f>
        <v>0</v>
      </c>
      <c r="I495" s="32"/>
      <c r="K495" s="32"/>
    </row>
    <row r="496" spans="1:11" s="380" customFormat="1">
      <c r="A496" s="515" t="s">
        <v>2385</v>
      </c>
      <c r="B496" s="515" t="s">
        <v>2389</v>
      </c>
      <c r="C496" s="515" t="s">
        <v>1368</v>
      </c>
      <c r="D496" s="2785">
        <v>7110018</v>
      </c>
      <c r="E496" s="515" t="s">
        <v>4892</v>
      </c>
      <c r="F496" s="173">
        <v>19639</v>
      </c>
      <c r="G496" s="515" t="s">
        <v>294</v>
      </c>
      <c r="H496" s="32">
        <f>VLOOKUP(D496,'New TB INC'!C:K,3,0)-F496</f>
        <v>0</v>
      </c>
      <c r="I496" s="32"/>
      <c r="K496" s="32"/>
    </row>
    <row r="497" spans="1:11" s="380" customFormat="1">
      <c r="A497" s="515" t="s">
        <v>2385</v>
      </c>
      <c r="B497" s="515" t="s">
        <v>2389</v>
      </c>
      <c r="C497" s="515" t="s">
        <v>1368</v>
      </c>
      <c r="D497" s="2785">
        <v>7110019</v>
      </c>
      <c r="E497" s="515" t="s">
        <v>4167</v>
      </c>
      <c r="F497" s="173">
        <v>69869</v>
      </c>
      <c r="G497" s="515" t="s">
        <v>294</v>
      </c>
      <c r="H497" s="32">
        <f>VLOOKUP(D497,'New TB INC'!C:K,3,0)-F497</f>
        <v>0</v>
      </c>
      <c r="I497" s="32"/>
      <c r="K497" s="32"/>
    </row>
    <row r="498" spans="1:11" s="380" customFormat="1">
      <c r="A498" s="515" t="s">
        <v>2385</v>
      </c>
      <c r="B498" s="515" t="s">
        <v>2389</v>
      </c>
      <c r="C498" s="515" t="s">
        <v>1368</v>
      </c>
      <c r="D498" s="2785">
        <v>7110021</v>
      </c>
      <c r="E498" s="515" t="s">
        <v>4168</v>
      </c>
      <c r="F498" s="173">
        <v>7946.75</v>
      </c>
      <c r="G498" s="515" t="s">
        <v>294</v>
      </c>
      <c r="H498" s="32">
        <f>VLOOKUP(D498,'New TB INC'!C:K,3,0)-F498</f>
        <v>0</v>
      </c>
      <c r="I498" s="32"/>
      <c r="K498" s="32"/>
    </row>
    <row r="499" spans="1:11" s="380" customFormat="1">
      <c r="A499" s="515" t="s">
        <v>2385</v>
      </c>
      <c r="B499" s="515" t="s">
        <v>2389</v>
      </c>
      <c r="C499" s="515" t="s">
        <v>1368</v>
      </c>
      <c r="D499" s="2785">
        <v>7110022</v>
      </c>
      <c r="E499" s="515" t="s">
        <v>4306</v>
      </c>
      <c r="F499" s="173">
        <v>23142.15</v>
      </c>
      <c r="G499" s="515" t="s">
        <v>294</v>
      </c>
      <c r="H499" s="32">
        <f>VLOOKUP(D499,'New TB INC'!C:K,3,0)-F499</f>
        <v>0</v>
      </c>
      <c r="I499" s="32"/>
      <c r="K499" s="32"/>
    </row>
    <row r="500" spans="1:11" s="380" customFormat="1">
      <c r="A500" s="515" t="s">
        <v>2385</v>
      </c>
      <c r="B500" s="515" t="s">
        <v>2389</v>
      </c>
      <c r="C500" s="515" t="s">
        <v>1368</v>
      </c>
      <c r="D500" s="2785">
        <v>7110023</v>
      </c>
      <c r="E500" s="515" t="s">
        <v>4169</v>
      </c>
      <c r="F500" s="173">
        <v>-5132.82</v>
      </c>
      <c r="G500" s="515" t="s">
        <v>294</v>
      </c>
      <c r="H500" s="32">
        <f>VLOOKUP(D500,'New TB INC'!C:K,3,0)-F500</f>
        <v>0</v>
      </c>
      <c r="I500" s="32"/>
      <c r="K500" s="32"/>
    </row>
    <row r="501" spans="1:11" s="380" customFormat="1">
      <c r="A501" s="515" t="s">
        <v>2385</v>
      </c>
      <c r="B501" s="515" t="s">
        <v>2389</v>
      </c>
      <c r="C501" s="515" t="s">
        <v>1368</v>
      </c>
      <c r="D501" s="2785">
        <v>7110024</v>
      </c>
      <c r="E501" s="515" t="s">
        <v>4307</v>
      </c>
      <c r="F501" s="173">
        <v>-260.44</v>
      </c>
      <c r="G501" s="515" t="s">
        <v>294</v>
      </c>
      <c r="H501" s="32">
        <f>VLOOKUP(D501,'New TB INC'!C:K,3,0)-F501</f>
        <v>0</v>
      </c>
      <c r="I501" s="32"/>
      <c r="K501" s="32"/>
    </row>
    <row r="502" spans="1:11" s="380" customFormat="1">
      <c r="A502" s="515" t="s">
        <v>2385</v>
      </c>
      <c r="B502" s="515" t="s">
        <v>2389</v>
      </c>
      <c r="C502" s="515" t="s">
        <v>1368</v>
      </c>
      <c r="D502" s="2785">
        <v>7110025</v>
      </c>
      <c r="E502" s="515" t="s">
        <v>4170</v>
      </c>
      <c r="F502" s="173">
        <v>412.4</v>
      </c>
      <c r="G502" s="515" t="s">
        <v>294</v>
      </c>
      <c r="H502" s="32">
        <f>VLOOKUP(D502,'New TB INC'!C:K,3,0)-F502</f>
        <v>0</v>
      </c>
      <c r="I502" s="32"/>
      <c r="K502" s="32"/>
    </row>
    <row r="503" spans="1:11" s="380" customFormat="1">
      <c r="A503" s="515" t="s">
        <v>2385</v>
      </c>
      <c r="B503" s="515" t="s">
        <v>2389</v>
      </c>
      <c r="C503" s="515" t="s">
        <v>1368</v>
      </c>
      <c r="D503" s="2785">
        <v>7110030</v>
      </c>
      <c r="E503" s="515" t="s">
        <v>3340</v>
      </c>
      <c r="F503" s="173">
        <v>83391.399999999994</v>
      </c>
      <c r="G503" s="515" t="s">
        <v>294</v>
      </c>
      <c r="H503" s="32">
        <f>VLOOKUP(D503,'New TB INC'!C:K,3,0)-F503</f>
        <v>0</v>
      </c>
      <c r="I503" s="32"/>
      <c r="K503" s="32"/>
    </row>
    <row r="504" spans="1:11" s="380" customFormat="1">
      <c r="A504" s="515" t="s">
        <v>2385</v>
      </c>
      <c r="B504" s="515" t="s">
        <v>2389</v>
      </c>
      <c r="C504" s="515" t="s">
        <v>1368</v>
      </c>
      <c r="D504" s="2785">
        <v>7110044</v>
      </c>
      <c r="E504" s="515" t="s">
        <v>1837</v>
      </c>
      <c r="F504" s="173">
        <v>144050</v>
      </c>
      <c r="G504" s="515" t="s">
        <v>294</v>
      </c>
      <c r="H504" s="32">
        <f>VLOOKUP(D504,'New TB INC'!C:K,3,0)-F504</f>
        <v>0</v>
      </c>
      <c r="I504" s="32"/>
      <c r="K504" s="32"/>
    </row>
    <row r="505" spans="1:11" s="380" customFormat="1">
      <c r="A505" s="515" t="s">
        <v>2385</v>
      </c>
      <c r="B505" s="515" t="s">
        <v>2389</v>
      </c>
      <c r="C505" s="515" t="s">
        <v>1368</v>
      </c>
      <c r="D505" s="2785">
        <v>7110055</v>
      </c>
      <c r="E505" s="515" t="s">
        <v>1838</v>
      </c>
      <c r="F505" s="173">
        <v>173321.59</v>
      </c>
      <c r="G505" s="515" t="s">
        <v>294</v>
      </c>
      <c r="H505" s="32">
        <f>VLOOKUP(D505,'New TB INC'!C:K,3,0)-F505</f>
        <v>0</v>
      </c>
      <c r="I505" s="32"/>
      <c r="K505" s="32"/>
    </row>
    <row r="506" spans="1:11" s="380" customFormat="1">
      <c r="A506" s="515" t="s">
        <v>2385</v>
      </c>
      <c r="B506" s="515" t="s">
        <v>2389</v>
      </c>
      <c r="C506" s="515" t="s">
        <v>1368</v>
      </c>
      <c r="D506" s="2785">
        <v>7110066</v>
      </c>
      <c r="E506" s="515" t="s">
        <v>2173</v>
      </c>
      <c r="F506" s="173">
        <v>395054.2</v>
      </c>
      <c r="G506" s="515" t="s">
        <v>294</v>
      </c>
      <c r="H506" s="32">
        <f>VLOOKUP(D506,'New TB INC'!C:K,3,0)-F506</f>
        <v>0</v>
      </c>
      <c r="I506" s="32"/>
      <c r="K506" s="32"/>
    </row>
    <row r="507" spans="1:11" s="380" customFormat="1">
      <c r="A507" s="515" t="s">
        <v>2385</v>
      </c>
      <c r="B507" s="515" t="s">
        <v>2389</v>
      </c>
      <c r="C507" s="515" t="s">
        <v>1368</v>
      </c>
      <c r="D507" s="2785">
        <v>7110077</v>
      </c>
      <c r="E507" s="515" t="s">
        <v>3546</v>
      </c>
      <c r="F507" s="173">
        <v>-1183211.6299999999</v>
      </c>
      <c r="G507" s="515" t="s">
        <v>294</v>
      </c>
      <c r="H507" s="32">
        <f>VLOOKUP(D507,'New TB INC'!C:K,3,0)-F507</f>
        <v>0</v>
      </c>
      <c r="I507" s="32"/>
      <c r="K507" s="32"/>
    </row>
    <row r="508" spans="1:11" s="380" customFormat="1">
      <c r="A508" s="515" t="s">
        <v>2385</v>
      </c>
      <c r="B508" s="515" t="s">
        <v>2389</v>
      </c>
      <c r="C508" s="515" t="s">
        <v>1368</v>
      </c>
      <c r="D508" s="2785">
        <v>7111004</v>
      </c>
      <c r="E508" s="515" t="s">
        <v>2393</v>
      </c>
      <c r="F508" s="173">
        <v>4686.93</v>
      </c>
      <c r="G508" s="515" t="s">
        <v>294</v>
      </c>
      <c r="H508" s="32">
        <f>VLOOKUP(D508,'New TB INC'!C:K,3,0)-F508</f>
        <v>0</v>
      </c>
      <c r="I508" s="32"/>
      <c r="K508" s="32"/>
    </row>
    <row r="509" spans="1:11" s="380" customFormat="1">
      <c r="A509" s="515" t="s">
        <v>2385</v>
      </c>
      <c r="B509" s="515" t="s">
        <v>2389</v>
      </c>
      <c r="C509" s="515" t="s">
        <v>1368</v>
      </c>
      <c r="D509" s="2785">
        <v>7111005</v>
      </c>
      <c r="E509" s="515" t="s">
        <v>3341</v>
      </c>
      <c r="F509" s="173">
        <v>4376.1499999999996</v>
      </c>
      <c r="G509" s="515" t="s">
        <v>294</v>
      </c>
      <c r="H509" s="32">
        <f>VLOOKUP(D509,'New TB INC'!C:K,3,0)-F509</f>
        <v>0</v>
      </c>
      <c r="I509" s="32"/>
      <c r="K509" s="32"/>
    </row>
    <row r="510" spans="1:11" s="380" customFormat="1">
      <c r="A510" s="515" t="s">
        <v>2385</v>
      </c>
      <c r="B510" s="515" t="s">
        <v>2389</v>
      </c>
      <c r="C510" s="515" t="s">
        <v>1368</v>
      </c>
      <c r="D510" s="2785">
        <v>7111009</v>
      </c>
      <c r="E510" s="515" t="s">
        <v>898</v>
      </c>
      <c r="F510" s="173">
        <v>185003.93</v>
      </c>
      <c r="G510" s="515" t="s">
        <v>294</v>
      </c>
      <c r="H510" s="32">
        <f>VLOOKUP(D510,'New TB INC'!C:K,3,0)-F510</f>
        <v>0</v>
      </c>
      <c r="I510" s="32"/>
      <c r="K510" s="32"/>
    </row>
    <row r="511" spans="1:11" s="380" customFormat="1">
      <c r="A511" s="515" t="s">
        <v>2385</v>
      </c>
      <c r="B511" s="515" t="s">
        <v>2389</v>
      </c>
      <c r="C511" s="515" t="s">
        <v>1368</v>
      </c>
      <c r="D511" s="2785">
        <v>7111010</v>
      </c>
      <c r="E511" s="515" t="s">
        <v>899</v>
      </c>
      <c r="F511" s="173">
        <v>377861.88</v>
      </c>
      <c r="G511" s="515" t="s">
        <v>294</v>
      </c>
      <c r="H511" s="32">
        <f>VLOOKUP(D511,'New TB INC'!C:K,3,0)-F511</f>
        <v>0</v>
      </c>
      <c r="I511" s="32"/>
      <c r="K511" s="32"/>
    </row>
    <row r="512" spans="1:11" s="380" customFormat="1">
      <c r="A512" s="515" t="s">
        <v>2385</v>
      </c>
      <c r="B512" s="515" t="s">
        <v>2389</v>
      </c>
      <c r="C512" s="515" t="s">
        <v>1368</v>
      </c>
      <c r="D512" s="2785" t="s">
        <v>1844</v>
      </c>
      <c r="E512" s="515" t="s">
        <v>1845</v>
      </c>
      <c r="F512" s="173">
        <v>2354.94</v>
      </c>
      <c r="G512" s="515" t="s">
        <v>294</v>
      </c>
      <c r="H512" s="32">
        <f>VLOOKUP(D512,'New TB INC'!C:K,3,0)-F512</f>
        <v>0</v>
      </c>
      <c r="I512" s="32"/>
      <c r="K512" s="32"/>
    </row>
    <row r="513" spans="1:11" s="380" customFormat="1">
      <c r="A513" s="515" t="s">
        <v>2385</v>
      </c>
      <c r="B513" s="515" t="s">
        <v>2389</v>
      </c>
      <c r="C513" s="515" t="s">
        <v>1368</v>
      </c>
      <c r="D513" s="2785">
        <v>7111012</v>
      </c>
      <c r="E513" s="515" t="s">
        <v>900</v>
      </c>
      <c r="F513" s="173">
        <v>9013.36</v>
      </c>
      <c r="G513" s="515" t="s">
        <v>294</v>
      </c>
      <c r="H513" s="32">
        <f>VLOOKUP(D513,'New TB INC'!C:K,3,0)-F513</f>
        <v>0</v>
      </c>
      <c r="I513" s="32"/>
      <c r="K513" s="32"/>
    </row>
    <row r="514" spans="1:11" s="380" customFormat="1">
      <c r="A514" s="515" t="s">
        <v>2385</v>
      </c>
      <c r="B514" s="515" t="s">
        <v>2389</v>
      </c>
      <c r="C514" s="515" t="s">
        <v>1368</v>
      </c>
      <c r="D514" s="2785">
        <v>7111014</v>
      </c>
      <c r="E514" s="515" t="s">
        <v>540</v>
      </c>
      <c r="F514" s="173">
        <v>7006.77</v>
      </c>
      <c r="G514" s="515" t="s">
        <v>294</v>
      </c>
      <c r="H514" s="32">
        <f>VLOOKUP(D514,'New TB INC'!C:K,3,0)-F514</f>
        <v>0</v>
      </c>
      <c r="I514" s="32"/>
      <c r="K514" s="32"/>
    </row>
    <row r="515" spans="1:11" s="380" customFormat="1">
      <c r="A515" s="515" t="s">
        <v>2385</v>
      </c>
      <c r="B515" s="515" t="s">
        <v>2389</v>
      </c>
      <c r="C515" s="515" t="s">
        <v>1368</v>
      </c>
      <c r="D515" s="2785">
        <v>7111015</v>
      </c>
      <c r="E515" s="515" t="s">
        <v>3415</v>
      </c>
      <c r="F515" s="173">
        <v>216.57</v>
      </c>
      <c r="G515" s="515" t="s">
        <v>294</v>
      </c>
      <c r="H515" s="32">
        <f>VLOOKUP(D515,'New TB INC'!C:K,3,0)-F515</f>
        <v>0</v>
      </c>
      <c r="I515" s="32"/>
      <c r="K515" s="32"/>
    </row>
    <row r="516" spans="1:11" s="380" customFormat="1">
      <c r="A516" s="515" t="s">
        <v>2385</v>
      </c>
      <c r="B516" s="515" t="s">
        <v>2389</v>
      </c>
      <c r="C516" s="515" t="s">
        <v>1368</v>
      </c>
      <c r="D516" s="2785">
        <v>7111017</v>
      </c>
      <c r="E516" s="515" t="s">
        <v>3591</v>
      </c>
      <c r="F516" s="173">
        <v>1883.72</v>
      </c>
      <c r="G516" s="515" t="s">
        <v>294</v>
      </c>
      <c r="H516" s="32">
        <f>VLOOKUP(D516,'New TB INC'!C:K,3,0)-F516</f>
        <v>0</v>
      </c>
      <c r="I516" s="32"/>
      <c r="K516" s="32"/>
    </row>
    <row r="517" spans="1:11" s="380" customFormat="1">
      <c r="A517" s="515" t="s">
        <v>2385</v>
      </c>
      <c r="B517" s="515" t="s">
        <v>2389</v>
      </c>
      <c r="C517" s="515" t="s">
        <v>1368</v>
      </c>
      <c r="D517" s="2785">
        <v>7111018</v>
      </c>
      <c r="E517" s="515" t="s">
        <v>2394</v>
      </c>
      <c r="F517" s="173">
        <v>67037.69</v>
      </c>
      <c r="G517" s="515" t="s">
        <v>294</v>
      </c>
      <c r="H517" s="32">
        <f>VLOOKUP(D517,'New TB INC'!C:K,3,0)-F517</f>
        <v>0</v>
      </c>
      <c r="I517" s="32"/>
      <c r="K517" s="32"/>
    </row>
    <row r="518" spans="1:11" s="380" customFormat="1">
      <c r="A518" s="515" t="s">
        <v>2385</v>
      </c>
      <c r="B518" s="515" t="s">
        <v>2389</v>
      </c>
      <c r="C518" s="515" t="s">
        <v>1368</v>
      </c>
      <c r="D518" s="2785">
        <v>7111019</v>
      </c>
      <c r="E518" s="515" t="s">
        <v>2395</v>
      </c>
      <c r="F518" s="173">
        <v>4429.49</v>
      </c>
      <c r="G518" s="515" t="s">
        <v>294</v>
      </c>
      <c r="H518" s="32">
        <f>VLOOKUP(D518,'New TB INC'!C:K,3,0)-F518</f>
        <v>0</v>
      </c>
      <c r="I518" s="32"/>
      <c r="K518" s="32"/>
    </row>
    <row r="519" spans="1:11" s="380" customFormat="1">
      <c r="A519" s="515" t="s">
        <v>2385</v>
      </c>
      <c r="B519" s="515" t="s">
        <v>2389</v>
      </c>
      <c r="C519" s="515" t="s">
        <v>1368</v>
      </c>
      <c r="D519" s="2785">
        <v>7111021</v>
      </c>
      <c r="E519" s="515" t="s">
        <v>905</v>
      </c>
      <c r="F519" s="173">
        <v>300000</v>
      </c>
      <c r="G519" s="515" t="s">
        <v>294</v>
      </c>
      <c r="H519" s="32">
        <f>VLOOKUP(D519,'New TB INC'!C:K,3,0)-F519</f>
        <v>0</v>
      </c>
      <c r="I519" s="32"/>
      <c r="K519" s="32"/>
    </row>
    <row r="520" spans="1:11" s="380" customFormat="1">
      <c r="A520" s="515" t="s">
        <v>2385</v>
      </c>
      <c r="B520" s="515" t="s">
        <v>2389</v>
      </c>
      <c r="C520" s="515" t="s">
        <v>1368</v>
      </c>
      <c r="D520" s="2785">
        <v>7111022</v>
      </c>
      <c r="E520" s="515" t="s">
        <v>906</v>
      </c>
      <c r="F520" s="173">
        <v>18879.5</v>
      </c>
      <c r="G520" s="515" t="s">
        <v>294</v>
      </c>
      <c r="H520" s="32">
        <f>VLOOKUP(D520,'New TB INC'!C:K,3,0)-F520</f>
        <v>0</v>
      </c>
      <c r="I520" s="32"/>
      <c r="K520" s="32"/>
    </row>
    <row r="521" spans="1:11" s="380" customFormat="1">
      <c r="A521" s="515" t="s">
        <v>2385</v>
      </c>
      <c r="B521" s="515" t="s">
        <v>2389</v>
      </c>
      <c r="C521" s="515" t="s">
        <v>1368</v>
      </c>
      <c r="D521" s="2785">
        <v>7111023</v>
      </c>
      <c r="E521" s="515" t="s">
        <v>1372</v>
      </c>
      <c r="F521" s="173">
        <v>10558.8</v>
      </c>
      <c r="G521" s="515" t="s">
        <v>294</v>
      </c>
      <c r="H521" s="32">
        <f>VLOOKUP(D521,'New TB INC'!C:K,3,0)-F521</f>
        <v>0</v>
      </c>
      <c r="I521" s="32"/>
      <c r="K521" s="32"/>
    </row>
    <row r="522" spans="1:11" s="380" customFormat="1">
      <c r="A522" s="515" t="s">
        <v>2385</v>
      </c>
      <c r="B522" s="515" t="s">
        <v>2389</v>
      </c>
      <c r="C522" s="515" t="s">
        <v>1368</v>
      </c>
      <c r="D522" s="2785">
        <v>7111025</v>
      </c>
      <c r="E522" s="515" t="s">
        <v>907</v>
      </c>
      <c r="F522" s="173">
        <v>225224</v>
      </c>
      <c r="G522" s="515" t="s">
        <v>294</v>
      </c>
      <c r="H522" s="32">
        <f>VLOOKUP(D522,'New TB INC'!C:K,3,0)-F522</f>
        <v>0</v>
      </c>
      <c r="I522" s="32"/>
      <c r="K522" s="32"/>
    </row>
    <row r="523" spans="1:11" s="380" customFormat="1">
      <c r="A523" s="515" t="s">
        <v>2385</v>
      </c>
      <c r="B523" s="515" t="s">
        <v>2389</v>
      </c>
      <c r="C523" s="515" t="s">
        <v>1368</v>
      </c>
      <c r="D523" s="2785">
        <v>7111028</v>
      </c>
      <c r="E523" s="515" t="s">
        <v>909</v>
      </c>
      <c r="F523" s="173">
        <v>23285.64</v>
      </c>
      <c r="G523" s="515" t="s">
        <v>294</v>
      </c>
      <c r="H523" s="32">
        <f>VLOOKUP(D523,'New TB INC'!C:K,3,0)-F523</f>
        <v>0</v>
      </c>
      <c r="I523" s="32"/>
      <c r="K523" s="32"/>
    </row>
    <row r="524" spans="1:11" s="380" customFormat="1">
      <c r="A524" s="515" t="s">
        <v>2385</v>
      </c>
      <c r="B524" s="515" t="s">
        <v>2389</v>
      </c>
      <c r="C524" s="515" t="s">
        <v>1368</v>
      </c>
      <c r="D524" s="2785">
        <v>7111029</v>
      </c>
      <c r="E524" s="515" t="s">
        <v>910</v>
      </c>
      <c r="F524" s="173">
        <v>1302.24</v>
      </c>
      <c r="G524" s="515" t="s">
        <v>294</v>
      </c>
      <c r="H524" s="32">
        <f>VLOOKUP(D524,'New TB INC'!C:K,3,0)-F524</f>
        <v>0</v>
      </c>
      <c r="I524" s="32"/>
    </row>
    <row r="525" spans="1:11" s="380" customFormat="1">
      <c r="A525" s="515" t="s">
        <v>2385</v>
      </c>
      <c r="B525" s="515" t="s">
        <v>2389</v>
      </c>
      <c r="C525" s="515" t="s">
        <v>1368</v>
      </c>
      <c r="D525" s="2785">
        <v>7111031</v>
      </c>
      <c r="E525" s="515" t="s">
        <v>1233</v>
      </c>
      <c r="F525" s="173">
        <v>-6177.24</v>
      </c>
      <c r="G525" s="515" t="s">
        <v>294</v>
      </c>
      <c r="H525" s="32">
        <f>VLOOKUP(D525,'New TB INC'!C:K,3,0)-F525</f>
        <v>0</v>
      </c>
      <c r="I525" s="32"/>
    </row>
    <row r="526" spans="1:11" s="383" customFormat="1">
      <c r="A526" s="615" t="s">
        <v>2385</v>
      </c>
      <c r="B526" s="615" t="s">
        <v>2389</v>
      </c>
      <c r="C526" s="615" t="s">
        <v>1368</v>
      </c>
      <c r="D526" s="2176">
        <v>7111044</v>
      </c>
      <c r="E526" s="615" t="s">
        <v>912</v>
      </c>
      <c r="F526" s="1807">
        <v>4888.76</v>
      </c>
      <c r="G526" s="615" t="s">
        <v>294</v>
      </c>
      <c r="H526" s="32">
        <f>VLOOKUP(D526,'New TB INC'!C:K,3,0)-F526</f>
        <v>0</v>
      </c>
      <c r="I526" s="320"/>
    </row>
    <row r="527" spans="1:11" s="383" customFormat="1">
      <c r="A527" s="615" t="s">
        <v>2385</v>
      </c>
      <c r="B527" s="615" t="s">
        <v>2389</v>
      </c>
      <c r="C527" s="615" t="s">
        <v>1368</v>
      </c>
      <c r="D527" s="2176">
        <v>7111045</v>
      </c>
      <c r="E527" s="615" t="s">
        <v>1374</v>
      </c>
      <c r="F527" s="1807">
        <v>2825</v>
      </c>
      <c r="G527" s="615" t="s">
        <v>294</v>
      </c>
      <c r="H527" s="32">
        <f>VLOOKUP(D527,'New TB INC'!C:K,3,0)-F527</f>
        <v>0</v>
      </c>
      <c r="I527" s="320"/>
    </row>
    <row r="528" spans="1:11" s="383" customFormat="1">
      <c r="A528" s="615" t="s">
        <v>2385</v>
      </c>
      <c r="B528" s="615" t="s">
        <v>2389</v>
      </c>
      <c r="C528" s="615" t="s">
        <v>1368</v>
      </c>
      <c r="D528" s="2176">
        <v>7111047</v>
      </c>
      <c r="E528" s="615" t="s">
        <v>2132</v>
      </c>
      <c r="F528" s="1807">
        <v>5000</v>
      </c>
      <c r="G528" s="615" t="s">
        <v>294</v>
      </c>
      <c r="H528" s="32">
        <f>VLOOKUP(D528,'New TB INC'!C:K,3,0)-F528</f>
        <v>0</v>
      </c>
      <c r="I528" s="320"/>
    </row>
    <row r="529" spans="1:9" s="383" customFormat="1">
      <c r="A529" s="615" t="s">
        <v>2385</v>
      </c>
      <c r="B529" s="615" t="s">
        <v>2389</v>
      </c>
      <c r="C529" s="615" t="s">
        <v>1368</v>
      </c>
      <c r="D529" s="2176">
        <v>7111048</v>
      </c>
      <c r="E529" s="615" t="s">
        <v>913</v>
      </c>
      <c r="F529" s="1807">
        <v>99269.31</v>
      </c>
      <c r="G529" s="615" t="s">
        <v>294</v>
      </c>
      <c r="H529" s="32">
        <f>VLOOKUP(D529,'New TB INC'!C:K,3,0)-F529</f>
        <v>0</v>
      </c>
      <c r="I529" s="320"/>
    </row>
    <row r="530" spans="1:9" s="383" customFormat="1">
      <c r="A530" s="615" t="s">
        <v>2385</v>
      </c>
      <c r="B530" s="615" t="s">
        <v>2389</v>
      </c>
      <c r="C530" s="615" t="s">
        <v>1368</v>
      </c>
      <c r="D530" s="2176">
        <v>7111050</v>
      </c>
      <c r="E530" s="615" t="s">
        <v>2396</v>
      </c>
      <c r="F530" s="1807">
        <v>3069.61</v>
      </c>
      <c r="G530" s="615" t="s">
        <v>294</v>
      </c>
      <c r="H530" s="32">
        <f>VLOOKUP(D530,'New TB INC'!C:K,3,0)-F530</f>
        <v>0</v>
      </c>
      <c r="I530" s="320"/>
    </row>
    <row r="531" spans="1:9" s="383" customFormat="1">
      <c r="A531" s="615" t="s">
        <v>2385</v>
      </c>
      <c r="B531" s="615" t="s">
        <v>2389</v>
      </c>
      <c r="C531" s="615" t="s">
        <v>1368</v>
      </c>
      <c r="D531" s="2176">
        <v>7112021</v>
      </c>
      <c r="E531" s="615" t="s">
        <v>2133</v>
      </c>
      <c r="F531" s="1807">
        <v>363439.25</v>
      </c>
      <c r="G531" s="615" t="s">
        <v>294</v>
      </c>
      <c r="H531" s="32">
        <f>VLOOKUP(D531,'New TB INC'!C:K,3,0)-F531</f>
        <v>0</v>
      </c>
      <c r="I531" s="320"/>
    </row>
    <row r="532" spans="1:9" s="383" customFormat="1">
      <c r="A532" s="615" t="s">
        <v>2385</v>
      </c>
      <c r="B532" s="615" t="s">
        <v>2389</v>
      </c>
      <c r="C532" s="615" t="s">
        <v>1368</v>
      </c>
      <c r="D532" s="2176">
        <v>7112022</v>
      </c>
      <c r="E532" s="615" t="s">
        <v>2134</v>
      </c>
      <c r="F532" s="1807">
        <v>37271.910000000003</v>
      </c>
      <c r="G532" s="615" t="s">
        <v>294</v>
      </c>
      <c r="H532" s="32">
        <f>VLOOKUP(D532,'New TB INC'!C:K,3,0)-F532</f>
        <v>0</v>
      </c>
      <c r="I532" s="320"/>
    </row>
    <row r="533" spans="1:9" s="383" customFormat="1">
      <c r="A533" s="615" t="s">
        <v>2385</v>
      </c>
      <c r="B533" s="615" t="s">
        <v>2389</v>
      </c>
      <c r="C533" s="615" t="s">
        <v>1368</v>
      </c>
      <c r="D533" s="2176">
        <v>7112023</v>
      </c>
      <c r="E533" s="615" t="s">
        <v>2135</v>
      </c>
      <c r="F533" s="1807">
        <v>8612.8799999999992</v>
      </c>
      <c r="G533" s="615" t="s">
        <v>294</v>
      </c>
      <c r="H533" s="32">
        <f>VLOOKUP(D533,'New TB INC'!C:K,3,0)-F533</f>
        <v>0</v>
      </c>
      <c r="I533" s="320"/>
    </row>
    <row r="534" spans="1:9" s="383" customFormat="1">
      <c r="A534" s="615" t="s">
        <v>2385</v>
      </c>
      <c r="B534" s="615" t="s">
        <v>2389</v>
      </c>
      <c r="C534" s="615" t="s">
        <v>1368</v>
      </c>
      <c r="D534" s="2176">
        <v>7112025</v>
      </c>
      <c r="E534" s="615" t="s">
        <v>2136</v>
      </c>
      <c r="F534" s="1807">
        <v>156263</v>
      </c>
      <c r="G534" s="615" t="s">
        <v>294</v>
      </c>
      <c r="H534" s="32">
        <f>VLOOKUP(D534,'New TB INC'!C:K,3,0)-F534</f>
        <v>0</v>
      </c>
      <c r="I534" s="320"/>
    </row>
    <row r="535" spans="1:9" s="383" customFormat="1">
      <c r="A535" s="615" t="s">
        <v>2385</v>
      </c>
      <c r="B535" s="615" t="s">
        <v>2389</v>
      </c>
      <c r="C535" s="615" t="s">
        <v>1368</v>
      </c>
      <c r="D535" s="2176">
        <v>7112026</v>
      </c>
      <c r="E535" s="615" t="s">
        <v>2137</v>
      </c>
      <c r="F535" s="1807">
        <v>987.3</v>
      </c>
      <c r="G535" s="615" t="s">
        <v>294</v>
      </c>
      <c r="H535" s="32">
        <f>VLOOKUP(D535,'New TB INC'!C:K,3,0)-F535</f>
        <v>0</v>
      </c>
      <c r="I535" s="320"/>
    </row>
    <row r="536" spans="1:9" s="383" customFormat="1">
      <c r="A536" s="615" t="s">
        <v>2385</v>
      </c>
      <c r="B536" s="615" t="s">
        <v>2389</v>
      </c>
      <c r="C536" s="615" t="s">
        <v>1368</v>
      </c>
      <c r="D536" s="2176">
        <v>7112027</v>
      </c>
      <c r="E536" s="615" t="s">
        <v>4713</v>
      </c>
      <c r="F536" s="1807">
        <v>2735.17</v>
      </c>
      <c r="G536" s="615" t="s">
        <v>294</v>
      </c>
      <c r="H536" s="32">
        <f>VLOOKUP(D536,'New TB INC'!C:K,3,0)-F536</f>
        <v>0</v>
      </c>
      <c r="I536" s="320"/>
    </row>
    <row r="537" spans="1:9" s="383" customFormat="1">
      <c r="A537" s="615" t="s">
        <v>2385</v>
      </c>
      <c r="B537" s="615" t="s">
        <v>2389</v>
      </c>
      <c r="C537" s="615" t="s">
        <v>1368</v>
      </c>
      <c r="D537" s="2176">
        <v>7112028</v>
      </c>
      <c r="E537" s="615" t="s">
        <v>2184</v>
      </c>
      <c r="F537" s="1807">
        <v>42264.65</v>
      </c>
      <c r="G537" s="615" t="s">
        <v>294</v>
      </c>
      <c r="H537" s="32">
        <f>VLOOKUP(D537,'New TB INC'!C:K,3,0)-F537</f>
        <v>0</v>
      </c>
      <c r="I537" s="320"/>
    </row>
    <row r="538" spans="1:9" s="383" customFormat="1">
      <c r="A538" s="615" t="s">
        <v>2385</v>
      </c>
      <c r="B538" s="615" t="s">
        <v>2389</v>
      </c>
      <c r="C538" s="615" t="s">
        <v>1368</v>
      </c>
      <c r="D538" s="2176">
        <v>7112029</v>
      </c>
      <c r="E538" s="615" t="s">
        <v>2185</v>
      </c>
      <c r="F538" s="1807">
        <v>2373.92</v>
      </c>
      <c r="G538" s="615" t="s">
        <v>294</v>
      </c>
      <c r="H538" s="32">
        <f>VLOOKUP(D538,'New TB INC'!C:K,3,0)-F538</f>
        <v>0</v>
      </c>
      <c r="I538" s="320"/>
    </row>
    <row r="539" spans="1:9" s="383" customFormat="1">
      <c r="A539" s="615" t="s">
        <v>2385</v>
      </c>
      <c r="B539" s="615" t="s">
        <v>2389</v>
      </c>
      <c r="C539" s="615" t="s">
        <v>1368</v>
      </c>
      <c r="D539" s="2176">
        <v>7112031</v>
      </c>
      <c r="E539" s="615" t="s">
        <v>3202</v>
      </c>
      <c r="F539" s="1807">
        <v>3600</v>
      </c>
      <c r="G539" s="615" t="s">
        <v>294</v>
      </c>
      <c r="H539" s="32">
        <f>VLOOKUP(D539,'New TB INC'!C:K,3,0)-F539</f>
        <v>0</v>
      </c>
      <c r="I539" s="320"/>
    </row>
    <row r="540" spans="1:9" s="383" customFormat="1">
      <c r="A540" s="615" t="s">
        <v>2385</v>
      </c>
      <c r="B540" s="615" t="s">
        <v>2389</v>
      </c>
      <c r="C540" s="615" t="s">
        <v>1368</v>
      </c>
      <c r="D540" s="2176">
        <v>7130001</v>
      </c>
      <c r="E540" s="615" t="s">
        <v>1683</v>
      </c>
      <c r="F540" s="1807">
        <v>1127649.81</v>
      </c>
      <c r="G540" s="615" t="s">
        <v>294</v>
      </c>
      <c r="H540" s="32">
        <f>VLOOKUP(D540,'New TB INC'!C:K,3,0)-F540</f>
        <v>0</v>
      </c>
      <c r="I540" s="320"/>
    </row>
    <row r="541" spans="1:9" s="383" customFormat="1">
      <c r="A541" s="615" t="s">
        <v>2385</v>
      </c>
      <c r="B541" s="615" t="s">
        <v>2389</v>
      </c>
      <c r="C541" s="615" t="s">
        <v>1368</v>
      </c>
      <c r="D541" s="2176">
        <v>7130002</v>
      </c>
      <c r="E541" s="615" t="s">
        <v>1746</v>
      </c>
      <c r="F541" s="1807">
        <v>21308.79</v>
      </c>
      <c r="G541" s="615" t="s">
        <v>294</v>
      </c>
      <c r="H541" s="32">
        <f>VLOOKUP(D541,'New TB INC'!C:K,3,0)-F541</f>
        <v>0</v>
      </c>
      <c r="I541" s="320"/>
    </row>
    <row r="542" spans="1:9" s="383" customFormat="1">
      <c r="A542" s="615" t="s">
        <v>2385</v>
      </c>
      <c r="B542" s="615" t="s">
        <v>2389</v>
      </c>
      <c r="C542" s="615" t="s">
        <v>1368</v>
      </c>
      <c r="D542" s="2176">
        <v>7130004</v>
      </c>
      <c r="E542" s="615" t="s">
        <v>1684</v>
      </c>
      <c r="F542" s="1807">
        <v>822463.01</v>
      </c>
      <c r="G542" s="615" t="s">
        <v>294</v>
      </c>
      <c r="H542" s="32">
        <f>VLOOKUP(D542,'New TB INC'!C:K,3,0)-F542</f>
        <v>0</v>
      </c>
      <c r="I542" s="320"/>
    </row>
    <row r="543" spans="1:9" s="383" customFormat="1">
      <c r="A543" s="615" t="s">
        <v>2385</v>
      </c>
      <c r="B543" s="615" t="s">
        <v>2389</v>
      </c>
      <c r="C543" s="615" t="s">
        <v>1368</v>
      </c>
      <c r="D543" s="2176">
        <v>7130005</v>
      </c>
      <c r="E543" s="615" t="s">
        <v>2050</v>
      </c>
      <c r="F543" s="1807">
        <v>-269.83999999999997</v>
      </c>
      <c r="G543" s="615" t="s">
        <v>294</v>
      </c>
      <c r="H543" s="32">
        <f>VLOOKUP(D543,'New TB INC'!C:K,3,0)-F543</f>
        <v>0</v>
      </c>
      <c r="I543" s="320"/>
    </row>
    <row r="544" spans="1:9" s="383" customFormat="1">
      <c r="A544" s="615" t="s">
        <v>2385</v>
      </c>
      <c r="B544" s="615" t="s">
        <v>2389</v>
      </c>
      <c r="C544" s="615" t="s">
        <v>1368</v>
      </c>
      <c r="D544" s="2176">
        <v>7130007</v>
      </c>
      <c r="E544" s="615" t="s">
        <v>1685</v>
      </c>
      <c r="F544" s="1807">
        <v>124979.09</v>
      </c>
      <c r="G544" s="615" t="s">
        <v>294</v>
      </c>
      <c r="H544" s="32">
        <f>VLOOKUP(D544,'New TB INC'!C:K,3,0)-F544</f>
        <v>0</v>
      </c>
      <c r="I544" s="320"/>
    </row>
    <row r="545" spans="1:9" s="383" customFormat="1">
      <c r="A545" s="615" t="s">
        <v>2385</v>
      </c>
      <c r="B545" s="615" t="s">
        <v>2389</v>
      </c>
      <c r="C545" s="615" t="s">
        <v>1368</v>
      </c>
      <c r="D545" s="2176">
        <v>7130030</v>
      </c>
      <c r="E545" s="615" t="s">
        <v>1856</v>
      </c>
      <c r="F545" s="1807">
        <v>60098</v>
      </c>
      <c r="G545" s="615" t="s">
        <v>294</v>
      </c>
      <c r="H545" s="32">
        <f>VLOOKUP(D545,'New TB INC'!C:K,3,0)-F545</f>
        <v>0</v>
      </c>
      <c r="I545" s="320"/>
    </row>
    <row r="546" spans="1:9" s="383" customFormat="1">
      <c r="A546" s="615" t="s">
        <v>2385</v>
      </c>
      <c r="B546" s="615" t="s">
        <v>2389</v>
      </c>
      <c r="C546" s="615" t="s">
        <v>1368</v>
      </c>
      <c r="D546" s="2176">
        <v>7131004</v>
      </c>
      <c r="E546" s="615" t="s">
        <v>1686</v>
      </c>
      <c r="F546" s="1807">
        <v>3494.23</v>
      </c>
      <c r="G546" s="615" t="s">
        <v>294</v>
      </c>
      <c r="H546" s="32">
        <f>VLOOKUP(D546,'New TB INC'!C:K,3,0)-F546</f>
        <v>0</v>
      </c>
      <c r="I546" s="320"/>
    </row>
    <row r="547" spans="1:9" s="383" customFormat="1">
      <c r="A547" s="615" t="s">
        <v>2385</v>
      </c>
      <c r="B547" s="615" t="s">
        <v>2389</v>
      </c>
      <c r="C547" s="615" t="s">
        <v>1368</v>
      </c>
      <c r="D547" s="2176">
        <v>7131005</v>
      </c>
      <c r="E547" s="615" t="s">
        <v>1654</v>
      </c>
      <c r="F547" s="1807">
        <v>25852.17</v>
      </c>
      <c r="G547" s="615" t="s">
        <v>294</v>
      </c>
      <c r="H547" s="32">
        <f>VLOOKUP(D547,'New TB INC'!C:K,3,0)-F547</f>
        <v>0</v>
      </c>
      <c r="I547" s="320"/>
    </row>
    <row r="548" spans="1:9" s="383" customFormat="1">
      <c r="A548" s="615" t="s">
        <v>2385</v>
      </c>
      <c r="B548" s="615" t="s">
        <v>2389</v>
      </c>
      <c r="C548" s="615" t="s">
        <v>1368</v>
      </c>
      <c r="D548" s="2176">
        <v>7131007</v>
      </c>
      <c r="E548" s="615" t="s">
        <v>1747</v>
      </c>
      <c r="F548" s="1807">
        <v>6154</v>
      </c>
      <c r="G548" s="615" t="s">
        <v>294</v>
      </c>
      <c r="H548" s="32">
        <f>VLOOKUP(D548,'New TB INC'!C:K,3,0)-F548</f>
        <v>0</v>
      </c>
      <c r="I548" s="320"/>
    </row>
    <row r="549" spans="1:9" s="383" customFormat="1">
      <c r="A549" s="615" t="s">
        <v>2385</v>
      </c>
      <c r="B549" s="615" t="s">
        <v>2389</v>
      </c>
      <c r="C549" s="615" t="s">
        <v>1368</v>
      </c>
      <c r="D549" s="2176">
        <v>7131018</v>
      </c>
      <c r="E549" s="615" t="s">
        <v>1687</v>
      </c>
      <c r="F549" s="1807">
        <v>82716.12</v>
      </c>
      <c r="G549" s="615" t="s">
        <v>294</v>
      </c>
      <c r="H549" s="32">
        <f>VLOOKUP(D549,'New TB INC'!C:K,3,0)-F549</f>
        <v>0</v>
      </c>
      <c r="I549" s="320"/>
    </row>
    <row r="550" spans="1:9" s="383" customFormat="1">
      <c r="A550" s="615" t="s">
        <v>2385</v>
      </c>
      <c r="B550" s="615" t="s">
        <v>2389</v>
      </c>
      <c r="C550" s="615" t="s">
        <v>1368</v>
      </c>
      <c r="D550" s="2176">
        <v>7131019</v>
      </c>
      <c r="E550" s="615" t="s">
        <v>1688</v>
      </c>
      <c r="F550" s="1807">
        <v>5994.2</v>
      </c>
      <c r="G550" s="615" t="s">
        <v>294</v>
      </c>
      <c r="H550" s="32">
        <f>VLOOKUP(D550,'New TB INC'!C:K,3,0)-F550</f>
        <v>0</v>
      </c>
      <c r="I550" s="320"/>
    </row>
    <row r="551" spans="1:9" s="383" customFormat="1">
      <c r="A551" s="615" t="s">
        <v>2385</v>
      </c>
      <c r="B551" s="615" t="s">
        <v>2389</v>
      </c>
      <c r="C551" s="615" t="s">
        <v>1819</v>
      </c>
      <c r="D551" s="2176">
        <v>7110009</v>
      </c>
      <c r="E551" s="615" t="s">
        <v>4510</v>
      </c>
      <c r="F551" s="1807">
        <v>1000.41</v>
      </c>
      <c r="G551" s="615" t="s">
        <v>294</v>
      </c>
      <c r="H551" s="32">
        <f>VLOOKUP(D551,'New TB INC'!C:K,3,0)-F551</f>
        <v>0</v>
      </c>
      <c r="I551" s="320"/>
    </row>
    <row r="552" spans="1:9" s="383" customFormat="1">
      <c r="A552" s="615" t="s">
        <v>2385</v>
      </c>
      <c r="B552" s="615" t="s">
        <v>2389</v>
      </c>
      <c r="C552" s="615" t="s">
        <v>1819</v>
      </c>
      <c r="D552" s="2176">
        <v>7110010</v>
      </c>
      <c r="E552" s="615" t="s">
        <v>4511</v>
      </c>
      <c r="F552" s="1807">
        <v>1328.12</v>
      </c>
      <c r="G552" s="615" t="s">
        <v>294</v>
      </c>
      <c r="H552" s="32">
        <f>VLOOKUP(D552,'New TB INC'!C:K,3,0)-F552</f>
        <v>0</v>
      </c>
      <c r="I552" s="320"/>
    </row>
    <row r="553" spans="1:9" s="383" customFormat="1">
      <c r="A553" s="615" t="s">
        <v>2385</v>
      </c>
      <c r="B553" s="615" t="s">
        <v>2389</v>
      </c>
      <c r="C553" s="615" t="s">
        <v>1819</v>
      </c>
      <c r="D553" s="2176">
        <v>7110011</v>
      </c>
      <c r="E553" s="615" t="s">
        <v>4512</v>
      </c>
      <c r="F553" s="1807">
        <v>314.24</v>
      </c>
      <c r="G553" s="615" t="s">
        <v>294</v>
      </c>
      <c r="H553" s="32">
        <f>VLOOKUP(D553,'New TB INC'!C:K,3,0)-F553</f>
        <v>0</v>
      </c>
      <c r="I553" s="320"/>
    </row>
    <row r="554" spans="1:9" s="383" customFormat="1">
      <c r="A554" s="615" t="s">
        <v>2385</v>
      </c>
      <c r="B554" s="615" t="s">
        <v>2389</v>
      </c>
      <c r="C554" s="615" t="s">
        <v>1819</v>
      </c>
      <c r="D554" s="2176">
        <v>7110012</v>
      </c>
      <c r="E554" s="615" t="s">
        <v>4513</v>
      </c>
      <c r="F554" s="1807">
        <v>625.19000000000005</v>
      </c>
      <c r="G554" s="615" t="s">
        <v>294</v>
      </c>
      <c r="H554" s="32">
        <f>VLOOKUP(D554,'New TB INC'!C:K,3,0)-F554</f>
        <v>0</v>
      </c>
      <c r="I554" s="320"/>
    </row>
    <row r="555" spans="1:9" s="383" customFormat="1">
      <c r="A555" s="615" t="s">
        <v>2385</v>
      </c>
      <c r="B555" s="615" t="s">
        <v>2389</v>
      </c>
      <c r="C555" s="615" t="s">
        <v>1819</v>
      </c>
      <c r="D555" s="2176">
        <v>7110013</v>
      </c>
      <c r="E555" s="615" t="s">
        <v>4020</v>
      </c>
      <c r="F555" s="1807">
        <v>1014.72</v>
      </c>
      <c r="G555" s="615" t="s">
        <v>294</v>
      </c>
      <c r="H555" s="32">
        <f>VLOOKUP(D555,'New TB INC'!C:K,3,0)-F555</f>
        <v>0</v>
      </c>
      <c r="I555" s="320"/>
    </row>
    <row r="556" spans="1:9" s="383" customFormat="1">
      <c r="A556" s="615" t="s">
        <v>2385</v>
      </c>
      <c r="B556" s="615" t="s">
        <v>2389</v>
      </c>
      <c r="C556" s="615" t="s">
        <v>1819</v>
      </c>
      <c r="D556" s="2176">
        <v>7110014</v>
      </c>
      <c r="E556" s="615" t="s">
        <v>4514</v>
      </c>
      <c r="F556" s="1807">
        <v>98</v>
      </c>
      <c r="G556" s="615" t="s">
        <v>294</v>
      </c>
      <c r="H556" s="32">
        <f>VLOOKUP(D556,'New TB INC'!C:K,3,0)-F556</f>
        <v>0</v>
      </c>
      <c r="I556" s="320"/>
    </row>
    <row r="557" spans="1:9" s="383" customFormat="1">
      <c r="A557" s="615" t="s">
        <v>2385</v>
      </c>
      <c r="B557" s="615" t="s">
        <v>2389</v>
      </c>
      <c r="C557" s="615" t="s">
        <v>1819</v>
      </c>
      <c r="D557" s="2176">
        <v>7110015</v>
      </c>
      <c r="E557" s="615" t="s">
        <v>4515</v>
      </c>
      <c r="F557" s="1807">
        <v>3065.9</v>
      </c>
      <c r="G557" s="615" t="s">
        <v>294</v>
      </c>
      <c r="H557" s="32">
        <f>VLOOKUP(D557,'New TB INC'!C:K,3,0)-F557</f>
        <v>0</v>
      </c>
      <c r="I557" s="320"/>
    </row>
    <row r="558" spans="1:9" s="383" customFormat="1">
      <c r="A558" s="616" t="s">
        <v>2385</v>
      </c>
      <c r="B558" s="615" t="s">
        <v>2389</v>
      </c>
      <c r="C558" s="616" t="s">
        <v>1819</v>
      </c>
      <c r="D558" s="2847">
        <v>7120001</v>
      </c>
      <c r="E558" s="616" t="s">
        <v>4015</v>
      </c>
      <c r="F558" s="799">
        <v>281.77999999999997</v>
      </c>
      <c r="G558" s="615" t="s">
        <v>294</v>
      </c>
      <c r="H558" s="32">
        <f>VLOOKUP(D558,'New TB INC'!C:K,3,0)-F558</f>
        <v>0</v>
      </c>
      <c r="I558" s="320"/>
    </row>
    <row r="559" spans="1:9" s="383" customFormat="1">
      <c r="A559" s="616" t="s">
        <v>2385</v>
      </c>
      <c r="B559" s="615" t="s">
        <v>2389</v>
      </c>
      <c r="C559" s="616" t="s">
        <v>1819</v>
      </c>
      <c r="D559" s="2847">
        <v>7120002</v>
      </c>
      <c r="E559" s="616" t="s">
        <v>4016</v>
      </c>
      <c r="F559" s="799">
        <v>2983.73</v>
      </c>
      <c r="G559" s="615" t="s">
        <v>294</v>
      </c>
      <c r="H559" s="32">
        <f>VLOOKUP(D559,'New TB INC'!C:K,3,0)-F559</f>
        <v>0</v>
      </c>
      <c r="I559" s="320"/>
    </row>
    <row r="560" spans="1:9" s="383" customFormat="1">
      <c r="A560" s="616" t="s">
        <v>2385</v>
      </c>
      <c r="B560" s="615" t="s">
        <v>2389</v>
      </c>
      <c r="C560" s="616" t="s">
        <v>1819</v>
      </c>
      <c r="D560" s="2847">
        <v>7120003</v>
      </c>
      <c r="E560" s="616" t="s">
        <v>4017</v>
      </c>
      <c r="F560" s="799">
        <v>452.29</v>
      </c>
      <c r="G560" s="615" t="s">
        <v>294</v>
      </c>
      <c r="H560" s="32">
        <f>VLOOKUP(D560,'New TB INC'!C:K,3,0)-F560</f>
        <v>0</v>
      </c>
      <c r="I560" s="320"/>
    </row>
    <row r="561" spans="1:9" s="383" customFormat="1">
      <c r="A561" s="616" t="s">
        <v>2385</v>
      </c>
      <c r="B561" s="615" t="s">
        <v>2389</v>
      </c>
      <c r="C561" s="616" t="s">
        <v>1819</v>
      </c>
      <c r="D561" s="2847">
        <v>7120004</v>
      </c>
      <c r="E561" s="616" t="s">
        <v>4018</v>
      </c>
      <c r="F561" s="799">
        <v>2261.9</v>
      </c>
      <c r="G561" s="615" t="s">
        <v>294</v>
      </c>
      <c r="H561" s="32">
        <f>VLOOKUP(D561,'New TB INC'!C:K,3,0)-F561</f>
        <v>0</v>
      </c>
      <c r="I561" s="320"/>
    </row>
    <row r="562" spans="1:9" s="383" customFormat="1">
      <c r="A562" s="616" t="s">
        <v>2385</v>
      </c>
      <c r="B562" s="615" t="s">
        <v>2389</v>
      </c>
      <c r="C562" s="616" t="s">
        <v>1819</v>
      </c>
      <c r="D562" s="2847">
        <v>7120005</v>
      </c>
      <c r="E562" s="616" t="s">
        <v>4308</v>
      </c>
      <c r="F562" s="799">
        <v>60.94</v>
      </c>
      <c r="G562" s="615" t="s">
        <v>294</v>
      </c>
      <c r="H562" s="32">
        <f>VLOOKUP(D562,'New TB INC'!C:K,3,0)-F562</f>
        <v>0</v>
      </c>
      <c r="I562" s="320"/>
    </row>
    <row r="563" spans="1:9" s="383" customFormat="1">
      <c r="A563" s="616" t="s">
        <v>2385</v>
      </c>
      <c r="B563" s="615" t="s">
        <v>2389</v>
      </c>
      <c r="C563" s="616" t="s">
        <v>1819</v>
      </c>
      <c r="D563" s="2847">
        <v>7120008</v>
      </c>
      <c r="E563" s="616" t="s">
        <v>3109</v>
      </c>
      <c r="F563" s="799">
        <v>976.1</v>
      </c>
      <c r="G563" s="615" t="s">
        <v>294</v>
      </c>
      <c r="H563" s="32">
        <f>VLOOKUP(D563,'New TB INC'!C:K,3,0)-F563</f>
        <v>0</v>
      </c>
      <c r="I563" s="320"/>
    </row>
    <row r="564" spans="1:9" s="383" customFormat="1">
      <c r="A564" s="616" t="s">
        <v>2385</v>
      </c>
      <c r="B564" s="615" t="s">
        <v>2389</v>
      </c>
      <c r="C564" s="616" t="s">
        <v>1819</v>
      </c>
      <c r="D564" s="2847">
        <v>7120009</v>
      </c>
      <c r="E564" s="616" t="s">
        <v>4019</v>
      </c>
      <c r="F564" s="799">
        <v>2980.36</v>
      </c>
      <c r="G564" s="615" t="s">
        <v>294</v>
      </c>
      <c r="H564" s="32">
        <f>VLOOKUP(D564,'New TB INC'!C:K,3,0)-F564</f>
        <v>0</v>
      </c>
      <c r="I564" s="320"/>
    </row>
    <row r="565" spans="1:9" s="383" customFormat="1">
      <c r="A565" s="616" t="s">
        <v>2385</v>
      </c>
      <c r="B565" s="615" t="s">
        <v>2389</v>
      </c>
      <c r="C565" s="616" t="s">
        <v>1819</v>
      </c>
      <c r="D565" s="2847">
        <v>7120015</v>
      </c>
      <c r="E565" s="616" t="s">
        <v>946</v>
      </c>
      <c r="F565" s="799">
        <v>23399.97</v>
      </c>
      <c r="G565" s="615" t="s">
        <v>294</v>
      </c>
      <c r="H565" s="32">
        <f>VLOOKUP(D565,'New TB INC'!C:K,3,0)-F565</f>
        <v>0</v>
      </c>
      <c r="I565" s="320"/>
    </row>
    <row r="566" spans="1:9" s="383" customFormat="1">
      <c r="A566" s="616" t="s">
        <v>2385</v>
      </c>
      <c r="B566" s="615" t="s">
        <v>2389</v>
      </c>
      <c r="C566" s="616" t="s">
        <v>1819</v>
      </c>
      <c r="D566" s="2847">
        <v>7120040</v>
      </c>
      <c r="E566" s="616" t="s">
        <v>3110</v>
      </c>
      <c r="F566" s="799">
        <v>1000</v>
      </c>
      <c r="G566" s="615" t="s">
        <v>294</v>
      </c>
      <c r="H566" s="32">
        <f>VLOOKUP(D566,'New TB INC'!C:K,3,0)-F566</f>
        <v>0</v>
      </c>
      <c r="I566" s="320"/>
    </row>
    <row r="567" spans="1:9" s="383" customFormat="1">
      <c r="A567" s="616" t="s">
        <v>2385</v>
      </c>
      <c r="B567" s="615" t="s">
        <v>2389</v>
      </c>
      <c r="C567" s="616" t="s">
        <v>1819</v>
      </c>
      <c r="D567" s="2847">
        <v>7120043</v>
      </c>
      <c r="E567" s="616" t="s">
        <v>1559</v>
      </c>
      <c r="F567" s="799">
        <v>4889.3500000000004</v>
      </c>
      <c r="G567" s="615" t="s">
        <v>294</v>
      </c>
      <c r="H567" s="32">
        <f>VLOOKUP(D567,'New TB INC'!C:K,3,0)-F567</f>
        <v>0</v>
      </c>
      <c r="I567" s="320"/>
    </row>
    <row r="568" spans="1:9" s="383" customFormat="1">
      <c r="A568" s="616" t="s">
        <v>2385</v>
      </c>
      <c r="B568" s="615" t="s">
        <v>2389</v>
      </c>
      <c r="C568" s="616" t="s">
        <v>1819</v>
      </c>
      <c r="D568" s="2847">
        <v>7120044</v>
      </c>
      <c r="E568" s="616" t="s">
        <v>1519</v>
      </c>
      <c r="F568" s="799">
        <v>6897</v>
      </c>
      <c r="G568" s="615" t="s">
        <v>294</v>
      </c>
      <c r="H568" s="32">
        <f>VLOOKUP(D568,'New TB INC'!C:K,3,0)-F568</f>
        <v>0</v>
      </c>
      <c r="I568" s="320"/>
    </row>
    <row r="569" spans="1:9" s="383" customFormat="1">
      <c r="A569" s="616" t="s">
        <v>2385</v>
      </c>
      <c r="B569" s="615" t="s">
        <v>2389</v>
      </c>
      <c r="C569" s="616" t="s">
        <v>1819</v>
      </c>
      <c r="D569" s="2847">
        <v>7120061</v>
      </c>
      <c r="E569" s="616" t="s">
        <v>3657</v>
      </c>
      <c r="F569" s="799">
        <v>6095.37</v>
      </c>
      <c r="G569" s="615" t="s">
        <v>294</v>
      </c>
      <c r="H569" s="32">
        <f>VLOOKUP(D569,'New TB INC'!C:K,3,0)-F569</f>
        <v>0</v>
      </c>
      <c r="I569" s="320"/>
    </row>
    <row r="570" spans="1:9" s="383" customFormat="1">
      <c r="A570" s="616" t="s">
        <v>2385</v>
      </c>
      <c r="B570" s="615" t="s">
        <v>2389</v>
      </c>
      <c r="C570" s="616" t="s">
        <v>1819</v>
      </c>
      <c r="D570" s="2847">
        <v>7120062</v>
      </c>
      <c r="E570" s="616" t="s">
        <v>1493</v>
      </c>
      <c r="F570" s="799">
        <v>238.48</v>
      </c>
      <c r="G570" s="615" t="s">
        <v>294</v>
      </c>
      <c r="H570" s="32">
        <f>VLOOKUP(D570,'New TB INC'!C:K,3,0)-F570</f>
        <v>0</v>
      </c>
      <c r="I570" s="320"/>
    </row>
    <row r="571" spans="1:9" s="383" customFormat="1">
      <c r="A571" s="616" t="s">
        <v>2385</v>
      </c>
      <c r="B571" s="615" t="s">
        <v>2389</v>
      </c>
      <c r="C571" s="616" t="s">
        <v>1819</v>
      </c>
      <c r="D571" s="2847">
        <v>7122001</v>
      </c>
      <c r="E571" s="616" t="s">
        <v>3658</v>
      </c>
      <c r="F571" s="799">
        <v>1482.8</v>
      </c>
      <c r="G571" s="615" t="s">
        <v>294</v>
      </c>
      <c r="H571" s="32">
        <f>VLOOKUP(D571,'New TB INC'!C:K,3,0)-F571</f>
        <v>0</v>
      </c>
      <c r="I571" s="320"/>
    </row>
    <row r="572" spans="1:9" s="383" customFormat="1">
      <c r="A572" s="616" t="s">
        <v>2385</v>
      </c>
      <c r="B572" s="615" t="s">
        <v>2389</v>
      </c>
      <c r="C572" s="616" t="s">
        <v>1819</v>
      </c>
      <c r="D572" s="2847">
        <v>7122002</v>
      </c>
      <c r="E572" s="616" t="s">
        <v>2091</v>
      </c>
      <c r="F572" s="799">
        <v>299.94</v>
      </c>
      <c r="G572" s="615" t="s">
        <v>294</v>
      </c>
      <c r="H572" s="32">
        <f>VLOOKUP(D572,'New TB INC'!C:K,3,0)-F572</f>
        <v>0</v>
      </c>
      <c r="I572" s="320"/>
    </row>
    <row r="573" spans="1:9" s="383" customFormat="1">
      <c r="A573" s="616" t="s">
        <v>2385</v>
      </c>
      <c r="B573" s="615" t="s">
        <v>2389</v>
      </c>
      <c r="C573" s="616" t="s">
        <v>1819</v>
      </c>
      <c r="D573" s="2847">
        <v>7122003</v>
      </c>
      <c r="E573" s="616" t="s">
        <v>2092</v>
      </c>
      <c r="F573" s="799">
        <v>26.85</v>
      </c>
      <c r="G573" s="615" t="s">
        <v>294</v>
      </c>
      <c r="H573" s="32">
        <f>VLOOKUP(D573,'New TB INC'!C:K,3,0)-F573</f>
        <v>0</v>
      </c>
      <c r="I573" s="320"/>
    </row>
    <row r="574" spans="1:9" s="383" customFormat="1">
      <c r="A574" s="616" t="s">
        <v>2385</v>
      </c>
      <c r="B574" s="615" t="s">
        <v>2389</v>
      </c>
      <c r="C574" s="616" t="s">
        <v>1819</v>
      </c>
      <c r="D574" s="2847">
        <v>7122004</v>
      </c>
      <c r="E574" s="616" t="s">
        <v>2093</v>
      </c>
      <c r="F574" s="799">
        <v>462.5</v>
      </c>
      <c r="G574" s="615" t="s">
        <v>294</v>
      </c>
      <c r="H574" s="32">
        <f>VLOOKUP(D574,'New TB INC'!C:K,3,0)-F574</f>
        <v>0</v>
      </c>
      <c r="I574" s="320"/>
    </row>
    <row r="575" spans="1:9" s="383" customFormat="1">
      <c r="A575" s="616" t="s">
        <v>2385</v>
      </c>
      <c r="B575" s="615" t="s">
        <v>2389</v>
      </c>
      <c r="C575" s="616" t="s">
        <v>1819</v>
      </c>
      <c r="D575" s="2847">
        <v>7123002</v>
      </c>
      <c r="E575" s="616" t="s">
        <v>3759</v>
      </c>
      <c r="F575" s="799">
        <v>844.79</v>
      </c>
      <c r="G575" s="615" t="s">
        <v>294</v>
      </c>
      <c r="H575" s="32">
        <f>VLOOKUP(D575,'New TB INC'!C:K,3,0)-F575</f>
        <v>0</v>
      </c>
      <c r="I575" s="320"/>
    </row>
    <row r="576" spans="1:9" s="383" customFormat="1">
      <c r="A576" s="616" t="s">
        <v>2385</v>
      </c>
      <c r="B576" s="615" t="s">
        <v>2389</v>
      </c>
      <c r="C576" s="616" t="s">
        <v>1819</v>
      </c>
      <c r="D576" s="2847">
        <v>7123003</v>
      </c>
      <c r="E576" s="616" t="s">
        <v>3760</v>
      </c>
      <c r="F576" s="799">
        <v>59</v>
      </c>
      <c r="G576" s="615" t="s">
        <v>294</v>
      </c>
      <c r="H576" s="32">
        <f>VLOOKUP(D576,'New TB INC'!C:K,3,0)-F576</f>
        <v>0</v>
      </c>
      <c r="I576" s="320"/>
    </row>
    <row r="577" spans="1:9" s="383" customFormat="1">
      <c r="A577" s="616" t="s">
        <v>2385</v>
      </c>
      <c r="B577" s="615" t="s">
        <v>2389</v>
      </c>
      <c r="C577" s="616" t="s">
        <v>1819</v>
      </c>
      <c r="D577" s="2847">
        <v>7123004</v>
      </c>
      <c r="E577" s="616" t="s">
        <v>3761</v>
      </c>
      <c r="F577" s="799">
        <v>288.92</v>
      </c>
      <c r="G577" s="615" t="s">
        <v>294</v>
      </c>
      <c r="H577" s="32">
        <f>VLOOKUP(D577,'New TB INC'!C:K,3,0)-F577</f>
        <v>0</v>
      </c>
      <c r="I577" s="320"/>
    </row>
    <row r="578" spans="1:9" s="383" customFormat="1">
      <c r="A578" s="616" t="s">
        <v>2385</v>
      </c>
      <c r="B578" s="615" t="s">
        <v>2389</v>
      </c>
      <c r="C578" s="616" t="s">
        <v>1819</v>
      </c>
      <c r="D578" s="2847">
        <v>7123006</v>
      </c>
      <c r="E578" s="616" t="s">
        <v>3593</v>
      </c>
      <c r="F578" s="799">
        <v>3729.95</v>
      </c>
      <c r="G578" s="615" t="s">
        <v>294</v>
      </c>
      <c r="H578" s="32">
        <f>VLOOKUP(D578,'New TB INC'!C:K,3,0)-F578</f>
        <v>0</v>
      </c>
      <c r="I578" s="320"/>
    </row>
    <row r="579" spans="1:9" s="383" customFormat="1">
      <c r="A579" s="616" t="s">
        <v>2385</v>
      </c>
      <c r="B579" s="615" t="s">
        <v>2389</v>
      </c>
      <c r="C579" s="616" t="s">
        <v>1819</v>
      </c>
      <c r="D579" s="2847">
        <v>7160001</v>
      </c>
      <c r="E579" s="616" t="s">
        <v>1630</v>
      </c>
      <c r="F579" s="799">
        <v>776.7</v>
      </c>
      <c r="G579" s="615" t="s">
        <v>294</v>
      </c>
      <c r="H579" s="32">
        <f>VLOOKUP(D579,'New TB INC'!C:K,3,0)-F579</f>
        <v>0</v>
      </c>
      <c r="I579" s="320"/>
    </row>
    <row r="580" spans="1:9" s="383" customFormat="1">
      <c r="A580" s="616" t="s">
        <v>2385</v>
      </c>
      <c r="B580" s="615" t="s">
        <v>2389</v>
      </c>
      <c r="C580" s="616" t="s">
        <v>1819</v>
      </c>
      <c r="D580" s="2847">
        <v>7160002</v>
      </c>
      <c r="E580" s="616" t="s">
        <v>1631</v>
      </c>
      <c r="F580" s="799">
        <v>1023.63</v>
      </c>
      <c r="G580" s="615" t="s">
        <v>294</v>
      </c>
      <c r="H580" s="32">
        <f>VLOOKUP(D580,'New TB INC'!C:K,3,0)-F580</f>
        <v>0</v>
      </c>
      <c r="I580" s="320"/>
    </row>
    <row r="581" spans="1:9" s="383" customFormat="1">
      <c r="A581" s="616" t="s">
        <v>2385</v>
      </c>
      <c r="B581" s="615" t="s">
        <v>2389</v>
      </c>
      <c r="C581" s="616" t="s">
        <v>1819</v>
      </c>
      <c r="D581" s="2847">
        <v>7160003</v>
      </c>
      <c r="E581" s="616" t="s">
        <v>1632</v>
      </c>
      <c r="F581" s="799">
        <v>276.44</v>
      </c>
      <c r="G581" s="615" t="s">
        <v>294</v>
      </c>
      <c r="H581" s="32">
        <f>VLOOKUP(D581,'New TB INC'!C:K,3,0)-F581</f>
        <v>0</v>
      </c>
      <c r="I581" s="320"/>
    </row>
    <row r="582" spans="1:9" s="383" customFormat="1">
      <c r="A582" s="616" t="s">
        <v>2385</v>
      </c>
      <c r="B582" s="615" t="s">
        <v>2389</v>
      </c>
      <c r="C582" s="616" t="s">
        <v>1819</v>
      </c>
      <c r="D582" s="2847">
        <v>7160004</v>
      </c>
      <c r="E582" s="616" t="s">
        <v>1633</v>
      </c>
      <c r="F582" s="799">
        <v>2160.87</v>
      </c>
      <c r="G582" s="615" t="s">
        <v>294</v>
      </c>
      <c r="H582" s="32">
        <f>VLOOKUP(D582,'New TB INC'!C:K,3,0)-F582</f>
        <v>0</v>
      </c>
      <c r="I582" s="320"/>
    </row>
    <row r="583" spans="1:9" s="383" customFormat="1">
      <c r="A583" s="616" t="s">
        <v>2385</v>
      </c>
      <c r="B583" s="615" t="s">
        <v>2389</v>
      </c>
      <c r="C583" s="616" t="s">
        <v>1819</v>
      </c>
      <c r="D583" s="2847">
        <v>7160005</v>
      </c>
      <c r="E583" s="616" t="s">
        <v>1978</v>
      </c>
      <c r="F583" s="799">
        <v>1124.4100000000001</v>
      </c>
      <c r="G583" s="615" t="s">
        <v>294</v>
      </c>
      <c r="H583" s="32">
        <f>VLOOKUP(D583,'New TB INC'!C:K,3,0)-F583</f>
        <v>0</v>
      </c>
      <c r="I583" s="320"/>
    </row>
    <row r="584" spans="1:9" s="383" customFormat="1">
      <c r="A584" s="616" t="s">
        <v>2385</v>
      </c>
      <c r="B584" s="615" t="s">
        <v>2389</v>
      </c>
      <c r="C584" s="616" t="s">
        <v>1819</v>
      </c>
      <c r="D584" s="2847">
        <v>7160009</v>
      </c>
      <c r="E584" s="616" t="s">
        <v>3594</v>
      </c>
      <c r="F584" s="799">
        <v>2339.67</v>
      </c>
      <c r="G584" s="615" t="s">
        <v>294</v>
      </c>
      <c r="H584" s="32">
        <f>VLOOKUP(D584,'New TB INC'!C:K,3,0)-F584</f>
        <v>0</v>
      </c>
      <c r="I584" s="320"/>
    </row>
    <row r="585" spans="1:9" s="383" customFormat="1">
      <c r="A585" s="616" t="s">
        <v>2385</v>
      </c>
      <c r="B585" s="615" t="s">
        <v>2389</v>
      </c>
      <c r="C585" s="616" t="s">
        <v>1819</v>
      </c>
      <c r="D585" s="2847">
        <v>8030018</v>
      </c>
      <c r="E585" s="616" t="s">
        <v>3595</v>
      </c>
      <c r="F585" s="799">
        <v>32.15</v>
      </c>
      <c r="G585" s="615" t="s">
        <v>294</v>
      </c>
      <c r="H585" s="32">
        <f>VLOOKUP(D585,'New TB INC'!C:K,3,0)-F585</f>
        <v>0</v>
      </c>
      <c r="I585" s="320"/>
    </row>
    <row r="586" spans="1:9" s="383" customFormat="1">
      <c r="A586" s="616" t="s">
        <v>2385</v>
      </c>
      <c r="B586" s="615" t="s">
        <v>2389</v>
      </c>
      <c r="C586" s="616" t="s">
        <v>1375</v>
      </c>
      <c r="D586" s="2847">
        <v>7112024</v>
      </c>
      <c r="E586" s="616" t="s">
        <v>2052</v>
      </c>
      <c r="F586" s="799">
        <v>27105</v>
      </c>
      <c r="G586" s="615" t="s">
        <v>294</v>
      </c>
      <c r="H586" s="32">
        <f>VLOOKUP(D586,'New TB INC'!C:K,3,0)-F586</f>
        <v>0</v>
      </c>
      <c r="I586" s="320"/>
    </row>
    <row r="587" spans="1:9" s="383" customFormat="1">
      <c r="A587" s="616" t="s">
        <v>2385</v>
      </c>
      <c r="B587" s="615" t="s">
        <v>2389</v>
      </c>
      <c r="C587" s="616" t="s">
        <v>1375</v>
      </c>
      <c r="D587" s="2847">
        <v>7140001</v>
      </c>
      <c r="E587" s="616" t="s">
        <v>2397</v>
      </c>
      <c r="F587" s="799">
        <v>300499.92</v>
      </c>
      <c r="G587" s="615" t="s">
        <v>294</v>
      </c>
      <c r="H587" s="32">
        <f>VLOOKUP(D587,'New TB INC'!C:K,3,0)-F587</f>
        <v>0</v>
      </c>
      <c r="I587" s="320"/>
    </row>
    <row r="588" spans="1:9" s="383" customFormat="1">
      <c r="A588" s="616" t="s">
        <v>2385</v>
      </c>
      <c r="B588" s="615" t="s">
        <v>2389</v>
      </c>
      <c r="C588" s="616" t="s">
        <v>1375</v>
      </c>
      <c r="D588" s="2847">
        <v>7140002</v>
      </c>
      <c r="E588" s="616" t="s">
        <v>2398</v>
      </c>
      <c r="F588" s="799">
        <v>-3278.96</v>
      </c>
      <c r="G588" s="615" t="s">
        <v>294</v>
      </c>
      <c r="H588" s="32">
        <f>VLOOKUP(D588,'New TB INC'!C:K,3,0)-F588</f>
        <v>0</v>
      </c>
      <c r="I588" s="320"/>
    </row>
    <row r="589" spans="1:9" s="383" customFormat="1">
      <c r="A589" s="616" t="s">
        <v>2385</v>
      </c>
      <c r="B589" s="615" t="s">
        <v>2389</v>
      </c>
      <c r="C589" s="616" t="s">
        <v>1375</v>
      </c>
      <c r="D589" s="2847">
        <v>7140003</v>
      </c>
      <c r="E589" s="616" t="s">
        <v>4954</v>
      </c>
      <c r="F589" s="799">
        <v>5000</v>
      </c>
      <c r="G589" s="615" t="s">
        <v>294</v>
      </c>
      <c r="H589" s="32">
        <f>VLOOKUP(D589,'New TB INC'!C:K,3,0)-F589</f>
        <v>0</v>
      </c>
      <c r="I589" s="320"/>
    </row>
    <row r="590" spans="1:9" s="383" customFormat="1">
      <c r="A590" s="616" t="s">
        <v>2385</v>
      </c>
      <c r="B590" s="615" t="s">
        <v>2389</v>
      </c>
      <c r="C590" s="616" t="s">
        <v>1375</v>
      </c>
      <c r="D590" s="2847">
        <v>7140004</v>
      </c>
      <c r="E590" s="616" t="s">
        <v>2399</v>
      </c>
      <c r="F590" s="799">
        <v>297489</v>
      </c>
      <c r="G590" s="615" t="s">
        <v>294</v>
      </c>
      <c r="H590" s="32">
        <f>VLOOKUP(D590,'New TB INC'!C:K,3,0)-F590</f>
        <v>0</v>
      </c>
      <c r="I590" s="320"/>
    </row>
    <row r="591" spans="1:9" s="383" customFormat="1">
      <c r="A591" s="616" t="s">
        <v>2385</v>
      </c>
      <c r="B591" s="615" t="s">
        <v>2389</v>
      </c>
      <c r="C591" s="616" t="s">
        <v>1375</v>
      </c>
      <c r="D591" s="2847">
        <v>7140005</v>
      </c>
      <c r="E591" s="616" t="s">
        <v>2400</v>
      </c>
      <c r="F591" s="799">
        <v>26480.35</v>
      </c>
      <c r="G591" s="615" t="s">
        <v>294</v>
      </c>
      <c r="H591" s="32">
        <f>VLOOKUP(D591,'New TB INC'!C:K,3,0)-F591</f>
        <v>0</v>
      </c>
      <c r="I591" s="320"/>
    </row>
    <row r="592" spans="1:9" s="383" customFormat="1">
      <c r="A592" s="616" t="s">
        <v>2385</v>
      </c>
      <c r="B592" s="615" t="s">
        <v>2389</v>
      </c>
      <c r="C592" s="616" t="s">
        <v>1375</v>
      </c>
      <c r="D592" s="2847">
        <v>7140006</v>
      </c>
      <c r="E592" s="616" t="s">
        <v>2401</v>
      </c>
      <c r="F592" s="799">
        <v>168701.05</v>
      </c>
      <c r="G592" s="615" t="s">
        <v>294</v>
      </c>
      <c r="H592" s="32">
        <f>VLOOKUP(D592,'New TB INC'!C:K,3,0)-F592</f>
        <v>0</v>
      </c>
      <c r="I592" s="320"/>
    </row>
    <row r="593" spans="1:9" s="383" customFormat="1">
      <c r="A593" s="616" t="s">
        <v>2385</v>
      </c>
      <c r="B593" s="615" t="s">
        <v>2389</v>
      </c>
      <c r="C593" s="616" t="s">
        <v>1375</v>
      </c>
      <c r="D593" s="2847" t="s">
        <v>2096</v>
      </c>
      <c r="E593" s="616" t="s">
        <v>2097</v>
      </c>
      <c r="F593" s="799">
        <v>26526.78</v>
      </c>
      <c r="G593" s="615" t="s">
        <v>294</v>
      </c>
      <c r="H593" s="32">
        <f>VLOOKUP(D593,'New TB INC'!C:K,3,0)-F593</f>
        <v>0</v>
      </c>
      <c r="I593" s="320"/>
    </row>
    <row r="594" spans="1:9" s="383" customFormat="1">
      <c r="A594" s="616" t="s">
        <v>2385</v>
      </c>
      <c r="B594" s="615" t="s">
        <v>2389</v>
      </c>
      <c r="C594" s="616" t="s">
        <v>1375</v>
      </c>
      <c r="D594" s="2847">
        <v>7140007</v>
      </c>
      <c r="E594" s="616" t="s">
        <v>920</v>
      </c>
      <c r="F594" s="799">
        <v>151195.73000000001</v>
      </c>
      <c r="G594" s="615" t="s">
        <v>294</v>
      </c>
      <c r="H594" s="32">
        <f>VLOOKUP(D594,'New TB INC'!C:K,3,0)-F594</f>
        <v>0</v>
      </c>
      <c r="I594" s="320"/>
    </row>
    <row r="595" spans="1:9" s="383" customFormat="1">
      <c r="A595" s="616" t="s">
        <v>2385</v>
      </c>
      <c r="B595" s="615" t="s">
        <v>2389</v>
      </c>
      <c r="C595" s="616" t="s">
        <v>1375</v>
      </c>
      <c r="D595" s="2847" t="s">
        <v>2098</v>
      </c>
      <c r="E595" s="616" t="s">
        <v>2099</v>
      </c>
      <c r="F595" s="799">
        <v>16676.650000000001</v>
      </c>
      <c r="G595" s="615" t="s">
        <v>294</v>
      </c>
      <c r="H595" s="32">
        <f>VLOOKUP(D595,'New TB INC'!C:K,3,0)-F595</f>
        <v>0</v>
      </c>
      <c r="I595" s="320"/>
    </row>
    <row r="596" spans="1:9" s="383" customFormat="1">
      <c r="A596" s="616" t="s">
        <v>2385</v>
      </c>
      <c r="B596" s="615" t="s">
        <v>2389</v>
      </c>
      <c r="C596" s="616" t="s">
        <v>1375</v>
      </c>
      <c r="D596" s="2847">
        <v>7140009</v>
      </c>
      <c r="E596" s="616" t="s">
        <v>922</v>
      </c>
      <c r="F596" s="799">
        <v>9478.4699999999993</v>
      </c>
      <c r="G596" s="615" t="s">
        <v>294</v>
      </c>
      <c r="H596" s="32">
        <f>VLOOKUP(D596,'New TB INC'!C:K,3,0)-F596</f>
        <v>0</v>
      </c>
      <c r="I596" s="320"/>
    </row>
    <row r="597" spans="1:9" s="383" customFormat="1">
      <c r="A597" s="616" t="s">
        <v>2385</v>
      </c>
      <c r="B597" s="615" t="s">
        <v>2389</v>
      </c>
      <c r="C597" s="616" t="s">
        <v>1375</v>
      </c>
      <c r="D597" s="2847" t="s">
        <v>3342</v>
      </c>
      <c r="E597" s="616" t="s">
        <v>3343</v>
      </c>
      <c r="F597" s="799">
        <v>40453.89</v>
      </c>
      <c r="G597" s="615" t="s">
        <v>294</v>
      </c>
      <c r="H597" s="32">
        <f>VLOOKUP(D597,'New TB INC'!C:K,3,0)-F597</f>
        <v>0</v>
      </c>
      <c r="I597" s="320"/>
    </row>
    <row r="598" spans="1:9" s="383" customFormat="1">
      <c r="A598" s="616" t="s">
        <v>2385</v>
      </c>
      <c r="B598" s="615" t="s">
        <v>2389</v>
      </c>
      <c r="C598" s="616" t="s">
        <v>1375</v>
      </c>
      <c r="D598" s="2847">
        <v>7140010</v>
      </c>
      <c r="E598" s="616" t="s">
        <v>923</v>
      </c>
      <c r="F598" s="799">
        <v>3481.47</v>
      </c>
      <c r="G598" s="615" t="s">
        <v>294</v>
      </c>
      <c r="H598" s="32">
        <f>VLOOKUP(D598,'New TB INC'!C:K,3,0)-F598</f>
        <v>0</v>
      </c>
      <c r="I598" s="320"/>
    </row>
    <row r="599" spans="1:9" s="383" customFormat="1">
      <c r="A599" s="616" t="s">
        <v>2385</v>
      </c>
      <c r="B599" s="615" t="s">
        <v>2389</v>
      </c>
      <c r="C599" s="616" t="s">
        <v>1375</v>
      </c>
      <c r="D599" s="2847" t="s">
        <v>2100</v>
      </c>
      <c r="E599" s="616" t="s">
        <v>2101</v>
      </c>
      <c r="F599" s="799">
        <v>3469.92</v>
      </c>
      <c r="G599" s="615" t="s">
        <v>294</v>
      </c>
      <c r="H599" s="32">
        <f>VLOOKUP(D599,'New TB INC'!C:K,3,0)-F599</f>
        <v>0</v>
      </c>
      <c r="I599" s="320"/>
    </row>
    <row r="600" spans="1:9" s="383" customFormat="1">
      <c r="A600" s="616" t="s">
        <v>2385</v>
      </c>
      <c r="B600" s="615" t="s">
        <v>2389</v>
      </c>
      <c r="C600" s="616" t="s">
        <v>1375</v>
      </c>
      <c r="D600" s="2847">
        <v>7140012</v>
      </c>
      <c r="E600" s="616" t="s">
        <v>3258</v>
      </c>
      <c r="F600" s="799">
        <v>2000</v>
      </c>
      <c r="G600" s="615" t="s">
        <v>294</v>
      </c>
      <c r="H600" s="32">
        <f>VLOOKUP(D600,'New TB INC'!C:K,3,0)-F600</f>
        <v>0</v>
      </c>
      <c r="I600" s="320"/>
    </row>
    <row r="601" spans="1:9" s="383" customFormat="1">
      <c r="A601" s="616" t="s">
        <v>2385</v>
      </c>
      <c r="B601" s="615" t="s">
        <v>2389</v>
      </c>
      <c r="C601" s="616" t="s">
        <v>1375</v>
      </c>
      <c r="D601" s="2847">
        <v>7140013</v>
      </c>
      <c r="E601" s="616" t="s">
        <v>2402</v>
      </c>
      <c r="F601" s="799">
        <v>31580.28</v>
      </c>
      <c r="G601" s="615" t="s">
        <v>294</v>
      </c>
      <c r="H601" s="32">
        <f>VLOOKUP(D601,'New TB INC'!C:K,3,0)-F601</f>
        <v>0</v>
      </c>
      <c r="I601" s="320"/>
    </row>
    <row r="602" spans="1:9" s="383" customFormat="1">
      <c r="A602" s="616" t="s">
        <v>2385</v>
      </c>
      <c r="B602" s="615" t="s">
        <v>2389</v>
      </c>
      <c r="C602" s="616" t="s">
        <v>1375</v>
      </c>
      <c r="D602" s="2847">
        <v>7140014</v>
      </c>
      <c r="E602" s="616" t="s">
        <v>2403</v>
      </c>
      <c r="F602" s="799">
        <v>2198.04</v>
      </c>
      <c r="G602" s="615" t="s">
        <v>294</v>
      </c>
      <c r="H602" s="32">
        <f>VLOOKUP(D602,'New TB INC'!C:K,3,0)-F602</f>
        <v>0</v>
      </c>
      <c r="I602" s="320"/>
    </row>
    <row r="603" spans="1:9" s="383" customFormat="1">
      <c r="A603" s="616" t="s">
        <v>2385</v>
      </c>
      <c r="B603" s="615" t="s">
        <v>2389</v>
      </c>
      <c r="C603" s="616" t="s">
        <v>1375</v>
      </c>
      <c r="D603" s="2847">
        <v>7140016</v>
      </c>
      <c r="E603" s="616" t="s">
        <v>2404</v>
      </c>
      <c r="F603" s="799">
        <v>1721.65</v>
      </c>
      <c r="G603" s="615" t="s">
        <v>294</v>
      </c>
      <c r="H603" s="32">
        <f>VLOOKUP(D603,'New TB INC'!C:K,3,0)-F603</f>
        <v>0</v>
      </c>
      <c r="I603" s="320"/>
    </row>
    <row r="604" spans="1:9" s="383" customFormat="1">
      <c r="A604" s="616" t="s">
        <v>2385</v>
      </c>
      <c r="B604" s="615" t="s">
        <v>2389</v>
      </c>
      <c r="C604" s="616" t="s">
        <v>1375</v>
      </c>
      <c r="D604" s="2847" t="s">
        <v>1689</v>
      </c>
      <c r="E604" s="616" t="s">
        <v>1690</v>
      </c>
      <c r="F604" s="799">
        <v>216.28</v>
      </c>
      <c r="G604" s="615" t="s">
        <v>294</v>
      </c>
      <c r="H604" s="32">
        <f>VLOOKUP(D604,'New TB INC'!C:K,3,0)-F604</f>
        <v>0</v>
      </c>
      <c r="I604" s="320"/>
    </row>
    <row r="605" spans="1:9" s="383" customFormat="1">
      <c r="A605" s="616" t="s">
        <v>2385</v>
      </c>
      <c r="B605" s="615" t="s">
        <v>2389</v>
      </c>
      <c r="C605" s="616" t="s">
        <v>1375</v>
      </c>
      <c r="D605" s="2847" t="s">
        <v>2663</v>
      </c>
      <c r="E605" s="616" t="s">
        <v>2664</v>
      </c>
      <c r="F605" s="799">
        <v>141.71</v>
      </c>
      <c r="G605" s="615" t="s">
        <v>294</v>
      </c>
      <c r="H605" s="32">
        <f>VLOOKUP(D605,'New TB INC'!C:K,3,0)-F605</f>
        <v>0</v>
      </c>
      <c r="I605" s="320"/>
    </row>
    <row r="606" spans="1:9" s="383" customFormat="1">
      <c r="A606" s="616" t="s">
        <v>2385</v>
      </c>
      <c r="B606" s="615" t="s">
        <v>2389</v>
      </c>
      <c r="C606" s="616" t="s">
        <v>1375</v>
      </c>
      <c r="D606" s="2847">
        <v>7140017</v>
      </c>
      <c r="E606" s="616" t="s">
        <v>2405</v>
      </c>
      <c r="F606" s="799">
        <v>2743.71</v>
      </c>
      <c r="G606" s="615" t="s">
        <v>294</v>
      </c>
      <c r="H606" s="32">
        <f>VLOOKUP(D606,'New TB INC'!C:K,3,0)-F606</f>
        <v>0</v>
      </c>
      <c r="I606" s="320"/>
    </row>
    <row r="607" spans="1:9" s="383" customFormat="1">
      <c r="A607" s="616" t="s">
        <v>2385</v>
      </c>
      <c r="B607" s="615" t="s">
        <v>2389</v>
      </c>
      <c r="C607" s="616" t="s">
        <v>1375</v>
      </c>
      <c r="D607" s="2847" t="s">
        <v>2102</v>
      </c>
      <c r="E607" s="616" t="s">
        <v>2103</v>
      </c>
      <c r="F607" s="799">
        <v>1127.96</v>
      </c>
      <c r="G607" s="615" t="s">
        <v>294</v>
      </c>
      <c r="H607" s="32">
        <f>VLOOKUP(D607,'New TB INC'!C:K,3,0)-F607</f>
        <v>0</v>
      </c>
      <c r="I607" s="320"/>
    </row>
    <row r="608" spans="1:9" s="383" customFormat="1">
      <c r="A608" s="616" t="s">
        <v>2385</v>
      </c>
      <c r="B608" s="615" t="s">
        <v>2389</v>
      </c>
      <c r="C608" s="616" t="s">
        <v>1375</v>
      </c>
      <c r="D608" s="2847">
        <v>7140019</v>
      </c>
      <c r="E608" s="616" t="s">
        <v>3344</v>
      </c>
      <c r="F608" s="799">
        <v>7086.24</v>
      </c>
      <c r="G608" s="615" t="s">
        <v>294</v>
      </c>
      <c r="H608" s="32">
        <f>VLOOKUP(D608,'New TB INC'!C:K,3,0)-F608</f>
        <v>0</v>
      </c>
      <c r="I608" s="320"/>
    </row>
    <row r="609" spans="1:9" s="383" customFormat="1">
      <c r="A609" s="616" t="s">
        <v>2385</v>
      </c>
      <c r="B609" s="615" t="s">
        <v>2389</v>
      </c>
      <c r="C609" s="616" t="s">
        <v>1375</v>
      </c>
      <c r="D609" s="2847">
        <v>7141001</v>
      </c>
      <c r="E609" s="616" t="s">
        <v>3975</v>
      </c>
      <c r="F609" s="799">
        <v>187965.93</v>
      </c>
      <c r="G609" s="615" t="s">
        <v>294</v>
      </c>
      <c r="H609" s="32">
        <f>VLOOKUP(D609,'New TB INC'!C:K,3,0)-F609</f>
        <v>0</v>
      </c>
      <c r="I609" s="320"/>
    </row>
    <row r="610" spans="1:9" s="383" customFormat="1">
      <c r="A610" s="616" t="s">
        <v>2385</v>
      </c>
      <c r="B610" s="615" t="s">
        <v>2389</v>
      </c>
      <c r="C610" s="616" t="s">
        <v>1375</v>
      </c>
      <c r="D610" s="2847">
        <v>7141002</v>
      </c>
      <c r="E610" s="616" t="s">
        <v>4961</v>
      </c>
      <c r="F610" s="799">
        <v>3524</v>
      </c>
      <c r="G610" s="615" t="s">
        <v>294</v>
      </c>
      <c r="H610" s="32">
        <f>VLOOKUP(D610,'New TB INC'!C:K,3,0)-F610</f>
        <v>0</v>
      </c>
      <c r="I610" s="320"/>
    </row>
    <row r="611" spans="1:9" s="383" customFormat="1">
      <c r="A611" s="616" t="s">
        <v>2385</v>
      </c>
      <c r="B611" s="615" t="s">
        <v>2389</v>
      </c>
      <c r="C611" s="616" t="s">
        <v>1375</v>
      </c>
      <c r="D611" s="2847">
        <v>7141003</v>
      </c>
      <c r="E611" s="616" t="s">
        <v>3976</v>
      </c>
      <c r="F611" s="799">
        <v>25000</v>
      </c>
      <c r="G611" s="615" t="s">
        <v>294</v>
      </c>
      <c r="H611" s="32">
        <f>VLOOKUP(D611,'New TB INC'!C:K,3,0)-F611</f>
        <v>0</v>
      </c>
      <c r="I611" s="320"/>
    </row>
    <row r="612" spans="1:9" s="383" customFormat="1">
      <c r="A612" s="616" t="s">
        <v>2385</v>
      </c>
      <c r="B612" s="615" t="s">
        <v>2389</v>
      </c>
      <c r="C612" s="616" t="s">
        <v>1375</v>
      </c>
      <c r="D612" s="2847">
        <v>7141004</v>
      </c>
      <c r="E612" s="616" t="s">
        <v>3977</v>
      </c>
      <c r="F612" s="799">
        <v>48705</v>
      </c>
      <c r="G612" s="615" t="s">
        <v>294</v>
      </c>
      <c r="H612" s="32">
        <f>VLOOKUP(D612,'New TB INC'!C:K,3,0)-F612</f>
        <v>0</v>
      </c>
      <c r="I612" s="320"/>
    </row>
    <row r="613" spans="1:9" s="383" customFormat="1">
      <c r="A613" s="616" t="s">
        <v>2385</v>
      </c>
      <c r="B613" s="615" t="s">
        <v>2389</v>
      </c>
      <c r="C613" s="616" t="s">
        <v>1375</v>
      </c>
      <c r="D613" s="2847">
        <v>7141005</v>
      </c>
      <c r="E613" s="616" t="s">
        <v>3978</v>
      </c>
      <c r="F613" s="799">
        <v>16921.39</v>
      </c>
      <c r="G613" s="615" t="s">
        <v>294</v>
      </c>
      <c r="H613" s="32">
        <f>VLOOKUP(D613,'New TB INC'!C:K,3,0)-F613</f>
        <v>0</v>
      </c>
      <c r="I613" s="320"/>
    </row>
    <row r="614" spans="1:9" s="383" customFormat="1">
      <c r="A614" s="616" t="s">
        <v>2385</v>
      </c>
      <c r="B614" s="615" t="s">
        <v>2389</v>
      </c>
      <c r="C614" s="616" t="s">
        <v>1375</v>
      </c>
      <c r="D614" s="2847">
        <v>7141013</v>
      </c>
      <c r="E614" s="616" t="s">
        <v>3979</v>
      </c>
      <c r="F614" s="799">
        <v>15523.76</v>
      </c>
      <c r="G614" s="615" t="s">
        <v>294</v>
      </c>
      <c r="H614" s="32">
        <f>VLOOKUP(D614,'New TB INC'!C:K,3,0)-F614</f>
        <v>0</v>
      </c>
      <c r="I614" s="320"/>
    </row>
    <row r="615" spans="1:9" s="383" customFormat="1">
      <c r="A615" s="616" t="s">
        <v>2385</v>
      </c>
      <c r="B615" s="615" t="s">
        <v>2389</v>
      </c>
      <c r="C615" s="616" t="s">
        <v>1375</v>
      </c>
      <c r="D615" s="2847">
        <v>7141014</v>
      </c>
      <c r="E615" s="616" t="s">
        <v>4021</v>
      </c>
      <c r="F615" s="799">
        <v>868.16</v>
      </c>
      <c r="G615" s="615" t="s">
        <v>294</v>
      </c>
      <c r="H615" s="32">
        <f>VLOOKUP(D615,'New TB INC'!C:K,3,0)-F615</f>
        <v>0</v>
      </c>
      <c r="I615" s="320"/>
    </row>
    <row r="616" spans="1:9" s="383" customFormat="1">
      <c r="A616" s="616" t="s">
        <v>2385</v>
      </c>
      <c r="B616" s="615" t="s">
        <v>2389</v>
      </c>
      <c r="C616" s="616" t="s">
        <v>1375</v>
      </c>
      <c r="D616" s="2847">
        <v>7141016</v>
      </c>
      <c r="E616" s="616" t="s">
        <v>3980</v>
      </c>
      <c r="F616" s="799">
        <v>804.43</v>
      </c>
      <c r="G616" s="615" t="s">
        <v>294</v>
      </c>
      <c r="H616" s="32">
        <f>VLOOKUP(D616,'New TB INC'!C:K,3,0)-F616</f>
        <v>0</v>
      </c>
      <c r="I616" s="320"/>
    </row>
    <row r="617" spans="1:9" s="383" customFormat="1">
      <c r="A617" s="616" t="s">
        <v>2385</v>
      </c>
      <c r="B617" s="615" t="s">
        <v>2389</v>
      </c>
      <c r="C617" s="616" t="s">
        <v>1375</v>
      </c>
      <c r="D617" s="2847">
        <v>7141042</v>
      </c>
      <c r="E617" s="616" t="s">
        <v>3597</v>
      </c>
      <c r="F617" s="799">
        <v>32900</v>
      </c>
      <c r="G617" s="615" t="s">
        <v>294</v>
      </c>
      <c r="H617" s="32">
        <f>VLOOKUP(D617,'New TB INC'!C:K,3,0)-F617</f>
        <v>0</v>
      </c>
      <c r="I617" s="320"/>
    </row>
    <row r="618" spans="1:9" s="383" customFormat="1">
      <c r="A618" s="616" t="s">
        <v>2385</v>
      </c>
      <c r="B618" s="615" t="s">
        <v>2389</v>
      </c>
      <c r="C618" s="616" t="s">
        <v>1375</v>
      </c>
      <c r="D618" s="2847">
        <v>7190001</v>
      </c>
      <c r="E618" s="616" t="s">
        <v>1691</v>
      </c>
      <c r="F618" s="799">
        <v>469473.33</v>
      </c>
      <c r="G618" s="615" t="s">
        <v>294</v>
      </c>
      <c r="H618" s="32">
        <f>VLOOKUP(D618,'New TB INC'!C:K,3,0)-F618</f>
        <v>0</v>
      </c>
      <c r="I618" s="320"/>
    </row>
    <row r="619" spans="1:9" s="383" customFormat="1">
      <c r="A619" s="616" t="s">
        <v>2385</v>
      </c>
      <c r="B619" s="615" t="s">
        <v>2389</v>
      </c>
      <c r="C619" s="616" t="s">
        <v>1375</v>
      </c>
      <c r="D619" s="2847">
        <v>7190002</v>
      </c>
      <c r="E619" s="616" t="s">
        <v>1748</v>
      </c>
      <c r="F619" s="799">
        <v>1103.5899999999999</v>
      </c>
      <c r="G619" s="615" t="s">
        <v>294</v>
      </c>
      <c r="H619" s="32">
        <f>VLOOKUP(D619,'New TB INC'!C:K,3,0)-F619</f>
        <v>0</v>
      </c>
      <c r="I619" s="320"/>
    </row>
    <row r="620" spans="1:9" s="383" customFormat="1">
      <c r="A620" s="616" t="s">
        <v>2385</v>
      </c>
      <c r="B620" s="615" t="s">
        <v>2389</v>
      </c>
      <c r="C620" s="616" t="s">
        <v>1375</v>
      </c>
      <c r="D620" s="2847">
        <v>7190003</v>
      </c>
      <c r="E620" s="616" t="s">
        <v>2138</v>
      </c>
      <c r="F620" s="799">
        <v>-400</v>
      </c>
      <c r="G620" s="615" t="s">
        <v>294</v>
      </c>
      <c r="H620" s="32">
        <f>VLOOKUP(D620,'New TB INC'!C:K,3,0)-F620</f>
        <v>0</v>
      </c>
      <c r="I620" s="320"/>
    </row>
    <row r="621" spans="1:9" s="383" customFormat="1">
      <c r="A621" s="616" t="s">
        <v>2385</v>
      </c>
      <c r="B621" s="615" t="s">
        <v>2389</v>
      </c>
      <c r="C621" s="616" t="s">
        <v>1375</v>
      </c>
      <c r="D621" s="2847">
        <v>7190004</v>
      </c>
      <c r="E621" s="616" t="s">
        <v>1692</v>
      </c>
      <c r="F621" s="799">
        <v>218520.35</v>
      </c>
      <c r="G621" s="615" t="s">
        <v>294</v>
      </c>
      <c r="H621" s="32">
        <f>VLOOKUP(D621,'New TB INC'!C:K,3,0)-F621</f>
        <v>0</v>
      </c>
      <c r="I621" s="320"/>
    </row>
    <row r="622" spans="1:9" s="383" customFormat="1">
      <c r="A622" s="616" t="s">
        <v>2385</v>
      </c>
      <c r="B622" s="615" t="s">
        <v>2389</v>
      </c>
      <c r="C622" s="616" t="s">
        <v>1375</v>
      </c>
      <c r="D622" s="2847" t="s">
        <v>1655</v>
      </c>
      <c r="E622" s="616" t="s">
        <v>1656</v>
      </c>
      <c r="F622" s="799">
        <v>703.5</v>
      </c>
      <c r="G622" s="615" t="s">
        <v>294</v>
      </c>
      <c r="H622" s="32">
        <f>VLOOKUP(D622,'New TB INC'!C:K,3,0)-F622</f>
        <v>0</v>
      </c>
      <c r="I622" s="320"/>
    </row>
    <row r="623" spans="1:9" s="383" customFormat="1">
      <c r="A623" s="616" t="s">
        <v>2385</v>
      </c>
      <c r="B623" s="615" t="s">
        <v>2389</v>
      </c>
      <c r="C623" s="616" t="s">
        <v>1375</v>
      </c>
      <c r="D623" s="2847">
        <v>7190005</v>
      </c>
      <c r="E623" s="616" t="s">
        <v>1693</v>
      </c>
      <c r="F623" s="799">
        <v>46489.46</v>
      </c>
      <c r="G623" s="615" t="s">
        <v>294</v>
      </c>
      <c r="H623" s="32">
        <f>VLOOKUP(D623,'New TB INC'!C:K,3,0)-F623</f>
        <v>0</v>
      </c>
      <c r="I623" s="320"/>
    </row>
    <row r="624" spans="1:9" s="383" customFormat="1">
      <c r="A624" s="616" t="s">
        <v>2385</v>
      </c>
      <c r="B624" s="615" t="s">
        <v>2389</v>
      </c>
      <c r="C624" s="616" t="s">
        <v>1375</v>
      </c>
      <c r="D624" s="2847">
        <v>7190012</v>
      </c>
      <c r="E624" s="616" t="s">
        <v>2186</v>
      </c>
      <c r="F624" s="799">
        <v>2387.9499999999998</v>
      </c>
      <c r="G624" s="615" t="s">
        <v>294</v>
      </c>
      <c r="H624" s="32">
        <f>VLOOKUP(D624,'New TB INC'!C:K,3,0)-F624</f>
        <v>0</v>
      </c>
      <c r="I624" s="320"/>
    </row>
    <row r="625" spans="1:9" s="383" customFormat="1">
      <c r="A625" s="616" t="s">
        <v>2385</v>
      </c>
      <c r="B625" s="615" t="s">
        <v>2389</v>
      </c>
      <c r="C625" s="616" t="s">
        <v>1375</v>
      </c>
      <c r="D625" s="2847">
        <v>7190013</v>
      </c>
      <c r="E625" s="616" t="s">
        <v>1694</v>
      </c>
      <c r="F625" s="799">
        <v>41360.730000000003</v>
      </c>
      <c r="G625" s="615" t="s">
        <v>294</v>
      </c>
      <c r="H625" s="32">
        <f>VLOOKUP(D625,'New TB INC'!C:K,3,0)-F625</f>
        <v>0</v>
      </c>
      <c r="I625" s="320"/>
    </row>
    <row r="626" spans="1:9" s="383" customFormat="1">
      <c r="A626" s="616" t="s">
        <v>2385</v>
      </c>
      <c r="B626" s="615" t="s">
        <v>2389</v>
      </c>
      <c r="C626" s="616" t="s">
        <v>1375</v>
      </c>
      <c r="D626" s="2847">
        <v>7190014</v>
      </c>
      <c r="E626" s="616" t="s">
        <v>1695</v>
      </c>
      <c r="F626" s="799">
        <v>2473.98</v>
      </c>
      <c r="G626" s="615" t="s">
        <v>294</v>
      </c>
      <c r="H626" s="32">
        <f>VLOOKUP(D626,'New TB INC'!C:K,3,0)-F626</f>
        <v>0</v>
      </c>
      <c r="I626" s="320"/>
    </row>
    <row r="627" spans="1:9" s="383" customFormat="1">
      <c r="A627" s="616" t="s">
        <v>2385</v>
      </c>
      <c r="B627" s="615" t="s">
        <v>2389</v>
      </c>
      <c r="C627" s="616" t="s">
        <v>1375</v>
      </c>
      <c r="D627" s="2847">
        <v>7190016</v>
      </c>
      <c r="E627" s="616" t="s">
        <v>1696</v>
      </c>
      <c r="F627" s="799">
        <v>547.08000000000004</v>
      </c>
      <c r="G627" s="615" t="s">
        <v>294</v>
      </c>
      <c r="H627" s="32">
        <f>VLOOKUP(D627,'New TB INC'!C:K,3,0)-F627</f>
        <v>0</v>
      </c>
      <c r="I627" s="320"/>
    </row>
    <row r="628" spans="1:9" s="383" customFormat="1">
      <c r="A628" s="616" t="s">
        <v>2385</v>
      </c>
      <c r="B628" s="615" t="s">
        <v>2389</v>
      </c>
      <c r="C628" s="616" t="s">
        <v>1375</v>
      </c>
      <c r="D628" s="2847">
        <v>7190042</v>
      </c>
      <c r="E628" s="616" t="s">
        <v>1774</v>
      </c>
      <c r="F628" s="799">
        <v>30249.15</v>
      </c>
      <c r="G628" s="615" t="s">
        <v>294</v>
      </c>
      <c r="H628" s="32">
        <f>VLOOKUP(D628,'New TB INC'!C:K,3,0)-F628</f>
        <v>0</v>
      </c>
      <c r="I628" s="320"/>
    </row>
    <row r="629" spans="1:9" s="383" customFormat="1">
      <c r="A629" s="616" t="s">
        <v>2385</v>
      </c>
      <c r="B629" s="615" t="s">
        <v>2389</v>
      </c>
      <c r="C629" s="616" t="s">
        <v>3345</v>
      </c>
      <c r="D629" s="2847">
        <v>7150002</v>
      </c>
      <c r="E629" s="616" t="s">
        <v>4172</v>
      </c>
      <c r="F629" s="799">
        <v>971.73</v>
      </c>
      <c r="G629" s="615" t="s">
        <v>294</v>
      </c>
      <c r="H629" s="32">
        <f>VLOOKUP(D629,'New TB INC'!C:K,3,0)-F629</f>
        <v>0</v>
      </c>
      <c r="I629" s="320"/>
    </row>
    <row r="630" spans="1:9" s="383" customFormat="1">
      <c r="A630" s="616" t="s">
        <v>2385</v>
      </c>
      <c r="B630" s="615" t="s">
        <v>2389</v>
      </c>
      <c r="C630" s="616" t="s">
        <v>3345</v>
      </c>
      <c r="D630" s="2847">
        <v>7150004</v>
      </c>
      <c r="E630" s="616" t="s">
        <v>4173</v>
      </c>
      <c r="F630" s="799">
        <v>1693.11</v>
      </c>
      <c r="G630" s="1493" t="s">
        <v>294</v>
      </c>
      <c r="H630" s="32">
        <f>VLOOKUP(D630,'New TB INC'!C:K,3,0)-F630</f>
        <v>0</v>
      </c>
      <c r="I630" s="320"/>
    </row>
    <row r="631" spans="1:9" s="383" customFormat="1">
      <c r="A631" s="616" t="s">
        <v>2385</v>
      </c>
      <c r="B631" s="615" t="s">
        <v>2389</v>
      </c>
      <c r="C631" s="616" t="s">
        <v>3345</v>
      </c>
      <c r="D631" s="2847">
        <v>7150005</v>
      </c>
      <c r="E631" s="616" t="s">
        <v>3346</v>
      </c>
      <c r="F631" s="799">
        <v>138.16999999999999</v>
      </c>
      <c r="G631" s="1493" t="s">
        <v>294</v>
      </c>
      <c r="H631" s="32">
        <f>VLOOKUP(D631,'New TB INC'!C:K,3,0)-F631</f>
        <v>0</v>
      </c>
      <c r="I631" s="320"/>
    </row>
    <row r="632" spans="1:9" s="383" customFormat="1">
      <c r="A632" s="616" t="s">
        <v>2385</v>
      </c>
      <c r="B632" s="615" t="s">
        <v>2389</v>
      </c>
      <c r="C632" s="616" t="s">
        <v>3345</v>
      </c>
      <c r="D632" s="2847">
        <v>7162003</v>
      </c>
      <c r="E632" s="616" t="s">
        <v>4022</v>
      </c>
      <c r="F632" s="799">
        <v>7.99</v>
      </c>
      <c r="G632" s="1493" t="s">
        <v>294</v>
      </c>
      <c r="H632" s="32">
        <f>VLOOKUP(D632,'New TB INC'!C:K,3,0)-F632</f>
        <v>0</v>
      </c>
      <c r="I632" s="320"/>
    </row>
    <row r="633" spans="1:9" s="383" customFormat="1">
      <c r="A633" s="616" t="s">
        <v>2385</v>
      </c>
      <c r="B633" s="615" t="s">
        <v>2389</v>
      </c>
      <c r="C633" s="616" t="s">
        <v>3345</v>
      </c>
      <c r="D633" s="2847">
        <v>7162004</v>
      </c>
      <c r="E633" s="616" t="s">
        <v>4023</v>
      </c>
      <c r="F633" s="799">
        <v>153.44</v>
      </c>
      <c r="G633" s="1493" t="s">
        <v>294</v>
      </c>
      <c r="H633" s="32">
        <f>VLOOKUP(D633,'New TB INC'!C:K,3,0)-F633</f>
        <v>0</v>
      </c>
      <c r="I633" s="320"/>
    </row>
    <row r="634" spans="1:9" s="383" customFormat="1">
      <c r="A634" s="616" t="s">
        <v>2385</v>
      </c>
      <c r="B634" s="615" t="s">
        <v>2389</v>
      </c>
      <c r="C634" s="616" t="s">
        <v>3345</v>
      </c>
      <c r="D634" s="2847">
        <v>7162005</v>
      </c>
      <c r="E634" s="616" t="s">
        <v>4024</v>
      </c>
      <c r="F634" s="799">
        <v>187.06</v>
      </c>
      <c r="G634" s="1493" t="s">
        <v>294</v>
      </c>
      <c r="H634" s="32">
        <f>VLOOKUP(D634,'New TB INC'!C:K,3,0)-F634</f>
        <v>0</v>
      </c>
      <c r="I634" s="320"/>
    </row>
    <row r="635" spans="1:9" s="383" customFormat="1">
      <c r="A635" s="616" t="s">
        <v>2385</v>
      </c>
      <c r="B635" s="615" t="s">
        <v>2389</v>
      </c>
      <c r="C635" s="616" t="s">
        <v>3345</v>
      </c>
      <c r="D635" s="2847">
        <v>7162006</v>
      </c>
      <c r="E635" s="616" t="s">
        <v>4025</v>
      </c>
      <c r="F635" s="799">
        <v>48.49</v>
      </c>
      <c r="G635" s="1493" t="s">
        <v>294</v>
      </c>
      <c r="H635" s="32">
        <f>VLOOKUP(D635,'New TB INC'!C:K,3,0)-F635</f>
        <v>0</v>
      </c>
      <c r="I635" s="320"/>
    </row>
    <row r="636" spans="1:9" s="383" customFormat="1">
      <c r="A636" s="616" t="s">
        <v>2385</v>
      </c>
      <c r="B636" s="615" t="s">
        <v>2389</v>
      </c>
      <c r="C636" s="616" t="s">
        <v>3345</v>
      </c>
      <c r="D636" s="2847">
        <v>7162008</v>
      </c>
      <c r="E636" s="616" t="s">
        <v>3597</v>
      </c>
      <c r="F636" s="799">
        <v>412.3</v>
      </c>
      <c r="G636" s="1493" t="s">
        <v>294</v>
      </c>
      <c r="H636" s="32">
        <f>VLOOKUP(D636,'New TB INC'!C:K,3,0)-F636</f>
        <v>0</v>
      </c>
      <c r="I636" s="320"/>
    </row>
    <row r="637" spans="1:9" s="383" customFormat="1">
      <c r="A637" s="616" t="s">
        <v>2385</v>
      </c>
      <c r="B637" s="615" t="s">
        <v>2389</v>
      </c>
      <c r="C637" s="616" t="s">
        <v>1376</v>
      </c>
      <c r="D637" s="2847">
        <v>7111036</v>
      </c>
      <c r="E637" s="616" t="s">
        <v>1657</v>
      </c>
      <c r="F637" s="799">
        <v>4523.9799999999996</v>
      </c>
      <c r="G637" s="1493" t="s">
        <v>294</v>
      </c>
      <c r="H637" s="32">
        <f>VLOOKUP(D637,'New TB INC'!C:K,3,0)-F637</f>
        <v>0</v>
      </c>
      <c r="I637" s="320"/>
    </row>
    <row r="638" spans="1:9" s="383" customFormat="1">
      <c r="A638" s="616" t="s">
        <v>2385</v>
      </c>
      <c r="B638" s="615" t="s">
        <v>2389</v>
      </c>
      <c r="C638" s="616" t="s">
        <v>1376</v>
      </c>
      <c r="D638" s="2847">
        <v>7111037</v>
      </c>
      <c r="E638" s="616" t="s">
        <v>1373</v>
      </c>
      <c r="F638" s="799">
        <v>177776</v>
      </c>
      <c r="G638" s="1493" t="s">
        <v>294</v>
      </c>
      <c r="H638" s="32">
        <f>VLOOKUP(D638,'New TB INC'!C:K,3,0)-F638</f>
        <v>0</v>
      </c>
      <c r="I638" s="320"/>
    </row>
    <row r="639" spans="1:9" s="383" customFormat="1">
      <c r="A639" s="616" t="s">
        <v>2385</v>
      </c>
      <c r="B639" s="615" t="s">
        <v>2389</v>
      </c>
      <c r="C639" s="616" t="s">
        <v>1376</v>
      </c>
      <c r="D639" s="2847">
        <v>7120016</v>
      </c>
      <c r="E639" s="616" t="s">
        <v>2051</v>
      </c>
      <c r="F639" s="799">
        <v>3000</v>
      </c>
      <c r="G639" s="1493" t="s">
        <v>294</v>
      </c>
      <c r="H639" s="32">
        <f>VLOOKUP(D639,'New TB INC'!C:K,3,0)-F639</f>
        <v>0</v>
      </c>
      <c r="I639" s="320"/>
    </row>
    <row r="640" spans="1:9" s="383" customFormat="1">
      <c r="A640" s="616" t="s">
        <v>2385</v>
      </c>
      <c r="B640" s="615" t="s">
        <v>2389</v>
      </c>
      <c r="C640" s="616" t="s">
        <v>1376</v>
      </c>
      <c r="D640" s="2847">
        <v>7170001</v>
      </c>
      <c r="E640" s="616" t="s">
        <v>955</v>
      </c>
      <c r="F640" s="799">
        <v>599500.06999999995</v>
      </c>
      <c r="G640" s="1493" t="s">
        <v>294</v>
      </c>
      <c r="H640" s="32">
        <f>VLOOKUP(D640,'New TB INC'!C:K,3,0)-F640</f>
        <v>0</v>
      </c>
      <c r="I640" s="320"/>
    </row>
    <row r="641" spans="1:9" s="383" customFormat="1">
      <c r="A641" s="616" t="s">
        <v>2385</v>
      </c>
      <c r="B641" s="615" t="s">
        <v>2389</v>
      </c>
      <c r="C641" s="616" t="s">
        <v>1376</v>
      </c>
      <c r="D641" s="2847" t="s">
        <v>1697</v>
      </c>
      <c r="E641" s="616" t="s">
        <v>1698</v>
      </c>
      <c r="F641" s="799">
        <v>179576.77</v>
      </c>
      <c r="G641" s="1493" t="s">
        <v>294</v>
      </c>
      <c r="H641" s="32">
        <f>VLOOKUP(D641,'New TB INC'!C:K,3,0)-F641</f>
        <v>0</v>
      </c>
      <c r="I641" s="320"/>
    </row>
    <row r="642" spans="1:9" s="383" customFormat="1">
      <c r="A642" s="616" t="s">
        <v>2385</v>
      </c>
      <c r="B642" s="615" t="s">
        <v>2389</v>
      </c>
      <c r="C642" s="616" t="s">
        <v>1376</v>
      </c>
      <c r="D642" s="2847">
        <v>7170002</v>
      </c>
      <c r="E642" s="616" t="s">
        <v>956</v>
      </c>
      <c r="F642" s="799">
        <v>40160.57</v>
      </c>
      <c r="G642" s="1493" t="s">
        <v>294</v>
      </c>
      <c r="H642" s="32">
        <f>VLOOKUP(D642,'New TB INC'!C:K,3,0)-F642</f>
        <v>0</v>
      </c>
      <c r="I642" s="320"/>
    </row>
    <row r="643" spans="1:9" s="383" customFormat="1">
      <c r="A643" s="616" t="s">
        <v>2385</v>
      </c>
      <c r="B643" s="615" t="s">
        <v>2389</v>
      </c>
      <c r="C643" s="616" t="s">
        <v>1376</v>
      </c>
      <c r="D643" s="2847" t="s">
        <v>1699</v>
      </c>
      <c r="E643" s="616" t="s">
        <v>1700</v>
      </c>
      <c r="F643" s="799">
        <v>3459.85</v>
      </c>
      <c r="G643" s="1493" t="s">
        <v>294</v>
      </c>
      <c r="H643" s="32">
        <f>VLOOKUP(D643,'New TB INC'!C:K,3,0)-F643</f>
        <v>0</v>
      </c>
      <c r="I643" s="320"/>
    </row>
    <row r="644" spans="1:9" s="383" customFormat="1">
      <c r="A644" s="616" t="s">
        <v>2385</v>
      </c>
      <c r="B644" s="615" t="s">
        <v>2389</v>
      </c>
      <c r="C644" s="616" t="s">
        <v>1376</v>
      </c>
      <c r="D644" s="2847">
        <v>7170003</v>
      </c>
      <c r="E644" s="616" t="s">
        <v>957</v>
      </c>
      <c r="F644" s="799">
        <v>16868.150000000001</v>
      </c>
      <c r="G644" s="1493" t="s">
        <v>294</v>
      </c>
      <c r="H644" s="32">
        <f>VLOOKUP(D644,'New TB INC'!C:K,3,0)-F644</f>
        <v>0</v>
      </c>
      <c r="I644" s="320"/>
    </row>
    <row r="645" spans="1:9" s="383" customFormat="1">
      <c r="A645" s="616" t="s">
        <v>2385</v>
      </c>
      <c r="B645" s="615" t="s">
        <v>2389</v>
      </c>
      <c r="C645" s="616" t="s">
        <v>1376</v>
      </c>
      <c r="D645" s="2847" t="s">
        <v>1749</v>
      </c>
      <c r="E645" s="616" t="s">
        <v>1750</v>
      </c>
      <c r="F645" s="799">
        <v>6258.56</v>
      </c>
      <c r="G645" s="1493" t="s">
        <v>294</v>
      </c>
      <c r="H645" s="32">
        <f>VLOOKUP(D645,'New TB INC'!C:K,3,0)-F645</f>
        <v>0</v>
      </c>
      <c r="I645" s="320"/>
    </row>
    <row r="646" spans="1:9" s="383" customFormat="1">
      <c r="A646" s="616" t="s">
        <v>2385</v>
      </c>
      <c r="B646" s="615" t="s">
        <v>2389</v>
      </c>
      <c r="C646" s="616" t="s">
        <v>1376</v>
      </c>
      <c r="D646" s="2847" t="s">
        <v>1701</v>
      </c>
      <c r="E646" s="616" t="s">
        <v>1702</v>
      </c>
      <c r="F646" s="799">
        <v>110587.54</v>
      </c>
      <c r="G646" s="1493" t="s">
        <v>294</v>
      </c>
      <c r="H646" s="32">
        <f>VLOOKUP(D646,'New TB INC'!C:K,3,0)-F646</f>
        <v>0</v>
      </c>
      <c r="I646" s="320"/>
    </row>
    <row r="647" spans="1:9" s="383" customFormat="1">
      <c r="A647" s="616" t="s">
        <v>2385</v>
      </c>
      <c r="B647" s="615" t="s">
        <v>2389</v>
      </c>
      <c r="C647" s="616" t="s">
        <v>1376</v>
      </c>
      <c r="D647" s="2847">
        <v>7170004</v>
      </c>
      <c r="E647" s="616" t="s">
        <v>2406</v>
      </c>
      <c r="F647" s="799">
        <v>547.08000000000004</v>
      </c>
      <c r="G647" s="1493" t="s">
        <v>294</v>
      </c>
      <c r="H647" s="32">
        <f>VLOOKUP(D647,'New TB INC'!C:K,3,0)-F647</f>
        <v>0</v>
      </c>
      <c r="I647" s="320"/>
    </row>
    <row r="648" spans="1:9" s="383" customFormat="1">
      <c r="A648" s="616" t="s">
        <v>2385</v>
      </c>
      <c r="B648" s="615" t="s">
        <v>2389</v>
      </c>
      <c r="C648" s="616" t="s">
        <v>1376</v>
      </c>
      <c r="D648" s="2847" t="s">
        <v>2665</v>
      </c>
      <c r="E648" s="616" t="s">
        <v>2666</v>
      </c>
      <c r="F648" s="799">
        <v>214.78</v>
      </c>
      <c r="G648" s="1493" t="s">
        <v>294</v>
      </c>
      <c r="H648" s="32">
        <f>VLOOKUP(D648,'New TB INC'!C:K,3,0)-F648</f>
        <v>0</v>
      </c>
      <c r="I648" s="320"/>
    </row>
    <row r="649" spans="1:9" s="383" customFormat="1">
      <c r="A649" s="616" t="s">
        <v>2385</v>
      </c>
      <c r="B649" s="615" t="s">
        <v>2389</v>
      </c>
      <c r="C649" s="616" t="s">
        <v>1376</v>
      </c>
      <c r="D649" s="2847">
        <v>7170006</v>
      </c>
      <c r="E649" s="616" t="s">
        <v>958</v>
      </c>
      <c r="F649" s="799">
        <v>52607.4</v>
      </c>
      <c r="G649" s="1493" t="s">
        <v>294</v>
      </c>
      <c r="H649" s="32">
        <f>VLOOKUP(D649,'New TB INC'!C:K,3,0)-F649</f>
        <v>0</v>
      </c>
      <c r="I649" s="320"/>
    </row>
    <row r="650" spans="1:9" s="383" customFormat="1">
      <c r="A650" s="616" t="s">
        <v>2385</v>
      </c>
      <c r="B650" s="615" t="s">
        <v>2389</v>
      </c>
      <c r="C650" s="616" t="s">
        <v>1376</v>
      </c>
      <c r="D650" s="2847" t="s">
        <v>1728</v>
      </c>
      <c r="E650" s="616" t="s">
        <v>2407</v>
      </c>
      <c r="F650" s="799">
        <v>3092.45</v>
      </c>
      <c r="G650" s="1493" t="s">
        <v>294</v>
      </c>
      <c r="H650" s="32">
        <f>VLOOKUP(D650,'New TB INC'!C:K,3,0)-F650</f>
        <v>0</v>
      </c>
      <c r="I650" s="320"/>
    </row>
    <row r="651" spans="1:9" s="383" customFormat="1">
      <c r="A651" s="616" t="s">
        <v>2385</v>
      </c>
      <c r="B651" s="615" t="s">
        <v>2389</v>
      </c>
      <c r="C651" s="616" t="s">
        <v>1376</v>
      </c>
      <c r="D651" s="2847">
        <v>7170007</v>
      </c>
      <c r="E651" s="616" t="s">
        <v>959</v>
      </c>
      <c r="F651" s="799">
        <v>3010.92</v>
      </c>
      <c r="G651" s="1493" t="s">
        <v>294</v>
      </c>
      <c r="H651" s="32">
        <f>VLOOKUP(D651,'New TB INC'!C:K,3,0)-F651</f>
        <v>0</v>
      </c>
      <c r="I651" s="320"/>
    </row>
    <row r="652" spans="1:9" s="383" customFormat="1">
      <c r="A652" s="2848" t="s">
        <v>2385</v>
      </c>
      <c r="B652" s="615" t="s">
        <v>2389</v>
      </c>
      <c r="C652" s="616" t="s">
        <v>1376</v>
      </c>
      <c r="D652" s="1230">
        <v>7170008</v>
      </c>
      <c r="E652" s="616" t="s">
        <v>1427</v>
      </c>
      <c r="F652" s="799">
        <v>-5440</v>
      </c>
      <c r="G652" s="1493" t="s">
        <v>294</v>
      </c>
      <c r="H652" s="32">
        <f>VLOOKUP(D652,'New TB INC'!C:K,3,0)-F652</f>
        <v>0</v>
      </c>
      <c r="I652" s="320"/>
    </row>
    <row r="653" spans="1:9" s="383" customFormat="1">
      <c r="A653" s="2848" t="s">
        <v>2385</v>
      </c>
      <c r="B653" s="615" t="s">
        <v>2389</v>
      </c>
      <c r="C653" s="616" t="s">
        <v>1820</v>
      </c>
      <c r="D653" s="1230">
        <v>7180001</v>
      </c>
      <c r="E653" s="616" t="s">
        <v>961</v>
      </c>
      <c r="F653" s="799">
        <v>504.96</v>
      </c>
      <c r="G653" s="1493" t="s">
        <v>294</v>
      </c>
      <c r="H653" s="32">
        <f>VLOOKUP(D653,'New TB INC'!C:K,3,0)-F653</f>
        <v>0</v>
      </c>
      <c r="I653" s="320"/>
    </row>
    <row r="654" spans="1:9" s="383" customFormat="1">
      <c r="A654" s="2848" t="s">
        <v>2385</v>
      </c>
      <c r="B654" s="615" t="s">
        <v>2389</v>
      </c>
      <c r="C654" s="616" t="s">
        <v>1820</v>
      </c>
      <c r="D654" s="1230">
        <v>7180002</v>
      </c>
      <c r="E654" s="616" t="s">
        <v>962</v>
      </c>
      <c r="F654" s="1493">
        <v>748.99</v>
      </c>
      <c r="G654" s="1493" t="s">
        <v>294</v>
      </c>
      <c r="H654" s="32">
        <f>VLOOKUP(D654,'New TB INC'!C:K,3,0)-F654</f>
        <v>0</v>
      </c>
      <c r="I654" s="320"/>
    </row>
    <row r="655" spans="1:9" s="383" customFormat="1">
      <c r="A655" s="2848" t="s">
        <v>2385</v>
      </c>
      <c r="B655" s="615" t="s">
        <v>2389</v>
      </c>
      <c r="C655" s="616" t="s">
        <v>1820</v>
      </c>
      <c r="D655" s="1230">
        <v>7180004</v>
      </c>
      <c r="E655" s="616" t="s">
        <v>964</v>
      </c>
      <c r="F655" s="1493">
        <v>279.52</v>
      </c>
      <c r="G655" s="1493" t="s">
        <v>294</v>
      </c>
      <c r="H655" s="32">
        <f>VLOOKUP(D655,'New TB INC'!C:K,3,0)-F655</f>
        <v>0</v>
      </c>
      <c r="I655" s="320"/>
    </row>
    <row r="656" spans="1:9" s="383" customFormat="1">
      <c r="A656" s="2848" t="s">
        <v>2385</v>
      </c>
      <c r="B656" s="615" t="s">
        <v>2389</v>
      </c>
      <c r="C656" s="616" t="s">
        <v>1820</v>
      </c>
      <c r="D656" s="1230">
        <v>7180007</v>
      </c>
      <c r="E656" s="616" t="s">
        <v>3929</v>
      </c>
      <c r="F656" s="1493">
        <v>17.440000000000001</v>
      </c>
      <c r="G656" s="1493" t="s">
        <v>294</v>
      </c>
      <c r="H656" s="32">
        <f>VLOOKUP(D656,'New TB INC'!C:K,3,0)-F656</f>
        <v>0</v>
      </c>
      <c r="I656" s="320"/>
    </row>
    <row r="657" spans="1:9" s="383" customFormat="1">
      <c r="A657" s="2848" t="s">
        <v>2385</v>
      </c>
      <c r="B657" s="615" t="s">
        <v>2389</v>
      </c>
      <c r="C657" s="616" t="s">
        <v>1820</v>
      </c>
      <c r="D657" s="1230">
        <v>7180009</v>
      </c>
      <c r="E657" s="616" t="s">
        <v>3930</v>
      </c>
      <c r="F657" s="1493">
        <v>179.4</v>
      </c>
      <c r="G657" s="1493" t="s">
        <v>294</v>
      </c>
      <c r="H657" s="32">
        <f>VLOOKUP(D657,'New TB INC'!C:K,3,0)-F657</f>
        <v>0</v>
      </c>
      <c r="I657" s="320"/>
    </row>
    <row r="658" spans="1:9" s="383" customFormat="1">
      <c r="A658" s="2848" t="s">
        <v>2408</v>
      </c>
      <c r="B658" s="615" t="s">
        <v>2409</v>
      </c>
      <c r="C658" s="616" t="s">
        <v>1377</v>
      </c>
      <c r="D658" s="1230">
        <v>8010004</v>
      </c>
      <c r="E658" s="616" t="s">
        <v>2410</v>
      </c>
      <c r="F658" s="1493">
        <v>69791.740000000005</v>
      </c>
      <c r="G658" s="1493" t="s">
        <v>294</v>
      </c>
      <c r="H658" s="32">
        <f>VLOOKUP(D658,'New TB INC'!C:K,3,0)-F658</f>
        <v>0</v>
      </c>
      <c r="I658" s="320"/>
    </row>
    <row r="659" spans="1:9" s="383" customFormat="1">
      <c r="A659" s="2848" t="s">
        <v>2408</v>
      </c>
      <c r="B659" s="615" t="s">
        <v>2409</v>
      </c>
      <c r="C659" s="616" t="s">
        <v>1377</v>
      </c>
      <c r="D659" s="1230">
        <v>8010007</v>
      </c>
      <c r="E659" s="616" t="s">
        <v>2411</v>
      </c>
      <c r="F659" s="1493">
        <v>157.06</v>
      </c>
      <c r="G659" s="1493" t="s">
        <v>294</v>
      </c>
      <c r="H659" s="32">
        <f>VLOOKUP(D659,'New TB INC'!C:K,3,0)-F659</f>
        <v>0</v>
      </c>
      <c r="I659" s="320"/>
    </row>
    <row r="660" spans="1:9" s="383" customFormat="1">
      <c r="A660" s="2848" t="s">
        <v>2408</v>
      </c>
      <c r="B660" s="615" t="s">
        <v>2409</v>
      </c>
      <c r="C660" s="616" t="s">
        <v>1377</v>
      </c>
      <c r="D660" s="1230">
        <v>8010008</v>
      </c>
      <c r="E660" s="616" t="s">
        <v>3531</v>
      </c>
      <c r="F660" s="1493">
        <v>1111.1199999999999</v>
      </c>
      <c r="G660" s="1493" t="s">
        <v>294</v>
      </c>
      <c r="H660" s="32">
        <f>VLOOKUP(D660,'New TB INC'!C:K,3,0)-F660</f>
        <v>0</v>
      </c>
      <c r="I660" s="320"/>
    </row>
    <row r="661" spans="1:9" s="383" customFormat="1">
      <c r="A661" s="2848" t="s">
        <v>2408</v>
      </c>
      <c r="B661" s="615" t="s">
        <v>2409</v>
      </c>
      <c r="C661" s="616" t="s">
        <v>1377</v>
      </c>
      <c r="D661" s="1230">
        <v>8010027</v>
      </c>
      <c r="E661" s="616" t="s">
        <v>2412</v>
      </c>
      <c r="F661" s="1493">
        <v>6036.12</v>
      </c>
      <c r="G661" s="1493" t="s">
        <v>294</v>
      </c>
      <c r="H661" s="32">
        <f>VLOOKUP(D661,'New TB INC'!C:K,3,0)-F661</f>
        <v>0</v>
      </c>
      <c r="I661" s="320"/>
    </row>
    <row r="662" spans="1:9" s="383" customFormat="1">
      <c r="A662" s="2848" t="s">
        <v>2408</v>
      </c>
      <c r="B662" s="615" t="s">
        <v>2409</v>
      </c>
      <c r="C662" s="616" t="s">
        <v>1377</v>
      </c>
      <c r="D662" s="1230">
        <v>8010028</v>
      </c>
      <c r="E662" s="616" t="s">
        <v>2413</v>
      </c>
      <c r="F662" s="1493">
        <v>406.44</v>
      </c>
      <c r="G662" s="1493" t="s">
        <v>294</v>
      </c>
      <c r="H662" s="32">
        <f>VLOOKUP(D662,'New TB INC'!C:K,3,0)-F662</f>
        <v>0</v>
      </c>
      <c r="I662" s="320"/>
    </row>
    <row r="663" spans="1:9" s="383" customFormat="1">
      <c r="A663" s="2848" t="s">
        <v>2408</v>
      </c>
      <c r="B663" s="615" t="s">
        <v>2409</v>
      </c>
      <c r="C663" s="616" t="s">
        <v>1377</v>
      </c>
      <c r="D663" s="1230">
        <v>8010030</v>
      </c>
      <c r="E663" s="616" t="s">
        <v>2414</v>
      </c>
      <c r="F663" s="1493">
        <v>6469.92</v>
      </c>
      <c r="G663" s="1493" t="s">
        <v>294</v>
      </c>
      <c r="H663" s="32">
        <f>VLOOKUP(D663,'New TB INC'!C:K,3,0)-F663</f>
        <v>0</v>
      </c>
      <c r="I663" s="320"/>
    </row>
    <row r="664" spans="1:9" s="383" customFormat="1">
      <c r="A664" s="2848" t="s">
        <v>2408</v>
      </c>
      <c r="B664" s="615" t="s">
        <v>2409</v>
      </c>
      <c r="C664" s="616" t="s">
        <v>1377</v>
      </c>
      <c r="D664" s="1230">
        <v>8010032</v>
      </c>
      <c r="E664" s="616" t="s">
        <v>4714</v>
      </c>
      <c r="F664" s="1493">
        <v>3000</v>
      </c>
      <c r="G664" s="1493" t="s">
        <v>294</v>
      </c>
      <c r="H664" s="32">
        <f>VLOOKUP(D664,'New TB INC'!C:K,3,0)-F664</f>
        <v>0</v>
      </c>
      <c r="I664" s="320"/>
    </row>
    <row r="665" spans="1:9" s="383" customFormat="1">
      <c r="A665" s="2848" t="s">
        <v>2408</v>
      </c>
      <c r="B665" s="615" t="s">
        <v>2409</v>
      </c>
      <c r="C665" s="616" t="s">
        <v>3111</v>
      </c>
      <c r="D665" s="1230">
        <v>8020005</v>
      </c>
      <c r="E665" s="616" t="s">
        <v>3259</v>
      </c>
      <c r="F665" s="1493">
        <v>2266.94</v>
      </c>
      <c r="G665" s="1493" t="s">
        <v>294</v>
      </c>
      <c r="H665" s="32">
        <f>VLOOKUP(D665,'New TB INC'!C:K,3,0)-F665</f>
        <v>0</v>
      </c>
      <c r="I665" s="320"/>
    </row>
    <row r="666" spans="1:9" s="383" customFormat="1">
      <c r="A666" s="2848" t="s">
        <v>2408</v>
      </c>
      <c r="B666" s="615" t="s">
        <v>2409</v>
      </c>
      <c r="C666" s="616" t="s">
        <v>3111</v>
      </c>
      <c r="D666" s="1230">
        <v>8020006</v>
      </c>
      <c r="E666" s="616" t="s">
        <v>3112</v>
      </c>
      <c r="F666" s="1493">
        <v>109.99</v>
      </c>
      <c r="G666" s="1493" t="s">
        <v>294</v>
      </c>
      <c r="H666" s="32">
        <f>VLOOKUP(D666,'New TB INC'!C:K,3,0)-F666</f>
        <v>0</v>
      </c>
      <c r="I666" s="320"/>
    </row>
    <row r="667" spans="1:9" s="383" customFormat="1">
      <c r="A667" s="2848" t="s">
        <v>2408</v>
      </c>
      <c r="B667" s="615" t="s">
        <v>2409</v>
      </c>
      <c r="C667" s="616" t="s">
        <v>1379</v>
      </c>
      <c r="D667" s="1230">
        <v>8030001</v>
      </c>
      <c r="E667" s="616" t="s">
        <v>410</v>
      </c>
      <c r="F667" s="1493">
        <v>148030.57</v>
      </c>
      <c r="G667" s="1493" t="s">
        <v>294</v>
      </c>
      <c r="H667" s="32">
        <f>VLOOKUP(D667,'New TB INC'!C:K,3,0)-F667</f>
        <v>0</v>
      </c>
      <c r="I667" s="320"/>
    </row>
    <row r="668" spans="1:9" s="383" customFormat="1">
      <c r="A668" s="2848" t="s">
        <v>2408</v>
      </c>
      <c r="B668" s="615" t="s">
        <v>2409</v>
      </c>
      <c r="C668" s="616" t="s">
        <v>1379</v>
      </c>
      <c r="D668" s="1230">
        <v>8030004</v>
      </c>
      <c r="E668" s="616" t="s">
        <v>489</v>
      </c>
      <c r="F668" s="1493">
        <v>111649.92</v>
      </c>
      <c r="G668" s="1493" t="s">
        <v>294</v>
      </c>
      <c r="H668" s="32">
        <f>VLOOKUP(D668,'New TB INC'!C:K,3,0)-F668</f>
        <v>0</v>
      </c>
      <c r="I668" s="320"/>
    </row>
    <row r="669" spans="1:9" s="383" customFormat="1">
      <c r="A669" s="2848" t="s">
        <v>2408</v>
      </c>
      <c r="B669" s="615" t="s">
        <v>2409</v>
      </c>
      <c r="C669" s="616" t="s">
        <v>1379</v>
      </c>
      <c r="D669" s="1230">
        <v>8030005</v>
      </c>
      <c r="E669" s="616" t="s">
        <v>1703</v>
      </c>
      <c r="F669" s="1493">
        <v>48335.34</v>
      </c>
      <c r="G669" s="1493" t="s">
        <v>294</v>
      </c>
      <c r="H669" s="32">
        <f>VLOOKUP(D669,'New TB INC'!C:K,3,0)-F669</f>
        <v>0</v>
      </c>
      <c r="I669" s="320"/>
    </row>
    <row r="670" spans="1:9" s="383" customFormat="1">
      <c r="A670" s="2848" t="s">
        <v>2408</v>
      </c>
      <c r="B670" s="615" t="s">
        <v>2409</v>
      </c>
      <c r="C670" s="616" t="s">
        <v>1379</v>
      </c>
      <c r="D670" s="1230">
        <v>8030006</v>
      </c>
      <c r="E670" s="616" t="s">
        <v>767</v>
      </c>
      <c r="F670" s="1493">
        <v>600.19000000000005</v>
      </c>
      <c r="G670" s="1493" t="s">
        <v>294</v>
      </c>
      <c r="H670" s="32">
        <f>VLOOKUP(D670,'New TB INC'!C:K,3,0)-F670</f>
        <v>0</v>
      </c>
      <c r="I670" s="320"/>
    </row>
    <row r="671" spans="1:9" s="383" customFormat="1">
      <c r="A671" s="2848" t="s">
        <v>2408</v>
      </c>
      <c r="B671" s="615" t="s">
        <v>2409</v>
      </c>
      <c r="C671" s="616" t="s">
        <v>1379</v>
      </c>
      <c r="D671" s="1230">
        <v>8030009</v>
      </c>
      <c r="E671" s="616" t="s">
        <v>545</v>
      </c>
      <c r="F671" s="1493">
        <v>187.43</v>
      </c>
      <c r="G671" s="1493" t="s">
        <v>294</v>
      </c>
      <c r="H671" s="32">
        <f>VLOOKUP(D671,'New TB INC'!C:K,3,0)-F671</f>
        <v>0</v>
      </c>
      <c r="I671" s="320"/>
    </row>
    <row r="672" spans="1:9" s="383" customFormat="1">
      <c r="A672" s="2848" t="s">
        <v>2408</v>
      </c>
      <c r="B672" s="615" t="s">
        <v>2409</v>
      </c>
      <c r="C672" s="616" t="s">
        <v>1379</v>
      </c>
      <c r="D672" s="1230">
        <v>8030015</v>
      </c>
      <c r="E672" s="616" t="s">
        <v>4516</v>
      </c>
      <c r="F672" s="1493">
        <v>246.3</v>
      </c>
      <c r="G672" s="1493" t="s">
        <v>294</v>
      </c>
      <c r="H672" s="32">
        <f>VLOOKUP(D672,'New TB INC'!C:K,3,0)-F672</f>
        <v>0</v>
      </c>
      <c r="I672" s="320"/>
    </row>
    <row r="673" spans="1:9" s="383" customFormat="1">
      <c r="A673" s="2848" t="s">
        <v>2408</v>
      </c>
      <c r="B673" s="615" t="s">
        <v>2409</v>
      </c>
      <c r="C673" s="616" t="s">
        <v>1379</v>
      </c>
      <c r="D673" s="1230">
        <v>8030019</v>
      </c>
      <c r="E673" s="616" t="s">
        <v>1430</v>
      </c>
      <c r="F673" s="1493">
        <v>22223.02</v>
      </c>
      <c r="G673" s="1493" t="s">
        <v>294</v>
      </c>
      <c r="H673" s="32">
        <f>VLOOKUP(D673,'New TB INC'!C:K,3,0)-F673</f>
        <v>0</v>
      </c>
      <c r="I673" s="320"/>
    </row>
    <row r="674" spans="1:9" s="383" customFormat="1">
      <c r="A674" s="2848" t="s">
        <v>2408</v>
      </c>
      <c r="B674" s="615" t="s">
        <v>2409</v>
      </c>
      <c r="C674" s="616" t="s">
        <v>1379</v>
      </c>
      <c r="D674" s="1230">
        <v>8030020</v>
      </c>
      <c r="E674" s="616" t="s">
        <v>481</v>
      </c>
      <c r="F674" s="1493">
        <v>87952</v>
      </c>
      <c r="G674" s="1493" t="s">
        <v>294</v>
      </c>
      <c r="H674" s="32">
        <f>VLOOKUP(D674,'New TB INC'!C:K,3,0)-F674</f>
        <v>0</v>
      </c>
      <c r="I674" s="320"/>
    </row>
    <row r="675" spans="1:9" s="383" customFormat="1">
      <c r="A675" s="2848" t="s">
        <v>2408</v>
      </c>
      <c r="B675" s="615" t="s">
        <v>2409</v>
      </c>
      <c r="C675" s="616" t="s">
        <v>1379</v>
      </c>
      <c r="D675" s="1230">
        <v>8030021</v>
      </c>
      <c r="E675" s="616" t="s">
        <v>1658</v>
      </c>
      <c r="F675" s="1493">
        <v>34784.71</v>
      </c>
      <c r="G675" s="1493" t="s">
        <v>294</v>
      </c>
      <c r="H675" s="32">
        <f>VLOOKUP(D675,'New TB INC'!C:K,3,0)-F675</f>
        <v>0</v>
      </c>
      <c r="I675" s="320"/>
    </row>
    <row r="676" spans="1:9" s="383" customFormat="1">
      <c r="A676" s="2848" t="s">
        <v>2408</v>
      </c>
      <c r="B676" s="615" t="s">
        <v>2409</v>
      </c>
      <c r="C676" s="616" t="s">
        <v>1379</v>
      </c>
      <c r="D676" s="1230">
        <v>8030022</v>
      </c>
      <c r="E676" s="616" t="s">
        <v>488</v>
      </c>
      <c r="F676" s="1738">
        <v>8962.2000000000007</v>
      </c>
      <c r="G676" s="616" t="s">
        <v>294</v>
      </c>
      <c r="H676" s="32">
        <f>VLOOKUP(D676,'New TB INC'!C:K,3,0)-F676</f>
        <v>0</v>
      </c>
      <c r="I676" s="320"/>
    </row>
    <row r="677" spans="1:9" s="383" customFormat="1">
      <c r="A677" s="2848" t="s">
        <v>2408</v>
      </c>
      <c r="B677" s="615" t="s">
        <v>2409</v>
      </c>
      <c r="C677" s="616" t="s">
        <v>1379</v>
      </c>
      <c r="D677" s="1230">
        <v>8030023</v>
      </c>
      <c r="E677" s="616" t="s">
        <v>546</v>
      </c>
      <c r="F677" s="1738">
        <v>2557.69</v>
      </c>
      <c r="G677" s="616" t="s">
        <v>294</v>
      </c>
      <c r="H677" s="32">
        <f>VLOOKUP(D677,'New TB INC'!C:K,3,0)-F677</f>
        <v>0</v>
      </c>
      <c r="I677" s="320"/>
    </row>
    <row r="678" spans="1:9" s="383" customFormat="1">
      <c r="A678" s="2848" t="s">
        <v>2408</v>
      </c>
      <c r="B678" s="615" t="s">
        <v>2409</v>
      </c>
      <c r="C678" s="616" t="s">
        <v>1379</v>
      </c>
      <c r="D678" s="1230">
        <v>8030024</v>
      </c>
      <c r="E678" s="616" t="s">
        <v>768</v>
      </c>
      <c r="F678" s="1738">
        <v>815.67</v>
      </c>
      <c r="G678" s="616" t="s">
        <v>294</v>
      </c>
      <c r="H678" s="32">
        <f>VLOOKUP(D678,'New TB INC'!C:K,3,0)-F678</f>
        <v>0</v>
      </c>
      <c r="I678" s="320"/>
    </row>
    <row r="679" spans="1:9" s="383" customFormat="1">
      <c r="A679" s="2848" t="s">
        <v>2408</v>
      </c>
      <c r="B679" s="615" t="s">
        <v>2409</v>
      </c>
      <c r="C679" s="616" t="s">
        <v>1379</v>
      </c>
      <c r="D679" s="1230">
        <v>8030028</v>
      </c>
      <c r="E679" s="616" t="s">
        <v>484</v>
      </c>
      <c r="F679" s="616">
        <v>5847.43</v>
      </c>
      <c r="G679" s="616" t="s">
        <v>294</v>
      </c>
      <c r="H679" s="32">
        <f>VLOOKUP(D679,'New TB INC'!C:K,3,0)-F679</f>
        <v>0</v>
      </c>
      <c r="I679" s="320"/>
    </row>
    <row r="680" spans="1:9" s="383" customFormat="1">
      <c r="A680" s="2848" t="s">
        <v>2408</v>
      </c>
      <c r="B680" s="615" t="s">
        <v>2409</v>
      </c>
      <c r="C680" s="616" t="s">
        <v>1379</v>
      </c>
      <c r="D680" s="1230">
        <v>93100</v>
      </c>
      <c r="E680" s="616" t="s">
        <v>2717</v>
      </c>
      <c r="F680" s="1738">
        <v>-500258.92</v>
      </c>
      <c r="G680" s="616" t="s">
        <v>294</v>
      </c>
      <c r="H680" s="32">
        <f>VLOOKUP(D680,'New TB INC'!C:K,3,0)-F680</f>
        <v>0</v>
      </c>
      <c r="I680" s="320"/>
    </row>
    <row r="681" spans="1:9" s="383" customFormat="1">
      <c r="A681" s="2848" t="s">
        <v>2408</v>
      </c>
      <c r="B681" s="615" t="s">
        <v>2409</v>
      </c>
      <c r="C681" s="616" t="s">
        <v>2415</v>
      </c>
      <c r="D681" s="1230">
        <v>55009</v>
      </c>
      <c r="E681" s="616" t="s">
        <v>2416</v>
      </c>
      <c r="F681" s="616">
        <v>206.08</v>
      </c>
      <c r="G681" s="616" t="s">
        <v>294</v>
      </c>
      <c r="H681" s="32">
        <f>VLOOKUP(D681,'New TB INC'!C:K,3,0)-F681</f>
        <v>0</v>
      </c>
      <c r="I681" s="320"/>
    </row>
    <row r="682" spans="1:9" s="383" customFormat="1">
      <c r="A682" s="2848" t="s">
        <v>2408</v>
      </c>
      <c r="B682" s="615" t="s">
        <v>2409</v>
      </c>
      <c r="C682" s="616" t="s">
        <v>2415</v>
      </c>
      <c r="D682" s="1230">
        <v>8090002</v>
      </c>
      <c r="E682" s="616" t="s">
        <v>2877</v>
      </c>
      <c r="F682" s="1738">
        <v>6000</v>
      </c>
      <c r="G682" s="616" t="s">
        <v>294</v>
      </c>
      <c r="H682" s="32">
        <f>VLOOKUP(D682,'New TB INC'!C:K,3,0)-F682</f>
        <v>0</v>
      </c>
      <c r="I682" s="320"/>
    </row>
    <row r="683" spans="1:9" s="383" customFormat="1">
      <c r="A683" s="2848" t="s">
        <v>2408</v>
      </c>
      <c r="B683" s="615" t="s">
        <v>2409</v>
      </c>
      <c r="C683" s="616" t="s">
        <v>2415</v>
      </c>
      <c r="D683" s="1230">
        <v>8410067</v>
      </c>
      <c r="E683" s="616" t="s">
        <v>4715</v>
      </c>
      <c r="F683" s="1738">
        <v>15041.89</v>
      </c>
      <c r="G683" s="616" t="s">
        <v>294</v>
      </c>
      <c r="H683" s="32">
        <f>VLOOKUP(D683,'New TB INC'!C:K,3,0)-F683</f>
        <v>0</v>
      </c>
      <c r="I683" s="320"/>
    </row>
    <row r="684" spans="1:9" s="383" customFormat="1">
      <c r="A684" s="2848" t="s">
        <v>2408</v>
      </c>
      <c r="B684" s="615" t="s">
        <v>2417</v>
      </c>
      <c r="C684" s="616" t="s">
        <v>2418</v>
      </c>
      <c r="D684" s="1230">
        <v>8110001</v>
      </c>
      <c r="E684" s="616" t="s">
        <v>1705</v>
      </c>
      <c r="F684" s="1738">
        <v>84166.73</v>
      </c>
      <c r="G684" s="616" t="s">
        <v>294</v>
      </c>
      <c r="H684" s="32">
        <f>VLOOKUP(D684,'New TB INC'!C:K,3,0)-F684</f>
        <v>0</v>
      </c>
      <c r="I684" s="320"/>
    </row>
    <row r="685" spans="1:9" s="383" customFormat="1">
      <c r="A685" s="2848" t="s">
        <v>2408</v>
      </c>
      <c r="B685" s="615" t="s">
        <v>2417</v>
      </c>
      <c r="C685" s="616" t="s">
        <v>2418</v>
      </c>
      <c r="D685" s="1230">
        <v>8110004</v>
      </c>
      <c r="E685" s="616" t="s">
        <v>1706</v>
      </c>
      <c r="F685" s="1738">
        <v>7541.77</v>
      </c>
      <c r="G685" s="616" t="s">
        <v>294</v>
      </c>
      <c r="H685" s="32">
        <f>VLOOKUP(D685,'New TB INC'!C:K,3,0)-F685</f>
        <v>0</v>
      </c>
      <c r="I685" s="320"/>
    </row>
    <row r="686" spans="1:9" s="383" customFormat="1">
      <c r="A686" s="2848" t="s">
        <v>2408</v>
      </c>
      <c r="B686" s="615" t="s">
        <v>2417</v>
      </c>
      <c r="C686" s="616" t="s">
        <v>2418</v>
      </c>
      <c r="D686" s="1230">
        <v>8110006</v>
      </c>
      <c r="E686" s="616" t="s">
        <v>1707</v>
      </c>
      <c r="F686" s="1738">
        <v>6036.12</v>
      </c>
      <c r="G686" s="616" t="s">
        <v>294</v>
      </c>
      <c r="H686" s="32">
        <f>VLOOKUP(D686,'New TB INC'!C:K,3,0)-F686</f>
        <v>0</v>
      </c>
      <c r="I686" s="320"/>
    </row>
    <row r="687" spans="1:9" s="383" customFormat="1">
      <c r="A687" s="2848" t="s">
        <v>2408</v>
      </c>
      <c r="B687" s="615" t="s">
        <v>2417</v>
      </c>
      <c r="C687" s="616" t="s">
        <v>2418</v>
      </c>
      <c r="D687" s="1230">
        <v>8110007</v>
      </c>
      <c r="E687" s="616" t="s">
        <v>1708</v>
      </c>
      <c r="F687" s="1738">
        <v>406.44</v>
      </c>
      <c r="G687" s="616" t="s">
        <v>294</v>
      </c>
      <c r="H687" s="32">
        <f>VLOOKUP(D687,'New TB INC'!C:K,3,0)-F687</f>
        <v>0</v>
      </c>
      <c r="I687" s="320"/>
    </row>
    <row r="688" spans="1:9" s="383" customFormat="1">
      <c r="A688" s="2849" t="s">
        <v>2408</v>
      </c>
      <c r="B688" s="617" t="s">
        <v>2417</v>
      </c>
      <c r="C688" s="1496" t="s">
        <v>2418</v>
      </c>
      <c r="D688" s="1369">
        <v>8110008</v>
      </c>
      <c r="E688" s="2850" t="s">
        <v>1709</v>
      </c>
      <c r="F688" s="2850">
        <v>189.36</v>
      </c>
      <c r="G688" s="320" t="s">
        <v>294</v>
      </c>
      <c r="H688" s="32">
        <f>VLOOKUP(D688,'New TB INC'!C:K,3,0)-F688</f>
        <v>0</v>
      </c>
      <c r="I688" s="320"/>
    </row>
    <row r="689" spans="1:9" s="383" customFormat="1">
      <c r="A689" s="2849" t="s">
        <v>2408</v>
      </c>
      <c r="B689" s="617" t="s">
        <v>2417</v>
      </c>
      <c r="C689" s="1496" t="s">
        <v>2418</v>
      </c>
      <c r="D689" s="1369">
        <v>811009</v>
      </c>
      <c r="E689" s="2850" t="s">
        <v>2053</v>
      </c>
      <c r="F689" s="2850">
        <v>135</v>
      </c>
      <c r="G689" s="320" t="s">
        <v>294</v>
      </c>
      <c r="H689" s="32">
        <f>VLOOKUP(D689,'New TB INC'!C:K,3,0)-F689</f>
        <v>0</v>
      </c>
      <c r="I689" s="320"/>
    </row>
    <row r="690" spans="1:9" s="383" customFormat="1">
      <c r="A690" s="2849" t="s">
        <v>2408</v>
      </c>
      <c r="B690" s="617" t="s">
        <v>1296</v>
      </c>
      <c r="C690" s="1496" t="s">
        <v>1821</v>
      </c>
      <c r="D690" s="1369">
        <v>8210001</v>
      </c>
      <c r="E690" s="2850" t="s">
        <v>1711</v>
      </c>
      <c r="F690" s="2850">
        <v>121924.9</v>
      </c>
      <c r="G690" s="320" t="s">
        <v>294</v>
      </c>
      <c r="H690" s="32">
        <f>VLOOKUP(D690,'New TB INC'!C:K,3,0)-F690</f>
        <v>0</v>
      </c>
      <c r="I690" s="320"/>
    </row>
    <row r="691" spans="1:9" s="383" customFormat="1">
      <c r="A691" s="2849" t="s">
        <v>2408</v>
      </c>
      <c r="B691" s="617" t="s">
        <v>1296</v>
      </c>
      <c r="C691" s="1496" t="s">
        <v>1821</v>
      </c>
      <c r="D691" s="1369">
        <v>8210003</v>
      </c>
      <c r="E691" s="2850" t="s">
        <v>1753</v>
      </c>
      <c r="F691" s="2850">
        <v>-579.76</v>
      </c>
      <c r="G691" s="320" t="s">
        <v>294</v>
      </c>
      <c r="H691" s="32">
        <f>VLOOKUP(D691,'New TB INC'!C:K,3,0)-F691</f>
        <v>0</v>
      </c>
      <c r="I691" s="320"/>
    </row>
    <row r="692" spans="1:9" s="383" customFormat="1">
      <c r="A692" s="2849" t="s">
        <v>2408</v>
      </c>
      <c r="B692" s="617" t="s">
        <v>1296</v>
      </c>
      <c r="C692" s="1496" t="s">
        <v>1821</v>
      </c>
      <c r="D692" s="1369">
        <v>8210004</v>
      </c>
      <c r="E692" s="2850" t="s">
        <v>1712</v>
      </c>
      <c r="F692" s="2850">
        <v>11425.78</v>
      </c>
      <c r="G692" s="320" t="s">
        <v>294</v>
      </c>
      <c r="H692" s="32">
        <f>VLOOKUP(D692,'New TB INC'!C:K,3,0)-F692</f>
        <v>0</v>
      </c>
      <c r="I692" s="320"/>
    </row>
    <row r="693" spans="1:9" s="383" customFormat="1">
      <c r="A693" s="2849" t="s">
        <v>2408</v>
      </c>
      <c r="B693" s="617" t="s">
        <v>1296</v>
      </c>
      <c r="C693" s="1496" t="s">
        <v>1821</v>
      </c>
      <c r="D693" s="1369">
        <v>8210006</v>
      </c>
      <c r="E693" s="2850" t="s">
        <v>1713</v>
      </c>
      <c r="F693" s="2850">
        <v>5030.1000000000004</v>
      </c>
      <c r="G693" s="320" t="s">
        <v>294</v>
      </c>
      <c r="H693" s="32">
        <f>VLOOKUP(D693,'New TB INC'!C:K,3,0)-F693</f>
        <v>0</v>
      </c>
      <c r="I693" s="320"/>
    </row>
    <row r="694" spans="1:9" s="383" customFormat="1">
      <c r="A694" s="2849" t="s">
        <v>2408</v>
      </c>
      <c r="B694" s="617" t="s">
        <v>1296</v>
      </c>
      <c r="C694" s="1496" t="s">
        <v>1821</v>
      </c>
      <c r="D694" s="1369">
        <v>8210007</v>
      </c>
      <c r="E694" s="2850" t="s">
        <v>1714</v>
      </c>
      <c r="F694" s="2850">
        <v>338.7</v>
      </c>
      <c r="G694" s="320" t="s">
        <v>294</v>
      </c>
      <c r="H694" s="32">
        <f>VLOOKUP(D694,'New TB INC'!C:K,3,0)-F694</f>
        <v>0</v>
      </c>
      <c r="I694" s="320"/>
    </row>
    <row r="695" spans="1:9" s="383" customFormat="1">
      <c r="A695" s="2849" t="s">
        <v>2408</v>
      </c>
      <c r="B695" s="617" t="s">
        <v>1296</v>
      </c>
      <c r="C695" s="1496" t="s">
        <v>1821</v>
      </c>
      <c r="D695" s="1369">
        <v>8210008</v>
      </c>
      <c r="E695" s="2850" t="s">
        <v>1715</v>
      </c>
      <c r="F695" s="2850">
        <v>199.08</v>
      </c>
      <c r="G695" s="320" t="s">
        <v>294</v>
      </c>
      <c r="H695" s="32">
        <f>VLOOKUP(D695,'New TB INC'!C:K,3,0)-F695</f>
        <v>0</v>
      </c>
      <c r="I695" s="320"/>
    </row>
    <row r="696" spans="1:9" s="383" customFormat="1">
      <c r="A696" s="2849" t="s">
        <v>2408</v>
      </c>
      <c r="B696" s="617" t="s">
        <v>1296</v>
      </c>
      <c r="C696" s="1496" t="s">
        <v>1821</v>
      </c>
      <c r="D696" s="1369">
        <v>8210010</v>
      </c>
      <c r="E696" s="2850" t="s">
        <v>1907</v>
      </c>
      <c r="F696" s="2850">
        <v>1177.0899999999999</v>
      </c>
      <c r="G696" s="320" t="s">
        <v>294</v>
      </c>
      <c r="H696" s="32">
        <f>VLOOKUP(D696,'New TB INC'!C:K,3,0)-F696</f>
        <v>0</v>
      </c>
      <c r="I696" s="320"/>
    </row>
    <row r="697" spans="1:9" s="383" customFormat="1">
      <c r="A697" s="2849" t="s">
        <v>2408</v>
      </c>
      <c r="B697" s="617" t="s">
        <v>1296</v>
      </c>
      <c r="C697" s="1496" t="s">
        <v>3350</v>
      </c>
      <c r="D697" s="1369">
        <v>8020012</v>
      </c>
      <c r="E697" s="2850" t="s">
        <v>3351</v>
      </c>
      <c r="F697" s="2850">
        <v>5000</v>
      </c>
      <c r="G697" s="320" t="s">
        <v>294</v>
      </c>
      <c r="H697" s="32">
        <f>VLOOKUP(D697,'New TB INC'!C:K,3,0)-F697</f>
        <v>0</v>
      </c>
      <c r="I697" s="320"/>
    </row>
    <row r="698" spans="1:9" s="383" customFormat="1">
      <c r="A698" s="2849" t="s">
        <v>2408</v>
      </c>
      <c r="B698" s="617" t="s">
        <v>1299</v>
      </c>
      <c r="C698" s="1496" t="s">
        <v>1337</v>
      </c>
      <c r="D698" s="1369">
        <v>8410029</v>
      </c>
      <c r="E698" s="2850" t="s">
        <v>483</v>
      </c>
      <c r="F698" s="2850">
        <v>38957.86</v>
      </c>
      <c r="G698" s="320" t="s">
        <v>294</v>
      </c>
      <c r="H698" s="32">
        <f>VLOOKUP(D698,'New TB INC'!C:K,3,0)-F698</f>
        <v>0</v>
      </c>
      <c r="I698" s="320"/>
    </row>
    <row r="699" spans="1:9" s="380" customFormat="1">
      <c r="A699" s="1248" t="s">
        <v>2408</v>
      </c>
      <c r="B699" s="613" t="s">
        <v>1299</v>
      </c>
      <c r="C699" s="161" t="s">
        <v>1337</v>
      </c>
      <c r="D699" s="196">
        <v>8410045</v>
      </c>
      <c r="E699" s="160" t="s">
        <v>485</v>
      </c>
      <c r="F699" s="160">
        <v>18519.740000000002</v>
      </c>
      <c r="G699" s="32" t="s">
        <v>294</v>
      </c>
      <c r="H699" s="32">
        <f>VLOOKUP(D699,'New TB INC'!C:K,3,0)-F699</f>
        <v>0</v>
      </c>
      <c r="I699" s="32"/>
    </row>
    <row r="700" spans="1:9" s="380" customFormat="1">
      <c r="A700" s="1248" t="s">
        <v>2408</v>
      </c>
      <c r="B700" s="613" t="s">
        <v>1299</v>
      </c>
      <c r="C700" s="161" t="s">
        <v>1337</v>
      </c>
      <c r="D700" s="196">
        <v>8410047</v>
      </c>
      <c r="E700" s="160" t="s">
        <v>486</v>
      </c>
      <c r="F700" s="160">
        <v>17147.18</v>
      </c>
      <c r="G700" s="32" t="s">
        <v>294</v>
      </c>
      <c r="H700" s="32">
        <f>VLOOKUP(D700,'New TB INC'!C:K,3,0)-F700</f>
        <v>0</v>
      </c>
      <c r="I700" s="32"/>
    </row>
    <row r="701" spans="1:9" s="380" customFormat="1">
      <c r="A701" s="1248" t="s">
        <v>2408</v>
      </c>
      <c r="B701" s="613" t="s">
        <v>1299</v>
      </c>
      <c r="C701" s="161" t="s">
        <v>1337</v>
      </c>
      <c r="D701" s="196">
        <v>8410048</v>
      </c>
      <c r="E701" s="160" t="s">
        <v>982</v>
      </c>
      <c r="F701" s="160">
        <v>18085.7</v>
      </c>
      <c r="G701" s="32" t="s">
        <v>294</v>
      </c>
      <c r="H701" s="32">
        <f>VLOOKUP(D701,'New TB INC'!C:K,3,0)-F701</f>
        <v>0</v>
      </c>
      <c r="I701" s="32"/>
    </row>
    <row r="702" spans="1:9" s="380" customFormat="1">
      <c r="A702" s="1248" t="s">
        <v>2408</v>
      </c>
      <c r="B702" s="613" t="s">
        <v>1299</v>
      </c>
      <c r="C702" s="161" t="s">
        <v>1337</v>
      </c>
      <c r="D702" s="196">
        <v>8410061</v>
      </c>
      <c r="E702" s="160" t="s">
        <v>547</v>
      </c>
      <c r="F702" s="160">
        <v>2085</v>
      </c>
      <c r="G702" s="32" t="s">
        <v>294</v>
      </c>
      <c r="H702" s="32">
        <f>VLOOKUP(D702,'New TB INC'!C:K,3,0)-F702</f>
        <v>0</v>
      </c>
      <c r="I702" s="32"/>
    </row>
    <row r="703" spans="1:9" s="380" customFormat="1">
      <c r="A703" s="1248" t="s">
        <v>2408</v>
      </c>
      <c r="B703" s="613" t="s">
        <v>1299</v>
      </c>
      <c r="C703" s="161" t="s">
        <v>1337</v>
      </c>
      <c r="D703" s="196">
        <v>8410066</v>
      </c>
      <c r="E703" s="160" t="s">
        <v>491</v>
      </c>
      <c r="F703" s="160">
        <v>5789.17</v>
      </c>
      <c r="G703" s="32" t="s">
        <v>294</v>
      </c>
      <c r="H703" s="32">
        <f>VLOOKUP(D703,'New TB INC'!C:K,3,0)-F703</f>
        <v>0</v>
      </c>
      <c r="I703" s="32"/>
    </row>
    <row r="704" spans="1:9" s="380" customFormat="1">
      <c r="A704" s="1248" t="s">
        <v>2408</v>
      </c>
      <c r="B704" s="613" t="s">
        <v>1299</v>
      </c>
      <c r="C704" s="161" t="s">
        <v>1337</v>
      </c>
      <c r="D704" s="196">
        <v>8410070</v>
      </c>
      <c r="E704" s="160" t="s">
        <v>482</v>
      </c>
      <c r="F704" s="160">
        <v>1365.5</v>
      </c>
      <c r="G704" s="32" t="s">
        <v>294</v>
      </c>
      <c r="H704" s="32">
        <f>VLOOKUP(D704,'New TB INC'!C:K,3,0)-F704</f>
        <v>0</v>
      </c>
      <c r="I704" s="32"/>
    </row>
    <row r="705" spans="1:9" s="380" customFormat="1">
      <c r="A705" s="1248" t="s">
        <v>2408</v>
      </c>
      <c r="B705" s="613" t="s">
        <v>1299</v>
      </c>
      <c r="C705" s="161" t="s">
        <v>1337</v>
      </c>
      <c r="D705" s="196">
        <v>8410101</v>
      </c>
      <c r="E705" s="160" t="s">
        <v>487</v>
      </c>
      <c r="F705" s="160">
        <v>8231.2099999999991</v>
      </c>
      <c r="G705" s="32" t="s">
        <v>294</v>
      </c>
      <c r="H705" s="32">
        <f>VLOOKUP(D705,'New TB INC'!C:K,3,0)-F705</f>
        <v>0</v>
      </c>
      <c r="I705" s="32"/>
    </row>
    <row r="706" spans="1:9" s="380" customFormat="1">
      <c r="A706" s="1248" t="s">
        <v>2419</v>
      </c>
      <c r="B706" s="613" t="s">
        <v>2420</v>
      </c>
      <c r="C706" s="161" t="s">
        <v>1381</v>
      </c>
      <c r="D706" s="196">
        <v>9010001</v>
      </c>
      <c r="E706" s="160" t="s">
        <v>494</v>
      </c>
      <c r="F706" s="160">
        <v>12236.94</v>
      </c>
      <c r="G706" s="32" t="s">
        <v>294</v>
      </c>
      <c r="H706" s="32">
        <f>VLOOKUP(D706,'New TB INC'!C:K,3,0)-F706</f>
        <v>0</v>
      </c>
      <c r="I706" s="32"/>
    </row>
    <row r="707" spans="1:9" s="380" customFormat="1">
      <c r="A707" s="1248" t="s">
        <v>2419</v>
      </c>
      <c r="B707" s="613" t="s">
        <v>2420</v>
      </c>
      <c r="C707" s="161" t="s">
        <v>1381</v>
      </c>
      <c r="D707" s="196">
        <v>9010002</v>
      </c>
      <c r="E707" s="160" t="s">
        <v>634</v>
      </c>
      <c r="F707" s="160">
        <v>25089.13</v>
      </c>
      <c r="G707" s="32" t="s">
        <v>294</v>
      </c>
      <c r="H707" s="32">
        <f>VLOOKUP(D707,'New TB INC'!C:K,3,0)-F707</f>
        <v>0</v>
      </c>
      <c r="I707" s="32"/>
    </row>
    <row r="708" spans="1:9" s="380" customFormat="1">
      <c r="A708" s="1248" t="s">
        <v>2419</v>
      </c>
      <c r="B708" s="613" t="s">
        <v>2420</v>
      </c>
      <c r="C708" s="161" t="s">
        <v>1381</v>
      </c>
      <c r="D708" s="196">
        <v>9010003</v>
      </c>
      <c r="E708" s="160" t="s">
        <v>1397</v>
      </c>
      <c r="F708" s="160">
        <v>2.2599999999999998</v>
      </c>
      <c r="G708" s="32" t="s">
        <v>294</v>
      </c>
      <c r="H708" s="32">
        <f>VLOOKUP(D708,'New TB INC'!C:K,3,0)-F708</f>
        <v>0</v>
      </c>
      <c r="I708" s="32"/>
    </row>
    <row r="709" spans="1:9" s="380" customFormat="1">
      <c r="A709" s="1248" t="s">
        <v>2419</v>
      </c>
      <c r="B709" s="613" t="s">
        <v>2420</v>
      </c>
      <c r="C709" s="161" t="s">
        <v>1381</v>
      </c>
      <c r="D709" s="196">
        <v>9010005</v>
      </c>
      <c r="E709" s="160" t="s">
        <v>293</v>
      </c>
      <c r="F709" s="160">
        <v>3728.33</v>
      </c>
      <c r="G709" s="32" t="s">
        <v>294</v>
      </c>
      <c r="H709" s="32">
        <f>VLOOKUP(D709,'New TB INC'!C:K,3,0)-F709</f>
        <v>0</v>
      </c>
      <c r="I709" s="32"/>
    </row>
    <row r="710" spans="1:9" s="380" customFormat="1">
      <c r="A710" s="1248" t="s">
        <v>2419</v>
      </c>
      <c r="B710" s="613" t="s">
        <v>2420</v>
      </c>
      <c r="C710" s="161" t="s">
        <v>1381</v>
      </c>
      <c r="D710" s="196">
        <v>9010006</v>
      </c>
      <c r="E710" s="160" t="s">
        <v>495</v>
      </c>
      <c r="F710" s="160">
        <v>-1485.48</v>
      </c>
      <c r="G710" s="32" t="s">
        <v>294</v>
      </c>
      <c r="H710" s="32">
        <f>VLOOKUP(D710,'New TB INC'!C:K,3,0)-F710</f>
        <v>0</v>
      </c>
      <c r="I710" s="32"/>
    </row>
    <row r="711" spans="1:9" s="380" customFormat="1">
      <c r="A711" s="1248" t="s">
        <v>2419</v>
      </c>
      <c r="B711" s="613" t="s">
        <v>2420</v>
      </c>
      <c r="C711" s="161" t="s">
        <v>1381</v>
      </c>
      <c r="D711" s="196">
        <v>9010007</v>
      </c>
      <c r="E711" s="160" t="s">
        <v>2531</v>
      </c>
      <c r="F711" s="160">
        <v>467953.24</v>
      </c>
      <c r="G711" s="32" t="s">
        <v>294</v>
      </c>
      <c r="H711" s="32">
        <f>VLOOKUP(D711,'New TB INC'!C:K,3,0)-F711</f>
        <v>0</v>
      </c>
      <c r="I711" s="32"/>
    </row>
    <row r="712" spans="1:9" s="380" customFormat="1">
      <c r="A712" s="1248" t="s">
        <v>2419</v>
      </c>
      <c r="B712" s="613" t="s">
        <v>2420</v>
      </c>
      <c r="C712" s="161" t="s">
        <v>1381</v>
      </c>
      <c r="D712" s="196">
        <v>99010</v>
      </c>
      <c r="E712" s="160" t="s">
        <v>1560</v>
      </c>
      <c r="F712" s="160">
        <v>-300</v>
      </c>
      <c r="G712" s="32" t="s">
        <v>294</v>
      </c>
      <c r="H712" s="32">
        <f>VLOOKUP(D712,'New TB INC'!C:K,3,0)-F712</f>
        <v>0</v>
      </c>
      <c r="I712" s="32"/>
    </row>
    <row r="713" spans="1:9" s="380" customFormat="1">
      <c r="A713" s="1248" t="s">
        <v>2419</v>
      </c>
      <c r="B713" s="613" t="s">
        <v>3347</v>
      </c>
      <c r="C713" s="161" t="s">
        <v>3348</v>
      </c>
      <c r="D713" s="196">
        <v>9100002</v>
      </c>
      <c r="E713" s="160" t="s">
        <v>3535</v>
      </c>
      <c r="F713" s="160">
        <v>-94379.85</v>
      </c>
      <c r="G713" s="32" t="s">
        <v>294</v>
      </c>
      <c r="H713" s="32">
        <f>VLOOKUP(D713,'New TB INC'!C:K,3,0)-F713</f>
        <v>0</v>
      </c>
      <c r="I713" s="32"/>
    </row>
    <row r="714" spans="1:9" s="380" customFormat="1">
      <c r="A714" s="1248" t="s">
        <v>2419</v>
      </c>
      <c r="B714" s="613" t="s">
        <v>3347</v>
      </c>
      <c r="C714" s="161" t="s">
        <v>3348</v>
      </c>
      <c r="D714" s="196">
        <v>9100003</v>
      </c>
      <c r="E714" s="160" t="s">
        <v>3554</v>
      </c>
      <c r="F714" s="160">
        <v>6430.11</v>
      </c>
      <c r="G714" s="32" t="s">
        <v>294</v>
      </c>
      <c r="H714" s="32">
        <f>VLOOKUP(D714,'New TB INC'!C:K,3,0)-F714</f>
        <v>0</v>
      </c>
      <c r="I714" s="32"/>
    </row>
    <row r="715" spans="1:9" s="380" customFormat="1">
      <c r="A715" s="1248" t="s">
        <v>2419</v>
      </c>
      <c r="B715" s="613" t="s">
        <v>3347</v>
      </c>
      <c r="C715" s="161" t="s">
        <v>3348</v>
      </c>
      <c r="D715" s="196">
        <v>9100012</v>
      </c>
      <c r="E715" s="160" t="s">
        <v>4026</v>
      </c>
      <c r="F715" s="160">
        <v>402.7</v>
      </c>
      <c r="G715" s="32" t="s">
        <v>294</v>
      </c>
      <c r="H715" s="32">
        <f>VLOOKUP(D715,'New TB INC'!C:K,3,0)-F715</f>
        <v>0</v>
      </c>
      <c r="I715" s="32"/>
    </row>
    <row r="716" spans="1:9" s="380" customFormat="1">
      <c r="A716" s="1248" t="s">
        <v>2419</v>
      </c>
      <c r="B716" s="613" t="s">
        <v>3347</v>
      </c>
      <c r="C716" s="161" t="s">
        <v>3348</v>
      </c>
      <c r="D716" s="196">
        <v>9100015</v>
      </c>
      <c r="E716" s="160" t="s">
        <v>4309</v>
      </c>
      <c r="F716" s="160">
        <v>12668</v>
      </c>
      <c r="G716" s="32" t="s">
        <v>294</v>
      </c>
      <c r="H716" s="32">
        <f>VLOOKUP(D716,'New TB INC'!C:K,3,0)-F716</f>
        <v>0</v>
      </c>
      <c r="I716" s="32"/>
    </row>
    <row r="717" spans="1:9" s="380" customFormat="1">
      <c r="A717" s="1248" t="s">
        <v>2419</v>
      </c>
      <c r="B717" s="613" t="s">
        <v>3347</v>
      </c>
      <c r="C717" s="161" t="s">
        <v>3348</v>
      </c>
      <c r="D717" s="196">
        <v>9100016</v>
      </c>
      <c r="E717" s="160" t="s">
        <v>3663</v>
      </c>
      <c r="F717" s="160">
        <v>1800</v>
      </c>
      <c r="G717" s="32" t="s">
        <v>294</v>
      </c>
      <c r="H717" s="32">
        <f>VLOOKUP(D717,'New TB INC'!C:K,3,0)-F717</f>
        <v>0</v>
      </c>
      <c r="I717" s="32"/>
    </row>
    <row r="718" spans="1:9" s="380" customFormat="1">
      <c r="A718" s="1248" t="s">
        <v>2419</v>
      </c>
      <c r="B718" s="613" t="s">
        <v>3347</v>
      </c>
      <c r="C718" s="161" t="s">
        <v>3348</v>
      </c>
      <c r="D718" s="196">
        <v>9100020</v>
      </c>
      <c r="E718" s="160" t="s">
        <v>3664</v>
      </c>
      <c r="F718" s="160">
        <v>13600</v>
      </c>
      <c r="G718" s="32" t="s">
        <v>294</v>
      </c>
      <c r="H718" s="32">
        <f>VLOOKUP(D718,'New TB INC'!C:K,3,0)-F718</f>
        <v>0</v>
      </c>
      <c r="I718" s="32"/>
    </row>
    <row r="719" spans="1:9" s="380" customFormat="1">
      <c r="A719" s="1248" t="s">
        <v>2419</v>
      </c>
      <c r="B719" s="613" t="s">
        <v>3347</v>
      </c>
      <c r="C719" s="161" t="s">
        <v>3348</v>
      </c>
      <c r="D719" s="196">
        <v>9100022</v>
      </c>
      <c r="E719" s="160" t="s">
        <v>4027</v>
      </c>
      <c r="F719" s="160">
        <v>-395.38</v>
      </c>
      <c r="G719" s="32" t="s">
        <v>294</v>
      </c>
      <c r="H719" s="32">
        <f>VLOOKUP(D719,'New TB INC'!C:K,3,0)-F719</f>
        <v>0</v>
      </c>
      <c r="I719" s="32"/>
    </row>
    <row r="720" spans="1:9" s="380" customFormat="1">
      <c r="A720" s="1248" t="s">
        <v>2419</v>
      </c>
      <c r="B720" s="613" t="s">
        <v>3347</v>
      </c>
      <c r="C720" s="161" t="s">
        <v>3348</v>
      </c>
      <c r="D720" s="196">
        <v>9100024</v>
      </c>
      <c r="E720" s="160" t="s">
        <v>4310</v>
      </c>
      <c r="F720" s="160">
        <v>3000.58</v>
      </c>
      <c r="G720" s="32" t="s">
        <v>294</v>
      </c>
      <c r="H720" s="32">
        <f>VLOOKUP(D720,'New TB INC'!C:K,3,0)-F720</f>
        <v>0</v>
      </c>
      <c r="I720" s="32"/>
    </row>
    <row r="721" spans="1:9" s="380" customFormat="1">
      <c r="A721" s="1248" t="s">
        <v>2419</v>
      </c>
      <c r="B721" s="613" t="s">
        <v>3347</v>
      </c>
      <c r="C721" s="161" t="s">
        <v>3348</v>
      </c>
      <c r="D721" s="196">
        <v>9100025</v>
      </c>
      <c r="E721" s="160" t="s">
        <v>3665</v>
      </c>
      <c r="F721" s="160">
        <v>12845.37</v>
      </c>
      <c r="G721" s="32" t="s">
        <v>294</v>
      </c>
      <c r="H721" s="32">
        <f>VLOOKUP(D721,'New TB INC'!C:K,3,0)-F721</f>
        <v>0</v>
      </c>
      <c r="I721" s="32"/>
    </row>
    <row r="722" spans="1:9" s="380" customFormat="1">
      <c r="A722" s="1248" t="s">
        <v>2419</v>
      </c>
      <c r="B722" s="613" t="s">
        <v>3347</v>
      </c>
      <c r="C722" s="161" t="s">
        <v>3348</v>
      </c>
      <c r="D722" s="196">
        <v>9100128</v>
      </c>
      <c r="E722" s="160" t="s">
        <v>983</v>
      </c>
      <c r="F722" s="160">
        <v>20752</v>
      </c>
      <c r="G722" s="32" t="s">
        <v>294</v>
      </c>
      <c r="H722" s="32">
        <f>VLOOKUP(D722,'New TB INC'!C:K,3,0)-F722</f>
        <v>0</v>
      </c>
      <c r="I722" s="32"/>
    </row>
    <row r="723" spans="1:9" s="380" customFormat="1">
      <c r="A723" s="1248" t="s">
        <v>2419</v>
      </c>
      <c r="B723" s="613" t="s">
        <v>3347</v>
      </c>
      <c r="C723" s="161" t="s">
        <v>3348</v>
      </c>
      <c r="D723" s="196">
        <v>9100129</v>
      </c>
      <c r="E723" s="160" t="s">
        <v>984</v>
      </c>
      <c r="F723" s="160">
        <v>150</v>
      </c>
      <c r="G723" s="32" t="s">
        <v>294</v>
      </c>
      <c r="H723" s="32">
        <f>VLOOKUP(D723,'New TB INC'!C:K,3,0)-F723</f>
        <v>0</v>
      </c>
      <c r="I723" s="32"/>
    </row>
    <row r="724" spans="1:9" s="380" customFormat="1">
      <c r="A724" s="1248" t="s">
        <v>2419</v>
      </c>
      <c r="B724" s="613" t="s">
        <v>3347</v>
      </c>
      <c r="C724" s="161" t="s">
        <v>3348</v>
      </c>
      <c r="D724" s="196">
        <v>9100134</v>
      </c>
      <c r="E724" s="160" t="s">
        <v>3598</v>
      </c>
      <c r="F724" s="160">
        <v>19857</v>
      </c>
      <c r="G724" s="32" t="s">
        <v>294</v>
      </c>
      <c r="H724" s="32">
        <f>VLOOKUP(D724,'New TB INC'!C:K,3,0)-F724</f>
        <v>0</v>
      </c>
      <c r="I724" s="32"/>
    </row>
    <row r="725" spans="1:9" s="380" customFormat="1">
      <c r="A725" s="1248" t="s">
        <v>2419</v>
      </c>
      <c r="B725" s="613" t="s">
        <v>3347</v>
      </c>
      <c r="C725" s="161" t="s">
        <v>3348</v>
      </c>
      <c r="D725" s="196">
        <v>9100135</v>
      </c>
      <c r="E725" s="160" t="s">
        <v>4174</v>
      </c>
      <c r="F725" s="160">
        <v>1106.71</v>
      </c>
      <c r="G725" s="32" t="s">
        <v>294</v>
      </c>
      <c r="H725" s="32">
        <f>VLOOKUP(D725,'New TB INC'!C:K,3,0)-F725</f>
        <v>0</v>
      </c>
      <c r="I725" s="32"/>
    </row>
    <row r="726" spans="1:9" s="380" customFormat="1">
      <c r="A726" s="1248"/>
      <c r="B726" s="613"/>
      <c r="C726" s="161"/>
      <c r="D726" s="161"/>
      <c r="E726" s="160"/>
      <c r="F726" s="160"/>
      <c r="G726" s="32"/>
      <c r="H726" s="32"/>
      <c r="I726" s="32"/>
    </row>
    <row r="727" spans="1:9" s="380" customFormat="1">
      <c r="A727" s="1248"/>
      <c r="B727" s="613"/>
      <c r="C727" s="161"/>
      <c r="D727" s="161"/>
      <c r="E727" s="160"/>
      <c r="F727" s="160"/>
      <c r="G727" s="32"/>
      <c r="H727" s="32"/>
      <c r="I727" s="32"/>
    </row>
    <row r="728" spans="1:9" s="380" customFormat="1">
      <c r="A728" s="1248"/>
      <c r="B728" s="613"/>
      <c r="C728" s="161"/>
      <c r="D728" s="161"/>
      <c r="E728" s="160"/>
      <c r="F728" s="160"/>
      <c r="G728" s="32"/>
      <c r="H728" s="32"/>
      <c r="I728" s="32"/>
    </row>
    <row r="729" spans="1:9" s="380" customFormat="1">
      <c r="A729" s="1248"/>
      <c r="B729" s="613"/>
      <c r="C729" s="161"/>
      <c r="D729" s="161"/>
      <c r="E729" s="160"/>
      <c r="F729" s="160"/>
      <c r="G729" s="32"/>
      <c r="H729" s="32"/>
      <c r="I729" s="32"/>
    </row>
    <row r="730" spans="1:9" s="380" customFormat="1">
      <c r="A730" s="1248"/>
      <c r="B730" s="613"/>
      <c r="C730" s="161"/>
      <c r="D730" s="161"/>
      <c r="E730" s="160"/>
      <c r="F730" s="160"/>
      <c r="G730" s="32"/>
      <c r="H730" s="32"/>
      <c r="I730" s="32"/>
    </row>
    <row r="731" spans="1:9" s="380" customFormat="1">
      <c r="A731" s="1248"/>
      <c r="B731" s="613"/>
      <c r="C731" s="161"/>
      <c r="D731" s="161"/>
      <c r="E731" s="160"/>
      <c r="F731" s="160"/>
      <c r="G731" s="32"/>
      <c r="H731" s="32"/>
      <c r="I731" s="32"/>
    </row>
    <row r="732" spans="1:9" s="380" customFormat="1">
      <c r="A732" s="1248"/>
      <c r="B732" s="613"/>
      <c r="C732" s="161"/>
      <c r="D732" s="161"/>
      <c r="E732" s="160"/>
      <c r="F732" s="160"/>
      <c r="G732" s="32"/>
      <c r="H732" s="32"/>
      <c r="I732" s="32"/>
    </row>
    <row r="733" spans="1:9" s="380" customFormat="1">
      <c r="A733" s="1248"/>
      <c r="B733" s="613"/>
      <c r="C733" s="161"/>
      <c r="D733" s="161"/>
      <c r="E733" s="160"/>
      <c r="F733" s="160"/>
      <c r="G733" s="32"/>
      <c r="H733" s="32"/>
      <c r="I733" s="32"/>
    </row>
    <row r="734" spans="1:9" s="380" customFormat="1">
      <c r="A734" s="1248"/>
      <c r="B734" s="613"/>
      <c r="C734" s="161"/>
      <c r="D734" s="161"/>
      <c r="E734" s="160"/>
      <c r="F734" s="160"/>
      <c r="G734" s="32"/>
      <c r="H734" s="32"/>
      <c r="I734" s="32"/>
    </row>
    <row r="735" spans="1:9" s="380" customFormat="1">
      <c r="A735" s="1248"/>
      <c r="B735" s="613"/>
      <c r="C735" s="161"/>
      <c r="D735" s="161"/>
      <c r="E735" s="160"/>
      <c r="F735" s="160"/>
      <c r="G735" s="32"/>
      <c r="H735" s="32"/>
      <c r="I735" s="32"/>
    </row>
    <row r="736" spans="1:9" s="380" customFormat="1">
      <c r="A736" s="1248"/>
      <c r="B736" s="613"/>
      <c r="C736" s="161"/>
      <c r="D736" s="161"/>
      <c r="E736" s="160"/>
      <c r="F736" s="160"/>
      <c r="G736" s="32"/>
      <c r="H736" s="32"/>
      <c r="I736" s="32"/>
    </row>
    <row r="737" spans="1:9" s="380" customFormat="1">
      <c r="A737" s="1248"/>
      <c r="B737" s="613"/>
      <c r="C737" s="161"/>
      <c r="D737" s="161"/>
      <c r="E737" s="160"/>
      <c r="F737" s="160"/>
      <c r="G737" s="32"/>
      <c r="H737" s="32"/>
      <c r="I737" s="32"/>
    </row>
    <row r="738" spans="1:9" s="380" customFormat="1">
      <c r="A738" s="1248"/>
      <c r="B738" s="613"/>
      <c r="C738" s="161"/>
      <c r="D738" s="161"/>
      <c r="E738" s="160"/>
      <c r="F738" s="160"/>
      <c r="G738" s="32"/>
      <c r="H738" s="32"/>
      <c r="I738" s="32"/>
    </row>
    <row r="739" spans="1:9" s="380" customFormat="1">
      <c r="A739" s="1248"/>
      <c r="B739" s="613"/>
      <c r="C739" s="161"/>
      <c r="D739" s="161"/>
      <c r="E739" s="160"/>
      <c r="F739" s="160"/>
      <c r="G739" s="32"/>
      <c r="H739" s="32"/>
      <c r="I739" s="32"/>
    </row>
    <row r="740" spans="1:9" s="380" customFormat="1">
      <c r="A740" s="1248"/>
      <c r="B740" s="613"/>
      <c r="C740" s="161"/>
      <c r="D740" s="161"/>
      <c r="E740" s="160"/>
      <c r="F740" s="160"/>
      <c r="G740" s="32"/>
      <c r="H740" s="32"/>
      <c r="I740" s="32"/>
    </row>
    <row r="741" spans="1:9" s="380" customFormat="1">
      <c r="A741" s="1248"/>
      <c r="B741" s="613"/>
      <c r="C741" s="161"/>
      <c r="D741" s="161"/>
      <c r="E741" s="160"/>
      <c r="F741" s="160"/>
      <c r="G741" s="32"/>
      <c r="H741" s="32"/>
      <c r="I741" s="32"/>
    </row>
    <row r="742" spans="1:9" s="380" customFormat="1">
      <c r="A742" s="1248"/>
      <c r="B742" s="613"/>
      <c r="C742" s="161"/>
      <c r="D742" s="161"/>
      <c r="E742" s="160"/>
      <c r="F742" s="160"/>
      <c r="G742" s="32"/>
      <c r="H742" s="32"/>
      <c r="I742" s="32"/>
    </row>
    <row r="743" spans="1:9" s="380" customFormat="1">
      <c r="A743" s="1248"/>
      <c r="B743" s="613"/>
      <c r="C743" s="161"/>
      <c r="D743" s="161"/>
      <c r="E743" s="160"/>
      <c r="F743" s="160"/>
      <c r="G743" s="32"/>
      <c r="H743" s="32"/>
      <c r="I743" s="32"/>
    </row>
    <row r="744" spans="1:9" s="380" customFormat="1">
      <c r="A744" s="1248"/>
      <c r="B744" s="613"/>
      <c r="C744" s="161"/>
      <c r="D744" s="161"/>
      <c r="E744" s="160"/>
      <c r="F744" s="160"/>
      <c r="G744" s="32"/>
      <c r="H744" s="32"/>
      <c r="I744" s="32"/>
    </row>
    <row r="745" spans="1:9" s="380" customFormat="1">
      <c r="A745" s="1248"/>
      <c r="B745" s="613"/>
      <c r="C745" s="161"/>
      <c r="D745" s="161"/>
      <c r="E745" s="160"/>
      <c r="F745" s="160"/>
      <c r="G745" s="32"/>
      <c r="H745" s="32"/>
      <c r="I745" s="32"/>
    </row>
    <row r="746" spans="1:9" s="380" customFormat="1">
      <c r="A746" s="1248"/>
      <c r="B746" s="613"/>
      <c r="C746" s="161"/>
      <c r="D746" s="161"/>
      <c r="E746" s="160"/>
      <c r="F746" s="160"/>
      <c r="G746" s="32"/>
      <c r="H746" s="32"/>
      <c r="I746" s="32"/>
    </row>
    <row r="747" spans="1:9" s="380" customFormat="1">
      <c r="A747" s="1248"/>
      <c r="B747" s="613"/>
      <c r="C747" s="161"/>
      <c r="D747" s="161"/>
      <c r="E747" s="160"/>
      <c r="F747" s="160"/>
      <c r="G747" s="32"/>
      <c r="H747" s="32"/>
      <c r="I747" s="32"/>
    </row>
    <row r="748" spans="1:9" s="380" customFormat="1">
      <c r="A748" s="1248"/>
      <c r="B748" s="613"/>
      <c r="C748" s="161"/>
      <c r="D748" s="161"/>
      <c r="E748" s="160"/>
      <c r="F748" s="160"/>
      <c r="G748" s="32"/>
      <c r="H748" s="32"/>
      <c r="I748" s="32"/>
    </row>
    <row r="749" spans="1:9" s="380" customFormat="1">
      <c r="A749" s="1248"/>
      <c r="B749" s="613"/>
      <c r="C749" s="161"/>
      <c r="D749" s="161"/>
      <c r="E749" s="160"/>
      <c r="F749" s="160"/>
      <c r="G749" s="32"/>
      <c r="H749" s="32"/>
      <c r="I749" s="32"/>
    </row>
    <row r="750" spans="1:9" s="380" customFormat="1">
      <c r="A750" s="1248"/>
      <c r="B750" s="613"/>
      <c r="C750" s="161"/>
      <c r="D750" s="161"/>
      <c r="E750" s="160"/>
      <c r="F750" s="160"/>
      <c r="G750" s="32"/>
      <c r="H750" s="32"/>
      <c r="I750" s="32"/>
    </row>
    <row r="751" spans="1:9" s="380" customFormat="1">
      <c r="A751" s="1248"/>
      <c r="B751" s="613"/>
      <c r="C751" s="161"/>
      <c r="D751" s="161"/>
      <c r="E751" s="160"/>
      <c r="F751" s="160"/>
      <c r="G751" s="32"/>
      <c r="H751" s="32"/>
      <c r="I751" s="32"/>
    </row>
    <row r="752" spans="1:9" s="380" customFormat="1">
      <c r="A752" s="1248"/>
      <c r="B752" s="613"/>
      <c r="C752" s="161"/>
      <c r="D752" s="161"/>
      <c r="E752" s="160"/>
      <c r="F752" s="160"/>
      <c r="G752" s="32"/>
      <c r="H752" s="32"/>
      <c r="I752" s="32"/>
    </row>
    <row r="753" spans="1:9" s="380" customFormat="1">
      <c r="A753" s="1248"/>
      <c r="B753" s="613"/>
      <c r="C753" s="161"/>
      <c r="D753" s="161"/>
      <c r="E753" s="160"/>
      <c r="F753" s="160"/>
      <c r="G753" s="32"/>
      <c r="H753" s="32"/>
      <c r="I753" s="32"/>
    </row>
    <row r="754" spans="1:9" s="380" customFormat="1">
      <c r="A754" s="1248"/>
      <c r="B754" s="613"/>
      <c r="C754" s="161"/>
      <c r="D754" s="161"/>
      <c r="E754" s="160"/>
      <c r="F754" s="160"/>
      <c r="G754" s="32"/>
      <c r="H754" s="32"/>
      <c r="I754" s="32"/>
    </row>
    <row r="755" spans="1:9" s="380" customFormat="1">
      <c r="A755" s="1248"/>
      <c r="B755" s="613"/>
      <c r="C755" s="161"/>
      <c r="D755" s="161"/>
      <c r="E755" s="160"/>
      <c r="F755" s="160"/>
      <c r="G755" s="32"/>
      <c r="H755" s="32"/>
      <c r="I755" s="32"/>
    </row>
    <row r="756" spans="1:9" s="380" customFormat="1">
      <c r="A756" s="1248"/>
      <c r="B756" s="613"/>
      <c r="C756" s="161"/>
      <c r="D756" s="161"/>
      <c r="E756" s="160"/>
      <c r="F756" s="160"/>
      <c r="G756" s="32"/>
      <c r="H756" s="32"/>
      <c r="I756" s="32"/>
    </row>
    <row r="757" spans="1:9" s="380" customFormat="1">
      <c r="A757" s="1248"/>
      <c r="B757" s="613"/>
      <c r="C757" s="161"/>
      <c r="D757" s="161"/>
      <c r="E757" s="160"/>
      <c r="F757" s="160"/>
      <c r="G757" s="32"/>
      <c r="H757" s="32"/>
      <c r="I757" s="32"/>
    </row>
    <row r="758" spans="1:9" s="380" customFormat="1">
      <c r="A758" s="1248"/>
      <c r="B758" s="613"/>
      <c r="C758" s="161"/>
      <c r="D758" s="161"/>
      <c r="E758" s="160"/>
      <c r="F758" s="160"/>
      <c r="G758" s="32"/>
      <c r="H758" s="32"/>
      <c r="I758" s="32"/>
    </row>
    <row r="759" spans="1:9" s="380" customFormat="1">
      <c r="A759" s="1248"/>
      <c r="B759" s="613"/>
      <c r="C759" s="161"/>
      <c r="D759" s="161"/>
      <c r="E759" s="160"/>
      <c r="F759" s="160"/>
      <c r="G759" s="32"/>
      <c r="H759" s="32"/>
      <c r="I759" s="32"/>
    </row>
    <row r="760" spans="1:9" s="380" customFormat="1">
      <c r="A760" s="1248"/>
      <c r="B760" s="613"/>
      <c r="C760" s="161"/>
      <c r="D760" s="161"/>
      <c r="E760" s="160"/>
      <c r="F760" s="160"/>
      <c r="G760" s="32"/>
      <c r="H760" s="32"/>
      <c r="I760" s="32"/>
    </row>
    <row r="761" spans="1:9" s="380" customFormat="1">
      <c r="A761" s="1248"/>
      <c r="B761" s="613"/>
      <c r="C761" s="161"/>
      <c r="D761" s="161"/>
      <c r="E761" s="160"/>
      <c r="F761" s="160"/>
      <c r="G761" s="32"/>
      <c r="H761" s="32"/>
      <c r="I761" s="32"/>
    </row>
    <row r="762" spans="1:9" s="380" customFormat="1">
      <c r="A762" s="1248"/>
      <c r="B762" s="613"/>
      <c r="C762" s="161"/>
      <c r="D762" s="161"/>
      <c r="E762" s="160"/>
      <c r="F762" s="160"/>
      <c r="G762" s="32"/>
      <c r="H762" s="32"/>
      <c r="I762" s="32"/>
    </row>
    <row r="763" spans="1:9" s="380" customFormat="1">
      <c r="A763" s="1248"/>
      <c r="B763" s="613"/>
      <c r="C763" s="161"/>
      <c r="D763" s="161"/>
      <c r="E763" s="160"/>
      <c r="F763" s="160"/>
      <c r="G763" s="32"/>
      <c r="H763" s="32"/>
      <c r="I763" s="32"/>
    </row>
    <row r="764" spans="1:9" s="380" customFormat="1">
      <c r="A764" s="1248"/>
      <c r="B764" s="613"/>
      <c r="C764" s="161"/>
      <c r="D764" s="161"/>
      <c r="E764" s="160"/>
      <c r="F764" s="160"/>
      <c r="G764" s="32"/>
      <c r="H764" s="32"/>
      <c r="I764" s="32"/>
    </row>
    <row r="765" spans="1:9" s="380" customFormat="1">
      <c r="A765" s="1248"/>
      <c r="B765" s="613"/>
      <c r="C765" s="161"/>
      <c r="D765" s="161"/>
      <c r="E765" s="160"/>
      <c r="F765" s="160"/>
      <c r="G765" s="32"/>
      <c r="H765" s="32"/>
      <c r="I765" s="32"/>
    </row>
    <row r="766" spans="1:9" s="380" customFormat="1">
      <c r="A766" s="1248"/>
      <c r="B766" s="613"/>
      <c r="C766" s="161"/>
      <c r="D766" s="161"/>
      <c r="E766" s="160"/>
      <c r="F766" s="160"/>
      <c r="G766" s="32"/>
      <c r="H766" s="32"/>
      <c r="I766" s="32"/>
    </row>
    <row r="767" spans="1:9" s="380" customFormat="1">
      <c r="A767" s="1248"/>
      <c r="B767" s="613"/>
      <c r="C767" s="161"/>
      <c r="D767" s="161"/>
      <c r="E767" s="160"/>
      <c r="F767" s="160"/>
      <c r="G767" s="32"/>
      <c r="H767" s="32"/>
      <c r="I767" s="32"/>
    </row>
    <row r="768" spans="1:9" s="380" customFormat="1">
      <c r="A768" s="1248"/>
      <c r="B768" s="613"/>
      <c r="C768" s="161"/>
      <c r="D768" s="161"/>
      <c r="E768" s="160"/>
      <c r="F768" s="160"/>
      <c r="G768" s="32"/>
      <c r="H768" s="32"/>
      <c r="I768" s="32"/>
    </row>
    <row r="769" spans="1:9" s="380" customFormat="1">
      <c r="A769" s="1248"/>
      <c r="B769" s="613"/>
      <c r="C769" s="161"/>
      <c r="D769" s="161"/>
      <c r="E769" s="160"/>
      <c r="F769" s="160"/>
      <c r="G769" s="32"/>
      <c r="H769" s="32"/>
      <c r="I769" s="32"/>
    </row>
    <row r="770" spans="1:9" s="380" customFormat="1">
      <c r="A770" s="1248"/>
      <c r="B770" s="613"/>
      <c r="C770" s="161"/>
      <c r="D770" s="161"/>
      <c r="E770" s="160"/>
      <c r="F770" s="160"/>
      <c r="G770" s="32"/>
      <c r="H770" s="32"/>
      <c r="I770" s="32"/>
    </row>
    <row r="771" spans="1:9" s="380" customFormat="1">
      <c r="A771" s="1248"/>
      <c r="B771" s="613"/>
      <c r="C771" s="161"/>
      <c r="D771" s="161"/>
      <c r="E771" s="160"/>
      <c r="F771" s="160"/>
      <c r="G771" s="32"/>
      <c r="H771" s="32"/>
      <c r="I771" s="32"/>
    </row>
    <row r="772" spans="1:9" s="380" customFormat="1">
      <c r="A772" s="1248"/>
      <c r="B772" s="613"/>
      <c r="C772" s="161"/>
      <c r="D772" s="161"/>
      <c r="E772" s="160"/>
      <c r="F772" s="160"/>
      <c r="G772" s="32"/>
      <c r="H772" s="32"/>
      <c r="I772" s="32"/>
    </row>
    <row r="773" spans="1:9" s="380" customFormat="1">
      <c r="A773" s="1248"/>
      <c r="B773" s="613"/>
      <c r="C773" s="161"/>
      <c r="D773" s="161"/>
      <c r="E773" s="160"/>
      <c r="F773" s="160"/>
      <c r="G773" s="32"/>
      <c r="H773" s="32"/>
      <c r="I773" s="32"/>
    </row>
    <row r="774" spans="1:9" s="380" customFormat="1">
      <c r="A774" s="1248"/>
      <c r="B774" s="613"/>
      <c r="C774" s="161"/>
      <c r="D774" s="161"/>
      <c r="E774" s="160"/>
      <c r="F774" s="160"/>
      <c r="G774" s="32"/>
      <c r="H774" s="32"/>
      <c r="I774" s="32"/>
    </row>
    <row r="775" spans="1:9" s="380" customFormat="1">
      <c r="A775" s="1248"/>
      <c r="B775" s="613"/>
      <c r="C775" s="161"/>
      <c r="D775" s="161"/>
      <c r="E775" s="160"/>
      <c r="F775" s="160"/>
      <c r="G775" s="32"/>
      <c r="H775" s="32"/>
      <c r="I775" s="32"/>
    </row>
    <row r="776" spans="1:9" s="380" customFormat="1">
      <c r="A776" s="1248"/>
      <c r="B776" s="613"/>
      <c r="C776" s="161"/>
      <c r="D776" s="161"/>
      <c r="E776" s="160"/>
      <c r="F776" s="160"/>
      <c r="G776" s="32"/>
      <c r="H776" s="32"/>
      <c r="I776" s="32"/>
    </row>
    <row r="777" spans="1:9" s="380" customFormat="1">
      <c r="A777" s="1248"/>
      <c r="B777" s="613"/>
      <c r="C777" s="161"/>
      <c r="D777" s="161"/>
      <c r="E777" s="160"/>
      <c r="F777" s="160"/>
      <c r="G777" s="32"/>
      <c r="H777" s="32"/>
      <c r="I777" s="32"/>
    </row>
    <row r="778" spans="1:9" s="380" customFormat="1">
      <c r="A778" s="1248"/>
      <c r="B778" s="613"/>
      <c r="C778" s="161"/>
      <c r="D778" s="161"/>
      <c r="E778" s="160"/>
      <c r="F778" s="160"/>
      <c r="G778" s="32"/>
      <c r="H778" s="32"/>
      <c r="I778" s="32"/>
    </row>
    <row r="779" spans="1:9" s="380" customFormat="1">
      <c r="A779" s="1248"/>
      <c r="B779" s="613"/>
      <c r="C779" s="161"/>
      <c r="D779" s="161"/>
      <c r="E779" s="160"/>
      <c r="F779" s="160"/>
      <c r="G779" s="32"/>
      <c r="H779" s="32"/>
      <c r="I779" s="32"/>
    </row>
    <row r="780" spans="1:9" s="380" customFormat="1">
      <c r="A780" s="1248"/>
      <c r="B780" s="613"/>
      <c r="C780" s="161"/>
      <c r="D780" s="161"/>
      <c r="E780" s="160"/>
      <c r="F780" s="160"/>
      <c r="G780" s="32"/>
      <c r="H780" s="32"/>
      <c r="I780" s="32"/>
    </row>
    <row r="781" spans="1:9" s="380" customFormat="1">
      <c r="A781" s="1248"/>
      <c r="B781" s="613"/>
      <c r="C781" s="161"/>
      <c r="D781" s="161"/>
      <c r="E781" s="160"/>
      <c r="F781" s="160"/>
      <c r="G781" s="32"/>
      <c r="H781" s="32"/>
      <c r="I781" s="32"/>
    </row>
    <row r="782" spans="1:9" s="380" customFormat="1">
      <c r="A782" s="1248"/>
      <c r="B782" s="613"/>
      <c r="C782" s="161"/>
      <c r="D782" s="161"/>
      <c r="E782" s="160"/>
      <c r="F782" s="160"/>
      <c r="G782" s="32"/>
      <c r="H782" s="32"/>
      <c r="I782" s="32"/>
    </row>
    <row r="783" spans="1:9" s="380" customFormat="1">
      <c r="A783" s="1248"/>
      <c r="B783" s="613"/>
      <c r="C783" s="161"/>
      <c r="D783" s="161"/>
      <c r="E783" s="160"/>
      <c r="F783" s="160"/>
      <c r="G783" s="32"/>
      <c r="H783" s="32"/>
      <c r="I783" s="32"/>
    </row>
    <row r="784" spans="1:9" s="380" customFormat="1">
      <c r="A784" s="1248"/>
      <c r="B784" s="613"/>
      <c r="C784" s="161"/>
      <c r="D784" s="161"/>
      <c r="E784" s="160"/>
      <c r="F784" s="160"/>
      <c r="G784" s="32"/>
      <c r="H784" s="32"/>
      <c r="I784" s="32"/>
    </row>
    <row r="785" spans="1:9" s="380" customFormat="1">
      <c r="A785" s="1248"/>
      <c r="B785" s="613"/>
      <c r="C785" s="161"/>
      <c r="D785" s="161"/>
      <c r="E785" s="160"/>
      <c r="F785" s="160"/>
      <c r="G785" s="32"/>
      <c r="H785" s="32"/>
      <c r="I785" s="32"/>
    </row>
    <row r="786" spans="1:9" s="380" customFormat="1">
      <c r="A786" s="1248"/>
      <c r="B786" s="613"/>
      <c r="C786" s="161"/>
      <c r="D786" s="161"/>
      <c r="E786" s="160"/>
      <c r="F786" s="160"/>
      <c r="G786" s="32"/>
      <c r="H786" s="32"/>
      <c r="I786" s="32"/>
    </row>
    <row r="787" spans="1:9" s="380" customFormat="1">
      <c r="A787" s="1248"/>
      <c r="B787" s="613"/>
      <c r="C787" s="161"/>
      <c r="D787" s="161"/>
      <c r="E787" s="160"/>
      <c r="F787" s="160"/>
      <c r="G787" s="32"/>
      <c r="H787" s="32"/>
      <c r="I787" s="32"/>
    </row>
    <row r="788" spans="1:9" s="380" customFormat="1">
      <c r="A788" s="1248"/>
      <c r="B788" s="613"/>
      <c r="C788" s="161"/>
      <c r="D788" s="161"/>
      <c r="E788" s="160"/>
      <c r="F788" s="160"/>
      <c r="G788" s="32"/>
      <c r="H788" s="32"/>
      <c r="I788" s="32"/>
    </row>
    <row r="789" spans="1:9" s="380" customFormat="1">
      <c r="A789" s="1248"/>
      <c r="B789" s="613"/>
      <c r="C789" s="161"/>
      <c r="D789" s="161"/>
      <c r="E789" s="160"/>
      <c r="F789" s="160"/>
      <c r="G789" s="32"/>
      <c r="H789" s="32"/>
      <c r="I789" s="32"/>
    </row>
    <row r="790" spans="1:9" s="380" customFormat="1">
      <c r="A790" s="1248"/>
      <c r="B790" s="613"/>
      <c r="C790" s="161"/>
      <c r="D790" s="161"/>
      <c r="E790" s="160"/>
      <c r="F790" s="160"/>
      <c r="G790" s="32"/>
      <c r="H790" s="32"/>
      <c r="I790" s="32"/>
    </row>
    <row r="791" spans="1:9" s="380" customFormat="1">
      <c r="A791" s="1248"/>
      <c r="B791" s="613"/>
      <c r="C791" s="161"/>
      <c r="D791" s="161"/>
      <c r="E791" s="160"/>
      <c r="F791" s="160"/>
      <c r="G791" s="32"/>
      <c r="H791" s="32"/>
      <c r="I791" s="32"/>
    </row>
    <row r="792" spans="1:9" s="380" customFormat="1">
      <c r="A792" s="1248"/>
      <c r="B792" s="613"/>
      <c r="C792" s="161"/>
      <c r="D792" s="161"/>
      <c r="E792" s="160"/>
      <c r="F792" s="160"/>
      <c r="G792" s="32"/>
      <c r="H792" s="32"/>
      <c r="I792" s="32"/>
    </row>
    <row r="793" spans="1:9" s="380" customFormat="1">
      <c r="A793" s="1248"/>
      <c r="B793" s="613"/>
      <c r="C793" s="161"/>
      <c r="D793" s="161"/>
      <c r="E793" s="160"/>
      <c r="F793" s="160"/>
      <c r="G793" s="32"/>
      <c r="H793" s="32"/>
      <c r="I793" s="32"/>
    </row>
    <row r="794" spans="1:9" s="380" customFormat="1">
      <c r="A794" s="1248"/>
      <c r="B794" s="613"/>
      <c r="C794" s="161"/>
      <c r="D794" s="161"/>
      <c r="E794" s="160"/>
      <c r="F794" s="160"/>
      <c r="G794" s="32"/>
      <c r="H794" s="32"/>
      <c r="I794" s="32"/>
    </row>
    <row r="795" spans="1:9" s="380" customFormat="1">
      <c r="A795" s="1248"/>
      <c r="B795" s="613"/>
      <c r="C795" s="161"/>
      <c r="D795" s="161"/>
      <c r="E795" s="160"/>
      <c r="F795" s="160"/>
      <c r="G795" s="32"/>
      <c r="H795" s="32"/>
      <c r="I795" s="32"/>
    </row>
    <row r="796" spans="1:9" s="380" customFormat="1">
      <c r="A796" s="1248"/>
      <c r="B796" s="613"/>
      <c r="C796" s="161"/>
      <c r="D796" s="161"/>
      <c r="E796" s="160"/>
      <c r="F796" s="160"/>
      <c r="G796" s="32"/>
      <c r="H796" s="32"/>
      <c r="I796" s="32"/>
    </row>
    <row r="797" spans="1:9" s="380" customFormat="1">
      <c r="A797" s="1248"/>
      <c r="B797" s="613"/>
      <c r="C797" s="161"/>
      <c r="D797" s="161"/>
      <c r="E797" s="160"/>
      <c r="F797" s="160"/>
      <c r="G797" s="32"/>
      <c r="H797" s="32"/>
      <c r="I797" s="32"/>
    </row>
    <row r="798" spans="1:9" s="380" customFormat="1">
      <c r="A798" s="1248"/>
      <c r="B798" s="613"/>
      <c r="C798" s="161"/>
      <c r="D798" s="161"/>
      <c r="E798" s="160"/>
      <c r="F798" s="160"/>
      <c r="G798" s="32"/>
      <c r="H798" s="32"/>
      <c r="I798" s="32"/>
    </row>
    <row r="799" spans="1:9" s="380" customFormat="1">
      <c r="A799" s="1248"/>
      <c r="B799" s="613"/>
      <c r="C799" s="161"/>
      <c r="D799" s="161"/>
      <c r="E799" s="160"/>
      <c r="F799" s="160"/>
      <c r="G799" s="32"/>
      <c r="H799" s="32"/>
      <c r="I799" s="32"/>
    </row>
    <row r="800" spans="1:9" s="380" customFormat="1">
      <c r="A800" s="1248"/>
      <c r="B800" s="613"/>
      <c r="C800" s="161"/>
      <c r="D800" s="161"/>
      <c r="E800" s="160"/>
      <c r="F800" s="160"/>
      <c r="G800" s="32"/>
      <c r="H800" s="32"/>
      <c r="I800" s="32"/>
    </row>
    <row r="801" spans="1:10" s="380" customFormat="1">
      <c r="A801" s="1248"/>
      <c r="B801" s="613"/>
      <c r="C801" s="161"/>
      <c r="D801" s="161"/>
      <c r="E801" s="160"/>
      <c r="F801" s="160"/>
      <c r="G801" s="32"/>
      <c r="H801" s="32"/>
      <c r="I801" s="32"/>
    </row>
    <row r="802" spans="1:10" s="380" customFormat="1">
      <c r="A802" s="1248"/>
      <c r="B802" s="613"/>
      <c r="C802" s="161"/>
      <c r="D802" s="161"/>
      <c r="E802" s="160"/>
      <c r="F802" s="160"/>
      <c r="G802" s="32"/>
      <c r="H802" s="32"/>
      <c r="I802" s="32"/>
    </row>
    <row r="803" spans="1:10" s="380" customFormat="1">
      <c r="A803" s="1248"/>
      <c r="B803" s="613"/>
      <c r="C803" s="161"/>
      <c r="D803" s="161"/>
      <c r="E803" s="160"/>
      <c r="F803" s="160"/>
      <c r="G803" s="32"/>
      <c r="H803" s="32"/>
      <c r="I803" s="32"/>
    </row>
    <row r="804" spans="1:10" s="380" customFormat="1">
      <c r="A804" s="1248"/>
      <c r="B804" s="613"/>
      <c r="C804" s="161"/>
      <c r="D804" s="161"/>
      <c r="E804" s="160"/>
      <c r="F804" s="160"/>
      <c r="G804" s="32"/>
      <c r="H804" s="32"/>
      <c r="I804" s="32"/>
    </row>
    <row r="805" spans="1:10" s="380" customFormat="1">
      <c r="A805" s="1248"/>
      <c r="B805" s="613"/>
      <c r="C805" s="161"/>
      <c r="D805" s="161"/>
      <c r="E805" s="160"/>
      <c r="F805" s="160"/>
      <c r="G805" s="32"/>
      <c r="H805" s="32"/>
      <c r="I805" s="32"/>
    </row>
    <row r="806" spans="1:10" s="380" customFormat="1">
      <c r="A806" s="1248"/>
      <c r="B806" s="613"/>
      <c r="C806" s="161"/>
      <c r="D806" s="161"/>
      <c r="E806" s="160"/>
      <c r="F806" s="160"/>
      <c r="G806" s="32"/>
      <c r="H806" s="32"/>
      <c r="I806" s="32"/>
    </row>
    <row r="807" spans="1:10" s="380" customFormat="1">
      <c r="A807" s="1248"/>
      <c r="B807" s="613"/>
      <c r="C807" s="161"/>
      <c r="D807" s="161"/>
      <c r="E807" s="160"/>
      <c r="F807" s="160"/>
      <c r="G807" s="32"/>
      <c r="H807" s="32"/>
      <c r="I807" s="32"/>
    </row>
    <row r="808" spans="1:10" s="380" customFormat="1">
      <c r="A808" s="1248"/>
      <c r="B808" s="613"/>
      <c r="C808" s="161"/>
      <c r="D808" s="161"/>
      <c r="E808" s="160"/>
      <c r="F808" s="160"/>
      <c r="G808" s="32"/>
      <c r="H808" s="32"/>
      <c r="I808" s="32"/>
    </row>
    <row r="809" spans="1:10" s="380" customFormat="1">
      <c r="A809" s="1248"/>
      <c r="B809" s="613"/>
      <c r="C809" s="161"/>
      <c r="D809" s="161"/>
      <c r="E809" s="160"/>
      <c r="F809" s="160"/>
      <c r="G809" s="32"/>
      <c r="H809" s="32"/>
      <c r="I809" s="32"/>
    </row>
    <row r="810" spans="1:10" s="380" customFormat="1">
      <c r="A810" s="1248"/>
      <c r="B810" s="613"/>
      <c r="C810" s="161"/>
      <c r="D810" s="196"/>
      <c r="E810" s="161"/>
      <c r="F810" s="160"/>
      <c r="G810" s="160"/>
      <c r="H810" s="32"/>
      <c r="I810" s="32"/>
      <c r="J810" s="32"/>
    </row>
    <row r="811" spans="1:10" s="380" customFormat="1">
      <c r="A811" s="1248"/>
      <c r="B811" s="613"/>
      <c r="C811" s="161"/>
      <c r="D811" s="196"/>
      <c r="E811" s="161"/>
      <c r="F811" s="160"/>
      <c r="G811" s="160"/>
      <c r="H811" s="32"/>
      <c r="I811" s="32"/>
      <c r="J811" s="32"/>
    </row>
    <row r="812" spans="1:10" s="380" customFormat="1">
      <c r="A812" s="1248"/>
      <c r="B812" s="613"/>
      <c r="C812" s="161"/>
      <c r="D812" s="196"/>
      <c r="E812" s="161"/>
      <c r="F812" s="160"/>
      <c r="G812" s="160"/>
      <c r="H812" s="32"/>
      <c r="I812" s="32"/>
      <c r="J812" s="32"/>
    </row>
    <row r="813" spans="1:10" s="380" customFormat="1">
      <c r="A813" s="1248"/>
      <c r="B813" s="613"/>
      <c r="C813" s="161"/>
      <c r="D813" s="196"/>
      <c r="E813" s="161"/>
      <c r="F813" s="160"/>
      <c r="G813" s="160"/>
      <c r="H813" s="32"/>
      <c r="I813" s="32"/>
      <c r="J813" s="32"/>
    </row>
    <row r="814" spans="1:10" s="380" customFormat="1">
      <c r="A814" s="1248"/>
      <c r="B814" s="613"/>
      <c r="C814" s="161"/>
      <c r="D814" s="196"/>
      <c r="E814" s="161"/>
      <c r="F814" s="160"/>
      <c r="G814" s="160"/>
      <c r="H814" s="32"/>
      <c r="I814" s="32"/>
      <c r="J814" s="32"/>
    </row>
    <row r="815" spans="1:10" s="380" customFormat="1">
      <c r="A815" s="1248"/>
      <c r="B815" s="613"/>
      <c r="C815" s="161"/>
      <c r="D815" s="196"/>
      <c r="E815" s="161"/>
      <c r="F815" s="160"/>
      <c r="G815" s="160"/>
      <c r="H815" s="32"/>
      <c r="I815" s="32"/>
      <c r="J815" s="32"/>
    </row>
    <row r="816" spans="1:10" s="380" customFormat="1">
      <c r="A816" s="1248"/>
      <c r="B816" s="613"/>
      <c r="C816" s="161"/>
      <c r="D816" s="196"/>
      <c r="E816" s="161"/>
      <c r="F816" s="160"/>
      <c r="G816" s="160"/>
      <c r="H816" s="32"/>
      <c r="I816" s="32"/>
      <c r="J816" s="32"/>
    </row>
    <row r="817" spans="1:10" s="380" customFormat="1">
      <c r="A817" s="1248"/>
      <c r="B817" s="613"/>
      <c r="C817" s="161"/>
      <c r="D817" s="196"/>
      <c r="E817" s="161"/>
      <c r="F817" s="160"/>
      <c r="G817" s="160"/>
      <c r="H817" s="32"/>
      <c r="I817" s="32"/>
      <c r="J817" s="32"/>
    </row>
    <row r="818" spans="1:10" s="380" customFormat="1">
      <c r="A818" s="1248"/>
      <c r="B818" s="613"/>
      <c r="C818" s="161"/>
      <c r="D818" s="196"/>
      <c r="E818" s="161"/>
      <c r="F818" s="160"/>
      <c r="G818" s="160"/>
      <c r="H818" s="32"/>
      <c r="I818" s="32"/>
      <c r="J818" s="32"/>
    </row>
    <row r="819" spans="1:10" s="380" customFormat="1">
      <c r="A819" s="1248"/>
      <c r="B819" s="613"/>
      <c r="C819" s="161"/>
      <c r="D819" s="196"/>
      <c r="E819" s="161"/>
      <c r="F819" s="160"/>
      <c r="G819" s="160"/>
      <c r="H819" s="32"/>
      <c r="I819" s="32"/>
      <c r="J819" s="32"/>
    </row>
    <row r="820" spans="1:10" s="380" customFormat="1">
      <c r="A820" s="1248"/>
      <c r="B820" s="613"/>
      <c r="C820" s="161"/>
      <c r="D820" s="196"/>
      <c r="E820" s="161"/>
      <c r="F820" s="160"/>
      <c r="G820" s="160"/>
      <c r="H820" s="32"/>
      <c r="I820" s="32"/>
      <c r="J820" s="32"/>
    </row>
    <row r="821" spans="1:10" s="380" customFormat="1">
      <c r="A821" s="1248"/>
      <c r="B821" s="613"/>
      <c r="C821" s="161"/>
      <c r="D821" s="196"/>
      <c r="E821" s="161"/>
      <c r="F821" s="160"/>
      <c r="G821" s="160"/>
      <c r="H821" s="32"/>
      <c r="I821" s="32"/>
      <c r="J821" s="32"/>
    </row>
    <row r="822" spans="1:10" s="380" customFormat="1">
      <c r="A822" s="1248"/>
      <c r="B822" s="613"/>
      <c r="C822" s="161"/>
      <c r="D822" s="196"/>
      <c r="E822" s="161"/>
      <c r="F822" s="160"/>
      <c r="G822" s="160"/>
      <c r="H822" s="32"/>
      <c r="I822" s="32"/>
      <c r="J822" s="32"/>
    </row>
    <row r="823" spans="1:10" s="380" customFormat="1">
      <c r="A823" s="1248"/>
      <c r="B823" s="613"/>
      <c r="C823" s="161"/>
      <c r="D823" s="196"/>
      <c r="E823" s="161"/>
      <c r="F823" s="160"/>
      <c r="G823" s="160"/>
      <c r="H823" s="32"/>
      <c r="I823" s="32"/>
      <c r="J823" s="32"/>
    </row>
    <row r="824" spans="1:10" s="380" customFormat="1">
      <c r="A824" s="1248"/>
      <c r="B824" s="613"/>
      <c r="C824" s="161"/>
      <c r="D824" s="196"/>
      <c r="E824" s="161"/>
      <c r="F824" s="160"/>
      <c r="G824" s="160"/>
      <c r="H824" s="32"/>
      <c r="I824" s="32"/>
      <c r="J824" s="32"/>
    </row>
    <row r="825" spans="1:10" s="380" customFormat="1">
      <c r="A825" s="1248"/>
      <c r="B825" s="613"/>
      <c r="C825" s="161"/>
      <c r="D825" s="196"/>
      <c r="E825" s="161"/>
      <c r="F825" s="160"/>
      <c r="G825" s="160"/>
      <c r="H825" s="32"/>
      <c r="I825" s="32"/>
      <c r="J825" s="32"/>
    </row>
    <row r="826" spans="1:10" s="380" customFormat="1">
      <c r="A826" s="1248"/>
      <c r="B826" s="613"/>
      <c r="C826" s="161"/>
      <c r="D826" s="196"/>
      <c r="E826" s="161"/>
      <c r="F826" s="160"/>
      <c r="G826" s="160"/>
      <c r="H826" s="32"/>
      <c r="I826" s="32"/>
      <c r="J826" s="32"/>
    </row>
    <row r="827" spans="1:10" s="380" customFormat="1">
      <c r="A827" s="1248"/>
      <c r="B827" s="613"/>
      <c r="C827" s="161"/>
      <c r="D827" s="196"/>
      <c r="E827" s="161"/>
      <c r="F827" s="160"/>
      <c r="G827" s="160"/>
      <c r="H827" s="32"/>
      <c r="I827" s="32"/>
      <c r="J827" s="32"/>
    </row>
    <row r="828" spans="1:10" s="380" customFormat="1">
      <c r="A828" s="1248"/>
      <c r="B828" s="613"/>
      <c r="C828" s="161"/>
      <c r="D828" s="196"/>
      <c r="E828" s="161"/>
      <c r="F828" s="160"/>
      <c r="G828" s="160"/>
      <c r="H828" s="32"/>
      <c r="I828" s="32"/>
      <c r="J828" s="32"/>
    </row>
    <row r="829" spans="1:10" s="380" customFormat="1">
      <c r="A829" s="1248"/>
      <c r="B829" s="613"/>
      <c r="C829" s="161"/>
      <c r="D829" s="196"/>
      <c r="E829" s="161"/>
      <c r="F829" s="160"/>
      <c r="G829" s="160"/>
      <c r="H829" s="32"/>
      <c r="I829" s="32"/>
      <c r="J829" s="32"/>
    </row>
    <row r="830" spans="1:10" s="380" customFormat="1">
      <c r="A830" s="1248"/>
      <c r="B830" s="613"/>
      <c r="C830" s="161"/>
      <c r="D830" s="196"/>
      <c r="E830" s="161"/>
      <c r="F830" s="160"/>
      <c r="G830" s="160"/>
      <c r="H830" s="32"/>
      <c r="I830" s="32"/>
      <c r="J830" s="32"/>
    </row>
    <row r="831" spans="1:10" s="380" customFormat="1">
      <c r="A831" s="1248"/>
      <c r="B831" s="613"/>
      <c r="C831" s="161"/>
      <c r="D831" s="196"/>
      <c r="E831" s="161"/>
      <c r="F831" s="160"/>
      <c r="G831" s="160"/>
      <c r="H831" s="32"/>
      <c r="I831" s="32"/>
      <c r="J831" s="32"/>
    </row>
    <row r="832" spans="1:10" s="380" customFormat="1">
      <c r="A832" s="1248"/>
      <c r="B832" s="613"/>
      <c r="C832" s="161"/>
      <c r="D832" s="196"/>
      <c r="E832" s="161"/>
      <c r="F832" s="160"/>
      <c r="G832" s="160"/>
      <c r="H832" s="32"/>
      <c r="I832" s="32"/>
      <c r="J832" s="32"/>
    </row>
    <row r="833" spans="1:10" s="380" customFormat="1">
      <c r="A833" s="1248"/>
      <c r="B833" s="613"/>
      <c r="C833" s="161"/>
      <c r="D833" s="196"/>
      <c r="E833" s="161"/>
      <c r="F833" s="160"/>
      <c r="G833" s="160"/>
      <c r="H833" s="32"/>
      <c r="I833" s="32"/>
      <c r="J833" s="32"/>
    </row>
    <row r="834" spans="1:10" s="380" customFormat="1">
      <c r="A834" s="1248"/>
      <c r="B834" s="613"/>
      <c r="C834" s="161"/>
      <c r="D834" s="196"/>
      <c r="E834" s="161"/>
      <c r="F834" s="160"/>
      <c r="G834" s="160"/>
      <c r="H834" s="32"/>
      <c r="I834" s="32"/>
      <c r="J834" s="32"/>
    </row>
    <row r="835" spans="1:10" s="380" customFormat="1">
      <c r="A835" s="1248"/>
      <c r="B835" s="613"/>
      <c r="C835" s="161"/>
      <c r="D835" s="196"/>
      <c r="E835" s="161"/>
      <c r="F835" s="160"/>
      <c r="G835" s="160"/>
      <c r="H835" s="32"/>
      <c r="I835" s="32"/>
      <c r="J835" s="32"/>
    </row>
    <row r="836" spans="1:10" s="380" customFormat="1">
      <c r="A836" s="1248"/>
      <c r="B836" s="613"/>
      <c r="C836" s="161"/>
      <c r="D836" s="196"/>
      <c r="E836" s="161"/>
      <c r="F836" s="160"/>
      <c r="G836" s="160"/>
      <c r="H836" s="32"/>
      <c r="I836" s="32"/>
      <c r="J836" s="32"/>
    </row>
    <row r="837" spans="1:10" s="380" customFormat="1">
      <c r="A837" s="1248"/>
      <c r="B837" s="613"/>
      <c r="C837" s="161"/>
      <c r="D837" s="196"/>
      <c r="E837" s="161"/>
      <c r="F837" s="160"/>
      <c r="G837" s="160"/>
      <c r="H837" s="32"/>
      <c r="I837" s="32"/>
      <c r="J837" s="32"/>
    </row>
    <row r="838" spans="1:10" s="380" customFormat="1">
      <c r="A838" s="1248"/>
      <c r="B838" s="613"/>
      <c r="C838" s="161"/>
      <c r="D838" s="196"/>
      <c r="E838" s="161"/>
      <c r="F838" s="160"/>
      <c r="G838" s="160"/>
      <c r="H838" s="32"/>
      <c r="I838" s="32"/>
      <c r="J838" s="32"/>
    </row>
    <row r="839" spans="1:10" s="380" customFormat="1">
      <c r="A839" s="1248"/>
      <c r="B839" s="613"/>
      <c r="C839" s="161"/>
      <c r="D839" s="196"/>
      <c r="E839" s="161"/>
      <c r="F839" s="160"/>
      <c r="G839" s="160"/>
      <c r="H839" s="32"/>
      <c r="I839" s="32"/>
      <c r="J839" s="32"/>
    </row>
    <row r="840" spans="1:10" s="380" customFormat="1">
      <c r="A840" s="1248"/>
      <c r="B840" s="613"/>
      <c r="C840" s="161"/>
      <c r="D840" s="196"/>
      <c r="E840" s="161"/>
      <c r="F840" s="160"/>
      <c r="G840" s="160"/>
      <c r="H840" s="32"/>
      <c r="I840" s="32"/>
      <c r="J840" s="32"/>
    </row>
    <row r="841" spans="1:10" s="380" customFormat="1">
      <c r="A841" s="1248"/>
      <c r="B841" s="613"/>
      <c r="C841" s="161"/>
      <c r="D841" s="196"/>
      <c r="E841" s="161"/>
      <c r="F841" s="160"/>
      <c r="G841" s="160"/>
      <c r="H841" s="32"/>
      <c r="I841" s="32"/>
      <c r="J841" s="32"/>
    </row>
    <row r="842" spans="1:10" s="380" customFormat="1">
      <c r="A842" s="1248"/>
      <c r="B842" s="613"/>
      <c r="C842" s="161"/>
      <c r="D842" s="196"/>
      <c r="E842" s="161"/>
      <c r="F842" s="160"/>
      <c r="G842" s="160"/>
      <c r="H842" s="32"/>
      <c r="I842" s="32"/>
      <c r="J842" s="32"/>
    </row>
    <row r="843" spans="1:10" s="380" customFormat="1">
      <c r="A843" s="1248"/>
      <c r="B843" s="613"/>
      <c r="C843" s="161"/>
      <c r="D843" s="196"/>
      <c r="E843" s="161"/>
      <c r="F843" s="160"/>
      <c r="G843" s="160"/>
      <c r="H843" s="32"/>
      <c r="I843" s="32"/>
      <c r="J843" s="32"/>
    </row>
    <row r="844" spans="1:10" s="380" customFormat="1">
      <c r="A844" s="1248"/>
      <c r="B844" s="613"/>
      <c r="C844" s="161"/>
      <c r="D844" s="196"/>
      <c r="E844" s="161"/>
      <c r="F844" s="160"/>
      <c r="G844" s="160"/>
      <c r="H844" s="32"/>
      <c r="I844" s="32"/>
      <c r="J844" s="32"/>
    </row>
    <row r="845" spans="1:10" s="380" customFormat="1">
      <c r="A845" s="1248"/>
      <c r="B845" s="613"/>
      <c r="C845" s="161"/>
      <c r="D845" s="196"/>
      <c r="E845" s="161"/>
      <c r="F845" s="160"/>
      <c r="G845" s="160"/>
      <c r="H845" s="32"/>
      <c r="I845" s="32"/>
      <c r="J845" s="32"/>
    </row>
    <row r="846" spans="1:10" s="380" customFormat="1">
      <c r="A846" s="1248"/>
      <c r="B846" s="613"/>
      <c r="C846" s="161"/>
      <c r="D846" s="196"/>
      <c r="E846" s="161"/>
      <c r="F846" s="160"/>
      <c r="G846" s="160"/>
      <c r="H846" s="32"/>
      <c r="I846" s="32"/>
      <c r="J846" s="32"/>
    </row>
    <row r="847" spans="1:10" s="380" customFormat="1">
      <c r="A847" s="1248"/>
      <c r="B847" s="613"/>
      <c r="C847" s="161"/>
      <c r="D847" s="196"/>
      <c r="E847" s="161"/>
      <c r="F847" s="160"/>
      <c r="G847" s="160"/>
      <c r="H847" s="32"/>
      <c r="I847" s="32"/>
      <c r="J847" s="32"/>
    </row>
    <row r="848" spans="1:10" s="380" customFormat="1">
      <c r="A848" s="1248"/>
      <c r="B848" s="613"/>
      <c r="C848" s="161"/>
      <c r="D848" s="196"/>
      <c r="E848" s="161"/>
      <c r="F848" s="160"/>
      <c r="G848" s="160"/>
      <c r="H848" s="32"/>
      <c r="I848" s="32"/>
      <c r="J848" s="32"/>
    </row>
    <row r="849" spans="1:10" s="380" customFormat="1">
      <c r="A849" s="1248"/>
      <c r="B849" s="613"/>
      <c r="C849" s="161"/>
      <c r="D849" s="196"/>
      <c r="E849" s="161"/>
      <c r="F849" s="160"/>
      <c r="G849" s="160"/>
      <c r="H849" s="32"/>
      <c r="I849" s="32"/>
      <c r="J849" s="32"/>
    </row>
    <row r="850" spans="1:10" s="380" customFormat="1">
      <c r="A850" s="1248"/>
      <c r="B850" s="613"/>
      <c r="C850" s="161"/>
      <c r="D850" s="196"/>
      <c r="E850" s="161"/>
      <c r="F850" s="160"/>
      <c r="G850" s="160"/>
      <c r="H850" s="32"/>
      <c r="I850" s="32"/>
      <c r="J850" s="32"/>
    </row>
    <row r="851" spans="1:10" s="380" customFormat="1">
      <c r="A851" s="1248"/>
      <c r="B851" s="613"/>
      <c r="C851" s="161"/>
      <c r="D851" s="196"/>
      <c r="E851" s="161"/>
      <c r="F851" s="160"/>
      <c r="G851" s="160"/>
      <c r="H851" s="32"/>
      <c r="I851" s="32"/>
      <c r="J851" s="32"/>
    </row>
    <row r="852" spans="1:10" s="380" customFormat="1">
      <c r="A852" s="1248"/>
      <c r="B852" s="613"/>
      <c r="C852" s="161"/>
      <c r="D852" s="196"/>
      <c r="E852" s="161"/>
      <c r="F852" s="160"/>
      <c r="G852" s="160"/>
      <c r="H852" s="32"/>
      <c r="I852" s="32"/>
      <c r="J852" s="32"/>
    </row>
    <row r="853" spans="1:10" s="380" customFormat="1">
      <c r="A853" s="1248"/>
      <c r="B853" s="613"/>
      <c r="C853" s="161"/>
      <c r="D853" s="196"/>
      <c r="E853" s="161"/>
      <c r="F853" s="160"/>
      <c r="G853" s="160"/>
      <c r="H853" s="32"/>
      <c r="I853" s="32"/>
      <c r="J853" s="32"/>
    </row>
    <row r="854" spans="1:10" s="380" customFormat="1">
      <c r="A854" s="1248"/>
      <c r="B854" s="613"/>
      <c r="C854" s="161"/>
      <c r="D854" s="196"/>
      <c r="E854" s="161"/>
      <c r="F854" s="160"/>
      <c r="G854" s="160"/>
      <c r="H854" s="32"/>
      <c r="I854" s="32"/>
      <c r="J854" s="32"/>
    </row>
    <row r="855" spans="1:10" s="380" customFormat="1">
      <c r="A855" s="1248"/>
      <c r="B855" s="613"/>
      <c r="C855" s="161"/>
      <c r="D855" s="196"/>
      <c r="E855" s="161"/>
      <c r="F855" s="160"/>
      <c r="G855" s="160"/>
      <c r="H855" s="32"/>
      <c r="I855" s="32"/>
      <c r="J855" s="32"/>
    </row>
    <row r="856" spans="1:10" s="380" customFormat="1">
      <c r="A856" s="1248"/>
      <c r="B856" s="613"/>
      <c r="C856" s="161"/>
      <c r="D856" s="196"/>
      <c r="E856" s="161"/>
      <c r="F856" s="160"/>
      <c r="G856" s="160"/>
      <c r="H856" s="32"/>
      <c r="I856" s="32"/>
      <c r="J856" s="32"/>
    </row>
    <row r="857" spans="1:10" s="380" customFormat="1">
      <c r="A857" s="1248"/>
      <c r="B857" s="613"/>
      <c r="C857" s="161"/>
      <c r="D857" s="196"/>
      <c r="E857" s="161"/>
      <c r="F857" s="160"/>
      <c r="G857" s="160"/>
      <c r="H857" s="32"/>
      <c r="I857" s="32"/>
      <c r="J857" s="32"/>
    </row>
    <row r="858" spans="1:10" s="380" customFormat="1">
      <c r="A858" s="1248"/>
      <c r="B858" s="613"/>
      <c r="C858" s="161"/>
      <c r="D858" s="196"/>
      <c r="E858" s="161"/>
      <c r="F858" s="160"/>
      <c r="G858" s="160"/>
      <c r="H858" s="32"/>
      <c r="I858" s="32"/>
      <c r="J858" s="32"/>
    </row>
    <row r="859" spans="1:10" s="380" customFormat="1">
      <c r="A859" s="1248"/>
      <c r="B859" s="613"/>
      <c r="C859" s="161"/>
      <c r="D859" s="196"/>
      <c r="E859" s="161"/>
      <c r="F859" s="160"/>
      <c r="G859" s="160"/>
      <c r="H859" s="32"/>
      <c r="I859" s="32"/>
      <c r="J859" s="32"/>
    </row>
    <row r="860" spans="1:10" s="380" customFormat="1">
      <c r="A860" s="1248"/>
      <c r="B860" s="613"/>
      <c r="C860" s="161"/>
      <c r="D860" s="196"/>
      <c r="E860" s="161"/>
      <c r="F860" s="160"/>
      <c r="G860" s="160"/>
      <c r="H860" s="32"/>
      <c r="I860" s="32"/>
      <c r="J860" s="32"/>
    </row>
    <row r="861" spans="1:10" s="380" customFormat="1">
      <c r="A861" s="1248"/>
      <c r="B861" s="613"/>
      <c r="C861" s="161"/>
      <c r="D861" s="196"/>
      <c r="E861" s="161"/>
      <c r="F861" s="160"/>
      <c r="G861" s="160"/>
      <c r="H861" s="32"/>
      <c r="I861" s="32"/>
      <c r="J861" s="32"/>
    </row>
    <row r="862" spans="1:10" s="380" customFormat="1">
      <c r="A862" s="1248"/>
      <c r="B862" s="613"/>
      <c r="C862" s="161"/>
      <c r="D862" s="196"/>
      <c r="E862" s="161"/>
      <c r="F862" s="160"/>
      <c r="G862" s="160"/>
      <c r="H862" s="32"/>
      <c r="I862" s="32"/>
      <c r="J862" s="32"/>
    </row>
    <row r="863" spans="1:10" s="380" customFormat="1">
      <c r="A863" s="1248"/>
      <c r="B863" s="613"/>
      <c r="C863" s="161"/>
      <c r="D863" s="196"/>
      <c r="E863" s="161"/>
      <c r="F863" s="160"/>
      <c r="G863" s="160"/>
      <c r="H863" s="32"/>
      <c r="I863" s="32"/>
      <c r="J863" s="32"/>
    </row>
    <row r="864" spans="1:10" s="380" customFormat="1">
      <c r="A864" s="1248"/>
      <c r="B864" s="613"/>
      <c r="C864" s="161"/>
      <c r="D864" s="196"/>
      <c r="E864" s="161"/>
      <c r="F864" s="160"/>
      <c r="G864" s="160"/>
      <c r="H864" s="32"/>
      <c r="I864" s="32"/>
      <c r="J864" s="32"/>
    </row>
    <row r="865" spans="1:10" s="380" customFormat="1">
      <c r="A865" s="1248"/>
      <c r="B865" s="613"/>
      <c r="C865" s="161"/>
      <c r="D865" s="196"/>
      <c r="E865" s="161"/>
      <c r="F865" s="160"/>
      <c r="G865" s="160"/>
      <c r="H865" s="32"/>
      <c r="I865" s="32"/>
      <c r="J865" s="32"/>
    </row>
    <row r="866" spans="1:10" s="380" customFormat="1">
      <c r="A866" s="1248"/>
      <c r="B866" s="613"/>
      <c r="C866" s="161"/>
      <c r="D866" s="196"/>
      <c r="E866" s="161"/>
      <c r="F866" s="160"/>
      <c r="G866" s="160"/>
      <c r="H866" s="32"/>
      <c r="I866" s="32"/>
      <c r="J866" s="32"/>
    </row>
    <row r="867" spans="1:10" s="380" customFormat="1">
      <c r="A867" s="1248"/>
      <c r="B867" s="613"/>
      <c r="C867" s="161"/>
      <c r="D867" s="196"/>
      <c r="E867" s="161"/>
      <c r="F867" s="160"/>
      <c r="G867" s="160"/>
      <c r="H867" s="32"/>
      <c r="I867" s="32"/>
      <c r="J867" s="32"/>
    </row>
    <row r="868" spans="1:10" s="380" customFormat="1">
      <c r="A868" s="1248"/>
      <c r="B868" s="613"/>
      <c r="C868" s="161"/>
      <c r="D868" s="196"/>
      <c r="E868" s="161"/>
      <c r="F868" s="160"/>
      <c r="G868" s="160"/>
      <c r="H868" s="32"/>
      <c r="I868" s="32"/>
      <c r="J868" s="32"/>
    </row>
    <row r="869" spans="1:10" s="380" customFormat="1">
      <c r="A869" s="1248"/>
      <c r="B869" s="613"/>
      <c r="C869" s="161"/>
      <c r="D869" s="196"/>
      <c r="E869" s="161"/>
      <c r="F869" s="160"/>
      <c r="G869" s="160"/>
      <c r="H869" s="32"/>
      <c r="I869" s="32"/>
      <c r="J869" s="32"/>
    </row>
    <row r="870" spans="1:10" s="380" customFormat="1">
      <c r="A870" s="1248"/>
      <c r="B870" s="613"/>
      <c r="C870" s="161"/>
      <c r="D870" s="196"/>
      <c r="E870" s="161"/>
      <c r="F870" s="160"/>
      <c r="G870" s="160"/>
      <c r="H870" s="32"/>
      <c r="I870" s="32"/>
      <c r="J870" s="32"/>
    </row>
    <row r="871" spans="1:10" s="380" customFormat="1">
      <c r="A871" s="1248"/>
      <c r="B871" s="613"/>
      <c r="C871" s="161"/>
      <c r="D871" s="196"/>
      <c r="E871" s="161"/>
      <c r="F871" s="160"/>
      <c r="G871" s="160"/>
      <c r="H871" s="32"/>
      <c r="I871" s="32"/>
      <c r="J871" s="32"/>
    </row>
    <row r="872" spans="1:10" s="380" customFormat="1">
      <c r="A872" s="1248"/>
      <c r="B872" s="613"/>
      <c r="C872" s="161"/>
      <c r="D872" s="196"/>
      <c r="E872" s="161"/>
      <c r="F872" s="160"/>
      <c r="G872" s="160"/>
      <c r="H872" s="32"/>
      <c r="I872" s="32"/>
      <c r="J872" s="32"/>
    </row>
    <row r="873" spans="1:10" s="380" customFormat="1">
      <c r="A873" s="1248"/>
      <c r="B873" s="613"/>
      <c r="C873" s="161"/>
      <c r="D873" s="196"/>
      <c r="E873" s="161"/>
      <c r="F873" s="160"/>
      <c r="G873" s="160"/>
      <c r="H873" s="32"/>
      <c r="I873" s="32"/>
      <c r="J873" s="32"/>
    </row>
    <row r="874" spans="1:10" s="380" customFormat="1">
      <c r="A874" s="1248"/>
      <c r="B874" s="613"/>
      <c r="C874" s="161"/>
      <c r="D874" s="196"/>
      <c r="E874" s="161"/>
      <c r="F874" s="160"/>
      <c r="G874" s="160"/>
      <c r="H874" s="32"/>
      <c r="I874" s="32"/>
      <c r="J874" s="32"/>
    </row>
    <row r="875" spans="1:10" s="380" customFormat="1">
      <c r="A875" s="1248"/>
      <c r="B875" s="613"/>
      <c r="C875" s="161"/>
      <c r="D875" s="196"/>
      <c r="E875" s="161"/>
      <c r="F875" s="160"/>
      <c r="G875" s="160"/>
      <c r="H875" s="32"/>
      <c r="I875" s="32"/>
      <c r="J875" s="32"/>
    </row>
    <row r="876" spans="1:10" s="380" customFormat="1">
      <c r="A876" s="1248"/>
      <c r="B876" s="613"/>
      <c r="C876" s="161"/>
      <c r="D876" s="196"/>
      <c r="E876" s="161"/>
      <c r="F876" s="160"/>
      <c r="G876" s="160"/>
      <c r="H876" s="32"/>
      <c r="I876" s="32"/>
      <c r="J876" s="32"/>
    </row>
    <row r="877" spans="1:10" s="380" customFormat="1">
      <c r="A877" s="1248"/>
      <c r="B877" s="613"/>
      <c r="C877" s="161"/>
      <c r="D877" s="196"/>
      <c r="E877" s="161"/>
      <c r="F877" s="160"/>
      <c r="G877" s="160"/>
      <c r="H877" s="32"/>
      <c r="I877" s="32"/>
      <c r="J877" s="32"/>
    </row>
    <row r="878" spans="1:10" s="380" customFormat="1">
      <c r="A878" s="1248"/>
      <c r="B878" s="613"/>
      <c r="C878" s="161"/>
      <c r="D878" s="196"/>
      <c r="E878" s="161"/>
      <c r="F878" s="160"/>
      <c r="G878" s="160"/>
      <c r="H878" s="32"/>
      <c r="I878" s="32"/>
      <c r="J878" s="32"/>
    </row>
    <row r="879" spans="1:10" s="380" customFormat="1">
      <c r="A879" s="1248"/>
      <c r="B879" s="613"/>
      <c r="C879" s="161"/>
      <c r="D879" s="196"/>
      <c r="E879" s="161"/>
      <c r="F879" s="160"/>
      <c r="G879" s="160"/>
      <c r="H879" s="32"/>
      <c r="I879" s="32"/>
      <c r="J879" s="32"/>
    </row>
    <row r="880" spans="1:10" s="380" customFormat="1">
      <c r="A880" s="1248"/>
      <c r="B880" s="613"/>
      <c r="C880" s="161"/>
      <c r="D880" s="196"/>
      <c r="E880" s="161"/>
      <c r="F880" s="160"/>
      <c r="G880" s="160"/>
      <c r="H880" s="32"/>
      <c r="I880" s="32"/>
      <c r="J880" s="32"/>
    </row>
    <row r="881" spans="1:10" s="380" customFormat="1">
      <c r="A881" s="1248"/>
      <c r="B881" s="613"/>
      <c r="C881" s="161"/>
      <c r="D881" s="196"/>
      <c r="E881" s="161"/>
      <c r="F881" s="160"/>
      <c r="G881" s="160"/>
      <c r="H881" s="32"/>
      <c r="I881" s="32"/>
      <c r="J881" s="32"/>
    </row>
    <row r="882" spans="1:10" s="380" customFormat="1">
      <c r="A882" s="1248"/>
      <c r="B882" s="613"/>
      <c r="C882" s="161"/>
      <c r="D882" s="196"/>
      <c r="E882" s="161"/>
      <c r="F882" s="160"/>
      <c r="G882" s="160"/>
      <c r="H882" s="32"/>
      <c r="I882" s="32"/>
      <c r="J882" s="32"/>
    </row>
    <row r="883" spans="1:10" s="380" customFormat="1">
      <c r="A883" s="1248"/>
      <c r="B883" s="613"/>
      <c r="C883" s="161"/>
      <c r="D883" s="196"/>
      <c r="E883" s="161"/>
      <c r="F883" s="160"/>
      <c r="G883" s="160"/>
      <c r="H883" s="32"/>
      <c r="I883" s="32"/>
      <c r="J883" s="32"/>
    </row>
    <row r="884" spans="1:10" s="380" customFormat="1">
      <c r="A884" s="1248"/>
      <c r="B884" s="613"/>
      <c r="C884" s="161"/>
      <c r="D884" s="196"/>
      <c r="E884" s="161"/>
      <c r="F884" s="160"/>
      <c r="G884" s="160"/>
      <c r="H884" s="32"/>
      <c r="I884" s="32"/>
      <c r="J884" s="32"/>
    </row>
    <row r="885" spans="1:10" s="380" customFormat="1">
      <c r="A885" s="1248"/>
      <c r="B885" s="613"/>
      <c r="C885" s="161"/>
      <c r="D885" s="196"/>
      <c r="E885" s="161"/>
      <c r="F885" s="160"/>
      <c r="G885" s="160"/>
      <c r="H885" s="32"/>
      <c r="I885" s="32"/>
      <c r="J885" s="32"/>
    </row>
    <row r="886" spans="1:10" s="380" customFormat="1">
      <c r="A886" s="1248"/>
      <c r="B886" s="613"/>
      <c r="C886" s="161"/>
      <c r="D886" s="196"/>
      <c r="E886" s="161"/>
      <c r="F886" s="160"/>
      <c r="G886" s="160"/>
      <c r="H886" s="32"/>
      <c r="I886" s="32"/>
      <c r="J886" s="32"/>
    </row>
    <row r="887" spans="1:10" s="380" customFormat="1">
      <c r="A887" s="1248"/>
      <c r="B887" s="613"/>
      <c r="C887" s="161"/>
      <c r="D887" s="196"/>
      <c r="E887" s="161"/>
      <c r="F887" s="160"/>
      <c r="G887" s="160"/>
      <c r="H887" s="32"/>
      <c r="I887" s="32"/>
      <c r="J887" s="32"/>
    </row>
    <row r="888" spans="1:10" s="380" customFormat="1">
      <c r="A888" s="1248"/>
      <c r="B888" s="613"/>
      <c r="C888" s="161"/>
      <c r="D888" s="196"/>
      <c r="E888" s="161"/>
      <c r="F888" s="160"/>
      <c r="G888" s="160"/>
      <c r="H888" s="32"/>
      <c r="I888" s="32"/>
      <c r="J888" s="32"/>
    </row>
    <row r="889" spans="1:10" s="380" customFormat="1">
      <c r="A889" s="1248"/>
      <c r="B889" s="613"/>
      <c r="C889" s="161"/>
      <c r="D889" s="196"/>
      <c r="E889" s="161"/>
      <c r="F889" s="160"/>
      <c r="G889" s="160"/>
      <c r="H889" s="32"/>
      <c r="I889" s="32"/>
      <c r="J889" s="32"/>
    </row>
    <row r="890" spans="1:10" s="380" customFormat="1">
      <c r="A890" s="1248"/>
      <c r="B890" s="613"/>
      <c r="C890" s="161"/>
      <c r="D890" s="196"/>
      <c r="E890" s="161"/>
      <c r="F890" s="160"/>
      <c r="G890" s="160"/>
      <c r="H890" s="32"/>
      <c r="I890" s="32"/>
      <c r="J890" s="32"/>
    </row>
    <row r="891" spans="1:10" s="380" customFormat="1">
      <c r="A891" s="1248"/>
      <c r="B891" s="613"/>
      <c r="C891" s="161"/>
      <c r="D891" s="196"/>
      <c r="E891" s="161"/>
      <c r="F891" s="160"/>
      <c r="G891" s="160"/>
      <c r="H891" s="32"/>
      <c r="I891" s="32"/>
      <c r="J891" s="32"/>
    </row>
    <row r="892" spans="1:10" s="380" customFormat="1">
      <c r="A892" s="1248"/>
      <c r="B892" s="613"/>
      <c r="C892" s="161"/>
      <c r="D892" s="196"/>
      <c r="E892" s="161"/>
      <c r="F892" s="160"/>
      <c r="G892" s="160"/>
      <c r="H892" s="32"/>
      <c r="I892" s="32"/>
      <c r="J892" s="32"/>
    </row>
    <row r="893" spans="1:10" s="380" customFormat="1">
      <c r="A893" s="1248"/>
      <c r="B893" s="613"/>
      <c r="C893" s="161"/>
      <c r="D893" s="196"/>
      <c r="E893" s="161"/>
      <c r="F893" s="160"/>
      <c r="G893" s="160"/>
      <c r="H893" s="32"/>
      <c r="I893" s="32"/>
      <c r="J893" s="32"/>
    </row>
    <row r="894" spans="1:10" s="380" customFormat="1">
      <c r="A894" s="1248"/>
      <c r="B894" s="613"/>
      <c r="C894" s="161"/>
      <c r="D894" s="196"/>
      <c r="E894" s="161"/>
      <c r="F894" s="160"/>
      <c r="G894" s="160"/>
      <c r="H894" s="32"/>
      <c r="I894" s="32"/>
      <c r="J894" s="32"/>
    </row>
    <row r="895" spans="1:10" s="380" customFormat="1">
      <c r="A895" s="1248"/>
      <c r="B895" s="613"/>
      <c r="C895" s="161"/>
      <c r="D895" s="196"/>
      <c r="E895" s="161"/>
      <c r="F895" s="160"/>
      <c r="G895" s="160"/>
      <c r="H895" s="32"/>
      <c r="I895" s="32"/>
      <c r="J895" s="32"/>
    </row>
    <row r="896" spans="1:10" s="380" customFormat="1">
      <c r="A896" s="1248"/>
      <c r="B896" s="613"/>
      <c r="C896" s="161"/>
      <c r="D896" s="196"/>
      <c r="E896" s="161"/>
      <c r="F896" s="160"/>
      <c r="G896" s="160"/>
      <c r="H896" s="32"/>
      <c r="I896" s="32"/>
      <c r="J896" s="32"/>
    </row>
    <row r="897" spans="1:10" s="380" customFormat="1">
      <c r="A897" s="1248"/>
      <c r="B897" s="613"/>
      <c r="C897" s="161"/>
      <c r="D897" s="196"/>
      <c r="E897" s="161"/>
      <c r="F897" s="160"/>
      <c r="G897" s="160"/>
      <c r="H897" s="32"/>
      <c r="I897" s="32"/>
      <c r="J897" s="32"/>
    </row>
    <row r="898" spans="1:10" s="380" customFormat="1">
      <c r="A898" s="1248"/>
      <c r="B898" s="613"/>
      <c r="C898" s="161"/>
      <c r="D898" s="196"/>
      <c r="E898" s="161"/>
      <c r="F898" s="160"/>
      <c r="G898" s="160"/>
      <c r="H898" s="32"/>
      <c r="I898" s="32"/>
      <c r="J898" s="32"/>
    </row>
    <row r="899" spans="1:10" s="380" customFormat="1">
      <c r="A899" s="1248"/>
      <c r="B899" s="613"/>
      <c r="C899" s="161"/>
      <c r="D899" s="196"/>
      <c r="E899" s="161"/>
      <c r="F899" s="160"/>
      <c r="G899" s="160"/>
      <c r="H899" s="32"/>
      <c r="I899" s="32"/>
      <c r="J899" s="32"/>
    </row>
    <row r="900" spans="1:10" s="380" customFormat="1">
      <c r="A900" s="1248"/>
      <c r="B900" s="613"/>
      <c r="C900" s="161"/>
      <c r="D900" s="196"/>
      <c r="E900" s="161"/>
      <c r="F900" s="160"/>
      <c r="G900" s="160"/>
      <c r="H900" s="32"/>
      <c r="I900" s="32"/>
      <c r="J900" s="32"/>
    </row>
    <row r="901" spans="1:10" s="380" customFormat="1">
      <c r="A901" s="1248"/>
      <c r="B901" s="613"/>
      <c r="C901" s="161"/>
      <c r="D901" s="196"/>
      <c r="E901" s="161"/>
      <c r="F901" s="160"/>
      <c r="G901" s="160"/>
      <c r="H901" s="32"/>
      <c r="I901" s="32"/>
      <c r="J901" s="32"/>
    </row>
    <row r="902" spans="1:10" s="380" customFormat="1">
      <c r="A902" s="1248"/>
      <c r="B902" s="613"/>
      <c r="C902" s="161"/>
      <c r="D902" s="196"/>
      <c r="E902" s="161"/>
      <c r="F902" s="160"/>
      <c r="G902" s="160"/>
      <c r="H902" s="32"/>
      <c r="I902" s="32"/>
      <c r="J902" s="32"/>
    </row>
    <row r="903" spans="1:10" s="380" customFormat="1">
      <c r="A903" s="1248"/>
      <c r="B903" s="613"/>
      <c r="C903" s="161"/>
      <c r="D903" s="196"/>
      <c r="E903" s="161"/>
      <c r="F903" s="160"/>
      <c r="G903" s="160"/>
      <c r="H903" s="32"/>
      <c r="I903" s="32"/>
      <c r="J903" s="32"/>
    </row>
    <row r="904" spans="1:10" s="380" customFormat="1">
      <c r="A904" s="1248"/>
      <c r="B904" s="613"/>
      <c r="C904" s="161"/>
      <c r="D904" s="196"/>
      <c r="E904" s="161"/>
      <c r="F904" s="160"/>
      <c r="G904" s="160"/>
      <c r="H904" s="32"/>
      <c r="I904" s="32"/>
      <c r="J904" s="32"/>
    </row>
    <row r="905" spans="1:10" s="380" customFormat="1">
      <c r="A905" s="1248"/>
      <c r="B905" s="613"/>
      <c r="C905" s="161"/>
      <c r="D905" s="196"/>
      <c r="E905" s="161"/>
      <c r="F905" s="160"/>
      <c r="G905" s="160"/>
      <c r="H905" s="32"/>
      <c r="I905" s="32"/>
      <c r="J905" s="32"/>
    </row>
    <row r="906" spans="1:10" s="380" customFormat="1">
      <c r="A906" s="1248"/>
      <c r="B906" s="613"/>
      <c r="C906" s="161"/>
      <c r="D906" s="196"/>
      <c r="E906" s="161"/>
      <c r="F906" s="160"/>
      <c r="G906" s="160"/>
      <c r="H906" s="32"/>
      <c r="I906" s="32"/>
      <c r="J906" s="32"/>
    </row>
    <row r="907" spans="1:10" s="380" customFormat="1">
      <c r="A907" s="1248"/>
      <c r="B907" s="613"/>
      <c r="C907" s="161"/>
      <c r="D907" s="196"/>
      <c r="E907" s="161"/>
      <c r="F907" s="160"/>
      <c r="G907" s="160"/>
      <c r="H907" s="32"/>
      <c r="I907" s="32"/>
      <c r="J907" s="32"/>
    </row>
    <row r="908" spans="1:10" s="380" customFormat="1">
      <c r="A908" s="1248"/>
      <c r="B908" s="613"/>
      <c r="C908" s="161"/>
      <c r="D908" s="196"/>
      <c r="E908" s="161"/>
      <c r="F908" s="160"/>
      <c r="G908" s="160"/>
      <c r="H908" s="32"/>
      <c r="I908" s="32"/>
      <c r="J908" s="32"/>
    </row>
    <row r="909" spans="1:10" s="380" customFormat="1">
      <c r="A909" s="1248"/>
      <c r="B909" s="613"/>
      <c r="C909" s="161"/>
      <c r="D909" s="196"/>
      <c r="E909" s="161"/>
      <c r="F909" s="160"/>
      <c r="G909" s="160"/>
      <c r="H909" s="32"/>
      <c r="I909" s="32"/>
      <c r="J909" s="32"/>
    </row>
    <row r="910" spans="1:10" s="380" customFormat="1">
      <c r="A910" s="1248"/>
      <c r="B910" s="613"/>
      <c r="C910" s="161"/>
      <c r="D910" s="196"/>
      <c r="E910" s="161"/>
      <c r="F910" s="160"/>
      <c r="G910" s="160"/>
      <c r="H910" s="32"/>
      <c r="I910" s="32"/>
      <c r="J910" s="32"/>
    </row>
    <row r="911" spans="1:10" s="380" customFormat="1">
      <c r="A911" s="1248"/>
      <c r="B911" s="613"/>
      <c r="C911" s="161"/>
      <c r="D911" s="196"/>
      <c r="E911" s="161"/>
      <c r="F911" s="160"/>
      <c r="G911" s="160"/>
      <c r="H911" s="32"/>
      <c r="I911" s="32"/>
      <c r="J911" s="32"/>
    </row>
    <row r="912" spans="1:10" s="380" customFormat="1">
      <c r="A912" s="1248"/>
      <c r="B912" s="613"/>
      <c r="C912" s="161"/>
      <c r="D912" s="196"/>
      <c r="E912" s="161"/>
      <c r="F912" s="160"/>
      <c r="G912" s="160"/>
      <c r="H912" s="32"/>
      <c r="I912" s="32"/>
      <c r="J912" s="32"/>
    </row>
    <row r="913" spans="1:10" s="380" customFormat="1">
      <c r="A913" s="1248"/>
      <c r="B913" s="613"/>
      <c r="C913" s="161"/>
      <c r="D913" s="196"/>
      <c r="E913" s="161"/>
      <c r="F913" s="160"/>
      <c r="G913" s="160"/>
      <c r="H913" s="32"/>
      <c r="I913" s="32"/>
      <c r="J913" s="32"/>
    </row>
    <row r="914" spans="1:10" s="380" customFormat="1">
      <c r="A914" s="1248"/>
      <c r="B914" s="613"/>
      <c r="C914" s="161"/>
      <c r="D914" s="196"/>
      <c r="E914" s="161"/>
      <c r="F914" s="160"/>
      <c r="G914" s="160"/>
      <c r="H914" s="32"/>
      <c r="I914" s="32"/>
      <c r="J914" s="32"/>
    </row>
    <row r="915" spans="1:10" s="380" customFormat="1">
      <c r="A915" s="1248"/>
      <c r="B915" s="613"/>
      <c r="C915" s="161"/>
      <c r="D915" s="196"/>
      <c r="E915" s="161"/>
      <c r="F915" s="160"/>
      <c r="G915" s="160"/>
      <c r="H915" s="32"/>
      <c r="I915" s="32"/>
      <c r="J915" s="32"/>
    </row>
    <row r="916" spans="1:10" s="380" customFormat="1">
      <c r="A916" s="1248"/>
      <c r="B916" s="613"/>
      <c r="C916" s="161"/>
      <c r="D916" s="196"/>
      <c r="E916" s="161"/>
      <c r="F916" s="160"/>
      <c r="G916" s="160"/>
      <c r="H916" s="32"/>
      <c r="I916" s="32"/>
      <c r="J916" s="32"/>
    </row>
    <row r="917" spans="1:10" s="380" customFormat="1">
      <c r="A917" s="1248"/>
      <c r="B917" s="613"/>
      <c r="C917" s="161"/>
      <c r="D917" s="196"/>
      <c r="E917" s="161"/>
      <c r="F917" s="160"/>
      <c r="G917" s="160"/>
      <c r="H917" s="32"/>
      <c r="I917" s="32"/>
      <c r="J917" s="32"/>
    </row>
    <row r="918" spans="1:10" s="380" customFormat="1">
      <c r="A918" s="1248"/>
      <c r="B918" s="613"/>
      <c r="C918" s="161"/>
      <c r="D918" s="196"/>
      <c r="E918" s="161"/>
      <c r="F918" s="160"/>
      <c r="G918" s="160"/>
      <c r="H918" s="32"/>
      <c r="I918" s="32"/>
      <c r="J918" s="32"/>
    </row>
    <row r="919" spans="1:10" s="380" customFormat="1">
      <c r="A919" s="1248"/>
      <c r="B919" s="613"/>
      <c r="C919" s="161"/>
      <c r="D919" s="196"/>
      <c r="E919" s="161"/>
      <c r="F919" s="160"/>
      <c r="G919" s="160"/>
      <c r="H919" s="32"/>
      <c r="I919" s="32"/>
      <c r="J919" s="32"/>
    </row>
    <row r="920" spans="1:10" s="380" customFormat="1">
      <c r="A920" s="1248"/>
      <c r="B920" s="613"/>
      <c r="C920" s="161"/>
      <c r="D920" s="196"/>
      <c r="E920" s="161"/>
      <c r="F920" s="160"/>
      <c r="G920" s="160"/>
      <c r="H920" s="32"/>
      <c r="I920" s="32"/>
      <c r="J920" s="32"/>
    </row>
    <row r="921" spans="1:10" s="380" customFormat="1">
      <c r="A921" s="1248"/>
      <c r="B921" s="613"/>
      <c r="C921" s="161"/>
      <c r="D921" s="196"/>
      <c r="E921" s="161"/>
      <c r="F921" s="160"/>
      <c r="G921" s="160"/>
      <c r="H921" s="32"/>
      <c r="I921" s="32"/>
      <c r="J921" s="32"/>
    </row>
    <row r="922" spans="1:10" s="380" customFormat="1">
      <c r="A922" s="1248"/>
      <c r="B922" s="613"/>
      <c r="C922" s="161"/>
      <c r="D922" s="196"/>
      <c r="E922" s="161"/>
      <c r="F922" s="160"/>
      <c r="G922" s="160"/>
      <c r="H922" s="32"/>
      <c r="I922" s="32"/>
      <c r="J922" s="32"/>
    </row>
    <row r="923" spans="1:10" s="380" customFormat="1">
      <c r="A923" s="1248"/>
      <c r="B923" s="613"/>
      <c r="C923" s="161"/>
      <c r="D923" s="196"/>
      <c r="E923" s="161"/>
      <c r="F923" s="160"/>
      <c r="G923" s="160"/>
      <c r="H923" s="32"/>
      <c r="I923" s="32"/>
      <c r="J923" s="32"/>
    </row>
    <row r="924" spans="1:10" s="380" customFormat="1">
      <c r="A924" s="1248"/>
      <c r="B924" s="613"/>
      <c r="C924" s="161"/>
      <c r="D924" s="196"/>
      <c r="E924" s="161"/>
      <c r="F924" s="160"/>
      <c r="G924" s="160"/>
      <c r="H924" s="32"/>
      <c r="I924" s="32"/>
      <c r="J924" s="32"/>
    </row>
    <row r="925" spans="1:10" s="380" customFormat="1">
      <c r="A925" s="1248"/>
      <c r="B925" s="613"/>
      <c r="C925" s="161"/>
      <c r="D925" s="196"/>
      <c r="E925" s="161"/>
      <c r="F925" s="160"/>
      <c r="G925" s="160"/>
      <c r="H925" s="32"/>
      <c r="I925" s="32"/>
      <c r="J925" s="32"/>
    </row>
    <row r="926" spans="1:10" s="380" customFormat="1">
      <c r="A926" s="1248"/>
      <c r="B926" s="613"/>
      <c r="C926" s="161"/>
      <c r="D926" s="196"/>
      <c r="E926" s="161"/>
      <c r="F926" s="160"/>
      <c r="G926" s="160"/>
      <c r="H926" s="32"/>
      <c r="I926" s="32"/>
      <c r="J926" s="32"/>
    </row>
    <row r="927" spans="1:10" s="380" customFormat="1">
      <c r="A927" s="1248"/>
      <c r="B927" s="613"/>
      <c r="C927" s="161"/>
      <c r="D927" s="196"/>
      <c r="E927" s="161"/>
      <c r="F927" s="160"/>
      <c r="G927" s="160"/>
      <c r="H927" s="32"/>
      <c r="I927" s="32"/>
      <c r="J927" s="32"/>
    </row>
    <row r="928" spans="1:10" s="380" customFormat="1">
      <c r="A928" s="1248"/>
      <c r="B928" s="613"/>
      <c r="C928" s="161"/>
      <c r="D928" s="196"/>
      <c r="E928" s="161"/>
      <c r="F928" s="160"/>
      <c r="G928" s="160"/>
      <c r="H928" s="32"/>
      <c r="I928" s="32"/>
      <c r="J928" s="32"/>
    </row>
    <row r="929" spans="1:10" s="380" customFormat="1">
      <c r="A929" s="1248"/>
      <c r="B929" s="613"/>
      <c r="C929" s="161"/>
      <c r="D929" s="196"/>
      <c r="E929" s="161"/>
      <c r="F929" s="160"/>
      <c r="G929" s="160"/>
      <c r="H929" s="32"/>
      <c r="I929" s="32"/>
      <c r="J929" s="32"/>
    </row>
    <row r="930" spans="1:10" s="380" customFormat="1">
      <c r="A930" s="1248"/>
      <c r="B930" s="613"/>
      <c r="C930" s="161"/>
      <c r="D930" s="196"/>
      <c r="E930" s="161"/>
      <c r="F930" s="160"/>
      <c r="G930" s="160"/>
      <c r="H930" s="32"/>
      <c r="I930" s="32"/>
      <c r="J930" s="32"/>
    </row>
    <row r="931" spans="1:10" s="380" customFormat="1">
      <c r="A931" s="1248"/>
      <c r="B931" s="613"/>
      <c r="C931" s="161"/>
      <c r="D931" s="196"/>
      <c r="E931" s="161"/>
      <c r="F931" s="160"/>
      <c r="G931" s="160"/>
      <c r="H931" s="32"/>
      <c r="I931" s="32"/>
      <c r="J931" s="32"/>
    </row>
    <row r="932" spans="1:10" s="380" customFormat="1">
      <c r="A932" s="1248"/>
      <c r="B932" s="613"/>
      <c r="C932" s="161"/>
      <c r="D932" s="196"/>
      <c r="E932" s="161"/>
      <c r="F932" s="160"/>
      <c r="G932" s="160"/>
      <c r="H932" s="32"/>
      <c r="I932" s="32"/>
      <c r="J932" s="32"/>
    </row>
    <row r="933" spans="1:10" s="380" customFormat="1">
      <c r="A933" s="1248"/>
      <c r="B933" s="613"/>
      <c r="C933" s="161"/>
      <c r="D933" s="196"/>
      <c r="E933" s="161"/>
      <c r="F933" s="160"/>
      <c r="G933" s="160"/>
      <c r="H933" s="32"/>
      <c r="I933" s="32"/>
      <c r="J933" s="32"/>
    </row>
    <row r="934" spans="1:10" s="380" customFormat="1">
      <c r="A934" s="1248"/>
      <c r="B934" s="613"/>
      <c r="C934" s="161"/>
      <c r="D934" s="196"/>
      <c r="E934" s="161"/>
      <c r="F934" s="160"/>
      <c r="G934" s="160"/>
      <c r="H934" s="32"/>
      <c r="I934" s="32"/>
      <c r="J934" s="32"/>
    </row>
    <row r="935" spans="1:10" s="380" customFormat="1">
      <c r="A935" s="1248"/>
      <c r="B935" s="613"/>
      <c r="C935" s="161"/>
      <c r="D935" s="196"/>
      <c r="E935" s="161"/>
      <c r="F935" s="160"/>
      <c r="G935" s="160"/>
      <c r="H935" s="32"/>
      <c r="I935" s="32"/>
      <c r="J935" s="32"/>
    </row>
    <row r="936" spans="1:10" s="380" customFormat="1">
      <c r="A936" s="1248"/>
      <c r="B936" s="613"/>
      <c r="C936" s="161"/>
      <c r="D936" s="196"/>
      <c r="E936" s="161"/>
      <c r="F936" s="160"/>
      <c r="G936" s="160"/>
      <c r="H936" s="32"/>
      <c r="I936" s="32"/>
      <c r="J936" s="32"/>
    </row>
    <row r="937" spans="1:10" s="380" customFormat="1">
      <c r="A937" s="1248"/>
      <c r="B937" s="613"/>
      <c r="C937" s="161"/>
      <c r="D937" s="196"/>
      <c r="E937" s="161"/>
      <c r="F937" s="160"/>
      <c r="G937" s="160"/>
      <c r="H937" s="32"/>
      <c r="I937" s="32"/>
      <c r="J937" s="32"/>
    </row>
    <row r="938" spans="1:10" s="380" customFormat="1">
      <c r="A938" s="1248"/>
      <c r="B938" s="613"/>
      <c r="C938" s="161"/>
      <c r="D938" s="196"/>
      <c r="E938" s="161"/>
      <c r="F938" s="160"/>
      <c r="G938" s="160"/>
      <c r="H938" s="32"/>
      <c r="I938" s="32"/>
      <c r="J938" s="32"/>
    </row>
    <row r="939" spans="1:10" s="380" customFormat="1">
      <c r="A939" s="1248"/>
      <c r="B939" s="613"/>
      <c r="C939" s="161"/>
      <c r="D939" s="196"/>
      <c r="E939" s="161"/>
      <c r="F939" s="160"/>
      <c r="G939" s="160"/>
      <c r="H939" s="32"/>
      <c r="I939" s="32"/>
      <c r="J939" s="32"/>
    </row>
    <row r="940" spans="1:10" s="380" customFormat="1">
      <c r="A940" s="1248"/>
      <c r="B940" s="613"/>
      <c r="C940" s="161"/>
      <c r="D940" s="196"/>
      <c r="E940" s="161"/>
      <c r="F940" s="160"/>
      <c r="G940" s="160"/>
      <c r="H940" s="32"/>
      <c r="I940" s="32"/>
      <c r="J940" s="32"/>
    </row>
    <row r="941" spans="1:10" s="380" customFormat="1">
      <c r="A941" s="1248"/>
      <c r="B941" s="613"/>
      <c r="C941" s="161"/>
      <c r="D941" s="196"/>
      <c r="E941" s="161"/>
      <c r="F941" s="160"/>
      <c r="G941" s="160"/>
      <c r="H941" s="32"/>
      <c r="I941" s="32"/>
      <c r="J941" s="32"/>
    </row>
    <row r="942" spans="1:10" s="380" customFormat="1">
      <c r="A942" s="1248"/>
      <c r="B942" s="613"/>
      <c r="C942" s="161"/>
      <c r="D942" s="196"/>
      <c r="E942" s="161"/>
      <c r="F942" s="160"/>
      <c r="G942" s="160"/>
      <c r="H942" s="32"/>
      <c r="I942" s="32"/>
      <c r="J942" s="32"/>
    </row>
    <row r="943" spans="1:10" s="380" customFormat="1">
      <c r="A943" s="1248"/>
      <c r="B943" s="613"/>
      <c r="C943" s="161"/>
      <c r="D943" s="196"/>
      <c r="E943" s="161"/>
      <c r="F943" s="160"/>
      <c r="G943" s="160"/>
      <c r="H943" s="32"/>
      <c r="I943" s="32"/>
      <c r="J943" s="32"/>
    </row>
    <row r="944" spans="1:10" s="380" customFormat="1">
      <c r="A944" s="1248"/>
      <c r="B944" s="613"/>
      <c r="C944" s="161"/>
      <c r="D944" s="196"/>
      <c r="E944" s="161"/>
      <c r="F944" s="160"/>
      <c r="G944" s="160"/>
      <c r="H944" s="32"/>
      <c r="I944" s="32"/>
      <c r="J944" s="32"/>
    </row>
    <row r="945" spans="1:10" s="380" customFormat="1">
      <c r="A945" s="1248"/>
      <c r="B945" s="613"/>
      <c r="C945" s="161"/>
      <c r="D945" s="196"/>
      <c r="E945" s="161"/>
      <c r="F945" s="160"/>
      <c r="G945" s="160"/>
      <c r="H945" s="32"/>
      <c r="I945" s="32"/>
      <c r="J945" s="32"/>
    </row>
    <row r="946" spans="1:10" s="380" customFormat="1">
      <c r="A946" s="1248"/>
      <c r="B946" s="613"/>
      <c r="C946" s="161"/>
      <c r="D946" s="196"/>
      <c r="E946" s="161"/>
      <c r="F946" s="160"/>
      <c r="G946" s="160"/>
      <c r="H946" s="32"/>
      <c r="I946" s="32"/>
      <c r="J946" s="32"/>
    </row>
    <row r="947" spans="1:10" s="380" customFormat="1">
      <c r="A947" s="1248"/>
      <c r="B947" s="613"/>
      <c r="C947" s="161"/>
      <c r="D947" s="196"/>
      <c r="E947" s="161"/>
      <c r="F947" s="160"/>
      <c r="G947" s="160"/>
      <c r="H947" s="32"/>
      <c r="I947" s="32"/>
      <c r="J947" s="32"/>
    </row>
    <row r="948" spans="1:10" s="380" customFormat="1">
      <c r="A948" s="1248"/>
      <c r="B948" s="613"/>
      <c r="C948" s="161"/>
      <c r="D948" s="196"/>
      <c r="E948" s="161"/>
      <c r="F948" s="160"/>
      <c r="G948" s="160"/>
      <c r="H948" s="32"/>
      <c r="I948" s="32"/>
      <c r="J948" s="32"/>
    </row>
    <row r="949" spans="1:10" s="380" customFormat="1">
      <c r="A949" s="1248"/>
      <c r="B949" s="613"/>
      <c r="C949" s="161"/>
      <c r="D949" s="196"/>
      <c r="E949" s="161"/>
      <c r="F949" s="160"/>
      <c r="G949" s="160"/>
      <c r="H949" s="32"/>
      <c r="I949" s="32"/>
      <c r="J949" s="32"/>
    </row>
    <row r="950" spans="1:10" s="380" customFormat="1">
      <c r="A950" s="1248"/>
      <c r="B950" s="613"/>
      <c r="C950" s="161"/>
      <c r="D950" s="196"/>
      <c r="E950" s="161"/>
      <c r="F950" s="160"/>
      <c r="G950" s="160"/>
      <c r="H950" s="32"/>
      <c r="I950" s="32"/>
      <c r="J950" s="32"/>
    </row>
    <row r="951" spans="1:10" s="380" customFormat="1">
      <c r="A951" s="1248"/>
      <c r="B951" s="613"/>
      <c r="C951" s="161"/>
      <c r="D951" s="196"/>
      <c r="E951" s="161"/>
      <c r="F951" s="160"/>
      <c r="G951" s="160"/>
      <c r="H951" s="32"/>
      <c r="I951" s="32"/>
      <c r="J951" s="32"/>
    </row>
    <row r="952" spans="1:10" s="380" customFormat="1">
      <c r="A952" s="1248"/>
      <c r="B952" s="613"/>
      <c r="C952" s="161"/>
      <c r="D952" s="196"/>
      <c r="E952" s="161"/>
      <c r="F952" s="160"/>
      <c r="G952" s="160"/>
      <c r="H952" s="32"/>
      <c r="I952" s="32"/>
      <c r="J952" s="32"/>
    </row>
    <row r="953" spans="1:10" s="380" customFormat="1">
      <c r="A953" s="1248"/>
      <c r="B953" s="613"/>
      <c r="C953" s="161"/>
      <c r="D953" s="196"/>
      <c r="E953" s="161"/>
      <c r="F953" s="160"/>
      <c r="G953" s="160"/>
      <c r="H953" s="32"/>
      <c r="I953" s="32"/>
      <c r="J953" s="32"/>
    </row>
    <row r="954" spans="1:10" s="380" customFormat="1">
      <c r="A954" s="1248"/>
      <c r="B954" s="613"/>
      <c r="C954" s="161"/>
      <c r="D954" s="196"/>
      <c r="E954" s="161"/>
      <c r="F954" s="160"/>
      <c r="G954" s="160"/>
      <c r="H954" s="32"/>
      <c r="I954" s="32"/>
      <c r="J954" s="32"/>
    </row>
    <row r="955" spans="1:10" s="380" customFormat="1">
      <c r="A955" s="1248"/>
      <c r="B955" s="613"/>
      <c r="C955" s="161"/>
      <c r="D955" s="196"/>
      <c r="E955" s="161"/>
      <c r="F955" s="160"/>
      <c r="G955" s="160"/>
      <c r="H955" s="32"/>
      <c r="I955" s="32"/>
      <c r="J955" s="32"/>
    </row>
    <row r="956" spans="1:10" s="380" customFormat="1">
      <c r="A956" s="1248"/>
      <c r="B956" s="613"/>
      <c r="C956" s="161"/>
      <c r="D956" s="196"/>
      <c r="E956" s="161"/>
      <c r="F956" s="160"/>
      <c r="G956" s="160"/>
      <c r="H956" s="32"/>
      <c r="I956" s="32"/>
      <c r="J956" s="32"/>
    </row>
    <row r="957" spans="1:10" s="380" customFormat="1">
      <c r="A957" s="1248"/>
      <c r="B957" s="613"/>
      <c r="C957" s="161"/>
      <c r="D957" s="196"/>
      <c r="E957" s="161"/>
      <c r="F957" s="160"/>
      <c r="G957" s="160"/>
      <c r="H957" s="32"/>
      <c r="I957" s="32"/>
      <c r="J957" s="32"/>
    </row>
    <row r="958" spans="1:10" s="380" customFormat="1">
      <c r="A958" s="1248"/>
      <c r="B958" s="613"/>
      <c r="C958" s="161"/>
      <c r="D958" s="196"/>
      <c r="E958" s="161"/>
      <c r="F958" s="160"/>
      <c r="G958" s="160"/>
      <c r="H958" s="32"/>
      <c r="I958" s="32"/>
      <c r="J958" s="32"/>
    </row>
    <row r="959" spans="1:10" s="380" customFormat="1">
      <c r="A959" s="1248"/>
      <c r="B959" s="613"/>
      <c r="C959" s="161"/>
      <c r="D959" s="196"/>
      <c r="E959" s="161"/>
      <c r="F959" s="160"/>
      <c r="G959" s="160"/>
      <c r="H959" s="32"/>
      <c r="I959" s="32"/>
      <c r="J959" s="32"/>
    </row>
    <row r="960" spans="1:10" s="380" customFormat="1">
      <c r="A960" s="1248"/>
      <c r="B960" s="613"/>
      <c r="C960" s="161"/>
      <c r="D960" s="196"/>
      <c r="E960" s="161"/>
      <c r="F960" s="160"/>
      <c r="G960" s="160"/>
      <c r="H960" s="32"/>
      <c r="I960" s="32"/>
      <c r="J960" s="32"/>
    </row>
    <row r="961" spans="1:10" s="380" customFormat="1">
      <c r="A961" s="1248"/>
      <c r="B961" s="613"/>
      <c r="C961" s="161"/>
      <c r="D961" s="196"/>
      <c r="E961" s="161"/>
      <c r="F961" s="160"/>
      <c r="G961" s="160"/>
      <c r="H961" s="32"/>
      <c r="I961" s="32"/>
      <c r="J961" s="32"/>
    </row>
    <row r="962" spans="1:10" s="380" customFormat="1">
      <c r="A962" s="1248"/>
      <c r="B962" s="613"/>
      <c r="C962" s="161"/>
      <c r="D962" s="196"/>
      <c r="E962" s="161"/>
      <c r="F962" s="160"/>
      <c r="G962" s="160"/>
      <c r="H962" s="32"/>
      <c r="I962" s="32"/>
      <c r="J962" s="32"/>
    </row>
    <row r="963" spans="1:10" s="380" customFormat="1">
      <c r="A963" s="1248"/>
      <c r="B963" s="613"/>
      <c r="C963" s="161"/>
      <c r="D963" s="196"/>
      <c r="E963" s="161"/>
      <c r="F963" s="160"/>
      <c r="G963" s="160"/>
      <c r="H963" s="32"/>
      <c r="I963" s="32"/>
      <c r="J963" s="32"/>
    </row>
    <row r="964" spans="1:10" s="380" customFormat="1">
      <c r="A964" s="1248"/>
      <c r="B964" s="613"/>
      <c r="C964" s="161"/>
      <c r="D964" s="196"/>
      <c r="E964" s="161"/>
      <c r="F964" s="160"/>
      <c r="G964" s="160"/>
      <c r="H964" s="32"/>
      <c r="I964" s="32"/>
      <c r="J964" s="32"/>
    </row>
    <row r="965" spans="1:10" s="380" customFormat="1">
      <c r="A965" s="1248"/>
      <c r="B965" s="613"/>
      <c r="C965" s="161"/>
      <c r="D965" s="196"/>
      <c r="E965" s="161"/>
      <c r="F965" s="160"/>
      <c r="G965" s="160"/>
      <c r="H965" s="32"/>
      <c r="I965" s="32"/>
      <c r="J965" s="32"/>
    </row>
    <row r="966" spans="1:10" s="380" customFormat="1">
      <c r="A966" s="1248"/>
      <c r="B966" s="613"/>
      <c r="C966" s="161"/>
      <c r="D966" s="196"/>
      <c r="E966" s="161"/>
      <c r="F966" s="160"/>
      <c r="G966" s="160"/>
      <c r="H966" s="32"/>
      <c r="I966" s="32"/>
      <c r="J966" s="32"/>
    </row>
    <row r="967" spans="1:10" s="380" customFormat="1">
      <c r="A967" s="1248"/>
      <c r="B967" s="613"/>
      <c r="C967" s="161"/>
      <c r="D967" s="196"/>
      <c r="E967" s="161"/>
      <c r="F967" s="160"/>
      <c r="G967" s="160"/>
      <c r="H967" s="32"/>
      <c r="I967" s="32"/>
      <c r="J967" s="32"/>
    </row>
    <row r="968" spans="1:10" s="380" customFormat="1">
      <c r="A968" s="1248"/>
      <c r="B968" s="613"/>
      <c r="C968" s="161"/>
      <c r="D968" s="196"/>
      <c r="E968" s="161"/>
      <c r="F968" s="160"/>
      <c r="G968" s="160"/>
      <c r="H968" s="32"/>
      <c r="I968" s="32"/>
      <c r="J968" s="32"/>
    </row>
    <row r="969" spans="1:10" s="380" customFormat="1">
      <c r="A969" s="1248"/>
      <c r="B969" s="613"/>
      <c r="C969" s="161"/>
      <c r="D969" s="196"/>
      <c r="E969" s="161"/>
      <c r="F969" s="160"/>
      <c r="G969" s="160"/>
      <c r="H969" s="32"/>
      <c r="I969" s="32"/>
      <c r="J969" s="32"/>
    </row>
    <row r="970" spans="1:10" s="380" customFormat="1">
      <c r="A970" s="1248"/>
      <c r="B970" s="613"/>
      <c r="C970" s="161"/>
      <c r="D970" s="196"/>
      <c r="E970" s="161"/>
      <c r="F970" s="160"/>
      <c r="G970" s="160"/>
      <c r="H970" s="32"/>
      <c r="I970" s="32"/>
      <c r="J970" s="32"/>
    </row>
    <row r="971" spans="1:10" s="380" customFormat="1">
      <c r="A971" s="1248"/>
      <c r="B971" s="613"/>
      <c r="C971" s="161"/>
      <c r="D971" s="196"/>
      <c r="E971" s="161"/>
      <c r="F971" s="160"/>
      <c r="G971" s="160"/>
      <c r="H971" s="32"/>
      <c r="I971" s="32"/>
      <c r="J971" s="32"/>
    </row>
    <row r="972" spans="1:10" s="380" customFormat="1">
      <c r="A972" s="1248"/>
      <c r="B972" s="613"/>
      <c r="C972" s="161"/>
      <c r="D972" s="196"/>
      <c r="E972" s="161"/>
      <c r="F972" s="160"/>
      <c r="G972" s="160"/>
      <c r="H972" s="32"/>
      <c r="I972" s="32"/>
      <c r="J972" s="32"/>
    </row>
    <row r="973" spans="1:10" s="380" customFormat="1">
      <c r="A973" s="1248"/>
      <c r="B973" s="613"/>
      <c r="C973" s="161"/>
      <c r="D973" s="196"/>
      <c r="E973" s="161"/>
      <c r="F973" s="160"/>
      <c r="G973" s="160"/>
      <c r="H973" s="32"/>
      <c r="I973" s="32"/>
      <c r="J973" s="32"/>
    </row>
    <row r="974" spans="1:10" s="380" customFormat="1">
      <c r="A974" s="1248"/>
      <c r="B974" s="613"/>
      <c r="C974" s="161"/>
      <c r="D974" s="196"/>
      <c r="E974" s="161"/>
      <c r="F974" s="160"/>
      <c r="G974" s="160"/>
      <c r="H974" s="32"/>
      <c r="I974" s="32"/>
      <c r="J974" s="32"/>
    </row>
    <row r="975" spans="1:10" s="380" customFormat="1">
      <c r="A975" s="1248"/>
      <c r="B975" s="613"/>
      <c r="C975" s="161"/>
      <c r="D975" s="196"/>
      <c r="E975" s="161"/>
      <c r="F975" s="160"/>
      <c r="G975" s="160"/>
      <c r="H975" s="32"/>
      <c r="I975" s="32"/>
      <c r="J975" s="32"/>
    </row>
    <row r="976" spans="1:10" s="380" customFormat="1">
      <c r="A976" s="1248"/>
      <c r="B976" s="613"/>
      <c r="C976" s="161"/>
      <c r="D976" s="196"/>
      <c r="E976" s="161"/>
      <c r="F976" s="160"/>
      <c r="G976" s="160"/>
      <c r="H976" s="32"/>
      <c r="I976" s="32"/>
      <c r="J976" s="32"/>
    </row>
    <row r="977" spans="1:10" s="380" customFormat="1">
      <c r="A977" s="1248"/>
      <c r="B977" s="613"/>
      <c r="C977" s="161"/>
      <c r="D977" s="196"/>
      <c r="E977" s="161"/>
      <c r="F977" s="160"/>
      <c r="G977" s="160"/>
      <c r="H977" s="32"/>
      <c r="I977" s="32"/>
      <c r="J977" s="32"/>
    </row>
    <row r="978" spans="1:10" s="380" customFormat="1">
      <c r="A978" s="1248"/>
      <c r="B978" s="613"/>
      <c r="C978" s="161"/>
      <c r="D978" s="196"/>
      <c r="E978" s="161"/>
      <c r="F978" s="160"/>
      <c r="G978" s="160"/>
      <c r="H978" s="32"/>
      <c r="I978" s="32"/>
      <c r="J978" s="32"/>
    </row>
    <row r="979" spans="1:10" s="380" customFormat="1">
      <c r="A979" s="1248"/>
      <c r="B979" s="613"/>
      <c r="C979" s="161"/>
      <c r="D979" s="196"/>
      <c r="E979" s="161"/>
      <c r="F979" s="160"/>
      <c r="G979" s="160"/>
      <c r="H979" s="32"/>
      <c r="I979" s="32"/>
      <c r="J979" s="32"/>
    </row>
    <row r="980" spans="1:10" s="380" customFormat="1">
      <c r="A980" s="1248"/>
      <c r="B980" s="613"/>
      <c r="C980" s="161"/>
      <c r="D980" s="196"/>
      <c r="E980" s="161"/>
      <c r="F980" s="160"/>
      <c r="G980" s="160"/>
      <c r="H980" s="32"/>
      <c r="I980" s="32"/>
      <c r="J980" s="32"/>
    </row>
    <row r="981" spans="1:10" s="380" customFormat="1">
      <c r="A981" s="1248"/>
      <c r="B981" s="613"/>
      <c r="C981" s="161"/>
      <c r="D981" s="196"/>
      <c r="E981" s="161"/>
      <c r="F981" s="160"/>
      <c r="G981" s="160"/>
      <c r="H981" s="32"/>
      <c r="I981" s="32"/>
      <c r="J981" s="32"/>
    </row>
    <row r="982" spans="1:10" s="380" customFormat="1">
      <c r="A982" s="1248"/>
      <c r="B982" s="613"/>
      <c r="C982" s="161"/>
      <c r="D982" s="196"/>
      <c r="E982" s="161"/>
      <c r="F982" s="160"/>
      <c r="G982" s="160"/>
      <c r="H982" s="32"/>
      <c r="I982" s="32"/>
      <c r="J982" s="32"/>
    </row>
    <row r="983" spans="1:10" s="380" customFormat="1">
      <c r="A983" s="1248"/>
      <c r="B983" s="613"/>
      <c r="C983" s="161"/>
      <c r="D983" s="196"/>
      <c r="E983" s="161"/>
      <c r="F983" s="160"/>
      <c r="G983" s="160"/>
      <c r="H983" s="32"/>
      <c r="I983" s="32"/>
      <c r="J983" s="32"/>
    </row>
    <row r="984" spans="1:10" s="380" customFormat="1">
      <c r="A984" s="1248"/>
      <c r="B984" s="613"/>
      <c r="C984" s="161"/>
      <c r="D984" s="196"/>
      <c r="E984" s="161"/>
      <c r="F984" s="160"/>
      <c r="G984" s="160"/>
      <c r="H984" s="32"/>
      <c r="I984" s="32"/>
      <c r="J984" s="32"/>
    </row>
    <row r="985" spans="1:10" s="380" customFormat="1">
      <c r="A985" s="1248"/>
      <c r="B985" s="613"/>
      <c r="C985" s="161"/>
      <c r="D985" s="196"/>
      <c r="E985" s="161"/>
      <c r="F985" s="160"/>
      <c r="G985" s="160"/>
      <c r="H985" s="32"/>
      <c r="I985" s="32"/>
      <c r="J985" s="32"/>
    </row>
    <row r="986" spans="1:10" s="380" customFormat="1">
      <c r="A986" s="1248"/>
      <c r="B986" s="613"/>
      <c r="C986" s="161"/>
      <c r="D986" s="196"/>
      <c r="E986" s="161"/>
      <c r="F986" s="160"/>
      <c r="G986" s="160"/>
      <c r="H986" s="32"/>
      <c r="I986" s="32"/>
      <c r="J986" s="32"/>
    </row>
    <row r="987" spans="1:10" s="380" customFormat="1">
      <c r="A987" s="1248"/>
      <c r="B987" s="613"/>
      <c r="C987" s="161"/>
      <c r="D987" s="196"/>
      <c r="E987" s="161"/>
      <c r="F987" s="160"/>
      <c r="G987" s="160"/>
      <c r="H987" s="32"/>
      <c r="I987" s="32"/>
      <c r="J987" s="32"/>
    </row>
    <row r="988" spans="1:10" s="380" customFormat="1">
      <c r="A988" s="1248"/>
      <c r="B988" s="613"/>
      <c r="C988" s="161"/>
      <c r="D988" s="196"/>
      <c r="E988" s="161"/>
      <c r="F988" s="160"/>
      <c r="G988" s="160"/>
      <c r="H988" s="32"/>
      <c r="I988" s="32"/>
      <c r="J988" s="32"/>
    </row>
    <row r="989" spans="1:10" s="380" customFormat="1">
      <c r="A989" s="1248"/>
      <c r="B989" s="613"/>
      <c r="C989" s="161"/>
      <c r="D989" s="196"/>
      <c r="E989" s="161"/>
      <c r="F989" s="160"/>
      <c r="G989" s="160"/>
      <c r="H989" s="32"/>
      <c r="I989" s="32"/>
      <c r="J989" s="32"/>
    </row>
    <row r="990" spans="1:10" s="380" customFormat="1">
      <c r="A990" s="1248"/>
      <c r="B990" s="613"/>
      <c r="C990" s="161"/>
      <c r="D990" s="196"/>
      <c r="E990" s="161"/>
      <c r="F990" s="160"/>
      <c r="G990" s="160"/>
      <c r="H990" s="32"/>
      <c r="I990" s="32"/>
      <c r="J990" s="32"/>
    </row>
    <row r="991" spans="1:10" s="380" customFormat="1">
      <c r="A991" s="1248"/>
      <c r="B991" s="613"/>
      <c r="C991" s="161"/>
      <c r="D991" s="196"/>
      <c r="E991" s="161"/>
      <c r="F991" s="160"/>
      <c r="G991" s="160"/>
      <c r="H991" s="32"/>
      <c r="I991" s="32"/>
      <c r="J991" s="32"/>
    </row>
    <row r="992" spans="1:10" s="380" customFormat="1">
      <c r="A992" s="1248"/>
      <c r="B992" s="613"/>
      <c r="C992" s="161"/>
      <c r="D992" s="196"/>
      <c r="E992" s="161"/>
      <c r="F992" s="160"/>
      <c r="G992" s="160"/>
      <c r="H992" s="32"/>
      <c r="I992" s="32"/>
      <c r="J992" s="32"/>
    </row>
    <row r="993" spans="1:10" s="380" customFormat="1">
      <c r="A993" s="1248"/>
      <c r="B993" s="613"/>
      <c r="C993" s="161"/>
      <c r="D993" s="196"/>
      <c r="E993" s="161"/>
      <c r="F993" s="160"/>
      <c r="G993" s="160"/>
      <c r="H993" s="32"/>
      <c r="I993" s="32"/>
      <c r="J993" s="32"/>
    </row>
    <row r="994" spans="1:10" s="380" customFormat="1">
      <c r="A994" s="1248"/>
      <c r="B994" s="613"/>
      <c r="C994" s="161"/>
      <c r="D994" s="196"/>
      <c r="E994" s="161"/>
      <c r="F994" s="160"/>
      <c r="G994" s="160"/>
      <c r="H994" s="32"/>
      <c r="I994" s="32"/>
      <c r="J994" s="32"/>
    </row>
    <row r="995" spans="1:10" s="380" customFormat="1">
      <c r="A995" s="1248"/>
      <c r="B995" s="613"/>
      <c r="C995" s="161"/>
      <c r="D995" s="196"/>
      <c r="E995" s="161"/>
      <c r="F995" s="160"/>
      <c r="G995" s="160"/>
      <c r="H995" s="32"/>
      <c r="I995" s="32"/>
      <c r="J995" s="32"/>
    </row>
    <row r="996" spans="1:10" s="380" customFormat="1">
      <c r="A996" s="1248"/>
      <c r="B996" s="613"/>
      <c r="C996" s="161"/>
      <c r="D996" s="196"/>
      <c r="E996" s="161"/>
      <c r="F996" s="160"/>
      <c r="G996" s="160"/>
      <c r="H996" s="32"/>
      <c r="I996" s="32"/>
      <c r="J996" s="32"/>
    </row>
    <row r="997" spans="1:10" s="380" customFormat="1">
      <c r="A997" s="1248"/>
      <c r="B997" s="613"/>
      <c r="C997" s="161"/>
      <c r="D997" s="196"/>
      <c r="E997" s="161"/>
      <c r="F997" s="160"/>
      <c r="G997" s="160"/>
      <c r="H997" s="32"/>
      <c r="I997" s="32"/>
      <c r="J997" s="32"/>
    </row>
    <row r="998" spans="1:10" s="380" customFormat="1">
      <c r="A998" s="1248"/>
      <c r="B998" s="613"/>
      <c r="C998" s="161"/>
      <c r="D998" s="196"/>
      <c r="E998" s="161"/>
      <c r="F998" s="160"/>
      <c r="G998" s="160"/>
      <c r="H998" s="32"/>
      <c r="I998" s="32"/>
      <c r="J998" s="32"/>
    </row>
    <row r="999" spans="1:10" s="380" customFormat="1">
      <c r="A999" s="1248"/>
      <c r="B999" s="613"/>
      <c r="C999" s="161"/>
      <c r="D999" s="196"/>
      <c r="E999" s="161"/>
      <c r="F999" s="160"/>
      <c r="G999" s="160"/>
      <c r="H999" s="32"/>
      <c r="I999" s="32"/>
      <c r="J999" s="32"/>
    </row>
    <row r="1000" spans="1:10" s="380" customFormat="1">
      <c r="A1000" s="1248"/>
      <c r="B1000" s="613"/>
      <c r="C1000" s="161"/>
      <c r="D1000" s="196"/>
      <c r="E1000" s="161"/>
      <c r="F1000" s="160"/>
      <c r="G1000" s="160"/>
      <c r="H1000" s="32"/>
      <c r="I1000" s="32"/>
      <c r="J1000" s="32"/>
    </row>
    <row r="1001" spans="1:10" s="380" customFormat="1">
      <c r="A1001" s="1248"/>
      <c r="B1001" s="613"/>
      <c r="C1001" s="161"/>
      <c r="D1001" s="196"/>
      <c r="E1001" s="161"/>
      <c r="F1001" s="160"/>
      <c r="G1001" s="160"/>
      <c r="H1001" s="32"/>
      <c r="I1001" s="32"/>
      <c r="J1001" s="32"/>
    </row>
    <row r="1002" spans="1:10" s="380" customFormat="1">
      <c r="A1002" s="1248"/>
      <c r="B1002" s="613"/>
      <c r="C1002" s="161"/>
      <c r="D1002" s="196"/>
      <c r="E1002" s="161"/>
      <c r="F1002" s="160"/>
      <c r="G1002" s="160"/>
      <c r="H1002" s="32"/>
      <c r="I1002" s="32"/>
      <c r="J1002" s="32"/>
    </row>
    <row r="1003" spans="1:10" s="380" customFormat="1">
      <c r="A1003" s="1248"/>
      <c r="B1003" s="613"/>
      <c r="C1003" s="161"/>
      <c r="D1003" s="196"/>
      <c r="E1003" s="161"/>
      <c r="F1003" s="160"/>
      <c r="G1003" s="160"/>
      <c r="H1003" s="32"/>
      <c r="I1003" s="32"/>
      <c r="J1003" s="32"/>
    </row>
    <row r="1004" spans="1:10" s="380" customFormat="1">
      <c r="A1004" s="1248"/>
      <c r="B1004" s="613"/>
      <c r="C1004" s="161"/>
      <c r="D1004" s="196"/>
      <c r="E1004" s="161"/>
      <c r="F1004" s="160"/>
      <c r="G1004" s="160"/>
      <c r="H1004" s="32"/>
      <c r="I1004" s="32"/>
      <c r="J1004" s="32"/>
    </row>
    <row r="1005" spans="1:10" s="380" customFormat="1">
      <c r="A1005" s="1248"/>
      <c r="B1005" s="613"/>
      <c r="C1005" s="161"/>
      <c r="D1005" s="196"/>
      <c r="E1005" s="161"/>
      <c r="F1005" s="160"/>
      <c r="G1005" s="160"/>
      <c r="H1005" s="32"/>
      <c r="I1005" s="32"/>
      <c r="J1005" s="32"/>
    </row>
    <row r="1006" spans="1:10" s="380" customFormat="1">
      <c r="A1006" s="1248"/>
      <c r="B1006" s="613"/>
      <c r="C1006" s="161"/>
      <c r="D1006" s="196"/>
      <c r="E1006" s="161"/>
      <c r="F1006" s="160"/>
      <c r="G1006" s="160"/>
      <c r="H1006" s="32"/>
      <c r="I1006" s="32"/>
      <c r="J1006" s="32"/>
    </row>
    <row r="1007" spans="1:10" s="380" customFormat="1">
      <c r="A1007" s="1248"/>
      <c r="B1007" s="613"/>
      <c r="C1007" s="161"/>
      <c r="D1007" s="196"/>
      <c r="E1007" s="161"/>
      <c r="F1007" s="160"/>
      <c r="G1007" s="160"/>
      <c r="H1007" s="32"/>
      <c r="I1007" s="32"/>
      <c r="J1007" s="32"/>
    </row>
    <row r="1008" spans="1:10" s="380" customFormat="1">
      <c r="A1008" s="1248"/>
      <c r="B1008" s="613"/>
      <c r="C1008" s="161"/>
      <c r="D1008" s="196"/>
      <c r="E1008" s="161"/>
      <c r="F1008" s="160"/>
      <c r="G1008" s="160"/>
      <c r="H1008" s="32"/>
      <c r="I1008" s="32"/>
      <c r="J1008" s="32"/>
    </row>
    <row r="1009" spans="1:10" s="380" customFormat="1">
      <c r="A1009" s="1248"/>
      <c r="B1009" s="613"/>
      <c r="C1009" s="161"/>
      <c r="D1009" s="196"/>
      <c r="E1009" s="161"/>
      <c r="F1009" s="160"/>
      <c r="G1009" s="160"/>
      <c r="H1009" s="32"/>
      <c r="I1009" s="32"/>
      <c r="J1009" s="32"/>
    </row>
    <row r="1010" spans="1:10" s="380" customFormat="1">
      <c r="A1010" s="1248"/>
      <c r="B1010" s="613"/>
      <c r="C1010" s="161"/>
      <c r="D1010" s="196"/>
      <c r="E1010" s="161"/>
      <c r="F1010" s="160"/>
      <c r="G1010" s="160"/>
      <c r="H1010" s="32"/>
      <c r="I1010" s="32"/>
      <c r="J1010" s="32"/>
    </row>
    <row r="1011" spans="1:10" s="380" customFormat="1">
      <c r="A1011" s="1248"/>
      <c r="B1011" s="613"/>
      <c r="C1011" s="161"/>
      <c r="D1011" s="196"/>
      <c r="E1011" s="161"/>
      <c r="F1011" s="160"/>
      <c r="G1011" s="160"/>
      <c r="H1011" s="32"/>
      <c r="I1011" s="32"/>
      <c r="J1011" s="32"/>
    </row>
    <row r="1012" spans="1:10" s="380" customFormat="1">
      <c r="A1012" s="1248"/>
      <c r="B1012" s="613"/>
      <c r="C1012" s="161"/>
      <c r="D1012" s="196"/>
      <c r="E1012" s="161"/>
      <c r="F1012" s="160"/>
      <c r="G1012" s="160"/>
      <c r="H1012" s="32"/>
      <c r="I1012" s="32"/>
      <c r="J1012" s="32"/>
    </row>
    <row r="1013" spans="1:10" s="380" customFormat="1">
      <c r="A1013" s="1248"/>
      <c r="B1013" s="613"/>
      <c r="C1013" s="161"/>
      <c r="D1013" s="196"/>
      <c r="E1013" s="161"/>
      <c r="F1013" s="160"/>
      <c r="G1013" s="160"/>
      <c r="H1013" s="32"/>
      <c r="I1013" s="32"/>
      <c r="J1013" s="32"/>
    </row>
    <row r="1014" spans="1:10" s="380" customFormat="1">
      <c r="A1014" s="1248"/>
      <c r="B1014" s="613"/>
      <c r="C1014" s="161"/>
      <c r="D1014" s="196"/>
      <c r="E1014" s="161"/>
      <c r="F1014" s="160"/>
      <c r="G1014" s="160"/>
      <c r="H1014" s="32"/>
      <c r="I1014" s="32"/>
      <c r="J1014" s="32"/>
    </row>
    <row r="1015" spans="1:10" s="380" customFormat="1">
      <c r="A1015" s="1248"/>
      <c r="B1015" s="613"/>
      <c r="C1015" s="161"/>
      <c r="D1015" s="196"/>
      <c r="E1015" s="161"/>
      <c r="F1015" s="160"/>
      <c r="G1015" s="160"/>
      <c r="H1015" s="32"/>
      <c r="I1015" s="32"/>
      <c r="J1015" s="32"/>
    </row>
    <row r="1016" spans="1:10" s="380" customFormat="1">
      <c r="A1016" s="1248"/>
      <c r="B1016" s="613"/>
      <c r="C1016" s="161"/>
      <c r="D1016" s="196"/>
      <c r="E1016" s="161"/>
      <c r="F1016" s="160"/>
      <c r="G1016" s="160"/>
      <c r="H1016" s="32"/>
      <c r="I1016" s="32"/>
      <c r="J1016" s="32"/>
    </row>
    <row r="1017" spans="1:10" s="380" customFormat="1">
      <c r="A1017" s="1248"/>
      <c r="B1017" s="613"/>
      <c r="C1017" s="161"/>
      <c r="D1017" s="196"/>
      <c r="E1017" s="161"/>
      <c r="F1017" s="160"/>
      <c r="G1017" s="160"/>
      <c r="H1017" s="32"/>
      <c r="I1017" s="32"/>
      <c r="J1017" s="32"/>
    </row>
    <row r="1018" spans="1:10" s="380" customFormat="1">
      <c r="A1018" s="1248"/>
      <c r="B1018" s="613"/>
      <c r="C1018" s="161"/>
      <c r="D1018" s="196"/>
      <c r="E1018" s="161"/>
      <c r="F1018" s="160"/>
      <c r="G1018" s="160"/>
      <c r="H1018" s="32"/>
      <c r="I1018" s="32"/>
      <c r="J1018" s="32"/>
    </row>
    <row r="1019" spans="1:10" s="380" customFormat="1">
      <c r="A1019" s="1248"/>
      <c r="B1019" s="613"/>
      <c r="C1019" s="161"/>
      <c r="D1019" s="196"/>
      <c r="E1019" s="161"/>
      <c r="F1019" s="160"/>
      <c r="G1019" s="160"/>
      <c r="H1019" s="32"/>
      <c r="I1019" s="32"/>
      <c r="J1019" s="32"/>
    </row>
    <row r="1020" spans="1:10" s="380" customFormat="1">
      <c r="A1020" s="1248"/>
      <c r="B1020" s="613"/>
      <c r="C1020" s="161"/>
      <c r="D1020" s="196"/>
      <c r="E1020" s="161"/>
      <c r="F1020" s="160"/>
      <c r="G1020" s="160"/>
      <c r="H1020" s="32"/>
      <c r="I1020" s="32"/>
      <c r="J1020" s="32"/>
    </row>
    <row r="1021" spans="1:10" s="380" customFormat="1">
      <c r="A1021" s="1248"/>
      <c r="B1021" s="613"/>
      <c r="C1021" s="161"/>
      <c r="D1021" s="196"/>
      <c r="E1021" s="161"/>
      <c r="F1021" s="160"/>
      <c r="G1021" s="160"/>
      <c r="H1021" s="32"/>
      <c r="I1021" s="32"/>
      <c r="J1021" s="32"/>
    </row>
    <row r="1022" spans="1:10" s="380" customFormat="1">
      <c r="A1022" s="1248"/>
      <c r="B1022" s="613"/>
      <c r="C1022" s="161"/>
      <c r="D1022" s="196"/>
      <c r="E1022" s="161"/>
      <c r="F1022" s="160"/>
      <c r="G1022" s="160"/>
      <c r="H1022" s="32"/>
      <c r="I1022" s="32"/>
      <c r="J1022" s="32"/>
    </row>
    <row r="1023" spans="1:10" s="380" customFormat="1">
      <c r="A1023" s="1248"/>
      <c r="B1023" s="613"/>
      <c r="C1023" s="161"/>
      <c r="D1023" s="196"/>
      <c r="E1023" s="161"/>
      <c r="F1023" s="160"/>
      <c r="G1023" s="160"/>
      <c r="H1023" s="32"/>
      <c r="I1023" s="32"/>
      <c r="J1023" s="32"/>
    </row>
    <row r="1024" spans="1:10" s="380" customFormat="1">
      <c r="A1024" s="1248"/>
      <c r="B1024" s="613"/>
      <c r="C1024" s="161"/>
      <c r="D1024" s="196"/>
      <c r="E1024" s="161"/>
      <c r="F1024" s="160"/>
      <c r="G1024" s="160"/>
      <c r="H1024" s="32"/>
      <c r="I1024" s="32"/>
      <c r="J1024" s="32"/>
    </row>
    <row r="1025" spans="1:10" s="380" customFormat="1">
      <c r="A1025" s="1248"/>
      <c r="B1025" s="613"/>
      <c r="C1025" s="161"/>
      <c r="D1025" s="196"/>
      <c r="E1025" s="161"/>
      <c r="F1025" s="160"/>
      <c r="G1025" s="160"/>
      <c r="H1025" s="32"/>
      <c r="I1025" s="32"/>
      <c r="J1025" s="32"/>
    </row>
    <row r="1026" spans="1:10" s="380" customFormat="1">
      <c r="A1026" s="1248"/>
      <c r="B1026" s="613"/>
      <c r="C1026" s="161"/>
      <c r="D1026" s="196"/>
      <c r="E1026" s="161"/>
      <c r="F1026" s="160"/>
      <c r="G1026" s="160"/>
      <c r="H1026" s="32"/>
      <c r="I1026" s="32"/>
      <c r="J1026" s="32"/>
    </row>
    <row r="1027" spans="1:10" s="380" customFormat="1">
      <c r="A1027" s="1248"/>
      <c r="B1027" s="613"/>
      <c r="C1027" s="161"/>
      <c r="D1027" s="196"/>
      <c r="E1027" s="161"/>
      <c r="F1027" s="160"/>
      <c r="G1027" s="160"/>
      <c r="H1027" s="32"/>
      <c r="I1027" s="32"/>
      <c r="J1027" s="32"/>
    </row>
    <row r="1028" spans="1:10" s="380" customFormat="1">
      <c r="A1028" s="1248"/>
      <c r="B1028" s="613"/>
      <c r="C1028" s="161"/>
      <c r="D1028" s="196"/>
      <c r="E1028" s="161"/>
      <c r="F1028" s="160"/>
      <c r="G1028" s="160"/>
      <c r="H1028" s="32"/>
      <c r="I1028" s="32"/>
      <c r="J1028" s="32"/>
    </row>
    <row r="1029" spans="1:10" s="380" customFormat="1">
      <c r="A1029" s="1248"/>
      <c r="B1029" s="613"/>
      <c r="C1029" s="161"/>
      <c r="D1029" s="196"/>
      <c r="E1029" s="161"/>
      <c r="F1029" s="160"/>
      <c r="G1029" s="160"/>
      <c r="H1029" s="32"/>
      <c r="I1029" s="32"/>
      <c r="J1029" s="32"/>
    </row>
    <row r="1030" spans="1:10" s="380" customFormat="1">
      <c r="A1030" s="1248"/>
      <c r="B1030" s="613"/>
      <c r="C1030" s="161"/>
      <c r="D1030" s="196"/>
      <c r="E1030" s="161"/>
      <c r="F1030" s="160"/>
      <c r="G1030" s="160"/>
      <c r="H1030" s="32"/>
      <c r="I1030" s="32"/>
      <c r="J1030" s="32"/>
    </row>
    <row r="1031" spans="1:10" s="380" customFormat="1">
      <c r="A1031" s="1248"/>
      <c r="B1031" s="613"/>
      <c r="C1031" s="161"/>
      <c r="D1031" s="196"/>
      <c r="E1031" s="161"/>
      <c r="F1031" s="160"/>
      <c r="G1031" s="160"/>
      <c r="H1031" s="32"/>
      <c r="I1031" s="32"/>
      <c r="J1031" s="32"/>
    </row>
    <row r="1032" spans="1:10" s="380" customFormat="1">
      <c r="A1032" s="1248"/>
      <c r="B1032" s="613"/>
      <c r="C1032" s="161"/>
      <c r="D1032" s="196"/>
      <c r="E1032" s="161"/>
      <c r="F1032" s="160"/>
      <c r="G1032" s="160"/>
      <c r="H1032" s="32"/>
      <c r="I1032" s="32"/>
      <c r="J1032" s="32"/>
    </row>
    <row r="1033" spans="1:10" s="380" customFormat="1">
      <c r="A1033" s="1248"/>
      <c r="B1033" s="613"/>
      <c r="C1033" s="161"/>
      <c r="D1033" s="196"/>
      <c r="E1033" s="161"/>
      <c r="F1033" s="160"/>
      <c r="G1033" s="160"/>
      <c r="H1033" s="32"/>
      <c r="I1033" s="32"/>
      <c r="J1033" s="32"/>
    </row>
    <row r="1034" spans="1:10" s="380" customFormat="1">
      <c r="A1034" s="1248"/>
      <c r="B1034" s="613"/>
      <c r="C1034" s="161"/>
      <c r="D1034" s="196"/>
      <c r="E1034" s="161"/>
      <c r="F1034" s="160"/>
      <c r="G1034" s="160"/>
      <c r="H1034" s="32"/>
      <c r="I1034" s="32"/>
      <c r="J1034" s="32"/>
    </row>
    <row r="1035" spans="1:10" s="380" customFormat="1">
      <c r="A1035" s="1248"/>
      <c r="B1035" s="613"/>
      <c r="C1035" s="161"/>
      <c r="D1035" s="196"/>
      <c r="E1035" s="161"/>
      <c r="F1035" s="160"/>
      <c r="G1035" s="160"/>
      <c r="H1035" s="32"/>
      <c r="I1035" s="32"/>
      <c r="J1035" s="32"/>
    </row>
    <row r="1036" spans="1:10" s="380" customFormat="1">
      <c r="A1036" s="1248"/>
      <c r="B1036" s="613"/>
      <c r="C1036" s="161"/>
      <c r="D1036" s="196"/>
      <c r="E1036" s="161"/>
      <c r="F1036" s="160"/>
      <c r="G1036" s="160"/>
      <c r="H1036" s="32"/>
      <c r="I1036" s="32"/>
      <c r="J1036" s="32"/>
    </row>
    <row r="1037" spans="1:10" s="380" customFormat="1">
      <c r="A1037" s="1248"/>
      <c r="B1037" s="613"/>
      <c r="C1037" s="161"/>
      <c r="D1037" s="196"/>
      <c r="E1037" s="161"/>
      <c r="F1037" s="160"/>
      <c r="G1037" s="160"/>
      <c r="H1037" s="32"/>
      <c r="I1037" s="32"/>
      <c r="J1037" s="32"/>
    </row>
    <row r="1038" spans="1:10" s="380" customFormat="1">
      <c r="A1038" s="1248"/>
      <c r="B1038" s="613"/>
      <c r="C1038" s="161"/>
      <c r="D1038" s="196"/>
      <c r="E1038" s="161"/>
      <c r="F1038" s="160"/>
      <c r="G1038" s="160"/>
      <c r="H1038" s="32"/>
      <c r="I1038" s="32"/>
      <c r="J1038" s="32"/>
    </row>
    <row r="1039" spans="1:10" s="380" customFormat="1">
      <c r="A1039" s="1248"/>
      <c r="B1039" s="613"/>
      <c r="C1039" s="161"/>
      <c r="D1039" s="196"/>
      <c r="E1039" s="161"/>
      <c r="F1039" s="160"/>
      <c r="G1039" s="160"/>
      <c r="H1039" s="32"/>
      <c r="I1039" s="32"/>
      <c r="J1039" s="32"/>
    </row>
    <row r="1040" spans="1:10" s="380" customFormat="1">
      <c r="A1040" s="1248"/>
      <c r="B1040" s="613"/>
      <c r="C1040" s="161"/>
      <c r="D1040" s="196"/>
      <c r="E1040" s="161"/>
      <c r="F1040" s="160"/>
      <c r="G1040" s="160"/>
      <c r="H1040" s="32"/>
      <c r="I1040" s="32"/>
      <c r="J1040" s="32"/>
    </row>
    <row r="1041" spans="1:10" s="380" customFormat="1">
      <c r="A1041" s="1248"/>
      <c r="B1041" s="613"/>
      <c r="C1041" s="161"/>
      <c r="D1041" s="196"/>
      <c r="E1041" s="161"/>
      <c r="F1041" s="160"/>
      <c r="G1041" s="160"/>
      <c r="H1041" s="32"/>
      <c r="I1041" s="32"/>
      <c r="J1041" s="32"/>
    </row>
    <row r="1042" spans="1:10" s="380" customFormat="1">
      <c r="A1042" s="1248"/>
      <c r="B1042" s="613"/>
      <c r="C1042" s="161"/>
      <c r="D1042" s="196"/>
      <c r="E1042" s="161"/>
      <c r="F1042" s="160"/>
      <c r="G1042" s="160"/>
      <c r="H1042" s="32"/>
      <c r="I1042" s="32"/>
      <c r="J1042" s="32"/>
    </row>
    <row r="1043" spans="1:10" s="380" customFormat="1">
      <c r="A1043" s="1248"/>
      <c r="B1043" s="613"/>
      <c r="C1043" s="161"/>
      <c r="D1043" s="196"/>
      <c r="E1043" s="161"/>
      <c r="F1043" s="160"/>
      <c r="G1043" s="160"/>
      <c r="H1043" s="32"/>
      <c r="I1043" s="32"/>
      <c r="J1043" s="32"/>
    </row>
    <row r="1044" spans="1:10" s="380" customFormat="1">
      <c r="A1044" s="1248"/>
      <c r="B1044" s="613"/>
      <c r="C1044" s="161"/>
      <c r="D1044" s="196"/>
      <c r="E1044" s="161"/>
      <c r="F1044" s="160"/>
      <c r="G1044" s="160"/>
      <c r="H1044" s="32"/>
      <c r="I1044" s="32"/>
      <c r="J1044" s="32"/>
    </row>
    <row r="1045" spans="1:10" s="380" customFormat="1">
      <c r="A1045" s="1248"/>
      <c r="B1045" s="613"/>
      <c r="C1045" s="161"/>
      <c r="D1045" s="196"/>
      <c r="E1045" s="161"/>
      <c r="F1045" s="160"/>
      <c r="G1045" s="160"/>
      <c r="H1045" s="32"/>
      <c r="I1045" s="32"/>
      <c r="J1045" s="32"/>
    </row>
    <row r="1046" spans="1:10" s="380" customFormat="1">
      <c r="A1046" s="1248"/>
      <c r="B1046" s="613"/>
      <c r="C1046" s="161"/>
      <c r="D1046" s="196"/>
      <c r="E1046" s="161"/>
      <c r="F1046" s="160"/>
      <c r="G1046" s="160"/>
      <c r="H1046" s="32"/>
      <c r="I1046" s="32"/>
      <c r="J1046" s="32"/>
    </row>
    <row r="1047" spans="1:10" s="380" customFormat="1">
      <c r="A1047" s="1248"/>
      <c r="B1047" s="613"/>
      <c r="C1047" s="161"/>
      <c r="D1047" s="196"/>
      <c r="E1047" s="161"/>
      <c r="F1047" s="160"/>
      <c r="G1047" s="160"/>
      <c r="H1047" s="32"/>
      <c r="I1047" s="32"/>
      <c r="J1047" s="32"/>
    </row>
    <row r="1048" spans="1:10" s="380" customFormat="1">
      <c r="A1048" s="1248"/>
      <c r="B1048" s="613"/>
      <c r="C1048" s="161"/>
      <c r="D1048" s="196"/>
      <c r="E1048" s="161"/>
      <c r="F1048" s="160"/>
      <c r="G1048" s="160"/>
      <c r="H1048" s="32"/>
      <c r="I1048" s="32"/>
      <c r="J1048" s="32"/>
    </row>
    <row r="1049" spans="1:10" s="380" customFormat="1">
      <c r="A1049" s="1248"/>
      <c r="B1049" s="613"/>
      <c r="C1049" s="161"/>
      <c r="D1049" s="196"/>
      <c r="E1049" s="161"/>
      <c r="F1049" s="160"/>
      <c r="G1049" s="160"/>
      <c r="H1049" s="32"/>
      <c r="I1049" s="32"/>
      <c r="J1049" s="32"/>
    </row>
    <row r="1050" spans="1:10" s="380" customFormat="1">
      <c r="A1050" s="1248"/>
      <c r="B1050" s="613"/>
      <c r="C1050" s="161"/>
      <c r="D1050" s="196"/>
      <c r="E1050" s="161"/>
      <c r="F1050" s="160"/>
      <c r="G1050" s="160"/>
      <c r="H1050" s="32"/>
      <c r="I1050" s="32"/>
      <c r="J1050" s="32"/>
    </row>
    <row r="1051" spans="1:10" s="380" customFormat="1">
      <c r="A1051" s="1248"/>
      <c r="B1051" s="613"/>
      <c r="C1051" s="161"/>
      <c r="D1051" s="196"/>
      <c r="E1051" s="161"/>
      <c r="F1051" s="160"/>
      <c r="G1051" s="160"/>
      <c r="H1051" s="32"/>
      <c r="I1051" s="32"/>
      <c r="J1051" s="32"/>
    </row>
    <row r="1052" spans="1:10" s="380" customFormat="1">
      <c r="A1052" s="1248"/>
      <c r="B1052" s="613"/>
      <c r="C1052" s="161"/>
      <c r="D1052" s="196"/>
      <c r="E1052" s="161"/>
      <c r="F1052" s="160"/>
      <c r="G1052" s="160"/>
      <c r="H1052" s="32"/>
      <c r="I1052" s="32"/>
      <c r="J1052" s="32"/>
    </row>
    <row r="1053" spans="1:10" s="380" customFormat="1">
      <c r="A1053" s="1248"/>
      <c r="B1053" s="613"/>
      <c r="C1053" s="161"/>
      <c r="D1053" s="196"/>
      <c r="E1053" s="161"/>
      <c r="F1053" s="160"/>
      <c r="G1053" s="160"/>
      <c r="H1053" s="32"/>
      <c r="I1053" s="32"/>
      <c r="J1053" s="32"/>
    </row>
    <row r="1054" spans="1:10" s="380" customFormat="1">
      <c r="A1054" s="1248"/>
      <c r="B1054" s="613"/>
      <c r="C1054" s="161"/>
      <c r="D1054" s="196"/>
      <c r="E1054" s="161"/>
      <c r="F1054" s="160"/>
      <c r="G1054" s="160"/>
      <c r="H1054" s="32"/>
      <c r="I1054" s="32"/>
      <c r="J1054" s="32"/>
    </row>
    <row r="1055" spans="1:10" s="380" customFormat="1">
      <c r="A1055" s="1248"/>
      <c r="B1055" s="613"/>
      <c r="C1055" s="161"/>
      <c r="D1055" s="196"/>
      <c r="E1055" s="161"/>
      <c r="F1055" s="160"/>
      <c r="G1055" s="160"/>
      <c r="H1055" s="32"/>
      <c r="I1055" s="32"/>
      <c r="J1055" s="32"/>
    </row>
    <row r="1056" spans="1:10" s="380" customFormat="1">
      <c r="A1056" s="1248"/>
      <c r="B1056" s="613"/>
      <c r="C1056" s="161"/>
      <c r="D1056" s="196"/>
      <c r="E1056" s="161"/>
      <c r="F1056" s="160"/>
      <c r="G1056" s="160"/>
      <c r="H1056" s="32"/>
      <c r="I1056" s="32"/>
      <c r="J1056" s="32"/>
    </row>
    <row r="1057" spans="1:10" s="380" customFormat="1">
      <c r="A1057" s="1248"/>
      <c r="B1057" s="613"/>
      <c r="C1057" s="161"/>
      <c r="D1057" s="196"/>
      <c r="E1057" s="161"/>
      <c r="F1057" s="160"/>
      <c r="G1057" s="160"/>
      <c r="H1057" s="32"/>
      <c r="I1057" s="32"/>
      <c r="J1057" s="32"/>
    </row>
    <row r="1058" spans="1:10" s="380" customFormat="1">
      <c r="A1058" s="1248"/>
      <c r="B1058" s="613"/>
      <c r="C1058" s="161"/>
      <c r="D1058" s="196"/>
      <c r="E1058" s="161"/>
      <c r="F1058" s="160"/>
      <c r="G1058" s="160"/>
      <c r="H1058" s="32"/>
      <c r="I1058" s="32"/>
      <c r="J1058" s="32"/>
    </row>
    <row r="1059" spans="1:10" s="380" customFormat="1">
      <c r="A1059" s="1248"/>
      <c r="B1059" s="613"/>
      <c r="C1059" s="161"/>
      <c r="D1059" s="196"/>
      <c r="E1059" s="161"/>
      <c r="F1059" s="160"/>
      <c r="G1059" s="160"/>
      <c r="H1059" s="32"/>
      <c r="I1059" s="32"/>
      <c r="J1059" s="32"/>
    </row>
    <row r="1060" spans="1:10" s="380" customFormat="1">
      <c r="A1060" s="1248"/>
      <c r="B1060" s="613"/>
      <c r="C1060" s="161"/>
      <c r="D1060" s="196"/>
      <c r="E1060" s="161"/>
      <c r="F1060" s="160"/>
      <c r="G1060" s="160"/>
      <c r="H1060" s="32"/>
      <c r="I1060" s="32"/>
      <c r="J1060" s="32"/>
    </row>
    <row r="1061" spans="1:10" s="380" customFormat="1">
      <c r="A1061" s="1248"/>
      <c r="B1061" s="613"/>
      <c r="C1061" s="161"/>
      <c r="D1061" s="196"/>
      <c r="E1061" s="161"/>
      <c r="F1061" s="160"/>
      <c r="G1061" s="160"/>
      <c r="H1061" s="32"/>
      <c r="I1061" s="32"/>
      <c r="J1061" s="32"/>
    </row>
    <row r="1062" spans="1:10" s="380" customFormat="1">
      <c r="A1062" s="1248"/>
      <c r="B1062" s="613"/>
      <c r="C1062" s="161"/>
      <c r="D1062" s="196"/>
      <c r="E1062" s="161"/>
      <c r="F1062" s="160"/>
      <c r="G1062" s="160"/>
      <c r="H1062" s="32"/>
      <c r="I1062" s="32"/>
      <c r="J1062" s="32"/>
    </row>
    <row r="1063" spans="1:10" s="380" customFormat="1">
      <c r="A1063" s="1248"/>
      <c r="B1063" s="613"/>
      <c r="C1063" s="161"/>
      <c r="D1063" s="196"/>
      <c r="E1063" s="161"/>
      <c r="F1063" s="160"/>
      <c r="G1063" s="160"/>
      <c r="H1063" s="32"/>
      <c r="I1063" s="32"/>
      <c r="J1063" s="32"/>
    </row>
    <row r="1064" spans="1:10" s="380" customFormat="1">
      <c r="A1064" s="1248"/>
      <c r="B1064" s="613"/>
      <c r="C1064" s="161"/>
      <c r="D1064" s="196"/>
      <c r="E1064" s="161"/>
      <c r="F1064" s="160"/>
      <c r="G1064" s="160"/>
      <c r="H1064" s="32"/>
      <c r="I1064" s="32"/>
      <c r="J1064" s="32"/>
    </row>
    <row r="1065" spans="1:10" s="380" customFormat="1">
      <c r="A1065" s="1248"/>
      <c r="B1065" s="613"/>
      <c r="C1065" s="161"/>
      <c r="D1065" s="196"/>
      <c r="E1065" s="161"/>
      <c r="F1065" s="160"/>
      <c r="G1065" s="160"/>
      <c r="H1065" s="32"/>
      <c r="I1065" s="32"/>
      <c r="J1065" s="32"/>
    </row>
    <row r="1066" spans="1:10" s="380" customFormat="1">
      <c r="A1066" s="1248"/>
      <c r="B1066" s="613"/>
      <c r="C1066" s="161"/>
      <c r="D1066" s="196"/>
      <c r="E1066" s="161"/>
      <c r="F1066" s="160"/>
      <c r="G1066" s="160"/>
      <c r="H1066" s="32"/>
      <c r="I1066" s="32"/>
      <c r="J1066" s="32"/>
    </row>
    <row r="1067" spans="1:10" s="380" customFormat="1">
      <c r="A1067" s="1248"/>
      <c r="B1067" s="613"/>
      <c r="C1067" s="161"/>
      <c r="D1067" s="196"/>
      <c r="E1067" s="161"/>
      <c r="F1067" s="160"/>
      <c r="G1067" s="160"/>
      <c r="H1067" s="32"/>
      <c r="I1067" s="32"/>
      <c r="J1067" s="32"/>
    </row>
    <row r="1068" spans="1:10" s="380" customFormat="1">
      <c r="A1068" s="1248"/>
      <c r="B1068" s="613"/>
      <c r="C1068" s="161"/>
      <c r="D1068" s="196"/>
      <c r="E1068" s="161"/>
      <c r="F1068" s="160"/>
      <c r="G1068" s="160"/>
      <c r="H1068" s="32"/>
      <c r="I1068" s="32"/>
      <c r="J1068" s="32"/>
    </row>
    <row r="1069" spans="1:10" s="380" customFormat="1">
      <c r="A1069" s="1248"/>
      <c r="B1069" s="613"/>
      <c r="C1069" s="161"/>
      <c r="D1069" s="196"/>
      <c r="E1069" s="161"/>
      <c r="F1069" s="160"/>
      <c r="G1069" s="160"/>
      <c r="H1069" s="32"/>
      <c r="I1069" s="32"/>
      <c r="J1069" s="32"/>
    </row>
    <row r="1070" spans="1:10" s="380" customFormat="1">
      <c r="A1070" s="1248"/>
      <c r="B1070" s="613"/>
      <c r="C1070" s="161"/>
      <c r="D1070" s="196"/>
      <c r="E1070" s="161"/>
      <c r="F1070" s="160"/>
      <c r="G1070" s="160"/>
      <c r="H1070" s="32"/>
      <c r="I1070" s="32"/>
      <c r="J1070" s="32"/>
    </row>
    <row r="1071" spans="1:10" s="380" customFormat="1">
      <c r="A1071" s="1248"/>
      <c r="B1071" s="613"/>
      <c r="C1071" s="161"/>
      <c r="D1071" s="196"/>
      <c r="E1071" s="161"/>
      <c r="F1071" s="160"/>
      <c r="G1071" s="160"/>
      <c r="H1071" s="32"/>
      <c r="I1071" s="32"/>
      <c r="J1071" s="32"/>
    </row>
    <row r="1072" spans="1:10" s="380" customFormat="1">
      <c r="A1072" s="1248"/>
      <c r="B1072" s="613"/>
      <c r="C1072" s="161"/>
      <c r="D1072" s="196"/>
      <c r="E1072" s="161"/>
      <c r="F1072" s="160"/>
      <c r="G1072" s="160"/>
      <c r="H1072" s="32"/>
      <c r="I1072" s="32"/>
      <c r="J1072" s="32"/>
    </row>
    <row r="1073" spans="1:10" s="380" customFormat="1">
      <c r="A1073" s="1248"/>
      <c r="B1073" s="613"/>
      <c r="C1073" s="161"/>
      <c r="D1073" s="196"/>
      <c r="E1073" s="161"/>
      <c r="F1073" s="160"/>
      <c r="G1073" s="160"/>
      <c r="H1073" s="32"/>
      <c r="I1073" s="32"/>
      <c r="J1073" s="32"/>
    </row>
    <row r="1074" spans="1:10" s="380" customFormat="1">
      <c r="A1074" s="1248"/>
      <c r="B1074" s="613"/>
      <c r="C1074" s="161"/>
      <c r="D1074" s="196"/>
      <c r="E1074" s="161"/>
      <c r="F1074" s="160"/>
      <c r="G1074" s="160"/>
      <c r="H1074" s="32"/>
      <c r="I1074" s="32"/>
      <c r="J1074" s="32"/>
    </row>
    <row r="1075" spans="1:10" s="380" customFormat="1">
      <c r="A1075" s="1248"/>
      <c r="B1075" s="613"/>
      <c r="C1075" s="161"/>
      <c r="D1075" s="196"/>
      <c r="E1075" s="161"/>
      <c r="F1075" s="160"/>
      <c r="G1075" s="160"/>
      <c r="H1075" s="32"/>
      <c r="I1075" s="32"/>
      <c r="J1075" s="32"/>
    </row>
    <row r="1076" spans="1:10" s="380" customFormat="1">
      <c r="A1076" s="1248"/>
      <c r="B1076" s="613"/>
      <c r="C1076" s="161"/>
      <c r="D1076" s="196"/>
      <c r="E1076" s="161"/>
      <c r="F1076" s="160"/>
      <c r="G1076" s="160"/>
      <c r="H1076" s="32"/>
      <c r="I1076" s="32"/>
      <c r="J1076" s="32"/>
    </row>
    <row r="1077" spans="1:10" s="380" customFormat="1">
      <c r="A1077" s="1248"/>
      <c r="B1077" s="613"/>
      <c r="C1077" s="161"/>
      <c r="D1077" s="196"/>
      <c r="E1077" s="161"/>
      <c r="F1077" s="160"/>
      <c r="G1077" s="160"/>
      <c r="H1077" s="32"/>
      <c r="I1077" s="32"/>
      <c r="J1077" s="32"/>
    </row>
    <row r="1078" spans="1:10" s="380" customFormat="1">
      <c r="A1078" s="1248"/>
      <c r="B1078" s="613"/>
      <c r="C1078" s="161"/>
      <c r="D1078" s="196"/>
      <c r="E1078" s="161"/>
      <c r="F1078" s="160"/>
      <c r="G1078" s="160"/>
      <c r="H1078" s="32"/>
      <c r="I1078" s="32"/>
      <c r="J1078" s="32"/>
    </row>
  </sheetData>
  <mergeCells count="69">
    <mergeCell ref="E163:E164"/>
    <mergeCell ref="F163:F164"/>
    <mergeCell ref="G163:G164"/>
    <mergeCell ref="F20:F21"/>
    <mergeCell ref="E20:E21"/>
    <mergeCell ref="G44:G49"/>
    <mergeCell ref="G51:G55"/>
    <mergeCell ref="E82:E83"/>
    <mergeCell ref="E121:E122"/>
    <mergeCell ref="G146:G147"/>
    <mergeCell ref="F146:F147"/>
    <mergeCell ref="E44:E49"/>
    <mergeCell ref="E137:E138"/>
    <mergeCell ref="E57:E77"/>
    <mergeCell ref="E79:E80"/>
    <mergeCell ref="F130:F132"/>
    <mergeCell ref="A57:A77"/>
    <mergeCell ref="A130:A132"/>
    <mergeCell ref="A166:G166"/>
    <mergeCell ref="G137:G138"/>
    <mergeCell ref="E149:E150"/>
    <mergeCell ref="E152:E153"/>
    <mergeCell ref="E155:E158"/>
    <mergeCell ref="E160:E161"/>
    <mergeCell ref="F160:F161"/>
    <mergeCell ref="G160:G161"/>
    <mergeCell ref="G134:G135"/>
    <mergeCell ref="F149:F150"/>
    <mergeCell ref="F152:F153"/>
    <mergeCell ref="G124:G125"/>
    <mergeCell ref="E146:E147"/>
    <mergeCell ref="E140:E144"/>
    <mergeCell ref="E23:E24"/>
    <mergeCell ref="F23:F24"/>
    <mergeCell ref="F35:F36"/>
    <mergeCell ref="G127:G128"/>
    <mergeCell ref="E134:E135"/>
    <mergeCell ref="F32:F33"/>
    <mergeCell ref="F127:F128"/>
    <mergeCell ref="F124:F125"/>
    <mergeCell ref="G32:G33"/>
    <mergeCell ref="E124:E125"/>
    <mergeCell ref="E127:E128"/>
    <mergeCell ref="E35:E36"/>
    <mergeCell ref="E51:E55"/>
    <mergeCell ref="E130:E132"/>
    <mergeCell ref="E41:E42"/>
    <mergeCell ref="E38:E39"/>
    <mergeCell ref="A6:A8"/>
    <mergeCell ref="A10:A15"/>
    <mergeCell ref="A17:A18"/>
    <mergeCell ref="E6:E8"/>
    <mergeCell ref="F17:F18"/>
    <mergeCell ref="E10:E15"/>
    <mergeCell ref="F10:F15"/>
    <mergeCell ref="F6:F8"/>
    <mergeCell ref="A35:A36"/>
    <mergeCell ref="G35:G36"/>
    <mergeCell ref="G41:G42"/>
    <mergeCell ref="G26:G27"/>
    <mergeCell ref="F26:F27"/>
    <mergeCell ref="E29:E30"/>
    <mergeCell ref="E32:E33"/>
    <mergeCell ref="E26:E27"/>
    <mergeCell ref="G29:G30"/>
    <mergeCell ref="G38:G39"/>
    <mergeCell ref="F29:F30"/>
    <mergeCell ref="A29:A30"/>
    <mergeCell ref="A38:A39"/>
  </mergeCells>
  <phoneticPr fontId="75" type="noConversion"/>
  <conditionalFormatting sqref="B153">
    <cfRule type="duplicateValues" dxfId="464" priority="4"/>
  </conditionalFormatting>
  <conditionalFormatting sqref="B158:B159">
    <cfRule type="duplicateValues" dxfId="463" priority="2"/>
  </conditionalFormatting>
  <conditionalFormatting sqref="B57:B77">
    <cfRule type="duplicateValues" dxfId="462" priority="22343"/>
  </conditionalFormatting>
  <pageMargins left="0.7" right="0.7" top="0.75" bottom="0.75" header="0.3" footer="0.3"/>
  <pageSetup paperSize="9" scale="62" fitToHeight="100" orientation="portrait"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F596A-E354-454E-AE76-B0CF5E18D93A}">
  <sheetPr codeName="Sheet26">
    <tabColor rgb="FFFFFF00"/>
  </sheetPr>
  <dimension ref="A2:K74"/>
  <sheetViews>
    <sheetView topLeftCell="A37" workbookViewId="0">
      <selection activeCell="G67" sqref="G67"/>
    </sheetView>
  </sheetViews>
  <sheetFormatPr defaultColWidth="9.33203125" defaultRowHeight="12.75"/>
  <cols>
    <col min="1" max="1" width="46" style="32" bestFit="1" customWidth="1"/>
    <col min="2" max="2" width="14" style="32" bestFit="1" customWidth="1"/>
    <col min="3" max="3" width="16.6640625" style="32" bestFit="1" customWidth="1"/>
    <col min="4" max="4" width="10.5" style="32" customWidth="1"/>
    <col min="5" max="5" width="15.6640625" style="32" customWidth="1"/>
    <col min="6" max="6" width="15.5" style="32" customWidth="1"/>
    <col min="7" max="7" width="10.6640625" style="32" bestFit="1" customWidth="1"/>
    <col min="8" max="16384" width="9.33203125" style="32"/>
  </cols>
  <sheetData>
    <row r="2" spans="1:6">
      <c r="A2" s="1216" t="s">
        <v>1250</v>
      </c>
      <c r="B2" s="209"/>
      <c r="C2" s="209"/>
      <c r="D2" s="209"/>
    </row>
    <row r="3" spans="1:6">
      <c r="A3" s="1216"/>
      <c r="B3" s="209"/>
      <c r="C3" s="209"/>
      <c r="D3" s="976"/>
    </row>
    <row r="4" spans="1:6">
      <c r="A4" s="613"/>
      <c r="B4" s="618" t="s">
        <v>1251</v>
      </c>
      <c r="C4" s="618" t="s">
        <v>294</v>
      </c>
      <c r="D4" s="2973"/>
    </row>
    <row r="5" spans="1:6">
      <c r="A5" s="11" t="s">
        <v>3030</v>
      </c>
      <c r="B5" s="773"/>
      <c r="C5" s="1650">
        <v>1111684.0900000001</v>
      </c>
      <c r="D5" s="976"/>
    </row>
    <row r="6" spans="1:6">
      <c r="A6" s="391"/>
      <c r="B6" s="11"/>
      <c r="C6" s="996"/>
      <c r="D6" s="490"/>
    </row>
    <row r="7" spans="1:6">
      <c r="A7" s="11" t="s">
        <v>3267</v>
      </c>
      <c r="B7" s="3154">
        <v>2625</v>
      </c>
      <c r="C7" s="996">
        <v>5249.74</v>
      </c>
      <c r="D7" s="490">
        <f t="shared" ref="D7:D25" si="0">C7/B7</f>
        <v>1.9999009523809523</v>
      </c>
      <c r="E7" s="1016">
        <f t="shared" ref="E7:E25" si="1">B7*$B$70</f>
        <v>0.26250000000000001</v>
      </c>
      <c r="F7" s="490"/>
    </row>
    <row r="8" spans="1:6">
      <c r="A8" s="11" t="s">
        <v>3308</v>
      </c>
      <c r="B8" s="3154">
        <v>1111</v>
      </c>
      <c r="C8" s="996">
        <v>2221.89</v>
      </c>
      <c r="D8" s="490">
        <f t="shared" si="0"/>
        <v>1.9999009900990097</v>
      </c>
      <c r="E8" s="1016">
        <f t="shared" si="1"/>
        <v>0.1111</v>
      </c>
      <c r="F8" s="490"/>
    </row>
    <row r="9" spans="1:6">
      <c r="A9" s="11" t="s">
        <v>3417</v>
      </c>
      <c r="B9" s="3154">
        <v>21495</v>
      </c>
      <c r="C9" s="996">
        <v>8595.85</v>
      </c>
      <c r="D9" s="490">
        <f t="shared" si="0"/>
        <v>0.39989997673877647</v>
      </c>
      <c r="E9" s="1016">
        <f t="shared" si="1"/>
        <v>2.1495000000000002</v>
      </c>
      <c r="F9" s="490"/>
    </row>
    <row r="10" spans="1:6">
      <c r="A10" s="11" t="s">
        <v>3417</v>
      </c>
      <c r="B10" s="3154">
        <v>18000</v>
      </c>
      <c r="C10" s="2949">
        <v>21598.2</v>
      </c>
      <c r="D10" s="490">
        <f t="shared" si="0"/>
        <v>1.1999</v>
      </c>
      <c r="E10" s="1016">
        <f t="shared" si="1"/>
        <v>1.8</v>
      </c>
      <c r="F10" s="490"/>
    </row>
    <row r="11" spans="1:6">
      <c r="A11" s="11" t="s">
        <v>3417</v>
      </c>
      <c r="B11" s="3154">
        <v>2624</v>
      </c>
      <c r="C11" s="2460">
        <v>11985.12</v>
      </c>
      <c r="D11" s="490">
        <f t="shared" si="0"/>
        <v>4.5674999999999999</v>
      </c>
      <c r="E11" s="1016">
        <f t="shared" si="1"/>
        <v>0.26240000000000002</v>
      </c>
      <c r="F11" s="490"/>
    </row>
    <row r="12" spans="1:6">
      <c r="A12" s="11" t="s">
        <v>3476</v>
      </c>
      <c r="B12" s="726">
        <v>3900</v>
      </c>
      <c r="C12" s="2460">
        <v>6759.48</v>
      </c>
      <c r="D12" s="490">
        <f t="shared" si="0"/>
        <v>1.7331999999999999</v>
      </c>
      <c r="E12" s="1016">
        <f t="shared" si="1"/>
        <v>0.39</v>
      </c>
      <c r="F12" s="490"/>
    </row>
    <row r="13" spans="1:6">
      <c r="A13" s="11" t="s">
        <v>3476</v>
      </c>
      <c r="B13" s="726">
        <v>1900</v>
      </c>
      <c r="C13" s="2460">
        <v>8678.25</v>
      </c>
      <c r="D13" s="490">
        <f t="shared" si="0"/>
        <v>4.5674999999999999</v>
      </c>
      <c r="E13" s="1016">
        <f t="shared" si="1"/>
        <v>0.19</v>
      </c>
      <c r="F13" s="490"/>
    </row>
    <row r="14" spans="1:6">
      <c r="A14" s="32" t="s">
        <v>3764</v>
      </c>
      <c r="B14" s="3155">
        <v>18620</v>
      </c>
      <c r="C14" s="2950">
        <v>28591.200000000001</v>
      </c>
      <c r="D14" s="490">
        <f t="shared" si="0"/>
        <v>1.5355102040816326</v>
      </c>
      <c r="E14" s="1016">
        <f t="shared" si="1"/>
        <v>1.8620000000000001</v>
      </c>
      <c r="F14" s="490"/>
    </row>
    <row r="15" spans="1:6">
      <c r="A15" s="32" t="s">
        <v>3765</v>
      </c>
      <c r="B15" s="3155">
        <v>712</v>
      </c>
      <c r="C15" s="2950">
        <v>1423.93</v>
      </c>
      <c r="D15" s="490">
        <f t="shared" si="0"/>
        <v>1.9999016853932585</v>
      </c>
      <c r="E15" s="1016">
        <f t="shared" si="1"/>
        <v>7.1199999999999999E-2</v>
      </c>
      <c r="F15" s="490"/>
    </row>
    <row r="16" spans="1:6">
      <c r="A16" s="32" t="s">
        <v>3766</v>
      </c>
      <c r="B16" s="3155">
        <v>718</v>
      </c>
      <c r="C16" s="2950">
        <v>1435.93</v>
      </c>
      <c r="D16" s="490">
        <f t="shared" si="0"/>
        <v>1.9999025069637884</v>
      </c>
      <c r="E16" s="1016">
        <f t="shared" si="1"/>
        <v>7.1800000000000003E-2</v>
      </c>
      <c r="F16" s="490"/>
    </row>
    <row r="17" spans="1:11">
      <c r="A17" s="32" t="s">
        <v>3767</v>
      </c>
      <c r="B17" s="3155">
        <v>6420</v>
      </c>
      <c r="C17" s="996">
        <v>12839.36</v>
      </c>
      <c r="D17" s="490">
        <f t="shared" si="0"/>
        <v>1.9999003115264797</v>
      </c>
      <c r="E17" s="1016">
        <f t="shared" si="1"/>
        <v>0.64200000000000002</v>
      </c>
      <c r="F17" s="490"/>
    </row>
    <row r="18" spans="1:11">
      <c r="A18" s="32" t="s">
        <v>3933</v>
      </c>
      <c r="B18" s="3155">
        <v>5066</v>
      </c>
      <c r="C18" s="996">
        <v>11689.11</v>
      </c>
      <c r="D18" s="490">
        <f t="shared" si="0"/>
        <v>2.3073647848401109</v>
      </c>
      <c r="E18" s="1016">
        <f t="shared" si="1"/>
        <v>0.50660000000000005</v>
      </c>
      <c r="G18" s="490"/>
    </row>
    <row r="19" spans="1:11">
      <c r="A19" s="32" t="s">
        <v>3934</v>
      </c>
      <c r="B19" s="3155">
        <v>7915</v>
      </c>
      <c r="C19" s="996">
        <v>19678.04</v>
      </c>
      <c r="D19" s="490">
        <f t="shared" si="0"/>
        <v>2.4861705622236263</v>
      </c>
      <c r="E19" s="1016">
        <f t="shared" si="1"/>
        <v>0.79150000000000009</v>
      </c>
      <c r="K19" s="1016"/>
    </row>
    <row r="20" spans="1:11">
      <c r="A20" s="32" t="str">
        <f>"M.C. options exercised"</f>
        <v>M.C. options exercised</v>
      </c>
      <c r="B20" s="3155">
        <v>1993</v>
      </c>
      <c r="C20" s="996">
        <v>9103.0300000000007</v>
      </c>
      <c r="D20" s="490">
        <f t="shared" si="0"/>
        <v>4.5675012543903666</v>
      </c>
      <c r="E20" s="1016">
        <f t="shared" si="1"/>
        <v>0.1993</v>
      </c>
      <c r="K20" s="1016"/>
    </row>
    <row r="21" spans="1:11">
      <c r="A21" s="32" t="str">
        <f>"U.I. options exercised"</f>
        <v>U.I. options exercised</v>
      </c>
      <c r="B21" s="32">
        <v>14000</v>
      </c>
      <c r="C21" s="996">
        <v>11998.9</v>
      </c>
      <c r="D21" s="490">
        <f t="shared" si="0"/>
        <v>0.85706428571428572</v>
      </c>
      <c r="E21" s="1016">
        <f t="shared" si="1"/>
        <v>1.4000000000000001</v>
      </c>
    </row>
    <row r="22" spans="1:11">
      <c r="A22" s="32" t="str">
        <f>"A.B. options exercised"</f>
        <v>A.B. options exercised</v>
      </c>
      <c r="B22" s="32">
        <v>3504</v>
      </c>
      <c r="C22" s="996">
        <v>16004.52</v>
      </c>
      <c r="D22" s="490">
        <f t="shared" si="0"/>
        <v>4.5674999999999999</v>
      </c>
      <c r="E22" s="1016">
        <f t="shared" si="1"/>
        <v>0.35039999999999999</v>
      </c>
    </row>
    <row r="23" spans="1:11">
      <c r="A23" s="32" t="str">
        <f>"E.P options exercised"</f>
        <v>E.P options exercised</v>
      </c>
      <c r="B23" s="32">
        <v>44588</v>
      </c>
      <c r="C23" s="985">
        <v>8913.14</v>
      </c>
      <c r="D23" s="490">
        <f t="shared" si="0"/>
        <v>0.19989997308692919</v>
      </c>
      <c r="E23" s="1016">
        <f t="shared" si="1"/>
        <v>4.4588000000000001</v>
      </c>
    </row>
    <row r="24" spans="1:11">
      <c r="A24" s="32" t="str">
        <f>"T.W. options exercised"</f>
        <v>T.W. options exercised</v>
      </c>
      <c r="B24" s="32">
        <v>5400</v>
      </c>
      <c r="C24" s="985">
        <v>9359.2800000000007</v>
      </c>
      <c r="D24" s="490">
        <f t="shared" si="0"/>
        <v>1.7332000000000001</v>
      </c>
      <c r="E24" s="1016">
        <f t="shared" si="1"/>
        <v>0.54</v>
      </c>
    </row>
    <row r="25" spans="1:11">
      <c r="A25" s="32" t="s">
        <v>4177</v>
      </c>
      <c r="B25" s="32">
        <v>19187</v>
      </c>
      <c r="C25" s="985">
        <v>23620.22</v>
      </c>
      <c r="D25" s="490">
        <f t="shared" si="0"/>
        <v>1.2310533173502893</v>
      </c>
      <c r="E25" s="1016">
        <f t="shared" si="1"/>
        <v>1.9187000000000001</v>
      </c>
    </row>
    <row r="26" spans="1:11">
      <c r="A26" s="32" t="s">
        <v>4320</v>
      </c>
      <c r="B26" s="32">
        <v>9000</v>
      </c>
      <c r="C26" s="985">
        <v>12999.7</v>
      </c>
      <c r="D26" s="490">
        <f>C26/B26</f>
        <v>1.4444111111111111</v>
      </c>
      <c r="E26" s="1016">
        <f>B26*$B$70</f>
        <v>0.9</v>
      </c>
    </row>
    <row r="27" spans="1:11">
      <c r="A27" s="32" t="s">
        <v>4321</v>
      </c>
      <c r="B27" s="32">
        <v>2295</v>
      </c>
      <c r="C27" s="985">
        <v>10482.77</v>
      </c>
      <c r="D27" s="490">
        <f>C27/B27</f>
        <v>4.5676557734204799</v>
      </c>
      <c r="E27" s="1016">
        <f>B27*$B$70</f>
        <v>0.22950000000000001</v>
      </c>
    </row>
    <row r="28" spans="1:11">
      <c r="A28" s="32" t="s">
        <v>4322</v>
      </c>
      <c r="B28" s="32">
        <v>1933</v>
      </c>
      <c r="C28" s="985">
        <v>8828.81</v>
      </c>
      <c r="D28" s="490">
        <f>C28/B28</f>
        <v>4.5674133471288147</v>
      </c>
      <c r="E28" s="1016">
        <f>B28*$B$70</f>
        <v>0.1933</v>
      </c>
    </row>
    <row r="29" spans="1:11">
      <c r="A29" s="32" t="s">
        <v>4323</v>
      </c>
      <c r="B29" s="32">
        <v>5400</v>
      </c>
      <c r="C29" s="985">
        <v>9359.2800000000007</v>
      </c>
      <c r="D29" s="490">
        <f>C29/B29</f>
        <v>1.7332000000000001</v>
      </c>
      <c r="E29" s="1016">
        <f>B29*$B$70</f>
        <v>0.54</v>
      </c>
    </row>
    <row r="30" spans="1:11">
      <c r="A30" s="32" t="s">
        <v>4324</v>
      </c>
      <c r="B30" s="32">
        <v>24875</v>
      </c>
      <c r="C30" s="985">
        <v>43596.51</v>
      </c>
      <c r="D30" s="490">
        <f>C30/B30</f>
        <v>1.7526235175879399</v>
      </c>
      <c r="E30" s="1016">
        <f>B30*$B$70</f>
        <v>2.4875000000000003</v>
      </c>
    </row>
    <row r="31" spans="1:11">
      <c r="A31" s="32" t="s">
        <v>4521</v>
      </c>
      <c r="B31" s="32">
        <v>1500</v>
      </c>
      <c r="C31" s="985">
        <v>2599.85</v>
      </c>
      <c r="D31" s="490">
        <f t="shared" ref="D31:D40" si="2">C31/B31</f>
        <v>1.7332333333333332</v>
      </c>
      <c r="E31" s="1016">
        <f t="shared" ref="E31:E40" si="3">B31*$B$70</f>
        <v>0.15</v>
      </c>
    </row>
    <row r="32" spans="1:11">
      <c r="A32" s="32" t="s">
        <v>4522</v>
      </c>
      <c r="B32" s="32">
        <v>4218</v>
      </c>
      <c r="C32" s="985">
        <v>19265.72</v>
      </c>
      <c r="D32" s="490">
        <f t="shared" si="2"/>
        <v>4.5675011853959226</v>
      </c>
      <c r="E32" s="1016">
        <f t="shared" si="3"/>
        <v>0.42180000000000001</v>
      </c>
    </row>
    <row r="33" spans="1:7">
      <c r="A33" s="32" t="s">
        <v>4523</v>
      </c>
      <c r="B33" s="32">
        <v>1245</v>
      </c>
      <c r="C33" s="985">
        <v>2488.88</v>
      </c>
      <c r="D33" s="490">
        <f t="shared" si="2"/>
        <v>1.9991004016064258</v>
      </c>
      <c r="E33" s="4117">
        <f t="shared" si="3"/>
        <v>0.1245</v>
      </c>
      <c r="F33" s="1016"/>
      <c r="G33" s="1016"/>
    </row>
    <row r="34" spans="1:7">
      <c r="A34" s="32" t="s">
        <v>4524</v>
      </c>
      <c r="B34" s="32">
        <v>3300</v>
      </c>
      <c r="C34" s="985">
        <v>15072.75</v>
      </c>
      <c r="D34" s="490">
        <f t="shared" si="2"/>
        <v>4.5674999999999999</v>
      </c>
      <c r="E34" s="1016">
        <f t="shared" si="3"/>
        <v>0.33</v>
      </c>
      <c r="G34" s="1016"/>
    </row>
    <row r="35" spans="1:7">
      <c r="A35" s="32" t="s">
        <v>4525</v>
      </c>
      <c r="B35" s="32">
        <v>3427</v>
      </c>
      <c r="C35" s="985">
        <v>6853.66</v>
      </c>
      <c r="D35" s="490">
        <f t="shared" si="2"/>
        <v>1.999900787861103</v>
      </c>
      <c r="E35" s="1016">
        <f t="shared" si="3"/>
        <v>0.3427</v>
      </c>
      <c r="G35" s="1016"/>
    </row>
    <row r="36" spans="1:7">
      <c r="A36" s="32" t="s">
        <v>4526</v>
      </c>
      <c r="B36" s="32">
        <v>725</v>
      </c>
      <c r="C36" s="985">
        <v>3310.78</v>
      </c>
      <c r="D36" s="490">
        <f t="shared" si="2"/>
        <v>4.5665931034482758</v>
      </c>
      <c r="E36" s="4117">
        <f t="shared" si="3"/>
        <v>7.2500000000000009E-2</v>
      </c>
      <c r="F36" s="1016"/>
      <c r="G36" s="1016"/>
    </row>
    <row r="37" spans="1:7">
      <c r="A37" s="32" t="s">
        <v>4750</v>
      </c>
      <c r="B37" s="32">
        <v>6000</v>
      </c>
      <c r="C37" s="985">
        <v>10399.200000000001</v>
      </c>
      <c r="D37" s="490">
        <f t="shared" si="2"/>
        <v>1.7332000000000001</v>
      </c>
      <c r="E37" s="1016">
        <f t="shared" si="3"/>
        <v>0.6</v>
      </c>
    </row>
    <row r="38" spans="1:7">
      <c r="A38" s="32" t="s">
        <v>4751</v>
      </c>
      <c r="B38" s="32">
        <v>1145</v>
      </c>
      <c r="C38" s="985">
        <v>5229.79</v>
      </c>
      <c r="D38" s="490">
        <f t="shared" si="2"/>
        <v>4.5675021834061136</v>
      </c>
      <c r="E38" s="1016">
        <f t="shared" si="3"/>
        <v>0.1145</v>
      </c>
    </row>
    <row r="39" spans="1:7">
      <c r="A39" s="32" t="s">
        <v>4752</v>
      </c>
      <c r="B39" s="32">
        <v>7000</v>
      </c>
      <c r="C39" s="985">
        <v>13999.3</v>
      </c>
      <c r="D39" s="490">
        <f t="shared" si="2"/>
        <v>1.9998999999999998</v>
      </c>
      <c r="E39" s="1016">
        <f t="shared" si="3"/>
        <v>0.70000000000000007</v>
      </c>
    </row>
    <row r="40" spans="1:7">
      <c r="A40" s="32" t="s">
        <v>4753</v>
      </c>
      <c r="B40" s="32">
        <v>1872</v>
      </c>
      <c r="C40" s="985">
        <v>8550.36</v>
      </c>
      <c r="D40" s="490">
        <f t="shared" si="2"/>
        <v>4.5674999999999999</v>
      </c>
      <c r="E40" s="1016">
        <f t="shared" si="3"/>
        <v>0.18720000000000001</v>
      </c>
    </row>
    <row r="41" spans="1:7">
      <c r="C41" s="985"/>
      <c r="D41" s="490"/>
      <c r="E41" s="1016"/>
    </row>
    <row r="42" spans="1:7">
      <c r="C42" s="985"/>
      <c r="D42" s="490"/>
      <c r="E42" s="1016"/>
    </row>
    <row r="43" spans="1:7">
      <c r="C43" s="985"/>
      <c r="D43" s="490"/>
      <c r="E43" s="1016"/>
    </row>
    <row r="44" spans="1:7">
      <c r="C44" s="985"/>
      <c r="D44" s="861"/>
    </row>
    <row r="45" spans="1:7">
      <c r="C45" s="2786"/>
    </row>
    <row r="46" spans="1:7" ht="13.5" thickBot="1">
      <c r="A46" s="1217">
        <f>'נתונים לשינוי'!$C$1</f>
        <v>44561</v>
      </c>
      <c r="C46" s="32">
        <f>SUM(C5:C45)</f>
        <v>1504466.6400000001</v>
      </c>
    </row>
    <row r="47" spans="1:7" ht="13.5" thickBot="1">
      <c r="C47" s="956">
        <f>+'New TB INC'!J444+C46</f>
        <v>-1.0599999998230487</v>
      </c>
    </row>
    <row r="49" spans="1:8">
      <c r="H49" s="32" t="s">
        <v>4754</v>
      </c>
    </row>
    <row r="52" spans="1:8" ht="13.5" thickBot="1"/>
    <row r="53" spans="1:8" ht="13.5" thickBot="1">
      <c r="A53" s="3400" t="s">
        <v>2686</v>
      </c>
      <c r="B53" s="4569" t="s">
        <v>4178</v>
      </c>
      <c r="C53" s="4570"/>
      <c r="D53" s="4570"/>
      <c r="E53" s="4571"/>
    </row>
    <row r="54" spans="1:8">
      <c r="A54" s="2963" t="s">
        <v>2672</v>
      </c>
      <c r="B54" s="2959" t="s">
        <v>2673</v>
      </c>
      <c r="C54" s="2958" t="s">
        <v>2674</v>
      </c>
      <c r="D54" s="2958" t="s">
        <v>2675</v>
      </c>
      <c r="E54" s="2960" t="s">
        <v>2676</v>
      </c>
    </row>
    <row r="55" spans="1:8">
      <c r="A55" s="2964" t="s">
        <v>2677</v>
      </c>
      <c r="B55" s="2966">
        <v>18000000</v>
      </c>
      <c r="C55" s="2156">
        <v>18000000.425146602</v>
      </c>
      <c r="D55" s="2157">
        <v>0.5115122074093339</v>
      </c>
      <c r="E55" s="2961">
        <v>0.42487098684764896</v>
      </c>
    </row>
    <row r="56" spans="1:8">
      <c r="A56" s="2964" t="s">
        <v>2678</v>
      </c>
      <c r="B56" s="2966">
        <v>6000000</v>
      </c>
      <c r="C56" s="2156">
        <v>6000000.141715534</v>
      </c>
      <c r="D56" s="2157">
        <v>0.17050406913644464</v>
      </c>
      <c r="E56" s="2961">
        <v>0.14162366228254963</v>
      </c>
    </row>
    <row r="57" spans="1:8">
      <c r="A57" s="2964" t="s">
        <v>2679</v>
      </c>
      <c r="B57" s="2966">
        <v>7969122</v>
      </c>
      <c r="C57" s="2156">
        <v>7969122.1882247301</v>
      </c>
      <c r="D57" s="2157">
        <v>0.22646128807412699</v>
      </c>
      <c r="E57" s="2961">
        <v>0.18810270713607277</v>
      </c>
    </row>
    <row r="58" spans="1:8">
      <c r="A58" s="2964"/>
      <c r="B58" s="2966" t="s">
        <v>169</v>
      </c>
      <c r="C58" s="2156" t="s">
        <v>169</v>
      </c>
      <c r="D58" s="2157" t="s">
        <v>169</v>
      </c>
      <c r="E58" s="2961" t="s">
        <v>169</v>
      </c>
    </row>
    <row r="59" spans="1:8">
      <c r="A59" s="2964" t="s">
        <v>169</v>
      </c>
      <c r="B59" s="2966" t="s">
        <v>169</v>
      </c>
      <c r="C59" s="2156" t="s">
        <v>169</v>
      </c>
      <c r="D59" s="2157" t="s">
        <v>169</v>
      </c>
      <c r="E59" s="2961" t="s">
        <v>169</v>
      </c>
    </row>
    <row r="60" spans="1:8">
      <c r="A60" s="2964" t="s">
        <v>2680</v>
      </c>
      <c r="B60" s="2966">
        <v>1600046</v>
      </c>
      <c r="C60" s="2156">
        <v>1600046</v>
      </c>
      <c r="D60" s="2157">
        <v>4.5469058967581945E-2</v>
      </c>
      <c r="E60" s="2961">
        <v>3.7767394831386317E-2</v>
      </c>
    </row>
    <row r="61" spans="1:8">
      <c r="A61" s="2964"/>
      <c r="B61" s="2966"/>
      <c r="C61" s="2156"/>
      <c r="D61" s="2157" t="s">
        <v>169</v>
      </c>
      <c r="E61" s="2961" t="s">
        <v>169</v>
      </c>
    </row>
    <row r="62" spans="1:8">
      <c r="A62" s="2964" t="s">
        <v>2681</v>
      </c>
      <c r="B62" s="2966">
        <v>1620608</v>
      </c>
      <c r="C62" s="2156">
        <v>1620608</v>
      </c>
      <c r="D62" s="2157">
        <v>4.6053376412512545E-2</v>
      </c>
      <c r="E62" s="2961">
        <v>3.8252739110565141E-2</v>
      </c>
    </row>
    <row r="63" spans="1:8">
      <c r="A63" s="2964" t="s">
        <v>2682</v>
      </c>
      <c r="B63" s="2966"/>
      <c r="C63" s="2156">
        <v>5690066</v>
      </c>
      <c r="D63" s="2157" t="s">
        <v>169</v>
      </c>
      <c r="E63" s="2961">
        <v>0.13430799441931482</v>
      </c>
    </row>
    <row r="64" spans="1:8">
      <c r="A64" s="2964" t="s">
        <v>2683</v>
      </c>
      <c r="B64" s="2966"/>
      <c r="C64" s="2156" t="s">
        <v>169</v>
      </c>
      <c r="D64" s="2157" t="s">
        <v>169</v>
      </c>
      <c r="E64" s="2961" t="s">
        <v>169</v>
      </c>
    </row>
    <row r="65" spans="1:6">
      <c r="A65" s="2964" t="s">
        <v>2684</v>
      </c>
      <c r="B65" s="2966"/>
      <c r="C65" s="2156" t="s">
        <v>169</v>
      </c>
      <c r="D65" s="2157" t="s">
        <v>169</v>
      </c>
      <c r="E65" s="2961" t="s">
        <v>169</v>
      </c>
    </row>
    <row r="66" spans="1:6">
      <c r="A66" s="2964" t="s">
        <v>2685</v>
      </c>
      <c r="B66" s="2966"/>
      <c r="C66" s="2156">
        <v>1485960</v>
      </c>
      <c r="D66" s="2157" t="s">
        <v>169</v>
      </c>
      <c r="E66" s="2961">
        <v>3.5074515372462298E-2</v>
      </c>
    </row>
    <row r="67" spans="1:6" ht="13.5" thickBot="1">
      <c r="A67" s="2965" t="s">
        <v>67</v>
      </c>
      <c r="B67" s="2967">
        <f>SUM(B55:B66)</f>
        <v>35189776</v>
      </c>
      <c r="C67" s="2967">
        <f>SUM(C55:C66)</f>
        <v>42365802.755086869</v>
      </c>
      <c r="D67" s="2962">
        <f>SUM(D55:D66)</f>
        <v>1</v>
      </c>
      <c r="E67" s="2962">
        <f>SUM(E55:E66)</f>
        <v>1</v>
      </c>
    </row>
    <row r="68" spans="1:6" ht="13.5" thickBot="1">
      <c r="B68" s="956">
        <f>B55+B56+B57+B60+B62+B63+B66-B67</f>
        <v>0</v>
      </c>
      <c r="C68" s="956">
        <f>C55+C56+C57+C60+C62+C63+C66-C67</f>
        <v>0</v>
      </c>
      <c r="D68" s="956">
        <f>D55+D56+D57+D60+D62-D67</f>
        <v>0</v>
      </c>
      <c r="E68" s="956">
        <f>E55+E56+E57+E60+E62+E63+E66-E67</f>
        <v>0</v>
      </c>
    </row>
    <row r="70" spans="1:6">
      <c r="A70" s="32" t="s">
        <v>2687</v>
      </c>
      <c r="B70" s="873">
        <v>1E-4</v>
      </c>
      <c r="C70" s="637"/>
    </row>
    <row r="71" spans="1:6">
      <c r="A71" s="32" t="s">
        <v>2688</v>
      </c>
      <c r="B71" s="32">
        <f>B67-B57</f>
        <v>27220654</v>
      </c>
      <c r="D71" s="639"/>
    </row>
    <row r="72" spans="1:6">
      <c r="A72" s="32" t="s">
        <v>2689</v>
      </c>
      <c r="B72" s="32">
        <f>B71*B70</f>
        <v>2722.0654</v>
      </c>
    </row>
    <row r="73" spans="1:6" ht="13.5" thickBot="1">
      <c r="A73" s="2158">
        <v>3000001</v>
      </c>
      <c r="B73" s="2159">
        <f>-'New TB INC'!J438</f>
        <v>2722.04</v>
      </c>
    </row>
    <row r="74" spans="1:6" ht="13.5" thickBot="1">
      <c r="B74" s="2820">
        <f>B72-B73</f>
        <v>2.5399999999990541E-2</v>
      </c>
      <c r="F74" s="490"/>
    </row>
  </sheetData>
  <mergeCells count="1">
    <mergeCell ref="B53:E53"/>
  </mergeCells>
  <conditionalFormatting sqref="A2:A3">
    <cfRule type="duplicateValues" dxfId="461" priority="15170" stopIfTrue="1"/>
    <cfRule type="duplicateValues" dxfId="460" priority="15171" stopIfTrue="1"/>
  </conditionalFormatting>
  <conditionalFormatting sqref="A2:A3">
    <cfRule type="duplicateValues" dxfId="459" priority="15172" stopIfTrue="1"/>
  </conditionalFormatting>
  <pageMargins left="0.7" right="0.7" top="0.75" bottom="0.75" header="0.3" footer="0.3"/>
  <ignoredErrors>
    <ignoredError sqref="D68" formula="1"/>
  </ignoredErrors>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555A-168F-42A9-BCE4-8146D0DA4056}">
  <sheetPr codeName="Sheet28">
    <tabColor rgb="FFFFFF00"/>
    <pageSetUpPr fitToPage="1"/>
  </sheetPr>
  <dimension ref="A2:S83"/>
  <sheetViews>
    <sheetView zoomScale="85" zoomScaleNormal="85" workbookViewId="0">
      <selection activeCell="H9" sqref="H9"/>
    </sheetView>
  </sheetViews>
  <sheetFormatPr defaultColWidth="9.33203125" defaultRowHeight="12.75"/>
  <cols>
    <col min="1" max="1" width="24" style="213" customWidth="1"/>
    <col min="2" max="2" width="26" style="213" customWidth="1"/>
    <col min="3" max="3" width="30.1640625" style="213" customWidth="1"/>
    <col min="4" max="4" width="32" style="213" customWidth="1"/>
    <col min="5" max="5" width="32.1640625" style="226" customWidth="1"/>
    <col min="6" max="6" width="16.5" style="213" bestFit="1" customWidth="1"/>
    <col min="7" max="7" width="36.33203125" style="213" customWidth="1"/>
    <col min="8" max="8" width="19" style="213" customWidth="1"/>
    <col min="9" max="9" width="16" style="213" customWidth="1"/>
    <col min="10" max="10" width="13.33203125" style="213" customWidth="1"/>
    <col min="11" max="11" width="10.83203125" style="213" bestFit="1" customWidth="1"/>
    <col min="12" max="12" width="9.83203125" style="213" bestFit="1" customWidth="1"/>
    <col min="13" max="13" width="9.33203125" style="213" customWidth="1"/>
    <col min="14" max="14" width="18.83203125" style="213" customWidth="1"/>
    <col min="15" max="15" width="8.6640625" style="213" customWidth="1"/>
    <col min="16" max="16" width="3.5" style="213" customWidth="1"/>
    <col min="17" max="17" width="15.6640625" style="213" customWidth="1"/>
    <col min="18" max="18" width="11.1640625" style="213" customWidth="1"/>
    <col min="19" max="16384" width="9.33203125" style="213"/>
  </cols>
  <sheetData>
    <row r="2" spans="1:11">
      <c r="A2" s="1276" t="s">
        <v>2292</v>
      </c>
    </row>
    <row r="5" spans="1:11">
      <c r="A5" s="1254" t="s">
        <v>1602</v>
      </c>
      <c r="B5" s="212"/>
      <c r="C5" s="212"/>
      <c r="D5" s="212"/>
      <c r="E5" s="225"/>
      <c r="F5" s="212"/>
      <c r="G5" s="212"/>
      <c r="H5" s="212"/>
    </row>
    <row r="6" spans="1:11" ht="13.5" thickBot="1">
      <c r="A6" s="1255"/>
      <c r="B6" s="1256"/>
      <c r="C6" s="214"/>
      <c r="D6" s="214"/>
      <c r="E6" s="225"/>
      <c r="F6" s="212"/>
      <c r="G6" s="212"/>
      <c r="H6" s="212"/>
    </row>
    <row r="7" spans="1:11" ht="13.5" thickBot="1">
      <c r="A7" s="225"/>
      <c r="B7" s="1257"/>
      <c r="C7" s="214"/>
      <c r="D7" s="214"/>
      <c r="E7" s="225"/>
      <c r="G7" s="2144" t="s">
        <v>1608</v>
      </c>
      <c r="H7" s="2150" t="s">
        <v>2291</v>
      </c>
      <c r="I7" s="2147" t="s">
        <v>4</v>
      </c>
    </row>
    <row r="8" spans="1:11">
      <c r="A8" s="1262" t="s">
        <v>1384</v>
      </c>
      <c r="B8" s="1263" t="s">
        <v>466</v>
      </c>
      <c r="C8" s="1264" t="s">
        <v>466</v>
      </c>
      <c r="D8" s="282" t="s">
        <v>465</v>
      </c>
      <c r="G8" s="2145" t="s">
        <v>1605</v>
      </c>
      <c r="H8" s="2151">
        <f>'New TB INC'!$E$622</f>
        <v>49710.85</v>
      </c>
      <c r="I8" s="2148">
        <f>G21+H21-H8</f>
        <v>-2.9132420095265843E-3</v>
      </c>
    </row>
    <row r="9" spans="1:11">
      <c r="A9" s="217" t="s">
        <v>193</v>
      </c>
      <c r="B9" s="218"/>
      <c r="C9" s="219"/>
      <c r="D9" s="283">
        <f>C9/C13</f>
        <v>0</v>
      </c>
      <c r="G9" s="2145" t="s">
        <v>1606</v>
      </c>
      <c r="H9" s="2151">
        <f>'New TB INC'!$E$997</f>
        <v>269470.88</v>
      </c>
      <c r="I9" s="2148">
        <f>G23+H23-H9</f>
        <v>-1.2785387807525694E-3</v>
      </c>
    </row>
    <row r="10" spans="1:11">
      <c r="A10" s="221" t="s">
        <v>192</v>
      </c>
      <c r="B10" s="218"/>
      <c r="C10" s="219"/>
      <c r="D10" s="283">
        <f>C10/C13</f>
        <v>0</v>
      </c>
      <c r="G10" s="2145" t="s">
        <v>1779</v>
      </c>
      <c r="H10" s="2152">
        <f>'New TB INC'!$E$580</f>
        <v>10458.32</v>
      </c>
      <c r="I10" s="2148">
        <f>G31+G34+H31-H10</f>
        <v>1.6438356160506373E-3</v>
      </c>
    </row>
    <row r="11" spans="1:11">
      <c r="A11" s="222" t="s">
        <v>254</v>
      </c>
      <c r="B11" s="218"/>
      <c r="C11" s="219"/>
      <c r="D11" s="283">
        <f>C11/C13</f>
        <v>0</v>
      </c>
      <c r="G11" s="2145" t="s">
        <v>1780</v>
      </c>
      <c r="H11" s="2152">
        <f>'New TB INC'!$E$517</f>
        <v>15537.05</v>
      </c>
      <c r="I11" s="2148">
        <f>G30+H30-H11</f>
        <v>103320.23869240347</v>
      </c>
    </row>
    <row r="12" spans="1:11">
      <c r="A12" s="224" t="s">
        <v>1385</v>
      </c>
      <c r="B12" s="4109">
        <v>11</v>
      </c>
      <c r="C12" s="4110">
        <f>B12</f>
        <v>11</v>
      </c>
      <c r="D12" s="285">
        <f>C12/C13</f>
        <v>1</v>
      </c>
      <c r="G12" s="2145" t="s">
        <v>1781</v>
      </c>
      <c r="H12" s="2152">
        <f>'New TB INC'!E544</f>
        <v>155081.82</v>
      </c>
      <c r="I12" s="2148">
        <f>G29+H29-H12</f>
        <v>-103320.24061021171</v>
      </c>
    </row>
    <row r="13" spans="1:11" ht="13.5" thickBot="1">
      <c r="A13" s="227"/>
      <c r="B13" s="228">
        <f>SUM(B9:B12)</f>
        <v>11</v>
      </c>
      <c r="C13" s="229">
        <f>SUM(C9:C12)</f>
        <v>11</v>
      </c>
      <c r="D13" s="284">
        <f>SUM(D9:D12)</f>
        <v>1</v>
      </c>
      <c r="G13" s="2146" t="s">
        <v>1607</v>
      </c>
      <c r="H13" s="2153">
        <f>'New TB INC'!$E$723</f>
        <v>-500258.92</v>
      </c>
      <c r="I13" s="2149">
        <f>-SUM(I8:I12)</f>
        <v>4.4657534162979573E-3</v>
      </c>
    </row>
    <row r="14" spans="1:11" ht="13.5" thickBot="1">
      <c r="A14" s="225"/>
      <c r="B14" s="1272"/>
      <c r="C14" s="214"/>
      <c r="D14" s="1272"/>
      <c r="F14" s="225"/>
      <c r="G14" s="225"/>
      <c r="H14" s="2954">
        <f>SUM(H8:H13)</f>
        <v>0</v>
      </c>
      <c r="I14" s="2954">
        <f>SUM(G19:G24)+SUM(H19:H24)+SUM(I85)+I13+H13</f>
        <v>0</v>
      </c>
    </row>
    <row r="15" spans="1:11">
      <c r="A15" s="212"/>
      <c r="B15" s="230"/>
      <c r="C15" s="212"/>
      <c r="D15" s="1273"/>
      <c r="E15" s="225"/>
    </row>
    <row r="16" spans="1:11">
      <c r="A16" s="1254" t="s">
        <v>1603</v>
      </c>
      <c r="B16" s="212"/>
      <c r="C16" s="212"/>
      <c r="D16" s="1273"/>
      <c r="E16" s="225"/>
      <c r="K16" s="286"/>
    </row>
    <row r="17" spans="1:19">
      <c r="A17" s="1255"/>
      <c r="B17" s="1256"/>
      <c r="C17" s="214"/>
      <c r="D17" s="1273"/>
      <c r="E17" s="225"/>
      <c r="G17" s="1274" t="s">
        <v>410</v>
      </c>
      <c r="H17" s="1274" t="s">
        <v>193</v>
      </c>
    </row>
    <row r="18" spans="1:19" ht="13.5" thickBot="1">
      <c r="A18" s="225"/>
      <c r="B18" s="1257"/>
      <c r="C18" s="214"/>
      <c r="D18" s="1273"/>
      <c r="E18" s="225"/>
      <c r="G18" s="231" t="s">
        <v>294</v>
      </c>
      <c r="H18" s="231" t="s">
        <v>294</v>
      </c>
    </row>
    <row r="19" spans="1:19">
      <c r="A19" s="1262" t="s">
        <v>1384</v>
      </c>
      <c r="B19" s="1263" t="s">
        <v>466</v>
      </c>
      <c r="C19" s="1264" t="s">
        <v>466</v>
      </c>
      <c r="D19" s="282" t="s">
        <v>465</v>
      </c>
      <c r="E19" s="225"/>
      <c r="G19" s="232">
        <f>D12*(H45+H46)+D23*(H47+H48)</f>
        <v>55577.33</v>
      </c>
      <c r="H19" s="298">
        <f>H79*E43</f>
        <v>125499.85972602738</v>
      </c>
    </row>
    <row r="20" spans="1:19">
      <c r="A20" s="217" t="s">
        <v>193</v>
      </c>
      <c r="B20" s="4111">
        <v>3</v>
      </c>
      <c r="C20" s="4112">
        <v>3</v>
      </c>
      <c r="D20" s="283">
        <f>C20/C24</f>
        <v>0.2</v>
      </c>
      <c r="E20" s="225"/>
      <c r="G20" s="232"/>
      <c r="H20" s="232"/>
    </row>
    <row r="21" spans="1:19">
      <c r="A21" s="221" t="s">
        <v>192</v>
      </c>
      <c r="B21" s="4111">
        <v>2</v>
      </c>
      <c r="C21" s="4112">
        <v>2</v>
      </c>
      <c r="D21" s="283">
        <f>C21/C24</f>
        <v>0.13333333333333333</v>
      </c>
      <c r="E21" s="225"/>
      <c r="G21" s="233">
        <f>(H47+H48)*D21</f>
        <v>13106.721333333333</v>
      </c>
      <c r="H21" s="299">
        <f>E45*H79</f>
        <v>36604.125753424654</v>
      </c>
    </row>
    <row r="22" spans="1:19">
      <c r="A22" s="222" t="s">
        <v>254</v>
      </c>
      <c r="B22" s="4111">
        <v>10</v>
      </c>
      <c r="C22" s="4112">
        <v>10</v>
      </c>
      <c r="D22" s="283">
        <f>C22/C24</f>
        <v>0.66666666666666663</v>
      </c>
      <c r="E22" s="225"/>
      <c r="G22" s="233"/>
      <c r="H22" s="233"/>
    </row>
    <row r="23" spans="1:19">
      <c r="A23" s="224" t="s">
        <v>1385</v>
      </c>
      <c r="B23" s="4109"/>
      <c r="C23" s="4110"/>
      <c r="D23" s="285">
        <f>C23/C24</f>
        <v>0</v>
      </c>
      <c r="E23" s="225"/>
      <c r="G23" s="234">
        <f>D22*(H47+H48)+H49</f>
        <v>65533.606666666667</v>
      </c>
      <c r="H23" s="300">
        <f>E47*H79</f>
        <v>203937.27205479454</v>
      </c>
    </row>
    <row r="24" spans="1:19" ht="13.5" thickBot="1">
      <c r="A24" s="227"/>
      <c r="B24" s="228">
        <f>SUM(B20:B23)</f>
        <v>15</v>
      </c>
      <c r="C24" s="229">
        <f>SUM(C20:C23)</f>
        <v>15</v>
      </c>
      <c r="D24" s="284">
        <f>SUM(D20:D23)</f>
        <v>1</v>
      </c>
      <c r="E24" s="225"/>
      <c r="G24" s="234"/>
      <c r="H24" s="234"/>
    </row>
    <row r="25" spans="1:19">
      <c r="A25" s="212"/>
      <c r="B25" s="230"/>
      <c r="C25" s="212"/>
      <c r="D25" s="1273"/>
      <c r="E25" s="225"/>
      <c r="F25" s="212"/>
      <c r="G25" s="235">
        <f>D20*(H47+H48)</f>
        <v>19660.082000000002</v>
      </c>
      <c r="H25" s="316">
        <f>E49*H79</f>
        <v>15687.482465753423</v>
      </c>
    </row>
    <row r="26" spans="1:19" ht="13.5" thickBot="1">
      <c r="A26" s="212"/>
      <c r="B26" s="230"/>
      <c r="C26" s="212"/>
      <c r="D26" s="1273"/>
      <c r="E26" s="225"/>
      <c r="F26" s="212"/>
      <c r="G26" s="238">
        <f>SUM(G19:G25)</f>
        <v>153877.74</v>
      </c>
      <c r="H26" s="238">
        <f>SUM(H19:H25)</f>
        <v>381728.74</v>
      </c>
    </row>
    <row r="27" spans="1:19" ht="14.25" thickTop="1" thickBot="1">
      <c r="A27" s="1254" t="s">
        <v>2154</v>
      </c>
      <c r="B27" s="212"/>
      <c r="C27" s="212"/>
      <c r="D27" s="1273"/>
      <c r="E27" s="225"/>
      <c r="F27" s="212"/>
      <c r="G27" s="239">
        <f>H50-G26</f>
        <v>0</v>
      </c>
      <c r="H27" s="239">
        <f>H26-H79</f>
        <v>0</v>
      </c>
    </row>
    <row r="28" spans="1:19" ht="15.75" thickBot="1">
      <c r="A28" s="1255"/>
      <c r="B28" s="1256"/>
      <c r="C28" s="214"/>
      <c r="D28" s="1273"/>
      <c r="E28" s="4572" t="s">
        <v>1775</v>
      </c>
      <c r="F28" s="4573"/>
      <c r="M28" s="295"/>
    </row>
    <row r="29" spans="1:19" ht="13.5" thickBot="1">
      <c r="A29" s="225"/>
      <c r="B29" s="1257"/>
      <c r="C29" s="214"/>
      <c r="D29" s="1273"/>
      <c r="E29" s="4113">
        <f>3/B13</f>
        <v>0.27272727272727271</v>
      </c>
      <c r="F29" s="243" t="s">
        <v>1776</v>
      </c>
      <c r="G29" s="339">
        <f>($H$45+$H$46)*E29</f>
        <v>15157.453636363636</v>
      </c>
      <c r="H29" s="342">
        <f>$E$43*$H$79*I29/$D$43</f>
        <v>36604.125753424654</v>
      </c>
      <c r="I29" s="4114">
        <v>7</v>
      </c>
      <c r="L29" s="295"/>
      <c r="M29" s="295"/>
      <c r="S29" s="295"/>
    </row>
    <row r="30" spans="1:19">
      <c r="A30" s="1262" t="s">
        <v>1384</v>
      </c>
      <c r="B30" s="1263" t="s">
        <v>466</v>
      </c>
      <c r="C30" s="1264" t="s">
        <v>466</v>
      </c>
      <c r="D30" s="282" t="s">
        <v>465</v>
      </c>
      <c r="E30" s="4113">
        <f>8/B13</f>
        <v>0.72727272727272729</v>
      </c>
      <c r="F30" s="243" t="s">
        <v>1777</v>
      </c>
      <c r="G30" s="339">
        <f>($H$45+$H$46)*E30</f>
        <v>40419.876363636366</v>
      </c>
      <c r="H30" s="342">
        <f>$E$43*$H$79*I30/$D$43</f>
        <v>78437.41232876711</v>
      </c>
      <c r="I30" s="4115">
        <v>15</v>
      </c>
      <c r="L30" s="295"/>
      <c r="M30" s="295"/>
      <c r="S30" s="295"/>
    </row>
    <row r="31" spans="1:19">
      <c r="A31" s="217" t="s">
        <v>193</v>
      </c>
      <c r="B31" s="218"/>
      <c r="C31" s="219"/>
      <c r="D31" s="283">
        <f>C31/C35</f>
        <v>0</v>
      </c>
      <c r="E31" s="4113">
        <f>0/B13</f>
        <v>0</v>
      </c>
      <c r="F31" s="243" t="s">
        <v>1767</v>
      </c>
      <c r="G31" s="341">
        <f>($H$45+$H$46)*E31</f>
        <v>0</v>
      </c>
      <c r="H31" s="341">
        <f>$E$43*$H$79*I31/$D$43</f>
        <v>10458.321643835616</v>
      </c>
      <c r="I31" s="4116">
        <v>2</v>
      </c>
      <c r="L31" s="295"/>
      <c r="M31" s="295"/>
      <c r="S31" s="295"/>
    </row>
    <row r="32" spans="1:19" ht="13.5" thickBot="1">
      <c r="A32" s="221" t="s">
        <v>192</v>
      </c>
      <c r="B32" s="4111">
        <v>5</v>
      </c>
      <c r="C32" s="4112">
        <v>5</v>
      </c>
      <c r="D32" s="283">
        <f>C32/C35</f>
        <v>0.10638297872340426</v>
      </c>
      <c r="E32" s="2726">
        <f>SUM(E29:E31)</f>
        <v>1</v>
      </c>
      <c r="F32" s="243"/>
      <c r="G32" s="340">
        <f>SUM(G29:G31)</f>
        <v>55577.33</v>
      </c>
      <c r="H32" s="340">
        <f>SUM(H29:H31)</f>
        <v>125499.85972602738</v>
      </c>
      <c r="I32" s="213">
        <f>SUM(I29:I31)</f>
        <v>24</v>
      </c>
      <c r="L32" s="295"/>
      <c r="M32" s="295"/>
      <c r="S32" s="295"/>
    </row>
    <row r="33" spans="1:19" ht="13.5" thickBot="1">
      <c r="A33" s="222" t="s">
        <v>254</v>
      </c>
      <c r="B33" s="4111">
        <v>29</v>
      </c>
      <c r="C33" s="4112">
        <v>29</v>
      </c>
      <c r="D33" s="283">
        <f>C33/C35</f>
        <v>0.61702127659574468</v>
      </c>
      <c r="E33" s="2727" t="s">
        <v>1778</v>
      </c>
      <c r="F33" s="243"/>
      <c r="G33" s="213">
        <f>H45+H46-G32</f>
        <v>0</v>
      </c>
      <c r="I33" s="2954">
        <f>I32-D43</f>
        <v>0</v>
      </c>
      <c r="L33" s="295"/>
      <c r="M33" s="295"/>
      <c r="S33" s="295"/>
    </row>
    <row r="34" spans="1:19">
      <c r="A34" s="224" t="s">
        <v>1385</v>
      </c>
      <c r="B34" s="4109">
        <v>13</v>
      </c>
      <c r="C34" s="4110">
        <v>13</v>
      </c>
      <c r="D34" s="285">
        <f>C34/C35</f>
        <v>0.27659574468085107</v>
      </c>
      <c r="E34" s="2727"/>
      <c r="F34" s="243" t="s">
        <v>1767</v>
      </c>
      <c r="G34" s="340">
        <f>D23*(H47+H48)</f>
        <v>0</v>
      </c>
      <c r="H34" s="339"/>
      <c r="L34" s="295"/>
      <c r="M34" s="295"/>
      <c r="S34" s="295"/>
    </row>
    <row r="35" spans="1:19" ht="13.5" thickBot="1">
      <c r="A35" s="227"/>
      <c r="B35" s="228">
        <f>SUM(B31:B34)</f>
        <v>47</v>
      </c>
      <c r="C35" s="229">
        <f>SUM(C31:C34)</f>
        <v>47</v>
      </c>
      <c r="D35" s="284">
        <f>SUM(D31:D34)</f>
        <v>1</v>
      </c>
      <c r="E35" s="2727"/>
      <c r="F35" s="243"/>
      <c r="H35" s="339"/>
      <c r="L35" s="295"/>
      <c r="M35" s="295"/>
      <c r="S35" s="295"/>
    </row>
    <row r="36" spans="1:19">
      <c r="E36" s="2727" t="s">
        <v>1782</v>
      </c>
      <c r="F36" s="243"/>
      <c r="G36" s="340">
        <f>G34+G32</f>
        <v>55577.33</v>
      </c>
      <c r="H36" s="340">
        <f>E43*H79</f>
        <v>125499.85972602738</v>
      </c>
      <c r="L36" s="295"/>
      <c r="M36" s="295"/>
      <c r="S36" s="295"/>
    </row>
    <row r="37" spans="1:19">
      <c r="E37" s="2727" t="s">
        <v>1783</v>
      </c>
      <c r="F37" s="243" t="s">
        <v>1797</v>
      </c>
      <c r="G37" s="1252">
        <f>G36-G19</f>
        <v>0</v>
      </c>
      <c r="H37" s="1252">
        <f>H36-H19</f>
        <v>0</v>
      </c>
      <c r="L37" s="295"/>
      <c r="M37" s="295"/>
      <c r="S37" s="295"/>
    </row>
    <row r="38" spans="1:19">
      <c r="E38" s="2727" t="s">
        <v>1784</v>
      </c>
      <c r="F38" s="243" t="s">
        <v>1797</v>
      </c>
      <c r="S38" s="295"/>
    </row>
    <row r="39" spans="1:19">
      <c r="F39" s="212"/>
      <c r="S39" s="295"/>
    </row>
    <row r="40" spans="1:19" ht="13.5" thickBot="1">
      <c r="F40" s="212"/>
      <c r="S40" s="295"/>
    </row>
    <row r="41" spans="1:19">
      <c r="A41" s="306" t="s">
        <v>1609</v>
      </c>
      <c r="B41" s="293"/>
      <c r="C41" s="293"/>
      <c r="D41" s="293"/>
      <c r="E41" s="1277"/>
      <c r="F41" s="212"/>
      <c r="S41" s="295"/>
    </row>
    <row r="42" spans="1:19">
      <c r="A42" s="307"/>
      <c r="B42" s="308" t="s">
        <v>1604</v>
      </c>
      <c r="C42" s="308" t="s">
        <v>465</v>
      </c>
      <c r="D42" s="308" t="s">
        <v>466</v>
      </c>
      <c r="E42" s="1278" t="s">
        <v>411</v>
      </c>
      <c r="F42" s="212"/>
      <c r="G42" s="240"/>
      <c r="H42" s="240"/>
      <c r="I42" s="241"/>
      <c r="S42" s="295"/>
    </row>
    <row r="43" spans="1:19" ht="13.5" thickBot="1">
      <c r="A43" s="224" t="s">
        <v>412</v>
      </c>
      <c r="B43" s="309">
        <f>C12+C23</f>
        <v>11</v>
      </c>
      <c r="C43" s="310">
        <f>B43/$B$50</f>
        <v>0.42307692307692307</v>
      </c>
      <c r="D43" s="309">
        <f>C12+C23+C34</f>
        <v>24</v>
      </c>
      <c r="E43" s="1279">
        <f>+D43/$D$50</f>
        <v>0.32876712328767121</v>
      </c>
      <c r="F43" s="212"/>
      <c r="G43" s="240"/>
      <c r="H43" s="240"/>
      <c r="I43" s="241"/>
      <c r="S43" s="295"/>
    </row>
    <row r="44" spans="1:19" ht="15">
      <c r="A44" s="224" t="s">
        <v>413</v>
      </c>
      <c r="B44" s="309"/>
      <c r="C44" s="310"/>
      <c r="D44" s="309"/>
      <c r="E44" s="1304"/>
      <c r="F44" s="1284" t="s">
        <v>2320</v>
      </c>
      <c r="G44" s="1283" t="s">
        <v>2321</v>
      </c>
      <c r="H44" s="1285" t="s">
        <v>294</v>
      </c>
      <c r="I44" s="295"/>
      <c r="J44" s="1298" t="s">
        <v>2294</v>
      </c>
      <c r="K44" s="293"/>
      <c r="L44" s="293"/>
      <c r="M44" s="1280" t="s">
        <v>2307</v>
      </c>
      <c r="N44" s="287"/>
      <c r="S44" s="295"/>
    </row>
    <row r="45" spans="1:19">
      <c r="A45" s="221" t="s">
        <v>192</v>
      </c>
      <c r="B45" s="309">
        <f>C21</f>
        <v>2</v>
      </c>
      <c r="C45" s="310">
        <f>B45/$B$50</f>
        <v>7.6923076923076927E-2</v>
      </c>
      <c r="D45" s="309">
        <f>C10+C21+C32</f>
        <v>7</v>
      </c>
      <c r="E45" s="1304">
        <f>+D45/$D$50</f>
        <v>9.5890410958904104E-2</v>
      </c>
      <c r="F45" s="1286">
        <v>8030001</v>
      </c>
      <c r="G45" s="1297" t="s">
        <v>1610</v>
      </c>
      <c r="H45" s="1290">
        <f>N57</f>
        <v>56186.78</v>
      </c>
      <c r="I45" s="1289"/>
      <c r="J45" s="1299" t="s">
        <v>2296</v>
      </c>
      <c r="K45" s="2034">
        <f>8228-179.87</f>
        <v>8048.13</v>
      </c>
      <c r="L45" s="347"/>
      <c r="M45" s="350" t="s">
        <v>2308</v>
      </c>
      <c r="N45" s="2035">
        <f>4685.54-180</f>
        <v>4505.54</v>
      </c>
      <c r="S45" s="295"/>
    </row>
    <row r="46" spans="1:19">
      <c r="A46" s="221" t="s">
        <v>414</v>
      </c>
      <c r="B46" s="309"/>
      <c r="C46" s="310"/>
      <c r="D46" s="309"/>
      <c r="E46" s="1304"/>
      <c r="F46" s="1286">
        <v>8030028</v>
      </c>
      <c r="G46" s="1297" t="s">
        <v>1615</v>
      </c>
      <c r="H46" s="1290">
        <f>N76</f>
        <v>-609.44999999999982</v>
      </c>
      <c r="I46" s="1289"/>
      <c r="J46" s="1299" t="s">
        <v>2295</v>
      </c>
      <c r="K46" s="2034">
        <v>8228</v>
      </c>
      <c r="L46" s="347"/>
      <c r="M46" s="350" t="s">
        <v>2309</v>
      </c>
      <c r="N46" s="2035">
        <v>4685.54</v>
      </c>
      <c r="S46" s="295"/>
    </row>
    <row r="47" spans="1:19">
      <c r="A47" s="222" t="s">
        <v>415</v>
      </c>
      <c r="B47" s="309">
        <f>C22</f>
        <v>10</v>
      </c>
      <c r="C47" s="310">
        <f>B47/$B$50</f>
        <v>0.38461538461538464</v>
      </c>
      <c r="D47" s="309">
        <f>C11+C22+C33</f>
        <v>39</v>
      </c>
      <c r="E47" s="1304">
        <f>+D47/$D$50</f>
        <v>0.53424657534246578</v>
      </c>
      <c r="F47" s="1286">
        <v>8030001</v>
      </c>
      <c r="G47" s="1297" t="s">
        <v>2293</v>
      </c>
      <c r="H47" s="1290">
        <f>K57</f>
        <v>91663.66</v>
      </c>
      <c r="I47" s="1289"/>
      <c r="J47" s="1299" t="s">
        <v>2297</v>
      </c>
      <c r="K47" s="2034">
        <v>8228</v>
      </c>
      <c r="L47" s="347"/>
      <c r="M47" s="350" t="s">
        <v>2310</v>
      </c>
      <c r="N47" s="2035">
        <v>4685.54</v>
      </c>
      <c r="S47" s="295"/>
    </row>
    <row r="48" spans="1:19">
      <c r="A48" s="222" t="s">
        <v>416</v>
      </c>
      <c r="B48" s="309"/>
      <c r="C48" s="310"/>
      <c r="D48" s="309"/>
      <c r="E48" s="1304"/>
      <c r="F48" s="1286">
        <v>8030028</v>
      </c>
      <c r="G48" s="1297" t="s">
        <v>1616</v>
      </c>
      <c r="H48" s="1290">
        <f>K76</f>
        <v>6636.7499999999982</v>
      </c>
      <c r="I48" s="1289"/>
      <c r="J48" s="1299" t="s">
        <v>2298</v>
      </c>
      <c r="K48" s="2034">
        <v>8228</v>
      </c>
      <c r="L48" s="347"/>
      <c r="M48" s="350" t="s">
        <v>2311</v>
      </c>
      <c r="N48" s="2035">
        <v>4685.54</v>
      </c>
      <c r="S48" s="295"/>
    </row>
    <row r="49" spans="1:19">
      <c r="A49" s="312" t="s">
        <v>193</v>
      </c>
      <c r="B49" s="309">
        <f>C20</f>
        <v>3</v>
      </c>
      <c r="C49" s="310">
        <f>B49/$B$50</f>
        <v>0.11538461538461539</v>
      </c>
      <c r="D49" s="309">
        <f>C9+C20+C31</f>
        <v>3</v>
      </c>
      <c r="E49" s="1304">
        <f>+D49/$D$50</f>
        <v>4.1095890410958902E-2</v>
      </c>
      <c r="F49" s="1286">
        <v>8030001</v>
      </c>
      <c r="G49" s="1297" t="s">
        <v>1611</v>
      </c>
      <c r="H49" s="1290">
        <v>0</v>
      </c>
      <c r="I49" s="1289"/>
      <c r="J49" s="1299" t="s">
        <v>2299</v>
      </c>
      <c r="K49" s="2034">
        <v>8228</v>
      </c>
      <c r="L49" s="347"/>
      <c r="M49" s="350" t="s">
        <v>2312</v>
      </c>
      <c r="N49" s="2035">
        <v>4685.54</v>
      </c>
      <c r="S49" s="295"/>
    </row>
    <row r="50" spans="1:19" ht="13.5" thickBot="1">
      <c r="A50" s="307"/>
      <c r="B50" s="236">
        <f>SUM(B43:B49)</f>
        <v>26</v>
      </c>
      <c r="C50" s="237">
        <f>SUM(C43:C49)</f>
        <v>1</v>
      </c>
      <c r="D50" s="236">
        <f>SUM(D43:D49)</f>
        <v>73</v>
      </c>
      <c r="E50" s="1305">
        <f>SUM(E43:E49)</f>
        <v>1</v>
      </c>
      <c r="F50" s="288"/>
      <c r="G50" s="291" t="s">
        <v>468</v>
      </c>
      <c r="H50" s="1287">
        <f>SUM(H45:H49)</f>
        <v>153877.74</v>
      </c>
      <c r="I50" s="295"/>
      <c r="J50" s="1299" t="s">
        <v>2300</v>
      </c>
      <c r="K50" s="2034">
        <v>8228</v>
      </c>
      <c r="L50" s="347"/>
      <c r="M50" s="350" t="s">
        <v>2313</v>
      </c>
      <c r="N50" s="2035">
        <v>4685.54</v>
      </c>
      <c r="S50" s="295"/>
    </row>
    <row r="51" spans="1:19" ht="14.25" thickTop="1" thickBot="1">
      <c r="A51" s="307"/>
      <c r="B51" s="314">
        <f>+C13-B50+C24</f>
        <v>0</v>
      </c>
      <c r="C51" s="214"/>
      <c r="D51" s="314">
        <f>D50-C13-C24-C35</f>
        <v>0</v>
      </c>
      <c r="E51" s="1256"/>
      <c r="F51" s="1288"/>
      <c r="G51" s="292"/>
      <c r="H51" s="2123">
        <f>'New TB INC'!J694+'New TB INC'!J708-H50</f>
        <v>0.26000000000931323</v>
      </c>
      <c r="I51" s="295"/>
      <c r="J51" s="1299" t="s">
        <v>2301</v>
      </c>
      <c r="K51" s="2034">
        <f>8527.08-8327.08-179.87-180</f>
        <v>-159.87</v>
      </c>
      <c r="L51" s="347"/>
      <c r="M51" s="350" t="s">
        <v>2314</v>
      </c>
      <c r="N51" s="2035">
        <v>4685.54</v>
      </c>
      <c r="S51" s="295"/>
    </row>
    <row r="52" spans="1:19" ht="13.5" thickBot="1">
      <c r="A52" s="296"/>
      <c r="B52" s="297"/>
      <c r="C52" s="292"/>
      <c r="D52" s="292"/>
      <c r="E52" s="1306"/>
      <c r="F52" s="379"/>
      <c r="G52" s="1301" t="s">
        <v>469</v>
      </c>
      <c r="H52" s="2036"/>
      <c r="I52" s="295"/>
      <c r="J52" s="1299" t="s">
        <v>2302</v>
      </c>
      <c r="K52" s="2034">
        <v>8527.08</v>
      </c>
      <c r="L52" s="295"/>
      <c r="M52" s="350" t="s">
        <v>2315</v>
      </c>
      <c r="N52" s="2035">
        <v>4685.54</v>
      </c>
      <c r="S52" s="295"/>
    </row>
    <row r="53" spans="1:19">
      <c r="C53" s="212"/>
      <c r="D53" s="212"/>
      <c r="E53" s="225"/>
      <c r="F53" s="288"/>
      <c r="G53" s="295"/>
      <c r="H53" s="1769"/>
      <c r="I53" s="295"/>
      <c r="J53" s="1299" t="s">
        <v>2303</v>
      </c>
      <c r="K53" s="2034">
        <v>8527.08</v>
      </c>
      <c r="L53" s="347"/>
      <c r="M53" s="350" t="s">
        <v>2316</v>
      </c>
      <c r="N53" s="2035">
        <v>4685.54</v>
      </c>
      <c r="S53" s="295"/>
    </row>
    <row r="54" spans="1:19">
      <c r="A54" s="212"/>
      <c r="B54" s="230"/>
      <c r="C54" s="212"/>
      <c r="D54" s="212"/>
      <c r="E54" s="225"/>
      <c r="F54" s="301"/>
      <c r="G54" s="302"/>
      <c r="H54" s="3589" t="s">
        <v>294</v>
      </c>
      <c r="I54" s="295"/>
      <c r="J54" s="1299" t="s">
        <v>2304</v>
      </c>
      <c r="K54" s="2034">
        <v>8527.08</v>
      </c>
      <c r="L54" s="295"/>
      <c r="M54" s="350" t="s">
        <v>2317</v>
      </c>
      <c r="N54" s="2035">
        <v>4685.54</v>
      </c>
      <c r="R54" s="295"/>
      <c r="S54" s="295"/>
    </row>
    <row r="55" spans="1:19">
      <c r="F55" s="1286">
        <v>8030020</v>
      </c>
      <c r="G55" s="1297" t="s">
        <v>481</v>
      </c>
      <c r="H55" s="1302">
        <f>VLOOKUP(F55,'New TB INC'!C:J,8,0)</f>
        <v>87952</v>
      </c>
      <c r="J55" s="1299" t="s">
        <v>2305</v>
      </c>
      <c r="K55" s="2034">
        <v>8527.08</v>
      </c>
      <c r="L55" s="295"/>
      <c r="M55" s="350" t="s">
        <v>2318</v>
      </c>
      <c r="N55" s="2035">
        <v>4685.54</v>
      </c>
      <c r="R55" s="295"/>
      <c r="S55" s="295"/>
    </row>
    <row r="56" spans="1:19">
      <c r="F56" s="1286">
        <v>8030004</v>
      </c>
      <c r="G56" s="1297" t="s">
        <v>489</v>
      </c>
      <c r="H56" s="1290">
        <f>VLOOKUP(F56,'New TB INC'!C:J,8,0)</f>
        <v>111649.92</v>
      </c>
      <c r="J56" s="1299" t="s">
        <v>2306</v>
      </c>
      <c r="K56" s="2851">
        <v>8527.08</v>
      </c>
      <c r="L56" s="295"/>
      <c r="M56" s="350" t="s">
        <v>2319</v>
      </c>
      <c r="N56" s="2035">
        <f>140.3+4685.54</f>
        <v>4825.84</v>
      </c>
      <c r="R56" s="295"/>
      <c r="S56" s="295"/>
    </row>
    <row r="57" spans="1:19">
      <c r="F57" s="1286">
        <v>8030005</v>
      </c>
      <c r="G57" s="295" t="str">
        <f>'New TB INC'!D696</f>
        <v>IT Operating Expenses</v>
      </c>
      <c r="H57" s="1290">
        <f>VLOOKUP(F57,'New TB INC'!C:J,8,0)</f>
        <v>48335.34</v>
      </c>
      <c r="J57" s="1299"/>
      <c r="K57" s="1281">
        <f>SUM(K45:K56)</f>
        <v>91663.66</v>
      </c>
      <c r="L57" s="295"/>
      <c r="M57" s="214"/>
      <c r="N57" s="1296">
        <f>SUM(N45:N56)</f>
        <v>56186.78</v>
      </c>
      <c r="R57" s="295"/>
      <c r="S57" s="295"/>
    </row>
    <row r="58" spans="1:19" ht="13.5" thickBot="1">
      <c r="F58" s="1286">
        <v>8030006</v>
      </c>
      <c r="G58" s="1297" t="s">
        <v>767</v>
      </c>
      <c r="H58" s="1290">
        <f>VLOOKUP(F58,'New TB INC'!C:J,8,0)</f>
        <v>600.19000000000005</v>
      </c>
      <c r="J58" s="1307">
        <f>K57/K59</f>
        <v>0.6199755644961219</v>
      </c>
      <c r="K58" s="295"/>
      <c r="L58" s="295"/>
      <c r="M58" s="214"/>
      <c r="N58" s="1293"/>
      <c r="R58" s="295"/>
      <c r="S58" s="295"/>
    </row>
    <row r="59" spans="1:19" ht="13.5" thickBot="1">
      <c r="F59" s="1286">
        <v>8030009</v>
      </c>
      <c r="G59" s="1297" t="s">
        <v>545</v>
      </c>
      <c r="H59" s="1290">
        <f>VLOOKUP(F59,'New TB INC'!C:J,8,0)</f>
        <v>187.43</v>
      </c>
      <c r="J59" s="294"/>
      <c r="K59" s="1282">
        <f>K57+N57</f>
        <v>147850.44</v>
      </c>
      <c r="L59" s="295"/>
      <c r="M59" s="295"/>
      <c r="N59" s="290"/>
      <c r="S59" s="295"/>
    </row>
    <row r="60" spans="1:19" ht="13.5" thickBot="1">
      <c r="F60" s="1286">
        <v>8030017</v>
      </c>
      <c r="G60" s="1297" t="s">
        <v>1573</v>
      </c>
      <c r="H60" s="1290">
        <f>VLOOKUP(F60,'New TB INC'!C:J,8,0)</f>
        <v>0</v>
      </c>
      <c r="J60" s="294"/>
      <c r="K60" s="295"/>
      <c r="L60" s="295"/>
      <c r="M60" s="295"/>
      <c r="N60" s="290"/>
      <c r="S60" s="295"/>
    </row>
    <row r="61" spans="1:19">
      <c r="F61" s="1286">
        <v>8030018</v>
      </c>
      <c r="G61" s="1297" t="s">
        <v>978</v>
      </c>
      <c r="H61" s="1290">
        <f>VLOOKUP(F61,'New TB INC'!C:J,8,0)</f>
        <v>32.15</v>
      </c>
      <c r="J61" s="1298" t="s">
        <v>2322</v>
      </c>
      <c r="K61" s="293"/>
      <c r="L61" s="293"/>
      <c r="M61" s="1280" t="s">
        <v>2323</v>
      </c>
      <c r="N61" s="287"/>
      <c r="S61" s="295"/>
    </row>
    <row r="62" spans="1:19">
      <c r="F62" s="1286">
        <v>8030019</v>
      </c>
      <c r="G62" s="1297" t="s">
        <v>1430</v>
      </c>
      <c r="H62" s="1290">
        <f>VLOOKUP(F62,'New TB INC'!C:J,8,0)</f>
        <v>22223.02</v>
      </c>
      <c r="J62" s="1300"/>
      <c r="K62" s="1291"/>
      <c r="L62" s="1291"/>
      <c r="M62" s="1291"/>
      <c r="N62" s="1292"/>
      <c r="S62" s="295"/>
    </row>
    <row r="63" spans="1:19">
      <c r="F63" s="1286">
        <v>8090002</v>
      </c>
      <c r="G63" s="295" t="s">
        <v>2877</v>
      </c>
      <c r="H63" s="1290">
        <f>VLOOKUP(F63,'New TB INC'!C:J,8,0)</f>
        <v>6000</v>
      </c>
      <c r="J63" s="294"/>
      <c r="K63" s="295"/>
      <c r="L63" s="295"/>
      <c r="M63" s="295"/>
      <c r="N63" s="290"/>
      <c r="S63" s="295"/>
    </row>
    <row r="64" spans="1:19">
      <c r="F64" s="1286">
        <v>8030022</v>
      </c>
      <c r="G64" s="1297" t="s">
        <v>488</v>
      </c>
      <c r="H64" s="1290">
        <f>VLOOKUP(F64,'New TB INC'!C:J,8,0)</f>
        <v>8962.2000000000007</v>
      </c>
      <c r="J64" s="1299" t="s">
        <v>2296</v>
      </c>
      <c r="K64" s="2034">
        <v>846.9</v>
      </c>
      <c r="L64" s="347"/>
      <c r="M64" s="350" t="s">
        <v>2308</v>
      </c>
      <c r="N64" s="2035">
        <v>18.96</v>
      </c>
      <c r="S64" s="295"/>
    </row>
    <row r="65" spans="1:19">
      <c r="F65" s="1286">
        <v>8030023</v>
      </c>
      <c r="G65" s="1297" t="s">
        <v>546</v>
      </c>
      <c r="H65" s="1290">
        <f>VLOOKUP(F65,'New TB INC'!C:J,8,0)</f>
        <v>2557.69</v>
      </c>
      <c r="J65" s="1299" t="s">
        <v>2295</v>
      </c>
      <c r="K65" s="2034">
        <f>846.9-636.81</f>
        <v>210.09000000000003</v>
      </c>
      <c r="L65" s="347"/>
      <c r="M65" s="350" t="s">
        <v>2309</v>
      </c>
      <c r="N65" s="2035">
        <v>18.96</v>
      </c>
      <c r="S65" s="295"/>
    </row>
    <row r="66" spans="1:19">
      <c r="F66" s="1286">
        <v>8030029</v>
      </c>
      <c r="G66" s="1297" t="s">
        <v>1979</v>
      </c>
      <c r="H66" s="1290">
        <f>VLOOKUP(F66,'New TB INC'!C:J,8,0)</f>
        <v>0</v>
      </c>
      <c r="J66" s="1299" t="s">
        <v>2297</v>
      </c>
      <c r="K66" s="2034">
        <f>846.9-765.63-179.87</f>
        <v>-98.600000000000023</v>
      </c>
      <c r="L66" s="347"/>
      <c r="M66" s="350" t="s">
        <v>2310</v>
      </c>
      <c r="N66" s="2035">
        <v>18.96</v>
      </c>
      <c r="S66" s="295"/>
    </row>
    <row r="67" spans="1:19">
      <c r="F67" s="1286">
        <v>8030024</v>
      </c>
      <c r="G67" s="1297" t="s">
        <v>768</v>
      </c>
      <c r="H67" s="1290">
        <f>VLOOKUP(F67,'New TB INC'!C:J,8,0)</f>
        <v>815.67</v>
      </c>
      <c r="J67" s="1299" t="s">
        <v>2298</v>
      </c>
      <c r="K67" s="2034">
        <v>846.9</v>
      </c>
      <c r="L67" s="347"/>
      <c r="M67" s="350" t="s">
        <v>2311</v>
      </c>
      <c r="N67" s="2035">
        <v>18.96</v>
      </c>
      <c r="S67" s="295"/>
    </row>
    <row r="68" spans="1:19">
      <c r="F68" s="1286">
        <v>8020012</v>
      </c>
      <c r="G68" s="1297" t="s">
        <v>980</v>
      </c>
      <c r="H68" s="1290">
        <f>VLOOKUP(F68,'New TB INC'!C:J,8,0)</f>
        <v>5000</v>
      </c>
      <c r="J68" s="1299" t="s">
        <v>2299</v>
      </c>
      <c r="K68" s="2034">
        <f>-179.87-179.87+846.9</f>
        <v>487.15999999999997</v>
      </c>
      <c r="L68" s="347"/>
      <c r="M68" s="350" t="s">
        <v>2312</v>
      </c>
      <c r="N68" s="2035">
        <v>18.96</v>
      </c>
      <c r="S68" s="295"/>
    </row>
    <row r="69" spans="1:19">
      <c r="F69" s="1286">
        <v>8410045</v>
      </c>
      <c r="G69" s="1297" t="s">
        <v>485</v>
      </c>
      <c r="H69" s="1290">
        <f>VLOOKUP(F69,'New TB INC'!C:J,8,0)</f>
        <v>18519.740000000002</v>
      </c>
      <c r="J69" s="1299" t="s">
        <v>2300</v>
      </c>
      <c r="K69" s="2034">
        <v>846.9</v>
      </c>
      <c r="L69" s="347"/>
      <c r="M69" s="350" t="s">
        <v>2313</v>
      </c>
      <c r="N69" s="2035">
        <f>18.96-836.97</f>
        <v>-818.01</v>
      </c>
      <c r="S69" s="295"/>
    </row>
    <row r="70" spans="1:19">
      <c r="F70" s="1286">
        <v>8410047</v>
      </c>
      <c r="G70" s="1297" t="s">
        <v>486</v>
      </c>
      <c r="H70" s="1290">
        <f>VLOOKUP(F70,'New TB INC'!C:J,8,0)</f>
        <v>17147.18</v>
      </c>
      <c r="J70" s="1299" t="s">
        <v>2301</v>
      </c>
      <c r="K70" s="2034">
        <v>582.9</v>
      </c>
      <c r="L70" s="347"/>
      <c r="M70" s="350" t="s">
        <v>2314</v>
      </c>
      <c r="N70" s="2035">
        <v>18.96</v>
      </c>
      <c r="S70" s="295"/>
    </row>
    <row r="71" spans="1:19">
      <c r="F71" s="1286">
        <v>8410048</v>
      </c>
      <c r="G71" s="1297" t="s">
        <v>982</v>
      </c>
      <c r="H71" s="1290">
        <f>VLOOKUP(F71,'New TB INC'!C:J,8,0)</f>
        <v>18085.7</v>
      </c>
      <c r="J71" s="1299" t="s">
        <v>2302</v>
      </c>
      <c r="K71" s="2034">
        <v>582.9</v>
      </c>
      <c r="L71" s="347"/>
      <c r="M71" s="350" t="s">
        <v>2315</v>
      </c>
      <c r="N71" s="2035">
        <v>18.96</v>
      </c>
      <c r="S71" s="295"/>
    </row>
    <row r="72" spans="1:19">
      <c r="A72" s="212"/>
      <c r="B72" s="1275"/>
      <c r="E72" s="225"/>
      <c r="F72" s="1286">
        <v>8020005</v>
      </c>
      <c r="G72" s="295" t="s">
        <v>3259</v>
      </c>
      <c r="H72" s="1290">
        <f>VLOOKUP(F72,'New TB INC'!C:J,8,0)</f>
        <v>2266.94</v>
      </c>
      <c r="J72" s="1299" t="s">
        <v>2303</v>
      </c>
      <c r="K72" s="2034">
        <v>582.9</v>
      </c>
      <c r="L72" s="295"/>
      <c r="M72" s="350" t="s">
        <v>2316</v>
      </c>
      <c r="N72" s="2035">
        <v>18.96</v>
      </c>
      <c r="S72" s="295"/>
    </row>
    <row r="73" spans="1:19">
      <c r="A73" s="212"/>
      <c r="B73" s="1275"/>
      <c r="E73" s="225"/>
      <c r="F73" s="1286"/>
      <c r="G73" s="1297"/>
      <c r="H73" s="1290"/>
      <c r="J73" s="1299" t="s">
        <v>2304</v>
      </c>
      <c r="K73" s="2034">
        <v>582.9</v>
      </c>
      <c r="L73" s="295"/>
      <c r="M73" s="350" t="s">
        <v>2317</v>
      </c>
      <c r="N73" s="2035">
        <v>18.96</v>
      </c>
      <c r="S73" s="295"/>
    </row>
    <row r="74" spans="1:19">
      <c r="A74" s="212"/>
      <c r="B74" s="1275"/>
      <c r="E74" s="225"/>
      <c r="F74" s="1286">
        <v>8030015</v>
      </c>
      <c r="G74" s="1297" t="s">
        <v>4516</v>
      </c>
      <c r="H74" s="1290">
        <f>VLOOKUP(F74,'New TB INC'!C:J,8,0)</f>
        <v>246.3</v>
      </c>
      <c r="J74" s="1299" t="s">
        <v>2305</v>
      </c>
      <c r="K74" s="2034">
        <v>582.9</v>
      </c>
      <c r="L74" s="295"/>
      <c r="M74" s="350" t="s">
        <v>2318</v>
      </c>
      <c r="N74" s="2035">
        <v>18.96</v>
      </c>
      <c r="O74" s="295"/>
      <c r="P74" s="295"/>
      <c r="Q74" s="214"/>
      <c r="R74" s="1253"/>
      <c r="S74" s="295"/>
    </row>
    <row r="75" spans="1:19">
      <c r="A75" s="212"/>
      <c r="B75" s="230"/>
      <c r="C75" s="212"/>
      <c r="D75" s="212"/>
      <c r="E75" s="225"/>
      <c r="F75" s="1286">
        <v>8410061</v>
      </c>
      <c r="G75" s="1297" t="s">
        <v>547</v>
      </c>
      <c r="H75" s="1290">
        <f>VLOOKUP(F75,'New TB INC'!C:J,8,0)</f>
        <v>2085</v>
      </c>
      <c r="J75" s="1299" t="s">
        <v>2306</v>
      </c>
      <c r="K75" s="2851">
        <v>582.9</v>
      </c>
      <c r="L75" s="295"/>
      <c r="M75" s="350" t="s">
        <v>2319</v>
      </c>
      <c r="N75" s="2035">
        <v>18.96</v>
      </c>
      <c r="O75" s="295"/>
      <c r="P75" s="295"/>
      <c r="Q75" s="295"/>
      <c r="R75" s="295"/>
      <c r="S75" s="295"/>
    </row>
    <row r="76" spans="1:19" ht="13.5" thickBot="1">
      <c r="A76" s="212"/>
      <c r="B76" s="230"/>
      <c r="C76" s="212"/>
      <c r="D76" s="212"/>
      <c r="E76" s="225"/>
      <c r="F76" s="1286">
        <v>8410067</v>
      </c>
      <c r="G76" s="1297" t="s">
        <v>1380</v>
      </c>
      <c r="H76" s="1290">
        <f>VLOOKUP(F76,'New TB INC'!C:J,8,0)</f>
        <v>15041.89</v>
      </c>
      <c r="J76" s="296"/>
      <c r="K76" s="1294">
        <f>SUM(K64:K75)</f>
        <v>6636.7499999999982</v>
      </c>
      <c r="L76" s="297"/>
      <c r="M76" s="292"/>
      <c r="N76" s="1295">
        <f>SUM(N64:N75)</f>
        <v>-609.44999999999982</v>
      </c>
      <c r="P76" s="295"/>
      <c r="Q76" s="295"/>
      <c r="S76" s="295"/>
    </row>
    <row r="77" spans="1:19">
      <c r="A77" s="212"/>
      <c r="B77" s="230"/>
      <c r="C77" s="212"/>
      <c r="D77" s="212"/>
      <c r="E77" s="225"/>
      <c r="F77" s="1286">
        <v>8410066</v>
      </c>
      <c r="G77" s="1297" t="s">
        <v>491</v>
      </c>
      <c r="H77" s="1290">
        <f>VLOOKUP(F77,'New TB INC'!C:J,8,0)</f>
        <v>5789.17</v>
      </c>
      <c r="J77" s="295"/>
      <c r="L77" s="295"/>
      <c r="M77" s="295"/>
      <c r="N77" s="295"/>
      <c r="O77" s="295"/>
      <c r="P77" s="295"/>
      <c r="Q77" s="295"/>
      <c r="R77" s="295"/>
      <c r="S77" s="295"/>
    </row>
    <row r="78" spans="1:19">
      <c r="A78" s="212"/>
      <c r="B78" s="230"/>
      <c r="C78" s="212"/>
      <c r="D78" s="212"/>
      <c r="E78" s="225"/>
      <c r="F78" s="1286">
        <v>8410101</v>
      </c>
      <c r="G78" s="1297" t="s">
        <v>487</v>
      </c>
      <c r="H78" s="3590">
        <f>VLOOKUP(F78,'New TB INC'!C:J,8,0)</f>
        <v>8231.2099999999991</v>
      </c>
      <c r="J78" s="295"/>
      <c r="L78" s="295"/>
      <c r="M78" s="295"/>
      <c r="N78" s="295"/>
      <c r="O78" s="295"/>
      <c r="P78" s="295"/>
      <c r="Q78" s="295"/>
      <c r="R78" s="295"/>
      <c r="S78" s="295"/>
    </row>
    <row r="79" spans="1:19" ht="13.5" thickBot="1">
      <c r="F79" s="288"/>
      <c r="G79" s="214"/>
      <c r="H79" s="2037">
        <f>SUM(H55:H78)</f>
        <v>381728.74</v>
      </c>
      <c r="J79" s="220"/>
      <c r="L79" s="295"/>
      <c r="M79" s="295"/>
      <c r="N79" s="295"/>
      <c r="O79" s="295"/>
      <c r="P79" s="295"/>
      <c r="Q79" s="295"/>
      <c r="R79" s="295"/>
      <c r="S79" s="295"/>
    </row>
    <row r="80" spans="1:19" ht="14.25" thickTop="1" thickBot="1">
      <c r="F80" s="304"/>
      <c r="G80" s="214" t="s">
        <v>2291</v>
      </c>
      <c r="H80" s="1769">
        <f>SUM('New TB INC'!J695:J717,'New TB INC'!J661)-'New TB INC'!J708-'New TB INC'!J703+'New TB INC'!J686</f>
        <v>381728.74</v>
      </c>
      <c r="L80" s="295"/>
      <c r="S80" s="295"/>
    </row>
    <row r="81" spans="6:8" ht="13.5" thickBot="1">
      <c r="F81" s="3591"/>
      <c r="G81" s="3592"/>
      <c r="H81" s="2124">
        <f>H80-H79</f>
        <v>0</v>
      </c>
    </row>
    <row r="82" spans="6:8" ht="13.5" thickBot="1">
      <c r="F82" s="294"/>
      <c r="G82" s="295"/>
      <c r="H82" s="2038"/>
    </row>
    <row r="83" spans="6:8" ht="13.5" thickBot="1">
      <c r="F83" s="3593"/>
      <c r="G83" s="3594" t="s">
        <v>2324</v>
      </c>
      <c r="H83" s="2123">
        <f>-('New TB INC'!J719-'New TB INC'!J703+'New TB INC'!J662-'New TB INC'!J674)+(H79+H50)</f>
        <v>-0.26000000000931323</v>
      </c>
    </row>
  </sheetData>
  <mergeCells count="1">
    <mergeCell ref="E28:F28"/>
  </mergeCells>
  <conditionalFormatting sqref="H42:H43">
    <cfRule type="cellIs" dxfId="458" priority="46" operator="lessThan">
      <formula>-3</formula>
    </cfRule>
    <cfRule type="cellIs" dxfId="457" priority="47" operator="greaterThan">
      <formula>3</formula>
    </cfRule>
  </conditionalFormatting>
  <conditionalFormatting sqref="H27">
    <cfRule type="cellIs" dxfId="456" priority="42" operator="lessThan">
      <formula>-3</formula>
    </cfRule>
    <cfRule type="cellIs" dxfId="455" priority="43" operator="greaterThan">
      <formula>3</formula>
    </cfRule>
  </conditionalFormatting>
  <conditionalFormatting sqref="H37">
    <cfRule type="duplicateValues" dxfId="454" priority="4" stopIfTrue="1"/>
    <cfRule type="duplicateValues" dxfId="453" priority="5" stopIfTrue="1"/>
  </conditionalFormatting>
  <conditionalFormatting sqref="H37">
    <cfRule type="duplicateValues" dxfId="452" priority="6" stopIfTrue="1"/>
  </conditionalFormatting>
  <pageMargins left="0.75" right="0.75" top="1" bottom="1" header="0.5" footer="0.5"/>
  <pageSetup paperSize="9" scale="41"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0">
    <tabColor rgb="FFFFFF00"/>
  </sheetPr>
  <dimension ref="B2:V271"/>
  <sheetViews>
    <sheetView zoomScale="110" zoomScaleNormal="110" workbookViewId="0">
      <selection activeCell="I17" sqref="I17"/>
    </sheetView>
  </sheetViews>
  <sheetFormatPr defaultColWidth="9.33203125" defaultRowHeight="12.75"/>
  <cols>
    <col min="1" max="1" width="9.33203125" style="32"/>
    <col min="2" max="2" width="29.83203125" style="32" customWidth="1"/>
    <col min="3" max="3" width="21.6640625" style="32" customWidth="1"/>
    <col min="4" max="4" width="19.83203125" style="32" customWidth="1"/>
    <col min="5" max="5" width="10.6640625" style="32" bestFit="1" customWidth="1"/>
    <col min="6" max="6" width="21.5" style="182" customWidth="1"/>
    <col min="7" max="7" width="42" style="32" customWidth="1"/>
    <col min="8" max="8" width="16.1640625" style="32" bestFit="1" customWidth="1"/>
    <col min="9" max="9" width="32.83203125" style="32" customWidth="1"/>
    <col min="10" max="10" width="37.33203125" style="32" customWidth="1"/>
    <col min="11" max="11" width="24.6640625" style="32" customWidth="1"/>
    <col min="12" max="12" width="14.33203125" style="32" bestFit="1" customWidth="1"/>
    <col min="13" max="14" width="14.5" style="32" bestFit="1" customWidth="1"/>
    <col min="15" max="15" width="34.6640625" style="32" bestFit="1" customWidth="1"/>
    <col min="16" max="16" width="12.33203125" style="32" bestFit="1" customWidth="1"/>
    <col min="17" max="17" width="9.33203125" style="32"/>
    <col min="18" max="18" width="9.1640625" style="32" bestFit="1" customWidth="1"/>
    <col min="19" max="16384" width="9.33203125" style="32"/>
  </cols>
  <sheetData>
    <row r="2" spans="2:14" ht="13.5" thickBot="1"/>
    <row r="3" spans="2:14">
      <c r="B3" s="1019" t="s">
        <v>596</v>
      </c>
      <c r="C3" s="1020"/>
      <c r="D3" s="1009"/>
      <c r="E3" s="1009"/>
      <c r="F3" s="1021"/>
      <c r="G3" s="1009"/>
      <c r="H3" s="1009"/>
      <c r="I3" s="1009"/>
      <c r="J3" s="1009"/>
      <c r="K3" s="1009"/>
      <c r="L3" s="1009"/>
      <c r="M3" s="717"/>
      <c r="N3" s="734"/>
    </row>
    <row r="4" spans="2:14">
      <c r="B4" s="147"/>
      <c r="C4" s="1066" t="s">
        <v>2281</v>
      </c>
      <c r="D4" s="1010"/>
      <c r="E4" s="133"/>
      <c r="G4" s="1022" t="s">
        <v>3881</v>
      </c>
      <c r="H4" s="1011"/>
      <c r="I4" s="133"/>
      <c r="J4" s="1023" t="s">
        <v>3880</v>
      </c>
      <c r="K4" s="1012"/>
      <c r="L4" s="133"/>
      <c r="M4" s="320"/>
      <c r="N4" s="530"/>
    </row>
    <row r="5" spans="2:14">
      <c r="B5" s="147" t="s">
        <v>169</v>
      </c>
      <c r="C5" s="133"/>
      <c r="D5" s="1024">
        <f>-'New TB INC'!J484</f>
        <v>35909314.140000001</v>
      </c>
      <c r="E5" s="133"/>
      <c r="G5" s="153" t="s">
        <v>1388</v>
      </c>
      <c r="H5" s="1025">
        <f>-'New TB INC'!J484</f>
        <v>35909314.140000001</v>
      </c>
      <c r="I5" s="1013"/>
      <c r="J5" s="696" t="s">
        <v>628</v>
      </c>
      <c r="K5" s="1026">
        <f>-'New TB INC'!J484</f>
        <v>35909314.140000001</v>
      </c>
      <c r="L5" s="133"/>
      <c r="M5" s="320"/>
      <c r="N5" s="530"/>
    </row>
    <row r="6" spans="2:14">
      <c r="B6" s="147" t="s">
        <v>330</v>
      </c>
      <c r="C6" s="134">
        <v>2.5000000000000001E-2</v>
      </c>
      <c r="D6" s="1024">
        <f>+D5*C6</f>
        <v>897732.85350000008</v>
      </c>
      <c r="E6" s="133"/>
      <c r="G6" s="153" t="s">
        <v>582</v>
      </c>
      <c r="H6" s="1025">
        <f>-SUM('New TB INC'!J1043,'New TB INC'!J1045:J1052,'New TB INC'!J1062)</f>
        <v>-20475195.537068527</v>
      </c>
      <c r="I6" s="1013"/>
      <c r="J6" s="696" t="s">
        <v>627</v>
      </c>
      <c r="K6" s="1026">
        <f>+F31</f>
        <v>250378.21992484108</v>
      </c>
      <c r="L6" s="133"/>
      <c r="M6" s="320"/>
      <c r="N6" s="530"/>
    </row>
    <row r="7" spans="2:14" ht="13.5" thickBot="1">
      <c r="B7" s="147" t="s">
        <v>623</v>
      </c>
      <c r="C7" s="135"/>
      <c r="D7" s="1024">
        <f>-'New TB INC'!J1065</f>
        <v>897732.84834749077</v>
      </c>
      <c r="E7" s="1027"/>
      <c r="G7" s="153" t="s">
        <v>626</v>
      </c>
      <c r="H7" s="1025">
        <f>+'New TB INC'!J1051+'New TB INC'!J1052</f>
        <v>35771.155416020294</v>
      </c>
      <c r="I7" s="1013"/>
      <c r="J7" s="696" t="s">
        <v>582</v>
      </c>
      <c r="K7" s="1026">
        <f>+H6</f>
        <v>-20475195.537068527</v>
      </c>
      <c r="L7" s="1014"/>
      <c r="M7" s="1014"/>
      <c r="N7" s="1028"/>
    </row>
    <row r="8" spans="2:14" ht="13.5" thickBot="1">
      <c r="B8" s="147" t="s">
        <v>624</v>
      </c>
      <c r="C8" s="135"/>
      <c r="D8" s="1065">
        <f>+D6-D7</f>
        <v>5.1525093149393797E-3</v>
      </c>
      <c r="E8" s="1027"/>
      <c r="F8" s="2003"/>
      <c r="G8" s="32" t="s">
        <v>2531</v>
      </c>
      <c r="H8" s="32">
        <f>'New TB INC'!$J$1025</f>
        <v>467953.24</v>
      </c>
      <c r="I8" s="380"/>
      <c r="J8" s="696" t="s">
        <v>587</v>
      </c>
      <c r="K8" s="1026">
        <f>H7</f>
        <v>35771.155416020294</v>
      </c>
      <c r="L8" s="1014"/>
      <c r="N8" s="530"/>
    </row>
    <row r="9" spans="2:14">
      <c r="B9" s="147"/>
      <c r="C9" s="135"/>
      <c r="D9" s="1024"/>
      <c r="E9" s="1027"/>
      <c r="F9" s="696"/>
      <c r="G9" s="696"/>
      <c r="I9" s="380"/>
      <c r="J9" s="696" t="s">
        <v>583</v>
      </c>
      <c r="K9" s="1025">
        <f>+H10</f>
        <v>364261.71000000008</v>
      </c>
      <c r="N9" s="530"/>
    </row>
    <row r="10" spans="2:14">
      <c r="B10" s="1029"/>
      <c r="C10" s="1013"/>
      <c r="D10" s="367"/>
      <c r="E10" s="1027"/>
      <c r="F10" s="696"/>
      <c r="G10" s="153" t="s">
        <v>617</v>
      </c>
      <c r="H10" s="1025">
        <f>+'New TB INC'!J1049</f>
        <v>364261.71000000008</v>
      </c>
      <c r="J10" s="32" t="s">
        <v>2531</v>
      </c>
      <c r="K10" s="32">
        <f>'New TB INC'!$J$1025</f>
        <v>467953.24</v>
      </c>
      <c r="N10" s="530"/>
    </row>
    <row r="11" spans="2:14">
      <c r="B11" s="147"/>
      <c r="F11" s="2003"/>
      <c r="G11" s="153" t="s">
        <v>584</v>
      </c>
      <c r="H11" s="1025">
        <f>-(+H5+H6-H12+H7+H10+H9+H8)</f>
        <v>-15404371.854847496</v>
      </c>
      <c r="N11" s="530"/>
    </row>
    <row r="12" spans="2:14">
      <c r="B12" s="147"/>
      <c r="F12" s="2003"/>
      <c r="G12" s="153" t="s">
        <v>1735</v>
      </c>
      <c r="H12" s="1030">
        <f>+H5*(2.5/100)</f>
        <v>897732.85350000008</v>
      </c>
      <c r="J12" s="153" t="s">
        <v>584</v>
      </c>
      <c r="K12" s="1025">
        <f>-(K5+K6+K7-K13+K8+K9+K10)</f>
        <v>-15648490.619274212</v>
      </c>
      <c r="N12" s="530"/>
    </row>
    <row r="13" spans="2:14">
      <c r="B13" s="147"/>
      <c r="G13" s="153" t="s">
        <v>5044</v>
      </c>
      <c r="H13" s="1031">
        <f>H7+H10+H8</f>
        <v>867986.10541602038</v>
      </c>
      <c r="J13" s="153" t="s">
        <v>1822</v>
      </c>
      <c r="K13" s="1032">
        <f>+(K5+K6)*(2.5/100)</f>
        <v>903992.30899812095</v>
      </c>
      <c r="N13" s="530"/>
    </row>
    <row r="14" spans="2:14">
      <c r="B14" s="147"/>
      <c r="F14" s="2362"/>
      <c r="G14" s="153" t="s">
        <v>5043</v>
      </c>
      <c r="H14" s="1025">
        <f>-'[158]1.75M Payment - October'!$D$39</f>
        <v>-3095465.3516525114</v>
      </c>
      <c r="J14" s="153"/>
      <c r="K14" s="1025"/>
      <c r="N14" s="530"/>
    </row>
    <row r="15" spans="2:14">
      <c r="B15" s="147"/>
      <c r="G15" s="153"/>
      <c r="H15" s="1025"/>
      <c r="J15" s="153" t="s">
        <v>629</v>
      </c>
      <c r="K15" s="1026">
        <f>-K12+H11</f>
        <v>244118.76442671567</v>
      </c>
      <c r="N15" s="530"/>
    </row>
    <row r="16" spans="2:14">
      <c r="B16" s="1034" t="s">
        <v>517</v>
      </c>
      <c r="C16" s="133"/>
      <c r="D16" s="1015"/>
      <c r="E16" s="133"/>
      <c r="J16" s="153" t="s">
        <v>1249</v>
      </c>
      <c r="K16" s="1031">
        <f>+K6*(97.5/100)</f>
        <v>244118.76442672004</v>
      </c>
      <c r="N16" s="530"/>
    </row>
    <row r="17" spans="2:16">
      <c r="B17" s="147" t="s">
        <v>518</v>
      </c>
      <c r="C17" s="133"/>
      <c r="D17" s="1035">
        <f>+Consolidation!D75</f>
        <v>3135894.1200000029</v>
      </c>
      <c r="E17" s="133"/>
      <c r="J17" s="153" t="s">
        <v>501</v>
      </c>
      <c r="K17" s="1031">
        <f>+K15-K16</f>
        <v>-4.3655745685100555E-9</v>
      </c>
      <c r="N17" s="530"/>
    </row>
    <row r="18" spans="2:16">
      <c r="B18" s="147" t="s">
        <v>617</v>
      </c>
      <c r="C18" s="133"/>
      <c r="D18" s="1035">
        <f>+'New TB INC'!J1049</f>
        <v>364261.71000000008</v>
      </c>
      <c r="E18" s="133"/>
      <c r="G18" s="153" t="s">
        <v>585</v>
      </c>
      <c r="H18" s="1031">
        <f>H12-H13-H14</f>
        <v>3125212.0997364912</v>
      </c>
      <c r="I18" s="133"/>
      <c r="J18" s="194" t="s">
        <v>592</v>
      </c>
      <c r="L18" s="133"/>
      <c r="M18" s="320"/>
      <c r="N18" s="530"/>
      <c r="P18" s="1016"/>
    </row>
    <row r="19" spans="2:16">
      <c r="B19" s="32" t="s">
        <v>2531</v>
      </c>
      <c r="D19" s="32">
        <f>'New TB INC'!$J$1025</f>
        <v>467953.24</v>
      </c>
      <c r="E19" s="133"/>
      <c r="G19" s="153" t="s">
        <v>586</v>
      </c>
      <c r="H19" s="1033">
        <f>Consolidation!D77</f>
        <v>3125212.0945839826</v>
      </c>
      <c r="I19" s="133"/>
      <c r="J19" s="153" t="s">
        <v>593</v>
      </c>
      <c r="K19" s="996">
        <f>-H11</f>
        <v>15404371.854847496</v>
      </c>
      <c r="L19" s="133"/>
      <c r="M19" s="320"/>
      <c r="N19" s="530"/>
    </row>
    <row r="20" spans="2:16">
      <c r="B20" s="147" t="s">
        <v>4964</v>
      </c>
      <c r="C20" s="133"/>
      <c r="D20" s="1035">
        <f>-'New TB INC'!J1062</f>
        <v>-3095465.3516525114</v>
      </c>
      <c r="G20" s="153"/>
      <c r="H20" s="1031">
        <f>H18-H19</f>
        <v>5.1525086164474487E-3</v>
      </c>
      <c r="I20" s="133"/>
      <c r="J20" s="153" t="s">
        <v>594</v>
      </c>
      <c r="K20" s="1039">
        <f>-K12</f>
        <v>15648490.619274212</v>
      </c>
      <c r="L20" s="133"/>
      <c r="M20" s="320"/>
      <c r="N20" s="530"/>
    </row>
    <row r="21" spans="2:16" ht="13.5" thickBot="1">
      <c r="B21" s="147" t="s">
        <v>625</v>
      </c>
      <c r="C21" s="133"/>
      <c r="D21" s="1038">
        <f>'New TB INC'!J1023</f>
        <v>25089.13</v>
      </c>
      <c r="G21" s="153"/>
      <c r="H21" s="1036"/>
      <c r="I21" s="133"/>
      <c r="K21" s="996">
        <f>+K20-K19</f>
        <v>244118.76442671567</v>
      </c>
      <c r="L21" s="133"/>
      <c r="M21" s="320"/>
      <c r="N21" s="530"/>
    </row>
    <row r="22" spans="2:16" ht="13.5" thickBot="1">
      <c r="B22" s="147"/>
      <c r="C22" s="133"/>
      <c r="D22" s="1035">
        <f>SUM(D17:D21)</f>
        <v>897732.8483474917</v>
      </c>
      <c r="G22" s="1037" t="s">
        <v>517</v>
      </c>
      <c r="H22" s="1065">
        <f>H11+'New TB INC'!J578</f>
        <v>5.152503028512001E-3</v>
      </c>
      <c r="I22" s="133"/>
      <c r="L22" s="133"/>
      <c r="M22" s="320"/>
      <c r="N22" s="530"/>
    </row>
    <row r="23" spans="2:16" ht="13.5" thickBot="1">
      <c r="B23" s="147"/>
      <c r="C23" s="133"/>
      <c r="D23" s="1065">
        <f>+D6-D22</f>
        <v>5.1525083836168051E-3</v>
      </c>
      <c r="I23" s="133"/>
      <c r="K23" s="1065">
        <f>'[159]Deferred Rev per tax'!$C$316*0.975-K21</f>
        <v>4.3655745685100555E-9</v>
      </c>
      <c r="L23" s="133"/>
      <c r="M23" s="320"/>
      <c r="N23" s="530"/>
    </row>
    <row r="24" spans="2:16">
      <c r="B24" s="147"/>
      <c r="C24" s="133"/>
      <c r="D24" s="133"/>
      <c r="E24" s="133"/>
      <c r="F24" s="1035"/>
      <c r="G24" s="133"/>
      <c r="H24" s="133"/>
      <c r="I24" s="133"/>
      <c r="J24" s="133"/>
      <c r="K24" s="133"/>
      <c r="L24" s="133"/>
      <c r="M24" s="320"/>
      <c r="N24" s="530"/>
    </row>
    <row r="25" spans="2:16" ht="13.5" thickBot="1">
      <c r="B25" s="148"/>
      <c r="C25" s="133"/>
      <c r="D25" s="133"/>
      <c r="E25" s="133"/>
      <c r="F25" s="1035"/>
      <c r="G25" s="133"/>
      <c r="H25" s="133"/>
      <c r="I25" s="133"/>
      <c r="J25" s="133"/>
      <c r="K25" s="133"/>
      <c r="L25" s="133"/>
      <c r="M25" s="320"/>
      <c r="N25" s="530"/>
    </row>
    <row r="26" spans="2:16" ht="13.5" thickBot="1">
      <c r="B26" s="1040" t="s">
        <v>256</v>
      </c>
      <c r="C26" s="1020"/>
      <c r="D26" s="1009"/>
      <c r="E26" s="1009"/>
      <c r="F26" s="1021"/>
      <c r="G26" s="1009"/>
      <c r="H26" s="1009"/>
      <c r="I26" s="1009"/>
      <c r="J26" s="1009"/>
      <c r="K26" s="1009"/>
      <c r="L26" s="1009"/>
      <c r="M26" s="717"/>
      <c r="N26" s="734"/>
    </row>
    <row r="27" spans="2:16">
      <c r="B27" s="1019" t="s">
        <v>595</v>
      </c>
      <c r="C27" s="1009"/>
      <c r="D27" s="1009"/>
      <c r="E27" s="1009"/>
      <c r="F27" s="1021"/>
      <c r="G27" s="1009"/>
      <c r="H27" s="1009"/>
      <c r="I27" s="1009"/>
      <c r="J27" s="1009"/>
      <c r="K27" s="1009"/>
      <c r="L27" s="1009"/>
      <c r="M27" s="717"/>
      <c r="N27" s="734"/>
    </row>
    <row r="28" spans="2:16" s="380" customFormat="1">
      <c r="B28" s="1041"/>
      <c r="C28" s="1013"/>
      <c r="D28" s="1013"/>
      <c r="E28" s="1013"/>
      <c r="F28" s="1042"/>
      <c r="G28" s="1013"/>
      <c r="H28" s="1013"/>
      <c r="I28" s="1013"/>
      <c r="J28" s="1013"/>
      <c r="K28" s="1013"/>
      <c r="L28" s="1013"/>
      <c r="M28" s="383"/>
      <c r="N28" s="558"/>
    </row>
    <row r="29" spans="2:16">
      <c r="B29" s="147" t="s">
        <v>509</v>
      </c>
      <c r="C29" s="133"/>
      <c r="D29" s="133"/>
      <c r="E29" s="133"/>
      <c r="F29" s="3486">
        <f>+Consolidation!D75</f>
        <v>3135894.1200000029</v>
      </c>
      <c r="G29" s="133"/>
      <c r="I29" s="133"/>
      <c r="J29" s="133"/>
      <c r="K29" s="133"/>
      <c r="L29" s="133"/>
      <c r="M29" s="320"/>
      <c r="N29" s="530"/>
    </row>
    <row r="30" spans="2:16">
      <c r="B30" s="1043" t="s">
        <v>598</v>
      </c>
      <c r="C30" s="133"/>
      <c r="D30" s="133"/>
      <c r="E30" s="133"/>
      <c r="F30" s="1035"/>
      <c r="G30" s="133"/>
      <c r="H30" s="133"/>
      <c r="I30" s="133"/>
      <c r="J30" s="133"/>
      <c r="K30" s="133"/>
      <c r="L30" s="133"/>
      <c r="M30" s="320"/>
      <c r="N30" s="530"/>
    </row>
    <row r="31" spans="2:16">
      <c r="B31" s="147" t="s">
        <v>2801</v>
      </c>
      <c r="C31" s="133"/>
      <c r="D31" s="133"/>
      <c r="E31" s="133"/>
      <c r="F31" s="1042">
        <f>'[160]Deferred Rev per tax'!$C$316</f>
        <v>250378.21992484108</v>
      </c>
      <c r="G31" s="1044" t="s">
        <v>4967</v>
      </c>
      <c r="H31" s="133"/>
      <c r="I31" s="133"/>
      <c r="J31" s="133"/>
      <c r="K31" s="133"/>
      <c r="L31" s="133"/>
      <c r="M31" s="320"/>
      <c r="N31" s="530"/>
    </row>
    <row r="32" spans="2:16">
      <c r="B32" s="147"/>
      <c r="C32" s="133"/>
      <c r="D32" s="133"/>
      <c r="E32" s="133"/>
      <c r="F32" s="1042"/>
      <c r="G32" s="133"/>
      <c r="H32" s="1045"/>
      <c r="I32" s="133"/>
      <c r="J32" s="133"/>
      <c r="K32" s="133"/>
      <c r="L32" s="133"/>
      <c r="M32" s="320"/>
      <c r="N32" s="530"/>
    </row>
    <row r="33" spans="2:14">
      <c r="B33" s="147" t="s">
        <v>508</v>
      </c>
      <c r="C33" s="133"/>
      <c r="D33" s="133"/>
      <c r="E33" s="133"/>
      <c r="F33" s="3489">
        <f>D215</f>
        <v>364261.71</v>
      </c>
      <c r="G33" s="133"/>
      <c r="H33" s="269"/>
      <c r="I33" s="133"/>
      <c r="J33" s="133"/>
      <c r="K33" s="133"/>
      <c r="L33" s="133"/>
      <c r="M33" s="320"/>
      <c r="N33" s="530"/>
    </row>
    <row r="34" spans="2:14">
      <c r="B34" s="147"/>
      <c r="C34" s="133"/>
      <c r="D34" s="133"/>
      <c r="E34" s="133"/>
      <c r="F34" s="1042"/>
      <c r="G34" s="133"/>
      <c r="H34" s="269"/>
      <c r="I34" s="133"/>
      <c r="J34" s="133"/>
      <c r="K34" s="133"/>
      <c r="L34" s="133"/>
      <c r="M34" s="320"/>
      <c r="N34" s="530"/>
    </row>
    <row r="35" spans="2:14">
      <c r="B35" s="147" t="s">
        <v>490</v>
      </c>
      <c r="C35" s="133"/>
      <c r="D35" s="133"/>
      <c r="E35" s="133"/>
      <c r="F35" s="3489">
        <f>D191</f>
        <v>10657.870000000003</v>
      </c>
      <c r="G35" s="133"/>
      <c r="H35" s="133"/>
      <c r="I35" s="133"/>
      <c r="J35" s="133"/>
      <c r="K35" s="133"/>
      <c r="L35" s="133"/>
      <c r="M35" s="320"/>
      <c r="N35" s="530"/>
    </row>
    <row r="36" spans="2:14">
      <c r="B36" s="147" t="s">
        <v>4397</v>
      </c>
      <c r="C36" s="133"/>
      <c r="D36" s="133"/>
      <c r="E36" s="133"/>
      <c r="F36" s="2783"/>
      <c r="G36" s="133"/>
      <c r="H36" s="133"/>
      <c r="I36" s="133"/>
      <c r="J36" s="133"/>
      <c r="K36" s="133"/>
      <c r="L36" s="133"/>
      <c r="M36" s="320"/>
      <c r="N36" s="530"/>
    </row>
    <row r="37" spans="2:14">
      <c r="B37" s="147" t="s">
        <v>4401</v>
      </c>
      <c r="C37" s="133"/>
      <c r="D37" s="133"/>
      <c r="E37" s="133"/>
      <c r="F37" s="2783"/>
      <c r="G37" s="133"/>
      <c r="H37" s="133"/>
      <c r="I37" s="133"/>
      <c r="J37" s="133"/>
      <c r="K37" s="133"/>
      <c r="L37" s="133"/>
      <c r="M37" s="320"/>
      <c r="N37" s="530"/>
    </row>
    <row r="38" spans="2:14">
      <c r="B38" s="147" t="s">
        <v>4398</v>
      </c>
      <c r="C38" s="133"/>
      <c r="D38" s="133"/>
      <c r="E38" s="133"/>
      <c r="F38" s="2783"/>
      <c r="G38" s="133"/>
      <c r="H38" s="133"/>
      <c r="I38" s="133"/>
      <c r="J38" s="133"/>
      <c r="K38" s="133"/>
      <c r="L38" s="133"/>
      <c r="M38" s="320"/>
      <c r="N38" s="530"/>
    </row>
    <row r="39" spans="2:14">
      <c r="B39" s="147" t="s">
        <v>4399</v>
      </c>
      <c r="C39" s="133"/>
      <c r="D39" s="133"/>
      <c r="E39" s="133"/>
      <c r="F39" s="2783"/>
      <c r="G39" s="133"/>
      <c r="H39" s="133"/>
      <c r="I39" s="133"/>
      <c r="J39" s="133"/>
      <c r="K39" s="133"/>
      <c r="L39" s="133"/>
      <c r="M39" s="320"/>
      <c r="N39" s="530"/>
    </row>
    <row r="40" spans="2:14">
      <c r="B40" s="147" t="s">
        <v>4400</v>
      </c>
      <c r="C40" s="133"/>
      <c r="D40" s="133"/>
      <c r="E40" s="133"/>
      <c r="F40" s="2783"/>
      <c r="G40" s="133"/>
      <c r="H40" s="133"/>
      <c r="I40" s="133"/>
      <c r="J40" s="133"/>
      <c r="K40" s="133"/>
      <c r="L40" s="133"/>
      <c r="M40" s="320"/>
      <c r="N40" s="530"/>
    </row>
    <row r="41" spans="2:14">
      <c r="B41" s="147" t="s">
        <v>488</v>
      </c>
      <c r="C41" s="133"/>
      <c r="D41" s="133"/>
      <c r="E41" s="133"/>
      <c r="F41" s="3489">
        <f>D203</f>
        <v>15384.099999999999</v>
      </c>
      <c r="G41" s="133"/>
      <c r="H41" s="133"/>
      <c r="I41" s="133"/>
      <c r="J41" s="133"/>
      <c r="K41" s="133"/>
      <c r="L41" s="133"/>
      <c r="M41" s="320"/>
      <c r="N41" s="530"/>
    </row>
    <row r="42" spans="2:14">
      <c r="B42" s="147" t="s">
        <v>702</v>
      </c>
      <c r="C42" s="133"/>
      <c r="D42" s="133"/>
      <c r="E42" s="133"/>
      <c r="F42" s="3486">
        <f>D258</f>
        <v>-35766.399999999994</v>
      </c>
      <c r="G42" s="133"/>
      <c r="H42" s="133"/>
      <c r="I42" s="133"/>
      <c r="J42" s="133"/>
      <c r="K42" s="133"/>
      <c r="L42" s="133"/>
      <c r="M42" s="320"/>
      <c r="N42" s="530"/>
    </row>
    <row r="43" spans="2:14" ht="13.5" thickBot="1">
      <c r="B43" s="147" t="s">
        <v>4396</v>
      </c>
      <c r="C43" s="133"/>
      <c r="D43" s="133"/>
      <c r="E43" s="133"/>
      <c r="F43" s="3486">
        <f>D265</f>
        <v>63418.591652511677</v>
      </c>
      <c r="G43" s="133"/>
      <c r="H43" s="133"/>
      <c r="I43" s="133"/>
      <c r="J43" s="133"/>
      <c r="K43" s="133"/>
      <c r="L43" s="133"/>
      <c r="M43" s="320"/>
      <c r="N43" s="530"/>
    </row>
    <row r="44" spans="2:14">
      <c r="B44" s="147" t="s">
        <v>4392</v>
      </c>
      <c r="C44" s="133"/>
      <c r="D44" s="133"/>
      <c r="E44" s="133"/>
      <c r="F44" s="3486">
        <f>D222</f>
        <v>-310696.61538461549</v>
      </c>
      <c r="G44" s="3490">
        <f>F31-F50</f>
        <v>6259.4554981254041</v>
      </c>
      <c r="H44" s="133"/>
      <c r="I44" s="133"/>
      <c r="J44" s="133"/>
      <c r="K44" s="133"/>
      <c r="L44" s="133"/>
      <c r="M44" s="320"/>
      <c r="N44" s="530"/>
    </row>
    <row r="45" spans="2:14" ht="13.5" thickBot="1">
      <c r="B45" s="147" t="s">
        <v>597</v>
      </c>
      <c r="C45" s="133"/>
      <c r="D45" s="133"/>
      <c r="E45" s="133"/>
      <c r="F45" s="3486">
        <f>VLOOKUP(9010005,'New TB INC'!$C:$K,8,0)</f>
        <v>3728.33</v>
      </c>
      <c r="G45" s="3491">
        <f>G44/F31</f>
        <v>2.5000000000017484E-2</v>
      </c>
      <c r="H45" s="133"/>
      <c r="I45" s="133"/>
      <c r="J45" s="133"/>
      <c r="K45" s="133"/>
      <c r="L45" s="133"/>
      <c r="M45" s="320"/>
      <c r="N45" s="530"/>
    </row>
    <row r="46" spans="2:14">
      <c r="B46" s="147" t="s">
        <v>4376</v>
      </c>
      <c r="C46" s="133"/>
      <c r="D46" s="133"/>
      <c r="E46" s="133"/>
      <c r="F46" s="3487">
        <f>-C142</f>
        <v>36879.900000000023</v>
      </c>
      <c r="G46" s="133"/>
      <c r="H46" s="133"/>
      <c r="I46" s="133"/>
      <c r="J46" s="133"/>
      <c r="K46" s="133"/>
      <c r="L46" s="133"/>
      <c r="M46" s="320"/>
      <c r="N46" s="530"/>
    </row>
    <row r="47" spans="2:14">
      <c r="B47" s="147"/>
      <c r="C47" s="133"/>
      <c r="D47" s="133"/>
      <c r="E47" s="133"/>
      <c r="F47" s="1035">
        <f>SUM(F31:F46)</f>
        <v>398245.70619273727</v>
      </c>
      <c r="G47" s="133"/>
      <c r="H47" s="133"/>
      <c r="I47" s="133"/>
      <c r="J47" s="133"/>
      <c r="K47" s="133"/>
      <c r="L47" s="133"/>
      <c r="M47" s="320"/>
      <c r="N47" s="530"/>
    </row>
    <row r="48" spans="2:14">
      <c r="B48" s="147"/>
      <c r="C48" s="133"/>
      <c r="D48" s="133"/>
      <c r="E48" s="133"/>
      <c r="F48" s="1035"/>
      <c r="G48" s="133"/>
      <c r="H48" s="133"/>
      <c r="I48" s="133"/>
      <c r="J48" s="133"/>
      <c r="K48" s="133"/>
      <c r="L48" s="133"/>
      <c r="M48" s="320"/>
      <c r="N48" s="530"/>
    </row>
    <row r="49" spans="2:14">
      <c r="B49" s="1043" t="s">
        <v>599</v>
      </c>
      <c r="C49" s="133"/>
      <c r="D49" s="133"/>
      <c r="E49" s="133"/>
      <c r="F49" s="1035"/>
      <c r="G49" s="133"/>
      <c r="H49" s="133"/>
      <c r="I49" s="133"/>
      <c r="J49" s="133"/>
      <c r="K49" s="133"/>
      <c r="L49" s="133"/>
      <c r="M49" s="320"/>
      <c r="N49" s="530"/>
    </row>
    <row r="50" spans="2:14">
      <c r="B50" s="147" t="s">
        <v>600</v>
      </c>
      <c r="C50" s="133"/>
      <c r="D50" s="133"/>
      <c r="E50" s="133"/>
      <c r="F50" s="1042">
        <f>K15</f>
        <v>244118.76442671567</v>
      </c>
      <c r="G50" s="133"/>
      <c r="H50" s="133"/>
      <c r="I50" s="133"/>
      <c r="J50" s="133"/>
      <c r="K50" s="133"/>
      <c r="L50" s="133"/>
      <c r="M50" s="320"/>
      <c r="N50" s="530"/>
    </row>
    <row r="51" spans="2:14">
      <c r="B51" s="147" t="s">
        <v>4965</v>
      </c>
      <c r="C51" s="133"/>
      <c r="D51" s="133"/>
      <c r="E51" s="133"/>
      <c r="F51" s="1042">
        <f>'New TB INC'!J1062</f>
        <v>3095465.3516525114</v>
      </c>
      <c r="G51" s="133"/>
      <c r="H51" s="133"/>
      <c r="I51" s="133"/>
      <c r="J51" s="133"/>
      <c r="K51" s="133"/>
      <c r="L51" s="133"/>
      <c r="M51" s="320"/>
      <c r="N51" s="530"/>
    </row>
    <row r="52" spans="2:14">
      <c r="B52" s="147"/>
      <c r="C52" s="133"/>
      <c r="D52" s="133"/>
      <c r="E52" s="133"/>
      <c r="F52" s="1046"/>
      <c r="G52" s="133"/>
      <c r="H52" s="133"/>
      <c r="I52" s="133"/>
      <c r="J52" s="133"/>
      <c r="K52" s="133"/>
      <c r="L52" s="133"/>
      <c r="M52" s="320"/>
      <c r="N52" s="530"/>
    </row>
    <row r="53" spans="2:14">
      <c r="B53" s="147"/>
      <c r="C53" s="133"/>
      <c r="D53" s="133"/>
      <c r="E53" s="133"/>
      <c r="F53" s="1047">
        <f>SUM(F50:F52)</f>
        <v>3339584.1160792271</v>
      </c>
      <c r="G53" s="133"/>
      <c r="H53" s="133"/>
      <c r="I53" s="133"/>
      <c r="J53" s="133"/>
      <c r="K53" s="133"/>
      <c r="L53" s="133"/>
      <c r="M53" s="320"/>
      <c r="N53" s="530"/>
    </row>
    <row r="54" spans="2:14">
      <c r="B54" s="147"/>
      <c r="C54" s="133"/>
      <c r="D54" s="133"/>
      <c r="E54" s="133"/>
      <c r="F54" s="1035"/>
      <c r="G54" s="133"/>
      <c r="H54" s="133"/>
      <c r="I54" s="133"/>
      <c r="J54" s="133"/>
      <c r="K54" s="133"/>
      <c r="L54" s="133"/>
      <c r="M54" s="320"/>
      <c r="N54" s="530"/>
    </row>
    <row r="55" spans="2:14">
      <c r="B55" s="147" t="s">
        <v>630</v>
      </c>
      <c r="C55" s="133"/>
      <c r="D55" s="133"/>
      <c r="E55" s="135"/>
      <c r="F55" s="1047">
        <f>F29+F47-F53</f>
        <v>194555.71011351328</v>
      </c>
      <c r="G55" s="133"/>
      <c r="H55" s="133"/>
      <c r="I55" s="133"/>
      <c r="J55" s="133"/>
      <c r="K55" s="133"/>
      <c r="L55" s="133"/>
      <c r="M55" s="320"/>
      <c r="N55" s="530"/>
    </row>
    <row r="56" spans="2:14">
      <c r="B56" s="147" t="s">
        <v>1592</v>
      </c>
      <c r="C56" s="133"/>
      <c r="D56" s="133"/>
      <c r="E56" s="135"/>
      <c r="F56" s="3513">
        <f>SUM('New TB INC'!$J$1007:$J$1017)</f>
        <v>85786.98000000001</v>
      </c>
      <c r="G56" s="133"/>
      <c r="H56" s="133"/>
      <c r="I56" s="133"/>
      <c r="J56" s="133"/>
      <c r="K56" s="133"/>
      <c r="L56" s="133"/>
      <c r="M56" s="320"/>
      <c r="N56" s="530"/>
    </row>
    <row r="57" spans="2:14">
      <c r="B57" s="147" t="s">
        <v>601</v>
      </c>
      <c r="C57" s="133"/>
      <c r="D57" s="133"/>
      <c r="E57" s="135"/>
      <c r="F57" s="1047">
        <f>F55-F56</f>
        <v>108768.73011351327</v>
      </c>
      <c r="G57" s="133"/>
      <c r="H57" s="133"/>
      <c r="I57" s="133"/>
      <c r="J57" s="133"/>
      <c r="K57" s="133"/>
      <c r="L57" s="133"/>
      <c r="M57" s="320"/>
      <c r="N57" s="530"/>
    </row>
    <row r="58" spans="2:14">
      <c r="B58" s="147"/>
      <c r="C58" s="133"/>
      <c r="D58" s="133"/>
      <c r="E58" s="135"/>
      <c r="F58" s="1047"/>
      <c r="G58" s="133"/>
      <c r="H58" s="133"/>
      <c r="I58" s="133"/>
      <c r="J58" s="133"/>
      <c r="K58" s="133"/>
      <c r="L58" s="133"/>
      <c r="M58" s="320"/>
      <c r="N58" s="530"/>
    </row>
    <row r="59" spans="2:14" ht="13.5" thickBot="1">
      <c r="B59" s="147" t="s">
        <v>4969</v>
      </c>
      <c r="C59" s="133"/>
      <c r="D59" s="133"/>
      <c r="E59" s="135"/>
      <c r="F59" s="3044">
        <f>F57*0.21</f>
        <v>22841.433323837788</v>
      </c>
      <c r="G59" s="3045" t="s">
        <v>4966</v>
      </c>
      <c r="H59" s="133"/>
      <c r="I59" s="133"/>
      <c r="J59" s="133"/>
      <c r="K59" s="133"/>
      <c r="L59" s="133"/>
      <c r="M59" s="320"/>
      <c r="N59" s="530"/>
    </row>
    <row r="60" spans="2:14" ht="13.5" thickTop="1">
      <c r="B60" s="147"/>
      <c r="C60" s="133"/>
      <c r="D60" s="133"/>
      <c r="E60" s="135"/>
      <c r="F60" s="3046"/>
      <c r="G60" s="1013"/>
      <c r="H60" s="133"/>
      <c r="I60" s="133"/>
      <c r="J60" s="133"/>
      <c r="K60" s="133"/>
      <c r="L60" s="133"/>
      <c r="M60" s="320"/>
      <c r="N60" s="530"/>
    </row>
    <row r="61" spans="2:14">
      <c r="B61" s="147"/>
      <c r="C61" s="133"/>
      <c r="D61" s="133"/>
      <c r="E61" s="133"/>
      <c r="F61" s="1042"/>
      <c r="G61" s="1013"/>
      <c r="H61" s="133"/>
      <c r="I61" s="133"/>
      <c r="J61" s="133"/>
      <c r="K61" s="133"/>
      <c r="L61" s="133"/>
      <c r="M61" s="320"/>
      <c r="N61" s="530"/>
    </row>
    <row r="62" spans="2:14">
      <c r="B62" s="147"/>
      <c r="C62" s="133"/>
      <c r="D62" s="133"/>
      <c r="E62" s="133"/>
      <c r="F62" s="1035"/>
      <c r="G62" s="133"/>
      <c r="H62" s="133"/>
      <c r="I62" s="133"/>
      <c r="J62" s="133"/>
      <c r="K62" s="133"/>
      <c r="L62" s="133"/>
      <c r="M62" s="320"/>
      <c r="N62" s="530"/>
    </row>
    <row r="63" spans="2:14">
      <c r="B63" s="147" t="s">
        <v>4968</v>
      </c>
      <c r="C63" s="133"/>
      <c r="D63" s="133"/>
      <c r="E63" s="133"/>
      <c r="F63" s="1035">
        <f>'New TB INC'!J218</f>
        <v>147391</v>
      </c>
      <c r="G63" s="133"/>
      <c r="H63" s="133"/>
      <c r="I63" s="133"/>
      <c r="J63" s="133"/>
      <c r="K63" s="133"/>
      <c r="L63" s="133"/>
      <c r="M63" s="320"/>
      <c r="N63" s="530"/>
    </row>
    <row r="64" spans="2:14">
      <c r="B64" s="147"/>
      <c r="C64" s="133"/>
      <c r="D64" s="133"/>
      <c r="E64" s="133"/>
      <c r="F64" s="1035"/>
      <c r="G64" s="133"/>
      <c r="H64" s="133"/>
      <c r="I64" s="133"/>
      <c r="J64" s="133"/>
      <c r="K64" s="133"/>
      <c r="L64" s="133"/>
      <c r="M64" s="320"/>
      <c r="N64" s="530"/>
    </row>
    <row r="65" spans="2:22">
      <c r="B65" s="147"/>
      <c r="F65" s="1049"/>
      <c r="H65" s="133"/>
      <c r="I65" s="133"/>
      <c r="J65" s="133"/>
      <c r="K65" s="133"/>
      <c r="L65" s="133"/>
      <c r="M65" s="320"/>
      <c r="N65" s="530"/>
    </row>
    <row r="66" spans="2:22">
      <c r="B66" s="147"/>
      <c r="C66" s="133"/>
      <c r="D66" s="133"/>
      <c r="E66" s="133"/>
      <c r="F66" s="1035">
        <f>SUM(F61:F65)</f>
        <v>147391</v>
      </c>
      <c r="G66" s="2411"/>
      <c r="H66" s="133"/>
      <c r="I66" s="133"/>
      <c r="J66" s="133"/>
      <c r="K66" s="133"/>
      <c r="L66" s="133"/>
      <c r="M66" s="320"/>
      <c r="N66" s="530"/>
    </row>
    <row r="67" spans="2:22">
      <c r="B67" s="147"/>
      <c r="C67" s="133"/>
      <c r="D67" s="133"/>
      <c r="E67" s="133"/>
      <c r="F67" s="1035"/>
      <c r="G67" s="133"/>
      <c r="H67" s="133"/>
      <c r="I67" s="133"/>
      <c r="J67" s="133"/>
      <c r="K67" s="133"/>
      <c r="L67" s="133"/>
      <c r="M67" s="320"/>
      <c r="N67" s="530"/>
    </row>
    <row r="68" spans="2:22" ht="13.5" thickBot="1">
      <c r="B68" s="147" t="s">
        <v>631</v>
      </c>
      <c r="C68" s="133"/>
      <c r="D68" s="133"/>
      <c r="E68" s="320"/>
      <c r="F68" s="1048">
        <f>F59-F66</f>
        <v>-124549.56667616221</v>
      </c>
      <c r="G68" s="133"/>
      <c r="H68" s="133"/>
      <c r="I68" s="133"/>
      <c r="J68" s="133"/>
      <c r="K68" s="133"/>
      <c r="L68" s="133"/>
      <c r="M68" s="320"/>
      <c r="N68" s="530"/>
    </row>
    <row r="69" spans="2:22" ht="14.25" thickTop="1" thickBot="1">
      <c r="B69" s="148" t="s">
        <v>2802</v>
      </c>
      <c r="C69" s="133"/>
      <c r="D69" s="133"/>
      <c r="E69" s="135"/>
      <c r="F69" s="1035">
        <f>-'New TB INC'!J412</f>
        <v>0</v>
      </c>
      <c r="G69" s="133"/>
      <c r="H69" s="133"/>
      <c r="I69" s="133"/>
      <c r="J69" s="133"/>
      <c r="K69" s="133"/>
      <c r="L69" s="133"/>
      <c r="M69" s="320"/>
      <c r="N69" s="530"/>
    </row>
    <row r="70" spans="2:22" ht="13.5" thickBot="1">
      <c r="B70" s="4253" t="s">
        <v>4970</v>
      </c>
      <c r="C70" s="133"/>
      <c r="D70" s="133"/>
      <c r="E70" s="135"/>
      <c r="F70" s="3492">
        <f>F68-F69</f>
        <v>-124549.56667616221</v>
      </c>
      <c r="G70" s="133"/>
      <c r="H70" s="133"/>
      <c r="I70" s="133"/>
      <c r="J70" s="133"/>
      <c r="K70" s="133"/>
      <c r="L70" s="133"/>
      <c r="M70" s="320"/>
      <c r="N70" s="530"/>
    </row>
    <row r="71" spans="2:22" ht="13.5" thickBot="1">
      <c r="B71" s="201"/>
      <c r="C71" s="202"/>
      <c r="D71" s="202"/>
      <c r="E71" s="1017"/>
      <c r="F71" s="1050"/>
      <c r="G71" s="202"/>
      <c r="H71" s="202"/>
      <c r="I71" s="3514"/>
      <c r="J71" s="3514"/>
      <c r="K71" s="3514"/>
      <c r="L71" s="3514"/>
      <c r="M71" s="718"/>
      <c r="N71" s="531"/>
    </row>
    <row r="74" spans="2:22" s="3493" customFormat="1" hidden="1">
      <c r="B74" s="1051" t="s">
        <v>987</v>
      </c>
      <c r="F74" s="32"/>
      <c r="G74" s="32"/>
      <c r="H74" s="32"/>
      <c r="I74" s="32"/>
      <c r="J74" s="32"/>
      <c r="K74" s="32"/>
      <c r="L74" s="32"/>
      <c r="M74" s="32"/>
      <c r="N74" s="32"/>
      <c r="O74" s="32"/>
      <c r="P74" s="32"/>
      <c r="Q74" s="32"/>
      <c r="R74" s="32"/>
      <c r="S74" s="32"/>
      <c r="T74" s="32"/>
      <c r="U74" s="32"/>
      <c r="V74" s="32"/>
    </row>
    <row r="75" spans="2:22" s="3493" customFormat="1" hidden="1">
      <c r="F75" s="32"/>
      <c r="G75" s="32"/>
      <c r="H75" s="32"/>
      <c r="I75" s="32"/>
      <c r="J75" s="32"/>
      <c r="K75" s="32"/>
      <c r="L75" s="32"/>
      <c r="M75" s="32"/>
      <c r="N75" s="32"/>
      <c r="O75" s="32"/>
      <c r="P75" s="32"/>
      <c r="Q75" s="32"/>
      <c r="R75" s="32"/>
      <c r="S75" s="32"/>
      <c r="T75" s="32"/>
      <c r="U75" s="32"/>
      <c r="V75" s="32"/>
    </row>
    <row r="76" spans="2:22" hidden="1">
      <c r="F76" s="32"/>
    </row>
    <row r="77" spans="2:22" s="3493" customFormat="1" hidden="1">
      <c r="B77" s="1051" t="s">
        <v>987</v>
      </c>
    </row>
    <row r="78" spans="2:22" s="3493" customFormat="1" hidden="1"/>
    <row r="79" spans="2:22" s="3493" customFormat="1" hidden="1">
      <c r="E79" s="3494" t="s">
        <v>993</v>
      </c>
      <c r="F79" s="3494">
        <v>2011</v>
      </c>
      <c r="G79" s="3494">
        <v>2012</v>
      </c>
      <c r="H79" s="3494">
        <v>2013</v>
      </c>
      <c r="I79" s="3494">
        <v>2014</v>
      </c>
      <c r="J79" s="3494">
        <v>2015</v>
      </c>
      <c r="K79" s="3494">
        <v>2016</v>
      </c>
      <c r="L79" s="3494">
        <v>2017</v>
      </c>
      <c r="M79" s="3494">
        <v>2018</v>
      </c>
      <c r="N79" s="3494">
        <v>2019</v>
      </c>
      <c r="O79" s="3494">
        <v>2020</v>
      </c>
      <c r="P79" s="3494">
        <v>2021</v>
      </c>
    </row>
    <row r="80" spans="2:22" s="3493" customFormat="1" hidden="1">
      <c r="B80" s="3493" t="s">
        <v>505</v>
      </c>
      <c r="C80" s="3495">
        <f>SUM(J80:O80)</f>
        <v>4046798.9891280453</v>
      </c>
      <c r="E80" s="1052"/>
      <c r="G80" s="1052"/>
      <c r="H80" s="1052">
        <v>0</v>
      </c>
      <c r="I80" s="1052">
        <v>0</v>
      </c>
      <c r="J80" s="1053">
        <v>0</v>
      </c>
      <c r="K80" s="1054">
        <v>3088146.0843636235</v>
      </c>
      <c r="L80" s="1052">
        <v>601531.99226719048</v>
      </c>
      <c r="M80" s="1052">
        <v>293512.58931914903</v>
      </c>
      <c r="N80" s="1052">
        <v>40308.443178082191</v>
      </c>
      <c r="O80" s="1052">
        <v>23299.88</v>
      </c>
      <c r="P80" s="1052"/>
    </row>
    <row r="81" spans="2:19" s="3493" customFormat="1" hidden="1">
      <c r="B81" s="3493" t="s">
        <v>988</v>
      </c>
      <c r="C81" s="3495">
        <f>+K80</f>
        <v>3088146.0843636235</v>
      </c>
      <c r="R81" s="4574" t="s">
        <v>320</v>
      </c>
    </row>
    <row r="82" spans="2:19" s="3493" customFormat="1" hidden="1">
      <c r="B82" s="3493" t="s">
        <v>589</v>
      </c>
      <c r="C82" s="3495">
        <f>SUM(K82:O82)</f>
        <v>7568292</v>
      </c>
      <c r="G82" s="1052"/>
      <c r="H82" s="1052"/>
      <c r="I82" s="1052">
        <v>0</v>
      </c>
      <c r="J82" s="1052">
        <v>0</v>
      </c>
      <c r="K82" s="1052">
        <v>0</v>
      </c>
      <c r="L82" s="1052">
        <v>5798423</v>
      </c>
      <c r="M82" s="1052">
        <v>954595</v>
      </c>
      <c r="N82" s="1052">
        <v>791370</v>
      </c>
      <c r="O82" s="1052">
        <v>23904</v>
      </c>
      <c r="P82" s="1052"/>
      <c r="R82" s="4574"/>
    </row>
    <row r="83" spans="2:19" s="3493" customFormat="1" ht="39" hidden="1" thickBot="1">
      <c r="B83" s="3496" t="s">
        <v>506</v>
      </c>
      <c r="C83" s="1055">
        <f>C82-C80+C81</f>
        <v>6609639.0952355787</v>
      </c>
      <c r="R83" s="4574"/>
    </row>
    <row r="84" spans="2:19" s="3493" customFormat="1" ht="13.5" hidden="1" thickTop="1">
      <c r="B84" s="3493" t="s">
        <v>321</v>
      </c>
      <c r="C84" s="1056">
        <f>SUM(K84:O84)</f>
        <v>6609639.0952355787</v>
      </c>
      <c r="D84" s="1057"/>
      <c r="E84" s="1057"/>
      <c r="F84" s="1057"/>
      <c r="G84" s="1058"/>
      <c r="H84" s="1058"/>
      <c r="I84" s="1058"/>
      <c r="J84" s="1058"/>
      <c r="K84" s="1059"/>
      <c r="L84" s="1060">
        <f>+L82-L80</f>
        <v>5196891.0077328095</v>
      </c>
      <c r="M84" s="1060">
        <f>+M82-M80</f>
        <v>661082.41068085097</v>
      </c>
      <c r="N84" s="1060">
        <f>+N82-N80</f>
        <v>751061.55682191777</v>
      </c>
      <c r="O84" s="1060">
        <f>+O82-O80</f>
        <v>604.11999999999898</v>
      </c>
      <c r="P84" s="1060"/>
      <c r="R84" s="4574"/>
    </row>
    <row r="85" spans="2:19" s="3493" customFormat="1" hidden="1">
      <c r="B85" s="1061" t="s">
        <v>299</v>
      </c>
      <c r="C85" s="1062">
        <f>C83-C84</f>
        <v>0</v>
      </c>
    </row>
    <row r="86" spans="2:19" s="3493" customFormat="1" hidden="1"/>
    <row r="87" spans="2:19" s="3493" customFormat="1" hidden="1">
      <c r="B87" s="3493" t="s">
        <v>589</v>
      </c>
      <c r="C87" s="1052">
        <f>SUM(G87:O87)</f>
        <v>7568292</v>
      </c>
      <c r="D87" s="1052"/>
      <c r="G87" s="3495">
        <v>0</v>
      </c>
      <c r="H87" s="3495">
        <v>0</v>
      </c>
      <c r="I87" s="3495">
        <v>0</v>
      </c>
      <c r="J87" s="3495">
        <v>0</v>
      </c>
      <c r="K87" s="3495">
        <v>0</v>
      </c>
      <c r="L87" s="3495">
        <v>5798423</v>
      </c>
      <c r="M87" s="3495">
        <v>954595</v>
      </c>
      <c r="N87" s="3495">
        <v>791370</v>
      </c>
      <c r="O87" s="3495">
        <v>23904</v>
      </c>
      <c r="P87" s="3495"/>
    </row>
    <row r="88" spans="2:19" s="3493" customFormat="1" hidden="1">
      <c r="B88" s="3493" t="s">
        <v>989</v>
      </c>
      <c r="C88" s="3495">
        <f>+L87</f>
        <v>5798423</v>
      </c>
    </row>
    <row r="89" spans="2:19" s="3493" customFormat="1" hidden="1">
      <c r="B89" s="3493" t="s">
        <v>990</v>
      </c>
      <c r="C89" s="1052">
        <f>SUM(L89:P89)</f>
        <v>9759670.8100000154</v>
      </c>
      <c r="H89" s="1052"/>
      <c r="I89" s="1052"/>
      <c r="J89" s="1052"/>
      <c r="K89" s="1052">
        <v>0</v>
      </c>
      <c r="L89" s="1052">
        <v>0</v>
      </c>
      <c r="M89" s="1052">
        <v>7228460.7400000151</v>
      </c>
      <c r="N89" s="1052">
        <v>1641260.8199999994</v>
      </c>
      <c r="O89" s="1052">
        <v>883305.26000000071</v>
      </c>
      <c r="P89" s="1052">
        <v>6643.99</v>
      </c>
      <c r="Q89" s="3497" t="s">
        <v>590</v>
      </c>
      <c r="R89" s="3497"/>
      <c r="S89" s="3497"/>
    </row>
    <row r="90" spans="2:19" s="3493" customFormat="1" ht="39" hidden="1" thickBot="1">
      <c r="B90" s="3496" t="s">
        <v>991</v>
      </c>
      <c r="C90" s="1055">
        <f>C89-C87+C88</f>
        <v>7989801.8100000154</v>
      </c>
    </row>
    <row r="91" spans="2:19" s="3493" customFormat="1" ht="13.5" hidden="1" thickTop="1">
      <c r="B91" s="3493" t="s">
        <v>321</v>
      </c>
      <c r="C91" s="1056">
        <f>SUM(H91:P91)</f>
        <v>7989801.8100000154</v>
      </c>
      <c r="D91" s="1057"/>
      <c r="H91" s="3495"/>
      <c r="I91" s="3495"/>
      <c r="J91" s="3495"/>
      <c r="K91" s="3495"/>
      <c r="L91" s="3495"/>
      <c r="M91" s="3495">
        <f>+M89-M87</f>
        <v>6273865.7400000151</v>
      </c>
      <c r="N91" s="3495">
        <f>+N89-N87</f>
        <v>849890.81999999937</v>
      </c>
      <c r="O91" s="3495">
        <f>+O89-O87</f>
        <v>859401.26000000071</v>
      </c>
      <c r="P91" s="3495">
        <f>+P89-P87</f>
        <v>6643.99</v>
      </c>
    </row>
    <row r="92" spans="2:19" s="3493" customFormat="1" hidden="1">
      <c r="B92" s="1061" t="s">
        <v>299</v>
      </c>
      <c r="C92" s="1062">
        <f>C90-C91</f>
        <v>0</v>
      </c>
      <c r="R92" s="3495"/>
    </row>
    <row r="93" spans="2:19" s="3493" customFormat="1" hidden="1">
      <c r="B93" s="3496"/>
    </row>
    <row r="94" spans="2:19" s="3493" customFormat="1" ht="25.5" hidden="1">
      <c r="B94" s="3496" t="str">
        <f>B82</f>
        <v>Deferred Revenue per BS 12-31-16</v>
      </c>
      <c r="C94" s="3495">
        <f>SUM(K87:O87)</f>
        <v>7568292</v>
      </c>
      <c r="M94" s="3495"/>
    </row>
    <row r="95" spans="2:19" s="3493" customFormat="1" hidden="1">
      <c r="B95" s="3493" t="s">
        <v>322</v>
      </c>
      <c r="C95" s="3495">
        <f>C88</f>
        <v>5798423</v>
      </c>
    </row>
    <row r="96" spans="2:19" s="3493" customFormat="1" hidden="1">
      <c r="B96" s="3493" t="s">
        <v>323</v>
      </c>
      <c r="C96" s="1052">
        <f>+L80+L84</f>
        <v>5798423</v>
      </c>
    </row>
    <row r="97" spans="2:18" s="3493" customFormat="1" ht="13.5" hidden="1" thickBot="1">
      <c r="B97" s="3493" t="s">
        <v>324</v>
      </c>
      <c r="C97" s="3498">
        <f>IF(C96=C95,C95,C95-C96)</f>
        <v>5798423</v>
      </c>
    </row>
    <row r="98" spans="2:18" s="3493" customFormat="1" ht="13.5" hidden="1" thickTop="1"/>
    <row r="99" spans="2:18" s="3493" customFormat="1" hidden="1">
      <c r="K99" s="3493" t="s">
        <v>1506</v>
      </c>
      <c r="L99" s="3493" t="s">
        <v>1507</v>
      </c>
    </row>
    <row r="100" spans="2:18" s="3493" customFormat="1" hidden="1">
      <c r="B100" s="3493" t="s">
        <v>325</v>
      </c>
      <c r="C100" s="3499"/>
      <c r="J100" s="3493" t="s">
        <v>992</v>
      </c>
      <c r="K100" s="3495">
        <f>+SUM(M82:O82)</f>
        <v>1769869</v>
      </c>
      <c r="L100" s="3493">
        <f>SUM(N89:P89)</f>
        <v>2531210.0700000003</v>
      </c>
    </row>
    <row r="101" spans="2:18" s="3493" customFormat="1" hidden="1">
      <c r="B101" s="3493" t="s">
        <v>326</v>
      </c>
      <c r="C101" s="3495">
        <f>C83</f>
        <v>6609639.0952355787</v>
      </c>
      <c r="J101" s="3493" t="s">
        <v>507</v>
      </c>
      <c r="K101" s="3495">
        <f>-M80-N80-O80</f>
        <v>-357120.91249723121</v>
      </c>
    </row>
    <row r="102" spans="2:18" s="3493" customFormat="1" hidden="1">
      <c r="B102" s="3493" t="s">
        <v>327</v>
      </c>
      <c r="C102" s="3495">
        <f>-C97</f>
        <v>-5798423</v>
      </c>
      <c r="J102" s="3493" t="s">
        <v>591</v>
      </c>
      <c r="K102" s="3495">
        <f>-L80</f>
        <v>-601531.99226719048</v>
      </c>
    </row>
    <row r="103" spans="2:18" s="3493" customFormat="1" ht="13.5" hidden="1" thickBot="1">
      <c r="B103" s="3493" t="s">
        <v>328</v>
      </c>
      <c r="C103" s="3498">
        <f>SUM(C101:C102)</f>
        <v>811216.09523557872</v>
      </c>
      <c r="K103" s="3500">
        <f>SUM(K100:K102)</f>
        <v>811216.09523557825</v>
      </c>
    </row>
    <row r="104" spans="2:18" s="3493" customFormat="1" ht="13.5" hidden="1" thickTop="1">
      <c r="C104" s="3495"/>
    </row>
    <row r="105" spans="2:18" hidden="1">
      <c r="F105" s="32"/>
    </row>
    <row r="106" spans="2:18" hidden="1">
      <c r="F106" s="32"/>
    </row>
    <row r="107" spans="2:18" hidden="1">
      <c r="F107" s="32"/>
    </row>
    <row r="108" spans="2:18" s="3493" customFormat="1" hidden="1">
      <c r="B108" s="1051" t="s">
        <v>1550</v>
      </c>
    </row>
    <row r="109" spans="2:18" s="3493" customFormat="1" hidden="1"/>
    <row r="110" spans="2:18" s="3493" customFormat="1" hidden="1">
      <c r="E110" s="3494" t="s">
        <v>993</v>
      </c>
      <c r="F110" s="3494">
        <v>2011</v>
      </c>
      <c r="G110" s="3494">
        <v>2012</v>
      </c>
      <c r="H110" s="3494">
        <v>2013</v>
      </c>
      <c r="I110" s="3494">
        <v>2014</v>
      </c>
      <c r="J110" s="3494">
        <v>2015</v>
      </c>
      <c r="K110" s="3494">
        <v>2016</v>
      </c>
      <c r="L110" s="3494">
        <v>2017</v>
      </c>
      <c r="M110" s="3494">
        <v>2018</v>
      </c>
      <c r="N110" s="3494">
        <v>2019</v>
      </c>
      <c r="O110" s="3494">
        <v>2020</v>
      </c>
      <c r="P110" s="3494">
        <v>2021</v>
      </c>
    </row>
    <row r="111" spans="2:18" s="3493" customFormat="1" hidden="1">
      <c r="B111" s="3493" t="s">
        <v>589</v>
      </c>
      <c r="C111" s="3495">
        <f>SUM(J111:P111)</f>
        <v>7568292</v>
      </c>
      <c r="E111" s="1052"/>
      <c r="G111" s="1052"/>
      <c r="H111" s="1052">
        <v>0</v>
      </c>
      <c r="I111" s="1052">
        <v>0</v>
      </c>
      <c r="J111" s="1053">
        <v>0</v>
      </c>
      <c r="L111" s="3495">
        <v>5798423</v>
      </c>
      <c r="M111" s="3495">
        <v>954595</v>
      </c>
      <c r="N111" s="3495">
        <v>791370</v>
      </c>
      <c r="O111" s="3495">
        <v>23904</v>
      </c>
      <c r="P111" s="3495"/>
    </row>
    <row r="112" spans="2:18" s="3493" customFormat="1" hidden="1">
      <c r="B112" s="3493" t="s">
        <v>1551</v>
      </c>
      <c r="C112" s="3495">
        <f>+L111</f>
        <v>5798423</v>
      </c>
      <c r="M112" s="1052"/>
      <c r="N112" s="1052"/>
      <c r="O112" s="1052"/>
      <c r="P112" s="1052"/>
      <c r="R112" s="4574"/>
    </row>
    <row r="113" spans="2:19" s="3493" customFormat="1" hidden="1">
      <c r="B113" s="3493" t="s">
        <v>990</v>
      </c>
      <c r="C113" s="3495">
        <f>SUM(K113:P113)</f>
        <v>9759670.8100000154</v>
      </c>
      <c r="G113" s="1052"/>
      <c r="H113" s="1052"/>
      <c r="I113" s="1052">
        <v>0</v>
      </c>
      <c r="J113" s="1052">
        <v>0</v>
      </c>
      <c r="K113" s="1052">
        <v>0</v>
      </c>
      <c r="L113" s="1052"/>
      <c r="M113" s="1052">
        <v>7228460.7400000151</v>
      </c>
      <c r="N113" s="1052">
        <v>1641260.8199999994</v>
      </c>
      <c r="O113" s="1052">
        <v>883305.26000000071</v>
      </c>
      <c r="P113" s="1052">
        <v>6643.99</v>
      </c>
      <c r="R113" s="4574"/>
    </row>
    <row r="114" spans="2:19" s="3493" customFormat="1" ht="39" hidden="1" thickBot="1">
      <c r="B114" s="3496" t="s">
        <v>1552</v>
      </c>
      <c r="C114" s="1055">
        <f>C113-C111+C112</f>
        <v>7989801.8100000154</v>
      </c>
      <c r="R114" s="4574"/>
    </row>
    <row r="115" spans="2:19" s="3493" customFormat="1" ht="13.5" hidden="1" thickTop="1">
      <c r="B115" s="3493" t="s">
        <v>321</v>
      </c>
      <c r="C115" s="1056">
        <f>SUM(K115:P115)</f>
        <v>7989801.8100000154</v>
      </c>
      <c r="D115" s="1057"/>
      <c r="E115" s="1057"/>
      <c r="F115" s="1057"/>
      <c r="G115" s="1058"/>
      <c r="H115" s="1058"/>
      <c r="I115" s="1058"/>
      <c r="J115" s="1058"/>
      <c r="K115" s="1059"/>
      <c r="L115" s="1059"/>
      <c r="M115" s="1060">
        <f>+M113-M111</f>
        <v>6273865.7400000151</v>
      </c>
      <c r="N115" s="1060">
        <f>+N113-N111</f>
        <v>849890.81999999937</v>
      </c>
      <c r="O115" s="1060">
        <f>+O113-O111</f>
        <v>859401.26000000071</v>
      </c>
      <c r="P115" s="1060">
        <f>+P113-P111</f>
        <v>6643.99</v>
      </c>
      <c r="R115" s="4574"/>
    </row>
    <row r="116" spans="2:19" s="3493" customFormat="1" hidden="1">
      <c r="B116" s="1061" t="s">
        <v>299</v>
      </c>
      <c r="C116" s="1062">
        <f>C114-C115</f>
        <v>0</v>
      </c>
    </row>
    <row r="117" spans="2:19" s="3493" customFormat="1" hidden="1"/>
    <row r="118" spans="2:19" s="3493" customFormat="1" hidden="1">
      <c r="B118" s="3493" t="s">
        <v>990</v>
      </c>
      <c r="C118" s="1052">
        <f>SUM(G118:O118)</f>
        <v>9753026.8200000152</v>
      </c>
      <c r="D118" s="1052"/>
      <c r="G118" s="3495">
        <v>0</v>
      </c>
      <c r="H118" s="3495">
        <v>0</v>
      </c>
      <c r="I118" s="3495">
        <v>0</v>
      </c>
      <c r="J118" s="3495">
        <v>0</v>
      </c>
      <c r="K118" s="3495">
        <v>0</v>
      </c>
      <c r="L118" s="3495">
        <f>+L113</f>
        <v>0</v>
      </c>
      <c r="M118" s="3495">
        <f>+M113</f>
        <v>7228460.7400000151</v>
      </c>
      <c r="N118" s="3495">
        <f>+N113</f>
        <v>1641260.8199999994</v>
      </c>
      <c r="O118" s="3495">
        <f>+O113</f>
        <v>883305.26000000071</v>
      </c>
      <c r="P118" s="3495">
        <f>+P113</f>
        <v>6643.99</v>
      </c>
    </row>
    <row r="119" spans="2:19" s="3493" customFormat="1" hidden="1">
      <c r="B119" s="3493" t="s">
        <v>1553</v>
      </c>
      <c r="C119" s="3495">
        <f>+M118</f>
        <v>7228460.7400000151</v>
      </c>
    </row>
    <row r="120" spans="2:19" s="3493" customFormat="1" hidden="1">
      <c r="B120" s="3493" t="s">
        <v>1554</v>
      </c>
      <c r="C120" s="1052">
        <f>SUM(L120:P120)</f>
        <v>9759670.8100000154</v>
      </c>
      <c r="H120" s="1052"/>
      <c r="I120" s="1052"/>
      <c r="J120" s="1052"/>
      <c r="K120" s="1052">
        <v>0</v>
      </c>
      <c r="L120" s="1063">
        <v>0</v>
      </c>
      <c r="M120" s="1063">
        <v>7228460.7400000151</v>
      </c>
      <c r="N120" s="1063">
        <v>1641260.8199999994</v>
      </c>
      <c r="O120" s="1063">
        <v>883305.26000000071</v>
      </c>
      <c r="P120" s="1063">
        <v>6643.99</v>
      </c>
      <c r="Q120" s="3497" t="s">
        <v>590</v>
      </c>
      <c r="R120" s="3497"/>
      <c r="S120" s="3497"/>
    </row>
    <row r="121" spans="2:19" s="3493" customFormat="1" ht="39" hidden="1" thickBot="1">
      <c r="B121" s="3496" t="s">
        <v>1555</v>
      </c>
      <c r="C121" s="1055">
        <f>C120-C118+C119</f>
        <v>7235104.7300000153</v>
      </c>
    </row>
    <row r="122" spans="2:19" s="3493" customFormat="1" ht="13.5" hidden="1" thickTop="1">
      <c r="B122" s="3493" t="s">
        <v>321</v>
      </c>
      <c r="C122" s="1056">
        <f>SUM(H122:P122)</f>
        <v>0</v>
      </c>
      <c r="D122" s="1057"/>
      <c r="H122" s="3495"/>
      <c r="I122" s="3495"/>
      <c r="J122" s="3495"/>
      <c r="K122" s="3495"/>
      <c r="L122" s="3495"/>
      <c r="M122" s="3495">
        <f>+M120-M118</f>
        <v>0</v>
      </c>
      <c r="N122" s="3495">
        <f>+N120-N118</f>
        <v>0</v>
      </c>
      <c r="O122" s="3495">
        <f>+O120-O118</f>
        <v>0</v>
      </c>
      <c r="P122" s="3495">
        <f>+P120-P118</f>
        <v>0</v>
      </c>
      <c r="Q122" s="3495"/>
    </row>
    <row r="123" spans="2:19" s="3493" customFormat="1" hidden="1">
      <c r="B123" s="1061" t="s">
        <v>299</v>
      </c>
      <c r="C123" s="1062">
        <f>C121-C122</f>
        <v>7235104.7300000153</v>
      </c>
      <c r="R123" s="3495"/>
    </row>
    <row r="124" spans="2:19" s="3493" customFormat="1" hidden="1">
      <c r="B124" s="3496"/>
    </row>
    <row r="125" spans="2:19" s="3493" customFormat="1" ht="25.5" hidden="1">
      <c r="B125" s="3496" t="str">
        <f>B113</f>
        <v>Deferred Revenue per BS 12-31-17</v>
      </c>
      <c r="C125" s="3495">
        <f>SUM(K118:P118)</f>
        <v>9759670.8100000154</v>
      </c>
      <c r="M125" s="3495"/>
    </row>
    <row r="126" spans="2:19" s="3493" customFormat="1" hidden="1">
      <c r="B126" s="3493" t="s">
        <v>322</v>
      </c>
      <c r="C126" s="3495">
        <f>C119</f>
        <v>7228460.7400000151</v>
      </c>
    </row>
    <row r="127" spans="2:19" s="3493" customFormat="1" hidden="1">
      <c r="B127" s="3493" t="s">
        <v>323</v>
      </c>
      <c r="C127" s="1052">
        <f>+M111+M115</f>
        <v>7228460.7400000151</v>
      </c>
    </row>
    <row r="128" spans="2:19" s="3493" customFormat="1" ht="13.5" hidden="1" thickBot="1">
      <c r="B128" s="3493" t="s">
        <v>324</v>
      </c>
      <c r="C128" s="3498">
        <f>IF(C127=C126,C126,C126-C127)</f>
        <v>7228460.7400000151</v>
      </c>
    </row>
    <row r="129" spans="2:11" s="3493" customFormat="1" ht="13.5" hidden="1" thickTop="1"/>
    <row r="130" spans="2:11" s="3493" customFormat="1" hidden="1">
      <c r="K130" s="3493" t="s">
        <v>1507</v>
      </c>
    </row>
    <row r="131" spans="2:11" s="3493" customFormat="1" hidden="1">
      <c r="B131" s="3493" t="s">
        <v>325</v>
      </c>
      <c r="C131" s="3499"/>
      <c r="J131" s="3493" t="s">
        <v>1556</v>
      </c>
      <c r="K131" s="3495">
        <f>+SUM(N113:P113)</f>
        <v>2531210.0700000003</v>
      </c>
    </row>
    <row r="132" spans="2:11" s="3493" customFormat="1" hidden="1">
      <c r="B132" s="3493" t="s">
        <v>326</v>
      </c>
      <c r="C132" s="3495">
        <f>C114</f>
        <v>7989801.8100000154</v>
      </c>
      <c r="J132" s="3493" t="s">
        <v>507</v>
      </c>
      <c r="K132" s="3495">
        <f>-N111-O111-P111</f>
        <v>-815274</v>
      </c>
    </row>
    <row r="133" spans="2:11" s="3493" customFormat="1" hidden="1">
      <c r="B133" s="3493" t="s">
        <v>327</v>
      </c>
      <c r="C133" s="3495">
        <f>-C128</f>
        <v>-7228460.7400000151</v>
      </c>
      <c r="J133" s="3493" t="s">
        <v>591</v>
      </c>
      <c r="K133" s="3495">
        <f>-M111</f>
        <v>-954595</v>
      </c>
    </row>
    <row r="134" spans="2:11" s="3493" customFormat="1" ht="13.5" hidden="1" thickBot="1">
      <c r="B134" s="3493" t="s">
        <v>328</v>
      </c>
      <c r="C134" s="3498">
        <f>SUM(C132:C133)</f>
        <v>761341.0700000003</v>
      </c>
      <c r="K134" s="3500">
        <f>SUM(K131:K133)</f>
        <v>761341.0700000003</v>
      </c>
    </row>
    <row r="135" spans="2:11" s="3493" customFormat="1">
      <c r="C135" s="3495"/>
    </row>
    <row r="136" spans="2:11">
      <c r="F136" s="32"/>
    </row>
    <row r="137" spans="2:11">
      <c r="F137" s="32"/>
    </row>
    <row r="138" spans="2:11" ht="13.5" thickBot="1">
      <c r="F138" s="32"/>
    </row>
    <row r="139" spans="2:11">
      <c r="B139" s="2227" t="s">
        <v>2528</v>
      </c>
      <c r="C139" s="717"/>
      <c r="D139" s="717"/>
      <c r="E139" s="717"/>
      <c r="F139" s="734"/>
    </row>
    <row r="140" spans="2:11">
      <c r="B140" s="650" t="s">
        <v>4371</v>
      </c>
      <c r="C140" s="320">
        <f>VLOOKUP(8030020,'New TB INC'!$C:$J,8,0)</f>
        <v>87952</v>
      </c>
      <c r="D140" s="320"/>
      <c r="E140" s="320"/>
      <c r="F140" s="530"/>
    </row>
    <row r="141" spans="2:11">
      <c r="B141" s="650" t="s">
        <v>4372</v>
      </c>
      <c r="C141" s="2921">
        <f>C148</f>
        <v>51072.099999999977</v>
      </c>
      <c r="D141" s="320"/>
      <c r="E141" s="320"/>
      <c r="F141" s="530"/>
    </row>
    <row r="142" spans="2:11">
      <c r="B142" s="650" t="s">
        <v>501</v>
      </c>
      <c r="C142" s="320">
        <f>C141-C140</f>
        <v>-36879.900000000023</v>
      </c>
      <c r="D142" s="320"/>
      <c r="E142" s="320"/>
      <c r="F142" s="530"/>
    </row>
    <row r="143" spans="2:11">
      <c r="B143" s="650"/>
      <c r="C143" s="320"/>
      <c r="D143" s="320"/>
      <c r="E143" s="320"/>
      <c r="F143" s="530"/>
    </row>
    <row r="144" spans="2:11">
      <c r="B144" s="650" t="s">
        <v>4373</v>
      </c>
      <c r="C144" s="320">
        <f>'[19]New TB INC'!$J$194</f>
        <v>473205.64</v>
      </c>
      <c r="D144" s="320"/>
      <c r="E144" s="320"/>
      <c r="F144" s="530"/>
    </row>
    <row r="145" spans="2:6">
      <c r="B145" s="650" t="s">
        <v>4375</v>
      </c>
      <c r="C145" s="320">
        <f>'New TB INC'!$J$259</f>
        <v>522212.74</v>
      </c>
      <c r="D145" s="320"/>
      <c r="E145" s="320"/>
      <c r="F145" s="3503"/>
    </row>
    <row r="146" spans="2:6">
      <c r="B146" s="650"/>
      <c r="C146" s="320">
        <f>C145-C144</f>
        <v>49007.099999999977</v>
      </c>
      <c r="D146" s="320"/>
      <c r="E146" s="320"/>
      <c r="F146" s="3503"/>
    </row>
    <row r="147" spans="2:6">
      <c r="B147" s="650" t="s">
        <v>4374</v>
      </c>
      <c r="C147" s="2921">
        <f>FA!$D$44</f>
        <v>2065</v>
      </c>
      <c r="D147" s="320"/>
      <c r="E147" s="320"/>
      <c r="F147" s="3503"/>
    </row>
    <row r="148" spans="2:6">
      <c r="B148" s="650"/>
      <c r="C148" s="320">
        <f>C146+C147</f>
        <v>51072.099999999977</v>
      </c>
      <c r="D148" s="320"/>
      <c r="E148" s="320"/>
      <c r="F148" s="3503"/>
    </row>
    <row r="149" spans="2:6" ht="13.5" thickBot="1">
      <c r="B149" s="3511"/>
      <c r="C149" s="3512"/>
      <c r="D149" s="3505"/>
      <c r="E149" s="3505"/>
      <c r="F149" s="3506"/>
    </row>
    <row r="155" spans="2:6" ht="13.5" thickBot="1"/>
    <row r="156" spans="2:6">
      <c r="B156" s="2227" t="s">
        <v>3175</v>
      </c>
      <c r="C156" s="717"/>
      <c r="D156" s="717"/>
      <c r="E156" s="717"/>
      <c r="F156" s="3502"/>
    </row>
    <row r="157" spans="2:6">
      <c r="B157" s="1250">
        <v>8010011</v>
      </c>
      <c r="C157" s="1226" t="s">
        <v>2038</v>
      </c>
      <c r="D157" s="144">
        <f>VLOOKUP(B157,'New TB INC'!$C:$J,8,0)</f>
        <v>0</v>
      </c>
      <c r="E157" s="320"/>
      <c r="F157" s="3503"/>
    </row>
    <row r="158" spans="2:6">
      <c r="B158" s="1250">
        <v>8120012</v>
      </c>
      <c r="C158" s="1226" t="s">
        <v>1733</v>
      </c>
      <c r="D158" s="144">
        <f>VLOOKUP(B158,'New TB INC'!$C:$J,8,0)</f>
        <v>0</v>
      </c>
      <c r="E158" s="320"/>
      <c r="F158" s="3503"/>
    </row>
    <row r="159" spans="2:6">
      <c r="B159" s="1250">
        <v>5110003</v>
      </c>
      <c r="C159" s="1226" t="s">
        <v>844</v>
      </c>
      <c r="D159" s="144">
        <f>VLOOKUP(B159,'New TB INC'!$C:$J,8,0)</f>
        <v>61.44</v>
      </c>
      <c r="E159" s="320"/>
      <c r="F159" s="3503"/>
    </row>
    <row r="160" spans="2:6">
      <c r="B160" s="1250">
        <v>8030023</v>
      </c>
      <c r="C160" s="1226" t="s">
        <v>546</v>
      </c>
      <c r="D160" s="144">
        <f>VLOOKUP(B160,'New TB INC'!$C:$J,8,0)</f>
        <v>2557.69</v>
      </c>
      <c r="E160" s="320"/>
      <c r="F160" s="3503"/>
    </row>
    <row r="161" spans="2:6">
      <c r="B161" s="1250">
        <v>7123006</v>
      </c>
      <c r="C161" s="1226" t="s">
        <v>3593</v>
      </c>
      <c r="D161" s="144">
        <f>VLOOKUP(B161,'New TB INC'!$C:$J,8,0)</f>
        <v>3729.95</v>
      </c>
      <c r="E161" s="320"/>
      <c r="F161" s="3503"/>
    </row>
    <row r="162" spans="2:6">
      <c r="B162" s="1250">
        <v>7162006</v>
      </c>
      <c r="C162" s="1226" t="s">
        <v>4025</v>
      </c>
      <c r="D162" s="144">
        <f>VLOOKUP(B162,'New TB INC'!$C:$J,8,0)</f>
        <v>48.49</v>
      </c>
      <c r="E162" s="320"/>
      <c r="F162" s="3503"/>
    </row>
    <row r="163" spans="2:6">
      <c r="B163" s="1250">
        <v>5110008</v>
      </c>
      <c r="C163" s="1226" t="s">
        <v>4011</v>
      </c>
      <c r="D163" s="144">
        <f>VLOOKUP(B163,'New TB INC'!$C:$J,8,0)</f>
        <v>148.96</v>
      </c>
      <c r="E163" s="320"/>
      <c r="F163" s="3503"/>
    </row>
    <row r="164" spans="2:6">
      <c r="B164" s="1250">
        <v>5110007</v>
      </c>
      <c r="C164" s="1226" t="s">
        <v>3758</v>
      </c>
      <c r="D164" s="144">
        <f>VLOOKUP(B164,'New TB INC'!$C:$J,8,0)</f>
        <v>1631.27</v>
      </c>
      <c r="E164" s="320"/>
      <c r="F164" s="3503"/>
    </row>
    <row r="165" spans="2:6">
      <c r="B165" s="1250">
        <v>5210007</v>
      </c>
      <c r="C165" s="1226" t="s">
        <v>4012</v>
      </c>
      <c r="D165" s="144">
        <f>VLOOKUP(B165,'New TB INC'!$C:$J,8,0)</f>
        <v>1909.83</v>
      </c>
      <c r="E165" s="320"/>
      <c r="F165" s="3503"/>
    </row>
    <row r="166" spans="2:6">
      <c r="B166" s="1250">
        <v>5210008</v>
      </c>
      <c r="C166" s="1226" t="s">
        <v>4303</v>
      </c>
      <c r="D166" s="144">
        <f>VLOOKUP(B166,'New TB INC'!$C:$J,8,0)</f>
        <v>789.09</v>
      </c>
      <c r="E166" s="320"/>
      <c r="F166" s="3503"/>
    </row>
    <row r="167" spans="2:6">
      <c r="B167" s="1250">
        <v>8030018</v>
      </c>
      <c r="C167" s="1226" t="s">
        <v>978</v>
      </c>
      <c r="D167" s="144">
        <f>VLOOKUP(B167,'New TB INC'!$C:$J,8,0)</f>
        <v>32.15</v>
      </c>
      <c r="E167" s="320"/>
      <c r="F167" s="3503"/>
    </row>
    <row r="168" spans="2:6">
      <c r="B168" s="1250">
        <v>8030029</v>
      </c>
      <c r="C168" s="1226" t="s">
        <v>1979</v>
      </c>
      <c r="D168" s="144">
        <f>VLOOKUP(B168,'New TB INC'!$C:$J,8,0)</f>
        <v>0</v>
      </c>
      <c r="E168" s="320"/>
      <c r="F168" s="3503"/>
    </row>
    <row r="169" spans="2:6">
      <c r="B169" s="1250">
        <v>7020008</v>
      </c>
      <c r="C169" s="1226" t="s">
        <v>4014</v>
      </c>
      <c r="D169" s="144">
        <f>VLOOKUP(B169,'New TB INC'!$C:$J,8,0)</f>
        <v>3553.53</v>
      </c>
      <c r="E169" s="320"/>
      <c r="F169" s="3503"/>
    </row>
    <row r="170" spans="2:6">
      <c r="B170" s="1250">
        <v>7122009</v>
      </c>
      <c r="C170" s="1226" t="s">
        <v>2094</v>
      </c>
      <c r="D170" s="144">
        <f>VLOOKUP(B170,'New TB INC'!$C:$J,8,0)</f>
        <v>0</v>
      </c>
      <c r="E170" s="320"/>
      <c r="F170" s="3503"/>
    </row>
    <row r="171" spans="2:6">
      <c r="B171" s="1250">
        <v>7122010</v>
      </c>
      <c r="C171" s="1226" t="s">
        <v>2095</v>
      </c>
      <c r="D171" s="144">
        <f>VLOOKUP(B171,'New TB INC'!$C:$J,8,0)</f>
        <v>0</v>
      </c>
      <c r="E171" s="320"/>
      <c r="F171" s="3503"/>
    </row>
    <row r="172" spans="2:6">
      <c r="B172" s="1250">
        <v>7180008</v>
      </c>
      <c r="C172" s="1226" t="s">
        <v>2106</v>
      </c>
      <c r="D172" s="144">
        <f>VLOOKUP(B172,'New TB INC'!$C:$J,8,0)</f>
        <v>0</v>
      </c>
      <c r="E172" s="320"/>
      <c r="F172" s="3503"/>
    </row>
    <row r="173" spans="2:6">
      <c r="B173" s="1250">
        <v>7180007</v>
      </c>
      <c r="C173" s="1226" t="s">
        <v>3929</v>
      </c>
      <c r="D173" s="144">
        <f>VLOOKUP(B173,'New TB INC'!$C:$J,8,0)</f>
        <v>17.440000000000001</v>
      </c>
      <c r="E173" s="320"/>
      <c r="F173" s="3503"/>
    </row>
    <row r="174" spans="2:6">
      <c r="B174" s="1250">
        <v>5210003</v>
      </c>
      <c r="C174" s="2926" t="s">
        <v>856</v>
      </c>
      <c r="D174" s="144">
        <f>VLOOKUP(B174,'New TB INC'!$C:$J,8,0)</f>
        <v>316.45</v>
      </c>
      <c r="E174" s="320"/>
      <c r="F174" s="3503"/>
    </row>
    <row r="175" spans="2:6">
      <c r="B175" s="1250">
        <v>5410003</v>
      </c>
      <c r="C175" s="2926" t="s">
        <v>866</v>
      </c>
      <c r="D175" s="144">
        <f>VLOOKUP(B175,'New TB INC'!$C:$J,8,0)</f>
        <v>119.45</v>
      </c>
      <c r="E175" s="320"/>
      <c r="F175" s="3503"/>
    </row>
    <row r="176" spans="2:6">
      <c r="B176" s="1250">
        <v>6020003</v>
      </c>
      <c r="C176" s="2926" t="s">
        <v>888</v>
      </c>
      <c r="D176" s="144">
        <f>VLOOKUP(B176,'New TB INC'!$C:$J,8,0)</f>
        <v>0</v>
      </c>
      <c r="E176" s="320"/>
      <c r="F176" s="3503"/>
    </row>
    <row r="177" spans="2:6">
      <c r="B177" s="1250">
        <v>6120003</v>
      </c>
      <c r="C177" s="2926" t="s">
        <v>1422</v>
      </c>
      <c r="D177" s="144">
        <f>VLOOKUP(B177,'New TB INC'!$C:$J,8,0)</f>
        <v>0</v>
      </c>
      <c r="E177" s="320"/>
      <c r="F177" s="3503"/>
    </row>
    <row r="178" spans="2:6">
      <c r="B178" s="1250">
        <v>8020003</v>
      </c>
      <c r="C178" s="2926" t="s">
        <v>976</v>
      </c>
      <c r="D178" s="144">
        <f>VLOOKUP(B178,'New TB INC'!$C:$J,8,0)</f>
        <v>0</v>
      </c>
      <c r="E178" s="320"/>
      <c r="F178" s="3503"/>
    </row>
    <row r="179" spans="2:6">
      <c r="B179" s="1250">
        <v>7020003</v>
      </c>
      <c r="C179" s="2926" t="s">
        <v>932</v>
      </c>
      <c r="D179" s="144">
        <f>VLOOKUP(B179,'New TB INC'!$C:$J,8,0)</f>
        <v>257.39999999999998</v>
      </c>
      <c r="E179" s="320"/>
      <c r="F179" s="3503"/>
    </row>
    <row r="180" spans="2:6">
      <c r="B180" s="1250">
        <v>7123003</v>
      </c>
      <c r="C180" s="2926" t="s">
        <v>3760</v>
      </c>
      <c r="D180" s="144">
        <f>VLOOKUP(B180,'New TB INC'!$C:$J,8,0)</f>
        <v>59</v>
      </c>
      <c r="E180" s="320"/>
      <c r="F180" s="3503"/>
    </row>
    <row r="181" spans="2:6">
      <c r="B181" s="1250">
        <v>7120003</v>
      </c>
      <c r="C181" s="2926" t="s">
        <v>942</v>
      </c>
      <c r="D181" s="144">
        <f>VLOOKUP(B181,'New TB INC'!$C:$J,8,0)</f>
        <v>452.29</v>
      </c>
      <c r="E181" s="320"/>
      <c r="F181" s="3503"/>
    </row>
    <row r="182" spans="2:6">
      <c r="B182" s="1250">
        <v>7160003</v>
      </c>
      <c r="C182" s="2926" t="s">
        <v>1632</v>
      </c>
      <c r="D182" s="144">
        <f>VLOOKUP(B182,'New TB INC'!$C:$J,8,0)</f>
        <v>276.44</v>
      </c>
      <c r="E182" s="320"/>
      <c r="F182" s="3503"/>
    </row>
    <row r="183" spans="2:6">
      <c r="B183" s="1250">
        <v>7122003</v>
      </c>
      <c r="C183" s="2926" t="s">
        <v>2092</v>
      </c>
      <c r="D183" s="144">
        <f>VLOOKUP(B183,'New TB INC'!$C:$J,8,0)</f>
        <v>26.85</v>
      </c>
      <c r="E183" s="320"/>
      <c r="F183" s="3503"/>
    </row>
    <row r="184" spans="2:6">
      <c r="B184" s="1250">
        <v>7150003</v>
      </c>
      <c r="C184" s="2926" t="s">
        <v>950</v>
      </c>
      <c r="D184" s="144">
        <f>VLOOKUP(B184,'New TB INC'!$C:$J,8,0)</f>
        <v>0</v>
      </c>
      <c r="E184" s="320"/>
      <c r="F184" s="3503"/>
    </row>
    <row r="185" spans="2:6">
      <c r="B185" s="1250">
        <v>7162003</v>
      </c>
      <c r="C185" s="2926" t="s">
        <v>4022</v>
      </c>
      <c r="D185" s="144">
        <f>VLOOKUP(B185,'New TB INC'!$C:$J,8,0)</f>
        <v>7.99</v>
      </c>
      <c r="E185" s="320"/>
      <c r="F185" s="3503"/>
    </row>
    <row r="186" spans="2:6">
      <c r="B186" s="1250">
        <v>7180003</v>
      </c>
      <c r="C186" s="2926" t="s">
        <v>963</v>
      </c>
      <c r="D186" s="144">
        <f>VLOOKUP(B186,'New TB INC'!$C:$J,8,0)</f>
        <v>0</v>
      </c>
      <c r="E186" s="320"/>
      <c r="F186" s="3503"/>
    </row>
    <row r="187" spans="2:6">
      <c r="B187" s="1250">
        <v>7120009</v>
      </c>
      <c r="C187" s="1226" t="s">
        <v>945</v>
      </c>
      <c r="D187" s="144">
        <f>VLOOKUP(B187,'New TB INC'!$C:$J,8,0)</f>
        <v>2980.36</v>
      </c>
      <c r="E187" s="320"/>
      <c r="F187" s="3503"/>
    </row>
    <row r="188" spans="2:6">
      <c r="B188" s="1250">
        <v>7160009</v>
      </c>
      <c r="C188" s="1226" t="s">
        <v>1634</v>
      </c>
      <c r="D188" s="3488">
        <f>VLOOKUP(B188,'New TB INC'!$C:$J,8,0)</f>
        <v>2339.67</v>
      </c>
      <c r="E188" s="320"/>
      <c r="F188" s="3503"/>
    </row>
    <row r="189" spans="2:6">
      <c r="B189" s="650"/>
      <c r="C189" s="320"/>
      <c r="D189" s="320">
        <f>SUM(D157:D188)</f>
        <v>21315.740000000005</v>
      </c>
      <c r="E189" s="1015"/>
      <c r="F189" s="3503"/>
    </row>
    <row r="190" spans="2:6">
      <c r="B190" s="650"/>
      <c r="C190" s="2926" t="s">
        <v>4377</v>
      </c>
      <c r="D190" s="144">
        <f>+D189/2</f>
        <v>10657.870000000003</v>
      </c>
      <c r="E190" s="1015"/>
      <c r="F190" s="3503"/>
    </row>
    <row r="191" spans="2:6" ht="13.5" thickBot="1">
      <c r="B191" s="3427"/>
      <c r="C191" s="3508" t="s">
        <v>4378</v>
      </c>
      <c r="D191" s="3509">
        <f>D189-D190</f>
        <v>10657.870000000003</v>
      </c>
      <c r="E191" s="3510"/>
      <c r="F191" s="3506"/>
    </row>
    <row r="192" spans="2:6">
      <c r="E192" s="182"/>
    </row>
    <row r="197" spans="2:6" ht="13.5" thickBot="1"/>
    <row r="198" spans="2:6">
      <c r="B198" s="3507" t="s">
        <v>488</v>
      </c>
      <c r="C198" s="1009"/>
      <c r="D198" s="717"/>
      <c r="E198" s="717"/>
      <c r="F198" s="3502"/>
    </row>
    <row r="199" spans="2:6">
      <c r="B199" s="1818">
        <v>8030022</v>
      </c>
      <c r="C199" s="320" t="s">
        <v>488</v>
      </c>
      <c r="D199" s="144">
        <f>VLOOKUP(B199,'New TB INC'!$C:$J,8,0)</f>
        <v>8962.2000000000007</v>
      </c>
      <c r="E199" s="320"/>
      <c r="F199" s="3503"/>
    </row>
    <row r="200" spans="2:6">
      <c r="B200" s="1818">
        <v>7020070</v>
      </c>
      <c r="C200" s="320" t="s">
        <v>1855</v>
      </c>
      <c r="D200" s="3488">
        <f>VLOOKUP(B200,'New TB INC'!$C:$J,8,0)</f>
        <v>8921.9</v>
      </c>
      <c r="E200" s="320"/>
      <c r="F200" s="3503"/>
    </row>
    <row r="201" spans="2:6">
      <c r="B201" s="148"/>
      <c r="C201" s="320"/>
      <c r="D201" s="320">
        <f>SUM(D199:D200)</f>
        <v>17884.099999999999</v>
      </c>
      <c r="E201" s="320"/>
      <c r="F201" s="3503"/>
    </row>
    <row r="202" spans="2:6">
      <c r="B202" s="650"/>
      <c r="C202" s="320" t="s">
        <v>4379</v>
      </c>
      <c r="D202" s="2921">
        <f>'[161](h) Misc'!$B$10</f>
        <v>2500</v>
      </c>
      <c r="E202" s="320" t="s">
        <v>4380</v>
      </c>
      <c r="F202" s="3503"/>
    </row>
    <row r="203" spans="2:6">
      <c r="B203" s="650"/>
      <c r="C203" s="320" t="s">
        <v>4381</v>
      </c>
      <c r="D203" s="320">
        <f>D201-D202</f>
        <v>15384.099999999999</v>
      </c>
      <c r="E203" s="320"/>
      <c r="F203" s="3503"/>
    </row>
    <row r="204" spans="2:6" ht="13.5" thickBot="1">
      <c r="B204" s="3427"/>
      <c r="C204" s="3505"/>
      <c r="D204" s="3505"/>
      <c r="E204" s="3505"/>
      <c r="F204" s="3506"/>
    </row>
    <row r="209" spans="2:6" ht="13.5" thickBot="1">
      <c r="B209" s="2787" t="s">
        <v>617</v>
      </c>
    </row>
    <row r="210" spans="2:6">
      <c r="B210" s="2160">
        <v>5100019</v>
      </c>
      <c r="C210" s="717" t="s">
        <v>1245</v>
      </c>
      <c r="D210" s="2467">
        <f>VLOOKUP(B210,'New TB INC'!$C:$J,8,0)</f>
        <v>29978.66</v>
      </c>
      <c r="E210" s="717"/>
      <c r="F210" s="3502"/>
    </row>
    <row r="211" spans="2:6">
      <c r="B211" s="1818">
        <v>6011019</v>
      </c>
      <c r="C211" s="320" t="s">
        <v>1420</v>
      </c>
      <c r="D211" s="144">
        <f>VLOOKUP(B211,'New TB INC'!$C:$J,8,0)</f>
        <v>27396.75</v>
      </c>
      <c r="E211" s="320"/>
      <c r="F211" s="3503"/>
    </row>
    <row r="212" spans="2:6">
      <c r="B212" s="1818">
        <v>8010008</v>
      </c>
      <c r="C212" s="320" t="s">
        <v>1428</v>
      </c>
      <c r="D212" s="144">
        <f>VLOOKUP(B212,'New TB INC'!$C:$J,8,0)</f>
        <v>1111.1199999999999</v>
      </c>
      <c r="E212" s="320"/>
      <c r="F212" s="3503"/>
    </row>
    <row r="213" spans="2:6">
      <c r="B213" s="1818">
        <v>7010018</v>
      </c>
      <c r="C213" s="320" t="s">
        <v>1424</v>
      </c>
      <c r="D213" s="144">
        <f>VLOOKUP(B213,'New TB INC'!$C:$J,8,0)</f>
        <v>4688.8999999999996</v>
      </c>
      <c r="E213" s="320"/>
      <c r="F213" s="3503"/>
    </row>
    <row r="214" spans="2:6">
      <c r="B214" s="1818">
        <v>7110006</v>
      </c>
      <c r="C214" s="320" t="s">
        <v>1248</v>
      </c>
      <c r="D214" s="3488">
        <f>VLOOKUP(B214,'New TB INC'!$C:$J,8,0)</f>
        <v>301086.28000000003</v>
      </c>
      <c r="E214" s="320"/>
      <c r="F214" s="3503"/>
    </row>
    <row r="215" spans="2:6" ht="13.5" thickBot="1">
      <c r="B215" s="3427"/>
      <c r="C215" s="3505"/>
      <c r="D215" s="3505">
        <f>SUM(D210:D214)</f>
        <v>364261.71</v>
      </c>
      <c r="E215" s="3505"/>
      <c r="F215" s="3506"/>
    </row>
    <row r="217" spans="2:6" ht="13.5" thickBot="1"/>
    <row r="218" spans="2:6">
      <c r="B218" s="550" t="s">
        <v>4382</v>
      </c>
      <c r="C218" s="717"/>
      <c r="D218" s="717"/>
      <c r="E218" s="717"/>
      <c r="F218" s="3502"/>
    </row>
    <row r="219" spans="2:6">
      <c r="B219" s="554"/>
      <c r="C219" s="320"/>
      <c r="D219" s="320"/>
      <c r="E219" s="320"/>
      <c r="F219" s="3503"/>
    </row>
    <row r="220" spans="2:6">
      <c r="B220" s="147" t="s">
        <v>4383</v>
      </c>
      <c r="C220" s="320"/>
      <c r="D220" s="320">
        <f>-'[162](a) M-1 Adjustments'!$C$20</f>
        <v>-310934.4800000001</v>
      </c>
      <c r="E220" s="320"/>
      <c r="F220" s="3503"/>
    </row>
    <row r="221" spans="2:6">
      <c r="B221" s="650" t="s">
        <v>4387</v>
      </c>
      <c r="C221" s="320"/>
      <c r="D221" s="2921">
        <f>D234+D244</f>
        <v>237.86461538460571</v>
      </c>
      <c r="E221" s="320"/>
      <c r="F221" s="3503"/>
    </row>
    <row r="222" spans="2:6">
      <c r="B222" s="650"/>
      <c r="C222" s="320"/>
      <c r="D222" s="320">
        <f>SUM(D220:D221)</f>
        <v>-310696.61538461549</v>
      </c>
      <c r="E222" s="320"/>
      <c r="F222" s="3503"/>
    </row>
    <row r="223" spans="2:6">
      <c r="B223" s="650"/>
      <c r="C223" s="320"/>
      <c r="D223" s="320"/>
      <c r="E223" s="320"/>
      <c r="F223" s="3503"/>
    </row>
    <row r="224" spans="2:6">
      <c r="B224" s="650"/>
      <c r="C224" s="320"/>
      <c r="D224" s="320"/>
      <c r="E224" s="320"/>
      <c r="F224" s="3503"/>
    </row>
    <row r="225" spans="2:6">
      <c r="B225" s="650"/>
      <c r="C225" s="320"/>
      <c r="D225" s="320"/>
      <c r="E225" s="320"/>
      <c r="F225" s="3503"/>
    </row>
    <row r="226" spans="2:6">
      <c r="B226" s="650"/>
      <c r="C226" s="320"/>
      <c r="D226" s="320"/>
      <c r="E226" s="320"/>
      <c r="F226" s="3503"/>
    </row>
    <row r="227" spans="2:6">
      <c r="B227" s="650"/>
      <c r="C227" s="320"/>
      <c r="D227" s="320"/>
      <c r="E227" s="320"/>
      <c r="F227" s="3503"/>
    </row>
    <row r="228" spans="2:6">
      <c r="B228" s="650"/>
      <c r="C228" s="320"/>
      <c r="D228" s="320"/>
      <c r="E228" s="320"/>
      <c r="F228" s="3503"/>
    </row>
    <row r="229" spans="2:6">
      <c r="B229" s="650"/>
      <c r="C229" s="320"/>
      <c r="D229" s="320"/>
      <c r="E229" s="320"/>
      <c r="F229" s="3503"/>
    </row>
    <row r="230" spans="2:6">
      <c r="B230" s="2797" t="s">
        <v>4388</v>
      </c>
      <c r="C230" s="3504"/>
      <c r="D230" s="320"/>
      <c r="E230" s="320"/>
      <c r="F230" s="3503"/>
    </row>
    <row r="231" spans="2:6">
      <c r="B231" s="147" t="s">
        <v>4385</v>
      </c>
      <c r="C231" s="320"/>
      <c r="D231" s="320">
        <f>'Accrued expenses'!M124+'Accrued expenses'!M126+'Accrued expenses'!M132</f>
        <v>806615.06299999997</v>
      </c>
      <c r="E231" s="320"/>
      <c r="F231" s="3503"/>
    </row>
    <row r="232" spans="2:6">
      <c r="B232" s="147" t="s">
        <v>4386</v>
      </c>
      <c r="C232" s="320"/>
      <c r="D232" s="320">
        <f>-D231</f>
        <v>-806615.06299999997</v>
      </c>
      <c r="E232" s="320"/>
      <c r="F232" s="3503"/>
    </row>
    <row r="233" spans="2:6">
      <c r="B233" s="147" t="s">
        <v>4384</v>
      </c>
      <c r="C233" s="320"/>
      <c r="D233" s="3316">
        <v>0</v>
      </c>
      <c r="E233" s="320"/>
      <c r="F233" s="3503"/>
    </row>
    <row r="234" spans="2:6">
      <c r="B234" s="147" t="s">
        <v>4387</v>
      </c>
      <c r="C234" s="320"/>
      <c r="D234" s="518">
        <f>SUM(D231:D233)</f>
        <v>0</v>
      </c>
      <c r="E234" s="320"/>
      <c r="F234" s="3503"/>
    </row>
    <row r="235" spans="2:6">
      <c r="B235" s="650"/>
      <c r="C235" s="320"/>
      <c r="D235" s="320"/>
      <c r="E235" s="320"/>
      <c r="F235" s="3503"/>
    </row>
    <row r="236" spans="2:6">
      <c r="B236" s="650"/>
      <c r="C236" s="320"/>
      <c r="D236" s="320"/>
      <c r="E236" s="320"/>
      <c r="F236" s="3503"/>
    </row>
    <row r="237" spans="2:6">
      <c r="B237" s="2797" t="s">
        <v>4389</v>
      </c>
      <c r="C237" s="3504"/>
      <c r="D237" s="320"/>
      <c r="E237" s="320"/>
      <c r="F237" s="3503"/>
    </row>
    <row r="238" spans="2:6">
      <c r="B238" s="147" t="s">
        <v>4385</v>
      </c>
      <c r="C238" s="320"/>
      <c r="D238" s="320">
        <f>'Accrued expenses'!M133</f>
        <v>65063.302307692298</v>
      </c>
      <c r="E238" s="320"/>
      <c r="F238" s="3503"/>
    </row>
    <row r="239" spans="2:6">
      <c r="B239" s="147" t="s">
        <v>4386</v>
      </c>
      <c r="C239" s="320"/>
      <c r="D239" s="2921">
        <f>'[162](e) Accrued Vacation'!$B$12</f>
        <v>-13208.400000000001</v>
      </c>
      <c r="E239" s="320" t="s">
        <v>4380</v>
      </c>
      <c r="F239" s="3503"/>
    </row>
    <row r="240" spans="2:6">
      <c r="B240" s="147" t="s">
        <v>4387</v>
      </c>
      <c r="C240" s="320"/>
      <c r="D240" s="320">
        <f>+D238+D239</f>
        <v>51854.902307692297</v>
      </c>
      <c r="E240" s="320"/>
      <c r="F240" s="3503"/>
    </row>
    <row r="241" spans="2:6">
      <c r="B241" s="650"/>
      <c r="C241" s="320"/>
      <c r="D241" s="320"/>
      <c r="E241" s="320"/>
      <c r="F241" s="3503"/>
    </row>
    <row r="242" spans="2:6">
      <c r="B242" s="147" t="s">
        <v>4383</v>
      </c>
      <c r="C242" s="320"/>
      <c r="D242" s="320">
        <f>-'[162](e) Accrued Vacation'!$B$13</f>
        <v>-51617.037692307691</v>
      </c>
      <c r="E242" s="320"/>
      <c r="F242" s="3503"/>
    </row>
    <row r="243" spans="2:6">
      <c r="B243" s="650"/>
      <c r="C243" s="320"/>
      <c r="D243" s="320"/>
      <c r="E243" s="320"/>
      <c r="F243" s="3503"/>
    </row>
    <row r="244" spans="2:6" ht="13.5" thickBot="1">
      <c r="B244" s="3427"/>
      <c r="C244" s="3505"/>
      <c r="D244" s="3501">
        <f>D240+D242</f>
        <v>237.86461538460571</v>
      </c>
      <c r="E244" s="3505"/>
      <c r="F244" s="3506"/>
    </row>
    <row r="248" spans="2:6" ht="13.5" thickBot="1"/>
    <row r="249" spans="2:6">
      <c r="B249" s="550" t="s">
        <v>702</v>
      </c>
      <c r="C249" s="717"/>
      <c r="D249" s="717"/>
      <c r="E249" s="717"/>
      <c r="F249" s="3502"/>
    </row>
    <row r="250" spans="2:6">
      <c r="B250" s="650"/>
      <c r="C250" s="320"/>
      <c r="D250" s="320"/>
      <c r="E250" s="320"/>
      <c r="F250" s="3503"/>
    </row>
    <row r="251" spans="2:6">
      <c r="B251" s="1818">
        <v>2400003</v>
      </c>
      <c r="C251" s="320" t="s">
        <v>521</v>
      </c>
      <c r="D251" s="320">
        <f>VLOOKUP(B251,'New TB INC'!$C:$J,8,0)</f>
        <v>-4605.7299999999996</v>
      </c>
      <c r="E251" s="320"/>
      <c r="F251" s="3503"/>
    </row>
    <row r="252" spans="2:6">
      <c r="B252" s="1818">
        <v>2410041</v>
      </c>
      <c r="C252" s="320" t="s">
        <v>520</v>
      </c>
      <c r="D252" s="320">
        <f>VLOOKUP(B252,'New TB INC'!$C:$J,8,0)</f>
        <v>-5694.8</v>
      </c>
      <c r="E252" s="320"/>
      <c r="F252" s="3503"/>
    </row>
    <row r="253" spans="2:6">
      <c r="B253" s="1818">
        <v>2200001</v>
      </c>
      <c r="C253" s="320" t="s">
        <v>4390</v>
      </c>
      <c r="D253" s="2921">
        <f>VLOOKUP(B253,'New TB INC'!$C:$J,8,0)</f>
        <v>-29998.52</v>
      </c>
      <c r="E253" s="320"/>
      <c r="F253" s="3503"/>
    </row>
    <row r="254" spans="2:6">
      <c r="B254" s="650"/>
      <c r="C254" s="320"/>
      <c r="D254" s="320">
        <f>-SUM(D251:D253)</f>
        <v>40299.050000000003</v>
      </c>
      <c r="E254" s="320"/>
      <c r="F254" s="3503"/>
    </row>
    <row r="255" spans="2:6">
      <c r="B255" s="650" t="s">
        <v>4391</v>
      </c>
      <c r="C255" s="320"/>
      <c r="D255" s="2921">
        <f>-D254</f>
        <v>-40299.050000000003</v>
      </c>
      <c r="E255" s="320"/>
      <c r="F255" s="3503"/>
    </row>
    <row r="256" spans="2:6">
      <c r="B256" s="650" t="s">
        <v>4387</v>
      </c>
      <c r="C256" s="320"/>
      <c r="D256" s="518">
        <f>D255+D254</f>
        <v>0</v>
      </c>
      <c r="E256" s="320"/>
      <c r="F256" s="3503"/>
    </row>
    <row r="257" spans="2:6">
      <c r="B257" s="650" t="s">
        <v>4383</v>
      </c>
      <c r="C257" s="320"/>
      <c r="D257" s="2921">
        <f>'[161](d) Accrued Expenses'!$B$16</f>
        <v>-35766.399999999994</v>
      </c>
      <c r="E257" s="320"/>
      <c r="F257" s="3503"/>
    </row>
    <row r="258" spans="2:6">
      <c r="B258" s="650"/>
      <c r="C258" s="320"/>
      <c r="D258" s="320">
        <f>D256+D257</f>
        <v>-35766.399999999994</v>
      </c>
      <c r="E258" s="320"/>
      <c r="F258" s="3503"/>
    </row>
    <row r="259" spans="2:6" ht="13.5" thickBot="1">
      <c r="B259" s="3427"/>
      <c r="C259" s="3505"/>
      <c r="D259" s="3505"/>
      <c r="E259" s="3505"/>
      <c r="F259" s="3506"/>
    </row>
    <row r="260" spans="2:6" ht="13.5" thickBot="1"/>
    <row r="261" spans="2:6">
      <c r="B261" s="550" t="s">
        <v>4393</v>
      </c>
      <c r="C261" s="717"/>
      <c r="D261" s="717"/>
      <c r="E261" s="717"/>
      <c r="F261" s="3502"/>
    </row>
    <row r="262" spans="2:6">
      <c r="B262" s="650"/>
      <c r="C262" s="320"/>
      <c r="D262" s="320"/>
      <c r="E262" s="320"/>
      <c r="F262" s="3503"/>
    </row>
    <row r="263" spans="2:6">
      <c r="B263" s="1818">
        <v>9010007</v>
      </c>
      <c r="C263" s="320" t="s">
        <v>2531</v>
      </c>
      <c r="D263" s="320">
        <f>VLOOKUP(B263,'New TB INC'!$C:$J,8,0)</f>
        <v>467953.24</v>
      </c>
      <c r="E263" s="320"/>
      <c r="F263" s="3503"/>
    </row>
    <row r="264" spans="2:6">
      <c r="B264" s="1818" t="s">
        <v>4394</v>
      </c>
      <c r="C264" s="320"/>
      <c r="D264" s="2921">
        <f>'[163]1.75M Payment -August'!$C$26+'[163]1.75M Payment - October'!$C$22</f>
        <v>404534.64834748831</v>
      </c>
      <c r="E264" s="320"/>
      <c r="F264" s="3503"/>
    </row>
    <row r="265" spans="2:6">
      <c r="B265" s="1818" t="s">
        <v>4395</v>
      </c>
      <c r="C265" s="320"/>
      <c r="D265" s="320">
        <f>D263-D264</f>
        <v>63418.591652511677</v>
      </c>
      <c r="E265" s="320"/>
      <c r="F265" s="3503"/>
    </row>
    <row r="266" spans="2:6">
      <c r="B266" s="650"/>
      <c r="C266" s="320"/>
      <c r="D266" s="320"/>
      <c r="E266" s="320"/>
      <c r="F266" s="3503"/>
    </row>
    <row r="267" spans="2:6">
      <c r="B267" s="650"/>
      <c r="C267" s="320"/>
      <c r="D267" s="320"/>
      <c r="E267" s="320"/>
      <c r="F267" s="3503"/>
    </row>
    <row r="268" spans="2:6">
      <c r="B268" s="650"/>
      <c r="C268" s="320"/>
      <c r="D268" s="320"/>
      <c r="E268" s="320"/>
      <c r="F268" s="3503"/>
    </row>
    <row r="269" spans="2:6">
      <c r="B269" s="650"/>
      <c r="C269" s="320"/>
      <c r="E269" s="320"/>
      <c r="F269" s="3503"/>
    </row>
    <row r="270" spans="2:6">
      <c r="B270" s="650"/>
      <c r="C270" s="320"/>
      <c r="E270" s="320"/>
      <c r="F270" s="3503"/>
    </row>
    <row r="271" spans="2:6" ht="13.5" thickBot="1">
      <c r="B271" s="3427"/>
      <c r="C271" s="3505"/>
      <c r="D271" s="3505"/>
      <c r="E271" s="3505"/>
      <c r="F271" s="3506"/>
    </row>
  </sheetData>
  <mergeCells count="2">
    <mergeCell ref="R81:R84"/>
    <mergeCell ref="R112:R115"/>
  </mergeCells>
  <conditionalFormatting sqref="B157:B188">
    <cfRule type="duplicateValues" dxfId="451" priority="21842"/>
  </conditionalFormatting>
  <pageMargins left="0.7" right="0.7" top="0.75" bottom="0.75" header="0.3" footer="0.3"/>
  <pageSetup paperSize="9" orientation="portrait" horizontalDpi="300" verticalDpi="3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752F-F51F-401C-B156-363534F103BD}">
  <sheetPr transitionEvaluation="1" transitionEntry="1" codeName="Sheet29">
    <tabColor rgb="FF00B0F0"/>
  </sheetPr>
  <dimension ref="A1:EA680"/>
  <sheetViews>
    <sheetView rightToLeft="1" view="pageBreakPreview" zoomScale="85" zoomScaleNormal="100" zoomScaleSheetLayoutView="85" workbookViewId="0">
      <pane xSplit="4" ySplit="7" topLeftCell="E293" activePane="bottomRight" state="frozen"/>
      <selection pane="topRight" activeCell="E1" sqref="E1"/>
      <selection pane="bottomLeft" activeCell="A8" sqref="A8"/>
      <selection pane="bottomRight" activeCell="K329" sqref="K329"/>
    </sheetView>
  </sheetViews>
  <sheetFormatPr defaultColWidth="9.83203125" defaultRowHeight="12.75" outlineLevelCol="2"/>
  <cols>
    <col min="1" max="1" width="6.83203125" style="3852" customWidth="1"/>
    <col min="2" max="2" width="25.1640625" style="3840" customWidth="1"/>
    <col min="3" max="3" width="12.6640625" style="3870" customWidth="1"/>
    <col min="4" max="4" width="59.1640625" style="3893" bestFit="1" customWidth="1"/>
    <col min="5" max="5" width="15.83203125" style="3883" customWidth="1" outlineLevel="1"/>
    <col min="6" max="6" width="15.5" style="3874" customWidth="1" outlineLevel="2"/>
    <col min="7" max="7" width="7.5" style="3875" customWidth="1" outlineLevel="2"/>
    <col min="8" max="8" width="13.33203125" style="3874" customWidth="1" outlineLevel="2"/>
    <col min="9" max="9" width="6.83203125" style="3875" customWidth="1" outlineLevel="2"/>
    <col min="10" max="10" width="19.1640625" style="3874" bestFit="1" customWidth="1"/>
    <col min="11" max="11" width="16.33203125" style="3876" customWidth="1"/>
    <col min="12" max="12" width="12.6640625" style="3850" customWidth="1"/>
    <col min="13" max="13" width="19" style="3849" bestFit="1" customWidth="1"/>
    <col min="14" max="14" width="21.33203125" style="3846" customWidth="1"/>
    <col min="15" max="15" width="9.5" style="3847" customWidth="1"/>
    <col min="16" max="16" width="111.5" style="3853" customWidth="1"/>
    <col min="17" max="17" width="24.5" style="3849" customWidth="1"/>
    <col min="18" max="38" width="16.33203125" style="3849" customWidth="1"/>
    <col min="39" max="39" width="22.33203125" style="3849" customWidth="1"/>
    <col min="40" max="40" width="46.1640625" style="3849" customWidth="1"/>
    <col min="41" max="41" width="46.6640625" style="3849" bestFit="1" customWidth="1"/>
    <col min="42" max="42" width="16.33203125" style="3849" customWidth="1"/>
    <col min="43" max="43" width="35.5" style="3849" bestFit="1" customWidth="1"/>
    <col min="44" max="44" width="53.33203125" style="3849" bestFit="1" customWidth="1"/>
    <col min="45" max="45" width="32" style="3849" customWidth="1"/>
    <col min="46" max="46" width="38.5" style="3849" customWidth="1"/>
    <col min="47" max="47" width="15.5" style="3850" bestFit="1" customWidth="1"/>
    <col min="48" max="48" width="18.1640625" style="3850" bestFit="1" customWidth="1"/>
    <col min="49" max="49" width="18.6640625" style="3850" bestFit="1" customWidth="1"/>
    <col min="50" max="50" width="18.1640625" style="3850" bestFit="1" customWidth="1"/>
    <col min="51" max="51" width="18.1640625" style="3850" customWidth="1"/>
    <col min="52" max="52" width="21.83203125" style="3850" customWidth="1"/>
    <col min="53" max="53" width="17.33203125" style="3850" bestFit="1" customWidth="1"/>
    <col min="54" max="54" width="18.1640625" style="3850" bestFit="1" customWidth="1"/>
    <col min="55" max="55" width="15.5" style="3850" customWidth="1"/>
    <col min="56" max="56" width="21.6640625" style="3850" customWidth="1"/>
    <col min="57" max="57" width="25.5" style="3850" customWidth="1"/>
    <col min="58" max="58" width="30.6640625" style="3850" customWidth="1"/>
    <col min="59" max="59" width="29.1640625" style="3850" customWidth="1"/>
    <col min="60" max="60" width="28" style="3850" customWidth="1"/>
    <col min="61" max="61" width="37" style="3850" customWidth="1"/>
    <col min="62" max="62" width="26.1640625" style="3850" customWidth="1"/>
    <col min="63" max="63" width="20.5" style="3850" customWidth="1"/>
    <col min="64" max="64" width="16.33203125" style="3850" customWidth="1"/>
    <col min="65" max="65" width="33.6640625" style="3850" customWidth="1"/>
    <col min="66" max="66" width="19.6640625" style="3850" customWidth="1"/>
    <col min="67" max="67" width="12.5" style="3850" customWidth="1"/>
    <col min="68" max="69" width="17.5" style="3850" customWidth="1"/>
    <col min="70" max="70" width="21.33203125" style="3850" customWidth="1"/>
    <col min="71" max="71" width="24.6640625" style="3850" customWidth="1"/>
    <col min="72" max="72" width="23.5" style="3850" customWidth="1"/>
    <col min="73" max="73" width="26.5" style="3850" customWidth="1"/>
    <col min="74" max="74" width="14.33203125" style="3850" customWidth="1"/>
    <col min="75" max="16384" width="9.83203125" style="3850"/>
  </cols>
  <sheetData>
    <row r="1" spans="1:68" ht="13.5" thickBot="1">
      <c r="A1" s="3839"/>
      <c r="C1" s="3841"/>
      <c r="D1" s="3842"/>
      <c r="E1" s="3843">
        <f>E327</f>
        <v>0</v>
      </c>
      <c r="F1" s="3843">
        <f>F327</f>
        <v>0</v>
      </c>
      <c r="G1" s="3843">
        <f>G327/2</f>
        <v>0</v>
      </c>
      <c r="H1" s="3843">
        <f>H327/2</f>
        <v>0</v>
      </c>
      <c r="I1" s="3843">
        <f>I327/2</f>
        <v>0</v>
      </c>
      <c r="J1" s="3844">
        <f>J327/2</f>
        <v>0</v>
      </c>
      <c r="K1" s="3844">
        <f>K327/2</f>
        <v>0</v>
      </c>
      <c r="L1" s="3845"/>
      <c r="M1" s="3844">
        <f>M327/2</f>
        <v>0</v>
      </c>
      <c r="P1" s="3848"/>
      <c r="BB1" s="3851"/>
      <c r="BC1" s="3851"/>
      <c r="BD1" s="3851"/>
      <c r="BE1" s="3851"/>
    </row>
    <row r="2" spans="1:68">
      <c r="B2" s="4575" t="s">
        <v>2240</v>
      </c>
      <c r="C2" s="1821"/>
      <c r="D2" s="1821"/>
      <c r="E2" s="4577">
        <f>'נתונים לשינוי'!$C$1</f>
        <v>44561</v>
      </c>
      <c r="F2" s="4578"/>
      <c r="G2" s="4578"/>
      <c r="H2" s="4578"/>
      <c r="I2" s="4578"/>
      <c r="J2" s="4578"/>
      <c r="K2" s="4578"/>
      <c r="L2" s="4578"/>
      <c r="M2" s="4579"/>
      <c r="N2" s="3326" t="s">
        <v>605</v>
      </c>
      <c r="O2" s="1822">
        <f>'נתונים לשינוי'!B14</f>
        <v>0.88354782806329724</v>
      </c>
      <c r="Q2" s="3854"/>
      <c r="R2" s="3854"/>
      <c r="S2" s="3854"/>
      <c r="T2" s="3854"/>
      <c r="U2" s="3854"/>
      <c r="V2" s="3854"/>
      <c r="W2" s="3854"/>
      <c r="X2" s="3854"/>
      <c r="Y2" s="3854"/>
      <c r="Z2" s="3854"/>
      <c r="AA2" s="3854"/>
      <c r="AB2" s="3854"/>
      <c r="AC2" s="3854"/>
      <c r="AD2" s="3854"/>
      <c r="AE2" s="3854"/>
      <c r="AF2" s="3854"/>
      <c r="AG2" s="3854"/>
      <c r="AH2" s="3854"/>
      <c r="AI2" s="3854"/>
      <c r="AJ2" s="3854"/>
      <c r="AK2" s="3854"/>
      <c r="AL2" s="3854"/>
      <c r="AM2" s="3854"/>
      <c r="AN2" s="3854"/>
      <c r="AO2" s="3854"/>
      <c r="AP2" s="3854"/>
      <c r="AQ2" s="3854"/>
      <c r="AR2" s="3854"/>
      <c r="AS2" s="3854"/>
      <c r="AT2" s="3854"/>
      <c r="AW2" s="3851"/>
      <c r="AX2" s="3851"/>
      <c r="AY2" s="3851"/>
      <c r="AZ2" s="3851"/>
      <c r="BA2" s="3851"/>
      <c r="BB2" s="3851"/>
      <c r="BC2" s="3851"/>
      <c r="BD2" s="3851"/>
      <c r="BE2" s="3851"/>
      <c r="BF2" s="3855"/>
      <c r="BG2" s="3851"/>
      <c r="BH2" s="3855"/>
      <c r="BI2" s="3855"/>
      <c r="BJ2" s="3855"/>
      <c r="BK2" s="3851"/>
    </row>
    <row r="3" spans="1:68" ht="13.5" thickBot="1">
      <c r="B3" s="4576"/>
      <c r="C3" s="1823"/>
      <c r="D3" s="3301"/>
      <c r="E3" s="4580"/>
      <c r="F3" s="4581"/>
      <c r="G3" s="4581"/>
      <c r="H3" s="4581"/>
      <c r="I3" s="4581"/>
      <c r="J3" s="4581"/>
      <c r="K3" s="4581"/>
      <c r="L3" s="4581"/>
      <c r="M3" s="4582"/>
      <c r="N3" s="3327" t="s">
        <v>604</v>
      </c>
      <c r="O3" s="1824">
        <f>'נתונים לשינוי'!I11</f>
        <v>0</v>
      </c>
      <c r="BB3" s="3851"/>
      <c r="BC3" s="3851"/>
      <c r="BD3" s="3855"/>
      <c r="BE3" s="3855"/>
      <c r="BF3" s="3851"/>
      <c r="BG3" s="3851"/>
      <c r="BH3" s="1825"/>
      <c r="BI3" s="3851"/>
      <c r="BJ3" s="3855"/>
      <c r="BK3" s="3851"/>
      <c r="BN3" s="3856"/>
      <c r="BO3" s="3856"/>
      <c r="BP3" s="3856"/>
    </row>
    <row r="4" spans="1:68" ht="13.5" thickBot="1">
      <c r="A4" s="3857"/>
      <c r="B4" s="3651"/>
      <c r="C4" s="3858"/>
      <c r="D4" s="3859"/>
      <c r="E4" s="1826" t="s">
        <v>1225</v>
      </c>
      <c r="F4" s="3860"/>
      <c r="G4" s="3861"/>
      <c r="H4" s="3860"/>
      <c r="I4" s="3861"/>
      <c r="J4" s="1827" t="s">
        <v>1225</v>
      </c>
      <c r="K4" s="1828" t="s">
        <v>294</v>
      </c>
      <c r="L4" s="3862"/>
      <c r="M4" s="1828" t="s">
        <v>294</v>
      </c>
      <c r="N4" s="3863"/>
      <c r="O4" s="3864"/>
      <c r="BB4" s="3851"/>
      <c r="BC4" s="3851"/>
      <c r="BD4" s="3851"/>
      <c r="BE4" s="3865"/>
      <c r="BF4" s="3851"/>
      <c r="BG4" s="3851"/>
      <c r="BH4" s="1829"/>
      <c r="BI4" s="3851"/>
      <c r="BJ4" s="3851"/>
      <c r="BK4" s="3855"/>
    </row>
    <row r="5" spans="1:68">
      <c r="A5" s="3857"/>
      <c r="B5" s="3652"/>
      <c r="C5" s="1830"/>
      <c r="D5" s="3866"/>
      <c r="E5" s="1831" t="s">
        <v>46</v>
      </c>
      <c r="F5" s="1832" t="s">
        <v>47</v>
      </c>
      <c r="G5" s="1833" t="s">
        <v>47</v>
      </c>
      <c r="H5" s="1832" t="s">
        <v>47</v>
      </c>
      <c r="I5" s="1833" t="s">
        <v>47</v>
      </c>
      <c r="J5" s="1832" t="s">
        <v>48</v>
      </c>
      <c r="K5" s="1834" t="s">
        <v>48</v>
      </c>
      <c r="L5" s="3862"/>
      <c r="M5" s="1831" t="s">
        <v>46</v>
      </c>
      <c r="N5" s="3863"/>
      <c r="O5" s="3864"/>
      <c r="BB5" s="3851"/>
      <c r="BC5" s="3851"/>
      <c r="BD5" s="3851"/>
      <c r="BE5" s="3867"/>
      <c r="BF5" s="3851"/>
      <c r="BG5" s="3851"/>
      <c r="BH5" s="1835"/>
      <c r="BI5" s="3851"/>
      <c r="BJ5" s="3851"/>
      <c r="BK5" s="3868"/>
      <c r="BO5" s="3869"/>
    </row>
    <row r="6" spans="1:68">
      <c r="A6" s="3857"/>
      <c r="B6" s="3653"/>
      <c r="D6" s="1836"/>
      <c r="E6" s="1837" t="s">
        <v>51</v>
      </c>
      <c r="F6" s="1836" t="s">
        <v>52</v>
      </c>
      <c r="G6" s="1838" t="s">
        <v>52</v>
      </c>
      <c r="H6" s="1836" t="s">
        <v>52</v>
      </c>
      <c r="I6" s="1838" t="s">
        <v>52</v>
      </c>
      <c r="J6" s="1836" t="s">
        <v>3</v>
      </c>
      <c r="K6" s="1839" t="s">
        <v>53</v>
      </c>
      <c r="L6" s="3862"/>
      <c r="M6" s="1837" t="s">
        <v>51</v>
      </c>
      <c r="N6" s="3863"/>
      <c r="O6" s="3864"/>
      <c r="BB6" s="3851"/>
      <c r="BC6" s="3851"/>
      <c r="BD6" s="3851"/>
      <c r="BE6" s="3867"/>
      <c r="BF6" s="3851"/>
      <c r="BG6" s="3851"/>
      <c r="BH6" s="3851"/>
      <c r="BI6" s="3851"/>
      <c r="BJ6" s="3851"/>
      <c r="BK6" s="3855"/>
      <c r="BO6" s="3869"/>
    </row>
    <row r="7" spans="1:68" ht="13.5" thickBot="1">
      <c r="B7" s="3651"/>
      <c r="C7" s="1840"/>
      <c r="D7" s="3871"/>
      <c r="E7" s="1841" t="s">
        <v>54</v>
      </c>
      <c r="F7" s="1842" t="s">
        <v>177</v>
      </c>
      <c r="G7" s="1843" t="s">
        <v>177</v>
      </c>
      <c r="H7" s="1842" t="s">
        <v>55</v>
      </c>
      <c r="I7" s="1843" t="s">
        <v>56</v>
      </c>
      <c r="J7" s="1842" t="s">
        <v>177</v>
      </c>
      <c r="K7" s="1843" t="s">
        <v>177</v>
      </c>
      <c r="L7" s="1842"/>
      <c r="M7" s="1841" t="s">
        <v>54</v>
      </c>
      <c r="N7" s="3863"/>
      <c r="O7" s="3328"/>
      <c r="BB7" s="3851"/>
      <c r="BC7" s="3851"/>
      <c r="BD7" s="1844"/>
      <c r="BE7" s="3867"/>
      <c r="BF7" s="1845"/>
      <c r="BG7" s="1845"/>
      <c r="BH7" s="1846"/>
      <c r="BI7" s="1847"/>
      <c r="BJ7" s="1844"/>
      <c r="BK7" s="3851"/>
      <c r="BO7" s="3869"/>
    </row>
    <row r="8" spans="1:68" ht="13.5" thickBot="1">
      <c r="A8" s="3872"/>
      <c r="B8" s="3654"/>
      <c r="C8" s="1848"/>
      <c r="D8" s="1849" t="s">
        <v>58</v>
      </c>
      <c r="E8" s="3873"/>
      <c r="L8" s="1836"/>
      <c r="M8" s="3876"/>
      <c r="N8" s="3877"/>
      <c r="O8" s="3329"/>
      <c r="R8" s="3878"/>
      <c r="S8" s="3878"/>
      <c r="T8" s="3878"/>
      <c r="U8" s="3878"/>
      <c r="V8" s="3878"/>
      <c r="W8" s="3878"/>
      <c r="X8" s="3878"/>
      <c r="Y8" s="3878"/>
      <c r="Z8" s="3878"/>
      <c r="AA8" s="3878"/>
      <c r="AB8" s="3878"/>
      <c r="AC8" s="3878"/>
      <c r="AD8" s="3878"/>
      <c r="AE8" s="3878"/>
      <c r="AF8" s="3878"/>
      <c r="AG8" s="3878"/>
      <c r="AH8" s="3878"/>
      <c r="AI8" s="3878"/>
      <c r="AJ8" s="3878"/>
      <c r="AK8" s="3878"/>
      <c r="AL8" s="3878"/>
      <c r="AM8" s="3878"/>
      <c r="AN8" s="3878"/>
      <c r="AO8" s="3878"/>
      <c r="AP8" s="3878"/>
      <c r="AQ8" s="3878"/>
      <c r="AR8" s="3878"/>
      <c r="AS8" s="3878"/>
      <c r="AX8" s="1850"/>
      <c r="AY8" s="1850"/>
      <c r="AZ8" s="3878"/>
      <c r="BB8" s="3851"/>
      <c r="BC8" s="3851"/>
      <c r="BD8" s="1835"/>
      <c r="BE8" s="3867"/>
      <c r="BF8" s="1845"/>
      <c r="BG8" s="1845"/>
      <c r="BH8" s="1845"/>
      <c r="BI8" s="3851"/>
      <c r="BJ8" s="1835"/>
      <c r="BK8" s="3851"/>
      <c r="BO8" s="3869"/>
    </row>
    <row r="9" spans="1:68">
      <c r="A9" s="3872"/>
      <c r="B9" s="3879" t="str">
        <f>"100.בנקים ומזומנים"</f>
        <v>100.בנקים ומזומנים</v>
      </c>
      <c r="C9" s="3880">
        <v>1000001</v>
      </c>
      <c r="D9" s="3881" t="s">
        <v>2256</v>
      </c>
      <c r="E9" s="3882">
        <f>VLOOKUP(C9,'פ.נ. צרפת'!$D$129:$F$1048576,3,0)</f>
        <v>1045948.83</v>
      </c>
      <c r="F9" s="3843">
        <f>SUMIF('פ.נ. צרפת'!$C:$C,$C:$C,'פ.נ. צרפת'!$E:$E)</f>
        <v>0</v>
      </c>
      <c r="G9" s="3883"/>
      <c r="H9" s="3884"/>
      <c r="I9" s="3882"/>
      <c r="J9" s="4291">
        <f>SUM(E9:I9)</f>
        <v>1045948.83</v>
      </c>
      <c r="K9" s="3886">
        <f>M9+SUMIF('פ.נ. צרפת'!$C:$C,$C:$C,'פ.נ. צרפת'!$F:$F)</f>
        <v>1183805.56</v>
      </c>
      <c r="L9" s="3851"/>
      <c r="M9" s="3885">
        <f>IFERROR(VLOOKUP(C9,'פ.נ. צרפת'!$D$129:$G$1048576,4,0),"")</f>
        <v>1183805.56</v>
      </c>
      <c r="N9" s="3877">
        <f>IF(K9=0,"-",J9/K9)</f>
        <v>0.88354782689143641</v>
      </c>
      <c r="O9" s="3887"/>
      <c r="R9" s="3878"/>
      <c r="S9" s="3878"/>
      <c r="T9" s="3878"/>
      <c r="U9" s="3878"/>
      <c r="V9" s="3878"/>
      <c r="W9" s="3878"/>
      <c r="X9" s="3878"/>
      <c r="Y9" s="3878"/>
      <c r="Z9" s="3878"/>
      <c r="AA9" s="3878"/>
      <c r="AB9" s="3878"/>
      <c r="AC9" s="3878"/>
      <c r="AD9" s="3878"/>
      <c r="AE9" s="3878"/>
      <c r="AF9" s="3878"/>
      <c r="AG9" s="3878"/>
      <c r="AH9" s="3878"/>
      <c r="AI9" s="3878"/>
      <c r="AJ9" s="3878"/>
      <c r="AK9" s="3878"/>
      <c r="AL9" s="3878"/>
      <c r="AM9" s="3878"/>
      <c r="AN9" s="3878"/>
      <c r="AO9" s="3878"/>
      <c r="AP9" s="3878"/>
      <c r="AQ9" s="3878"/>
      <c r="AR9" s="3878"/>
      <c r="AS9" s="3878"/>
      <c r="AT9" s="3878"/>
      <c r="AW9" s="3851"/>
      <c r="AX9" s="1850"/>
      <c r="AY9" s="1850"/>
      <c r="AZ9" s="3878"/>
      <c r="BA9" s="1850"/>
      <c r="BB9" s="3878"/>
      <c r="BC9" s="3888"/>
      <c r="BD9" s="3888"/>
      <c r="BE9" s="3867"/>
      <c r="BF9" s="1850"/>
      <c r="BG9" s="1850"/>
      <c r="BH9" s="3855"/>
      <c r="BI9" s="3888"/>
      <c r="BJ9" s="3888"/>
      <c r="BK9" s="3851"/>
      <c r="BO9" s="3869"/>
    </row>
    <row r="10" spans="1:68" ht="13.5" thickBot="1">
      <c r="A10" s="3872"/>
      <c r="B10" s="3655"/>
      <c r="C10" s="1851"/>
      <c r="D10" s="1852" t="s">
        <v>2243</v>
      </c>
      <c r="E10" s="1853">
        <f t="shared" ref="E10:K10" si="0">SUM(E9:E9)</f>
        <v>1045948.83</v>
      </c>
      <c r="F10" s="1853">
        <f t="shared" si="0"/>
        <v>0</v>
      </c>
      <c r="G10" s="1853">
        <f t="shared" si="0"/>
        <v>0</v>
      </c>
      <c r="H10" s="1853">
        <f t="shared" si="0"/>
        <v>0</v>
      </c>
      <c r="I10" s="1853">
        <f t="shared" si="0"/>
        <v>0</v>
      </c>
      <c r="J10" s="4292">
        <f t="shared" si="0"/>
        <v>1045948.83</v>
      </c>
      <c r="K10" s="2136">
        <f t="shared" si="0"/>
        <v>1183805.56</v>
      </c>
      <c r="L10" s="3851"/>
      <c r="M10" s="1853">
        <f>SUM(M9:M9)</f>
        <v>1183805.56</v>
      </c>
      <c r="N10" s="3877"/>
      <c r="O10" s="3887"/>
      <c r="AW10" s="3851"/>
      <c r="AX10" s="1850"/>
      <c r="AY10" s="1850"/>
      <c r="AZ10" s="1850"/>
      <c r="BA10" s="1850"/>
      <c r="BB10" s="1854"/>
      <c r="BC10" s="3888"/>
      <c r="BD10" s="3888"/>
      <c r="BE10" s="3867"/>
      <c r="BF10" s="1850"/>
      <c r="BG10" s="1850"/>
      <c r="BH10" s="3855"/>
      <c r="BI10" s="3888"/>
      <c r="BJ10" s="3888"/>
      <c r="BK10" s="3851"/>
      <c r="BO10" s="3869"/>
    </row>
    <row r="11" spans="1:68">
      <c r="B11" s="3655"/>
      <c r="C11" s="3889"/>
      <c r="D11" s="3881"/>
      <c r="G11" s="3845"/>
      <c r="H11" s="3851"/>
      <c r="I11" s="3845"/>
      <c r="J11" s="3890"/>
      <c r="K11" s="3891"/>
      <c r="L11" s="3851"/>
      <c r="M11" s="3844"/>
      <c r="N11" s="3877"/>
      <c r="O11" s="3887"/>
      <c r="AU11" s="3878"/>
      <c r="AW11" s="3851"/>
      <c r="AX11" s="1850"/>
      <c r="AY11" s="1850"/>
      <c r="AZ11" s="3878"/>
      <c r="BA11" s="1850"/>
      <c r="BB11" s="1854"/>
      <c r="BC11" s="3888"/>
      <c r="BD11" s="3888"/>
      <c r="BE11" s="3867"/>
      <c r="BF11" s="1850"/>
      <c r="BG11" s="1850"/>
      <c r="BH11" s="3855"/>
      <c r="BI11" s="3888"/>
      <c r="BJ11" s="3888"/>
      <c r="BK11" s="3851"/>
      <c r="BO11" s="3869"/>
    </row>
    <row r="12" spans="1:68">
      <c r="B12" s="3655"/>
      <c r="C12" s="3892"/>
      <c r="H12" s="3851"/>
      <c r="I12" s="3845"/>
      <c r="J12" s="3894"/>
      <c r="K12" s="3895"/>
      <c r="L12" s="3851"/>
      <c r="M12" s="3896"/>
      <c r="N12" s="3877"/>
      <c r="O12" s="3897"/>
      <c r="AX12" s="1850"/>
      <c r="AY12" s="1850"/>
      <c r="AZ12" s="1850"/>
    </row>
    <row r="13" spans="1:68">
      <c r="B13" s="3655"/>
      <c r="C13" s="3898"/>
      <c r="D13" s="3899"/>
      <c r="F13" s="3900"/>
      <c r="H13" s="3851"/>
      <c r="I13" s="3845"/>
      <c r="J13" s="3890"/>
      <c r="K13" s="3891"/>
      <c r="L13" s="3851"/>
      <c r="M13" s="3844"/>
      <c r="N13" s="3877"/>
      <c r="O13" s="3887"/>
      <c r="AW13" s="3851"/>
      <c r="AX13" s="1850"/>
      <c r="AY13" s="1850"/>
      <c r="AZ13" s="1850"/>
      <c r="BA13" s="1850"/>
      <c r="BB13" s="1854"/>
      <c r="BC13" s="3888"/>
      <c r="BD13" s="3888"/>
      <c r="BE13" s="3867"/>
      <c r="BF13" s="1850"/>
      <c r="BG13" s="1850"/>
      <c r="BH13" s="3855"/>
      <c r="BI13" s="3888"/>
      <c r="BJ13" s="3888"/>
      <c r="BK13" s="3851"/>
      <c r="BO13" s="3869"/>
    </row>
    <row r="14" spans="1:68" ht="13.5" thickBot="1">
      <c r="B14" s="3655"/>
      <c r="C14" s="1851"/>
      <c r="D14" s="1852" t="s">
        <v>2244</v>
      </c>
      <c r="E14" s="1853">
        <f t="shared" ref="E14:K14" si="1">SUM(E11:E13)</f>
        <v>0</v>
      </c>
      <c r="F14" s="1852">
        <f t="shared" si="1"/>
        <v>0</v>
      </c>
      <c r="G14" s="1855">
        <f t="shared" si="1"/>
        <v>0</v>
      </c>
      <c r="H14" s="1852">
        <f t="shared" si="1"/>
        <v>0</v>
      </c>
      <c r="I14" s="1855">
        <f t="shared" si="1"/>
        <v>0</v>
      </c>
      <c r="J14" s="2137">
        <f t="shared" si="1"/>
        <v>0</v>
      </c>
      <c r="K14" s="2138">
        <f t="shared" si="1"/>
        <v>0</v>
      </c>
      <c r="L14" s="3851"/>
      <c r="M14" s="1855">
        <f>SUM(M11:M13)</f>
        <v>0</v>
      </c>
      <c r="N14" s="3877"/>
      <c r="O14" s="3887"/>
      <c r="AU14" s="3878"/>
      <c r="AW14" s="3851"/>
      <c r="AX14" s="1850"/>
      <c r="AY14" s="1850"/>
      <c r="AZ14" s="1850"/>
      <c r="BA14" s="1850"/>
      <c r="BB14" s="1854"/>
      <c r="BC14" s="3888"/>
      <c r="BD14" s="3888"/>
      <c r="BE14" s="3867"/>
      <c r="BF14" s="1850"/>
      <c r="BG14" s="1850"/>
      <c r="BH14" s="3855"/>
      <c r="BI14" s="3888"/>
      <c r="BJ14" s="3888"/>
      <c r="BK14" s="3851"/>
      <c r="BO14" s="3869"/>
    </row>
    <row r="15" spans="1:68">
      <c r="B15" s="3655"/>
      <c r="C15" s="3901"/>
      <c r="D15" s="3899"/>
      <c r="E15" s="3882"/>
      <c r="F15" s="3900"/>
      <c r="G15" s="3848"/>
      <c r="H15" s="3855"/>
      <c r="I15" s="3845"/>
      <c r="J15" s="3890"/>
      <c r="K15" s="3891"/>
      <c r="L15" s="3851"/>
      <c r="M15" s="3844"/>
      <c r="N15" s="3877"/>
      <c r="O15" s="3887"/>
      <c r="AW15" s="3851"/>
      <c r="AX15" s="1850"/>
      <c r="AY15" s="1850"/>
      <c r="AZ15" s="1850"/>
      <c r="BA15" s="1850"/>
      <c r="BB15" s="1854"/>
      <c r="BC15" s="3888"/>
      <c r="BD15" s="3888"/>
      <c r="BE15" s="3867"/>
      <c r="BF15" s="1850"/>
      <c r="BG15" s="1850"/>
      <c r="BH15" s="3855"/>
      <c r="BI15" s="3888"/>
      <c r="BJ15" s="3888"/>
      <c r="BK15" s="3851"/>
      <c r="BO15" s="3869"/>
    </row>
    <row r="16" spans="1:68">
      <c r="B16" s="3655"/>
      <c r="C16" s="3902"/>
      <c r="D16" s="3899"/>
      <c r="E16" s="3882"/>
      <c r="F16" s="3900"/>
      <c r="G16" s="3848"/>
      <c r="H16" s="3855"/>
      <c r="I16" s="3845"/>
      <c r="J16" s="3890"/>
      <c r="K16" s="3891"/>
      <c r="L16" s="3851"/>
      <c r="M16" s="3844"/>
      <c r="N16" s="3877"/>
      <c r="O16" s="3887"/>
      <c r="AW16" s="3851"/>
      <c r="AX16" s="1850"/>
      <c r="AY16" s="1850"/>
      <c r="AZ16" s="1850"/>
      <c r="BA16" s="1850"/>
      <c r="BB16" s="1854"/>
      <c r="BC16" s="3888"/>
      <c r="BD16" s="3888"/>
      <c r="BE16" s="3867"/>
      <c r="BF16" s="1850"/>
      <c r="BG16" s="1850"/>
      <c r="BH16" s="3855"/>
      <c r="BI16" s="3888"/>
      <c r="BJ16" s="3888"/>
      <c r="BK16" s="3851"/>
      <c r="BO16" s="3869"/>
    </row>
    <row r="17" spans="2:67" ht="13.5" thickBot="1">
      <c r="B17" s="3655"/>
      <c r="C17" s="1851"/>
      <c r="D17" s="1852" t="s">
        <v>63</v>
      </c>
      <c r="E17" s="1853">
        <f t="shared" ref="E17:K17" si="2">SUM(E15:E16)</f>
        <v>0</v>
      </c>
      <c r="F17" s="1852">
        <f t="shared" si="2"/>
        <v>0</v>
      </c>
      <c r="G17" s="1855">
        <f t="shared" si="2"/>
        <v>0</v>
      </c>
      <c r="H17" s="1852">
        <f t="shared" si="2"/>
        <v>0</v>
      </c>
      <c r="I17" s="1855">
        <f t="shared" si="2"/>
        <v>0</v>
      </c>
      <c r="J17" s="2137">
        <f t="shared" si="2"/>
        <v>0</v>
      </c>
      <c r="K17" s="2138">
        <f t="shared" si="2"/>
        <v>0</v>
      </c>
      <c r="L17" s="3851"/>
      <c r="M17" s="1855">
        <f>SUM(M15:M16)</f>
        <v>0</v>
      </c>
      <c r="N17" s="3877"/>
      <c r="O17" s="3887"/>
      <c r="AW17" s="3851"/>
      <c r="AX17" s="1850"/>
      <c r="AY17" s="1850"/>
      <c r="AZ17" s="1850"/>
      <c r="BA17" s="1850"/>
      <c r="BB17" s="1854"/>
      <c r="BC17" s="3888"/>
      <c r="BD17" s="3888"/>
      <c r="BE17" s="3867"/>
      <c r="BF17" s="1850"/>
      <c r="BG17" s="1850"/>
      <c r="BH17" s="3855"/>
      <c r="BI17" s="3888"/>
      <c r="BJ17" s="3888"/>
      <c r="BK17" s="3851"/>
      <c r="BO17" s="3869"/>
    </row>
    <row r="18" spans="2:67">
      <c r="B18" s="3655"/>
      <c r="C18" s="1856"/>
      <c r="D18" s="1845"/>
      <c r="E18" s="1857"/>
      <c r="F18" s="1845"/>
      <c r="G18" s="1858"/>
      <c r="H18" s="1845"/>
      <c r="I18" s="1858"/>
      <c r="J18" s="2139"/>
      <c r="K18" s="2140"/>
      <c r="L18" s="3851"/>
      <c r="M18" s="1858"/>
      <c r="N18" s="3877"/>
      <c r="O18" s="3887"/>
      <c r="Q18" s="3878"/>
      <c r="AW18" s="3851"/>
      <c r="AX18" s="1850"/>
      <c r="AY18" s="1850"/>
      <c r="AZ18" s="1850"/>
      <c r="BA18" s="1850"/>
      <c r="BB18" s="1854"/>
      <c r="BC18" s="3888"/>
      <c r="BD18" s="3888"/>
      <c r="BE18" s="3867"/>
      <c r="BF18" s="1850"/>
      <c r="BG18" s="1850"/>
      <c r="BH18" s="3855"/>
      <c r="BI18" s="3888"/>
      <c r="BJ18" s="3888"/>
      <c r="BK18" s="3851"/>
      <c r="BO18" s="3869"/>
    </row>
    <row r="19" spans="2:67">
      <c r="B19" s="3655"/>
      <c r="C19" s="3898"/>
      <c r="D19" s="3899"/>
      <c r="F19" s="3855"/>
      <c r="H19" s="3855"/>
      <c r="I19" s="1858"/>
      <c r="J19" s="3903"/>
      <c r="K19" s="3891"/>
      <c r="L19" s="3851"/>
      <c r="M19" s="3844"/>
      <c r="N19" s="3877"/>
      <c r="O19" s="3887"/>
      <c r="Q19" s="3878"/>
      <c r="AW19" s="3851"/>
      <c r="AX19" s="1850"/>
      <c r="AY19" s="1850"/>
      <c r="AZ19" s="3878"/>
      <c r="BA19" s="1850"/>
      <c r="BB19" s="1854"/>
      <c r="BC19" s="3888"/>
      <c r="BD19" s="3888"/>
      <c r="BE19" s="3867"/>
      <c r="BF19" s="1850"/>
      <c r="BG19" s="1850"/>
      <c r="BH19" s="3855"/>
      <c r="BI19" s="3888"/>
      <c r="BJ19" s="3888"/>
      <c r="BK19" s="3851"/>
      <c r="BO19" s="3869"/>
    </row>
    <row r="20" spans="2:67">
      <c r="B20" s="3655"/>
      <c r="C20" s="3898"/>
      <c r="D20" s="3899"/>
      <c r="F20" s="3855"/>
      <c r="H20" s="3855"/>
      <c r="I20" s="3845"/>
      <c r="J20" s="3890"/>
      <c r="K20" s="3891"/>
      <c r="L20" s="3851"/>
      <c r="M20" s="3844"/>
      <c r="N20" s="3877"/>
      <c r="O20" s="3887"/>
      <c r="AW20" s="3851"/>
      <c r="AX20" s="1850"/>
      <c r="AY20" s="1850"/>
      <c r="AZ20" s="1850"/>
      <c r="BA20" s="1850"/>
      <c r="BB20" s="1854"/>
      <c r="BC20" s="3888"/>
      <c r="BD20" s="3888"/>
      <c r="BE20" s="3867"/>
      <c r="BF20" s="1850"/>
      <c r="BG20" s="1850"/>
      <c r="BH20" s="3855"/>
      <c r="BI20" s="3888"/>
      <c r="BJ20" s="3888"/>
      <c r="BK20" s="3851"/>
      <c r="BO20" s="3869"/>
    </row>
    <row r="21" spans="2:67" ht="13.5" thickBot="1">
      <c r="B21" s="3655"/>
      <c r="C21" s="1851"/>
      <c r="D21" s="1852" t="s">
        <v>64</v>
      </c>
      <c r="E21" s="1853">
        <f t="shared" ref="E21:K21" si="3">SUM(E19:E20)</f>
        <v>0</v>
      </c>
      <c r="F21" s="1852">
        <f t="shared" si="3"/>
        <v>0</v>
      </c>
      <c r="G21" s="1855">
        <f t="shared" si="3"/>
        <v>0</v>
      </c>
      <c r="H21" s="1852">
        <f t="shared" si="3"/>
        <v>0</v>
      </c>
      <c r="I21" s="1855">
        <f t="shared" si="3"/>
        <v>0</v>
      </c>
      <c r="J21" s="2137">
        <f t="shared" si="3"/>
        <v>0</v>
      </c>
      <c r="K21" s="2138">
        <f t="shared" si="3"/>
        <v>0</v>
      </c>
      <c r="L21" s="3851"/>
      <c r="M21" s="1855">
        <f>SUM(M19:M20)</f>
        <v>0</v>
      </c>
      <c r="N21" s="3877"/>
      <c r="O21" s="3887"/>
      <c r="R21" s="3878"/>
      <c r="AT21" s="3878"/>
      <c r="AW21" s="3851"/>
      <c r="AX21" s="1850"/>
      <c r="AY21" s="1850"/>
      <c r="AZ21" s="3878"/>
      <c r="BA21" s="1850"/>
      <c r="BB21" s="1854"/>
      <c r="BC21" s="3888"/>
      <c r="BD21" s="3888"/>
      <c r="BE21" s="3867"/>
      <c r="BF21" s="1850"/>
      <c r="BG21" s="1850"/>
      <c r="BH21" s="3855"/>
      <c r="BI21" s="3888"/>
      <c r="BJ21" s="3888"/>
      <c r="BK21" s="3851"/>
      <c r="BO21" s="3869"/>
    </row>
    <row r="22" spans="2:67">
      <c r="B22" s="3655"/>
      <c r="C22" s="1856"/>
      <c r="D22" s="1845"/>
      <c r="E22" s="1857"/>
      <c r="F22" s="1845"/>
      <c r="G22" s="1858"/>
      <c r="H22" s="1845"/>
      <c r="I22" s="1858"/>
      <c r="J22" s="2139"/>
      <c r="K22" s="2140"/>
      <c r="L22" s="3851"/>
      <c r="M22" s="1858"/>
      <c r="N22" s="3877"/>
      <c r="O22" s="3887"/>
      <c r="Q22" s="3878"/>
      <c r="AW22" s="3851"/>
      <c r="AX22" s="1850"/>
      <c r="AY22" s="1850"/>
      <c r="AZ22" s="1850"/>
      <c r="BA22" s="1850"/>
      <c r="BB22" s="1854"/>
      <c r="BC22" s="3888"/>
      <c r="BD22" s="3888"/>
      <c r="BE22" s="3867"/>
      <c r="BF22" s="1850"/>
      <c r="BG22" s="1850"/>
      <c r="BH22" s="3855"/>
      <c r="BI22" s="3888"/>
      <c r="BJ22" s="3888"/>
      <c r="BK22" s="3851"/>
      <c r="BO22" s="3869"/>
    </row>
    <row r="23" spans="2:67">
      <c r="B23" s="3655"/>
      <c r="C23" s="3898"/>
      <c r="D23" s="3899"/>
      <c r="F23" s="3855"/>
      <c r="G23" s="1858"/>
      <c r="H23" s="3855"/>
      <c r="I23" s="1858"/>
      <c r="J23" s="3903"/>
      <c r="K23" s="3891"/>
      <c r="L23" s="3874"/>
      <c r="M23" s="3844"/>
      <c r="N23" s="3904"/>
      <c r="O23" s="3905"/>
      <c r="R23" s="3878"/>
      <c r="AW23" s="3851"/>
      <c r="AX23" s="1850"/>
      <c r="AY23" s="1850"/>
      <c r="AZ23" s="1850"/>
      <c r="BA23" s="1850"/>
      <c r="BB23" s="1854"/>
      <c r="BC23" s="3888"/>
      <c r="BD23" s="3888"/>
      <c r="BE23" s="3867"/>
      <c r="BF23" s="1850"/>
      <c r="BG23" s="1850"/>
      <c r="BH23" s="3855"/>
      <c r="BI23" s="3888"/>
      <c r="BJ23" s="3888"/>
      <c r="BK23" s="3851"/>
      <c r="BO23" s="3869"/>
    </row>
    <row r="24" spans="2:67" ht="13.5" thickBot="1">
      <c r="B24" s="3655"/>
      <c r="C24" s="1851"/>
      <c r="D24" s="1852"/>
      <c r="E24" s="1853">
        <f t="shared" ref="E24:K24" si="4">SUM(E22:E23)</f>
        <v>0</v>
      </c>
      <c r="F24" s="1852">
        <f>SUM(F22:F23)</f>
        <v>0</v>
      </c>
      <c r="G24" s="1855">
        <f t="shared" si="4"/>
        <v>0</v>
      </c>
      <c r="H24" s="1852">
        <f t="shared" si="4"/>
        <v>0</v>
      </c>
      <c r="I24" s="1855">
        <f t="shared" si="4"/>
        <v>0</v>
      </c>
      <c r="J24" s="2137">
        <f t="shared" si="4"/>
        <v>0</v>
      </c>
      <c r="K24" s="2138">
        <f t="shared" si="4"/>
        <v>0</v>
      </c>
      <c r="L24" s="3874"/>
      <c r="M24" s="1855">
        <f>SUM(M22:M23)</f>
        <v>0</v>
      </c>
      <c r="N24" s="3904"/>
      <c r="O24" s="3905"/>
      <c r="AW24" s="3851"/>
      <c r="AX24" s="1850"/>
      <c r="AY24" s="1850"/>
      <c r="AZ24" s="1850"/>
      <c r="BA24" s="1850"/>
      <c r="BB24" s="1854"/>
      <c r="BC24" s="3888"/>
      <c r="BD24" s="3888"/>
      <c r="BE24" s="3867"/>
      <c r="BF24" s="1850"/>
      <c r="BG24" s="1850"/>
      <c r="BH24" s="3855"/>
      <c r="BI24" s="3888"/>
      <c r="BJ24" s="3888"/>
      <c r="BK24" s="3851"/>
      <c r="BO24" s="3869"/>
    </row>
    <row r="25" spans="2:67">
      <c r="B25" s="3655"/>
      <c r="C25" s="3898"/>
      <c r="D25" s="3899"/>
      <c r="J25" s="3906"/>
      <c r="K25" s="3907"/>
      <c r="L25" s="3874"/>
      <c r="M25" s="3908"/>
      <c r="N25" s="3904"/>
      <c r="O25" s="3905"/>
      <c r="AW25" s="3851"/>
      <c r="AX25" s="1850"/>
      <c r="AY25" s="1850"/>
      <c r="AZ25" s="1850"/>
      <c r="BA25" s="1850"/>
      <c r="BB25" s="1854"/>
      <c r="BC25" s="3888"/>
      <c r="BD25" s="3888"/>
      <c r="BE25" s="3867"/>
      <c r="BF25" s="1850"/>
      <c r="BG25" s="1850"/>
      <c r="BH25" s="3855"/>
      <c r="BI25" s="3888"/>
      <c r="BJ25" s="3888"/>
      <c r="BK25" s="3851"/>
      <c r="BO25" s="3869"/>
    </row>
    <row r="26" spans="2:67">
      <c r="B26" s="3655"/>
      <c r="C26" s="3898"/>
      <c r="D26" s="3899"/>
      <c r="F26" s="3855"/>
      <c r="G26" s="3848"/>
      <c r="H26" s="3855"/>
      <c r="I26" s="3848"/>
      <c r="J26" s="3906"/>
      <c r="K26" s="3907"/>
      <c r="L26" s="3874"/>
      <c r="M26" s="3908"/>
      <c r="N26" s="3904"/>
      <c r="O26" s="3905"/>
      <c r="AW26" s="3851"/>
      <c r="AX26" s="1850"/>
      <c r="AY26" s="1850"/>
      <c r="AZ26" s="1850"/>
      <c r="BA26" s="3855"/>
      <c r="BB26" s="3855"/>
      <c r="BC26" s="3851"/>
      <c r="BD26" s="3851"/>
      <c r="BE26" s="3867"/>
      <c r="BF26" s="1850"/>
      <c r="BG26" s="1850"/>
      <c r="BH26" s="3855"/>
      <c r="BI26" s="3888"/>
      <c r="BJ26" s="3888"/>
      <c r="BK26" s="3851"/>
      <c r="BO26" s="3869"/>
    </row>
    <row r="27" spans="2:67" ht="13.5" thickBot="1">
      <c r="B27" s="3655"/>
      <c r="C27" s="1851"/>
      <c r="D27" s="1852" t="s">
        <v>165</v>
      </c>
      <c r="E27" s="1853">
        <f t="shared" ref="E27:K27" si="5">SUM(E26:E26)</f>
        <v>0</v>
      </c>
      <c r="F27" s="1852">
        <f t="shared" si="5"/>
        <v>0</v>
      </c>
      <c r="G27" s="1855">
        <f t="shared" si="5"/>
        <v>0</v>
      </c>
      <c r="H27" s="1852">
        <f t="shared" si="5"/>
        <v>0</v>
      </c>
      <c r="I27" s="1855">
        <f t="shared" si="5"/>
        <v>0</v>
      </c>
      <c r="J27" s="2137">
        <f t="shared" si="5"/>
        <v>0</v>
      </c>
      <c r="K27" s="2138">
        <f t="shared" si="5"/>
        <v>0</v>
      </c>
      <c r="L27" s="3874"/>
      <c r="M27" s="1855">
        <f>SUM(M26:M26)</f>
        <v>0</v>
      </c>
      <c r="N27" s="3904"/>
      <c r="O27" s="3905"/>
      <c r="AW27" s="3851"/>
      <c r="AX27" s="1850"/>
      <c r="AY27" s="1850"/>
      <c r="AZ27" s="1850"/>
      <c r="BA27" s="1850"/>
      <c r="BB27" s="1854"/>
      <c r="BC27" s="3888"/>
      <c r="BD27" s="3888"/>
      <c r="BE27" s="3867"/>
      <c r="BF27" s="1850"/>
      <c r="BG27" s="1850"/>
      <c r="BH27" s="3855"/>
      <c r="BI27" s="3888"/>
      <c r="BJ27" s="3888"/>
      <c r="BK27" s="3851"/>
      <c r="BO27" s="3869"/>
    </row>
    <row r="28" spans="2:67">
      <c r="B28" s="3655"/>
      <c r="C28" s="1859"/>
      <c r="D28" s="1845"/>
      <c r="E28" s="1857"/>
      <c r="F28" s="1845"/>
      <c r="G28" s="1858"/>
      <c r="H28" s="1845"/>
      <c r="I28" s="1858"/>
      <c r="J28" s="3906"/>
      <c r="K28" s="3907"/>
      <c r="L28" s="3874"/>
      <c r="M28" s="3908"/>
      <c r="N28" s="3904"/>
      <c r="O28" s="3905"/>
      <c r="AW28" s="3851"/>
      <c r="AX28" s="1850"/>
      <c r="AY28" s="1850"/>
      <c r="AZ28" s="1850"/>
      <c r="BA28" s="1850"/>
      <c r="BB28" s="1854"/>
      <c r="BC28" s="3888"/>
      <c r="BD28" s="3888"/>
      <c r="BE28" s="3867"/>
      <c r="BF28" s="1850"/>
      <c r="BG28" s="1850"/>
      <c r="BH28" s="3855"/>
      <c r="BI28" s="3888"/>
      <c r="BJ28" s="3888"/>
      <c r="BK28" s="3851"/>
      <c r="BO28" s="3869"/>
    </row>
    <row r="29" spans="2:67" ht="13.5" thickBot="1">
      <c r="B29" s="3655"/>
      <c r="C29" s="1860"/>
      <c r="D29" s="1861" t="s">
        <v>692</v>
      </c>
      <c r="E29" s="1862">
        <f t="shared" ref="E29:K29" si="6">E27+E21+E17+E14+E10+E24</f>
        <v>1045948.83</v>
      </c>
      <c r="F29" s="1862">
        <f t="shared" si="6"/>
        <v>0</v>
      </c>
      <c r="G29" s="1862">
        <f t="shared" si="6"/>
        <v>0</v>
      </c>
      <c r="H29" s="1862">
        <f t="shared" si="6"/>
        <v>0</v>
      </c>
      <c r="I29" s="1862">
        <f t="shared" si="6"/>
        <v>0</v>
      </c>
      <c r="J29" s="4290">
        <f t="shared" si="6"/>
        <v>1045948.83</v>
      </c>
      <c r="K29" s="1862">
        <f t="shared" si="6"/>
        <v>1183805.56</v>
      </c>
      <c r="L29" s="3909"/>
      <c r="M29" s="1862">
        <f>M27+M21+M17+M14+M10+M24</f>
        <v>1183805.56</v>
      </c>
      <c r="N29" s="3904"/>
      <c r="O29" s="3905"/>
      <c r="AW29" s="3851"/>
      <c r="AX29" s="1850"/>
      <c r="AY29" s="1850"/>
      <c r="AZ29" s="1850"/>
      <c r="BA29" s="1850"/>
      <c r="BB29" s="1854"/>
      <c r="BC29" s="3888"/>
      <c r="BD29" s="3888"/>
      <c r="BE29" s="3867"/>
      <c r="BF29" s="1850"/>
      <c r="BG29" s="1850"/>
      <c r="BH29" s="3855"/>
      <c r="BI29" s="3888"/>
      <c r="BJ29" s="3888"/>
      <c r="BK29" s="3851"/>
      <c r="BO29" s="3869"/>
    </row>
    <row r="30" spans="2:67" ht="13.5" thickBot="1">
      <c r="B30" s="3655"/>
      <c r="C30" s="3910"/>
      <c r="D30" s="3911"/>
      <c r="E30" s="3912"/>
      <c r="F30" s="3855"/>
      <c r="G30" s="3848"/>
      <c r="H30" s="3855"/>
      <c r="I30" s="3848"/>
      <c r="J30" s="3903"/>
      <c r="K30" s="3913"/>
      <c r="L30" s="3874"/>
      <c r="M30" s="3848"/>
      <c r="N30" s="3904"/>
      <c r="O30" s="3905"/>
      <c r="AW30" s="3851"/>
      <c r="AX30" s="1850"/>
      <c r="AY30" s="1850"/>
      <c r="AZ30" s="1850"/>
      <c r="BA30" s="1850"/>
      <c r="BB30" s="1854"/>
      <c r="BC30" s="3888"/>
      <c r="BD30" s="3888"/>
      <c r="BE30" s="3867"/>
      <c r="BF30" s="1850"/>
      <c r="BG30" s="1850"/>
      <c r="BH30" s="3855"/>
      <c r="BI30" s="3888"/>
      <c r="BJ30" s="3888"/>
      <c r="BK30" s="3851"/>
      <c r="BO30" s="3869"/>
    </row>
    <row r="31" spans="2:67" ht="13.5" thickBot="1">
      <c r="B31" s="3655"/>
      <c r="C31" s="3910"/>
      <c r="D31" s="1849" t="s">
        <v>149</v>
      </c>
      <c r="E31" s="3912"/>
      <c r="F31" s="3855"/>
      <c r="G31" s="3848"/>
      <c r="H31" s="3855"/>
      <c r="I31" s="3848"/>
      <c r="J31" s="3903"/>
      <c r="K31" s="3913"/>
      <c r="L31" s="3874"/>
      <c r="M31" s="3848"/>
      <c r="N31" s="3904"/>
      <c r="O31" s="3905"/>
      <c r="AW31" s="3851"/>
      <c r="AX31" s="1850"/>
      <c r="AY31" s="1850"/>
      <c r="AZ31" s="1850"/>
      <c r="BA31" s="1850"/>
      <c r="BB31" s="1854"/>
      <c r="BC31" s="3888"/>
      <c r="BD31" s="3888"/>
      <c r="BE31" s="3867"/>
      <c r="BF31" s="1850"/>
      <c r="BG31" s="1850"/>
      <c r="BH31" s="3855"/>
      <c r="BI31" s="3888"/>
      <c r="BJ31" s="3888"/>
      <c r="BK31" s="3851"/>
      <c r="BO31" s="3869"/>
    </row>
    <row r="32" spans="2:67">
      <c r="B32" s="3914" t="s">
        <v>574</v>
      </c>
      <c r="C32" s="3901">
        <v>214595</v>
      </c>
      <c r="D32" s="3915" t="s">
        <v>682</v>
      </c>
      <c r="E32" s="3882">
        <f>IFERROR(VLOOKUP(C32,'פ.נ. צרפת'!$D$129:$F$1048576,3,0),0)</f>
        <v>496269.29</v>
      </c>
      <c r="F32" s="3843">
        <f>SUMIF('פ.נ. צרפת'!$C:$C,$C:$C,'פ.נ. צרפת'!$E:$E)</f>
        <v>0</v>
      </c>
      <c r="G32" s="3883"/>
      <c r="H32" s="3884"/>
      <c r="I32" s="3882"/>
      <c r="J32" s="4291">
        <f t="shared" ref="J32:J39" si="7">SUM(E32:I32)</f>
        <v>496269.29</v>
      </c>
      <c r="K32" s="3886">
        <f>M32+SUMIF('פ.נ. צרפת'!$C:$C,$C:$C,'פ.נ. צרפת'!$F:$F)</f>
        <v>561677.9</v>
      </c>
      <c r="L32" s="3851"/>
      <c r="M32" s="3885">
        <f>IFERROR(VLOOKUP(C32,'פ.נ. צרפת'!$D$129:$G$1048576,4,0),"")</f>
        <v>561677.9</v>
      </c>
      <c r="N32" s="3877">
        <f t="shared" ref="N32:N39" si="8">IF(K32=0,"-",J32/K32)</f>
        <v>0.88354783052706887</v>
      </c>
      <c r="O32" s="3916"/>
      <c r="P32" s="273"/>
      <c r="Q32" s="3917"/>
      <c r="R32" s="3878"/>
      <c r="AW32" s="3851"/>
      <c r="AX32" s="1850"/>
      <c r="AY32" s="1850"/>
      <c r="AZ32" s="1850"/>
      <c r="BA32" s="1850"/>
      <c r="BB32" s="1854"/>
      <c r="BC32" s="3888"/>
      <c r="BD32" s="3888"/>
      <c r="BE32" s="3867"/>
      <c r="BF32" s="1850"/>
      <c r="BG32" s="1850"/>
      <c r="BH32" s="3855"/>
      <c r="BI32" s="3888"/>
      <c r="BJ32" s="3888"/>
      <c r="BK32" s="3851"/>
      <c r="BO32" s="3869"/>
    </row>
    <row r="33" spans="2:67">
      <c r="B33" s="3914" t="s">
        <v>574</v>
      </c>
      <c r="C33" s="3901">
        <v>204731</v>
      </c>
      <c r="D33" s="3915" t="s">
        <v>4492</v>
      </c>
      <c r="E33" s="3882">
        <f>IFERROR(VLOOKUP(C33,'פ.נ. צרפת'!$D$129:$F$1048576,3,0),0)</f>
        <v>45411.78</v>
      </c>
      <c r="F33" s="3843">
        <f>SUMIF('פ.נ. צרפת'!$C:$C,$C:$C,'פ.נ. צרפת'!$E:$E)</f>
        <v>0</v>
      </c>
      <c r="G33" s="3883"/>
      <c r="H33" s="3884"/>
      <c r="I33" s="3882"/>
      <c r="J33" s="4291">
        <f t="shared" ref="J33:J34" si="9">SUM(E33:I33)</f>
        <v>45411.78</v>
      </c>
      <c r="K33" s="3886">
        <f>M33+SUMIF('פ.נ. צרפת'!$C:$C,$C:$C,'פ.נ. צרפת'!$F:$F)</f>
        <v>51397.08</v>
      </c>
      <c r="L33" s="3851"/>
      <c r="M33" s="3885">
        <f>IFERROR(VLOOKUP(C33,'פ.נ. צרפת'!$D$129:$G$1048576,4,0),"")</f>
        <v>51397.08</v>
      </c>
      <c r="N33" s="3877">
        <f t="shared" ref="N33:N34" si="10">IF(K33=0,"-",J33/K33)</f>
        <v>0.88354785913907941</v>
      </c>
      <c r="O33" s="3916"/>
      <c r="P33" s="273"/>
      <c r="Q33" s="3917"/>
      <c r="R33" s="3878"/>
      <c r="AW33" s="3851"/>
      <c r="AX33" s="1850"/>
      <c r="AY33" s="1850"/>
      <c r="AZ33" s="1850"/>
      <c r="BA33" s="1850"/>
      <c r="BB33" s="1854"/>
      <c r="BC33" s="3888"/>
      <c r="BD33" s="3888"/>
      <c r="BE33" s="3867"/>
      <c r="BF33" s="1850"/>
      <c r="BG33" s="1850"/>
      <c r="BH33" s="3855"/>
      <c r="BI33" s="3888"/>
      <c r="BJ33" s="3888"/>
      <c r="BK33" s="3851"/>
      <c r="BO33" s="3869"/>
    </row>
    <row r="34" spans="2:67">
      <c r="B34" s="3914" t="s">
        <v>574</v>
      </c>
      <c r="C34" s="3901">
        <v>225489</v>
      </c>
      <c r="D34" s="3915" t="s">
        <v>4493</v>
      </c>
      <c r="E34" s="3882">
        <f>IFERROR(VLOOKUP(C34,'פ.נ. צרפת'!$D$129:$F$1048576,3,0),0)</f>
        <v>404701.94</v>
      </c>
      <c r="F34" s="3843">
        <f>SUMIF('פ.נ. צרפת'!$C:$C,$C:$C,'פ.נ. צרפת'!$E:$E)</f>
        <v>0</v>
      </c>
      <c r="G34" s="3883"/>
      <c r="H34" s="3884"/>
      <c r="I34" s="3882"/>
      <c r="J34" s="4291">
        <f t="shared" si="9"/>
        <v>404701.94</v>
      </c>
      <c r="K34" s="3886">
        <f>M34+SUMIF('פ.נ. צרפת'!$C:$C,$C:$C,'פ.נ. צרפת'!$F:$F)</f>
        <v>458041.92</v>
      </c>
      <c r="L34" s="3851"/>
      <c r="M34" s="3885">
        <f>IFERROR(VLOOKUP(C34,'פ.נ. צרפת'!$D$129:$G$1048576,4,0),"")</f>
        <v>458041.92</v>
      </c>
      <c r="N34" s="3877">
        <f t="shared" si="10"/>
        <v>0.88354782025191059</v>
      </c>
      <c r="O34" s="3916"/>
      <c r="P34" s="273"/>
      <c r="Q34" s="3917"/>
      <c r="R34" s="3878"/>
      <c r="AW34" s="3851"/>
      <c r="AX34" s="1850"/>
      <c r="AY34" s="1850"/>
      <c r="AZ34" s="1850"/>
      <c r="BA34" s="1850"/>
      <c r="BB34" s="1854"/>
      <c r="BC34" s="3888"/>
      <c r="BD34" s="3888"/>
      <c r="BE34" s="3867"/>
      <c r="BF34" s="1850"/>
      <c r="BG34" s="1850"/>
      <c r="BH34" s="3855"/>
      <c r="BI34" s="3888"/>
      <c r="BJ34" s="3888"/>
      <c r="BK34" s="3851"/>
      <c r="BO34" s="3869"/>
    </row>
    <row r="35" spans="2:67">
      <c r="B35" s="3914" t="s">
        <v>574</v>
      </c>
      <c r="C35" s="3901">
        <v>214943</v>
      </c>
      <c r="D35" s="3915" t="s">
        <v>4112</v>
      </c>
      <c r="E35" s="3882">
        <f>IFERROR(VLOOKUP(C35,'פ.נ. צרפת'!$D$129:$F$1048576,3,0),0)</f>
        <v>0</v>
      </c>
      <c r="F35" s="3843">
        <f>SUMIF('פ.נ. צרפת'!$C:$C,$C:$C,'פ.נ. צרפת'!$E:$E)</f>
        <v>0</v>
      </c>
      <c r="G35" s="3883"/>
      <c r="H35" s="3884"/>
      <c r="I35" s="3882"/>
      <c r="J35" s="4291">
        <f>SUM(E35:I35)</f>
        <v>0</v>
      </c>
      <c r="K35" s="3886">
        <f>M35+SUMIF('פ.נ. צרפת'!$C:$C,$C:$C,'פ.נ. צרפת'!$F:$F)</f>
        <v>0</v>
      </c>
      <c r="L35" s="3851"/>
      <c r="M35" s="3885" t="str">
        <f>IFERROR(VLOOKUP(C35,'פ.נ. צרפת'!$D$129:$G$1048576,4,0),"")</f>
        <v/>
      </c>
      <c r="N35" s="3877" t="str">
        <f>IF(K35=0,"-",J35/K35)</f>
        <v>-</v>
      </c>
      <c r="O35" s="3916"/>
      <c r="P35" s="273"/>
      <c r="Q35" s="3917"/>
      <c r="R35" s="3878"/>
      <c r="AW35" s="3851"/>
      <c r="AX35" s="1850"/>
      <c r="AY35" s="1850"/>
      <c r="AZ35" s="1850"/>
      <c r="BA35" s="1850"/>
      <c r="BB35" s="1854"/>
      <c r="BC35" s="3888"/>
      <c r="BD35" s="3888"/>
      <c r="BE35" s="3867"/>
      <c r="BF35" s="1850"/>
      <c r="BG35" s="1850"/>
      <c r="BH35" s="3855"/>
      <c r="BI35" s="3888"/>
      <c r="BJ35" s="3888"/>
      <c r="BK35" s="3851"/>
      <c r="BO35" s="3869"/>
    </row>
    <row r="36" spans="2:67">
      <c r="B36" s="3914" t="s">
        <v>574</v>
      </c>
      <c r="C36" s="3901">
        <v>221408</v>
      </c>
      <c r="D36" s="3915" t="s">
        <v>2014</v>
      </c>
      <c r="E36" s="3882">
        <f>IFERROR(VLOOKUP(C36,'פ.נ. צרפת'!$D$129:$F$1048576,3,0),0)</f>
        <v>173451.06</v>
      </c>
      <c r="F36" s="3843">
        <f>SUMIF('פ.נ. צרפת'!$C:$C,$C:$C,'פ.נ. צרפת'!$E:$E)</f>
        <v>0</v>
      </c>
      <c r="G36" s="3883"/>
      <c r="H36" s="3884"/>
      <c r="I36" s="3882"/>
      <c r="J36" s="4291">
        <f t="shared" si="7"/>
        <v>173451.06</v>
      </c>
      <c r="K36" s="3886">
        <f>M36+SUMIF('פ.נ. צרפת'!$C:$C,$C:$C,'פ.נ. צרפת'!$F:$F)</f>
        <v>196312.02</v>
      </c>
      <c r="L36" s="3851"/>
      <c r="M36" s="3885">
        <f>IFERROR(VLOOKUP(C36,'פ.נ. צרפת'!$D$129:$G$1048576,4,0),"")</f>
        <v>196312.02</v>
      </c>
      <c r="N36" s="3877">
        <f t="shared" si="8"/>
        <v>0.88354783369861922</v>
      </c>
      <c r="O36" s="3916"/>
      <c r="P36" s="273"/>
      <c r="Q36" s="3917"/>
      <c r="R36" s="3878"/>
      <c r="AW36" s="3851"/>
      <c r="AX36" s="1850"/>
      <c r="AY36" s="1850"/>
      <c r="AZ36" s="1850"/>
      <c r="BA36" s="1850"/>
      <c r="BB36" s="1854"/>
      <c r="BC36" s="3888"/>
      <c r="BD36" s="3888"/>
      <c r="BE36" s="3867"/>
      <c r="BF36" s="1850"/>
      <c r="BG36" s="1850"/>
      <c r="BH36" s="3855"/>
      <c r="BI36" s="3888"/>
      <c r="BJ36" s="3888"/>
      <c r="BK36" s="3851"/>
      <c r="BO36" s="3869"/>
    </row>
    <row r="37" spans="2:67">
      <c r="B37" s="3914" t="s">
        <v>574</v>
      </c>
      <c r="C37" s="3901">
        <v>206806</v>
      </c>
      <c r="D37" s="3915" t="s">
        <v>1941</v>
      </c>
      <c r="E37" s="3882">
        <f>IFERROR(VLOOKUP(C37,'פ.נ. צרפת'!$D$129:$F$1048576,3,0),0)</f>
        <v>17929.3</v>
      </c>
      <c r="F37" s="3843">
        <f>SUMIF('פ.נ. צרפת'!$C:$C,$C:$C,'פ.נ. צרפת'!$E:$E)</f>
        <v>0</v>
      </c>
      <c r="G37" s="3883"/>
      <c r="H37" s="3884"/>
      <c r="I37" s="3882"/>
      <c r="J37" s="4291">
        <f t="shared" si="7"/>
        <v>17929.3</v>
      </c>
      <c r="K37" s="3886">
        <f>M37+SUMIF('פ.נ. צרפת'!$C:$C,$C:$C,'פ.נ. צרפת'!$F:$F)</f>
        <v>20292.39</v>
      </c>
      <c r="L37" s="3851"/>
      <c r="M37" s="3885">
        <f>IFERROR(VLOOKUP(C37,'פ.נ. צרפת'!$D$129:$G$1048576,4,0),"")</f>
        <v>20292.39</v>
      </c>
      <c r="N37" s="3877">
        <f t="shared" si="8"/>
        <v>0.88354797044606381</v>
      </c>
      <c r="O37" s="3916"/>
      <c r="P37" s="273"/>
      <c r="Q37" s="3917"/>
      <c r="R37" s="3878"/>
      <c r="AW37" s="3851"/>
      <c r="AX37" s="1850"/>
      <c r="AY37" s="1850"/>
      <c r="AZ37" s="1850"/>
      <c r="BA37" s="1850"/>
      <c r="BB37" s="1854"/>
      <c r="BC37" s="3888"/>
      <c r="BD37" s="3888"/>
      <c r="BE37" s="3867"/>
      <c r="BF37" s="1850"/>
      <c r="BG37" s="1850"/>
      <c r="BH37" s="3855"/>
      <c r="BI37" s="3888"/>
      <c r="BJ37" s="3888"/>
      <c r="BK37" s="3851"/>
      <c r="BO37" s="3869"/>
    </row>
    <row r="38" spans="2:67">
      <c r="B38" s="3914" t="s">
        <v>574</v>
      </c>
      <c r="C38" s="3901">
        <v>200900</v>
      </c>
      <c r="D38" s="3915" t="s">
        <v>2951</v>
      </c>
      <c r="E38" s="3882">
        <f>IFERROR(VLOOKUP(C38,'פ.נ. צרפת'!$D$129:$F$1048576,3,0),0)</f>
        <v>251439.98</v>
      </c>
      <c r="F38" s="3843">
        <f>SUMIF('פ.נ. צרפת'!$C:$C,$C:$C,'פ.נ. צרפת'!$E:$E)</f>
        <v>0</v>
      </c>
      <c r="G38" s="3883"/>
      <c r="H38" s="3884"/>
      <c r="I38" s="3882"/>
      <c r="J38" s="4291">
        <f t="shared" si="7"/>
        <v>251439.98</v>
      </c>
      <c r="K38" s="3886">
        <f>M38+SUMIF('פ.נ. צרפת'!$C:$C,$C:$C,'פ.נ. צרפת'!$F:$F)</f>
        <v>284579.93</v>
      </c>
      <c r="L38" s="3851"/>
      <c r="M38" s="3885">
        <f>IFERROR(VLOOKUP(C38,'פ.נ. צרפת'!$D$129:$G$1048576,4,0),"")</f>
        <v>284579.93</v>
      </c>
      <c r="N38" s="3877">
        <f t="shared" si="8"/>
        <v>0.88354783135971682</v>
      </c>
      <c r="O38" s="3916"/>
      <c r="P38" s="273"/>
      <c r="Q38" s="3917"/>
      <c r="R38" s="3878"/>
      <c r="AW38" s="3851"/>
      <c r="AX38" s="1850"/>
      <c r="AY38" s="1850"/>
      <c r="AZ38" s="1850"/>
      <c r="BA38" s="1850"/>
      <c r="BB38" s="1854"/>
      <c r="BC38" s="3888"/>
      <c r="BD38" s="3888"/>
      <c r="BE38" s="3867"/>
      <c r="BF38" s="1850"/>
      <c r="BG38" s="1850"/>
      <c r="BH38" s="3855"/>
      <c r="BI38" s="3888"/>
      <c r="BJ38" s="3888"/>
      <c r="BK38" s="3851"/>
      <c r="BO38" s="3869"/>
    </row>
    <row r="39" spans="2:67">
      <c r="B39" s="3914" t="s">
        <v>574</v>
      </c>
      <c r="C39" s="3901">
        <v>211823</v>
      </c>
      <c r="D39" s="3915" t="s">
        <v>3423</v>
      </c>
      <c r="E39" s="3882">
        <f>IFERROR(VLOOKUP(C39,'פ.נ. צרפת'!$D$129:$F$1048576,3,0),0)</f>
        <v>0</v>
      </c>
      <c r="F39" s="3843">
        <f>SUMIF('פ.נ. צרפת'!$C:$C,$C:$C,'פ.נ. צרפת'!$E:$E)</f>
        <v>0</v>
      </c>
      <c r="G39" s="3883"/>
      <c r="H39" s="3884"/>
      <c r="I39" s="3882"/>
      <c r="J39" s="3885">
        <f t="shared" si="7"/>
        <v>0</v>
      </c>
      <c r="K39" s="3886">
        <f>M39+SUMIF('פ.נ. צרפת'!$C:$C,$C:$C,'פ.נ. צרפת'!$F:$F)</f>
        <v>0</v>
      </c>
      <c r="L39" s="3851"/>
      <c r="M39" s="3885" t="str">
        <f>IFERROR(VLOOKUP(C39,'פ.נ. צרפת'!$D$129:$G$1048576,4,0),"")</f>
        <v/>
      </c>
      <c r="N39" s="3877" t="str">
        <f t="shared" si="8"/>
        <v>-</v>
      </c>
      <c r="O39" s="3916"/>
      <c r="P39" s="273"/>
      <c r="Q39" s="3917"/>
      <c r="R39" s="3878"/>
      <c r="AW39" s="3851"/>
      <c r="AX39" s="1850"/>
      <c r="AY39" s="1850"/>
      <c r="AZ39" s="1850"/>
      <c r="BA39" s="1850"/>
      <c r="BB39" s="1854"/>
      <c r="BC39" s="3888"/>
      <c r="BD39" s="3888"/>
      <c r="BE39" s="3867"/>
      <c r="BF39" s="1850"/>
      <c r="BG39" s="1850"/>
      <c r="BH39" s="3855"/>
      <c r="BI39" s="3888"/>
      <c r="BJ39" s="3888"/>
      <c r="BK39" s="3851"/>
      <c r="BO39" s="3869"/>
    </row>
    <row r="40" spans="2:67">
      <c r="B40" s="3914"/>
      <c r="C40" s="3901"/>
      <c r="D40" s="3915"/>
      <c r="E40" s="3882"/>
      <c r="F40" s="3843"/>
      <c r="G40" s="3883"/>
      <c r="H40" s="3884"/>
      <c r="I40" s="3882"/>
      <c r="J40" s="3885"/>
      <c r="K40" s="3886"/>
      <c r="L40" s="3851"/>
      <c r="M40" s="3885"/>
      <c r="N40" s="3877"/>
      <c r="O40" s="3916"/>
      <c r="P40" s="4069"/>
      <c r="Q40" s="3851"/>
      <c r="R40" s="3878"/>
      <c r="AW40" s="3851"/>
      <c r="AX40" s="1850"/>
      <c r="AY40" s="1850"/>
      <c r="AZ40" s="1850"/>
      <c r="BA40" s="1850"/>
      <c r="BB40" s="1854"/>
      <c r="BC40" s="3888"/>
      <c r="BD40" s="3888"/>
      <c r="BE40" s="3867"/>
      <c r="BF40" s="1850"/>
      <c r="BG40" s="1850"/>
      <c r="BH40" s="3855"/>
      <c r="BI40" s="3888"/>
      <c r="BJ40" s="3888"/>
      <c r="BK40" s="3851"/>
      <c r="BO40" s="3869"/>
    </row>
    <row r="41" spans="2:67">
      <c r="B41" s="3914"/>
      <c r="C41" s="3880"/>
      <c r="D41" s="3918"/>
      <c r="E41" s="3882"/>
      <c r="F41" s="3843"/>
      <c r="G41" s="3883"/>
      <c r="H41" s="3884"/>
      <c r="I41" s="3882"/>
      <c r="J41" s="3885"/>
      <c r="K41" s="3886"/>
      <c r="L41" s="3851"/>
      <c r="M41" s="3885"/>
      <c r="N41" s="3877"/>
      <c r="O41" s="3905"/>
      <c r="AW41" s="3851"/>
      <c r="AX41" s="1850"/>
      <c r="AY41" s="1850"/>
      <c r="AZ41" s="1850"/>
      <c r="BA41" s="3855"/>
      <c r="BB41" s="3855"/>
      <c r="BC41" s="3888"/>
      <c r="BD41" s="3888"/>
      <c r="BE41" s="3867"/>
      <c r="BF41" s="1850"/>
      <c r="BG41" s="1863"/>
      <c r="BH41" s="3919"/>
      <c r="BI41" s="3888"/>
      <c r="BJ41" s="3888"/>
      <c r="BK41" s="3851"/>
      <c r="BO41" s="3869"/>
    </row>
    <row r="42" spans="2:67">
      <c r="B42" s="3914"/>
      <c r="C42" s="1864"/>
      <c r="D42" s="1861" t="s">
        <v>2972</v>
      </c>
      <c r="E42" s="1862">
        <f t="shared" ref="E42:K42" si="11">SUM(E32:E41)</f>
        <v>1389203.35</v>
      </c>
      <c r="F42" s="1862">
        <f t="shared" si="11"/>
        <v>0</v>
      </c>
      <c r="G42" s="1862">
        <f t="shared" si="11"/>
        <v>0</v>
      </c>
      <c r="H42" s="1862">
        <f t="shared" si="11"/>
        <v>0</v>
      </c>
      <c r="I42" s="1862">
        <f t="shared" si="11"/>
        <v>0</v>
      </c>
      <c r="J42" s="4290">
        <f t="shared" si="11"/>
        <v>1389203.35</v>
      </c>
      <c r="K42" s="1862">
        <f t="shared" si="11"/>
        <v>1572301.2399999998</v>
      </c>
      <c r="L42" s="3909"/>
      <c r="M42" s="1862">
        <f>SUM(M32:M41)</f>
        <v>1572301.2399999998</v>
      </c>
      <c r="N42" s="3909"/>
      <c r="O42" s="3920"/>
      <c r="AW42" s="3851"/>
      <c r="AX42" s="1850"/>
      <c r="AY42" s="1850"/>
      <c r="AZ42" s="1850"/>
      <c r="BA42" s="3855"/>
      <c r="BB42" s="3855"/>
      <c r="BC42" s="3888"/>
      <c r="BD42" s="3851"/>
      <c r="BE42" s="3867"/>
      <c r="BF42" s="1850"/>
      <c r="BG42" s="1865"/>
      <c r="BH42" s="1866"/>
      <c r="BI42" s="3888"/>
      <c r="BJ42" s="3888"/>
      <c r="BK42" s="3851"/>
      <c r="BO42" s="3869"/>
    </row>
    <row r="43" spans="2:67" ht="13.5" thickBot="1">
      <c r="B43" s="3914"/>
      <c r="C43" s="3910"/>
      <c r="D43" s="3911"/>
      <c r="E43" s="3912"/>
      <c r="F43" s="3855"/>
      <c r="G43" s="3848"/>
      <c r="H43" s="3855"/>
      <c r="I43" s="3848"/>
      <c r="J43" s="3855"/>
      <c r="K43" s="3848"/>
      <c r="L43" s="3874"/>
      <c r="M43" s="3848"/>
      <c r="N43" s="3909"/>
      <c r="O43" s="3920"/>
      <c r="AW43" s="3851"/>
      <c r="AX43" s="1850"/>
      <c r="AY43" s="1850"/>
      <c r="AZ43" s="1850"/>
      <c r="BA43" s="3855"/>
      <c r="BB43" s="3855"/>
      <c r="BC43" s="3888"/>
      <c r="BD43" s="3851"/>
      <c r="BE43" s="3867"/>
      <c r="BF43" s="1850"/>
      <c r="BG43" s="1865"/>
      <c r="BH43" s="1866"/>
      <c r="BI43" s="3888"/>
      <c r="BJ43" s="3888"/>
      <c r="BK43" s="3851"/>
      <c r="BO43" s="3869"/>
    </row>
    <row r="44" spans="2:67" ht="13.5" thickBot="1">
      <c r="B44" s="3914"/>
      <c r="C44" s="3910"/>
      <c r="D44" s="1849" t="s">
        <v>65</v>
      </c>
      <c r="E44" s="3912"/>
      <c r="F44" s="3855"/>
      <c r="G44" s="3848"/>
      <c r="H44" s="3855"/>
      <c r="I44" s="3848"/>
      <c r="J44" s="3855"/>
      <c r="K44" s="3848"/>
      <c r="L44" s="3874"/>
      <c r="M44" s="3848"/>
      <c r="N44" s="3909"/>
      <c r="O44" s="3920"/>
      <c r="AW44" s="3851"/>
      <c r="AX44" s="1850"/>
      <c r="AY44" s="1850"/>
      <c r="AZ44" s="1850"/>
      <c r="BA44" s="3855"/>
      <c r="BB44" s="3855"/>
      <c r="BC44" s="3888"/>
      <c r="BD44" s="3851"/>
      <c r="BE44" s="3867"/>
      <c r="BF44" s="1850"/>
      <c r="BG44" s="1865"/>
      <c r="BH44" s="1866"/>
      <c r="BI44" s="3888"/>
      <c r="BJ44" s="3888"/>
      <c r="BK44" s="3851"/>
      <c r="BO44" s="3869"/>
    </row>
    <row r="45" spans="2:67" ht="13.5" thickBot="1">
      <c r="B45" s="3914"/>
      <c r="C45" s="3910"/>
      <c r="D45" s="1867"/>
      <c r="E45" s="3873"/>
      <c r="F45" s="1868"/>
      <c r="H45" s="1868"/>
      <c r="I45" s="3908"/>
      <c r="J45" s="3921"/>
      <c r="K45" s="3875"/>
      <c r="L45" s="3874"/>
      <c r="M45" s="3875"/>
      <c r="N45" s="3922"/>
      <c r="O45" s="3920"/>
      <c r="AW45" s="3851"/>
      <c r="AX45" s="1850"/>
      <c r="AY45" s="1850"/>
      <c r="AZ45" s="1850"/>
      <c r="BA45" s="3855"/>
      <c r="BB45" s="3855"/>
      <c r="BC45" s="3888"/>
      <c r="BD45" s="3851"/>
      <c r="BE45" s="3867"/>
      <c r="BF45" s="1850"/>
      <c r="BG45" s="1865"/>
      <c r="BH45" s="1866"/>
      <c r="BI45" s="3888"/>
      <c r="BJ45" s="3888"/>
      <c r="BK45" s="3851"/>
      <c r="BO45" s="3869"/>
    </row>
    <row r="46" spans="2:67" ht="13.5" thickBot="1">
      <c r="B46" s="3914" t="s">
        <v>1435</v>
      </c>
      <c r="C46" s="3901">
        <v>1150001</v>
      </c>
      <c r="D46" s="3915" t="s">
        <v>2046</v>
      </c>
      <c r="E46" s="3882">
        <f>IFERROR(VLOOKUP(C46,'פ.נ. צרפת'!$D$129:$F$1048576,3,0),0)</f>
        <v>81639.360000000001</v>
      </c>
      <c r="F46" s="3843">
        <f>SUMIF('פ.נ. צרפת'!$C:$C,$C:$C,'פ.נ. צרפת'!$E:$E)</f>
        <v>0</v>
      </c>
      <c r="G46" s="3883"/>
      <c r="H46" s="3884"/>
      <c r="I46" s="3882"/>
      <c r="J46" s="4291">
        <f t="shared" ref="J46" si="12">SUM(E46:I46)</f>
        <v>81639.360000000001</v>
      </c>
      <c r="K46" s="3886">
        <f>M46+SUMIF('פ.נ. צרפת'!$C:$C,$C:$C,'פ.נ. צרפת'!$F:$F)</f>
        <v>92399.48</v>
      </c>
      <c r="L46" s="1343"/>
      <c r="M46" s="3885">
        <f>IFERROR(VLOOKUP(C46,'פ.נ. צרפת'!$D$129:$G$1048576,4,0),"")</f>
        <v>92399.48</v>
      </c>
      <c r="N46" s="3877">
        <f t="shared" ref="N46" si="13">IF(K46=0,"-",J46/K46)</f>
        <v>0.88354782948994959</v>
      </c>
      <c r="O46" s="3916"/>
      <c r="P46" s="4068" t="s">
        <v>4592</v>
      </c>
      <c r="Q46" s="3851"/>
      <c r="R46" s="3878"/>
      <c r="AW46" s="3851"/>
      <c r="AX46" s="1850"/>
      <c r="AY46" s="1850"/>
      <c r="AZ46" s="1850"/>
      <c r="BA46" s="1850"/>
      <c r="BB46" s="1854"/>
      <c r="BC46" s="3888"/>
      <c r="BD46" s="3888"/>
      <c r="BE46" s="3867"/>
      <c r="BF46" s="1850"/>
      <c r="BG46" s="1850"/>
      <c r="BH46" s="3855"/>
      <c r="BI46" s="3888"/>
      <c r="BJ46" s="3888"/>
      <c r="BK46" s="3851"/>
      <c r="BO46" s="3869"/>
    </row>
    <row r="47" spans="2:67">
      <c r="B47" s="3914"/>
      <c r="C47" s="3923"/>
      <c r="D47" s="3899"/>
      <c r="E47" s="3882"/>
      <c r="F47" s="3900"/>
      <c r="I47" s="1869"/>
      <c r="J47" s="3843"/>
      <c r="K47" s="3844"/>
      <c r="L47" s="3874"/>
      <c r="M47" s="3844"/>
      <c r="N47" s="3924"/>
      <c r="O47" s="3920"/>
      <c r="AU47" s="3874"/>
      <c r="AV47" s="3874"/>
      <c r="AW47" s="3851"/>
      <c r="AX47" s="1850"/>
      <c r="AY47" s="1850"/>
      <c r="AZ47" s="1850"/>
      <c r="BA47" s="3855"/>
      <c r="BB47" s="3855"/>
      <c r="BC47" s="3888"/>
      <c r="BD47" s="3888"/>
      <c r="BE47" s="3867"/>
      <c r="BF47" s="1850"/>
      <c r="BG47" s="1863"/>
      <c r="BH47" s="3855"/>
      <c r="BI47" s="3888"/>
      <c r="BJ47" s="3888"/>
      <c r="BK47" s="3855"/>
      <c r="BO47" s="3869"/>
    </row>
    <row r="48" spans="2:67">
      <c r="B48" s="3914"/>
      <c r="C48" s="1870"/>
      <c r="D48" s="1861" t="s">
        <v>5030</v>
      </c>
      <c r="E48" s="1862">
        <f t="shared" ref="E48:K48" si="14">SUM(E46:E47)</f>
        <v>81639.360000000001</v>
      </c>
      <c r="F48" s="1862">
        <f t="shared" si="14"/>
        <v>0</v>
      </c>
      <c r="G48" s="1862">
        <f t="shared" si="14"/>
        <v>0</v>
      </c>
      <c r="H48" s="1862">
        <f t="shared" si="14"/>
        <v>0</v>
      </c>
      <c r="I48" s="1862">
        <f t="shared" si="14"/>
        <v>0</v>
      </c>
      <c r="J48" s="4290">
        <f t="shared" si="14"/>
        <v>81639.360000000001</v>
      </c>
      <c r="K48" s="1862">
        <f t="shared" si="14"/>
        <v>92399.48</v>
      </c>
      <c r="L48" s="3909"/>
      <c r="M48" s="1862">
        <f>SUM(M46:M47)</f>
        <v>92399.48</v>
      </c>
      <c r="N48" s="3922"/>
      <c r="O48" s="3920"/>
      <c r="AW48" s="3851"/>
      <c r="AX48" s="1850"/>
      <c r="AY48" s="1850"/>
      <c r="AZ48" s="1850"/>
      <c r="BA48" s="3855"/>
      <c r="BB48" s="3855"/>
      <c r="BC48" s="3888"/>
      <c r="BD48" s="3888"/>
      <c r="BE48" s="3867"/>
      <c r="BF48" s="1850"/>
      <c r="BG48" s="1863"/>
      <c r="BH48" s="3855"/>
      <c r="BI48" s="3888"/>
      <c r="BJ48" s="3888"/>
      <c r="BK48" s="3855"/>
      <c r="BO48" s="3869"/>
    </row>
    <row r="49" spans="1:67">
      <c r="B49" s="3914"/>
      <c r="C49" s="3925"/>
      <c r="D49" s="1867" t="s">
        <v>1457</v>
      </c>
      <c r="F49" s="1871"/>
      <c r="G49" s="1872"/>
      <c r="H49" s="1871"/>
      <c r="I49" s="1872"/>
      <c r="J49" s="3843"/>
      <c r="K49" s="3844"/>
      <c r="L49" s="3874"/>
      <c r="M49" s="3844"/>
      <c r="N49" s="3922"/>
      <c r="O49" s="3920"/>
      <c r="AW49" s="3851"/>
      <c r="AX49" s="1850"/>
      <c r="AY49" s="1850"/>
      <c r="AZ49" s="1850"/>
      <c r="BA49" s="3855"/>
      <c r="BB49" s="1854"/>
      <c r="BC49" s="3888"/>
      <c r="BD49" s="3888"/>
      <c r="BE49" s="3867"/>
      <c r="BF49" s="1854"/>
      <c r="BG49" s="1863"/>
      <c r="BH49" s="1866"/>
      <c r="BI49" s="3926"/>
      <c r="BJ49" s="3851"/>
      <c r="BK49" s="3851"/>
      <c r="BO49" s="3869"/>
    </row>
    <row r="50" spans="1:67">
      <c r="B50" s="3914"/>
    </row>
    <row r="51" spans="1:67">
      <c r="B51" s="3914"/>
    </row>
    <row r="52" spans="1:67">
      <c r="B52" s="3914"/>
      <c r="C52" s="1870"/>
      <c r="D52" s="1873"/>
      <c r="E52" s="1862" cm="1">
        <f t="array" ref="E52:E53">E50:E51</f>
        <v>0</v>
      </c>
      <c r="F52" s="1862" cm="1">
        <f t="array" ref="F52:F53">F50:F51</f>
        <v>0</v>
      </c>
      <c r="G52" s="1862" cm="1">
        <f t="array" ref="G52:G53">G50:G51</f>
        <v>0</v>
      </c>
      <c r="H52" s="1862" cm="1">
        <f t="array" ref="H52:H53">H50:H51</f>
        <v>0</v>
      </c>
      <c r="I52" s="1862" cm="1">
        <f t="array" ref="I52:I53">I50:I51</f>
        <v>0</v>
      </c>
      <c r="J52" s="1862" cm="1">
        <f t="array" ref="J52:J53">J50:J51</f>
        <v>0</v>
      </c>
      <c r="K52" s="1862" cm="1">
        <f t="array" ref="K52:K53">K50:K51</f>
        <v>0</v>
      </c>
      <c r="L52" s="3909"/>
      <c r="M52" s="1862" cm="1">
        <f t="array" ref="M52:M53">M50:M51</f>
        <v>0</v>
      </c>
      <c r="N52" s="3877"/>
      <c r="O52" s="3920"/>
      <c r="AW52" s="3851"/>
      <c r="AX52" s="1850"/>
      <c r="AY52" s="1850"/>
      <c r="AZ52" s="1850"/>
      <c r="BA52" s="3855"/>
      <c r="BB52" s="1854"/>
      <c r="BC52" s="3888"/>
      <c r="BD52" s="3888"/>
      <c r="BE52" s="3867"/>
      <c r="BF52" s="1854"/>
      <c r="BG52" s="1863"/>
      <c r="BH52" s="1866"/>
      <c r="BI52" s="3926"/>
      <c r="BJ52" s="3851"/>
      <c r="BK52" s="3851"/>
      <c r="BO52" s="3869"/>
    </row>
    <row r="53" spans="1:67">
      <c r="B53" s="3914"/>
      <c r="C53" s="3910"/>
      <c r="D53" s="1867" t="s">
        <v>153</v>
      </c>
      <c r="E53" s="3883">
        <v>0</v>
      </c>
      <c r="F53" s="3874">
        <v>0</v>
      </c>
      <c r="G53" s="3875">
        <v>0</v>
      </c>
      <c r="H53" s="3874">
        <v>0</v>
      </c>
      <c r="I53" s="3875">
        <v>0</v>
      </c>
      <c r="J53" s="3851">
        <v>0</v>
      </c>
      <c r="K53" s="3896">
        <v>0</v>
      </c>
      <c r="L53" s="3874"/>
      <c r="M53" s="3896">
        <v>0</v>
      </c>
      <c r="N53" s="3877"/>
      <c r="O53" s="3920"/>
      <c r="AW53" s="3851"/>
      <c r="AX53" s="1850"/>
      <c r="AY53" s="1850"/>
      <c r="AZ53" s="1850"/>
      <c r="BA53" s="3855"/>
      <c r="BB53" s="3855"/>
      <c r="BC53" s="3851"/>
      <c r="BD53" s="3851"/>
      <c r="BE53" s="3851"/>
      <c r="BF53" s="1850"/>
      <c r="BG53" s="3927"/>
      <c r="BH53" s="3855"/>
      <c r="BI53" s="3888"/>
      <c r="BJ53" s="3888"/>
      <c r="BK53" s="3851"/>
    </row>
    <row r="54" spans="1:67" s="3849" customFormat="1">
      <c r="A54" s="3852"/>
      <c r="B54" s="3914"/>
      <c r="C54" s="3923"/>
      <c r="D54" s="3899"/>
      <c r="E54" s="3882"/>
      <c r="F54" s="3851"/>
      <c r="G54" s="3845"/>
      <c r="H54" s="3851"/>
      <c r="I54" s="3845"/>
      <c r="J54" s="3843"/>
      <c r="K54" s="3844"/>
      <c r="L54" s="3851"/>
      <c r="M54" s="3844"/>
      <c r="N54" s="3877"/>
      <c r="O54" s="3928"/>
      <c r="P54" s="3853"/>
      <c r="AW54" s="3851"/>
      <c r="AX54" s="1850"/>
      <c r="AY54" s="1850"/>
      <c r="AZ54" s="1850"/>
      <c r="BA54" s="3855"/>
      <c r="BB54" s="3855"/>
      <c r="BC54" s="3851"/>
      <c r="BD54" s="3851"/>
      <c r="BE54" s="3851"/>
      <c r="BF54" s="1850"/>
      <c r="BG54" s="3927"/>
      <c r="BH54" s="3855"/>
      <c r="BI54" s="3888"/>
      <c r="BJ54" s="3888"/>
      <c r="BK54" s="3851"/>
    </row>
    <row r="55" spans="1:67">
      <c r="B55" s="3914"/>
      <c r="C55" s="1870"/>
      <c r="D55" s="1861"/>
      <c r="E55" s="1862">
        <f t="shared" ref="E55:M55" si="15">SUM(E54:E54)</f>
        <v>0</v>
      </c>
      <c r="F55" s="1862">
        <f t="shared" si="15"/>
        <v>0</v>
      </c>
      <c r="G55" s="1862">
        <f t="shared" si="15"/>
        <v>0</v>
      </c>
      <c r="H55" s="1862">
        <f t="shared" si="15"/>
        <v>0</v>
      </c>
      <c r="I55" s="1862">
        <f t="shared" si="15"/>
        <v>0</v>
      </c>
      <c r="J55" s="1862">
        <f t="shared" si="15"/>
        <v>0</v>
      </c>
      <c r="K55" s="1862">
        <f t="shared" si="15"/>
        <v>0</v>
      </c>
      <c r="L55" s="3909"/>
      <c r="M55" s="1862">
        <f t="shared" si="15"/>
        <v>0</v>
      </c>
      <c r="N55" s="3877"/>
      <c r="O55" s="3920"/>
      <c r="AW55" s="3851"/>
      <c r="AX55" s="1850"/>
      <c r="AY55" s="1850"/>
      <c r="AZ55" s="1850"/>
      <c r="BA55" s="3855"/>
      <c r="BB55" s="3855"/>
      <c r="BC55" s="3851"/>
      <c r="BD55" s="3851"/>
      <c r="BE55" s="3851"/>
      <c r="BF55" s="1850"/>
      <c r="BG55" s="1863"/>
      <c r="BH55" s="3855"/>
      <c r="BI55" s="3888"/>
      <c r="BJ55" s="3888"/>
      <c r="BK55" s="3851"/>
    </row>
    <row r="56" spans="1:67">
      <c r="B56" s="3914"/>
      <c r="C56" s="3910"/>
      <c r="D56" s="1867" t="s">
        <v>280</v>
      </c>
      <c r="E56" s="3873"/>
      <c r="J56" s="3843"/>
      <c r="K56" s="3896"/>
      <c r="L56" s="3874"/>
      <c r="M56" s="3896"/>
      <c r="N56" s="3877"/>
      <c r="O56" s="3920"/>
      <c r="AW56" s="3851"/>
      <c r="AX56" s="1850"/>
      <c r="AY56" s="1850"/>
      <c r="AZ56" s="1850"/>
      <c r="BA56" s="3855"/>
      <c r="BB56" s="3855"/>
      <c r="BC56" s="3851"/>
      <c r="BD56" s="3851"/>
      <c r="BE56" s="3851"/>
      <c r="BF56" s="1850"/>
      <c r="BG56" s="1863"/>
      <c r="BH56" s="1854"/>
      <c r="BI56" s="1854"/>
      <c r="BJ56" s="3888"/>
      <c r="BK56" s="3851"/>
    </row>
    <row r="57" spans="1:67">
      <c r="B57" s="3914"/>
      <c r="C57" s="3923"/>
      <c r="D57" s="3856"/>
      <c r="E57" s="3875"/>
      <c r="J57" s="3843"/>
      <c r="K57" s="3844"/>
      <c r="L57" s="3874"/>
      <c r="M57" s="3844"/>
      <c r="N57" s="3877"/>
      <c r="O57" s="3920"/>
      <c r="R57" s="3851"/>
      <c r="AW57" s="3851"/>
      <c r="AX57" s="1850"/>
      <c r="AY57" s="1850"/>
      <c r="AZ57" s="1850"/>
      <c r="BA57" s="3855"/>
      <c r="BB57" s="3855"/>
      <c r="BC57" s="3851"/>
      <c r="BD57" s="3851"/>
      <c r="BE57" s="3851"/>
    </row>
    <row r="58" spans="1:67" ht="13.5" thickBot="1">
      <c r="B58" s="3914" t="s">
        <v>568</v>
      </c>
      <c r="C58" s="3901">
        <v>1100999</v>
      </c>
      <c r="D58" s="3929" t="s">
        <v>1918</v>
      </c>
      <c r="E58" s="3844">
        <f>IFERROR(VLOOKUP(C58,'פ.נ. צרפת'!$D$129:$F$1048576,3,0),0)</f>
        <v>1833858.08</v>
      </c>
      <c r="F58" s="3843">
        <f>SUMIF('פ.נ. צרפת'!$C:$C,$C:$C,'פ.נ. צרפת'!$E:$E)</f>
        <v>0</v>
      </c>
      <c r="G58" s="3882"/>
      <c r="H58" s="3884"/>
      <c r="I58" s="3882"/>
      <c r="J58" s="4293">
        <f>SUM(E58:I58)</f>
        <v>1833858.08</v>
      </c>
      <c r="K58" s="3931">
        <f>M58+SUMIF('פ.נ. צרפת'!$C:$C,$C:$C,'פ.נ. צרפת'!$F:$F)</f>
        <v>2178645.4500000002</v>
      </c>
      <c r="L58" s="3845"/>
      <c r="M58" s="3885">
        <f>IFERROR(VLOOKUP(C58,'פ.נ. צרפת'!$D$129:$G$1048576,4,0),"")</f>
        <v>2178645.4500000002</v>
      </c>
      <c r="N58" s="3877">
        <f>IF(K58=0,"-",J58/K58)</f>
        <v>0.84174232204693977</v>
      </c>
      <c r="O58" s="3928"/>
      <c r="AU58" s="1846"/>
      <c r="AV58" s="3851"/>
      <c r="AW58" s="3851"/>
      <c r="AX58" s="1850"/>
      <c r="AY58" s="1850"/>
      <c r="AZ58" s="1850"/>
      <c r="BA58" s="3851"/>
      <c r="BB58" s="3851"/>
      <c r="BC58" s="3851"/>
      <c r="BD58" s="3851"/>
      <c r="BE58" s="3851"/>
      <c r="BF58" s="3851"/>
      <c r="BG58" s="3851"/>
      <c r="BH58" s="3851"/>
    </row>
    <row r="59" spans="1:67" ht="13.5" thickBot="1">
      <c r="B59" s="3914" t="s">
        <v>568</v>
      </c>
      <c r="C59" s="3880">
        <v>1100001</v>
      </c>
      <c r="D59" s="3918" t="s">
        <v>25</v>
      </c>
      <c r="E59" s="3882">
        <f>VLOOKUP(C59,'פ.נ. צרפת'!$D$129:$F$1048576,3,0)</f>
        <v>1117.3800000000001</v>
      </c>
      <c r="F59" s="3843">
        <f>SUMIF('פ.נ. צרפת'!$C:$C,$C:$C,'פ.נ. צרפת'!$E:$E)</f>
        <v>0</v>
      </c>
      <c r="G59" s="3883"/>
      <c r="H59" s="3884"/>
      <c r="I59" s="3882"/>
      <c r="J59" s="4291">
        <f>SUM(E59:I59)</f>
        <v>1117.3800000000001</v>
      </c>
      <c r="K59" s="3886">
        <f>M59+SUMIF('פ.נ. צרפת'!$C:$C,$C:$C,'פ.נ. צרפת'!$F:$F)</f>
        <v>1308.58</v>
      </c>
      <c r="L59" s="1343">
        <f>'Prepaid expenses'!$C$172-J59</f>
        <v>-4.6666666666851597E-2</v>
      </c>
      <c r="M59" s="3885">
        <f>IFERROR(VLOOKUP(C59,'פ.נ. צרפת'!$D$129:$G$1048576,4,0),"")</f>
        <v>1308.58</v>
      </c>
      <c r="N59" s="3877">
        <f>IF(K59=0,"-",J59/K59)</f>
        <v>0.85388741995139783</v>
      </c>
      <c r="O59" s="3920"/>
      <c r="P59" s="2132" t="s">
        <v>2640</v>
      </c>
      <c r="AW59" s="3851"/>
      <c r="AX59" s="1850"/>
      <c r="AY59" s="1850"/>
      <c r="AZ59" s="1850"/>
      <c r="BA59" s="3855"/>
      <c r="BB59" s="3855"/>
      <c r="BC59" s="3888"/>
      <c r="BD59" s="3888"/>
      <c r="BE59" s="3867"/>
      <c r="BF59" s="1850"/>
      <c r="BG59" s="1863"/>
      <c r="BH59" s="3919"/>
      <c r="BI59" s="3888"/>
      <c r="BJ59" s="3888"/>
      <c r="BK59" s="3851"/>
      <c r="BO59" s="3869"/>
    </row>
    <row r="60" spans="1:67">
      <c r="B60" s="3914"/>
      <c r="C60" s="1870"/>
      <c r="D60" s="1874"/>
      <c r="E60" s="1862">
        <f t="shared" ref="E60:K60" si="16">SUM(E57:E59)</f>
        <v>1834975.46</v>
      </c>
      <c r="F60" s="1862">
        <f t="shared" si="16"/>
        <v>0</v>
      </c>
      <c r="G60" s="1862">
        <f t="shared" si="16"/>
        <v>0</v>
      </c>
      <c r="H60" s="1862">
        <f t="shared" si="16"/>
        <v>0</v>
      </c>
      <c r="I60" s="1862">
        <f t="shared" si="16"/>
        <v>0</v>
      </c>
      <c r="J60" s="4290">
        <f t="shared" si="16"/>
        <v>1834975.46</v>
      </c>
      <c r="K60" s="1862">
        <f t="shared" si="16"/>
        <v>2179954.0300000003</v>
      </c>
      <c r="M60" s="1862">
        <f>SUM(M57:M59)</f>
        <v>2179954.0300000003</v>
      </c>
      <c r="N60" s="3877"/>
      <c r="O60" s="3920"/>
      <c r="R60" s="3851"/>
      <c r="S60" s="3851"/>
      <c r="T60" s="3851"/>
      <c r="U60" s="3851"/>
      <c r="V60" s="3851"/>
      <c r="W60" s="3851"/>
      <c r="X60" s="3851"/>
      <c r="Y60" s="3851"/>
      <c r="Z60" s="3851"/>
      <c r="AA60" s="3851"/>
      <c r="AB60" s="3851"/>
      <c r="AC60" s="3851"/>
      <c r="AD60" s="3851"/>
      <c r="AE60" s="3851"/>
      <c r="AF60" s="3851"/>
      <c r="AG60" s="3851"/>
      <c r="AH60" s="3851"/>
      <c r="AI60" s="3851"/>
      <c r="AJ60" s="3851"/>
      <c r="AK60" s="3851"/>
      <c r="AL60" s="3851"/>
      <c r="AM60" s="3851"/>
      <c r="AN60" s="3851"/>
      <c r="AO60" s="3851"/>
      <c r="AP60" s="3851"/>
      <c r="AQ60" s="3851"/>
      <c r="AR60" s="3851"/>
      <c r="AS60" s="3851"/>
      <c r="AT60" s="3851"/>
      <c r="AW60" s="3851"/>
      <c r="AX60" s="1850"/>
      <c r="AY60" s="1850"/>
      <c r="AZ60" s="1850"/>
      <c r="BA60" s="3855"/>
      <c r="BB60" s="3868"/>
      <c r="BC60" s="3851"/>
      <c r="BD60" s="3851"/>
      <c r="BE60" s="3851"/>
    </row>
    <row r="61" spans="1:67" s="3849" customFormat="1">
      <c r="A61" s="3852"/>
      <c r="B61" s="3914"/>
      <c r="C61" s="1856"/>
      <c r="D61" s="1854" t="s">
        <v>301</v>
      </c>
      <c r="E61" s="1875"/>
      <c r="F61" s="1871"/>
      <c r="G61" s="1872"/>
      <c r="H61" s="1871"/>
      <c r="I61" s="1872"/>
      <c r="J61" s="1871"/>
      <c r="K61" s="1872"/>
      <c r="L61" s="3874"/>
      <c r="M61" s="1872"/>
      <c r="N61" s="3877"/>
      <c r="O61" s="3920"/>
      <c r="P61" s="3853"/>
      <c r="R61" s="3851"/>
      <c r="S61" s="3851"/>
      <c r="T61" s="3851"/>
      <c r="U61" s="3851"/>
      <c r="V61" s="3851"/>
      <c r="W61" s="3851"/>
      <c r="X61" s="3851"/>
      <c r="Y61" s="3851"/>
      <c r="Z61" s="3851"/>
      <c r="AA61" s="3851"/>
      <c r="AB61" s="3851"/>
      <c r="AC61" s="3851"/>
      <c r="AD61" s="3851"/>
      <c r="AE61" s="3851"/>
      <c r="AF61" s="3851"/>
      <c r="AG61" s="3851"/>
      <c r="AH61" s="3851"/>
      <c r="AI61" s="3851"/>
      <c r="AJ61" s="3851"/>
      <c r="AK61" s="3851"/>
      <c r="AL61" s="3851"/>
      <c r="AM61" s="3851"/>
      <c r="AN61" s="3851"/>
      <c r="AO61" s="3851"/>
      <c r="AP61" s="3851"/>
      <c r="AQ61" s="3851"/>
      <c r="AR61" s="3851"/>
      <c r="AS61" s="3851"/>
      <c r="AT61" s="3851"/>
      <c r="AW61" s="3851"/>
      <c r="AX61" s="1850"/>
      <c r="AY61" s="1850"/>
      <c r="AZ61" s="1850"/>
      <c r="BA61" s="3855"/>
      <c r="BB61" s="3868"/>
      <c r="BC61" s="3851"/>
      <c r="BD61" s="3851"/>
      <c r="BE61" s="3851"/>
    </row>
    <row r="62" spans="1:67" s="3849" customFormat="1">
      <c r="A62" s="3852"/>
      <c r="B62" s="3914"/>
      <c r="C62" s="3880"/>
      <c r="D62" s="3881"/>
      <c r="E62" s="3882"/>
      <c r="F62" s="3900"/>
      <c r="G62" s="1872"/>
      <c r="H62" s="1871"/>
      <c r="I62" s="1872"/>
      <c r="J62" s="3843"/>
      <c r="K62" s="3844"/>
      <c r="L62" s="3874"/>
      <c r="M62" s="3844"/>
      <c r="N62" s="3877"/>
      <c r="O62" s="3920"/>
      <c r="P62" s="3853"/>
      <c r="S62" s="3855"/>
      <c r="T62" s="3855"/>
      <c r="U62" s="3855"/>
      <c r="V62" s="3855"/>
      <c r="W62" s="3855"/>
      <c r="X62" s="3855"/>
      <c r="Y62" s="3855"/>
      <c r="Z62" s="3855"/>
      <c r="AA62" s="3855"/>
      <c r="AB62" s="3855"/>
      <c r="AC62" s="3855"/>
      <c r="AD62" s="3855"/>
      <c r="AE62" s="3855"/>
      <c r="AF62" s="3855"/>
      <c r="AG62" s="3855"/>
      <c r="AH62" s="3855"/>
      <c r="AI62" s="3855"/>
      <c r="AJ62" s="3855"/>
      <c r="AK62" s="3855"/>
      <c r="AL62" s="3855"/>
      <c r="AM62" s="3855"/>
      <c r="AN62" s="3855"/>
      <c r="AO62" s="3855"/>
      <c r="AP62" s="3855"/>
      <c r="AQ62" s="3855"/>
      <c r="AR62" s="3855"/>
      <c r="AS62" s="3855"/>
      <c r="AT62" s="3932"/>
      <c r="AW62" s="3851"/>
      <c r="AX62" s="1850"/>
      <c r="AY62" s="1850"/>
      <c r="AZ62" s="1850"/>
      <c r="BA62" s="3855"/>
      <c r="BB62" s="3868"/>
      <c r="BC62" s="3851"/>
      <c r="BD62" s="3851"/>
      <c r="BE62" s="3851"/>
    </row>
    <row r="63" spans="1:67" s="3849" customFormat="1">
      <c r="A63" s="3852"/>
      <c r="B63" s="3914"/>
      <c r="C63" s="3880"/>
      <c r="D63" s="3881"/>
      <c r="E63" s="3882"/>
      <c r="F63" s="3900"/>
      <c r="G63" s="1872"/>
      <c r="H63" s="1871"/>
      <c r="I63" s="1872"/>
      <c r="J63" s="3843"/>
      <c r="K63" s="3844"/>
      <c r="L63" s="3874"/>
      <c r="M63" s="3844"/>
      <c r="N63" s="3877"/>
      <c r="O63" s="3900"/>
      <c r="P63" s="3853"/>
      <c r="S63" s="3855"/>
      <c r="T63" s="3855"/>
      <c r="U63" s="3855"/>
      <c r="V63" s="3855"/>
      <c r="W63" s="3855"/>
      <c r="X63" s="3855"/>
      <c r="Y63" s="3855"/>
      <c r="Z63" s="3855"/>
      <c r="AA63" s="3855"/>
      <c r="AB63" s="3855"/>
      <c r="AC63" s="3855"/>
      <c r="AD63" s="3855"/>
      <c r="AE63" s="3855"/>
      <c r="AF63" s="3855"/>
      <c r="AG63" s="3855"/>
      <c r="AH63" s="3855"/>
      <c r="AI63" s="3855"/>
      <c r="AJ63" s="3855"/>
      <c r="AK63" s="3855"/>
      <c r="AL63" s="3855"/>
      <c r="AM63" s="3855"/>
      <c r="AN63" s="3855"/>
      <c r="AO63" s="3855"/>
      <c r="AP63" s="3855"/>
      <c r="AQ63" s="3855"/>
      <c r="AR63" s="3855"/>
      <c r="AS63" s="3855"/>
      <c r="AT63" s="3932"/>
      <c r="AW63" s="3851"/>
      <c r="AX63" s="1850"/>
      <c r="AY63" s="1850"/>
      <c r="AZ63" s="1850"/>
      <c r="BA63" s="3855"/>
      <c r="BB63" s="3868"/>
      <c r="BC63" s="3851"/>
      <c r="BD63" s="3851"/>
      <c r="BE63" s="3851"/>
    </row>
    <row r="64" spans="1:67" s="3849" customFormat="1">
      <c r="A64" s="3852"/>
      <c r="B64" s="3914"/>
      <c r="C64" s="3898"/>
      <c r="D64" s="3899"/>
      <c r="E64" s="3882"/>
      <c r="F64" s="3900"/>
      <c r="G64" s="1872"/>
      <c r="H64" s="1871"/>
      <c r="I64" s="1872"/>
      <c r="J64" s="3843"/>
      <c r="K64" s="3844"/>
      <c r="L64" s="3874"/>
      <c r="M64" s="3844"/>
      <c r="N64" s="3877"/>
      <c r="O64" s="3928"/>
      <c r="P64" s="3853"/>
      <c r="AW64" s="3851"/>
      <c r="AX64" s="1850"/>
      <c r="AY64" s="1850"/>
      <c r="AZ64" s="1850"/>
      <c r="BA64" s="3855"/>
      <c r="BB64" s="3868"/>
      <c r="BC64" s="3851"/>
      <c r="BD64" s="3851"/>
      <c r="BE64" s="3851"/>
    </row>
    <row r="65" spans="2:57">
      <c r="B65" s="3914"/>
      <c r="C65" s="1870"/>
      <c r="D65" s="1874"/>
      <c r="E65" s="1862">
        <f t="shared" ref="E65:K65" si="17">SUM(E62:E64)</f>
        <v>0</v>
      </c>
      <c r="F65" s="1862">
        <f t="shared" si="17"/>
        <v>0</v>
      </c>
      <c r="G65" s="1862">
        <f t="shared" si="17"/>
        <v>0</v>
      </c>
      <c r="H65" s="1862">
        <f t="shared" si="17"/>
        <v>0</v>
      </c>
      <c r="I65" s="1862">
        <f t="shared" si="17"/>
        <v>0</v>
      </c>
      <c r="J65" s="1862">
        <f t="shared" si="17"/>
        <v>0</v>
      </c>
      <c r="K65" s="1862">
        <f t="shared" si="17"/>
        <v>0</v>
      </c>
      <c r="L65" s="3909"/>
      <c r="M65" s="1862">
        <f>SUM(M62:M64)</f>
        <v>0</v>
      </c>
      <c r="N65" s="3922"/>
      <c r="O65" s="3920"/>
      <c r="AW65" s="3851"/>
      <c r="AX65" s="1850"/>
      <c r="AY65" s="1850"/>
      <c r="AZ65" s="1850"/>
      <c r="BA65" s="3855"/>
      <c r="BB65" s="3868"/>
      <c r="BC65" s="3851"/>
      <c r="BD65" s="3851"/>
      <c r="BE65" s="3851"/>
    </row>
    <row r="66" spans="2:57">
      <c r="B66" s="3914"/>
      <c r="C66" s="3910"/>
      <c r="E66" s="3873"/>
      <c r="I66" s="3908"/>
      <c r="J66" s="3843"/>
      <c r="K66" s="3896"/>
      <c r="L66" s="3874"/>
      <c r="M66" s="3896"/>
      <c r="N66" s="3922"/>
      <c r="O66" s="3920"/>
      <c r="AW66" s="3851"/>
      <c r="AX66" s="1850"/>
      <c r="AY66" s="1850"/>
      <c r="AZ66" s="1850"/>
      <c r="BA66" s="3855"/>
      <c r="BB66" s="3868"/>
      <c r="BC66" s="3851"/>
      <c r="BD66" s="3851"/>
      <c r="BE66" s="3851"/>
    </row>
    <row r="67" spans="2:57">
      <c r="B67" s="3914"/>
      <c r="C67" s="1870"/>
      <c r="D67" s="1876" t="s">
        <v>67</v>
      </c>
      <c r="E67" s="1862">
        <f t="shared" ref="E67:K67" si="18">E60+E55+E48+E52+E42+E65</f>
        <v>3305818.17</v>
      </c>
      <c r="F67" s="1862">
        <f t="shared" si="18"/>
        <v>0</v>
      </c>
      <c r="G67" s="1862">
        <f t="shared" si="18"/>
        <v>0</v>
      </c>
      <c r="H67" s="1862">
        <f t="shared" si="18"/>
        <v>0</v>
      </c>
      <c r="I67" s="1862">
        <f t="shared" si="18"/>
        <v>0</v>
      </c>
      <c r="J67" s="1862">
        <f t="shared" si="18"/>
        <v>3305818.17</v>
      </c>
      <c r="K67" s="1862">
        <f t="shared" si="18"/>
        <v>3844654.75</v>
      </c>
      <c r="L67" s="3909"/>
      <c r="M67" s="1862">
        <f>M60+M55+M48+M52+M42+M65</f>
        <v>3844654.75</v>
      </c>
      <c r="N67" s="3922"/>
      <c r="O67" s="3920"/>
      <c r="AW67" s="3851"/>
      <c r="AX67" s="1850"/>
      <c r="AY67" s="1850"/>
      <c r="AZ67" s="1850"/>
      <c r="BA67" s="3855"/>
      <c r="BB67" s="3868"/>
      <c r="BC67" s="3851"/>
      <c r="BD67" s="3851"/>
      <c r="BE67" s="3851"/>
    </row>
    <row r="68" spans="2:57" ht="13.5" thickBot="1">
      <c r="B68" s="3914"/>
      <c r="C68" s="3910"/>
      <c r="E68" s="3873"/>
      <c r="F68" s="3933"/>
      <c r="G68" s="3908"/>
      <c r="H68" s="3934"/>
      <c r="I68" s="3908"/>
      <c r="J68" s="3843"/>
      <c r="K68" s="3844"/>
      <c r="L68" s="3874"/>
      <c r="M68" s="3844"/>
      <c r="N68" s="3922"/>
      <c r="O68" s="3920"/>
      <c r="AW68" s="3851"/>
      <c r="AX68" s="1850"/>
      <c r="AY68" s="1850"/>
      <c r="AZ68" s="1850"/>
      <c r="BA68" s="3855"/>
      <c r="BB68" s="3868"/>
      <c r="BC68" s="3851"/>
      <c r="BD68" s="3851"/>
      <c r="BE68" s="3851"/>
    </row>
    <row r="69" spans="2:57" ht="13.5" thickBot="1">
      <c r="B69" s="3914"/>
      <c r="C69" s="3910"/>
      <c r="D69" s="1849" t="s">
        <v>68</v>
      </c>
      <c r="E69" s="3873"/>
      <c r="J69" s="3843"/>
      <c r="K69" s="3896"/>
      <c r="L69" s="3874"/>
      <c r="M69" s="3896"/>
      <c r="N69" s="3922"/>
      <c r="O69" s="3920"/>
      <c r="AW69" s="3855"/>
      <c r="AX69" s="1850"/>
      <c r="AY69" s="1850"/>
      <c r="AZ69" s="1850"/>
      <c r="BB69" s="3855"/>
      <c r="BC69" s="3851"/>
      <c r="BD69" s="3851"/>
      <c r="BE69" s="3851"/>
    </row>
    <row r="70" spans="2:57">
      <c r="B70" s="3914"/>
      <c r="C70" s="3910"/>
      <c r="D70" s="1867" t="s">
        <v>69</v>
      </c>
      <c r="E70" s="3873"/>
      <c r="J70" s="3843"/>
      <c r="K70" s="3896"/>
      <c r="L70" s="3874"/>
      <c r="M70" s="3896"/>
      <c r="N70" s="3922"/>
      <c r="O70" s="3920"/>
      <c r="AV70" s="3851"/>
      <c r="AW70" s="3851"/>
      <c r="AX70" s="1850"/>
      <c r="AY70" s="1850"/>
      <c r="AZ70" s="1850"/>
      <c r="BB70" s="3855"/>
      <c r="BC70" s="3851"/>
      <c r="BD70" s="3851"/>
      <c r="BE70" s="3851"/>
    </row>
    <row r="71" spans="2:57">
      <c r="B71" s="3914"/>
      <c r="C71" s="3923"/>
      <c r="D71" s="3881"/>
      <c r="J71" s="3843"/>
      <c r="K71" s="3844"/>
      <c r="L71" s="3874"/>
      <c r="M71" s="3844"/>
      <c r="N71" s="3922"/>
      <c r="O71" s="3920"/>
      <c r="AV71" s="3851"/>
      <c r="AX71" s="1850"/>
      <c r="AY71" s="1850"/>
      <c r="AZ71" s="1850"/>
      <c r="BB71" s="3851"/>
      <c r="BC71" s="3851"/>
      <c r="BD71" s="3851"/>
      <c r="BE71" s="3851"/>
    </row>
    <row r="72" spans="2:57">
      <c r="B72" s="3914"/>
      <c r="C72" s="3925"/>
      <c r="D72" s="3881"/>
      <c r="J72" s="3843"/>
      <c r="K72" s="3896"/>
      <c r="L72" s="3874"/>
      <c r="M72" s="3896"/>
      <c r="N72" s="3922"/>
      <c r="O72" s="3920"/>
      <c r="AV72" s="3837"/>
      <c r="AW72" s="3868"/>
      <c r="AX72" s="1850"/>
      <c r="AY72" s="1850"/>
      <c r="AZ72" s="1850"/>
      <c r="BA72" s="3851"/>
      <c r="BB72" s="3851"/>
      <c r="BC72" s="3851"/>
      <c r="BD72" s="3851"/>
      <c r="BE72" s="3851"/>
    </row>
    <row r="73" spans="2:57">
      <c r="B73" s="3914"/>
      <c r="C73" s="1870"/>
      <c r="D73" s="1874" t="s">
        <v>70</v>
      </c>
      <c r="E73" s="1862">
        <f t="shared" ref="E73:M73" si="19">SUM(E71:E72)</f>
        <v>0</v>
      </c>
      <c r="F73" s="1862">
        <f t="shared" si="19"/>
        <v>0</v>
      </c>
      <c r="G73" s="1862">
        <f t="shared" si="19"/>
        <v>0</v>
      </c>
      <c r="H73" s="1862">
        <f t="shared" si="19"/>
        <v>0</v>
      </c>
      <c r="I73" s="1862">
        <f t="shared" si="19"/>
        <v>0</v>
      </c>
      <c r="J73" s="1862">
        <f t="shared" si="19"/>
        <v>0</v>
      </c>
      <c r="K73" s="1862">
        <f t="shared" si="19"/>
        <v>0</v>
      </c>
      <c r="L73" s="3909"/>
      <c r="M73" s="1862">
        <f t="shared" si="19"/>
        <v>0</v>
      </c>
      <c r="N73" s="3922"/>
      <c r="O73" s="3920"/>
      <c r="AV73" s="3837"/>
      <c r="AW73" s="3868"/>
      <c r="AX73" s="1850"/>
      <c r="AY73" s="1850"/>
      <c r="AZ73" s="1850"/>
      <c r="BA73" s="3851"/>
      <c r="BB73" s="3851"/>
      <c r="BC73" s="3851"/>
      <c r="BD73" s="3851"/>
      <c r="BE73" s="3851"/>
    </row>
    <row r="74" spans="2:57">
      <c r="B74" s="3914"/>
      <c r="C74" s="3910"/>
      <c r="D74" s="1867" t="s">
        <v>71</v>
      </c>
      <c r="I74" s="3935"/>
      <c r="J74" s="3851"/>
      <c r="K74" s="3896"/>
      <c r="L74" s="3874"/>
      <c r="M74" s="3896"/>
      <c r="N74" s="3922"/>
      <c r="O74" s="3920"/>
      <c r="AU74" s="1863"/>
      <c r="AV74" s="1846"/>
      <c r="AW74" s="3851"/>
      <c r="AX74" s="1850"/>
      <c r="AY74" s="1850"/>
      <c r="AZ74" s="1850"/>
      <c r="BA74" s="3851"/>
      <c r="BB74" s="3851"/>
      <c r="BC74" s="3851"/>
      <c r="BD74" s="3851"/>
      <c r="BE74" s="3851"/>
    </row>
    <row r="75" spans="2:57">
      <c r="B75" s="3914"/>
      <c r="C75" s="3925"/>
      <c r="D75" s="3881"/>
      <c r="I75" s="3935"/>
      <c r="J75" s="3843"/>
      <c r="K75" s="3844"/>
      <c r="L75" s="3874"/>
      <c r="M75" s="3844"/>
      <c r="N75" s="3922"/>
      <c r="O75" s="3920"/>
      <c r="AU75" s="1863"/>
      <c r="AV75" s="1846"/>
      <c r="AW75" s="3851"/>
      <c r="AX75" s="1850"/>
      <c r="AY75" s="1850"/>
      <c r="AZ75" s="1850"/>
      <c r="BA75" s="3851"/>
      <c r="BB75" s="3851"/>
      <c r="BC75" s="3851"/>
      <c r="BD75" s="3851"/>
      <c r="BE75" s="3851"/>
    </row>
    <row r="76" spans="2:57">
      <c r="B76" s="3914"/>
      <c r="C76" s="3925"/>
      <c r="D76" s="3881"/>
      <c r="J76" s="3843"/>
      <c r="K76" s="3896"/>
      <c r="L76" s="3874"/>
      <c r="M76" s="3896"/>
      <c r="N76" s="3922"/>
      <c r="O76" s="3920"/>
      <c r="AV76" s="3837"/>
      <c r="AW76" s="3868"/>
      <c r="AX76" s="1850"/>
      <c r="AY76" s="1850"/>
      <c r="AZ76" s="1850"/>
      <c r="BA76" s="3851"/>
      <c r="BB76" s="3851"/>
      <c r="BC76" s="3851"/>
      <c r="BD76" s="3851"/>
      <c r="BE76" s="3851"/>
    </row>
    <row r="77" spans="2:57">
      <c r="B77" s="3914"/>
      <c r="C77" s="1870"/>
      <c r="D77" s="1874" t="s">
        <v>72</v>
      </c>
      <c r="E77" s="1862">
        <f t="shared" ref="E77:M77" si="20">SUM(E75:E76)</f>
        <v>0</v>
      </c>
      <c r="F77" s="1862">
        <f t="shared" si="20"/>
        <v>0</v>
      </c>
      <c r="G77" s="1862">
        <f t="shared" si="20"/>
        <v>0</v>
      </c>
      <c r="H77" s="1862">
        <f t="shared" si="20"/>
        <v>0</v>
      </c>
      <c r="I77" s="1862">
        <f t="shared" si="20"/>
        <v>0</v>
      </c>
      <c r="J77" s="1862">
        <f t="shared" si="20"/>
        <v>0</v>
      </c>
      <c r="K77" s="1862">
        <f t="shared" si="20"/>
        <v>0</v>
      </c>
      <c r="L77" s="3909"/>
      <c r="M77" s="1862">
        <f t="shared" si="20"/>
        <v>0</v>
      </c>
      <c r="N77" s="3922"/>
      <c r="O77" s="3920"/>
      <c r="AU77" s="3837"/>
      <c r="AV77" s="1846"/>
      <c r="AW77" s="3851"/>
      <c r="AX77" s="1850"/>
      <c r="AY77" s="1850"/>
      <c r="AZ77" s="1850"/>
      <c r="BA77" s="3851"/>
      <c r="BB77" s="3851"/>
      <c r="BC77" s="3851"/>
      <c r="BD77" s="3851"/>
      <c r="BE77" s="3851"/>
    </row>
    <row r="78" spans="2:57">
      <c r="B78" s="3914"/>
      <c r="C78" s="3910"/>
      <c r="D78" s="3855"/>
      <c r="E78" s="3873"/>
      <c r="J78" s="3843"/>
      <c r="K78" s="3896"/>
      <c r="L78" s="3874"/>
      <c r="M78" s="3896"/>
      <c r="N78" s="3922"/>
      <c r="O78" s="3920"/>
      <c r="AU78" s="3837"/>
      <c r="AV78" s="1846"/>
      <c r="AW78" s="3851"/>
      <c r="AX78" s="1850"/>
      <c r="AY78" s="1850"/>
      <c r="AZ78" s="1850"/>
      <c r="BA78" s="3851"/>
      <c r="BB78" s="3851"/>
      <c r="BC78" s="3851"/>
      <c r="BD78" s="3851"/>
      <c r="BE78" s="3851"/>
    </row>
    <row r="79" spans="2:57">
      <c r="B79" s="3914"/>
      <c r="C79" s="1870"/>
      <c r="D79" s="1874" t="s">
        <v>73</v>
      </c>
      <c r="E79" s="1862">
        <f t="shared" ref="E79:M79" si="21">E73+E77</f>
        <v>0</v>
      </c>
      <c r="F79" s="1862">
        <f t="shared" si="21"/>
        <v>0</v>
      </c>
      <c r="G79" s="1862">
        <f t="shared" si="21"/>
        <v>0</v>
      </c>
      <c r="H79" s="1862">
        <f t="shared" si="21"/>
        <v>0</v>
      </c>
      <c r="I79" s="1862">
        <f t="shared" si="21"/>
        <v>0</v>
      </c>
      <c r="J79" s="1862">
        <f t="shared" si="21"/>
        <v>0</v>
      </c>
      <c r="K79" s="1862">
        <f t="shared" si="21"/>
        <v>0</v>
      </c>
      <c r="L79" s="3909"/>
      <c r="M79" s="1862">
        <f t="shared" si="21"/>
        <v>0</v>
      </c>
      <c r="N79" s="3922"/>
      <c r="O79" s="3920"/>
      <c r="AU79" s="3837"/>
      <c r="AV79" s="1846"/>
      <c r="AW79" s="3851"/>
      <c r="AX79" s="1850"/>
      <c r="AY79" s="1850"/>
      <c r="AZ79" s="1850"/>
      <c r="BA79" s="3851"/>
      <c r="BB79" s="3851"/>
      <c r="BC79" s="3851"/>
      <c r="BD79" s="3851"/>
      <c r="BE79" s="3851"/>
    </row>
    <row r="80" spans="2:57" ht="13.5" thickBot="1">
      <c r="B80" s="3914"/>
      <c r="C80" s="3936"/>
      <c r="D80" s="3937"/>
      <c r="E80" s="3938">
        <f t="shared" ref="E80:M80" si="22">-E79</f>
        <v>0</v>
      </c>
      <c r="F80" s="3939">
        <f t="shared" si="22"/>
        <v>0</v>
      </c>
      <c r="G80" s="3938">
        <f t="shared" si="22"/>
        <v>0</v>
      </c>
      <c r="H80" s="3940">
        <f t="shared" si="22"/>
        <v>0</v>
      </c>
      <c r="I80" s="3941">
        <f t="shared" si="22"/>
        <v>0</v>
      </c>
      <c r="J80" s="3942">
        <f t="shared" si="22"/>
        <v>0</v>
      </c>
      <c r="K80" s="3943">
        <f t="shared" si="22"/>
        <v>0</v>
      </c>
      <c r="L80" s="3940"/>
      <c r="M80" s="3943">
        <f t="shared" si="22"/>
        <v>0</v>
      </c>
      <c r="N80" s="3922"/>
      <c r="O80" s="3920"/>
      <c r="AU80" s="3837"/>
      <c r="AV80" s="1846"/>
      <c r="AW80" s="3851"/>
      <c r="AX80" s="1850"/>
      <c r="AY80" s="1850"/>
      <c r="AZ80" s="1850"/>
      <c r="BB80" s="3851"/>
      <c r="BC80" s="3851"/>
      <c r="BD80" s="3851"/>
      <c r="BE80" s="3851"/>
    </row>
    <row r="81" spans="1:65" ht="13.5" thickBot="1">
      <c r="B81" s="3914"/>
      <c r="C81" s="3936"/>
      <c r="D81" s="1849" t="s">
        <v>38</v>
      </c>
      <c r="E81" s="3873"/>
      <c r="J81" s="3843"/>
      <c r="K81" s="3844"/>
      <c r="L81" s="3874"/>
      <c r="M81" s="3844"/>
      <c r="N81" s="3922"/>
      <c r="O81" s="3920"/>
      <c r="AU81" s="3837"/>
      <c r="AV81" s="3851"/>
      <c r="AW81" s="3851"/>
      <c r="AX81" s="1850"/>
      <c r="AY81" s="1850"/>
      <c r="AZ81" s="1850"/>
      <c r="BA81" s="3851"/>
      <c r="BB81" s="3851"/>
      <c r="BC81" s="3851"/>
      <c r="BD81" s="3851"/>
      <c r="BE81" s="3851"/>
    </row>
    <row r="82" spans="1:65">
      <c r="B82" s="3914"/>
      <c r="C82" s="3892"/>
      <c r="G82" s="3908"/>
      <c r="J82" s="3843"/>
      <c r="K82" s="3844"/>
      <c r="L82" s="3874"/>
      <c r="M82" s="3844"/>
      <c r="N82" s="3922"/>
      <c r="O82" s="3920"/>
      <c r="AU82" s="1846"/>
      <c r="AV82" s="3851"/>
      <c r="AW82" s="3851"/>
      <c r="AX82" s="1850"/>
      <c r="AY82" s="1850"/>
      <c r="AZ82" s="1850"/>
      <c r="BA82" s="3851"/>
      <c r="BB82" s="3851"/>
      <c r="BC82" s="3851"/>
      <c r="BD82" s="3851"/>
      <c r="BE82" s="3851"/>
      <c r="BF82" s="3851"/>
      <c r="BG82" s="3851"/>
      <c r="BH82" s="3851"/>
    </row>
    <row r="83" spans="1:65">
      <c r="B83" s="3914"/>
      <c r="C83" s="3901">
        <v>1610097</v>
      </c>
      <c r="D83" s="3929" t="s">
        <v>2526</v>
      </c>
      <c r="E83" s="3844">
        <f>IFERROR(VLOOKUP(C83,'פ.נ. צרפת'!$D$129:$F$1048576,3,0),0)</f>
        <v>1160819.78</v>
      </c>
      <c r="F83" s="3843">
        <f>SUMIF('פ.נ. צרפת'!$C:$C,$C:$C,'פ.נ. צרפת'!$E:$E)</f>
        <v>0</v>
      </c>
      <c r="G83" s="3882"/>
      <c r="H83" s="3884"/>
      <c r="I83" s="3882"/>
      <c r="J83" s="4293">
        <f>SUM(E83:I83)</f>
        <v>1160819.78</v>
      </c>
      <c r="K83" s="3944">
        <f>M83+SUMIF('פ.נ. צרפת'!$C:$C,$C:$C,'פ.נ. צרפת'!$F:$F)</f>
        <v>1379067.85</v>
      </c>
      <c r="L83" s="3845"/>
      <c r="M83" s="3885">
        <f>IFERROR(VLOOKUP(C83,'פ.נ. צרפת'!$D$129:$G$1048576,4,0),"")</f>
        <v>1379067.85</v>
      </c>
      <c r="N83" s="3945">
        <f>IF(K83=0,"-",J83/K83)</f>
        <v>0.84174232616618538</v>
      </c>
      <c r="O83" s="3928"/>
      <c r="AU83" s="1846"/>
      <c r="AV83" s="3851"/>
      <c r="AW83" s="3851"/>
      <c r="AX83" s="1850"/>
      <c r="AY83" s="1850"/>
      <c r="AZ83" s="1850"/>
      <c r="BA83" s="3851"/>
      <c r="BB83" s="3851"/>
      <c r="BC83" s="3851"/>
      <c r="BD83" s="3851"/>
      <c r="BE83" s="3851"/>
      <c r="BF83" s="3851"/>
      <c r="BG83" s="3851"/>
      <c r="BH83" s="3851"/>
    </row>
    <row r="84" spans="1:65">
      <c r="B84" s="3914"/>
      <c r="C84" s="3901"/>
      <c r="D84" s="3929"/>
      <c r="E84" s="3844"/>
      <c r="F84" s="3843"/>
      <c r="G84" s="3882"/>
      <c r="H84" s="3884"/>
      <c r="I84" s="3882"/>
      <c r="J84" s="3930"/>
      <c r="K84" s="3944"/>
      <c r="L84" s="3845"/>
      <c r="M84" s="3931"/>
      <c r="N84" s="3945"/>
      <c r="O84" s="3928"/>
      <c r="AU84" s="1846"/>
      <c r="AV84" s="3851"/>
      <c r="AW84" s="3851"/>
      <c r="AX84" s="1850"/>
      <c r="AY84" s="1850"/>
      <c r="AZ84" s="1850"/>
      <c r="BA84" s="3851"/>
      <c r="BB84" s="3851"/>
      <c r="BC84" s="3851"/>
      <c r="BD84" s="3851"/>
      <c r="BE84" s="3851"/>
      <c r="BF84" s="3851"/>
      <c r="BG84" s="3851"/>
      <c r="BH84" s="3851"/>
    </row>
    <row r="85" spans="1:65">
      <c r="B85" s="3914"/>
      <c r="C85" s="1870"/>
      <c r="D85" s="1877" t="s">
        <v>74</v>
      </c>
      <c r="E85" s="3302">
        <f>SUM(E82:E84)</f>
        <v>1160819.78</v>
      </c>
      <c r="F85" s="3296">
        <f>SUM(F82:F84)</f>
        <v>0</v>
      </c>
      <c r="G85" s="1862">
        <f>SUM(G82:G83)</f>
        <v>0</v>
      </c>
      <c r="H85" s="1862">
        <f>SUM(H82:H83)</f>
        <v>0</v>
      </c>
      <c r="I85" s="1862">
        <f>SUM(I82:I83)</f>
        <v>0</v>
      </c>
      <c r="J85" s="4290">
        <f>SUM(J82:J84)</f>
        <v>1160819.78</v>
      </c>
      <c r="K85" s="1862">
        <f>SUM(K82:K84)</f>
        <v>1379067.85</v>
      </c>
      <c r="L85" s="3909"/>
      <c r="M85" s="1862">
        <f>SUM(M82:M84)</f>
        <v>1379067.85</v>
      </c>
      <c r="N85" s="3922"/>
      <c r="O85" s="3920"/>
      <c r="AU85" s="1846"/>
      <c r="AV85" s="3851"/>
      <c r="AW85" s="3851"/>
      <c r="AX85" s="1850"/>
      <c r="AY85" s="1850"/>
      <c r="AZ85" s="1850"/>
      <c r="BA85" s="3851"/>
      <c r="BB85" s="3851"/>
      <c r="BC85" s="3851"/>
      <c r="BD85" s="3851"/>
      <c r="BE85" s="3851"/>
      <c r="BF85" s="3851"/>
      <c r="BG85" s="3851"/>
      <c r="BH85" s="3851"/>
    </row>
    <row r="86" spans="1:65">
      <c r="B86" s="3914"/>
      <c r="C86" s="3910"/>
      <c r="J86" s="3851"/>
      <c r="K86" s="3896"/>
      <c r="L86" s="3874"/>
      <c r="M86" s="3896"/>
      <c r="N86" s="3922"/>
      <c r="O86" s="3920"/>
      <c r="AU86" s="1846"/>
      <c r="AV86" s="3851"/>
      <c r="AW86" s="3851"/>
      <c r="AX86" s="1850"/>
      <c r="AY86" s="1850"/>
      <c r="AZ86" s="1850"/>
      <c r="BA86" s="3851"/>
      <c r="BB86" s="3851"/>
      <c r="BC86" s="3851"/>
      <c r="BD86" s="3851"/>
      <c r="BE86" s="3851"/>
      <c r="BF86" s="3851"/>
      <c r="BG86" s="3851"/>
      <c r="BH86" s="3851"/>
    </row>
    <row r="87" spans="1:65">
      <c r="B87" s="3914"/>
      <c r="C87" s="1870"/>
      <c r="D87" s="1874" t="s">
        <v>75</v>
      </c>
      <c r="E87" s="1862">
        <f t="shared" ref="E87:K87" si="23">+E79+E67+E29+E85</f>
        <v>5512586.7800000003</v>
      </c>
      <c r="F87" s="1862">
        <f t="shared" si="23"/>
        <v>0</v>
      </c>
      <c r="G87" s="1862">
        <f t="shared" si="23"/>
        <v>0</v>
      </c>
      <c r="H87" s="1862">
        <f t="shared" si="23"/>
        <v>0</v>
      </c>
      <c r="I87" s="1862">
        <f t="shared" si="23"/>
        <v>0</v>
      </c>
      <c r="J87" s="1862">
        <f t="shared" si="23"/>
        <v>5512586.7800000003</v>
      </c>
      <c r="K87" s="1862">
        <f t="shared" si="23"/>
        <v>6407528.1600000001</v>
      </c>
      <c r="L87" s="3909"/>
      <c r="M87" s="1862">
        <f>+M79+M67+M29+M85</f>
        <v>6407528.1600000001</v>
      </c>
      <c r="N87" s="3922"/>
      <c r="O87" s="3920"/>
      <c r="AU87" s="1846"/>
      <c r="AV87" s="3851"/>
      <c r="AW87" s="3851"/>
      <c r="AX87" s="1850"/>
      <c r="AY87" s="1850"/>
      <c r="AZ87" s="1850"/>
      <c r="BA87" s="3851"/>
      <c r="BB87" s="3851"/>
      <c r="BC87" s="3851"/>
      <c r="BD87" s="3851"/>
      <c r="BE87" s="3851"/>
      <c r="BF87" s="3851"/>
      <c r="BG87" s="3851"/>
      <c r="BH87" s="3851"/>
    </row>
    <row r="88" spans="1:65" ht="13.5" thickBot="1">
      <c r="B88" s="3914"/>
      <c r="C88" s="3910"/>
      <c r="E88" s="3873"/>
      <c r="J88" s="3843"/>
      <c r="K88" s="3844"/>
      <c r="L88" s="3874"/>
      <c r="M88" s="3844"/>
      <c r="N88" s="3945"/>
      <c r="O88" s="3920"/>
      <c r="AU88" s="1846"/>
      <c r="AV88" s="3851"/>
      <c r="AW88" s="3851"/>
      <c r="AX88" s="1850"/>
      <c r="AY88" s="1850"/>
      <c r="AZ88" s="1850"/>
      <c r="BA88" s="3851"/>
      <c r="BB88" s="3851"/>
      <c r="BC88" s="3851"/>
      <c r="BD88" s="3851"/>
      <c r="BE88" s="3851"/>
      <c r="BF88" s="3851"/>
      <c r="BG88" s="3851"/>
      <c r="BH88" s="3851"/>
    </row>
    <row r="89" spans="1:65" ht="13.5" thickBot="1">
      <c r="B89" s="3914"/>
      <c r="C89" s="3910"/>
      <c r="D89" s="1849" t="s">
        <v>8</v>
      </c>
      <c r="E89" s="3873"/>
      <c r="J89" s="3843"/>
      <c r="K89" s="1878"/>
      <c r="L89" s="3874"/>
      <c r="M89" s="1878"/>
      <c r="N89" s="3945"/>
      <c r="O89" s="3920"/>
      <c r="AU89" s="1846"/>
      <c r="AV89" s="3851"/>
      <c r="AW89" s="3851"/>
      <c r="AX89" s="1850"/>
      <c r="AY89" s="1850"/>
      <c r="AZ89" s="1850"/>
      <c r="BA89" s="3851"/>
      <c r="BB89" s="3851"/>
      <c r="BC89" s="3851"/>
      <c r="BD89" s="3851"/>
      <c r="BE89" s="3851"/>
      <c r="BF89" s="3851"/>
      <c r="BG89" s="3851"/>
      <c r="BH89" s="3851"/>
    </row>
    <row r="90" spans="1:65">
      <c r="B90" s="3914"/>
      <c r="C90" s="3910"/>
      <c r="D90" s="1867" t="s">
        <v>11</v>
      </c>
      <c r="E90" s="3873"/>
      <c r="J90" s="3843"/>
      <c r="K90" s="1878"/>
      <c r="L90" s="3874"/>
      <c r="M90" s="1878"/>
      <c r="N90" s="3945"/>
      <c r="O90" s="3920"/>
      <c r="AU90" s="1846"/>
      <c r="AV90" s="3851"/>
      <c r="AW90" s="3851"/>
      <c r="AX90" s="1850"/>
      <c r="AY90" s="1850"/>
      <c r="AZ90" s="1850"/>
      <c r="BA90" s="3851"/>
      <c r="BB90" s="3851"/>
      <c r="BC90" s="3851"/>
      <c r="BD90" s="3851"/>
      <c r="BE90" s="3851"/>
      <c r="BF90" s="3851"/>
      <c r="BG90" s="3851"/>
      <c r="BH90" s="3851"/>
    </row>
    <row r="91" spans="1:65">
      <c r="B91" s="3914"/>
      <c r="C91" s="3946"/>
      <c r="E91" s="3873"/>
      <c r="J91" s="3843"/>
      <c r="K91" s="3844"/>
      <c r="L91" s="3874"/>
      <c r="M91" s="3844"/>
      <c r="N91" s="3945"/>
      <c r="O91" s="3920"/>
      <c r="AU91" s="1846"/>
      <c r="AV91" s="3851"/>
      <c r="AW91" s="3851"/>
      <c r="AX91" s="1850"/>
      <c r="AY91" s="1850"/>
      <c r="AZ91" s="1850"/>
      <c r="BA91" s="3851"/>
      <c r="BB91" s="3851"/>
      <c r="BC91" s="3851"/>
      <c r="BD91" s="3851"/>
      <c r="BE91" s="3851"/>
      <c r="BF91" s="3851"/>
      <c r="BG91" s="3851"/>
      <c r="BH91" s="3851"/>
    </row>
    <row r="92" spans="1:65">
      <c r="B92" s="3914"/>
      <c r="C92" s="1870"/>
      <c r="D92" s="1861" t="s">
        <v>76</v>
      </c>
      <c r="E92" s="1862">
        <f t="shared" ref="E92:M92" si="24">SUM(E91:E91)</f>
        <v>0</v>
      </c>
      <c r="F92" s="1862">
        <f t="shared" si="24"/>
        <v>0</v>
      </c>
      <c r="G92" s="1862">
        <f t="shared" si="24"/>
        <v>0</v>
      </c>
      <c r="H92" s="1862">
        <f t="shared" si="24"/>
        <v>0</v>
      </c>
      <c r="I92" s="1862">
        <f t="shared" si="24"/>
        <v>0</v>
      </c>
      <c r="J92" s="1862">
        <f t="shared" si="24"/>
        <v>0</v>
      </c>
      <c r="K92" s="1862">
        <f t="shared" si="24"/>
        <v>0</v>
      </c>
      <c r="L92" s="3909"/>
      <c r="M92" s="1862">
        <f t="shared" si="24"/>
        <v>0</v>
      </c>
      <c r="N92" s="3945"/>
      <c r="O92" s="3920"/>
      <c r="AW92" s="1879"/>
      <c r="AX92" s="1850"/>
      <c r="AY92" s="1850"/>
      <c r="AZ92" s="1850"/>
      <c r="BA92" s="3851"/>
      <c r="BB92" s="3855"/>
      <c r="BC92" s="3851"/>
      <c r="BD92" s="3851"/>
      <c r="BE92" s="3851"/>
      <c r="BF92" s="3851"/>
      <c r="BG92" s="3851"/>
      <c r="BH92" s="3851"/>
    </row>
    <row r="93" spans="1:65" ht="13.5" thickBot="1">
      <c r="B93" s="3914"/>
      <c r="C93" s="3910"/>
      <c r="J93" s="3851"/>
      <c r="K93" s="3845"/>
      <c r="L93" s="3874"/>
      <c r="M93" s="3845"/>
      <c r="N93" s="3945"/>
      <c r="O93" s="3920"/>
      <c r="AW93" s="1879"/>
      <c r="AX93" s="1850"/>
      <c r="AY93" s="1850"/>
      <c r="AZ93" s="1850"/>
      <c r="BA93" s="3851"/>
      <c r="BB93" s="3855"/>
      <c r="BC93" s="3851"/>
      <c r="BD93" s="3851"/>
      <c r="BE93" s="3851"/>
      <c r="BF93" s="3851"/>
      <c r="BG93" s="3851"/>
      <c r="BH93" s="3851"/>
    </row>
    <row r="94" spans="1:65" ht="13.5" thickBot="1">
      <c r="B94" s="3914"/>
      <c r="C94" s="1856"/>
      <c r="D94" s="1849" t="s">
        <v>184</v>
      </c>
      <c r="E94" s="3873"/>
      <c r="J94" s="3843"/>
      <c r="K94" s="3844"/>
      <c r="L94" s="3874"/>
      <c r="M94" s="3844"/>
      <c r="N94" s="3945"/>
      <c r="O94" s="3920"/>
      <c r="AW94" s="1879"/>
      <c r="AX94" s="1850"/>
      <c r="AY94" s="1850"/>
      <c r="AZ94" s="1850"/>
      <c r="BA94" s="3851"/>
      <c r="BB94" s="3855"/>
      <c r="BC94" s="3851"/>
      <c r="BD94" s="3851"/>
      <c r="BE94" s="3851"/>
      <c r="BF94" s="3851"/>
      <c r="BG94" s="3851"/>
      <c r="BH94" s="3851"/>
    </row>
    <row r="95" spans="1:65">
      <c r="A95" s="3857"/>
      <c r="B95" s="3914"/>
      <c r="C95" s="3898"/>
      <c r="D95" s="3899"/>
      <c r="G95" s="3845"/>
      <c r="H95" s="3851"/>
      <c r="I95" s="3845"/>
      <c r="J95" s="3843"/>
      <c r="K95" s="3844"/>
      <c r="L95" s="3874"/>
      <c r="M95" s="3844"/>
      <c r="N95" s="3945"/>
      <c r="O95" s="3920"/>
      <c r="AW95" s="1879"/>
      <c r="AX95" s="1850"/>
      <c r="AY95" s="1850"/>
      <c r="AZ95" s="1850"/>
      <c r="BA95" s="3851"/>
      <c r="BB95" s="3855"/>
      <c r="BC95" s="3851"/>
      <c r="BD95" s="3851"/>
      <c r="BE95" s="3851"/>
      <c r="BF95" s="3851"/>
    </row>
    <row r="96" spans="1:65" s="3849" customFormat="1">
      <c r="A96" s="3872"/>
      <c r="B96" s="3879" t="s">
        <v>1032</v>
      </c>
      <c r="C96" s="3901">
        <v>2110002</v>
      </c>
      <c r="D96" s="3929" t="s">
        <v>2245</v>
      </c>
      <c r="E96" s="3931">
        <f>IFERROR(VLOOKUP(C96,'פ.נ. צרפת'!$D$129:$F$1048576,3,0),0)</f>
        <v>-1110</v>
      </c>
      <c r="F96" s="3843">
        <f>SUMIF('פ.נ. צרפת'!$C:$C,$C:$C,'פ.נ. צרפת'!$E:$E)</f>
        <v>0</v>
      </c>
      <c r="G96" s="3882"/>
      <c r="H96" s="3884"/>
      <c r="I96" s="3882"/>
      <c r="J96" s="4296">
        <f t="shared" ref="J96:J104" si="25">SUM(E96:I96)</f>
        <v>-1110</v>
      </c>
      <c r="K96" s="3931">
        <f>M96+SUMIF('פ.נ. צרפת'!$C:$C,$C:$C,'פ.נ. צרפת'!$F:$F)</f>
        <v>-1256.3</v>
      </c>
      <c r="L96" s="3845"/>
      <c r="M96" s="3931">
        <f>IFERROR(VLOOKUP(C96,'פ.נ. צרפת'!$D$129:$G$1048576,4,0),"")</f>
        <v>-1256.3</v>
      </c>
      <c r="N96" s="3877">
        <f t="shared" ref="N96:N104" si="26">IF(K96=0,"-",J96/K96)</f>
        <v>0.8835469235055321</v>
      </c>
      <c r="O96" s="3947"/>
      <c r="P96" s="3853"/>
      <c r="AW96" s="3851"/>
      <c r="AX96" s="1850"/>
      <c r="AY96" s="1850"/>
      <c r="AZ96" s="1850"/>
      <c r="BA96" s="1866"/>
      <c r="BB96" s="3851"/>
      <c r="BC96" s="3851"/>
      <c r="BD96" s="3851"/>
      <c r="BE96" s="3851"/>
      <c r="BF96" s="3851"/>
      <c r="BG96" s="3851"/>
      <c r="BH96" s="3851"/>
      <c r="BI96" s="1850"/>
      <c r="BJ96" s="3851"/>
      <c r="BK96" s="3851"/>
      <c r="BL96" s="3851"/>
      <c r="BM96" s="3948"/>
    </row>
    <row r="97" spans="1:67" s="3849" customFormat="1">
      <c r="A97" s="3857"/>
      <c r="B97" s="3879" t="s">
        <v>1034</v>
      </c>
      <c r="C97" s="3901">
        <v>2110014</v>
      </c>
      <c r="D97" s="3929" t="s">
        <v>4494</v>
      </c>
      <c r="E97" s="3931">
        <f>IFERROR(VLOOKUP(C97,'פ.נ. צרפת'!$D$129:$F$1048576,3,0),0)</f>
        <v>0</v>
      </c>
      <c r="F97" s="3843">
        <f>SUMIF('פ.נ. צרפת'!$C:$C,$C:$C,'פ.נ. צרפת'!$E:$E)</f>
        <v>0</v>
      </c>
      <c r="G97" s="3882"/>
      <c r="H97" s="3884"/>
      <c r="I97" s="3882"/>
      <c r="J97" s="3844">
        <f t="shared" ref="J97" si="27">SUM(E97:I97)</f>
        <v>0</v>
      </c>
      <c r="K97" s="3931">
        <f>M97+SUMIF('פ.נ. צרפת'!$C:$C,$C:$C,'פ.נ. צרפת'!$F:$F)</f>
        <v>0</v>
      </c>
      <c r="L97" s="3845"/>
      <c r="M97" s="3931" t="str">
        <f>IFERROR(VLOOKUP(C97,'פ.נ. צרפת'!$D$129:$G$1048576,4,0),"")</f>
        <v/>
      </c>
      <c r="N97" s="3877" t="str">
        <f t="shared" ref="N97" si="28">IF(K97=0,"-",J97/K97)</f>
        <v>-</v>
      </c>
      <c r="O97" s="3949"/>
      <c r="P97" s="3853"/>
      <c r="AW97" s="3851"/>
      <c r="AX97" s="1850"/>
      <c r="AY97" s="1850"/>
      <c r="AZ97" s="1850"/>
      <c r="BA97" s="1866"/>
      <c r="BB97" s="3851"/>
      <c r="BC97" s="3851"/>
      <c r="BD97" s="3851"/>
      <c r="BE97" s="3851"/>
      <c r="BF97" s="3851"/>
      <c r="BG97" s="3851"/>
      <c r="BH97" s="3851"/>
      <c r="BI97" s="1850"/>
      <c r="BJ97" s="3851"/>
      <c r="BK97" s="3851"/>
      <c r="BL97" s="3851"/>
      <c r="BM97" s="3851"/>
    </row>
    <row r="98" spans="1:67" s="3849" customFormat="1">
      <c r="A98" s="3857"/>
      <c r="B98" s="3879" t="s">
        <v>1034</v>
      </c>
      <c r="C98" s="3901">
        <v>2110009</v>
      </c>
      <c r="D98" s="3929" t="s">
        <v>4317</v>
      </c>
      <c r="E98" s="3931">
        <f>IFERROR(VLOOKUP(C98,'פ.נ. צרפת'!$D$129:$F$1048576,3,0),0)</f>
        <v>-8000</v>
      </c>
      <c r="F98" s="3843">
        <f>SUMIF('פ.נ. צרפת'!$C:$C,$C:$C,'פ.נ. צרפת'!$E:$E)</f>
        <v>0</v>
      </c>
      <c r="G98" s="3882"/>
      <c r="H98" s="3884"/>
      <c r="I98" s="3882"/>
      <c r="J98" s="4296">
        <f t="shared" si="25"/>
        <v>-8000</v>
      </c>
      <c r="K98" s="3931">
        <f>M98+SUMIF('פ.נ. צרפת'!$C:$C,$C:$C,'פ.נ. צרפת'!$F:$F)</f>
        <v>-9054.4</v>
      </c>
      <c r="L98" s="3845"/>
      <c r="M98" s="3931">
        <f>IFERROR(VLOOKUP(C98,'פ.נ. צרפת'!$D$129:$G$1048576,4,0),"")</f>
        <v>-9054.4</v>
      </c>
      <c r="N98" s="3877">
        <f t="shared" si="26"/>
        <v>0.88354833009365619</v>
      </c>
      <c r="O98" s="3949"/>
      <c r="P98" s="3853"/>
      <c r="AW98" s="3851"/>
      <c r="AX98" s="1850"/>
      <c r="AY98" s="1850"/>
      <c r="AZ98" s="1850"/>
      <c r="BA98" s="1866"/>
      <c r="BB98" s="3851"/>
      <c r="BC98" s="3851"/>
      <c r="BD98" s="3851"/>
      <c r="BE98" s="3851"/>
      <c r="BF98" s="3851"/>
      <c r="BG98" s="3851"/>
      <c r="BH98" s="3851"/>
      <c r="BI98" s="1850"/>
      <c r="BJ98" s="3851"/>
      <c r="BK98" s="3851"/>
      <c r="BL98" s="3851"/>
      <c r="BM98" s="3851"/>
    </row>
    <row r="99" spans="1:67" s="3849" customFormat="1">
      <c r="A99" s="3857"/>
      <c r="B99" s="3879" t="s">
        <v>1034</v>
      </c>
      <c r="C99" s="3901">
        <v>2110012</v>
      </c>
      <c r="D99" s="3929" t="s">
        <v>3650</v>
      </c>
      <c r="E99" s="3931">
        <f>IFERROR(VLOOKUP(C99,'פ.נ. צרפת'!$D$129:$F$1048576,3,0),0)</f>
        <v>0</v>
      </c>
      <c r="F99" s="3843">
        <f>SUMIF('פ.נ. צרפת'!$C:$C,$C:$C,'פ.נ. צרפת'!$E:$E)</f>
        <v>0</v>
      </c>
      <c r="G99" s="3882"/>
      <c r="H99" s="3884"/>
      <c r="I99" s="3882"/>
      <c r="J99" s="3844">
        <f t="shared" si="25"/>
        <v>0</v>
      </c>
      <c r="K99" s="3931">
        <f>M99+SUMIF('פ.נ. צרפת'!$C:$C,$C:$C,'פ.נ. צרפת'!$F:$F)</f>
        <v>0</v>
      </c>
      <c r="L99" s="3845"/>
      <c r="M99" s="3931" t="str">
        <f>IFERROR(VLOOKUP(C99,'פ.נ. צרפת'!$D$129:$G$1048576,4,0),"")</f>
        <v/>
      </c>
      <c r="N99" s="3877" t="str">
        <f t="shared" si="26"/>
        <v>-</v>
      </c>
      <c r="O99" s="3949"/>
      <c r="P99" s="3853"/>
      <c r="AW99" s="3851"/>
      <c r="AX99" s="1850"/>
      <c r="AY99" s="1850"/>
      <c r="AZ99" s="1850"/>
      <c r="BA99" s="1866"/>
      <c r="BB99" s="3851"/>
      <c r="BC99" s="3851"/>
      <c r="BD99" s="3851"/>
      <c r="BE99" s="3851"/>
      <c r="BF99" s="3851"/>
      <c r="BG99" s="3851"/>
      <c r="BH99" s="3851"/>
      <c r="BI99" s="1850"/>
      <c r="BJ99" s="3851"/>
      <c r="BK99" s="3851"/>
      <c r="BL99" s="3851"/>
      <c r="BM99" s="3851"/>
    </row>
    <row r="100" spans="1:67" s="3849" customFormat="1">
      <c r="A100" s="3857"/>
      <c r="B100" s="3879" t="s">
        <v>1034</v>
      </c>
      <c r="C100" s="3901">
        <v>2110006</v>
      </c>
      <c r="D100" s="3929" t="s">
        <v>3640</v>
      </c>
      <c r="E100" s="3931">
        <f>IFERROR(VLOOKUP(C100,'פ.נ. צרפת'!$D$129:$F$1048576,3,0),0)</f>
        <v>0</v>
      </c>
      <c r="F100" s="3843">
        <f>SUMIF('פ.נ. צרפת'!$C:$C,$C:$C,'פ.נ. צרפת'!$E:$E)</f>
        <v>0</v>
      </c>
      <c r="G100" s="3882"/>
      <c r="H100" s="3884"/>
      <c r="I100" s="3882"/>
      <c r="J100" s="3844">
        <f t="shared" si="25"/>
        <v>0</v>
      </c>
      <c r="K100" s="3931">
        <f>M100+SUMIF('פ.נ. צרפת'!$C:$C,$C:$C,'פ.נ. צרפת'!$F:$F)</f>
        <v>0</v>
      </c>
      <c r="L100" s="3845"/>
      <c r="M100" s="3931" t="str">
        <f>IFERROR(VLOOKUP(C100,'פ.נ. צרפת'!$D$129:$G$1048576,4,0),"")</f>
        <v/>
      </c>
      <c r="N100" s="3877" t="str">
        <f t="shared" si="26"/>
        <v>-</v>
      </c>
      <c r="O100" s="3949"/>
      <c r="P100" s="3853"/>
      <c r="AW100" s="3851"/>
      <c r="AX100" s="1850"/>
      <c r="AY100" s="1850"/>
      <c r="AZ100" s="1850"/>
      <c r="BA100" s="1866"/>
      <c r="BB100" s="3851"/>
      <c r="BC100" s="3851"/>
      <c r="BD100" s="3851"/>
      <c r="BE100" s="3851"/>
      <c r="BF100" s="3851"/>
      <c r="BG100" s="3851"/>
      <c r="BH100" s="3851"/>
      <c r="BI100" s="1850"/>
      <c r="BJ100" s="3851"/>
      <c r="BK100" s="3851"/>
      <c r="BL100" s="3851"/>
      <c r="BM100" s="3851"/>
    </row>
    <row r="101" spans="1:67" s="3849" customFormat="1">
      <c r="A101" s="3857"/>
      <c r="B101" s="3879" t="s">
        <v>1034</v>
      </c>
      <c r="C101" s="3901">
        <v>2110005</v>
      </c>
      <c r="D101" s="3929" t="s">
        <v>3891</v>
      </c>
      <c r="E101" s="3931">
        <f>IFERROR(VLOOKUP(C101,'פ.נ. צרפת'!$D$129:$F$1048576,3,0),0)</f>
        <v>0</v>
      </c>
      <c r="F101" s="3843">
        <f>SUMIF('פ.נ. צרפת'!$C:$C,$C:$C,'פ.נ. צרפת'!$E:$E)</f>
        <v>0</v>
      </c>
      <c r="G101" s="3882"/>
      <c r="H101" s="3884"/>
      <c r="I101" s="3882"/>
      <c r="J101" s="3844">
        <f t="shared" si="25"/>
        <v>0</v>
      </c>
      <c r="K101" s="3931">
        <f>M101+SUMIF('פ.נ. צרפת'!$C:$C,$C:$C,'פ.נ. צרפת'!$F:$F)</f>
        <v>0</v>
      </c>
      <c r="L101" s="3845"/>
      <c r="M101" s="3931" t="str">
        <f>IFERROR(VLOOKUP(C101,'פ.נ. צרפת'!$D$129:$G$1048576,4,0),"")</f>
        <v/>
      </c>
      <c r="N101" s="3877" t="str">
        <f t="shared" si="26"/>
        <v>-</v>
      </c>
      <c r="O101" s="3949"/>
      <c r="P101" s="3853"/>
      <c r="AW101" s="3851"/>
      <c r="AX101" s="1850"/>
      <c r="AY101" s="1850"/>
      <c r="AZ101" s="1850"/>
      <c r="BA101" s="1866"/>
      <c r="BB101" s="3851"/>
      <c r="BC101" s="3851"/>
      <c r="BD101" s="3851"/>
      <c r="BE101" s="3851"/>
      <c r="BF101" s="3851"/>
      <c r="BG101" s="3851"/>
      <c r="BH101" s="3851"/>
      <c r="BI101" s="1850"/>
      <c r="BJ101" s="3851"/>
      <c r="BK101" s="3851"/>
      <c r="BL101" s="3851"/>
      <c r="BM101" s="3851"/>
    </row>
    <row r="102" spans="1:67" s="3849" customFormat="1">
      <c r="A102" s="3857"/>
      <c r="B102" s="3879" t="s">
        <v>1034</v>
      </c>
      <c r="C102" s="3901">
        <v>2110004</v>
      </c>
      <c r="D102" s="3929" t="s">
        <v>4994</v>
      </c>
      <c r="E102" s="3931">
        <f>IFERROR(VLOOKUP(C102,'פ.נ. צרפת'!$D$129:$F$1048576,3,0),0)</f>
        <v>2345</v>
      </c>
      <c r="F102" s="3843">
        <f>SUMIF('פ.נ. צרפת'!$C:$C,$C:$C,'פ.נ. צרפת'!$E:$E)</f>
        <v>0</v>
      </c>
      <c r="G102" s="3882"/>
      <c r="H102" s="3884"/>
      <c r="I102" s="3882"/>
      <c r="J102" s="4294">
        <f t="shared" ref="J102" si="29">SUM(E102:I102)</f>
        <v>2345</v>
      </c>
      <c r="K102" s="3931">
        <f>M102+SUMIF('פ.נ. צרפת'!$C:$C,$C:$C,'פ.נ. צרפת'!$F:$F)</f>
        <v>2654.07</v>
      </c>
      <c r="L102" s="3845"/>
      <c r="M102" s="3931">
        <f>IFERROR(VLOOKUP(C102,'פ.נ. צרפת'!$D$129:$G$1048576,4,0),"")</f>
        <v>2654.07</v>
      </c>
      <c r="N102" s="3877">
        <f t="shared" ref="N102" si="30">IF(K102=0,"-",J102/K102)</f>
        <v>0.88354866299683121</v>
      </c>
      <c r="O102" s="3949"/>
      <c r="P102" s="3853"/>
      <c r="AW102" s="3851"/>
      <c r="AX102" s="1850"/>
      <c r="AY102" s="1850"/>
      <c r="AZ102" s="1850"/>
      <c r="BA102" s="1866"/>
      <c r="BB102" s="3851"/>
      <c r="BC102" s="3851"/>
      <c r="BD102" s="3851"/>
      <c r="BE102" s="3851"/>
      <c r="BF102" s="3851"/>
      <c r="BG102" s="3851"/>
      <c r="BH102" s="3851"/>
      <c r="BI102" s="1850"/>
      <c r="BJ102" s="3851"/>
      <c r="BK102" s="3851"/>
      <c r="BL102" s="3851"/>
      <c r="BM102" s="3851"/>
    </row>
    <row r="103" spans="1:67" s="3849" customFormat="1">
      <c r="A103" s="3852"/>
      <c r="B103" s="3879" t="s">
        <v>1034</v>
      </c>
      <c r="C103" s="4270">
        <v>2110015</v>
      </c>
      <c r="D103" s="3929" t="s">
        <v>4993</v>
      </c>
      <c r="E103" s="3931">
        <f>IFERROR(VLOOKUP(C103,'פ.נ. צרפת'!$D$129:$F$1048576,3,0),0)</f>
        <v>-1680</v>
      </c>
      <c r="F103" s="3843">
        <f>SUMIF('פ.נ. צרפת'!$C:$C,$C:$C,'פ.נ. צרפת'!$E:$E)</f>
        <v>0</v>
      </c>
      <c r="G103" s="3882"/>
      <c r="H103" s="3884"/>
      <c r="I103" s="3882"/>
      <c r="J103" s="4296">
        <f t="shared" si="25"/>
        <v>-1680</v>
      </c>
      <c r="K103" s="3931">
        <f>M103+SUMIF('פ.נ. צרפת'!$C:$C,$C:$C,'פ.נ. צרפת'!$F:$F)</f>
        <v>-1901.42</v>
      </c>
      <c r="L103" s="3845"/>
      <c r="M103" s="3931">
        <f>IFERROR(VLOOKUP(C103,'פ.נ. צרפת'!$D$129:$G$1048576,4,0),"")</f>
        <v>-1901.42</v>
      </c>
      <c r="N103" s="3945">
        <f t="shared" si="26"/>
        <v>0.88355018880626057</v>
      </c>
      <c r="O103" s="3928"/>
      <c r="P103" s="3853"/>
      <c r="AW103" s="1850"/>
      <c r="AX103" s="1850"/>
      <c r="AY103" s="1850"/>
      <c r="AZ103" s="1850"/>
      <c r="BA103" s="3851"/>
      <c r="BB103" s="3855"/>
      <c r="BC103" s="3851"/>
      <c r="BD103" s="3851"/>
      <c r="BE103" s="3851"/>
      <c r="BF103" s="3851"/>
    </row>
    <row r="104" spans="1:67">
      <c r="A104" s="3857"/>
      <c r="B104" s="3879" t="s">
        <v>1034</v>
      </c>
      <c r="C104" s="3901">
        <v>2110007</v>
      </c>
      <c r="D104" s="3950" t="s">
        <v>3651</v>
      </c>
      <c r="E104" s="3931">
        <f>IFERROR(VLOOKUP(C104,'פ.נ. צרפת'!$D$129:$F$1048576,3,0),0)</f>
        <v>-876.6</v>
      </c>
      <c r="F104" s="3843">
        <f>SUMIF('פ.נ. צרפת'!$C:$C,$C:$C,'פ.נ. צרפת'!$E:$E)</f>
        <v>0</v>
      </c>
      <c r="G104" s="3882"/>
      <c r="H104" s="3884"/>
      <c r="I104" s="3882"/>
      <c r="J104" s="4296">
        <f t="shared" si="25"/>
        <v>-876.6</v>
      </c>
      <c r="K104" s="3931">
        <f>M104+SUMIF('פ.נ. צרפת'!$C:$C,$C:$C,'פ.נ. צרפת'!$F:$F)</f>
        <v>-991.3</v>
      </c>
      <c r="L104" s="3845"/>
      <c r="M104" s="3931">
        <f>IFERROR(VLOOKUP(C104,'פ.נ. צרפת'!$D$129:$G$1048576,4,0),"")</f>
        <v>-991.3</v>
      </c>
      <c r="N104" s="3945">
        <f t="shared" si="26"/>
        <v>0.88429335216382532</v>
      </c>
      <c r="O104" s="3920"/>
      <c r="AW104" s="3874"/>
      <c r="AX104" s="1850"/>
      <c r="AY104" s="1850"/>
      <c r="AZ104" s="1850"/>
      <c r="BA104" s="1866"/>
      <c r="BB104" s="3851"/>
      <c r="BC104" s="3851"/>
      <c r="BD104" s="3851"/>
      <c r="BE104" s="3851"/>
      <c r="BF104" s="3851"/>
      <c r="BG104" s="3851"/>
      <c r="BH104" s="3851"/>
      <c r="BI104" s="1850"/>
      <c r="BJ104" s="3851"/>
      <c r="BK104" s="3851"/>
      <c r="BL104" s="3874"/>
      <c r="BM104" s="3951"/>
    </row>
    <row r="105" spans="1:67">
      <c r="A105" s="3857"/>
      <c r="B105" s="3879"/>
      <c r="C105" s="3889"/>
      <c r="D105" s="3952"/>
      <c r="E105" s="3931"/>
      <c r="F105" s="3843"/>
      <c r="G105" s="3882"/>
      <c r="H105" s="3884"/>
      <c r="I105" s="3882"/>
      <c r="J105" s="3844"/>
      <c r="K105" s="3931"/>
      <c r="L105" s="3851"/>
      <c r="M105" s="3974"/>
      <c r="N105" s="3945"/>
      <c r="O105" s="3920"/>
      <c r="AW105" s="3874"/>
      <c r="AX105" s="1850"/>
      <c r="AY105" s="1850"/>
      <c r="AZ105" s="1850"/>
      <c r="BA105" s="1866"/>
      <c r="BB105" s="3851"/>
      <c r="BC105" s="3851"/>
      <c r="BD105" s="3851"/>
      <c r="BE105" s="3851"/>
      <c r="BF105" s="3851"/>
      <c r="BG105" s="3851"/>
      <c r="BH105" s="3851"/>
      <c r="BI105" s="1850"/>
      <c r="BJ105" s="3851"/>
      <c r="BK105" s="3851"/>
      <c r="BL105" s="3874"/>
      <c r="BM105" s="3874"/>
    </row>
    <row r="106" spans="1:67" ht="13.5" thickBot="1">
      <c r="A106" s="3857"/>
      <c r="B106" s="3656"/>
      <c r="C106" s="1880"/>
      <c r="D106" s="1881" t="s">
        <v>2971</v>
      </c>
      <c r="E106" s="1882">
        <f t="shared" ref="E106:K106" si="31">SUM(E96:E104)</f>
        <v>-9321.6</v>
      </c>
      <c r="F106" s="1882">
        <f t="shared" si="31"/>
        <v>0</v>
      </c>
      <c r="G106" s="1882">
        <f t="shared" si="31"/>
        <v>0</v>
      </c>
      <c r="H106" s="1882">
        <f t="shared" si="31"/>
        <v>0</v>
      </c>
      <c r="I106" s="1882">
        <f t="shared" si="31"/>
        <v>0</v>
      </c>
      <c r="J106" s="1882">
        <f t="shared" si="31"/>
        <v>-9321.6</v>
      </c>
      <c r="K106" s="1882">
        <f t="shared" si="31"/>
        <v>-10549.349999999999</v>
      </c>
      <c r="L106" s="1884"/>
      <c r="M106" s="1882">
        <f>SUM(M96:M104)</f>
        <v>-10549.349999999999</v>
      </c>
      <c r="N106" s="3945"/>
      <c r="O106" s="3920"/>
      <c r="Q106" s="3878"/>
      <c r="R106" s="3878"/>
      <c r="S106" s="3953"/>
      <c r="T106" s="3953"/>
      <c r="U106" s="3953"/>
      <c r="V106" s="3953"/>
      <c r="W106" s="3953"/>
      <c r="X106" s="3953"/>
      <c r="Y106" s="3953"/>
      <c r="Z106" s="3953"/>
      <c r="AA106" s="3953"/>
      <c r="AB106" s="3953"/>
      <c r="AC106" s="3953"/>
      <c r="AD106" s="3953"/>
      <c r="AE106" s="3953"/>
      <c r="AF106" s="3953"/>
      <c r="AG106" s="3953"/>
      <c r="AH106" s="3953"/>
      <c r="AI106" s="3953"/>
      <c r="AJ106" s="3953"/>
      <c r="AK106" s="3953"/>
      <c r="AL106" s="3953"/>
      <c r="AM106" s="3953"/>
      <c r="AN106" s="3953"/>
      <c r="AO106" s="3953"/>
      <c r="AP106" s="3953"/>
      <c r="AQ106" s="3953"/>
      <c r="AR106" s="3953"/>
      <c r="AS106" s="3953"/>
      <c r="AW106" s="3851"/>
      <c r="AX106" s="1850"/>
      <c r="AY106" s="1850"/>
      <c r="AZ106" s="1850"/>
      <c r="BA106" s="3874"/>
      <c r="BB106" s="3851"/>
      <c r="BC106" s="3851"/>
      <c r="BD106" s="3851"/>
      <c r="BE106" s="3851"/>
      <c r="BF106" s="3851"/>
      <c r="BG106" s="3851"/>
      <c r="BH106" s="3851"/>
      <c r="BI106" s="3851"/>
      <c r="BJ106" s="1850"/>
      <c r="BK106" s="3851"/>
      <c r="BL106" s="3851"/>
      <c r="BM106" s="3874"/>
      <c r="BN106" s="3874"/>
    </row>
    <row r="107" spans="1:67" ht="13.5" thickBot="1">
      <c r="A107" s="3857"/>
      <c r="B107" s="3656"/>
      <c r="C107" s="1856"/>
      <c r="D107" s="1849" t="s">
        <v>66</v>
      </c>
      <c r="E107" s="3873"/>
      <c r="J107" s="3934"/>
      <c r="K107" s="3908"/>
      <c r="L107" s="3874"/>
      <c r="M107" s="3908"/>
      <c r="N107" s="3945"/>
      <c r="O107" s="3920"/>
      <c r="AW107" s="3874"/>
      <c r="AX107" s="1850"/>
      <c r="AY107" s="1850"/>
      <c r="AZ107" s="1850"/>
      <c r="BA107" s="1866"/>
      <c r="BB107" s="3851"/>
      <c r="BC107" s="3851"/>
      <c r="BD107" s="3851"/>
      <c r="BE107" s="3851"/>
      <c r="BF107" s="3851"/>
      <c r="BG107" s="3851"/>
      <c r="BH107" s="3851"/>
      <c r="BI107" s="1850"/>
      <c r="BJ107" s="3851"/>
      <c r="BK107" s="3851"/>
      <c r="BL107" s="3874"/>
      <c r="BM107" s="3951"/>
    </row>
    <row r="108" spans="1:67" ht="12.75" customHeight="1">
      <c r="B108" s="3954"/>
      <c r="C108" s="3955"/>
      <c r="D108" s="3929"/>
      <c r="E108" s="3931"/>
      <c r="F108" s="3843"/>
      <c r="G108" s="3882"/>
      <c r="H108" s="3884"/>
      <c r="I108" s="3882"/>
      <c r="J108" s="3844"/>
      <c r="K108" s="3931"/>
      <c r="L108" s="3845"/>
      <c r="M108" s="3931"/>
      <c r="N108" s="3877"/>
      <c r="O108" s="3920"/>
      <c r="P108" s="3956"/>
      <c r="AW108" s="3851"/>
      <c r="AX108" s="1850"/>
      <c r="AY108" s="1850"/>
      <c r="AZ108" s="1850"/>
      <c r="BA108" s="3855"/>
      <c r="BB108" s="3855"/>
      <c r="BC108" s="3888"/>
      <c r="BD108" s="3888"/>
      <c r="BE108" s="3867"/>
      <c r="BF108" s="1850"/>
      <c r="BG108" s="1863"/>
      <c r="BH108" s="3855"/>
      <c r="BI108" s="3888"/>
      <c r="BJ108" s="3888"/>
      <c r="BK108" s="3855"/>
      <c r="BO108" s="3869"/>
    </row>
    <row r="109" spans="1:67" ht="12.75" customHeight="1">
      <c r="B109" s="3954"/>
      <c r="C109" s="3955"/>
      <c r="D109" s="3929"/>
      <c r="E109" s="3931"/>
      <c r="F109" s="3843"/>
      <c r="G109" s="3882"/>
      <c r="H109" s="3884"/>
      <c r="I109" s="3882"/>
      <c r="J109" s="3844"/>
      <c r="K109" s="3931"/>
      <c r="L109" s="3845"/>
      <c r="M109" s="3931"/>
      <c r="N109" s="3877"/>
      <c r="O109" s="3920"/>
      <c r="P109" s="3956"/>
      <c r="AW109" s="3851"/>
      <c r="AX109" s="1850"/>
      <c r="AY109" s="1850"/>
      <c r="AZ109" s="1850"/>
      <c r="BA109" s="3855"/>
      <c r="BB109" s="3855"/>
      <c r="BC109" s="3888"/>
      <c r="BD109" s="3888"/>
      <c r="BE109" s="3867"/>
      <c r="BF109" s="1850"/>
      <c r="BG109" s="1863"/>
      <c r="BH109" s="3855"/>
      <c r="BI109" s="3888"/>
      <c r="BJ109" s="3888"/>
      <c r="BK109" s="3855"/>
      <c r="BO109" s="3869"/>
    </row>
    <row r="110" spans="1:67" ht="12.75" customHeight="1">
      <c r="B110" s="3954" t="s">
        <v>1044</v>
      </c>
      <c r="C110" s="4283">
        <v>2500021</v>
      </c>
      <c r="D110" s="4284" t="s">
        <v>5035</v>
      </c>
      <c r="E110" s="3931">
        <f>IFERROR(VLOOKUP(C110,'פ.נ. צרפת'!$D$129:$F$1048576,3,0),0)</f>
        <v>-6247</v>
      </c>
      <c r="F110" s="3843">
        <f>SUMIF('פ.נ. צרפת'!$C:$C,$C:$C,'פ.נ. צרפת'!$E:$E)</f>
        <v>0</v>
      </c>
      <c r="G110" s="3882"/>
      <c r="H110" s="3884"/>
      <c r="I110" s="3882"/>
      <c r="J110" s="3844">
        <f t="shared" ref="J110:J115" si="32">SUM(E110:I110)</f>
        <v>-6247</v>
      </c>
      <c r="K110" s="3931">
        <f>M110+SUMIF('פ.נ. צרפת'!$C:$C,$C:$C,'פ.נ. צרפת'!$F:$F)</f>
        <v>-7070.36</v>
      </c>
      <c r="L110" s="3845"/>
      <c r="M110" s="3931">
        <f>IFERROR(VLOOKUP(C110,'פ.נ. צרפת'!$D$129:$G$1048576,4,0),"")</f>
        <v>-7070.36</v>
      </c>
      <c r="N110" s="3877">
        <f t="shared" ref="N110:N115" si="33">IF(K110=0,"-",J110/K110)</f>
        <v>0.8835476552820507</v>
      </c>
      <c r="O110" s="3920"/>
      <c r="P110" s="3956"/>
      <c r="AW110" s="3851"/>
      <c r="AX110" s="1850"/>
      <c r="AY110" s="1850"/>
      <c r="AZ110" s="1850"/>
      <c r="BA110" s="3855"/>
      <c r="BB110" s="3855"/>
      <c r="BC110" s="3888"/>
      <c r="BD110" s="3888"/>
      <c r="BE110" s="3867"/>
      <c r="BF110" s="1850"/>
      <c r="BG110" s="1863"/>
      <c r="BH110" s="3855"/>
      <c r="BI110" s="3888"/>
      <c r="BJ110" s="3888"/>
      <c r="BK110" s="3855"/>
      <c r="BO110" s="3869"/>
    </row>
    <row r="111" spans="1:67">
      <c r="B111" s="3954" t="str">
        <f>"250.מוסדות זכאים"</f>
        <v>250.מוסדות זכאים</v>
      </c>
      <c r="C111" s="3955">
        <v>2500005</v>
      </c>
      <c r="D111" s="3929" t="str">
        <f>"מע""מ חו""ז TVA"</f>
        <v>מע"מ חו"ז TVA</v>
      </c>
      <c r="E111" s="3931">
        <f>IFERROR(VLOOKUP(C111,'פ.נ. צרפת'!$D$129:$F$1048576,3,0),0)</f>
        <v>0</v>
      </c>
      <c r="F111" s="3843">
        <f>SUMIF('פ.נ. צרפת'!$C:$C,$C:$C,'פ.נ. צרפת'!$E:$E)</f>
        <v>0</v>
      </c>
      <c r="G111" s="3882"/>
      <c r="H111" s="3884"/>
      <c r="I111" s="3882"/>
      <c r="J111" s="3844">
        <f t="shared" si="32"/>
        <v>0</v>
      </c>
      <c r="K111" s="3931">
        <f>M111+SUMIF('פ.נ. צרפת'!$C:$C,$C:$C,'פ.נ. צרפת'!$F:$F)</f>
        <v>0</v>
      </c>
      <c r="L111" s="3845"/>
      <c r="M111" s="3931" t="str">
        <f>IFERROR(VLOOKUP(C111,'פ.נ. צרפת'!$D$129:$G$1048576,4,0),"")</f>
        <v/>
      </c>
      <c r="N111" s="3877" t="str">
        <f t="shared" si="33"/>
        <v>-</v>
      </c>
      <c r="O111" s="3920"/>
      <c r="AW111" s="3851"/>
      <c r="AX111" s="1850"/>
      <c r="AY111" s="1850"/>
      <c r="AZ111" s="1850"/>
      <c r="BA111" s="3855"/>
      <c r="BB111" s="3855"/>
      <c r="BC111" s="3888"/>
      <c r="BD111" s="3888"/>
      <c r="BE111" s="3867"/>
      <c r="BF111" s="1850"/>
      <c r="BG111" s="1863"/>
      <c r="BH111" s="3855"/>
      <c r="BI111" s="3888"/>
      <c r="BJ111" s="3888"/>
      <c r="BK111" s="3855"/>
      <c r="BO111" s="3869"/>
    </row>
    <row r="112" spans="1:67" ht="13.5" thickBot="1">
      <c r="B112" s="3954" t="str">
        <f>"250.מוסדות זכאים"</f>
        <v>250.מוסדות זכאים</v>
      </c>
      <c r="C112" s="3955">
        <v>2500004</v>
      </c>
      <c r="D112" s="3929" t="str">
        <f>"מע""מ לא לקיזוז"</f>
        <v>מע"מ לא לקיזוז</v>
      </c>
      <c r="E112" s="3931">
        <f>IFERROR(VLOOKUP(C112,'פ.נ. צרפת'!$D$129:$F$1048576,3,0),0)</f>
        <v>400.61</v>
      </c>
      <c r="F112" s="3843">
        <f>SUMIF('פ.נ. צרפת'!$C:$C,$C:$C,'פ.נ. צרפת'!$E:$E)</f>
        <v>0</v>
      </c>
      <c r="G112" s="3882"/>
      <c r="H112" s="3884"/>
      <c r="I112" s="3882"/>
      <c r="J112" s="4294">
        <f t="shared" si="32"/>
        <v>400.61</v>
      </c>
      <c r="K112" s="3931">
        <f>M112+SUMIF('פ.נ. צרפת'!$C:$C,$C:$C,'פ.נ. צרפת'!$F:$F)</f>
        <v>453.42</v>
      </c>
      <c r="L112" s="3845"/>
      <c r="M112" s="3931">
        <f>IFERROR(VLOOKUP(C112,'פ.נ. צרפת'!$D$129:$G$1048576,4,0),"")</f>
        <v>453.42</v>
      </c>
      <c r="N112" s="3877">
        <f t="shared" si="33"/>
        <v>0.88352961933747964</v>
      </c>
      <c r="O112" s="3920"/>
      <c r="P112" s="3957" t="s">
        <v>3604</v>
      </c>
      <c r="AW112" s="3851"/>
      <c r="AX112" s="1850"/>
      <c r="AY112" s="1850"/>
      <c r="AZ112" s="1850"/>
      <c r="BA112" s="3855"/>
      <c r="BB112" s="3855"/>
      <c r="BC112" s="3888"/>
      <c r="BD112" s="3888"/>
      <c r="BE112" s="3867"/>
      <c r="BF112" s="1850"/>
      <c r="BG112" s="1863"/>
      <c r="BH112" s="3855"/>
      <c r="BI112" s="3888"/>
      <c r="BJ112" s="3888"/>
      <c r="BK112" s="3855"/>
      <c r="BO112" s="3869"/>
    </row>
    <row r="113" spans="1:67" ht="12.75" customHeight="1">
      <c r="B113" s="3954" t="str">
        <f>"250.מוסדות זכאים"</f>
        <v>250.מוסדות זכאים</v>
      </c>
      <c r="C113" s="3955">
        <v>2500001</v>
      </c>
      <c r="D113" s="3929" t="str">
        <f>"מע""מ תשומות"</f>
        <v>מע"מ תשומות</v>
      </c>
      <c r="E113" s="3931">
        <f>IFERROR(VLOOKUP(C113,'פ.נ. צרפת'!$D$129:$F$1048576,3,0),0)</f>
        <v>1300.53</v>
      </c>
      <c r="F113" s="3843">
        <f>SUMIF('פ.נ. צרפת'!$C:$C,$C:$C,'פ.נ. צרפת'!$E:$E)</f>
        <v>0</v>
      </c>
      <c r="G113" s="3882"/>
      <c r="H113" s="3884"/>
      <c r="I113" s="3882"/>
      <c r="J113" s="3844">
        <f t="shared" si="32"/>
        <v>1300.53</v>
      </c>
      <c r="K113" s="3843">
        <f>M113+SUMIF('פ.נ. צרפת'!$C:$C,$C:$C,'פ.נ. צרפת'!$F:$F)</f>
        <v>1471.94</v>
      </c>
      <c r="L113" s="4309">
        <f>SUM([164]Main!$F$251)+J113+J114</f>
        <v>-180.46999999999935</v>
      </c>
      <c r="M113" s="3931">
        <f>IFERROR(VLOOKUP(C113,'פ.נ. צרפת'!$D$129:$G$1048576,4,0),"")</f>
        <v>1471.94</v>
      </c>
      <c r="N113" s="3877">
        <f t="shared" si="33"/>
        <v>0.88354824245553487</v>
      </c>
      <c r="O113" s="3920"/>
      <c r="P113" s="3956"/>
      <c r="AW113" s="3851"/>
      <c r="AX113" s="1850"/>
      <c r="AY113" s="1850"/>
      <c r="AZ113" s="1850"/>
      <c r="BA113" s="3855"/>
      <c r="BB113" s="3855"/>
      <c r="BC113" s="3888"/>
      <c r="BD113" s="3888"/>
      <c r="BE113" s="3867"/>
      <c r="BF113" s="1850"/>
      <c r="BG113" s="1863"/>
      <c r="BH113" s="3855"/>
      <c r="BI113" s="3888"/>
      <c r="BJ113" s="3888"/>
      <c r="BK113" s="3855"/>
      <c r="BO113" s="3869"/>
    </row>
    <row r="114" spans="1:67" ht="13.5" thickBot="1">
      <c r="B114" s="3954" t="s">
        <v>1044</v>
      </c>
      <c r="C114" s="3955">
        <v>2500003</v>
      </c>
      <c r="D114" s="3929" t="s">
        <v>2963</v>
      </c>
      <c r="E114" s="3931">
        <f>IFERROR(VLOOKUP(C114,'פ.נ. צרפת'!$D$129:$F$1048576,3,0),0)</f>
        <v>-14336.32</v>
      </c>
      <c r="F114" s="3843">
        <f>SUMIF('פ.נ. צרפת'!$C:$C,$C:$C,'פ.נ. צרפת'!$E:$E)</f>
        <v>0</v>
      </c>
      <c r="G114" s="3882"/>
      <c r="H114" s="3884"/>
      <c r="I114" s="3882"/>
      <c r="J114" s="3844">
        <f t="shared" si="32"/>
        <v>-14336.32</v>
      </c>
      <c r="K114" s="3843">
        <f>M114+SUMIF('פ.נ. צרפת'!$C:$C,$C:$C,'פ.נ. צרפת'!$F:$F)</f>
        <v>-16225.86</v>
      </c>
      <c r="L114" s="4310"/>
      <c r="M114" s="3931">
        <f>IFERROR(VLOOKUP(C114,'פ.נ. צרפת'!$D$129:$G$1048576,4,0),"")</f>
        <v>-16225.86</v>
      </c>
      <c r="N114" s="3877">
        <f t="shared" si="33"/>
        <v>0.8835476208965195</v>
      </c>
      <c r="O114" s="3920"/>
      <c r="P114" s="4583" t="s">
        <v>3203</v>
      </c>
      <c r="AW114" s="3851"/>
      <c r="AX114" s="1850"/>
      <c r="AY114" s="1850"/>
      <c r="AZ114" s="1850"/>
      <c r="BA114" s="3855"/>
      <c r="BB114" s="3855"/>
      <c r="BC114" s="3888"/>
      <c r="BD114" s="3888"/>
      <c r="BE114" s="3867"/>
      <c r="BF114" s="1850"/>
      <c r="BG114" s="1863"/>
      <c r="BH114" s="3855"/>
      <c r="BI114" s="3888"/>
      <c r="BJ114" s="3888"/>
      <c r="BK114" s="3855"/>
      <c r="BO114" s="3869"/>
    </row>
    <row r="115" spans="1:67">
      <c r="B115" s="3958" t="s">
        <v>1044</v>
      </c>
      <c r="C115" s="3955">
        <v>2500002</v>
      </c>
      <c r="D115" s="3929" t="s">
        <v>632</v>
      </c>
      <c r="E115" s="3931">
        <f>IFERROR(VLOOKUP(C115,'פ.נ. צרפת'!$D$129:$F$1048576,3,0),0)</f>
        <v>-231533.89</v>
      </c>
      <c r="F115" s="3843">
        <f>SUMIF('פ.נ. צרפת'!$C:$C,$C:$C,'פ.נ. צרפת'!$E:$E)</f>
        <v>0</v>
      </c>
      <c r="G115" s="3882"/>
      <c r="H115" s="3884"/>
      <c r="I115" s="3882"/>
      <c r="J115" s="3844">
        <f t="shared" si="32"/>
        <v>-231533.89</v>
      </c>
      <c r="K115" s="3931">
        <f>M115+SUMIF('פ.נ. צרפת'!$C:$C,$C:$C,'פ.נ. צרפת'!$F:$F)</f>
        <v>-262050.21</v>
      </c>
      <c r="L115" s="3845"/>
      <c r="M115" s="3931">
        <f>IFERROR(VLOOKUP(C115,'פ.נ. צרפת'!$D$129:$G$1048576,4,0),"")</f>
        <v>-262050.21</v>
      </c>
      <c r="N115" s="3877">
        <f t="shared" si="33"/>
        <v>0.88354781322251186</v>
      </c>
      <c r="O115" s="3959"/>
      <c r="P115" s="4583"/>
      <c r="AU115" s="3874"/>
      <c r="AV115" s="3874"/>
      <c r="AW115" s="3851"/>
      <c r="AX115" s="1850"/>
      <c r="AY115" s="1850"/>
      <c r="AZ115" s="1850"/>
      <c r="BA115" s="3855"/>
      <c r="BB115" s="3855"/>
      <c r="BC115" s="3888"/>
      <c r="BD115" s="3888"/>
      <c r="BE115" s="3867"/>
      <c r="BF115" s="1850"/>
      <c r="BG115" s="1863"/>
      <c r="BH115" s="3855"/>
      <c r="BI115" s="3888"/>
      <c r="BJ115" s="3888"/>
      <c r="BK115" s="3855"/>
      <c r="BO115" s="3869"/>
    </row>
    <row r="116" spans="1:67">
      <c r="B116" s="3656"/>
      <c r="C116" s="3960"/>
      <c r="D116" s="3961"/>
      <c r="E116" s="3931"/>
      <c r="F116" s="3915"/>
      <c r="G116" s="3962"/>
      <c r="H116" s="3962"/>
      <c r="I116" s="3962"/>
      <c r="J116" s="3963"/>
      <c r="K116" s="3944"/>
      <c r="L116" s="3845"/>
      <c r="M116" s="3964"/>
      <c r="N116" s="3877"/>
      <c r="O116" s="3965"/>
      <c r="AW116" s="3851"/>
      <c r="AX116" s="1850"/>
      <c r="AY116" s="1850"/>
      <c r="AZ116" s="1850"/>
      <c r="BA116" s="3855"/>
      <c r="BB116" s="3855"/>
      <c r="BC116" s="3888"/>
      <c r="BD116" s="3888"/>
      <c r="BE116" s="3867"/>
      <c r="BF116" s="1850"/>
      <c r="BG116" s="1863"/>
      <c r="BH116" s="3855"/>
      <c r="BI116" s="3888"/>
      <c r="BJ116" s="3888"/>
      <c r="BK116" s="3855"/>
      <c r="BO116" s="3869"/>
    </row>
    <row r="117" spans="1:67">
      <c r="A117" s="3857"/>
      <c r="B117" s="3656"/>
      <c r="C117" s="1870"/>
      <c r="D117" s="1881" t="s">
        <v>5017</v>
      </c>
      <c r="E117" s="1882">
        <f t="shared" ref="E117:K117" si="34">SUM(E108:E116)</f>
        <v>-250416.07</v>
      </c>
      <c r="F117" s="1882">
        <f t="shared" si="34"/>
        <v>0</v>
      </c>
      <c r="G117" s="1862">
        <f t="shared" si="34"/>
        <v>0</v>
      </c>
      <c r="H117" s="1862">
        <f t="shared" si="34"/>
        <v>0</v>
      </c>
      <c r="I117" s="1862">
        <f t="shared" si="34"/>
        <v>0</v>
      </c>
      <c r="J117" s="1883">
        <f t="shared" si="34"/>
        <v>-250416.07</v>
      </c>
      <c r="K117" s="1883">
        <f t="shared" si="34"/>
        <v>-283421.07</v>
      </c>
      <c r="L117" s="1884"/>
      <c r="M117" s="1882">
        <f>SUM(M108:M116)</f>
        <v>-283421.07</v>
      </c>
      <c r="N117" s="3922"/>
      <c r="O117" s="3920"/>
      <c r="Q117" s="3878"/>
      <c r="R117" s="3878"/>
      <c r="S117" s="3953"/>
      <c r="T117" s="3953"/>
      <c r="U117" s="3953"/>
      <c r="V117" s="3953"/>
      <c r="W117" s="3953"/>
      <c r="X117" s="3953"/>
      <c r="Y117" s="3953"/>
      <c r="Z117" s="3953"/>
      <c r="AA117" s="3953"/>
      <c r="AB117" s="3953"/>
      <c r="AC117" s="3953"/>
      <c r="AD117" s="3953"/>
      <c r="AE117" s="3953"/>
      <c r="AF117" s="3953"/>
      <c r="AG117" s="3953"/>
      <c r="AH117" s="3953"/>
      <c r="AI117" s="3953"/>
      <c r="AJ117" s="3953"/>
      <c r="AK117" s="3953"/>
      <c r="AL117" s="3953"/>
      <c r="AM117" s="3953"/>
      <c r="AN117" s="3953"/>
      <c r="AO117" s="3953"/>
      <c r="AP117" s="3953"/>
      <c r="AQ117" s="3953"/>
      <c r="AR117" s="3953"/>
      <c r="AS117" s="3953"/>
      <c r="AW117" s="3851"/>
      <c r="AX117" s="1850"/>
      <c r="AY117" s="1850"/>
      <c r="AZ117" s="1850"/>
      <c r="BA117" s="3874"/>
      <c r="BB117" s="3851"/>
      <c r="BC117" s="3851"/>
      <c r="BD117" s="3851"/>
      <c r="BE117" s="3851"/>
      <c r="BF117" s="3851"/>
      <c r="BG117" s="3851"/>
      <c r="BH117" s="3851"/>
      <c r="BI117" s="3851"/>
      <c r="BJ117" s="1850"/>
      <c r="BK117" s="3851"/>
      <c r="BL117" s="3851"/>
      <c r="BM117" s="3874"/>
      <c r="BN117" s="3874"/>
    </row>
    <row r="118" spans="1:67">
      <c r="A118" s="3857"/>
      <c r="B118" s="3656"/>
      <c r="C118" s="3910"/>
      <c r="D118" s="3855"/>
      <c r="K118" s="3875"/>
      <c r="L118" s="3874"/>
      <c r="M118" s="3875"/>
      <c r="N118" s="3922"/>
      <c r="O118" s="3920"/>
      <c r="AW118" s="3874"/>
      <c r="AX118" s="1850"/>
      <c r="AY118" s="1850"/>
      <c r="AZ118" s="1850"/>
      <c r="BA118" s="1866"/>
      <c r="BB118" s="3851"/>
      <c r="BC118" s="3851"/>
      <c r="BD118" s="3851"/>
      <c r="BE118" s="3851"/>
      <c r="BF118" s="3851"/>
      <c r="BG118" s="3851"/>
      <c r="BH118" s="3851"/>
      <c r="BI118" s="1850"/>
      <c r="BJ118" s="3851"/>
      <c r="BK118" s="3851"/>
      <c r="BL118" s="3874"/>
      <c r="BM118" s="3951"/>
    </row>
    <row r="119" spans="1:67">
      <c r="A119" s="3857"/>
      <c r="B119" s="3656"/>
      <c r="C119" s="3923"/>
      <c r="D119" s="3899"/>
      <c r="J119" s="3934"/>
      <c r="K119" s="3908"/>
      <c r="L119" s="3874"/>
      <c r="M119" s="3908"/>
      <c r="N119" s="3922"/>
      <c r="O119" s="3920"/>
      <c r="AW119" s="3874"/>
      <c r="AX119" s="1850"/>
      <c r="AY119" s="1850"/>
      <c r="AZ119" s="1850"/>
      <c r="BA119" s="1866"/>
      <c r="BB119" s="3851"/>
      <c r="BC119" s="3851"/>
      <c r="BD119" s="3851"/>
      <c r="BE119" s="3851"/>
      <c r="BF119" s="3851"/>
      <c r="BG119" s="3851"/>
      <c r="BH119" s="3851"/>
      <c r="BI119" s="1850"/>
      <c r="BJ119" s="3851"/>
      <c r="BK119" s="3851"/>
      <c r="BL119" s="3874"/>
      <c r="BM119" s="3951"/>
    </row>
    <row r="120" spans="1:67">
      <c r="A120" s="3857"/>
      <c r="B120" s="3656"/>
      <c r="C120" s="3923"/>
      <c r="D120" s="3899"/>
      <c r="J120" s="3934"/>
      <c r="K120" s="3908"/>
      <c r="L120" s="3874"/>
      <c r="M120" s="3908"/>
      <c r="N120" s="3922"/>
      <c r="O120" s="3920"/>
      <c r="AW120" s="3874"/>
      <c r="AX120" s="1850"/>
      <c r="AY120" s="1850"/>
      <c r="AZ120" s="1850"/>
      <c r="BA120" s="1866"/>
      <c r="BB120" s="3851"/>
      <c r="BC120" s="3851"/>
      <c r="BD120" s="3851"/>
      <c r="BE120" s="3851"/>
      <c r="BF120" s="3851"/>
      <c r="BG120" s="3851"/>
      <c r="BH120" s="3851"/>
      <c r="BI120" s="1850"/>
      <c r="BJ120" s="3851"/>
      <c r="BK120" s="3851"/>
      <c r="BL120" s="3874"/>
      <c r="BM120" s="3951"/>
    </row>
    <row r="121" spans="1:67">
      <c r="A121" s="3857"/>
      <c r="B121" s="3656"/>
      <c r="C121" s="1870"/>
      <c r="D121" s="1881"/>
      <c r="E121" s="1882">
        <f t="shared" ref="E121:K121" si="35">SUM(E119:E120)</f>
        <v>0</v>
      </c>
      <c r="F121" s="3296">
        <f t="shared" si="35"/>
        <v>0</v>
      </c>
      <c r="G121" s="1862">
        <f t="shared" si="35"/>
        <v>0</v>
      </c>
      <c r="H121" s="1862">
        <f t="shared" si="35"/>
        <v>0</v>
      </c>
      <c r="I121" s="1862">
        <f t="shared" si="35"/>
        <v>0</v>
      </c>
      <c r="J121" s="1883">
        <f t="shared" si="35"/>
        <v>0</v>
      </c>
      <c r="K121" s="1883">
        <f t="shared" si="35"/>
        <v>0</v>
      </c>
      <c r="L121" s="1884"/>
      <c r="M121" s="1882">
        <f>SUM(M119:M120)</f>
        <v>0</v>
      </c>
      <c r="N121" s="3922"/>
      <c r="O121" s="3920"/>
      <c r="Q121" s="3878"/>
      <c r="R121" s="3878"/>
      <c r="S121" s="3953"/>
      <c r="T121" s="3953"/>
      <c r="U121" s="3953"/>
      <c r="V121" s="3953"/>
      <c r="W121" s="3953"/>
      <c r="X121" s="3953"/>
      <c r="Y121" s="3953"/>
      <c r="Z121" s="3953"/>
      <c r="AA121" s="3953"/>
      <c r="AB121" s="3953"/>
      <c r="AC121" s="3953"/>
      <c r="AD121" s="3953"/>
      <c r="AE121" s="3953"/>
      <c r="AF121" s="3953"/>
      <c r="AG121" s="3953"/>
      <c r="AH121" s="3953"/>
      <c r="AI121" s="3953"/>
      <c r="AJ121" s="3953"/>
      <c r="AK121" s="3953"/>
      <c r="AL121" s="3953"/>
      <c r="AM121" s="3953"/>
      <c r="AN121" s="3953"/>
      <c r="AO121" s="3953"/>
      <c r="AP121" s="3953"/>
      <c r="AQ121" s="3953"/>
      <c r="AR121" s="3953"/>
      <c r="AS121" s="3953"/>
      <c r="AW121" s="3851"/>
      <c r="AX121" s="1850"/>
      <c r="AY121" s="1850"/>
      <c r="AZ121" s="1850"/>
      <c r="BA121" s="3874"/>
      <c r="BB121" s="3851"/>
      <c r="BC121" s="3851"/>
      <c r="BD121" s="3851"/>
      <c r="BE121" s="3851"/>
      <c r="BF121" s="3851"/>
      <c r="BG121" s="3851"/>
      <c r="BH121" s="3851"/>
      <c r="BI121" s="3851"/>
      <c r="BJ121" s="1850"/>
      <c r="BK121" s="3851"/>
      <c r="BL121" s="3851"/>
      <c r="BM121" s="3874"/>
      <c r="BN121" s="3874"/>
    </row>
    <row r="122" spans="1:67">
      <c r="A122" s="3857"/>
      <c r="B122" s="3656"/>
      <c r="C122" s="3910"/>
      <c r="D122" s="3855"/>
      <c r="K122" s="3875"/>
      <c r="L122" s="3874"/>
      <c r="M122" s="3875"/>
      <c r="N122" s="3922"/>
      <c r="O122" s="3920"/>
      <c r="AW122" s="3874"/>
      <c r="AX122" s="1850"/>
      <c r="AY122" s="1850"/>
      <c r="AZ122" s="1850"/>
      <c r="BA122" s="1866"/>
      <c r="BB122" s="3851"/>
      <c r="BC122" s="3851"/>
      <c r="BD122" s="3851"/>
      <c r="BE122" s="3851"/>
      <c r="BF122" s="3851"/>
      <c r="BG122" s="3851"/>
      <c r="BH122" s="3851"/>
      <c r="BI122" s="1850"/>
      <c r="BJ122" s="3851"/>
      <c r="BK122" s="3851"/>
      <c r="BL122" s="3874"/>
      <c r="BM122" s="3951"/>
    </row>
    <row r="123" spans="1:67">
      <c r="A123" s="3857"/>
      <c r="B123" s="3656"/>
      <c r="C123" s="3923"/>
      <c r="D123" s="3899"/>
      <c r="J123" s="3934"/>
      <c r="K123" s="3908"/>
      <c r="L123" s="3874"/>
      <c r="M123" s="3908"/>
      <c r="N123" s="3922"/>
      <c r="O123" s="3920"/>
      <c r="AW123" s="3874"/>
      <c r="AX123" s="1850"/>
      <c r="AY123" s="1850"/>
      <c r="AZ123" s="1850"/>
      <c r="BA123" s="1866"/>
      <c r="BB123" s="3851"/>
      <c r="BC123" s="3851"/>
      <c r="BD123" s="3851"/>
      <c r="BE123" s="3851"/>
      <c r="BF123" s="3851"/>
      <c r="BG123" s="3851"/>
      <c r="BH123" s="3851"/>
      <c r="BI123" s="1850"/>
      <c r="BJ123" s="3851"/>
      <c r="BK123" s="3851"/>
      <c r="BL123" s="3874"/>
      <c r="BM123" s="3951"/>
    </row>
    <row r="124" spans="1:67">
      <c r="A124" s="3857"/>
      <c r="B124" s="3656"/>
      <c r="C124" s="3923"/>
      <c r="D124" s="3899"/>
      <c r="J124" s="3934"/>
      <c r="K124" s="3908"/>
      <c r="L124" s="3874"/>
      <c r="M124" s="3908"/>
      <c r="N124" s="3922"/>
      <c r="O124" s="3920"/>
      <c r="AW124" s="3874"/>
      <c r="AX124" s="1850"/>
      <c r="AY124" s="1850"/>
      <c r="AZ124" s="1850"/>
      <c r="BA124" s="3851"/>
      <c r="BB124" s="3851"/>
      <c r="BC124" s="3851"/>
      <c r="BD124" s="3851"/>
      <c r="BE124" s="3851"/>
      <c r="BF124" s="3851"/>
      <c r="BG124" s="3851"/>
      <c r="BH124" s="3851"/>
      <c r="BI124" s="1850"/>
      <c r="BJ124" s="3851"/>
      <c r="BK124" s="3851"/>
      <c r="BL124" s="3874"/>
      <c r="BM124" s="3951"/>
    </row>
    <row r="125" spans="1:67" ht="13.5" thickBot="1">
      <c r="A125" s="3857"/>
      <c r="B125" s="3656"/>
      <c r="C125" s="1870"/>
      <c r="D125" s="1881"/>
      <c r="E125" s="1882">
        <f t="shared" ref="E125:K125" si="36">SUM(E123:E123)</f>
        <v>0</v>
      </c>
      <c r="F125" s="3296">
        <f t="shared" si="36"/>
        <v>0</v>
      </c>
      <c r="G125" s="1862">
        <f t="shared" si="36"/>
        <v>0</v>
      </c>
      <c r="H125" s="1862">
        <f t="shared" si="36"/>
        <v>0</v>
      </c>
      <c r="I125" s="1862">
        <f t="shared" si="36"/>
        <v>0</v>
      </c>
      <c r="J125" s="1883">
        <f t="shared" si="36"/>
        <v>0</v>
      </c>
      <c r="K125" s="1883">
        <f t="shared" si="36"/>
        <v>0</v>
      </c>
      <c r="L125" s="1884"/>
      <c r="M125" s="1882">
        <f>SUM(M123:M123)</f>
        <v>0</v>
      </c>
      <c r="N125" s="3922"/>
      <c r="O125" s="3920"/>
      <c r="Q125" s="3878"/>
      <c r="R125" s="3878"/>
      <c r="S125" s="3953"/>
      <c r="T125" s="3953"/>
      <c r="U125" s="3953"/>
      <c r="V125" s="3953"/>
      <c r="W125" s="3953"/>
      <c r="X125" s="3953"/>
      <c r="Y125" s="3953"/>
      <c r="Z125" s="3953"/>
      <c r="AA125" s="3953"/>
      <c r="AB125" s="3953"/>
      <c r="AC125" s="3953"/>
      <c r="AD125" s="3953"/>
      <c r="AE125" s="3953"/>
      <c r="AF125" s="3953"/>
      <c r="AG125" s="3953"/>
      <c r="AH125" s="3953"/>
      <c r="AI125" s="3953"/>
      <c r="AJ125" s="3953"/>
      <c r="AK125" s="3953"/>
      <c r="AL125" s="3953"/>
      <c r="AM125" s="3953"/>
      <c r="AN125" s="3953"/>
      <c r="AO125" s="3953"/>
      <c r="AP125" s="3953"/>
      <c r="AQ125" s="3953"/>
      <c r="AR125" s="3953"/>
      <c r="AS125" s="3953"/>
      <c r="AW125" s="3851"/>
      <c r="AX125" s="1850"/>
      <c r="AY125" s="1850"/>
      <c r="AZ125" s="1850"/>
      <c r="BA125" s="3874"/>
      <c r="BB125" s="3851"/>
      <c r="BC125" s="3851"/>
      <c r="BD125" s="3851"/>
      <c r="BE125" s="3851"/>
      <c r="BF125" s="3851"/>
      <c r="BG125" s="3851"/>
      <c r="BH125" s="3851"/>
      <c r="BI125" s="3851"/>
      <c r="BJ125" s="1850"/>
      <c r="BK125" s="3851"/>
      <c r="BL125" s="3851"/>
      <c r="BM125" s="3874"/>
      <c r="BN125" s="3874"/>
    </row>
    <row r="126" spans="1:67" ht="13.5" thickBot="1">
      <c r="A126" s="3857"/>
      <c r="B126" s="3656"/>
      <c r="C126" s="3910"/>
      <c r="D126" s="1849" t="s">
        <v>78</v>
      </c>
      <c r="K126" s="3875"/>
      <c r="L126" s="3875"/>
      <c r="M126" s="3875"/>
      <c r="N126" s="3922"/>
      <c r="O126" s="3920"/>
      <c r="AW126" s="3874"/>
      <c r="AX126" s="1850"/>
      <c r="AY126" s="1850"/>
      <c r="AZ126" s="1850"/>
      <c r="BA126" s="1866"/>
      <c r="BB126" s="3851"/>
      <c r="BC126" s="3851"/>
      <c r="BD126" s="3851"/>
      <c r="BE126" s="3851"/>
      <c r="BF126" s="3851"/>
      <c r="BG126" s="3851"/>
      <c r="BH126" s="3851"/>
      <c r="BI126" s="1850"/>
      <c r="BJ126" s="3851"/>
      <c r="BK126" s="3851"/>
      <c r="BL126" s="3874"/>
      <c r="BM126" s="3951"/>
    </row>
    <row r="127" spans="1:67">
      <c r="A127" s="3857"/>
      <c r="B127" s="3966" t="s">
        <v>1040</v>
      </c>
      <c r="C127" s="3901">
        <v>2400210</v>
      </c>
      <c r="D127" s="3929" t="s">
        <v>1315</v>
      </c>
      <c r="E127" s="3844">
        <f>IFERROR(VLOOKUP(C127,'פ.נ. צרפת'!$D$129:$F$1048576,3,0),0)</f>
        <v>-23982.7</v>
      </c>
      <c r="F127" s="3843">
        <f>SUMIF('פ.נ. צרפת'!$C:$C,$C:$C,'פ.נ. צרפת'!$E:$E)</f>
        <v>0</v>
      </c>
      <c r="G127" s="3882"/>
      <c r="H127" s="3884"/>
      <c r="I127" s="3882"/>
      <c r="J127" s="3930">
        <f t="shared" ref="J127:J133" si="37">SUM(E127:I127)</f>
        <v>-23982.7</v>
      </c>
      <c r="K127" s="3944">
        <f>M127+SUMIF('פ.נ. צרפת'!$C:$C,$C:$C,'פ.נ. צרפת'!$F:$F)</f>
        <v>-27143.64</v>
      </c>
      <c r="L127" s="3845"/>
      <c r="M127" s="3931">
        <f>IFERROR(VLOOKUP(C127,'פ.נ. צרפת'!$D$129:$G$1048576,4,0),"")</f>
        <v>-27143.64</v>
      </c>
      <c r="N127" s="3877">
        <f t="shared" ref="N127:N133" si="38">IF(K127=0,"-",J127/K127)</f>
        <v>0.8835476745197034</v>
      </c>
      <c r="O127" s="3920"/>
      <c r="P127" s="3853" t="s">
        <v>2466</v>
      </c>
      <c r="AW127" s="3874"/>
      <c r="AX127" s="1850"/>
      <c r="AY127" s="1850"/>
      <c r="AZ127" s="1850"/>
      <c r="BA127" s="1866"/>
      <c r="BB127" s="3851"/>
      <c r="BC127" s="3851"/>
      <c r="BD127" s="3851"/>
      <c r="BE127" s="3851"/>
      <c r="BF127" s="3851"/>
      <c r="BG127" s="3851"/>
      <c r="BH127" s="3851"/>
      <c r="BI127" s="1850"/>
      <c r="BJ127" s="3851"/>
      <c r="BK127" s="3851"/>
      <c r="BL127" s="3874"/>
      <c r="BM127" s="3874"/>
    </row>
    <row r="128" spans="1:67">
      <c r="A128" s="3857"/>
      <c r="B128" s="3966" t="s">
        <v>1040</v>
      </c>
      <c r="C128" s="3901">
        <v>2400211</v>
      </c>
      <c r="D128" s="3929" t="s">
        <v>1316</v>
      </c>
      <c r="E128" s="3844">
        <f>IFERROR(VLOOKUP(C128,'פ.נ. צרפת'!$D$129:$F$1048576,3,0),0)</f>
        <v>-10801.27</v>
      </c>
      <c r="F128" s="3843">
        <f>SUMIF('פ.נ. צרפת'!$C:$C,$C:$C,'פ.נ. צרפת'!$E:$E)</f>
        <v>0</v>
      </c>
      <c r="G128" s="3882"/>
      <c r="H128" s="3884"/>
      <c r="I128" s="3882"/>
      <c r="J128" s="3930">
        <f t="shared" si="37"/>
        <v>-10801.27</v>
      </c>
      <c r="K128" s="3944">
        <f>M128+SUMIF('פ.נ. צרפת'!$C:$C,$C:$C,'פ.נ. צרפת'!$F:$F)</f>
        <v>-12224.88</v>
      </c>
      <c r="L128" s="3845"/>
      <c r="M128" s="3931">
        <f>IFERROR(VLOOKUP(C128,'פ.נ. צרפת'!$D$129:$G$1048576,4,0),"")</f>
        <v>-12224.88</v>
      </c>
      <c r="N128" s="3877">
        <f t="shared" si="38"/>
        <v>0.88354814116784797</v>
      </c>
      <c r="O128" s="3920"/>
      <c r="P128" s="3853" t="s">
        <v>2466</v>
      </c>
      <c r="AW128" s="3874"/>
      <c r="AX128" s="1850"/>
      <c r="AY128" s="1850"/>
      <c r="AZ128" s="1850"/>
      <c r="BA128" s="1866"/>
      <c r="BB128" s="3851"/>
      <c r="BC128" s="3851"/>
      <c r="BD128" s="3851"/>
      <c r="BE128" s="3851"/>
      <c r="BF128" s="3851"/>
      <c r="BG128" s="3851"/>
      <c r="BH128" s="3851"/>
      <c r="BI128" s="1850"/>
      <c r="BJ128" s="3851"/>
      <c r="BK128" s="3851"/>
      <c r="BL128" s="3874"/>
      <c r="BM128" s="3874"/>
    </row>
    <row r="129" spans="1:65">
      <c r="A129" s="3857"/>
      <c r="B129" s="3966" t="s">
        <v>1040</v>
      </c>
      <c r="C129" s="3901">
        <v>2400212</v>
      </c>
      <c r="D129" s="3929" t="s">
        <v>1317</v>
      </c>
      <c r="E129" s="3844">
        <f>IFERROR(VLOOKUP(C129,'פ.נ. צרפת'!$D$129:$F$1048576,3,0),0)</f>
        <v>-5788.42</v>
      </c>
      <c r="F129" s="3843">
        <f>SUMIF('פ.נ. צרפת'!$C:$C,$C:$C,'פ.נ. צרפת'!$E:$E)</f>
        <v>0</v>
      </c>
      <c r="G129" s="3882"/>
      <c r="H129" s="3884"/>
      <c r="I129" s="3882"/>
      <c r="J129" s="2184">
        <f t="shared" si="37"/>
        <v>-5788.42</v>
      </c>
      <c r="K129" s="3944">
        <f>M129+SUMIF('פ.נ. צרפת'!$C:$C,$C:$C,'פ.נ. צרפת'!$F:$F)</f>
        <v>-6551.33</v>
      </c>
      <c r="L129" s="3845"/>
      <c r="M129" s="3931">
        <f>IFERROR(VLOOKUP(C129,'פ.נ. צרפת'!$D$129:$G$1048576,4,0),"")</f>
        <v>-6551.33</v>
      </c>
      <c r="N129" s="3877">
        <f t="shared" si="38"/>
        <v>0.88354883664843631</v>
      </c>
      <c r="O129" s="3920"/>
      <c r="P129" s="3853" t="s">
        <v>4114</v>
      </c>
      <c r="AW129" s="3874"/>
      <c r="AX129" s="1850"/>
      <c r="AY129" s="1850"/>
      <c r="AZ129" s="1850"/>
      <c r="BA129" s="1866"/>
      <c r="BB129" s="3851"/>
      <c r="BC129" s="3851"/>
      <c r="BD129" s="3851"/>
      <c r="BE129" s="3851"/>
      <c r="BF129" s="3851"/>
      <c r="BG129" s="3851"/>
      <c r="BH129" s="3851"/>
      <c r="BI129" s="1850"/>
      <c r="BJ129" s="3851"/>
      <c r="BK129" s="3851"/>
      <c r="BL129" s="3874"/>
      <c r="BM129" s="3874"/>
    </row>
    <row r="130" spans="1:65">
      <c r="A130" s="3857"/>
      <c r="B130" s="3966" t="s">
        <v>1040</v>
      </c>
      <c r="C130" s="3901">
        <v>2400213</v>
      </c>
      <c r="D130" s="3929" t="s">
        <v>1318</v>
      </c>
      <c r="E130" s="3844">
        <f>IFERROR(VLOOKUP(C130,'פ.נ. צרפת'!$D$129:$F$1048576,3,0),0)</f>
        <v>-7803.87</v>
      </c>
      <c r="F130" s="3843">
        <f>SUMIF('פ.נ. צרפת'!$C:$C,$C:$C,'פ.נ. צרפת'!$E:$E)</f>
        <v>0</v>
      </c>
      <c r="G130" s="3882"/>
      <c r="H130" s="3884"/>
      <c r="I130" s="3882"/>
      <c r="J130" s="3930">
        <f t="shared" si="37"/>
        <v>-7803.87</v>
      </c>
      <c r="K130" s="3944">
        <f>M130+SUMIF('פ.נ. צרפת'!$C:$C,$C:$C,'פ.נ. צרפת'!$F:$F)</f>
        <v>-8832.43</v>
      </c>
      <c r="L130" s="3845"/>
      <c r="M130" s="3931">
        <f>IFERROR(VLOOKUP(C130,'פ.נ. צרפת'!$D$129:$G$1048576,4,0),"")</f>
        <v>-8832.43</v>
      </c>
      <c r="N130" s="3877">
        <f t="shared" si="38"/>
        <v>0.88354733635024563</v>
      </c>
      <c r="O130" s="3920"/>
      <c r="P130" s="3853" t="s">
        <v>3424</v>
      </c>
      <c r="AW130" s="3874"/>
      <c r="AX130" s="1850"/>
      <c r="AY130" s="1850"/>
      <c r="AZ130" s="1850"/>
      <c r="BA130" s="1866"/>
      <c r="BB130" s="3851"/>
      <c r="BC130" s="3851"/>
      <c r="BD130" s="3851"/>
      <c r="BE130" s="3851"/>
      <c r="BF130" s="3851"/>
      <c r="BG130" s="3851"/>
      <c r="BH130" s="3851"/>
      <c r="BI130" s="1850"/>
      <c r="BJ130" s="3851"/>
      <c r="BK130" s="3851"/>
      <c r="BL130" s="3874"/>
      <c r="BM130" s="3874"/>
    </row>
    <row r="131" spans="1:65">
      <c r="A131" s="3857"/>
      <c r="B131" s="3966" t="s">
        <v>1040</v>
      </c>
      <c r="C131" s="3901">
        <v>2400214</v>
      </c>
      <c r="D131" s="3929" t="s">
        <v>2247</v>
      </c>
      <c r="E131" s="3844">
        <f>IFERROR(VLOOKUP(C131,'פ.נ. צרפת'!$D$129:$F$1048576,3,0),0)</f>
        <v>-7516.1</v>
      </c>
      <c r="F131" s="3843">
        <f>SUMIF('פ.נ. צרפת'!$C:$C,$C:$C,'פ.נ. צרפת'!$E:$E)</f>
        <v>0</v>
      </c>
      <c r="G131" s="3882"/>
      <c r="H131" s="3884"/>
      <c r="I131" s="3882"/>
      <c r="J131" s="3930">
        <f t="shared" si="37"/>
        <v>-7516.1</v>
      </c>
      <c r="K131" s="3944">
        <f>M131+SUMIF('פ.נ. צרפת'!$C:$C,$C:$C,'פ.נ. צרפת'!$F:$F)</f>
        <v>-8506.73</v>
      </c>
      <c r="L131" s="3845"/>
      <c r="M131" s="3931">
        <f>IFERROR(VLOOKUP(C131,'פ.נ. צרפת'!$D$129:$G$1048576,4,0),"")</f>
        <v>-8506.73</v>
      </c>
      <c r="N131" s="3877">
        <f t="shared" si="38"/>
        <v>0.88354749709935554</v>
      </c>
      <c r="O131" s="3920"/>
      <c r="P131" s="3853" t="s">
        <v>2965</v>
      </c>
      <c r="AW131" s="3874"/>
      <c r="AX131" s="1850"/>
      <c r="AY131" s="1850"/>
      <c r="AZ131" s="1850"/>
      <c r="BA131" s="1866"/>
      <c r="BB131" s="3851"/>
      <c r="BC131" s="3851"/>
      <c r="BD131" s="3851"/>
      <c r="BE131" s="3851"/>
      <c r="BF131" s="3851"/>
      <c r="BG131" s="3851"/>
      <c r="BH131" s="3851"/>
      <c r="BI131" s="1850"/>
      <c r="BJ131" s="3851"/>
      <c r="BK131" s="3851"/>
      <c r="BL131" s="3874"/>
      <c r="BM131" s="3874"/>
    </row>
    <row r="132" spans="1:65">
      <c r="A132" s="3857"/>
      <c r="B132" s="3966" t="s">
        <v>1040</v>
      </c>
      <c r="C132" s="3901">
        <v>2400217</v>
      </c>
      <c r="D132" s="3929" t="s">
        <v>2248</v>
      </c>
      <c r="E132" s="3844">
        <f>IFERROR(VLOOKUP(C132,'פ.נ. צרפת'!$D$129:$F$1048576,3,0),0)</f>
        <v>-201</v>
      </c>
      <c r="F132" s="3843">
        <f>SUMIF('פ.נ. צרפת'!$C:$C,$C:$C,'פ.נ. צרפת'!$E:$E)</f>
        <v>0</v>
      </c>
      <c r="G132" s="3882"/>
      <c r="H132" s="3884"/>
      <c r="I132" s="3882"/>
      <c r="J132" s="3930">
        <f>SUM(E132:I132)</f>
        <v>-201</v>
      </c>
      <c r="K132" s="3944">
        <f>M132+SUMIF('פ.נ. צרפת'!$C:$C,$C:$C,'פ.נ. צרפת'!$F:$F)</f>
        <v>-227.49</v>
      </c>
      <c r="L132" s="3845"/>
      <c r="M132" s="3931">
        <f>IFERROR(VLOOKUP(C132,'פ.נ. צרפת'!$D$129:$G$1048576,4,0),"")</f>
        <v>-227.49</v>
      </c>
      <c r="N132" s="3877">
        <f>IF(K132=0,"-",J132/K132)</f>
        <v>0.88355532111301593</v>
      </c>
      <c r="O132" s="3920"/>
      <c r="P132" s="3853" t="s">
        <v>2857</v>
      </c>
      <c r="AW132" s="3874"/>
      <c r="AX132" s="1850"/>
      <c r="AY132" s="1850"/>
      <c r="AZ132" s="1850"/>
      <c r="BA132" s="1866"/>
      <c r="BB132" s="3851"/>
      <c r="BC132" s="3851"/>
      <c r="BD132" s="3851"/>
      <c r="BE132" s="3851"/>
      <c r="BF132" s="3851"/>
      <c r="BG132" s="3851"/>
      <c r="BH132" s="3851"/>
      <c r="BI132" s="1850"/>
      <c r="BJ132" s="3851"/>
      <c r="BK132" s="3851"/>
      <c r="BL132" s="3874"/>
      <c r="BM132" s="3874"/>
    </row>
    <row r="133" spans="1:65">
      <c r="A133" s="3857"/>
      <c r="B133" s="3966" t="s">
        <v>1040</v>
      </c>
      <c r="C133" s="3901">
        <v>2400216</v>
      </c>
      <c r="D133" s="3929" t="s">
        <v>1852</v>
      </c>
      <c r="E133" s="3844">
        <f>IFERROR(VLOOKUP(C133,'פ.נ. צרפת'!$D$129:$F$1048576,3,0),0)</f>
        <v>-8456.36</v>
      </c>
      <c r="F133" s="3843">
        <f>SUMIF('פ.נ. צרפת'!$C:$C,$C:$C,'פ.נ. צרפת'!$E:$E)</f>
        <v>0</v>
      </c>
      <c r="G133" s="3882"/>
      <c r="H133" s="3884"/>
      <c r="I133" s="3882"/>
      <c r="J133" s="3930">
        <f t="shared" si="37"/>
        <v>-8456.36</v>
      </c>
      <c r="K133" s="3944">
        <f>M133+SUMIF('פ.נ. צרפת'!$C:$C,$C:$C,'פ.נ. צרפת'!$F:$F)</f>
        <v>-9570.91</v>
      </c>
      <c r="L133" s="3845"/>
      <c r="M133" s="3931">
        <f>IFERROR(VLOOKUP(C133,'פ.נ. צרפת'!$D$129:$G$1048576,4,0),"")</f>
        <v>-9570.91</v>
      </c>
      <c r="N133" s="3877">
        <f t="shared" si="38"/>
        <v>0.88354816835598715</v>
      </c>
      <c r="O133" s="3920"/>
      <c r="P133" s="3853" t="s">
        <v>2965</v>
      </c>
      <c r="AW133" s="3874"/>
      <c r="AX133" s="1850"/>
      <c r="AY133" s="1850"/>
      <c r="AZ133" s="1850"/>
      <c r="BA133" s="1866"/>
      <c r="BB133" s="3851"/>
      <c r="BC133" s="3851"/>
      <c r="BD133" s="3851"/>
      <c r="BE133" s="3851"/>
      <c r="BF133" s="3851"/>
      <c r="BG133" s="3851"/>
      <c r="BH133" s="3851"/>
      <c r="BI133" s="1850"/>
      <c r="BJ133" s="3851"/>
      <c r="BK133" s="3851"/>
      <c r="BL133" s="3874"/>
      <c r="BM133" s="3874"/>
    </row>
    <row r="134" spans="1:65" ht="13.5" thickBot="1">
      <c r="A134" s="3857"/>
      <c r="B134" s="3966" t="s">
        <v>1040</v>
      </c>
      <c r="C134" s="3901">
        <v>2400201</v>
      </c>
      <c r="D134" s="3929" t="s">
        <v>2846</v>
      </c>
      <c r="E134" s="3844">
        <f>IFERROR(VLOOKUP(C134,'פ.נ. צרפת'!$D$129:$F$1048576,3,0),0)</f>
        <v>0</v>
      </c>
      <c r="F134" s="3843">
        <f>SUMIF('פ.נ. צרפת'!$C:$C,$C:$C,'פ.נ. צרפת'!$E:$E)</f>
        <v>0</v>
      </c>
      <c r="G134" s="3882"/>
      <c r="H134" s="3884"/>
      <c r="I134" s="3882"/>
      <c r="J134" s="3930">
        <f t="shared" ref="J134:J139" si="39">SUM(E134:I134)</f>
        <v>0</v>
      </c>
      <c r="K134" s="3944">
        <f>M134+SUMIF('פ.נ. צרפת'!$C:$C,$C:$C,'פ.נ. צרפת'!$F:$F)</f>
        <v>0</v>
      </c>
      <c r="L134" s="3845"/>
      <c r="M134" s="3931" t="str">
        <f>IFERROR(VLOOKUP(C134,'פ.נ. צרפת'!$D$129:$G$1048576,4,0),"")</f>
        <v/>
      </c>
      <c r="N134" s="3967" t="str">
        <f t="shared" ref="N134:N139" si="40">IF(K134=0,"-",J134/K134)</f>
        <v>-</v>
      </c>
      <c r="O134" s="3920"/>
      <c r="AW134" s="3874"/>
      <c r="AX134" s="1850"/>
      <c r="AY134" s="1850"/>
      <c r="AZ134" s="1850"/>
      <c r="BA134" s="1866"/>
      <c r="BB134" s="3851"/>
      <c r="BC134" s="3851"/>
      <c r="BD134" s="3851"/>
      <c r="BE134" s="3851"/>
      <c r="BF134" s="3851"/>
      <c r="BG134" s="3851"/>
      <c r="BH134" s="3851"/>
      <c r="BI134" s="1850"/>
      <c r="BJ134" s="3851"/>
      <c r="BK134" s="3851"/>
      <c r="BL134" s="3874"/>
      <c r="BM134" s="3874"/>
    </row>
    <row r="135" spans="1:65" ht="13.5" thickBot="1">
      <c r="A135" s="3857"/>
      <c r="B135" s="3966" t="s">
        <v>1040</v>
      </c>
      <c r="C135" s="3901">
        <v>2400202</v>
      </c>
      <c r="D135" s="3929" t="s">
        <v>2847</v>
      </c>
      <c r="E135" s="3844">
        <f>IFERROR(VLOOKUP(C135,'פ.נ. צרפת'!$D$129:$F$1048576,3,0),0)</f>
        <v>0</v>
      </c>
      <c r="F135" s="3843">
        <f>SUMIF('פ.נ. צרפת'!$C:$C,$C:$C,'פ.נ. צרפת'!$E:$E)</f>
        <v>0</v>
      </c>
      <c r="G135" s="3882"/>
      <c r="H135" s="3884"/>
      <c r="I135" s="3882"/>
      <c r="J135" s="3930">
        <f t="shared" si="39"/>
        <v>0</v>
      </c>
      <c r="K135" s="3944">
        <f>M135+SUMIF('פ.נ. צרפת'!$C:$C,$C:$C,'פ.נ. צרפת'!$F:$F)</f>
        <v>0.01</v>
      </c>
      <c r="L135" s="1343">
        <f>SUM([165]Sheet1!$C$17)-J135</f>
        <v>0</v>
      </c>
      <c r="M135" s="3931">
        <f>IFERROR(VLOOKUP(C135,'פ.נ. צרפת'!$D$129:$G$1048576,4,0),"")</f>
        <v>0.01</v>
      </c>
      <c r="N135" s="3967">
        <f t="shared" si="40"/>
        <v>0</v>
      </c>
      <c r="O135" s="3920"/>
      <c r="AW135" s="3874"/>
      <c r="AX135" s="1850"/>
      <c r="AY135" s="1850"/>
      <c r="AZ135" s="1850"/>
      <c r="BA135" s="1866"/>
      <c r="BB135" s="3851"/>
      <c r="BC135" s="3851"/>
      <c r="BD135" s="3851"/>
      <c r="BE135" s="3851"/>
      <c r="BF135" s="3851"/>
      <c r="BG135" s="3851"/>
      <c r="BH135" s="3851"/>
      <c r="BI135" s="1850"/>
      <c r="BJ135" s="3851"/>
      <c r="BK135" s="3851"/>
      <c r="BL135" s="3874"/>
      <c r="BM135" s="3874"/>
    </row>
    <row r="136" spans="1:65">
      <c r="A136" s="3857"/>
      <c r="B136" s="3966" t="s">
        <v>1040</v>
      </c>
      <c r="C136" s="3901">
        <v>2400203</v>
      </c>
      <c r="D136" s="3929" t="s">
        <v>2848</v>
      </c>
      <c r="E136" s="3844">
        <f>IFERROR(VLOOKUP(C136,'פ.נ. צרפת'!$D$129:$F$1048576,3,0),0)</f>
        <v>0</v>
      </c>
      <c r="F136" s="3843">
        <f>SUMIF('פ.נ. צרפת'!$C:$C,$C:$C,'פ.נ. צרפת'!$E:$E)</f>
        <v>0</v>
      </c>
      <c r="G136" s="3882"/>
      <c r="H136" s="3884"/>
      <c r="I136" s="3882"/>
      <c r="J136" s="3930">
        <f t="shared" si="39"/>
        <v>0</v>
      </c>
      <c r="K136" s="3944">
        <f>M136+SUMIF('פ.נ. צרפת'!$C:$C,$C:$C,'פ.נ. צרפת'!$F:$F)</f>
        <v>0</v>
      </c>
      <c r="L136" s="3845"/>
      <c r="M136" s="3931" t="str">
        <f>IFERROR(VLOOKUP(C136,'פ.נ. צרפת'!$D$129:$G$1048576,4,0),"")</f>
        <v/>
      </c>
      <c r="N136" s="3967" t="str">
        <f t="shared" si="40"/>
        <v>-</v>
      </c>
      <c r="O136" s="3920"/>
      <c r="AW136" s="3874"/>
      <c r="AX136" s="1850"/>
      <c r="AY136" s="1850"/>
      <c r="AZ136" s="1850"/>
      <c r="BA136" s="1866"/>
      <c r="BB136" s="3851"/>
      <c r="BC136" s="3851"/>
      <c r="BD136" s="3851"/>
      <c r="BE136" s="3851"/>
      <c r="BF136" s="3851"/>
      <c r="BG136" s="3851"/>
      <c r="BH136" s="3851"/>
      <c r="BI136" s="1850"/>
      <c r="BJ136" s="3851"/>
      <c r="BK136" s="3851"/>
      <c r="BL136" s="3874"/>
      <c r="BM136" s="3874"/>
    </row>
    <row r="137" spans="1:65">
      <c r="A137" s="3857"/>
      <c r="B137" s="3966" t="s">
        <v>1040</v>
      </c>
      <c r="C137" s="3901">
        <v>2400204</v>
      </c>
      <c r="D137" s="3929" t="s">
        <v>2849</v>
      </c>
      <c r="E137" s="3844">
        <f>IFERROR(VLOOKUP(C137,'פ.נ. צרפת'!$D$129:$F$1048576,3,0),0)</f>
        <v>0</v>
      </c>
      <c r="F137" s="3843">
        <f>SUMIF('פ.נ. צרפת'!$C:$C,$C:$C,'פ.נ. צרפת'!$E:$E)</f>
        <v>0</v>
      </c>
      <c r="G137" s="3882"/>
      <c r="H137" s="3884"/>
      <c r="I137" s="3882"/>
      <c r="J137" s="3930">
        <f t="shared" si="39"/>
        <v>0</v>
      </c>
      <c r="K137" s="3944">
        <f>M137+SUMIF('פ.נ. צרפת'!$C:$C,$C:$C,'פ.נ. צרפת'!$F:$F)</f>
        <v>0</v>
      </c>
      <c r="L137" s="3845"/>
      <c r="M137" s="3931" t="str">
        <f>IFERROR(VLOOKUP(C137,'פ.נ. צרפת'!$D$129:$G$1048576,4,0),"")</f>
        <v/>
      </c>
      <c r="N137" s="3967" t="str">
        <f t="shared" si="40"/>
        <v>-</v>
      </c>
      <c r="O137" s="3920"/>
      <c r="AW137" s="3874"/>
      <c r="AX137" s="1850"/>
      <c r="AY137" s="1850"/>
      <c r="AZ137" s="1850"/>
      <c r="BA137" s="1866"/>
      <c r="BB137" s="3851"/>
      <c r="BC137" s="3851"/>
      <c r="BD137" s="3851"/>
      <c r="BE137" s="3851"/>
      <c r="BF137" s="3851"/>
      <c r="BG137" s="3851"/>
      <c r="BH137" s="3851"/>
      <c r="BI137" s="1850"/>
      <c r="BJ137" s="3851"/>
      <c r="BK137" s="3851"/>
      <c r="BL137" s="3874"/>
      <c r="BM137" s="3874"/>
    </row>
    <row r="138" spans="1:65">
      <c r="A138" s="3857"/>
      <c r="B138" s="3966" t="s">
        <v>1040</v>
      </c>
      <c r="C138" s="3901">
        <v>2400205</v>
      </c>
      <c r="D138" s="3929" t="s">
        <v>2850</v>
      </c>
      <c r="E138" s="3844">
        <f>IFERROR(VLOOKUP(C138,'פ.נ. צרפת'!$D$129:$F$1048576,3,0),0)</f>
        <v>0</v>
      </c>
      <c r="F138" s="3843">
        <f>SUMIF('פ.נ. צרפת'!$C:$C,$C:$C,'פ.נ. צרפת'!$E:$E)</f>
        <v>0</v>
      </c>
      <c r="G138" s="3882"/>
      <c r="H138" s="3884"/>
      <c r="I138" s="3882"/>
      <c r="J138" s="3930">
        <f t="shared" si="39"/>
        <v>0</v>
      </c>
      <c r="K138" s="3944">
        <f>M138+SUMIF('פ.נ. צרפת'!$C:$C,$C:$C,'פ.נ. צרפת'!$F:$F)</f>
        <v>0</v>
      </c>
      <c r="L138" s="3845"/>
      <c r="M138" s="3931" t="str">
        <f>IFERROR(VLOOKUP(C138,'פ.נ. צרפת'!$D$129:$G$1048576,4,0),"")</f>
        <v/>
      </c>
      <c r="N138" s="3967" t="str">
        <f t="shared" si="40"/>
        <v>-</v>
      </c>
      <c r="O138" s="3920"/>
      <c r="AW138" s="3874"/>
      <c r="AX138" s="1850"/>
      <c r="AY138" s="1850"/>
      <c r="AZ138" s="1850"/>
      <c r="BA138" s="1866"/>
      <c r="BB138" s="3851"/>
      <c r="BC138" s="3851"/>
      <c r="BD138" s="3851"/>
      <c r="BE138" s="3851"/>
      <c r="BF138" s="3851"/>
      <c r="BG138" s="3851"/>
      <c r="BH138" s="3851"/>
      <c r="BI138" s="1850"/>
      <c r="BJ138" s="3851"/>
      <c r="BK138" s="3851"/>
      <c r="BL138" s="3874"/>
      <c r="BM138" s="3874"/>
    </row>
    <row r="139" spans="1:65" ht="13.5" thickBot="1">
      <c r="A139" s="3857"/>
      <c r="B139" s="3966" t="s">
        <v>1040</v>
      </c>
      <c r="C139" s="3901">
        <v>2400206</v>
      </c>
      <c r="D139" s="3929" t="s">
        <v>2851</v>
      </c>
      <c r="E139" s="3844">
        <f>IFERROR(VLOOKUP(C139,'פ.נ. צרפת'!$D$129:$F$1048576,3,0),0)</f>
        <v>0</v>
      </c>
      <c r="F139" s="3843">
        <f>SUMIF('פ.נ. צרפת'!$C:$C,$C:$C,'פ.נ. צרפת'!$E:$E)</f>
        <v>0</v>
      </c>
      <c r="G139" s="3882"/>
      <c r="H139" s="3884"/>
      <c r="I139" s="3882"/>
      <c r="J139" s="3930">
        <f t="shared" si="39"/>
        <v>0</v>
      </c>
      <c r="K139" s="3944">
        <f>M139+SUMIF('פ.נ. צרפת'!$C:$C,$C:$C,'פ.נ. צרפת'!$F:$F)</f>
        <v>0</v>
      </c>
      <c r="L139" s="3845"/>
      <c r="M139" s="3931" t="str">
        <f>IFERROR(VLOOKUP(C139,'פ.נ. צרפת'!$D$129:$G$1048576,4,0),"")</f>
        <v/>
      </c>
      <c r="N139" s="3967" t="str">
        <f t="shared" si="40"/>
        <v>-</v>
      </c>
      <c r="O139" s="3920"/>
      <c r="AW139" s="3874"/>
      <c r="AX139" s="1850"/>
      <c r="AY139" s="1850"/>
      <c r="AZ139" s="1850"/>
      <c r="BA139" s="1866"/>
      <c r="BB139" s="3851"/>
      <c r="BC139" s="3851"/>
      <c r="BD139" s="3851"/>
      <c r="BE139" s="3851"/>
      <c r="BF139" s="3851"/>
      <c r="BG139" s="3851"/>
      <c r="BH139" s="3851"/>
      <c r="BI139" s="1850"/>
      <c r="BJ139" s="3851"/>
      <c r="BK139" s="3851"/>
      <c r="BL139" s="3874"/>
      <c r="BM139" s="3874"/>
    </row>
    <row r="140" spans="1:65" ht="13.5" thickBot="1">
      <c r="A140" s="3857"/>
      <c r="B140" s="3966" t="s">
        <v>1040</v>
      </c>
      <c r="C140" s="3901">
        <v>2400001</v>
      </c>
      <c r="D140" s="3929" t="s">
        <v>704</v>
      </c>
      <c r="E140" s="3844">
        <f>IFERROR(VLOOKUP(C140,'פ.נ. צרפת'!$D$129:$F$1048576,3,0),0)</f>
        <v>-231719.27</v>
      </c>
      <c r="F140" s="3843">
        <f>SUMIF('פ.נ. צרפת'!$C:$C,$C:$C,'פ.נ. צרפת'!$E:$E)</f>
        <v>0</v>
      </c>
      <c r="G140" s="3882"/>
      <c r="H140" s="3884"/>
      <c r="I140" s="3882"/>
      <c r="J140" s="3930">
        <f>SUM(E140:I140)</f>
        <v>-231719.27</v>
      </c>
      <c r="K140" s="3944">
        <f>M140+SUMIF('פ.נ. צרפת'!$C:$C,$C:$C,'פ.נ. צרפת'!$F:$F)</f>
        <v>-260774.85</v>
      </c>
      <c r="L140" s="1343">
        <f>-'Accrued expenses'!$O$102-J140</f>
        <v>4.4403319681296125</v>
      </c>
      <c r="M140" s="3931">
        <f>IFERROR(VLOOKUP(C140,'פ.נ. צרפת'!$D$129:$G$1048576,4,0),"")</f>
        <v>-260774.85</v>
      </c>
      <c r="N140" s="3877">
        <f>IF(K140=0,"-",J140/K140)</f>
        <v>0.88857982278582459</v>
      </c>
      <c r="O140" s="3920"/>
      <c r="P140" s="1946" t="s">
        <v>2641</v>
      </c>
      <c r="AW140" s="3874"/>
      <c r="AX140" s="1850"/>
      <c r="AY140" s="1850"/>
      <c r="AZ140" s="1850"/>
      <c r="BA140" s="1866"/>
      <c r="BB140" s="3851"/>
      <c r="BC140" s="3851"/>
      <c r="BD140" s="3851"/>
      <c r="BE140" s="3851"/>
      <c r="BF140" s="3851"/>
      <c r="BG140" s="3851"/>
      <c r="BH140" s="3851"/>
      <c r="BI140" s="1850"/>
      <c r="BJ140" s="3851"/>
      <c r="BK140" s="3851"/>
      <c r="BL140" s="3874"/>
      <c r="BM140" s="3874"/>
    </row>
    <row r="141" spans="1:65" ht="13.5" thickBot="1">
      <c r="A141" s="3857"/>
      <c r="B141" s="3966" t="s">
        <v>1040</v>
      </c>
      <c r="C141" s="3901">
        <v>2420001</v>
      </c>
      <c r="D141" s="3899" t="s">
        <v>354</v>
      </c>
      <c r="E141" s="3844">
        <f>IFERROR(VLOOKUP(C141,'פ.נ. צרפת'!$D$129:$F$1048576,3,0),0)</f>
        <v>-175643.23</v>
      </c>
      <c r="F141" s="3843">
        <f>SUMIF('פ.נ. צרפת'!$C:$C,$C:$C,'פ.נ. צרפת'!$E:$E)</f>
        <v>0</v>
      </c>
      <c r="G141" s="3882"/>
      <c r="H141" s="3884"/>
      <c r="I141" s="3882"/>
      <c r="J141" s="3930">
        <f>SUM(E141:I141)</f>
        <v>-175643.23</v>
      </c>
      <c r="K141" s="3944">
        <f>M141+SUMIF('פ.נ. צרפת'!$C:$C,$C:$C,'פ.נ. צרפת'!$F:$F)</f>
        <v>-194050.63</v>
      </c>
      <c r="L141" s="1343">
        <f>SUM([166]Feuil1!$O$19+[166]Feuil1!$U$19)+J141</f>
        <v>0</v>
      </c>
      <c r="M141" s="3931">
        <f>IFERROR(VLOOKUP(C141,'פ.נ. צרפת'!$D$129:$G$1048576,4,0),"")</f>
        <v>-194050.63</v>
      </c>
      <c r="N141" s="3877">
        <f>IF(K141=0,"-",J141/K141)</f>
        <v>0.90514125102299337</v>
      </c>
      <c r="O141" s="3920"/>
      <c r="P141" s="432" t="s">
        <v>3425</v>
      </c>
      <c r="AW141" s="3874"/>
      <c r="AX141" s="1850"/>
      <c r="AY141" s="1850"/>
      <c r="AZ141" s="1850"/>
      <c r="BA141" s="1866"/>
      <c r="BB141" s="3851"/>
      <c r="BC141" s="3851"/>
      <c r="BD141" s="3851"/>
      <c r="BE141" s="3851"/>
      <c r="BF141" s="3851"/>
      <c r="BG141" s="3851"/>
      <c r="BH141" s="3851"/>
      <c r="BI141" s="1850"/>
      <c r="BJ141" s="3851"/>
      <c r="BK141" s="3851"/>
      <c r="BL141" s="3874"/>
      <c r="BM141" s="3874"/>
    </row>
    <row r="142" spans="1:65">
      <c r="A142" s="3857"/>
      <c r="B142" s="3656"/>
      <c r="C142" s="3898"/>
      <c r="D142" s="3899"/>
      <c r="E142" s="3968"/>
      <c r="J142" s="3843"/>
      <c r="K142" s="3908"/>
      <c r="L142" s="3874"/>
      <c r="M142" s="3908"/>
      <c r="N142" s="3922"/>
      <c r="O142" s="3920"/>
      <c r="P142" s="3969"/>
      <c r="AW142" s="3874"/>
      <c r="AX142" s="1850"/>
      <c r="AY142" s="1850"/>
      <c r="AZ142" s="1850"/>
      <c r="BA142" s="3851"/>
      <c r="BB142" s="3851"/>
      <c r="BC142" s="3851"/>
      <c r="BD142" s="3851"/>
      <c r="BE142" s="3851"/>
      <c r="BF142" s="3851"/>
      <c r="BG142" s="3851"/>
      <c r="BH142" s="3851"/>
      <c r="BI142" s="1850"/>
      <c r="BJ142" s="3851"/>
      <c r="BK142" s="3851"/>
      <c r="BL142" s="3874"/>
      <c r="BM142" s="3951"/>
    </row>
    <row r="143" spans="1:65" ht="13.5" thickBot="1">
      <c r="A143" s="3857"/>
      <c r="B143" s="3656"/>
      <c r="C143" s="1870"/>
      <c r="D143" s="1886" t="s">
        <v>5033</v>
      </c>
      <c r="E143" s="1882">
        <f t="shared" ref="E143:K143" si="41">SUM(E127:E142)</f>
        <v>-471912.22</v>
      </c>
      <c r="F143" s="1882">
        <f t="shared" si="41"/>
        <v>0</v>
      </c>
      <c r="G143" s="1862">
        <f t="shared" si="41"/>
        <v>0</v>
      </c>
      <c r="H143" s="1862">
        <f t="shared" si="41"/>
        <v>0</v>
      </c>
      <c r="I143" s="1862">
        <f t="shared" si="41"/>
        <v>0</v>
      </c>
      <c r="J143" s="1883">
        <f t="shared" si="41"/>
        <v>-471912.22</v>
      </c>
      <c r="K143" s="1883">
        <f t="shared" si="41"/>
        <v>-527882.88</v>
      </c>
      <c r="L143" s="1884"/>
      <c r="M143" s="1883">
        <f>SUM(M127:M142)</f>
        <v>-527882.88</v>
      </c>
      <c r="N143" s="3922"/>
      <c r="O143" s="3920"/>
      <c r="P143" s="3969"/>
      <c r="AW143" s="3874"/>
      <c r="AX143" s="1850"/>
      <c r="AY143" s="1850"/>
      <c r="AZ143" s="1850"/>
      <c r="BA143" s="1866"/>
      <c r="BB143" s="3851"/>
      <c r="BC143" s="3851"/>
      <c r="BD143" s="3851"/>
      <c r="BE143" s="3851"/>
      <c r="BF143" s="3851"/>
      <c r="BG143" s="3851"/>
      <c r="BH143" s="3851"/>
      <c r="BI143" s="1850"/>
      <c r="BJ143" s="3851"/>
      <c r="BK143" s="3851"/>
      <c r="BL143" s="3874"/>
      <c r="BM143" s="3951"/>
    </row>
    <row r="144" spans="1:65" ht="13.5" thickBot="1">
      <c r="A144" s="3857"/>
      <c r="B144" s="3656"/>
      <c r="C144" s="3910"/>
      <c r="D144" s="1849" t="s">
        <v>194</v>
      </c>
      <c r="E144" s="3873"/>
      <c r="F144" s="3970"/>
      <c r="I144" s="3971"/>
      <c r="K144" s="3972"/>
      <c r="L144" s="3874"/>
      <c r="M144" s="3972"/>
      <c r="N144" s="3922"/>
      <c r="O144" s="3920"/>
      <c r="P144" s="3969"/>
      <c r="AW144" s="3874"/>
      <c r="AX144" s="1850"/>
      <c r="AY144" s="1850"/>
      <c r="AZ144" s="1850"/>
      <c r="BA144" s="1866"/>
      <c r="BB144" s="3851"/>
      <c r="BC144" s="3851"/>
      <c r="BD144" s="3851"/>
      <c r="BE144" s="3851"/>
      <c r="BF144" s="3851"/>
      <c r="BG144" s="3851"/>
      <c r="BH144" s="3851"/>
      <c r="BI144" s="1850"/>
      <c r="BJ144" s="3851"/>
      <c r="BK144" s="3851"/>
      <c r="BL144" s="3874"/>
      <c r="BM144" s="3951"/>
    </row>
    <row r="145" spans="1:65" ht="13.5" thickBot="1">
      <c r="A145" s="3857"/>
      <c r="B145" s="3966" t="s">
        <v>2853</v>
      </c>
      <c r="C145" s="3901">
        <v>2200001</v>
      </c>
      <c r="D145" s="3973" t="s">
        <v>702</v>
      </c>
      <c r="E145" s="3974">
        <f>IFERROR(VLOOKUP(C145,'פ.נ. צרפת'!$D$129:$F$1048576,3,0),0)</f>
        <v>-5725</v>
      </c>
      <c r="F145" s="3843">
        <f>SUMIF('פ.נ. צרפת'!$C:$C,$C:$C,'פ.נ. צרפת'!$E:$E)</f>
        <v>0</v>
      </c>
      <c r="G145" s="3882"/>
      <c r="H145" s="3884"/>
      <c r="I145" s="3882"/>
      <c r="J145" s="4297">
        <f>SUM(E145:I145)</f>
        <v>-5725</v>
      </c>
      <c r="K145" s="3944">
        <f>M145+SUMIF('פ.נ. צרפת'!$C:$C,$C:$C,'פ.נ. צרפת'!$F:$F)</f>
        <v>-6479.56</v>
      </c>
      <c r="L145" s="1237">
        <f>+'Accrued expenses'!$O$83+J145</f>
        <v>0</v>
      </c>
      <c r="M145" s="3931">
        <f>IFERROR(VLOOKUP(C145,'פ.נ. צרפת'!$D$129:$G$1048576,4,0),"")</f>
        <v>-6479.56</v>
      </c>
      <c r="N145" s="3877">
        <f>IF(K145=0,"-",J145/K145)</f>
        <v>0.88354764829710652</v>
      </c>
      <c r="O145" s="3920"/>
      <c r="P145" s="1946" t="s">
        <v>2641</v>
      </c>
      <c r="AW145" s="3874"/>
      <c r="AX145" s="1850"/>
      <c r="AY145" s="1850"/>
      <c r="AZ145" s="1850"/>
      <c r="BA145" s="1866"/>
      <c r="BB145" s="3851"/>
      <c r="BC145" s="3851"/>
      <c r="BD145" s="3851"/>
      <c r="BE145" s="3851"/>
      <c r="BF145" s="3851"/>
      <c r="BG145" s="3851"/>
      <c r="BH145" s="3851"/>
      <c r="BI145" s="1850"/>
      <c r="BJ145" s="3851"/>
      <c r="BK145" s="3851"/>
      <c r="BL145" s="3874"/>
      <c r="BM145" s="3951"/>
    </row>
    <row r="146" spans="1:65" ht="13.5" thickBot="1">
      <c r="A146" s="3857"/>
      <c r="B146" s="3656"/>
      <c r="C146" s="1870"/>
      <c r="D146" s="1886"/>
      <c r="E146" s="1882">
        <f t="shared" ref="E146:K146" si="42">SUM(E145:E145)</f>
        <v>-5725</v>
      </c>
      <c r="F146" s="1882">
        <f t="shared" si="42"/>
        <v>0</v>
      </c>
      <c r="G146" s="1882">
        <f t="shared" si="42"/>
        <v>0</v>
      </c>
      <c r="H146" s="1882">
        <f t="shared" si="42"/>
        <v>0</v>
      </c>
      <c r="I146" s="1882">
        <f t="shared" si="42"/>
        <v>0</v>
      </c>
      <c r="J146" s="1882">
        <f t="shared" si="42"/>
        <v>-5725</v>
      </c>
      <c r="K146" s="1882">
        <f t="shared" si="42"/>
        <v>-6479.56</v>
      </c>
      <c r="L146" s="1884"/>
      <c r="M146" s="1882">
        <f>SUM(M145:M145)</f>
        <v>-6479.56</v>
      </c>
      <c r="N146" s="3922"/>
      <c r="O146" s="3920"/>
      <c r="P146" s="3969"/>
      <c r="AW146" s="3874"/>
      <c r="AX146" s="1850"/>
      <c r="AY146" s="1850"/>
      <c r="AZ146" s="1850"/>
      <c r="BA146" s="1866"/>
      <c r="BB146" s="3851"/>
      <c r="BC146" s="3851"/>
      <c r="BD146" s="3851"/>
      <c r="BE146" s="3851"/>
      <c r="BF146" s="3851"/>
      <c r="BG146" s="3851"/>
      <c r="BH146" s="3851"/>
      <c r="BI146" s="1850"/>
      <c r="BJ146" s="3851"/>
      <c r="BK146" s="3851"/>
      <c r="BL146" s="3874"/>
      <c r="BM146" s="3951"/>
    </row>
    <row r="147" spans="1:65" ht="13.5" thickBot="1">
      <c r="A147" s="3857"/>
      <c r="B147" s="3656"/>
      <c r="C147" s="3910"/>
      <c r="D147" s="1849" t="s">
        <v>194</v>
      </c>
      <c r="E147" s="3873"/>
      <c r="F147" s="3970"/>
      <c r="I147" s="3971"/>
      <c r="K147" s="3972"/>
      <c r="L147" s="3874"/>
      <c r="M147" s="3972"/>
      <c r="N147" s="3922"/>
      <c r="O147" s="3920"/>
      <c r="P147" s="3969"/>
      <c r="AW147" s="3874"/>
      <c r="AX147" s="1850"/>
      <c r="AY147" s="1850"/>
      <c r="AZ147" s="1850"/>
      <c r="BA147" s="1866"/>
      <c r="BB147" s="3851"/>
      <c r="BC147" s="3851"/>
      <c r="BD147" s="3851"/>
      <c r="BE147" s="3851"/>
      <c r="BF147" s="3851"/>
      <c r="BG147" s="3851"/>
      <c r="BH147" s="3851"/>
      <c r="BI147" s="1850"/>
      <c r="BJ147" s="3851"/>
      <c r="BK147" s="3851"/>
      <c r="BL147" s="3874"/>
      <c r="BM147" s="3951"/>
    </row>
    <row r="148" spans="1:65" ht="13.5" thickBot="1">
      <c r="A148" s="3857"/>
      <c r="B148" s="3966" t="s">
        <v>1019</v>
      </c>
      <c r="C148" s="3901">
        <v>53501</v>
      </c>
      <c r="D148" s="3975" t="s">
        <v>2534</v>
      </c>
      <c r="E148" s="3931">
        <f>IFERROR(VLOOKUP(C148,'פ.נ. צרפת'!$D$129:$F$1048576,3,0),0)</f>
        <v>-1253983.17</v>
      </c>
      <c r="F148" s="3843">
        <f>SUMIF('פ.נ. צרפת'!$C:$C,$C:$C,'פ.נ. צרפת'!$E:$E)</f>
        <v>0</v>
      </c>
      <c r="G148" s="3882"/>
      <c r="H148" s="3884"/>
      <c r="I148" s="3882"/>
      <c r="J148" s="4294">
        <f t="shared" ref="J148:J153" si="43">SUM(E148:I148)</f>
        <v>-1253983.17</v>
      </c>
      <c r="K148" s="3931">
        <f>M148+SUMIF('פ.נ. צרפת'!$C:$C,$C:$C,'פ.נ. צרפת'!$F:$F)</f>
        <v>-1461941.11</v>
      </c>
      <c r="L148" s="1343">
        <f>SUM('[167]Pivot 80060'!$C:$C)+J148</f>
        <v>11.314149069366977</v>
      </c>
      <c r="M148" s="3931">
        <f>IFERROR(VLOOKUP(C148,'פ.נ. צרפת'!$D$129:$G$1048576,4,0),"")</f>
        <v>-1461941.11</v>
      </c>
      <c r="N148" s="3877">
        <f t="shared" ref="N148:N153" si="44">IF(K148=0,"-",J148/K148)</f>
        <v>0.85775217717217067</v>
      </c>
      <c r="O148" s="3920"/>
      <c r="P148" s="3969"/>
      <c r="AW148" s="3874"/>
      <c r="AX148" s="1850"/>
      <c r="AY148" s="1850"/>
      <c r="AZ148" s="1850"/>
      <c r="BA148" s="1866"/>
      <c r="BB148" s="3851"/>
      <c r="BC148" s="3851"/>
      <c r="BD148" s="3851"/>
      <c r="BE148" s="3851"/>
      <c r="BF148" s="3851"/>
      <c r="BG148" s="3851"/>
      <c r="BH148" s="3851"/>
      <c r="BI148" s="1850"/>
      <c r="BJ148" s="3851"/>
      <c r="BK148" s="3851"/>
      <c r="BL148" s="3874"/>
      <c r="BM148" s="3951"/>
    </row>
    <row r="149" spans="1:65" ht="13.5" thickBot="1">
      <c r="A149" s="3857"/>
      <c r="B149" s="3966" t="s">
        <v>1019</v>
      </c>
      <c r="C149" s="3901">
        <v>53516</v>
      </c>
      <c r="D149" s="3929" t="s">
        <v>1638</v>
      </c>
      <c r="E149" s="3931">
        <f>IFERROR(VLOOKUP(C149,'פ.נ. צרפת'!$D$129:$F$1048576,3,0),0)</f>
        <v>-17323.43</v>
      </c>
      <c r="F149" s="3843">
        <f>SUMIF('פ.נ. צרפת'!$C:$C,$C:$C,'פ.נ. צרפת'!$E:$E)</f>
        <v>0</v>
      </c>
      <c r="G149" s="3882"/>
      <c r="H149" s="3884"/>
      <c r="I149" s="3882"/>
      <c r="J149" s="4294">
        <f t="shared" si="43"/>
        <v>-17323.43</v>
      </c>
      <c r="K149" s="3931">
        <f>M149+SUMIF('פ.נ. צרפת'!$C:$C,$C:$C,'פ.נ. צרפת'!$F:$F)</f>
        <v>-20549.63</v>
      </c>
      <c r="L149" s="1343">
        <f>SUM('[167]Pivot 80065'!$C:$C)+J149</f>
        <v>0</v>
      </c>
      <c r="M149" s="3931">
        <f>IFERROR(VLOOKUP(C149,'פ.נ. צרפת'!$D$129:$G$1048576,4,0),"")</f>
        <v>-20549.63</v>
      </c>
      <c r="N149" s="3877">
        <f t="shared" si="44"/>
        <v>0.84300447258661104</v>
      </c>
      <c r="O149" s="3920"/>
      <c r="P149" s="3969"/>
      <c r="AW149" s="3874"/>
      <c r="AX149" s="1850"/>
      <c r="AY149" s="1850"/>
      <c r="AZ149" s="1850"/>
      <c r="BA149" s="1866"/>
      <c r="BB149" s="3851"/>
      <c r="BC149" s="3851"/>
      <c r="BD149" s="3851"/>
      <c r="BE149" s="3851"/>
      <c r="BF149" s="3851"/>
      <c r="BG149" s="3851"/>
      <c r="BH149" s="3851"/>
      <c r="BI149" s="1850"/>
      <c r="BJ149" s="3851"/>
      <c r="BK149" s="3851"/>
      <c r="BL149" s="3874"/>
      <c r="BM149" s="3951"/>
    </row>
    <row r="150" spans="1:65" ht="13.5" thickBot="1">
      <c r="A150" s="3857"/>
      <c r="B150" s="3966" t="s">
        <v>1019</v>
      </c>
      <c r="C150" s="3901">
        <v>53580</v>
      </c>
      <c r="D150" s="3976" t="s">
        <v>1661</v>
      </c>
      <c r="E150" s="3931">
        <f>IFERROR(VLOOKUP(C150,'פ.נ. צרפת'!$D$129:$F$1048576,3,0),0)</f>
        <v>-108717.88</v>
      </c>
      <c r="F150" s="3843">
        <f>SUMIF('פ.נ. צרפת'!$C:$C,$C:$C,'פ.נ. צרפת'!$E:$E)</f>
        <v>0</v>
      </c>
      <c r="G150" s="3882"/>
      <c r="H150" s="3884"/>
      <c r="I150" s="3882"/>
      <c r="J150" s="4294">
        <f t="shared" si="43"/>
        <v>-108717.88</v>
      </c>
      <c r="K150" s="3931">
        <f>M150+SUMIF('פ.נ. צרפת'!$C:$C,$C:$C,'פ.נ. צרפת'!$F:$F)</f>
        <v>-123227.71</v>
      </c>
      <c r="L150" s="1343">
        <f>SUM('606-Prepaid Comm&amp;DR SUB'!$F$200:$F$201)+K150</f>
        <v>-12.986437344035949</v>
      </c>
      <c r="M150" s="3931">
        <f>IFERROR(VLOOKUP(C150,'פ.נ. צרפת'!$D$129:$G$1048576,4,0),"")</f>
        <v>-123227.71</v>
      </c>
      <c r="N150" s="3877">
        <f t="shared" si="44"/>
        <v>0.88225188961151679</v>
      </c>
      <c r="O150" s="3920"/>
      <c r="P150" s="3969"/>
      <c r="AW150" s="3874"/>
      <c r="AX150" s="1850"/>
      <c r="AY150" s="1850"/>
      <c r="AZ150" s="1850"/>
      <c r="BA150" s="1866"/>
      <c r="BB150" s="3851"/>
      <c r="BC150" s="3851"/>
      <c r="BD150" s="3851"/>
      <c r="BE150" s="3851"/>
      <c r="BF150" s="3851"/>
      <c r="BG150" s="3851"/>
      <c r="BH150" s="3851"/>
      <c r="BI150" s="1850"/>
      <c r="BJ150" s="3851"/>
      <c r="BK150" s="3851"/>
      <c r="BL150" s="3874"/>
      <c r="BM150" s="3951"/>
    </row>
    <row r="151" spans="1:65" ht="13.5" thickBot="1">
      <c r="A151" s="3857"/>
      <c r="B151" s="3966" t="s">
        <v>1019</v>
      </c>
      <c r="C151" s="3901">
        <v>53513</v>
      </c>
      <c r="D151" s="3976" t="s">
        <v>3639</v>
      </c>
      <c r="E151" s="3931">
        <f>IFERROR(VLOOKUP(C151,'פ.נ. צרפת'!$D$129:$F$1048576,3,0),0)</f>
        <v>0</v>
      </c>
      <c r="F151" s="3843">
        <f>SUMIF('פ.נ. צרפת'!$C:$C,$C:$C,'פ.נ. צרפת'!$E:$E)</f>
        <v>0</v>
      </c>
      <c r="G151" s="3882"/>
      <c r="H151" s="3884"/>
      <c r="I151" s="3882"/>
      <c r="J151" s="4294">
        <f t="shared" si="43"/>
        <v>0</v>
      </c>
      <c r="K151" s="3931">
        <f>M151+SUMIF('פ.נ. צרפת'!$C:$C,$C:$C,'פ.נ. צרפת'!$F:$F)</f>
        <v>0.01</v>
      </c>
      <c r="L151" s="1343">
        <f>J151-SUM(0)</f>
        <v>0</v>
      </c>
      <c r="M151" s="3931">
        <f>IFERROR(VLOOKUP(C151,'פ.נ. צרפת'!$D$129:$G$1048576,4,0),"")</f>
        <v>0.01</v>
      </c>
      <c r="N151" s="3877">
        <f t="shared" si="44"/>
        <v>0</v>
      </c>
      <c r="O151" s="3920"/>
      <c r="P151" s="3969"/>
      <c r="AW151" s="3874"/>
      <c r="AX151" s="1850"/>
      <c r="AY151" s="1850"/>
      <c r="AZ151" s="1850"/>
      <c r="BA151" s="1866"/>
      <c r="BB151" s="3851"/>
      <c r="BC151" s="3851"/>
      <c r="BD151" s="3851"/>
      <c r="BE151" s="3851"/>
      <c r="BF151" s="3851"/>
      <c r="BG151" s="3851"/>
      <c r="BH151" s="3851"/>
      <c r="BI151" s="1850"/>
      <c r="BJ151" s="3851"/>
      <c r="BK151" s="3851"/>
      <c r="BL151" s="3874"/>
      <c r="BM151" s="3951"/>
    </row>
    <row r="152" spans="1:65">
      <c r="A152" s="3857"/>
      <c r="B152" s="3958" t="s">
        <v>1019</v>
      </c>
      <c r="C152" s="3901">
        <v>53599</v>
      </c>
      <c r="D152" s="3977" t="s">
        <v>700</v>
      </c>
      <c r="E152" s="3931">
        <f>IFERROR(VLOOKUP(C152,'פ.נ. צרפת'!$D$129:$F$1048576,3,0),0)</f>
        <v>-73105.58</v>
      </c>
      <c r="F152" s="3843">
        <f>SUMIF('פ.נ. צרפת'!$C:$C,$C:$C,'פ.נ. צרפת'!$E:$E)</f>
        <v>0</v>
      </c>
      <c r="G152" s="3882"/>
      <c r="H152" s="3884"/>
      <c r="I152" s="3882"/>
      <c r="J152" s="4294">
        <f t="shared" si="43"/>
        <v>-73105.58</v>
      </c>
      <c r="K152" s="3931">
        <f>M152+SUMIF('פ.נ. צרפת'!$C:$C,$C:$C,'פ.נ. צרפת'!$F:$F)</f>
        <v>-82740.94</v>
      </c>
      <c r="L152" s="1884"/>
      <c r="M152" s="3931">
        <f>IFERROR(VLOOKUP(C152,'פ.נ. צרפת'!$D$129:$G$1048576,4,0),"")</f>
        <v>-82740.94</v>
      </c>
      <c r="N152" s="3877">
        <f t="shared" si="44"/>
        <v>0.88354785430283966</v>
      </c>
      <c r="O152" s="3920"/>
      <c r="P152" s="3969"/>
      <c r="AW152" s="3874"/>
      <c r="AX152" s="1850"/>
      <c r="AY152" s="1850"/>
      <c r="AZ152" s="1850"/>
      <c r="BA152" s="1866"/>
      <c r="BB152" s="3851"/>
      <c r="BC152" s="3851"/>
      <c r="BD152" s="3851"/>
      <c r="BE152" s="3851"/>
      <c r="BF152" s="3851"/>
      <c r="BG152" s="3851"/>
      <c r="BH152" s="3851"/>
      <c r="BI152" s="1850"/>
      <c r="BJ152" s="3851"/>
      <c r="BK152" s="3851"/>
      <c r="BL152" s="3874"/>
      <c r="BM152" s="3874"/>
    </row>
    <row r="153" spans="1:65">
      <c r="A153" s="3857"/>
      <c r="B153" s="3958" t="s">
        <v>1019</v>
      </c>
      <c r="C153" s="3901" t="s">
        <v>1868</v>
      </c>
      <c r="D153" s="3976" t="s">
        <v>1869</v>
      </c>
      <c r="E153" s="3931">
        <f>IFERROR(VLOOKUP(C153,'פ.נ. צרפת'!$D$129:$F$1048576,3,0),0)</f>
        <v>578276.28</v>
      </c>
      <c r="F153" s="3843">
        <f>SUMIF('פ.נ. צרפת'!$C:$C,$C:$C,'פ.נ. צרפת'!$E:$E)</f>
        <v>0</v>
      </c>
      <c r="G153" s="3882"/>
      <c r="H153" s="3884"/>
      <c r="I153" s="3882"/>
      <c r="J153" s="4294">
        <f t="shared" si="43"/>
        <v>578276.28</v>
      </c>
      <c r="K153" s="3931">
        <f>M153+SUMIF('פ.נ. צרפת'!$C:$C,$C:$C,'פ.נ. צרפת'!$F:$F)</f>
        <v>654493.46</v>
      </c>
      <c r="L153" s="1884"/>
      <c r="M153" s="3931">
        <f>IFERROR(VLOOKUP(C153,'פ.נ. צרפת'!$D$129:$G$1048576,4,0),"")</f>
        <v>654493.46</v>
      </c>
      <c r="N153" s="3877">
        <f t="shared" si="44"/>
        <v>0.88354783560404115</v>
      </c>
      <c r="O153" s="3920"/>
      <c r="P153" s="3969"/>
      <c r="AW153" s="3874"/>
      <c r="AX153" s="1850"/>
      <c r="AY153" s="1850"/>
      <c r="AZ153" s="1850"/>
      <c r="BA153" s="1866"/>
      <c r="BB153" s="3851"/>
      <c r="BC153" s="3851"/>
      <c r="BD153" s="3851"/>
      <c r="BE153" s="3851"/>
      <c r="BF153" s="3851"/>
      <c r="BG153" s="3851"/>
      <c r="BH153" s="3851"/>
      <c r="BI153" s="1850"/>
      <c r="BJ153" s="3851"/>
      <c r="BK153" s="3851"/>
      <c r="BL153" s="3874"/>
      <c r="BM153" s="3951"/>
    </row>
    <row r="154" spans="1:65" ht="13.5" thickBot="1">
      <c r="B154" s="3914"/>
      <c r="L154" s="1884"/>
      <c r="M154" s="3979"/>
    </row>
    <row r="155" spans="1:65" ht="15" customHeight="1" thickBot="1">
      <c r="A155" s="3857"/>
      <c r="B155" s="3656"/>
      <c r="C155" s="1870"/>
      <c r="D155" s="1886" t="s">
        <v>5031</v>
      </c>
      <c r="E155" s="1882">
        <f t="shared" ref="E155:K155" si="45">SUM(E148:E154)</f>
        <v>-874853.78</v>
      </c>
      <c r="F155" s="3293">
        <f t="shared" si="45"/>
        <v>0</v>
      </c>
      <c r="G155" s="1882">
        <f t="shared" si="45"/>
        <v>0</v>
      </c>
      <c r="H155" s="1882">
        <f t="shared" si="45"/>
        <v>0</v>
      </c>
      <c r="I155" s="1882">
        <f t="shared" si="45"/>
        <v>0</v>
      </c>
      <c r="J155" s="4083">
        <f t="shared" si="45"/>
        <v>-874853.78</v>
      </c>
      <c r="K155" s="1882">
        <f t="shared" si="45"/>
        <v>-1033965.9199999999</v>
      </c>
      <c r="L155" s="1343">
        <f>K155+'[17]12.2021'!$B$14070</f>
        <v>2.2637556307017803E-2</v>
      </c>
      <c r="M155" s="1882">
        <f>SUM(M148:M154)</f>
        <v>-1033965.9199999999</v>
      </c>
      <c r="N155" s="3922"/>
      <c r="O155" s="3920"/>
      <c r="P155" s="3969"/>
      <c r="AW155" s="3874"/>
      <c r="AX155" s="1850"/>
      <c r="AY155" s="1850"/>
      <c r="AZ155" s="1850"/>
      <c r="BA155" s="3851"/>
      <c r="BB155" s="3851"/>
      <c r="BC155" s="3851"/>
      <c r="BD155" s="3851"/>
      <c r="BE155" s="3851"/>
      <c r="BF155" s="3851"/>
      <c r="BG155" s="3851"/>
      <c r="BH155" s="3851"/>
      <c r="BI155" s="1850"/>
      <c r="BJ155" s="3851"/>
      <c r="BK155" s="3851"/>
      <c r="BL155" s="3874"/>
      <c r="BM155" s="3951"/>
    </row>
    <row r="156" spans="1:65" ht="15" customHeight="1">
      <c r="A156" s="3857"/>
      <c r="B156" s="3656"/>
      <c r="C156" s="3910"/>
      <c r="D156" s="1854"/>
      <c r="E156" s="3873"/>
      <c r="J156" s="3934"/>
      <c r="L156" s="3874"/>
      <c r="M156" s="3876"/>
      <c r="N156" s="3922"/>
      <c r="O156" s="3920"/>
      <c r="P156" s="3969"/>
      <c r="AW156" s="3874"/>
      <c r="AX156" s="1850"/>
      <c r="AY156" s="1850"/>
      <c r="AZ156" s="1850"/>
      <c r="BA156" s="3851"/>
      <c r="BB156" s="3851"/>
      <c r="BC156" s="3851"/>
      <c r="BD156" s="3851"/>
      <c r="BE156" s="3851"/>
      <c r="BF156" s="3851"/>
      <c r="BG156" s="3851"/>
      <c r="BH156" s="3851"/>
      <c r="BI156" s="1850"/>
      <c r="BJ156" s="3851"/>
      <c r="BK156" s="3851"/>
      <c r="BL156" s="3874"/>
      <c r="BM156" s="3951"/>
    </row>
    <row r="157" spans="1:65" ht="15" customHeight="1">
      <c r="A157" s="3857"/>
      <c r="B157" s="3656"/>
      <c r="C157" s="1870"/>
      <c r="D157" s="1887" t="s">
        <v>79</v>
      </c>
      <c r="E157" s="1882">
        <f t="shared" ref="E157:K157" si="46">E146+E143+E125+E117+E155+E106+E121</f>
        <v>-1612228.6700000002</v>
      </c>
      <c r="F157" s="1882">
        <f t="shared" si="46"/>
        <v>0</v>
      </c>
      <c r="G157" s="1862">
        <f t="shared" si="46"/>
        <v>0</v>
      </c>
      <c r="H157" s="1862">
        <f t="shared" si="46"/>
        <v>0</v>
      </c>
      <c r="I157" s="1862">
        <f t="shared" si="46"/>
        <v>0</v>
      </c>
      <c r="J157" s="1883">
        <f t="shared" si="46"/>
        <v>-1612228.6700000002</v>
      </c>
      <c r="K157" s="1883">
        <f t="shared" si="46"/>
        <v>-1862298.78</v>
      </c>
      <c r="L157" s="1884"/>
      <c r="M157" s="1883">
        <f>M146+M143+M125+M117+M155+M106+M121</f>
        <v>-1862298.78</v>
      </c>
      <c r="N157" s="3922"/>
      <c r="O157" s="3920"/>
      <c r="P157" s="3969"/>
      <c r="AW157" s="3874"/>
      <c r="AX157" s="1850"/>
      <c r="AY157" s="1850"/>
      <c r="AZ157" s="1850"/>
      <c r="BA157" s="3851"/>
      <c r="BB157" s="3851"/>
      <c r="BC157" s="3851"/>
      <c r="BD157" s="3851"/>
      <c r="BE157" s="3851"/>
      <c r="BF157" s="3851"/>
      <c r="BG157" s="3851"/>
      <c r="BH157" s="3851"/>
      <c r="BI157" s="1850"/>
      <c r="BJ157" s="3851"/>
      <c r="BK157" s="3851"/>
      <c r="BL157" s="3874"/>
      <c r="BM157" s="3951"/>
    </row>
    <row r="158" spans="1:65" ht="13.5" thickBot="1">
      <c r="A158" s="3857"/>
      <c r="B158" s="3656"/>
      <c r="C158" s="3910"/>
      <c r="D158" s="3881"/>
      <c r="E158" s="3873"/>
      <c r="F158" s="3980"/>
      <c r="G158" s="3981"/>
      <c r="H158" s="3980"/>
      <c r="I158" s="3981"/>
      <c r="J158" s="3934"/>
      <c r="K158" s="3908"/>
      <c r="M158" s="3908"/>
      <c r="N158" s="3922"/>
      <c r="O158" s="3920"/>
      <c r="P158" s="3969"/>
      <c r="AW158" s="3874"/>
      <c r="AX158" s="1850"/>
      <c r="AY158" s="1850"/>
      <c r="AZ158" s="1850"/>
      <c r="BA158" s="1850"/>
      <c r="BB158" s="3851"/>
      <c r="BC158" s="3851"/>
      <c r="BD158" s="3851"/>
      <c r="BE158" s="3851"/>
      <c r="BF158" s="3851"/>
      <c r="BG158" s="3851"/>
      <c r="BH158" s="3851"/>
      <c r="BI158" s="1850"/>
      <c r="BJ158" s="3851"/>
      <c r="BK158" s="3851"/>
      <c r="BL158" s="3874"/>
      <c r="BM158" s="3951"/>
    </row>
    <row r="159" spans="1:65" ht="13.5" thickBot="1">
      <c r="A159" s="3982"/>
      <c r="B159" s="3958" t="s">
        <v>2891</v>
      </c>
      <c r="C159" s="1352">
        <v>2610001</v>
      </c>
      <c r="D159" s="3983" t="s">
        <v>214</v>
      </c>
      <c r="E159" s="3844">
        <f>IFERROR(VLOOKUP(C159,'פ.נ. צרפת'!$D$129:$F$1048576,3,0),0)</f>
        <v>-578276.28</v>
      </c>
      <c r="F159" s="3843">
        <f>SUMIF('פ.נ. צרפת'!$C:$C,$C:$C,'פ.נ. צרפת'!$E:$E)</f>
        <v>0</v>
      </c>
      <c r="G159" s="3882"/>
      <c r="H159" s="3884"/>
      <c r="I159" s="3882"/>
      <c r="J159" s="4294">
        <f>SUM(E159:I159)</f>
        <v>-578276.28</v>
      </c>
      <c r="K159" s="3931">
        <f>M159+SUMIF('פ.נ. צרפת'!$C:$C,$C:$C,'פ.נ. צרפת'!$F:$F)</f>
        <v>-654493.46</v>
      </c>
      <c r="L159" s="1343">
        <f>K159+'[17]12.2021'!$A$14070</f>
        <v>9.2509761452674866E-4</v>
      </c>
      <c r="M159" s="3931">
        <f>IFERROR(VLOOKUP(C159,'פ.נ. צרפת'!$D$129:$G$1048576,4,0),"")</f>
        <v>-654493.46</v>
      </c>
      <c r="N159" s="3877">
        <f>IF(K159=0,"-",J159/K159)</f>
        <v>0.88354783560404115</v>
      </c>
      <c r="O159" s="3920"/>
      <c r="P159" s="3969"/>
      <c r="Q159" s="3850"/>
      <c r="R159" s="3850"/>
      <c r="S159" s="3850"/>
      <c r="T159" s="3850"/>
      <c r="U159" s="3850"/>
      <c r="V159" s="3850"/>
      <c r="W159" s="3850"/>
      <c r="X159" s="3850"/>
      <c r="Y159" s="3850"/>
      <c r="Z159" s="3850"/>
      <c r="AA159" s="3850"/>
      <c r="AB159" s="3850"/>
      <c r="AC159" s="3850"/>
      <c r="AD159" s="3850"/>
      <c r="AE159" s="3850"/>
      <c r="AF159" s="3850"/>
      <c r="AG159" s="3850"/>
      <c r="AH159" s="3850"/>
      <c r="AI159" s="3850"/>
      <c r="AJ159" s="3850"/>
      <c r="AK159" s="3850"/>
      <c r="AL159" s="3850"/>
      <c r="AM159" s="3850"/>
      <c r="AN159" s="3850"/>
      <c r="AO159" s="3850"/>
      <c r="AP159" s="3850"/>
      <c r="AQ159" s="3850"/>
      <c r="AR159" s="3850"/>
      <c r="AS159" s="3850"/>
      <c r="AT159" s="3850"/>
      <c r="AV159" s="2536"/>
      <c r="AW159" s="2536"/>
      <c r="AX159" s="2536"/>
      <c r="AY159" s="2537"/>
      <c r="BG159" s="2536"/>
      <c r="BK159" s="3951"/>
    </row>
    <row r="160" spans="1:65">
      <c r="A160" s="3857"/>
      <c r="B160" s="3656"/>
      <c r="C160" s="3984"/>
      <c r="D160" s="3881"/>
      <c r="E160" s="3985"/>
      <c r="F160" s="3980"/>
      <c r="G160" s="3981"/>
      <c r="H160" s="3980"/>
      <c r="I160" s="3981"/>
      <c r="J160" s="3934"/>
      <c r="K160" s="3908"/>
      <c r="L160" s="3874"/>
      <c r="M160" s="3908"/>
      <c r="N160" s="3922"/>
      <c r="O160" s="3920"/>
      <c r="P160" s="3969"/>
      <c r="AV160" s="3849"/>
      <c r="AW160" s="3851"/>
      <c r="AX160" s="1850"/>
      <c r="AY160" s="1850"/>
      <c r="AZ160" s="1850"/>
      <c r="BA160" s="3874"/>
      <c r="BB160" s="3851"/>
      <c r="BC160" s="3851"/>
      <c r="BD160" s="3851"/>
      <c r="BE160" s="3851"/>
      <c r="BF160" s="3851"/>
      <c r="BG160" s="3851"/>
      <c r="BH160" s="3851"/>
      <c r="BI160" s="1850"/>
      <c r="BJ160" s="3851"/>
      <c r="BK160" s="3851"/>
      <c r="BL160" s="3874"/>
      <c r="BM160" s="3951"/>
    </row>
    <row r="161" spans="1:72" ht="13.5" thickBot="1">
      <c r="A161" s="3857"/>
      <c r="B161" s="3656"/>
      <c r="C161" s="1870"/>
      <c r="D161" s="1886" t="s">
        <v>5032</v>
      </c>
      <c r="E161" s="1882">
        <f t="shared" ref="E161:K161" si="47">SUM(E159:E160)</f>
        <v>-578276.28</v>
      </c>
      <c r="F161" s="1882">
        <f t="shared" si="47"/>
        <v>0</v>
      </c>
      <c r="G161" s="1862">
        <f t="shared" si="47"/>
        <v>0</v>
      </c>
      <c r="H161" s="1862">
        <f t="shared" si="47"/>
        <v>0</v>
      </c>
      <c r="I161" s="1862">
        <f t="shared" si="47"/>
        <v>0</v>
      </c>
      <c r="J161" s="4083">
        <f t="shared" si="47"/>
        <v>-578276.28</v>
      </c>
      <c r="K161" s="1882">
        <f t="shared" si="47"/>
        <v>-654493.46</v>
      </c>
      <c r="L161" s="1884"/>
      <c r="M161" s="1883">
        <f>SUM(M159:M160)</f>
        <v>-654493.46</v>
      </c>
      <c r="N161" s="3922"/>
      <c r="O161" s="3920"/>
      <c r="P161" s="3969"/>
      <c r="AV161" s="3849"/>
      <c r="AW161" s="3851"/>
      <c r="AX161" s="1850"/>
      <c r="AY161" s="1850"/>
      <c r="AZ161" s="1850"/>
      <c r="BA161" s="3874"/>
      <c r="BB161" s="3851"/>
      <c r="BC161" s="3851"/>
      <c r="BD161" s="3851"/>
      <c r="BE161" s="3851"/>
      <c r="BF161" s="3851"/>
      <c r="BG161" s="3851"/>
      <c r="BH161" s="3851"/>
      <c r="BI161" s="1850"/>
      <c r="BJ161" s="3851"/>
      <c r="BK161" s="3851"/>
      <c r="BL161" s="3874"/>
      <c r="BM161" s="3951"/>
    </row>
    <row r="162" spans="1:72" ht="13.5" customHeight="1" thickBot="1">
      <c r="A162" s="3857"/>
      <c r="B162" s="3656"/>
      <c r="C162" s="3910"/>
      <c r="D162" s="1849" t="s">
        <v>686</v>
      </c>
      <c r="E162" s="3873"/>
      <c r="F162" s="3980"/>
      <c r="G162" s="3981"/>
      <c r="H162" s="3980"/>
      <c r="I162" s="3981"/>
      <c r="J162" s="3934"/>
      <c r="K162" s="3908"/>
      <c r="L162" s="3875"/>
      <c r="M162" s="3908"/>
      <c r="N162" s="3922"/>
      <c r="O162" s="3920"/>
      <c r="P162" s="3969"/>
      <c r="R162" s="1888"/>
      <c r="S162" s="3850"/>
      <c r="T162" s="3850"/>
      <c r="U162" s="3850"/>
      <c r="V162" s="3850"/>
      <c r="W162" s="3850"/>
      <c r="X162" s="3850"/>
      <c r="Y162" s="3850"/>
      <c r="Z162" s="3850"/>
      <c r="AA162" s="3850"/>
      <c r="AB162" s="3850"/>
      <c r="AC162" s="3850"/>
      <c r="AD162" s="3850"/>
      <c r="AE162" s="3850"/>
      <c r="AF162" s="3850"/>
      <c r="AG162" s="3850"/>
      <c r="AH162" s="3850"/>
      <c r="AI162" s="3850"/>
      <c r="AJ162" s="3850"/>
      <c r="AK162" s="3850"/>
      <c r="AL162" s="3850"/>
      <c r="AM162" s="3850"/>
      <c r="AN162" s="3850"/>
      <c r="AO162" s="3850"/>
      <c r="AP162" s="3850"/>
      <c r="AQ162" s="3850"/>
      <c r="AR162" s="3850"/>
      <c r="AS162" s="3850"/>
      <c r="AW162" s="3851"/>
      <c r="AX162" s="1850"/>
      <c r="AY162" s="1850"/>
      <c r="AZ162" s="1850"/>
      <c r="BA162" s="3874"/>
      <c r="BB162" s="3851"/>
      <c r="BC162" s="3851"/>
      <c r="BD162" s="3851"/>
      <c r="BE162" s="3851"/>
      <c r="BF162" s="3851"/>
      <c r="BG162" s="3851"/>
      <c r="BH162" s="3851"/>
      <c r="BI162" s="1850"/>
      <c r="BJ162" s="3851"/>
      <c r="BK162" s="3851"/>
      <c r="BL162" s="3874"/>
      <c r="BM162" s="3951"/>
    </row>
    <row r="163" spans="1:72" ht="13.5" customHeight="1" thickBot="1">
      <c r="A163" s="3872"/>
      <c r="B163" s="3986"/>
      <c r="C163" s="3936"/>
      <c r="D163" s="1889"/>
      <c r="E163" s="3873"/>
      <c r="F163" s="3980"/>
      <c r="G163" s="3981"/>
      <c r="H163" s="3980"/>
      <c r="I163" s="3981"/>
      <c r="J163" s="3908"/>
      <c r="K163" s="3987"/>
      <c r="L163" s="3875"/>
      <c r="M163" s="3987"/>
      <c r="N163" s="3922"/>
      <c r="O163" s="3920"/>
      <c r="P163" s="3969"/>
      <c r="R163" s="1888"/>
      <c r="S163" s="3850"/>
      <c r="T163" s="3850"/>
      <c r="U163" s="3850"/>
      <c r="V163" s="3850"/>
      <c r="W163" s="3850"/>
      <c r="X163" s="3850"/>
      <c r="Y163" s="3850"/>
      <c r="Z163" s="3850"/>
      <c r="AA163" s="3850"/>
      <c r="AB163" s="3850"/>
      <c r="AC163" s="3850"/>
      <c r="AD163" s="3850"/>
      <c r="AE163" s="3850"/>
      <c r="AF163" s="3850"/>
      <c r="AG163" s="3850"/>
      <c r="AH163" s="3850"/>
      <c r="AI163" s="3850"/>
      <c r="AJ163" s="3850"/>
      <c r="AK163" s="3850"/>
      <c r="AL163" s="3850"/>
      <c r="AM163" s="3850"/>
      <c r="AN163" s="3850"/>
      <c r="AO163" s="3850"/>
      <c r="AP163" s="3850"/>
      <c r="AQ163" s="3850"/>
      <c r="AR163" s="3850"/>
      <c r="AS163" s="3850"/>
      <c r="AW163" s="3851"/>
      <c r="AX163" s="1850"/>
      <c r="AY163" s="1850"/>
      <c r="AZ163" s="1850"/>
      <c r="BA163" s="3874"/>
      <c r="BB163" s="3851"/>
      <c r="BC163" s="3851"/>
      <c r="BD163" s="3851"/>
      <c r="BE163" s="3851"/>
      <c r="BF163" s="3851"/>
      <c r="BG163" s="3851"/>
      <c r="BH163" s="3851"/>
      <c r="BI163" s="1850"/>
      <c r="BJ163" s="3851"/>
      <c r="BK163" s="3851"/>
      <c r="BL163" s="3874"/>
      <c r="BM163" s="3951"/>
    </row>
    <row r="164" spans="1:72" s="3849" customFormat="1" ht="13.5" thickBot="1">
      <c r="A164" s="3872"/>
      <c r="B164" s="3879" t="str">
        <f>"113.צדדים קשורים"</f>
        <v>113.צדדים קשורים</v>
      </c>
      <c r="C164" s="3901">
        <v>1130010</v>
      </c>
      <c r="D164" s="3988" t="s">
        <v>2246</v>
      </c>
      <c r="E164" s="3844">
        <f>IFERROR(VLOOKUP(C164,'פ.נ. צרפת'!$D$129:$F$1048576,3,0),0)</f>
        <v>0</v>
      </c>
      <c r="F164" s="3843">
        <f>SUMIF('פ.נ. צרפת'!$C:$C,$C:$C,'פ.נ. צרפת'!$E:$E)</f>
        <v>0</v>
      </c>
      <c r="G164" s="3882"/>
      <c r="H164" s="3884"/>
      <c r="I164" s="3882"/>
      <c r="J164" s="3844">
        <f>SUM(E164:I164)</f>
        <v>0</v>
      </c>
      <c r="K164" s="3843">
        <f>M164+SUMIF('פ.נ. צרפת'!$C:$C,$C:$C,'פ.נ. צרפת'!$F:$F)</f>
        <v>0</v>
      </c>
      <c r="L164" s="1237">
        <f>K164+'מאזן בוחן EUROPE'!K173</f>
        <v>0</v>
      </c>
      <c r="M164" s="3944" t="str">
        <f>IFERROR(VLOOKUP(C164,'פ.נ. צרפת'!$D$129:$G$1048576,4,0),"")</f>
        <v/>
      </c>
      <c r="N164" s="3877" t="str">
        <f>IF(K164=0,"-",J164/K164)</f>
        <v>-</v>
      </c>
      <c r="O164" s="3928"/>
      <c r="P164" s="3969"/>
      <c r="AW164" s="3851"/>
      <c r="AX164" s="1850"/>
      <c r="AY164" s="1850"/>
      <c r="AZ164" s="1850"/>
      <c r="BA164" s="1866"/>
      <c r="BB164" s="3851"/>
      <c r="BC164" s="3851"/>
      <c r="BD164" s="3851"/>
      <c r="BE164" s="3851"/>
      <c r="BF164" s="3851"/>
      <c r="BG164" s="3851"/>
      <c r="BH164" s="3851"/>
      <c r="BI164" s="1850"/>
      <c r="BJ164" s="3851"/>
      <c r="BK164" s="3851"/>
      <c r="BL164" s="3851"/>
      <c r="BM164" s="3948"/>
    </row>
    <row r="165" spans="1:72" ht="13.5" thickBot="1">
      <c r="A165" s="3872"/>
      <c r="B165" s="3879" t="str">
        <f>"113.צדדים קשורים"</f>
        <v>113.צדדים קשורים</v>
      </c>
      <c r="C165" s="3901">
        <v>1130013</v>
      </c>
      <c r="D165" s="3988" t="s">
        <v>250</v>
      </c>
      <c r="E165" s="3844">
        <f>IFERROR(VLOOKUP(C165,'פ.נ. צרפת'!$D$129:$F$1048576,3,0),0)</f>
        <v>-5559.4</v>
      </c>
      <c r="F165" s="3843">
        <f>SUMIF('פ.נ. צרפת'!$C:$C,$C:$C,'פ.נ. צרפת'!$E:$E)</f>
        <v>0</v>
      </c>
      <c r="G165" s="3882"/>
      <c r="H165" s="3884"/>
      <c r="I165" s="3882"/>
      <c r="J165" s="4294">
        <f>SUM(E165:I165)</f>
        <v>-5559.4</v>
      </c>
      <c r="K165" s="3843">
        <f>M165+SUMIF('פ.נ. צרפת'!$C:$C,$C:$C,'פ.נ. צרפת'!$F:$F)</f>
        <v>-6292.13</v>
      </c>
      <c r="L165" s="3277">
        <f>K165+'New TB INC'!J274</f>
        <v>-1.0000000000218279E-2</v>
      </c>
      <c r="M165" s="3931">
        <f>IFERROR(VLOOKUP(C165,'פ.נ. צרפת'!$D$129:$G$1048576,4,0),"")</f>
        <v>-6292.13</v>
      </c>
      <c r="N165" s="3877">
        <f>IF(K165=0,"-",J165/K165)</f>
        <v>0.88354817843877975</v>
      </c>
    </row>
    <row r="166" spans="1:72" s="3849" customFormat="1" ht="13.5" thickBot="1">
      <c r="A166" s="3872"/>
      <c r="B166" s="3879" t="str">
        <f>"113.צדדים קשורים"</f>
        <v>113.צדדים קשורים</v>
      </c>
      <c r="C166" s="3901">
        <v>1130008</v>
      </c>
      <c r="D166" s="3988" t="s">
        <v>774</v>
      </c>
      <c r="E166" s="3844">
        <f>IFERROR(VLOOKUP(C166,'פ.נ. צרפת'!$D$129:$F$1048576,3,0),0)</f>
        <v>-3737875.65</v>
      </c>
      <c r="F166" s="3843">
        <f>SUMIF('פ.נ. צרפת'!$C:$C,$C:$C,'פ.נ. צרפת'!$E:$E)</f>
        <v>0</v>
      </c>
      <c r="G166" s="3882"/>
      <c r="H166" s="3884"/>
      <c r="I166" s="3882"/>
      <c r="J166" s="4296">
        <f>SUM(E166:I166)</f>
        <v>-3737875.65</v>
      </c>
      <c r="K166" s="3843">
        <f>M166+SUMIF('פ.נ. צרפת'!$C:$C,$C:$C,'פ.נ. צרפת'!$F:$F)</f>
        <v>-4230530.07</v>
      </c>
      <c r="L166" s="1237">
        <f>'מאזן בוחן'!K500+K166</f>
        <v>0</v>
      </c>
      <c r="M166" s="3931">
        <f>IFERROR(VLOOKUP(C166,'פ.נ. צרפת'!$D$129:$G$1048576,4,0),"")</f>
        <v>-4230530.07</v>
      </c>
      <c r="N166" s="3877">
        <f>IF(K166=0,"-",J166/K166)</f>
        <v>0.88354782690387534</v>
      </c>
      <c r="O166" s="3928"/>
      <c r="P166" s="3969"/>
      <c r="AW166" s="3851"/>
      <c r="AX166" s="1850"/>
      <c r="AY166" s="1850"/>
      <c r="AZ166" s="1850"/>
      <c r="BA166" s="1866"/>
      <c r="BB166" s="3851"/>
      <c r="BC166" s="3851"/>
      <c r="BD166" s="3851"/>
      <c r="BE166" s="3851"/>
      <c r="BF166" s="3851"/>
      <c r="BG166" s="3851"/>
      <c r="BH166" s="3851"/>
      <c r="BI166" s="1850"/>
      <c r="BJ166" s="3851"/>
      <c r="BK166" s="3851"/>
      <c r="BL166" s="3851"/>
      <c r="BM166" s="3948"/>
    </row>
    <row r="167" spans="1:72" ht="15" customHeight="1" thickBot="1">
      <c r="A167" s="3857"/>
      <c r="B167" s="3656"/>
      <c r="C167" s="1870"/>
      <c r="D167" s="1881" t="s">
        <v>3064</v>
      </c>
      <c r="E167" s="1883">
        <f t="shared" ref="E167:K167" si="48">SUM(E163:E166)</f>
        <v>-3743435.05</v>
      </c>
      <c r="F167" s="3294">
        <f t="shared" si="48"/>
        <v>0</v>
      </c>
      <c r="G167" s="1862">
        <f t="shared" si="48"/>
        <v>0</v>
      </c>
      <c r="H167" s="1862">
        <f t="shared" si="48"/>
        <v>0</v>
      </c>
      <c r="I167" s="1862">
        <f t="shared" si="48"/>
        <v>0</v>
      </c>
      <c r="J167" s="1882">
        <f t="shared" si="48"/>
        <v>-3743435.05</v>
      </c>
      <c r="K167" s="1882">
        <f t="shared" si="48"/>
        <v>-4236822.2</v>
      </c>
      <c r="L167" s="1884"/>
      <c r="M167" s="1883">
        <f>SUM(M163:M166)</f>
        <v>-4236822.2</v>
      </c>
      <c r="N167" s="3922"/>
      <c r="O167" s="3920"/>
      <c r="P167" s="3969"/>
      <c r="Q167" s="3878"/>
      <c r="R167" s="3878"/>
      <c r="S167" s="3953"/>
      <c r="T167" s="3953"/>
      <c r="U167" s="3953"/>
      <c r="V167" s="3953"/>
      <c r="W167" s="3953"/>
      <c r="X167" s="3953"/>
      <c r="Y167" s="3953"/>
      <c r="Z167" s="3953"/>
      <c r="AA167" s="3953"/>
      <c r="AB167" s="3953"/>
      <c r="AC167" s="3953"/>
      <c r="AD167" s="3953"/>
      <c r="AE167" s="3953"/>
      <c r="AF167" s="3953"/>
      <c r="AG167" s="3953"/>
      <c r="AH167" s="3953"/>
      <c r="AI167" s="3953"/>
      <c r="AJ167" s="3953"/>
      <c r="AK167" s="3953"/>
      <c r="AL167" s="3953"/>
      <c r="AM167" s="3953"/>
      <c r="AN167" s="3953"/>
      <c r="AO167" s="3953"/>
      <c r="AP167" s="3953"/>
      <c r="AQ167" s="3953"/>
      <c r="AR167" s="3953"/>
      <c r="AS167" s="3953"/>
      <c r="AW167" s="3851"/>
      <c r="AX167" s="1850"/>
      <c r="AY167" s="1850"/>
      <c r="AZ167" s="1850"/>
      <c r="BA167" s="3874"/>
      <c r="BB167" s="3851"/>
      <c r="BC167" s="3851"/>
      <c r="BD167" s="3851"/>
      <c r="BE167" s="3851"/>
      <c r="BF167" s="3851"/>
      <c r="BG167" s="3851"/>
      <c r="BH167" s="3851"/>
      <c r="BI167" s="3851"/>
      <c r="BJ167" s="1850"/>
      <c r="BK167" s="3851"/>
      <c r="BL167" s="3851"/>
      <c r="BM167" s="3874"/>
      <c r="BN167" s="3874"/>
    </row>
    <row r="168" spans="1:72" ht="13.5" thickBot="1">
      <c r="A168" s="3857"/>
      <c r="B168" s="3656"/>
      <c r="C168" s="3984"/>
      <c r="D168" s="1849" t="s">
        <v>81</v>
      </c>
      <c r="E168" s="3985"/>
      <c r="F168" s="3989"/>
      <c r="J168" s="3934"/>
      <c r="K168" s="3908"/>
      <c r="L168" s="3874"/>
      <c r="M168" s="3985"/>
      <c r="N168" s="3922"/>
      <c r="O168" s="3920"/>
      <c r="P168" s="3969"/>
      <c r="R168" s="3878"/>
      <c r="S168" s="3953"/>
      <c r="T168" s="3953"/>
      <c r="U168" s="3953"/>
      <c r="V168" s="3953"/>
      <c r="W168" s="3953"/>
      <c r="X168" s="3953"/>
      <c r="Y168" s="3953"/>
      <c r="Z168" s="3953"/>
      <c r="AA168" s="3953"/>
      <c r="AB168" s="3953"/>
      <c r="AC168" s="3953"/>
      <c r="AD168" s="3953"/>
      <c r="AE168" s="3953"/>
      <c r="AF168" s="3953"/>
      <c r="AG168" s="3953"/>
      <c r="AH168" s="3953"/>
      <c r="AI168" s="3953"/>
      <c r="AJ168" s="3953"/>
      <c r="AK168" s="3953"/>
      <c r="AL168" s="3953"/>
      <c r="AM168" s="3953"/>
      <c r="AN168" s="3953"/>
      <c r="AO168" s="3953"/>
      <c r="AP168" s="3953"/>
      <c r="AQ168" s="3953"/>
      <c r="AR168" s="3953"/>
      <c r="AS168" s="3953"/>
      <c r="AU168" s="3849"/>
      <c r="AV168" s="3849"/>
      <c r="AW168" s="3851"/>
      <c r="AX168" s="1850"/>
      <c r="AY168" s="1850"/>
      <c r="AZ168" s="1850"/>
      <c r="BA168" s="3874"/>
      <c r="BB168" s="3851"/>
      <c r="BC168" s="3851"/>
      <c r="BD168" s="3851"/>
      <c r="BE168" s="3851"/>
      <c r="BF168" s="3851"/>
      <c r="BG168" s="3851"/>
      <c r="BH168" s="3851"/>
      <c r="BI168" s="3851"/>
      <c r="BJ168" s="1850"/>
      <c r="BK168" s="3851"/>
      <c r="BL168" s="3851"/>
      <c r="BM168" s="3874"/>
      <c r="BN168" s="3874"/>
    </row>
    <row r="169" spans="1:72" ht="13.5" thickBot="1">
      <c r="A169" s="3872"/>
      <c r="B169" s="3990"/>
      <c r="C169" s="3925"/>
      <c r="D169" s="3881"/>
      <c r="E169" s="3882"/>
      <c r="F169" s="3991"/>
      <c r="H169" s="3851"/>
      <c r="I169" s="3845"/>
      <c r="J169" s="3843"/>
      <c r="K169" s="3844"/>
      <c r="L169" s="3874"/>
      <c r="M169" s="3882"/>
      <c r="N169" s="3922"/>
      <c r="O169" s="3920"/>
      <c r="P169" s="3969"/>
      <c r="R169" s="3878"/>
      <c r="S169" s="3953"/>
      <c r="T169" s="3953"/>
      <c r="U169" s="3953"/>
      <c r="V169" s="3953"/>
      <c r="W169" s="3953"/>
      <c r="X169" s="3953"/>
      <c r="Y169" s="3953"/>
      <c r="Z169" s="3953"/>
      <c r="AA169" s="3953"/>
      <c r="AB169" s="3953"/>
      <c r="AC169" s="3953"/>
      <c r="AD169" s="3953"/>
      <c r="AE169" s="3953"/>
      <c r="AF169" s="3953"/>
      <c r="AG169" s="3953"/>
      <c r="AH169" s="3953"/>
      <c r="AI169" s="3953"/>
      <c r="AJ169" s="3953"/>
      <c r="AK169" s="3953"/>
      <c r="AL169" s="3953"/>
      <c r="AM169" s="3953"/>
      <c r="AN169" s="3953"/>
      <c r="AO169" s="3953"/>
      <c r="AP169" s="3953"/>
      <c r="AQ169" s="3953"/>
      <c r="AR169" s="3953"/>
      <c r="AS169" s="3953"/>
      <c r="AW169" s="3851"/>
      <c r="AX169" s="1850"/>
      <c r="AY169" s="1850"/>
      <c r="AZ169" s="1850"/>
      <c r="BA169" s="3874"/>
      <c r="BB169" s="3851"/>
      <c r="BC169" s="3851"/>
      <c r="BD169" s="3851"/>
      <c r="BE169" s="3851"/>
      <c r="BF169" s="3851"/>
      <c r="BG169" s="3851"/>
      <c r="BH169" s="3851"/>
      <c r="BI169" s="3851"/>
      <c r="BJ169" s="1850"/>
      <c r="BK169" s="3851"/>
      <c r="BL169" s="3851"/>
      <c r="BM169" s="3874"/>
      <c r="BN169" s="3874"/>
    </row>
    <row r="170" spans="1:72" s="3992" customFormat="1" ht="13.5" thickBot="1">
      <c r="A170" s="3872"/>
      <c r="B170" s="3879" t="s">
        <v>1963</v>
      </c>
      <c r="C170" s="3901">
        <v>3000001</v>
      </c>
      <c r="D170" s="3988" t="s">
        <v>1964</v>
      </c>
      <c r="E170" s="3844">
        <f>VLOOKUP(C170,'פ.נ. צרפת'!$D$129:$F$1048576,3,0)</f>
        <v>-1000</v>
      </c>
      <c r="F170" s="3843">
        <f>SUMIF('פ.נ. צרפת'!$C:$C,$C:$C,'פ.נ. צרפת'!$E:$E)</f>
        <v>0</v>
      </c>
      <c r="G170" s="3882"/>
      <c r="H170" s="3884"/>
      <c r="I170" s="3882"/>
      <c r="J170" s="4294">
        <f>SUM(E170:I170)</f>
        <v>-1000</v>
      </c>
      <c r="K170" s="3931">
        <f>M170+SUMIF('פ.נ. צרפת'!$C:$C,$C:$C,'פ.נ. צרפת'!$F:$F)</f>
        <v>-1099.6600000000001</v>
      </c>
      <c r="L170" s="956">
        <f>K170+'מאזן בוחן EUROPE'!K176</f>
        <v>0</v>
      </c>
      <c r="M170" s="3931">
        <f>IFERROR(VLOOKUP(C170,'פ.נ. צרפת'!$D$129:$G$1048576,4,0),"")</f>
        <v>-1099.6600000000001</v>
      </c>
      <c r="N170" s="3877">
        <f>IF(K170=0,"-",J170/K170)</f>
        <v>0.90937198770529071</v>
      </c>
      <c r="O170" s="3920"/>
      <c r="P170" s="3969"/>
      <c r="Q170" s="3849"/>
      <c r="R170" s="3849"/>
      <c r="S170" s="3849"/>
      <c r="T170" s="3849"/>
      <c r="U170" s="3849"/>
      <c r="V170" s="3849"/>
      <c r="W170" s="3849"/>
      <c r="X170" s="3849"/>
      <c r="Y170" s="3849"/>
      <c r="Z170" s="3849"/>
      <c r="AA170" s="3849"/>
      <c r="AB170" s="3849"/>
      <c r="AC170" s="3849"/>
      <c r="AD170" s="3849"/>
      <c r="AE170" s="3849"/>
      <c r="AF170" s="3849"/>
      <c r="AG170" s="3849"/>
      <c r="AH170" s="3849"/>
      <c r="AI170" s="3849"/>
      <c r="AJ170" s="3849"/>
      <c r="AK170" s="3849"/>
      <c r="AL170" s="3849"/>
      <c r="AM170" s="3849"/>
      <c r="AN170" s="3849"/>
      <c r="AO170" s="3849"/>
      <c r="AP170" s="3849"/>
      <c r="AQ170" s="3849"/>
      <c r="AR170" s="3849"/>
      <c r="AS170" s="3849"/>
      <c r="AT170" s="3849"/>
      <c r="AU170" s="3849"/>
      <c r="AV170" s="3849"/>
      <c r="AW170" s="3851"/>
      <c r="AX170" s="1850"/>
      <c r="AY170" s="1850"/>
      <c r="AZ170" s="1850"/>
      <c r="BA170" s="3874"/>
      <c r="BB170" s="3851"/>
      <c r="BC170" s="3851"/>
      <c r="BD170" s="3851"/>
      <c r="BE170" s="3851"/>
      <c r="BF170" s="3851"/>
      <c r="BG170" s="3851"/>
      <c r="BH170" s="3851"/>
      <c r="BI170" s="3851"/>
      <c r="BJ170" s="1850"/>
      <c r="BK170" s="3851"/>
      <c r="BL170" s="3851"/>
      <c r="BM170" s="3874"/>
      <c r="BN170" s="3874"/>
      <c r="BO170" s="3850"/>
      <c r="BP170" s="3850"/>
      <c r="BQ170" s="3850"/>
      <c r="BR170" s="3850"/>
      <c r="BS170" s="3850"/>
      <c r="BT170" s="3850"/>
    </row>
    <row r="171" spans="1:72" s="3992" customFormat="1" ht="13.5" thickBot="1">
      <c r="A171" s="3872"/>
      <c r="B171" s="3879" t="s">
        <v>1050</v>
      </c>
      <c r="C171" s="3901">
        <v>3030001</v>
      </c>
      <c r="D171" s="3988" t="s">
        <v>1051</v>
      </c>
      <c r="E171" s="3974">
        <f>VLOOKUP(C171,'פ.נ. צרפת'!$D$129:$F$1048576,3,0)</f>
        <v>454390.77</v>
      </c>
      <c r="F171" s="3843">
        <f>SUMIF('פ.נ. צרפת'!$C:$C,$C:$C,'פ.נ. צרפת'!$E:$E)</f>
        <v>0</v>
      </c>
      <c r="G171" s="3882"/>
      <c r="H171" s="3884"/>
      <c r="I171" s="3882"/>
      <c r="J171" s="4294">
        <f>SUM(E171:I171)</f>
        <v>454390.77</v>
      </c>
      <c r="K171" s="3843">
        <f>M171+SUMIF('פ.נ. צרפת'!$C:$C,$C:$C,'פ.נ. צרפת'!$F:$F)</f>
        <v>528889.94999999995</v>
      </c>
      <c r="L171" s="956">
        <f>J171+'[32]FS France'!$D$67</f>
        <v>0</v>
      </c>
      <c r="M171" s="3931">
        <f>IFERROR(VLOOKUP(C171,'פ.נ. צרפת'!$D$129:$G$1048576,4,0),"")</f>
        <v>528889.94999999995</v>
      </c>
      <c r="N171" s="3877">
        <f>IF(K171=0,"-",J171/K171)</f>
        <v>0.85914048848914615</v>
      </c>
      <c r="O171" s="3920"/>
      <c r="P171" s="3969" t="s">
        <v>2669</v>
      </c>
      <c r="Q171" s="3849"/>
      <c r="R171" s="3849"/>
      <c r="S171" s="3849"/>
      <c r="T171" s="3849"/>
      <c r="U171" s="3849"/>
      <c r="V171" s="3849"/>
      <c r="W171" s="3849"/>
      <c r="X171" s="3849"/>
      <c r="Y171" s="3849"/>
      <c r="Z171" s="3849"/>
      <c r="AA171" s="3849"/>
      <c r="AB171" s="3849"/>
      <c r="AC171" s="3849"/>
      <c r="AD171" s="3849"/>
      <c r="AE171" s="3849"/>
      <c r="AF171" s="3849"/>
      <c r="AG171" s="3849"/>
      <c r="AH171" s="3849"/>
      <c r="AI171" s="3849"/>
      <c r="AJ171" s="3849"/>
      <c r="AK171" s="3849"/>
      <c r="AL171" s="3849"/>
      <c r="AM171" s="3849"/>
      <c r="AN171" s="3849"/>
      <c r="AO171" s="3849"/>
      <c r="AP171" s="3849"/>
      <c r="AQ171" s="3849"/>
      <c r="AR171" s="3849"/>
      <c r="AS171" s="3849"/>
      <c r="AT171" s="3849"/>
      <c r="AU171" s="3849"/>
      <c r="AV171" s="3849"/>
      <c r="AW171" s="3851"/>
      <c r="AX171" s="1850"/>
      <c r="AY171" s="1850"/>
      <c r="AZ171" s="1850"/>
      <c r="BA171" s="3874"/>
      <c r="BB171" s="3851"/>
      <c r="BC171" s="3851"/>
      <c r="BD171" s="3851"/>
      <c r="BE171" s="3851"/>
      <c r="BF171" s="3851"/>
      <c r="BG171" s="3851"/>
      <c r="BH171" s="3851"/>
      <c r="BI171" s="3851"/>
      <c r="BJ171" s="1850"/>
      <c r="BK171" s="3851"/>
      <c r="BL171" s="3851"/>
      <c r="BM171" s="3874"/>
      <c r="BN171" s="3874"/>
      <c r="BO171" s="3850"/>
      <c r="BP171" s="3850"/>
      <c r="BQ171" s="3850"/>
      <c r="BR171" s="3850"/>
      <c r="BS171" s="3850"/>
      <c r="BT171" s="3850"/>
    </row>
    <row r="172" spans="1:72">
      <c r="A172" s="3857"/>
      <c r="B172" s="3879"/>
      <c r="C172" s="1870"/>
      <c r="D172" s="1881"/>
      <c r="E172" s="1883">
        <f t="shared" ref="E172:K172" si="49">SUM(E169:E171)</f>
        <v>453390.77</v>
      </c>
      <c r="F172" s="1883">
        <f t="shared" si="49"/>
        <v>0</v>
      </c>
      <c r="G172" s="1862">
        <f t="shared" si="49"/>
        <v>0</v>
      </c>
      <c r="H172" s="1862">
        <f t="shared" si="49"/>
        <v>0</v>
      </c>
      <c r="I172" s="1862">
        <f t="shared" si="49"/>
        <v>0</v>
      </c>
      <c r="J172" s="4083">
        <f t="shared" si="49"/>
        <v>453390.77</v>
      </c>
      <c r="K172" s="1882">
        <f t="shared" si="49"/>
        <v>527790.28999999992</v>
      </c>
      <c r="M172" s="1883">
        <f>SUM(M169:M171)</f>
        <v>527790.28999999992</v>
      </c>
      <c r="N172" s="3922"/>
      <c r="O172" s="3920"/>
      <c r="P172" s="3969"/>
      <c r="Q172" s="3878"/>
      <c r="R172" s="3878"/>
      <c r="S172" s="3878"/>
      <c r="T172" s="3878"/>
      <c r="U172" s="3878"/>
      <c r="V172" s="3878"/>
      <c r="W172" s="3878"/>
      <c r="X172" s="3878"/>
      <c r="Y172" s="3878"/>
      <c r="Z172" s="3878"/>
      <c r="AA172" s="3878"/>
      <c r="AB172" s="3878"/>
      <c r="AC172" s="3878"/>
      <c r="AD172" s="3878"/>
      <c r="AE172" s="3878"/>
      <c r="AF172" s="3878"/>
      <c r="AG172" s="3878"/>
      <c r="AH172" s="3878"/>
      <c r="AI172" s="3878"/>
      <c r="AJ172" s="3878"/>
      <c r="AK172" s="3878"/>
      <c r="AL172" s="3878"/>
      <c r="AM172" s="3878"/>
      <c r="AN172" s="3878"/>
      <c r="AO172" s="3878"/>
      <c r="AP172" s="3878"/>
      <c r="AQ172" s="3878"/>
      <c r="AR172" s="3878"/>
      <c r="AS172" s="3878"/>
      <c r="AT172" s="3878"/>
      <c r="AU172" s="3878"/>
      <c r="AV172" s="3878"/>
      <c r="AW172" s="3878"/>
      <c r="BA172" s="3874"/>
      <c r="BB172" s="3851"/>
      <c r="BC172" s="3851"/>
      <c r="BD172" s="3851"/>
      <c r="BE172" s="3851"/>
      <c r="BF172" s="3851"/>
      <c r="BG172" s="3851"/>
      <c r="BH172" s="3851"/>
      <c r="BI172" s="3851"/>
      <c r="BJ172" s="3851"/>
      <c r="BK172" s="3851"/>
      <c r="BL172" s="3874"/>
      <c r="BM172" s="3874"/>
    </row>
    <row r="173" spans="1:72">
      <c r="A173" s="3857"/>
      <c r="B173" s="3879"/>
      <c r="C173" s="3910"/>
      <c r="D173" s="1845"/>
      <c r="K173" s="3875"/>
      <c r="L173" s="3874"/>
      <c r="M173" s="3875"/>
      <c r="N173" s="3922"/>
      <c r="O173" s="3920"/>
      <c r="P173" s="3969"/>
      <c r="Q173" s="3878"/>
      <c r="R173" s="3878"/>
      <c r="S173" s="3878"/>
      <c r="T173" s="3878"/>
      <c r="U173" s="3878"/>
      <c r="V173" s="3878"/>
      <c r="W173" s="3878"/>
      <c r="X173" s="3878"/>
      <c r="Y173" s="3878"/>
      <c r="Z173" s="3878"/>
      <c r="AA173" s="3878"/>
      <c r="AB173" s="3878"/>
      <c r="AC173" s="3878"/>
      <c r="AD173" s="3878"/>
      <c r="AE173" s="3878"/>
      <c r="AF173" s="3878"/>
      <c r="AG173" s="3878"/>
      <c r="AH173" s="3878"/>
      <c r="AI173" s="3878"/>
      <c r="AJ173" s="3878"/>
      <c r="AK173" s="3878"/>
      <c r="AL173" s="3878"/>
      <c r="AM173" s="3878"/>
      <c r="AN173" s="3878"/>
      <c r="AO173" s="3878"/>
      <c r="AP173" s="3878"/>
      <c r="AQ173" s="3878"/>
      <c r="AR173" s="3878"/>
      <c r="AS173" s="3878"/>
      <c r="AT173" s="3878"/>
      <c r="AU173" s="3878"/>
      <c r="AV173" s="3878"/>
      <c r="AW173" s="3878"/>
      <c r="BA173" s="3874"/>
      <c r="BB173" s="3851"/>
      <c r="BC173" s="3851"/>
      <c r="BD173" s="3851"/>
      <c r="BE173" s="3851"/>
      <c r="BF173" s="3851"/>
      <c r="BG173" s="3851"/>
      <c r="BH173" s="3851"/>
      <c r="BI173" s="3851"/>
      <c r="BJ173" s="3851"/>
      <c r="BK173" s="3851"/>
      <c r="BL173" s="3874"/>
      <c r="BM173" s="3874"/>
    </row>
    <row r="174" spans="1:72" ht="15" customHeight="1">
      <c r="A174" s="3857"/>
      <c r="B174" s="3879"/>
      <c r="C174" s="1870"/>
      <c r="D174" s="1885" t="s">
        <v>709</v>
      </c>
      <c r="E174" s="1883">
        <f t="shared" ref="E174:K174" si="50">E172+E157+E92+E167+E161</f>
        <v>-5480549.2300000004</v>
      </c>
      <c r="F174" s="1862">
        <f t="shared" si="50"/>
        <v>0</v>
      </c>
      <c r="G174" s="1862">
        <f t="shared" si="50"/>
        <v>0</v>
      </c>
      <c r="H174" s="1862">
        <f t="shared" si="50"/>
        <v>0</v>
      </c>
      <c r="I174" s="1862">
        <f t="shared" si="50"/>
        <v>0</v>
      </c>
      <c r="J174" s="1882">
        <f t="shared" si="50"/>
        <v>-5480549.2300000004</v>
      </c>
      <c r="K174" s="1882">
        <f t="shared" si="50"/>
        <v>-6225824.1500000004</v>
      </c>
      <c r="L174" s="1884"/>
      <c r="M174" s="1883">
        <f>M172+M157+M92+M167+M161</f>
        <v>-6225824.1500000004</v>
      </c>
      <c r="N174" s="3922"/>
      <c r="O174" s="3920"/>
      <c r="P174" s="3969"/>
      <c r="Q174" s="3878"/>
      <c r="R174" s="3878"/>
      <c r="S174" s="3878"/>
      <c r="T174" s="3878"/>
      <c r="U174" s="3878"/>
      <c r="V174" s="3878"/>
      <c r="W174" s="3878"/>
      <c r="X174" s="3878"/>
      <c r="Y174" s="3878"/>
      <c r="Z174" s="3878"/>
      <c r="AA174" s="3878"/>
      <c r="AB174" s="3878"/>
      <c r="AC174" s="3878"/>
      <c r="AD174" s="3878"/>
      <c r="AE174" s="3878"/>
      <c r="AF174" s="3878"/>
      <c r="AG174" s="3878"/>
      <c r="AH174" s="3878"/>
      <c r="AI174" s="3878"/>
      <c r="AJ174" s="3878"/>
      <c r="AK174" s="3878"/>
      <c r="AL174" s="3878"/>
      <c r="AM174" s="3878"/>
      <c r="AN174" s="3878"/>
      <c r="AO174" s="3878"/>
      <c r="AP174" s="3878"/>
      <c r="AQ174" s="3878"/>
      <c r="AR174" s="3878"/>
      <c r="AS174" s="3878"/>
      <c r="AT174" s="3878"/>
      <c r="AU174" s="3878"/>
      <c r="AV174" s="3878"/>
      <c r="AW174" s="3878"/>
      <c r="BA174" s="3874"/>
      <c r="BB174" s="3851"/>
      <c r="BC174" s="3851"/>
      <c r="BD174" s="3851"/>
      <c r="BE174" s="3851"/>
      <c r="BF174" s="3851"/>
      <c r="BG174" s="3851"/>
      <c r="BH174" s="3851"/>
      <c r="BI174" s="3851"/>
      <c r="BJ174" s="3851"/>
      <c r="BK174" s="3851"/>
      <c r="BL174" s="3874"/>
      <c r="BM174" s="3874"/>
    </row>
    <row r="175" spans="1:72" ht="15" customHeight="1">
      <c r="A175" s="3857"/>
      <c r="B175" s="3879"/>
      <c r="C175" s="1890"/>
      <c r="D175" s="1891"/>
      <c r="E175" s="1892"/>
      <c r="F175" s="1893"/>
      <c r="G175" s="1875"/>
      <c r="H175" s="1893"/>
      <c r="I175" s="1875"/>
      <c r="J175" s="2585"/>
      <c r="K175" s="2586"/>
      <c r="L175" s="1895"/>
      <c r="M175" s="1892"/>
      <c r="N175" s="3922"/>
      <c r="O175" s="3920"/>
      <c r="P175" s="3969"/>
      <c r="Q175" s="3878"/>
      <c r="R175" s="3878"/>
      <c r="S175" s="3878"/>
      <c r="T175" s="3878"/>
      <c r="U175" s="3878"/>
      <c r="V175" s="3878"/>
      <c r="W175" s="3878"/>
      <c r="X175" s="3878"/>
      <c r="Y175" s="3878"/>
      <c r="Z175" s="3878"/>
      <c r="AA175" s="3878"/>
      <c r="AB175" s="3878"/>
      <c r="AC175" s="3878"/>
      <c r="AD175" s="3878"/>
      <c r="AE175" s="3878"/>
      <c r="AF175" s="3878"/>
      <c r="AG175" s="3878"/>
      <c r="AH175" s="3878"/>
      <c r="AI175" s="3878"/>
      <c r="AJ175" s="3878"/>
      <c r="AK175" s="3878"/>
      <c r="AL175" s="3878"/>
      <c r="AM175" s="3878"/>
      <c r="AN175" s="3878"/>
      <c r="AO175" s="3878"/>
      <c r="AP175" s="3878"/>
      <c r="AQ175" s="3878"/>
      <c r="AR175" s="3878"/>
      <c r="AS175" s="3878"/>
      <c r="AT175" s="3878"/>
      <c r="AU175" s="3878"/>
      <c r="AV175" s="3878"/>
      <c r="AW175" s="3878"/>
      <c r="BA175" s="3874"/>
      <c r="BB175" s="3851"/>
      <c r="BC175" s="3851"/>
      <c r="BD175" s="3851"/>
      <c r="BE175" s="3851"/>
      <c r="BF175" s="3851"/>
      <c r="BG175" s="3851"/>
      <c r="BH175" s="3851"/>
      <c r="BI175" s="3851"/>
      <c r="BJ175" s="3851"/>
      <c r="BK175" s="3851"/>
      <c r="BL175" s="3874"/>
      <c r="BM175" s="3874"/>
    </row>
    <row r="176" spans="1:72" ht="15" customHeight="1">
      <c r="A176" s="3857"/>
      <c r="B176" s="3879"/>
      <c r="C176" s="1890"/>
      <c r="D176" s="1891"/>
      <c r="E176" s="1892"/>
      <c r="F176" s="1893"/>
      <c r="G176" s="1875"/>
      <c r="H176" s="1893"/>
      <c r="I176" s="1875"/>
      <c r="J176" s="1894"/>
      <c r="K176" s="1892"/>
      <c r="L176" s="1895"/>
      <c r="M176" s="1892"/>
      <c r="N176" s="3922"/>
      <c r="O176" s="3920"/>
      <c r="P176" s="3969"/>
      <c r="Q176" s="3878"/>
      <c r="R176" s="3878"/>
      <c r="S176" s="3878"/>
      <c r="T176" s="3878"/>
      <c r="U176" s="3878"/>
      <c r="V176" s="3878"/>
      <c r="W176" s="3878"/>
      <c r="X176" s="3878"/>
      <c r="Y176" s="3878"/>
      <c r="Z176" s="3878"/>
      <c r="AA176" s="3878"/>
      <c r="AB176" s="3878"/>
      <c r="AC176" s="3878"/>
      <c r="AD176" s="3878"/>
      <c r="AE176" s="3878"/>
      <c r="AF176" s="3878"/>
      <c r="AG176" s="3878"/>
      <c r="AH176" s="3878"/>
      <c r="AI176" s="3878"/>
      <c r="AJ176" s="3878"/>
      <c r="AK176" s="3878"/>
      <c r="AL176" s="3878"/>
      <c r="AM176" s="3878"/>
      <c r="AN176" s="3878"/>
      <c r="AO176" s="3878"/>
      <c r="AP176" s="3878"/>
      <c r="AQ176" s="3878"/>
      <c r="AR176" s="3878"/>
      <c r="AS176" s="3878"/>
      <c r="AT176" s="3878"/>
      <c r="AU176" s="3878"/>
      <c r="AV176" s="3878"/>
      <c r="AW176" s="3878"/>
      <c r="BA176" s="3874"/>
      <c r="BB176" s="3851"/>
      <c r="BC176" s="3851"/>
      <c r="BD176" s="3851"/>
      <c r="BE176" s="3851"/>
      <c r="BF176" s="3851"/>
      <c r="BG176" s="3851"/>
      <c r="BH176" s="3851"/>
      <c r="BI176" s="3851"/>
      <c r="BJ176" s="3851"/>
      <c r="BK176" s="3851"/>
      <c r="BL176" s="3874"/>
      <c r="BM176" s="3874"/>
    </row>
    <row r="177" spans="1:94">
      <c r="A177" s="3857"/>
      <c r="B177" s="3879"/>
      <c r="C177" s="3910"/>
      <c r="D177" s="1845"/>
      <c r="K177" s="3875"/>
      <c r="L177" s="3874"/>
      <c r="M177" s="3875"/>
      <c r="N177" s="3922"/>
      <c r="O177" s="3920"/>
      <c r="P177" s="3969"/>
      <c r="AX177" s="3878"/>
      <c r="AY177" s="3878"/>
      <c r="AZ177" s="3878"/>
      <c r="BA177" s="3874"/>
      <c r="BB177" s="3851"/>
      <c r="BC177" s="3851"/>
      <c r="BD177" s="3851"/>
      <c r="BE177" s="3851"/>
      <c r="BF177" s="3851"/>
      <c r="BG177" s="3851"/>
      <c r="BH177" s="3851"/>
      <c r="BI177" s="3851"/>
      <c r="BJ177" s="3851"/>
      <c r="BK177" s="3851"/>
      <c r="BL177" s="3874"/>
      <c r="BM177" s="3874"/>
    </row>
    <row r="178" spans="1:94">
      <c r="A178" s="3857"/>
      <c r="B178" s="3879"/>
      <c r="C178" s="3910"/>
      <c r="D178" s="1854" t="s">
        <v>83</v>
      </c>
      <c r="E178" s="3873"/>
      <c r="K178" s="3875"/>
      <c r="L178" s="3874"/>
      <c r="M178" s="3875"/>
      <c r="N178" s="3922"/>
      <c r="O178" s="3920"/>
      <c r="P178" s="3969"/>
      <c r="Q178" s="1896" t="s">
        <v>2540</v>
      </c>
      <c r="R178" s="1896" t="s">
        <v>2541</v>
      </c>
      <c r="S178" s="1896" t="s">
        <v>2642</v>
      </c>
      <c r="T178" s="1896" t="s">
        <v>2835</v>
      </c>
      <c r="U178" s="1896" t="s">
        <v>2966</v>
      </c>
      <c r="V178" s="1896" t="s">
        <v>3034</v>
      </c>
      <c r="W178" s="1896" t="s">
        <v>3566</v>
      </c>
      <c r="X178" s="1896" t="s">
        <v>3567</v>
      </c>
      <c r="Y178" s="1896" t="s">
        <v>3568</v>
      </c>
      <c r="Z178" s="1896" t="s">
        <v>3565</v>
      </c>
      <c r="AA178" s="1896" t="s">
        <v>3635</v>
      </c>
      <c r="AB178" s="1896" t="s">
        <v>3719</v>
      </c>
      <c r="AC178" s="1896" t="s">
        <v>3890</v>
      </c>
      <c r="AD178" s="1896" t="s">
        <v>3986</v>
      </c>
      <c r="AE178" s="1896" t="s">
        <v>4115</v>
      </c>
      <c r="AF178" s="1896" t="s">
        <v>4263</v>
      </c>
      <c r="AG178" s="1896" t="s">
        <v>4370</v>
      </c>
      <c r="AH178" s="1896" t="s">
        <v>4569</v>
      </c>
      <c r="AI178" s="1896"/>
      <c r="AJ178" s="1896"/>
      <c r="AL178" s="1896"/>
      <c r="AM178" s="1896"/>
      <c r="AN178" s="1896"/>
      <c r="AO178" s="1896"/>
      <c r="AP178" s="1896"/>
      <c r="AQ178" s="1896" t="s">
        <v>3214</v>
      </c>
      <c r="AR178" s="1896" t="s">
        <v>3213</v>
      </c>
      <c r="AS178" s="1896" t="s">
        <v>2832</v>
      </c>
      <c r="AT178" s="1896"/>
      <c r="AX178" s="3878"/>
      <c r="AY178" s="3878"/>
      <c r="AZ178" s="3878"/>
      <c r="BA178" s="3874"/>
      <c r="BB178" s="3851"/>
      <c r="BC178" s="3851"/>
      <c r="BD178" s="3851"/>
      <c r="BE178" s="3851"/>
      <c r="BF178" s="3851"/>
      <c r="BG178" s="3851"/>
      <c r="BH178" s="3851"/>
      <c r="BI178" s="3851"/>
      <c r="BJ178" s="3851"/>
      <c r="BK178" s="3851"/>
      <c r="BL178" s="3874"/>
      <c r="BM178" s="3874"/>
    </row>
    <row r="179" spans="1:94">
      <c r="A179" s="3857"/>
      <c r="B179" s="3879"/>
      <c r="C179" s="3901"/>
      <c r="D179" s="1897" t="s">
        <v>84</v>
      </c>
      <c r="E179" s="3873"/>
      <c r="K179" s="3875"/>
      <c r="L179" s="3874"/>
      <c r="M179" s="3875"/>
      <c r="N179" s="3922"/>
      <c r="O179" s="3920"/>
      <c r="P179" s="3993"/>
      <c r="Q179" s="4585" t="s">
        <v>2967</v>
      </c>
      <c r="R179" s="4586"/>
      <c r="S179" s="4586"/>
      <c r="T179" s="4586"/>
      <c r="U179" s="4586"/>
      <c r="V179" s="4586"/>
      <c r="W179" s="4586"/>
      <c r="X179" s="4586"/>
      <c r="Y179" s="4586"/>
      <c r="Z179" s="4586"/>
      <c r="AA179" s="4586"/>
      <c r="AB179" s="4586"/>
      <c r="AC179" s="4586"/>
      <c r="AD179" s="4586"/>
      <c r="AE179" s="3837"/>
      <c r="AF179" s="3837"/>
      <c r="AG179" s="3837"/>
      <c r="AH179" s="3837"/>
      <c r="AI179" s="3837"/>
      <c r="AJ179" s="3837"/>
      <c r="AL179" s="3837"/>
      <c r="AM179" s="3837"/>
      <c r="AN179" s="3837"/>
      <c r="AO179" s="3837"/>
      <c r="AP179" s="3837"/>
      <c r="AQ179" s="3837"/>
      <c r="AW179" s="3994"/>
      <c r="AX179" s="3994"/>
      <c r="AY179" s="3994"/>
      <c r="AZ179" s="3994"/>
      <c r="BA179" s="3874"/>
      <c r="BB179" s="3851"/>
      <c r="BC179" s="3851"/>
      <c r="BD179" s="3851"/>
      <c r="BE179" s="3851"/>
      <c r="BF179" s="3851"/>
      <c r="BG179" s="3851"/>
      <c r="BH179" s="3851"/>
      <c r="BI179" s="3851"/>
      <c r="BJ179" s="3851"/>
      <c r="BK179" s="3851"/>
      <c r="BL179" s="3874"/>
      <c r="BM179" s="3874"/>
    </row>
    <row r="180" spans="1:94">
      <c r="A180" s="3857"/>
      <c r="B180" s="3879"/>
      <c r="C180" s="3901"/>
      <c r="D180" s="1891"/>
      <c r="E180" s="3873"/>
      <c r="K180" s="3875"/>
      <c r="L180" s="3874"/>
      <c r="M180" s="3875"/>
      <c r="N180" s="3922"/>
      <c r="O180" s="3920"/>
      <c r="P180" s="3969"/>
      <c r="AW180" s="3994"/>
      <c r="AX180" s="3994"/>
      <c r="AY180" s="3994"/>
      <c r="AZ180" s="3994"/>
      <c r="BA180" s="3874"/>
      <c r="BB180" s="3851"/>
      <c r="BC180" s="3851"/>
      <c r="BD180" s="3851"/>
      <c r="BE180" s="3851"/>
      <c r="BF180" s="3851"/>
      <c r="BG180" s="3851"/>
      <c r="BH180" s="3851"/>
      <c r="BI180" s="3851"/>
      <c r="BJ180" s="3851"/>
      <c r="BK180" s="3851"/>
      <c r="BL180" s="3874"/>
      <c r="BM180" s="3874"/>
    </row>
    <row r="181" spans="1:94" s="3878" customFormat="1" ht="13.5" thickBot="1">
      <c r="B181" s="3879"/>
      <c r="C181" s="3901"/>
      <c r="D181" s="1675" t="s">
        <v>2476</v>
      </c>
      <c r="E181" s="3995"/>
      <c r="G181" s="3995"/>
      <c r="I181" s="3995"/>
      <c r="K181" s="3995"/>
      <c r="L181" s="3874"/>
      <c r="M181" s="3995"/>
      <c r="N181" s="3922"/>
      <c r="P181" s="3969"/>
      <c r="Q181" s="3917"/>
      <c r="R181" s="3851"/>
      <c r="S181" s="3851"/>
      <c r="T181" s="3851"/>
      <c r="U181" s="3851"/>
      <c r="V181" s="3851"/>
      <c r="W181" s="3851"/>
      <c r="X181" s="3851"/>
      <c r="Y181" s="3851"/>
      <c r="Z181" s="3851"/>
      <c r="AA181" s="3851"/>
      <c r="AB181" s="3851"/>
      <c r="AC181" s="3851"/>
      <c r="AD181" s="3851"/>
      <c r="AE181" s="3851"/>
      <c r="AF181" s="3851"/>
      <c r="AG181" s="3851"/>
      <c r="AH181" s="3851"/>
      <c r="AI181" s="3851"/>
      <c r="AJ181" s="3851"/>
      <c r="AL181" s="3851"/>
      <c r="AM181" s="3851"/>
      <c r="AN181" s="3851"/>
      <c r="AO181" s="3851"/>
      <c r="AP181" s="3851"/>
      <c r="AQ181" s="3851"/>
      <c r="AR181" s="3851"/>
      <c r="AS181" s="3851"/>
      <c r="AT181" s="3996"/>
      <c r="AU181" s="3996"/>
      <c r="AV181" s="3996"/>
      <c r="AW181" s="3996"/>
      <c r="AX181" s="3996"/>
      <c r="AY181" s="3996"/>
      <c r="AZ181" s="3996"/>
      <c r="BA181" s="3997"/>
      <c r="BB181" s="3874"/>
      <c r="BC181" s="3998"/>
      <c r="BD181" s="3998"/>
      <c r="BE181" s="3998"/>
      <c r="BF181" s="3998"/>
      <c r="BG181" s="3998"/>
      <c r="BH181" s="3998"/>
      <c r="BI181" s="3998"/>
      <c r="BJ181" s="3998"/>
      <c r="BK181" s="3998"/>
      <c r="BL181" s="3998"/>
      <c r="BM181" s="3998"/>
      <c r="BN181" s="3999"/>
      <c r="BO181" s="4000"/>
      <c r="BP181" s="4000"/>
      <c r="BQ181" s="4000"/>
      <c r="BR181" s="4000"/>
      <c r="BS181" s="4000"/>
      <c r="BT181" s="3855"/>
      <c r="BU181" s="3874"/>
      <c r="BV181" s="4001"/>
      <c r="BW181" s="4001"/>
      <c r="BX181" s="4001"/>
      <c r="BY181" s="4001"/>
      <c r="BZ181" s="4001"/>
      <c r="CA181" s="4001"/>
      <c r="CB181" s="4001"/>
      <c r="CC181" s="4001"/>
      <c r="CD181" s="4001"/>
      <c r="CE181" s="4001"/>
      <c r="CF181" s="4001"/>
      <c r="CG181" s="4001"/>
      <c r="CH181" s="4001"/>
      <c r="CI181" s="4001"/>
      <c r="CJ181" s="4001"/>
      <c r="CK181" s="4001"/>
      <c r="CL181" s="4001"/>
      <c r="CM181" s="4001"/>
      <c r="CN181" s="4001"/>
      <c r="CO181" s="4001"/>
      <c r="CP181" s="4001"/>
    </row>
    <row r="182" spans="1:94" ht="13.5" thickBot="1">
      <c r="A182" s="3857"/>
      <c r="B182" s="3879" t="s">
        <v>1052</v>
      </c>
      <c r="C182" s="3901">
        <v>80001</v>
      </c>
      <c r="D182" s="3935" t="s">
        <v>2539</v>
      </c>
      <c r="E182" s="3844">
        <f>IFERROR(VLOOKUP(C182,'פ.נ. צרפת'!$D$129:$F$1048576,3,0),0)</f>
        <v>-914376.57</v>
      </c>
      <c r="F182" s="3843">
        <f>SUMIF('פ.נ. צרפת'!$C:$C,$C:$C,'פ.נ. צרפת'!$E:$E)</f>
        <v>0</v>
      </c>
      <c r="G182" s="3882"/>
      <c r="H182" s="3884"/>
      <c r="I182" s="3882"/>
      <c r="J182" s="4294">
        <f>SUM(E182:I182)</f>
        <v>-914376.57</v>
      </c>
      <c r="K182" s="3931">
        <f>M182+SUMIF('פ.נ. צרפת'!$C:$C,$C:$C,'פ.נ. צרפת'!$F:$F)</f>
        <v>-1051647.8700000001</v>
      </c>
      <c r="L182" s="1343">
        <f>SUM([168]FR421600042!$F$5,[167]FR421600044!$F$18,[167]FR421600046!$F$5,[167]FR421600048!$F$31,[167]FR421600054!$F$18)+$AH$182</f>
        <v>0</v>
      </c>
      <c r="M182" s="3931">
        <f>IFERROR(VLOOKUP(C182,'פ.נ. צרפת'!$D$129:$G$1048576,4,0),"")</f>
        <v>-1051647.8700000001</v>
      </c>
      <c r="N182" s="3877">
        <f>IF(K182=0,"-",J182/K182)</f>
        <v>0.86947028191099729</v>
      </c>
      <c r="O182" s="3920"/>
      <c r="Q182" s="3849">
        <v>0</v>
      </c>
      <c r="R182" s="3851">
        <v>-102611.43</v>
      </c>
      <c r="S182" s="3851">
        <v>0</v>
      </c>
      <c r="T182" s="3851">
        <v>-81753.110000000015</v>
      </c>
      <c r="U182" s="3851">
        <v>-24373.72</v>
      </c>
      <c r="V182" s="3851">
        <v>0</v>
      </c>
      <c r="W182" s="3851">
        <v>0</v>
      </c>
      <c r="X182" s="3851">
        <v>-15750</v>
      </c>
      <c r="Y182" s="3851">
        <v>-45311.199999999997</v>
      </c>
      <c r="Z182" s="3851">
        <v>-98011.319999999992</v>
      </c>
      <c r="AA182" s="3851">
        <v>0</v>
      </c>
      <c r="AB182" s="3851">
        <v>0</v>
      </c>
      <c r="AC182" s="3851">
        <v>0</v>
      </c>
      <c r="AD182" s="3851">
        <v>-18195.950000000012</v>
      </c>
      <c r="AE182" s="3851">
        <v>-223168.87999999998</v>
      </c>
      <c r="AF182" s="3851">
        <v>0</v>
      </c>
      <c r="AG182" s="3851">
        <v>-45771.360000000044</v>
      </c>
      <c r="AH182" s="3851">
        <f>$J182-SUM($W182:AG182)</f>
        <v>-468167.85999999993</v>
      </c>
      <c r="AI182" s="3851"/>
      <c r="AJ182" s="3851"/>
      <c r="AL182" s="3851"/>
      <c r="AM182" s="3851"/>
      <c r="AN182" s="3851"/>
      <c r="AO182" s="3851"/>
      <c r="AP182" s="3851"/>
      <c r="AQ182" s="3851"/>
      <c r="AR182" s="3851"/>
      <c r="AS182" s="3851"/>
      <c r="AT182" s="3851"/>
      <c r="AU182" s="3851"/>
      <c r="AV182" s="3874"/>
      <c r="AW182" s="3874"/>
      <c r="AX182" s="3874"/>
      <c r="AY182" s="3874"/>
      <c r="AZ182" s="3874"/>
      <c r="BA182" s="3874"/>
      <c r="BB182" s="3874"/>
      <c r="BC182" s="3851"/>
      <c r="BD182" s="3874"/>
      <c r="BE182" s="3851"/>
      <c r="BF182" s="3874"/>
      <c r="BG182" s="3851"/>
      <c r="BH182" s="3851"/>
      <c r="BI182" s="3874"/>
      <c r="BJ182" s="3874"/>
      <c r="BK182" s="3874"/>
      <c r="BL182" s="3874"/>
      <c r="BM182" s="3874"/>
      <c r="BN182" s="3851"/>
      <c r="BO182" s="3851"/>
      <c r="BP182" s="3874"/>
      <c r="BQ182" s="3874"/>
      <c r="BR182" s="3874"/>
      <c r="BS182" s="3874"/>
      <c r="BT182" s="3874"/>
      <c r="BU182" s="3874"/>
      <c r="BV182" s="3874"/>
      <c r="BW182" s="3874"/>
      <c r="BX182" s="3874"/>
      <c r="BY182" s="3874"/>
      <c r="BZ182" s="3874"/>
      <c r="CA182" s="3874"/>
      <c r="CB182" s="3874"/>
      <c r="CC182" s="3874"/>
      <c r="CD182" s="3874"/>
      <c r="CE182" s="3874"/>
      <c r="CF182" s="3874"/>
      <c r="CG182" s="3874"/>
      <c r="CH182" s="3874"/>
      <c r="CI182" s="3874"/>
      <c r="CJ182" s="3874"/>
      <c r="CK182" s="3874"/>
      <c r="CL182" s="3874"/>
      <c r="CM182" s="3874"/>
      <c r="CN182" s="3874"/>
      <c r="CO182" s="3874"/>
      <c r="CP182" s="3874"/>
    </row>
    <row r="183" spans="1:94" ht="13.5" thickBot="1">
      <c r="A183" s="3857"/>
      <c r="B183" s="3879"/>
      <c r="C183" s="3901"/>
      <c r="D183" s="1675" t="s">
        <v>2477</v>
      </c>
      <c r="E183" s="3844"/>
      <c r="F183" s="3843"/>
      <c r="G183" s="3882"/>
      <c r="H183" s="3884"/>
      <c r="I183" s="3882"/>
      <c r="J183" s="3844"/>
      <c r="K183" s="3931"/>
      <c r="L183" s="3845"/>
      <c r="M183" s="3931"/>
      <c r="N183" s="3877"/>
      <c r="O183" s="3920"/>
      <c r="P183" s="3969"/>
      <c r="R183" s="3851"/>
      <c r="S183" s="3851"/>
      <c r="T183" s="3851"/>
      <c r="U183" s="3851"/>
      <c r="V183" s="3851">
        <v>0</v>
      </c>
      <c r="W183" s="3851">
        <v>0</v>
      </c>
      <c r="X183" s="3851">
        <v>0</v>
      </c>
      <c r="Y183" s="3851">
        <v>0</v>
      </c>
      <c r="Z183" s="3851">
        <v>0</v>
      </c>
      <c r="AA183" s="3851">
        <v>0</v>
      </c>
      <c r="AB183" s="3851">
        <v>0</v>
      </c>
      <c r="AC183" s="3851">
        <v>0</v>
      </c>
      <c r="AD183" s="3851">
        <v>0</v>
      </c>
      <c r="AE183" s="3851">
        <v>0</v>
      </c>
      <c r="AF183" s="3851">
        <v>0</v>
      </c>
      <c r="AG183" s="3851">
        <v>0</v>
      </c>
      <c r="AH183" s="3851">
        <f>$J183-SUM($W183:AG183)</f>
        <v>0</v>
      </c>
      <c r="AI183" s="3851"/>
      <c r="AJ183" s="3851"/>
      <c r="AL183" s="3851"/>
      <c r="AM183" s="3851"/>
      <c r="AN183" s="3851"/>
      <c r="AO183" s="3851"/>
      <c r="AP183" s="3851"/>
      <c r="AQ183" s="3851"/>
      <c r="AR183" s="3851"/>
      <c r="AS183" s="3851"/>
      <c r="AT183" s="3851"/>
      <c r="AU183" s="3851"/>
      <c r="AV183" s="3874"/>
      <c r="AW183" s="3874"/>
      <c r="AX183" s="3874"/>
      <c r="AY183" s="3874"/>
      <c r="AZ183" s="3874"/>
      <c r="BA183" s="3874"/>
      <c r="BB183" s="3874"/>
      <c r="BC183" s="3851"/>
      <c r="BD183" s="3874"/>
      <c r="BE183" s="3851"/>
      <c r="BF183" s="3874"/>
      <c r="BG183" s="3851"/>
      <c r="BH183" s="3851"/>
      <c r="BI183" s="3874"/>
      <c r="BJ183" s="3874"/>
      <c r="BK183" s="3874"/>
      <c r="BL183" s="3874"/>
      <c r="BM183" s="3874"/>
      <c r="BN183" s="3851"/>
      <c r="BO183" s="3851"/>
      <c r="BP183" s="3874"/>
      <c r="BQ183" s="3874"/>
      <c r="BR183" s="3874"/>
      <c r="BS183" s="3874"/>
      <c r="BT183" s="3874"/>
      <c r="BU183" s="3874"/>
      <c r="BV183" s="3874"/>
      <c r="BW183" s="3874"/>
      <c r="BX183" s="3874"/>
      <c r="BY183" s="3874"/>
      <c r="BZ183" s="3874"/>
      <c r="CA183" s="3874"/>
      <c r="CB183" s="3874"/>
      <c r="CC183" s="3874"/>
      <c r="CD183" s="3874"/>
      <c r="CE183" s="3874"/>
      <c r="CF183" s="3874"/>
      <c r="CG183" s="3874"/>
      <c r="CH183" s="3874"/>
      <c r="CI183" s="3874"/>
      <c r="CJ183" s="3874"/>
      <c r="CK183" s="3874"/>
      <c r="CL183" s="3874"/>
      <c r="CM183" s="3874"/>
      <c r="CN183" s="3874"/>
      <c r="CO183" s="3874"/>
      <c r="CP183" s="3874"/>
    </row>
    <row r="184" spans="1:94" ht="13.5" thickBot="1">
      <c r="A184" s="3857"/>
      <c r="B184" s="3879" t="s">
        <v>1052</v>
      </c>
      <c r="C184" s="3901">
        <v>80002</v>
      </c>
      <c r="D184" s="3935" t="s">
        <v>2144</v>
      </c>
      <c r="E184" s="3844">
        <f>IFERROR(VLOOKUP(C184,'פ.נ. צרפת'!$D$129:$F$1048576,3,0),)</f>
        <v>0</v>
      </c>
      <c r="F184" s="3843">
        <f>SUMIF('פ.נ. צרפת'!$C:$C,$C:$C,'פ.נ. צרפת'!$E:$E)</f>
        <v>0</v>
      </c>
      <c r="G184" s="3882"/>
      <c r="H184" s="3884"/>
      <c r="I184" s="3882"/>
      <c r="J184" s="3844">
        <f>SUM(E184:I184)</f>
        <v>0</v>
      </c>
      <c r="K184" s="3931">
        <f>M184+SUMIF('פ.נ. צרפת'!$C:$C,$C:$C,'פ.נ. צרפת'!$F:$F)</f>
        <v>0</v>
      </c>
      <c r="L184" s="1343">
        <f>SUM(0)+J184</f>
        <v>0</v>
      </c>
      <c r="M184" s="3931" t="str">
        <f>IFERROR(VLOOKUP(C184,'פ.נ. צרפת'!$D$129:$G$1048576,4,0),"")</f>
        <v/>
      </c>
      <c r="N184" s="3877" t="str">
        <f>IF(K184=0,"-",J184/K184)</f>
        <v>-</v>
      </c>
      <c r="O184" s="3920"/>
      <c r="P184" s="3969"/>
      <c r="R184" s="3851"/>
      <c r="S184" s="3851"/>
      <c r="T184" s="3851"/>
      <c r="U184" s="3851"/>
      <c r="V184" s="3851">
        <v>0</v>
      </c>
      <c r="W184" s="3851">
        <v>0</v>
      </c>
      <c r="X184" s="3851">
        <v>0</v>
      </c>
      <c r="Y184" s="3851">
        <v>0</v>
      </c>
      <c r="Z184" s="3851">
        <v>0</v>
      </c>
      <c r="AA184" s="3851">
        <v>0</v>
      </c>
      <c r="AB184" s="3851">
        <v>0</v>
      </c>
      <c r="AC184" s="3851">
        <v>0</v>
      </c>
      <c r="AD184" s="3851">
        <v>0</v>
      </c>
      <c r="AE184" s="3851">
        <v>0</v>
      </c>
      <c r="AF184" s="3851">
        <v>0</v>
      </c>
      <c r="AG184" s="3851">
        <v>0</v>
      </c>
      <c r="AH184" s="3851">
        <f>$J184-SUM($W184:AG184)</f>
        <v>0</v>
      </c>
      <c r="AI184" s="3851"/>
      <c r="AJ184" s="3851"/>
      <c r="AL184" s="3851"/>
      <c r="AM184" s="3851"/>
      <c r="AN184" s="3851"/>
      <c r="AO184" s="3851"/>
      <c r="AP184" s="3851"/>
      <c r="AQ184" s="3851"/>
      <c r="AR184" s="3851"/>
      <c r="AS184" s="3851"/>
      <c r="AT184" s="3851"/>
      <c r="AU184" s="3851"/>
      <c r="AV184" s="3874"/>
      <c r="AW184" s="3874"/>
      <c r="AX184" s="3874"/>
      <c r="AY184" s="3874"/>
      <c r="AZ184" s="3874"/>
      <c r="BA184" s="3874"/>
      <c r="BB184" s="3874"/>
      <c r="BC184" s="3851"/>
      <c r="BD184" s="3874"/>
      <c r="BE184" s="3851"/>
      <c r="BF184" s="3874"/>
      <c r="BG184" s="3851"/>
      <c r="BH184" s="3851"/>
      <c r="BI184" s="3874"/>
      <c r="BJ184" s="3874"/>
      <c r="BK184" s="3874"/>
      <c r="BL184" s="3874"/>
      <c r="BM184" s="3874"/>
      <c r="BN184" s="3851"/>
      <c r="BO184" s="3851"/>
      <c r="BP184" s="3874"/>
      <c r="BQ184" s="3874"/>
      <c r="BR184" s="3874"/>
      <c r="BS184" s="3874"/>
      <c r="BT184" s="3874"/>
      <c r="BU184" s="3874"/>
      <c r="BV184" s="3874"/>
      <c r="BW184" s="3874"/>
      <c r="BX184" s="3874"/>
      <c r="BY184" s="3874"/>
      <c r="BZ184" s="3874"/>
      <c r="CA184" s="3874"/>
      <c r="CB184" s="3874"/>
      <c r="CC184" s="3874"/>
      <c r="CD184" s="3874"/>
      <c r="CE184" s="3874"/>
      <c r="CF184" s="3874"/>
      <c r="CG184" s="3874"/>
      <c r="CH184" s="3874"/>
      <c r="CI184" s="3874"/>
      <c r="CJ184" s="3874"/>
      <c r="CK184" s="3874"/>
      <c r="CL184" s="3874"/>
      <c r="CM184" s="3874"/>
      <c r="CN184" s="3874"/>
      <c r="CO184" s="3874"/>
      <c r="CP184" s="3874"/>
    </row>
    <row r="185" spans="1:94" ht="13.5" thickBot="1">
      <c r="A185" s="3857"/>
      <c r="B185" s="3879"/>
      <c r="C185" s="3901"/>
      <c r="D185" s="1675" t="s">
        <v>2473</v>
      </c>
      <c r="E185" s="3844"/>
      <c r="F185" s="3843"/>
      <c r="G185" s="3882"/>
      <c r="H185" s="3884"/>
      <c r="I185" s="3882"/>
      <c r="J185" s="3844"/>
      <c r="K185" s="3931"/>
      <c r="L185" s="3845"/>
      <c r="M185" s="3931"/>
      <c r="N185" s="3877"/>
      <c r="O185" s="3920"/>
      <c r="P185" s="3969"/>
      <c r="R185" s="3851"/>
      <c r="S185" s="3851"/>
      <c r="T185" s="3851">
        <v>0</v>
      </c>
      <c r="U185" s="3851">
        <v>0</v>
      </c>
      <c r="V185" s="3851">
        <v>-28950.180000000008</v>
      </c>
      <c r="W185" s="3851">
        <v>0</v>
      </c>
      <c r="X185" s="3851">
        <v>0</v>
      </c>
      <c r="Y185" s="3851">
        <v>0</v>
      </c>
      <c r="Z185" s="3851">
        <v>0</v>
      </c>
      <c r="AA185" s="3851">
        <v>0</v>
      </c>
      <c r="AB185" s="3851">
        <v>0</v>
      </c>
      <c r="AC185" s="3851">
        <v>0</v>
      </c>
      <c r="AD185" s="3851">
        <v>0</v>
      </c>
      <c r="AE185" s="3851">
        <v>0</v>
      </c>
      <c r="AF185" s="3851">
        <v>0</v>
      </c>
      <c r="AG185" s="3851">
        <v>0</v>
      </c>
      <c r="AH185" s="3851">
        <f>$J185-SUM($W185:AG185)</f>
        <v>0</v>
      </c>
      <c r="AI185" s="3851"/>
      <c r="AJ185" s="3851"/>
      <c r="AL185" s="3851"/>
      <c r="AM185" s="3851"/>
      <c r="AN185" s="3851"/>
      <c r="AO185" s="3851"/>
      <c r="AP185" s="3851"/>
      <c r="AQ185" s="3851"/>
      <c r="AR185" s="3851"/>
      <c r="AS185" s="3851"/>
      <c r="AT185" s="3851"/>
      <c r="AU185" s="3851"/>
      <c r="AV185" s="3874"/>
      <c r="AW185" s="3874"/>
      <c r="AX185" s="3874"/>
      <c r="AY185" s="3874"/>
      <c r="AZ185" s="3874"/>
      <c r="BA185" s="3874"/>
      <c r="BB185" s="3874"/>
      <c r="BC185" s="3851"/>
      <c r="BD185" s="3874"/>
      <c r="BE185" s="3851"/>
      <c r="BF185" s="3874"/>
      <c r="BG185" s="3851"/>
      <c r="BH185" s="3851"/>
      <c r="BI185" s="3874"/>
      <c r="BJ185" s="3874"/>
      <c r="BK185" s="3874"/>
      <c r="BL185" s="3874"/>
      <c r="BM185" s="3874"/>
      <c r="BN185" s="3851"/>
      <c r="BO185" s="3851"/>
      <c r="BP185" s="3874"/>
      <c r="BQ185" s="3874"/>
      <c r="BR185" s="3874"/>
      <c r="BS185" s="3874"/>
      <c r="BT185" s="3874"/>
      <c r="BU185" s="3874"/>
      <c r="BV185" s="3874"/>
      <c r="BW185" s="3874"/>
      <c r="BX185" s="3874"/>
      <c r="BY185" s="3874"/>
      <c r="BZ185" s="3874"/>
      <c r="CA185" s="3874"/>
      <c r="CB185" s="3874"/>
      <c r="CC185" s="3874"/>
      <c r="CD185" s="3874"/>
      <c r="CE185" s="3874"/>
      <c r="CF185" s="3874"/>
      <c r="CG185" s="3874"/>
      <c r="CH185" s="3874"/>
      <c r="CI185" s="3874"/>
      <c r="CJ185" s="3874"/>
      <c r="CK185" s="3874"/>
      <c r="CL185" s="3874"/>
      <c r="CM185" s="3874"/>
      <c r="CN185" s="3874"/>
      <c r="CO185" s="3874"/>
      <c r="CP185" s="3874"/>
    </row>
    <row r="186" spans="1:94" ht="13.5" thickBot="1">
      <c r="A186" s="3857"/>
      <c r="B186" s="3879" t="s">
        <v>1057</v>
      </c>
      <c r="C186" s="3901">
        <v>80060</v>
      </c>
      <c r="D186" s="3935" t="s">
        <v>2535</v>
      </c>
      <c r="E186" s="3844">
        <f>IFERROR(VLOOKUP(C186,'פ.נ. צרפת'!$D$129:$F$1048576,3,0),0)</f>
        <v>-1222008.1000000001</v>
      </c>
      <c r="F186" s="3843">
        <f>SUMIF('פ.נ. צרפת'!$C:$C,$C:$C,'פ.נ. צרפת'!$E:$E)</f>
        <v>0</v>
      </c>
      <c r="G186" s="3882"/>
      <c r="H186" s="3884"/>
      <c r="I186" s="3882"/>
      <c r="J186" s="4294">
        <f>SUM(E186:I186)</f>
        <v>-1222008.1000000001</v>
      </c>
      <c r="K186" s="3931">
        <f>M186+SUMIF('פ.נ. צרפת'!$C:$C,$C:$C,'פ.נ. צרפת'!$F:$F)</f>
        <v>-1473199.23</v>
      </c>
      <c r="L186" s="1343">
        <f>SUM('[167]Pivot 80060'!$C$7:$C$21)-J186</f>
        <v>-39.769999999785796</v>
      </c>
      <c r="M186" s="3931">
        <f>IFERROR(VLOOKUP(C186,'פ.נ. צרפת'!$D$129:$G$1048576,4,0),"")</f>
        <v>-1473199.23</v>
      </c>
      <c r="N186" s="3877">
        <f>IF(K186=0,"-",J186/K186)</f>
        <v>0.82949276317501208</v>
      </c>
      <c r="O186" s="3920"/>
      <c r="P186" s="3969"/>
      <c r="Q186" s="3849">
        <v>0</v>
      </c>
      <c r="R186" s="3851">
        <v>-8958.4599999999991</v>
      </c>
      <c r="S186" s="3851">
        <v>-29425.800000000003</v>
      </c>
      <c r="T186" s="3851">
        <v>-19221.949999999997</v>
      </c>
      <c r="U186" s="3851">
        <v>-24754.43</v>
      </c>
      <c r="V186" s="3851">
        <v>-723.7</v>
      </c>
      <c r="W186" s="3851">
        <v>-60020.69</v>
      </c>
      <c r="X186" s="3851">
        <v>-102994.68</v>
      </c>
      <c r="Y186" s="3851">
        <v>-102955.02000000002</v>
      </c>
      <c r="Z186" s="3851">
        <v>-94105.68</v>
      </c>
      <c r="AA186" s="3851">
        <v>-94398.229999999981</v>
      </c>
      <c r="AB186" s="3851">
        <v>-104194.43</v>
      </c>
      <c r="AC186" s="3851">
        <v>-102973.73999999999</v>
      </c>
      <c r="AD186" s="3851">
        <v>-109856.71000000008</v>
      </c>
      <c r="AE186" s="3851">
        <v>-104780.78999999992</v>
      </c>
      <c r="AF186" s="3851">
        <v>-109250.44000000006</v>
      </c>
      <c r="AG186" s="3851">
        <v>-124592.79999999993</v>
      </c>
      <c r="AH186" s="3851">
        <f>$J186-SUM($W186:AG186)</f>
        <v>-111884.89000000013</v>
      </c>
      <c r="AI186" s="3851"/>
      <c r="AJ186" s="3851"/>
      <c r="AL186" s="3851"/>
      <c r="AM186" s="3851"/>
      <c r="AN186" s="3851"/>
      <c r="AO186" s="3851"/>
      <c r="AP186" s="3851"/>
      <c r="AQ186" s="3851"/>
      <c r="AR186" s="3851"/>
      <c r="AS186" s="3851" t="s">
        <v>2854</v>
      </c>
      <c r="AT186" s="3851"/>
      <c r="AU186" s="3851"/>
      <c r="AV186" s="3874"/>
      <c r="AW186" s="3874"/>
      <c r="AX186" s="3874"/>
      <c r="AY186" s="3874"/>
      <c r="AZ186" s="3874"/>
      <c r="BA186" s="3874"/>
      <c r="BB186" s="3874"/>
      <c r="BC186" s="3851"/>
      <c r="BD186" s="3874"/>
      <c r="BE186" s="3851"/>
      <c r="BF186" s="3874"/>
      <c r="BG186" s="3851"/>
      <c r="BH186" s="3851"/>
      <c r="BI186" s="3874"/>
      <c r="BJ186" s="3874"/>
      <c r="BK186" s="3874"/>
      <c r="BL186" s="3874"/>
      <c r="BM186" s="3874"/>
      <c r="BN186" s="3851"/>
      <c r="BO186" s="3851"/>
      <c r="BP186" s="3874"/>
      <c r="BQ186" s="3874"/>
      <c r="BR186" s="3874"/>
      <c r="BS186" s="3874"/>
      <c r="BT186" s="3874"/>
      <c r="BU186" s="3874"/>
      <c r="BV186" s="3874"/>
      <c r="BW186" s="3874"/>
      <c r="BX186" s="3874"/>
      <c r="BY186" s="3874"/>
      <c r="BZ186" s="3874"/>
      <c r="CA186" s="3874"/>
      <c r="CB186" s="3874"/>
      <c r="CC186" s="3874"/>
      <c r="CD186" s="3874"/>
      <c r="CE186" s="3874"/>
      <c r="CF186" s="3874"/>
      <c r="CG186" s="3874"/>
      <c r="CH186" s="3874"/>
      <c r="CI186" s="3874"/>
      <c r="CJ186" s="3874"/>
      <c r="CK186" s="3874"/>
      <c r="CL186" s="3874"/>
      <c r="CM186" s="3874"/>
      <c r="CN186" s="3874"/>
      <c r="CO186" s="3874"/>
      <c r="CP186" s="3874"/>
    </row>
    <row r="187" spans="1:94" ht="13.5" thickBot="1">
      <c r="A187" s="3857"/>
      <c r="B187" s="3879" t="s">
        <v>1057</v>
      </c>
      <c r="C187" s="3901">
        <v>80065</v>
      </c>
      <c r="D187" s="3935" t="s">
        <v>1591</v>
      </c>
      <c r="E187" s="3844">
        <f>IFERROR(VLOOKUP(C187,'פ.נ. צרפת'!$D$129:$F$1048576,3,0),0)</f>
        <v>-18018.37</v>
      </c>
      <c r="F187" s="3843">
        <f>SUMIF('פ.נ. צרפת'!$C:$C,$C:$C,'פ.נ. צרפת'!$E:$E)</f>
        <v>0</v>
      </c>
      <c r="G187" s="3882"/>
      <c r="H187" s="3884"/>
      <c r="I187" s="3882"/>
      <c r="J187" s="4294">
        <f>SUM(E187:I187)</f>
        <v>-18018.37</v>
      </c>
      <c r="K187" s="3931">
        <f>M187+SUMIF('פ.נ. צרפת'!$C:$C,$C:$C,'פ.נ. צרפת'!$F:$F)</f>
        <v>-21869.47</v>
      </c>
      <c r="L187" s="1343">
        <f>SUM('[169]Pivot 80065'!$C$14:$C$20)-J187</f>
        <v>0</v>
      </c>
      <c r="M187" s="3931">
        <f>IFERROR(VLOOKUP(C187,'פ.נ. צרפת'!$D$129:$G$1048576,4,0),"")</f>
        <v>-21869.47</v>
      </c>
      <c r="N187" s="3877">
        <f>IF(K187=0,"-",J187/K187)</f>
        <v>0.82390519751964719</v>
      </c>
      <c r="O187" s="3920"/>
      <c r="P187" s="3969"/>
      <c r="Q187" s="3849">
        <v>0</v>
      </c>
      <c r="R187" s="3851">
        <v>-245.51</v>
      </c>
      <c r="S187" s="3851">
        <v>-74.490000000000009</v>
      </c>
      <c r="T187" s="3851">
        <v>-74.490000000000009</v>
      </c>
      <c r="U187" s="3851">
        <v>-74.490000000000009</v>
      </c>
      <c r="V187" s="3851">
        <v>0</v>
      </c>
      <c r="W187" s="3851">
        <v>-1663.42</v>
      </c>
      <c r="X187" s="3851">
        <v>-1496.1999999999998</v>
      </c>
      <c r="Y187" s="3851">
        <v>-1490.5200000000004</v>
      </c>
      <c r="Z187" s="3851">
        <v>-1490.5199999999995</v>
      </c>
      <c r="AA187" s="3851">
        <v>-1490.5200000000004</v>
      </c>
      <c r="AB187" s="3851">
        <v>-1490.5200000000004</v>
      </c>
      <c r="AC187" s="3851">
        <v>-1490.5199999999986</v>
      </c>
      <c r="AD187" s="3851">
        <v>-1490.5200000000004</v>
      </c>
      <c r="AE187" s="3851">
        <v>-1506.5599999999995</v>
      </c>
      <c r="AF187" s="3851">
        <v>-1595.880000000001</v>
      </c>
      <c r="AG187" s="3851">
        <v>-1408.5099999999984</v>
      </c>
      <c r="AH187" s="3851">
        <f>$J187-SUM($W187:AG187)</f>
        <v>-1404.6800000000003</v>
      </c>
      <c r="AI187" s="3851"/>
      <c r="AJ187" s="3851"/>
      <c r="AL187" s="3851"/>
      <c r="AM187" s="3851"/>
      <c r="AN187" s="3851"/>
      <c r="AO187" s="3851"/>
      <c r="AP187" s="3851"/>
      <c r="AQ187" s="3851"/>
      <c r="AR187" s="3851"/>
      <c r="AS187" s="3851"/>
      <c r="AT187" s="3851"/>
      <c r="AU187" s="3851"/>
      <c r="AV187" s="3874"/>
      <c r="AW187" s="3874"/>
      <c r="AX187" s="3874"/>
      <c r="AY187" s="3874"/>
      <c r="AZ187" s="3874"/>
      <c r="BA187" s="3874"/>
      <c r="BB187" s="3874"/>
      <c r="BC187" s="3851"/>
      <c r="BD187" s="3874"/>
      <c r="BE187" s="3851"/>
      <c r="BF187" s="3874"/>
      <c r="BG187" s="3851"/>
      <c r="BH187" s="3851"/>
      <c r="BI187" s="3874"/>
      <c r="BJ187" s="3874"/>
      <c r="BK187" s="3874"/>
      <c r="BL187" s="3874"/>
      <c r="BM187" s="3874"/>
      <c r="BN187" s="3851"/>
      <c r="BO187" s="3851"/>
      <c r="BP187" s="3874"/>
      <c r="BQ187" s="3874"/>
      <c r="BR187" s="3874"/>
      <c r="BS187" s="3874"/>
      <c r="BT187" s="3874"/>
      <c r="BU187" s="3874"/>
      <c r="BV187" s="3874"/>
      <c r="BW187" s="3874"/>
      <c r="BX187" s="3874"/>
      <c r="BY187" s="3874"/>
      <c r="BZ187" s="3874"/>
      <c r="CA187" s="3874"/>
      <c r="CB187" s="3874"/>
      <c r="CC187" s="3874"/>
      <c r="CD187" s="3874"/>
      <c r="CE187" s="3874"/>
      <c r="CF187" s="3874"/>
      <c r="CG187" s="3874"/>
      <c r="CH187" s="3874"/>
      <c r="CI187" s="3874"/>
      <c r="CJ187" s="3874"/>
      <c r="CK187" s="3874"/>
      <c r="CL187" s="3874"/>
      <c r="CM187" s="3874"/>
      <c r="CN187" s="3874"/>
      <c r="CO187" s="3874"/>
      <c r="CP187" s="3874"/>
    </row>
    <row r="188" spans="1:94" ht="13.5" thickBot="1">
      <c r="A188" s="3857"/>
      <c r="B188" s="3879" t="s">
        <v>1057</v>
      </c>
      <c r="C188" s="3901" t="str">
        <f>"80102-9"</f>
        <v>80102-9</v>
      </c>
      <c r="D188" s="3935" t="s">
        <v>726</v>
      </c>
      <c r="E188" s="3844">
        <f>IFERROR(VLOOKUP(C188,'פ.נ. צרפת'!$D$129:$F$1048576,3,0),0)</f>
        <v>-8533.7800000000007</v>
      </c>
      <c r="F188" s="3843">
        <f>SUMIF('פ.נ. צרפת'!$C:$C,$C:$C,'פ.נ. צרפת'!$E:$E)</f>
        <v>0</v>
      </c>
      <c r="G188" s="3882"/>
      <c r="H188" s="3884"/>
      <c r="I188" s="3882"/>
      <c r="J188" s="4294">
        <f>SUM(E188:I188)</f>
        <v>-8533.7800000000007</v>
      </c>
      <c r="K188" s="3931">
        <f>M188+SUMIF('פ.נ. צרפת'!$C:$C,$C:$C,'פ.נ. צרפת'!$F:$F)</f>
        <v>-9658.5400000000009</v>
      </c>
      <c r="L188" s="1343">
        <f>K188+'[34]Income receibales'!$AA$3140</f>
        <v>-2.5753424670256209E-3</v>
      </c>
      <c r="M188" s="3931">
        <f>IFERROR(VLOOKUP(C188,'פ.נ. צרפת'!$D$129:$G$1048576,4,0),"")</f>
        <v>-9658.5400000000009</v>
      </c>
      <c r="N188" s="3877">
        <f>IF(K188=0,"-",J188/K188)</f>
        <v>0.88354761692761019</v>
      </c>
      <c r="O188" s="3920"/>
      <c r="P188" s="3969"/>
      <c r="R188" s="3851"/>
      <c r="S188" s="3851"/>
      <c r="T188" s="3851"/>
      <c r="U188" s="3851"/>
      <c r="V188" s="3851"/>
      <c r="W188" s="3851"/>
      <c r="X188" s="3851"/>
      <c r="Y188" s="3851"/>
      <c r="Z188" s="3851"/>
      <c r="AA188" s="3851"/>
      <c r="AB188" s="3851"/>
      <c r="AC188" s="3851"/>
      <c r="AD188" s="3851"/>
      <c r="AE188" s="3851"/>
      <c r="AF188" s="3851"/>
      <c r="AG188" s="3851"/>
      <c r="AH188" s="3851">
        <f>$J188-SUM($W188:AG188)</f>
        <v>-8533.7800000000007</v>
      </c>
      <c r="AI188" s="3851"/>
      <c r="AJ188" s="3851"/>
      <c r="AL188" s="3851"/>
      <c r="AM188" s="3851"/>
      <c r="AN188" s="3851"/>
      <c r="AO188" s="3851"/>
      <c r="AP188" s="3851"/>
      <c r="AQ188" s="3851"/>
      <c r="AR188" s="3851"/>
      <c r="AS188" s="3851"/>
      <c r="AT188" s="3851"/>
      <c r="AU188" s="3851"/>
      <c r="AV188" s="3874"/>
      <c r="AW188" s="3874"/>
      <c r="AX188" s="3874"/>
      <c r="AY188" s="3874"/>
      <c r="AZ188" s="3874"/>
      <c r="BA188" s="3874"/>
      <c r="BB188" s="3874"/>
      <c r="BC188" s="3851"/>
      <c r="BD188" s="3874"/>
      <c r="BE188" s="3851"/>
      <c r="BF188" s="3874"/>
      <c r="BG188" s="3851"/>
      <c r="BH188" s="3851"/>
      <c r="BI188" s="3874"/>
      <c r="BJ188" s="3874"/>
      <c r="BK188" s="3874"/>
      <c r="BL188" s="3874"/>
      <c r="BM188" s="3874"/>
      <c r="BN188" s="3851"/>
      <c r="BO188" s="3851"/>
      <c r="BP188" s="3874"/>
      <c r="BQ188" s="3874"/>
      <c r="BR188" s="3874"/>
      <c r="BS188" s="3874"/>
      <c r="BT188" s="3874"/>
      <c r="BU188" s="3874"/>
      <c r="BV188" s="3874"/>
      <c r="BW188" s="3874"/>
      <c r="BX188" s="3874"/>
      <c r="BY188" s="3874"/>
      <c r="BZ188" s="3874"/>
      <c r="CA188" s="3874"/>
      <c r="CB188" s="3874"/>
      <c r="CC188" s="3874"/>
      <c r="CD188" s="3874"/>
      <c r="CE188" s="3874"/>
      <c r="CF188" s="3874"/>
      <c r="CG188" s="3874"/>
      <c r="CH188" s="3874"/>
      <c r="CI188" s="3874"/>
      <c r="CJ188" s="3874"/>
      <c r="CK188" s="3874"/>
      <c r="CL188" s="3874"/>
      <c r="CM188" s="3874"/>
      <c r="CN188" s="3874"/>
      <c r="CO188" s="3874"/>
      <c r="CP188" s="3874"/>
    </row>
    <row r="189" spans="1:94" ht="13.5" thickBot="1">
      <c r="A189" s="3857"/>
      <c r="B189" s="3879"/>
      <c r="C189" s="3901"/>
      <c r="D189" s="1675" t="s">
        <v>2474</v>
      </c>
      <c r="E189" s="3844"/>
      <c r="F189" s="3843"/>
      <c r="G189" s="3882"/>
      <c r="H189" s="3884"/>
      <c r="I189" s="3882"/>
      <c r="J189" s="3844"/>
      <c r="K189" s="3931"/>
      <c r="L189" s="3845"/>
      <c r="M189" s="3931"/>
      <c r="N189" s="3877"/>
      <c r="O189" s="3920"/>
      <c r="P189" s="3969"/>
      <c r="R189" s="3851"/>
      <c r="S189" s="3851"/>
      <c r="T189" s="3851">
        <v>0</v>
      </c>
      <c r="U189" s="3851">
        <v>0</v>
      </c>
      <c r="V189" s="3851">
        <v>-473.31999999999994</v>
      </c>
      <c r="W189" s="3851">
        <v>0</v>
      </c>
      <c r="X189" s="3851">
        <v>0</v>
      </c>
      <c r="Y189" s="3851">
        <v>0</v>
      </c>
      <c r="Z189" s="3851">
        <v>0</v>
      </c>
      <c r="AA189" s="3851">
        <v>0</v>
      </c>
      <c r="AB189" s="3851">
        <v>0</v>
      </c>
      <c r="AC189" s="3851">
        <v>0</v>
      </c>
      <c r="AD189" s="3851">
        <v>0</v>
      </c>
      <c r="AE189" s="3851">
        <v>0</v>
      </c>
      <c r="AF189" s="3851">
        <v>0</v>
      </c>
      <c r="AG189" s="3851">
        <v>0</v>
      </c>
      <c r="AH189" s="3851">
        <f>$J189-SUM($W189:AG189)</f>
        <v>0</v>
      </c>
      <c r="AI189" s="3851"/>
      <c r="AJ189" s="3851"/>
      <c r="AL189" s="3851"/>
      <c r="AM189" s="3851"/>
      <c r="AN189" s="3851"/>
      <c r="AO189" s="3851"/>
      <c r="AP189" s="3851"/>
      <c r="AQ189" s="3851"/>
      <c r="AR189" s="3851"/>
      <c r="AS189" s="3851"/>
      <c r="AT189" s="3851"/>
      <c r="AU189" s="3851"/>
      <c r="AV189" s="3874"/>
      <c r="AW189" s="3874"/>
      <c r="AX189" s="3874"/>
      <c r="AY189" s="3874"/>
      <c r="AZ189" s="3874"/>
      <c r="BA189" s="3874"/>
      <c r="BB189" s="3874"/>
      <c r="BC189" s="3851"/>
      <c r="BD189" s="3874"/>
      <c r="BE189" s="3851"/>
      <c r="BF189" s="3874"/>
      <c r="BG189" s="3851"/>
      <c r="BH189" s="3851"/>
      <c r="BI189" s="3874"/>
      <c r="BJ189" s="3874"/>
      <c r="BK189" s="3874"/>
      <c r="BL189" s="3874"/>
      <c r="BM189" s="3874"/>
      <c r="BN189" s="3851"/>
      <c r="BO189" s="3851"/>
      <c r="BP189" s="3874"/>
      <c r="BQ189" s="3874"/>
      <c r="BR189" s="3874"/>
      <c r="BS189" s="3874"/>
      <c r="BT189" s="3874"/>
      <c r="BU189" s="3874"/>
      <c r="BV189" s="3874"/>
      <c r="BW189" s="3874"/>
      <c r="BX189" s="3874"/>
      <c r="BY189" s="3874"/>
      <c r="BZ189" s="3874"/>
      <c r="CA189" s="3874"/>
      <c r="CB189" s="3874"/>
      <c r="CC189" s="3874"/>
      <c r="CD189" s="3874"/>
      <c r="CE189" s="3874"/>
      <c r="CF189" s="3874"/>
      <c r="CG189" s="3874"/>
      <c r="CH189" s="3874"/>
      <c r="CI189" s="3874"/>
      <c r="CJ189" s="3874"/>
      <c r="CK189" s="3874"/>
      <c r="CL189" s="3874"/>
      <c r="CM189" s="3874"/>
      <c r="CN189" s="3874"/>
      <c r="CO189" s="3874"/>
      <c r="CP189" s="3874"/>
    </row>
    <row r="190" spans="1:94" ht="13.5" thickBot="1">
      <c r="A190" s="3857"/>
      <c r="B190" s="3879" t="s">
        <v>1765</v>
      </c>
      <c r="C190" s="3901">
        <v>80081</v>
      </c>
      <c r="D190" s="3935" t="s">
        <v>2044</v>
      </c>
      <c r="E190" s="3844">
        <f>IFERROR(VLOOKUP(C190,'פ.נ. צרפת'!$D$129:$F$1048576,3,0),0)</f>
        <v>-9323.82</v>
      </c>
      <c r="F190" s="3843">
        <f>SUMIF('פ.נ. צרפת'!$C:$C,$C:$C,'פ.נ. צרפת'!$E:$E)</f>
        <v>0</v>
      </c>
      <c r="G190" s="3882"/>
      <c r="H190" s="3884"/>
      <c r="I190" s="3882"/>
      <c r="J190" s="4294">
        <f>SUM(E190:I190)</f>
        <v>-9323.82</v>
      </c>
      <c r="K190" s="3931">
        <f>M190+SUMIF('פ.נ. צרפת'!$C:$C,$C:$C,'פ.נ. צרפת'!$F:$F)</f>
        <v>-10959.68</v>
      </c>
      <c r="L190" s="1343">
        <f>SUM('[82]ALL Automated'!$X$47,'[170]ALL Automated'!$X$18:$AI$18)+J190</f>
        <v>-2.5726645560262114</v>
      </c>
      <c r="M190" s="3931">
        <f>IFERROR(VLOOKUP(C190,'פ.נ. צרפת'!$D$129:$G$1048576,4,0),"")</f>
        <v>-10959.68</v>
      </c>
      <c r="N190" s="3877">
        <f>IF(K190=0,"-",J190/K190)</f>
        <v>0.850738342725335</v>
      </c>
      <c r="O190" s="3920"/>
      <c r="P190" s="3969"/>
      <c r="R190" s="3851"/>
      <c r="S190" s="3851"/>
      <c r="T190" s="3851">
        <v>-217.90584841332301</v>
      </c>
      <c r="U190" s="3851">
        <v>-473.32415158667698</v>
      </c>
      <c r="V190" s="3851">
        <v>0</v>
      </c>
      <c r="W190" s="3851">
        <v>-473.32</v>
      </c>
      <c r="X190" s="3851">
        <v>-473.32</v>
      </c>
      <c r="Y190" s="3851">
        <v>-633.58000000000004</v>
      </c>
      <c r="Z190" s="3851">
        <v>-639.10000000000014</v>
      </c>
      <c r="AA190" s="3851">
        <v>-639.09999999999991</v>
      </c>
      <c r="AB190" s="3851">
        <v>-639.09999999999991</v>
      </c>
      <c r="AC190" s="3851">
        <v>-639.09999999999991</v>
      </c>
      <c r="AD190" s="3851">
        <v>-639.10000000000036</v>
      </c>
      <c r="AE190" s="3851">
        <v>-705.55999999999949</v>
      </c>
      <c r="AF190" s="3851">
        <v>-890.10000000000036</v>
      </c>
      <c r="AG190" s="3851">
        <v>-805.64000000000033</v>
      </c>
      <c r="AH190" s="3851">
        <f>$J190-SUM($W190:AG190)</f>
        <v>-2146.7999999999993</v>
      </c>
      <c r="AI190" s="3851"/>
      <c r="AJ190" s="3851"/>
      <c r="AL190" s="3851"/>
      <c r="AM190" s="3851"/>
      <c r="AN190" s="3851"/>
      <c r="AO190" s="3851"/>
      <c r="AP190" s="3851"/>
      <c r="AQ190" s="3851"/>
      <c r="AR190" s="3851"/>
      <c r="AS190" s="3851"/>
      <c r="AT190" s="3851"/>
      <c r="AU190" s="3851"/>
      <c r="AV190" s="3874"/>
      <c r="AW190" s="3874"/>
      <c r="AX190" s="3874"/>
      <c r="AY190" s="3874"/>
      <c r="AZ190" s="3874"/>
      <c r="BA190" s="3874"/>
      <c r="BB190" s="3874"/>
      <c r="BC190" s="3851"/>
      <c r="BD190" s="3874"/>
      <c r="BE190" s="3851"/>
      <c r="BF190" s="3874"/>
      <c r="BG190" s="3851"/>
      <c r="BH190" s="3851"/>
      <c r="BI190" s="3874"/>
      <c r="BJ190" s="3874"/>
      <c r="BK190" s="3874"/>
      <c r="BL190" s="3874"/>
      <c r="BM190" s="3874"/>
      <c r="BN190" s="3851"/>
      <c r="BO190" s="3851"/>
      <c r="BP190" s="3874"/>
      <c r="BQ190" s="3874"/>
      <c r="BR190" s="3874"/>
      <c r="BS190" s="3874"/>
      <c r="BT190" s="3874"/>
      <c r="BU190" s="3874"/>
      <c r="BV190" s="3874"/>
      <c r="BW190" s="3874"/>
      <c r="BX190" s="3874"/>
      <c r="BY190" s="3874"/>
      <c r="BZ190" s="3874"/>
      <c r="CA190" s="3874"/>
      <c r="CB190" s="3874"/>
      <c r="CC190" s="3874"/>
      <c r="CD190" s="3874"/>
      <c r="CE190" s="3874"/>
      <c r="CF190" s="3874"/>
      <c r="CG190" s="3874"/>
      <c r="CH190" s="3874"/>
      <c r="CI190" s="3874"/>
      <c r="CJ190" s="3874"/>
      <c r="CK190" s="3874"/>
      <c r="CL190" s="3874"/>
      <c r="CM190" s="3874"/>
      <c r="CN190" s="3874"/>
      <c r="CO190" s="3874"/>
      <c r="CP190" s="3874"/>
    </row>
    <row r="191" spans="1:94" ht="13.5" thickBot="1">
      <c r="A191" s="3857"/>
      <c r="B191" s="3879" t="s">
        <v>1766</v>
      </c>
      <c r="C191" s="3901">
        <v>80071</v>
      </c>
      <c r="D191" s="3935" t="s">
        <v>2123</v>
      </c>
      <c r="E191" s="3844">
        <f>IFERROR(VLOOKUP(C191,'פ.נ. צרפת'!$D$129:$F$1048576,3,0),0)</f>
        <v>-181936.1</v>
      </c>
      <c r="F191" s="3843">
        <f>SUMIF('פ.נ. צרפת'!$C:$C,$C:$C,'פ.נ. צרפת'!$E:$E)</f>
        <v>0</v>
      </c>
      <c r="G191" s="3882"/>
      <c r="H191" s="3884"/>
      <c r="I191" s="3882"/>
      <c r="J191" s="4294">
        <f>SUM(E191:I191)</f>
        <v>-181936.1</v>
      </c>
      <c r="K191" s="3931">
        <f>M191+SUMIF('פ.נ. צרפת'!$C:$C,$C:$C,'פ.נ. צרפת'!$F:$F)</f>
        <v>-207711.4</v>
      </c>
      <c r="L191" s="1343">
        <f>SUM('[82]ALL Automated'!$I$45)+J191</f>
        <v>10.746662661025766</v>
      </c>
      <c r="M191" s="3931">
        <f>IFERROR(VLOOKUP(C191,'פ.נ. צרפת'!$D$129:$G$1048576,4,0),"")</f>
        <v>-207711.4</v>
      </c>
      <c r="N191" s="3877">
        <f>IF(K191=0,"-",J191/K191)</f>
        <v>0.87590811096550314</v>
      </c>
      <c r="O191" s="3920"/>
      <c r="P191" s="3969"/>
      <c r="R191" s="3851"/>
      <c r="S191" s="3851"/>
      <c r="T191" s="3851">
        <v>-24695.121951219498</v>
      </c>
      <c r="U191" s="3851">
        <v>-8.0487805025768466E-3</v>
      </c>
      <c r="V191" s="3851">
        <v>0</v>
      </c>
      <c r="W191" s="3851">
        <v>0</v>
      </c>
      <c r="X191" s="3851">
        <v>0</v>
      </c>
      <c r="Y191" s="3851">
        <v>-7957.66</v>
      </c>
      <c r="Z191" s="3851">
        <v>0</v>
      </c>
      <c r="AA191" s="3851">
        <v>0</v>
      </c>
      <c r="AB191" s="3851">
        <v>0</v>
      </c>
      <c r="AC191" s="3851">
        <v>0</v>
      </c>
      <c r="AD191" s="3851">
        <v>0</v>
      </c>
      <c r="AE191" s="3851">
        <v>-31086.210000000003</v>
      </c>
      <c r="AF191" s="3851">
        <v>0</v>
      </c>
      <c r="AG191" s="3851">
        <v>-69639.100000000006</v>
      </c>
      <c r="AH191" s="3851">
        <f>$J191-SUM($W191:AG191)</f>
        <v>-73253.13</v>
      </c>
      <c r="AI191" s="3851"/>
      <c r="AJ191" s="3851"/>
      <c r="AL191" s="3851"/>
      <c r="AM191" s="3851"/>
      <c r="AN191" s="3851"/>
      <c r="AO191" s="3851"/>
      <c r="AP191" s="3851"/>
      <c r="AQ191" s="3851"/>
      <c r="AR191" s="3851"/>
      <c r="AS191" s="3851"/>
      <c r="AT191" s="3851"/>
      <c r="AU191" s="3851"/>
      <c r="AV191" s="3874"/>
      <c r="AW191" s="3874"/>
      <c r="AX191" s="3874"/>
      <c r="AY191" s="3874"/>
      <c r="AZ191" s="3874"/>
      <c r="BA191" s="3874"/>
      <c r="BB191" s="3874"/>
      <c r="BC191" s="3851"/>
      <c r="BD191" s="3874"/>
      <c r="BE191" s="3851"/>
      <c r="BF191" s="3874"/>
      <c r="BG191" s="3851"/>
      <c r="BH191" s="3851"/>
      <c r="BI191" s="3874"/>
      <c r="BJ191" s="3874"/>
      <c r="BK191" s="3874"/>
      <c r="BL191" s="3874"/>
      <c r="BM191" s="3874"/>
      <c r="BN191" s="3851"/>
      <c r="BO191" s="3851"/>
      <c r="BP191" s="3874"/>
      <c r="BQ191" s="3874"/>
      <c r="BR191" s="3874"/>
      <c r="BS191" s="3874"/>
      <c r="BT191" s="3874"/>
      <c r="BU191" s="3874"/>
      <c r="BV191" s="3874"/>
      <c r="BW191" s="3874"/>
      <c r="BX191" s="3874"/>
      <c r="BY191" s="3874"/>
      <c r="BZ191" s="3874"/>
      <c r="CA191" s="3874"/>
      <c r="CB191" s="3874"/>
      <c r="CC191" s="3874"/>
      <c r="CD191" s="3874"/>
      <c r="CE191" s="3874"/>
      <c r="CF191" s="3874"/>
      <c r="CG191" s="3874"/>
      <c r="CH191" s="3874"/>
      <c r="CI191" s="3874"/>
      <c r="CJ191" s="3874"/>
      <c r="CK191" s="3874"/>
      <c r="CL191" s="3874"/>
      <c r="CM191" s="3874"/>
      <c r="CN191" s="3874"/>
      <c r="CO191" s="3874"/>
      <c r="CP191" s="3874"/>
    </row>
    <row r="192" spans="1:94" ht="13.5" thickBot="1">
      <c r="A192" s="3857"/>
      <c r="B192" s="3879"/>
      <c r="C192" s="3901"/>
      <c r="D192" s="1675" t="s">
        <v>2475</v>
      </c>
      <c r="E192" s="3844"/>
      <c r="F192" s="3843"/>
      <c r="G192" s="3882"/>
      <c r="H192" s="3884"/>
      <c r="I192" s="3882"/>
      <c r="J192" s="3844"/>
      <c r="K192" s="3931"/>
      <c r="L192" s="3845"/>
      <c r="M192" s="3931"/>
      <c r="N192" s="3877"/>
      <c r="O192" s="3920"/>
      <c r="P192" s="3969"/>
      <c r="R192" s="3851"/>
      <c r="S192" s="3851"/>
      <c r="T192" s="3851"/>
      <c r="U192" s="3851"/>
      <c r="V192" s="3851"/>
      <c r="W192" s="3851"/>
      <c r="X192" s="3851"/>
      <c r="Y192" s="3851"/>
      <c r="Z192" s="3851"/>
      <c r="AA192" s="3851"/>
      <c r="AB192" s="3851">
        <v>0</v>
      </c>
      <c r="AC192" s="3851">
        <v>0</v>
      </c>
      <c r="AD192" s="3851">
        <v>0</v>
      </c>
      <c r="AE192" s="3851">
        <v>0</v>
      </c>
      <c r="AF192" s="3851">
        <v>0</v>
      </c>
      <c r="AG192" s="3851">
        <v>0</v>
      </c>
      <c r="AH192" s="3851">
        <f>$J192-SUM($W192:AG192)</f>
        <v>0</v>
      </c>
      <c r="AI192" s="3851"/>
      <c r="AJ192" s="3851"/>
      <c r="AL192" s="3851"/>
      <c r="AM192" s="3851"/>
      <c r="AN192" s="3851"/>
      <c r="AO192" s="3851"/>
      <c r="AP192" s="3851"/>
      <c r="AQ192" s="3851"/>
      <c r="AR192" s="3851"/>
      <c r="AS192" s="3851"/>
      <c r="AT192" s="3851"/>
      <c r="AU192" s="3851"/>
      <c r="AV192" s="3874"/>
      <c r="AW192" s="3874"/>
      <c r="AX192" s="3874"/>
      <c r="AY192" s="3874"/>
      <c r="AZ192" s="3874"/>
      <c r="BA192" s="3874"/>
      <c r="BB192" s="3874"/>
      <c r="BC192" s="3851"/>
      <c r="BD192" s="3874"/>
      <c r="BE192" s="3851"/>
      <c r="BF192" s="3874"/>
      <c r="BG192" s="3851"/>
      <c r="BH192" s="3851"/>
      <c r="BI192" s="3874"/>
      <c r="BJ192" s="3874"/>
      <c r="BK192" s="3874"/>
      <c r="BL192" s="3874"/>
      <c r="BM192" s="3874"/>
      <c r="BN192" s="3851"/>
      <c r="BO192" s="3851"/>
      <c r="BP192" s="3874"/>
      <c r="BQ192" s="3874"/>
      <c r="BR192" s="3874"/>
      <c r="BS192" s="3874"/>
      <c r="BT192" s="3874"/>
      <c r="BU192" s="3874"/>
      <c r="BV192" s="3874"/>
      <c r="BW192" s="3874"/>
      <c r="BX192" s="3874"/>
      <c r="BY192" s="3874"/>
      <c r="BZ192" s="3874"/>
      <c r="CA192" s="3874"/>
      <c r="CB192" s="3874"/>
      <c r="CC192" s="3874"/>
      <c r="CD192" s="3874"/>
      <c r="CE192" s="3874"/>
      <c r="CF192" s="3874"/>
      <c r="CG192" s="3874"/>
      <c r="CH192" s="3874"/>
      <c r="CI192" s="3874"/>
      <c r="CJ192" s="3874"/>
      <c r="CK192" s="3874"/>
      <c r="CL192" s="3874"/>
      <c r="CM192" s="3874"/>
      <c r="CN192" s="3874"/>
      <c r="CO192" s="3874"/>
      <c r="CP192" s="3874"/>
    </row>
    <row r="193" spans="1:94" ht="13.5" thickBot="1">
      <c r="A193" s="3857"/>
      <c r="B193" s="3879" t="s">
        <v>727</v>
      </c>
      <c r="C193" s="3901">
        <v>80151</v>
      </c>
      <c r="D193" s="3935" t="s">
        <v>1629</v>
      </c>
      <c r="E193" s="3844">
        <f>IFERROR(VLOOKUP(C193,'פ.נ. צרפת'!$D$129:$F$1048576,3,0),)</f>
        <v>-8005.5</v>
      </c>
      <c r="F193" s="3843">
        <f>SUMIF('פ.נ. צרפת'!$C:$C,$C:$C,'פ.נ. צרפת'!$E:$E)</f>
        <v>0</v>
      </c>
      <c r="G193" s="3882"/>
      <c r="H193" s="3884"/>
      <c r="I193" s="3882"/>
      <c r="J193" s="4294">
        <f>SUM(E193:I193)</f>
        <v>-8005.5</v>
      </c>
      <c r="K193" s="3931">
        <f>M193+SUMIF('פ.נ. צרפת'!$C:$C,$C:$C,'פ.נ. צרפת'!$F:$F)</f>
        <v>-9399.92</v>
      </c>
      <c r="L193" s="1343">
        <f>SUM([167]FR421600051!$F$5)+$AH$193</f>
        <v>0</v>
      </c>
      <c r="M193" s="3931">
        <f>IFERROR(VLOOKUP(C193,'פ.נ. צרפת'!$D$129:$G$1048576,4,0),"")</f>
        <v>-9399.92</v>
      </c>
      <c r="N193" s="3877">
        <f>IF(K193=0,"-",J193/K193)</f>
        <v>0.85165618430795154</v>
      </c>
      <c r="O193" s="3920"/>
      <c r="P193" s="3969"/>
      <c r="R193" s="3851"/>
      <c r="S193" s="3851"/>
      <c r="T193" s="3851">
        <v>0</v>
      </c>
      <c r="U193" s="3851"/>
      <c r="V193" s="3851"/>
      <c r="W193" s="3851"/>
      <c r="X193" s="3851"/>
      <c r="Y193" s="3851"/>
      <c r="Z193" s="3851"/>
      <c r="AA193" s="3851"/>
      <c r="AB193" s="3851">
        <v>-3901.5</v>
      </c>
      <c r="AC193" s="3851"/>
      <c r="AD193" s="3851"/>
      <c r="AE193" s="3851"/>
      <c r="AF193" s="3851"/>
      <c r="AG193" s="3851"/>
      <c r="AH193" s="3851">
        <f>$J193-SUM($W193:AG193)</f>
        <v>-4104</v>
      </c>
      <c r="AI193" s="3851"/>
      <c r="AJ193" s="3851"/>
      <c r="AL193" s="3851"/>
      <c r="AM193" s="3851"/>
      <c r="AN193" s="3851"/>
      <c r="AO193" s="3851"/>
      <c r="AP193" s="3851"/>
      <c r="AQ193" s="3851"/>
      <c r="AR193" s="3851"/>
      <c r="AS193" s="3851"/>
      <c r="AT193" s="3851"/>
      <c r="AU193" s="3851"/>
      <c r="AV193" s="3874"/>
      <c r="AW193" s="3874"/>
      <c r="AX193" s="3874"/>
      <c r="AY193" s="3874"/>
      <c r="AZ193" s="3874"/>
      <c r="BA193" s="3874"/>
      <c r="BB193" s="3874"/>
      <c r="BC193" s="3851"/>
      <c r="BD193" s="3874"/>
      <c r="BE193" s="3851"/>
      <c r="BF193" s="3874"/>
      <c r="BG193" s="3851"/>
      <c r="BH193" s="3851"/>
      <c r="BI193" s="3874"/>
      <c r="BJ193" s="3874"/>
      <c r="BK193" s="3874"/>
      <c r="BL193" s="3874"/>
      <c r="BM193" s="3874"/>
      <c r="BN193" s="3851"/>
      <c r="BO193" s="3851"/>
      <c r="BP193" s="3874"/>
      <c r="BQ193" s="3874"/>
      <c r="BR193" s="3874"/>
      <c r="BS193" s="3874"/>
      <c r="BT193" s="3874"/>
      <c r="BU193" s="3874"/>
      <c r="BV193" s="3874"/>
      <c r="BW193" s="3874"/>
      <c r="BX193" s="3874"/>
      <c r="BY193" s="3874"/>
      <c r="BZ193" s="3874"/>
      <c r="CA193" s="3874"/>
      <c r="CB193" s="3874"/>
      <c r="CC193" s="3874"/>
      <c r="CD193" s="3874"/>
      <c r="CE193" s="3874"/>
      <c r="CF193" s="3874"/>
      <c r="CG193" s="3874"/>
      <c r="CH193" s="3874"/>
      <c r="CI193" s="3874"/>
      <c r="CJ193" s="3874"/>
      <c r="CK193" s="3874"/>
      <c r="CL193" s="3874"/>
      <c r="CM193" s="3874"/>
      <c r="CN193" s="3874"/>
      <c r="CO193" s="3874"/>
      <c r="CP193" s="3874"/>
    </row>
    <row r="194" spans="1:94">
      <c r="A194" s="3857"/>
      <c r="B194" s="3879"/>
      <c r="C194" s="3901"/>
      <c r="D194" s="3935"/>
      <c r="E194" s="3844"/>
      <c r="F194" s="3843"/>
      <c r="G194" s="3882"/>
      <c r="H194" s="3884"/>
      <c r="I194" s="3882"/>
      <c r="J194" s="3844"/>
      <c r="K194" s="3931"/>
      <c r="L194" s="3931"/>
      <c r="M194" s="3931"/>
      <c r="N194" s="3877"/>
      <c r="O194" s="3920"/>
      <c r="P194" s="3969"/>
      <c r="R194" s="3851"/>
      <c r="S194" s="3851"/>
      <c r="T194" s="3851"/>
      <c r="U194" s="3851"/>
      <c r="V194" s="3851"/>
      <c r="W194" s="3851"/>
      <c r="X194" s="3851"/>
      <c r="Y194" s="3851"/>
      <c r="Z194" s="3851"/>
      <c r="AA194" s="3851"/>
      <c r="AB194" s="3851"/>
      <c r="AC194" s="3851"/>
      <c r="AD194" s="3851"/>
      <c r="AE194" s="3851"/>
      <c r="AF194" s="3851"/>
      <c r="AG194" s="3851"/>
      <c r="AH194" s="3851">
        <f>$J194-SUM($W194:AG194)</f>
        <v>0</v>
      </c>
      <c r="AI194" s="3851"/>
      <c r="AJ194" s="3851"/>
      <c r="AL194" s="3851"/>
      <c r="AM194" s="3851"/>
      <c r="AN194" s="3851"/>
      <c r="AO194" s="3851"/>
      <c r="AP194" s="3851"/>
      <c r="AQ194" s="3851"/>
      <c r="AR194" s="3851"/>
      <c r="AS194" s="3851"/>
      <c r="AT194" s="3851"/>
      <c r="AU194" s="3851"/>
      <c r="AV194" s="3874"/>
      <c r="AW194" s="3874"/>
      <c r="AX194" s="3874"/>
      <c r="AY194" s="3874"/>
      <c r="AZ194" s="3874"/>
      <c r="BA194" s="3874"/>
      <c r="BB194" s="3874"/>
      <c r="BC194" s="3851"/>
      <c r="BD194" s="3874"/>
      <c r="BE194" s="3851"/>
      <c r="BF194" s="3874"/>
      <c r="BG194" s="3851"/>
      <c r="BH194" s="3851"/>
      <c r="BI194" s="3874"/>
      <c r="BJ194" s="3874"/>
      <c r="BK194" s="3874"/>
      <c r="BL194" s="3874"/>
      <c r="BM194" s="3874"/>
      <c r="BN194" s="3851"/>
      <c r="BO194" s="3851"/>
      <c r="BP194" s="3874"/>
      <c r="BQ194" s="3874"/>
      <c r="BR194" s="3874"/>
      <c r="BS194" s="3874"/>
      <c r="BT194" s="3874"/>
      <c r="BU194" s="3874"/>
      <c r="BV194" s="3874"/>
      <c r="BW194" s="3874"/>
      <c r="BX194" s="3874"/>
      <c r="BY194" s="3874"/>
      <c r="BZ194" s="3874"/>
      <c r="CA194" s="3874"/>
      <c r="CB194" s="3874"/>
      <c r="CC194" s="3874"/>
      <c r="CD194" s="3874"/>
      <c r="CE194" s="3874"/>
      <c r="CF194" s="3874"/>
      <c r="CG194" s="3874"/>
      <c r="CH194" s="3874"/>
      <c r="CI194" s="3874"/>
      <c r="CJ194" s="3874"/>
      <c r="CK194" s="3874"/>
      <c r="CL194" s="3874"/>
      <c r="CM194" s="3874"/>
      <c r="CN194" s="3874"/>
      <c r="CO194" s="3874"/>
      <c r="CP194" s="3874"/>
    </row>
    <row r="195" spans="1:94" ht="13.5" thickBot="1">
      <c r="A195" s="3857"/>
      <c r="B195" s="3879"/>
      <c r="C195" s="3901"/>
      <c r="D195" s="1675" t="s">
        <v>2516</v>
      </c>
      <c r="E195" s="3844"/>
      <c r="F195" s="3843"/>
      <c r="G195" s="3882"/>
      <c r="H195" s="3884"/>
      <c r="I195" s="3882"/>
      <c r="J195" s="3844"/>
      <c r="K195" s="3931"/>
      <c r="L195" s="3931"/>
      <c r="M195" s="3931"/>
      <c r="N195" s="3877"/>
      <c r="O195" s="3920"/>
      <c r="P195" s="3969"/>
      <c r="R195" s="3851"/>
      <c r="S195" s="3851"/>
      <c r="T195" s="3851"/>
      <c r="U195" s="3851"/>
      <c r="V195" s="3851"/>
      <c r="W195" s="3851"/>
      <c r="X195" s="3851"/>
      <c r="Y195" s="3851"/>
      <c r="Z195" s="3851"/>
      <c r="AA195" s="3851"/>
      <c r="AB195" s="3851"/>
      <c r="AC195" s="3851"/>
      <c r="AD195" s="3851"/>
      <c r="AE195" s="3851"/>
      <c r="AF195" s="3851"/>
      <c r="AG195" s="3851"/>
      <c r="AH195" s="3851">
        <f>$J195-SUM($W195:AG195)</f>
        <v>0</v>
      </c>
      <c r="AI195" s="3851"/>
      <c r="AJ195" s="3851"/>
      <c r="AL195" s="3851"/>
      <c r="AM195" s="3851"/>
      <c r="AN195" s="3851"/>
      <c r="AO195" s="3851"/>
      <c r="AP195" s="3851"/>
      <c r="AQ195" s="3851"/>
      <c r="AR195" s="3851"/>
      <c r="AS195" s="3851"/>
      <c r="AT195" s="3851"/>
      <c r="AU195" s="3851"/>
      <c r="AV195" s="3874"/>
      <c r="AW195" s="3874"/>
      <c r="AX195" s="3874"/>
      <c r="AY195" s="3874"/>
      <c r="AZ195" s="3874"/>
      <c r="BA195" s="3874"/>
      <c r="BB195" s="3874"/>
      <c r="BC195" s="3851"/>
      <c r="BD195" s="3874"/>
      <c r="BE195" s="3851"/>
      <c r="BF195" s="3874"/>
      <c r="BG195" s="3851"/>
      <c r="BH195" s="3851"/>
      <c r="BI195" s="3874"/>
      <c r="BJ195" s="3874"/>
      <c r="BK195" s="3874"/>
      <c r="BL195" s="3874"/>
      <c r="BM195" s="3874"/>
      <c r="BN195" s="3851"/>
      <c r="BO195" s="3851"/>
      <c r="BP195" s="3874"/>
      <c r="BQ195" s="3874"/>
      <c r="BR195" s="3874"/>
      <c r="BS195" s="3874"/>
      <c r="BT195" s="3874"/>
      <c r="BU195" s="3874"/>
      <c r="BV195" s="3874"/>
      <c r="BW195" s="3874"/>
      <c r="BX195" s="3874"/>
      <c r="BY195" s="3874"/>
      <c r="BZ195" s="3874"/>
      <c r="CA195" s="3874"/>
      <c r="CB195" s="3874"/>
      <c r="CC195" s="3874"/>
      <c r="CD195" s="3874"/>
      <c r="CE195" s="3874"/>
      <c r="CF195" s="3874"/>
      <c r="CG195" s="3874"/>
      <c r="CH195" s="3874"/>
      <c r="CI195" s="3874"/>
      <c r="CJ195" s="3874"/>
      <c r="CK195" s="3874"/>
      <c r="CL195" s="3874"/>
      <c r="CM195" s="3874"/>
      <c r="CN195" s="3874"/>
      <c r="CO195" s="3874"/>
      <c r="CP195" s="3874"/>
    </row>
    <row r="196" spans="1:94" ht="13.5" thickBot="1">
      <c r="A196" s="3857"/>
      <c r="B196" s="3659" t="s">
        <v>1062</v>
      </c>
      <c r="C196" s="3901">
        <v>80153</v>
      </c>
      <c r="D196" s="3935" t="s">
        <v>1627</v>
      </c>
      <c r="E196" s="3844">
        <f>IFERROR(VLOOKUP(C196,'פ.נ. צרפת'!$D$129:$F$1048576,3,0),)</f>
        <v>-44574</v>
      </c>
      <c r="F196" s="3843">
        <f>SUMIF('פ.נ. צרפת'!$C:$C,$C:$C,'פ.נ. צרפת'!$E:$E)</f>
        <v>0</v>
      </c>
      <c r="G196" s="3882"/>
      <c r="H196" s="3884"/>
      <c r="I196" s="3882"/>
      <c r="J196" s="4294">
        <f>SUM(E196:I196)</f>
        <v>-44574</v>
      </c>
      <c r="K196" s="3931">
        <f>M196+SUMIF('פ.נ. צרפת'!$C:$C,$C:$C,'פ.נ. צרפת'!$F:$F)</f>
        <v>-52304.93</v>
      </c>
      <c r="L196" s="1343"/>
      <c r="M196" s="3931">
        <f>IFERROR(VLOOKUP(C196,'פ.נ. צרפת'!$D$129:$G$1048576,4,0),"")</f>
        <v>-52304.93</v>
      </c>
      <c r="N196" s="3877">
        <f>IF(K196=0,"-",J196/K196)</f>
        <v>0.85219500341554799</v>
      </c>
      <c r="O196" s="3920"/>
      <c r="P196" s="3969"/>
      <c r="R196" s="3851"/>
      <c r="S196" s="3851"/>
      <c r="T196" s="3851"/>
      <c r="U196" s="3851"/>
      <c r="V196" s="3851"/>
      <c r="W196" s="3851"/>
      <c r="X196" s="3851"/>
      <c r="Y196" s="3851"/>
      <c r="Z196" s="3851"/>
      <c r="AA196" s="3851"/>
      <c r="AB196" s="3851"/>
      <c r="AC196" s="3851"/>
      <c r="AD196" s="3851"/>
      <c r="AE196" s="3851"/>
      <c r="AF196" s="3851"/>
      <c r="AG196" s="3851">
        <v>-44574</v>
      </c>
      <c r="AH196" s="3851">
        <f>$J196-SUM($W196:AG196)</f>
        <v>0</v>
      </c>
      <c r="AI196" s="3851"/>
      <c r="AJ196" s="3851"/>
      <c r="AL196" s="3851"/>
      <c r="AM196" s="3851"/>
      <c r="AN196" s="3851"/>
      <c r="AO196" s="3851"/>
      <c r="AP196" s="3851"/>
      <c r="AQ196" s="3851"/>
      <c r="AR196" s="3851"/>
      <c r="AS196" s="3851"/>
      <c r="AT196" s="3851"/>
      <c r="AU196" s="3851"/>
      <c r="AV196" s="3874"/>
      <c r="AW196" s="3874"/>
      <c r="AX196" s="3874"/>
      <c r="AY196" s="3874"/>
      <c r="AZ196" s="3874"/>
      <c r="BA196" s="3874"/>
      <c r="BB196" s="3874"/>
      <c r="BC196" s="3851"/>
      <c r="BD196" s="3874"/>
      <c r="BE196" s="3851"/>
      <c r="BF196" s="3874"/>
      <c r="BG196" s="3851"/>
      <c r="BH196" s="3851"/>
      <c r="BI196" s="3874"/>
      <c r="BJ196" s="3874"/>
      <c r="BK196" s="3874"/>
      <c r="BL196" s="3874"/>
      <c r="BM196" s="3874"/>
      <c r="BN196" s="3851"/>
      <c r="BO196" s="3851"/>
      <c r="BP196" s="3874"/>
      <c r="BQ196" s="3874"/>
      <c r="BR196" s="3874"/>
      <c r="BS196" s="3874"/>
      <c r="BT196" s="3874"/>
      <c r="BU196" s="3874"/>
      <c r="BV196" s="3874"/>
      <c r="BW196" s="3874"/>
      <c r="BX196" s="3874"/>
      <c r="BY196" s="3874"/>
      <c r="BZ196" s="3874"/>
      <c r="CA196" s="3874"/>
      <c r="CB196" s="3874"/>
      <c r="CC196" s="3874"/>
      <c r="CD196" s="3874"/>
      <c r="CE196" s="3874"/>
      <c r="CF196" s="3874"/>
      <c r="CG196" s="3874"/>
      <c r="CH196" s="3874"/>
      <c r="CI196" s="3874"/>
      <c r="CJ196" s="3874"/>
      <c r="CK196" s="3874"/>
      <c r="CL196" s="3874"/>
      <c r="CM196" s="3874"/>
      <c r="CN196" s="3874"/>
      <c r="CO196" s="3874"/>
      <c r="CP196" s="3874"/>
    </row>
    <row r="197" spans="1:94">
      <c r="A197" s="3857"/>
      <c r="B197" s="3914"/>
      <c r="C197" s="3901"/>
      <c r="D197" s="4002"/>
      <c r="L197" s="3875"/>
      <c r="M197" s="4003"/>
      <c r="O197" s="3920"/>
      <c r="P197" s="3969"/>
      <c r="Q197" s="3849">
        <v>0</v>
      </c>
      <c r="R197" s="3851">
        <v>0</v>
      </c>
      <c r="S197" s="3851">
        <v>0</v>
      </c>
      <c r="T197" s="3851">
        <v>0</v>
      </c>
      <c r="U197" s="3851"/>
      <c r="V197" s="3851"/>
      <c r="W197" s="3851"/>
      <c r="X197" s="3851"/>
      <c r="Y197" s="3851"/>
      <c r="Z197" s="3851"/>
      <c r="AA197" s="3851"/>
      <c r="AB197" s="3851"/>
      <c r="AC197" s="3851"/>
      <c r="AD197" s="3851"/>
      <c r="AE197" s="3851"/>
      <c r="AF197" s="3851"/>
      <c r="AG197" s="3851"/>
      <c r="AH197" s="3851">
        <f>$J197-SUM($W197:AG197)</f>
        <v>0</v>
      </c>
      <c r="AI197" s="3851"/>
      <c r="AJ197" s="3851"/>
      <c r="AL197" s="3851"/>
      <c r="AM197" s="3851"/>
      <c r="AN197" s="3851"/>
      <c r="AO197" s="3851"/>
      <c r="AP197" s="3851"/>
      <c r="AQ197" s="3851"/>
      <c r="AR197" s="3851"/>
      <c r="AS197" s="3851"/>
      <c r="AT197" s="3851"/>
      <c r="AU197" s="3851"/>
      <c r="AV197" s="3851"/>
      <c r="AW197" s="3874"/>
      <c r="AX197" s="3874"/>
      <c r="AY197" s="3874"/>
      <c r="AZ197" s="3874"/>
      <c r="BA197" s="3874"/>
      <c r="BB197" s="1850"/>
      <c r="BC197" s="3874"/>
      <c r="BD197" s="3851"/>
      <c r="BE197" s="3843"/>
      <c r="BF197" s="3851"/>
      <c r="BG197" s="3851"/>
      <c r="BH197" s="3851"/>
      <c r="BI197" s="3851"/>
      <c r="BJ197" s="3851"/>
      <c r="BK197" s="3874"/>
      <c r="BL197" s="1850"/>
      <c r="BM197" s="3851"/>
      <c r="BN197" s="3851"/>
      <c r="BO197" s="3874"/>
      <c r="BP197" s="3874"/>
      <c r="BQ197" s="3874"/>
      <c r="BR197" s="3874"/>
      <c r="BS197" s="3874"/>
      <c r="BT197" s="3874"/>
      <c r="BU197" s="3874"/>
      <c r="BV197" s="3874"/>
      <c r="BW197" s="3874"/>
      <c r="BX197" s="3874"/>
      <c r="BY197" s="3874"/>
      <c r="BZ197" s="3874"/>
      <c r="CA197" s="3874"/>
      <c r="CB197" s="3874"/>
      <c r="CC197" s="3874"/>
      <c r="CD197" s="3874"/>
      <c r="CE197" s="3874"/>
      <c r="CF197" s="3874"/>
      <c r="CG197" s="3874"/>
      <c r="CH197" s="3874"/>
      <c r="CI197" s="3874"/>
      <c r="CJ197" s="3874"/>
      <c r="CK197" s="3874"/>
      <c r="CL197" s="3874"/>
      <c r="CM197" s="3874"/>
      <c r="CN197" s="3874"/>
      <c r="CO197" s="3874"/>
      <c r="CP197" s="3874"/>
    </row>
    <row r="198" spans="1:94">
      <c r="B198" s="3656"/>
      <c r="C198" s="3901"/>
      <c r="D198" s="1886" t="s">
        <v>5034</v>
      </c>
      <c r="E198" s="1882">
        <f t="shared" ref="E198:K198" si="51">SUM(E182:E197)</f>
        <v>-2406776.2399999998</v>
      </c>
      <c r="F198" s="3295">
        <f t="shared" si="51"/>
        <v>0</v>
      </c>
      <c r="G198" s="1898">
        <f t="shared" si="51"/>
        <v>0</v>
      </c>
      <c r="H198" s="1898">
        <f t="shared" si="51"/>
        <v>0</v>
      </c>
      <c r="I198" s="1898">
        <f t="shared" si="51"/>
        <v>0</v>
      </c>
      <c r="J198" s="4083">
        <f t="shared" si="51"/>
        <v>-2406776.2399999998</v>
      </c>
      <c r="K198" s="1882">
        <f t="shared" si="51"/>
        <v>-2836751.0400000005</v>
      </c>
      <c r="L198" s="1899"/>
      <c r="M198" s="1882">
        <f>SUM(M182:M197)</f>
        <v>-2836751.0400000005</v>
      </c>
      <c r="N198" s="3922"/>
      <c r="O198" s="3920"/>
      <c r="P198" s="3969"/>
      <c r="Q198" s="3849">
        <v>0</v>
      </c>
      <c r="R198" s="3851">
        <v>-132065.44</v>
      </c>
      <c r="S198" s="3851">
        <v>-34542.480000000003</v>
      </c>
      <c r="T198" s="3851">
        <v>-148005.37000000002</v>
      </c>
      <c r="U198" s="3851"/>
      <c r="V198" s="3851"/>
      <c r="W198" s="3851"/>
      <c r="X198" s="3851"/>
      <c r="Y198" s="3851"/>
      <c r="Z198" s="3851"/>
      <c r="AA198" s="3851"/>
      <c r="AB198" s="3851"/>
      <c r="AC198" s="3851"/>
      <c r="AD198" s="3851"/>
      <c r="AE198" s="3851"/>
      <c r="AF198" s="3851"/>
      <c r="AG198" s="3851"/>
      <c r="AH198" s="3851"/>
      <c r="AI198" s="3851"/>
      <c r="AJ198" s="3851"/>
      <c r="AL198" s="3851"/>
      <c r="AM198" s="3851"/>
      <c r="AN198" s="3851"/>
      <c r="AO198" s="3851"/>
      <c r="AP198" s="3851"/>
      <c r="AQ198" s="3851"/>
      <c r="AR198" s="3851"/>
      <c r="AS198" s="3851"/>
      <c r="AT198" s="3851"/>
      <c r="AU198" s="3851"/>
      <c r="AV198" s="3851"/>
      <c r="AW198" s="3874"/>
      <c r="AX198" s="3851"/>
      <c r="AY198" s="3851"/>
      <c r="AZ198" s="3851"/>
      <c r="BA198" s="3874"/>
      <c r="BB198" s="1850"/>
      <c r="BC198" s="3874"/>
      <c r="BD198" s="3851"/>
      <c r="BE198" s="3843"/>
      <c r="BF198" s="3851"/>
      <c r="BG198" s="3851"/>
      <c r="BH198" s="3851"/>
      <c r="BI198" s="3851"/>
      <c r="BJ198" s="3851"/>
      <c r="BK198" s="3874"/>
      <c r="BL198" s="1850"/>
      <c r="BM198" s="3851"/>
      <c r="BN198" s="3851"/>
      <c r="BO198" s="3874"/>
      <c r="BP198" s="3874"/>
      <c r="BQ198" s="3874"/>
      <c r="BR198" s="3874"/>
      <c r="BS198" s="3874"/>
      <c r="BT198" s="3874"/>
      <c r="BU198" s="3874"/>
      <c r="BV198" s="3874"/>
      <c r="BW198" s="3874"/>
      <c r="BX198" s="3874"/>
      <c r="BY198" s="3874"/>
      <c r="BZ198" s="3874"/>
      <c r="CA198" s="3874"/>
      <c r="CB198" s="3874"/>
      <c r="CC198" s="3874"/>
      <c r="CD198" s="3874"/>
      <c r="CE198" s="3874"/>
      <c r="CF198" s="3874"/>
      <c r="CG198" s="3874"/>
      <c r="CH198" s="3874"/>
      <c r="CI198" s="3874"/>
      <c r="CJ198" s="3874"/>
      <c r="CK198" s="3874"/>
      <c r="CL198" s="3874"/>
      <c r="CM198" s="3874"/>
      <c r="CN198" s="3874"/>
      <c r="CO198" s="3874"/>
      <c r="CP198" s="3874"/>
    </row>
    <row r="199" spans="1:94">
      <c r="B199" s="3656"/>
      <c r="C199" s="3901"/>
      <c r="D199" s="1854"/>
      <c r="E199" s="3873"/>
      <c r="K199" s="3875"/>
      <c r="L199" s="3874"/>
      <c r="M199" s="3875"/>
      <c r="N199" s="3922"/>
      <c r="O199" s="3920"/>
      <c r="P199" s="3969"/>
      <c r="Q199" s="1896" t="s">
        <v>2540</v>
      </c>
      <c r="R199" s="1896" t="s">
        <v>2541</v>
      </c>
      <c r="S199" s="1896" t="s">
        <v>2642</v>
      </c>
      <c r="T199" s="1896" t="s">
        <v>2835</v>
      </c>
      <c r="U199" s="1896" t="s">
        <v>2966</v>
      </c>
      <c r="V199" s="1896" t="s">
        <v>3034</v>
      </c>
      <c r="W199" s="1896" t="s">
        <v>3566</v>
      </c>
      <c r="X199" s="1896" t="s">
        <v>3567</v>
      </c>
      <c r="Y199" s="1896" t="s">
        <v>3568</v>
      </c>
      <c r="Z199" s="1896" t="s">
        <v>3565</v>
      </c>
      <c r="AA199" s="1896" t="s">
        <v>3635</v>
      </c>
      <c r="AB199" s="1896" t="s">
        <v>3719</v>
      </c>
      <c r="AC199" s="1896" t="s">
        <v>3890</v>
      </c>
      <c r="AD199" s="1896" t="s">
        <v>3986</v>
      </c>
      <c r="AE199" s="1896" t="s">
        <v>4115</v>
      </c>
      <c r="AF199" s="1896" t="s">
        <v>4263</v>
      </c>
      <c r="AG199" s="1896" t="s">
        <v>4370</v>
      </c>
      <c r="AH199" s="1896" t="s">
        <v>4569</v>
      </c>
      <c r="AI199" s="1896"/>
      <c r="AJ199" s="1896"/>
      <c r="AL199" s="1896"/>
      <c r="AM199" s="1896"/>
      <c r="AN199" s="1896"/>
      <c r="AO199" s="1896"/>
      <c r="AP199" s="1896"/>
      <c r="AQ199" s="3849" t="s">
        <v>3315</v>
      </c>
      <c r="AR199" s="1896" t="s">
        <v>3214</v>
      </c>
      <c r="AS199" s="3851"/>
      <c r="AU199" s="3849"/>
      <c r="AV199" s="3849"/>
      <c r="AW199" s="3849"/>
      <c r="AX199" s="3849"/>
      <c r="AY199" s="3849"/>
      <c r="AZ199" s="3849"/>
      <c r="BA199" s="3849"/>
      <c r="BB199" s="3849"/>
      <c r="BC199" s="3849"/>
      <c r="BD199" s="3849"/>
      <c r="BE199" s="3849"/>
      <c r="BF199" s="3849"/>
      <c r="BG199" s="3851"/>
      <c r="BH199" s="3851"/>
      <c r="BI199" s="3851"/>
      <c r="BJ199" s="3851"/>
      <c r="BK199" s="3874"/>
      <c r="BL199" s="1850"/>
      <c r="BM199" s="3851"/>
      <c r="BN199" s="3851"/>
      <c r="BO199" s="3874"/>
      <c r="BP199" s="3874"/>
      <c r="BQ199" s="3874"/>
      <c r="BR199" s="3874"/>
      <c r="BS199" s="3874"/>
      <c r="BT199" s="3874"/>
      <c r="BU199" s="3874"/>
      <c r="BV199" s="3874"/>
      <c r="BW199" s="3874"/>
      <c r="BX199" s="3874"/>
      <c r="BY199" s="3874"/>
      <c r="BZ199" s="3874"/>
      <c r="CA199" s="3874"/>
      <c r="CB199" s="3874"/>
      <c r="CC199" s="3874"/>
      <c r="CD199" s="3874"/>
      <c r="CE199" s="3874"/>
      <c r="CF199" s="3874"/>
      <c r="CG199" s="3874"/>
      <c r="CH199" s="3874"/>
      <c r="CI199" s="3874"/>
      <c r="CJ199" s="3874"/>
      <c r="CK199" s="3874"/>
      <c r="CL199" s="3874"/>
      <c r="CM199" s="3874"/>
      <c r="CN199" s="3874"/>
      <c r="CO199" s="3874"/>
      <c r="CP199" s="3874"/>
    </row>
    <row r="200" spans="1:94">
      <c r="B200" s="3656"/>
      <c r="C200" s="3901"/>
      <c r="D200" s="1897" t="s">
        <v>251</v>
      </c>
      <c r="J200" s="3845"/>
      <c r="K200" s="4004"/>
      <c r="L200" s="3874"/>
      <c r="M200" s="3875"/>
      <c r="N200" s="3922"/>
      <c r="O200" s="3920"/>
      <c r="P200" s="3969"/>
      <c r="Q200" s="2814"/>
      <c r="R200" s="2814"/>
      <c r="S200" s="2814"/>
      <c r="T200" s="2814"/>
      <c r="U200" s="2814"/>
      <c r="V200" s="3837"/>
      <c r="W200" s="3837"/>
      <c r="X200" s="3837"/>
      <c r="Y200" s="3837"/>
      <c r="Z200" s="3837"/>
      <c r="AA200" s="3837"/>
      <c r="AB200" s="3837"/>
      <c r="AC200" s="3837"/>
      <c r="AD200" s="3837"/>
      <c r="AE200" s="3837"/>
      <c r="AF200" s="3837"/>
      <c r="AG200" s="3837"/>
      <c r="AH200" s="3837"/>
      <c r="AI200" s="3837"/>
      <c r="AJ200" s="3837"/>
      <c r="AL200" s="3837"/>
      <c r="AM200" s="3837"/>
      <c r="AN200" s="3837"/>
      <c r="AO200" s="3837"/>
      <c r="AP200" s="3837"/>
      <c r="AQ200" s="3837"/>
      <c r="AR200" s="3851"/>
      <c r="AS200" s="3851"/>
      <c r="AU200" s="3849"/>
      <c r="AV200" s="3849"/>
      <c r="AW200" s="3849"/>
      <c r="AX200" s="3849"/>
      <c r="AY200" s="3849"/>
      <c r="AZ200" s="3849"/>
      <c r="BA200" s="3849"/>
      <c r="BB200" s="3849"/>
      <c r="BC200" s="3849"/>
      <c r="BD200" s="3849"/>
      <c r="BE200" s="3849"/>
      <c r="BF200" s="3849"/>
      <c r="BG200" s="4005"/>
      <c r="BH200" s="3851"/>
      <c r="BI200" s="3851"/>
      <c r="BJ200" s="3851"/>
      <c r="BK200" s="3874"/>
      <c r="BL200" s="3851"/>
      <c r="BM200" s="3851"/>
      <c r="BN200" s="3851"/>
      <c r="BO200" s="3874"/>
      <c r="BP200" s="3874"/>
      <c r="BQ200" s="3874"/>
      <c r="BR200" s="3874"/>
      <c r="BS200" s="3874"/>
      <c r="BT200" s="3874"/>
      <c r="BU200" s="3874"/>
      <c r="BV200" s="3874"/>
      <c r="BW200" s="3874"/>
      <c r="BX200" s="3874"/>
      <c r="BY200" s="3874"/>
      <c r="BZ200" s="3874"/>
      <c r="CA200" s="3874"/>
      <c r="CB200" s="3874"/>
      <c r="CC200" s="3874"/>
      <c r="CD200" s="3874"/>
      <c r="CE200" s="3874"/>
      <c r="CF200" s="3874"/>
      <c r="CG200" s="3874"/>
      <c r="CH200" s="3874"/>
      <c r="CI200" s="3874"/>
      <c r="CJ200" s="3874"/>
      <c r="CK200" s="3874"/>
      <c r="CL200" s="3874"/>
      <c r="CM200" s="3874"/>
      <c r="CN200" s="3874"/>
      <c r="CO200" s="3874"/>
      <c r="CP200" s="3874"/>
    </row>
    <row r="201" spans="1:94">
      <c r="B201" s="3656"/>
      <c r="C201" s="3936"/>
      <c r="D201" s="4006"/>
      <c r="J201" s="3845"/>
      <c r="K201" s="4004"/>
      <c r="L201" s="3874"/>
      <c r="M201" s="3875"/>
      <c r="N201" s="3922"/>
      <c r="O201" s="3920"/>
      <c r="P201" s="3969"/>
      <c r="Q201" s="3849">
        <v>0</v>
      </c>
      <c r="R201" s="3851">
        <v>0</v>
      </c>
      <c r="S201" s="3851">
        <v>-34631.390000000014</v>
      </c>
      <c r="T201" s="3851">
        <v>34631.390000000014</v>
      </c>
      <c r="U201" s="3851">
        <v>0</v>
      </c>
      <c r="V201" s="3851">
        <v>0</v>
      </c>
      <c r="W201" s="3851"/>
      <c r="X201" s="3851"/>
      <c r="Y201" s="3851"/>
      <c r="Z201" s="3851"/>
      <c r="AA201" s="3851"/>
      <c r="AB201" s="3851"/>
      <c r="AC201" s="3851"/>
      <c r="AD201" s="3851"/>
      <c r="AE201" s="3851"/>
      <c r="AF201" s="3851"/>
      <c r="AG201" s="3851"/>
      <c r="AH201" s="3851"/>
      <c r="AI201" s="3851"/>
      <c r="AJ201" s="3851"/>
      <c r="AL201" s="3851"/>
      <c r="AM201" s="3851"/>
      <c r="AN201" s="3851"/>
      <c r="AO201" s="3851"/>
      <c r="AP201" s="3851"/>
      <c r="AQ201" s="3851"/>
      <c r="AR201" s="3851"/>
      <c r="AS201" s="3851"/>
      <c r="AU201" s="3849"/>
      <c r="AV201" s="3849"/>
      <c r="AW201" s="3849"/>
      <c r="AX201" s="3849"/>
      <c r="AY201" s="3849"/>
      <c r="AZ201" s="3849"/>
      <c r="BA201" s="3849"/>
      <c r="BB201" s="3849"/>
      <c r="BC201" s="3849"/>
      <c r="BD201" s="3849"/>
      <c r="BE201" s="3849"/>
      <c r="BF201" s="3849"/>
      <c r="BG201" s="4007"/>
      <c r="BH201" s="4007"/>
      <c r="BI201" s="4007"/>
      <c r="BJ201" s="4007"/>
      <c r="BK201" s="4007"/>
      <c r="BL201" s="4007"/>
      <c r="BM201" s="4007"/>
      <c r="BO201" s="4007"/>
      <c r="BP201" s="4007"/>
      <c r="BQ201" s="4007"/>
      <c r="BR201" s="4007"/>
      <c r="BS201" s="4007"/>
      <c r="BT201" s="4007"/>
      <c r="BV201" s="3843"/>
    </row>
    <row r="202" spans="1:94">
      <c r="B202" s="3914"/>
      <c r="C202" s="3936"/>
      <c r="D202" s="1900" t="s">
        <v>219</v>
      </c>
      <c r="J202" s="3845"/>
      <c r="K202" s="4004"/>
      <c r="L202" s="3875"/>
      <c r="M202" s="4004"/>
      <c r="N202" s="3922"/>
      <c r="O202" s="3920"/>
      <c r="P202" s="3969"/>
      <c r="Q202" s="3849">
        <v>0</v>
      </c>
      <c r="R202" s="3851">
        <v>0</v>
      </c>
      <c r="S202" s="3851">
        <v>0</v>
      </c>
      <c r="T202" s="3851">
        <v>0</v>
      </c>
      <c r="U202" s="3851">
        <v>0</v>
      </c>
      <c r="V202" s="3851"/>
      <c r="W202" s="3851"/>
      <c r="X202" s="3851"/>
      <c r="Y202" s="3851"/>
      <c r="Z202" s="3851"/>
      <c r="AA202" s="3851"/>
      <c r="AB202" s="3851"/>
      <c r="AC202" s="3851"/>
      <c r="AD202" s="3851"/>
      <c r="AE202" s="3851"/>
      <c r="AF202" s="3851"/>
      <c r="AG202" s="3851"/>
      <c r="AH202" s="3851"/>
      <c r="AI202" s="3851"/>
      <c r="AJ202" s="3851"/>
      <c r="AL202" s="3851"/>
      <c r="AM202" s="3851"/>
      <c r="AN202" s="3851"/>
      <c r="AO202" s="3851"/>
      <c r="AP202" s="3851"/>
      <c r="AQ202" s="3851"/>
      <c r="AR202" s="3851"/>
      <c r="AS202" s="3851"/>
      <c r="AU202" s="3849"/>
      <c r="AV202" s="3849"/>
      <c r="AW202" s="3849"/>
      <c r="AX202" s="3849"/>
      <c r="AY202" s="3849"/>
      <c r="AZ202" s="3849"/>
      <c r="BA202" s="3849"/>
      <c r="BB202" s="3849"/>
      <c r="BC202" s="3849"/>
      <c r="BD202" s="3849"/>
      <c r="BE202" s="3849"/>
      <c r="BF202" s="3849"/>
      <c r="BG202" s="3874"/>
      <c r="BH202" s="3874"/>
      <c r="BI202" s="3874"/>
      <c r="BJ202" s="3874"/>
      <c r="BK202" s="3874"/>
      <c r="BL202" s="3874"/>
      <c r="BM202" s="3874"/>
      <c r="BO202" s="3874"/>
      <c r="BP202" s="3874"/>
      <c r="BQ202" s="3874"/>
      <c r="BR202" s="3874"/>
      <c r="BS202" s="3874"/>
      <c r="BT202" s="3874"/>
      <c r="BV202" s="3843"/>
    </row>
    <row r="203" spans="1:94">
      <c r="A203" s="3857"/>
      <c r="B203" s="3966" t="s">
        <v>1070</v>
      </c>
      <c r="C203" s="3901">
        <v>5200001</v>
      </c>
      <c r="D203" s="4008" t="s">
        <v>1637</v>
      </c>
      <c r="E203" s="3844">
        <f>IFERROR(VLOOKUP(C203,'פ.נ. צרפת'!$D$129:$F$1048576,3,0),)</f>
        <v>435716.11</v>
      </c>
      <c r="F203" s="3843">
        <f>SUMIF('פ.נ. צרפת'!$C:$C,$C:$C,'פ.נ. צרפת'!$E:$E)</f>
        <v>0</v>
      </c>
      <c r="G203" s="3882"/>
      <c r="H203" s="3884"/>
      <c r="I203" s="3882"/>
      <c r="J203" s="4009">
        <f>SUM(E203:I203)</f>
        <v>435716.11</v>
      </c>
      <c r="K203" s="3931">
        <f>M203+SUMIF('פ.נ. צרפת'!$C:$C,$C:$C,'פ.נ. צרפת'!$F:$F)</f>
        <v>517091.74</v>
      </c>
      <c r="L203" s="3845"/>
      <c r="M203" s="3931">
        <f>IFERROR(VLOOKUP(C203,'פ.נ. צרפת'!$D$129:$G$1048576,4,0),"")</f>
        <v>517091.74</v>
      </c>
      <c r="N203" s="3877">
        <f>IF(K203=0,"-",J203/K203)</f>
        <v>0.84262825393420515</v>
      </c>
      <c r="O203" s="3920"/>
      <c r="P203" s="3969" t="s">
        <v>2257</v>
      </c>
      <c r="Q203" s="3849">
        <v>44552.42</v>
      </c>
      <c r="R203" s="3851">
        <v>45431.17</v>
      </c>
      <c r="S203" s="3851">
        <v>0</v>
      </c>
      <c r="T203" s="3851">
        <v>88772.57</v>
      </c>
      <c r="U203" s="3851">
        <v>45211.850000000006</v>
      </c>
      <c r="V203" s="3851">
        <v>46294.890000000014</v>
      </c>
      <c r="W203" s="3851">
        <f>'[26]מאזן בוחן צרפת'!W182</f>
        <v>45691.79</v>
      </c>
      <c r="X203" s="3851">
        <f>'[27]מאזן בוחן צרפת'!X182</f>
        <v>61373.63</v>
      </c>
      <c r="Y203" s="3851">
        <f>'[28]מאזן בוחן צרפת'!Y182</f>
        <v>45164.259999999995</v>
      </c>
      <c r="Z203" s="3851">
        <f>'[29]מאזן בוחן צרפת'!Z183</f>
        <v>46935.53</v>
      </c>
      <c r="AA203" s="3851">
        <f>'[30]מאזן בוחן צרפת'!AA184</f>
        <v>58270.649999999994</v>
      </c>
      <c r="AB203" s="3851">
        <f>'[31]מאזן בוחן צרפת'!AB186</f>
        <v>31535.910000000033</v>
      </c>
      <c r="AC203" s="3851">
        <v>34603.589999999967</v>
      </c>
      <c r="AD203" s="3851">
        <v>46573.81</v>
      </c>
      <c r="AE203" s="3851">
        <v>46094.929999999993</v>
      </c>
      <c r="AF203" s="3851">
        <v>45745.910000000033</v>
      </c>
      <c r="AG203" s="3851">
        <v>26413.440000000002</v>
      </c>
      <c r="AH203" s="3851">
        <f>$K203-SUM($W203:AG203)</f>
        <v>28688.289999999979</v>
      </c>
      <c r="AI203" s="3851"/>
      <c r="AJ203" s="3851" t="s">
        <v>4534</v>
      </c>
      <c r="AL203" s="3851"/>
      <c r="AM203" s="3851" t="s">
        <v>3987</v>
      </c>
      <c r="AN203" s="3851"/>
      <c r="AO203" s="3851" t="s">
        <v>3641</v>
      </c>
      <c r="AP203" s="3851"/>
      <c r="AQ203" s="3851" t="s">
        <v>3316</v>
      </c>
      <c r="AR203" s="3851"/>
      <c r="AS203" s="3851"/>
      <c r="AU203" s="3849"/>
      <c r="AV203" s="3849"/>
      <c r="AW203" s="3849"/>
      <c r="AX203" s="3849"/>
      <c r="AY203" s="3849"/>
      <c r="AZ203" s="3849"/>
      <c r="BA203" s="3849"/>
      <c r="BB203" s="3849"/>
      <c r="BC203" s="3849"/>
      <c r="BD203" s="3849"/>
      <c r="BE203" s="3849"/>
      <c r="BF203" s="3849"/>
      <c r="BG203" s="3851"/>
      <c r="BH203" s="3851"/>
      <c r="BI203" s="1850"/>
      <c r="BJ203" s="3851"/>
      <c r="BK203" s="3851"/>
      <c r="BL203" s="3874"/>
      <c r="BM203" s="3874"/>
    </row>
    <row r="204" spans="1:94">
      <c r="A204" s="3857"/>
      <c r="B204" s="3966" t="s">
        <v>1070</v>
      </c>
      <c r="C204" s="3901">
        <v>5200003</v>
      </c>
      <c r="D204" s="4008" t="s">
        <v>1734</v>
      </c>
      <c r="E204" s="3844">
        <f>IFERROR(VLOOKUP(C204,'פ.נ. צרפת'!$D$129:$F$1048576,3,0),)</f>
        <v>9063</v>
      </c>
      <c r="F204" s="3843">
        <f>SUMIF('פ.נ. צרפת'!$C:$C,$C:$C,'פ.נ. צרפת'!$E:$E)</f>
        <v>0</v>
      </c>
      <c r="G204" s="3882"/>
      <c r="H204" s="3884"/>
      <c r="I204" s="3882"/>
      <c r="J204" s="4009">
        <f>SUM(E204:I204)</f>
        <v>9063</v>
      </c>
      <c r="K204" s="3931">
        <f>M204+SUMIF('פ.נ. צרפת'!$C:$C,$C:$C,'פ.נ. צרפת'!$F:$F)</f>
        <v>10257.51</v>
      </c>
      <c r="L204" s="3845"/>
      <c r="M204" s="3931">
        <f>IFERROR(VLOOKUP(C204,'פ.נ. צרפת'!$D$129:$G$1048576,4,0),"")</f>
        <v>10257.51</v>
      </c>
      <c r="N204" s="3877">
        <f>IF(K204=0,"-",J204/K204)</f>
        <v>0.88354776159126336</v>
      </c>
      <c r="O204" s="3920"/>
      <c r="P204" s="3969"/>
      <c r="R204" s="3851"/>
      <c r="S204" s="3851">
        <v>0</v>
      </c>
      <c r="T204" s="3851">
        <v>22166.81</v>
      </c>
      <c r="U204" s="3851">
        <v>0</v>
      </c>
      <c r="V204" s="3851">
        <v>5913.0099999999984</v>
      </c>
      <c r="W204" s="3851">
        <f>'[26]מאזן בוחן צרפת'!W183</f>
        <v>0</v>
      </c>
      <c r="X204" s="3851">
        <f>'[27]מאזן בוחן צרפת'!X183</f>
        <v>-85.46</v>
      </c>
      <c r="Y204" s="3851">
        <f>'[28]מאזן בוחן צרפת'!Y183</f>
        <v>7312.5</v>
      </c>
      <c r="Z204" s="3851">
        <f>'[29]מאזן בוחן צרפת'!Z184</f>
        <v>0</v>
      </c>
      <c r="AA204" s="3851">
        <f>'[30]מאזן בוחן צרפת'!AA185</f>
        <v>0</v>
      </c>
      <c r="AB204" s="3851">
        <f>'[31]מאזן בוחן צרפת'!AB187</f>
        <v>7406.05</v>
      </c>
      <c r="AC204" s="3851">
        <v>0</v>
      </c>
      <c r="AD204" s="3851">
        <v>0</v>
      </c>
      <c r="AE204" s="3851">
        <v>7209.3100000000013</v>
      </c>
      <c r="AF204" s="3851">
        <v>0</v>
      </c>
      <c r="AG204" s="3851">
        <v>0</v>
      </c>
      <c r="AH204" s="3851">
        <f>$K204-SUM($W204:AG204)</f>
        <v>-11584.890000000001</v>
      </c>
      <c r="AI204" s="3851"/>
      <c r="AJ204" s="3851"/>
      <c r="AK204" s="3851"/>
      <c r="AL204" s="3851"/>
      <c r="AM204" s="3851"/>
      <c r="AN204" s="3851"/>
      <c r="AO204" s="3851"/>
      <c r="AP204" s="3851"/>
      <c r="AQ204" s="3851"/>
      <c r="AR204" s="3851"/>
      <c r="AS204" s="3851"/>
      <c r="AU204" s="3849"/>
      <c r="AV204" s="3849"/>
      <c r="AW204" s="3849"/>
      <c r="AX204" s="3849"/>
      <c r="AY204" s="3849"/>
      <c r="AZ204" s="3849"/>
      <c r="BA204" s="3849"/>
      <c r="BB204" s="3849"/>
      <c r="BC204" s="3849"/>
      <c r="BD204" s="3849"/>
      <c r="BE204" s="3849"/>
      <c r="BF204" s="3849"/>
      <c r="BG204" s="3851"/>
      <c r="BH204" s="3851"/>
      <c r="BI204" s="1850"/>
      <c r="BJ204" s="3851"/>
      <c r="BK204" s="3851"/>
      <c r="BL204" s="3874"/>
      <c r="BM204" s="3874"/>
    </row>
    <row r="205" spans="1:94">
      <c r="A205" s="3857"/>
      <c r="B205" s="3659" t="s">
        <v>1070</v>
      </c>
      <c r="C205" s="3901">
        <v>5200011</v>
      </c>
      <c r="D205" s="4008" t="s">
        <v>3317</v>
      </c>
      <c r="E205" s="3844">
        <f>IFERROR(VLOOKUP(C205,'פ.נ. צרפת'!$D$129:$F$1048576,3,0),)</f>
        <v>-42117.53</v>
      </c>
      <c r="F205" s="3843">
        <f>SUMIF('פ.נ. צרפת'!$C:$C,$C:$C,'פ.נ. צרפת'!$E:$E)</f>
        <v>0</v>
      </c>
      <c r="G205" s="3882"/>
      <c r="H205" s="3884"/>
      <c r="I205" s="3882"/>
      <c r="J205" s="3844">
        <f>SUM(E205:I205)</f>
        <v>-42117.53</v>
      </c>
      <c r="K205" s="3931">
        <f>M205+SUMIF('פ.נ. צרפת'!$C:$C,$C:$C,'פ.נ. צרפת'!$F:$F)</f>
        <v>-55270.87</v>
      </c>
      <c r="L205" s="3845"/>
      <c r="M205" s="3931">
        <f>IFERROR(VLOOKUP(C205,'פ.נ. צרפת'!$D$129:$G$1048576,4,0),"")</f>
        <v>-55270.87</v>
      </c>
      <c r="N205" s="3877">
        <f>IF(K205=0,"-",J205/K205)</f>
        <v>0.76202039157335499</v>
      </c>
      <c r="O205" s="3920"/>
      <c r="P205" s="3969" t="s">
        <v>2974</v>
      </c>
      <c r="R205" s="3851"/>
      <c r="S205" s="3851">
        <v>0</v>
      </c>
      <c r="T205" s="3851">
        <v>0</v>
      </c>
      <c r="U205" s="3851">
        <v>0</v>
      </c>
      <c r="V205" s="3851">
        <v>0</v>
      </c>
      <c r="W205" s="3851">
        <f>'[26]מאזן בוחן צרפת'!W184</f>
        <v>0</v>
      </c>
      <c r="X205" s="3851">
        <f>'[27]מאזן בוחן צרפת'!X184</f>
        <v>-12332</v>
      </c>
      <c r="Y205" s="3851">
        <f>'[28]מאזן בוחן צרפת'!Y184</f>
        <v>-4947.4799999999996</v>
      </c>
      <c r="Z205" s="3851">
        <f>'[29]מאזן בוחן צרפת'!Z185</f>
        <v>0</v>
      </c>
      <c r="AA205" s="3851">
        <f>'[30]מאזן בוחן צרפת'!AA186</f>
        <v>0</v>
      </c>
      <c r="AB205" s="3851">
        <f>'[31]מאזן בוחן צרפת'!AB188</f>
        <v>5280.75</v>
      </c>
      <c r="AC205" s="3851">
        <v>0</v>
      </c>
      <c r="AD205" s="3851">
        <v>0</v>
      </c>
      <c r="AE205" s="3851">
        <v>1831.0900000000001</v>
      </c>
      <c r="AF205" s="3851">
        <v>0</v>
      </c>
      <c r="AG205" s="3851">
        <v>0</v>
      </c>
      <c r="AH205" s="3851">
        <f>$K205-SUM($W205:AG205)</f>
        <v>-45103.23</v>
      </c>
      <c r="AI205" s="3851"/>
      <c r="AJ205" s="3851"/>
      <c r="AK205" s="3851"/>
      <c r="AL205" s="3851"/>
      <c r="AM205" s="3851"/>
      <c r="AN205" s="3851"/>
      <c r="AO205" s="3851"/>
      <c r="AP205" s="3851"/>
      <c r="AQ205" s="3851"/>
      <c r="AR205" s="3851"/>
      <c r="AS205" s="3851"/>
      <c r="AU205" s="3849"/>
      <c r="AV205" s="3849"/>
      <c r="AW205" s="3849"/>
      <c r="AX205" s="3849"/>
      <c r="AY205" s="3849"/>
      <c r="AZ205" s="3849"/>
      <c r="BA205" s="3849"/>
      <c r="BB205" s="3849"/>
      <c r="BC205" s="3849"/>
      <c r="BD205" s="3849"/>
      <c r="BE205" s="3849"/>
      <c r="BF205" s="3849"/>
      <c r="BG205" s="3851"/>
      <c r="BH205" s="3851"/>
      <c r="BI205" s="1850"/>
      <c r="BJ205" s="3851"/>
      <c r="BK205" s="3851"/>
      <c r="BL205" s="3874"/>
      <c r="BM205" s="3874"/>
    </row>
    <row r="206" spans="1:94">
      <c r="A206" s="3857"/>
      <c r="B206" s="3966" t="s">
        <v>1070</v>
      </c>
      <c r="C206" s="3901">
        <v>5200002</v>
      </c>
      <c r="D206" s="4008" t="s">
        <v>1736</v>
      </c>
      <c r="E206" s="3844">
        <f>IFERROR(VLOOKUP(C206,'פ.נ. צרפת'!$D$129:$F$1048576,3,0),)</f>
        <v>9839.94</v>
      </c>
      <c r="F206" s="3843">
        <f>SUMIF('פ.נ. צרפת'!$C:$C,$C:$C,'פ.נ. צרפת'!$E:$E)</f>
        <v>0</v>
      </c>
      <c r="G206" s="3882"/>
      <c r="H206" s="3884"/>
      <c r="I206" s="3882"/>
      <c r="J206" s="3844">
        <f>SUM(E206:I206)</f>
        <v>9839.94</v>
      </c>
      <c r="K206" s="3931">
        <f>M206+SUMIF('פ.נ. צרפת'!$C:$C,$C:$C,'פ.נ. צרפת'!$F:$F)</f>
        <v>11411.09</v>
      </c>
      <c r="L206" s="3845"/>
      <c r="M206" s="3931">
        <f>IFERROR(VLOOKUP(C206,'פ.נ. צרפת'!$D$129:$G$1048576,4,0),"")</f>
        <v>11411.09</v>
      </c>
      <c r="N206" s="3877">
        <f>IF(K206=0,"-",J206/K206)</f>
        <v>0.86231376669538151</v>
      </c>
      <c r="O206" s="3920"/>
      <c r="P206" s="3969">
        <f>J203+J204+J210+J213+J253+J255+J256+J257+J260+J264+J274+J272+J276+J281+J289+J291+J292+J294+J299+J205+J206+J207+J254+J258+J273+J277+J275+J290+J293+J295</f>
        <v>1561181.0699999998</v>
      </c>
      <c r="Q206" s="3849">
        <v>0</v>
      </c>
      <c r="R206" s="3851">
        <v>0</v>
      </c>
      <c r="S206" s="3851">
        <v>44132.51999999999</v>
      </c>
      <c r="T206" s="3851">
        <v>-44132.51999999999</v>
      </c>
      <c r="U206" s="3851">
        <v>0</v>
      </c>
      <c r="V206" s="3851">
        <v>0</v>
      </c>
      <c r="W206" s="3851">
        <f>'[26]מאזן בוחן צרפת'!W185</f>
        <v>0</v>
      </c>
      <c r="X206" s="3851">
        <f>'[27]מאזן בוחן צרפת'!X185</f>
        <v>0</v>
      </c>
      <c r="Y206" s="3851">
        <f>'[28]מאזן בוחן צרפת'!Y185</f>
        <v>395.49</v>
      </c>
      <c r="Z206" s="3851">
        <f>'[29]מאזן בוחן צרפת'!Z186</f>
        <v>406.63</v>
      </c>
      <c r="AA206" s="3851">
        <f>'[30]מאזן בוחן צרפת'!AA187</f>
        <v>411.15</v>
      </c>
      <c r="AB206" s="3851">
        <f>'[31]מאזן בוחן צרפת'!AB189</f>
        <v>5774.1200000000008</v>
      </c>
      <c r="AC206" s="3851">
        <v>-2821.5800000000008</v>
      </c>
      <c r="AD206" s="3851">
        <v>396.81999999999971</v>
      </c>
      <c r="AE206" s="3851">
        <v>0</v>
      </c>
      <c r="AF206" s="3851">
        <v>0</v>
      </c>
      <c r="AG206" s="3851">
        <v>0</v>
      </c>
      <c r="AH206" s="3851">
        <f>$K206-SUM($W206:AG206)</f>
        <v>6848.46</v>
      </c>
      <c r="AI206" s="3851"/>
      <c r="AJ206" s="3851"/>
      <c r="AK206" s="3851"/>
      <c r="AL206" s="3851"/>
      <c r="AM206" s="3851"/>
      <c r="AN206" s="3851"/>
      <c r="AO206" s="3851"/>
      <c r="AP206" s="3851"/>
      <c r="AQ206" s="3851"/>
      <c r="AR206" s="3851"/>
      <c r="AS206" s="3851"/>
      <c r="AU206" s="3849"/>
      <c r="AV206" s="3849"/>
      <c r="AW206" s="3849"/>
      <c r="AX206" s="3849"/>
      <c r="AY206" s="3849"/>
      <c r="AZ206" s="3849"/>
      <c r="BA206" s="3849"/>
      <c r="BB206" s="3849"/>
      <c r="BC206" s="3849"/>
      <c r="BD206" s="3849"/>
      <c r="BE206" s="3849"/>
      <c r="BF206" s="3849"/>
      <c r="BG206" s="3851"/>
      <c r="BH206" s="3851"/>
      <c r="BI206" s="1850"/>
      <c r="BJ206" s="3851"/>
      <c r="BK206" s="3851"/>
      <c r="BL206" s="3874"/>
      <c r="BM206" s="3874"/>
    </row>
    <row r="207" spans="1:94">
      <c r="A207" s="3857"/>
      <c r="B207" s="3966" t="s">
        <v>1070</v>
      </c>
      <c r="C207" s="3901">
        <v>5200014</v>
      </c>
      <c r="D207" s="4008" t="s">
        <v>3941</v>
      </c>
      <c r="E207" s="3844">
        <f>IFERROR(VLOOKUP(C207,'פ.נ. צרפת'!$D$129:$F$1048576,3,0),)</f>
        <v>2068.16</v>
      </c>
      <c r="F207" s="3843">
        <f>SUMIF('פ.נ. צרפת'!$C:$C,$C:$C,'פ.נ. צרפת'!$E:$E)</f>
        <v>0</v>
      </c>
      <c r="G207" s="3882"/>
      <c r="H207" s="3884"/>
      <c r="I207" s="3882"/>
      <c r="J207" s="3844">
        <f>SUM(E207:I207)</f>
        <v>2068.16</v>
      </c>
      <c r="K207" s="3931">
        <f>M207+SUMIF('פ.נ. צרפת'!$C:$C,$C:$C,'פ.נ. צרפת'!$F:$F)</f>
        <v>2462.2199999999998</v>
      </c>
      <c r="L207" s="3845"/>
      <c r="M207" s="3931">
        <f>IFERROR(VLOOKUP(C207,'פ.נ. צרפת'!$D$129:$G$1048576,4,0),"")</f>
        <v>2462.2199999999998</v>
      </c>
      <c r="N207" s="3877">
        <f>IF(K207=0,"-",J207/K207)</f>
        <v>0.83995743678469026</v>
      </c>
      <c r="O207" s="3920"/>
      <c r="P207" s="3969"/>
      <c r="R207" s="3851"/>
      <c r="S207" s="3851"/>
      <c r="T207" s="3851"/>
      <c r="U207" s="3851"/>
      <c r="V207" s="3851"/>
      <c r="W207" s="3851"/>
      <c r="X207" s="3851"/>
      <c r="Y207" s="3851"/>
      <c r="Z207" s="3851"/>
      <c r="AA207" s="3851"/>
      <c r="AB207" s="3851"/>
      <c r="AC207" s="3851"/>
      <c r="AD207" s="3851">
        <v>2462.2199999999998</v>
      </c>
      <c r="AE207" s="3851">
        <v>0</v>
      </c>
      <c r="AF207" s="3851">
        <v>0</v>
      </c>
      <c r="AG207" s="3851">
        <v>0</v>
      </c>
      <c r="AH207" s="3851">
        <f>$K207-SUM($W207:AG207)</f>
        <v>0</v>
      </c>
      <c r="AI207" s="3851"/>
      <c r="AJ207" s="3851"/>
      <c r="AK207" s="3851"/>
      <c r="AL207" s="3851"/>
      <c r="AM207" s="3851"/>
      <c r="AN207" s="3851"/>
      <c r="AO207" s="3851"/>
      <c r="AP207" s="3851"/>
      <c r="AQ207" s="3851"/>
      <c r="AR207" s="3851"/>
      <c r="AS207" s="3851"/>
      <c r="AU207" s="3849"/>
      <c r="AV207" s="3849"/>
      <c r="AW207" s="3849"/>
      <c r="AX207" s="3849"/>
      <c r="AY207" s="3849"/>
      <c r="AZ207" s="3849"/>
      <c r="BA207" s="3849"/>
      <c r="BB207" s="3849"/>
      <c r="BC207" s="3849"/>
      <c r="BD207" s="3849"/>
      <c r="BE207" s="3849"/>
      <c r="BF207" s="3849"/>
      <c r="BG207" s="3851"/>
      <c r="BH207" s="3851"/>
      <c r="BI207" s="1850"/>
      <c r="BJ207" s="3851"/>
      <c r="BK207" s="3851"/>
      <c r="BL207" s="3874"/>
      <c r="BM207" s="3874"/>
    </row>
    <row r="208" spans="1:94">
      <c r="A208" s="3857"/>
      <c r="B208" s="3966"/>
      <c r="C208" s="3901"/>
      <c r="D208" s="4008"/>
      <c r="E208" s="3844"/>
      <c r="F208" s="3843"/>
      <c r="G208" s="3882"/>
      <c r="H208" s="3884"/>
      <c r="I208" s="3882"/>
      <c r="J208" s="3844"/>
      <c r="K208" s="3931"/>
      <c r="L208" s="3845"/>
      <c r="M208" s="3931"/>
      <c r="N208" s="3877"/>
      <c r="O208" s="3920"/>
      <c r="P208" s="3969"/>
      <c r="R208" s="3851"/>
      <c r="S208" s="3851"/>
      <c r="T208" s="3851"/>
      <c r="U208" s="3851"/>
      <c r="V208" s="3851"/>
      <c r="W208" s="3851"/>
      <c r="X208" s="3851"/>
      <c r="Y208" s="3851"/>
      <c r="Z208" s="3851"/>
      <c r="AA208" s="3851"/>
      <c r="AB208" s="3851"/>
      <c r="AC208" s="3851"/>
      <c r="AD208" s="3851">
        <v>0</v>
      </c>
      <c r="AE208" s="3851">
        <v>0</v>
      </c>
      <c r="AF208" s="3851">
        <v>0</v>
      </c>
      <c r="AG208" s="3851">
        <v>0</v>
      </c>
      <c r="AH208" s="3851">
        <f>$K208-SUM($W208:AG208)</f>
        <v>0</v>
      </c>
      <c r="AI208" s="3851"/>
      <c r="AJ208" s="3851"/>
      <c r="AK208" s="3851"/>
      <c r="AL208" s="3851"/>
      <c r="AM208" s="3851"/>
      <c r="AN208" s="3851"/>
      <c r="AO208" s="3851"/>
      <c r="AP208" s="3851"/>
      <c r="AQ208" s="3851"/>
      <c r="AR208" s="3851"/>
      <c r="AS208" s="3851"/>
      <c r="AU208" s="3849"/>
      <c r="AV208" s="3849"/>
      <c r="AW208" s="3849"/>
      <c r="AX208" s="3849"/>
      <c r="AY208" s="3849"/>
      <c r="AZ208" s="3849"/>
      <c r="BA208" s="3849"/>
      <c r="BB208" s="3849"/>
      <c r="BC208" s="3849"/>
      <c r="BD208" s="3849"/>
      <c r="BE208" s="3849"/>
      <c r="BF208" s="3849"/>
      <c r="BG208" s="3851"/>
      <c r="BH208" s="3851"/>
      <c r="BI208" s="1850"/>
      <c r="BJ208" s="3851"/>
      <c r="BK208" s="3851"/>
      <c r="BL208" s="3874"/>
      <c r="BM208" s="3874"/>
    </row>
    <row r="209" spans="1:74">
      <c r="A209" s="3857"/>
      <c r="B209" s="3966"/>
      <c r="C209" s="3901"/>
      <c r="D209" s="1900" t="s">
        <v>740</v>
      </c>
      <c r="E209" s="3844"/>
      <c r="F209" s="3915"/>
      <c r="G209" s="3882"/>
      <c r="H209" s="3884"/>
      <c r="I209" s="3882"/>
      <c r="J209" s="3844"/>
      <c r="K209" s="3931"/>
      <c r="L209" s="3845"/>
      <c r="M209" s="3931"/>
      <c r="N209" s="3877"/>
      <c r="O209" s="3920"/>
      <c r="P209" s="3969"/>
      <c r="Q209" s="3849">
        <v>0</v>
      </c>
      <c r="R209" s="3851">
        <v>0</v>
      </c>
      <c r="S209" s="3851">
        <v>0</v>
      </c>
      <c r="T209" s="3851">
        <v>0</v>
      </c>
      <c r="U209" s="3851">
        <v>0</v>
      </c>
      <c r="V209" s="3851">
        <v>112.88000000000011</v>
      </c>
      <c r="W209" s="3851">
        <f>'[26]מאזן בוחן צרפת'!W186</f>
        <v>0</v>
      </c>
      <c r="X209" s="3851">
        <f>'[27]מאזן בוחן צרפת'!X186</f>
        <v>0</v>
      </c>
      <c r="Y209" s="3851">
        <f>'[28]מאזן בוחן צרפת'!Y186</f>
        <v>0</v>
      </c>
      <c r="Z209" s="3851">
        <f>'[29]מאזן בוחן צרפת'!Z187</f>
        <v>0</v>
      </c>
      <c r="AA209" s="3851">
        <f>'[30]מאזן בוחן צרפת'!AA188</f>
        <v>0</v>
      </c>
      <c r="AB209" s="3851">
        <f>'[31]מאזן בוחן צרפת'!AB190</f>
        <v>0</v>
      </c>
      <c r="AC209" s="3851">
        <v>0</v>
      </c>
      <c r="AD209" s="3851">
        <v>0</v>
      </c>
      <c r="AE209" s="3851">
        <v>0</v>
      </c>
      <c r="AF209" s="3851">
        <v>0</v>
      </c>
      <c r="AG209" s="3851">
        <v>0</v>
      </c>
      <c r="AH209" s="3851">
        <f>$K209-SUM($W209:AG209)</f>
        <v>0</v>
      </c>
      <c r="AI209" s="3851"/>
      <c r="AJ209" s="3851"/>
      <c r="AK209" s="3851"/>
      <c r="AL209" s="3851"/>
      <c r="AM209" s="3851"/>
      <c r="AN209" s="3851"/>
      <c r="AO209" s="3851"/>
      <c r="AP209" s="3851"/>
      <c r="AQ209" s="3851"/>
      <c r="AR209" s="3851"/>
      <c r="AS209" s="3851"/>
      <c r="AU209" s="3849"/>
      <c r="AV209" s="3849"/>
      <c r="AW209" s="3849"/>
      <c r="AX209" s="3849"/>
      <c r="AY209" s="3849"/>
      <c r="AZ209" s="3849"/>
      <c r="BA209" s="3849"/>
      <c r="BB209" s="3849"/>
      <c r="BC209" s="3849"/>
      <c r="BD209" s="3849"/>
      <c r="BE209" s="3849"/>
      <c r="BF209" s="3849"/>
      <c r="BG209" s="3851"/>
      <c r="BH209" s="3851"/>
      <c r="BI209" s="1850"/>
      <c r="BJ209" s="3851"/>
      <c r="BK209" s="3851"/>
      <c r="BL209" s="3874"/>
      <c r="BM209" s="3874"/>
    </row>
    <row r="210" spans="1:74">
      <c r="A210" s="3857"/>
      <c r="B210" s="3966" t="s">
        <v>1082</v>
      </c>
      <c r="C210" s="3901">
        <v>5200029</v>
      </c>
      <c r="D210" s="3929" t="s">
        <v>2249</v>
      </c>
      <c r="E210" s="3844">
        <f>VLOOKUP(C210,'פ.נ. צרפת'!$D$129:$F$1048576,3,0)</f>
        <v>4158.13</v>
      </c>
      <c r="F210" s="3843">
        <f>SUMIF('פ.נ. צרפת'!$C:$C,$C:$C,'פ.נ. צרפת'!$E:$E)</f>
        <v>0</v>
      </c>
      <c r="G210" s="3882"/>
      <c r="H210" s="3884"/>
      <c r="I210" s="3882"/>
      <c r="J210" s="4009">
        <f>SUM(E210:I210)</f>
        <v>4158.13</v>
      </c>
      <c r="K210" s="3931">
        <f>M210+SUMIF('פ.נ. צרפת'!$C:$C,$C:$C,'פ.נ. צרפת'!$F:$F)</f>
        <v>4842.5600000000004</v>
      </c>
      <c r="L210" s="3845"/>
      <c r="M210" s="3931">
        <f>IFERROR(VLOOKUP(C210,'פ.נ. צרפת'!$D$129:$G$1048576,4,0),"")</f>
        <v>4842.5600000000004</v>
      </c>
      <c r="N210" s="3877">
        <f>IF(K210=0,"-",J210/K210)</f>
        <v>0.85866359941848935</v>
      </c>
      <c r="O210" s="3920"/>
      <c r="P210" s="3969"/>
      <c r="Q210" s="3849">
        <v>215.69</v>
      </c>
      <c r="R210" s="3851">
        <v>284.06</v>
      </c>
      <c r="S210" s="3851">
        <v>0</v>
      </c>
      <c r="T210" s="3851">
        <v>402.08000000000004</v>
      </c>
      <c r="U210" s="3851">
        <v>502.52999999999986</v>
      </c>
      <c r="V210" s="3851">
        <v>0</v>
      </c>
      <c r="W210" s="3851">
        <f>'[26]מאזן בוחן צרפת'!W187</f>
        <v>615.92999999999995</v>
      </c>
      <c r="X210" s="3851">
        <f>'[27]מאזן בוחן צרפת'!X187</f>
        <v>507.06000000000006</v>
      </c>
      <c r="Y210" s="3851">
        <f>'[28]מאזן בוחן צרפת'!Y187</f>
        <v>348.28999999999996</v>
      </c>
      <c r="Z210" s="3851">
        <f>'[29]מאזן בוחן צרפת'!Z188</f>
        <v>142.8900000000001</v>
      </c>
      <c r="AA210" s="3851">
        <f>'[30]מאזן בוחן צרפת'!AA189</f>
        <v>0</v>
      </c>
      <c r="AB210" s="3851">
        <f>'[31]מאזן בוחן צרפת'!AB191</f>
        <v>370.17999999999984</v>
      </c>
      <c r="AC210" s="3851">
        <v>59.5</v>
      </c>
      <c r="AD210" s="3851">
        <v>0</v>
      </c>
      <c r="AE210" s="3851">
        <v>587.38000000000011</v>
      </c>
      <c r="AF210" s="3851">
        <v>158.61999999999989</v>
      </c>
      <c r="AG210" s="3851">
        <v>1702.1700000000005</v>
      </c>
      <c r="AH210" s="3851">
        <f>$K210-SUM($W210:AG210)</f>
        <v>350.53999999999996</v>
      </c>
      <c r="AI210" s="3851"/>
      <c r="AJ210" s="3851"/>
      <c r="AK210" s="3851"/>
      <c r="AL210" s="3851"/>
      <c r="AM210" s="3851"/>
      <c r="AN210" s="3851"/>
      <c r="AO210" s="3851"/>
      <c r="AP210" s="3851"/>
      <c r="AQ210" s="3851"/>
      <c r="AR210" s="3851"/>
      <c r="AS210" s="3851"/>
      <c r="AU210" s="3849"/>
      <c r="AV210" s="3849"/>
      <c r="AW210" s="3849"/>
      <c r="AX210" s="3849"/>
      <c r="AY210" s="3849"/>
      <c r="AZ210" s="3849"/>
      <c r="BA210" s="3849"/>
      <c r="BB210" s="3849"/>
      <c r="BC210" s="3849"/>
      <c r="BD210" s="3849"/>
      <c r="BE210" s="3849"/>
      <c r="BF210" s="3849"/>
      <c r="BG210" s="3851"/>
      <c r="BH210" s="3851"/>
      <c r="BI210" s="1850"/>
      <c r="BJ210" s="3851"/>
      <c r="BK210" s="3851"/>
      <c r="BL210" s="3874"/>
      <c r="BM210" s="3874"/>
    </row>
    <row r="211" spans="1:74">
      <c r="A211" s="3857"/>
      <c r="B211" s="3966"/>
      <c r="C211" s="3901"/>
      <c r="D211" s="3929"/>
      <c r="E211" s="3844"/>
      <c r="F211" s="3843"/>
      <c r="G211" s="3882"/>
      <c r="H211" s="3884"/>
      <c r="I211" s="3882"/>
      <c r="J211" s="3844"/>
      <c r="K211" s="3931"/>
      <c r="L211" s="3845"/>
      <c r="M211" s="3931"/>
      <c r="N211" s="3877"/>
      <c r="O211" s="3920"/>
      <c r="P211" s="3969"/>
      <c r="R211" s="3851">
        <v>0</v>
      </c>
      <c r="S211" s="3851">
        <v>0</v>
      </c>
      <c r="T211" s="3851">
        <v>0</v>
      </c>
      <c r="U211" s="3851">
        <v>0</v>
      </c>
      <c r="V211" s="3851">
        <v>0</v>
      </c>
      <c r="W211" s="3851">
        <f>'[26]מאזן בוחן צרפת'!W188</f>
        <v>0</v>
      </c>
      <c r="X211" s="3851">
        <f>'[27]מאזן בוחן צרפת'!X188</f>
        <v>0</v>
      </c>
      <c r="Y211" s="3851">
        <f>'[28]מאזן בוחן צרפת'!Y188</f>
        <v>0</v>
      </c>
      <c r="Z211" s="3851">
        <f>'[29]מאזן בוחן צרפת'!Z189</f>
        <v>0</v>
      </c>
      <c r="AA211" s="3851">
        <f>'[30]מאזן בוחן צרפת'!AA190</f>
        <v>0</v>
      </c>
      <c r="AB211" s="3851">
        <f>'[31]מאזן בוחן צרפת'!AB192</f>
        <v>0</v>
      </c>
      <c r="AC211" s="3851">
        <v>0</v>
      </c>
      <c r="AD211" s="3851">
        <v>0</v>
      </c>
      <c r="AE211" s="3851">
        <v>0</v>
      </c>
      <c r="AF211" s="3851">
        <v>0</v>
      </c>
      <c r="AG211" s="3851">
        <v>0</v>
      </c>
      <c r="AH211" s="3851">
        <f>$K211-SUM($W211:AG211)</f>
        <v>0</v>
      </c>
      <c r="AI211" s="3851"/>
      <c r="AJ211" s="3851"/>
      <c r="AK211" s="3851"/>
      <c r="AL211" s="3851"/>
      <c r="AM211" s="3851"/>
      <c r="AN211" s="3851"/>
      <c r="AO211" s="3851"/>
      <c r="AP211" s="3851"/>
      <c r="AQ211" s="3851"/>
      <c r="AR211" s="3851"/>
      <c r="AS211" s="3851"/>
      <c r="AU211" s="3849"/>
      <c r="AV211" s="3849"/>
      <c r="AW211" s="3849"/>
      <c r="AX211" s="3849"/>
      <c r="AY211" s="3849"/>
      <c r="AZ211" s="3849"/>
      <c r="BA211" s="3849"/>
      <c r="BB211" s="3849"/>
      <c r="BC211" s="3849"/>
      <c r="BD211" s="3849"/>
      <c r="BE211" s="3849"/>
      <c r="BF211" s="3849"/>
      <c r="BG211" s="3851"/>
      <c r="BH211" s="3851"/>
      <c r="BI211" s="1850"/>
      <c r="BJ211" s="3851"/>
      <c r="BK211" s="3851"/>
      <c r="BL211" s="3874"/>
      <c r="BM211" s="3874"/>
    </row>
    <row r="212" spans="1:74">
      <c r="A212" s="3857"/>
      <c r="B212" s="3966"/>
      <c r="C212" s="3901"/>
      <c r="D212" s="1900" t="s">
        <v>161</v>
      </c>
      <c r="E212" s="3844"/>
      <c r="F212" s="3843"/>
      <c r="G212" s="3882"/>
      <c r="H212" s="3884"/>
      <c r="I212" s="3882"/>
      <c r="J212" s="3844"/>
      <c r="K212" s="3931"/>
      <c r="L212" s="3845"/>
      <c r="M212" s="3931"/>
      <c r="N212" s="3877"/>
      <c r="O212" s="3920"/>
      <c r="P212" s="3969"/>
      <c r="R212" s="3851">
        <v>0</v>
      </c>
      <c r="S212" s="3851">
        <v>0</v>
      </c>
      <c r="T212" s="3851">
        <v>0</v>
      </c>
      <c r="U212" s="3851">
        <v>0</v>
      </c>
      <c r="V212" s="3851">
        <v>333.89</v>
      </c>
      <c r="W212" s="3851">
        <f>'[26]מאזן בוחן צרפת'!W189</f>
        <v>0</v>
      </c>
      <c r="X212" s="3851">
        <f>'[27]מאזן בוחן צרפת'!X189</f>
        <v>0</v>
      </c>
      <c r="Y212" s="3851">
        <f>'[28]מאזן בוחן צרפת'!Y189</f>
        <v>0</v>
      </c>
      <c r="Z212" s="3851">
        <f>'[29]מאזן בוחן צרפת'!Z190</f>
        <v>0</v>
      </c>
      <c r="AA212" s="3851">
        <f>'[30]מאזן בוחן צרפת'!AA191</f>
        <v>0</v>
      </c>
      <c r="AB212" s="3851">
        <f>'[31]מאזן בוחן צרפת'!AB193</f>
        <v>0</v>
      </c>
      <c r="AC212" s="3851">
        <v>0</v>
      </c>
      <c r="AD212" s="3851">
        <v>0</v>
      </c>
      <c r="AE212" s="3851">
        <v>0</v>
      </c>
      <c r="AF212" s="3851">
        <v>0</v>
      </c>
      <c r="AG212" s="3851">
        <v>0</v>
      </c>
      <c r="AH212" s="3851">
        <f>$K212-SUM($W212:AG212)</f>
        <v>0</v>
      </c>
      <c r="AI212" s="3851"/>
      <c r="AJ212" s="3851"/>
      <c r="AK212" s="3851"/>
      <c r="AL212" s="3851"/>
      <c r="AM212" s="3851"/>
      <c r="AN212" s="3851"/>
      <c r="AO212" s="3851"/>
      <c r="AP212" s="3851"/>
      <c r="AQ212" s="3851"/>
      <c r="AR212" s="3851"/>
      <c r="AS212" s="3851"/>
      <c r="AU212" s="3849"/>
      <c r="AV212" s="3849"/>
      <c r="AW212" s="3849"/>
      <c r="AX212" s="3849"/>
      <c r="AY212" s="3849"/>
      <c r="AZ212" s="3849"/>
      <c r="BA212" s="3849"/>
      <c r="BB212" s="3849"/>
      <c r="BC212" s="3849"/>
      <c r="BD212" s="3849"/>
      <c r="BE212" s="3849"/>
      <c r="BF212" s="3849"/>
      <c r="BG212" s="3851"/>
      <c r="BH212" s="3851"/>
      <c r="BI212" s="1850"/>
      <c r="BJ212" s="3851"/>
      <c r="BK212" s="3851"/>
      <c r="BL212" s="3874"/>
      <c r="BM212" s="3874"/>
    </row>
    <row r="213" spans="1:74">
      <c r="A213" s="3857"/>
      <c r="B213" s="3966" t="s">
        <v>1066</v>
      </c>
      <c r="C213" s="3901">
        <v>5100012</v>
      </c>
      <c r="D213" s="3929" t="s">
        <v>1432</v>
      </c>
      <c r="E213" s="3844">
        <f>IFERROR(VLOOKUP(C213,'פ.נ. צרפת'!$D$129:$F$1048576,3,0),0)</f>
        <v>1583.57</v>
      </c>
      <c r="F213" s="3843">
        <f>SUMIF('פ.נ. צרפת'!$C:$C,$C:$C,'פ.נ. צרפת'!$E:$E)</f>
        <v>0</v>
      </c>
      <c r="G213" s="3882"/>
      <c r="H213" s="3884"/>
      <c r="I213" s="3882"/>
      <c r="J213" s="4009">
        <f>SUM(E213:I213)</f>
        <v>1583.57</v>
      </c>
      <c r="K213" s="3931">
        <f>M213+SUMIF('פ.נ. צרפת'!$C:$C,$C:$C,'פ.נ. צרפת'!$F:$F)</f>
        <v>1832.63</v>
      </c>
      <c r="L213" s="3845"/>
      <c r="M213" s="3931">
        <f>IFERROR(VLOOKUP(C213,'פ.נ. צרפת'!$D$129:$G$1048576,4,0),"")</f>
        <v>1832.63</v>
      </c>
      <c r="N213" s="3877">
        <f>IF(K213=0,"-",J213/K213)</f>
        <v>0.86409695355854688</v>
      </c>
      <c r="O213" s="3920"/>
      <c r="P213" s="3969"/>
      <c r="Q213" s="3849">
        <v>215.69</v>
      </c>
      <c r="R213" s="3851">
        <v>284.06</v>
      </c>
      <c r="S213" s="3851">
        <v>124.58000000000004</v>
      </c>
      <c r="T213" s="3851">
        <v>-292.72000000000003</v>
      </c>
      <c r="U213" s="3851">
        <v>0</v>
      </c>
      <c r="V213" s="3851">
        <v>0</v>
      </c>
      <c r="W213" s="3851">
        <f>'[26]מאזן בוחן צרפת'!W190</f>
        <v>0</v>
      </c>
      <c r="X213" s="3851">
        <f>'[27]מאזן בוחן צרפת'!X190</f>
        <v>0</v>
      </c>
      <c r="Y213" s="3851">
        <f>'[28]מאזן בוחן צרפת'!Y190</f>
        <v>406.74</v>
      </c>
      <c r="Z213" s="3851">
        <f>'[29]מאזן בוחן צרפת'!Z191</f>
        <v>0</v>
      </c>
      <c r="AA213" s="3851">
        <f>'[30]מאזן בוחן צרפת'!AA192</f>
        <v>0</v>
      </c>
      <c r="AB213" s="3851">
        <f>'[31]מאזן בוחן צרפת'!AB194</f>
        <v>388.77</v>
      </c>
      <c r="AC213" s="3851">
        <v>0</v>
      </c>
      <c r="AD213" s="3851">
        <v>0</v>
      </c>
      <c r="AE213" s="3851">
        <v>334.09999999999991</v>
      </c>
      <c r="AF213" s="3851">
        <v>0</v>
      </c>
      <c r="AG213" s="3851">
        <v>0</v>
      </c>
      <c r="AH213" s="3851">
        <f>$K213-SUM($W213:AG213)</f>
        <v>703.02000000000021</v>
      </c>
      <c r="AI213" s="3851"/>
      <c r="AJ213" s="3851"/>
      <c r="AK213" s="3851"/>
      <c r="AL213" s="3851"/>
      <c r="AM213" s="3851"/>
      <c r="AN213" s="3851"/>
      <c r="AO213" s="3851"/>
      <c r="AP213" s="3851"/>
      <c r="AQ213" s="3851"/>
      <c r="AR213" s="3851"/>
      <c r="AS213" s="3851"/>
      <c r="AU213" s="3849"/>
      <c r="AV213" s="3849"/>
      <c r="AW213" s="3849"/>
      <c r="AX213" s="3849"/>
      <c r="AY213" s="3849"/>
      <c r="AZ213" s="3849"/>
      <c r="BA213" s="3849"/>
      <c r="BB213" s="3849"/>
      <c r="BC213" s="3849"/>
      <c r="BD213" s="3849"/>
      <c r="BE213" s="3849"/>
      <c r="BF213" s="3849"/>
      <c r="BG213" s="3851"/>
      <c r="BH213" s="3851"/>
      <c r="BI213" s="1850"/>
      <c r="BJ213" s="3851"/>
      <c r="BK213" s="3851"/>
      <c r="BL213" s="3874"/>
      <c r="BM213" s="3874"/>
    </row>
    <row r="214" spans="1:74">
      <c r="A214" s="3857"/>
      <c r="B214" s="3659"/>
      <c r="C214" s="3901"/>
      <c r="D214" s="3929"/>
      <c r="E214" s="3844"/>
      <c r="F214" s="3843"/>
      <c r="G214" s="3882"/>
      <c r="H214" s="3884"/>
      <c r="I214" s="3882"/>
      <c r="J214" s="3844"/>
      <c r="K214" s="3931"/>
      <c r="L214" s="3845"/>
      <c r="M214" s="3931"/>
      <c r="N214" s="3877"/>
      <c r="O214" s="3920"/>
      <c r="P214" s="3969"/>
      <c r="R214" s="3851"/>
      <c r="S214" s="3851"/>
      <c r="T214" s="3851"/>
      <c r="U214" s="3851">
        <v>0</v>
      </c>
      <c r="V214" s="3851">
        <v>0</v>
      </c>
      <c r="W214" s="3851">
        <f>'[26]מאזן בוחן צרפת'!W191</f>
        <v>0</v>
      </c>
      <c r="X214" s="3851">
        <f>'[27]מאזן בוחן צרפת'!X191</f>
        <v>0</v>
      </c>
      <c r="Y214" s="3851">
        <f>'[28]מאזן בוחן צרפת'!Y191</f>
        <v>0</v>
      </c>
      <c r="Z214" s="3851">
        <f>'[29]מאזן בוחן צרפת'!Z192</f>
        <v>0</v>
      </c>
      <c r="AA214" s="3851">
        <f>'[30]מאזן בוחן צרפת'!AA193</f>
        <v>0</v>
      </c>
      <c r="AB214" s="3851">
        <f>'[31]מאזן בוחן צרפת'!AB195</f>
        <v>0</v>
      </c>
      <c r="AC214" s="3851">
        <v>0</v>
      </c>
      <c r="AD214" s="3851">
        <v>0</v>
      </c>
      <c r="AE214" s="3851">
        <v>0</v>
      </c>
      <c r="AF214" s="3851">
        <v>0</v>
      </c>
      <c r="AG214" s="3851">
        <v>0</v>
      </c>
      <c r="AH214" s="3851">
        <f>$K214-SUM($W214:AG214)</f>
        <v>0</v>
      </c>
      <c r="AI214" s="3851"/>
      <c r="AJ214" s="3851"/>
      <c r="AK214" s="3851"/>
      <c r="AL214" s="3851"/>
      <c r="AM214" s="3851"/>
      <c r="AN214" s="3851"/>
      <c r="AO214" s="3851"/>
      <c r="AP214" s="3851"/>
      <c r="AQ214" s="3851"/>
      <c r="AR214" s="3851"/>
      <c r="AS214" s="3851"/>
      <c r="AU214" s="3849"/>
      <c r="AV214" s="3849"/>
      <c r="AW214" s="3849"/>
      <c r="AX214" s="3849"/>
      <c r="AY214" s="3849"/>
      <c r="AZ214" s="3849"/>
      <c r="BA214" s="3849"/>
      <c r="BB214" s="3849"/>
      <c r="BC214" s="3849"/>
      <c r="BD214" s="3849"/>
      <c r="BE214" s="3849"/>
      <c r="BF214" s="3849"/>
      <c r="BG214" s="3851"/>
      <c r="BH214" s="3851"/>
      <c r="BI214" s="1850"/>
      <c r="BJ214" s="3851"/>
      <c r="BK214" s="3851"/>
      <c r="BL214" s="3874"/>
      <c r="BM214" s="3874"/>
    </row>
    <row r="215" spans="1:74">
      <c r="A215" s="3857"/>
      <c r="B215" s="3659"/>
      <c r="C215" s="3901"/>
      <c r="D215" s="3929"/>
      <c r="E215" s="3844"/>
      <c r="F215" s="3843"/>
      <c r="G215" s="3882"/>
      <c r="H215" s="3884"/>
      <c r="I215" s="3882"/>
      <c r="J215" s="3844"/>
      <c r="K215" s="3931"/>
      <c r="L215" s="3845"/>
      <c r="M215" s="3931"/>
      <c r="N215" s="3877"/>
      <c r="O215" s="3920"/>
      <c r="P215" s="3969"/>
      <c r="R215" s="3851"/>
      <c r="S215" s="3851"/>
      <c r="T215" s="3851"/>
      <c r="U215" s="3851">
        <v>0</v>
      </c>
      <c r="V215" s="3851">
        <v>0</v>
      </c>
      <c r="W215" s="3851">
        <f>'[26]מאזן בוחן צרפת'!W192</f>
        <v>0</v>
      </c>
      <c r="X215" s="3851">
        <f>'[27]מאזן בוחן צרפת'!X192</f>
        <v>0</v>
      </c>
      <c r="Y215" s="3851">
        <f>'[28]מאזן בוחן צרפת'!Y192</f>
        <v>0</v>
      </c>
      <c r="Z215" s="3851">
        <f>'[29]מאזן בוחן צרפת'!Z193</f>
        <v>0</v>
      </c>
      <c r="AA215" s="3851">
        <f>'[30]מאזן בוחן צרפת'!AA194</f>
        <v>0</v>
      </c>
      <c r="AB215" s="3851">
        <f>'[31]מאזן בוחן צרפת'!AB196</f>
        <v>0</v>
      </c>
      <c r="AC215" s="3851">
        <v>0</v>
      </c>
      <c r="AD215" s="3851">
        <v>0</v>
      </c>
      <c r="AE215" s="3851">
        <v>0</v>
      </c>
      <c r="AF215" s="3851">
        <v>0</v>
      </c>
      <c r="AG215" s="3851">
        <v>0</v>
      </c>
      <c r="AH215" s="3851">
        <f>$K215-SUM($W215:AG215)</f>
        <v>0</v>
      </c>
      <c r="AI215" s="3851"/>
      <c r="AJ215" s="3851"/>
      <c r="AK215" s="3851"/>
      <c r="AL215" s="3851"/>
      <c r="AM215" s="3851"/>
      <c r="AN215" s="3851"/>
      <c r="AO215" s="3851"/>
      <c r="AP215" s="3851"/>
      <c r="AQ215" s="3851"/>
      <c r="AR215" s="3851"/>
      <c r="AS215" s="3851"/>
      <c r="AU215" s="3849"/>
      <c r="AV215" s="3849"/>
      <c r="AW215" s="3849"/>
      <c r="AX215" s="3849"/>
      <c r="AY215" s="3849"/>
      <c r="AZ215" s="3849"/>
      <c r="BA215" s="3849"/>
      <c r="BB215" s="3849"/>
      <c r="BC215" s="3849"/>
      <c r="BD215" s="3849"/>
      <c r="BE215" s="3849"/>
      <c r="BF215" s="3849"/>
      <c r="BG215" s="3851"/>
      <c r="BH215" s="3851"/>
      <c r="BI215" s="1850"/>
      <c r="BJ215" s="3851"/>
      <c r="BK215" s="3851"/>
      <c r="BL215" s="3874"/>
      <c r="BM215" s="3874"/>
    </row>
    <row r="216" spans="1:74">
      <c r="A216" s="3857"/>
      <c r="B216" s="3659" t="s">
        <v>734</v>
      </c>
      <c r="C216" s="3901">
        <v>5900001</v>
      </c>
      <c r="D216" s="3929" t="s">
        <v>735</v>
      </c>
      <c r="E216" s="3844">
        <f>IFERROR(VLOOKUP(C216,'פ.נ. צרפת'!$D$129:$F$1048576,3,0),0)</f>
        <v>743197.79</v>
      </c>
      <c r="F216" s="3843">
        <f>SUMIF('פ.נ. צרפת'!$C:$C,$C:$C,'פ.נ. צרפת'!$E:$E)</f>
        <v>0</v>
      </c>
      <c r="G216" s="3882"/>
      <c r="H216" s="3884"/>
      <c r="I216" s="3882"/>
      <c r="J216" s="4294">
        <f>SUM(E216:I216)</f>
        <v>743197.79</v>
      </c>
      <c r="K216" s="3931">
        <f>M216+SUMIF('פ.נ. צרפת'!$C:$C,$C:$C,'פ.נ. צרפת'!$F:$F)</f>
        <v>899576.43</v>
      </c>
      <c r="L216" s="3845"/>
      <c r="M216" s="3931">
        <f>IFERROR(VLOOKUP(C216,'פ.נ. צרפת'!$D$129:$G$1048576,4,0),"")</f>
        <v>899576.43</v>
      </c>
      <c r="N216" s="3877">
        <f>IF(K216=0,"-",J216/K216)</f>
        <v>0.82616414260653759</v>
      </c>
      <c r="O216" s="3920"/>
      <c r="P216" s="3969"/>
      <c r="R216" s="3851"/>
      <c r="S216" s="3851"/>
      <c r="T216" s="3851"/>
      <c r="U216" s="3851">
        <v>0</v>
      </c>
      <c r="V216" s="3851">
        <v>0</v>
      </c>
      <c r="W216" s="3851">
        <f>'[26]מאזן בוחן צרפת'!W193</f>
        <v>0</v>
      </c>
      <c r="X216" s="3851">
        <f>'[27]מאזן בוחן צרפת'!X193</f>
        <v>0</v>
      </c>
      <c r="Y216" s="3851">
        <f>'[28]מאזן בוחן צרפת'!Y193</f>
        <v>0</v>
      </c>
      <c r="Z216" s="3851">
        <f>'[29]מאזן בוחן צרפת'!Z194</f>
        <v>101284.083912984</v>
      </c>
      <c r="AA216" s="3851">
        <f>'[30]מאזן בוחן צרפת'!AA195</f>
        <v>-12418.014087017626</v>
      </c>
      <c r="AB216" s="3851">
        <f>'[31]מאזן בוחן צרפת'!AB197</f>
        <v>-88866.069825966377</v>
      </c>
      <c r="AC216" s="3851">
        <v>0</v>
      </c>
      <c r="AD216" s="3851">
        <v>0</v>
      </c>
      <c r="AE216" s="3851">
        <v>0</v>
      </c>
      <c r="AF216" s="3851">
        <v>0</v>
      </c>
      <c r="AG216" s="3851">
        <v>0</v>
      </c>
      <c r="AH216" s="3851">
        <f>$K216-SUM($W216:AG216)</f>
        <v>899576.43</v>
      </c>
      <c r="AI216" s="3851"/>
      <c r="AJ216" s="3851"/>
      <c r="AK216" s="3851"/>
      <c r="AL216" s="3851"/>
      <c r="AM216" s="3851"/>
      <c r="AN216" s="3851"/>
      <c r="AO216" s="3851"/>
      <c r="AP216" s="3851"/>
      <c r="AQ216" s="3851"/>
      <c r="AR216" s="3851"/>
      <c r="AS216" s="3851"/>
      <c r="AU216" s="3849"/>
      <c r="AV216" s="3849"/>
      <c r="AW216" s="3849"/>
      <c r="AX216" s="3849"/>
      <c r="AY216" s="3849"/>
      <c r="AZ216" s="3849"/>
      <c r="BA216" s="3849"/>
      <c r="BB216" s="3849"/>
      <c r="BC216" s="3849"/>
      <c r="BD216" s="3849"/>
      <c r="BE216" s="3849"/>
      <c r="BF216" s="3849"/>
      <c r="BG216" s="3851"/>
      <c r="BH216" s="3851"/>
      <c r="BI216" s="1850"/>
      <c r="BJ216" s="3851"/>
      <c r="BK216" s="3851"/>
      <c r="BL216" s="3874"/>
      <c r="BM216" s="3874"/>
    </row>
    <row r="217" spans="1:74">
      <c r="B217" s="3914"/>
      <c r="C217" s="3892"/>
      <c r="D217" s="4010"/>
      <c r="J217" s="4011"/>
      <c r="K217" s="4012"/>
      <c r="M217" s="3876"/>
      <c r="P217" s="3969"/>
      <c r="Q217" s="3849">
        <v>0</v>
      </c>
      <c r="R217" s="3851">
        <v>0</v>
      </c>
      <c r="S217" s="3851">
        <v>0</v>
      </c>
      <c r="T217" s="3851">
        <v>0</v>
      </c>
      <c r="U217" s="3851">
        <v>0</v>
      </c>
      <c r="V217" s="3851">
        <v>65754.952744979179</v>
      </c>
      <c r="W217" s="3851">
        <f>'[26]מאזן בוחן צרפת'!W194</f>
        <v>0</v>
      </c>
      <c r="X217" s="3851">
        <f>'[27]מאזן בוחן צרפת'!X194</f>
        <v>0</v>
      </c>
      <c r="Y217" s="3851">
        <f>'[28]מאזן בוחן צרפת'!Y194</f>
        <v>0</v>
      </c>
      <c r="Z217" s="3851">
        <f>'[29]מאזן בוחן צרפת'!Z195</f>
        <v>0</v>
      </c>
      <c r="AA217" s="3851">
        <f>'[30]מאזן בוחן צרפת'!AA196</f>
        <v>0</v>
      </c>
      <c r="AB217" s="3851">
        <f>'[31]מאזן בוחן צרפת'!AB198</f>
        <v>0</v>
      </c>
      <c r="AC217" s="3851">
        <v>0</v>
      </c>
      <c r="AD217" s="3851">
        <v>0</v>
      </c>
      <c r="AE217" s="3851">
        <v>0</v>
      </c>
      <c r="AF217" s="3851">
        <v>0</v>
      </c>
      <c r="AG217" s="3851">
        <v>0</v>
      </c>
      <c r="AH217" s="3851">
        <f>$K217-SUM($W217:AG217)</f>
        <v>0</v>
      </c>
      <c r="AI217" s="3851"/>
      <c r="AJ217" s="3851"/>
      <c r="AK217" s="3851"/>
      <c r="AL217" s="3851"/>
      <c r="AM217" s="3851"/>
      <c r="AN217" s="3851"/>
      <c r="AO217" s="3851"/>
      <c r="AP217" s="3851"/>
      <c r="AQ217" s="3851"/>
      <c r="AR217" s="3851"/>
      <c r="AS217" s="3851"/>
      <c r="AU217" s="3849"/>
      <c r="AV217" s="3849"/>
      <c r="AW217" s="3849"/>
      <c r="AX217" s="3849"/>
      <c r="AY217" s="3849"/>
      <c r="AZ217" s="3849"/>
      <c r="BA217" s="3849"/>
      <c r="BB217" s="3849"/>
      <c r="BC217" s="3849"/>
      <c r="BD217" s="3849"/>
      <c r="BE217" s="3849"/>
      <c r="BF217" s="3849"/>
      <c r="BT217" s="3849"/>
    </row>
    <row r="218" spans="1:74">
      <c r="B218" s="3656"/>
      <c r="C218" s="3910"/>
      <c r="D218" s="1886" t="s">
        <v>548</v>
      </c>
      <c r="E218" s="1882">
        <f t="shared" ref="E218:K218" si="52">SUM(E203:E217)</f>
        <v>1163509.17</v>
      </c>
      <c r="F218" s="3293">
        <f t="shared" si="52"/>
        <v>0</v>
      </c>
      <c r="G218" s="1862">
        <f t="shared" si="52"/>
        <v>0</v>
      </c>
      <c r="H218" s="1862">
        <f t="shared" si="52"/>
        <v>0</v>
      </c>
      <c r="I218" s="1862">
        <f t="shared" si="52"/>
        <v>0</v>
      </c>
      <c r="J218" s="1883">
        <f t="shared" si="52"/>
        <v>1163509.17</v>
      </c>
      <c r="K218" s="1883">
        <f t="shared" si="52"/>
        <v>1392203.31</v>
      </c>
      <c r="L218" s="1884"/>
      <c r="M218" s="1882">
        <f>SUM(M203:M217)</f>
        <v>1392203.31</v>
      </c>
      <c r="N218" s="3922"/>
      <c r="O218" s="3920"/>
      <c r="P218" s="3969"/>
      <c r="Q218" s="3849">
        <v>0</v>
      </c>
      <c r="R218" s="3851">
        <v>-74403.814364068996</v>
      </c>
      <c r="S218" s="3851">
        <v>0</v>
      </c>
      <c r="T218" s="3851">
        <v>276560.22436406894</v>
      </c>
      <c r="U218" s="3851">
        <v>45714.380000000034</v>
      </c>
      <c r="V218" s="3851">
        <v>0</v>
      </c>
      <c r="W218" s="3851">
        <f>'[26]מאזן בוחן צרפת'!W195</f>
        <v>46307.72</v>
      </c>
      <c r="X218" s="3851">
        <f>'[27]מאזן בוחן צרפת'!X195</f>
        <v>49463.229999999996</v>
      </c>
      <c r="Y218" s="3851">
        <f>'[28]מאזן בוחן צרפת'!Y195</f>
        <v>48679.799999999974</v>
      </c>
      <c r="Z218" s="3851">
        <f>'[29]מאזן בוחן צרפת'!Z196</f>
        <v>148769.13391298402</v>
      </c>
      <c r="AA218" s="3851">
        <f>'[30]מאזן בוחן צרפת'!AA197</f>
        <v>46263.785912982363</v>
      </c>
      <c r="AB218" s="3851">
        <f>'[31]מאזן בוחן צרפת'!AB199</f>
        <v>-38110.289825966291</v>
      </c>
      <c r="AC218" s="3851">
        <v>34303.729999999923</v>
      </c>
      <c r="AD218" s="3851">
        <v>46970.630000000005</v>
      </c>
      <c r="AE218" s="3851">
        <v>56056.809999999939</v>
      </c>
      <c r="AF218" s="3851">
        <v>45904.530000000028</v>
      </c>
      <c r="AG218" s="3851">
        <v>28115.610000000044</v>
      </c>
      <c r="AH218" s="3851">
        <f>$K218-SUM($W218:AG218)</f>
        <v>879478.62000000011</v>
      </c>
      <c r="AI218" s="3851"/>
      <c r="AJ218" s="3851"/>
      <c r="AK218" s="3851"/>
      <c r="AL218" s="3851"/>
      <c r="AM218" s="3851"/>
      <c r="AN218" s="3851"/>
      <c r="AO218" s="3851"/>
      <c r="AP218" s="3851"/>
      <c r="AQ218" s="3851"/>
      <c r="AR218" s="3851"/>
      <c r="AS218" s="3851"/>
      <c r="AU218" s="3849"/>
      <c r="AV218" s="3849"/>
      <c r="AW218" s="3849"/>
      <c r="AX218" s="3849"/>
      <c r="AY218" s="3849"/>
      <c r="AZ218" s="3849"/>
      <c r="BA218" s="3849"/>
      <c r="BB218" s="3849"/>
      <c r="BC218" s="3849"/>
      <c r="BD218" s="3849"/>
      <c r="BE218" s="3849"/>
      <c r="BF218" s="3849"/>
      <c r="BT218" s="3849"/>
    </row>
    <row r="219" spans="1:74">
      <c r="B219" s="3656"/>
      <c r="C219" s="3910"/>
      <c r="D219" s="1845"/>
      <c r="K219" s="3875"/>
      <c r="L219" s="3874"/>
      <c r="M219" s="3875"/>
      <c r="N219" s="3922"/>
      <c r="O219" s="3920"/>
      <c r="P219" s="3969"/>
      <c r="Q219" s="3849">
        <v>0</v>
      </c>
      <c r="R219" s="3851">
        <v>0</v>
      </c>
      <c r="S219" s="3851">
        <v>124.58000000000004</v>
      </c>
      <c r="T219" s="3851">
        <v>-124.58000000000004</v>
      </c>
      <c r="U219" s="3851">
        <v>0</v>
      </c>
      <c r="V219" s="3851">
        <v>0</v>
      </c>
      <c r="W219" s="3851">
        <f>'[26]מאזן בוחן צרפת'!W196</f>
        <v>0</v>
      </c>
      <c r="X219" s="3851">
        <f>'[27]מאזן בוחן צרפת'!X196</f>
        <v>0</v>
      </c>
      <c r="Y219" s="3851">
        <f>'[28]מאזן בוחן צרפת'!Y196</f>
        <v>0</v>
      </c>
      <c r="Z219" s="3851">
        <f>'[29]מאזן בוחן צרפת'!Z197</f>
        <v>0</v>
      </c>
      <c r="AA219" s="3851">
        <f>'[30]מאזן בוחן צרפת'!AA198</f>
        <v>0</v>
      </c>
      <c r="AB219" s="3851">
        <f>'[31]מאזן בוחן צרפת'!AB200</f>
        <v>0</v>
      </c>
      <c r="AC219" s="3851">
        <v>0</v>
      </c>
      <c r="AD219" s="3851">
        <v>0</v>
      </c>
      <c r="AE219" s="3851">
        <v>0</v>
      </c>
      <c r="AF219" s="3851">
        <v>0</v>
      </c>
      <c r="AG219" s="3851">
        <v>0</v>
      </c>
      <c r="AH219" s="3851">
        <f>$K219-SUM($W219:AG219)</f>
        <v>0</v>
      </c>
      <c r="AI219" s="3851"/>
      <c r="AJ219" s="3851"/>
      <c r="AK219" s="3851"/>
      <c r="AL219" s="3851"/>
      <c r="AM219" s="3851"/>
      <c r="AN219" s="3851"/>
      <c r="AO219" s="3851"/>
      <c r="AP219" s="3851"/>
      <c r="AQ219" s="3851"/>
      <c r="AR219" s="3851"/>
      <c r="AS219" s="3851"/>
      <c r="AU219" s="3849"/>
      <c r="AV219" s="3849"/>
      <c r="AW219" s="3849"/>
      <c r="AX219" s="3849"/>
      <c r="AY219" s="3849"/>
      <c r="AZ219" s="3849"/>
      <c r="BA219" s="3849"/>
      <c r="BB219" s="3849"/>
      <c r="BC219" s="3849"/>
      <c r="BD219" s="3849"/>
      <c r="BE219" s="3849"/>
      <c r="BF219" s="3849"/>
      <c r="BT219" s="3849"/>
    </row>
    <row r="220" spans="1:74">
      <c r="B220" s="3656"/>
      <c r="C220" s="3910"/>
      <c r="D220" s="1897" t="s">
        <v>91</v>
      </c>
      <c r="E220" s="3873"/>
      <c r="J220" s="3934"/>
      <c r="K220" s="3908"/>
      <c r="L220" s="3874"/>
      <c r="M220" s="3908"/>
      <c r="N220" s="3922"/>
      <c r="O220" s="3920"/>
      <c r="P220" s="3969"/>
      <c r="Q220" s="3849">
        <v>0</v>
      </c>
      <c r="R220" s="3851">
        <v>0</v>
      </c>
      <c r="S220" s="3851">
        <v>0</v>
      </c>
      <c r="T220" s="3851">
        <v>0</v>
      </c>
      <c r="U220" s="3851">
        <v>0</v>
      </c>
      <c r="V220" s="3851">
        <v>0</v>
      </c>
      <c r="W220" s="3851">
        <f>'[26]מאזן בוחן צרפת'!W197</f>
        <v>0</v>
      </c>
      <c r="X220" s="3851">
        <f>'[27]מאזן בוחן צרפת'!X197</f>
        <v>0</v>
      </c>
      <c r="Y220" s="3851">
        <f>'[28]מאזן בוחן צרפת'!Y197</f>
        <v>0</v>
      </c>
      <c r="Z220" s="3851">
        <f>'[29]מאזן בוחן צרפת'!Z198</f>
        <v>0</v>
      </c>
      <c r="AA220" s="3851">
        <f>'[30]מאזן בוחן צרפת'!AA199</f>
        <v>0</v>
      </c>
      <c r="AB220" s="3851">
        <f>'[31]מאזן בוחן צרפת'!AB201</f>
        <v>0</v>
      </c>
      <c r="AC220" s="3851">
        <v>0</v>
      </c>
      <c r="AD220" s="3851">
        <v>0</v>
      </c>
      <c r="AE220" s="3851">
        <v>0</v>
      </c>
      <c r="AF220" s="3851">
        <v>0</v>
      </c>
      <c r="AG220" s="3851">
        <v>0</v>
      </c>
      <c r="AH220" s="3851">
        <f>$K220-SUM($W220:AG220)</f>
        <v>0</v>
      </c>
      <c r="AI220" s="3851"/>
      <c r="AJ220" s="3851"/>
      <c r="AK220" s="3851"/>
      <c r="AL220" s="3851"/>
      <c r="AM220" s="3851"/>
      <c r="AN220" s="3851"/>
      <c r="AO220" s="3851"/>
      <c r="AP220" s="3851"/>
      <c r="AQ220" s="3851"/>
      <c r="AR220" s="3851"/>
      <c r="AS220" s="3851"/>
      <c r="AU220" s="3849"/>
      <c r="AV220" s="3849"/>
      <c r="AW220" s="3849"/>
      <c r="AX220" s="3849"/>
      <c r="AY220" s="3849"/>
      <c r="AZ220" s="3849"/>
      <c r="BA220" s="3849"/>
      <c r="BB220" s="3849"/>
      <c r="BC220" s="3849"/>
      <c r="BD220" s="3849"/>
      <c r="BE220" s="3849"/>
      <c r="BF220" s="3849"/>
      <c r="BT220" s="3849"/>
    </row>
    <row r="221" spans="1:74">
      <c r="B221" s="3656"/>
      <c r="C221" s="3910"/>
      <c r="D221" s="1854" t="s">
        <v>86</v>
      </c>
      <c r="E221" s="3873"/>
      <c r="J221" s="3934"/>
      <c r="K221" s="3908"/>
      <c r="L221" s="3874"/>
      <c r="M221" s="3908"/>
      <c r="N221" s="3922"/>
      <c r="O221" s="3920"/>
      <c r="P221" s="3969"/>
      <c r="Q221" s="3849">
        <v>0</v>
      </c>
      <c r="R221" s="3851">
        <v>0</v>
      </c>
      <c r="S221" s="3851">
        <v>231642.67436406895</v>
      </c>
      <c r="T221" s="3851">
        <v>-231642.67436406895</v>
      </c>
      <c r="U221" s="3851">
        <v>0</v>
      </c>
      <c r="V221" s="3851">
        <v>0</v>
      </c>
      <c r="W221" s="3851">
        <f>'[26]מאזן בוחן צרפת'!W198</f>
        <v>0</v>
      </c>
      <c r="X221" s="3851">
        <f>'[27]מאזן בוחן צרפת'!X198</f>
        <v>0</v>
      </c>
      <c r="Y221" s="3851">
        <f>'[28]מאזן בוחן צרפת'!Y198</f>
        <v>0</v>
      </c>
      <c r="Z221" s="3851">
        <f>'[29]מאזן בוחן צרפת'!Z199</f>
        <v>0</v>
      </c>
      <c r="AA221" s="3851">
        <f>'[30]מאזן בוחן צרפת'!AA200</f>
        <v>0</v>
      </c>
      <c r="AB221" s="3851">
        <f>'[31]מאזן בוחן צרפת'!AB202</f>
        <v>0</v>
      </c>
      <c r="AC221" s="3851">
        <v>0</v>
      </c>
      <c r="AD221" s="3851">
        <v>0</v>
      </c>
      <c r="AE221" s="3851">
        <v>0</v>
      </c>
      <c r="AF221" s="3851">
        <v>0</v>
      </c>
      <c r="AG221" s="3851">
        <v>0</v>
      </c>
      <c r="AH221" s="3851">
        <f>$K221-SUM($W221:AG221)</f>
        <v>0</v>
      </c>
      <c r="AI221" s="3851"/>
      <c r="AJ221" s="3851"/>
      <c r="AK221" s="3851"/>
      <c r="AL221" s="3851"/>
      <c r="AM221" s="3851"/>
      <c r="AN221" s="3851"/>
      <c r="AO221" s="3851"/>
      <c r="AP221" s="3851"/>
      <c r="AQ221" s="3851"/>
      <c r="AR221" s="3851"/>
      <c r="AS221" s="3851"/>
      <c r="AU221" s="3849"/>
      <c r="AV221" s="3849"/>
      <c r="AW221" s="3849"/>
      <c r="AX221" s="3849"/>
      <c r="AY221" s="3849"/>
      <c r="AZ221" s="3849"/>
      <c r="BA221" s="3849"/>
      <c r="BB221" s="3849"/>
      <c r="BC221" s="3849"/>
      <c r="BD221" s="3849"/>
      <c r="BE221" s="3849"/>
      <c r="BF221" s="3849"/>
      <c r="BT221" s="3849"/>
    </row>
    <row r="222" spans="1:74">
      <c r="B222" s="3656"/>
      <c r="C222" s="3910"/>
      <c r="D222" s="1854"/>
      <c r="E222" s="3873"/>
      <c r="J222" s="3934"/>
      <c r="K222" s="3908"/>
      <c r="L222" s="3874"/>
      <c r="M222" s="3908"/>
      <c r="N222" s="3922"/>
      <c r="O222" s="3920"/>
      <c r="P222" s="3969"/>
      <c r="Q222" s="3849">
        <v>0</v>
      </c>
      <c r="R222" s="3851">
        <v>0</v>
      </c>
      <c r="S222" s="3851">
        <v>0</v>
      </c>
      <c r="T222" s="3851">
        <v>0</v>
      </c>
      <c r="U222" s="3851">
        <v>0</v>
      </c>
      <c r="V222" s="3851">
        <v>0</v>
      </c>
      <c r="W222" s="3851">
        <f>'[26]מאזן בוחן צרפת'!W199</f>
        <v>0</v>
      </c>
      <c r="X222" s="3851">
        <f>'[27]מאזן בוחן צרפת'!X199</f>
        <v>0</v>
      </c>
      <c r="Y222" s="3851">
        <f>'[28]מאזן בוחן צרפת'!Y199</f>
        <v>0</v>
      </c>
      <c r="Z222" s="3851">
        <f>'[29]מאזן בוחן צרפת'!Z200</f>
        <v>0</v>
      </c>
      <c r="AA222" s="3851">
        <f>'[30]מאזן בוחן צרפת'!AA201</f>
        <v>0</v>
      </c>
      <c r="AB222" s="3851">
        <f>'[31]מאזן בוחן צרפת'!AB203</f>
        <v>0</v>
      </c>
      <c r="AC222" s="3851">
        <v>0</v>
      </c>
      <c r="AD222" s="3851">
        <v>0</v>
      </c>
      <c r="AE222" s="3851">
        <v>0</v>
      </c>
      <c r="AF222" s="3851">
        <v>0</v>
      </c>
      <c r="AG222" s="3851">
        <v>0</v>
      </c>
      <c r="AH222" s="3851">
        <f>$K222-SUM($W222:AG222)</f>
        <v>0</v>
      </c>
      <c r="AI222" s="3851"/>
      <c r="AJ222" s="3851"/>
      <c r="AK222" s="3851"/>
      <c r="AL222" s="3851"/>
      <c r="AM222" s="3851"/>
      <c r="AN222" s="3851"/>
      <c r="AO222" s="3851"/>
      <c r="AP222" s="3851"/>
      <c r="AQ222" s="3851"/>
      <c r="AR222" s="3851"/>
      <c r="AS222" s="3851"/>
      <c r="AU222" s="3849"/>
      <c r="BB222" s="3849"/>
      <c r="BT222" s="3849"/>
    </row>
    <row r="223" spans="1:74">
      <c r="B223" s="3656"/>
      <c r="C223" s="3925"/>
      <c r="D223" s="3881"/>
      <c r="J223" s="3843"/>
      <c r="K223" s="4013"/>
      <c r="L223" s="3874"/>
      <c r="M223" s="4014"/>
      <c r="N223" s="3922"/>
      <c r="O223" s="3920"/>
      <c r="P223" s="3969"/>
      <c r="Q223" s="3849">
        <v>0</v>
      </c>
      <c r="R223" s="3851">
        <v>0</v>
      </c>
      <c r="S223" s="3851">
        <v>0</v>
      </c>
      <c r="T223" s="3851">
        <v>0</v>
      </c>
      <c r="U223" s="3851">
        <v>0</v>
      </c>
      <c r="V223" s="3851">
        <v>0</v>
      </c>
      <c r="W223" s="3851">
        <f>'[26]מאזן בוחן צרפת'!W200</f>
        <v>0</v>
      </c>
      <c r="X223" s="3851">
        <f>'[27]מאזן בוחן צרפת'!X200</f>
        <v>0</v>
      </c>
      <c r="Y223" s="3851">
        <f>'[28]מאזן בוחן צרפת'!Y200</f>
        <v>0</v>
      </c>
      <c r="Z223" s="3851">
        <f>'[29]מאזן בוחן צרפת'!Z201</f>
        <v>0</v>
      </c>
      <c r="AA223" s="3851">
        <f>'[30]מאזן בוחן צרפת'!AA202</f>
        <v>0</v>
      </c>
      <c r="AB223" s="3851">
        <f>'[31]מאזן בוחן צרפת'!AB204</f>
        <v>0</v>
      </c>
      <c r="AC223" s="3851">
        <v>0</v>
      </c>
      <c r="AD223" s="3851">
        <v>0</v>
      </c>
      <c r="AE223" s="3851">
        <v>0</v>
      </c>
      <c r="AF223" s="3851">
        <v>0</v>
      </c>
      <c r="AG223" s="3851">
        <v>0</v>
      </c>
      <c r="AH223" s="3851">
        <f>$K223-SUM($W223:AG223)</f>
        <v>0</v>
      </c>
      <c r="AI223" s="3851"/>
      <c r="AJ223" s="3851"/>
      <c r="AK223" s="3851"/>
      <c r="AL223" s="3851"/>
      <c r="AM223" s="3851"/>
      <c r="AN223" s="3851"/>
      <c r="AO223" s="3851"/>
      <c r="AP223" s="3851"/>
      <c r="AQ223" s="3851"/>
      <c r="AR223" s="3851"/>
      <c r="AS223" s="3851"/>
      <c r="AU223" s="3849"/>
      <c r="BB223" s="3849"/>
      <c r="BT223" s="3849"/>
    </row>
    <row r="224" spans="1:74" s="3849" customFormat="1">
      <c r="A224" s="3852"/>
      <c r="B224" s="3656"/>
      <c r="C224" s="3923"/>
      <c r="D224" s="3899"/>
      <c r="E224" s="3883"/>
      <c r="F224" s="3874"/>
      <c r="G224" s="3875"/>
      <c r="H224" s="3874"/>
      <c r="I224" s="3875"/>
      <c r="J224" s="3843"/>
      <c r="K224" s="4015"/>
      <c r="L224" s="3874"/>
      <c r="M224" s="4016"/>
      <c r="N224" s="3922"/>
      <c r="O224" s="3928"/>
      <c r="P224" s="3969"/>
      <c r="Q224" s="3849">
        <v>0</v>
      </c>
      <c r="R224" s="3851">
        <v>0</v>
      </c>
      <c r="S224" s="3851">
        <v>0</v>
      </c>
      <c r="T224" s="3851">
        <v>0</v>
      </c>
      <c r="U224" s="3851">
        <v>0</v>
      </c>
      <c r="V224" s="3851">
        <v>0</v>
      </c>
      <c r="W224" s="3851">
        <f>'[26]מאזן בוחן צרפת'!W201</f>
        <v>0</v>
      </c>
      <c r="X224" s="3851">
        <f>'[27]מאזן בוחן צרפת'!X201</f>
        <v>0</v>
      </c>
      <c r="Y224" s="3851">
        <f>'[28]מאזן בוחן צרפת'!Y201</f>
        <v>0</v>
      </c>
      <c r="Z224" s="3851">
        <f>'[29]מאזן בוחן צרפת'!Z202</f>
        <v>0</v>
      </c>
      <c r="AA224" s="3851">
        <f>'[30]מאזן בוחן צרפת'!AA203</f>
        <v>0</v>
      </c>
      <c r="AB224" s="3851">
        <f>'[31]מאזן בוחן צרפת'!AB205</f>
        <v>0</v>
      </c>
      <c r="AC224" s="3851">
        <v>0</v>
      </c>
      <c r="AD224" s="3851">
        <v>0</v>
      </c>
      <c r="AE224" s="3851">
        <v>0</v>
      </c>
      <c r="AF224" s="3851">
        <v>0</v>
      </c>
      <c r="AG224" s="3851">
        <v>0</v>
      </c>
      <c r="AH224" s="3851">
        <f>$K224-SUM($W224:AG224)</f>
        <v>0</v>
      </c>
      <c r="AI224" s="3851"/>
      <c r="AJ224" s="3851"/>
      <c r="AK224" s="3851"/>
      <c r="AL224" s="3851"/>
      <c r="AM224" s="3851"/>
      <c r="AN224" s="3851"/>
      <c r="AO224" s="3851"/>
      <c r="AP224" s="3851"/>
      <c r="AQ224" s="3851"/>
      <c r="AR224" s="3851"/>
      <c r="AS224" s="3851"/>
      <c r="AV224" s="3850"/>
      <c r="AW224" s="3850"/>
      <c r="AX224" s="3850"/>
      <c r="AY224" s="3850"/>
      <c r="AZ224" s="3850"/>
      <c r="BA224" s="3850"/>
      <c r="BC224" s="3850"/>
      <c r="BD224" s="3850"/>
      <c r="BE224" s="3850"/>
      <c r="BF224" s="3850"/>
      <c r="BG224" s="3850"/>
      <c r="BH224" s="3850"/>
      <c r="BI224" s="3850"/>
      <c r="BJ224" s="3850"/>
      <c r="BK224" s="3850"/>
      <c r="BL224" s="3850"/>
      <c r="BM224" s="3850"/>
      <c r="BO224" s="3850"/>
      <c r="BP224" s="3850"/>
      <c r="BQ224" s="3850"/>
      <c r="BR224" s="3850"/>
      <c r="BS224" s="3850"/>
      <c r="BV224" s="3850"/>
    </row>
    <row r="225" spans="1:75">
      <c r="B225" s="3656"/>
      <c r="C225" s="1890"/>
      <c r="D225" s="1886"/>
      <c r="E225" s="1882">
        <f t="shared" ref="E225:K225" si="53">SUM(E223:E224)</f>
        <v>0</v>
      </c>
      <c r="F225" s="1862">
        <f t="shared" si="53"/>
        <v>0</v>
      </c>
      <c r="G225" s="1862">
        <f t="shared" si="53"/>
        <v>0</v>
      </c>
      <c r="H225" s="1862">
        <f t="shared" si="53"/>
        <v>0</v>
      </c>
      <c r="I225" s="1862">
        <f t="shared" si="53"/>
        <v>0</v>
      </c>
      <c r="J225" s="1883">
        <f t="shared" si="53"/>
        <v>0</v>
      </c>
      <c r="K225" s="1883">
        <f t="shared" si="53"/>
        <v>0</v>
      </c>
      <c r="L225" s="1884"/>
      <c r="M225" s="1882">
        <f>SUM(M223:M224)</f>
        <v>0</v>
      </c>
      <c r="N225" s="3922"/>
      <c r="O225" s="3928"/>
      <c r="P225" s="3969"/>
      <c r="Q225" s="3849">
        <v>0</v>
      </c>
      <c r="R225" s="3851">
        <v>0</v>
      </c>
      <c r="S225" s="3851">
        <v>0</v>
      </c>
      <c r="T225" s="3851">
        <v>0</v>
      </c>
      <c r="U225" s="3851">
        <v>0</v>
      </c>
      <c r="V225" s="3851">
        <v>0</v>
      </c>
      <c r="W225" s="3851">
        <f>'[26]מאזן בוחן צרפת'!W202</f>
        <v>0</v>
      </c>
      <c r="X225" s="3851">
        <f>'[27]מאזן בוחן צרפת'!X202</f>
        <v>0</v>
      </c>
      <c r="Y225" s="3851">
        <f>'[28]מאזן בוחן צרפת'!Y202</f>
        <v>0</v>
      </c>
      <c r="Z225" s="3851">
        <f>'[29]מאזן בוחן צרפת'!Z203</f>
        <v>0</v>
      </c>
      <c r="AA225" s="3851">
        <f>'[30]מאזן בוחן צרפת'!AA204</f>
        <v>0</v>
      </c>
      <c r="AB225" s="3851">
        <f>'[31]מאזן בוחן צרפת'!AB206</f>
        <v>0</v>
      </c>
      <c r="AC225" s="3851">
        <v>0</v>
      </c>
      <c r="AD225" s="3851">
        <v>0</v>
      </c>
      <c r="AE225" s="3851">
        <v>0</v>
      </c>
      <c r="AF225" s="3851">
        <v>0</v>
      </c>
      <c r="AG225" s="3851">
        <v>0</v>
      </c>
      <c r="AH225" s="3851">
        <f>$K225-SUM($W225:AG225)</f>
        <v>0</v>
      </c>
      <c r="AI225" s="3851"/>
      <c r="AJ225" s="3851"/>
      <c r="AK225" s="3851"/>
      <c r="AL225" s="3851"/>
      <c r="AM225" s="3851"/>
      <c r="AN225" s="3851"/>
      <c r="AO225" s="3851"/>
      <c r="AP225" s="3851"/>
      <c r="AQ225" s="3851"/>
      <c r="AR225" s="3851"/>
      <c r="AS225" s="3851"/>
      <c r="AU225" s="3849"/>
      <c r="BB225" s="3849"/>
      <c r="BT225" s="3849"/>
    </row>
    <row r="226" spans="1:75">
      <c r="B226" s="3656"/>
      <c r="C226" s="1890"/>
      <c r="D226" s="1854" t="s">
        <v>87</v>
      </c>
      <c r="E226" s="4017"/>
      <c r="F226" s="4018"/>
      <c r="G226" s="4019"/>
      <c r="H226" s="4018"/>
      <c r="I226" s="4019"/>
      <c r="J226" s="3843"/>
      <c r="K226" s="3844"/>
      <c r="L226" s="3874"/>
      <c r="M226" s="3844"/>
      <c r="N226" s="3922"/>
      <c r="O226" s="3928"/>
      <c r="P226" s="3969"/>
      <c r="Q226" s="3849">
        <v>0</v>
      </c>
      <c r="R226" s="3851">
        <v>0</v>
      </c>
      <c r="S226" s="3851">
        <v>0</v>
      </c>
      <c r="T226" s="3851">
        <v>0</v>
      </c>
      <c r="U226" s="3851">
        <v>0</v>
      </c>
      <c r="V226" s="3851">
        <v>0</v>
      </c>
      <c r="W226" s="3851">
        <f>'[26]מאזן בוחן צרפת'!W203</f>
        <v>0</v>
      </c>
      <c r="X226" s="3851">
        <f>'[27]מאזן בוחן צרפת'!X203</f>
        <v>0</v>
      </c>
      <c r="Y226" s="3851">
        <f>'[28]מאזן בוחן צרפת'!Y203</f>
        <v>0</v>
      </c>
      <c r="Z226" s="3851">
        <f>'[29]מאזן בוחן צרפת'!Z204</f>
        <v>0</v>
      </c>
      <c r="AA226" s="3851">
        <f>'[30]מאזן בוחן צרפת'!AA205</f>
        <v>0</v>
      </c>
      <c r="AB226" s="3851">
        <f>'[31]מאזן בוחן צרפת'!AB207</f>
        <v>0</v>
      </c>
      <c r="AC226" s="3851">
        <v>0</v>
      </c>
      <c r="AD226" s="3851">
        <v>0</v>
      </c>
      <c r="AE226" s="3851">
        <v>0</v>
      </c>
      <c r="AF226" s="3851">
        <v>0</v>
      </c>
      <c r="AG226" s="3851">
        <v>0</v>
      </c>
      <c r="AH226" s="3851">
        <f>$K226-SUM($W226:AG226)</f>
        <v>0</v>
      </c>
      <c r="AI226" s="3851"/>
      <c r="AJ226" s="3851"/>
      <c r="AK226" s="3851"/>
      <c r="AL226" s="3851"/>
      <c r="AM226" s="3851"/>
      <c r="AN226" s="3851"/>
      <c r="AO226" s="3851"/>
      <c r="AP226" s="3851"/>
      <c r="AQ226" s="3851"/>
      <c r="AR226" s="3851"/>
      <c r="AS226" s="3851"/>
      <c r="AU226" s="3849"/>
      <c r="BB226" s="3849"/>
      <c r="BT226" s="3849"/>
    </row>
    <row r="227" spans="1:75">
      <c r="B227" s="3966"/>
      <c r="C227" s="3923"/>
      <c r="D227" s="3899"/>
      <c r="G227" s="4019"/>
      <c r="H227" s="4018"/>
      <c r="I227" s="4019"/>
      <c r="J227" s="3843"/>
      <c r="K227" s="4015"/>
      <c r="L227" s="3874"/>
      <c r="M227" s="4016"/>
      <c r="N227" s="3922"/>
      <c r="O227" s="3928"/>
      <c r="P227" s="3969"/>
      <c r="Q227" s="3849">
        <v>0</v>
      </c>
      <c r="R227" s="3851">
        <v>0</v>
      </c>
      <c r="S227" s="3851">
        <v>0</v>
      </c>
      <c r="T227" s="3851">
        <v>0</v>
      </c>
      <c r="U227" s="3851">
        <v>0</v>
      </c>
      <c r="V227" s="3851">
        <v>0</v>
      </c>
      <c r="W227" s="3851">
        <f>'[26]מאזן בוחן צרפת'!W204</f>
        <v>0</v>
      </c>
      <c r="X227" s="3851">
        <f>'[27]מאזן בוחן צרפת'!X204</f>
        <v>0</v>
      </c>
      <c r="Y227" s="3851">
        <f>'[28]מאזן בוחן צרפת'!Y204</f>
        <v>0</v>
      </c>
      <c r="Z227" s="3851">
        <f>'[29]מאזן בוחן צרפת'!Z205</f>
        <v>0</v>
      </c>
      <c r="AA227" s="3851">
        <f>'[30]מאזן בוחן צרפת'!AA206</f>
        <v>0</v>
      </c>
      <c r="AB227" s="3851">
        <f>'[31]מאזן בוחן צרפת'!AB208</f>
        <v>0</v>
      </c>
      <c r="AC227" s="3851">
        <v>0</v>
      </c>
      <c r="AD227" s="3851">
        <v>0</v>
      </c>
      <c r="AE227" s="3851">
        <v>0</v>
      </c>
      <c r="AF227" s="3851">
        <v>0</v>
      </c>
      <c r="AG227" s="3851">
        <v>0</v>
      </c>
      <c r="AH227" s="3851">
        <f>$K227-SUM($W227:AG227)</f>
        <v>0</v>
      </c>
      <c r="AI227" s="3851"/>
      <c r="AJ227" s="3851"/>
      <c r="AK227" s="3851"/>
      <c r="AL227" s="3851"/>
      <c r="AM227" s="3851"/>
      <c r="AN227" s="3851"/>
      <c r="AO227" s="3851"/>
      <c r="AP227" s="3851"/>
      <c r="AQ227" s="3851"/>
      <c r="AR227" s="3851"/>
      <c r="AS227" s="3851"/>
      <c r="AU227" s="3849"/>
      <c r="BB227" s="3849"/>
      <c r="BT227" s="3849"/>
    </row>
    <row r="228" spans="1:75">
      <c r="B228" s="3914"/>
      <c r="C228" s="3901"/>
      <c r="D228" s="1886"/>
      <c r="E228" s="1882">
        <f t="shared" ref="E228:M228" si="54">SUM(E227:E227)</f>
        <v>0</v>
      </c>
      <c r="F228" s="3296">
        <f t="shared" si="54"/>
        <v>0</v>
      </c>
      <c r="G228" s="1862">
        <f t="shared" si="54"/>
        <v>0</v>
      </c>
      <c r="H228" s="1862">
        <f t="shared" si="54"/>
        <v>0</v>
      </c>
      <c r="I228" s="1862">
        <f t="shared" si="54"/>
        <v>0</v>
      </c>
      <c r="J228" s="1883">
        <f t="shared" si="54"/>
        <v>0</v>
      </c>
      <c r="K228" s="1883">
        <f t="shared" si="54"/>
        <v>0</v>
      </c>
      <c r="L228" s="1884"/>
      <c r="M228" s="1883">
        <f t="shared" si="54"/>
        <v>0</v>
      </c>
      <c r="N228" s="3922"/>
      <c r="O228" s="3928"/>
      <c r="P228" s="3969"/>
      <c r="Q228" s="3849">
        <v>0</v>
      </c>
      <c r="R228" s="3851">
        <v>0</v>
      </c>
      <c r="S228" s="3851">
        <v>0</v>
      </c>
      <c r="T228" s="3851">
        <v>0</v>
      </c>
      <c r="U228" s="3851">
        <v>0</v>
      </c>
      <c r="V228" s="3851">
        <v>0</v>
      </c>
      <c r="W228" s="3851">
        <f>'[26]מאזן בוחן צרפת'!W205</f>
        <v>0</v>
      </c>
      <c r="X228" s="3851">
        <f>'[27]מאזן בוחן צרפת'!X205</f>
        <v>0</v>
      </c>
      <c r="Y228" s="3851">
        <f>'[28]מאזן בוחן צרפת'!Y205</f>
        <v>0</v>
      </c>
      <c r="Z228" s="3851">
        <f>'[29]מאזן בוחן צרפת'!Z206</f>
        <v>0</v>
      </c>
      <c r="AA228" s="3851">
        <f>'[30]מאזן בוחן צרפת'!AA207</f>
        <v>0</v>
      </c>
      <c r="AB228" s="3851">
        <f>'[31]מאזן בוחן צרפת'!AB209</f>
        <v>0</v>
      </c>
      <c r="AC228" s="3851">
        <v>0</v>
      </c>
      <c r="AD228" s="3851">
        <v>0</v>
      </c>
      <c r="AE228" s="3851">
        <v>0</v>
      </c>
      <c r="AF228" s="3851">
        <v>0</v>
      </c>
      <c r="AG228" s="3851">
        <v>0</v>
      </c>
      <c r="AH228" s="3851">
        <f>$K228-SUM($W228:AG228)</f>
        <v>0</v>
      </c>
      <c r="AI228" s="3851"/>
      <c r="AJ228" s="3851"/>
      <c r="AK228" s="3851"/>
      <c r="AL228" s="3851"/>
      <c r="AM228" s="3851"/>
      <c r="AN228" s="3851"/>
      <c r="AO228" s="3851"/>
      <c r="AP228" s="3851"/>
      <c r="AQ228" s="3851"/>
      <c r="AR228" s="3851"/>
      <c r="AS228" s="3851"/>
      <c r="AU228" s="3849"/>
      <c r="BB228" s="3849"/>
      <c r="BT228" s="3849"/>
    </row>
    <row r="229" spans="1:75">
      <c r="B229" s="3914"/>
      <c r="C229" s="3901"/>
      <c r="D229" s="1854" t="s">
        <v>92</v>
      </c>
      <c r="J229" s="3843"/>
      <c r="K229" s="3845"/>
      <c r="L229" s="3874"/>
      <c r="M229" s="3845"/>
      <c r="N229" s="3922"/>
      <c r="O229" s="3928"/>
      <c r="P229" s="3969"/>
      <c r="Q229" s="3849">
        <v>0</v>
      </c>
      <c r="R229" s="3851">
        <v>0</v>
      </c>
      <c r="S229" s="3851">
        <v>0</v>
      </c>
      <c r="T229" s="3851">
        <v>0</v>
      </c>
      <c r="U229" s="3851">
        <v>0</v>
      </c>
      <c r="V229" s="3851">
        <v>0</v>
      </c>
      <c r="W229" s="3851">
        <f>'[26]מאזן בוחן צרפת'!W206</f>
        <v>0</v>
      </c>
      <c r="X229" s="3851">
        <f>'[27]מאזן בוחן צרפת'!X206</f>
        <v>0</v>
      </c>
      <c r="Y229" s="3851">
        <f>'[28]מאזן בוחן צרפת'!Y206</f>
        <v>0</v>
      </c>
      <c r="Z229" s="3851">
        <f>'[29]מאזן בוחן צרפת'!Z207</f>
        <v>0</v>
      </c>
      <c r="AA229" s="3851">
        <f>'[30]מאזן בוחן צרפת'!AA208</f>
        <v>0</v>
      </c>
      <c r="AB229" s="3851">
        <f>'[31]מאזן בוחן צרפת'!AB210</f>
        <v>0</v>
      </c>
      <c r="AC229" s="3851">
        <v>0</v>
      </c>
      <c r="AD229" s="3851">
        <v>0</v>
      </c>
      <c r="AE229" s="3851">
        <v>0</v>
      </c>
      <c r="AF229" s="3851">
        <v>0</v>
      </c>
      <c r="AG229" s="3851">
        <v>0</v>
      </c>
      <c r="AH229" s="3851">
        <f>$K229-SUM($W229:AG229)</f>
        <v>0</v>
      </c>
      <c r="AI229" s="3851"/>
      <c r="AJ229" s="3851"/>
      <c r="AK229" s="3851"/>
      <c r="AL229" s="3851"/>
      <c r="AM229" s="3851"/>
      <c r="AN229" s="3851"/>
      <c r="AO229" s="3851"/>
      <c r="AP229" s="3851"/>
      <c r="AQ229" s="3851"/>
      <c r="AR229" s="3851"/>
      <c r="AS229" s="3851"/>
      <c r="AU229" s="3849"/>
      <c r="BB229" s="3849"/>
      <c r="BT229" s="3849"/>
    </row>
    <row r="230" spans="1:75">
      <c r="A230" s="3857"/>
      <c r="B230" s="3966" t="s">
        <v>2250</v>
      </c>
      <c r="C230" s="3901">
        <v>8020013</v>
      </c>
      <c r="D230" s="4008" t="s">
        <v>370</v>
      </c>
      <c r="E230" s="3844">
        <f>IFERROR(VLOOKUP(C230,'פ.נ. צרפת'!$D$129:$F$1048576,3,0),0)</f>
        <v>118.25</v>
      </c>
      <c r="F230" s="3843">
        <f>SUMIF('פ.נ. צרפת'!$C:$C,$C:$C,'פ.נ. צרפת'!$E:$E)</f>
        <v>0</v>
      </c>
      <c r="G230" s="3882"/>
      <c r="H230" s="3884"/>
      <c r="I230" s="3882"/>
      <c r="J230" s="4293">
        <f>SUM(E230:I230)</f>
        <v>118.25</v>
      </c>
      <c r="K230" s="3944">
        <f>M230+SUMIF('פ.נ. צרפת'!$C:$C,$C:$C,'פ.נ. צרפת'!$F:$F)</f>
        <v>139.19</v>
      </c>
      <c r="L230" s="3845"/>
      <c r="M230" s="3931">
        <f>IFERROR(VLOOKUP(C230,'פ.נ. צרפת'!$D$129:$G$1048576,4,0),"")</f>
        <v>139.19</v>
      </c>
      <c r="N230" s="3877">
        <f>IF(K230=0,"-",J230/K230)</f>
        <v>0.8495581579136432</v>
      </c>
      <c r="O230" s="3920"/>
      <c r="P230" s="3969" t="s">
        <v>2544</v>
      </c>
      <c r="Q230" s="3849">
        <v>4512.8531220657278</v>
      </c>
      <c r="R230" s="3851">
        <v>-3762.673122065728</v>
      </c>
      <c r="S230" s="3851">
        <v>0</v>
      </c>
      <c r="T230" s="3851">
        <v>0</v>
      </c>
      <c r="U230" s="3851">
        <v>0</v>
      </c>
      <c r="V230" s="3851">
        <v>0</v>
      </c>
      <c r="W230" s="3851">
        <f>'[26]מאזן בוחן צרפת'!W207</f>
        <v>0</v>
      </c>
      <c r="X230" s="3851">
        <f>'[27]מאזן בוחן צרפת'!X207</f>
        <v>0</v>
      </c>
      <c r="Y230" s="3851">
        <f>'[28]מאזן בוחן צרפת'!Y207</f>
        <v>0</v>
      </c>
      <c r="Z230" s="3851">
        <f>'[29]מאזן בוחן צרפת'!Z208</f>
        <v>0</v>
      </c>
      <c r="AA230" s="3851">
        <f>'[30]מאזן בוחן צרפת'!AA209</f>
        <v>0</v>
      </c>
      <c r="AB230" s="3851">
        <f>'[31]מאזן בוחן צרפת'!AB211</f>
        <v>119.38</v>
      </c>
      <c r="AC230" s="3851">
        <v>0</v>
      </c>
      <c r="AD230" s="3851">
        <v>0</v>
      </c>
      <c r="AE230" s="3851">
        <v>0</v>
      </c>
      <c r="AF230" s="3851">
        <v>0</v>
      </c>
      <c r="AG230" s="3851">
        <v>0</v>
      </c>
      <c r="AH230" s="3851">
        <f>$K230-SUM($W230:AG230)</f>
        <v>19.810000000000002</v>
      </c>
      <c r="AI230" s="3851"/>
      <c r="AJ230" s="3851"/>
      <c r="AK230" s="3851"/>
      <c r="AL230" s="3851"/>
      <c r="AM230" s="3851"/>
      <c r="AN230" s="3851"/>
      <c r="AO230" s="3851"/>
      <c r="AP230" s="3851"/>
      <c r="AQ230" s="3851"/>
      <c r="AR230" s="3851"/>
      <c r="AS230" s="3851"/>
      <c r="AW230" s="3874"/>
      <c r="AX230" s="1850"/>
      <c r="AY230" s="1850"/>
      <c r="AZ230" s="1850"/>
      <c r="BA230" s="1866"/>
      <c r="BB230" s="3851"/>
      <c r="BC230" s="3851"/>
      <c r="BD230" s="3851"/>
      <c r="BE230" s="3851"/>
      <c r="BF230" s="3851"/>
      <c r="BG230" s="3851"/>
      <c r="BH230" s="3851"/>
      <c r="BI230" s="1850"/>
      <c r="BJ230" s="3851"/>
      <c r="BK230" s="3851"/>
      <c r="BL230" s="3874"/>
      <c r="BM230" s="3874"/>
    </row>
    <row r="231" spans="1:75">
      <c r="A231" s="3857"/>
      <c r="B231" s="3966" t="s">
        <v>1337</v>
      </c>
      <c r="C231" s="3901">
        <v>8410070</v>
      </c>
      <c r="D231" s="3929" t="s">
        <v>98</v>
      </c>
      <c r="E231" s="3844">
        <f>IFERROR(VLOOKUP(C231,'פ.נ. צרפת'!$D$129:$F$1048576,3,0),0)</f>
        <v>650</v>
      </c>
      <c r="F231" s="3843">
        <f>SUMIF('פ.נ. צרפת'!$C:$C,$C:$C,'פ.נ. צרפת'!$E:$E)</f>
        <v>0</v>
      </c>
      <c r="G231" s="3882"/>
      <c r="H231" s="3884"/>
      <c r="I231" s="3882"/>
      <c r="J231" s="4293">
        <f>SUM(E231:I231)</f>
        <v>650</v>
      </c>
      <c r="K231" s="3944">
        <f>M231+SUMIF('פ.נ. צרפת'!$C:$C,$C:$C,'פ.נ. צרפת'!$F:$F)</f>
        <v>796.48</v>
      </c>
      <c r="L231" s="3845"/>
      <c r="M231" s="3931">
        <f>IFERROR(VLOOKUP(C231,'פ.נ. צרפת'!$D$129:$G$1048576,4,0),"")</f>
        <v>796.48</v>
      </c>
      <c r="N231" s="3877">
        <f>IF(K231=0,"-",J231/K231)</f>
        <v>0.81609079951787866</v>
      </c>
      <c r="O231" s="3920"/>
      <c r="P231" s="3969"/>
      <c r="Q231" s="3849">
        <v>610.96</v>
      </c>
      <c r="R231" s="3851">
        <v>0</v>
      </c>
      <c r="S231" s="3851">
        <v>0</v>
      </c>
      <c r="T231" s="3851">
        <v>0</v>
      </c>
      <c r="U231" s="3851">
        <v>0</v>
      </c>
      <c r="V231" s="3851">
        <v>0</v>
      </c>
      <c r="W231" s="3851">
        <f>'[26]מאזן בוחן צרפת'!W208</f>
        <v>0</v>
      </c>
      <c r="X231" s="3851">
        <f>'[27]מאזן בוחן צרפת'!X208</f>
        <v>0</v>
      </c>
      <c r="Y231" s="3851">
        <f>'[28]מאזן בוחן צרפת'!Y208</f>
        <v>0</v>
      </c>
      <c r="Z231" s="3851">
        <f>'[29]מאזן בוחן צרפת'!Z209</f>
        <v>0</v>
      </c>
      <c r="AA231" s="3851">
        <f>'[30]מאזן בוחן צרפת'!AA210</f>
        <v>796.48</v>
      </c>
      <c r="AB231" s="3851">
        <f>'[31]מאזן בוחן צרפת'!AB212</f>
        <v>0</v>
      </c>
      <c r="AC231" s="3851">
        <v>0</v>
      </c>
      <c r="AD231" s="3851">
        <v>0</v>
      </c>
      <c r="AE231" s="3851">
        <v>0</v>
      </c>
      <c r="AF231" s="3851">
        <v>0</v>
      </c>
      <c r="AG231" s="3851">
        <v>0</v>
      </c>
      <c r="AH231" s="3851">
        <f>$K231-SUM($W231:AG231)</f>
        <v>0</v>
      </c>
      <c r="AI231" s="3851"/>
      <c r="AJ231" s="3851"/>
      <c r="AK231" s="3851"/>
      <c r="AL231" s="3851"/>
      <c r="AM231" s="3851"/>
      <c r="AN231" s="3851"/>
      <c r="AO231" s="3851"/>
      <c r="AP231" s="3851"/>
      <c r="AQ231" s="3851"/>
      <c r="AR231" s="3851"/>
      <c r="AS231" s="3851"/>
      <c r="AW231" s="3874"/>
      <c r="AX231" s="1850"/>
      <c r="AY231" s="1850"/>
      <c r="AZ231" s="1850"/>
      <c r="BA231" s="1866"/>
      <c r="BB231" s="3851"/>
      <c r="BC231" s="3851"/>
      <c r="BD231" s="3851"/>
      <c r="BE231" s="3851"/>
      <c r="BF231" s="3851"/>
      <c r="BG231" s="3851"/>
      <c r="BH231" s="3851"/>
      <c r="BI231" s="1850"/>
      <c r="BJ231" s="3851"/>
      <c r="BK231" s="3851"/>
      <c r="BL231" s="3874"/>
      <c r="BM231" s="3874"/>
    </row>
    <row r="232" spans="1:75">
      <c r="B232" s="3966" t="s">
        <v>1337</v>
      </c>
      <c r="C232" s="3901">
        <v>8410069</v>
      </c>
      <c r="D232" s="4010" t="s">
        <v>1338</v>
      </c>
      <c r="E232" s="3844">
        <f>IFERROR(VLOOKUP(C232,'פ.נ. צרפת'!$D$129:$F$1048576,3,0),0)</f>
        <v>21500</v>
      </c>
      <c r="F232" s="3843">
        <f>SUMIF('פ.נ. צרפת'!$C:$C,$C:$C,'פ.נ. צרפת'!$E:$E)</f>
        <v>0</v>
      </c>
      <c r="G232" s="3882"/>
      <c r="H232" s="3884"/>
      <c r="I232" s="3882"/>
      <c r="J232" s="4293">
        <f>SUM(E232:I232)</f>
        <v>21500</v>
      </c>
      <c r="K232" s="3944">
        <f>M232+SUMIF('פ.נ. צרפת'!$C:$C,$C:$C,'פ.נ. צרפת'!$F:$F)</f>
        <v>25071.43</v>
      </c>
      <c r="L232" s="3845"/>
      <c r="M232" s="3931">
        <f>IFERROR(VLOOKUP(C232,'פ.נ. צרפת'!$D$129:$G$1048576,4,0),"")</f>
        <v>25071.43</v>
      </c>
      <c r="N232" s="3877">
        <f>IF(K232=0,"-",J232/K232)</f>
        <v>0.85754980868662056</v>
      </c>
      <c r="O232" s="3928"/>
      <c r="P232" s="3969" t="s">
        <v>2545</v>
      </c>
      <c r="Q232" s="3849">
        <v>0</v>
      </c>
      <c r="R232" s="3851">
        <v>3810.15</v>
      </c>
      <c r="S232" s="3851">
        <v>0</v>
      </c>
      <c r="T232" s="3851">
        <v>2862.8799999999997</v>
      </c>
      <c r="U232" s="3851">
        <v>1468.5172430471584</v>
      </c>
      <c r="V232" s="3851">
        <v>1511.2027569528418</v>
      </c>
      <c r="W232" s="3851">
        <f>'[26]מאזן בוחן צרפת'!W209</f>
        <v>1484.1</v>
      </c>
      <c r="X232" s="3851">
        <f>'[27]מאזן בוחן צרפת'!X209</f>
        <v>1498.23</v>
      </c>
      <c r="Y232" s="3851">
        <f>'[28]מאזן בוחן צרפת'!Y209</f>
        <v>1437.63</v>
      </c>
      <c r="Z232" s="3851">
        <f>'[29]מאזן בוחן צרפת'!Z210</f>
        <v>1481.62</v>
      </c>
      <c r="AA232" s="3851">
        <f>'[30]מאזן בוחן צרפת'!AA211</f>
        <v>1494.5500000000002</v>
      </c>
      <c r="AB232" s="3851">
        <f>'[31]מאזן בוחן צרפת'!AB213</f>
        <v>1456.0199999999995</v>
      </c>
      <c r="AC232" s="3851">
        <v>1458.4099999999999</v>
      </c>
      <c r="AD232" s="3851">
        <v>1272.8700000000008</v>
      </c>
      <c r="AE232" s="3851">
        <v>1417.3400000000001</v>
      </c>
      <c r="AF232" s="3851">
        <v>1429.7399999999998</v>
      </c>
      <c r="AG232" s="3851">
        <v>2067.5199999999986</v>
      </c>
      <c r="AH232" s="3851">
        <f>$K232-SUM($W232:AG232)</f>
        <v>8573.4000000000015</v>
      </c>
      <c r="AI232" s="3851"/>
      <c r="AJ232" s="3851"/>
      <c r="AK232" s="3851"/>
      <c r="AL232" s="3851"/>
      <c r="AM232" s="3851"/>
      <c r="AN232" s="3851"/>
      <c r="AO232" s="3851"/>
      <c r="AP232" s="3851"/>
      <c r="AQ232" s="3851"/>
      <c r="AR232" s="3851"/>
      <c r="AS232" s="3851"/>
      <c r="AU232" s="3849"/>
      <c r="BB232" s="3849"/>
      <c r="BT232" s="3849"/>
      <c r="BW232" s="3856"/>
    </row>
    <row r="233" spans="1:75">
      <c r="B233" s="3914"/>
      <c r="C233" s="3901"/>
      <c r="D233" s="1886"/>
      <c r="E233" s="1882">
        <f t="shared" ref="E233:K233" si="55">SUM(E230:E232)</f>
        <v>22268.25</v>
      </c>
      <c r="F233" s="3297">
        <f t="shared" si="55"/>
        <v>0</v>
      </c>
      <c r="G233" s="1862">
        <f t="shared" si="55"/>
        <v>0</v>
      </c>
      <c r="H233" s="1862">
        <f t="shared" si="55"/>
        <v>0</v>
      </c>
      <c r="I233" s="1862">
        <f t="shared" si="55"/>
        <v>0</v>
      </c>
      <c r="J233" s="1883">
        <f t="shared" si="55"/>
        <v>22268.25</v>
      </c>
      <c r="K233" s="1883">
        <f t="shared" si="55"/>
        <v>26007.1</v>
      </c>
      <c r="L233" s="1884"/>
      <c r="M233" s="1883">
        <f>SUM(M230:M232)</f>
        <v>26007.1</v>
      </c>
      <c r="N233" s="3922"/>
      <c r="O233" s="3928"/>
      <c r="P233" s="3969"/>
      <c r="Q233" s="3849">
        <v>0</v>
      </c>
      <c r="R233" s="3851">
        <v>5171.29</v>
      </c>
      <c r="S233" s="3851">
        <v>0</v>
      </c>
      <c r="T233" s="3851">
        <v>2862.88</v>
      </c>
      <c r="U233" s="3851">
        <v>1468.5172430471575</v>
      </c>
      <c r="V233" s="3851">
        <v>0</v>
      </c>
      <c r="W233" s="3851">
        <f>'[26]מאזן בוחן צרפת'!W210</f>
        <v>1484.1</v>
      </c>
      <c r="X233" s="3851">
        <f>'[27]מאזן בוחן צרפת'!X210</f>
        <v>1498.23</v>
      </c>
      <c r="Y233" s="3851">
        <f>'[28]מאזן בוחן צרפת'!Y210</f>
        <v>1437.63</v>
      </c>
      <c r="Z233" s="3851">
        <f>'[29]מאזן בוחן צרפת'!Z211</f>
        <v>1481.62</v>
      </c>
      <c r="AA233" s="3851">
        <f>'[30]מאזן בוחן צרפת'!AA212</f>
        <v>2291.0300000000007</v>
      </c>
      <c r="AB233" s="3851">
        <f>'[31]מאזן בוחן צרפת'!AB214</f>
        <v>1575.3999999999996</v>
      </c>
      <c r="AC233" s="3851">
        <v>1458.4099999999999</v>
      </c>
      <c r="AD233" s="3851">
        <v>1272.8700000000008</v>
      </c>
      <c r="AE233" s="3851">
        <v>1417.3400000000001</v>
      </c>
      <c r="AF233" s="3851">
        <v>1429.7399999999998</v>
      </c>
      <c r="AG233" s="3851">
        <v>2067.5199999999986</v>
      </c>
      <c r="AH233" s="3851">
        <f>$K233-SUM($W233:AG233)</f>
        <v>8593.2099999999991</v>
      </c>
      <c r="AI233" s="3851"/>
      <c r="AJ233" s="3851"/>
      <c r="AK233" s="3851"/>
      <c r="AL233" s="3851"/>
      <c r="AM233" s="3851"/>
      <c r="AN233" s="3851"/>
      <c r="AO233" s="3851"/>
      <c r="AP233" s="3851"/>
      <c r="AQ233" s="3851"/>
      <c r="AR233" s="3851"/>
      <c r="AS233" s="3851"/>
      <c r="AU233" s="3849"/>
      <c r="BB233" s="3849"/>
      <c r="BT233" s="3849"/>
      <c r="BW233" s="3856"/>
    </row>
    <row r="234" spans="1:75" ht="15" customHeight="1">
      <c r="B234" s="3914"/>
      <c r="C234" s="3901"/>
      <c r="D234" s="1854" t="s">
        <v>93</v>
      </c>
      <c r="E234" s="3873"/>
      <c r="F234" s="3851"/>
      <c r="J234" s="3843"/>
      <c r="K234" s="3845"/>
      <c r="L234" s="3874"/>
      <c r="M234" s="3845"/>
      <c r="N234" s="3922"/>
      <c r="O234" s="3920"/>
      <c r="P234" s="3969"/>
      <c r="Q234" s="3849">
        <v>0</v>
      </c>
      <c r="R234" s="3851">
        <v>0</v>
      </c>
      <c r="S234" s="3851">
        <v>0</v>
      </c>
      <c r="T234" s="3851">
        <v>0</v>
      </c>
      <c r="U234" s="3851">
        <v>0</v>
      </c>
      <c r="V234" s="3851">
        <v>179.17778718258762</v>
      </c>
      <c r="W234" s="3851">
        <f>'[26]מאזן בוחן צרפת'!W211</f>
        <v>0</v>
      </c>
      <c r="X234" s="3851">
        <f>'[27]מאזן בוחן צרפת'!X211</f>
        <v>0</v>
      </c>
      <c r="Y234" s="3851">
        <f>'[28]מאזן בוחן צרפת'!Y211</f>
        <v>0</v>
      </c>
      <c r="Z234" s="3851">
        <f>'[29]מאזן בוחן צרפת'!Z212</f>
        <v>0</v>
      </c>
      <c r="AA234" s="3851">
        <f>'[30]מאזן בוחן צרפת'!AA213</f>
        <v>0</v>
      </c>
      <c r="AB234" s="3851">
        <f>'[31]מאזן בוחן צרפת'!AB215</f>
        <v>0</v>
      </c>
      <c r="AC234" s="3851">
        <v>0</v>
      </c>
      <c r="AD234" s="3851">
        <v>0</v>
      </c>
      <c r="AE234" s="3851">
        <v>0</v>
      </c>
      <c r="AF234" s="3851">
        <v>0</v>
      </c>
      <c r="AG234" s="3851">
        <v>0</v>
      </c>
      <c r="AH234" s="3851">
        <f>$K234-SUM($W234:AG234)</f>
        <v>0</v>
      </c>
      <c r="AI234" s="3851"/>
      <c r="AJ234" s="3851"/>
      <c r="AK234" s="3851"/>
      <c r="AL234" s="3851"/>
      <c r="AM234" s="3851"/>
      <c r="AN234" s="3851"/>
      <c r="AO234" s="3851"/>
      <c r="AP234" s="3851"/>
      <c r="AQ234" s="3851"/>
      <c r="AR234" s="3851"/>
      <c r="AS234" s="3851"/>
      <c r="AU234" s="3849"/>
      <c r="BB234" s="3849"/>
      <c r="BT234" s="3849"/>
      <c r="BW234" s="3856"/>
    </row>
    <row r="235" spans="1:75">
      <c r="A235" s="3857"/>
      <c r="B235" s="3966" t="s">
        <v>1337</v>
      </c>
      <c r="C235" s="3901">
        <v>8410066</v>
      </c>
      <c r="D235" s="4008" t="s">
        <v>491</v>
      </c>
      <c r="E235" s="3844">
        <f>IFERROR(VLOOKUP(C235,'פ.נ. צרפת'!$D$129:$F$1048576,3,0),0)</f>
        <v>1675.17</v>
      </c>
      <c r="F235" s="3843">
        <f>SUMIF('פ.נ. צרפת'!$C:$C,$C:$C,'פ.נ. צרפת'!$E:$E)</f>
        <v>0</v>
      </c>
      <c r="G235" s="3882"/>
      <c r="H235" s="3884"/>
      <c r="I235" s="3882"/>
      <c r="J235" s="4293">
        <f>SUM(E235:I235)</f>
        <v>1675.17</v>
      </c>
      <c r="K235" s="3944">
        <f>M235+SUMIF('פ.נ. צרפת'!$C:$C,$C:$C,'פ.נ. צרפת'!$F:$F)</f>
        <v>1947.89</v>
      </c>
      <c r="L235" s="3845"/>
      <c r="M235" s="3931">
        <f>IFERROR(VLOOKUP(C235,'פ.נ. צרפת'!$D$129:$G$1048576,4,0),"")</f>
        <v>1947.89</v>
      </c>
      <c r="N235" s="3877">
        <f>IF(K235=0,"-",J235/K235)</f>
        <v>0.85999209400941534</v>
      </c>
      <c r="O235" s="3920"/>
      <c r="P235" s="3969"/>
      <c r="R235" s="3851">
        <v>0</v>
      </c>
      <c r="S235" s="3851">
        <v>1433.19</v>
      </c>
      <c r="T235" s="3851">
        <v>-1084.225968731736</v>
      </c>
      <c r="U235" s="3851">
        <v>171.86818154914829</v>
      </c>
      <c r="V235" s="3851">
        <v>0</v>
      </c>
      <c r="W235" s="3851">
        <f>'[26]מאזן בוחן צרפת'!W212</f>
        <v>163.79307319093476</v>
      </c>
      <c r="X235" s="3851">
        <f>'[27]מאזן בוחן צרפת'!X212</f>
        <v>163.79307319093476</v>
      </c>
      <c r="Y235" s="3851">
        <f>'[28]מאזן בוחן צרפת'!Y212</f>
        <v>163.79385361813047</v>
      </c>
      <c r="Z235" s="3851">
        <f>'[29]מאזן בוחן צרפת'!Z213</f>
        <v>162.28383701653263</v>
      </c>
      <c r="AA235" s="3851">
        <f>'[30]מאזן בוחן צרפת'!AA214</f>
        <v>162.28383701653252</v>
      </c>
      <c r="AB235" s="3851">
        <f>'[31]מאזן בוחן צרפת'!AB216</f>
        <v>162.28232596693488</v>
      </c>
      <c r="AC235" s="3851">
        <v>163.79307319093482</v>
      </c>
      <c r="AD235" s="3851">
        <v>163.79307319093482</v>
      </c>
      <c r="AE235" s="3851">
        <v>161.61385361813041</v>
      </c>
      <c r="AF235" s="3851">
        <v>163.78999999999996</v>
      </c>
      <c r="AG235" s="3851">
        <v>158.57999999999993</v>
      </c>
      <c r="AH235" s="3851">
        <f>$K235-SUM($W235:AG235)</f>
        <v>158.09000000000015</v>
      </c>
      <c r="AI235" s="3851"/>
      <c r="AJ235" s="3851"/>
      <c r="AK235" s="3851"/>
      <c r="AL235" s="3851"/>
      <c r="AM235" s="3851"/>
      <c r="AN235" s="3851"/>
      <c r="AO235" s="3851"/>
      <c r="AP235" s="3851"/>
      <c r="AQ235" s="3851"/>
      <c r="AR235" s="3851"/>
      <c r="AS235" s="3851"/>
      <c r="AW235" s="3874"/>
      <c r="AX235" s="1850"/>
      <c r="AY235" s="1850"/>
      <c r="AZ235" s="1850"/>
      <c r="BA235" s="1866"/>
      <c r="BB235" s="3851"/>
      <c r="BC235" s="3851"/>
      <c r="BD235" s="3851"/>
      <c r="BE235" s="3851"/>
      <c r="BF235" s="3851"/>
      <c r="BG235" s="3851"/>
      <c r="BH235" s="3851"/>
      <c r="BI235" s="1850"/>
      <c r="BJ235" s="3851"/>
      <c r="BK235" s="3851"/>
      <c r="BL235" s="3874"/>
      <c r="BM235" s="3874"/>
    </row>
    <row r="236" spans="1:75">
      <c r="A236" s="3857"/>
      <c r="B236" s="3966" t="s">
        <v>4495</v>
      </c>
      <c r="C236" s="3901">
        <v>8030011</v>
      </c>
      <c r="D236" s="3899" t="s">
        <v>172</v>
      </c>
      <c r="E236" s="3844">
        <f>IFERROR(VLOOKUP(C236,'פ.נ. צרפת'!$D$129:$F$1048576,3,0),0)</f>
        <v>80.790000000000006</v>
      </c>
      <c r="F236" s="3843">
        <f>SUMIF('פ.נ. צרפת'!$C:$C,$C:$C,'פ.נ. צרפת'!$E:$E)</f>
        <v>0</v>
      </c>
      <c r="G236" s="3882"/>
      <c r="H236" s="3884"/>
      <c r="I236" s="3882"/>
      <c r="J236" s="4293">
        <f>SUM(E236:I236)</f>
        <v>80.790000000000006</v>
      </c>
      <c r="K236" s="3944">
        <f>M236+SUMIF('פ.נ. צרפת'!$C:$C,$C:$C,'פ.נ. צרפת'!$F:$F)</f>
        <v>91.87</v>
      </c>
      <c r="L236" s="3845"/>
      <c r="M236" s="3931">
        <f>IFERROR(VLOOKUP(C236,'פ.נ. צרפת'!$D$129:$G$1048576,4,0),"")</f>
        <v>91.87</v>
      </c>
      <c r="N236" s="3877">
        <f>IF(K236=0,"-",J236/K236)</f>
        <v>0.87939479699575485</v>
      </c>
      <c r="O236" s="3920"/>
      <c r="P236" s="3969"/>
      <c r="R236" s="3851"/>
      <c r="S236" s="3851"/>
      <c r="T236" s="3851"/>
      <c r="U236" s="3851"/>
      <c r="V236" s="3851"/>
      <c r="W236" s="3851"/>
      <c r="X236" s="3851"/>
      <c r="Y236" s="3851"/>
      <c r="Z236" s="3851"/>
      <c r="AA236" s="3851"/>
      <c r="AB236" s="3851"/>
      <c r="AC236" s="3851"/>
      <c r="AD236" s="3851"/>
      <c r="AE236" s="3851"/>
      <c r="AF236" s="3851"/>
      <c r="AG236" s="3851">
        <v>91.87</v>
      </c>
      <c r="AH236" s="3851">
        <f>$K236-SUM($W236:AG236)</f>
        <v>0</v>
      </c>
      <c r="AI236" s="3851"/>
      <c r="AJ236" s="3851"/>
      <c r="AK236" s="3851"/>
      <c r="AL236" s="3851"/>
      <c r="AM236" s="3851"/>
      <c r="AN236" s="3851"/>
      <c r="AO236" s="3851"/>
      <c r="AP236" s="3851"/>
      <c r="AQ236" s="3851"/>
      <c r="AR236" s="3851"/>
      <c r="AS236" s="3851"/>
      <c r="AW236" s="3874"/>
      <c r="AX236" s="1850"/>
      <c r="AY236" s="1850"/>
      <c r="AZ236" s="1850"/>
      <c r="BA236" s="1866"/>
      <c r="BB236" s="3851"/>
      <c r="BC236" s="3851"/>
      <c r="BD236" s="3851"/>
      <c r="BE236" s="3851"/>
      <c r="BF236" s="3851"/>
      <c r="BG236" s="3851"/>
      <c r="BH236" s="3851"/>
      <c r="BI236" s="1850"/>
      <c r="BJ236" s="3851"/>
      <c r="BK236" s="3851"/>
      <c r="BL236" s="3874"/>
      <c r="BM236" s="3874"/>
    </row>
    <row r="237" spans="1:75">
      <c r="B237" s="3966" t="s">
        <v>1183</v>
      </c>
      <c r="C237" s="3901">
        <v>8030006</v>
      </c>
      <c r="D237" s="3874" t="s">
        <v>155</v>
      </c>
      <c r="E237" s="3844">
        <f>IFERROR(VLOOKUP(C237,'פ.נ. צרפת'!$D$129:$F$1048576,3,0),0)</f>
        <v>541</v>
      </c>
      <c r="F237" s="3843">
        <f>SUMIF('פ.נ. צרפת'!$C:$C,$C:$C,'פ.נ. צרפת'!$E:$E)</f>
        <v>0</v>
      </c>
      <c r="G237" s="3882"/>
      <c r="H237" s="3884"/>
      <c r="I237" s="3882"/>
      <c r="J237" s="4293">
        <f>SUM(E237:I237)</f>
        <v>541</v>
      </c>
      <c r="K237" s="3944">
        <f>M237+SUMIF('פ.נ. צרפת'!$C:$C,$C:$C,'פ.נ. צרפת'!$F:$F)</f>
        <v>624.29</v>
      </c>
      <c r="L237" s="3845"/>
      <c r="M237" s="3931">
        <f>IFERROR(VLOOKUP(C237,'פ.נ. צרפת'!$D$129:$G$1048576,4,0),"")</f>
        <v>624.29</v>
      </c>
      <c r="N237" s="3877">
        <f>IF(K237=0,"-",J237/K237)</f>
        <v>0.86658443992375345</v>
      </c>
      <c r="O237" s="3920"/>
      <c r="P237" s="3969"/>
      <c r="Q237" s="3849">
        <v>0</v>
      </c>
      <c r="R237" s="3851">
        <v>0</v>
      </c>
      <c r="S237" s="3851">
        <v>1433.1899999999996</v>
      </c>
      <c r="T237" s="3851">
        <v>-1433.1899999999996</v>
      </c>
      <c r="U237" s="3851">
        <v>0</v>
      </c>
      <c r="V237" s="3851">
        <v>179.17778718258762</v>
      </c>
      <c r="W237" s="3851">
        <f>'[26]מאזן בוחן צרפת'!W213</f>
        <v>0</v>
      </c>
      <c r="X237" s="3851">
        <f>'[27]מאזן בוחן צרפת'!X213</f>
        <v>0</v>
      </c>
      <c r="Y237" s="3851">
        <f>'[28]מאזן בוחן צרפת'!Y213</f>
        <v>0</v>
      </c>
      <c r="Z237" s="3851">
        <f>'[29]מאזן בוחן צרפת'!Z214</f>
        <v>0</v>
      </c>
      <c r="AA237" s="3851">
        <f>'[30]מאזן בוחן צרפת'!AA215</f>
        <v>0</v>
      </c>
      <c r="AB237" s="3851">
        <f>'[31]מאזן בוחן צרפת'!AB217</f>
        <v>0</v>
      </c>
      <c r="AC237" s="3851">
        <v>0</v>
      </c>
      <c r="AD237" s="3851">
        <v>0</v>
      </c>
      <c r="AE237" s="3851">
        <v>469.75</v>
      </c>
      <c r="AF237" s="3851">
        <v>52.519999999999982</v>
      </c>
      <c r="AG237" s="3851">
        <v>51.090000000000032</v>
      </c>
      <c r="AH237" s="3851">
        <f>$K237-SUM($W237:AG237)</f>
        <v>50.92999999999995</v>
      </c>
      <c r="AI237" s="3851"/>
      <c r="AJ237" s="3851"/>
      <c r="AK237" s="3851"/>
      <c r="AL237" s="3851"/>
      <c r="AM237" s="3851"/>
      <c r="AN237" s="3851"/>
      <c r="AO237" s="3851"/>
      <c r="AP237" s="3851"/>
      <c r="AQ237" s="3851"/>
      <c r="AR237" s="3851"/>
      <c r="AS237" s="3851"/>
      <c r="AU237" s="3849"/>
      <c r="BB237" s="3849"/>
      <c r="BT237" s="3849"/>
    </row>
    <row r="238" spans="1:75">
      <c r="B238" s="3966"/>
      <c r="C238" s="3923"/>
      <c r="D238" s="3874"/>
      <c r="J238" s="3843"/>
      <c r="K238" s="4020"/>
      <c r="L238" s="3874"/>
      <c r="M238" s="3931"/>
      <c r="N238" s="3922"/>
      <c r="O238" s="3920"/>
      <c r="P238" s="3969"/>
      <c r="R238" s="3851"/>
      <c r="S238" s="3851"/>
      <c r="T238" s="3851"/>
      <c r="U238" s="3851"/>
      <c r="V238" s="3851"/>
      <c r="W238" s="3851"/>
      <c r="X238" s="3851"/>
      <c r="Y238" s="3851"/>
      <c r="Z238" s="3851"/>
      <c r="AA238" s="3851"/>
      <c r="AB238" s="3851"/>
      <c r="AC238" s="3851"/>
      <c r="AD238" s="3851"/>
      <c r="AE238" s="3851">
        <v>0</v>
      </c>
      <c r="AF238" s="3851">
        <v>0</v>
      </c>
      <c r="AG238" s="3851">
        <v>0</v>
      </c>
      <c r="AH238" s="3851">
        <f>$K238-SUM($W238:AG238)</f>
        <v>0</v>
      </c>
      <c r="AI238" s="3851"/>
      <c r="AJ238" s="3851"/>
      <c r="AK238" s="3851"/>
      <c r="AL238" s="3851"/>
      <c r="AM238" s="3851"/>
      <c r="AN238" s="3851"/>
      <c r="AO238" s="3851"/>
      <c r="AP238" s="3851"/>
      <c r="AQ238" s="3851"/>
      <c r="AR238" s="3851"/>
      <c r="AS238" s="3851"/>
      <c r="AU238" s="3849"/>
      <c r="BB238" s="3849"/>
      <c r="BT238" s="3849"/>
    </row>
    <row r="239" spans="1:75">
      <c r="B239" s="3966"/>
      <c r="C239" s="3923"/>
      <c r="D239" s="3874"/>
      <c r="J239" s="3843"/>
      <c r="K239" s="4020"/>
      <c r="L239" s="3874"/>
      <c r="M239" s="4020"/>
      <c r="N239" s="3922"/>
      <c r="O239" s="3920"/>
      <c r="P239" s="3969"/>
      <c r="R239" s="3851"/>
      <c r="S239" s="3851"/>
      <c r="T239" s="3851"/>
      <c r="U239" s="3851"/>
      <c r="V239" s="3851"/>
      <c r="W239" s="3851"/>
      <c r="X239" s="3851"/>
      <c r="Y239" s="3851"/>
      <c r="Z239" s="3851"/>
      <c r="AA239" s="3851"/>
      <c r="AB239" s="3851"/>
      <c r="AC239" s="3851"/>
      <c r="AD239" s="3851"/>
      <c r="AE239" s="3851">
        <v>0</v>
      </c>
      <c r="AF239" s="3851">
        <v>0</v>
      </c>
      <c r="AG239" s="3851">
        <v>0</v>
      </c>
      <c r="AH239" s="3851">
        <f>$K239-SUM($W239:AG239)</f>
        <v>0</v>
      </c>
      <c r="AI239" s="3851"/>
      <c r="AJ239" s="3851"/>
      <c r="AK239" s="3851"/>
      <c r="AL239" s="3851"/>
      <c r="AM239" s="3851"/>
      <c r="AN239" s="3851"/>
      <c r="AO239" s="3851"/>
      <c r="AP239" s="3851"/>
      <c r="AQ239" s="3851"/>
      <c r="AR239" s="3851"/>
      <c r="AS239" s="3851"/>
      <c r="AU239" s="3849"/>
      <c r="BB239" s="3849"/>
      <c r="BT239" s="3849"/>
    </row>
    <row r="240" spans="1:75" ht="15" customHeight="1">
      <c r="B240" s="3914"/>
      <c r="C240" s="3910"/>
      <c r="D240" s="1886" t="s">
        <v>319</v>
      </c>
      <c r="E240" s="1882">
        <f t="shared" ref="E240:K240" si="56">SUM(E235:E237)</f>
        <v>2296.96</v>
      </c>
      <c r="F240" s="3293">
        <f t="shared" si="56"/>
        <v>0</v>
      </c>
      <c r="G240" s="1882">
        <f t="shared" si="56"/>
        <v>0</v>
      </c>
      <c r="H240" s="1882">
        <f t="shared" si="56"/>
        <v>0</v>
      </c>
      <c r="I240" s="1882">
        <f t="shared" si="56"/>
        <v>0</v>
      </c>
      <c r="J240" s="1882">
        <f t="shared" si="56"/>
        <v>2296.96</v>
      </c>
      <c r="K240" s="1882">
        <f t="shared" si="56"/>
        <v>2664.05</v>
      </c>
      <c r="L240" s="1884"/>
      <c r="M240" s="1882">
        <f>SUM(M235:M237)</f>
        <v>2664.05</v>
      </c>
      <c r="N240" s="3922"/>
      <c r="O240" s="3928"/>
      <c r="P240" s="3969"/>
      <c r="Q240" s="3849">
        <v>0</v>
      </c>
      <c r="R240" s="3851">
        <v>0</v>
      </c>
      <c r="S240" s="3851">
        <v>0</v>
      </c>
      <c r="T240" s="3851">
        <v>348.96403126826408</v>
      </c>
      <c r="U240" s="3851">
        <v>171.86818154914829</v>
      </c>
      <c r="V240" s="3851">
        <v>0</v>
      </c>
      <c r="W240" s="3851">
        <f>'[26]מאזן בוחן צרפת'!W214</f>
        <v>163.79307319093476</v>
      </c>
      <c r="X240" s="3851">
        <f>'[27]מאזן בוחן צרפת'!X214</f>
        <v>163.79307319093476</v>
      </c>
      <c r="Y240" s="3851">
        <f>'[28]מאזן בוחן צרפת'!Y214</f>
        <v>163.79385361813047</v>
      </c>
      <c r="Z240" s="3851">
        <f>'[29]מאזן בוחן צרפת'!Z215</f>
        <v>162.28383701653263</v>
      </c>
      <c r="AA240" s="3851">
        <f>'[30]מאזן בוחן צרפת'!AA216</f>
        <v>162.28383701653252</v>
      </c>
      <c r="AB240" s="3851">
        <f>'[31]מאזן בוחן צרפת'!AB218</f>
        <v>162.28232596693488</v>
      </c>
      <c r="AC240" s="3851">
        <v>163.79307319093482</v>
      </c>
      <c r="AD240" s="3851">
        <f>$K240-SUM($W240:AC240)</f>
        <v>1522.0269268090653</v>
      </c>
      <c r="AE240" s="3851">
        <v>0</v>
      </c>
      <c r="AF240" s="3851">
        <v>0</v>
      </c>
      <c r="AG240" s="3851">
        <v>0</v>
      </c>
      <c r="AH240" s="3851">
        <f>$K240-SUM($W240:AG240)</f>
        <v>0</v>
      </c>
      <c r="AI240" s="3851"/>
      <c r="AJ240" s="3851"/>
      <c r="AK240" s="3851"/>
      <c r="AL240" s="3851"/>
      <c r="AM240" s="3851"/>
      <c r="AN240" s="3851"/>
      <c r="AO240" s="3851"/>
      <c r="AP240" s="3851"/>
      <c r="AQ240" s="3851"/>
      <c r="AR240" s="3851"/>
      <c r="AS240" s="3851"/>
      <c r="AU240" s="3849"/>
      <c r="BB240" s="3849"/>
      <c r="BT240" s="3849"/>
      <c r="BW240" s="3856"/>
    </row>
    <row r="241" spans="1:75">
      <c r="B241" s="3656"/>
      <c r="C241" s="3898"/>
      <c r="D241" s="3899"/>
      <c r="E241" s="3912"/>
      <c r="J241" s="3843"/>
      <c r="K241" s="4013"/>
      <c r="L241" s="3874"/>
      <c r="M241" s="4014"/>
      <c r="N241" s="3922"/>
      <c r="O241" s="3920"/>
      <c r="P241" s="3969"/>
      <c r="Q241" s="3849">
        <v>0</v>
      </c>
      <c r="R241" s="3851">
        <v>0</v>
      </c>
      <c r="S241" s="3851">
        <v>185.95</v>
      </c>
      <c r="T241" s="3851">
        <v>-185.95</v>
      </c>
      <c r="U241" s="3851">
        <v>0</v>
      </c>
      <c r="V241" s="3851">
        <v>0</v>
      </c>
      <c r="W241" s="3851">
        <f>'[26]מאזן בוחן צרפת'!W215</f>
        <v>0</v>
      </c>
      <c r="X241" s="3851">
        <f>'[27]מאזן בוחן צרפת'!X215</f>
        <v>0</v>
      </c>
      <c r="Y241" s="3851">
        <f>'[28]מאזן בוחן צרפת'!Y215</f>
        <v>0</v>
      </c>
      <c r="Z241" s="3851">
        <f>'[29]מאזן בוחן צרפת'!Z216</f>
        <v>0</v>
      </c>
      <c r="AA241" s="3851">
        <f>'[30]מאזן בוחן צרפת'!AA217</f>
        <v>0</v>
      </c>
      <c r="AB241" s="3851">
        <f>'[31]מאזן בוחן צרפת'!AB219</f>
        <v>0</v>
      </c>
      <c r="AC241" s="3851">
        <v>0</v>
      </c>
      <c r="AD241" s="3851">
        <f>$K241-SUM($W241:AC241)</f>
        <v>0</v>
      </c>
      <c r="AE241" s="3851">
        <v>0</v>
      </c>
      <c r="AF241" s="3851">
        <v>0</v>
      </c>
      <c r="AG241" s="3851">
        <v>0</v>
      </c>
      <c r="AH241" s="3851">
        <f>$K241-SUM($W241:AG241)</f>
        <v>0</v>
      </c>
      <c r="AI241" s="3851"/>
      <c r="AJ241" s="3851"/>
      <c r="AK241" s="3851"/>
      <c r="AL241" s="3851"/>
      <c r="AM241" s="3851"/>
      <c r="AN241" s="3851"/>
      <c r="AO241" s="3851"/>
      <c r="AP241" s="3851"/>
      <c r="AQ241" s="3851"/>
      <c r="AR241" s="3851"/>
      <c r="AS241" s="3851"/>
      <c r="AU241" s="3849"/>
      <c r="BB241" s="3849"/>
      <c r="BT241" s="3849"/>
      <c r="BV241" s="3851"/>
      <c r="BW241" s="3856"/>
    </row>
    <row r="242" spans="1:75">
      <c r="B242" s="3656"/>
      <c r="C242" s="1904"/>
      <c r="D242" s="1836"/>
      <c r="E242" s="1905"/>
      <c r="F242" s="1903"/>
      <c r="G242" s="1902"/>
      <c r="H242" s="1903"/>
      <c r="I242" s="1902"/>
      <c r="J242" s="1903"/>
      <c r="K242" s="1902"/>
      <c r="L242" s="3874"/>
      <c r="M242" s="1902"/>
      <c r="N242" s="3922"/>
      <c r="O242" s="3920"/>
      <c r="P242" s="3969"/>
      <c r="Q242" s="3849">
        <v>0</v>
      </c>
      <c r="R242" s="3851">
        <v>0</v>
      </c>
      <c r="S242" s="3851">
        <v>0</v>
      </c>
      <c r="T242" s="3851">
        <v>0</v>
      </c>
      <c r="U242" s="3851">
        <v>0</v>
      </c>
      <c r="V242" s="3851">
        <v>1690.3805441354289</v>
      </c>
      <c r="W242" s="3851">
        <f>'[26]מאזן בוחן צרפת'!W216</f>
        <v>0</v>
      </c>
      <c r="X242" s="3851">
        <f>'[27]מאזן בוחן צרפת'!X216</f>
        <v>0</v>
      </c>
      <c r="Y242" s="3851">
        <f>'[28]מאזן בוחן צרפת'!Y216</f>
        <v>0</v>
      </c>
      <c r="Z242" s="3851">
        <f>'[29]מאזן בוחן צרפת'!Z217</f>
        <v>0</v>
      </c>
      <c r="AA242" s="3851">
        <f>'[30]מאזן בוחן צרפת'!AA218</f>
        <v>0</v>
      </c>
      <c r="AB242" s="3851">
        <f>'[31]מאזן בוחן צרפת'!AB220</f>
        <v>0</v>
      </c>
      <c r="AC242" s="3851">
        <v>0</v>
      </c>
      <c r="AD242" s="3851">
        <f>$K242-SUM($W242:AC242)</f>
        <v>0</v>
      </c>
      <c r="AE242" s="3851">
        <v>0</v>
      </c>
      <c r="AF242" s="3851">
        <v>0</v>
      </c>
      <c r="AG242" s="3851">
        <v>0</v>
      </c>
      <c r="AH242" s="3851">
        <f>$K242-SUM($W242:AG242)</f>
        <v>0</v>
      </c>
      <c r="AI242" s="3851"/>
      <c r="AJ242" s="3851"/>
      <c r="AK242" s="3851"/>
      <c r="AL242" s="3851"/>
      <c r="AM242" s="3851"/>
      <c r="AN242" s="3851"/>
      <c r="AO242" s="3851"/>
      <c r="AP242" s="3851"/>
      <c r="AQ242" s="3851"/>
      <c r="AR242" s="3851"/>
      <c r="AS242" s="3851"/>
      <c r="AU242" s="3849"/>
      <c r="BB242" s="3849"/>
      <c r="BT242" s="3849"/>
      <c r="BV242" s="3851"/>
      <c r="BW242" s="3856"/>
    </row>
    <row r="243" spans="1:75">
      <c r="B243" s="3656"/>
      <c r="C243" s="1906"/>
      <c r="D243" s="1886" t="s">
        <v>179</v>
      </c>
      <c r="E243" s="1882">
        <f t="shared" ref="E243:K243" si="57">E225+E228+E233+E240</f>
        <v>24565.21</v>
      </c>
      <c r="F243" s="3297">
        <f t="shared" si="57"/>
        <v>0</v>
      </c>
      <c r="G243" s="1862">
        <f t="shared" si="57"/>
        <v>0</v>
      </c>
      <c r="H243" s="1862">
        <f t="shared" si="57"/>
        <v>0</v>
      </c>
      <c r="I243" s="1862">
        <f t="shared" si="57"/>
        <v>0</v>
      </c>
      <c r="J243" s="1883">
        <f t="shared" si="57"/>
        <v>24565.21</v>
      </c>
      <c r="K243" s="1883">
        <f t="shared" si="57"/>
        <v>28671.149999999998</v>
      </c>
      <c r="L243" s="1884"/>
      <c r="M243" s="1882">
        <f>M225+M228+M233+M240</f>
        <v>28671.149999999998</v>
      </c>
      <c r="N243" s="3922"/>
      <c r="O243" s="3920"/>
      <c r="P243" s="3969"/>
      <c r="Q243" s="3849">
        <v>0</v>
      </c>
      <c r="R243" s="3851">
        <v>5171.29</v>
      </c>
      <c r="S243" s="3851">
        <v>185.95</v>
      </c>
      <c r="T243" s="3851">
        <v>3025.8940312682644</v>
      </c>
      <c r="U243" s="3851">
        <v>1640.3854245963066</v>
      </c>
      <c r="V243" s="3851">
        <v>0</v>
      </c>
      <c r="W243" s="3851">
        <f>'[26]מאזן בוחן צרפת'!W217</f>
        <v>1647.8930731909347</v>
      </c>
      <c r="X243" s="3851">
        <f>'[27]מאזן בוחן צרפת'!X217</f>
        <v>1662.0230731909348</v>
      </c>
      <c r="Y243" s="3851">
        <f>'[28]מאזן בוחן צרפת'!Y217</f>
        <v>1601.4238536181306</v>
      </c>
      <c r="Z243" s="3851">
        <f>'[29]מאזן בוחן צרפת'!Z218</f>
        <v>1643.9038370165326</v>
      </c>
      <c r="AA243" s="3851">
        <f>'[30]מאזן בוחן צרפת'!AA219</f>
        <v>2453.3138370165325</v>
      </c>
      <c r="AB243" s="3851">
        <f>'[31]מאזן בוחן צרפת'!AB221</f>
        <v>1737.6823259669345</v>
      </c>
      <c r="AC243" s="3851">
        <v>1622.2030731909344</v>
      </c>
      <c r="AD243" s="3851">
        <f>$K243-SUM($W243:AC243)</f>
        <v>16302.706926809064</v>
      </c>
      <c r="AE243" s="3851">
        <v>0</v>
      </c>
      <c r="AF243" s="3851">
        <v>0</v>
      </c>
      <c r="AG243" s="3851">
        <v>0</v>
      </c>
      <c r="AH243" s="3851">
        <f>$K243-SUM($W243:AG243)</f>
        <v>0</v>
      </c>
      <c r="AI243" s="3851"/>
      <c r="AJ243" s="3851"/>
      <c r="AK243" s="3851"/>
      <c r="AL243" s="3851"/>
      <c r="AM243" s="3851"/>
      <c r="AN243" s="3851"/>
      <c r="AO243" s="3851"/>
      <c r="AP243" s="3851"/>
      <c r="AQ243" s="3851"/>
      <c r="AR243" s="3851"/>
      <c r="AS243" s="3851"/>
      <c r="AU243" s="3849"/>
      <c r="BB243" s="3849"/>
      <c r="BT243" s="3849"/>
      <c r="BW243" s="3856"/>
    </row>
    <row r="244" spans="1:75">
      <c r="B244" s="3656"/>
      <c r="C244" s="1904"/>
      <c r="D244" s="1836"/>
      <c r="E244" s="1905"/>
      <c r="F244" s="1903"/>
      <c r="G244" s="1902"/>
      <c r="H244" s="1903"/>
      <c r="I244" s="1902"/>
      <c r="J244" s="1903"/>
      <c r="K244" s="1902"/>
      <c r="L244" s="3874"/>
      <c r="M244" s="1902"/>
      <c r="N244" s="3922"/>
      <c r="O244" s="3920"/>
      <c r="P244" s="3969"/>
      <c r="Q244" s="3849">
        <v>0</v>
      </c>
      <c r="R244" s="3851">
        <v>0</v>
      </c>
      <c r="S244" s="3851">
        <v>0</v>
      </c>
      <c r="T244" s="3851">
        <v>0</v>
      </c>
      <c r="U244" s="3851">
        <v>0</v>
      </c>
      <c r="V244" s="3851">
        <v>0</v>
      </c>
      <c r="W244" s="3851">
        <f>'[26]מאזן בוחן צרפת'!W218</f>
        <v>0</v>
      </c>
      <c r="X244" s="3851">
        <f>'[27]מאזן בוחן צרפת'!X218</f>
        <v>0</v>
      </c>
      <c r="Y244" s="3851">
        <f>'[28]מאזן בוחן צרפת'!Y218</f>
        <v>0</v>
      </c>
      <c r="Z244" s="3851">
        <f>'[29]מאזן בוחן צרפת'!Z219</f>
        <v>0</v>
      </c>
      <c r="AA244" s="3851">
        <f>'[30]מאזן בוחן צרפת'!AA220</f>
        <v>0</v>
      </c>
      <c r="AB244" s="3851">
        <f>'[31]מאזן בוחן צרפת'!AB222</f>
        <v>0</v>
      </c>
      <c r="AC244" s="3851">
        <v>0</v>
      </c>
      <c r="AD244" s="3851">
        <f>$K244-SUM($W244:AC244)</f>
        <v>0</v>
      </c>
      <c r="AE244" s="3851">
        <v>0</v>
      </c>
      <c r="AF244" s="3851">
        <v>0</v>
      </c>
      <c r="AG244" s="3851">
        <v>0</v>
      </c>
      <c r="AH244" s="3851">
        <f>$K244-SUM($W244:AG244)</f>
        <v>0</v>
      </c>
      <c r="AI244" s="3851"/>
      <c r="AJ244" s="3851"/>
      <c r="AK244" s="3851">
        <f>AK245+AL245</f>
        <v>12917.619999999999</v>
      </c>
      <c r="AL244" s="3851"/>
      <c r="AM244" s="3851"/>
      <c r="AN244" s="3851"/>
      <c r="AO244" s="3851"/>
      <c r="AP244" s="3851"/>
      <c r="AQ244" s="3851"/>
      <c r="AR244" s="3851"/>
      <c r="AS244" s="3851"/>
      <c r="AU244" s="3849"/>
      <c r="BB244" s="3849"/>
      <c r="BT244" s="3849"/>
      <c r="BW244" s="3856"/>
    </row>
    <row r="245" spans="1:75">
      <c r="B245" s="3656"/>
      <c r="C245" s="3892"/>
      <c r="D245" s="1897" t="s">
        <v>254</v>
      </c>
      <c r="J245" s="3934"/>
      <c r="K245" s="3908"/>
      <c r="L245" s="3874"/>
      <c r="M245" s="3908"/>
      <c r="N245" s="3922"/>
      <c r="O245" s="3920"/>
      <c r="P245" s="3969"/>
      <c r="Q245" s="3849">
        <v>0</v>
      </c>
      <c r="R245" s="3851">
        <v>0</v>
      </c>
      <c r="S245" s="3851">
        <v>0</v>
      </c>
      <c r="T245" s="3851">
        <v>0</v>
      </c>
      <c r="U245" s="3851">
        <v>0</v>
      </c>
      <c r="V245" s="3851">
        <v>0</v>
      </c>
      <c r="W245" s="3851">
        <f>'[26]מאזן בוחן צרפת'!W219</f>
        <v>0</v>
      </c>
      <c r="X245" s="3851">
        <f>'[27]מאזן בוחן צרפת'!X219</f>
        <v>0</v>
      </c>
      <c r="Y245" s="3851">
        <f>'[28]מאזן בוחן צרפת'!Y219</f>
        <v>0</v>
      </c>
      <c r="Z245" s="3851">
        <f>'[29]מאזן בוחן צרפת'!Z220</f>
        <v>0</v>
      </c>
      <c r="AA245" s="3851">
        <f>'[30]מאזן בוחן צרפת'!AA221</f>
        <v>0</v>
      </c>
      <c r="AB245" s="3851">
        <f>'[31]מאזן בוחן צרפת'!AB223</f>
        <v>0</v>
      </c>
      <c r="AC245" s="3851">
        <v>0</v>
      </c>
      <c r="AD245" s="3851">
        <f>$K245-SUM($W245:AC245)</f>
        <v>0</v>
      </c>
      <c r="AE245" s="3851">
        <v>0</v>
      </c>
      <c r="AF245" s="3851">
        <v>0</v>
      </c>
      <c r="AG245" s="3851">
        <v>0</v>
      </c>
      <c r="AH245" s="3851">
        <f>$K245-SUM($W245:AG245)</f>
        <v>0</v>
      </c>
      <c r="AI245" s="3851"/>
      <c r="AJ245" s="3851"/>
      <c r="AK245" s="3851">
        <f>AK246-AK247</f>
        <v>4263.55</v>
      </c>
      <c r="AL245" s="3851">
        <f>AL246-AL247</f>
        <v>8654.07</v>
      </c>
      <c r="AM245" s="3851"/>
      <c r="AN245" s="3851"/>
      <c r="AO245" s="3851"/>
      <c r="AP245" s="3851"/>
      <c r="AQ245" s="3851"/>
      <c r="AR245" s="3851"/>
      <c r="AS245" s="3851"/>
      <c r="AU245" s="3849"/>
      <c r="BB245" s="3849"/>
      <c r="BT245" s="3849"/>
      <c r="BW245" s="3856"/>
    </row>
    <row r="246" spans="1:75">
      <c r="B246" s="4021"/>
      <c r="C246" s="3892"/>
      <c r="D246" s="1907"/>
      <c r="J246" s="3934"/>
      <c r="K246" s="3908"/>
      <c r="L246" s="3875"/>
      <c r="M246" s="3987"/>
      <c r="N246" s="3922"/>
      <c r="O246" s="3920"/>
      <c r="P246" s="3969"/>
      <c r="Q246" s="3849">
        <v>0</v>
      </c>
      <c r="R246" s="3851">
        <v>0</v>
      </c>
      <c r="S246" s="3851">
        <v>1619.1399999999994</v>
      </c>
      <c r="T246" s="3851">
        <v>-1619.1399999999994</v>
      </c>
      <c r="U246" s="3851">
        <v>0</v>
      </c>
      <c r="V246" s="3851">
        <v>0</v>
      </c>
      <c r="W246" s="3851">
        <f>'[26]מאזן בוחן צרפת'!W220</f>
        <v>0</v>
      </c>
      <c r="X246" s="3851">
        <f>'[27]מאזן בוחן צרפת'!X220</f>
        <v>0</v>
      </c>
      <c r="Y246" s="3851">
        <f>'[28]מאזן בוחן צרפת'!Y220</f>
        <v>0</v>
      </c>
      <c r="Z246" s="3851">
        <f>'[29]מאזן בוחן צרפת'!Z221</f>
        <v>0</v>
      </c>
      <c r="AA246" s="3851">
        <f>'[30]מאזן בוחן צרפת'!AA222</f>
        <v>0</v>
      </c>
      <c r="AB246" s="3851">
        <f>'[31]מאזן בוחן צרפת'!AB224</f>
        <v>0</v>
      </c>
      <c r="AC246" s="3851">
        <v>0</v>
      </c>
      <c r="AD246" s="3851">
        <f>$K246-SUM($W246:AC246)</f>
        <v>0</v>
      </c>
      <c r="AE246" s="3851">
        <v>0</v>
      </c>
      <c r="AF246" s="3851">
        <v>0</v>
      </c>
      <c r="AG246" s="3851">
        <v>0</v>
      </c>
      <c r="AH246" s="3851">
        <f>$K246-SUM($W246:AG246)</f>
        <v>0</v>
      </c>
      <c r="AI246" s="3851"/>
      <c r="AJ246" s="3851"/>
      <c r="AK246" s="3851">
        <v>8513.84</v>
      </c>
      <c r="AL246" s="3851">
        <v>12779.91</v>
      </c>
      <c r="AM246" s="3851"/>
      <c r="AN246" s="3851"/>
      <c r="AO246" s="3851"/>
      <c r="AP246" s="3851"/>
      <c r="AQ246" s="3851"/>
      <c r="AR246" s="3851"/>
      <c r="AS246" s="3851"/>
      <c r="AU246" s="3849"/>
      <c r="BB246" s="3849"/>
      <c r="BT246" s="3849"/>
      <c r="BW246" s="3856"/>
    </row>
    <row r="247" spans="1:75">
      <c r="B247" s="4021"/>
      <c r="C247" s="3892"/>
      <c r="D247" s="1907"/>
      <c r="J247" s="3934"/>
      <c r="K247" s="3908"/>
      <c r="L247" s="3875"/>
      <c r="M247" s="3987"/>
      <c r="N247" s="3922"/>
      <c r="O247" s="3920"/>
      <c r="P247" s="3969"/>
      <c r="Q247" s="3849">
        <v>0</v>
      </c>
      <c r="R247" s="3851">
        <v>0</v>
      </c>
      <c r="S247" s="3851">
        <v>0</v>
      </c>
      <c r="T247" s="3851">
        <v>0</v>
      </c>
      <c r="U247" s="3851">
        <v>0</v>
      </c>
      <c r="V247" s="3851">
        <v>0</v>
      </c>
      <c r="W247" s="3851">
        <f>'[26]מאזן בוחן צרפת'!W221</f>
        <v>0</v>
      </c>
      <c r="X247" s="3851">
        <f>'[27]מאזן בוחן צרפת'!X221</f>
        <v>0</v>
      </c>
      <c r="Y247" s="3851">
        <f>'[28]מאזן בוחן צרפת'!Y221</f>
        <v>0</v>
      </c>
      <c r="Z247" s="3851">
        <f>'[29]מאזן בוחן צרפת'!Z222</f>
        <v>0</v>
      </c>
      <c r="AA247" s="3851">
        <f>'[30]מאזן בוחן צרפת'!AA223</f>
        <v>0</v>
      </c>
      <c r="AB247" s="3851">
        <f>'[31]מאזן בוחן צרפת'!AB225</f>
        <v>0</v>
      </c>
      <c r="AC247" s="3851">
        <v>0</v>
      </c>
      <c r="AD247" s="3851">
        <f>$K247-SUM($W247:AC247)</f>
        <v>0</v>
      </c>
      <c r="AE247" s="3851">
        <v>0</v>
      </c>
      <c r="AF247" s="3851">
        <v>0</v>
      </c>
      <c r="AG247" s="3851">
        <v>0</v>
      </c>
      <c r="AH247" s="3851">
        <f>$K247-SUM($W247:AG247)</f>
        <v>0</v>
      </c>
      <c r="AI247" s="3851"/>
      <c r="AJ247" s="3851"/>
      <c r="AK247" s="3851">
        <v>4250.29</v>
      </c>
      <c r="AL247" s="3851">
        <v>4125.84</v>
      </c>
      <c r="AM247" s="3851"/>
      <c r="AN247" s="3851"/>
      <c r="AO247" s="3851"/>
      <c r="AP247" s="3851"/>
      <c r="AQ247" s="3851"/>
      <c r="AR247" s="3851"/>
      <c r="AS247" s="3851"/>
      <c r="AU247" s="3849"/>
      <c r="BB247" s="3849"/>
      <c r="BT247" s="3849"/>
      <c r="BW247" s="3856"/>
    </row>
    <row r="248" spans="1:75">
      <c r="B248" s="4021"/>
      <c r="C248" s="3936"/>
      <c r="D248" s="1854" t="s">
        <v>578</v>
      </c>
      <c r="J248" s="3843"/>
      <c r="K248" s="3844"/>
      <c r="L248" s="3875"/>
      <c r="M248" s="3931"/>
      <c r="N248" s="3922"/>
      <c r="O248" s="3920"/>
      <c r="P248" s="3969"/>
      <c r="Q248" s="3849">
        <v>0</v>
      </c>
      <c r="R248" s="3851">
        <v>0</v>
      </c>
      <c r="S248" s="3851">
        <v>0</v>
      </c>
      <c r="T248" s="3851">
        <v>0</v>
      </c>
      <c r="U248" s="3851">
        <v>0</v>
      </c>
      <c r="V248" s="3851">
        <v>0</v>
      </c>
      <c r="W248" s="3851">
        <f>'[26]מאזן בוחן צרפת'!W222</f>
        <v>0</v>
      </c>
      <c r="X248" s="3851">
        <f>'[27]מאזן בוחן צרפת'!X222</f>
        <v>0</v>
      </c>
      <c r="Y248" s="3851">
        <f>'[28]מאזן בוחן צרפת'!Y222</f>
        <v>0</v>
      </c>
      <c r="Z248" s="3851">
        <f>'[29]מאזן בוחן צרפת'!Z223</f>
        <v>0</v>
      </c>
      <c r="AA248" s="3851">
        <f>'[30]מאזן בוחן צרפת'!AA224</f>
        <v>0</v>
      </c>
      <c r="AB248" s="3851">
        <f>'[31]מאזן בוחן צרפת'!AB226</f>
        <v>0</v>
      </c>
      <c r="AC248" s="3851">
        <v>0</v>
      </c>
      <c r="AD248" s="3851">
        <f>$K248-SUM($W248:AC248)</f>
        <v>0</v>
      </c>
      <c r="AE248" s="3851">
        <v>0</v>
      </c>
      <c r="AF248" s="3851">
        <v>0</v>
      </c>
      <c r="AG248" s="3851">
        <v>0</v>
      </c>
      <c r="AH248" s="3851">
        <f>$K248-SUM($W248:AG248)</f>
        <v>0</v>
      </c>
      <c r="AI248" s="3851"/>
      <c r="AJ248" s="3851"/>
      <c r="AL248" s="3851"/>
      <c r="AM248" s="3851"/>
      <c r="AN248" s="3851"/>
      <c r="AO248" s="3851"/>
      <c r="AP248" s="3851"/>
      <c r="AQ248" s="3851"/>
      <c r="AR248" s="3851"/>
      <c r="AS248" s="3851"/>
      <c r="AU248" s="3849"/>
      <c r="BB248" s="3849"/>
      <c r="BT248" s="3849"/>
      <c r="BW248" s="3856"/>
    </row>
    <row r="249" spans="1:75">
      <c r="B249" s="4021"/>
      <c r="C249" s="3936"/>
      <c r="D249" s="1907"/>
      <c r="J249" s="3844"/>
      <c r="K249" s="3931"/>
      <c r="L249" s="3875"/>
      <c r="M249" s="3931"/>
      <c r="N249" s="3922"/>
      <c r="O249" s="3920"/>
      <c r="P249" s="3969"/>
      <c r="Q249" s="3849">
        <v>0</v>
      </c>
      <c r="R249" s="3851">
        <v>0</v>
      </c>
      <c r="S249" s="3851">
        <v>0</v>
      </c>
      <c r="T249" s="3851">
        <v>0</v>
      </c>
      <c r="U249" s="3851">
        <v>0</v>
      </c>
      <c r="V249" s="3851">
        <v>0</v>
      </c>
      <c r="W249" s="3851">
        <f>'[26]מאזן בוחן צרפת'!W223</f>
        <v>0</v>
      </c>
      <c r="X249" s="3851">
        <f>'[27]מאזן בוחן צרפת'!X223</f>
        <v>0</v>
      </c>
      <c r="Y249" s="3851">
        <f>'[28]מאזן בוחן צרפת'!Y223</f>
        <v>0</v>
      </c>
      <c r="Z249" s="3851">
        <f>'[29]מאזן בוחן צרפת'!Z224</f>
        <v>0</v>
      </c>
      <c r="AA249" s="3851">
        <f>'[30]מאזן בוחן צרפת'!AA225</f>
        <v>0</v>
      </c>
      <c r="AB249" s="3851">
        <f>'[31]מאזן בוחן צרפת'!AB227</f>
        <v>0</v>
      </c>
      <c r="AC249" s="3851">
        <v>0</v>
      </c>
      <c r="AD249" s="3851">
        <f>$K249-SUM($W249:AC249)</f>
        <v>0</v>
      </c>
      <c r="AE249" s="3851">
        <v>0</v>
      </c>
      <c r="AF249" s="3851">
        <v>0</v>
      </c>
      <c r="AG249" s="3851">
        <v>0</v>
      </c>
      <c r="AH249" s="3851">
        <f>$K249-SUM($W249:AG249)</f>
        <v>0</v>
      </c>
      <c r="AI249" s="3851"/>
      <c r="AJ249" s="3851"/>
      <c r="AK249" s="3851"/>
      <c r="AL249" s="3851"/>
      <c r="AM249" s="3851"/>
      <c r="AN249" s="3851"/>
      <c r="AO249" s="3851"/>
      <c r="AP249" s="3851"/>
      <c r="AQ249" s="3851"/>
      <c r="AR249" s="3851"/>
      <c r="AS249" s="3851"/>
      <c r="AU249" s="3849"/>
      <c r="BB249" s="3849"/>
      <c r="BT249" s="3849"/>
      <c r="BW249" s="3856"/>
    </row>
    <row r="250" spans="1:75">
      <c r="B250" s="4021"/>
      <c r="C250" s="3936"/>
      <c r="D250" s="1900"/>
      <c r="J250" s="3844"/>
      <c r="K250" s="3931"/>
      <c r="L250" s="3875"/>
      <c r="M250" s="3931"/>
      <c r="N250" s="3922"/>
      <c r="O250" s="3920"/>
      <c r="P250" s="3969"/>
      <c r="Q250" s="3849">
        <v>0</v>
      </c>
      <c r="R250" s="3851">
        <v>0</v>
      </c>
      <c r="S250" s="3851">
        <v>0</v>
      </c>
      <c r="T250" s="3851">
        <v>0</v>
      </c>
      <c r="U250" s="3851">
        <v>0</v>
      </c>
      <c r="V250" s="3851">
        <v>0</v>
      </c>
      <c r="W250" s="3851">
        <f>'[26]מאזן בוחן צרפת'!W224</f>
        <v>0</v>
      </c>
      <c r="X250" s="3851">
        <f>'[27]מאזן בוחן צרפת'!X224</f>
        <v>0</v>
      </c>
      <c r="Y250" s="3851">
        <f>'[28]מאזן בוחן צרפת'!Y224</f>
        <v>0</v>
      </c>
      <c r="Z250" s="3851">
        <f>'[29]מאזן בוחן צרפת'!Z225</f>
        <v>0</v>
      </c>
      <c r="AA250" s="3851">
        <f>'[30]מאזן בוחן צרפת'!AA226</f>
        <v>0</v>
      </c>
      <c r="AB250" s="3851">
        <f>'[31]מאזן בוחן צרפת'!AB228</f>
        <v>0</v>
      </c>
      <c r="AC250" s="3851">
        <v>0</v>
      </c>
      <c r="AD250" s="3851">
        <f>$K250-SUM($W250:AC250)</f>
        <v>0</v>
      </c>
      <c r="AE250" s="3851">
        <v>0</v>
      </c>
      <c r="AF250" s="3851">
        <v>0</v>
      </c>
      <c r="AG250" s="3851">
        <v>0</v>
      </c>
      <c r="AH250" s="3851">
        <f>$K250-SUM($W250:AG250)</f>
        <v>0</v>
      </c>
      <c r="AI250" s="3851"/>
      <c r="AJ250" s="3851"/>
      <c r="AK250" s="3851"/>
      <c r="AL250" s="3851"/>
      <c r="AM250" s="3851"/>
      <c r="AN250" s="3851"/>
      <c r="AO250" s="3851"/>
      <c r="AP250" s="3851"/>
      <c r="AQ250" s="3851"/>
      <c r="AR250" s="3851"/>
      <c r="AS250" s="3851"/>
      <c r="AU250" s="3849"/>
      <c r="BB250" s="3849"/>
      <c r="BT250" s="3849"/>
      <c r="BW250" s="3856"/>
    </row>
    <row r="251" spans="1:75">
      <c r="B251" s="4021"/>
      <c r="C251" s="3936"/>
      <c r="D251" s="1900" t="s">
        <v>219</v>
      </c>
      <c r="J251" s="3844"/>
      <c r="K251" s="3931"/>
      <c r="L251" s="3875"/>
      <c r="M251" s="3931"/>
      <c r="N251" s="3922"/>
      <c r="O251" s="3920"/>
      <c r="P251" s="3969"/>
      <c r="Q251" s="3849">
        <v>0</v>
      </c>
      <c r="R251" s="3851">
        <v>0</v>
      </c>
      <c r="S251" s="3851">
        <v>0</v>
      </c>
      <c r="T251" s="3851">
        <v>0</v>
      </c>
      <c r="U251" s="3851">
        <v>0</v>
      </c>
      <c r="V251" s="3851">
        <v>0</v>
      </c>
      <c r="W251" s="3851">
        <f>'[26]מאזן בוחן צרפת'!W225</f>
        <v>0</v>
      </c>
      <c r="X251" s="3851">
        <f>'[27]מאזן בוחן צרפת'!X225</f>
        <v>0</v>
      </c>
      <c r="Y251" s="3851">
        <f>'[28]מאזן בוחן צרפת'!Y225</f>
        <v>0</v>
      </c>
      <c r="Z251" s="3851">
        <f>'[29]מאזן בוחן צרפת'!Z226</f>
        <v>0</v>
      </c>
      <c r="AA251" s="3851">
        <f>'[30]מאזן בוחן צרפת'!AA227</f>
        <v>0</v>
      </c>
      <c r="AB251" s="3851">
        <f>'[31]מאזן בוחן צרפת'!AB229</f>
        <v>0</v>
      </c>
      <c r="AC251" s="3851">
        <v>0</v>
      </c>
      <c r="AD251" s="3851">
        <f>$K251-SUM($W251:AC251)</f>
        <v>0</v>
      </c>
      <c r="AE251" s="3851">
        <v>0</v>
      </c>
      <c r="AF251" s="3851">
        <v>0</v>
      </c>
      <c r="AG251" s="3851">
        <v>0</v>
      </c>
      <c r="AH251" s="3851">
        <f>$K251-SUM($W251:AG251)</f>
        <v>0</v>
      </c>
      <c r="AI251" s="3851"/>
      <c r="AJ251" s="3851"/>
      <c r="AK251" s="3851"/>
      <c r="AL251" s="3851"/>
      <c r="AM251" s="3851"/>
      <c r="AN251" s="3851"/>
      <c r="AO251" s="3851"/>
      <c r="AP251" s="3851"/>
      <c r="AQ251" s="3851"/>
      <c r="AR251" s="3851"/>
      <c r="AS251" s="3851"/>
      <c r="AU251" s="3849"/>
      <c r="BB251" s="3849"/>
      <c r="BT251" s="3849"/>
      <c r="BW251" s="3856"/>
    </row>
    <row r="252" spans="1:75">
      <c r="B252" s="4021"/>
      <c r="C252" s="3936"/>
      <c r="D252" s="1908"/>
      <c r="J252" s="3844"/>
      <c r="K252" s="3931"/>
      <c r="L252" s="3875"/>
      <c r="M252" s="3931"/>
      <c r="N252" s="3922"/>
      <c r="O252" s="3920"/>
      <c r="P252" s="3969"/>
      <c r="Q252" s="3849">
        <v>0</v>
      </c>
      <c r="R252" s="3851">
        <v>0</v>
      </c>
      <c r="S252" s="3851">
        <v>0</v>
      </c>
      <c r="T252" s="3851">
        <v>0</v>
      </c>
      <c r="U252" s="3851">
        <v>0</v>
      </c>
      <c r="V252" s="3851">
        <v>0</v>
      </c>
      <c r="W252" s="3851">
        <f>'[26]מאזן בוחן צרפת'!W226</f>
        <v>0</v>
      </c>
      <c r="X252" s="3851">
        <f>'[27]מאזן בוחן צרפת'!X226</f>
        <v>0</v>
      </c>
      <c r="Y252" s="3851">
        <f>'[28]מאזן בוחן צרפת'!Y226</f>
        <v>0</v>
      </c>
      <c r="Z252" s="3851">
        <f>'[29]מאזן בוחן צרפת'!Z227</f>
        <v>0</v>
      </c>
      <c r="AA252" s="3851">
        <f>'[30]מאזן בוחן צרפת'!AA228</f>
        <v>0</v>
      </c>
      <c r="AB252" s="3851">
        <f>'[31]מאזן בוחן צרפת'!AB230</f>
        <v>0</v>
      </c>
      <c r="AC252" s="3851">
        <v>0</v>
      </c>
      <c r="AD252" s="3851">
        <f>$K252-SUM($W252:AC252)</f>
        <v>0</v>
      </c>
      <c r="AE252" s="3851">
        <v>0</v>
      </c>
      <c r="AF252" s="3851">
        <v>0</v>
      </c>
      <c r="AG252" s="3851">
        <v>0</v>
      </c>
      <c r="AH252" s="3851">
        <f>$K252-SUM($W252:AG252)</f>
        <v>0</v>
      </c>
      <c r="AI252" s="3851"/>
      <c r="AJ252" s="3851"/>
      <c r="AK252" s="3851"/>
      <c r="AL252" s="3851"/>
      <c r="AM252" s="3851"/>
      <c r="AN252" s="3851"/>
      <c r="AO252" s="3851"/>
      <c r="AP252" s="3851"/>
      <c r="AQ252" s="3851"/>
      <c r="AR252" s="3851"/>
      <c r="AS252" s="3851"/>
      <c r="AU252" s="3849"/>
      <c r="BB252" s="3849"/>
      <c r="BT252" s="3849"/>
      <c r="BW252" s="3856"/>
    </row>
    <row r="253" spans="1:75">
      <c r="A253" s="3857"/>
      <c r="B253" s="3966" t="s">
        <v>1137</v>
      </c>
      <c r="C253" s="3901">
        <v>7110001</v>
      </c>
      <c r="D253" s="3929" t="s">
        <v>2536</v>
      </c>
      <c r="E253" s="3844">
        <f>IFERROR(VLOOKUP(C253,'פ.נ. צרפת'!$D$129:$F$1048576,3,0),0)</f>
        <v>230299.74</v>
      </c>
      <c r="F253" s="3843">
        <f>SUMIF('פ.נ. צרפת'!$C:$C,$C:$C,'פ.נ. צרפת'!$E:$E)</f>
        <v>0</v>
      </c>
      <c r="G253" s="3882"/>
      <c r="H253" s="3884"/>
      <c r="I253" s="3882"/>
      <c r="J253" s="4022">
        <f t="shared" ref="J253:J258" si="58">SUM(E253:I253)</f>
        <v>230299.74</v>
      </c>
      <c r="K253" s="3944">
        <f>M253+SUMIF('פ.נ. צרפת'!$C:$C,$C:$C,'פ.נ. צרפת'!$F:$F)</f>
        <v>271183.40999999997</v>
      </c>
      <c r="L253" s="3845"/>
      <c r="M253" s="3931">
        <f>IFERROR(VLOOKUP(C253,'פ.נ. צרפת'!$D$129:$G$1048576,4,0),"")</f>
        <v>271183.40999999997</v>
      </c>
      <c r="N253" s="3877">
        <f t="shared" ref="N253:N258" si="59">IF(K253=0,"-",J253/K253)</f>
        <v>0.84923978203533912</v>
      </c>
      <c r="O253" s="3920"/>
      <c r="P253" s="3969" t="s">
        <v>2257</v>
      </c>
      <c r="Q253" s="3849">
        <v>21168.15</v>
      </c>
      <c r="R253" s="3851">
        <v>18670.159999999996</v>
      </c>
      <c r="S253" s="3851">
        <v>14307.25</v>
      </c>
      <c r="T253" s="3851">
        <v>23997.72</v>
      </c>
      <c r="U253" s="3851">
        <v>15359</v>
      </c>
      <c r="V253" s="3851">
        <v>15315.690000000002</v>
      </c>
      <c r="W253" s="3851">
        <f>'[26]מאזן בוחן צרפת'!W227</f>
        <v>31301.43</v>
      </c>
      <c r="X253" s="3851">
        <f>'[27]מאזן בוחן צרפת'!X227</f>
        <v>20061.379999999997</v>
      </c>
      <c r="Y253" s="3851">
        <f>'[28]מאזן בוחן צרפת'!Y227</f>
        <v>16864.680000000008</v>
      </c>
      <c r="Z253" s="3851">
        <f>'[29]מאזן בוחן צרפת'!Z228</f>
        <v>27289.61</v>
      </c>
      <c r="AA253" s="3851">
        <f>'[30]מאזן בוחן צרפת'!AA229</f>
        <v>15822.459999999992</v>
      </c>
      <c r="AB253" s="3851">
        <f>'[31]מאזן בוחן צרפת'!AB231</f>
        <v>15489.270000000004</v>
      </c>
      <c r="AC253" s="3851">
        <v>23097.87000000001</v>
      </c>
      <c r="AD253" s="3851">
        <v>15268.919999999984</v>
      </c>
      <c r="AE253" s="3851">
        <v>15167.660000000003</v>
      </c>
      <c r="AF253" s="3851">
        <v>25092.059999999998</v>
      </c>
      <c r="AG253" s="3851">
        <v>32598.25</v>
      </c>
      <c r="AH253" s="3851">
        <f>$K253-SUM($W253:AG253)</f>
        <v>33129.819999999978</v>
      </c>
      <c r="AI253" s="3851"/>
      <c r="AJ253" s="3851"/>
      <c r="AK253" s="3851"/>
      <c r="AL253" s="3851"/>
      <c r="AM253" s="3851"/>
      <c r="AN253" s="4584" t="s">
        <v>3896</v>
      </c>
      <c r="AO253" s="3851" t="s">
        <v>3309</v>
      </c>
      <c r="AP253" s="3851"/>
      <c r="AQ253" s="3851" t="s">
        <v>3309</v>
      </c>
      <c r="AR253" s="3851"/>
      <c r="AS253" s="3851" t="s">
        <v>2855</v>
      </c>
      <c r="AW253" s="3874"/>
      <c r="AX253" s="1850"/>
      <c r="AY253" s="1850"/>
      <c r="AZ253" s="1850"/>
      <c r="BA253" s="1866"/>
      <c r="BB253" s="3851"/>
      <c r="BC253" s="3851"/>
      <c r="BD253" s="3851"/>
      <c r="BE253" s="3851"/>
      <c r="BF253" s="3851"/>
      <c r="BG253" s="3851"/>
      <c r="BH253" s="3851"/>
      <c r="BI253" s="1850"/>
      <c r="BJ253" s="3851"/>
      <c r="BK253" s="3851"/>
      <c r="BL253" s="3874"/>
      <c r="BM253" s="3874"/>
    </row>
    <row r="254" spans="1:75">
      <c r="A254" s="3857"/>
      <c r="B254" s="3966" t="s">
        <v>1137</v>
      </c>
      <c r="C254" s="3901">
        <v>7110021</v>
      </c>
      <c r="D254" s="3929" t="s">
        <v>3303</v>
      </c>
      <c r="E254" s="3844">
        <f>IFERROR(VLOOKUP(C254,'פ.נ. צרפת'!$D$129:$F$1048576,3,0),0)</f>
        <v>48745.96</v>
      </c>
      <c r="F254" s="3843">
        <f>SUMIF('פ.נ. צרפת'!$C:$C,$C:$C,'פ.נ. צרפת'!$E:$E)</f>
        <v>0</v>
      </c>
      <c r="G254" s="3882"/>
      <c r="H254" s="3884"/>
      <c r="I254" s="3882"/>
      <c r="J254" s="3930">
        <f t="shared" si="58"/>
        <v>48745.96</v>
      </c>
      <c r="K254" s="4023">
        <f>M254+SUMIF('פ.נ. צרפת'!$C:$C,$C:$C,'פ.נ. צרפת'!$F:$F)</f>
        <v>51409.64</v>
      </c>
      <c r="L254" s="3845"/>
      <c r="M254" s="3931">
        <f>IFERROR(VLOOKUP(C254,'פ.נ. צרפת'!$D$129:$G$1048576,4,0),"")</f>
        <v>51409.64</v>
      </c>
      <c r="N254" s="3877">
        <f t="shared" si="59"/>
        <v>0.94818714933619452</v>
      </c>
      <c r="O254" s="3920"/>
      <c r="P254" s="3969"/>
      <c r="Q254" s="4024"/>
      <c r="R254" s="4025"/>
      <c r="S254" s="4025"/>
      <c r="T254" s="4026"/>
      <c r="U254" s="4026"/>
      <c r="V254" s="4026"/>
      <c r="W254" s="4026">
        <f>'[26]מאזן בוחן צרפת'!W230</f>
        <v>-10428</v>
      </c>
      <c r="X254" s="3851">
        <f>'[27]מאזן בוחן צרפת'!X230</f>
        <v>-892</v>
      </c>
      <c r="Y254" s="3851">
        <f>'[28]מאזן בוחן צרפת'!Y230</f>
        <v>19653.559999999998</v>
      </c>
      <c r="Z254" s="3851">
        <f>'[29]מאזן בוחן צרפת'!Z231</f>
        <v>-10523.399999999998</v>
      </c>
      <c r="AA254" s="3851">
        <f>'[30]מאזן בוחן צרפת'!AA232</f>
        <v>0</v>
      </c>
      <c r="AB254" s="3851">
        <f>'[31]מאזן בוחן צרפת'!AB234</f>
        <v>18997.55</v>
      </c>
      <c r="AC254" s="3851">
        <v>-7741.0999999999985</v>
      </c>
      <c r="AD254" s="3851">
        <v>0</v>
      </c>
      <c r="AE254" s="3851">
        <v>-8471.11</v>
      </c>
      <c r="AF254" s="3851">
        <v>-10700.72</v>
      </c>
      <c r="AG254" s="3851">
        <v>0</v>
      </c>
      <c r="AH254" s="3851">
        <f>$K254-SUM($W254:AG254)</f>
        <v>61514.86</v>
      </c>
      <c r="AI254" s="3851"/>
      <c r="AJ254" s="3851"/>
      <c r="AK254" s="3851"/>
      <c r="AL254" s="3851"/>
      <c r="AM254" s="3851"/>
      <c r="AN254" s="4584"/>
      <c r="AO254" s="3851"/>
      <c r="AP254" s="3851"/>
      <c r="AQ254" s="3851"/>
      <c r="AR254" s="3851"/>
      <c r="AS254" s="3851"/>
      <c r="AW254" s="3874"/>
      <c r="AX254" s="1850"/>
      <c r="AY254" s="1850"/>
      <c r="AZ254" s="1850"/>
      <c r="BA254" s="1866"/>
      <c r="BB254" s="3851"/>
      <c r="BC254" s="3851"/>
      <c r="BD254" s="3851"/>
      <c r="BE254" s="3851"/>
      <c r="BF254" s="3851"/>
      <c r="BG254" s="3851"/>
      <c r="BH254" s="3851"/>
      <c r="BI254" s="1850"/>
      <c r="BJ254" s="3851"/>
      <c r="BK254" s="3851"/>
      <c r="BL254" s="3874"/>
      <c r="BM254" s="3874"/>
    </row>
    <row r="255" spans="1:75">
      <c r="A255" s="3857"/>
      <c r="B255" s="3966" t="s">
        <v>1137</v>
      </c>
      <c r="C255" s="3901">
        <v>7110005</v>
      </c>
      <c r="D255" s="3929" t="s">
        <v>2964</v>
      </c>
      <c r="E255" s="3844">
        <f>IFERROR(VLOOKUP(C255,'פ.נ. צרפת'!$D$129:$F$1048576,3,0),0)</f>
        <v>0</v>
      </c>
      <c r="F255" s="3843">
        <f>SUMIF('פ.נ. צרפת'!$C:$C,$C:$C,'פ.נ. צרפת'!$E:$E)</f>
        <v>0</v>
      </c>
      <c r="G255" s="3882"/>
      <c r="H255" s="3884"/>
      <c r="I255" s="3882"/>
      <c r="J255" s="4022">
        <f t="shared" si="58"/>
        <v>0</v>
      </c>
      <c r="K255" s="3944">
        <f>M255+SUMIF('פ.נ. צרפת'!$C:$C,$C:$C,'פ.נ. צרפת'!$F:$F)</f>
        <v>0</v>
      </c>
      <c r="L255" s="3845"/>
      <c r="M255" s="3931" t="str">
        <f>IFERROR(VLOOKUP(C255,'פ.נ. צרפת'!$D$129:$G$1048576,4,0),"")</f>
        <v/>
      </c>
      <c r="N255" s="3877" t="str">
        <f t="shared" si="59"/>
        <v>-</v>
      </c>
      <c r="O255" s="3920"/>
      <c r="P255" s="3969"/>
      <c r="R255" s="3851"/>
      <c r="S255" s="3851"/>
      <c r="T255" s="3851">
        <v>0</v>
      </c>
      <c r="U255" s="3851">
        <v>1010.58</v>
      </c>
      <c r="V255" s="3851">
        <v>0</v>
      </c>
      <c r="W255" s="3851">
        <f>'[26]מאזן בוחן צרפת'!W228</f>
        <v>0</v>
      </c>
      <c r="X255" s="3851">
        <f>'[27]מאזן בוחן צרפת'!X228</f>
        <v>0</v>
      </c>
      <c r="Y255" s="3851">
        <f>'[28]מאזן בוחן צרפת'!Y228</f>
        <v>0</v>
      </c>
      <c r="Z255" s="3851">
        <f>'[29]מאזן בוחן צרפת'!Z229</f>
        <v>0</v>
      </c>
      <c r="AA255" s="3851">
        <f>'[30]מאזן בוחן צרפת'!AA230</f>
        <v>0</v>
      </c>
      <c r="AB255" s="3851">
        <f>'[31]מאזן בוחן צרפת'!AB232</f>
        <v>1442.15</v>
      </c>
      <c r="AC255" s="3851">
        <v>-1442.15</v>
      </c>
      <c r="AD255" s="3851">
        <v>0</v>
      </c>
      <c r="AE255" s="3851">
        <v>0</v>
      </c>
      <c r="AF255" s="3851">
        <v>0</v>
      </c>
      <c r="AG255" s="3851">
        <v>0</v>
      </c>
      <c r="AH255" s="3851">
        <f>$K255-SUM($W255:AG255)</f>
        <v>0</v>
      </c>
      <c r="AI255" s="3851"/>
      <c r="AJ255" s="3851"/>
      <c r="AK255" s="3851"/>
      <c r="AL255" s="3851"/>
      <c r="AM255" s="3851"/>
      <c r="AN255" s="3851"/>
      <c r="AO255" s="3851"/>
      <c r="AP255" s="3851"/>
      <c r="AQ255" s="3851"/>
      <c r="AR255" s="3851"/>
      <c r="AS255" s="3851"/>
      <c r="AW255" s="3874"/>
      <c r="AX255" s="1850"/>
      <c r="AY255" s="1850"/>
      <c r="AZ255" s="1850"/>
      <c r="BA255" s="1866"/>
      <c r="BB255" s="3851"/>
      <c r="BC255" s="3851"/>
      <c r="BD255" s="3851"/>
      <c r="BE255" s="3851"/>
      <c r="BF255" s="3851"/>
      <c r="BG255" s="3851"/>
      <c r="BH255" s="3851"/>
      <c r="BI255" s="1850"/>
      <c r="BJ255" s="3851"/>
      <c r="BK255" s="3851"/>
      <c r="BL255" s="3874"/>
      <c r="BM255" s="3874"/>
    </row>
    <row r="256" spans="1:75">
      <c r="A256" s="3857"/>
      <c r="B256" s="3966" t="s">
        <v>1137</v>
      </c>
      <c r="C256" s="4027">
        <v>7110004</v>
      </c>
      <c r="D256" s="4028" t="s">
        <v>2537</v>
      </c>
      <c r="E256" s="3844">
        <f>IFERROR(VLOOKUP(C256,'פ.נ. צרפת'!$D$129:$F$1048576,3,0),0)</f>
        <v>105326</v>
      </c>
      <c r="F256" s="3843">
        <f>SUMIF('פ.נ. צרפת'!$C:$C,$C:$C,'פ.נ. צרפת'!$E:$E)</f>
        <v>0</v>
      </c>
      <c r="G256" s="3882"/>
      <c r="H256" s="3884"/>
      <c r="I256" s="3882"/>
      <c r="J256" s="4022">
        <f t="shared" si="58"/>
        <v>105326</v>
      </c>
      <c r="K256" s="4023">
        <f>M256+SUMIF('פ.נ. צרפת'!$C:$C,$C:$C,'פ.נ. צרפת'!$F:$F)</f>
        <v>126046.9</v>
      </c>
      <c r="L256" s="3845"/>
      <c r="M256" s="3931">
        <f>IFERROR(VLOOKUP(C256,'פ.נ. צרפת'!$D$129:$G$1048576,4,0),"")</f>
        <v>126046.9</v>
      </c>
      <c r="N256" s="3877">
        <f t="shared" si="59"/>
        <v>0.83560960245749805</v>
      </c>
      <c r="O256" s="3920"/>
      <c r="P256" s="3969"/>
      <c r="Q256" s="4029">
        <v>12988.63</v>
      </c>
      <c r="R256" s="4026">
        <v>0</v>
      </c>
      <c r="S256" s="4026">
        <v>0</v>
      </c>
      <c r="T256" s="4026">
        <v>22920.980000000003</v>
      </c>
      <c r="U256" s="4026">
        <v>0</v>
      </c>
      <c r="V256" s="4026">
        <v>-3585.1399108374571</v>
      </c>
      <c r="W256" s="4026">
        <f>'[26]מאזן בוחן צרפת'!W229</f>
        <v>53590.21</v>
      </c>
      <c r="X256" s="4026">
        <f>'[27]מאזן בוחן צרפת'!X229</f>
        <v>0</v>
      </c>
      <c r="Y256" s="4026">
        <f>'[28]מאזן בוחן צרפת'!Y229</f>
        <v>0</v>
      </c>
      <c r="Z256" s="4026">
        <f>'[29]מאזן בוחן צרפת'!Z230</f>
        <v>29681.480000000003</v>
      </c>
      <c r="AA256" s="4026">
        <f>'[30]מאזן בוחן צרפת'!AA231</f>
        <v>0</v>
      </c>
      <c r="AB256" s="4026">
        <f>'[31]מאזן בוחן צרפת'!AB233</f>
        <v>0</v>
      </c>
      <c r="AC256" s="4026">
        <v>17230.619999999995</v>
      </c>
      <c r="AD256" s="4026">
        <v>0</v>
      </c>
      <c r="AE256" s="4026">
        <v>0</v>
      </c>
      <c r="AF256" s="4026">
        <v>25544.589999999997</v>
      </c>
      <c r="AG256" s="4026">
        <v>0</v>
      </c>
      <c r="AH256" s="3851">
        <f>$K256-SUM($W256:AG256)</f>
        <v>0</v>
      </c>
      <c r="AI256" s="4026"/>
      <c r="AJ256" s="4026"/>
      <c r="AK256" s="3851"/>
      <c r="AL256" s="3851"/>
      <c r="AM256" s="4026"/>
      <c r="AN256" s="4026"/>
      <c r="AO256" s="4026"/>
      <c r="AP256" s="4026"/>
      <c r="AQ256" s="3851"/>
      <c r="AR256" s="3851"/>
      <c r="AS256" s="3851"/>
      <c r="AW256" s="3874"/>
      <c r="AX256" s="1850"/>
      <c r="AY256" s="1850"/>
      <c r="AZ256" s="1850"/>
      <c r="BA256" s="1866"/>
      <c r="BB256" s="3851"/>
      <c r="BC256" s="3851"/>
      <c r="BD256" s="3851"/>
      <c r="BE256" s="3851"/>
      <c r="BF256" s="3851"/>
      <c r="BG256" s="3851"/>
      <c r="BH256" s="3851"/>
      <c r="BI256" s="1850"/>
      <c r="BJ256" s="3851"/>
      <c r="BK256" s="3851"/>
      <c r="BL256" s="3874"/>
      <c r="BM256" s="3874"/>
    </row>
    <row r="257" spans="1:75">
      <c r="A257" s="3857"/>
      <c r="B257" s="3966" t="s">
        <v>1137</v>
      </c>
      <c r="C257" s="3901">
        <v>7110002</v>
      </c>
      <c r="D257" s="3929" t="s">
        <v>2757</v>
      </c>
      <c r="E257" s="3844">
        <f>IFERROR(VLOOKUP(C257,'פ.נ. צרפת'!$D$129:$F$1048576,3,0),0)</f>
        <v>12895.1</v>
      </c>
      <c r="F257" s="3843">
        <f>SUMIF('פ.נ. צרפת'!$C:$C,$C:$C,'פ.נ. צרפת'!$E:$E)</f>
        <v>0</v>
      </c>
      <c r="G257" s="3882"/>
      <c r="H257" s="3884"/>
      <c r="I257" s="3882"/>
      <c r="J257" s="4022">
        <f t="shared" si="58"/>
        <v>12895.1</v>
      </c>
      <c r="K257" s="3944">
        <f>M257+SUMIF('פ.נ. צרפת'!$C:$C,$C:$C,'פ.נ. צרפת'!$F:$F)</f>
        <v>14594.69</v>
      </c>
      <c r="L257" s="3845"/>
      <c r="M257" s="3931">
        <f>IFERROR(VLOOKUP(C257,'פ.נ. צרפת'!$D$129:$G$1048576,4,0),"")</f>
        <v>14594.69</v>
      </c>
      <c r="N257" s="3877">
        <f t="shared" si="59"/>
        <v>0.88354737236625103</v>
      </c>
      <c r="O257" s="3920"/>
      <c r="P257" s="3969"/>
      <c r="Q257" s="3849">
        <v>0</v>
      </c>
      <c r="R257" s="3851"/>
      <c r="S257" s="3851">
        <v>0</v>
      </c>
      <c r="T257" s="3851">
        <v>4433.3599999999997</v>
      </c>
      <c r="U257" s="3851">
        <v>0</v>
      </c>
      <c r="V257" s="3851">
        <v>0</v>
      </c>
      <c r="W257" s="3851">
        <f>'[26]מאזן בוחן צרפת'!W231</f>
        <v>0</v>
      </c>
      <c r="X257" s="3851">
        <f>'[27]מאזן בוחן צרפת'!X231</f>
        <v>-8.56</v>
      </c>
      <c r="Y257" s="3851">
        <f>'[28]מאזן בוחן צרפת'!Y231</f>
        <v>1462.5</v>
      </c>
      <c r="Z257" s="3851">
        <f>'[29]מאזן בוחן צרפת'!Z232</f>
        <v>0</v>
      </c>
      <c r="AA257" s="3851">
        <f>'[30]מאזן בוחן צרפת'!AA233</f>
        <v>0</v>
      </c>
      <c r="AB257" s="3851">
        <f>'[31]מאזן בוחן צרפת'!AB235</f>
        <v>1481.21</v>
      </c>
      <c r="AC257" s="3851">
        <v>0</v>
      </c>
      <c r="AD257" s="3851">
        <v>0</v>
      </c>
      <c r="AE257" s="3851">
        <v>1441.8600000000001</v>
      </c>
      <c r="AF257" s="3851">
        <v>0</v>
      </c>
      <c r="AG257" s="3851">
        <v>0</v>
      </c>
      <c r="AH257" s="3851">
        <f>$K257-SUM($W257:AG257)</f>
        <v>10217.68</v>
      </c>
      <c r="AI257" s="3851"/>
      <c r="AJ257" s="3851"/>
      <c r="AK257" s="3851"/>
      <c r="AL257" s="3851"/>
      <c r="AM257" s="3851"/>
      <c r="AN257" s="3851"/>
      <c r="AO257" s="3851"/>
      <c r="AP257" s="3851"/>
      <c r="AQ257" s="3851"/>
      <c r="AR257" s="3851"/>
      <c r="AS257" s="3851"/>
      <c r="AW257" s="3874"/>
      <c r="AX257" s="1850"/>
      <c r="AY257" s="1850"/>
      <c r="AZ257" s="1850"/>
      <c r="BA257" s="1866"/>
      <c r="BB257" s="3851"/>
      <c r="BC257" s="3851"/>
      <c r="BD257" s="3851"/>
      <c r="BE257" s="3851"/>
      <c r="BF257" s="3851"/>
      <c r="BG257" s="3851"/>
      <c r="BH257" s="3851"/>
      <c r="BI257" s="1850"/>
      <c r="BJ257" s="3851"/>
      <c r="BK257" s="3851"/>
      <c r="BL257" s="3874"/>
      <c r="BM257" s="3874"/>
    </row>
    <row r="258" spans="1:75">
      <c r="A258" s="3857"/>
      <c r="B258" s="3966" t="s">
        <v>1137</v>
      </c>
      <c r="C258" s="3901">
        <v>7110100</v>
      </c>
      <c r="D258" s="3929" t="s">
        <v>3942</v>
      </c>
      <c r="E258" s="3844">
        <f>IFERROR(VLOOKUP(C258,'פ.נ. צרפת'!$D$129:$F$1048576,3,0),0)</f>
        <v>1940.58</v>
      </c>
      <c r="F258" s="3843">
        <f>SUMIF('פ.נ. צרפת'!$C:$C,$C:$C,'פ.נ. צרפת'!$E:$E)</f>
        <v>0</v>
      </c>
      <c r="G258" s="3882"/>
      <c r="H258" s="3884"/>
      <c r="I258" s="3882"/>
      <c r="J258" s="3930">
        <f t="shared" si="58"/>
        <v>1940.58</v>
      </c>
      <c r="K258" s="3944">
        <f>M258+SUMIF('פ.נ. צרפת'!$C:$C,$C:$C,'פ.נ. צרפת'!$F:$F)</f>
        <v>2310.33</v>
      </c>
      <c r="L258" s="3845"/>
      <c r="M258" s="3931">
        <f>IFERROR(VLOOKUP(C258,'פ.נ. צרפת'!$D$129:$G$1048576,4,0),"")</f>
        <v>2310.33</v>
      </c>
      <c r="N258" s="3877">
        <f t="shared" si="59"/>
        <v>0.83995792808819514</v>
      </c>
      <c r="O258" s="3920"/>
      <c r="P258" s="3969"/>
      <c r="R258" s="3851"/>
      <c r="S258" s="3851">
        <v>14307.25</v>
      </c>
      <c r="T258" s="3851">
        <v>-14307.25</v>
      </c>
      <c r="U258" s="3851">
        <v>0</v>
      </c>
      <c r="V258" s="3851">
        <v>0</v>
      </c>
      <c r="W258" s="3851">
        <f>'[26]מאזן בוחן צרפת'!W232</f>
        <v>0</v>
      </c>
      <c r="X258" s="3851">
        <f>'[27]מאזן בוחן צרפת'!X232</f>
        <v>0</v>
      </c>
      <c r="Y258" s="3851">
        <f>'[28]מאזן בוחן צרפת'!Y232</f>
        <v>0</v>
      </c>
      <c r="Z258" s="3851">
        <f>'[29]מאזן בוחן צרפת'!Z233</f>
        <v>0</v>
      </c>
      <c r="AA258" s="3851">
        <f>'[30]מאזן בוחן צרפת'!AA234</f>
        <v>0</v>
      </c>
      <c r="AB258" s="3851">
        <f>'[31]מאזן בוחן צרפת'!AB236</f>
        <v>0</v>
      </c>
      <c r="AC258" s="3851">
        <v>2310.33</v>
      </c>
      <c r="AD258" s="3851">
        <v>0</v>
      </c>
      <c r="AE258" s="3851">
        <v>0</v>
      </c>
      <c r="AF258" s="3851">
        <v>0</v>
      </c>
      <c r="AG258" s="3851">
        <v>0</v>
      </c>
      <c r="AH258" s="3851">
        <f>$K258-SUM($W258:AG258)</f>
        <v>0</v>
      </c>
      <c r="AI258" s="3851"/>
      <c r="AJ258" s="3851"/>
      <c r="AK258" s="3851"/>
      <c r="AL258" s="3851"/>
      <c r="AM258" s="3851"/>
      <c r="AN258" s="3851"/>
      <c r="AO258" s="3851"/>
      <c r="AP258" s="3851"/>
      <c r="AQ258" s="3851"/>
      <c r="AR258" s="3851"/>
      <c r="AS258" s="3851"/>
      <c r="AW258" s="3874"/>
      <c r="AX258" s="1850"/>
      <c r="AY258" s="1850"/>
      <c r="AZ258" s="1850"/>
      <c r="BA258" s="1866"/>
      <c r="BB258" s="3851"/>
      <c r="BC258" s="3851"/>
      <c r="BD258" s="3851"/>
      <c r="BE258" s="3851"/>
      <c r="BF258" s="3851"/>
      <c r="BG258" s="3851"/>
      <c r="BH258" s="3851"/>
      <c r="BI258" s="1850"/>
      <c r="BJ258" s="3851"/>
      <c r="BK258" s="3851"/>
      <c r="BL258" s="3874"/>
      <c r="BM258" s="3874"/>
    </row>
    <row r="259" spans="1:75">
      <c r="A259" s="3857"/>
      <c r="B259" s="3966"/>
      <c r="C259" s="3901"/>
      <c r="D259" s="3929"/>
      <c r="E259" s="3844"/>
      <c r="F259" s="3915"/>
      <c r="G259" s="3882"/>
      <c r="H259" s="3884"/>
      <c r="I259" s="3882"/>
      <c r="J259" s="3930"/>
      <c r="K259" s="3944"/>
      <c r="L259" s="3845"/>
      <c r="M259" s="3944"/>
      <c r="N259" s="3877"/>
      <c r="O259" s="3920"/>
      <c r="P259" s="3969"/>
      <c r="Q259" s="3849">
        <v>0</v>
      </c>
      <c r="R259" s="3851">
        <v>0</v>
      </c>
      <c r="S259" s="3851">
        <v>0</v>
      </c>
      <c r="T259" s="3851">
        <v>0</v>
      </c>
      <c r="U259" s="3851">
        <v>0</v>
      </c>
      <c r="V259" s="3851">
        <v>4247.0999999999995</v>
      </c>
      <c r="W259" s="3851">
        <f>'[26]מאזן בוחן צרפת'!W233</f>
        <v>0</v>
      </c>
      <c r="X259" s="3851">
        <f>'[27]מאזן בוחן צרפת'!X233</f>
        <v>0</v>
      </c>
      <c r="Y259" s="3851">
        <f>'[28]מאזן בוחן צרפת'!Y233</f>
        <v>0</v>
      </c>
      <c r="Z259" s="3851">
        <f>'[29]מאזן בוחן צרפת'!Z234</f>
        <v>0</v>
      </c>
      <c r="AA259" s="3851">
        <f>'[30]מאזן בוחן צרפת'!AA235</f>
        <v>0</v>
      </c>
      <c r="AB259" s="3851">
        <f>'[31]מאזן בוחן צרפת'!AB237</f>
        <v>0</v>
      </c>
      <c r="AC259" s="3851">
        <v>0</v>
      </c>
      <c r="AD259" s="3851">
        <v>0</v>
      </c>
      <c r="AE259" s="3851">
        <v>0</v>
      </c>
      <c r="AF259" s="3851">
        <v>0</v>
      </c>
      <c r="AG259" s="3851">
        <v>0</v>
      </c>
      <c r="AH259" s="3851">
        <f>$K259-SUM($W259:AG259)</f>
        <v>0</v>
      </c>
      <c r="AI259" s="3851"/>
      <c r="AJ259" s="3851"/>
      <c r="AK259" s="3851"/>
      <c r="AL259" s="3851"/>
      <c r="AM259" s="3851"/>
      <c r="AN259" s="3851"/>
      <c r="AO259" s="3851"/>
      <c r="AP259" s="3851"/>
      <c r="AQ259" s="3851"/>
      <c r="AR259" s="3851"/>
      <c r="AS259" s="3851"/>
      <c r="AW259" s="3874"/>
      <c r="AX259" s="1850"/>
      <c r="AY259" s="1850"/>
      <c r="AZ259" s="1850"/>
      <c r="BA259" s="1866"/>
      <c r="BB259" s="3851"/>
      <c r="BC259" s="3851"/>
      <c r="BD259" s="3851"/>
      <c r="BE259" s="3851"/>
      <c r="BF259" s="3851"/>
      <c r="BG259" s="3851"/>
      <c r="BH259" s="3851"/>
      <c r="BI259" s="1850"/>
      <c r="BJ259" s="3851"/>
      <c r="BK259" s="3851"/>
      <c r="BL259" s="3874"/>
      <c r="BM259" s="3874"/>
    </row>
    <row r="260" spans="1:75">
      <c r="A260" s="3857"/>
      <c r="B260" s="3966" t="s">
        <v>1137</v>
      </c>
      <c r="C260" s="3901">
        <v>7110006</v>
      </c>
      <c r="D260" s="3929" t="s">
        <v>1433</v>
      </c>
      <c r="E260" s="3844">
        <f>IFERROR(VLOOKUP(C260,'פ.נ. צרפת'!$D$129:$F$1048576,3,0),0)</f>
        <v>19020.93</v>
      </c>
      <c r="F260" s="3843">
        <f>SUMIF('פ.נ. צרפת'!$C:$C,$C:$C,'פ.נ. צרפת'!$E:$E)</f>
        <v>0</v>
      </c>
      <c r="G260" s="3882"/>
      <c r="H260" s="3884"/>
      <c r="I260" s="3882"/>
      <c r="J260" s="4022">
        <f>SUM(E260:I260)</f>
        <v>19020.93</v>
      </c>
      <c r="K260" s="3944">
        <f>M260+SUMIF('פ.נ. צרפת'!$C:$C,$C:$C,'פ.נ. צרפת'!$F:$F)</f>
        <v>22105.83</v>
      </c>
      <c r="L260" s="3845"/>
      <c r="M260" s="3931">
        <f>IFERROR(VLOOKUP(C260,'פ.נ. צרפת'!$D$129:$G$1048576,4,0),"")</f>
        <v>22105.83</v>
      </c>
      <c r="N260" s="3877">
        <f>IF(K260=0,"-",J260/K260)</f>
        <v>0.86044857849716561</v>
      </c>
      <c r="O260" s="3920"/>
      <c r="P260" s="3969"/>
      <c r="R260" s="3851"/>
      <c r="S260" s="3851">
        <v>4433.3599999999997</v>
      </c>
      <c r="T260" s="3851">
        <v>598.67000000000007</v>
      </c>
      <c r="U260" s="3851">
        <v>0</v>
      </c>
      <c r="V260" s="3851">
        <v>0</v>
      </c>
      <c r="W260" s="3851">
        <f>'[26]מאזן בוחן צרפת'!W234</f>
        <v>0</v>
      </c>
      <c r="X260" s="3851">
        <f>'[27]מאזן בוחן צרפת'!X234</f>
        <v>0</v>
      </c>
      <c r="Y260" s="3851">
        <f>'[28]מאזן בוחן צרפת'!Y234</f>
        <v>5415.17</v>
      </c>
      <c r="Z260" s="3851">
        <f>'[29]מאזן בוחן צרפת'!Z235</f>
        <v>0</v>
      </c>
      <c r="AA260" s="3851">
        <f>'[30]מאזן בוחן צרפת'!AA236</f>
        <v>0</v>
      </c>
      <c r="AB260" s="3851">
        <f>'[31]מאזן בוחן צרפת'!AB238</f>
        <v>5512.4599999999991</v>
      </c>
      <c r="AC260" s="3851">
        <v>0</v>
      </c>
      <c r="AD260" s="3851">
        <v>0</v>
      </c>
      <c r="AE260" s="3851">
        <v>5589.1</v>
      </c>
      <c r="AF260" s="3851">
        <v>0</v>
      </c>
      <c r="AG260" s="3851">
        <v>0</v>
      </c>
      <c r="AH260" s="3851">
        <f>$K260-SUM($W260:AG260)</f>
        <v>5589.1000000000022</v>
      </c>
      <c r="AI260" s="3851"/>
      <c r="AJ260" s="3851"/>
      <c r="AK260" s="3851"/>
      <c r="AL260" s="3851"/>
      <c r="AM260" s="3851"/>
      <c r="AN260" s="3851"/>
      <c r="AO260" s="3851"/>
      <c r="AP260" s="3851"/>
      <c r="AQ260" s="3851"/>
      <c r="AR260" s="3851"/>
      <c r="AS260" s="3851"/>
      <c r="AW260" s="3874"/>
      <c r="AX260" s="1850"/>
      <c r="AY260" s="1850"/>
      <c r="AZ260" s="1850"/>
      <c r="BA260" s="1866"/>
      <c r="BB260" s="3851"/>
      <c r="BC260" s="3851"/>
      <c r="BD260" s="3851"/>
      <c r="BE260" s="3851"/>
      <c r="BF260" s="3851"/>
      <c r="BG260" s="3851"/>
      <c r="BH260" s="3851"/>
      <c r="BI260" s="1850"/>
      <c r="BJ260" s="3851"/>
      <c r="BK260" s="3851"/>
      <c r="BL260" s="3874"/>
      <c r="BM260" s="3874"/>
    </row>
    <row r="261" spans="1:75">
      <c r="A261" s="3857"/>
      <c r="B261" s="3966"/>
      <c r="C261" s="3901"/>
      <c r="D261" s="3929"/>
      <c r="E261" s="3844"/>
      <c r="F261" s="3843"/>
      <c r="G261" s="3882"/>
      <c r="H261" s="3884"/>
      <c r="I261" s="3882"/>
      <c r="J261" s="3930"/>
      <c r="K261" s="3944"/>
      <c r="L261" s="3845"/>
      <c r="M261" s="3944"/>
      <c r="N261" s="3877"/>
      <c r="O261" s="3920"/>
      <c r="P261" s="3969"/>
      <c r="R261" s="3851"/>
      <c r="S261" s="3851">
        <v>0</v>
      </c>
      <c r="T261" s="3851">
        <v>0</v>
      </c>
      <c r="U261" s="3851">
        <v>0</v>
      </c>
      <c r="V261" s="3851">
        <v>0</v>
      </c>
      <c r="W261" s="3851">
        <f>'[26]מאזן בוחן צרפת'!W235</f>
        <v>0</v>
      </c>
      <c r="X261" s="3851">
        <f>'[27]מאזן בוחן צרפת'!X235</f>
        <v>0</v>
      </c>
      <c r="Y261" s="3851">
        <f>'[28]מאזן בוחן צרפת'!Y235</f>
        <v>0</v>
      </c>
      <c r="Z261" s="3851">
        <f>'[29]מאזן בוחן צרפת'!Z236</f>
        <v>0</v>
      </c>
      <c r="AA261" s="3851">
        <f>'[30]מאזן בוחן צרפת'!AA237</f>
        <v>0</v>
      </c>
      <c r="AB261" s="3851">
        <f>'[31]מאזן בוחן צרפת'!AB239</f>
        <v>0</v>
      </c>
      <c r="AC261" s="3851">
        <v>0</v>
      </c>
      <c r="AD261" s="3851">
        <v>0</v>
      </c>
      <c r="AE261" s="3851">
        <v>0</v>
      </c>
      <c r="AF261" s="3851">
        <v>0</v>
      </c>
      <c r="AG261" s="3851">
        <v>0</v>
      </c>
      <c r="AH261" s="3851">
        <f>$K261-SUM($W261:AG261)</f>
        <v>0</v>
      </c>
      <c r="AI261" s="3851"/>
      <c r="AJ261" s="3851"/>
      <c r="AK261" s="3851"/>
      <c r="AL261" s="3851"/>
      <c r="AM261" s="3851"/>
      <c r="AN261" s="3851"/>
      <c r="AO261" s="3851"/>
      <c r="AP261" s="3851"/>
      <c r="AQ261" s="3851"/>
      <c r="AR261" s="3851"/>
      <c r="AS261" s="3851"/>
      <c r="AW261" s="3874"/>
      <c r="AX261" s="1850"/>
      <c r="AY261" s="1850"/>
      <c r="AZ261" s="1850"/>
      <c r="BA261" s="1866"/>
      <c r="BB261" s="3851"/>
      <c r="BC261" s="3851"/>
      <c r="BD261" s="3851"/>
      <c r="BE261" s="3851"/>
      <c r="BF261" s="3851"/>
      <c r="BG261" s="3851"/>
      <c r="BH261" s="3851"/>
      <c r="BI261" s="1850"/>
      <c r="BJ261" s="3851"/>
      <c r="BK261" s="3851"/>
      <c r="BL261" s="3874"/>
      <c r="BM261" s="3874"/>
    </row>
    <row r="262" spans="1:75">
      <c r="A262" s="3857"/>
      <c r="B262" s="3966"/>
      <c r="C262" s="3901"/>
      <c r="D262" s="1900" t="s">
        <v>740</v>
      </c>
      <c r="E262" s="3844"/>
      <c r="F262" s="3915"/>
      <c r="G262" s="3882"/>
      <c r="H262" s="3884"/>
      <c r="I262" s="3882"/>
      <c r="J262" s="3930"/>
      <c r="K262" s="3944"/>
      <c r="L262" s="3845"/>
      <c r="M262" s="3944"/>
      <c r="N262" s="3877"/>
      <c r="O262" s="3920"/>
      <c r="P262" s="3969"/>
      <c r="Q262" s="3849">
        <v>0</v>
      </c>
      <c r="R262" s="3851">
        <v>0</v>
      </c>
      <c r="S262" s="3851">
        <v>0</v>
      </c>
      <c r="T262" s="3851">
        <v>0</v>
      </c>
      <c r="U262" s="3851">
        <v>0</v>
      </c>
      <c r="V262" s="3851">
        <v>0</v>
      </c>
      <c r="W262" s="3851">
        <f>'[26]מאזן בוחן צרפת'!W236</f>
        <v>0</v>
      </c>
      <c r="X262" s="3851">
        <f>'[27]מאזן בוחן צרפת'!X236</f>
        <v>0</v>
      </c>
      <c r="Y262" s="3851">
        <f>'[28]מאזן בוחן צרפת'!Y236</f>
        <v>0</v>
      </c>
      <c r="Z262" s="3851">
        <f>'[29]מאזן בוחן צרפת'!Z237</f>
        <v>0</v>
      </c>
      <c r="AA262" s="3851">
        <f>'[30]מאזן בוחן צרפת'!AA238</f>
        <v>0</v>
      </c>
      <c r="AB262" s="3851">
        <f>'[31]מאזן בוחן צרפת'!AB240</f>
        <v>0</v>
      </c>
      <c r="AC262" s="3851">
        <v>0</v>
      </c>
      <c r="AD262" s="3851">
        <v>0</v>
      </c>
      <c r="AE262" s="3851">
        <v>0</v>
      </c>
      <c r="AF262" s="3851">
        <v>0</v>
      </c>
      <c r="AG262" s="3851">
        <v>0</v>
      </c>
      <c r="AH262" s="3851">
        <f>$K262-SUM($W262:AG262)</f>
        <v>0</v>
      </c>
      <c r="AI262" s="3851"/>
      <c r="AJ262" s="3851"/>
      <c r="AK262" s="3851"/>
      <c r="AL262" s="3851"/>
      <c r="AM262" s="3851"/>
      <c r="AN262" s="3851"/>
      <c r="AO262" s="3851"/>
      <c r="AP262" s="3851"/>
      <c r="AQ262" s="3851"/>
      <c r="AR262" s="3851"/>
      <c r="AS262" s="3851"/>
      <c r="AW262" s="3874"/>
      <c r="AX262" s="1850"/>
      <c r="AY262" s="1850"/>
      <c r="AZ262" s="1850"/>
      <c r="BA262" s="1866"/>
      <c r="BB262" s="3851"/>
      <c r="BC262" s="3851"/>
      <c r="BD262" s="3851"/>
      <c r="BE262" s="3851"/>
      <c r="BF262" s="3851"/>
      <c r="BG262" s="3851"/>
      <c r="BH262" s="3851"/>
      <c r="BI262" s="1850"/>
      <c r="BJ262" s="3851"/>
      <c r="BK262" s="3851"/>
      <c r="BL262" s="3874"/>
      <c r="BM262" s="3874"/>
    </row>
    <row r="263" spans="1:75">
      <c r="A263" s="3857"/>
      <c r="B263" s="3966"/>
      <c r="C263" s="3901"/>
      <c r="D263" s="3929"/>
      <c r="E263" s="3844"/>
      <c r="F263" s="3915"/>
      <c r="G263" s="3882"/>
      <c r="H263" s="3884"/>
      <c r="I263" s="3882"/>
      <c r="J263" s="3930"/>
      <c r="K263" s="3944"/>
      <c r="L263" s="3845"/>
      <c r="M263" s="3944"/>
      <c r="N263" s="3877"/>
      <c r="O263" s="3920"/>
      <c r="P263" s="3969"/>
      <c r="Q263" s="3849">
        <v>0</v>
      </c>
      <c r="R263" s="3851">
        <v>0</v>
      </c>
      <c r="S263" s="3851">
        <v>0</v>
      </c>
      <c r="T263" s="3851">
        <v>0</v>
      </c>
      <c r="U263" s="3851">
        <v>0</v>
      </c>
      <c r="V263" s="3851">
        <v>0</v>
      </c>
      <c r="W263" s="3851">
        <f>'[26]מאזן בוחן צרפת'!W237</f>
        <v>0</v>
      </c>
      <c r="X263" s="3851">
        <f>'[27]מאזן בוחן צרפת'!X237</f>
        <v>0</v>
      </c>
      <c r="Y263" s="3851">
        <f>'[28]מאזן בוחן צרפת'!Y237</f>
        <v>0</v>
      </c>
      <c r="Z263" s="3851">
        <f>'[29]מאזן בוחן צרפת'!Z238</f>
        <v>0</v>
      </c>
      <c r="AA263" s="3851">
        <f>'[30]מאזן בוחן צרפת'!AA239</f>
        <v>0</v>
      </c>
      <c r="AB263" s="3851">
        <f>'[31]מאזן בוחן צרפת'!AB241</f>
        <v>0</v>
      </c>
      <c r="AC263" s="3851">
        <v>0</v>
      </c>
      <c r="AD263" s="3851">
        <v>0</v>
      </c>
      <c r="AE263" s="3851">
        <v>0</v>
      </c>
      <c r="AF263" s="3851">
        <v>0</v>
      </c>
      <c r="AG263" s="3851">
        <v>0</v>
      </c>
      <c r="AH263" s="3851">
        <f>$K263-SUM($W263:AG263)</f>
        <v>0</v>
      </c>
      <c r="AI263" s="3851"/>
      <c r="AJ263" s="3851"/>
      <c r="AK263" s="3851"/>
      <c r="AL263" s="3851"/>
      <c r="AM263" s="3851"/>
      <c r="AN263" s="3851"/>
      <c r="AO263" s="3851"/>
      <c r="AP263" s="3851"/>
      <c r="AQ263" s="3851"/>
      <c r="AR263" s="3851"/>
      <c r="AS263" s="3851"/>
      <c r="AW263" s="3874"/>
      <c r="AX263" s="1850"/>
      <c r="AY263" s="1850"/>
      <c r="AZ263" s="1850"/>
      <c r="BA263" s="1866"/>
      <c r="BB263" s="3851"/>
      <c r="BC263" s="3851"/>
      <c r="BD263" s="3851"/>
      <c r="BE263" s="3851"/>
      <c r="BF263" s="3851"/>
      <c r="BG263" s="3851"/>
      <c r="BH263" s="3851"/>
      <c r="BI263" s="1850"/>
      <c r="BJ263" s="3851"/>
      <c r="BK263" s="3851"/>
      <c r="BL263" s="3874"/>
      <c r="BM263" s="3874"/>
    </row>
    <row r="264" spans="1:75">
      <c r="A264" s="3857"/>
      <c r="B264" s="3966" t="s">
        <v>563</v>
      </c>
      <c r="C264" s="3901">
        <v>7120026</v>
      </c>
      <c r="D264" s="3929" t="s">
        <v>2538</v>
      </c>
      <c r="E264" s="3844">
        <f>IFERROR(VLOOKUP(C264,'פ.נ. צרפת'!$D$129:$F$1048576,3,0),0)</f>
        <v>5119.25</v>
      </c>
      <c r="F264" s="3843">
        <f>SUMIF('פ.נ. צרפת'!$C:$C,$C:$C,'פ.נ. צרפת'!$E:$E)</f>
        <v>0</v>
      </c>
      <c r="G264" s="3882"/>
      <c r="H264" s="3884"/>
      <c r="I264" s="3882"/>
      <c r="J264" s="4022">
        <f>SUM(E264:I264)</f>
        <v>5119.25</v>
      </c>
      <c r="K264" s="3944">
        <f>M264+SUMIF('פ.נ. צרפת'!$C:$C,$C:$C,'פ.נ. צרפת'!$F:$F)</f>
        <v>5991.26</v>
      </c>
      <c r="L264" s="3845"/>
      <c r="M264" s="3931">
        <f>IFERROR(VLOOKUP(C264,'פ.נ. צרפת'!$D$129:$G$1048576,4,0),"")</f>
        <v>5991.26</v>
      </c>
      <c r="N264" s="3877">
        <f>IF(K264=0,"-",J264/K264)</f>
        <v>0.85445298651702639</v>
      </c>
      <c r="O264" s="3920"/>
      <c r="P264" s="3969"/>
      <c r="Q264" s="3849">
        <v>1862.97</v>
      </c>
      <c r="R264" s="3851">
        <v>0</v>
      </c>
      <c r="S264" s="3851">
        <v>0</v>
      </c>
      <c r="T264" s="3851">
        <v>0</v>
      </c>
      <c r="U264" s="3851">
        <v>0</v>
      </c>
      <c r="V264" s="3851">
        <v>0</v>
      </c>
      <c r="W264" s="3851">
        <f>'[26]מאזן בוחן צרפת'!W238</f>
        <v>0</v>
      </c>
      <c r="X264" s="3851">
        <f>'[27]מאזן בוחן צרפת'!X238</f>
        <v>1786.02</v>
      </c>
      <c r="Y264" s="3851">
        <f>'[28]מאזן בוחן צרפת'!Y238</f>
        <v>0</v>
      </c>
      <c r="Z264" s="3851">
        <f>'[29]מאזן בוחן צרפת'!Z239</f>
        <v>0</v>
      </c>
      <c r="AA264" s="3851">
        <f>'[30]מאזן בוחן צרפת'!AA240</f>
        <v>0</v>
      </c>
      <c r="AB264" s="3851">
        <f>'[31]מאזן בוחן צרפת'!AB242</f>
        <v>0</v>
      </c>
      <c r="AC264" s="3851">
        <v>1316.33</v>
      </c>
      <c r="AD264" s="3851">
        <v>0</v>
      </c>
      <c r="AE264" s="3851">
        <v>0</v>
      </c>
      <c r="AF264" s="3851">
        <v>0</v>
      </c>
      <c r="AG264" s="3851">
        <v>939</v>
      </c>
      <c r="AH264" s="3851">
        <f>$K264-SUM($W264:AG264)</f>
        <v>1949.9100000000003</v>
      </c>
      <c r="AI264" s="3851"/>
      <c r="AJ264" s="3851"/>
      <c r="AK264" s="3851"/>
      <c r="AL264" s="3851"/>
      <c r="AM264" s="3851"/>
      <c r="AN264" s="3851"/>
      <c r="AO264" s="3851"/>
      <c r="AP264" s="3851"/>
      <c r="AQ264" s="3851"/>
      <c r="AR264" s="3851"/>
      <c r="AS264" s="3851"/>
      <c r="AW264" s="3874"/>
      <c r="AX264" s="1850"/>
      <c r="AY264" s="1850"/>
      <c r="AZ264" s="1850"/>
      <c r="BA264" s="1866"/>
      <c r="BB264" s="3851"/>
      <c r="BC264" s="3851"/>
      <c r="BD264" s="3851"/>
      <c r="BE264" s="3851"/>
      <c r="BF264" s="3851"/>
      <c r="BG264" s="3851"/>
      <c r="BH264" s="3851"/>
      <c r="BI264" s="1850"/>
      <c r="BJ264" s="3851"/>
      <c r="BK264" s="3851"/>
      <c r="BL264" s="3874"/>
      <c r="BM264" s="3874"/>
    </row>
    <row r="265" spans="1:75">
      <c r="B265" s="3656"/>
      <c r="C265" s="3898"/>
      <c r="D265" s="4030"/>
      <c r="E265" s="3844"/>
      <c r="J265" s="3843"/>
      <c r="K265" s="4015"/>
      <c r="L265" s="3874"/>
      <c r="M265" s="4015"/>
      <c r="N265" s="3922"/>
      <c r="O265" s="3920"/>
      <c r="P265" s="3969"/>
      <c r="Q265" s="3849">
        <v>0</v>
      </c>
      <c r="R265" s="3851">
        <v>0</v>
      </c>
      <c r="S265" s="3851">
        <v>0</v>
      </c>
      <c r="T265" s="3851">
        <v>0</v>
      </c>
      <c r="U265" s="3851">
        <v>0</v>
      </c>
      <c r="V265" s="3851">
        <v>15977.650089162576</v>
      </c>
      <c r="W265" s="3851">
        <f>'[26]מאזן בוחן צרפת'!W239</f>
        <v>0</v>
      </c>
      <c r="X265" s="3851">
        <f>'[27]מאזן בוחן צרפת'!X239</f>
        <v>0</v>
      </c>
      <c r="Y265" s="3851">
        <f>'[28]מאזן בוחן צרפת'!Y239</f>
        <v>0</v>
      </c>
      <c r="Z265" s="3851">
        <f>'[29]מאזן בוחן צרפת'!Z240</f>
        <v>0</v>
      </c>
      <c r="AA265" s="3851">
        <f>'[30]מאזן בוחן צרפת'!AA241</f>
        <v>0</v>
      </c>
      <c r="AB265" s="3851">
        <f>'[31]מאזן בוחן צרפת'!AB243</f>
        <v>0</v>
      </c>
      <c r="AC265" s="3851">
        <v>0</v>
      </c>
      <c r="AD265" s="3851">
        <v>0</v>
      </c>
      <c r="AE265" s="3851">
        <v>0</v>
      </c>
      <c r="AF265" s="3851">
        <v>0</v>
      </c>
      <c r="AG265" s="3851">
        <v>0</v>
      </c>
      <c r="AH265" s="3851">
        <f>$K265-SUM($W265:AG265)</f>
        <v>0</v>
      </c>
      <c r="AI265" s="3851"/>
      <c r="AJ265" s="3851"/>
      <c r="AK265" s="3851"/>
      <c r="AL265" s="3851"/>
      <c r="AM265" s="3851"/>
      <c r="AN265" s="3851"/>
      <c r="AO265" s="3851"/>
      <c r="AP265" s="3851"/>
      <c r="AQ265" s="3851"/>
      <c r="AR265" s="3851"/>
      <c r="AS265" s="3851"/>
      <c r="AU265" s="3849"/>
      <c r="BB265" s="3849"/>
      <c r="BT265" s="3849"/>
      <c r="BW265" s="3856"/>
    </row>
    <row r="266" spans="1:75">
      <c r="B266" s="3656"/>
      <c r="C266" s="4031"/>
      <c r="D266" s="1886"/>
      <c r="E266" s="1882">
        <f t="shared" ref="E266:K266" si="60">SUM(E253:E265)</f>
        <v>423347.56</v>
      </c>
      <c r="F266" s="3297">
        <f t="shared" si="60"/>
        <v>0</v>
      </c>
      <c r="G266" s="1862">
        <f t="shared" si="60"/>
        <v>0</v>
      </c>
      <c r="H266" s="1862">
        <f t="shared" si="60"/>
        <v>0</v>
      </c>
      <c r="I266" s="1862">
        <f t="shared" si="60"/>
        <v>0</v>
      </c>
      <c r="J266" s="1883">
        <f t="shared" si="60"/>
        <v>423347.56</v>
      </c>
      <c r="K266" s="1883">
        <f t="shared" si="60"/>
        <v>493642.06</v>
      </c>
      <c r="L266" s="1884"/>
      <c r="M266" s="1882">
        <f>SUM(M253:M265)</f>
        <v>493642.06</v>
      </c>
      <c r="N266" s="3922"/>
      <c r="O266" s="3920"/>
      <c r="P266" s="3969"/>
      <c r="Q266" s="3849">
        <v>0</v>
      </c>
      <c r="R266" s="3851">
        <v>54689.909999999996</v>
      </c>
      <c r="S266" s="3851">
        <v>0</v>
      </c>
      <c r="T266" s="3851">
        <v>70691.34</v>
      </c>
      <c r="U266" s="3851">
        <v>16369.579999999987</v>
      </c>
      <c r="V266" s="3851">
        <v>0</v>
      </c>
      <c r="W266" s="3851">
        <f>'[26]מאזן בוחן צרפת'!W240</f>
        <v>74463.64</v>
      </c>
      <c r="X266" s="3851">
        <f>'[27]מאזן בוחן צרפת'!X240</f>
        <v>20946.839999999997</v>
      </c>
      <c r="Y266" s="3851">
        <f>'[28]מאזן בוחן צרפת'!Y240</f>
        <v>43395.910000000018</v>
      </c>
      <c r="Z266" s="3851">
        <f>'[29]מאזן בוחן צרפת'!Z241</f>
        <v>46447.69</v>
      </c>
      <c r="AA266" s="3851">
        <f>'[30]מאזן בוחן צרפת'!AA242</f>
        <v>15822.459999999992</v>
      </c>
      <c r="AB266" s="3851">
        <f>'[31]מאזן בוחן צרפת'!AB244</f>
        <v>42922.639999999956</v>
      </c>
      <c r="AC266" s="3851">
        <v>34771.900000000052</v>
      </c>
      <c r="AD266" s="3851">
        <v>15268.919999999984</v>
      </c>
      <c r="AE266" s="3851">
        <v>13727.509999999951</v>
      </c>
      <c r="AF266" s="3851">
        <v>39935.930000000051</v>
      </c>
      <c r="AG266" s="3851">
        <v>33537.25</v>
      </c>
      <c r="AH266" s="3851">
        <f>$K266-SUM($W266:AG266)</f>
        <v>112401.37</v>
      </c>
      <c r="AI266" s="3851"/>
      <c r="AJ266" s="3851"/>
      <c r="AK266" s="3851"/>
      <c r="AL266" s="3851"/>
      <c r="AM266" s="3851"/>
      <c r="AN266" s="3851"/>
      <c r="AO266" s="3851"/>
      <c r="AP266" s="3851"/>
      <c r="AQ266" s="3851"/>
      <c r="AR266" s="3851"/>
      <c r="AS266" s="3851"/>
      <c r="AU266" s="3849"/>
      <c r="BB266" s="3849"/>
      <c r="BT266" s="3849"/>
      <c r="BW266" s="3856"/>
    </row>
    <row r="267" spans="1:75">
      <c r="B267" s="3656"/>
      <c r="C267" s="4032"/>
      <c r="D267" s="3881"/>
      <c r="F267" s="4033"/>
      <c r="G267" s="4013"/>
      <c r="H267" s="4033"/>
      <c r="I267" s="4013"/>
      <c r="J267" s="4034"/>
      <c r="K267" s="4013"/>
      <c r="L267" s="3874"/>
      <c r="M267" s="4014"/>
      <c r="N267" s="3922"/>
      <c r="O267" s="3920"/>
      <c r="P267" s="3969"/>
      <c r="Q267" s="3849">
        <v>0</v>
      </c>
      <c r="R267" s="3851">
        <v>0</v>
      </c>
      <c r="S267" s="3851">
        <v>0</v>
      </c>
      <c r="T267" s="3851">
        <v>0</v>
      </c>
      <c r="U267" s="3851">
        <v>0</v>
      </c>
      <c r="V267" s="3851">
        <v>0</v>
      </c>
      <c r="W267" s="3851">
        <f>'[26]מאזן בוחן צרפת'!W241</f>
        <v>0</v>
      </c>
      <c r="X267" s="3851">
        <f>'[27]מאזן בוחן צרפת'!X241</f>
        <v>0</v>
      </c>
      <c r="Y267" s="3851">
        <f>'[28]מאזן בוחן צרפת'!Y241</f>
        <v>0</v>
      </c>
      <c r="Z267" s="3851">
        <f>'[29]מאזן בוחן צרפת'!Z242</f>
        <v>0</v>
      </c>
      <c r="AA267" s="3851">
        <f>'[30]מאזן בוחן צרפת'!AA243</f>
        <v>0</v>
      </c>
      <c r="AB267" s="3851">
        <f>'[31]מאזן בוחן צרפת'!AB245</f>
        <v>0</v>
      </c>
      <c r="AC267" s="3851">
        <v>0</v>
      </c>
      <c r="AD267" s="3851">
        <v>0</v>
      </c>
      <c r="AE267" s="3851">
        <v>0</v>
      </c>
      <c r="AF267" s="3851">
        <v>0</v>
      </c>
      <c r="AG267" s="3851">
        <v>0</v>
      </c>
      <c r="AH267" s="3851">
        <f>$K267-SUM($W267:AG267)</f>
        <v>0</v>
      </c>
      <c r="AI267" s="3851"/>
      <c r="AJ267" s="3851"/>
      <c r="AK267" s="3851"/>
      <c r="AL267" s="3851"/>
      <c r="AM267" s="3851"/>
      <c r="AN267" s="3851"/>
      <c r="AO267" s="3851"/>
      <c r="AP267" s="3851"/>
      <c r="AQ267" s="3851"/>
      <c r="AR267" s="3851"/>
      <c r="AS267" s="3851"/>
      <c r="AU267" s="3849"/>
      <c r="BB267" s="3849"/>
      <c r="BT267" s="3849"/>
      <c r="BW267" s="3856"/>
    </row>
    <row r="268" spans="1:75">
      <c r="B268" s="3656"/>
      <c r="C268" s="3889"/>
      <c r="D268" s="1854" t="s">
        <v>1827</v>
      </c>
      <c r="F268" s="4033"/>
      <c r="G268" s="4013"/>
      <c r="H268" s="4033"/>
      <c r="I268" s="4013"/>
      <c r="J268" s="4034"/>
      <c r="K268" s="4013"/>
      <c r="L268" s="3874"/>
      <c r="M268" s="4014"/>
      <c r="N268" s="3922"/>
      <c r="O268" s="3920"/>
      <c r="P268" s="3969"/>
      <c r="Q268" s="3849">
        <v>0</v>
      </c>
      <c r="R268" s="3851">
        <v>0</v>
      </c>
      <c r="S268" s="3851">
        <v>0</v>
      </c>
      <c r="T268" s="3851">
        <v>0</v>
      </c>
      <c r="U268" s="3851">
        <v>0</v>
      </c>
      <c r="V268" s="3851">
        <v>0</v>
      </c>
      <c r="W268" s="3851">
        <f>'[26]מאזן בוחן צרפת'!W242</f>
        <v>0</v>
      </c>
      <c r="X268" s="3851">
        <f>'[27]מאזן בוחן צרפת'!X242</f>
        <v>0</v>
      </c>
      <c r="Y268" s="3851">
        <f>'[28]מאזן בוחן צרפת'!Y242</f>
        <v>0</v>
      </c>
      <c r="Z268" s="3851">
        <f>'[29]מאזן בוחן צרפת'!Z243</f>
        <v>0</v>
      </c>
      <c r="AA268" s="3851">
        <f>'[30]מאזן בוחן צרפת'!AA244</f>
        <v>0</v>
      </c>
      <c r="AB268" s="3851">
        <f>'[31]מאזן בוחן צרפת'!AB246</f>
        <v>0</v>
      </c>
      <c r="AC268" s="3851">
        <v>0</v>
      </c>
      <c r="AD268" s="3851">
        <v>0</v>
      </c>
      <c r="AE268" s="3851">
        <v>0</v>
      </c>
      <c r="AF268" s="3851">
        <v>0</v>
      </c>
      <c r="AG268" s="3851">
        <v>0</v>
      </c>
      <c r="AH268" s="3851">
        <f>$K268-SUM($W268:AG268)</f>
        <v>0</v>
      </c>
      <c r="AI268" s="3851"/>
      <c r="AJ268" s="3851"/>
      <c r="AK268" s="3851"/>
      <c r="AL268" s="3851"/>
      <c r="AM268" s="3851"/>
      <c r="AN268" s="3851"/>
      <c r="AO268" s="3851"/>
      <c r="AP268" s="3851"/>
      <c r="AQ268" s="3851"/>
      <c r="AR268" s="3851"/>
      <c r="AS268" s="3851"/>
      <c r="AU268" s="3849"/>
      <c r="BB268" s="3849"/>
      <c r="BT268" s="3849"/>
      <c r="BW268" s="3856"/>
    </row>
    <row r="269" spans="1:75">
      <c r="B269" s="3966"/>
      <c r="C269" s="3889"/>
      <c r="D269" s="3881"/>
      <c r="F269" s="4033"/>
      <c r="G269" s="4013"/>
      <c r="H269" s="4033"/>
      <c r="I269" s="4013"/>
      <c r="J269" s="4034"/>
      <c r="K269" s="4013"/>
      <c r="L269" s="3874"/>
      <c r="M269" s="4014"/>
      <c r="N269" s="3922"/>
      <c r="O269" s="3920"/>
      <c r="P269" s="3969"/>
      <c r="Q269" s="3849">
        <v>0</v>
      </c>
      <c r="R269" s="3851">
        <v>0</v>
      </c>
      <c r="S269" s="3851">
        <v>23772.640000000007</v>
      </c>
      <c r="T269" s="3851">
        <v>-23772.640000000007</v>
      </c>
      <c r="U269" s="3851">
        <v>0</v>
      </c>
      <c r="V269" s="3851">
        <v>0</v>
      </c>
      <c r="W269" s="3851">
        <f>'[26]מאזן בוחן צרפת'!W243</f>
        <v>0</v>
      </c>
      <c r="X269" s="3851">
        <f>'[27]מאזן בוחן צרפת'!X243</f>
        <v>0</v>
      </c>
      <c r="Y269" s="3851">
        <f>'[28]מאזן בוחן צרפת'!Y243</f>
        <v>0</v>
      </c>
      <c r="Z269" s="3851">
        <f>'[29]מאזן בוחן צרפת'!Z244</f>
        <v>0</v>
      </c>
      <c r="AA269" s="3851">
        <f>'[30]מאזן בוחן צרפת'!AA245</f>
        <v>0</v>
      </c>
      <c r="AB269" s="3851">
        <f>'[31]מאזן בוחן צרפת'!AB247</f>
        <v>0</v>
      </c>
      <c r="AC269" s="3851">
        <v>0</v>
      </c>
      <c r="AD269" s="3851">
        <v>0</v>
      </c>
      <c r="AE269" s="3851">
        <v>0</v>
      </c>
      <c r="AF269" s="3851">
        <v>0</v>
      </c>
      <c r="AG269" s="3851">
        <v>0</v>
      </c>
      <c r="AH269" s="3851">
        <f>$K269-SUM($W269:AG269)</f>
        <v>0</v>
      </c>
      <c r="AI269" s="3851"/>
      <c r="AJ269" s="3851"/>
      <c r="AK269" s="3851"/>
      <c r="AL269" s="3851"/>
      <c r="AM269" s="3851"/>
      <c r="AN269" s="3851"/>
      <c r="AO269" s="3851"/>
      <c r="AP269" s="3851"/>
      <c r="AQ269" s="3851"/>
      <c r="AR269" s="3851"/>
      <c r="AS269" s="3851"/>
      <c r="AU269" s="3849"/>
      <c r="BB269" s="3849"/>
      <c r="BT269" s="3849"/>
      <c r="BW269" s="3856"/>
    </row>
    <row r="270" spans="1:75">
      <c r="B270" s="3966"/>
      <c r="C270" s="3889"/>
      <c r="D270" s="1900" t="s">
        <v>219</v>
      </c>
      <c r="F270" s="4033"/>
      <c r="G270" s="4013"/>
      <c r="H270" s="4033"/>
      <c r="I270" s="4013"/>
      <c r="J270" s="4034"/>
      <c r="K270" s="4013"/>
      <c r="L270" s="3874"/>
      <c r="M270" s="4014"/>
      <c r="N270" s="3922"/>
      <c r="O270" s="3920"/>
      <c r="P270" s="3969"/>
      <c r="Q270" s="3849">
        <v>0</v>
      </c>
      <c r="R270" s="3851">
        <v>0</v>
      </c>
      <c r="S270" s="3851">
        <v>0</v>
      </c>
      <c r="T270" s="3851">
        <v>0</v>
      </c>
      <c r="U270" s="3851">
        <v>0</v>
      </c>
      <c r="V270" s="3851">
        <v>0</v>
      </c>
      <c r="W270" s="3851">
        <f>'[26]מאזן בוחן צרפת'!W244</f>
        <v>0</v>
      </c>
      <c r="X270" s="3851">
        <f>'[27]מאזן בוחן צרפת'!X244</f>
        <v>0</v>
      </c>
      <c r="Y270" s="3851">
        <f>'[28]מאזן בוחן צרפת'!Y244</f>
        <v>0</v>
      </c>
      <c r="Z270" s="3851">
        <f>'[29]מאזן בוחן צרפת'!Z245</f>
        <v>0</v>
      </c>
      <c r="AA270" s="3851">
        <f>'[30]מאזן בוחן צרפת'!AA246</f>
        <v>0</v>
      </c>
      <c r="AB270" s="3851">
        <f>'[31]מאזן בוחן צרפת'!AB248</f>
        <v>0</v>
      </c>
      <c r="AC270" s="3851">
        <v>0</v>
      </c>
      <c r="AD270" s="3851">
        <v>0</v>
      </c>
      <c r="AE270" s="3851">
        <v>0</v>
      </c>
      <c r="AF270" s="3851">
        <v>0</v>
      </c>
      <c r="AG270" s="3851">
        <v>0</v>
      </c>
      <c r="AH270" s="3851">
        <f>$K270-SUM($W270:AG270)</f>
        <v>0</v>
      </c>
      <c r="AI270" s="3851"/>
      <c r="AJ270" s="3851"/>
      <c r="AK270" s="3851"/>
      <c r="AL270" s="3851"/>
      <c r="AM270" s="3851"/>
      <c r="AN270" s="3851"/>
      <c r="AO270" s="3851"/>
      <c r="AP270" s="3851"/>
      <c r="AQ270" s="3851"/>
      <c r="AR270" s="3851"/>
      <c r="AS270" s="3851"/>
      <c r="AU270" s="3849"/>
      <c r="BB270" s="3849"/>
      <c r="BT270" s="3849"/>
      <c r="BW270" s="3856"/>
    </row>
    <row r="271" spans="1:75">
      <c r="B271" s="3966"/>
      <c r="C271" s="3889"/>
      <c r="D271" s="3881"/>
      <c r="F271" s="4033"/>
      <c r="G271" s="4013"/>
      <c r="H271" s="4033"/>
      <c r="I271" s="4013"/>
      <c r="J271" s="4034"/>
      <c r="K271" s="4013"/>
      <c r="L271" s="3874"/>
      <c r="M271" s="4014"/>
      <c r="N271" s="3922"/>
      <c r="O271" s="3920"/>
      <c r="P271" s="3969"/>
      <c r="Q271" s="3849">
        <v>0</v>
      </c>
      <c r="R271" s="3851">
        <v>0</v>
      </c>
      <c r="S271" s="3851">
        <v>0</v>
      </c>
      <c r="T271" s="3851">
        <v>0</v>
      </c>
      <c r="U271" s="3851">
        <v>0</v>
      </c>
      <c r="W271" s="3849">
        <f>'[26]מאזן בוחן צרפת'!W245</f>
        <v>0</v>
      </c>
      <c r="X271" s="3849">
        <f>'[27]מאזן בוחן צרפת'!X245</f>
        <v>0</v>
      </c>
      <c r="Y271" s="3851">
        <f>'[28]מאזן בוחן צרפת'!Y245</f>
        <v>0</v>
      </c>
      <c r="Z271" s="3851">
        <f>'[29]מאזן בוחן צרפת'!Z246</f>
        <v>0</v>
      </c>
      <c r="AA271" s="3851">
        <f>'[30]מאזן בוחן צרפת'!AA247</f>
        <v>0</v>
      </c>
      <c r="AB271" s="3851">
        <f>'[31]מאזן בוחן צרפת'!AB249</f>
        <v>0</v>
      </c>
      <c r="AC271" s="3851">
        <v>0</v>
      </c>
      <c r="AD271" s="3851">
        <v>0</v>
      </c>
      <c r="AE271" s="3851">
        <v>0</v>
      </c>
      <c r="AF271" s="3851">
        <v>0</v>
      </c>
      <c r="AG271" s="3851">
        <v>0</v>
      </c>
      <c r="AH271" s="3851">
        <f>$K271-SUM($W271:AG271)</f>
        <v>0</v>
      </c>
      <c r="AI271" s="3851"/>
      <c r="AJ271" s="3851"/>
      <c r="AK271" s="3851"/>
      <c r="AL271" s="3851"/>
      <c r="AM271" s="3851"/>
      <c r="AN271" s="3851"/>
      <c r="AO271" s="3851"/>
      <c r="AP271" s="3851"/>
      <c r="AQ271" s="3851"/>
      <c r="AR271" s="3851"/>
      <c r="AS271" s="3851"/>
      <c r="AU271" s="3849"/>
      <c r="BB271" s="3849"/>
      <c r="BT271" s="3849"/>
      <c r="BW271" s="3856"/>
    </row>
    <row r="272" spans="1:75">
      <c r="A272" s="3857"/>
      <c r="B272" s="3966" t="s">
        <v>1156</v>
      </c>
      <c r="C272" s="3901">
        <v>7140001</v>
      </c>
      <c r="D272" s="3929" t="s">
        <v>1157</v>
      </c>
      <c r="E272" s="3844">
        <f>IFERROR(VLOOKUP(C272,'פ.נ. צרפת'!$D$129:$F$1048576,3,0),0)</f>
        <v>180436.42</v>
      </c>
      <c r="F272" s="3843">
        <f>SUMIF('פ.נ. צרפת'!$C:$C,$C:$C,'פ.נ. צרפת'!$E:$E)</f>
        <v>0</v>
      </c>
      <c r="G272" s="3882"/>
      <c r="H272" s="3884"/>
      <c r="I272" s="3882"/>
      <c r="J272" s="4022">
        <f t="shared" ref="J272:J277" si="61">SUM(E272:I272)</f>
        <v>180436.42</v>
      </c>
      <c r="K272" s="3944">
        <f>M272+SUMIF('פ.נ. צרפת'!$C:$C,$C:$C,'פ.נ. צרפת'!$F:$F)</f>
        <v>214266.74</v>
      </c>
      <c r="L272" s="3845"/>
      <c r="M272" s="3931">
        <f>IFERROR(VLOOKUP(C272,'פ.נ. צרפת'!$D$129:$G$1048576,4,0),"")</f>
        <v>214266.74</v>
      </c>
      <c r="N272" s="3877">
        <f t="shared" ref="N272:N277" si="62">IF(K272=0,"-",J272/K272)</f>
        <v>0.84211119280575242</v>
      </c>
      <c r="O272" s="3920"/>
      <c r="P272" s="3969" t="s">
        <v>2257</v>
      </c>
      <c r="Q272" s="3849">
        <v>19679.669999999998</v>
      </c>
      <c r="R272" s="3851">
        <v>16178.11</v>
      </c>
      <c r="S272" s="3851">
        <v>15467.800000000003</v>
      </c>
      <c r="T272" s="3851">
        <v>22607.539999999994</v>
      </c>
      <c r="U272" s="3851">
        <v>16073.900000000009</v>
      </c>
      <c r="V272" s="3851">
        <v>16224.089999999997</v>
      </c>
      <c r="W272" s="3851">
        <f>'[26]מאזן בוחן צרפת'!W246</f>
        <v>26576.14</v>
      </c>
      <c r="X272" s="3851">
        <f>'[27]מאזן בוחן צרפת'!X246</f>
        <v>21177.480000000003</v>
      </c>
      <c r="Y272" s="3851">
        <f>'[28]מאזן בוחן צרפת'!Y246</f>
        <v>13595.509999999995</v>
      </c>
      <c r="Z272" s="3851">
        <f>'[29]מאזן בוחן צרפת'!Z247</f>
        <v>24290.610000000008</v>
      </c>
      <c r="AA272" s="3851">
        <f>'[30]מאזן בוחן צרפת'!AA248</f>
        <v>16360.349999999991</v>
      </c>
      <c r="AB272" s="3851">
        <f>'[31]מאזן בוחן צרפת'!AB250</f>
        <v>16015.839999999997</v>
      </c>
      <c r="AC272" s="3851">
        <v>23237.99000000002</v>
      </c>
      <c r="AD272" s="3851">
        <v>15788</v>
      </c>
      <c r="AE272" s="3851">
        <v>15683.299999999988</v>
      </c>
      <c r="AF272" s="3851">
        <v>20069.079999999987</v>
      </c>
      <c r="AG272" s="3851">
        <v>11663.830000000016</v>
      </c>
      <c r="AH272" s="3851">
        <f>$K272-SUM($W272:AG272)</f>
        <v>9808.609999999986</v>
      </c>
      <c r="AI272" s="3851"/>
      <c r="AJ272" s="3851"/>
      <c r="AK272" s="3851"/>
      <c r="AL272" s="3851"/>
      <c r="AM272" s="3851"/>
      <c r="AN272" s="4584" t="s">
        <v>3896</v>
      </c>
      <c r="AO272" s="3851" t="s">
        <v>3309</v>
      </c>
      <c r="AP272" s="3851"/>
      <c r="AQ272" s="3851"/>
      <c r="AR272" s="3851"/>
      <c r="AS272" s="3851" t="s">
        <v>2855</v>
      </c>
      <c r="AW272" s="3874"/>
      <c r="AX272" s="1850"/>
      <c r="AY272" s="1850"/>
      <c r="AZ272" s="1850"/>
      <c r="BA272" s="1866"/>
      <c r="BB272" s="3851"/>
      <c r="BC272" s="3851"/>
      <c r="BD272" s="3851"/>
      <c r="BE272" s="3851"/>
      <c r="BF272" s="3851"/>
      <c r="BG272" s="3851"/>
      <c r="BH272" s="3851"/>
      <c r="BI272" s="1850"/>
      <c r="BJ272" s="3851"/>
      <c r="BK272" s="3851"/>
      <c r="BL272" s="3874"/>
      <c r="BM272" s="3874"/>
    </row>
    <row r="273" spans="1:75">
      <c r="A273" s="3857"/>
      <c r="B273" s="3966" t="s">
        <v>1156</v>
      </c>
      <c r="C273" s="3901">
        <v>7140011</v>
      </c>
      <c r="D273" s="3929" t="s">
        <v>3302</v>
      </c>
      <c r="E273" s="3844">
        <f>IFERROR(VLOOKUP(C273,'פ.נ. צרפת'!$D$129:$F$1048576,3,0),0)</f>
        <v>-11746.5</v>
      </c>
      <c r="F273" s="3843">
        <f>SUMIF('פ.נ. צרפת'!$C:$C,$C:$C,'פ.נ. צרפת'!$E:$E)</f>
        <v>0</v>
      </c>
      <c r="G273" s="3882"/>
      <c r="H273" s="3884"/>
      <c r="I273" s="3882"/>
      <c r="J273" s="3930">
        <f t="shared" si="61"/>
        <v>-11746.5</v>
      </c>
      <c r="K273" s="3944">
        <f>M273+SUMIF('פ.נ. צרפת'!$C:$C,$C:$C,'פ.נ. צרפת'!$F:$F)</f>
        <v>-15875.03</v>
      </c>
      <c r="L273" s="3845"/>
      <c r="M273" s="3931">
        <f>IFERROR(VLOOKUP(C273,'פ.נ. צרפת'!$D$129:$G$1048576,4,0),"")</f>
        <v>-15875.03</v>
      </c>
      <c r="N273" s="3877">
        <f t="shared" si="62"/>
        <v>0.73993560957050153</v>
      </c>
      <c r="O273" s="3920"/>
      <c r="P273" s="3969"/>
      <c r="Q273" s="3851"/>
      <c r="R273" s="3851"/>
      <c r="S273" s="3851"/>
      <c r="T273" s="3851"/>
      <c r="U273" s="3851"/>
      <c r="V273" s="3851"/>
      <c r="W273" s="3851">
        <f>'[26]מאזן בוחן צרפת'!W249</f>
        <v>-19075.5</v>
      </c>
      <c r="X273" s="3851">
        <f>'[27]מאזן בוחן צרפת'!X249</f>
        <v>-3596</v>
      </c>
      <c r="Y273" s="3851">
        <f>'[28]מאזן בוחן צרפת'!Y249</f>
        <v>8980.42</v>
      </c>
      <c r="Z273" s="3851">
        <f>'[29]מאזן בוחן צרפת'!Z250</f>
        <v>-6615.5199999999986</v>
      </c>
      <c r="AA273" s="3851">
        <f>'[30]מאזן בוחן צרפת'!AA251</f>
        <v>0</v>
      </c>
      <c r="AB273" s="3851">
        <f>'[31]מאזן בוחן צרפת'!AB253</f>
        <v>11027.179999999998</v>
      </c>
      <c r="AC273" s="3851">
        <v>-7263.4699999999993</v>
      </c>
      <c r="AD273" s="3851">
        <v>0</v>
      </c>
      <c r="AE273" s="3851">
        <v>-8517.880000000001</v>
      </c>
      <c r="AF273" s="3851">
        <v>-5456.7099999999991</v>
      </c>
      <c r="AG273" s="3851">
        <v>0</v>
      </c>
      <c r="AH273" s="3851">
        <f>$K273-SUM($W273:AG273)</f>
        <v>14642.449999999999</v>
      </c>
      <c r="AI273" s="3851"/>
      <c r="AJ273" s="3851"/>
      <c r="AK273" s="3851"/>
      <c r="AL273" s="3851"/>
      <c r="AM273" s="3851"/>
      <c r="AN273" s="4584"/>
      <c r="AO273" s="3851"/>
      <c r="AP273" s="3851"/>
      <c r="AQ273" s="3851"/>
      <c r="AR273" s="3851"/>
      <c r="AS273" s="3851"/>
      <c r="AW273" s="3874"/>
      <c r="AX273" s="1850"/>
      <c r="AY273" s="1850"/>
      <c r="AZ273" s="1850"/>
      <c r="BA273" s="1866"/>
      <c r="BB273" s="3851"/>
      <c r="BC273" s="3851"/>
      <c r="BD273" s="3851"/>
      <c r="BE273" s="3851"/>
      <c r="BF273" s="3851"/>
      <c r="BG273" s="3851"/>
      <c r="BH273" s="3851"/>
      <c r="BI273" s="1850"/>
      <c r="BJ273" s="3851"/>
      <c r="BK273" s="3851"/>
      <c r="BL273" s="3874"/>
      <c r="BM273" s="3874"/>
    </row>
    <row r="274" spans="1:75">
      <c r="A274" s="3857"/>
      <c r="B274" s="3966" t="s">
        <v>1156</v>
      </c>
      <c r="C274" s="4027">
        <v>7140004</v>
      </c>
      <c r="D274" s="4028" t="s">
        <v>2255</v>
      </c>
      <c r="E274" s="3844">
        <f>IFERROR(VLOOKUP(C274,'פ.נ. צרפת'!$D$129:$F$1048576,3,0),0)</f>
        <v>62018</v>
      </c>
      <c r="F274" s="3843">
        <f>SUMIF('פ.נ. צרפת'!$C:$C,$C:$C,'פ.נ. צרפת'!$E:$E)</f>
        <v>0</v>
      </c>
      <c r="G274" s="3882"/>
      <c r="H274" s="3884"/>
      <c r="I274" s="3882"/>
      <c r="J274" s="4022">
        <f t="shared" si="61"/>
        <v>62018</v>
      </c>
      <c r="K274" s="3944">
        <f>M274+SUMIF('פ.נ. צרפת'!$C:$C,$C:$C,'פ.נ. צרפת'!$F:$F)</f>
        <v>74202.95</v>
      </c>
      <c r="L274" s="3845"/>
      <c r="M274" s="3931">
        <f>IFERROR(VLOOKUP(C274,'פ.נ. צרפת'!$D$129:$G$1048576,4,0),"")</f>
        <v>74202.95</v>
      </c>
      <c r="N274" s="3877">
        <f t="shared" si="62"/>
        <v>0.83578887362294896</v>
      </c>
      <c r="O274" s="3920"/>
      <c r="P274" s="3969"/>
      <c r="Q274" s="4029">
        <v>10334.02</v>
      </c>
      <c r="R274" s="4026">
        <v>0</v>
      </c>
      <c r="S274" s="4026">
        <v>0</v>
      </c>
      <c r="T274" s="4026">
        <v>16544.77</v>
      </c>
      <c r="U274" s="4026">
        <v>0</v>
      </c>
      <c r="V274" s="4026">
        <v>0</v>
      </c>
      <c r="W274" s="4026">
        <f>'[26]מאזן בוחן צרפת'!W247</f>
        <v>29298.1</v>
      </c>
      <c r="X274" s="4026">
        <f>'[27]מאזן בוחן צרפת'!X247</f>
        <v>0</v>
      </c>
      <c r="Y274" s="4026">
        <f>'[28]מאזן בוחן צרפת'!Y247</f>
        <v>0</v>
      </c>
      <c r="Z274" s="4026">
        <f>'[29]מאזן בוחן צרפת'!Z248</f>
        <v>15243.14</v>
      </c>
      <c r="AA274" s="4026">
        <f>'[30]מאזן בוחן צרפת'!AA249</f>
        <v>0</v>
      </c>
      <c r="AB274" s="4026">
        <f>'[31]מאזן בוחן צרפת'!AB251</f>
        <v>0</v>
      </c>
      <c r="AC274" s="4026">
        <v>16635.36</v>
      </c>
      <c r="AD274" s="4026">
        <v>0</v>
      </c>
      <c r="AE274" s="4026">
        <v>0</v>
      </c>
      <c r="AF274" s="4026">
        <v>13026.349999999999</v>
      </c>
      <c r="AG274" s="4026">
        <v>0</v>
      </c>
      <c r="AH274" s="3851">
        <f>$K274-SUM($W274:AG274)</f>
        <v>0</v>
      </c>
      <c r="AI274" s="4026"/>
      <c r="AJ274" s="4026"/>
      <c r="AK274" s="3851"/>
      <c r="AL274" s="3851"/>
      <c r="AM274" s="4026"/>
      <c r="AN274" s="4026"/>
      <c r="AO274" s="4026"/>
      <c r="AP274" s="4026"/>
      <c r="AQ274" s="3851"/>
      <c r="AR274" s="3851"/>
      <c r="AS274" s="3851"/>
      <c r="AW274" s="3874"/>
      <c r="AX274" s="1850"/>
      <c r="AY274" s="1850"/>
      <c r="AZ274" s="1850"/>
      <c r="BA274" s="1866"/>
      <c r="BB274" s="3851"/>
      <c r="BC274" s="3851"/>
      <c r="BD274" s="3851"/>
      <c r="BE274" s="3851"/>
      <c r="BF274" s="3851"/>
      <c r="BG274" s="3851"/>
      <c r="BH274" s="3851"/>
      <c r="BI274" s="1850"/>
      <c r="BJ274" s="3851"/>
      <c r="BK274" s="3851"/>
      <c r="BL274" s="3874"/>
      <c r="BM274" s="3874"/>
    </row>
    <row r="275" spans="1:75">
      <c r="A275" s="3857"/>
      <c r="B275" s="3966" t="s">
        <v>1156</v>
      </c>
      <c r="C275" s="3901">
        <v>7140003</v>
      </c>
      <c r="D275" s="3929" t="s">
        <v>915</v>
      </c>
      <c r="E275" s="3844">
        <f>IFERROR(VLOOKUP(C275,'פ.נ. צרפת'!$D$129:$F$1048576,3,0),0)</f>
        <v>0</v>
      </c>
      <c r="F275" s="3843">
        <f>SUMIF('פ.נ. צרפת'!$C:$C,$C:$C,'פ.נ. צרפת'!$E:$E)</f>
        <v>0</v>
      </c>
      <c r="G275" s="3882"/>
      <c r="H275" s="3884"/>
      <c r="I275" s="3882"/>
      <c r="J275" s="3930">
        <f t="shared" si="61"/>
        <v>0</v>
      </c>
      <c r="K275" s="3944">
        <f>M275+SUMIF('פ.נ. צרפת'!$C:$C,$C:$C,'פ.נ. צרפת'!$F:$F)</f>
        <v>-18.66</v>
      </c>
      <c r="L275" s="3845"/>
      <c r="M275" s="3931">
        <f>IFERROR(VLOOKUP(C275,'פ.נ. צרפת'!$D$129:$G$1048576,4,0),"")</f>
        <v>-18.66</v>
      </c>
      <c r="N275" s="3877">
        <f t="shared" si="62"/>
        <v>0</v>
      </c>
      <c r="O275" s="3920"/>
      <c r="P275" s="3969"/>
      <c r="Q275" s="3851"/>
      <c r="R275" s="3851"/>
      <c r="S275" s="3851"/>
      <c r="T275" s="3851"/>
      <c r="U275" s="3851"/>
      <c r="V275" s="3851">
        <v>196.74582320247646</v>
      </c>
      <c r="W275" s="3851">
        <f>'[26]מאזן בוחן צרפת'!W248</f>
        <v>0</v>
      </c>
      <c r="X275" s="3851">
        <f>'[27]מאזן בוחן צרפת'!X248</f>
        <v>-18.66</v>
      </c>
      <c r="Y275" s="3851">
        <f>'[28]מאזן בוחן צרפת'!Y248</f>
        <v>0</v>
      </c>
      <c r="Z275" s="3851">
        <f>'[29]מאזן בוחן צרפת'!Z249</f>
        <v>0</v>
      </c>
      <c r="AA275" s="3851">
        <f>'[30]מאזן בוחן צרפת'!AA250</f>
        <v>0</v>
      </c>
      <c r="AB275" s="3851">
        <f>'[31]מאזן בוחן צרפת'!AB252</f>
        <v>1920.96</v>
      </c>
      <c r="AC275" s="3851">
        <v>-1920.96</v>
      </c>
      <c r="AD275" s="3851">
        <v>8.1712414612411521E-14</v>
      </c>
      <c r="AE275" s="3851">
        <v>0</v>
      </c>
      <c r="AF275" s="3851">
        <v>0</v>
      </c>
      <c r="AG275" s="3851">
        <v>0</v>
      </c>
      <c r="AH275" s="3851">
        <f>$K275-SUM($W275:AG275)</f>
        <v>0</v>
      </c>
      <c r="AI275" s="3851"/>
      <c r="AJ275" s="3851"/>
      <c r="AK275" s="3851"/>
      <c r="AL275" s="3851"/>
      <c r="AM275" s="3851"/>
      <c r="AN275" s="3851"/>
      <c r="AO275" s="3851"/>
      <c r="AP275" s="3851"/>
      <c r="AQ275" s="3851"/>
      <c r="AR275" s="3851"/>
      <c r="AS275" s="3851"/>
      <c r="AW275" s="3874"/>
      <c r="AX275" s="1850"/>
      <c r="AY275" s="1850"/>
      <c r="AZ275" s="1850"/>
      <c r="BA275" s="1866"/>
      <c r="BB275" s="3851"/>
      <c r="BC275" s="3851"/>
      <c r="BD275" s="3851"/>
      <c r="BE275" s="3851"/>
      <c r="BF275" s="3851"/>
      <c r="BG275" s="3851"/>
      <c r="BH275" s="3851"/>
      <c r="BI275" s="1850"/>
      <c r="BJ275" s="3851"/>
      <c r="BK275" s="3851"/>
      <c r="BL275" s="3874"/>
      <c r="BM275" s="3874"/>
    </row>
    <row r="276" spans="1:75">
      <c r="A276" s="3857"/>
      <c r="B276" s="3966" t="s">
        <v>1156</v>
      </c>
      <c r="C276" s="3901">
        <v>7140002</v>
      </c>
      <c r="D276" s="3929" t="s">
        <v>1158</v>
      </c>
      <c r="E276" s="3844">
        <f>IFERROR(VLOOKUP(C276,'פ.נ. צרפת'!$D$129:$F$1048576,3,0),0)</f>
        <v>1820.08</v>
      </c>
      <c r="F276" s="3843">
        <f>SUMIF('פ.נ. צרפת'!$C:$C,$C:$C,'פ.נ. צרפת'!$E:$E)</f>
        <v>0</v>
      </c>
      <c r="G276" s="3882"/>
      <c r="H276" s="3884"/>
      <c r="I276" s="3882"/>
      <c r="J276" s="4022">
        <f t="shared" si="61"/>
        <v>1820.08</v>
      </c>
      <c r="K276" s="3944">
        <f>M276+SUMIF('פ.נ. צרפת'!$C:$C,$C:$C,'פ.נ. צרפת'!$F:$F)</f>
        <v>2059.9699999999998</v>
      </c>
      <c r="L276" s="3845"/>
      <c r="M276" s="3931">
        <f>IFERROR(VLOOKUP(C276,'פ.נ. צרפת'!$D$129:$G$1048576,4,0),"")</f>
        <v>2059.9699999999998</v>
      </c>
      <c r="N276" s="3877">
        <f t="shared" si="62"/>
        <v>0.88354684776962777</v>
      </c>
      <c r="O276" s="3920"/>
      <c r="P276" s="3969"/>
      <c r="Q276" s="3849">
        <v>0</v>
      </c>
      <c r="R276" s="3851">
        <v>0</v>
      </c>
      <c r="S276" s="3851">
        <v>0</v>
      </c>
      <c r="T276" s="3851">
        <v>4433.3599999999997</v>
      </c>
      <c r="U276" s="3851">
        <v>0</v>
      </c>
      <c r="V276" s="3851">
        <v>0</v>
      </c>
      <c r="W276" s="3851">
        <f>'[26]מאזן בוחן צרפת'!W250</f>
        <v>0</v>
      </c>
      <c r="X276" s="3851">
        <f>'[27]מאזן בוחן צרפת'!X250</f>
        <v>-9.98</v>
      </c>
      <c r="Y276" s="3851">
        <f>'[28]מאזן בוחן צרפת'!Y250</f>
        <v>1462.5</v>
      </c>
      <c r="Z276" s="3851">
        <f>'[29]מאזן בוחן צרפת'!Z251</f>
        <v>0</v>
      </c>
      <c r="AA276" s="3851">
        <f>'[30]מאזן בוחן צרפת'!AA252</f>
        <v>0</v>
      </c>
      <c r="AB276" s="3851">
        <f>'[31]מאזן בוחן צרפת'!AB254</f>
        <v>1481.21</v>
      </c>
      <c r="AC276" s="3851">
        <v>0</v>
      </c>
      <c r="AD276" s="3851">
        <v>0</v>
      </c>
      <c r="AE276" s="3851">
        <v>1441.8600000000001</v>
      </c>
      <c r="AF276" s="3851">
        <v>0</v>
      </c>
      <c r="AG276" s="3851">
        <v>0</v>
      </c>
      <c r="AH276" s="3851">
        <f>$K276-SUM($W276:AG276)</f>
        <v>-2315.6200000000003</v>
      </c>
      <c r="AI276" s="3851"/>
      <c r="AJ276" s="3851"/>
      <c r="AK276" s="3851"/>
      <c r="AL276" s="3851"/>
      <c r="AM276" s="3851"/>
      <c r="AN276" s="3851"/>
      <c r="AO276" s="3851"/>
      <c r="AP276" s="3851"/>
      <c r="AQ276" s="3851"/>
      <c r="AR276" s="3851"/>
      <c r="AS276" s="3851"/>
      <c r="AW276" s="3874"/>
      <c r="AX276" s="1850"/>
      <c r="AY276" s="1850"/>
      <c r="AZ276" s="1850"/>
      <c r="BA276" s="1866"/>
      <c r="BB276" s="3851"/>
      <c r="BC276" s="3851"/>
      <c r="BD276" s="3851"/>
      <c r="BE276" s="3851"/>
      <c r="BF276" s="3851"/>
      <c r="BG276" s="3851"/>
      <c r="BH276" s="3851"/>
      <c r="BI276" s="1850"/>
      <c r="BJ276" s="3851"/>
      <c r="BK276" s="3851"/>
      <c r="BL276" s="3874"/>
      <c r="BM276" s="3874"/>
    </row>
    <row r="277" spans="1:75">
      <c r="A277" s="3857"/>
      <c r="B277" s="3966" t="s">
        <v>1156</v>
      </c>
      <c r="C277" s="3901">
        <v>7140018</v>
      </c>
      <c r="D277" s="3929" t="s">
        <v>3944</v>
      </c>
      <c r="E277" s="3844">
        <f>IFERROR(VLOOKUP(C277,'פ.נ. צרפת'!$D$129:$F$1048576,3,0),0)</f>
        <v>1616.17</v>
      </c>
      <c r="F277" s="3843">
        <f>SUMIF('פ.נ. צרפת'!$C:$C,$C:$C,'פ.נ. צרפת'!$E:$E)</f>
        <v>0</v>
      </c>
      <c r="G277" s="3882"/>
      <c r="H277" s="3884"/>
      <c r="I277" s="3882"/>
      <c r="J277" s="3930">
        <f t="shared" si="61"/>
        <v>1616.17</v>
      </c>
      <c r="K277" s="3944">
        <f>M277+SUMIF('פ.נ. צרפת'!$C:$C,$C:$C,'פ.נ. צרפת'!$F:$F)</f>
        <v>1924.11</v>
      </c>
      <c r="L277" s="3845"/>
      <c r="M277" s="3931">
        <f>IFERROR(VLOOKUP(C277,'פ.נ. צרפת'!$D$129:$G$1048576,4,0),"")</f>
        <v>1924.11</v>
      </c>
      <c r="N277" s="3877">
        <f t="shared" si="62"/>
        <v>0.83995717500558709</v>
      </c>
      <c r="O277" s="3920"/>
      <c r="P277" s="3969" t="s">
        <v>3945</v>
      </c>
      <c r="Q277" s="3849">
        <v>0</v>
      </c>
      <c r="R277" s="3851">
        <v>0</v>
      </c>
      <c r="S277" s="3851">
        <v>15467.800000000003</v>
      </c>
      <c r="T277" s="3851">
        <v>-15467.800000000003</v>
      </c>
      <c r="U277" s="3851">
        <v>0</v>
      </c>
      <c r="V277" s="3851">
        <v>0</v>
      </c>
      <c r="W277" s="3851">
        <f>'[26]מאזן בוחן צרפת'!W251</f>
        <v>0</v>
      </c>
      <c r="X277" s="3851">
        <f>'[27]מאזן בוחן צרפת'!X251</f>
        <v>0</v>
      </c>
      <c r="Y277" s="3851">
        <f>'[28]מאזן בוחן צרפת'!Y251</f>
        <v>0</v>
      </c>
      <c r="Z277" s="3851">
        <f>'[29]מאזן בוחן צרפת'!Z252</f>
        <v>0</v>
      </c>
      <c r="AA277" s="3851">
        <f>'[30]מאזן בוחן צרפת'!AA253</f>
        <v>0</v>
      </c>
      <c r="AB277" s="3851">
        <f>'[31]מאזן בוחן צרפת'!AB255</f>
        <v>0</v>
      </c>
      <c r="AC277" s="3851">
        <v>1924.11</v>
      </c>
      <c r="AD277" s="3851">
        <v>0</v>
      </c>
      <c r="AE277" s="3851">
        <v>0</v>
      </c>
      <c r="AF277" s="3851">
        <v>0</v>
      </c>
      <c r="AG277" s="3851">
        <v>0</v>
      </c>
      <c r="AH277" s="3851">
        <f>$K277-SUM($W277:AG277)</f>
        <v>0</v>
      </c>
      <c r="AI277" s="3851"/>
      <c r="AJ277" s="3851"/>
      <c r="AK277" s="3851"/>
      <c r="AL277" s="3851"/>
      <c r="AM277" s="3851"/>
      <c r="AN277" s="3851"/>
      <c r="AO277" s="3851"/>
      <c r="AP277" s="3851"/>
      <c r="AQ277" s="3851"/>
      <c r="AR277" s="3851"/>
      <c r="AS277" s="3851"/>
      <c r="AW277" s="3874"/>
      <c r="AX277" s="1850"/>
      <c r="AY277" s="1850"/>
      <c r="AZ277" s="1850"/>
      <c r="BA277" s="1866"/>
      <c r="BB277" s="3851"/>
      <c r="BC277" s="3851"/>
      <c r="BD277" s="3851"/>
      <c r="BE277" s="3851"/>
      <c r="BF277" s="3851"/>
      <c r="BG277" s="3851"/>
      <c r="BH277" s="3851"/>
      <c r="BI277" s="1850"/>
      <c r="BJ277" s="3851"/>
      <c r="BK277" s="3851"/>
      <c r="BL277" s="3874"/>
      <c r="BM277" s="3874"/>
    </row>
    <row r="278" spans="1:75">
      <c r="A278" s="3857"/>
      <c r="B278" s="3966"/>
      <c r="C278" s="3901"/>
      <c r="D278" s="3929"/>
      <c r="E278" s="3844"/>
      <c r="F278" s="3843"/>
      <c r="G278" s="3882"/>
      <c r="H278" s="3884"/>
      <c r="I278" s="3882"/>
      <c r="J278" s="3930"/>
      <c r="K278" s="3944"/>
      <c r="L278" s="3845"/>
      <c r="M278" s="3931"/>
      <c r="N278" s="3877"/>
      <c r="O278" s="3920"/>
      <c r="P278" s="3969"/>
      <c r="R278" s="3851"/>
      <c r="S278" s="3851"/>
      <c r="T278" s="3851"/>
      <c r="U278" s="3851"/>
      <c r="V278" s="3851"/>
      <c r="W278" s="3851"/>
      <c r="X278" s="3851"/>
      <c r="Y278" s="3851"/>
      <c r="Z278" s="3851"/>
      <c r="AA278" s="3851"/>
      <c r="AB278" s="3851"/>
      <c r="AC278" s="3851"/>
      <c r="AD278" s="3851">
        <v>0</v>
      </c>
      <c r="AE278" s="3851">
        <v>0</v>
      </c>
      <c r="AF278" s="3851">
        <v>0</v>
      </c>
      <c r="AG278" s="3851">
        <v>0</v>
      </c>
      <c r="AH278" s="3851">
        <f>$K278-SUM($W278:AG278)</f>
        <v>0</v>
      </c>
      <c r="AI278" s="3851"/>
      <c r="AJ278" s="3851"/>
      <c r="AK278" s="3851"/>
      <c r="AL278" s="3851"/>
      <c r="AM278" s="3851"/>
      <c r="AN278" s="3851"/>
      <c r="AO278" s="3851"/>
      <c r="AP278" s="3851"/>
      <c r="AQ278" s="3851"/>
      <c r="AR278" s="3851"/>
      <c r="AS278" s="3851"/>
      <c r="AW278" s="3874"/>
      <c r="AX278" s="1850"/>
      <c r="AY278" s="1850"/>
      <c r="AZ278" s="1850"/>
      <c r="BA278" s="1866"/>
      <c r="BB278" s="3851"/>
      <c r="BC278" s="3851"/>
      <c r="BD278" s="3851"/>
      <c r="BE278" s="3851"/>
      <c r="BF278" s="3851"/>
      <c r="BG278" s="3851"/>
      <c r="BH278" s="3851"/>
      <c r="BI278" s="1850"/>
      <c r="BJ278" s="3851"/>
      <c r="BK278" s="3851"/>
      <c r="BL278" s="3874"/>
      <c r="BM278" s="3874"/>
    </row>
    <row r="279" spans="1:75">
      <c r="A279" s="3857"/>
      <c r="B279" s="3966"/>
      <c r="C279" s="3901"/>
      <c r="D279" s="1900" t="s">
        <v>740</v>
      </c>
      <c r="E279" s="3844"/>
      <c r="F279" s="3915"/>
      <c r="G279" s="3882"/>
      <c r="H279" s="3884"/>
      <c r="I279" s="3882"/>
      <c r="J279" s="3930"/>
      <c r="K279" s="3944"/>
      <c r="L279" s="3845"/>
      <c r="M279" s="3931"/>
      <c r="N279" s="3877"/>
      <c r="O279" s="3920"/>
      <c r="P279" s="3969"/>
      <c r="Q279" s="3849">
        <v>0</v>
      </c>
      <c r="R279" s="3851">
        <v>0</v>
      </c>
      <c r="S279" s="3851">
        <v>0</v>
      </c>
      <c r="T279" s="3851">
        <v>0</v>
      </c>
      <c r="U279" s="3851">
        <v>0</v>
      </c>
      <c r="V279" s="3851">
        <v>0</v>
      </c>
      <c r="W279" s="3851">
        <f>'[26]מאזן בוחן צרפת'!W252</f>
        <v>0</v>
      </c>
      <c r="X279" s="3851">
        <f>'[27]מאזן בוחן צרפת'!X252</f>
        <v>0</v>
      </c>
      <c r="Y279" s="3851">
        <f>'[28]מאזן בוחן צרפת'!Y252</f>
        <v>0</v>
      </c>
      <c r="Z279" s="3851">
        <f>'[29]מאזן בוחן צרפת'!Z253</f>
        <v>0</v>
      </c>
      <c r="AA279" s="3851">
        <f>'[30]מאזן בוחן צרפת'!AA254</f>
        <v>0</v>
      </c>
      <c r="AB279" s="3851">
        <f>'[31]מאזן בוחן צרפת'!AB256</f>
        <v>0</v>
      </c>
      <c r="AC279" s="3851">
        <v>0</v>
      </c>
      <c r="AD279" s="3851">
        <v>0</v>
      </c>
      <c r="AE279" s="3851">
        <v>0</v>
      </c>
      <c r="AF279" s="3851">
        <v>0</v>
      </c>
      <c r="AG279" s="3851">
        <v>0</v>
      </c>
      <c r="AH279" s="3851">
        <f>$K279-SUM($W279:AG279)</f>
        <v>0</v>
      </c>
      <c r="AI279" s="3851"/>
      <c r="AJ279" s="3851"/>
      <c r="AK279" s="3851"/>
      <c r="AL279" s="3851"/>
      <c r="AM279" s="3851"/>
      <c r="AN279" s="3851"/>
      <c r="AO279" s="3851"/>
      <c r="AP279" s="3851"/>
      <c r="AQ279" s="3851"/>
      <c r="AR279" s="3851"/>
      <c r="AS279" s="3851"/>
      <c r="AW279" s="3874"/>
      <c r="AX279" s="1850"/>
      <c r="AY279" s="1850"/>
      <c r="AZ279" s="1850"/>
      <c r="BA279" s="1866"/>
      <c r="BB279" s="3851"/>
      <c r="BC279" s="3851"/>
      <c r="BD279" s="3851"/>
      <c r="BE279" s="3851"/>
      <c r="BF279" s="3851"/>
      <c r="BG279" s="3851"/>
      <c r="BH279" s="3851"/>
      <c r="BI279" s="1850"/>
      <c r="BJ279" s="3851"/>
      <c r="BK279" s="3851"/>
      <c r="BL279" s="3874"/>
      <c r="BM279" s="3874"/>
    </row>
    <row r="280" spans="1:75">
      <c r="A280" s="3857"/>
      <c r="B280" s="3966"/>
      <c r="C280" s="3901"/>
      <c r="D280" s="3929"/>
      <c r="E280" s="3844"/>
      <c r="F280" s="3915"/>
      <c r="G280" s="3882"/>
      <c r="H280" s="3884"/>
      <c r="I280" s="3882"/>
      <c r="J280" s="3930"/>
      <c r="K280" s="3944"/>
      <c r="L280" s="3845"/>
      <c r="M280" s="3931"/>
      <c r="N280" s="3877"/>
      <c r="O280" s="3920"/>
      <c r="P280" s="3969"/>
      <c r="Q280" s="3849">
        <v>0</v>
      </c>
      <c r="R280" s="3851">
        <v>0</v>
      </c>
      <c r="S280" s="3851">
        <v>4433.3599999999997</v>
      </c>
      <c r="T280" s="3851">
        <v>-4433.3599999999997</v>
      </c>
      <c r="U280" s="3851">
        <v>0</v>
      </c>
      <c r="V280" s="3851">
        <v>0</v>
      </c>
      <c r="W280" s="3851">
        <f>'[26]מאזן בוחן צרפת'!W253</f>
        <v>0</v>
      </c>
      <c r="X280" s="3851">
        <f>'[27]מאזן בוחן צרפת'!X253</f>
        <v>0</v>
      </c>
      <c r="Y280" s="3851">
        <f>'[28]מאזן בוחן צרפת'!Y253</f>
        <v>0</v>
      </c>
      <c r="Z280" s="3851">
        <f>'[29]מאזן בוחן צרפת'!Z254</f>
        <v>0</v>
      </c>
      <c r="AA280" s="3851">
        <f>'[30]מאזן בוחן צרפת'!AA255</f>
        <v>0</v>
      </c>
      <c r="AB280" s="3851">
        <f>'[31]מאזן בוחן צרפת'!AB257</f>
        <v>0</v>
      </c>
      <c r="AC280" s="3851">
        <v>0</v>
      </c>
      <c r="AD280" s="3851">
        <v>0</v>
      </c>
      <c r="AE280" s="3851">
        <v>0</v>
      </c>
      <c r="AF280" s="3851">
        <v>0</v>
      </c>
      <c r="AG280" s="3851">
        <v>0</v>
      </c>
      <c r="AH280" s="3851">
        <f>$K280-SUM($W280:AG280)</f>
        <v>0</v>
      </c>
      <c r="AI280" s="3851"/>
      <c r="AJ280" s="3851"/>
      <c r="AK280" s="3851"/>
      <c r="AL280" s="3851"/>
      <c r="AM280" s="3851"/>
      <c r="AN280" s="3851"/>
      <c r="AO280" s="3851"/>
      <c r="AP280" s="3851"/>
      <c r="AQ280" s="3851"/>
      <c r="AR280" s="3851"/>
      <c r="AS280" s="3851"/>
      <c r="AW280" s="3874"/>
      <c r="AX280" s="1850"/>
      <c r="AY280" s="1850"/>
      <c r="AZ280" s="1850"/>
      <c r="BA280" s="1866"/>
      <c r="BB280" s="3851"/>
      <c r="BC280" s="3851"/>
      <c r="BD280" s="3851"/>
      <c r="BE280" s="3851"/>
      <c r="BF280" s="3851"/>
      <c r="BG280" s="3851"/>
      <c r="BH280" s="3851"/>
      <c r="BI280" s="1850"/>
      <c r="BJ280" s="3851"/>
      <c r="BK280" s="3851"/>
      <c r="BL280" s="3874"/>
      <c r="BM280" s="3874"/>
    </row>
    <row r="281" spans="1:75">
      <c r="A281" s="3857"/>
      <c r="B281" s="3966" t="s">
        <v>563</v>
      </c>
      <c r="C281" s="3901">
        <v>7120022</v>
      </c>
      <c r="D281" s="3929" t="s">
        <v>2254</v>
      </c>
      <c r="E281" s="3844">
        <f>IFERROR(VLOOKUP(C281,'פ.נ. צרפת'!$D$129:$F$1048576,3,0),0)</f>
        <v>0</v>
      </c>
      <c r="F281" s="3843">
        <f>SUMIF('פ.נ. צרפת'!$C:$C,$C:$C,'פ.נ. צרפת'!$E:$E)</f>
        <v>0</v>
      </c>
      <c r="G281" s="3882"/>
      <c r="H281" s="3884"/>
      <c r="I281" s="3882"/>
      <c r="J281" s="4022">
        <f>SUM(E281:I281)</f>
        <v>0</v>
      </c>
      <c r="K281" s="3944">
        <f>M281+SUMIF('פ.נ. צרפת'!$C:$C,$C:$C,'פ.נ. צרפת'!$F:$F)</f>
        <v>0</v>
      </c>
      <c r="L281" s="3845"/>
      <c r="M281" s="3931" t="str">
        <f>IFERROR(VLOOKUP(C281,'פ.נ. צרפת'!$D$129:$G$1048576,4,0),"")</f>
        <v/>
      </c>
      <c r="N281" s="3877" t="str">
        <f>IF(K281=0,"-",J281/K281)</f>
        <v>-</v>
      </c>
      <c r="O281" s="3920"/>
      <c r="P281" s="3969"/>
      <c r="Q281" s="3849">
        <v>655.36</v>
      </c>
      <c r="R281" s="3851">
        <v>0</v>
      </c>
      <c r="S281" s="3851">
        <v>0</v>
      </c>
      <c r="T281" s="3851">
        <v>-647.26</v>
      </c>
      <c r="U281" s="3851">
        <v>-2.3092638912203256E-14</v>
      </c>
      <c r="V281" s="3851">
        <v>0</v>
      </c>
      <c r="W281" s="3851">
        <f>'[26]מאזן בוחן צרפת'!W254</f>
        <v>0</v>
      </c>
      <c r="X281" s="3851">
        <f>'[27]מאזן בוחן צרפת'!X254</f>
        <v>0</v>
      </c>
      <c r="Y281" s="3851">
        <f>'[28]מאזן בוחן צרפת'!Y254</f>
        <v>0</v>
      </c>
      <c r="Z281" s="3851">
        <f>'[29]מאזן בוחן צרפת'!Z255</f>
        <v>0</v>
      </c>
      <c r="AA281" s="3851">
        <f>'[30]מאזן בוחן צרפת'!AA256</f>
        <v>0</v>
      </c>
      <c r="AB281" s="3851">
        <f>'[31]מאזן בוחן צרפת'!AB258</f>
        <v>0</v>
      </c>
      <c r="AC281" s="3851">
        <v>0</v>
      </c>
      <c r="AD281" s="3851">
        <v>0</v>
      </c>
      <c r="AE281" s="3851">
        <v>0</v>
      </c>
      <c r="AF281" s="3851">
        <v>0</v>
      </c>
      <c r="AG281" s="3851">
        <v>0</v>
      </c>
      <c r="AH281" s="3851">
        <f>$K281-SUM($W281:AG281)</f>
        <v>0</v>
      </c>
      <c r="AI281" s="3851"/>
      <c r="AJ281" s="3851"/>
      <c r="AK281" s="3851"/>
      <c r="AL281" s="3851"/>
      <c r="AM281" s="3851"/>
      <c r="AN281" s="3851"/>
      <c r="AO281" s="3851"/>
      <c r="AP281" s="3851"/>
      <c r="AQ281" s="3851"/>
      <c r="AR281" s="3851"/>
      <c r="AS281" s="3851"/>
      <c r="AW281" s="3874"/>
      <c r="AX281" s="1850"/>
      <c r="AY281" s="1850"/>
      <c r="AZ281" s="1850"/>
      <c r="BA281" s="1866"/>
      <c r="BB281" s="3851"/>
      <c r="BC281" s="3851"/>
      <c r="BD281" s="3851"/>
      <c r="BE281" s="3851"/>
      <c r="BF281" s="3851"/>
      <c r="BG281" s="3851"/>
      <c r="BH281" s="3851"/>
      <c r="BI281" s="1850"/>
      <c r="BJ281" s="3851"/>
      <c r="BK281" s="3851"/>
      <c r="BL281" s="3874"/>
      <c r="BM281" s="3874"/>
    </row>
    <row r="282" spans="1:75">
      <c r="B282" s="3656"/>
      <c r="L282" s="3875"/>
      <c r="M282" s="4035"/>
      <c r="P282" s="3969"/>
      <c r="Q282" s="3849">
        <v>0</v>
      </c>
      <c r="R282" s="3851">
        <v>0</v>
      </c>
      <c r="S282" s="3851">
        <v>0</v>
      </c>
      <c r="T282" s="3851">
        <v>0</v>
      </c>
      <c r="U282" s="3851">
        <v>0</v>
      </c>
      <c r="V282" s="3851">
        <v>22554.735823202456</v>
      </c>
      <c r="W282" s="3851">
        <f>'[26]מאזן בוחן צרפת'!W255</f>
        <v>0</v>
      </c>
      <c r="X282" s="3851">
        <f>'[27]מאזן בוחן צרפת'!X255</f>
        <v>0</v>
      </c>
      <c r="Y282" s="3851">
        <f>'[28]מאזן בוחן צרפת'!Y255</f>
        <v>0</v>
      </c>
      <c r="Z282" s="3851">
        <f>'[29]מאזן בוחן צרפת'!Z256</f>
        <v>0</v>
      </c>
      <c r="AA282" s="3851">
        <f>'[30]מאזן בוחן צרפת'!AA257</f>
        <v>0</v>
      </c>
      <c r="AB282" s="3851">
        <f>'[31]מאזן בוחן צרפת'!AB259</f>
        <v>0</v>
      </c>
      <c r="AC282" s="3851">
        <v>0</v>
      </c>
      <c r="AD282" s="3851">
        <v>0</v>
      </c>
      <c r="AE282" s="3851">
        <v>0</v>
      </c>
      <c r="AF282" s="3851">
        <v>0</v>
      </c>
      <c r="AG282" s="3851">
        <v>0</v>
      </c>
      <c r="AH282" s="3851">
        <f>$K282-SUM($W282:AG282)</f>
        <v>0</v>
      </c>
      <c r="AI282" s="3851"/>
      <c r="AJ282" s="3851"/>
      <c r="AK282" s="3851"/>
      <c r="AL282" s="3851"/>
      <c r="AM282" s="3851"/>
      <c r="AN282" s="3851"/>
      <c r="AO282" s="3851"/>
      <c r="AP282" s="3851"/>
      <c r="AQ282" s="3851"/>
      <c r="AR282" s="3851"/>
      <c r="AS282" s="3851"/>
    </row>
    <row r="283" spans="1:75">
      <c r="B283" s="3656"/>
      <c r="C283" s="4036"/>
      <c r="D283" s="1909"/>
      <c r="E283" s="1882">
        <f t="shared" ref="E283:K283" si="63">SUM(E271:E281)</f>
        <v>234144.17</v>
      </c>
      <c r="F283" s="3293">
        <f t="shared" si="63"/>
        <v>0</v>
      </c>
      <c r="G283" s="1882">
        <f t="shared" si="63"/>
        <v>0</v>
      </c>
      <c r="H283" s="1882">
        <f t="shared" si="63"/>
        <v>0</v>
      </c>
      <c r="I283" s="1882">
        <f t="shared" si="63"/>
        <v>0</v>
      </c>
      <c r="J283" s="1883">
        <f t="shared" si="63"/>
        <v>234144.17</v>
      </c>
      <c r="K283" s="1883">
        <f t="shared" si="63"/>
        <v>276560.07999999996</v>
      </c>
      <c r="L283" s="1884"/>
      <c r="M283" s="1882">
        <f>SUM(M271:M281)</f>
        <v>276560.07999999996</v>
      </c>
      <c r="N283" s="3922"/>
      <c r="O283" s="3920"/>
      <c r="P283" s="3969"/>
      <c r="Q283" s="3849">
        <v>0</v>
      </c>
      <c r="R283" s="3851">
        <v>46847.16</v>
      </c>
      <c r="S283" s="3851">
        <v>0</v>
      </c>
      <c r="T283" s="3851">
        <v>58406.210000000006</v>
      </c>
      <c r="U283" s="3851">
        <v>16073.899999999994</v>
      </c>
      <c r="V283" s="3851">
        <v>0</v>
      </c>
      <c r="W283" s="3851">
        <f>'[26]מאזן בוחן צרפת'!W256</f>
        <v>36798.74</v>
      </c>
      <c r="X283" s="3851">
        <f>'[27]מאזן בוחן צרפת'!X256</f>
        <v>17552.839999999997</v>
      </c>
      <c r="Y283" s="3851">
        <f>'[28]מאזן בוחן צרפת'!Y256</f>
        <v>24038.43</v>
      </c>
      <c r="Z283" s="3851">
        <f>'[29]מאזן בוחן צרפת'!Z257</f>
        <v>32918.23000000001</v>
      </c>
      <c r="AA283" s="3851">
        <f>'[30]מאזן בוחן צרפת'!AA258</f>
        <v>16360.349999999977</v>
      </c>
      <c r="AB283" s="3851">
        <f>'[31]מאזן בוחן צרפת'!AB260</f>
        <v>30445.189999999988</v>
      </c>
      <c r="AC283" s="3851">
        <v>32613.030000000028</v>
      </c>
      <c r="AD283" s="3851">
        <v>15788.000000000029</v>
      </c>
      <c r="AE283" s="3851">
        <v>8607.2799999999697</v>
      </c>
      <c r="AF283" s="3851">
        <v>27638.719999999943</v>
      </c>
      <c r="AG283" s="3851">
        <v>11663.830000000016</v>
      </c>
      <c r="AH283" s="3851">
        <f>$K283-SUM($W283:AG283)</f>
        <v>22135.440000000002</v>
      </c>
      <c r="AI283" s="3851"/>
      <c r="AJ283" s="3851"/>
      <c r="AK283" s="3851"/>
      <c r="AL283" s="3851"/>
      <c r="AM283" s="3851"/>
      <c r="AN283" s="3851"/>
      <c r="AO283" s="3851"/>
      <c r="AP283" s="3851"/>
      <c r="AQ283" s="3851"/>
      <c r="AR283" s="3851"/>
      <c r="AS283" s="3851"/>
      <c r="AU283" s="3849"/>
      <c r="BB283" s="3849"/>
      <c r="BT283" s="3849"/>
      <c r="BW283" s="3856"/>
    </row>
    <row r="284" spans="1:75">
      <c r="B284" s="3656"/>
      <c r="C284" s="3889"/>
      <c r="D284" s="3881"/>
      <c r="J284" s="3934"/>
      <c r="K284" s="3908"/>
      <c r="L284" s="3874"/>
      <c r="M284" s="3908"/>
      <c r="N284" s="3922"/>
      <c r="O284" s="3920"/>
      <c r="P284" s="3969"/>
      <c r="Q284" s="3849">
        <v>0</v>
      </c>
      <c r="R284" s="3851">
        <v>0</v>
      </c>
      <c r="S284" s="3851">
        <v>-647.26</v>
      </c>
      <c r="T284" s="3851">
        <v>647.26</v>
      </c>
      <c r="U284" s="3851">
        <v>0</v>
      </c>
      <c r="V284" s="3851">
        <v>0</v>
      </c>
      <c r="W284" s="3851">
        <f>'[26]מאזן בוחן צרפת'!W257</f>
        <v>0</v>
      </c>
      <c r="X284" s="3851">
        <f>'[27]מאזן בוחן צרפת'!X257</f>
        <v>0</v>
      </c>
      <c r="Y284" s="3851">
        <f>'[28]מאזן בוחן צרפת'!Y257</f>
        <v>0</v>
      </c>
      <c r="Z284" s="3851">
        <f>'[29]מאזן בוחן צרפת'!Z258</f>
        <v>0</v>
      </c>
      <c r="AA284" s="3851">
        <f>'[30]מאזן בוחן צרפת'!AA259</f>
        <v>0</v>
      </c>
      <c r="AB284" s="3851">
        <f>'[31]מאזן בוחן צרפת'!AB261</f>
        <v>0</v>
      </c>
      <c r="AC284" s="3851">
        <v>0</v>
      </c>
      <c r="AD284" s="3851">
        <v>0</v>
      </c>
      <c r="AE284" s="3851">
        <v>0</v>
      </c>
      <c r="AF284" s="3851">
        <v>0</v>
      </c>
      <c r="AG284" s="3851">
        <v>0</v>
      </c>
      <c r="AH284" s="3851">
        <f>$K284-SUM($W284:AG284)</f>
        <v>0</v>
      </c>
      <c r="AI284" s="3851"/>
      <c r="AJ284" s="3851"/>
      <c r="AK284" s="3851"/>
      <c r="AL284" s="3851"/>
      <c r="AM284" s="3851"/>
      <c r="AN284" s="3851"/>
      <c r="AO284" s="3851"/>
      <c r="AP284" s="3851"/>
      <c r="AQ284" s="3851"/>
      <c r="AR284" s="3851"/>
      <c r="AS284" s="3851"/>
      <c r="AU284" s="3849"/>
      <c r="BB284" s="3849"/>
      <c r="BT284" s="3849"/>
      <c r="BW284" s="3856"/>
    </row>
    <row r="285" spans="1:75">
      <c r="B285" s="3914"/>
      <c r="C285" s="3898"/>
      <c r="D285" s="1854" t="s">
        <v>2251</v>
      </c>
      <c r="E285" s="3882"/>
      <c r="F285" s="4034"/>
      <c r="G285" s="4015"/>
      <c r="H285" s="4034"/>
      <c r="I285" s="4015"/>
      <c r="J285" s="4034"/>
      <c r="K285" s="4015"/>
      <c r="L285" s="3874"/>
      <c r="M285" s="4016"/>
      <c r="N285" s="3922"/>
      <c r="O285" s="3920"/>
      <c r="P285" s="3969"/>
      <c r="Q285" s="3849">
        <v>0</v>
      </c>
      <c r="R285" s="3851">
        <v>0</v>
      </c>
      <c r="S285" s="3851">
        <v>0</v>
      </c>
      <c r="T285" s="3851">
        <v>0</v>
      </c>
      <c r="U285" s="3851">
        <v>0</v>
      </c>
      <c r="V285" s="3851">
        <v>0</v>
      </c>
      <c r="W285" s="3851">
        <f>'[26]מאזן בוחן צרפת'!W258</f>
        <v>0</v>
      </c>
      <c r="X285" s="3851">
        <f>'[27]מאזן בוחן צרפת'!X258</f>
        <v>0</v>
      </c>
      <c r="Y285" s="3851">
        <f>'[28]מאזן בוחן צרפת'!Y258</f>
        <v>0</v>
      </c>
      <c r="Z285" s="3851">
        <f>'[29]מאזן בוחן צרפת'!Z259</f>
        <v>0</v>
      </c>
      <c r="AA285" s="3851">
        <f>'[30]מאזן בוחן צרפת'!AA260</f>
        <v>0</v>
      </c>
      <c r="AB285" s="3851">
        <f>'[31]מאזן בוחן צרפת'!AB262</f>
        <v>0</v>
      </c>
      <c r="AC285" s="3851">
        <v>0</v>
      </c>
      <c r="AD285" s="3851">
        <v>0</v>
      </c>
      <c r="AE285" s="3851">
        <v>0</v>
      </c>
      <c r="AF285" s="3851">
        <v>0</v>
      </c>
      <c r="AG285" s="3851">
        <v>0</v>
      </c>
      <c r="AH285" s="3851">
        <f>$K285-SUM($W285:AG285)</f>
        <v>0</v>
      </c>
      <c r="AI285" s="3851"/>
      <c r="AJ285" s="3851"/>
      <c r="AK285" s="3851"/>
      <c r="AL285" s="3851"/>
      <c r="AM285" s="3851"/>
      <c r="AN285" s="3851"/>
      <c r="AO285" s="3851"/>
      <c r="AP285" s="3851"/>
      <c r="AQ285" s="3851"/>
      <c r="AR285" s="3851"/>
      <c r="AS285" s="3851"/>
      <c r="AU285" s="3849"/>
      <c r="BB285" s="3849"/>
      <c r="BT285" s="3849"/>
      <c r="BW285" s="3856"/>
    </row>
    <row r="286" spans="1:75">
      <c r="B286" s="3914"/>
      <c r="C286" s="3898"/>
      <c r="D286" s="1854"/>
      <c r="E286" s="3882"/>
      <c r="F286" s="4034"/>
      <c r="G286" s="4015"/>
      <c r="H286" s="4034"/>
      <c r="I286" s="4015"/>
      <c r="J286" s="4034"/>
      <c r="K286" s="4015"/>
      <c r="L286" s="3874"/>
      <c r="M286" s="4016"/>
      <c r="N286" s="3922"/>
      <c r="O286" s="3920"/>
      <c r="P286" s="3969"/>
      <c r="Q286" s="3849">
        <v>0</v>
      </c>
      <c r="R286" s="3851">
        <v>0</v>
      </c>
      <c r="S286" s="3851">
        <v>19253.900000000009</v>
      </c>
      <c r="T286" s="3851">
        <v>-19253.900000000009</v>
      </c>
      <c r="U286" s="3851">
        <v>0</v>
      </c>
      <c r="V286" s="3851">
        <v>0</v>
      </c>
      <c r="W286" s="3851">
        <f>'[26]מאזן בוחן צרפת'!W259</f>
        <v>0</v>
      </c>
      <c r="X286" s="3851">
        <f>'[27]מאזן בוחן צרפת'!X259</f>
        <v>0</v>
      </c>
      <c r="Y286" s="3851">
        <f>'[28]מאזן בוחן צרפת'!Y259</f>
        <v>0</v>
      </c>
      <c r="Z286" s="3851">
        <f>'[29]מאזן בוחן צרפת'!Z260</f>
        <v>0</v>
      </c>
      <c r="AA286" s="3851">
        <f>'[30]מאזן בוחן צרפת'!AA261</f>
        <v>0</v>
      </c>
      <c r="AB286" s="3851">
        <f>'[31]מאזן בוחן צרפת'!AB263</f>
        <v>0</v>
      </c>
      <c r="AC286" s="3851">
        <v>0</v>
      </c>
      <c r="AD286" s="3851">
        <v>0</v>
      </c>
      <c r="AE286" s="3851">
        <v>0</v>
      </c>
      <c r="AF286" s="3851">
        <v>0</v>
      </c>
      <c r="AG286" s="3851">
        <v>0</v>
      </c>
      <c r="AH286" s="3851">
        <f>$K286-SUM($W286:AG286)</f>
        <v>0</v>
      </c>
      <c r="AI286" s="3851"/>
      <c r="AJ286" s="3851"/>
      <c r="AK286" s="3851"/>
      <c r="AL286" s="3851"/>
      <c r="AM286" s="3851"/>
      <c r="AN286" s="3851"/>
      <c r="AO286" s="3851"/>
      <c r="AP286" s="3851"/>
      <c r="AQ286" s="3851"/>
      <c r="AR286" s="3851"/>
      <c r="AS286" s="3851"/>
      <c r="AU286" s="3849"/>
      <c r="BB286" s="3849"/>
      <c r="BT286" s="3849"/>
      <c r="BW286" s="3856"/>
    </row>
    <row r="287" spans="1:75">
      <c r="B287" s="3966"/>
      <c r="C287" s="3898"/>
      <c r="D287" s="1854" t="s">
        <v>219</v>
      </c>
      <c r="J287" s="3843"/>
      <c r="K287" s="4015"/>
      <c r="L287" s="3874"/>
      <c r="M287" s="4016"/>
      <c r="N287" s="3922"/>
      <c r="O287" s="3920"/>
      <c r="P287" s="3969"/>
      <c r="Q287" s="3849">
        <v>0</v>
      </c>
      <c r="R287" s="3851">
        <v>0</v>
      </c>
      <c r="S287" s="3851">
        <v>0</v>
      </c>
      <c r="T287" s="3851">
        <v>0</v>
      </c>
      <c r="U287" s="3851">
        <v>0</v>
      </c>
      <c r="V287" s="3851">
        <v>0</v>
      </c>
      <c r="W287" s="3851">
        <f>'[26]מאזן בוחן צרפת'!W260</f>
        <v>0</v>
      </c>
      <c r="X287" s="3851">
        <f>'[27]מאזן בוחן צרפת'!X260</f>
        <v>0</v>
      </c>
      <c r="Y287" s="3851">
        <f>'[28]מאזן בוחן צרפת'!Y260</f>
        <v>0</v>
      </c>
      <c r="Z287" s="3851">
        <f>'[29]מאזן בוחן צרפת'!Z261</f>
        <v>0</v>
      </c>
      <c r="AA287" s="3851">
        <f>'[30]מאזן בוחן צרפת'!AA262</f>
        <v>0</v>
      </c>
      <c r="AB287" s="3851">
        <f>'[31]מאזן בוחן צרפת'!AB264</f>
        <v>0</v>
      </c>
      <c r="AC287" s="3851">
        <v>0</v>
      </c>
      <c r="AD287" s="3851">
        <v>0</v>
      </c>
      <c r="AE287" s="3851">
        <v>0</v>
      </c>
      <c r="AF287" s="3851">
        <v>0</v>
      </c>
      <c r="AG287" s="3851">
        <v>0</v>
      </c>
      <c r="AH287" s="3851">
        <f>$K287-SUM($W287:AG287)</f>
        <v>0</v>
      </c>
      <c r="AI287" s="3851"/>
      <c r="AJ287" s="3851"/>
      <c r="AK287" s="3851"/>
      <c r="AL287" s="3851"/>
      <c r="AM287" s="3851"/>
      <c r="AN287" s="3851"/>
      <c r="AO287" s="3851"/>
      <c r="AP287" s="3851"/>
      <c r="AQ287" s="3851"/>
      <c r="AR287" s="3851"/>
      <c r="AS287" s="3851"/>
      <c r="AU287" s="3849"/>
      <c r="BB287" s="3849"/>
      <c r="BT287" s="3849"/>
      <c r="BV287" s="4037"/>
      <c r="BW287" s="3856"/>
    </row>
    <row r="288" spans="1:75">
      <c r="B288" s="3966"/>
      <c r="C288" s="3901"/>
      <c r="D288" s="3848"/>
      <c r="E288" s="3844"/>
      <c r="F288" s="3851"/>
      <c r="G288" s="3845"/>
      <c r="H288" s="3851"/>
      <c r="I288" s="3845"/>
      <c r="J288" s="3843"/>
      <c r="K288" s="4015"/>
      <c r="L288" s="3874"/>
      <c r="M288" s="4016"/>
      <c r="N288" s="3922"/>
      <c r="O288" s="3920"/>
      <c r="P288" s="3969"/>
      <c r="Q288" s="3849">
        <v>0</v>
      </c>
      <c r="R288" s="3851">
        <v>0</v>
      </c>
      <c r="S288" s="3851">
        <v>0</v>
      </c>
      <c r="T288" s="3851">
        <v>0</v>
      </c>
      <c r="U288" s="3851">
        <v>0</v>
      </c>
      <c r="V288" s="3851">
        <v>24470.510000000009</v>
      </c>
      <c r="W288" s="3851">
        <f>'[26]מאזן בוחן צרפת'!W261</f>
        <v>0</v>
      </c>
      <c r="X288" s="3851">
        <f>'[27]מאזן בוחן צרפת'!X261</f>
        <v>0</v>
      </c>
      <c r="Y288" s="3851">
        <f>'[28]מאזן בוחן צרפת'!Y261</f>
        <v>0</v>
      </c>
      <c r="Z288" s="3851">
        <f>'[29]מאזן בוחן צרפת'!Z262</f>
        <v>0</v>
      </c>
      <c r="AA288" s="3851">
        <f>'[30]מאזן בוחן צרפת'!AA263</f>
        <v>0</v>
      </c>
      <c r="AB288" s="3851">
        <f>'[31]מאזן בוחן צרפת'!AB265</f>
        <v>0</v>
      </c>
      <c r="AC288" s="3851">
        <v>0</v>
      </c>
      <c r="AD288" s="3851">
        <v>0</v>
      </c>
      <c r="AE288" s="3851">
        <v>0</v>
      </c>
      <c r="AF288" s="3851">
        <v>0</v>
      </c>
      <c r="AG288" s="3851">
        <v>0</v>
      </c>
      <c r="AH288" s="3851">
        <f>$K288-SUM($W288:AG288)</f>
        <v>0</v>
      </c>
      <c r="AI288" s="3851"/>
      <c r="AJ288" s="3851"/>
      <c r="AK288" s="3851"/>
      <c r="AL288" s="3851"/>
      <c r="AM288" s="3851"/>
      <c r="AN288" s="3851"/>
      <c r="AO288" s="3851"/>
      <c r="AP288" s="3851"/>
      <c r="AQ288" s="3851"/>
      <c r="AR288" s="3851"/>
      <c r="AS288" s="3851"/>
      <c r="AU288" s="3849"/>
      <c r="BB288" s="3849"/>
      <c r="BT288" s="3849"/>
      <c r="BW288" s="3856"/>
    </row>
    <row r="289" spans="1:75">
      <c r="A289" s="3857"/>
      <c r="B289" s="3966" t="s">
        <v>1137</v>
      </c>
      <c r="C289" s="3901">
        <v>7110007</v>
      </c>
      <c r="D289" s="3929" t="s">
        <v>2252</v>
      </c>
      <c r="E289" s="3844">
        <f>IFERROR(VLOOKUP(C289,'פ.נ. צרפת'!$D$129:$F$1048576,3,0),0)</f>
        <v>280097.52</v>
      </c>
      <c r="F289" s="3843">
        <f>SUMIF('פ.נ. צרפת'!$C:$C,$C:$C,'פ.נ. צרפת'!$E:$E)</f>
        <v>0</v>
      </c>
      <c r="G289" s="3882"/>
      <c r="H289" s="3884"/>
      <c r="I289" s="3882"/>
      <c r="J289" s="4022">
        <f t="shared" ref="J289:J294" si="64">SUM(E289:I289)</f>
        <v>280097.52</v>
      </c>
      <c r="K289" s="3944">
        <f>M289+SUMIF('פ.נ. צרפת'!$C:$C,$C:$C,'פ.נ. צרפת'!$F:$F)</f>
        <v>331325.51</v>
      </c>
      <c r="L289" s="3845"/>
      <c r="M289" s="3931">
        <f>IFERROR(VLOOKUP(C289,'פ.נ. צרפת'!$D$129:$G$1048576,4,0),"")</f>
        <v>331325.51</v>
      </c>
      <c r="N289" s="3877">
        <f t="shared" ref="N289:N294" si="65">IF(K289=0,"-",J289/K289)</f>
        <v>0.84538470943574495</v>
      </c>
      <c r="O289" s="3920"/>
      <c r="P289" s="3969" t="s">
        <v>2257</v>
      </c>
      <c r="Q289" s="3849">
        <v>26278.27</v>
      </c>
      <c r="R289" s="3851">
        <v>61111.569999999992</v>
      </c>
      <c r="S289" s="3851">
        <v>23616.000000000004</v>
      </c>
      <c r="T289" s="3851">
        <v>27962.580000000016</v>
      </c>
      <c r="U289" s="3851">
        <v>37506.829999999987</v>
      </c>
      <c r="V289" s="3851">
        <v>24470.510000000009</v>
      </c>
      <c r="W289" s="3851">
        <f>'[26]מאזן בוחן צרפת'!W262</f>
        <v>32270.59</v>
      </c>
      <c r="X289" s="3851">
        <f>'[27]מאזן בוחן צרפת'!X262</f>
        <v>29710.820000000003</v>
      </c>
      <c r="Y289" s="3851">
        <f>'[28]מאזן בוחן צרפת'!Y262</f>
        <v>23716.849999999991</v>
      </c>
      <c r="Z289" s="3851">
        <f>'[29]מאזן בוחן צרפת'!Z263</f>
        <v>28612.03</v>
      </c>
      <c r="AA289" s="3851">
        <f>'[30]מאזן בוחן צרפת'!AA264</f>
        <v>31674.289999999994</v>
      </c>
      <c r="AB289" s="3851">
        <f>'[31]מאזן בוחן צרפת'!AB266</f>
        <v>23636.860000000015</v>
      </c>
      <c r="AC289" s="3851">
        <v>29292.910000000003</v>
      </c>
      <c r="AD289" s="3851">
        <v>23300.609999999986</v>
      </c>
      <c r="AE289" s="3851">
        <v>32334.24000000002</v>
      </c>
      <c r="AF289" s="3851">
        <v>22971.089999999967</v>
      </c>
      <c r="AG289" s="3851">
        <v>31146.240000000049</v>
      </c>
      <c r="AH289" s="3851">
        <f>$K289-SUM($W289:AG289)</f>
        <v>22658.979999999981</v>
      </c>
      <c r="AI289" s="3851" t="s">
        <v>4589</v>
      </c>
      <c r="AJ289" s="3851" t="s">
        <v>4496</v>
      </c>
      <c r="AK289" s="3851"/>
      <c r="AL289" s="3851" t="s">
        <v>4116</v>
      </c>
      <c r="AM289" s="3851"/>
      <c r="AN289" s="3851" t="s">
        <v>3897</v>
      </c>
      <c r="AO289" s="3851"/>
      <c r="AP289" s="3851"/>
      <c r="AQ289" s="3851"/>
      <c r="AR289" s="3851"/>
      <c r="AS289" s="3851" t="s">
        <v>2969</v>
      </c>
      <c r="AW289" s="3874"/>
      <c r="AX289" s="1850"/>
      <c r="AY289" s="1850"/>
      <c r="AZ289" s="1850"/>
      <c r="BA289" s="1866"/>
      <c r="BB289" s="3851"/>
      <c r="BC289" s="3851"/>
      <c r="BD289" s="3851"/>
      <c r="BE289" s="3851"/>
      <c r="BF289" s="3851"/>
      <c r="BG289" s="3851"/>
      <c r="BH289" s="3851"/>
      <c r="BI289" s="1850"/>
      <c r="BJ289" s="3851"/>
      <c r="BK289" s="3851"/>
      <c r="BL289" s="3874"/>
      <c r="BM289" s="3874"/>
    </row>
    <row r="290" spans="1:75">
      <c r="A290" s="3857"/>
      <c r="B290" s="3966" t="s">
        <v>1137</v>
      </c>
      <c r="C290" s="3901">
        <v>7110017</v>
      </c>
      <c r="D290" s="3929" t="s">
        <v>3304</v>
      </c>
      <c r="E290" s="3844">
        <f>IFERROR(VLOOKUP(C290,'פ.נ. צרפת'!$D$129:$F$1048576,3,0),0)</f>
        <v>37745.82</v>
      </c>
      <c r="F290" s="3843">
        <f>SUMIF('פ.נ. צרפת'!$C:$C,$C:$C,'פ.נ. צרפת'!$E:$E)</f>
        <v>0</v>
      </c>
      <c r="G290" s="3882"/>
      <c r="H290" s="3884"/>
      <c r="I290" s="3882"/>
      <c r="J290" s="3930">
        <f>SUM(E290:I290)</f>
        <v>37745.82</v>
      </c>
      <c r="K290" s="3944">
        <f>M290+SUMIF('פ.נ. צרפת'!$C:$C,$C:$C,'פ.נ. צרפת'!$F:$F)</f>
        <v>38014.81</v>
      </c>
      <c r="L290" s="3845"/>
      <c r="M290" s="3931">
        <f>IFERROR(VLOOKUP(C290,'פ.נ. צרפת'!$D$129:$G$1048576,4,0),"")</f>
        <v>38014.81</v>
      </c>
      <c r="N290" s="3877">
        <f>IF(K290=0,"-",J290/K290)</f>
        <v>0.99292407353870771</v>
      </c>
      <c r="O290" s="3920"/>
      <c r="P290" s="3969"/>
      <c r="R290" s="3851"/>
      <c r="S290" s="3851"/>
      <c r="T290" s="3851"/>
      <c r="U290" s="3851"/>
      <c r="V290" s="3851"/>
      <c r="W290" s="3851">
        <f>'[26]מאזן בוחן צרפת'!W266</f>
        <v>-10380.27</v>
      </c>
      <c r="X290" s="3851">
        <f>'[27]מאזן בוחן צרפת'!X266</f>
        <v>-2649.9300000000003</v>
      </c>
      <c r="Y290" s="3851">
        <f>'[28]מאזן בוחן צרפת'!Y266</f>
        <v>5198.4500000000007</v>
      </c>
      <c r="Z290" s="3851">
        <f>'[29]מאזן בוחן צרפת'!Z267</f>
        <v>-7280.32</v>
      </c>
      <c r="AA290" s="3851">
        <f>'[30]מאזן בוחן צרפת'!AA268</f>
        <v>0</v>
      </c>
      <c r="AB290" s="3851">
        <f>'[31]מאזן בוחן צרפת'!AB270</f>
        <v>39391.880000000005</v>
      </c>
      <c r="AC290" s="3851">
        <v>0</v>
      </c>
      <c r="AD290" s="3851">
        <v>0</v>
      </c>
      <c r="AE290" s="3851">
        <v>10986.709999999992</v>
      </c>
      <c r="AF290" s="3851">
        <v>-13341.929999999997</v>
      </c>
      <c r="AG290" s="3851">
        <v>0</v>
      </c>
      <c r="AH290" s="3851">
        <f>$K290-SUM($W290:AG290)</f>
        <v>16090.219999999998</v>
      </c>
      <c r="AI290" s="3851"/>
      <c r="AJ290" s="3851"/>
      <c r="AK290" s="3851" t="s">
        <v>4318</v>
      </c>
      <c r="AL290" s="3851"/>
      <c r="AM290" s="3851"/>
      <c r="AN290" s="3851"/>
      <c r="AO290" s="3851"/>
      <c r="AP290" s="3851"/>
      <c r="AQ290" s="3851"/>
      <c r="AR290" s="3851"/>
      <c r="AS290" s="3851"/>
      <c r="AW290" s="3874"/>
      <c r="AX290" s="1850"/>
      <c r="AY290" s="1850"/>
      <c r="AZ290" s="1850"/>
      <c r="BA290" s="1866"/>
      <c r="BB290" s="3851"/>
      <c r="BC290" s="3851"/>
      <c r="BD290" s="3851"/>
      <c r="BE290" s="3851"/>
      <c r="BF290" s="3851"/>
      <c r="BG290" s="3851"/>
      <c r="BH290" s="3851"/>
      <c r="BI290" s="1850"/>
      <c r="BJ290" s="3851"/>
      <c r="BK290" s="3851"/>
      <c r="BL290" s="3874"/>
      <c r="BM290" s="3874"/>
    </row>
    <row r="291" spans="1:75">
      <c r="A291" s="3857"/>
      <c r="B291" s="3966" t="s">
        <v>1137</v>
      </c>
      <c r="C291" s="4027">
        <v>7110009</v>
      </c>
      <c r="D291" s="4028" t="s">
        <v>2253</v>
      </c>
      <c r="E291" s="3844">
        <f>IFERROR(VLOOKUP(C291,'פ.נ. צרפת'!$D$129:$F$1048576,3,0),0)</f>
        <v>80757</v>
      </c>
      <c r="F291" s="3843">
        <f>SUMIF('פ.נ. צרפת'!$C:$C,$C:$C,'פ.נ. צרפת'!$E:$E)</f>
        <v>0</v>
      </c>
      <c r="G291" s="3882"/>
      <c r="H291" s="3884"/>
      <c r="I291" s="3882"/>
      <c r="J291" s="4022">
        <f t="shared" si="64"/>
        <v>80757</v>
      </c>
      <c r="K291" s="3944">
        <f>M291+SUMIF('פ.נ. צרפת'!$C:$C,$C:$C,'פ.נ. צרפת'!$F:$F)</f>
        <v>94052.62</v>
      </c>
      <c r="L291" s="3845"/>
      <c r="M291" s="3931">
        <f>IFERROR(VLOOKUP(C291,'פ.נ. צרפת'!$D$129:$G$1048576,4,0),"")</f>
        <v>94052.62</v>
      </c>
      <c r="N291" s="3877">
        <f t="shared" si="65"/>
        <v>0.85863636759932904</v>
      </c>
      <c r="O291" s="3920"/>
      <c r="P291" s="3969"/>
      <c r="Q291" s="4029">
        <v>7750.51</v>
      </c>
      <c r="R291" s="4026">
        <v>942.8799999999992</v>
      </c>
      <c r="S291" s="4026">
        <v>0</v>
      </c>
      <c r="T291" s="4026">
        <v>11569.98</v>
      </c>
      <c r="U291" s="4026">
        <v>35581.31</v>
      </c>
      <c r="V291" s="4026">
        <v>0</v>
      </c>
      <c r="W291" s="4026">
        <f>'[26]מאזן בוחן צרפת'!W263</f>
        <v>0</v>
      </c>
      <c r="X291" s="4026">
        <f>'[27]מאזן בוחן צרפת'!X263</f>
        <v>6143.37</v>
      </c>
      <c r="Y291" s="4026">
        <f>'[28]מאזן בוחן צרפת'!Y263</f>
        <v>0</v>
      </c>
      <c r="Z291" s="4026">
        <f>'[29]מאזן בוחן צרפת'!Z264</f>
        <v>12066.130000000001</v>
      </c>
      <c r="AA291" s="4026">
        <f>'[30]מאזן בוחן צרפת'!AA265</f>
        <v>0</v>
      </c>
      <c r="AB291" s="4026">
        <f>'[31]מאזן בוחן צרפת'!AB267</f>
        <v>11978.599999999999</v>
      </c>
      <c r="AC291" s="4026">
        <v>112.77000000000044</v>
      </c>
      <c r="AD291" s="4026">
        <v>0</v>
      </c>
      <c r="AE291" s="4026">
        <v>34395.229999999996</v>
      </c>
      <c r="AF291" s="4026">
        <v>0</v>
      </c>
      <c r="AG291" s="4026">
        <v>3451.390000000014</v>
      </c>
      <c r="AH291" s="3851">
        <f>$K291-SUM($W291:AG291)</f>
        <v>25905.12999999999</v>
      </c>
      <c r="AI291" s="4026"/>
      <c r="AJ291" s="4026"/>
      <c r="AK291" s="3851"/>
      <c r="AL291" s="3851"/>
      <c r="AM291" s="4026"/>
      <c r="AN291" s="4026"/>
      <c r="AO291" s="4026"/>
      <c r="AP291" s="4026"/>
      <c r="AQ291" s="3851" t="s">
        <v>3318</v>
      </c>
      <c r="AR291" s="3851"/>
      <c r="AS291" s="4025" t="s">
        <v>2968</v>
      </c>
      <c r="AW291" s="3874"/>
      <c r="AX291" s="1850"/>
      <c r="AY291" s="1850"/>
      <c r="AZ291" s="1850"/>
      <c r="BA291" s="1866"/>
      <c r="BB291" s="3851"/>
      <c r="BC291" s="3851"/>
      <c r="BD291" s="3851"/>
      <c r="BE291" s="3851"/>
      <c r="BF291" s="3851"/>
      <c r="BG291" s="3851"/>
      <c r="BH291" s="3851"/>
      <c r="BI291" s="1850"/>
      <c r="BJ291" s="3851"/>
      <c r="BK291" s="3851"/>
      <c r="BL291" s="3874"/>
      <c r="BM291" s="3874"/>
    </row>
    <row r="292" spans="1:75">
      <c r="A292" s="3857"/>
      <c r="B292" s="3966" t="s">
        <v>1137</v>
      </c>
      <c r="C292" s="3901">
        <v>7110008</v>
      </c>
      <c r="D292" s="3929" t="s">
        <v>2756</v>
      </c>
      <c r="E292" s="3844">
        <f>IFERROR(VLOOKUP(C292,'פ.נ. צרפת'!$D$129:$F$1048576,3,0),0)</f>
        <v>11978.68</v>
      </c>
      <c r="F292" s="3843">
        <f>SUMIF('פ.נ. צרפת'!$C:$C,$C:$C,'פ.נ. צרפת'!$E:$E)</f>
        <v>0</v>
      </c>
      <c r="G292" s="3882"/>
      <c r="H292" s="3884"/>
      <c r="I292" s="3882"/>
      <c r="J292" s="4022">
        <f t="shared" si="64"/>
        <v>11978.68</v>
      </c>
      <c r="K292" s="3944">
        <f>M292+SUMIF('פ.נ. צרפת'!$C:$C,$C:$C,'פ.נ. צרפת'!$F:$F)</f>
        <v>13557.48</v>
      </c>
      <c r="L292" s="3845"/>
      <c r="M292" s="3931">
        <f>IFERROR(VLOOKUP(C292,'פ.נ. צרפת'!$D$129:$G$1048576,4,0),"")</f>
        <v>13557.48</v>
      </c>
      <c r="N292" s="3877">
        <f t="shared" si="65"/>
        <v>0.88354767995232153</v>
      </c>
      <c r="O292" s="3920"/>
      <c r="P292" s="3969"/>
      <c r="R292" s="3851"/>
      <c r="S292" s="3851">
        <v>0</v>
      </c>
      <c r="T292" s="3851">
        <v>14630.1</v>
      </c>
      <c r="U292" s="3851">
        <v>0</v>
      </c>
      <c r="V292" s="3851">
        <v>-2390.8700000000008</v>
      </c>
      <c r="W292" s="3851">
        <f>'[26]מאזן בוחן צרפת'!W264</f>
        <v>0</v>
      </c>
      <c r="X292" s="3851">
        <f>'[27]מאזן בוחן צרפת'!X264</f>
        <v>0</v>
      </c>
      <c r="Y292" s="3851">
        <f>'[28]מאזן בוחן צרפת'!Y264</f>
        <v>4826.25</v>
      </c>
      <c r="Z292" s="3851">
        <f>'[29]מאזן בוחן צרפת'!Z265</f>
        <v>0</v>
      </c>
      <c r="AA292" s="3851">
        <f>'[30]מאזן בוחן צרפת'!AA266</f>
        <v>0</v>
      </c>
      <c r="AB292" s="3851">
        <f>'[31]מאזן בוחן צרפת'!AB268</f>
        <v>4887.99</v>
      </c>
      <c r="AC292" s="3851">
        <v>0</v>
      </c>
      <c r="AD292" s="3851">
        <v>0</v>
      </c>
      <c r="AE292" s="3851">
        <v>4758.1499999999996</v>
      </c>
      <c r="AF292" s="3851">
        <v>0</v>
      </c>
      <c r="AG292" s="3851">
        <v>0</v>
      </c>
      <c r="AH292" s="3851">
        <f>$K292-SUM($W292:AG292)</f>
        <v>-914.90999999999985</v>
      </c>
      <c r="AI292" s="3851"/>
      <c r="AJ292" s="3851"/>
      <c r="AK292" s="3851"/>
      <c r="AL292" s="3851"/>
      <c r="AM292" s="3851"/>
      <c r="AN292" s="3851"/>
      <c r="AO292" s="3851"/>
      <c r="AP292" s="3851"/>
      <c r="AQ292" s="3851"/>
      <c r="AR292" s="3851"/>
      <c r="AS292" s="3851"/>
      <c r="AW292" s="3874"/>
      <c r="AX292" s="1850"/>
      <c r="AY292" s="1850"/>
      <c r="AZ292" s="1850"/>
      <c r="BA292" s="1866"/>
      <c r="BB292" s="3851"/>
      <c r="BC292" s="3851"/>
      <c r="BD292" s="3851"/>
      <c r="BE292" s="3851"/>
      <c r="BF292" s="3851"/>
      <c r="BG292" s="3851"/>
      <c r="BH292" s="3851"/>
      <c r="BI292" s="1850"/>
      <c r="BJ292" s="3851"/>
      <c r="BK292" s="3851"/>
      <c r="BL292" s="3874"/>
      <c r="BM292" s="3874"/>
    </row>
    <row r="293" spans="1:75" ht="13.5" thickBot="1">
      <c r="A293" s="3857"/>
      <c r="B293" s="3966" t="s">
        <v>1137</v>
      </c>
      <c r="C293" s="3901">
        <v>7110010</v>
      </c>
      <c r="D293" s="3929" t="s">
        <v>3204</v>
      </c>
      <c r="E293" s="3844">
        <f>IFERROR(VLOOKUP(C293,'פ.נ. צרפת'!$D$129:$F$1048576,3,0),0)</f>
        <v>10087.9</v>
      </c>
      <c r="F293" s="3843">
        <f>SUMIF('פ.נ. צרפת'!$C:$C,$C:$C,'פ.נ. צרפת'!$E:$E)</f>
        <v>0</v>
      </c>
      <c r="G293" s="3882"/>
      <c r="H293" s="3884"/>
      <c r="I293" s="3882"/>
      <c r="J293" s="3930">
        <f t="shared" si="64"/>
        <v>10087.9</v>
      </c>
      <c r="K293" s="3944">
        <f>M293+SUMIF('פ.נ. צרפת'!$C:$C,$C:$C,'פ.נ. צרפת'!$F:$F)</f>
        <v>11417.78</v>
      </c>
      <c r="L293" s="3845"/>
      <c r="M293" s="3931">
        <f>IFERROR(VLOOKUP(C293,'פ.נ. צרפת'!$D$129:$G$1048576,4,0),"")</f>
        <v>11417.78</v>
      </c>
      <c r="N293" s="3877">
        <f t="shared" si="65"/>
        <v>0.8835255189712885</v>
      </c>
      <c r="O293" s="3920"/>
      <c r="P293" s="3969"/>
      <c r="R293" s="3851"/>
      <c r="S293" s="3851"/>
      <c r="T293" s="3851"/>
      <c r="U293" s="3851"/>
      <c r="V293" s="3851">
        <v>15000</v>
      </c>
      <c r="W293" s="3851">
        <f>'[26]מאזן בוחן צרפת'!W265</f>
        <v>0</v>
      </c>
      <c r="X293" s="3851">
        <f>'[27]מאזן בוחן צרפת'!X265</f>
        <v>3.68</v>
      </c>
      <c r="Y293" s="3851">
        <f>'[28]מאזן בוחן צרפת'!Y265</f>
        <v>0</v>
      </c>
      <c r="Z293" s="3851">
        <f>'[29]מאזן בוחן צרפת'!Z266</f>
        <v>0</v>
      </c>
      <c r="AA293" s="3851">
        <f>'[30]מאזן בוחן צרפת'!AA267</f>
        <v>0</v>
      </c>
      <c r="AB293" s="3851">
        <f>'[31]מאזן בוחן צרפת'!AB269</f>
        <v>2719.4100000000003</v>
      </c>
      <c r="AC293" s="3851">
        <v>-2719.4100000000003</v>
      </c>
      <c r="AD293" s="3851">
        <v>1.6386891843467311E-13</v>
      </c>
      <c r="AE293" s="3851">
        <v>0</v>
      </c>
      <c r="AF293" s="3851">
        <v>0</v>
      </c>
      <c r="AG293" s="3851">
        <v>0</v>
      </c>
      <c r="AH293" s="3851">
        <f>$K293-SUM($W293:AG293)</f>
        <v>11414.1</v>
      </c>
      <c r="AI293" s="3851"/>
      <c r="AJ293" s="3851"/>
      <c r="AK293" s="3851"/>
      <c r="AL293" s="3851"/>
      <c r="AM293" s="3851"/>
      <c r="AN293" s="3851"/>
      <c r="AO293" s="3851"/>
      <c r="AP293" s="3851"/>
      <c r="AQ293" s="3851"/>
      <c r="AR293" s="3851"/>
      <c r="AS293" s="3851"/>
      <c r="AW293" s="3874"/>
      <c r="AX293" s="1850"/>
      <c r="AY293" s="1850"/>
      <c r="AZ293" s="1850"/>
      <c r="BA293" s="1866"/>
      <c r="BB293" s="3851"/>
      <c r="BC293" s="3851"/>
      <c r="BD293" s="3851"/>
      <c r="BE293" s="3851"/>
      <c r="BF293" s="3851"/>
      <c r="BG293" s="3851"/>
      <c r="BH293" s="3851"/>
      <c r="BI293" s="1850"/>
      <c r="BJ293" s="3851"/>
      <c r="BK293" s="3851"/>
      <c r="BL293" s="3874"/>
      <c r="BM293" s="3874"/>
    </row>
    <row r="294" spans="1:75" ht="13.5" thickBot="1">
      <c r="A294" s="3857"/>
      <c r="B294" s="3966" t="s">
        <v>1137</v>
      </c>
      <c r="C294" s="4027">
        <v>7110003</v>
      </c>
      <c r="D294" s="4028" t="s">
        <v>744</v>
      </c>
      <c r="E294" s="3844">
        <f>IFERROR(VLOOKUP(C294,'פ.נ. צרפת'!$D$129:$F$1048576,3,0),0)</f>
        <v>53113.81</v>
      </c>
      <c r="F294" s="3843">
        <f>SUMIF('פ.נ. צרפת'!$C:$C,$C:$C,'פ.נ. צרפת'!$E:$E)</f>
        <v>0</v>
      </c>
      <c r="G294" s="3882"/>
      <c r="H294" s="3884"/>
      <c r="I294" s="3882"/>
      <c r="J294" s="4022">
        <f t="shared" si="64"/>
        <v>53113.81</v>
      </c>
      <c r="K294" s="4023">
        <f>M294+SUMIF('פ.נ. צרפת'!$C:$C,$C:$C,'פ.נ. צרפת'!$F:$F)</f>
        <v>54660.34</v>
      </c>
      <c r="L294" s="956">
        <f>AE294-AF274-AF256-AF291</f>
        <v>-100.87999999999738</v>
      </c>
      <c r="M294" s="3931">
        <f>IFERROR(VLOOKUP(C294,'פ.נ. צרפת'!$D$129:$G$1048576,4,0),"")</f>
        <v>54660.34</v>
      </c>
      <c r="N294" s="3877">
        <f t="shared" si="65"/>
        <v>0.97170654262304257</v>
      </c>
      <c r="O294" s="3920"/>
      <c r="P294" s="3969"/>
      <c r="Q294" s="4029"/>
      <c r="R294" s="4026"/>
      <c r="S294" s="4026">
        <v>0</v>
      </c>
      <c r="T294" s="4026">
        <v>-101638.78</v>
      </c>
      <c r="U294" s="4026">
        <v>111005.84</v>
      </c>
      <c r="V294" s="4026">
        <v>74239.960000000006</v>
      </c>
      <c r="W294" s="4026">
        <f>'[26]מאזן בוחן צרפת'!W267</f>
        <v>-82888.31</v>
      </c>
      <c r="X294" s="4026">
        <f>'[27]מאזן בוחן צרפת'!X267</f>
        <v>0</v>
      </c>
      <c r="Y294" s="4026">
        <f>'[28]מאזן בוחן צרפת'!Y267</f>
        <v>53257.319999999992</v>
      </c>
      <c r="Z294" s="4026">
        <f>'[29]מאזן בוחן צרפת'!Z268</f>
        <v>-60875.869999999995</v>
      </c>
      <c r="AA294" s="4026">
        <f>'[30]מאזן בוחן צרפת'!AA269</f>
        <v>0</v>
      </c>
      <c r="AB294" s="4026">
        <f>'[31]מאזן בוחן צרפת'!AB271</f>
        <v>41429.21</v>
      </c>
      <c r="AC294" s="4026">
        <v>-33810.659999999996</v>
      </c>
      <c r="AD294" s="4026">
        <v>0</v>
      </c>
      <c r="AE294" s="4026">
        <v>38470.06</v>
      </c>
      <c r="AF294" s="4026">
        <v>-38470.06</v>
      </c>
      <c r="AG294" s="4026">
        <v>-2.0000000004074536E-2</v>
      </c>
      <c r="AH294" s="3851">
        <f>$K294-SUM($W294:AG294)</f>
        <v>137548.66999999998</v>
      </c>
      <c r="AI294" s="4026"/>
      <c r="AJ294" s="4026"/>
      <c r="AK294" s="3851"/>
      <c r="AL294" s="3851"/>
      <c r="AM294" s="4026"/>
      <c r="AN294" s="956">
        <f>AC294+AC274+AC256</f>
        <v>55.319999999999709</v>
      </c>
      <c r="AO294" s="4026"/>
      <c r="AQ294" s="3849" t="s">
        <v>3599</v>
      </c>
      <c r="AR294" s="3851"/>
      <c r="AW294" s="3874"/>
      <c r="AX294" s="1850"/>
      <c r="AY294" s="1850"/>
      <c r="AZ294" s="1850"/>
      <c r="BA294" s="1866"/>
      <c r="BB294" s="3851"/>
      <c r="BC294" s="3851"/>
      <c r="BD294" s="3851"/>
      <c r="BE294" s="3851"/>
      <c r="BF294" s="3851"/>
      <c r="BG294" s="3851"/>
      <c r="BH294" s="3851"/>
      <c r="BI294" s="1850"/>
      <c r="BJ294" s="3851"/>
      <c r="BK294" s="3851"/>
      <c r="BL294" s="3874"/>
      <c r="BM294" s="3874"/>
    </row>
    <row r="295" spans="1:75">
      <c r="A295" s="3857"/>
      <c r="B295" s="3966" t="s">
        <v>1137</v>
      </c>
      <c r="C295" s="3901">
        <v>7110107</v>
      </c>
      <c r="D295" s="3929" t="s">
        <v>3943</v>
      </c>
      <c r="E295" s="3844">
        <f>IFERROR(VLOOKUP(C295,'פ.נ. צרפת'!$D$129:$F$1048576,3,0),0)</f>
        <v>2287.9299999999998</v>
      </c>
      <c r="F295" s="3843">
        <f>SUMIF('פ.נ. צרפת'!$C:$C,$C:$C,'פ.נ. צרפת'!$E:$E)</f>
        <v>0</v>
      </c>
      <c r="G295" s="3882"/>
      <c r="H295" s="3884"/>
      <c r="I295" s="3882"/>
      <c r="J295" s="3930">
        <f>SUM(E295:I295)</f>
        <v>2287.9299999999998</v>
      </c>
      <c r="K295" s="3944">
        <f>M295+SUMIF('פ.נ. צרפת'!$C:$C,$C:$C,'פ.נ. צרפת'!$F:$F)</f>
        <v>2723.86</v>
      </c>
      <c r="L295" s="3845"/>
      <c r="M295" s="3931">
        <f>IFERROR(VLOOKUP(C295,'פ.נ. צרפת'!$D$129:$G$1048576,4,0),"")</f>
        <v>2723.86</v>
      </c>
      <c r="N295" s="3877">
        <f>IF(K295=0,"-",J295/K295)</f>
        <v>0.83995873503043461</v>
      </c>
      <c r="O295" s="3920"/>
      <c r="P295" s="3969"/>
      <c r="Q295" s="3849">
        <v>0</v>
      </c>
      <c r="R295" s="3851">
        <v>0</v>
      </c>
      <c r="S295" s="3851">
        <v>0</v>
      </c>
      <c r="T295" s="3851">
        <v>0</v>
      </c>
      <c r="U295" s="3851">
        <v>0</v>
      </c>
      <c r="V295" s="3851">
        <v>50575.53</v>
      </c>
      <c r="W295" s="3851">
        <f>'[26]מאזן בוחן צרפת'!W268</f>
        <v>0</v>
      </c>
      <c r="X295" s="3851">
        <f>'[27]מאזן בוחן צרפת'!X268</f>
        <v>0</v>
      </c>
      <c r="Y295" s="3851">
        <f>'[28]מאזן בוחן צרפת'!Y268</f>
        <v>0</v>
      </c>
      <c r="Z295" s="3851">
        <f>'[29]מאזן בוחן צרפת'!Z269</f>
        <v>0</v>
      </c>
      <c r="AA295" s="3851">
        <f>'[30]מאזן בוחן צרפת'!AA270</f>
        <v>0</v>
      </c>
      <c r="AB295" s="3851">
        <f>'[31]מאזן בוחן צרפת'!AB272</f>
        <v>0</v>
      </c>
      <c r="AC295" s="3851">
        <v>2723.86</v>
      </c>
      <c r="AD295" s="3851">
        <v>0</v>
      </c>
      <c r="AE295" s="3851">
        <v>0</v>
      </c>
      <c r="AF295" s="3851">
        <v>0</v>
      </c>
      <c r="AG295" s="3851">
        <v>0</v>
      </c>
      <c r="AH295" s="3851">
        <f>$K295-SUM($W295:AG295)</f>
        <v>0</v>
      </c>
      <c r="AI295" s="3851"/>
      <c r="AJ295" s="3851"/>
      <c r="AK295" s="3851"/>
      <c r="AL295" s="3851"/>
      <c r="AM295" s="3851"/>
      <c r="AN295" s="3851"/>
      <c r="AO295" s="3851"/>
      <c r="AP295" s="3851"/>
      <c r="AQ295" s="3851"/>
      <c r="AR295" s="3851"/>
      <c r="AS295" s="3851"/>
      <c r="AW295" s="3874"/>
      <c r="AX295" s="1850"/>
      <c r="AY295" s="1850"/>
      <c r="AZ295" s="1850"/>
      <c r="BA295" s="1866"/>
      <c r="BB295" s="3851"/>
      <c r="BC295" s="3851"/>
      <c r="BD295" s="3851"/>
      <c r="BE295" s="3851"/>
      <c r="BF295" s="3851"/>
      <c r="BG295" s="3851"/>
      <c r="BH295" s="3851"/>
      <c r="BI295" s="1850"/>
      <c r="BJ295" s="3851"/>
      <c r="BK295" s="3851"/>
      <c r="BL295" s="3874"/>
      <c r="BM295" s="3874"/>
    </row>
    <row r="296" spans="1:75">
      <c r="A296" s="3857"/>
      <c r="B296" s="3966"/>
      <c r="C296" s="3901"/>
      <c r="D296" s="3929"/>
      <c r="E296" s="3844"/>
      <c r="F296" s="3843"/>
      <c r="G296" s="3882"/>
      <c r="H296" s="3884"/>
      <c r="I296" s="3882"/>
      <c r="J296" s="3930"/>
      <c r="K296" s="3944"/>
      <c r="L296" s="3845"/>
      <c r="M296" s="3931"/>
      <c r="N296" s="3877"/>
      <c r="O296" s="3920"/>
      <c r="P296" s="3969"/>
      <c r="R296" s="3851"/>
      <c r="S296" s="3851"/>
      <c r="T296" s="3851"/>
      <c r="U296" s="3851"/>
      <c r="V296" s="3851"/>
      <c r="W296" s="3851"/>
      <c r="X296" s="3851"/>
      <c r="Y296" s="3851"/>
      <c r="Z296" s="3851"/>
      <c r="AA296" s="3851"/>
      <c r="AB296" s="3851"/>
      <c r="AC296" s="3851"/>
      <c r="AD296" s="3851">
        <v>0</v>
      </c>
      <c r="AE296" s="3851">
        <v>0</v>
      </c>
      <c r="AF296" s="3851">
        <v>0</v>
      </c>
      <c r="AG296" s="3851">
        <v>0</v>
      </c>
      <c r="AH296" s="3851">
        <f>$K296-SUM($W296:AG296)</f>
        <v>0</v>
      </c>
      <c r="AI296" s="3851"/>
      <c r="AJ296" s="3851"/>
      <c r="AK296" s="3851"/>
      <c r="AL296" s="3851"/>
      <c r="AM296" s="3851"/>
      <c r="AN296" s="3851"/>
      <c r="AO296" s="3851"/>
      <c r="AP296" s="3851"/>
      <c r="AQ296" s="3851"/>
      <c r="AR296" s="3851"/>
      <c r="AS296" s="3851"/>
      <c r="AW296" s="3874"/>
      <c r="AX296" s="1850"/>
      <c r="AY296" s="1850"/>
      <c r="AZ296" s="1850"/>
      <c r="BA296" s="1866"/>
      <c r="BB296" s="3851"/>
      <c r="BC296" s="3851"/>
      <c r="BD296" s="3851"/>
      <c r="BE296" s="3851"/>
      <c r="BF296" s="3851"/>
      <c r="BG296" s="3851"/>
      <c r="BH296" s="3851"/>
      <c r="BI296" s="1850"/>
      <c r="BJ296" s="3851"/>
      <c r="BK296" s="3851"/>
      <c r="BL296" s="3874"/>
      <c r="BM296" s="3874"/>
    </row>
    <row r="297" spans="1:75">
      <c r="A297" s="3857"/>
      <c r="B297" s="3966"/>
      <c r="C297" s="3901"/>
      <c r="D297" s="1900" t="s">
        <v>740</v>
      </c>
      <c r="E297" s="3844"/>
      <c r="F297" s="3915"/>
      <c r="G297" s="3882"/>
      <c r="H297" s="3884"/>
      <c r="I297" s="3882"/>
      <c r="J297" s="3930"/>
      <c r="K297" s="3944"/>
      <c r="L297" s="3845"/>
      <c r="M297" s="3931"/>
      <c r="N297" s="3877"/>
      <c r="O297" s="3920"/>
      <c r="P297" s="3969"/>
      <c r="Q297" s="3849">
        <v>0</v>
      </c>
      <c r="R297" s="3851">
        <v>0</v>
      </c>
      <c r="S297" s="3851">
        <v>0</v>
      </c>
      <c r="T297" s="3851">
        <v>0</v>
      </c>
      <c r="U297" s="3851">
        <v>0</v>
      </c>
      <c r="V297" s="3851">
        <v>0</v>
      </c>
      <c r="W297" s="3851">
        <f>'[26]מאזן בוחן צרפת'!W269</f>
        <v>0</v>
      </c>
      <c r="X297" s="3851">
        <f>'[27]מאזן בוחן צרפת'!X269</f>
        <v>0</v>
      </c>
      <c r="Y297" s="3851">
        <f>'[28]מאזן בוחן צרפת'!Y269</f>
        <v>0</v>
      </c>
      <c r="Z297" s="3851">
        <f>'[29]מאזן בוחן צרפת'!Z270</f>
        <v>0</v>
      </c>
      <c r="AA297" s="3851">
        <f>'[30]מאזן בוחן צרפת'!AA271</f>
        <v>0</v>
      </c>
      <c r="AB297" s="3851">
        <f>'[31]מאזן בוחן צרפת'!AB273</f>
        <v>0</v>
      </c>
      <c r="AC297" s="3851">
        <v>0</v>
      </c>
      <c r="AD297" s="3851">
        <v>0</v>
      </c>
      <c r="AE297" s="3851">
        <v>0</v>
      </c>
      <c r="AF297" s="3851">
        <v>0</v>
      </c>
      <c r="AG297" s="3851">
        <v>0</v>
      </c>
      <c r="AH297" s="3851">
        <f>$K297-SUM($W297:AG297)</f>
        <v>0</v>
      </c>
      <c r="AI297" s="3851"/>
      <c r="AJ297" s="3851"/>
      <c r="AK297" s="3851"/>
      <c r="AL297" s="3851"/>
      <c r="AM297" s="3851"/>
      <c r="AN297" s="3851"/>
      <c r="AO297" s="3851"/>
      <c r="AP297" s="3851"/>
      <c r="AQ297" s="3851"/>
      <c r="AR297" s="3851"/>
      <c r="AS297" s="3851"/>
      <c r="AW297" s="3874"/>
      <c r="AX297" s="1850"/>
      <c r="AY297" s="1850"/>
      <c r="AZ297" s="1850"/>
      <c r="BA297" s="1866"/>
      <c r="BB297" s="3851"/>
      <c r="BC297" s="3851"/>
      <c r="BD297" s="3851"/>
      <c r="BE297" s="3851"/>
      <c r="BF297" s="3851"/>
      <c r="BG297" s="3851"/>
      <c r="BH297" s="3851"/>
      <c r="BI297" s="1850"/>
      <c r="BJ297" s="3851"/>
      <c r="BK297" s="3851"/>
      <c r="BL297" s="3874"/>
      <c r="BM297" s="3874"/>
    </row>
    <row r="298" spans="1:75">
      <c r="A298" s="3872"/>
      <c r="B298" s="3966"/>
      <c r="C298" s="3901"/>
      <c r="D298" s="3929"/>
      <c r="E298" s="3844"/>
      <c r="F298" s="3915"/>
      <c r="G298" s="3882"/>
      <c r="H298" s="3884"/>
      <c r="I298" s="3882"/>
      <c r="J298" s="3930"/>
      <c r="K298" s="3944"/>
      <c r="L298" s="3845"/>
      <c r="M298" s="3931"/>
      <c r="N298" s="3877"/>
      <c r="O298" s="3920"/>
      <c r="P298" s="3969"/>
      <c r="Q298" s="3849">
        <v>0</v>
      </c>
      <c r="R298" s="3851">
        <v>0</v>
      </c>
      <c r="S298" s="3851">
        <v>0</v>
      </c>
      <c r="T298" s="3851">
        <v>0</v>
      </c>
      <c r="U298" s="3851">
        <v>0</v>
      </c>
      <c r="V298" s="3851">
        <v>480.09999999999991</v>
      </c>
      <c r="W298" s="3851">
        <f>'[26]מאזן בוחן צרפת'!W270</f>
        <v>0</v>
      </c>
      <c r="X298" s="3851">
        <f>'[27]מאזן בוחן צרפת'!X270</f>
        <v>0</v>
      </c>
      <c r="Y298" s="3851">
        <f>'[28]מאזן בוחן צרפת'!Y270</f>
        <v>0</v>
      </c>
      <c r="Z298" s="3851">
        <f>'[29]מאזן בוחן צרפת'!Z271</f>
        <v>0</v>
      </c>
      <c r="AA298" s="3851">
        <f>'[30]מאזן בוחן צרפת'!AA272</f>
        <v>0</v>
      </c>
      <c r="AB298" s="3851">
        <f>'[31]מאזן בוחן צרפת'!AB274</f>
        <v>0</v>
      </c>
      <c r="AC298" s="3851">
        <v>0</v>
      </c>
      <c r="AD298" s="3851">
        <v>0</v>
      </c>
      <c r="AE298" s="3851">
        <v>0</v>
      </c>
      <c r="AF298" s="3851">
        <v>0</v>
      </c>
      <c r="AG298" s="3851">
        <v>0</v>
      </c>
      <c r="AH298" s="3851">
        <f>$K298-SUM($W298:AG298)</f>
        <v>0</v>
      </c>
      <c r="AI298" s="3851"/>
      <c r="AJ298" s="3851"/>
      <c r="AK298" s="3851"/>
      <c r="AL298" s="3851"/>
      <c r="AM298" s="3851"/>
      <c r="AN298" s="3851"/>
      <c r="AO298" s="3851"/>
      <c r="AP298" s="3851"/>
      <c r="AQ298" s="3851"/>
      <c r="AR298" s="3851"/>
      <c r="AS298" s="3851"/>
      <c r="AW298" s="3874"/>
      <c r="AX298" s="1850"/>
      <c r="AY298" s="1850"/>
      <c r="AZ298" s="1850"/>
      <c r="BA298" s="1866"/>
      <c r="BB298" s="3851"/>
      <c r="BC298" s="3851"/>
      <c r="BD298" s="3851"/>
      <c r="BE298" s="3851"/>
      <c r="BF298" s="3851"/>
      <c r="BG298" s="3851"/>
      <c r="BH298" s="3851"/>
      <c r="BI298" s="1850"/>
      <c r="BJ298" s="3851"/>
      <c r="BK298" s="3851"/>
      <c r="BL298" s="3874"/>
      <c r="BM298" s="3874"/>
    </row>
    <row r="299" spans="1:75">
      <c r="A299" s="3872"/>
      <c r="B299" s="3966" t="s">
        <v>563</v>
      </c>
      <c r="C299" s="3901">
        <v>7120020</v>
      </c>
      <c r="D299" s="3929" t="s">
        <v>2278</v>
      </c>
      <c r="E299" s="3844">
        <f>IFERROR(VLOOKUP(C299,'פ.נ. צרפת'!$D$129:$F$1048576,3,0),0)</f>
        <v>7309.3</v>
      </c>
      <c r="F299" s="3843">
        <f>SUMIF('פ.נ. צרפת'!$C:$C,$C:$C,'פ.נ. צרפת'!$E:$E)</f>
        <v>0</v>
      </c>
      <c r="G299" s="3882"/>
      <c r="H299" s="3884"/>
      <c r="I299" s="3882"/>
      <c r="J299" s="4022">
        <f>SUM(E299:I299)</f>
        <v>7309.3</v>
      </c>
      <c r="K299" s="3944">
        <f>M299+SUMIF('פ.נ. צרפת'!$C:$C,$C:$C,'פ.נ. צרפת'!$F:$F)</f>
        <v>8272.67</v>
      </c>
      <c r="L299" s="3845"/>
      <c r="M299" s="3931">
        <f>IFERROR(VLOOKUP(C299,'פ.נ. צרפת'!$D$129:$G$1048576,4,0),"")</f>
        <v>8272.67</v>
      </c>
      <c r="N299" s="3877">
        <f>IF(K299=0,"-",J299/K299)</f>
        <v>0.88354787511166288</v>
      </c>
      <c r="O299" s="3920"/>
      <c r="P299" s="3969"/>
      <c r="Q299" s="3849">
        <v>72.290000000000006</v>
      </c>
      <c r="R299" s="3851">
        <v>0.50999999999999091</v>
      </c>
      <c r="S299" s="3851">
        <v>2206.3199999999997</v>
      </c>
      <c r="T299" s="3851">
        <v>2848.5899999999997</v>
      </c>
      <c r="U299" s="3851">
        <v>-2126.9799999999991</v>
      </c>
      <c r="V299" s="3851">
        <v>480.09999999999991</v>
      </c>
      <c r="W299" s="3851">
        <f>'[26]מאזן בוחן צרפת'!W271</f>
        <v>0</v>
      </c>
      <c r="X299" s="3851">
        <f>'[27]מאזן בוחן צרפת'!X271</f>
        <v>564.67999999999995</v>
      </c>
      <c r="Y299" s="3851">
        <f>'[28]מאזן בוחן צרפת'!Y271</f>
        <v>371.65000000000009</v>
      </c>
      <c r="Z299" s="3851">
        <f>'[29]מאזן בוחן צרפת'!Z272</f>
        <v>280.02999999999986</v>
      </c>
      <c r="AA299" s="3851">
        <f>'[30]מאזן בוחן צרפת'!AA273</f>
        <v>10.610000000000127</v>
      </c>
      <c r="AB299" s="3851">
        <f>'[31]מאזן בוחן צרפת'!AB275</f>
        <v>1686.7099999999998</v>
      </c>
      <c r="AC299" s="3851">
        <v>-114.27999999999975</v>
      </c>
      <c r="AD299" s="3851">
        <v>-15.210000000000036</v>
      </c>
      <c r="AE299" s="3851">
        <v>1920.2999999999997</v>
      </c>
      <c r="AF299" s="3851">
        <v>2227.0700000000006</v>
      </c>
      <c r="AG299" s="3851">
        <v>-188.89000000000033</v>
      </c>
      <c r="AH299" s="3851">
        <f>$K299-SUM($W299:AG299)</f>
        <v>1530</v>
      </c>
      <c r="AI299" s="3851"/>
      <c r="AJ299" s="3851"/>
      <c r="AK299" s="3851"/>
      <c r="AL299" s="3851"/>
      <c r="AM299" s="3851"/>
      <c r="AN299" s="3851"/>
      <c r="AO299" s="3851"/>
      <c r="AP299" s="3851"/>
      <c r="AQ299" s="3851"/>
      <c r="AR299" s="3851"/>
      <c r="AS299" s="3851"/>
      <c r="AU299" s="3849"/>
      <c r="BB299" s="3849"/>
      <c r="BT299" s="3849"/>
      <c r="BW299" s="3856"/>
    </row>
    <row r="300" spans="1:75">
      <c r="A300" s="3872"/>
      <c r="B300" s="3966"/>
      <c r="C300" s="3889"/>
      <c r="D300" s="3881"/>
      <c r="F300" s="4033"/>
      <c r="G300" s="4013"/>
      <c r="H300" s="4038"/>
      <c r="I300" s="4013"/>
      <c r="J300" s="4034"/>
      <c r="K300" s="4013"/>
      <c r="L300" s="3874"/>
      <c r="M300" s="4014"/>
      <c r="N300" s="3922"/>
      <c r="O300" s="3920"/>
      <c r="P300" s="3969"/>
      <c r="Q300" s="3849">
        <v>0</v>
      </c>
      <c r="R300" s="3851">
        <v>0</v>
      </c>
      <c r="S300" s="3851">
        <v>0</v>
      </c>
      <c r="T300" s="3851">
        <v>0</v>
      </c>
      <c r="U300" s="3851">
        <v>0</v>
      </c>
      <c r="V300" s="3851">
        <v>123925.4088646968</v>
      </c>
      <c r="W300" s="3851">
        <f>'[26]מאזן בוחן צרפת'!W272</f>
        <v>0</v>
      </c>
      <c r="X300" s="3851">
        <f>'[27]מאזן בוחן צרפת'!X272</f>
        <v>0</v>
      </c>
      <c r="Y300" s="3851">
        <f>'[28]מאזן בוחן צרפת'!Y272</f>
        <v>0</v>
      </c>
      <c r="Z300" s="3851">
        <f>'[29]מאזן בוחן צרפת'!Z273</f>
        <v>0</v>
      </c>
      <c r="AA300" s="3851">
        <f>'[30]מאזן בוחן צרפת'!AA274</f>
        <v>0</v>
      </c>
      <c r="AB300" s="3851">
        <f>'[31]מאזן בוחן צרפת'!AB276</f>
        <v>0</v>
      </c>
      <c r="AC300" s="3851">
        <v>0</v>
      </c>
      <c r="AD300" s="3851">
        <v>0</v>
      </c>
      <c r="AE300" s="3851">
        <v>0</v>
      </c>
      <c r="AF300" s="3851">
        <v>0</v>
      </c>
      <c r="AG300" s="3851">
        <v>0</v>
      </c>
      <c r="AH300" s="3851">
        <f>$K300-SUM($W300:AG300)</f>
        <v>0</v>
      </c>
      <c r="AI300" s="3851"/>
      <c r="AJ300" s="3851"/>
      <c r="AK300" s="3851"/>
      <c r="AL300" s="3851"/>
      <c r="AM300" s="3851"/>
      <c r="AN300" s="3851"/>
      <c r="AO300" s="3851"/>
      <c r="AP300" s="3851"/>
      <c r="AQ300" s="3851"/>
      <c r="AR300" s="3851"/>
      <c r="AS300" s="3851"/>
      <c r="AU300" s="3849"/>
      <c r="BB300" s="3849"/>
      <c r="BT300" s="3849"/>
      <c r="BW300" s="3856"/>
    </row>
    <row r="301" spans="1:75">
      <c r="B301" s="3656"/>
      <c r="C301" s="4031"/>
      <c r="D301" s="1886"/>
      <c r="E301" s="1882">
        <f t="shared" ref="E301:K301" si="66">SUM(E287:E300)</f>
        <v>483377.96</v>
      </c>
      <c r="F301" s="3297">
        <f t="shared" si="66"/>
        <v>0</v>
      </c>
      <c r="G301" s="1901">
        <f t="shared" si="66"/>
        <v>0</v>
      </c>
      <c r="H301" s="1862">
        <f t="shared" si="66"/>
        <v>0</v>
      </c>
      <c r="I301" s="1862">
        <f t="shared" si="66"/>
        <v>0</v>
      </c>
      <c r="J301" s="1883">
        <f t="shared" si="66"/>
        <v>483377.96</v>
      </c>
      <c r="K301" s="1883">
        <f t="shared" si="66"/>
        <v>554025.07000000007</v>
      </c>
      <c r="L301" s="1884"/>
      <c r="M301" s="1882">
        <f>SUM(M287:M300)</f>
        <v>554025.07000000007</v>
      </c>
      <c r="N301" s="3922"/>
      <c r="O301" s="3920"/>
      <c r="P301" s="3969"/>
      <c r="Q301" s="3849">
        <v>0</v>
      </c>
      <c r="R301" s="3851">
        <v>96156.03</v>
      </c>
      <c r="S301" s="3851">
        <v>100236.04999999999</v>
      </c>
      <c r="T301" s="3851">
        <v>89994.310000000027</v>
      </c>
      <c r="U301" s="3851">
        <v>-27068.570000000007</v>
      </c>
      <c r="V301" s="3851">
        <v>0</v>
      </c>
      <c r="W301" s="3851">
        <f>'[26]מאזן בוחן צרפת'!W273</f>
        <v>-60997.99</v>
      </c>
      <c r="X301" s="3851">
        <f>'[27]מאזן בוחן צרפת'!X273</f>
        <v>33772.619999999995</v>
      </c>
      <c r="Y301" s="3851">
        <f>'[28]מאזן בוחן צרפת'!Y273</f>
        <v>87370.51999999999</v>
      </c>
      <c r="Z301" s="3851">
        <f>'[29]מאזן בוחן צרפת'!Z274</f>
        <v>-27198.000000000022</v>
      </c>
      <c r="AA301" s="3851">
        <f>'[30]מאזן בוחן צרפת'!AA275</f>
        <v>31684.900000000009</v>
      </c>
      <c r="AB301" s="3851">
        <f>'[31]מאזן בוחן צרפת'!AB277</f>
        <v>125730.66000000002</v>
      </c>
      <c r="AC301" s="3851">
        <v>-4514.8099999999977</v>
      </c>
      <c r="AD301" s="3851">
        <v>23285.399999999994</v>
      </c>
      <c r="AE301" s="3851">
        <v>122864.69</v>
      </c>
      <c r="AF301" s="3851">
        <v>-26613.830000000016</v>
      </c>
      <c r="AG301" s="3851">
        <v>34408.72000000003</v>
      </c>
      <c r="AH301" s="3851">
        <f>$K301-SUM($W301:AG301)</f>
        <v>214232.19000000006</v>
      </c>
      <c r="AI301" s="3851"/>
      <c r="AJ301" s="3851"/>
      <c r="AK301" s="3851"/>
      <c r="AL301" s="3851"/>
      <c r="AM301" s="3851"/>
      <c r="AN301" s="3851"/>
      <c r="AO301" s="3851"/>
      <c r="AP301" s="3851"/>
      <c r="AQ301" s="3851"/>
      <c r="AR301" s="3851"/>
      <c r="AS301" s="3851"/>
      <c r="AU301" s="3849"/>
      <c r="BB301" s="3849"/>
      <c r="BT301" s="3849"/>
      <c r="BW301" s="3856"/>
    </row>
    <row r="302" spans="1:75">
      <c r="A302" s="3857"/>
      <c r="B302" s="3966"/>
      <c r="C302" s="3901"/>
      <c r="D302" s="3929"/>
      <c r="E302" s="3844"/>
      <c r="F302" s="3915"/>
      <c r="G302" s="3882"/>
      <c r="H302" s="3884"/>
      <c r="I302" s="3882"/>
      <c r="J302" s="3930"/>
      <c r="K302" s="3944"/>
      <c r="L302" s="3845"/>
      <c r="M302" s="3931"/>
      <c r="N302" s="3877"/>
      <c r="O302" s="3920"/>
      <c r="P302" s="3969"/>
      <c r="R302" s="3851"/>
      <c r="S302" s="3851"/>
      <c r="T302" s="3851"/>
      <c r="U302" s="3851"/>
      <c r="V302" s="3851"/>
      <c r="W302" s="3851"/>
      <c r="X302" s="3851"/>
      <c r="Y302" s="3851"/>
      <c r="Z302" s="3851"/>
      <c r="AA302" s="3851"/>
      <c r="AB302" s="3851"/>
      <c r="AC302" s="3851"/>
      <c r="AD302" s="3851">
        <v>0</v>
      </c>
      <c r="AE302" s="3851">
        <v>0</v>
      </c>
      <c r="AF302" s="3851">
        <v>0</v>
      </c>
      <c r="AG302" s="3851">
        <v>0</v>
      </c>
      <c r="AH302" s="3851">
        <f>$K302-SUM($W302:AG302)</f>
        <v>0</v>
      </c>
      <c r="AI302" s="3851"/>
      <c r="AJ302" s="3851"/>
      <c r="AK302" s="3851"/>
      <c r="AL302" s="3851"/>
      <c r="AM302" s="3851"/>
      <c r="AN302" s="3851"/>
      <c r="AO302" s="3851"/>
      <c r="AP302" s="3851"/>
      <c r="AQ302" s="3851"/>
      <c r="AR302" s="3851"/>
      <c r="AS302" s="3851"/>
      <c r="AW302" s="3874"/>
      <c r="AX302" s="1850"/>
      <c r="AY302" s="1850"/>
      <c r="AZ302" s="1850"/>
      <c r="BA302" s="1866"/>
      <c r="BB302" s="3851"/>
      <c r="BC302" s="3851"/>
      <c r="BD302" s="3851"/>
      <c r="BE302" s="3851"/>
      <c r="BF302" s="3851"/>
      <c r="BG302" s="3851"/>
      <c r="BH302" s="3851"/>
      <c r="BI302" s="1850"/>
      <c r="BJ302" s="3851"/>
      <c r="BK302" s="3851"/>
      <c r="BL302" s="3874"/>
      <c r="BM302" s="3874"/>
    </row>
    <row r="303" spans="1:75">
      <c r="A303" s="3857"/>
      <c r="B303" s="3966"/>
      <c r="C303" s="3901"/>
      <c r="D303" s="1900" t="s">
        <v>577</v>
      </c>
      <c r="E303" s="3844"/>
      <c r="F303" s="3915"/>
      <c r="G303" s="3882"/>
      <c r="H303" s="3884"/>
      <c r="I303" s="3882"/>
      <c r="J303" s="3930"/>
      <c r="K303" s="3944"/>
      <c r="L303" s="3845"/>
      <c r="M303" s="3931"/>
      <c r="N303" s="3877"/>
      <c r="O303" s="3920"/>
      <c r="P303" s="3969"/>
      <c r="R303" s="3851"/>
      <c r="S303" s="3851"/>
      <c r="T303" s="3851"/>
      <c r="U303" s="3851"/>
      <c r="V303" s="3851"/>
      <c r="W303" s="3851"/>
      <c r="X303" s="3851"/>
      <c r="Y303" s="3851"/>
      <c r="Z303" s="3851"/>
      <c r="AA303" s="3851"/>
      <c r="AB303" s="3851"/>
      <c r="AC303" s="3851"/>
      <c r="AD303" s="3851">
        <v>0</v>
      </c>
      <c r="AE303" s="3851">
        <v>0</v>
      </c>
      <c r="AF303" s="3851">
        <v>0</v>
      </c>
      <c r="AG303" s="3851">
        <v>0</v>
      </c>
      <c r="AH303" s="3851">
        <f>$K303-SUM($W303:AG303)</f>
        <v>0</v>
      </c>
      <c r="AI303" s="3851"/>
      <c r="AJ303" s="3851"/>
      <c r="AK303" s="3851"/>
      <c r="AL303" s="3851"/>
      <c r="AM303" s="3851"/>
      <c r="AN303" s="3851"/>
      <c r="AO303" s="3851"/>
      <c r="AP303" s="3851"/>
      <c r="AQ303" s="3851"/>
      <c r="AR303" s="3851"/>
      <c r="AS303" s="3851"/>
      <c r="AW303" s="3874"/>
      <c r="AX303" s="1850"/>
      <c r="AY303" s="1850"/>
      <c r="AZ303" s="1850"/>
      <c r="BA303" s="1866"/>
      <c r="BB303" s="3851"/>
      <c r="BC303" s="3851"/>
      <c r="BD303" s="3851"/>
      <c r="BE303" s="3851"/>
      <c r="BF303" s="3851"/>
      <c r="BG303" s="3851"/>
      <c r="BH303" s="3851"/>
      <c r="BI303" s="1850"/>
      <c r="BJ303" s="3851"/>
      <c r="BK303" s="3851"/>
      <c r="BL303" s="3874"/>
      <c r="BM303" s="3874"/>
    </row>
    <row r="304" spans="1:75">
      <c r="A304" s="3857"/>
      <c r="B304" s="3966"/>
      <c r="C304" s="3901"/>
      <c r="D304" s="3929"/>
      <c r="E304" s="3844"/>
      <c r="F304" s="3915"/>
      <c r="G304" s="3882"/>
      <c r="H304" s="3884"/>
      <c r="I304" s="3882"/>
      <c r="J304" s="3930"/>
      <c r="K304" s="3944"/>
      <c r="L304" s="3845"/>
      <c r="M304" s="3931"/>
      <c r="N304" s="3877"/>
      <c r="O304" s="3920"/>
      <c r="P304" s="3969"/>
      <c r="R304" s="3851"/>
      <c r="S304" s="3851"/>
      <c r="T304" s="3851"/>
      <c r="U304" s="3851"/>
      <c r="V304" s="3851"/>
      <c r="W304" s="3851"/>
      <c r="X304" s="3851"/>
      <c r="Y304" s="3851"/>
      <c r="Z304" s="3851"/>
      <c r="AA304" s="3851"/>
      <c r="AB304" s="3851"/>
      <c r="AC304" s="3851"/>
      <c r="AD304" s="3851">
        <v>0</v>
      </c>
      <c r="AE304" s="3851">
        <v>0</v>
      </c>
      <c r="AF304" s="3851">
        <v>0</v>
      </c>
      <c r="AG304" s="3851">
        <v>0</v>
      </c>
      <c r="AH304" s="3851">
        <f>$K304-SUM($W304:AG304)</f>
        <v>0</v>
      </c>
      <c r="AI304" s="3851"/>
      <c r="AJ304" s="3851"/>
      <c r="AK304" s="3851"/>
      <c r="AL304" s="3851"/>
      <c r="AM304" s="3851"/>
      <c r="AN304" s="3851"/>
      <c r="AO304" s="3851"/>
      <c r="AP304" s="3851"/>
      <c r="AQ304" s="3851"/>
      <c r="AR304" s="3851"/>
      <c r="AS304" s="3851"/>
      <c r="AW304" s="3874"/>
      <c r="AX304" s="1850"/>
      <c r="AY304" s="1850"/>
      <c r="AZ304" s="1850"/>
      <c r="BA304" s="1866"/>
      <c r="BB304" s="3851"/>
      <c r="BC304" s="3851"/>
      <c r="BD304" s="3851"/>
      <c r="BE304" s="3851"/>
      <c r="BF304" s="3851"/>
      <c r="BG304" s="3851"/>
      <c r="BH304" s="3851"/>
      <c r="BI304" s="1850"/>
      <c r="BJ304" s="3851"/>
      <c r="BK304" s="3851"/>
      <c r="BL304" s="3874"/>
      <c r="BM304" s="3874"/>
    </row>
    <row r="305" spans="1:75">
      <c r="A305" s="3857"/>
      <c r="B305" s="3966" t="s">
        <v>558</v>
      </c>
      <c r="C305" s="3901">
        <v>7020037</v>
      </c>
      <c r="D305" s="3929" t="s">
        <v>739</v>
      </c>
      <c r="E305" s="3844">
        <f>IFERROR(VLOOKUP(C305,'פ.נ. צרפת'!$D$129:$F$1048576,3,0),0)</f>
        <v>17166.25</v>
      </c>
      <c r="F305" s="3843">
        <f>SUMIF('פ.נ. צרפת'!$C:$C,$C:$C,'פ.נ. צרפת'!$E:$E)</f>
        <v>0</v>
      </c>
      <c r="G305" s="3882"/>
      <c r="H305" s="3884"/>
      <c r="I305" s="3882"/>
      <c r="J305" s="3930">
        <f>SUM(E305:I305)</f>
        <v>17166.25</v>
      </c>
      <c r="K305" s="3944">
        <f>M305+SUMIF('פ.נ. צרפת'!$C:$C,$C:$C,'פ.נ. צרפת'!$F:$F)</f>
        <v>20236.240000000002</v>
      </c>
      <c r="L305" s="3845"/>
      <c r="M305" s="3931">
        <f>IFERROR(VLOOKUP(C305,'פ.נ. צרפת'!$D$129:$G$1048576,4,0),"")</f>
        <v>20236.240000000002</v>
      </c>
      <c r="N305" s="3877">
        <f>IF(K305=0,"-",J305/K305)</f>
        <v>0.84829246935201397</v>
      </c>
      <c r="O305" s="3920"/>
      <c r="P305" s="3969"/>
      <c r="R305" s="3851"/>
      <c r="S305" s="3851"/>
      <c r="T305" s="3851"/>
      <c r="U305" s="3851"/>
      <c r="V305" s="3851"/>
      <c r="W305" s="3851"/>
      <c r="X305" s="3851"/>
      <c r="Y305" s="3851"/>
      <c r="Z305" s="3851"/>
      <c r="AA305" s="3851"/>
      <c r="AB305" s="3851"/>
      <c r="AC305" s="3851">
        <v>9497.4500000000007</v>
      </c>
      <c r="AD305" s="3851">
        <v>0</v>
      </c>
      <c r="AE305" s="3851">
        <v>8171.8099999999977</v>
      </c>
      <c r="AF305" s="3851">
        <v>0</v>
      </c>
      <c r="AG305" s="3851">
        <v>175.4900000000016</v>
      </c>
      <c r="AH305" s="3851">
        <f>$K305-SUM($W305:AG305)</f>
        <v>2391.4900000000016</v>
      </c>
      <c r="AI305" s="3851"/>
      <c r="AJ305" s="3851"/>
      <c r="AK305" s="3851"/>
      <c r="AL305" s="3851"/>
      <c r="AM305" s="3851"/>
      <c r="AN305" s="3851"/>
      <c r="AO305" s="3851"/>
      <c r="AP305" s="3851"/>
      <c r="AQ305" s="3851"/>
      <c r="AR305" s="3851"/>
      <c r="AS305" s="3851"/>
      <c r="AW305" s="3874"/>
      <c r="AX305" s="1850"/>
      <c r="AY305" s="1850"/>
      <c r="AZ305" s="1850"/>
      <c r="BA305" s="1866"/>
      <c r="BB305" s="3851"/>
      <c r="BC305" s="3851"/>
      <c r="BD305" s="3851"/>
      <c r="BE305" s="3851"/>
      <c r="BF305" s="3851"/>
      <c r="BG305" s="3851"/>
      <c r="BH305" s="3851"/>
      <c r="BI305" s="1850"/>
      <c r="BJ305" s="3851"/>
      <c r="BK305" s="3851"/>
      <c r="BL305" s="3874"/>
      <c r="BM305" s="3874"/>
    </row>
    <row r="306" spans="1:75">
      <c r="A306" s="3857"/>
      <c r="B306" s="3966" t="s">
        <v>558</v>
      </c>
      <c r="C306" s="3901">
        <v>7020038</v>
      </c>
      <c r="D306" s="3929" t="s">
        <v>2163</v>
      </c>
      <c r="E306" s="3844">
        <f>IFERROR(VLOOKUP(C306,'פ.נ. צרפת'!$D$129:$F$1048576,3,0),0)</f>
        <v>12000</v>
      </c>
      <c r="F306" s="3843">
        <f>SUMIF('פ.נ. צרפת'!$C:$C,$C:$C,'פ.נ. צרפת'!$E:$E)</f>
        <v>0</v>
      </c>
      <c r="G306" s="3882"/>
      <c r="H306" s="3884"/>
      <c r="I306" s="3882"/>
      <c r="J306" s="4293">
        <f>SUM(E306:I306)</f>
        <v>12000</v>
      </c>
      <c r="K306" s="3944">
        <f>M306+SUMIF('פ.נ. צרפת'!$C:$C,$C:$C,'פ.נ. צרפת'!$F:$F)</f>
        <v>13702.46</v>
      </c>
      <c r="L306" s="3845"/>
      <c r="M306" s="3931">
        <f>IFERROR(VLOOKUP(C306,'פ.נ. צרפת'!$D$129:$G$1048576,4,0),"")</f>
        <v>13702.46</v>
      </c>
      <c r="N306" s="3877">
        <f>IF(K306=0,"-",J306/K306)</f>
        <v>0.87575515637338119</v>
      </c>
      <c r="O306" s="3920"/>
      <c r="P306" s="3969"/>
      <c r="R306" s="3851"/>
      <c r="S306" s="3851"/>
      <c r="T306" s="3851"/>
      <c r="U306" s="3851"/>
      <c r="V306" s="3851"/>
      <c r="W306" s="3851"/>
      <c r="X306" s="3851"/>
      <c r="Y306" s="3851"/>
      <c r="Z306" s="3851"/>
      <c r="AA306" s="3851"/>
      <c r="AB306" s="3851"/>
      <c r="AC306" s="3851"/>
      <c r="AD306" s="3851"/>
      <c r="AE306" s="3851"/>
      <c r="AF306" s="3851">
        <v>4648.0600000000004</v>
      </c>
      <c r="AG306" s="3851">
        <v>0</v>
      </c>
      <c r="AH306" s="3851">
        <f>$K306-SUM($W306:AG306)</f>
        <v>9054.3999999999978</v>
      </c>
      <c r="AI306" s="3851"/>
      <c r="AJ306" s="3851"/>
      <c r="AK306" s="3851"/>
      <c r="AL306" s="3851"/>
      <c r="AM306" s="3851"/>
      <c r="AN306" s="3851"/>
      <c r="AO306" s="3851"/>
      <c r="AP306" s="3851"/>
      <c r="AQ306" s="3851"/>
      <c r="AR306" s="3851"/>
      <c r="AS306" s="3851"/>
      <c r="AW306" s="3874"/>
      <c r="AX306" s="1850"/>
      <c r="AY306" s="1850"/>
      <c r="AZ306" s="1850"/>
      <c r="BA306" s="1866"/>
      <c r="BB306" s="3851"/>
      <c r="BC306" s="3851"/>
      <c r="BD306" s="3851"/>
      <c r="BE306" s="3851"/>
      <c r="BF306" s="3851"/>
      <c r="BG306" s="3851"/>
      <c r="BH306" s="3851"/>
      <c r="BI306" s="1850"/>
      <c r="BJ306" s="3851"/>
      <c r="BK306" s="3851"/>
      <c r="BL306" s="3874"/>
      <c r="BM306" s="3874"/>
    </row>
    <row r="307" spans="1:75">
      <c r="A307" s="3857"/>
      <c r="B307" s="3966"/>
      <c r="C307" s="3901"/>
      <c r="D307" s="3929"/>
      <c r="E307" s="3844"/>
      <c r="F307" s="3843"/>
      <c r="G307" s="3882"/>
      <c r="H307" s="3884"/>
      <c r="I307" s="3882"/>
      <c r="J307" s="3930"/>
      <c r="K307" s="3944"/>
      <c r="L307" s="3845"/>
      <c r="M307" s="3931"/>
      <c r="N307" s="3877"/>
      <c r="O307" s="3920"/>
      <c r="P307" s="3969"/>
      <c r="R307" s="3851"/>
      <c r="S307" s="3851"/>
      <c r="T307" s="3851"/>
      <c r="U307" s="3851"/>
      <c r="V307" s="3851"/>
      <c r="W307" s="3851"/>
      <c r="X307" s="3851"/>
      <c r="Y307" s="3851"/>
      <c r="Z307" s="3851"/>
      <c r="AA307" s="3851"/>
      <c r="AB307" s="3851"/>
      <c r="AC307" s="3851"/>
      <c r="AD307" s="3851">
        <v>0</v>
      </c>
      <c r="AE307" s="3851">
        <v>0</v>
      </c>
      <c r="AF307" s="3851">
        <v>0</v>
      </c>
      <c r="AG307" s="3851">
        <v>0</v>
      </c>
      <c r="AH307" s="3851">
        <f>$K307-SUM($W307:AG307)</f>
        <v>0</v>
      </c>
      <c r="AI307" s="3851"/>
      <c r="AJ307" s="3851"/>
      <c r="AK307" s="3851"/>
      <c r="AL307" s="3851"/>
      <c r="AM307" s="3851"/>
      <c r="AN307" s="3851"/>
      <c r="AO307" s="3851"/>
      <c r="AP307" s="3851"/>
      <c r="AQ307" s="3851"/>
      <c r="AR307" s="3851"/>
      <c r="AS307" s="3851"/>
      <c r="AW307" s="3874"/>
      <c r="AX307" s="1850"/>
      <c r="AY307" s="1850"/>
      <c r="AZ307" s="1850"/>
      <c r="BA307" s="1866"/>
      <c r="BB307" s="3851"/>
      <c r="BC307" s="3851"/>
      <c r="BD307" s="3851"/>
      <c r="BE307" s="3851"/>
      <c r="BF307" s="3851"/>
      <c r="BG307" s="3851"/>
      <c r="BH307" s="3851"/>
      <c r="BI307" s="1850"/>
      <c r="BJ307" s="3851"/>
      <c r="BK307" s="3851"/>
      <c r="BL307" s="3874"/>
      <c r="BM307" s="3874"/>
    </row>
    <row r="308" spans="1:75">
      <c r="B308" s="3656"/>
      <c r="C308" s="4031"/>
      <c r="D308" s="1886"/>
      <c r="E308" s="1882">
        <f>SUM(E305:E307)</f>
        <v>29166.25</v>
      </c>
      <c r="F308" s="3293">
        <f t="shared" ref="F308:M308" si="67">SUM(F305:F307)</f>
        <v>0</v>
      </c>
      <c r="G308" s="1882">
        <f t="shared" si="67"/>
        <v>0</v>
      </c>
      <c r="H308" s="1882">
        <f t="shared" si="67"/>
        <v>0</v>
      </c>
      <c r="I308" s="1882">
        <f t="shared" si="67"/>
        <v>0</v>
      </c>
      <c r="J308" s="1882">
        <f t="shared" si="67"/>
        <v>29166.25</v>
      </c>
      <c r="K308" s="1882">
        <f t="shared" si="67"/>
        <v>33938.699999999997</v>
      </c>
      <c r="L308" s="1884"/>
      <c r="M308" s="4287">
        <f t="shared" si="67"/>
        <v>33938.699999999997</v>
      </c>
      <c r="N308" s="3922"/>
      <c r="O308" s="3920"/>
      <c r="P308" s="3969"/>
      <c r="Q308" s="3849">
        <v>0</v>
      </c>
      <c r="R308" s="3851">
        <v>0</v>
      </c>
      <c r="S308" s="3851">
        <v>0</v>
      </c>
      <c r="T308" s="3851">
        <v>0</v>
      </c>
      <c r="U308" s="3851">
        <v>0</v>
      </c>
      <c r="V308" s="3851">
        <v>0</v>
      </c>
      <c r="W308" s="3851">
        <f>'[26]מאזן בוחן צרפת'!W279</f>
        <v>0</v>
      </c>
      <c r="X308" s="3851">
        <f>'[27]מאזן בוחן צרפת'!X279</f>
        <v>0</v>
      </c>
      <c r="Y308" s="3851">
        <f>'[28]מאזן בוחן צרפת'!Y279</f>
        <v>0</v>
      </c>
      <c r="Z308" s="3851">
        <f>'[29]מאזן בוחן צרפת'!Z280</f>
        <v>0</v>
      </c>
      <c r="AA308" s="3851">
        <f>'[30]מאזן בוחן צרפת'!AA281</f>
        <v>0</v>
      </c>
      <c r="AB308" s="3851">
        <f>'[31]מאזן בוחן צרפת'!AB283</f>
        <v>0</v>
      </c>
      <c r="AC308" s="3851">
        <v>9497.4500000000007</v>
      </c>
      <c r="AD308" s="3851">
        <v>0</v>
      </c>
      <c r="AE308" s="3851">
        <v>8171.8099999999977</v>
      </c>
      <c r="AF308" s="3851">
        <v>4648.0600000000013</v>
      </c>
      <c r="AG308" s="3851">
        <v>175.4900000000016</v>
      </c>
      <c r="AH308" s="3851">
        <f>$K308-SUM($W308:AG308)</f>
        <v>11445.889999999996</v>
      </c>
      <c r="AI308" s="3851"/>
      <c r="AJ308" s="3851"/>
      <c r="AK308" s="3851"/>
      <c r="AL308" s="3851"/>
      <c r="AM308" s="3851"/>
      <c r="AN308" s="3851"/>
      <c r="AO308" s="3851"/>
      <c r="AP308" s="3851"/>
      <c r="AQ308" s="3851"/>
      <c r="AR308" s="3851"/>
      <c r="AS308" s="3851"/>
      <c r="AU308" s="3849"/>
      <c r="BB308" s="3849"/>
      <c r="BT308" s="3849"/>
      <c r="BW308" s="3856"/>
    </row>
    <row r="309" spans="1:75">
      <c r="B309" s="3656"/>
      <c r="C309" s="3901"/>
      <c r="D309" s="1836"/>
      <c r="E309" s="1905"/>
      <c r="F309" s="1903"/>
      <c r="G309" s="3882"/>
      <c r="H309" s="1903"/>
      <c r="I309" s="1902"/>
      <c r="J309" s="4289"/>
      <c r="K309" s="4289"/>
      <c r="L309" s="3874"/>
      <c r="M309" s="1902"/>
      <c r="N309" s="3922"/>
      <c r="O309" s="3920"/>
      <c r="P309" s="3969"/>
      <c r="R309" s="3851"/>
      <c r="S309" s="3851"/>
      <c r="T309" s="3851"/>
      <c r="U309" s="3851"/>
      <c r="V309" s="3851"/>
      <c r="W309" s="3851"/>
      <c r="X309" s="3851"/>
      <c r="Y309" s="3851"/>
      <c r="Z309" s="3851"/>
      <c r="AA309" s="3851"/>
      <c r="AB309" s="3851"/>
      <c r="AC309" s="3851"/>
      <c r="AD309" s="3851">
        <v>0</v>
      </c>
      <c r="AE309" s="3851">
        <v>0</v>
      </c>
      <c r="AF309" s="3851">
        <v>0</v>
      </c>
      <c r="AG309" s="3851">
        <v>0</v>
      </c>
      <c r="AH309" s="3851">
        <f>$K309-SUM($W309:AG309)</f>
        <v>0</v>
      </c>
      <c r="AI309" s="3851"/>
      <c r="AJ309" s="3851"/>
      <c r="AK309" s="3851"/>
      <c r="AL309" s="3851"/>
      <c r="AM309" s="3851"/>
      <c r="AN309" s="3851"/>
      <c r="AO309" s="3851"/>
      <c r="AP309" s="3851"/>
      <c r="AQ309" s="3851"/>
      <c r="AR309" s="3851"/>
      <c r="AS309" s="3851"/>
      <c r="AU309" s="3849"/>
      <c r="BB309" s="3849"/>
      <c r="BL309" s="3849"/>
      <c r="BT309" s="3849"/>
      <c r="BW309" s="3856"/>
    </row>
    <row r="310" spans="1:75">
      <c r="B310" s="3656"/>
      <c r="C310" s="1870"/>
      <c r="D310" s="1886" t="s">
        <v>612</v>
      </c>
      <c r="E310" s="4287">
        <f t="shared" ref="E310:K310" si="68">E266+E283+E301+E308</f>
        <v>1170035.94</v>
      </c>
      <c r="F310" s="3293">
        <f t="shared" si="68"/>
        <v>0</v>
      </c>
      <c r="G310" s="4287">
        <f t="shared" si="68"/>
        <v>0</v>
      </c>
      <c r="H310" s="4288">
        <f t="shared" si="68"/>
        <v>0</v>
      </c>
      <c r="I310" s="4287">
        <f t="shared" si="68"/>
        <v>0</v>
      </c>
      <c r="J310" s="4288">
        <f t="shared" si="68"/>
        <v>1170035.94</v>
      </c>
      <c r="K310" s="4288">
        <f t="shared" si="68"/>
        <v>1358165.91</v>
      </c>
      <c r="L310" s="1884"/>
      <c r="M310" s="4287">
        <f>M266+M283+M301+M308</f>
        <v>1358165.91</v>
      </c>
      <c r="N310" s="3922"/>
      <c r="O310" s="3920"/>
      <c r="P310" s="3969"/>
      <c r="Q310" s="3849">
        <v>0</v>
      </c>
      <c r="R310" s="3851">
        <v>197693.1</v>
      </c>
      <c r="S310" s="3851">
        <v>143262.59</v>
      </c>
      <c r="T310" s="3851">
        <v>219091.86000000002</v>
      </c>
      <c r="U310" s="3851">
        <v>-37651.630000000063</v>
      </c>
      <c r="V310" s="3851">
        <v>0</v>
      </c>
      <c r="W310" s="3851">
        <f>'[26]מאזן בוחן צרפת'!W275</f>
        <v>50264.390000000007</v>
      </c>
      <c r="X310" s="3851">
        <f>'[27]מאזן בוחן צרפת'!X275</f>
        <v>72272.299999999988</v>
      </c>
      <c r="Y310" s="3851">
        <f>'[28]מאזן בוחן צרפת'!Y275</f>
        <v>154804.85999999999</v>
      </c>
      <c r="Z310" s="3851">
        <f>'[29]מאזן בוחן צרפת'!Z276</f>
        <v>52167.919999999984</v>
      </c>
      <c r="AA310" s="3851">
        <f>'[30]מאזן בוחן צרפת'!AA277</f>
        <v>63867.710000000021</v>
      </c>
      <c r="AB310" s="3851">
        <f>'[31]מאזן בוחן צרפת'!AB279</f>
        <v>199098.48999999993</v>
      </c>
      <c r="AC310" s="3851">
        <v>72367.570000000065</v>
      </c>
      <c r="AD310" s="3851">
        <v>54342.320000000065</v>
      </c>
      <c r="AE310" s="3851">
        <v>153371.28999999992</v>
      </c>
      <c r="AF310" s="3851">
        <v>45608.879999999888</v>
      </c>
      <c r="AG310" s="3851">
        <v>79785.290000000154</v>
      </c>
      <c r="AH310" s="3851">
        <f>$K310-SUM($W310:AG310)</f>
        <v>360214.8899999999</v>
      </c>
      <c r="AI310" s="3851"/>
      <c r="AJ310" s="3851"/>
      <c r="AK310" s="3851"/>
      <c r="AL310" s="3851"/>
      <c r="AM310" s="3851"/>
      <c r="AN310" s="3851"/>
      <c r="AO310" s="3851"/>
      <c r="AP310" s="3851"/>
      <c r="AQ310" s="3851"/>
      <c r="AR310" s="3851"/>
      <c r="AS310" s="3851"/>
      <c r="AU310" s="3849"/>
      <c r="BB310" s="3849"/>
      <c r="BF310" s="3849"/>
      <c r="BL310" s="3849"/>
      <c r="BT310" s="3849"/>
      <c r="BW310" s="3856"/>
    </row>
    <row r="311" spans="1:75">
      <c r="B311" s="3656"/>
      <c r="C311" s="3874"/>
      <c r="D311" s="3874"/>
      <c r="E311" s="4004"/>
      <c r="F311" s="4286"/>
      <c r="H311" s="4285"/>
      <c r="I311" s="4004"/>
      <c r="J311" s="4004"/>
      <c r="K311" s="4004"/>
      <c r="L311" s="4004"/>
      <c r="M311" s="3875"/>
      <c r="N311" s="3874"/>
      <c r="O311" s="3920"/>
      <c r="P311" s="4042" t="s">
        <v>3876</v>
      </c>
      <c r="Q311" s="3849">
        <v>0</v>
      </c>
      <c r="R311" s="3851">
        <v>0</v>
      </c>
      <c r="S311" s="3851">
        <v>0</v>
      </c>
      <c r="T311" s="3851">
        <v>0</v>
      </c>
      <c r="U311" s="3851">
        <v>0</v>
      </c>
      <c r="V311" s="3851">
        <v>0</v>
      </c>
      <c r="W311" s="3851">
        <f>'[26]מאזן בוחן צרפת'!W279</f>
        <v>0</v>
      </c>
      <c r="X311" s="3851">
        <f>'[27]מאזן בוחן צרפת'!X279</f>
        <v>0</v>
      </c>
      <c r="Y311" s="3851">
        <f>'[28]מאזן בוחן צרפת'!Y279</f>
        <v>0</v>
      </c>
      <c r="Z311" s="3851">
        <f>'[29]מאזן בוחן צרפת'!Z280</f>
        <v>0</v>
      </c>
      <c r="AA311" s="3851">
        <f>'[30]מאזן בוחן צרפת'!AA281</f>
        <v>0</v>
      </c>
      <c r="AB311" s="3851">
        <f>'[31]מאזן בוחן צרפת'!AB283</f>
        <v>0</v>
      </c>
      <c r="AC311" s="3851">
        <v>0</v>
      </c>
      <c r="AD311" s="3851">
        <v>0</v>
      </c>
      <c r="AE311" s="3851">
        <v>0</v>
      </c>
      <c r="AF311" s="3851">
        <v>0</v>
      </c>
      <c r="AG311" s="3851">
        <v>0</v>
      </c>
      <c r="AH311" s="3851">
        <f>$K311-SUM($W311:AG311)</f>
        <v>0</v>
      </c>
      <c r="AI311" s="3851"/>
      <c r="AJ311" s="3851"/>
      <c r="AK311" s="3851"/>
      <c r="AL311" s="3851"/>
      <c r="AM311" s="3851"/>
      <c r="AN311" s="3851"/>
      <c r="AO311" s="3851"/>
      <c r="AP311" s="3851"/>
      <c r="AQ311" s="3851"/>
      <c r="AR311" s="3851"/>
      <c r="AS311" s="3851"/>
      <c r="AU311" s="3849"/>
      <c r="BA311" s="3849"/>
      <c r="BB311" s="3849"/>
      <c r="BF311" s="3849"/>
      <c r="BI311" s="4040"/>
      <c r="BT311" s="3849"/>
    </row>
    <row r="312" spans="1:75">
      <c r="B312" s="3664"/>
      <c r="C312" s="749"/>
      <c r="D312" s="70" t="s">
        <v>2593</v>
      </c>
      <c r="E312" s="398"/>
      <c r="F312" s="51"/>
      <c r="G312" s="399"/>
      <c r="H312" s="399"/>
      <c r="I312" s="967"/>
      <c r="J312" s="51"/>
      <c r="K312" s="399"/>
      <c r="L312" s="967"/>
      <c r="M312" s="967"/>
      <c r="N312" s="3874"/>
      <c r="O312" s="3920"/>
      <c r="P312" s="4042">
        <f>'FS France'!D67+'[19]FS France'!$D$67</f>
        <v>-422353.22</v>
      </c>
      <c r="R312" s="3851"/>
      <c r="S312" s="3851"/>
      <c r="T312" s="3851"/>
      <c r="U312" s="3851"/>
      <c r="V312" s="3851"/>
      <c r="W312" s="3851"/>
      <c r="X312" s="3851"/>
      <c r="Y312" s="3851"/>
      <c r="Z312" s="3851"/>
      <c r="AA312" s="3851"/>
      <c r="AB312" s="3851"/>
      <c r="AC312" s="3851"/>
      <c r="AD312" s="3851"/>
      <c r="AE312" s="3851"/>
      <c r="AF312" s="3851"/>
      <c r="AG312" s="3851"/>
      <c r="AH312" s="3851"/>
      <c r="AI312" s="3851"/>
      <c r="AJ312" s="3851"/>
      <c r="AK312" s="3851"/>
      <c r="AL312" s="3851"/>
      <c r="AM312" s="3851"/>
      <c r="AN312" s="3851"/>
      <c r="AO312" s="3851"/>
      <c r="AP312" s="3851"/>
      <c r="AQ312" s="3851"/>
      <c r="AR312" s="3851"/>
      <c r="AS312" s="3851"/>
      <c r="AU312" s="3849"/>
      <c r="BA312" s="3849"/>
      <c r="BB312" s="3849"/>
      <c r="BF312" s="3849"/>
      <c r="BI312" s="4040"/>
      <c r="BT312" s="3849"/>
    </row>
    <row r="313" spans="1:75">
      <c r="B313" s="3664"/>
      <c r="C313" s="749"/>
      <c r="D313" s="61"/>
      <c r="E313" s="398"/>
      <c r="F313" s="51"/>
      <c r="G313" s="399"/>
      <c r="H313" s="51"/>
      <c r="I313" s="399"/>
      <c r="J313" s="51"/>
      <c r="K313" s="399"/>
      <c r="L313" s="967"/>
      <c r="M313" s="967"/>
      <c r="N313" s="3874"/>
      <c r="O313" s="3920"/>
      <c r="P313" s="4042"/>
      <c r="R313" s="3851"/>
      <c r="S313" s="3851"/>
      <c r="T313" s="3851"/>
      <c r="U313" s="3851"/>
      <c r="V313" s="3851"/>
      <c r="W313" s="3851"/>
      <c r="X313" s="3851"/>
      <c r="Y313" s="3851"/>
      <c r="Z313" s="3851"/>
      <c r="AA313" s="3851"/>
      <c r="AB313" s="3851"/>
      <c r="AC313" s="3851"/>
      <c r="AD313" s="3851"/>
      <c r="AE313" s="3851"/>
      <c r="AF313" s="3851"/>
      <c r="AG313" s="3851"/>
      <c r="AH313" s="3851"/>
      <c r="AI313" s="3851"/>
      <c r="AJ313" s="3851"/>
      <c r="AK313" s="3851"/>
      <c r="AL313" s="3851"/>
      <c r="AM313" s="3851"/>
      <c r="AN313" s="3851"/>
      <c r="AO313" s="3851"/>
      <c r="AP313" s="3851"/>
      <c r="AQ313" s="3851"/>
      <c r="AR313" s="3851"/>
      <c r="AS313" s="3851"/>
      <c r="AU313" s="3849"/>
      <c r="BA313" s="3849"/>
      <c r="BB313" s="3849"/>
      <c r="BF313" s="3849"/>
      <c r="BI313" s="4040"/>
      <c r="BT313" s="3849"/>
    </row>
    <row r="314" spans="1:75">
      <c r="B314" s="3966" t="s">
        <v>1216</v>
      </c>
      <c r="C314" s="3901">
        <v>9100001</v>
      </c>
      <c r="D314" s="3929" t="s">
        <v>2235</v>
      </c>
      <c r="E314" s="3844">
        <f>IFERROR(VLOOKUP(C314,'פ.נ. צרפת'!$D$129:$F$1048576,3,0),0)</f>
        <v>6247</v>
      </c>
      <c r="F314" s="3843">
        <f>SUMIF('פ.נ. צרפת'!$C:$C,$C:$C,'פ.נ. צרפת'!$E:$E)</f>
        <v>0</v>
      </c>
      <c r="G314" s="3882"/>
      <c r="H314" s="3884"/>
      <c r="I314" s="3882"/>
      <c r="J314" s="3930">
        <f>SUM(E314:I314)</f>
        <v>6247</v>
      </c>
      <c r="K314" s="3944">
        <f>M314+SUMIF('פ.נ. צרפת'!$C:$C,$C:$C,'פ.נ. צרפת'!$F:$F)</f>
        <v>7070.36</v>
      </c>
      <c r="L314" s="3845"/>
      <c r="M314" s="3931">
        <f>IFERROR(VLOOKUP(C314,'פ.נ. צרפת'!$D$129:$G$1048576,4,0),"")</f>
        <v>7070.36</v>
      </c>
      <c r="N314" s="3877">
        <f>IF(K314=0,"-",J314/K314)</f>
        <v>0.8835476552820507</v>
      </c>
      <c r="O314" s="3920"/>
      <c r="P314" s="4042"/>
      <c r="R314" s="3851"/>
      <c r="S314" s="3851"/>
      <c r="T314" s="3851"/>
      <c r="U314" s="3851"/>
      <c r="V314" s="3851"/>
      <c r="W314" s="3851"/>
      <c r="X314" s="3851"/>
      <c r="Y314" s="3851"/>
      <c r="Z314" s="3851"/>
      <c r="AA314" s="3851"/>
      <c r="AB314" s="3851"/>
      <c r="AC314" s="3851"/>
      <c r="AD314" s="3851"/>
      <c r="AE314" s="3851"/>
      <c r="AF314" s="3851"/>
      <c r="AG314" s="3851"/>
      <c r="AH314" s="3851"/>
      <c r="AI314" s="3851"/>
      <c r="AJ314" s="3851"/>
      <c r="AK314" s="3851"/>
      <c r="AL314" s="3851"/>
      <c r="AM314" s="3851"/>
      <c r="AN314" s="3851"/>
      <c r="AO314" s="3851"/>
      <c r="AP314" s="3851"/>
      <c r="AQ314" s="3851"/>
      <c r="AR314" s="3851"/>
      <c r="AS314" s="3851"/>
      <c r="AU314" s="3849"/>
      <c r="BA314" s="3849"/>
      <c r="BB314" s="3849"/>
      <c r="BF314" s="3849"/>
      <c r="BI314" s="4040"/>
      <c r="BT314" s="3849"/>
    </row>
    <row r="315" spans="1:75">
      <c r="B315" s="3668"/>
      <c r="C315" s="1374"/>
      <c r="D315" s="45"/>
      <c r="E315" s="1753"/>
      <c r="F315" s="170"/>
      <c r="G315" s="398"/>
      <c r="H315" s="204"/>
      <c r="I315" s="79"/>
      <c r="J315" s="591"/>
      <c r="K315" s="591"/>
      <c r="L315" s="439"/>
      <c r="M315" s="591"/>
      <c r="N315" s="3874"/>
      <c r="O315" s="3920"/>
      <c r="P315" s="4042"/>
      <c r="R315" s="3851"/>
      <c r="S315" s="3851"/>
      <c r="T315" s="3851"/>
      <c r="U315" s="3851"/>
      <c r="V315" s="3851"/>
      <c r="W315" s="3851"/>
      <c r="X315" s="3851"/>
      <c r="Y315" s="3851"/>
      <c r="Z315" s="3851"/>
      <c r="AA315" s="3851"/>
      <c r="AB315" s="3851"/>
      <c r="AC315" s="3851"/>
      <c r="AD315" s="3851"/>
      <c r="AE315" s="3851"/>
      <c r="AF315" s="3851"/>
      <c r="AG315" s="3851"/>
      <c r="AH315" s="3851"/>
      <c r="AI315" s="3851"/>
      <c r="AJ315" s="3851"/>
      <c r="AK315" s="3851"/>
      <c r="AL315" s="3851"/>
      <c r="AM315" s="3851"/>
      <c r="AN315" s="3851"/>
      <c r="AO315" s="3851"/>
      <c r="AP315" s="3851"/>
      <c r="AQ315" s="3851"/>
      <c r="AR315" s="3851"/>
      <c r="AS315" s="3851"/>
      <c r="AU315" s="3849"/>
      <c r="BA315" s="3849"/>
      <c r="BB315" s="3849"/>
      <c r="BF315" s="3849"/>
      <c r="BI315" s="4040"/>
      <c r="BT315" s="3849"/>
    </row>
    <row r="316" spans="1:75">
      <c r="B316" s="3664"/>
      <c r="C316" s="759"/>
      <c r="D316" s="63"/>
      <c r="E316" s="398"/>
      <c r="F316" s="51"/>
      <c r="G316" s="399"/>
      <c r="H316" s="51"/>
      <c r="I316" s="399"/>
      <c r="J316" s="51"/>
      <c r="K316" s="97"/>
      <c r="L316" s="399"/>
      <c r="M316" s="809"/>
      <c r="N316" s="3874"/>
      <c r="O316" s="3920"/>
      <c r="P316" s="4042"/>
      <c r="R316" s="3851"/>
      <c r="S316" s="3851"/>
      <c r="T316" s="3851"/>
      <c r="U316" s="3851"/>
      <c r="V316" s="3851"/>
      <c r="W316" s="3851"/>
      <c r="X316" s="3851"/>
      <c r="Y316" s="3851"/>
      <c r="Z316" s="3851"/>
      <c r="AA316" s="3851"/>
      <c r="AB316" s="3851"/>
      <c r="AC316" s="3851"/>
      <c r="AD316" s="3851"/>
      <c r="AE316" s="3851"/>
      <c r="AF316" s="3851"/>
      <c r="AG316" s="3851"/>
      <c r="AH316" s="3851"/>
      <c r="AI316" s="3851"/>
      <c r="AJ316" s="3851"/>
      <c r="AK316" s="3851"/>
      <c r="AL316" s="3851"/>
      <c r="AM316" s="3851"/>
      <c r="AN316" s="3851"/>
      <c r="AO316" s="3851"/>
      <c r="AP316" s="3851"/>
      <c r="AQ316" s="3851"/>
      <c r="AR316" s="3851"/>
      <c r="AS316" s="3851"/>
      <c r="AU316" s="3849"/>
      <c r="BA316" s="3849"/>
      <c r="BB316" s="3849"/>
      <c r="BF316" s="3849"/>
      <c r="BI316" s="4040"/>
      <c r="BT316" s="3849"/>
    </row>
    <row r="317" spans="1:75">
      <c r="B317" s="3664"/>
      <c r="C317" s="1722"/>
      <c r="D317" s="757"/>
      <c r="E317" s="598">
        <f>SUM(E314:E316)</f>
        <v>6247</v>
      </c>
      <c r="F317" s="598">
        <f t="shared" ref="F317:M317" si="69">SUM(F314:F316)</f>
        <v>0</v>
      </c>
      <c r="G317" s="598">
        <f t="shared" si="69"/>
        <v>0</v>
      </c>
      <c r="H317" s="598">
        <f t="shared" si="69"/>
        <v>0</v>
      </c>
      <c r="I317" s="598">
        <f t="shared" si="69"/>
        <v>0</v>
      </c>
      <c r="J317" s="598">
        <f t="shared" si="69"/>
        <v>6247</v>
      </c>
      <c r="K317" s="598">
        <f t="shared" si="69"/>
        <v>7070.36</v>
      </c>
      <c r="L317" s="1721"/>
      <c r="M317" s="3389">
        <f t="shared" si="69"/>
        <v>7070.36</v>
      </c>
      <c r="N317" s="3874"/>
      <c r="O317" s="3920"/>
      <c r="P317" s="4042"/>
      <c r="R317" s="3851"/>
      <c r="S317" s="3851"/>
      <c r="T317" s="3851"/>
      <c r="U317" s="3851"/>
      <c r="V317" s="3851"/>
      <c r="W317" s="3851"/>
      <c r="X317" s="3851"/>
      <c r="Y317" s="3851"/>
      <c r="Z317" s="3851"/>
      <c r="AA317" s="3851"/>
      <c r="AB317" s="3851"/>
      <c r="AC317" s="3851"/>
      <c r="AD317" s="3851"/>
      <c r="AE317" s="3851"/>
      <c r="AF317" s="3851"/>
      <c r="AG317" s="3851"/>
      <c r="AH317" s="3851"/>
      <c r="AI317" s="3851"/>
      <c r="AJ317" s="3851"/>
      <c r="AK317" s="3851"/>
      <c r="AL317" s="3851"/>
      <c r="AM317" s="3851"/>
      <c r="AN317" s="3851"/>
      <c r="AO317" s="3851"/>
      <c r="AP317" s="3851"/>
      <c r="AQ317" s="3851"/>
      <c r="AR317" s="3851"/>
      <c r="AS317" s="3851"/>
      <c r="AU317" s="3849"/>
      <c r="BA317" s="3849"/>
      <c r="BB317" s="3849"/>
      <c r="BF317" s="3849"/>
      <c r="BI317" s="4040"/>
      <c r="BT317" s="3849"/>
    </row>
    <row r="318" spans="1:75">
      <c r="B318" s="3914"/>
      <c r="C318" s="4041"/>
      <c r="K318" s="3875"/>
      <c r="L318" s="3874"/>
      <c r="M318" s="3875"/>
      <c r="N318" s="3922"/>
      <c r="O318" s="3920"/>
      <c r="Q318" s="3849">
        <v>0</v>
      </c>
      <c r="R318" s="3851">
        <v>0</v>
      </c>
      <c r="S318" s="3851">
        <v>0</v>
      </c>
      <c r="T318" s="3851">
        <v>0</v>
      </c>
      <c r="U318" s="3851">
        <v>0</v>
      </c>
      <c r="V318" s="3851">
        <v>0</v>
      </c>
      <c r="W318" s="3851">
        <f>'[26]מאזן בוחן צרפת'!W280</f>
        <v>0</v>
      </c>
      <c r="X318" s="3851">
        <f>'[27]מאזן בוחן צרפת'!X280</f>
        <v>0</v>
      </c>
      <c r="Y318" s="3851">
        <f>'[28]מאזן בוחן צרפת'!Y280</f>
        <v>0</v>
      </c>
      <c r="Z318" s="3851">
        <f>'[29]מאזן בוחן צרפת'!Z281</f>
        <v>0</v>
      </c>
      <c r="AA318" s="3851">
        <f>'[30]מאזן בוחן צרפת'!AA282</f>
        <v>0</v>
      </c>
      <c r="AB318" s="3851">
        <f>'[31]מאזן בוחן צרפת'!AB284</f>
        <v>0</v>
      </c>
      <c r="AC318" s="3851">
        <v>0</v>
      </c>
      <c r="AD318" s="3851">
        <v>1073.1400000000003</v>
      </c>
      <c r="AE318" s="3851">
        <v>-1073.1400000000003</v>
      </c>
      <c r="AF318" s="3851">
        <v>0</v>
      </c>
      <c r="AG318" s="3851">
        <v>0</v>
      </c>
      <c r="AH318" s="3851">
        <f>$K318-SUM($W318:AG318)</f>
        <v>0</v>
      </c>
      <c r="AI318" s="3851"/>
      <c r="AJ318" s="3851"/>
      <c r="AK318" s="3851"/>
      <c r="AL318" s="3851"/>
      <c r="AM318" s="3851"/>
      <c r="AN318" s="3851"/>
      <c r="AO318" s="3851"/>
      <c r="AP318" s="3851"/>
      <c r="AQ318" s="3851"/>
      <c r="AR318" s="3851"/>
      <c r="AS318" s="3851"/>
      <c r="AU318" s="3849"/>
      <c r="BA318" s="3849"/>
      <c r="BB318" s="3849"/>
      <c r="BF318" s="3849"/>
      <c r="BI318" s="4040"/>
      <c r="BT318" s="3849"/>
    </row>
    <row r="319" spans="1:75">
      <c r="B319" s="3914"/>
      <c r="C319" s="3910"/>
      <c r="D319" s="1897" t="s">
        <v>99</v>
      </c>
      <c r="E319" s="3873"/>
      <c r="J319" s="3934"/>
      <c r="K319" s="3896"/>
      <c r="L319" s="3874"/>
      <c r="M319" s="3896"/>
      <c r="N319" s="3922"/>
      <c r="O319" s="3920"/>
      <c r="P319" s="3969"/>
      <c r="Q319" s="3849">
        <v>0</v>
      </c>
      <c r="R319" s="3851">
        <v>0</v>
      </c>
      <c r="S319" s="3851">
        <v>0</v>
      </c>
      <c r="T319" s="3851">
        <v>0</v>
      </c>
      <c r="U319" s="3851">
        <v>0</v>
      </c>
      <c r="V319" s="3851">
        <v>0</v>
      </c>
      <c r="W319" s="3851">
        <f>'[26]מאזן בוחן צרפת'!W281</f>
        <v>0</v>
      </c>
      <c r="X319" s="3851">
        <f>'[27]מאזן בוחן צרפת'!X281</f>
        <v>0</v>
      </c>
      <c r="Y319" s="3851">
        <f>'[28]מאזן בוחן צרפת'!Y281</f>
        <v>0</v>
      </c>
      <c r="Z319" s="3851">
        <f>'[29]מאזן בוחן צרפת'!Z282</f>
        <v>0</v>
      </c>
      <c r="AA319" s="3851">
        <f>'[30]מאזן בוחן צרפת'!AA283</f>
        <v>0</v>
      </c>
      <c r="AB319" s="3851">
        <f>'[31]מאזן בוחן צרפת'!AB285</f>
        <v>0</v>
      </c>
      <c r="AC319" s="3851">
        <v>0</v>
      </c>
      <c r="AD319" s="3851">
        <v>5353.25</v>
      </c>
      <c r="AE319" s="3851">
        <v>-5353.25</v>
      </c>
      <c r="AF319" s="3851">
        <v>0</v>
      </c>
      <c r="AG319" s="3851">
        <v>0</v>
      </c>
      <c r="AH319" s="3851">
        <f>$K319-SUM($W319:AG319)</f>
        <v>0</v>
      </c>
      <c r="AI319" s="3851"/>
      <c r="AJ319" s="3851"/>
      <c r="AK319" s="3851"/>
      <c r="AL319" s="3851"/>
      <c r="AM319" s="3851"/>
      <c r="AN319" s="3851"/>
      <c r="AO319" s="3851"/>
      <c r="AP319" s="3851"/>
      <c r="AQ319" s="3851"/>
      <c r="AR319" s="3851"/>
      <c r="AS319" s="3851"/>
      <c r="AU319" s="3849"/>
      <c r="BA319" s="3849"/>
      <c r="BB319" s="3849"/>
      <c r="BF319" s="3849"/>
      <c r="BI319" s="4040"/>
      <c r="BT319" s="3849"/>
      <c r="BW319" s="3856"/>
    </row>
    <row r="320" spans="1:75">
      <c r="B320" s="3914"/>
      <c r="C320" s="3892"/>
      <c r="J320" s="3851"/>
      <c r="M320" s="3876"/>
      <c r="P320" s="3969"/>
      <c r="Q320" s="3849">
        <v>0</v>
      </c>
      <c r="R320" s="3851">
        <v>0</v>
      </c>
      <c r="S320" s="3851">
        <v>0</v>
      </c>
      <c r="T320" s="3851">
        <v>0</v>
      </c>
      <c r="U320" s="3851">
        <v>0</v>
      </c>
      <c r="V320" s="3851">
        <v>708.35000000000014</v>
      </c>
      <c r="W320" s="3851">
        <f>'[26]מאזן בוחן צרפת'!W282</f>
        <v>0</v>
      </c>
      <c r="X320" s="3851">
        <f>'[27]מאזן בוחן צרפת'!X282</f>
        <v>0</v>
      </c>
      <c r="Y320" s="3851">
        <f>'[28]מאזן בוחן צרפת'!Y282</f>
        <v>0</v>
      </c>
      <c r="Z320" s="3851">
        <f>'[29]מאזן בוחן צרפת'!Z283</f>
        <v>0</v>
      </c>
      <c r="AA320" s="3851">
        <f>'[30]מאזן בוחן צרפת'!AA284</f>
        <v>0</v>
      </c>
      <c r="AB320" s="3851">
        <f>'[31]מאזן בוחן צרפת'!AB286</f>
        <v>0</v>
      </c>
      <c r="AC320" s="3851">
        <v>0</v>
      </c>
      <c r="AD320" s="3851">
        <v>0</v>
      </c>
      <c r="AE320" s="3851">
        <v>0</v>
      </c>
      <c r="AF320" s="3851">
        <v>0</v>
      </c>
      <c r="AG320" s="3851">
        <v>0</v>
      </c>
      <c r="AH320" s="3851">
        <f>$K320-SUM($W320:AG320)</f>
        <v>0</v>
      </c>
      <c r="AI320" s="3851"/>
      <c r="AJ320" s="3851"/>
      <c r="AK320" s="3851"/>
      <c r="AL320" s="3851"/>
      <c r="AM320" s="3851"/>
      <c r="AN320" s="3851"/>
      <c r="AO320" s="3851"/>
      <c r="AP320" s="3851"/>
      <c r="AQ320" s="3851"/>
      <c r="AR320" s="3851"/>
      <c r="AS320" s="3851"/>
      <c r="AU320" s="3849"/>
      <c r="BA320" s="3849"/>
      <c r="BB320" s="3849"/>
      <c r="BF320" s="3849"/>
      <c r="BT320" s="3849"/>
    </row>
    <row r="321" spans="1:73">
      <c r="A321" s="3857"/>
      <c r="B321" s="3966" t="s">
        <v>1216</v>
      </c>
      <c r="C321" s="3901">
        <v>9010001</v>
      </c>
      <c r="D321" s="3929" t="s">
        <v>1339</v>
      </c>
      <c r="E321" s="3844">
        <f>IFERROR(VLOOKUP(C321,'פ.נ. צרפת'!$D$129:$F$1048576,3,0),0)</f>
        <v>9101</v>
      </c>
      <c r="F321" s="3843">
        <f>SUMIF('פ.נ. צרפת'!$C:$C,$C:$C,'פ.נ. צרפת'!$E:$E)</f>
        <v>0</v>
      </c>
      <c r="G321" s="3882"/>
      <c r="H321" s="3884"/>
      <c r="I321" s="3882"/>
      <c r="J321" s="4293">
        <f>SUM(E321:I321)</f>
        <v>9101</v>
      </c>
      <c r="K321" s="3944">
        <f>M321+SUMIF('פ.נ. צרפת'!$C:$C,$C:$C,'פ.נ. צרפת'!$F:$F)</f>
        <v>10730.36</v>
      </c>
      <c r="L321" s="3845"/>
      <c r="M321" s="3931">
        <f>IFERROR(VLOOKUP(C321,'פ.נ. צרפת'!$D$129:$G$1048576,4,0),"")</f>
        <v>10730.36</v>
      </c>
      <c r="N321" s="3877">
        <f>IF(K321=0,"-",J321/K321)</f>
        <v>0.8481542091784432</v>
      </c>
      <c r="O321" s="3920"/>
      <c r="P321" s="3969"/>
      <c r="Q321" s="3849">
        <v>153.66999999999999</v>
      </c>
      <c r="R321" s="3851">
        <v>140.46</v>
      </c>
      <c r="S321" s="3851">
        <v>153.83000000000001</v>
      </c>
      <c r="T321" s="3851">
        <v>333.11</v>
      </c>
      <c r="U321" s="3851">
        <v>498.02999999999986</v>
      </c>
      <c r="V321" s="3851">
        <v>-8652.5954930015596</v>
      </c>
      <c r="W321" s="3851">
        <f>'[26]מאזן בוחן צרפת'!W283</f>
        <v>265.39999999999998</v>
      </c>
      <c r="X321" s="3851">
        <f>'[27]מאזן בוחן צרפת'!X283</f>
        <v>564.52</v>
      </c>
      <c r="Y321" s="3851">
        <f>'[28]מאזן בוחן צרפת'!Y283</f>
        <v>714.29000000000008</v>
      </c>
      <c r="Z321" s="3851">
        <f>'[29]מאזן בוחן צרפת'!Z284</f>
        <v>860.11999999999989</v>
      </c>
      <c r="AA321" s="3851">
        <f>'[30]מאזן בוחן צרפת'!AA285</f>
        <v>1016.7400000000002</v>
      </c>
      <c r="AB321" s="3851">
        <f>'[31]מאזן בוחן צרפת'!AB287</f>
        <v>1226.5999999999999</v>
      </c>
      <c r="AC321" s="3851">
        <v>1170.5299999999997</v>
      </c>
      <c r="AD321" s="3851">
        <v>6426.3900000000031</v>
      </c>
      <c r="AE321" s="3851">
        <v>-4385.4000000000042</v>
      </c>
      <c r="AF321" s="3851">
        <v>1000.0100000000011</v>
      </c>
      <c r="AG321" s="3851">
        <v>940.05999999999949</v>
      </c>
      <c r="AH321" s="3851">
        <f>$K321-SUM($W321:AG321)</f>
        <v>931.10000000000036</v>
      </c>
      <c r="AI321" s="3851"/>
      <c r="AJ321" s="3851"/>
      <c r="AK321" s="3851"/>
      <c r="AL321" s="3851"/>
      <c r="AM321" s="3851"/>
      <c r="AN321" s="3851"/>
      <c r="AO321" s="3851"/>
      <c r="AP321" s="3851"/>
      <c r="AQ321" s="3851"/>
      <c r="AR321" s="3851"/>
      <c r="AS321" s="3851"/>
      <c r="AW321" s="3874"/>
      <c r="AX321" s="1850"/>
      <c r="AY321" s="1850"/>
      <c r="AZ321" s="1850"/>
      <c r="BA321" s="1866"/>
      <c r="BB321" s="3851"/>
      <c r="BC321" s="3851"/>
      <c r="BD321" s="3851"/>
      <c r="BE321" s="3851"/>
      <c r="BF321" s="3851"/>
      <c r="BG321" s="3851"/>
      <c r="BH321" s="3851"/>
      <c r="BI321" s="1850"/>
      <c r="BJ321" s="3851"/>
      <c r="BK321" s="3851"/>
      <c r="BL321" s="3874"/>
      <c r="BM321" s="3874"/>
    </row>
    <row r="322" spans="1:73">
      <c r="A322" s="3857"/>
      <c r="B322" s="3966" t="s">
        <v>1216</v>
      </c>
      <c r="C322" s="3901">
        <v>9010002</v>
      </c>
      <c r="D322" s="3929" t="s">
        <v>158</v>
      </c>
      <c r="E322" s="3844">
        <f>IFERROR(VLOOKUP(C322,'פ.נ. צרפת'!$D$129:$F$1048576,3,0),0)</f>
        <v>1280.3699999999999</v>
      </c>
      <c r="F322" s="3843">
        <f>SUMIF('פ.נ. צרפת'!$C:$C,$C:$C,'פ.נ. צרפת'!$E:$E)</f>
        <v>0</v>
      </c>
      <c r="G322" s="3882"/>
      <c r="H322" s="3884"/>
      <c r="I322" s="3882"/>
      <c r="J322" s="3930">
        <f>SUM(E322:I322)</f>
        <v>1280.3699999999999</v>
      </c>
      <c r="K322" s="3944">
        <f>M322+SUMIF('פ.נ. צרפת'!$C:$C,$C:$C,'פ.נ. צרפת'!$F:$F)</f>
        <v>-141794.06</v>
      </c>
      <c r="L322" s="3845"/>
      <c r="M322" s="3931">
        <f>IFERROR(VLOOKUP(C322,'פ.נ. צרפת'!$D$129:$G$1048576,4,0),"")</f>
        <v>-141794.06</v>
      </c>
      <c r="N322" s="3877">
        <f>IF(K322=0,"-",J322/K322)</f>
        <v>-9.0297858739639726E-3</v>
      </c>
      <c r="O322" s="3920"/>
      <c r="P322" s="3969" t="s">
        <v>2543</v>
      </c>
      <c r="Q322" s="3849">
        <v>-75.569999999999993</v>
      </c>
      <c r="R322" s="3851">
        <v>-1007.6500000000001</v>
      </c>
      <c r="S322" s="3851">
        <v>321.91000000000014</v>
      </c>
      <c r="T322" s="3851">
        <v>-4300.08</v>
      </c>
      <c r="U322" s="3851">
        <v>-10165.730000000001</v>
      </c>
      <c r="V322" s="3851">
        <v>0</v>
      </c>
      <c r="W322" s="3851">
        <f>'[26]מאזן בוחן צרפת'!W284</f>
        <v>13188.73</v>
      </c>
      <c r="X322" s="3851">
        <f>'[27]מאזן בוחן צרפת'!X284</f>
        <v>-10995.36</v>
      </c>
      <c r="Y322" s="3851">
        <f>'[28]מאזן בוחן צרפת'!Y284</f>
        <v>39651.67</v>
      </c>
      <c r="Z322" s="3851">
        <f>'[29]מאזן בוחן צרפת'!Z285</f>
        <v>-5393.4953253613712</v>
      </c>
      <c r="AA322" s="3851">
        <f>'[30]מאזן בוחן צרפת'!AA286</f>
        <v>11160.015001937056</v>
      </c>
      <c r="AB322" s="3851">
        <f>'[31]מאזן בוחן צרפת'!AB288</f>
        <v>-17556.29967657568</v>
      </c>
      <c r="AC322" s="3851">
        <v>-4414.2999999999993</v>
      </c>
      <c r="AD322" s="3851">
        <f>$K322-SUM($W322:AC322)</f>
        <v>-167435.01999999999</v>
      </c>
      <c r="AE322" s="3851">
        <v>0</v>
      </c>
      <c r="AF322" s="3851">
        <v>0</v>
      </c>
      <c r="AG322" s="3851">
        <v>0</v>
      </c>
      <c r="AH322" s="3851">
        <f>$K322-SUM($W322:AG322)</f>
        <v>0</v>
      </c>
      <c r="AI322" s="3851"/>
      <c r="AJ322" s="3851"/>
      <c r="AK322" s="3851"/>
      <c r="AL322" s="3851"/>
      <c r="AM322" s="3851"/>
      <c r="AN322" s="3851"/>
      <c r="AO322" s="3851"/>
      <c r="AP322" s="3851"/>
      <c r="AQ322" s="3851"/>
      <c r="AR322" s="3851"/>
      <c r="AS322" s="3851"/>
      <c r="AW322" s="3874"/>
      <c r="AX322" s="1850"/>
      <c r="AY322" s="1850"/>
      <c r="AZ322" s="1850"/>
      <c r="BA322" s="1866"/>
      <c r="BB322" s="3851"/>
      <c r="BC322" s="3851"/>
      <c r="BD322" s="3851"/>
      <c r="BE322" s="3851"/>
      <c r="BF322" s="3851"/>
      <c r="BG322" s="3851"/>
      <c r="BH322" s="3851"/>
      <c r="BI322" s="1850"/>
      <c r="BJ322" s="3851"/>
      <c r="BK322" s="3851"/>
      <c r="BL322" s="3874"/>
      <c r="BM322" s="3874"/>
    </row>
    <row r="323" spans="1:73">
      <c r="B323" s="3656"/>
      <c r="C323" s="3898"/>
      <c r="D323" s="3899"/>
      <c r="E323" s="3912"/>
      <c r="G323" s="3845"/>
      <c r="H323" s="3851"/>
      <c r="I323" s="3845"/>
      <c r="J323" s="3843"/>
      <c r="K323" s="4013"/>
      <c r="L323" s="3874"/>
      <c r="M323" s="4013"/>
      <c r="N323" s="3922"/>
      <c r="O323" s="3920"/>
      <c r="P323" s="3969"/>
      <c r="Q323" s="3849">
        <v>0</v>
      </c>
      <c r="R323" s="3851">
        <v>0</v>
      </c>
      <c r="S323" s="3851">
        <v>0</v>
      </c>
      <c r="T323" s="3851">
        <v>0</v>
      </c>
      <c r="U323" s="3851">
        <v>0</v>
      </c>
      <c r="V323" s="3851">
        <v>-7944.2454930015592</v>
      </c>
      <c r="W323" s="3851">
        <f>'[26]מאזן בוחן צרפת'!W285</f>
        <v>0</v>
      </c>
      <c r="X323" s="3851">
        <f>'[27]מאזן בוחן צרפת'!X285</f>
        <v>0</v>
      </c>
      <c r="Y323" s="3851">
        <f>'[28]מאזן בוחן צרפת'!Y285</f>
        <v>0</v>
      </c>
      <c r="Z323" s="3851">
        <f>'[29]מאזן בוחן צרפת'!Z286</f>
        <v>0</v>
      </c>
      <c r="AA323" s="3851">
        <f>'[30]מאזן בוחן צרפת'!AA287</f>
        <v>0</v>
      </c>
      <c r="AB323" s="3851">
        <f>'[31]מאזן בוחן צרפת'!AB289</f>
        <v>0</v>
      </c>
      <c r="AC323" s="3851">
        <v>0</v>
      </c>
      <c r="AD323" s="3851">
        <f>$K323-SUM($W323:AC323)</f>
        <v>0</v>
      </c>
      <c r="AE323" s="3851">
        <v>0</v>
      </c>
      <c r="AF323" s="3851">
        <v>0</v>
      </c>
      <c r="AG323" s="3851">
        <v>0</v>
      </c>
      <c r="AH323" s="3851">
        <f>$K323-SUM($W323:AG323)</f>
        <v>0</v>
      </c>
      <c r="AI323" s="3851"/>
      <c r="AJ323" s="3851"/>
      <c r="AK323" s="3851"/>
      <c r="AL323" s="3851"/>
      <c r="AM323" s="3851"/>
      <c r="AN323" s="3851"/>
      <c r="AO323" s="3851"/>
      <c r="AP323" s="3851"/>
      <c r="AQ323" s="3851"/>
      <c r="AR323" s="3851"/>
      <c r="AS323" s="3851"/>
      <c r="AU323" s="3849"/>
      <c r="BA323" s="3849"/>
      <c r="BB323" s="3849"/>
      <c r="BI323" s="4040"/>
      <c r="BT323" s="3849"/>
    </row>
    <row r="324" spans="1:73">
      <c r="B324" s="3656"/>
      <c r="C324" s="1870"/>
      <c r="D324" s="1886" t="s">
        <v>100</v>
      </c>
      <c r="E324" s="1882">
        <f t="shared" ref="E324:K324" si="70">SUM(E319:E323)</f>
        <v>10381.369999999999</v>
      </c>
      <c r="F324" s="1901">
        <f t="shared" si="70"/>
        <v>0</v>
      </c>
      <c r="G324" s="1862">
        <f t="shared" si="70"/>
        <v>0</v>
      </c>
      <c r="H324" s="1862">
        <f t="shared" si="70"/>
        <v>0</v>
      </c>
      <c r="I324" s="1862">
        <f t="shared" si="70"/>
        <v>0</v>
      </c>
      <c r="J324" s="1883">
        <f t="shared" si="70"/>
        <v>10381.369999999999</v>
      </c>
      <c r="K324" s="1883">
        <f t="shared" si="70"/>
        <v>-131063.7</v>
      </c>
      <c r="L324" s="1884"/>
      <c r="M324" s="1883">
        <f>SUM(M319:M323)</f>
        <v>-131063.7</v>
      </c>
      <c r="N324" s="3922"/>
      <c r="O324" s="3920"/>
      <c r="P324" s="3969"/>
      <c r="Q324" s="3849">
        <v>0</v>
      </c>
      <c r="R324" s="3851">
        <v>-789.09</v>
      </c>
      <c r="S324" s="3851">
        <v>475.74000000000007</v>
      </c>
      <c r="T324" s="3851">
        <v>-4120.8</v>
      </c>
      <c r="U324" s="3851">
        <v>-9513.869999999999</v>
      </c>
      <c r="V324" s="3851">
        <v>0</v>
      </c>
      <c r="W324" s="3851">
        <f>'[26]מאזן בוחן צרפת'!W286</f>
        <v>13454.13</v>
      </c>
      <c r="X324" s="3851">
        <f>'[27]מאזן בוחן צרפת'!X286</f>
        <v>-10430.84</v>
      </c>
      <c r="Y324" s="3851">
        <f>'[28]מאזן בוחן צרפת'!Y286</f>
        <v>40365.96</v>
      </c>
      <c r="Z324" s="3851">
        <f>'[29]מאזן בוחן צרפת'!Z287</f>
        <v>-4533.3753253613759</v>
      </c>
      <c r="AA324" s="3851">
        <f>'[30]מאזן בוחן צרפת'!AA288</f>
        <v>12176.755001937054</v>
      </c>
      <c r="AB324" s="3851">
        <f>'[31]מאזן בוחן צרפת'!AB290</f>
        <v>-16329.699676575678</v>
      </c>
      <c r="AC324" s="3851">
        <v>-3243.7700000000004</v>
      </c>
      <c r="AD324" s="3851">
        <f>$K324-SUM($W324:AC324)</f>
        <v>-162522.85999999999</v>
      </c>
      <c r="AE324" s="3851">
        <v>0</v>
      </c>
      <c r="AF324" s="3851">
        <v>0</v>
      </c>
      <c r="AG324" s="3851">
        <v>0</v>
      </c>
      <c r="AH324" s="3851">
        <f>$K324-SUM($W324:AG324)</f>
        <v>0</v>
      </c>
      <c r="AI324" s="3851"/>
      <c r="AJ324" s="3851"/>
      <c r="AK324" s="3851"/>
      <c r="AL324" s="3851"/>
      <c r="AM324" s="3851"/>
      <c r="AN324" s="3851"/>
      <c r="AO324" s="3851"/>
      <c r="AP324" s="3851"/>
      <c r="AQ324" s="3851"/>
      <c r="AR324" s="3851"/>
      <c r="AS324" s="3851"/>
      <c r="AU324" s="3849"/>
      <c r="BA324" s="3849"/>
      <c r="BB324" s="3849"/>
      <c r="BS324" s="3849"/>
      <c r="BT324" s="4040"/>
    </row>
    <row r="325" spans="1:73">
      <c r="C325" s="3936"/>
      <c r="E325" s="4039"/>
      <c r="F325" s="4043"/>
      <c r="G325" s="4044"/>
      <c r="H325" s="4043"/>
      <c r="I325" s="4044"/>
      <c r="J325" s="4043"/>
      <c r="K325" s="4044"/>
      <c r="L325" s="3874"/>
      <c r="M325" s="3851"/>
      <c r="N325" s="3922"/>
      <c r="O325" s="3920"/>
      <c r="P325" s="3969"/>
      <c r="Q325" s="3849">
        <v>0</v>
      </c>
      <c r="R325" s="3851">
        <v>0</v>
      </c>
      <c r="S325" s="3851">
        <v>0</v>
      </c>
      <c r="T325" s="3851">
        <v>-321.91000000000014</v>
      </c>
      <c r="U325" s="3851">
        <v>321.91000000000014</v>
      </c>
      <c r="V325" s="3851">
        <v>0</v>
      </c>
      <c r="W325" s="3851">
        <f>'[26]מאזן בוחן צרפת'!W287</f>
        <v>0</v>
      </c>
      <c r="X325" s="3851">
        <f>'[27]מאזן בוחן צרפת'!X287</f>
        <v>0</v>
      </c>
      <c r="Y325" s="3851">
        <f>'[28]מאזן בוחן צרפת'!Y287</f>
        <v>0</v>
      </c>
      <c r="Z325" s="3851">
        <f>'[29]מאזן בוחן צרפת'!Z288</f>
        <v>0</v>
      </c>
      <c r="AA325" s="3851">
        <f>'[30]מאזן בוחן צרפת'!AA289</f>
        <v>0</v>
      </c>
      <c r="AB325" s="3851">
        <f>'[31]מאזן בוחן צרפת'!AB291</f>
        <v>0</v>
      </c>
      <c r="AC325" s="3851">
        <v>0</v>
      </c>
      <c r="AD325" s="3851"/>
      <c r="AE325" s="3851"/>
      <c r="AF325" s="3851"/>
      <c r="AG325" s="3851"/>
      <c r="AH325" s="3851"/>
      <c r="AI325" s="3851"/>
      <c r="AJ325" s="3851"/>
      <c r="AK325" s="3851"/>
      <c r="AL325" s="3851"/>
      <c r="AM325" s="3851"/>
      <c r="AN325" s="3851"/>
      <c r="AO325" s="3851"/>
      <c r="AP325" s="3851"/>
      <c r="AQ325" s="3851"/>
      <c r="AR325" s="3851"/>
      <c r="AS325" s="3851"/>
      <c r="AU325" s="3849"/>
      <c r="BA325" s="3849"/>
      <c r="BB325" s="3849"/>
      <c r="BG325" s="4040"/>
      <c r="BS325" s="3849"/>
      <c r="BT325" s="4040"/>
    </row>
    <row r="326" spans="1:73" ht="13.5" thickBot="1">
      <c r="C326" s="3936"/>
      <c r="F326" s="3980"/>
      <c r="G326" s="3981"/>
      <c r="H326" s="3980"/>
      <c r="I326" s="3981"/>
      <c r="K326" s="3981"/>
      <c r="L326" s="3874"/>
      <c r="M326" s="3851"/>
      <c r="N326" s="3922"/>
      <c r="O326" s="3920"/>
      <c r="P326" s="3969"/>
      <c r="AU326" s="3849"/>
      <c r="AX326" s="3849"/>
      <c r="BA326" s="3849"/>
      <c r="BB326" s="3849"/>
      <c r="BG326" s="4040"/>
      <c r="BT326" s="4040"/>
    </row>
    <row r="327" spans="1:73">
      <c r="C327" s="4045"/>
      <c r="D327" s="1910" t="s">
        <v>101</v>
      </c>
      <c r="E327" s="1911">
        <f t="shared" ref="E327:K327" si="71">E334+E174+E87</f>
        <v>0</v>
      </c>
      <c r="F327" s="1911">
        <f t="shared" si="71"/>
        <v>0</v>
      </c>
      <c r="G327" s="1911">
        <f t="shared" si="71"/>
        <v>0</v>
      </c>
      <c r="H327" s="1911">
        <f t="shared" si="71"/>
        <v>0</v>
      </c>
      <c r="I327" s="1911">
        <f t="shared" si="71"/>
        <v>0</v>
      </c>
      <c r="J327" s="1911">
        <f t="shared" si="71"/>
        <v>0</v>
      </c>
      <c r="K327" s="1911">
        <f t="shared" si="71"/>
        <v>0</v>
      </c>
      <c r="L327" s="4046"/>
      <c r="M327" s="1912">
        <f>M334+M174+M87</f>
        <v>0</v>
      </c>
      <c r="N327" s="3922"/>
      <c r="O327" s="3920"/>
      <c r="P327" s="3969"/>
      <c r="AU327" s="3849"/>
      <c r="AX327" s="3849"/>
      <c r="BA327" s="3849"/>
      <c r="BB327" s="3849"/>
      <c r="BG327" s="4040"/>
      <c r="BT327" s="4040"/>
    </row>
    <row r="328" spans="1:73" ht="13.5" thickBot="1">
      <c r="C328" s="4045"/>
      <c r="D328" s="4047"/>
      <c r="E328" s="1913">
        <f>E327/2</f>
        <v>0</v>
      </c>
      <c r="F328" s="1913">
        <f t="shared" ref="F328:K328" si="72">F327/2</f>
        <v>0</v>
      </c>
      <c r="G328" s="1913">
        <f t="shared" si="72"/>
        <v>0</v>
      </c>
      <c r="H328" s="1913">
        <f t="shared" si="72"/>
        <v>0</v>
      </c>
      <c r="I328" s="1913">
        <f t="shared" si="72"/>
        <v>0</v>
      </c>
      <c r="J328" s="1913">
        <f t="shared" si="72"/>
        <v>0</v>
      </c>
      <c r="K328" s="1913">
        <f t="shared" si="72"/>
        <v>0</v>
      </c>
      <c r="L328" s="4048"/>
      <c r="M328" s="1914">
        <f>M327/2</f>
        <v>0</v>
      </c>
      <c r="N328" s="3922"/>
      <c r="O328" s="3920"/>
      <c r="P328" s="3969"/>
      <c r="AU328" s="3849"/>
      <c r="AW328" s="3849"/>
      <c r="AX328" s="3849"/>
      <c r="BA328" s="3849"/>
      <c r="BB328" s="3849"/>
      <c r="BG328" s="4040"/>
      <c r="BH328" s="4040"/>
    </row>
    <row r="329" spans="1:73">
      <c r="A329" s="3852" t="s">
        <v>169</v>
      </c>
      <c r="C329" s="3892"/>
      <c r="K329" s="3875"/>
      <c r="L329" s="3874"/>
      <c r="M329" s="3851"/>
      <c r="N329" s="3922"/>
      <c r="O329" s="3920"/>
      <c r="P329" s="3969"/>
      <c r="AU329" s="3849"/>
      <c r="AW329" s="3849"/>
      <c r="BA329" s="3849"/>
      <c r="BB329" s="3849"/>
      <c r="BH329" s="4040"/>
      <c r="BU329" s="4040"/>
    </row>
    <row r="330" spans="1:73">
      <c r="C330" s="3892"/>
      <c r="K330" s="3875"/>
      <c r="L330" s="3874"/>
      <c r="M330" s="3851"/>
      <c r="N330" s="3922"/>
      <c r="O330" s="3920"/>
      <c r="P330" s="3969"/>
      <c r="AU330" s="3849"/>
      <c r="AW330" s="3849"/>
      <c r="BA330" s="3849"/>
      <c r="BB330" s="3849"/>
      <c r="BH330" s="4040"/>
      <c r="BU330" s="4040"/>
    </row>
    <row r="331" spans="1:73">
      <c r="C331" s="3892"/>
      <c r="K331" s="3875"/>
      <c r="L331" s="3874"/>
      <c r="M331" s="3851"/>
      <c r="N331" s="3922"/>
      <c r="O331" s="3920"/>
      <c r="P331" s="3969"/>
      <c r="AU331" s="3849"/>
      <c r="AW331" s="3849"/>
      <c r="BA331" s="3849"/>
      <c r="BB331" s="3849"/>
      <c r="BH331" s="4040"/>
      <c r="BU331" s="4040"/>
    </row>
    <row r="332" spans="1:73">
      <c r="C332" s="3892"/>
      <c r="K332" s="3875"/>
      <c r="L332" s="3874"/>
      <c r="M332" s="3851"/>
      <c r="N332" s="3922"/>
      <c r="O332" s="3920"/>
      <c r="P332" s="3969"/>
      <c r="AU332" s="3849"/>
      <c r="AW332" s="3849"/>
      <c r="BA332" s="3849"/>
      <c r="BB332" s="3849"/>
      <c r="BH332" s="4040"/>
      <c r="BU332" s="4040"/>
    </row>
    <row r="333" spans="1:73">
      <c r="C333" s="3936"/>
      <c r="J333" s="3934"/>
      <c r="L333" s="3874"/>
      <c r="M333" s="3851"/>
      <c r="N333" s="4049"/>
      <c r="O333" s="4050"/>
      <c r="P333" s="3969"/>
      <c r="AU333" s="3849"/>
      <c r="AW333" s="3849"/>
      <c r="BA333" s="3849"/>
      <c r="BB333" s="3849"/>
    </row>
    <row r="334" spans="1:73">
      <c r="C334" s="3936"/>
      <c r="D334" s="1836" t="s">
        <v>610</v>
      </c>
      <c r="E334" s="3875">
        <f>E198+E218+E243+E310+E317+E324</f>
        <v>-32037.549999999927</v>
      </c>
      <c r="F334" s="3875">
        <f>F198+F218+F243+F310+F317+F324</f>
        <v>0</v>
      </c>
      <c r="H334" s="3875"/>
      <c r="J334" s="3875">
        <f>J198+J218+J243+J310+J317+J324</f>
        <v>-32037.549999999927</v>
      </c>
      <c r="K334" s="3875">
        <f>K198+K218+K243+K310+K317+K324</f>
        <v>-181704.01000000062</v>
      </c>
      <c r="L334" s="4051"/>
      <c r="M334" s="3875">
        <f>M198+M218+M243+M310+M317+M324</f>
        <v>-181704.01000000062</v>
      </c>
      <c r="N334" s="4049"/>
      <c r="O334" s="4050"/>
      <c r="P334" s="3969"/>
      <c r="AU334" s="3849"/>
      <c r="AW334" s="3849"/>
      <c r="BA334" s="3849"/>
      <c r="BB334" s="3849"/>
    </row>
    <row r="335" spans="1:73">
      <c r="C335" s="3936"/>
      <c r="J335" s="3875"/>
      <c r="K335" s="4012"/>
      <c r="L335" s="4051"/>
      <c r="M335" s="3851"/>
      <c r="N335" s="4052"/>
      <c r="O335" s="4050"/>
      <c r="AU335" s="3849"/>
      <c r="AW335" s="3849"/>
      <c r="BA335" s="3849"/>
      <c r="BB335" s="3849"/>
    </row>
    <row r="336" spans="1:73">
      <c r="C336" s="3936"/>
      <c r="J336" s="3875"/>
      <c r="L336" s="3874"/>
      <c r="M336" s="3851"/>
      <c r="N336" s="4052"/>
      <c r="O336" s="4050"/>
      <c r="AU336" s="3849"/>
      <c r="AW336" s="3849"/>
      <c r="BB336" s="3849"/>
    </row>
    <row r="337" spans="1:54">
      <c r="C337" s="3936"/>
      <c r="D337" s="4053" t="s">
        <v>84</v>
      </c>
      <c r="J337" s="3876">
        <f>J198</f>
        <v>-2406776.2399999998</v>
      </c>
      <c r="K337" s="3876">
        <f>K198</f>
        <v>-2836751.0400000005</v>
      </c>
      <c r="L337" s="3874"/>
      <c r="M337" s="4054"/>
      <c r="N337" s="4052"/>
      <c r="O337" s="4055"/>
      <c r="P337" s="4056"/>
      <c r="AU337" s="3849"/>
      <c r="AW337" s="3849"/>
      <c r="BB337" s="3849"/>
    </row>
    <row r="338" spans="1:54">
      <c r="C338" s="3936"/>
      <c r="D338" s="4053" t="s">
        <v>576</v>
      </c>
      <c r="J338" s="3875">
        <f>J218-J213</f>
        <v>1161925.5999999999</v>
      </c>
      <c r="K338" s="3875">
        <f>K218-K213</f>
        <v>1390370.6800000002</v>
      </c>
      <c r="L338" s="3874"/>
      <c r="M338" s="4057"/>
      <c r="N338" s="4052"/>
      <c r="O338" s="4055"/>
      <c r="P338" s="4056"/>
      <c r="AU338" s="3849"/>
      <c r="AW338" s="3849"/>
      <c r="BB338" s="3849"/>
    </row>
    <row r="339" spans="1:54">
      <c r="A339" s="4058"/>
      <c r="C339" s="3936"/>
      <c r="D339" s="4053" t="s">
        <v>193</v>
      </c>
      <c r="J339" s="3875">
        <f>J243</f>
        <v>24565.21</v>
      </c>
      <c r="K339" s="3876">
        <f>K243</f>
        <v>28671.149999999998</v>
      </c>
      <c r="L339" s="3874"/>
      <c r="M339" s="3874"/>
      <c r="N339" s="3874"/>
      <c r="O339" s="4055"/>
      <c r="P339" s="4056"/>
      <c r="AU339" s="3849"/>
      <c r="AW339" s="3849"/>
      <c r="BB339" s="3849"/>
    </row>
    <row r="340" spans="1:54">
      <c r="A340" s="4058"/>
      <c r="C340" s="3936"/>
      <c r="D340" s="4053" t="s">
        <v>611</v>
      </c>
      <c r="J340" s="3875">
        <f>J310-J260</f>
        <v>1151015.01</v>
      </c>
      <c r="K340" s="3875">
        <f>K310-K260</f>
        <v>1336060.0799999998</v>
      </c>
      <c r="L340" s="3874"/>
      <c r="M340" s="4057"/>
      <c r="N340" s="4049"/>
      <c r="O340" s="4055"/>
      <c r="P340" s="4056"/>
      <c r="AU340" s="3849"/>
      <c r="AW340" s="3849"/>
      <c r="BB340" s="3849"/>
    </row>
    <row r="341" spans="1:54">
      <c r="C341" s="3936"/>
      <c r="D341" s="4053" t="s">
        <v>256</v>
      </c>
      <c r="J341" s="3875">
        <f>J317</f>
        <v>6247</v>
      </c>
      <c r="K341" s="3876">
        <f>K317</f>
        <v>7070.36</v>
      </c>
      <c r="L341" s="3874"/>
      <c r="M341" s="4057"/>
      <c r="N341" s="4049"/>
      <c r="O341" s="4055"/>
      <c r="P341" s="4056"/>
      <c r="AU341" s="3849"/>
      <c r="AW341" s="3849"/>
      <c r="BB341" s="3849"/>
    </row>
    <row r="342" spans="1:54">
      <c r="C342" s="3936"/>
      <c r="D342" s="4053" t="s">
        <v>616</v>
      </c>
      <c r="J342" s="3875">
        <f>J321</f>
        <v>9101</v>
      </c>
      <c r="K342" s="3876">
        <f>K321</f>
        <v>10730.36</v>
      </c>
      <c r="L342" s="3874"/>
      <c r="M342" s="4057"/>
      <c r="N342" s="4049"/>
      <c r="O342" s="4055"/>
      <c r="P342" s="4056"/>
      <c r="AU342" s="3849"/>
      <c r="AW342" s="3849"/>
      <c r="BB342" s="3849"/>
    </row>
    <row r="343" spans="1:54">
      <c r="C343" s="3936"/>
      <c r="D343" s="4053" t="s">
        <v>617</v>
      </c>
      <c r="J343" s="3876">
        <f>J260+J213</f>
        <v>20604.5</v>
      </c>
      <c r="K343" s="3876">
        <f>K260+K213</f>
        <v>23938.460000000003</v>
      </c>
      <c r="L343" s="3874"/>
      <c r="N343" s="4052"/>
      <c r="O343" s="4055"/>
      <c r="P343" s="4056"/>
      <c r="AU343" s="3849"/>
      <c r="AW343" s="3849"/>
      <c r="BB343" s="3849"/>
    </row>
    <row r="344" spans="1:54">
      <c r="C344" s="3936"/>
      <c r="D344" s="4053" t="s">
        <v>615</v>
      </c>
      <c r="J344" s="3875">
        <f>J322</f>
        <v>1280.3699999999999</v>
      </c>
      <c r="K344" s="3875">
        <f>K322</f>
        <v>-141794.06</v>
      </c>
      <c r="L344" s="3874"/>
      <c r="N344" s="4052"/>
      <c r="O344" s="4055"/>
      <c r="P344" s="4056"/>
      <c r="AU344" s="3849"/>
      <c r="AW344" s="3849"/>
      <c r="BB344" s="3849"/>
    </row>
    <row r="345" spans="1:54">
      <c r="C345" s="3936"/>
      <c r="J345" s="4059"/>
      <c r="K345" s="4060"/>
      <c r="L345" s="3874"/>
      <c r="N345" s="4052"/>
      <c r="O345" s="4050"/>
      <c r="AU345" s="3849"/>
      <c r="AW345" s="3849"/>
      <c r="BB345" s="3849"/>
    </row>
    <row r="346" spans="1:54" ht="13.5" thickBot="1">
      <c r="C346" s="3936"/>
      <c r="D346" s="1836"/>
      <c r="J346" s="1915">
        <f>SUM(J337:J345)</f>
        <v>-32037.549999999927</v>
      </c>
      <c r="K346" s="1915">
        <f>SUM(K337:K345)</f>
        <v>-181704.01000000059</v>
      </c>
      <c r="L346" s="3874"/>
      <c r="N346" s="4052"/>
      <c r="O346" s="4050"/>
      <c r="AU346" s="3849"/>
      <c r="AW346" s="3849"/>
      <c r="BB346" s="3849"/>
    </row>
    <row r="347" spans="1:54" ht="13.5" thickBot="1">
      <c r="C347" s="3936"/>
      <c r="D347" s="1836"/>
      <c r="I347" s="4051"/>
      <c r="J347" s="2590">
        <f>J346-J334</f>
        <v>0</v>
      </c>
      <c r="K347" s="2591">
        <f>K346-K334</f>
        <v>0</v>
      </c>
      <c r="L347" s="3874"/>
      <c r="N347" s="4052"/>
      <c r="O347" s="4050"/>
      <c r="AU347" s="3849"/>
      <c r="AW347" s="3849"/>
      <c r="BB347" s="3849"/>
    </row>
    <row r="348" spans="1:54">
      <c r="C348" s="3936"/>
      <c r="D348" s="1836"/>
      <c r="J348" s="1916"/>
      <c r="K348" s="1915"/>
      <c r="L348" s="3874"/>
      <c r="N348" s="4052"/>
      <c r="O348" s="4050"/>
      <c r="AU348" s="3849"/>
      <c r="AW348" s="3849"/>
      <c r="BB348" s="3849"/>
    </row>
    <row r="349" spans="1:54">
      <c r="C349" s="3936"/>
      <c r="D349" s="4053" t="s">
        <v>610</v>
      </c>
      <c r="J349" s="3875">
        <f>J334</f>
        <v>-32037.549999999927</v>
      </c>
      <c r="K349" s="3875">
        <f>K334</f>
        <v>-181704.01000000062</v>
      </c>
      <c r="L349" s="3874"/>
      <c r="N349" s="4052"/>
      <c r="O349" s="4050"/>
      <c r="AU349" s="3849"/>
      <c r="AW349" s="3849"/>
      <c r="BB349" s="3849"/>
    </row>
    <row r="350" spans="1:54">
      <c r="C350" s="3936"/>
      <c r="D350" s="4053" t="s">
        <v>1874</v>
      </c>
      <c r="J350" s="3875">
        <f>-J343</f>
        <v>-20604.5</v>
      </c>
      <c r="K350" s="3875">
        <f>-K343</f>
        <v>-23938.460000000003</v>
      </c>
      <c r="L350" s="3874"/>
      <c r="N350" s="4052"/>
      <c r="O350" s="4050"/>
      <c r="AU350" s="3849"/>
      <c r="AW350" s="3849"/>
      <c r="BB350" s="3849"/>
    </row>
    <row r="351" spans="1:54">
      <c r="C351" s="3936"/>
      <c r="D351" s="4053" t="s">
        <v>256</v>
      </c>
      <c r="J351" s="3941">
        <f>-J341</f>
        <v>-6247</v>
      </c>
      <c r="K351" s="3941">
        <f>-K341</f>
        <v>-7070.36</v>
      </c>
      <c r="L351" s="3874"/>
      <c r="N351" s="4052"/>
      <c r="O351" s="4050"/>
      <c r="AU351" s="3849"/>
      <c r="AW351" s="3849"/>
      <c r="BB351" s="3849"/>
    </row>
    <row r="352" spans="1:54">
      <c r="C352" s="3936"/>
      <c r="D352" s="4053" t="s">
        <v>615</v>
      </c>
      <c r="J352" s="4061">
        <f>-J344</f>
        <v>-1280.3699999999999</v>
      </c>
      <c r="K352" s="4060">
        <f>-K344</f>
        <v>141794.06</v>
      </c>
      <c r="L352" s="3874"/>
      <c r="N352" s="4052"/>
      <c r="O352" s="4050"/>
      <c r="AU352" s="3849"/>
      <c r="AW352" s="3849"/>
      <c r="BB352" s="3849"/>
    </row>
    <row r="353" spans="1:54" ht="13.5" thickBot="1">
      <c r="C353" s="3936"/>
      <c r="J353" s="3876"/>
      <c r="L353" s="3874"/>
      <c r="N353" s="4052"/>
      <c r="O353" s="4050"/>
      <c r="AU353" s="3849"/>
      <c r="AW353" s="3849"/>
      <c r="BB353" s="3849"/>
    </row>
    <row r="354" spans="1:54" ht="13.5" thickBot="1">
      <c r="C354" s="3936"/>
      <c r="D354" s="4053" t="s">
        <v>1873</v>
      </c>
      <c r="G354" s="4051"/>
      <c r="H354" s="2626">
        <f>J354/J337</f>
        <v>2.500000581690965E-2</v>
      </c>
      <c r="I354" s="4004"/>
      <c r="J354" s="3875">
        <f>SUM(J349:J353)</f>
        <v>-60169.419999999933</v>
      </c>
      <c r="K354" s="4051">
        <f>SUM(K349:K353)</f>
        <v>-70918.770000000601</v>
      </c>
      <c r="L354" s="2626">
        <f>K354/K337</f>
        <v>2.4999997884904483E-2</v>
      </c>
      <c r="M354" s="4057"/>
      <c r="N354" s="4052"/>
      <c r="O354" s="3920"/>
      <c r="AU354" s="3849"/>
      <c r="AW354" s="3849"/>
      <c r="BB354" s="3849"/>
    </row>
    <row r="355" spans="1:54">
      <c r="C355" s="3936"/>
      <c r="L355" s="3874"/>
      <c r="N355" s="4052"/>
      <c r="O355" s="3920"/>
      <c r="AU355" s="3849"/>
      <c r="AW355" s="3849"/>
      <c r="BB355" s="3849"/>
    </row>
    <row r="356" spans="1:54">
      <c r="C356" s="3936"/>
      <c r="L356" s="3874"/>
      <c r="N356" s="4052"/>
      <c r="O356" s="3920"/>
      <c r="AU356" s="3849"/>
      <c r="AW356" s="3849"/>
      <c r="BB356" s="3849"/>
    </row>
    <row r="357" spans="1:54" ht="13.5" thickBot="1">
      <c r="C357" s="3936"/>
      <c r="L357" s="3874"/>
      <c r="N357" s="4052"/>
      <c r="O357" s="3920"/>
      <c r="AU357" s="3849"/>
      <c r="AW357" s="3849"/>
      <c r="BB357" s="3849"/>
    </row>
    <row r="358" spans="1:54">
      <c r="C358" s="4084"/>
      <c r="D358" s="1910" t="s">
        <v>4842</v>
      </c>
      <c r="E358" s="3978">
        <f>E334+'[19]מאזן בוחן צרפת'!$E$294</f>
        <v>422353.22000000003</v>
      </c>
      <c r="F358" s="3978">
        <f>F334+'[19]מאזן בוחן צרפת'!$F$294</f>
        <v>0</v>
      </c>
      <c r="G358" s="3978"/>
      <c r="H358" s="3978"/>
      <c r="I358" s="3978"/>
      <c r="J358" s="3978">
        <f>J334+'[19]מאזן בוחן צרפת'!J294</f>
        <v>422353.22000000003</v>
      </c>
      <c r="K358" s="3978">
        <f>K334+'[19]מאזן בוחן צרפת'!$K$294</f>
        <v>347185.93999999936</v>
      </c>
      <c r="L358" s="4085"/>
      <c r="M358" s="4086">
        <f>M334+'[19]מאזן בוחן צרפת'!$M$294</f>
        <v>347185.93999999936</v>
      </c>
      <c r="N358" s="4052"/>
      <c r="O358" s="3920"/>
      <c r="AU358" s="3849"/>
      <c r="AW358" s="3849"/>
      <c r="BB358" s="3849"/>
    </row>
    <row r="359" spans="1:54">
      <c r="C359" s="4084"/>
      <c r="D359" s="4087"/>
      <c r="J359" s="3875"/>
      <c r="K359" s="4012"/>
      <c r="L359" s="4051"/>
      <c r="M359" s="3948"/>
      <c r="N359" s="4052"/>
      <c r="O359" s="4050"/>
      <c r="AU359" s="3849"/>
      <c r="AW359" s="3849"/>
      <c r="BB359" s="3849"/>
    </row>
    <row r="360" spans="1:54">
      <c r="A360" s="4063"/>
      <c r="B360" s="4064"/>
      <c r="C360" s="4084"/>
      <c r="D360" s="4087"/>
      <c r="J360" s="3875"/>
      <c r="L360" s="3874"/>
      <c r="M360" s="3948"/>
      <c r="N360" s="4052"/>
      <c r="O360" s="4050"/>
      <c r="AU360" s="3849"/>
      <c r="AW360" s="3849"/>
      <c r="BB360" s="3849"/>
    </row>
    <row r="361" spans="1:54">
      <c r="A361" s="4063"/>
      <c r="B361" s="4064"/>
      <c r="C361" s="4084"/>
      <c r="D361" s="4088" t="s">
        <v>84</v>
      </c>
      <c r="J361" s="3875">
        <f>J337+'[19]מאזן בוחן צרפת'!J297</f>
        <v>-2980943.91</v>
      </c>
      <c r="K361" s="3875">
        <f>K337+'[19]מאזן בוחן צרפת'!K297</f>
        <v>-3521610.9000000004</v>
      </c>
      <c r="L361" s="3874"/>
      <c r="M361" s="4089"/>
      <c r="N361" s="4052"/>
      <c r="O361" s="3920"/>
      <c r="AU361" s="3849"/>
      <c r="AW361" s="3849"/>
      <c r="BB361" s="3849"/>
    </row>
    <row r="362" spans="1:54">
      <c r="A362" s="4063"/>
      <c r="B362" s="4064"/>
      <c r="C362" s="4084"/>
      <c r="D362" s="4088" t="s">
        <v>576</v>
      </c>
      <c r="J362" s="3875">
        <f>J338+'[19]מאזן בוחן צרפת'!J298</f>
        <v>1492665.5699999998</v>
      </c>
      <c r="K362" s="3875">
        <f>K338+'[19]מאזן בוחן צרפת'!K298</f>
        <v>1788438.6400000001</v>
      </c>
      <c r="L362" s="3874"/>
      <c r="M362" s="4089"/>
      <c r="N362" s="4052"/>
      <c r="O362" s="3920"/>
      <c r="AU362" s="3849"/>
      <c r="AW362" s="3849"/>
      <c r="BB362" s="3849"/>
    </row>
    <row r="363" spans="1:54">
      <c r="A363" s="4063"/>
      <c r="B363" s="4064"/>
      <c r="C363" s="4084"/>
      <c r="D363" s="4088" t="s">
        <v>193</v>
      </c>
      <c r="J363" s="3875">
        <f>J339+'[19]מאזן בוחן צרפת'!J299</f>
        <v>34382.410000000003</v>
      </c>
      <c r="K363" s="3875">
        <f>K339+'[19]מאזן בוחן צרפת'!K299</f>
        <v>40385.049999999996</v>
      </c>
      <c r="L363" s="3874"/>
      <c r="M363" s="3951"/>
      <c r="N363" s="4052"/>
      <c r="O363" s="4065"/>
      <c r="AU363" s="3849"/>
      <c r="AW363" s="3849"/>
      <c r="BB363" s="3849"/>
    </row>
    <row r="364" spans="1:54">
      <c r="A364" s="4063"/>
      <c r="B364" s="4064"/>
      <c r="C364" s="4084"/>
      <c r="D364" s="4088" t="s">
        <v>611</v>
      </c>
      <c r="J364" s="3875">
        <f>J340+'[19]מאזן בוחן צרפת'!J300</f>
        <v>1829258.28</v>
      </c>
      <c r="K364" s="3875">
        <f>K340+'[19]מאזן בוחן צרפת'!K300</f>
        <v>2151975.67</v>
      </c>
      <c r="L364" s="3874"/>
      <c r="M364" s="4089"/>
      <c r="N364" s="4052"/>
      <c r="O364" s="4065"/>
      <c r="AU364" s="3849"/>
      <c r="AW364" s="3849"/>
      <c r="BB364" s="3849"/>
    </row>
    <row r="365" spans="1:54">
      <c r="A365" s="4063"/>
      <c r="B365" s="4064"/>
      <c r="C365" s="4084"/>
      <c r="D365" s="4088" t="s">
        <v>256</v>
      </c>
      <c r="J365" s="3875">
        <f>J341+'[19]מאזן בוחן צרפת'!J301</f>
        <v>6247</v>
      </c>
      <c r="K365" s="3875">
        <f>K341+'[19]מאזן בוחן צרפת'!K301</f>
        <v>7070.36</v>
      </c>
      <c r="L365" s="3874"/>
      <c r="M365" s="4089"/>
      <c r="N365" s="4052"/>
      <c r="O365" s="4065"/>
      <c r="AU365" s="3849"/>
      <c r="AW365" s="3849"/>
      <c r="BB365" s="3849"/>
    </row>
    <row r="366" spans="1:54">
      <c r="A366" s="4063"/>
      <c r="B366" s="4064"/>
      <c r="C366" s="4084"/>
      <c r="D366" s="4088" t="s">
        <v>616</v>
      </c>
      <c r="J366" s="3875">
        <f>J342+'[19]מאזן בוחן צרפת'!J302</f>
        <v>10753.91</v>
      </c>
      <c r="K366" s="3875">
        <f>K342+'[19]מאזן בוחן צרפת'!K302</f>
        <v>12717.810000000001</v>
      </c>
      <c r="L366" s="3874"/>
      <c r="M366" s="4089"/>
      <c r="N366" s="4052"/>
      <c r="O366" s="4065"/>
      <c r="AU366" s="3849"/>
      <c r="AW366" s="3849"/>
      <c r="BB366" s="3849"/>
    </row>
    <row r="367" spans="1:54">
      <c r="A367" s="4063"/>
      <c r="B367" s="4064"/>
      <c r="C367" s="4084"/>
      <c r="D367" s="4088" t="s">
        <v>617</v>
      </c>
      <c r="J367" s="3875">
        <f>J343+'[19]מאזן בוחן צרפת'!J303</f>
        <v>28923.16</v>
      </c>
      <c r="K367" s="3875">
        <f>K343+'[19]מאזן בוחן צרפת'!K303</f>
        <v>33883.090000000004</v>
      </c>
      <c r="L367" s="3874"/>
      <c r="M367" s="3948"/>
      <c r="N367" s="4052"/>
      <c r="O367" s="4065"/>
      <c r="AU367" s="3849"/>
      <c r="AW367" s="3849"/>
      <c r="BB367" s="3849"/>
    </row>
    <row r="368" spans="1:54">
      <c r="A368" s="4063"/>
      <c r="B368" s="4064"/>
      <c r="C368" s="4084"/>
      <c r="D368" s="4088" t="s">
        <v>615</v>
      </c>
      <c r="J368" s="3875">
        <f>J344+'[19]מאזן בוחן צרפת'!J304</f>
        <v>1066.8</v>
      </c>
      <c r="K368" s="3875">
        <f>K344+'[19]מאזן בוחן צרפת'!K304</f>
        <v>-165673.78</v>
      </c>
      <c r="L368" s="3874"/>
      <c r="M368" s="3948"/>
      <c r="N368" s="4052"/>
      <c r="O368" s="4065"/>
      <c r="AU368" s="3849"/>
      <c r="AW368" s="3849"/>
      <c r="BB368" s="3849"/>
    </row>
    <row r="369" spans="1:131">
      <c r="A369" s="4063"/>
      <c r="B369" s="4064"/>
      <c r="C369" s="4084"/>
      <c r="D369" s="4087"/>
      <c r="J369" s="4059"/>
      <c r="K369" s="4060"/>
      <c r="L369" s="3874"/>
      <c r="M369" s="3948"/>
      <c r="AU369" s="3849"/>
      <c r="AW369" s="3849"/>
      <c r="BB369" s="3849"/>
    </row>
    <row r="370" spans="1:131" ht="13.5" thickBot="1">
      <c r="A370" s="4063"/>
      <c r="B370" s="4064"/>
      <c r="C370" s="4084"/>
      <c r="D370" s="4090"/>
      <c r="J370" s="1915">
        <f>SUM(J361:J369)</f>
        <v>422353.21999999956</v>
      </c>
      <c r="K370" s="1915">
        <f>SUM(K361:K369)</f>
        <v>347185.93999999971</v>
      </c>
      <c r="L370" s="3874"/>
      <c r="M370" s="3948"/>
      <c r="N370" s="4052"/>
      <c r="O370" s="4065"/>
      <c r="AU370" s="3849"/>
      <c r="AW370" s="3849"/>
      <c r="BB370" s="3849"/>
    </row>
    <row r="371" spans="1:131" ht="13.5" thickBot="1">
      <c r="A371" s="4063"/>
      <c r="B371" s="4064"/>
      <c r="C371" s="4084"/>
      <c r="D371" s="4090"/>
      <c r="I371" s="4051"/>
      <c r="J371" s="2590">
        <f>J370-J358</f>
        <v>-4.6566128730773926E-10</v>
      </c>
      <c r="K371" s="2591">
        <f>K370-K358</f>
        <v>0</v>
      </c>
      <c r="L371" s="3874"/>
      <c r="M371" s="3948"/>
      <c r="N371" s="4052"/>
      <c r="O371" s="4065"/>
      <c r="AU371" s="3849"/>
      <c r="AW371" s="3849"/>
      <c r="BB371" s="3849"/>
    </row>
    <row r="372" spans="1:131">
      <c r="A372" s="4063"/>
      <c r="B372" s="4064"/>
      <c r="C372" s="4084"/>
      <c r="D372" s="4090"/>
      <c r="J372" s="1916"/>
      <c r="K372" s="1915"/>
      <c r="L372" s="3874"/>
      <c r="M372" s="3948"/>
      <c r="N372" s="4052"/>
      <c r="O372" s="4065"/>
      <c r="AU372" s="3849"/>
      <c r="AW372" s="3849"/>
      <c r="BB372" s="3849"/>
    </row>
    <row r="373" spans="1:131">
      <c r="A373" s="4063"/>
      <c r="B373" s="4064"/>
      <c r="C373" s="4084"/>
      <c r="D373" s="4088" t="s">
        <v>610</v>
      </c>
      <c r="J373" s="3875">
        <f>J358</f>
        <v>422353.22000000003</v>
      </c>
      <c r="K373" s="3875">
        <f>K358</f>
        <v>347185.93999999936</v>
      </c>
      <c r="L373" s="3874"/>
      <c r="M373" s="3948"/>
      <c r="N373" s="4052"/>
      <c r="O373" s="4065"/>
      <c r="AU373" s="3849"/>
      <c r="AW373" s="3849"/>
      <c r="BB373" s="3849"/>
    </row>
    <row r="374" spans="1:131">
      <c r="A374" s="4063"/>
      <c r="B374" s="4064"/>
      <c r="C374" s="4084"/>
      <c r="D374" s="4088" t="s">
        <v>1874</v>
      </c>
      <c r="J374" s="3875">
        <f>-J367</f>
        <v>-28923.16</v>
      </c>
      <c r="K374" s="3875">
        <f>-K367</f>
        <v>-33883.090000000004</v>
      </c>
      <c r="L374" s="3874"/>
      <c r="M374" s="3948"/>
      <c r="N374" s="4052"/>
      <c r="O374" s="4065"/>
      <c r="AU374" s="3849"/>
      <c r="AW374" s="3849"/>
      <c r="BB374" s="3849"/>
    </row>
    <row r="375" spans="1:131">
      <c r="A375" s="4063"/>
      <c r="B375" s="4064"/>
      <c r="C375" s="4084"/>
      <c r="D375" s="4088" t="s">
        <v>256</v>
      </c>
      <c r="J375" s="3941">
        <v>0</v>
      </c>
      <c r="K375" s="3941">
        <v>0</v>
      </c>
      <c r="L375" s="3874"/>
      <c r="M375" s="3948"/>
      <c r="N375" s="4052"/>
      <c r="O375" s="4065"/>
      <c r="AU375" s="3849"/>
      <c r="AW375" s="3849"/>
      <c r="BB375" s="3849"/>
    </row>
    <row r="376" spans="1:131">
      <c r="A376" s="4063"/>
      <c r="B376" s="4064"/>
      <c r="C376" s="4084"/>
      <c r="D376" s="4088" t="s">
        <v>615</v>
      </c>
      <c r="J376" s="4060">
        <f>-J368</f>
        <v>-1066.8</v>
      </c>
      <c r="K376" s="4060">
        <f>-K368</f>
        <v>165673.78</v>
      </c>
      <c r="L376" s="3874"/>
      <c r="M376" s="3948"/>
      <c r="N376" s="4052"/>
      <c r="O376" s="4065"/>
      <c r="AU376" s="3849"/>
      <c r="AW376" s="3849"/>
      <c r="BB376" s="3849"/>
    </row>
    <row r="377" spans="1:131" ht="13.5" thickBot="1">
      <c r="A377" s="4063"/>
      <c r="B377" s="4064"/>
      <c r="C377" s="4084"/>
      <c r="D377" s="4087"/>
      <c r="J377" s="3876"/>
      <c r="L377" s="3874"/>
      <c r="M377" s="3948"/>
      <c r="N377" s="4052"/>
      <c r="O377" s="4065"/>
      <c r="AU377" s="3849"/>
      <c r="AW377" s="3849"/>
      <c r="BB377" s="3849"/>
    </row>
    <row r="378" spans="1:131" ht="13.5" thickBot="1">
      <c r="A378" s="4063"/>
      <c r="B378" s="4064"/>
      <c r="C378" s="4084"/>
      <c r="D378" s="4088" t="s">
        <v>1873</v>
      </c>
      <c r="G378" s="4051"/>
      <c r="H378" s="2626">
        <f>J378/J361</f>
        <v>-0.13162383186203597</v>
      </c>
      <c r="I378" s="4004"/>
      <c r="J378" s="3875">
        <f>SUM(J373:J377)</f>
        <v>392363.26000000007</v>
      </c>
      <c r="K378" s="4051">
        <f>SUM(K373:K377)</f>
        <v>478976.62999999931</v>
      </c>
      <c r="L378" s="2626">
        <f>K378/K361</f>
        <v>-0.13601066205241449</v>
      </c>
      <c r="M378" s="4089"/>
      <c r="N378" s="4052"/>
      <c r="O378" s="4065"/>
      <c r="AU378" s="3849"/>
      <c r="AW378" s="3849"/>
      <c r="BB378" s="3849"/>
    </row>
    <row r="379" spans="1:131" ht="13.5" thickBot="1">
      <c r="A379" s="4063"/>
      <c r="B379" s="4064"/>
      <c r="C379" s="4084"/>
      <c r="D379" s="4091"/>
      <c r="E379" s="4092"/>
      <c r="F379" s="4093"/>
      <c r="G379" s="4094"/>
      <c r="H379" s="4093"/>
      <c r="I379" s="4094"/>
      <c r="J379" s="4093"/>
      <c r="K379" s="4095"/>
      <c r="L379" s="4093"/>
      <c r="M379" s="4096"/>
      <c r="N379" s="4052"/>
      <c r="O379" s="4065"/>
      <c r="AU379" s="3849"/>
      <c r="AW379" s="3849"/>
      <c r="BB379" s="3849"/>
    </row>
    <row r="380" spans="1:131">
      <c r="A380" s="4063"/>
      <c r="B380" s="4064"/>
      <c r="C380" s="4062"/>
      <c r="L380" s="3874"/>
      <c r="AU380" s="3849"/>
      <c r="AW380" s="3849"/>
      <c r="BB380" s="3849"/>
    </row>
    <row r="381" spans="1:131">
      <c r="A381" s="4063"/>
      <c r="B381" s="4064"/>
      <c r="C381" s="4062"/>
      <c r="L381" s="3874"/>
      <c r="AU381" s="3849"/>
      <c r="AW381" s="3849"/>
      <c r="BB381" s="3849"/>
    </row>
    <row r="382" spans="1:131">
      <c r="A382" s="4063"/>
      <c r="B382" s="4064"/>
      <c r="C382" s="4062"/>
      <c r="L382" s="3874"/>
      <c r="N382" s="4052"/>
      <c r="O382" s="4065"/>
      <c r="AU382" s="3849"/>
      <c r="AW382" s="3849"/>
      <c r="BB382" s="3849"/>
    </row>
    <row r="383" spans="1:131">
      <c r="A383" s="4063"/>
      <c r="B383" s="4064"/>
      <c r="C383" s="4062"/>
      <c r="L383" s="3874"/>
      <c r="AU383" s="3849"/>
      <c r="AW383" s="3849"/>
      <c r="BB383" s="3849"/>
    </row>
    <row r="384" spans="1:131" s="3849" customFormat="1">
      <c r="A384" s="4063"/>
      <c r="B384" s="4064"/>
      <c r="C384" s="4062"/>
      <c r="D384" s="3893"/>
      <c r="E384" s="3883"/>
      <c r="F384" s="3874"/>
      <c r="G384" s="3875"/>
      <c r="H384" s="3874"/>
      <c r="I384" s="3875"/>
      <c r="J384" s="3874"/>
      <c r="K384" s="3876"/>
      <c r="L384" s="3874"/>
      <c r="N384" s="3846"/>
      <c r="O384" s="3847"/>
      <c r="P384" s="3853"/>
      <c r="AV384" s="3850"/>
      <c r="AX384" s="3850"/>
      <c r="AY384" s="3850"/>
      <c r="AZ384" s="3850"/>
      <c r="BA384" s="3850"/>
      <c r="BC384" s="3850"/>
      <c r="BD384" s="3850"/>
      <c r="BE384" s="3850"/>
      <c r="BF384" s="3850"/>
      <c r="BG384" s="3850"/>
      <c r="BH384" s="3850"/>
      <c r="BI384" s="3850"/>
      <c r="BJ384" s="3850"/>
      <c r="BK384" s="3850"/>
      <c r="BL384" s="3850"/>
      <c r="BM384" s="3850"/>
      <c r="BN384" s="3850"/>
      <c r="BO384" s="3850"/>
      <c r="BP384" s="3850"/>
      <c r="BQ384" s="3850"/>
      <c r="BR384" s="3850"/>
      <c r="BS384" s="3850"/>
      <c r="BT384" s="3850"/>
      <c r="BU384" s="3850"/>
      <c r="BV384" s="3850"/>
      <c r="BW384" s="3850"/>
      <c r="BX384" s="3850"/>
      <c r="BY384" s="3850"/>
      <c r="BZ384" s="3850"/>
      <c r="CA384" s="3850"/>
      <c r="CB384" s="3850"/>
      <c r="CC384" s="3850"/>
      <c r="CD384" s="3850"/>
      <c r="CE384" s="3850"/>
      <c r="CF384" s="3850"/>
      <c r="CG384" s="3850"/>
      <c r="CH384" s="3850"/>
      <c r="CI384" s="3850"/>
      <c r="CJ384" s="3850"/>
      <c r="CK384" s="3850"/>
      <c r="CL384" s="3850"/>
      <c r="CM384" s="3850"/>
      <c r="CN384" s="3850"/>
      <c r="CO384" s="3850"/>
      <c r="CP384" s="3850"/>
      <c r="CQ384" s="3850"/>
      <c r="CR384" s="3850"/>
      <c r="CS384" s="3850"/>
      <c r="CT384" s="3850"/>
      <c r="CU384" s="3850"/>
      <c r="CV384" s="3850"/>
      <c r="CW384" s="3850"/>
      <c r="CX384" s="3850"/>
      <c r="CY384" s="3850"/>
      <c r="CZ384" s="3850"/>
      <c r="DA384" s="3850"/>
      <c r="DB384" s="3850"/>
      <c r="DC384" s="3850"/>
      <c r="DD384" s="3850"/>
      <c r="DE384" s="3850"/>
      <c r="DF384" s="3850"/>
      <c r="DG384" s="3850"/>
      <c r="DH384" s="3850"/>
      <c r="DI384" s="3850"/>
      <c r="DJ384" s="3850"/>
      <c r="DK384" s="3850"/>
      <c r="DL384" s="3850"/>
      <c r="DM384" s="3850"/>
      <c r="DN384" s="3850"/>
      <c r="DO384" s="3850"/>
      <c r="DP384" s="3850"/>
      <c r="DQ384" s="3850"/>
      <c r="DR384" s="3850"/>
      <c r="DS384" s="3850"/>
      <c r="DT384" s="3850"/>
      <c r="DU384" s="3850"/>
      <c r="DV384" s="3850"/>
      <c r="DW384" s="3850"/>
      <c r="DX384" s="3850"/>
      <c r="DY384" s="3850"/>
      <c r="DZ384" s="3850"/>
      <c r="EA384" s="3850"/>
    </row>
    <row r="385" spans="1:131" s="3849" customFormat="1">
      <c r="A385" s="4063"/>
      <c r="B385" s="4064"/>
      <c r="C385" s="4062"/>
      <c r="D385" s="3893"/>
      <c r="E385" s="3883"/>
      <c r="F385" s="3874"/>
      <c r="G385" s="3875"/>
      <c r="H385" s="3874"/>
      <c r="I385" s="3875"/>
      <c r="J385" s="3874"/>
      <c r="K385" s="3876"/>
      <c r="L385" s="3874"/>
      <c r="N385" s="3846"/>
      <c r="O385" s="3847"/>
      <c r="P385" s="3853"/>
      <c r="AV385" s="3850"/>
      <c r="AX385" s="3850"/>
      <c r="AY385" s="3850"/>
      <c r="AZ385" s="3850"/>
      <c r="BA385" s="3850"/>
      <c r="BC385" s="3850"/>
      <c r="BD385" s="3850"/>
      <c r="BE385" s="3850"/>
      <c r="BF385" s="3850"/>
      <c r="BG385" s="3850"/>
      <c r="BH385" s="3850"/>
      <c r="BI385" s="3850"/>
      <c r="BJ385" s="3850"/>
      <c r="BK385" s="3850"/>
      <c r="BL385" s="3850"/>
      <c r="BM385" s="3850"/>
      <c r="BN385" s="3850"/>
      <c r="BO385" s="3850"/>
      <c r="BP385" s="3850"/>
      <c r="BQ385" s="3850"/>
      <c r="BR385" s="3850"/>
      <c r="BS385" s="3850"/>
      <c r="BT385" s="3850"/>
      <c r="BU385" s="3850"/>
      <c r="BV385" s="3850"/>
      <c r="BW385" s="3850"/>
      <c r="BX385" s="3850"/>
      <c r="BY385" s="3850"/>
      <c r="BZ385" s="3850"/>
      <c r="CA385" s="3850"/>
      <c r="CB385" s="3850"/>
      <c r="CC385" s="3850"/>
      <c r="CD385" s="3850"/>
      <c r="CE385" s="3850"/>
      <c r="CF385" s="3850"/>
      <c r="CG385" s="3850"/>
      <c r="CH385" s="3850"/>
      <c r="CI385" s="3850"/>
      <c r="CJ385" s="3850"/>
      <c r="CK385" s="3850"/>
      <c r="CL385" s="3850"/>
      <c r="CM385" s="3850"/>
      <c r="CN385" s="3850"/>
      <c r="CO385" s="3850"/>
      <c r="CP385" s="3850"/>
      <c r="CQ385" s="3850"/>
      <c r="CR385" s="3850"/>
      <c r="CS385" s="3850"/>
      <c r="CT385" s="3850"/>
      <c r="CU385" s="3850"/>
      <c r="CV385" s="3850"/>
      <c r="CW385" s="3850"/>
      <c r="CX385" s="3850"/>
      <c r="CY385" s="3850"/>
      <c r="CZ385" s="3850"/>
      <c r="DA385" s="3850"/>
      <c r="DB385" s="3850"/>
      <c r="DC385" s="3850"/>
      <c r="DD385" s="3850"/>
      <c r="DE385" s="3850"/>
      <c r="DF385" s="3850"/>
      <c r="DG385" s="3850"/>
      <c r="DH385" s="3850"/>
      <c r="DI385" s="3850"/>
      <c r="DJ385" s="3850"/>
      <c r="DK385" s="3850"/>
      <c r="DL385" s="3850"/>
      <c r="DM385" s="3850"/>
      <c r="DN385" s="3850"/>
      <c r="DO385" s="3850"/>
      <c r="DP385" s="3850"/>
      <c r="DQ385" s="3850"/>
      <c r="DR385" s="3850"/>
      <c r="DS385" s="3850"/>
      <c r="DT385" s="3850"/>
      <c r="DU385" s="3850"/>
      <c r="DV385" s="3850"/>
      <c r="DW385" s="3850"/>
      <c r="DX385" s="3850"/>
      <c r="DY385" s="3850"/>
      <c r="DZ385" s="3850"/>
      <c r="EA385" s="3850"/>
    </row>
    <row r="386" spans="1:131" s="3849" customFormat="1">
      <c r="A386" s="4063"/>
      <c r="B386" s="4064"/>
      <c r="C386" s="4066"/>
      <c r="D386" s="3893"/>
      <c r="E386" s="3883"/>
      <c r="F386" s="3874"/>
      <c r="G386" s="3875"/>
      <c r="H386" s="3874"/>
      <c r="I386" s="3875"/>
      <c r="J386" s="3874"/>
      <c r="K386" s="3876"/>
      <c r="L386" s="3874"/>
      <c r="N386" s="3846"/>
      <c r="O386" s="3847"/>
      <c r="P386" s="3853"/>
      <c r="AV386" s="3850"/>
      <c r="AX386" s="3850"/>
      <c r="AY386" s="3850"/>
      <c r="AZ386" s="3850"/>
      <c r="BA386" s="3850"/>
      <c r="BC386" s="3850"/>
      <c r="BD386" s="3850"/>
      <c r="BE386" s="3850"/>
      <c r="BF386" s="3850"/>
      <c r="BG386" s="3850"/>
      <c r="BH386" s="3850"/>
      <c r="BI386" s="3850"/>
      <c r="BJ386" s="3850"/>
      <c r="BK386" s="3850"/>
      <c r="BL386" s="3850"/>
      <c r="BM386" s="3850"/>
      <c r="BN386" s="3850"/>
      <c r="BO386" s="3850"/>
      <c r="BP386" s="3850"/>
      <c r="BQ386" s="3850"/>
      <c r="BR386" s="3850"/>
      <c r="BS386" s="3850"/>
      <c r="BT386" s="3850"/>
      <c r="BU386" s="3850"/>
      <c r="BV386" s="3850"/>
      <c r="BW386" s="3850"/>
      <c r="BX386" s="3850"/>
      <c r="BY386" s="3850"/>
      <c r="BZ386" s="3850"/>
      <c r="CA386" s="3850"/>
      <c r="CB386" s="3850"/>
      <c r="CC386" s="3850"/>
      <c r="CD386" s="3850"/>
      <c r="CE386" s="3850"/>
      <c r="CF386" s="3850"/>
      <c r="CG386" s="3850"/>
      <c r="CH386" s="3850"/>
      <c r="CI386" s="3850"/>
      <c r="CJ386" s="3850"/>
      <c r="CK386" s="3850"/>
      <c r="CL386" s="3850"/>
      <c r="CM386" s="3850"/>
      <c r="CN386" s="3850"/>
      <c r="CO386" s="3850"/>
      <c r="CP386" s="3850"/>
      <c r="CQ386" s="3850"/>
      <c r="CR386" s="3850"/>
      <c r="CS386" s="3850"/>
      <c r="CT386" s="3850"/>
      <c r="CU386" s="3850"/>
      <c r="CV386" s="3850"/>
      <c r="CW386" s="3850"/>
      <c r="CX386" s="3850"/>
      <c r="CY386" s="3850"/>
      <c r="CZ386" s="3850"/>
      <c r="DA386" s="3850"/>
      <c r="DB386" s="3850"/>
      <c r="DC386" s="3850"/>
      <c r="DD386" s="3850"/>
      <c r="DE386" s="3850"/>
      <c r="DF386" s="3850"/>
      <c r="DG386" s="3850"/>
      <c r="DH386" s="3850"/>
      <c r="DI386" s="3850"/>
      <c r="DJ386" s="3850"/>
      <c r="DK386" s="3850"/>
      <c r="DL386" s="3850"/>
      <c r="DM386" s="3850"/>
      <c r="DN386" s="3850"/>
      <c r="DO386" s="3850"/>
      <c r="DP386" s="3850"/>
      <c r="DQ386" s="3850"/>
      <c r="DR386" s="3850"/>
      <c r="DS386" s="3850"/>
      <c r="DT386" s="3850"/>
      <c r="DU386" s="3850"/>
      <c r="DV386" s="3850"/>
      <c r="DW386" s="3850"/>
      <c r="DX386" s="3850"/>
      <c r="DY386" s="3850"/>
      <c r="DZ386" s="3850"/>
      <c r="EA386" s="3850"/>
    </row>
    <row r="387" spans="1:131" s="3849" customFormat="1">
      <c r="A387" s="4063"/>
      <c r="B387" s="4064"/>
      <c r="C387" s="4066"/>
      <c r="D387" s="3893"/>
      <c r="E387" s="3883"/>
      <c r="F387" s="3874"/>
      <c r="G387" s="3875"/>
      <c r="H387" s="3874"/>
      <c r="I387" s="3875"/>
      <c r="J387" s="3874"/>
      <c r="K387" s="3876"/>
      <c r="L387" s="3874"/>
      <c r="N387" s="3846"/>
      <c r="O387" s="3847"/>
      <c r="P387" s="3853"/>
      <c r="AV387" s="3850"/>
      <c r="AX387" s="3850"/>
      <c r="AY387" s="3850"/>
      <c r="AZ387" s="3850"/>
      <c r="BA387" s="3850"/>
      <c r="BC387" s="3850"/>
      <c r="BD387" s="3850"/>
      <c r="BE387" s="3850"/>
      <c r="BF387" s="3850"/>
      <c r="BG387" s="3850"/>
      <c r="BH387" s="3850"/>
      <c r="BI387" s="3850"/>
      <c r="BJ387" s="3850"/>
      <c r="BK387" s="3850"/>
      <c r="BL387" s="3850"/>
      <c r="BM387" s="3850"/>
      <c r="BN387" s="3850"/>
      <c r="BO387" s="3850"/>
      <c r="BP387" s="3850"/>
      <c r="BQ387" s="3850"/>
      <c r="BR387" s="3850"/>
      <c r="BS387" s="3850"/>
      <c r="BT387" s="3850"/>
      <c r="BU387" s="3850"/>
      <c r="BV387" s="3850"/>
      <c r="BW387" s="3850"/>
      <c r="BX387" s="3850"/>
      <c r="BY387" s="3850"/>
      <c r="BZ387" s="3850"/>
      <c r="CA387" s="3850"/>
      <c r="CB387" s="3850"/>
      <c r="CC387" s="3850"/>
      <c r="CD387" s="3850"/>
      <c r="CE387" s="3850"/>
      <c r="CF387" s="3850"/>
      <c r="CG387" s="3850"/>
      <c r="CH387" s="3850"/>
      <c r="CI387" s="3850"/>
      <c r="CJ387" s="3850"/>
      <c r="CK387" s="3850"/>
      <c r="CL387" s="3850"/>
      <c r="CM387" s="3850"/>
      <c r="CN387" s="3850"/>
      <c r="CO387" s="3850"/>
      <c r="CP387" s="3850"/>
      <c r="CQ387" s="3850"/>
      <c r="CR387" s="3850"/>
      <c r="CS387" s="3850"/>
      <c r="CT387" s="3850"/>
      <c r="CU387" s="3850"/>
      <c r="CV387" s="3850"/>
      <c r="CW387" s="3850"/>
      <c r="CX387" s="3850"/>
      <c r="CY387" s="3850"/>
      <c r="CZ387" s="3850"/>
      <c r="DA387" s="3850"/>
      <c r="DB387" s="3850"/>
      <c r="DC387" s="3850"/>
      <c r="DD387" s="3850"/>
      <c r="DE387" s="3850"/>
      <c r="DF387" s="3850"/>
      <c r="DG387" s="3850"/>
      <c r="DH387" s="3850"/>
      <c r="DI387" s="3850"/>
      <c r="DJ387" s="3850"/>
      <c r="DK387" s="3850"/>
      <c r="DL387" s="3850"/>
      <c r="DM387" s="3850"/>
      <c r="DN387" s="3850"/>
      <c r="DO387" s="3850"/>
      <c r="DP387" s="3850"/>
      <c r="DQ387" s="3850"/>
      <c r="DR387" s="3850"/>
      <c r="DS387" s="3850"/>
      <c r="DT387" s="3850"/>
      <c r="DU387" s="3850"/>
      <c r="DV387" s="3850"/>
      <c r="DW387" s="3850"/>
      <c r="DX387" s="3850"/>
      <c r="DY387" s="3850"/>
      <c r="DZ387" s="3850"/>
      <c r="EA387" s="3850"/>
    </row>
    <row r="388" spans="1:131" s="3849" customFormat="1">
      <c r="A388" s="4063"/>
      <c r="B388" s="4064"/>
      <c r="C388" s="4067"/>
      <c r="D388" s="3893"/>
      <c r="E388" s="3883"/>
      <c r="F388" s="3874"/>
      <c r="G388" s="3875"/>
      <c r="H388" s="3874"/>
      <c r="I388" s="3875"/>
      <c r="J388" s="3874"/>
      <c r="K388" s="3876"/>
      <c r="L388" s="3874"/>
      <c r="N388" s="3846"/>
      <c r="O388" s="3847"/>
      <c r="P388" s="3853"/>
      <c r="AV388" s="3850"/>
      <c r="AX388" s="3850"/>
      <c r="AY388" s="3850"/>
      <c r="AZ388" s="3850"/>
      <c r="BA388" s="3850"/>
      <c r="BC388" s="3850"/>
      <c r="BD388" s="3850"/>
      <c r="BE388" s="3850"/>
      <c r="BF388" s="3850"/>
      <c r="BG388" s="3850"/>
      <c r="BH388" s="3850"/>
      <c r="BI388" s="3850"/>
      <c r="BJ388" s="3850"/>
      <c r="BK388" s="3850"/>
      <c r="BL388" s="3850"/>
      <c r="BM388" s="3850"/>
      <c r="BN388" s="3850"/>
      <c r="BO388" s="3850"/>
      <c r="BP388" s="3850"/>
      <c r="BQ388" s="3850"/>
      <c r="BR388" s="3850"/>
      <c r="BS388" s="3850"/>
      <c r="BT388" s="3850"/>
      <c r="BU388" s="3850"/>
      <c r="BV388" s="3850"/>
      <c r="BW388" s="3850"/>
      <c r="BX388" s="3850"/>
      <c r="BY388" s="3850"/>
      <c r="BZ388" s="3850"/>
      <c r="CA388" s="3850"/>
      <c r="CB388" s="3850"/>
      <c r="CC388" s="3850"/>
      <c r="CD388" s="3850"/>
      <c r="CE388" s="3850"/>
      <c r="CF388" s="3850"/>
      <c r="CG388" s="3850"/>
      <c r="CH388" s="3850"/>
      <c r="CI388" s="3850"/>
      <c r="CJ388" s="3850"/>
      <c r="CK388" s="3850"/>
      <c r="CL388" s="3850"/>
      <c r="CM388" s="3850"/>
      <c r="CN388" s="3850"/>
      <c r="CO388" s="3850"/>
      <c r="CP388" s="3850"/>
      <c r="CQ388" s="3850"/>
      <c r="CR388" s="3850"/>
      <c r="CS388" s="3850"/>
      <c r="CT388" s="3850"/>
      <c r="CU388" s="3850"/>
      <c r="CV388" s="3850"/>
      <c r="CW388" s="3850"/>
      <c r="CX388" s="3850"/>
      <c r="CY388" s="3850"/>
      <c r="CZ388" s="3850"/>
      <c r="DA388" s="3850"/>
      <c r="DB388" s="3850"/>
      <c r="DC388" s="3850"/>
      <c r="DD388" s="3850"/>
      <c r="DE388" s="3850"/>
      <c r="DF388" s="3850"/>
      <c r="DG388" s="3850"/>
      <c r="DH388" s="3850"/>
      <c r="DI388" s="3850"/>
      <c r="DJ388" s="3850"/>
      <c r="DK388" s="3850"/>
      <c r="DL388" s="3850"/>
      <c r="DM388" s="3850"/>
      <c r="DN388" s="3850"/>
      <c r="DO388" s="3850"/>
      <c r="DP388" s="3850"/>
      <c r="DQ388" s="3850"/>
      <c r="DR388" s="3850"/>
      <c r="DS388" s="3850"/>
      <c r="DT388" s="3850"/>
      <c r="DU388" s="3850"/>
      <c r="DV388" s="3850"/>
      <c r="DW388" s="3850"/>
      <c r="DX388" s="3850"/>
      <c r="DY388" s="3850"/>
      <c r="DZ388" s="3850"/>
      <c r="EA388" s="3850"/>
    </row>
    <row r="389" spans="1:131" s="3849" customFormat="1">
      <c r="A389" s="4063"/>
      <c r="B389" s="4064"/>
      <c r="C389" s="4067"/>
      <c r="D389" s="3893"/>
      <c r="E389" s="3883"/>
      <c r="F389" s="3874"/>
      <c r="G389" s="3875"/>
      <c r="H389" s="3874"/>
      <c r="I389" s="3875"/>
      <c r="J389" s="3874"/>
      <c r="K389" s="3876"/>
      <c r="L389" s="3874"/>
      <c r="N389" s="3846"/>
      <c r="O389" s="3847"/>
      <c r="P389" s="3853"/>
      <c r="AV389" s="3850"/>
      <c r="AX389" s="3850"/>
      <c r="AY389" s="3850"/>
      <c r="AZ389" s="3850"/>
      <c r="BA389" s="3850"/>
      <c r="BC389" s="3850"/>
      <c r="BD389" s="3850"/>
      <c r="BE389" s="3850"/>
      <c r="BF389" s="3850"/>
      <c r="BG389" s="3850"/>
      <c r="BH389" s="3850"/>
      <c r="BI389" s="3850"/>
      <c r="BJ389" s="3850"/>
      <c r="BK389" s="3850"/>
      <c r="BL389" s="3850"/>
      <c r="BM389" s="3850"/>
      <c r="BN389" s="3850"/>
      <c r="BO389" s="3850"/>
      <c r="BP389" s="3850"/>
      <c r="BQ389" s="3850"/>
      <c r="BR389" s="3850"/>
      <c r="BS389" s="3850"/>
      <c r="BT389" s="3850"/>
      <c r="BU389" s="3850"/>
      <c r="BV389" s="3850"/>
      <c r="BW389" s="3850"/>
      <c r="BX389" s="3850"/>
      <c r="BY389" s="3850"/>
      <c r="BZ389" s="3850"/>
      <c r="CA389" s="3850"/>
      <c r="CB389" s="3850"/>
      <c r="CC389" s="3850"/>
      <c r="CD389" s="3850"/>
      <c r="CE389" s="3850"/>
      <c r="CF389" s="3850"/>
      <c r="CG389" s="3850"/>
      <c r="CH389" s="3850"/>
      <c r="CI389" s="3850"/>
      <c r="CJ389" s="3850"/>
      <c r="CK389" s="3850"/>
      <c r="CL389" s="3850"/>
      <c r="CM389" s="3850"/>
      <c r="CN389" s="3850"/>
      <c r="CO389" s="3850"/>
      <c r="CP389" s="3850"/>
      <c r="CQ389" s="3850"/>
      <c r="CR389" s="3850"/>
      <c r="CS389" s="3850"/>
      <c r="CT389" s="3850"/>
      <c r="CU389" s="3850"/>
      <c r="CV389" s="3850"/>
      <c r="CW389" s="3850"/>
      <c r="CX389" s="3850"/>
      <c r="CY389" s="3850"/>
      <c r="CZ389" s="3850"/>
      <c r="DA389" s="3850"/>
      <c r="DB389" s="3850"/>
      <c r="DC389" s="3850"/>
      <c r="DD389" s="3850"/>
      <c r="DE389" s="3850"/>
      <c r="DF389" s="3850"/>
      <c r="DG389" s="3850"/>
      <c r="DH389" s="3850"/>
      <c r="DI389" s="3850"/>
      <c r="DJ389" s="3850"/>
      <c r="DK389" s="3850"/>
      <c r="DL389" s="3850"/>
      <c r="DM389" s="3850"/>
      <c r="DN389" s="3850"/>
      <c r="DO389" s="3850"/>
      <c r="DP389" s="3850"/>
      <c r="DQ389" s="3850"/>
      <c r="DR389" s="3850"/>
      <c r="DS389" s="3850"/>
      <c r="DT389" s="3850"/>
      <c r="DU389" s="3850"/>
      <c r="DV389" s="3850"/>
      <c r="DW389" s="3850"/>
      <c r="DX389" s="3850"/>
      <c r="DY389" s="3850"/>
      <c r="DZ389" s="3850"/>
      <c r="EA389" s="3850"/>
    </row>
    <row r="390" spans="1:131" s="3849" customFormat="1">
      <c r="A390" s="4063"/>
      <c r="B390" s="4064"/>
      <c r="C390" s="4067"/>
      <c r="D390" s="3893"/>
      <c r="E390" s="3883"/>
      <c r="F390" s="3874"/>
      <c r="G390" s="3875"/>
      <c r="H390" s="3874"/>
      <c r="I390" s="3875"/>
      <c r="J390" s="3874"/>
      <c r="K390" s="3876"/>
      <c r="L390" s="3874"/>
      <c r="N390" s="3846"/>
      <c r="O390" s="3847"/>
      <c r="P390" s="3853"/>
      <c r="AV390" s="3850"/>
      <c r="AX390" s="3850"/>
      <c r="AY390" s="3850"/>
      <c r="AZ390" s="3850"/>
      <c r="BA390" s="3850"/>
      <c r="BC390" s="3850"/>
      <c r="BD390" s="3850"/>
      <c r="BE390" s="3850"/>
      <c r="BF390" s="3850"/>
      <c r="BG390" s="3850"/>
      <c r="BH390" s="3850"/>
      <c r="BI390" s="3850"/>
      <c r="BJ390" s="3850"/>
      <c r="BK390" s="3850"/>
      <c r="BL390" s="3850"/>
      <c r="BM390" s="3850"/>
      <c r="BN390" s="3850"/>
      <c r="BO390" s="3850"/>
      <c r="BP390" s="3850"/>
      <c r="BQ390" s="3850"/>
      <c r="BR390" s="3850"/>
      <c r="BS390" s="3850"/>
      <c r="BT390" s="3850"/>
      <c r="BU390" s="3850"/>
      <c r="BV390" s="3850"/>
      <c r="BW390" s="3850"/>
      <c r="BX390" s="3850"/>
      <c r="BY390" s="3850"/>
      <c r="BZ390" s="3850"/>
      <c r="CA390" s="3850"/>
      <c r="CB390" s="3850"/>
      <c r="CC390" s="3850"/>
      <c r="CD390" s="3850"/>
      <c r="CE390" s="3850"/>
      <c r="CF390" s="3850"/>
      <c r="CG390" s="3850"/>
      <c r="CH390" s="3850"/>
      <c r="CI390" s="3850"/>
      <c r="CJ390" s="3850"/>
      <c r="CK390" s="3850"/>
      <c r="CL390" s="3850"/>
      <c r="CM390" s="3850"/>
      <c r="CN390" s="3850"/>
      <c r="CO390" s="3850"/>
      <c r="CP390" s="3850"/>
      <c r="CQ390" s="3850"/>
      <c r="CR390" s="3850"/>
      <c r="CS390" s="3850"/>
      <c r="CT390" s="3850"/>
      <c r="CU390" s="3850"/>
      <c r="CV390" s="3850"/>
      <c r="CW390" s="3850"/>
      <c r="CX390" s="3850"/>
      <c r="CY390" s="3850"/>
      <c r="CZ390" s="3850"/>
      <c r="DA390" s="3850"/>
      <c r="DB390" s="3850"/>
      <c r="DC390" s="3850"/>
      <c r="DD390" s="3850"/>
      <c r="DE390" s="3850"/>
      <c r="DF390" s="3850"/>
      <c r="DG390" s="3850"/>
      <c r="DH390" s="3850"/>
      <c r="DI390" s="3850"/>
      <c r="DJ390" s="3850"/>
      <c r="DK390" s="3850"/>
      <c r="DL390" s="3850"/>
      <c r="DM390" s="3850"/>
      <c r="DN390" s="3850"/>
      <c r="DO390" s="3850"/>
      <c r="DP390" s="3850"/>
      <c r="DQ390" s="3850"/>
      <c r="DR390" s="3850"/>
      <c r="DS390" s="3850"/>
      <c r="DT390" s="3850"/>
      <c r="DU390" s="3850"/>
      <c r="DV390" s="3850"/>
      <c r="DW390" s="3850"/>
      <c r="DX390" s="3850"/>
      <c r="DY390" s="3850"/>
      <c r="DZ390" s="3850"/>
      <c r="EA390" s="3850"/>
    </row>
    <row r="391" spans="1:131" s="3849" customFormat="1">
      <c r="A391" s="4063"/>
      <c r="B391" s="4064"/>
      <c r="C391" s="4067"/>
      <c r="D391" s="3893"/>
      <c r="E391" s="3883"/>
      <c r="F391" s="3874"/>
      <c r="G391" s="3875"/>
      <c r="H391" s="3874"/>
      <c r="I391" s="3875"/>
      <c r="J391" s="3874"/>
      <c r="K391" s="3876"/>
      <c r="L391" s="3874"/>
      <c r="N391" s="3846"/>
      <c r="O391" s="3847"/>
      <c r="P391" s="3853"/>
      <c r="AV391" s="3850"/>
      <c r="AX391" s="3850"/>
      <c r="AY391" s="3850"/>
      <c r="AZ391" s="3850"/>
      <c r="BA391" s="3850"/>
      <c r="BC391" s="3850"/>
      <c r="BD391" s="3850"/>
      <c r="BE391" s="3850"/>
      <c r="BF391" s="3850"/>
      <c r="BG391" s="3850"/>
      <c r="BH391" s="3850"/>
      <c r="BI391" s="3850"/>
      <c r="BJ391" s="3850"/>
      <c r="BK391" s="3850"/>
      <c r="BL391" s="3850"/>
      <c r="BM391" s="3850"/>
      <c r="BN391" s="3850"/>
      <c r="BO391" s="3850"/>
      <c r="BP391" s="3850"/>
      <c r="BQ391" s="3850"/>
      <c r="BR391" s="3850"/>
      <c r="BS391" s="3850"/>
      <c r="BT391" s="3850"/>
      <c r="BU391" s="3850"/>
      <c r="BV391" s="3850"/>
      <c r="BW391" s="3850"/>
      <c r="BX391" s="3850"/>
      <c r="BY391" s="3850"/>
      <c r="BZ391" s="3850"/>
      <c r="CA391" s="3850"/>
      <c r="CB391" s="3850"/>
      <c r="CC391" s="3850"/>
      <c r="CD391" s="3850"/>
      <c r="CE391" s="3850"/>
      <c r="CF391" s="3850"/>
      <c r="CG391" s="3850"/>
      <c r="CH391" s="3850"/>
      <c r="CI391" s="3850"/>
      <c r="CJ391" s="3850"/>
      <c r="CK391" s="3850"/>
      <c r="CL391" s="3850"/>
      <c r="CM391" s="3850"/>
      <c r="CN391" s="3850"/>
      <c r="CO391" s="3850"/>
      <c r="CP391" s="3850"/>
      <c r="CQ391" s="3850"/>
      <c r="CR391" s="3850"/>
      <c r="CS391" s="3850"/>
      <c r="CT391" s="3850"/>
      <c r="CU391" s="3850"/>
      <c r="CV391" s="3850"/>
      <c r="CW391" s="3850"/>
      <c r="CX391" s="3850"/>
      <c r="CY391" s="3850"/>
      <c r="CZ391" s="3850"/>
      <c r="DA391" s="3850"/>
      <c r="DB391" s="3850"/>
      <c r="DC391" s="3850"/>
      <c r="DD391" s="3850"/>
      <c r="DE391" s="3850"/>
      <c r="DF391" s="3850"/>
      <c r="DG391" s="3850"/>
      <c r="DH391" s="3850"/>
      <c r="DI391" s="3850"/>
      <c r="DJ391" s="3850"/>
      <c r="DK391" s="3850"/>
      <c r="DL391" s="3850"/>
      <c r="DM391" s="3850"/>
      <c r="DN391" s="3850"/>
      <c r="DO391" s="3850"/>
      <c r="DP391" s="3850"/>
      <c r="DQ391" s="3850"/>
      <c r="DR391" s="3850"/>
      <c r="DS391" s="3850"/>
      <c r="DT391" s="3850"/>
      <c r="DU391" s="3850"/>
      <c r="DV391" s="3850"/>
      <c r="DW391" s="3850"/>
      <c r="DX391" s="3850"/>
      <c r="DY391" s="3850"/>
      <c r="DZ391" s="3850"/>
      <c r="EA391" s="3850"/>
    </row>
    <row r="392" spans="1:131" s="3849" customFormat="1">
      <c r="A392" s="4063"/>
      <c r="B392" s="4064"/>
      <c r="C392" s="4067"/>
      <c r="D392" s="3874"/>
      <c r="E392" s="3883"/>
      <c r="F392" s="3874"/>
      <c r="G392" s="3875"/>
      <c r="H392" s="3874"/>
      <c r="I392" s="3875"/>
      <c r="J392" s="3874"/>
      <c r="K392" s="3875"/>
      <c r="L392" s="3874"/>
      <c r="N392" s="3846"/>
      <c r="O392" s="3850"/>
      <c r="P392" s="3848"/>
      <c r="AV392" s="3850"/>
      <c r="AX392" s="3850"/>
      <c r="AY392" s="3850"/>
      <c r="AZ392" s="3850"/>
      <c r="BA392" s="3850"/>
      <c r="BC392" s="3850"/>
      <c r="BD392" s="3850"/>
      <c r="BE392" s="3850"/>
      <c r="BF392" s="3850"/>
      <c r="BG392" s="3850"/>
      <c r="BH392" s="3850"/>
      <c r="BI392" s="3850"/>
      <c r="BJ392" s="3850"/>
      <c r="BK392" s="3850"/>
      <c r="BL392" s="3850"/>
      <c r="BM392" s="3850"/>
      <c r="BN392" s="3850"/>
      <c r="BO392" s="3850"/>
      <c r="BP392" s="3850"/>
      <c r="BQ392" s="3850"/>
      <c r="BR392" s="3850"/>
      <c r="BS392" s="3850"/>
      <c r="BT392" s="3850"/>
      <c r="BU392" s="3850"/>
      <c r="BV392" s="3850"/>
      <c r="BW392" s="3850"/>
      <c r="BX392" s="3850"/>
      <c r="BY392" s="3850"/>
      <c r="BZ392" s="3850"/>
      <c r="CA392" s="3850"/>
      <c r="CB392" s="3850"/>
      <c r="CC392" s="3850"/>
      <c r="CD392" s="3850"/>
      <c r="CE392" s="3850"/>
      <c r="CF392" s="3850"/>
      <c r="CG392" s="3850"/>
      <c r="CH392" s="3850"/>
      <c r="CI392" s="3850"/>
      <c r="CJ392" s="3850"/>
      <c r="CK392" s="3850"/>
      <c r="CL392" s="3850"/>
      <c r="CM392" s="3850"/>
      <c r="CN392" s="3850"/>
      <c r="CO392" s="3850"/>
      <c r="CP392" s="3850"/>
      <c r="CQ392" s="3850"/>
      <c r="CR392" s="3850"/>
      <c r="CS392" s="3850"/>
      <c r="CT392" s="3850"/>
      <c r="CU392" s="3850"/>
      <c r="CV392" s="3850"/>
      <c r="CW392" s="3850"/>
      <c r="CX392" s="3850"/>
      <c r="CY392" s="3850"/>
      <c r="CZ392" s="3850"/>
      <c r="DA392" s="3850"/>
      <c r="DB392" s="3850"/>
      <c r="DC392" s="3850"/>
      <c r="DD392" s="3850"/>
      <c r="DE392" s="3850"/>
      <c r="DF392" s="3850"/>
      <c r="DG392" s="3850"/>
      <c r="DH392" s="3850"/>
      <c r="DI392" s="3850"/>
      <c r="DJ392" s="3850"/>
      <c r="DK392" s="3850"/>
      <c r="DL392" s="3850"/>
      <c r="DM392" s="3850"/>
      <c r="DN392" s="3850"/>
      <c r="DO392" s="3850"/>
      <c r="DP392" s="3850"/>
      <c r="DQ392" s="3850"/>
      <c r="DR392" s="3850"/>
      <c r="DS392" s="3850"/>
      <c r="DT392" s="3850"/>
      <c r="DU392" s="3850"/>
      <c r="DV392" s="3850"/>
      <c r="DW392" s="3850"/>
      <c r="DX392" s="3850"/>
      <c r="DY392" s="3850"/>
      <c r="DZ392" s="3850"/>
      <c r="EA392" s="3850"/>
    </row>
    <row r="393" spans="1:131" s="3849" customFormat="1">
      <c r="A393" s="4063"/>
      <c r="B393" s="4064"/>
      <c r="C393" s="4067"/>
      <c r="D393" s="3874"/>
      <c r="E393" s="3883"/>
      <c r="F393" s="3874"/>
      <c r="G393" s="3875"/>
      <c r="H393" s="3874"/>
      <c r="I393" s="3875"/>
      <c r="J393" s="3874"/>
      <c r="K393" s="3875"/>
      <c r="L393" s="3874"/>
      <c r="N393" s="3846"/>
      <c r="O393" s="3850"/>
      <c r="P393" s="3848"/>
      <c r="AV393" s="3850"/>
      <c r="AX393" s="3850"/>
      <c r="AY393" s="3850"/>
      <c r="AZ393" s="3850"/>
      <c r="BA393" s="3850"/>
      <c r="BC393" s="3850"/>
      <c r="BD393" s="3850"/>
      <c r="BE393" s="3850"/>
      <c r="BF393" s="3850"/>
      <c r="BG393" s="3850"/>
      <c r="BH393" s="3850"/>
      <c r="BI393" s="3850"/>
      <c r="BJ393" s="3850"/>
      <c r="BK393" s="3850"/>
      <c r="BL393" s="3850"/>
      <c r="BM393" s="3850"/>
      <c r="BN393" s="3850"/>
      <c r="BO393" s="3850"/>
      <c r="BP393" s="3850"/>
      <c r="BQ393" s="3850"/>
      <c r="BR393" s="3850"/>
      <c r="BS393" s="3850"/>
      <c r="BT393" s="3850"/>
      <c r="BU393" s="3850"/>
      <c r="BV393" s="3850"/>
      <c r="BW393" s="3850"/>
      <c r="BX393" s="3850"/>
      <c r="BY393" s="3850"/>
      <c r="BZ393" s="3850"/>
      <c r="CA393" s="3850"/>
      <c r="CB393" s="3850"/>
      <c r="CC393" s="3850"/>
      <c r="CD393" s="3850"/>
      <c r="CE393" s="3850"/>
      <c r="CF393" s="3850"/>
      <c r="CG393" s="3850"/>
      <c r="CH393" s="3850"/>
      <c r="CI393" s="3850"/>
      <c r="CJ393" s="3850"/>
      <c r="CK393" s="3850"/>
      <c r="CL393" s="3850"/>
      <c r="CM393" s="3850"/>
      <c r="CN393" s="3850"/>
      <c r="CO393" s="3850"/>
      <c r="CP393" s="3850"/>
      <c r="CQ393" s="3850"/>
      <c r="CR393" s="3850"/>
      <c r="CS393" s="3850"/>
      <c r="CT393" s="3850"/>
      <c r="CU393" s="3850"/>
      <c r="CV393" s="3850"/>
      <c r="CW393" s="3850"/>
      <c r="CX393" s="3850"/>
      <c r="CY393" s="3850"/>
      <c r="CZ393" s="3850"/>
      <c r="DA393" s="3850"/>
      <c r="DB393" s="3850"/>
      <c r="DC393" s="3850"/>
      <c r="DD393" s="3850"/>
      <c r="DE393" s="3850"/>
      <c r="DF393" s="3850"/>
      <c r="DG393" s="3850"/>
      <c r="DH393" s="3850"/>
      <c r="DI393" s="3850"/>
      <c r="DJ393" s="3850"/>
      <c r="DK393" s="3850"/>
      <c r="DL393" s="3850"/>
      <c r="DM393" s="3850"/>
      <c r="DN393" s="3850"/>
      <c r="DO393" s="3850"/>
      <c r="DP393" s="3850"/>
      <c r="DQ393" s="3850"/>
      <c r="DR393" s="3850"/>
      <c r="DS393" s="3850"/>
      <c r="DT393" s="3850"/>
      <c r="DU393" s="3850"/>
      <c r="DV393" s="3850"/>
      <c r="DW393" s="3850"/>
      <c r="DX393" s="3850"/>
      <c r="DY393" s="3850"/>
      <c r="DZ393" s="3850"/>
      <c r="EA393" s="3850"/>
    </row>
    <row r="394" spans="1:131" s="3849" customFormat="1">
      <c r="A394" s="4063"/>
      <c r="B394" s="4064"/>
      <c r="C394" s="4067"/>
      <c r="D394" s="3874"/>
      <c r="E394" s="3883"/>
      <c r="F394" s="3874"/>
      <c r="G394" s="3875"/>
      <c r="H394" s="3874"/>
      <c r="I394" s="3875"/>
      <c r="J394" s="3874"/>
      <c r="K394" s="3875"/>
      <c r="L394" s="3874"/>
      <c r="N394" s="3846"/>
      <c r="O394" s="3850"/>
      <c r="P394" s="3848"/>
      <c r="AV394" s="3850"/>
      <c r="AX394" s="3850"/>
      <c r="AY394" s="3850"/>
      <c r="AZ394" s="3850"/>
      <c r="BA394" s="3850"/>
      <c r="BC394" s="3850"/>
      <c r="BD394" s="3850"/>
      <c r="BE394" s="3850"/>
      <c r="BF394" s="3850"/>
      <c r="BG394" s="3850"/>
      <c r="BH394" s="3850"/>
      <c r="BI394" s="3850"/>
      <c r="BJ394" s="3850"/>
      <c r="BK394" s="3850"/>
      <c r="BL394" s="3850"/>
      <c r="BM394" s="3850"/>
      <c r="BN394" s="3850"/>
      <c r="BO394" s="3850"/>
      <c r="BP394" s="3850"/>
      <c r="BQ394" s="3850"/>
      <c r="BR394" s="3850"/>
      <c r="BS394" s="3850"/>
      <c r="BT394" s="3850"/>
      <c r="BU394" s="3850"/>
      <c r="BV394" s="3850"/>
      <c r="BW394" s="3850"/>
      <c r="BX394" s="3850"/>
      <c r="BY394" s="3850"/>
      <c r="BZ394" s="3850"/>
      <c r="CA394" s="3850"/>
      <c r="CB394" s="3850"/>
      <c r="CC394" s="3850"/>
      <c r="CD394" s="3850"/>
      <c r="CE394" s="3850"/>
      <c r="CF394" s="3850"/>
      <c r="CG394" s="3850"/>
      <c r="CH394" s="3850"/>
      <c r="CI394" s="3850"/>
      <c r="CJ394" s="3850"/>
      <c r="CK394" s="3850"/>
      <c r="CL394" s="3850"/>
      <c r="CM394" s="3850"/>
      <c r="CN394" s="3850"/>
      <c r="CO394" s="3850"/>
      <c r="CP394" s="3850"/>
      <c r="CQ394" s="3850"/>
      <c r="CR394" s="3850"/>
      <c r="CS394" s="3850"/>
      <c r="CT394" s="3850"/>
      <c r="CU394" s="3850"/>
      <c r="CV394" s="3850"/>
      <c r="CW394" s="3850"/>
      <c r="CX394" s="3850"/>
      <c r="CY394" s="3850"/>
      <c r="CZ394" s="3850"/>
      <c r="DA394" s="3850"/>
      <c r="DB394" s="3850"/>
      <c r="DC394" s="3850"/>
      <c r="DD394" s="3850"/>
      <c r="DE394" s="3850"/>
      <c r="DF394" s="3850"/>
      <c r="DG394" s="3850"/>
      <c r="DH394" s="3850"/>
      <c r="DI394" s="3850"/>
      <c r="DJ394" s="3850"/>
      <c r="DK394" s="3850"/>
      <c r="DL394" s="3850"/>
      <c r="DM394" s="3850"/>
      <c r="DN394" s="3850"/>
      <c r="DO394" s="3850"/>
      <c r="DP394" s="3850"/>
      <c r="DQ394" s="3850"/>
      <c r="DR394" s="3850"/>
      <c r="DS394" s="3850"/>
      <c r="DT394" s="3850"/>
      <c r="DU394" s="3850"/>
      <c r="DV394" s="3850"/>
      <c r="DW394" s="3850"/>
      <c r="DX394" s="3850"/>
      <c r="DY394" s="3850"/>
      <c r="DZ394" s="3850"/>
      <c r="EA394" s="3850"/>
    </row>
    <row r="395" spans="1:131" s="3849" customFormat="1">
      <c r="A395" s="4063"/>
      <c r="B395" s="4064"/>
      <c r="C395" s="4067"/>
      <c r="D395" s="3874"/>
      <c r="E395" s="3883"/>
      <c r="F395" s="3874"/>
      <c r="G395" s="3875"/>
      <c r="H395" s="3874"/>
      <c r="I395" s="3875"/>
      <c r="J395" s="3874"/>
      <c r="K395" s="3875"/>
      <c r="L395" s="3874"/>
      <c r="N395" s="3846"/>
      <c r="O395" s="3850"/>
      <c r="P395" s="3848"/>
      <c r="AV395" s="3850"/>
      <c r="AX395" s="3850"/>
      <c r="AY395" s="3850"/>
      <c r="AZ395" s="3850"/>
      <c r="BA395" s="3850"/>
      <c r="BC395" s="3850"/>
      <c r="BD395" s="3850"/>
      <c r="BE395" s="3850"/>
      <c r="BF395" s="3850"/>
      <c r="BG395" s="3850"/>
      <c r="BH395" s="3850"/>
      <c r="BI395" s="3850"/>
      <c r="BJ395" s="3850"/>
      <c r="BK395" s="3850"/>
      <c r="BL395" s="3850"/>
      <c r="BM395" s="3850"/>
      <c r="BN395" s="3850"/>
      <c r="BO395" s="3850"/>
      <c r="BP395" s="3850"/>
      <c r="BQ395" s="3850"/>
      <c r="BR395" s="3850"/>
      <c r="BS395" s="3850"/>
      <c r="BT395" s="3850"/>
      <c r="BU395" s="3850"/>
      <c r="BV395" s="3850"/>
      <c r="BW395" s="3850"/>
      <c r="BX395" s="3850"/>
      <c r="BY395" s="3850"/>
      <c r="BZ395" s="3850"/>
      <c r="CA395" s="3850"/>
      <c r="CB395" s="3850"/>
      <c r="CC395" s="3850"/>
      <c r="CD395" s="3850"/>
      <c r="CE395" s="3850"/>
      <c r="CF395" s="3850"/>
      <c r="CG395" s="3850"/>
      <c r="CH395" s="3850"/>
      <c r="CI395" s="3850"/>
      <c r="CJ395" s="3850"/>
      <c r="CK395" s="3850"/>
      <c r="CL395" s="3850"/>
      <c r="CM395" s="3850"/>
      <c r="CN395" s="3850"/>
      <c r="CO395" s="3850"/>
      <c r="CP395" s="3850"/>
      <c r="CQ395" s="3850"/>
      <c r="CR395" s="3850"/>
      <c r="CS395" s="3850"/>
      <c r="CT395" s="3850"/>
      <c r="CU395" s="3850"/>
      <c r="CV395" s="3850"/>
      <c r="CW395" s="3850"/>
      <c r="CX395" s="3850"/>
      <c r="CY395" s="3850"/>
      <c r="CZ395" s="3850"/>
      <c r="DA395" s="3850"/>
      <c r="DB395" s="3850"/>
      <c r="DC395" s="3850"/>
      <c r="DD395" s="3850"/>
      <c r="DE395" s="3850"/>
      <c r="DF395" s="3850"/>
      <c r="DG395" s="3850"/>
      <c r="DH395" s="3850"/>
      <c r="DI395" s="3850"/>
      <c r="DJ395" s="3850"/>
      <c r="DK395" s="3850"/>
      <c r="DL395" s="3850"/>
      <c r="DM395" s="3850"/>
      <c r="DN395" s="3850"/>
      <c r="DO395" s="3850"/>
      <c r="DP395" s="3850"/>
      <c r="DQ395" s="3850"/>
      <c r="DR395" s="3850"/>
      <c r="DS395" s="3850"/>
      <c r="DT395" s="3850"/>
      <c r="DU395" s="3850"/>
      <c r="DV395" s="3850"/>
      <c r="DW395" s="3850"/>
      <c r="DX395" s="3850"/>
      <c r="DY395" s="3850"/>
      <c r="DZ395" s="3850"/>
      <c r="EA395" s="3850"/>
    </row>
    <row r="396" spans="1:131" s="3849" customFormat="1">
      <c r="A396" s="4063"/>
      <c r="B396" s="4064"/>
      <c r="C396" s="4067"/>
      <c r="D396" s="3874"/>
      <c r="E396" s="3883"/>
      <c r="F396" s="3874"/>
      <c r="G396" s="3875"/>
      <c r="H396" s="3874"/>
      <c r="I396" s="3875"/>
      <c r="J396" s="3874"/>
      <c r="K396" s="3875"/>
      <c r="L396" s="3874"/>
      <c r="N396" s="3846"/>
      <c r="O396" s="3850"/>
      <c r="P396" s="3848"/>
      <c r="AV396" s="3850"/>
      <c r="AX396" s="3850"/>
      <c r="AY396" s="3850"/>
      <c r="AZ396" s="3850"/>
      <c r="BA396" s="3850"/>
      <c r="BC396" s="3850"/>
      <c r="BD396" s="3850"/>
      <c r="BE396" s="3850"/>
      <c r="BF396" s="3850"/>
      <c r="BG396" s="3850"/>
      <c r="BH396" s="3850"/>
      <c r="BI396" s="3850"/>
      <c r="BJ396" s="3850"/>
      <c r="BK396" s="3850"/>
      <c r="BL396" s="3850"/>
      <c r="BM396" s="3850"/>
      <c r="BN396" s="3850"/>
      <c r="BO396" s="3850"/>
      <c r="BP396" s="3850"/>
      <c r="BQ396" s="3850"/>
      <c r="BR396" s="3850"/>
      <c r="BS396" s="3850"/>
      <c r="BT396" s="3850"/>
      <c r="BU396" s="3850"/>
      <c r="BV396" s="3850"/>
      <c r="BW396" s="3850"/>
      <c r="BX396" s="3850"/>
      <c r="BY396" s="3850"/>
      <c r="BZ396" s="3850"/>
      <c r="CA396" s="3850"/>
      <c r="CB396" s="3850"/>
      <c r="CC396" s="3850"/>
      <c r="CD396" s="3850"/>
      <c r="CE396" s="3850"/>
      <c r="CF396" s="3850"/>
      <c r="CG396" s="3850"/>
      <c r="CH396" s="3850"/>
      <c r="CI396" s="3850"/>
      <c r="CJ396" s="3850"/>
      <c r="CK396" s="3850"/>
      <c r="CL396" s="3850"/>
      <c r="CM396" s="3850"/>
      <c r="CN396" s="3850"/>
      <c r="CO396" s="3850"/>
      <c r="CP396" s="3850"/>
      <c r="CQ396" s="3850"/>
      <c r="CR396" s="3850"/>
      <c r="CS396" s="3850"/>
      <c r="CT396" s="3850"/>
      <c r="CU396" s="3850"/>
      <c r="CV396" s="3850"/>
      <c r="CW396" s="3850"/>
      <c r="CX396" s="3850"/>
      <c r="CY396" s="3850"/>
      <c r="CZ396" s="3850"/>
      <c r="DA396" s="3850"/>
      <c r="DB396" s="3850"/>
      <c r="DC396" s="3850"/>
      <c r="DD396" s="3850"/>
      <c r="DE396" s="3850"/>
      <c r="DF396" s="3850"/>
      <c r="DG396" s="3850"/>
      <c r="DH396" s="3850"/>
      <c r="DI396" s="3850"/>
      <c r="DJ396" s="3850"/>
      <c r="DK396" s="3850"/>
      <c r="DL396" s="3850"/>
      <c r="DM396" s="3850"/>
      <c r="DN396" s="3850"/>
      <c r="DO396" s="3850"/>
      <c r="DP396" s="3850"/>
      <c r="DQ396" s="3850"/>
      <c r="DR396" s="3850"/>
      <c r="DS396" s="3850"/>
      <c r="DT396" s="3850"/>
      <c r="DU396" s="3850"/>
      <c r="DV396" s="3850"/>
      <c r="DW396" s="3850"/>
      <c r="DX396" s="3850"/>
      <c r="DY396" s="3850"/>
      <c r="DZ396" s="3850"/>
      <c r="EA396" s="3850"/>
    </row>
    <row r="397" spans="1:131" s="3849" customFormat="1">
      <c r="A397" s="4063"/>
      <c r="B397" s="4064"/>
      <c r="C397" s="4067"/>
      <c r="D397" s="3874"/>
      <c r="E397" s="3883"/>
      <c r="F397" s="3874"/>
      <c r="G397" s="3875"/>
      <c r="H397" s="3874"/>
      <c r="I397" s="3875"/>
      <c r="J397" s="3874"/>
      <c r="K397" s="3875"/>
      <c r="L397" s="3874"/>
      <c r="N397" s="3846"/>
      <c r="O397" s="3850"/>
      <c r="P397" s="3848"/>
      <c r="AV397" s="3850"/>
      <c r="AX397" s="3850"/>
      <c r="AY397" s="3850"/>
      <c r="AZ397" s="3850"/>
      <c r="BA397" s="3850"/>
      <c r="BC397" s="3850"/>
      <c r="BD397" s="3850"/>
      <c r="BE397" s="3850"/>
      <c r="BF397" s="3850"/>
      <c r="BG397" s="3850"/>
      <c r="BH397" s="3850"/>
      <c r="BI397" s="3850"/>
      <c r="BJ397" s="3850"/>
      <c r="BK397" s="3850"/>
      <c r="BL397" s="3850"/>
      <c r="BM397" s="3850"/>
      <c r="BN397" s="3850"/>
      <c r="BO397" s="3850"/>
      <c r="BP397" s="3850"/>
      <c r="BQ397" s="3850"/>
      <c r="BR397" s="3850"/>
      <c r="BS397" s="3850"/>
      <c r="BT397" s="3850"/>
      <c r="BU397" s="3850"/>
      <c r="BV397" s="3850"/>
      <c r="BW397" s="3850"/>
      <c r="BX397" s="3850"/>
      <c r="BY397" s="3850"/>
      <c r="BZ397" s="3850"/>
      <c r="CA397" s="3850"/>
      <c r="CB397" s="3850"/>
      <c r="CC397" s="3850"/>
      <c r="CD397" s="3850"/>
      <c r="CE397" s="3850"/>
      <c r="CF397" s="3850"/>
      <c r="CG397" s="3850"/>
      <c r="CH397" s="3850"/>
      <c r="CI397" s="3850"/>
      <c r="CJ397" s="3850"/>
      <c r="CK397" s="3850"/>
      <c r="CL397" s="3850"/>
      <c r="CM397" s="3850"/>
      <c r="CN397" s="3850"/>
      <c r="CO397" s="3850"/>
      <c r="CP397" s="3850"/>
      <c r="CQ397" s="3850"/>
      <c r="CR397" s="3850"/>
      <c r="CS397" s="3850"/>
      <c r="CT397" s="3850"/>
      <c r="CU397" s="3850"/>
      <c r="CV397" s="3850"/>
      <c r="CW397" s="3850"/>
      <c r="CX397" s="3850"/>
      <c r="CY397" s="3850"/>
      <c r="CZ397" s="3850"/>
      <c r="DA397" s="3850"/>
      <c r="DB397" s="3850"/>
      <c r="DC397" s="3850"/>
      <c r="DD397" s="3850"/>
      <c r="DE397" s="3850"/>
      <c r="DF397" s="3850"/>
      <c r="DG397" s="3850"/>
      <c r="DH397" s="3850"/>
      <c r="DI397" s="3850"/>
      <c r="DJ397" s="3850"/>
      <c r="DK397" s="3850"/>
      <c r="DL397" s="3850"/>
      <c r="DM397" s="3850"/>
      <c r="DN397" s="3850"/>
      <c r="DO397" s="3850"/>
      <c r="DP397" s="3850"/>
      <c r="DQ397" s="3850"/>
      <c r="DR397" s="3850"/>
      <c r="DS397" s="3850"/>
      <c r="DT397" s="3850"/>
      <c r="DU397" s="3850"/>
      <c r="DV397" s="3850"/>
      <c r="DW397" s="3850"/>
      <c r="DX397" s="3850"/>
      <c r="DY397" s="3850"/>
      <c r="DZ397" s="3850"/>
      <c r="EA397" s="3850"/>
    </row>
    <row r="398" spans="1:131" s="3849" customFormat="1">
      <c r="A398" s="4063"/>
      <c r="B398" s="4064"/>
      <c r="C398" s="4067"/>
      <c r="D398" s="3874"/>
      <c r="E398" s="3883"/>
      <c r="F398" s="3874"/>
      <c r="G398" s="3875"/>
      <c r="H398" s="3874"/>
      <c r="I398" s="3875"/>
      <c r="J398" s="3874"/>
      <c r="K398" s="3875"/>
      <c r="L398" s="3874"/>
      <c r="N398" s="3846"/>
      <c r="O398" s="3850"/>
      <c r="P398" s="3848"/>
      <c r="AV398" s="3850"/>
      <c r="AX398" s="3850"/>
      <c r="AY398" s="3850"/>
      <c r="AZ398" s="3850"/>
      <c r="BA398" s="3850"/>
      <c r="BC398" s="3850"/>
      <c r="BD398" s="3850"/>
      <c r="BE398" s="3850"/>
      <c r="BF398" s="3850"/>
      <c r="BG398" s="3850"/>
      <c r="BH398" s="3850"/>
      <c r="BI398" s="3850"/>
      <c r="BJ398" s="3850"/>
      <c r="BK398" s="3850"/>
      <c r="BL398" s="3850"/>
      <c r="BM398" s="3850"/>
      <c r="BN398" s="3850"/>
      <c r="BO398" s="3850"/>
      <c r="BP398" s="3850"/>
      <c r="BQ398" s="3850"/>
      <c r="BR398" s="3850"/>
      <c r="BS398" s="3850"/>
      <c r="BT398" s="3850"/>
      <c r="BU398" s="3850"/>
      <c r="BV398" s="3850"/>
      <c r="BW398" s="3850"/>
      <c r="BX398" s="3850"/>
      <c r="BY398" s="3850"/>
      <c r="BZ398" s="3850"/>
      <c r="CA398" s="3850"/>
      <c r="CB398" s="3850"/>
      <c r="CC398" s="3850"/>
      <c r="CD398" s="3850"/>
      <c r="CE398" s="3850"/>
      <c r="CF398" s="3850"/>
      <c r="CG398" s="3850"/>
      <c r="CH398" s="3850"/>
      <c r="CI398" s="3850"/>
      <c r="CJ398" s="3850"/>
      <c r="CK398" s="3850"/>
      <c r="CL398" s="3850"/>
      <c r="CM398" s="3850"/>
      <c r="CN398" s="3850"/>
      <c r="CO398" s="3850"/>
      <c r="CP398" s="3850"/>
      <c r="CQ398" s="3850"/>
      <c r="CR398" s="3850"/>
      <c r="CS398" s="3850"/>
      <c r="CT398" s="3850"/>
      <c r="CU398" s="3850"/>
      <c r="CV398" s="3850"/>
      <c r="CW398" s="3850"/>
      <c r="CX398" s="3850"/>
      <c r="CY398" s="3850"/>
      <c r="CZ398" s="3850"/>
      <c r="DA398" s="3850"/>
      <c r="DB398" s="3850"/>
      <c r="DC398" s="3850"/>
      <c r="DD398" s="3850"/>
      <c r="DE398" s="3850"/>
      <c r="DF398" s="3850"/>
      <c r="DG398" s="3850"/>
      <c r="DH398" s="3850"/>
      <c r="DI398" s="3850"/>
      <c r="DJ398" s="3850"/>
      <c r="DK398" s="3850"/>
      <c r="DL398" s="3850"/>
      <c r="DM398" s="3850"/>
      <c r="DN398" s="3850"/>
      <c r="DO398" s="3850"/>
      <c r="DP398" s="3850"/>
      <c r="DQ398" s="3850"/>
      <c r="DR398" s="3850"/>
      <c r="DS398" s="3850"/>
      <c r="DT398" s="3850"/>
      <c r="DU398" s="3850"/>
      <c r="DV398" s="3850"/>
      <c r="DW398" s="3850"/>
      <c r="DX398" s="3850"/>
      <c r="DY398" s="3850"/>
      <c r="DZ398" s="3850"/>
      <c r="EA398" s="3850"/>
    </row>
    <row r="399" spans="1:131" s="3849" customFormat="1">
      <c r="A399" s="4063"/>
      <c r="B399" s="4064"/>
      <c r="C399" s="4067"/>
      <c r="D399" s="3874"/>
      <c r="E399" s="3883"/>
      <c r="F399" s="3874"/>
      <c r="G399" s="3875"/>
      <c r="H399" s="3874"/>
      <c r="I399" s="3875"/>
      <c r="J399" s="3874"/>
      <c r="K399" s="3875"/>
      <c r="L399" s="3874"/>
      <c r="N399" s="3846"/>
      <c r="O399" s="3850"/>
      <c r="P399" s="3848"/>
      <c r="AV399" s="3850"/>
      <c r="AX399" s="3850"/>
      <c r="AY399" s="3850"/>
      <c r="AZ399" s="3850"/>
      <c r="BA399" s="3850"/>
      <c r="BC399" s="3850"/>
      <c r="BD399" s="3850"/>
      <c r="BE399" s="3850"/>
      <c r="BF399" s="3850"/>
      <c r="BG399" s="3850"/>
      <c r="BH399" s="3850"/>
      <c r="BI399" s="3850"/>
      <c r="BJ399" s="3850"/>
      <c r="BK399" s="3850"/>
      <c r="BL399" s="3850"/>
      <c r="BM399" s="3850"/>
      <c r="BN399" s="3850"/>
      <c r="BO399" s="3850"/>
      <c r="BP399" s="3850"/>
      <c r="BQ399" s="3850"/>
      <c r="BR399" s="3850"/>
      <c r="BS399" s="3850"/>
      <c r="BT399" s="3850"/>
      <c r="BU399" s="3850"/>
      <c r="BV399" s="3850"/>
      <c r="BW399" s="3850"/>
      <c r="BX399" s="3850"/>
      <c r="BY399" s="3850"/>
      <c r="BZ399" s="3850"/>
      <c r="CA399" s="3850"/>
      <c r="CB399" s="3850"/>
      <c r="CC399" s="3850"/>
      <c r="CD399" s="3850"/>
      <c r="CE399" s="3850"/>
      <c r="CF399" s="3850"/>
      <c r="CG399" s="3850"/>
      <c r="CH399" s="3850"/>
      <c r="CI399" s="3850"/>
      <c r="CJ399" s="3850"/>
      <c r="CK399" s="3850"/>
      <c r="CL399" s="3850"/>
      <c r="CM399" s="3850"/>
      <c r="CN399" s="3850"/>
      <c r="CO399" s="3850"/>
      <c r="CP399" s="3850"/>
      <c r="CQ399" s="3850"/>
      <c r="CR399" s="3850"/>
      <c r="CS399" s="3850"/>
      <c r="CT399" s="3850"/>
      <c r="CU399" s="3850"/>
      <c r="CV399" s="3850"/>
      <c r="CW399" s="3850"/>
      <c r="CX399" s="3850"/>
      <c r="CY399" s="3850"/>
      <c r="CZ399" s="3850"/>
      <c r="DA399" s="3850"/>
      <c r="DB399" s="3850"/>
      <c r="DC399" s="3850"/>
      <c r="DD399" s="3850"/>
      <c r="DE399" s="3850"/>
      <c r="DF399" s="3850"/>
      <c r="DG399" s="3850"/>
      <c r="DH399" s="3850"/>
      <c r="DI399" s="3850"/>
      <c r="DJ399" s="3850"/>
      <c r="DK399" s="3850"/>
      <c r="DL399" s="3850"/>
      <c r="DM399" s="3850"/>
      <c r="DN399" s="3850"/>
      <c r="DO399" s="3850"/>
      <c r="DP399" s="3850"/>
      <c r="DQ399" s="3850"/>
      <c r="DR399" s="3850"/>
      <c r="DS399" s="3850"/>
      <c r="DT399" s="3850"/>
      <c r="DU399" s="3850"/>
      <c r="DV399" s="3850"/>
      <c r="DW399" s="3850"/>
      <c r="DX399" s="3850"/>
      <c r="DY399" s="3850"/>
      <c r="DZ399" s="3850"/>
      <c r="EA399" s="3850"/>
    </row>
    <row r="400" spans="1:131" s="3849" customFormat="1">
      <c r="A400" s="4063"/>
      <c r="B400" s="4064"/>
      <c r="C400" s="4067"/>
      <c r="D400" s="3874"/>
      <c r="E400" s="3883"/>
      <c r="F400" s="3874"/>
      <c r="G400" s="3875"/>
      <c r="H400" s="3874"/>
      <c r="I400" s="3875"/>
      <c r="J400" s="3874"/>
      <c r="K400" s="3875"/>
      <c r="L400" s="3874"/>
      <c r="N400" s="3846"/>
      <c r="O400" s="3850"/>
      <c r="P400" s="3848"/>
      <c r="AV400" s="3850"/>
      <c r="AX400" s="3850"/>
      <c r="AY400" s="3850"/>
      <c r="AZ400" s="3850"/>
      <c r="BA400" s="3850"/>
      <c r="BC400" s="3850"/>
      <c r="BD400" s="3850"/>
      <c r="BE400" s="3850"/>
      <c r="BF400" s="3850"/>
      <c r="BG400" s="3850"/>
      <c r="BH400" s="3850"/>
      <c r="BI400" s="3850"/>
      <c r="BJ400" s="3850"/>
      <c r="BK400" s="3850"/>
      <c r="BL400" s="3850"/>
      <c r="BM400" s="3850"/>
      <c r="BN400" s="3850"/>
      <c r="BO400" s="3850"/>
      <c r="BP400" s="3850"/>
      <c r="BQ400" s="3850"/>
      <c r="BR400" s="3850"/>
      <c r="BS400" s="3850"/>
      <c r="BT400" s="3850"/>
      <c r="BU400" s="3850"/>
      <c r="BV400" s="3850"/>
      <c r="BW400" s="3850"/>
      <c r="BX400" s="3850"/>
      <c r="BY400" s="3850"/>
      <c r="BZ400" s="3850"/>
      <c r="CA400" s="3850"/>
      <c r="CB400" s="3850"/>
      <c r="CC400" s="3850"/>
      <c r="CD400" s="3850"/>
      <c r="CE400" s="3850"/>
      <c r="CF400" s="3850"/>
      <c r="CG400" s="3850"/>
      <c r="CH400" s="3850"/>
      <c r="CI400" s="3850"/>
      <c r="CJ400" s="3850"/>
      <c r="CK400" s="3850"/>
      <c r="CL400" s="3850"/>
      <c r="CM400" s="3850"/>
      <c r="CN400" s="3850"/>
      <c r="CO400" s="3850"/>
      <c r="CP400" s="3850"/>
      <c r="CQ400" s="3850"/>
      <c r="CR400" s="3850"/>
      <c r="CS400" s="3850"/>
      <c r="CT400" s="3850"/>
      <c r="CU400" s="3850"/>
      <c r="CV400" s="3850"/>
      <c r="CW400" s="3850"/>
      <c r="CX400" s="3850"/>
      <c r="CY400" s="3850"/>
      <c r="CZ400" s="3850"/>
      <c r="DA400" s="3850"/>
      <c r="DB400" s="3850"/>
      <c r="DC400" s="3850"/>
      <c r="DD400" s="3850"/>
      <c r="DE400" s="3850"/>
      <c r="DF400" s="3850"/>
      <c r="DG400" s="3850"/>
      <c r="DH400" s="3850"/>
      <c r="DI400" s="3850"/>
      <c r="DJ400" s="3850"/>
      <c r="DK400" s="3850"/>
      <c r="DL400" s="3850"/>
      <c r="DM400" s="3850"/>
      <c r="DN400" s="3850"/>
      <c r="DO400" s="3850"/>
      <c r="DP400" s="3850"/>
      <c r="DQ400" s="3850"/>
      <c r="DR400" s="3850"/>
      <c r="DS400" s="3850"/>
      <c r="DT400" s="3850"/>
      <c r="DU400" s="3850"/>
      <c r="DV400" s="3850"/>
      <c r="DW400" s="3850"/>
      <c r="DX400" s="3850"/>
      <c r="DY400" s="3850"/>
      <c r="DZ400" s="3850"/>
      <c r="EA400" s="3850"/>
    </row>
    <row r="401" spans="1:131" s="3849" customFormat="1">
      <c r="A401" s="4063"/>
      <c r="B401" s="4064"/>
      <c r="C401" s="4067"/>
      <c r="D401" s="3874"/>
      <c r="E401" s="3883"/>
      <c r="F401" s="3874"/>
      <c r="G401" s="3875"/>
      <c r="H401" s="3874"/>
      <c r="I401" s="3875"/>
      <c r="J401" s="3874"/>
      <c r="K401" s="3875"/>
      <c r="L401" s="3874"/>
      <c r="N401" s="3846"/>
      <c r="O401" s="3850"/>
      <c r="P401" s="3848"/>
      <c r="AV401" s="3850"/>
      <c r="AX401" s="3850"/>
      <c r="AY401" s="3850"/>
      <c r="AZ401" s="3850"/>
      <c r="BA401" s="3850"/>
      <c r="BC401" s="3850"/>
      <c r="BD401" s="3850"/>
      <c r="BE401" s="3850"/>
      <c r="BF401" s="3850"/>
      <c r="BG401" s="3850"/>
      <c r="BH401" s="3850"/>
      <c r="BI401" s="3850"/>
      <c r="BJ401" s="3850"/>
      <c r="BK401" s="3850"/>
      <c r="BL401" s="3850"/>
      <c r="BM401" s="3850"/>
      <c r="BN401" s="3850"/>
      <c r="BO401" s="3850"/>
      <c r="BP401" s="3850"/>
      <c r="BQ401" s="3850"/>
      <c r="BR401" s="3850"/>
      <c r="BS401" s="3850"/>
      <c r="BT401" s="3850"/>
      <c r="BU401" s="3850"/>
      <c r="BV401" s="3850"/>
      <c r="BW401" s="3850"/>
      <c r="BX401" s="3850"/>
      <c r="BY401" s="3850"/>
      <c r="BZ401" s="3850"/>
      <c r="CA401" s="3850"/>
      <c r="CB401" s="3850"/>
      <c r="CC401" s="3850"/>
      <c r="CD401" s="3850"/>
      <c r="CE401" s="3850"/>
      <c r="CF401" s="3850"/>
      <c r="CG401" s="3850"/>
      <c r="CH401" s="3850"/>
      <c r="CI401" s="3850"/>
      <c r="CJ401" s="3850"/>
      <c r="CK401" s="3850"/>
      <c r="CL401" s="3850"/>
      <c r="CM401" s="3850"/>
      <c r="CN401" s="3850"/>
      <c r="CO401" s="3850"/>
      <c r="CP401" s="3850"/>
      <c r="CQ401" s="3850"/>
      <c r="CR401" s="3850"/>
      <c r="CS401" s="3850"/>
      <c r="CT401" s="3850"/>
      <c r="CU401" s="3850"/>
      <c r="CV401" s="3850"/>
      <c r="CW401" s="3850"/>
      <c r="CX401" s="3850"/>
      <c r="CY401" s="3850"/>
      <c r="CZ401" s="3850"/>
      <c r="DA401" s="3850"/>
      <c r="DB401" s="3850"/>
      <c r="DC401" s="3850"/>
      <c r="DD401" s="3850"/>
      <c r="DE401" s="3850"/>
      <c r="DF401" s="3850"/>
      <c r="DG401" s="3850"/>
      <c r="DH401" s="3850"/>
      <c r="DI401" s="3850"/>
      <c r="DJ401" s="3850"/>
      <c r="DK401" s="3850"/>
      <c r="DL401" s="3850"/>
      <c r="DM401" s="3850"/>
      <c r="DN401" s="3850"/>
      <c r="DO401" s="3850"/>
      <c r="DP401" s="3850"/>
      <c r="DQ401" s="3850"/>
      <c r="DR401" s="3850"/>
      <c r="DS401" s="3850"/>
      <c r="DT401" s="3850"/>
      <c r="DU401" s="3850"/>
      <c r="DV401" s="3850"/>
      <c r="DW401" s="3850"/>
      <c r="DX401" s="3850"/>
      <c r="DY401" s="3850"/>
      <c r="DZ401" s="3850"/>
      <c r="EA401" s="3850"/>
    </row>
    <row r="402" spans="1:131" s="3849" customFormat="1">
      <c r="A402" s="4063"/>
      <c r="B402" s="4064"/>
      <c r="C402" s="4067"/>
      <c r="D402" s="3874"/>
      <c r="E402" s="3883"/>
      <c r="F402" s="3874"/>
      <c r="G402" s="3875"/>
      <c r="H402" s="3874"/>
      <c r="I402" s="3875"/>
      <c r="J402" s="3874"/>
      <c r="K402" s="3875"/>
      <c r="L402" s="3874"/>
      <c r="N402" s="3846"/>
      <c r="O402" s="3850"/>
      <c r="P402" s="3848"/>
      <c r="AV402" s="3850"/>
      <c r="AX402" s="3850"/>
      <c r="AY402" s="3850"/>
      <c r="AZ402" s="3850"/>
      <c r="BA402" s="3850"/>
      <c r="BC402" s="3850"/>
      <c r="BD402" s="3850"/>
      <c r="BE402" s="3850"/>
      <c r="BF402" s="3850"/>
      <c r="BG402" s="3850"/>
      <c r="BH402" s="3850"/>
      <c r="BI402" s="3850"/>
      <c r="BJ402" s="3850"/>
      <c r="BK402" s="3850"/>
      <c r="BL402" s="3850"/>
      <c r="BM402" s="3850"/>
      <c r="BN402" s="3850"/>
      <c r="BO402" s="3850"/>
      <c r="BP402" s="3850"/>
      <c r="BQ402" s="3850"/>
      <c r="BR402" s="3850"/>
      <c r="BS402" s="3850"/>
      <c r="BT402" s="3850"/>
      <c r="BU402" s="3850"/>
      <c r="BV402" s="3850"/>
      <c r="BW402" s="3850"/>
      <c r="BX402" s="3850"/>
      <c r="BY402" s="3850"/>
      <c r="BZ402" s="3850"/>
      <c r="CA402" s="3850"/>
      <c r="CB402" s="3850"/>
      <c r="CC402" s="3850"/>
      <c r="CD402" s="3850"/>
      <c r="CE402" s="3850"/>
      <c r="CF402" s="3850"/>
      <c r="CG402" s="3850"/>
      <c r="CH402" s="3850"/>
      <c r="CI402" s="3850"/>
      <c r="CJ402" s="3850"/>
      <c r="CK402" s="3850"/>
      <c r="CL402" s="3850"/>
      <c r="CM402" s="3850"/>
      <c r="CN402" s="3850"/>
      <c r="CO402" s="3850"/>
      <c r="CP402" s="3850"/>
      <c r="CQ402" s="3850"/>
      <c r="CR402" s="3850"/>
      <c r="CS402" s="3850"/>
      <c r="CT402" s="3850"/>
      <c r="CU402" s="3850"/>
      <c r="CV402" s="3850"/>
      <c r="CW402" s="3850"/>
      <c r="CX402" s="3850"/>
      <c r="CY402" s="3850"/>
      <c r="CZ402" s="3850"/>
      <c r="DA402" s="3850"/>
      <c r="DB402" s="3850"/>
      <c r="DC402" s="3850"/>
      <c r="DD402" s="3850"/>
      <c r="DE402" s="3850"/>
      <c r="DF402" s="3850"/>
      <c r="DG402" s="3850"/>
      <c r="DH402" s="3850"/>
      <c r="DI402" s="3850"/>
      <c r="DJ402" s="3850"/>
      <c r="DK402" s="3850"/>
      <c r="DL402" s="3850"/>
      <c r="DM402" s="3850"/>
      <c r="DN402" s="3850"/>
      <c r="DO402" s="3850"/>
      <c r="DP402" s="3850"/>
      <c r="DQ402" s="3850"/>
      <c r="DR402" s="3850"/>
      <c r="DS402" s="3850"/>
      <c r="DT402" s="3850"/>
      <c r="DU402" s="3850"/>
      <c r="DV402" s="3850"/>
      <c r="DW402" s="3850"/>
      <c r="DX402" s="3850"/>
      <c r="DY402" s="3850"/>
      <c r="DZ402" s="3850"/>
      <c r="EA402" s="3850"/>
    </row>
    <row r="403" spans="1:131" s="3849" customFormat="1">
      <c r="A403" s="4063"/>
      <c r="B403" s="4064"/>
      <c r="C403" s="4067"/>
      <c r="D403" s="3874"/>
      <c r="E403" s="3883"/>
      <c r="F403" s="3874"/>
      <c r="G403" s="3875"/>
      <c r="H403" s="3874"/>
      <c r="I403" s="3875"/>
      <c r="J403" s="3874"/>
      <c r="K403" s="3875"/>
      <c r="L403" s="3874"/>
      <c r="N403" s="3846"/>
      <c r="O403" s="3850"/>
      <c r="P403" s="3848"/>
      <c r="AV403" s="3850"/>
      <c r="AX403" s="3850"/>
      <c r="AY403" s="3850"/>
      <c r="AZ403" s="3850"/>
      <c r="BA403" s="3850"/>
      <c r="BC403" s="3850"/>
      <c r="BD403" s="3850"/>
      <c r="BE403" s="3850"/>
      <c r="BF403" s="3850"/>
      <c r="BG403" s="3850"/>
      <c r="BH403" s="3850"/>
      <c r="BI403" s="3850"/>
      <c r="BJ403" s="3850"/>
      <c r="BK403" s="3850"/>
      <c r="BL403" s="3850"/>
      <c r="BM403" s="3850"/>
      <c r="BN403" s="3850"/>
      <c r="BO403" s="3850"/>
      <c r="BP403" s="3850"/>
      <c r="BQ403" s="3850"/>
      <c r="BR403" s="3850"/>
      <c r="BS403" s="3850"/>
      <c r="BT403" s="3850"/>
      <c r="BU403" s="3850"/>
      <c r="BV403" s="3850"/>
      <c r="BW403" s="3850"/>
      <c r="BX403" s="3850"/>
      <c r="BY403" s="3850"/>
      <c r="BZ403" s="3850"/>
      <c r="CA403" s="3850"/>
      <c r="CB403" s="3850"/>
      <c r="CC403" s="3850"/>
      <c r="CD403" s="3850"/>
      <c r="CE403" s="3850"/>
      <c r="CF403" s="3850"/>
      <c r="CG403" s="3850"/>
      <c r="CH403" s="3850"/>
      <c r="CI403" s="3850"/>
      <c r="CJ403" s="3850"/>
      <c r="CK403" s="3850"/>
      <c r="CL403" s="3850"/>
      <c r="CM403" s="3850"/>
      <c r="CN403" s="3850"/>
      <c r="CO403" s="3850"/>
      <c r="CP403" s="3850"/>
      <c r="CQ403" s="3850"/>
      <c r="CR403" s="3850"/>
      <c r="CS403" s="3850"/>
      <c r="CT403" s="3850"/>
      <c r="CU403" s="3850"/>
      <c r="CV403" s="3850"/>
      <c r="CW403" s="3850"/>
      <c r="CX403" s="3850"/>
      <c r="CY403" s="3850"/>
      <c r="CZ403" s="3850"/>
      <c r="DA403" s="3850"/>
      <c r="DB403" s="3850"/>
      <c r="DC403" s="3850"/>
      <c r="DD403" s="3850"/>
      <c r="DE403" s="3850"/>
      <c r="DF403" s="3850"/>
      <c r="DG403" s="3850"/>
      <c r="DH403" s="3850"/>
      <c r="DI403" s="3850"/>
      <c r="DJ403" s="3850"/>
      <c r="DK403" s="3850"/>
      <c r="DL403" s="3850"/>
      <c r="DM403" s="3850"/>
      <c r="DN403" s="3850"/>
      <c r="DO403" s="3850"/>
      <c r="DP403" s="3850"/>
      <c r="DQ403" s="3850"/>
      <c r="DR403" s="3850"/>
      <c r="DS403" s="3850"/>
      <c r="DT403" s="3850"/>
      <c r="DU403" s="3850"/>
      <c r="DV403" s="3850"/>
      <c r="DW403" s="3850"/>
      <c r="DX403" s="3850"/>
      <c r="DY403" s="3850"/>
      <c r="DZ403" s="3850"/>
      <c r="EA403" s="3850"/>
    </row>
    <row r="404" spans="1:131" s="3849" customFormat="1">
      <c r="A404" s="4063"/>
      <c r="B404" s="4064"/>
      <c r="C404" s="4067"/>
      <c r="D404" s="3874"/>
      <c r="E404" s="3883"/>
      <c r="F404" s="3874"/>
      <c r="G404" s="3875"/>
      <c r="H404" s="3874"/>
      <c r="I404" s="3875"/>
      <c r="J404" s="3874"/>
      <c r="K404" s="3875"/>
      <c r="L404" s="3874"/>
      <c r="N404" s="3846"/>
      <c r="O404" s="3850"/>
      <c r="P404" s="3848"/>
      <c r="AV404" s="3850"/>
      <c r="AX404" s="3850"/>
      <c r="AY404" s="3850"/>
      <c r="AZ404" s="3850"/>
      <c r="BA404" s="3850"/>
      <c r="BC404" s="3850"/>
      <c r="BD404" s="3850"/>
      <c r="BE404" s="3850"/>
      <c r="BF404" s="3850"/>
      <c r="BG404" s="3850"/>
      <c r="BH404" s="3850"/>
      <c r="BI404" s="3850"/>
      <c r="BJ404" s="3850"/>
      <c r="BK404" s="3850"/>
      <c r="BL404" s="3850"/>
      <c r="BM404" s="3850"/>
      <c r="BN404" s="3850"/>
      <c r="BO404" s="3850"/>
      <c r="BP404" s="3850"/>
      <c r="BQ404" s="3850"/>
      <c r="BR404" s="3850"/>
      <c r="BS404" s="3850"/>
      <c r="BT404" s="3850"/>
      <c r="BU404" s="3850"/>
      <c r="BV404" s="3850"/>
      <c r="BW404" s="3850"/>
      <c r="BX404" s="3850"/>
      <c r="BY404" s="3850"/>
      <c r="BZ404" s="3850"/>
      <c r="CA404" s="3850"/>
      <c r="CB404" s="3850"/>
      <c r="CC404" s="3850"/>
      <c r="CD404" s="3850"/>
      <c r="CE404" s="3850"/>
      <c r="CF404" s="3850"/>
      <c r="CG404" s="3850"/>
      <c r="CH404" s="3850"/>
      <c r="CI404" s="3850"/>
      <c r="CJ404" s="3850"/>
      <c r="CK404" s="3850"/>
      <c r="CL404" s="3850"/>
      <c r="CM404" s="3850"/>
      <c r="CN404" s="3850"/>
      <c r="CO404" s="3850"/>
      <c r="CP404" s="3850"/>
      <c r="CQ404" s="3850"/>
      <c r="CR404" s="3850"/>
      <c r="CS404" s="3850"/>
      <c r="CT404" s="3850"/>
      <c r="CU404" s="3850"/>
      <c r="CV404" s="3850"/>
      <c r="CW404" s="3850"/>
      <c r="CX404" s="3850"/>
      <c r="CY404" s="3850"/>
      <c r="CZ404" s="3850"/>
      <c r="DA404" s="3850"/>
      <c r="DB404" s="3850"/>
      <c r="DC404" s="3850"/>
      <c r="DD404" s="3850"/>
      <c r="DE404" s="3850"/>
      <c r="DF404" s="3850"/>
      <c r="DG404" s="3850"/>
      <c r="DH404" s="3850"/>
      <c r="DI404" s="3850"/>
      <c r="DJ404" s="3850"/>
      <c r="DK404" s="3850"/>
      <c r="DL404" s="3850"/>
      <c r="DM404" s="3850"/>
      <c r="DN404" s="3850"/>
      <c r="DO404" s="3850"/>
      <c r="DP404" s="3850"/>
      <c r="DQ404" s="3850"/>
      <c r="DR404" s="3850"/>
      <c r="DS404" s="3850"/>
      <c r="DT404" s="3850"/>
      <c r="DU404" s="3850"/>
      <c r="DV404" s="3850"/>
      <c r="DW404" s="3850"/>
      <c r="DX404" s="3850"/>
      <c r="DY404" s="3850"/>
      <c r="DZ404" s="3850"/>
      <c r="EA404" s="3850"/>
    </row>
    <row r="405" spans="1:131" s="3849" customFormat="1">
      <c r="A405" s="4063"/>
      <c r="B405" s="4064"/>
      <c r="C405" s="4067"/>
      <c r="D405" s="3874"/>
      <c r="E405" s="3883"/>
      <c r="F405" s="3874"/>
      <c r="G405" s="3875"/>
      <c r="H405" s="3874"/>
      <c r="I405" s="3875"/>
      <c r="J405" s="3874"/>
      <c r="K405" s="3875"/>
      <c r="L405" s="3874"/>
      <c r="N405" s="3846"/>
      <c r="O405" s="3850"/>
      <c r="P405" s="3848"/>
      <c r="AV405" s="3850"/>
      <c r="AX405" s="3850"/>
      <c r="AY405" s="3850"/>
      <c r="AZ405" s="3850"/>
      <c r="BA405" s="3850"/>
      <c r="BC405" s="3850"/>
      <c r="BD405" s="3850"/>
      <c r="BE405" s="3850"/>
      <c r="BF405" s="3850"/>
      <c r="BG405" s="3850"/>
      <c r="BH405" s="3850"/>
      <c r="BI405" s="3850"/>
      <c r="BJ405" s="3850"/>
      <c r="BK405" s="3850"/>
      <c r="BL405" s="3850"/>
      <c r="BM405" s="3850"/>
      <c r="BN405" s="3850"/>
      <c r="BO405" s="3850"/>
      <c r="BP405" s="3850"/>
      <c r="BQ405" s="3850"/>
      <c r="BR405" s="3850"/>
      <c r="BS405" s="3850"/>
      <c r="BT405" s="3850"/>
      <c r="BU405" s="3850"/>
      <c r="BV405" s="3850"/>
      <c r="BW405" s="3850"/>
      <c r="BX405" s="3850"/>
      <c r="BY405" s="3850"/>
      <c r="BZ405" s="3850"/>
      <c r="CA405" s="3850"/>
      <c r="CB405" s="3850"/>
      <c r="CC405" s="3850"/>
      <c r="CD405" s="3850"/>
      <c r="CE405" s="3850"/>
      <c r="CF405" s="3850"/>
      <c r="CG405" s="3850"/>
      <c r="CH405" s="3850"/>
      <c r="CI405" s="3850"/>
      <c r="CJ405" s="3850"/>
      <c r="CK405" s="3850"/>
      <c r="CL405" s="3850"/>
      <c r="CM405" s="3850"/>
      <c r="CN405" s="3850"/>
      <c r="CO405" s="3850"/>
      <c r="CP405" s="3850"/>
      <c r="CQ405" s="3850"/>
      <c r="CR405" s="3850"/>
      <c r="CS405" s="3850"/>
      <c r="CT405" s="3850"/>
      <c r="CU405" s="3850"/>
      <c r="CV405" s="3850"/>
      <c r="CW405" s="3850"/>
      <c r="CX405" s="3850"/>
      <c r="CY405" s="3850"/>
      <c r="CZ405" s="3850"/>
      <c r="DA405" s="3850"/>
      <c r="DB405" s="3850"/>
      <c r="DC405" s="3850"/>
      <c r="DD405" s="3850"/>
      <c r="DE405" s="3850"/>
      <c r="DF405" s="3850"/>
      <c r="DG405" s="3850"/>
      <c r="DH405" s="3850"/>
      <c r="DI405" s="3850"/>
      <c r="DJ405" s="3850"/>
      <c r="DK405" s="3850"/>
      <c r="DL405" s="3850"/>
      <c r="DM405" s="3850"/>
      <c r="DN405" s="3850"/>
      <c r="DO405" s="3850"/>
      <c r="DP405" s="3850"/>
      <c r="DQ405" s="3850"/>
      <c r="DR405" s="3850"/>
      <c r="DS405" s="3850"/>
      <c r="DT405" s="3850"/>
      <c r="DU405" s="3850"/>
      <c r="DV405" s="3850"/>
      <c r="DW405" s="3850"/>
      <c r="DX405" s="3850"/>
      <c r="DY405" s="3850"/>
      <c r="DZ405" s="3850"/>
      <c r="EA405" s="3850"/>
    </row>
    <row r="406" spans="1:131" s="3849" customFormat="1">
      <c r="A406" s="4063"/>
      <c r="B406" s="4064"/>
      <c r="C406" s="4067"/>
      <c r="D406" s="3874"/>
      <c r="E406" s="3883"/>
      <c r="F406" s="3874"/>
      <c r="G406" s="3875"/>
      <c r="H406" s="3874"/>
      <c r="I406" s="3875"/>
      <c r="J406" s="3874"/>
      <c r="K406" s="3875"/>
      <c r="L406" s="3874"/>
      <c r="N406" s="3846"/>
      <c r="O406" s="3850"/>
      <c r="P406" s="3848"/>
      <c r="AV406" s="3850"/>
      <c r="AX406" s="3850"/>
      <c r="AY406" s="3850"/>
      <c r="AZ406" s="3850"/>
      <c r="BA406" s="3850"/>
      <c r="BC406" s="3850"/>
      <c r="BD406" s="3850"/>
      <c r="BE406" s="3850"/>
      <c r="BF406" s="3850"/>
      <c r="BG406" s="3850"/>
      <c r="BH406" s="3850"/>
      <c r="BI406" s="3850"/>
      <c r="BJ406" s="3850"/>
      <c r="BK406" s="3850"/>
      <c r="BL406" s="3850"/>
      <c r="BM406" s="3850"/>
      <c r="BN406" s="3850"/>
      <c r="BO406" s="3850"/>
      <c r="BP406" s="3850"/>
      <c r="BQ406" s="3850"/>
      <c r="BR406" s="3850"/>
      <c r="BS406" s="3850"/>
      <c r="BT406" s="3850"/>
      <c r="BU406" s="3850"/>
      <c r="BV406" s="3850"/>
      <c r="BW406" s="3850"/>
      <c r="BX406" s="3850"/>
      <c r="BY406" s="3850"/>
      <c r="BZ406" s="3850"/>
      <c r="CA406" s="3850"/>
      <c r="CB406" s="3850"/>
      <c r="CC406" s="3850"/>
      <c r="CD406" s="3850"/>
      <c r="CE406" s="3850"/>
      <c r="CF406" s="3850"/>
      <c r="CG406" s="3850"/>
      <c r="CH406" s="3850"/>
      <c r="CI406" s="3850"/>
      <c r="CJ406" s="3850"/>
      <c r="CK406" s="3850"/>
      <c r="CL406" s="3850"/>
      <c r="CM406" s="3850"/>
      <c r="CN406" s="3850"/>
      <c r="CO406" s="3850"/>
      <c r="CP406" s="3850"/>
      <c r="CQ406" s="3850"/>
      <c r="CR406" s="3850"/>
      <c r="CS406" s="3850"/>
      <c r="CT406" s="3850"/>
      <c r="CU406" s="3850"/>
      <c r="CV406" s="3850"/>
      <c r="CW406" s="3850"/>
      <c r="CX406" s="3850"/>
      <c r="CY406" s="3850"/>
      <c r="CZ406" s="3850"/>
      <c r="DA406" s="3850"/>
      <c r="DB406" s="3850"/>
      <c r="DC406" s="3850"/>
      <c r="DD406" s="3850"/>
      <c r="DE406" s="3850"/>
      <c r="DF406" s="3850"/>
      <c r="DG406" s="3850"/>
      <c r="DH406" s="3850"/>
      <c r="DI406" s="3850"/>
      <c r="DJ406" s="3850"/>
      <c r="DK406" s="3850"/>
      <c r="DL406" s="3850"/>
      <c r="DM406" s="3850"/>
      <c r="DN406" s="3850"/>
      <c r="DO406" s="3850"/>
      <c r="DP406" s="3850"/>
      <c r="DQ406" s="3850"/>
      <c r="DR406" s="3850"/>
      <c r="DS406" s="3850"/>
      <c r="DT406" s="3850"/>
      <c r="DU406" s="3850"/>
      <c r="DV406" s="3850"/>
      <c r="DW406" s="3850"/>
      <c r="DX406" s="3850"/>
      <c r="DY406" s="3850"/>
      <c r="DZ406" s="3850"/>
      <c r="EA406" s="3850"/>
    </row>
    <row r="407" spans="1:131" s="3849" customFormat="1">
      <c r="A407" s="4063"/>
      <c r="B407" s="4064"/>
      <c r="C407" s="4067"/>
      <c r="D407" s="3874"/>
      <c r="E407" s="3883"/>
      <c r="F407" s="3874"/>
      <c r="G407" s="3875"/>
      <c r="H407" s="3874"/>
      <c r="I407" s="3875"/>
      <c r="J407" s="3874"/>
      <c r="K407" s="3875"/>
      <c r="L407" s="3874"/>
      <c r="N407" s="3846"/>
      <c r="O407" s="3850"/>
      <c r="P407" s="3848"/>
      <c r="AV407" s="3850"/>
      <c r="AX407" s="3850"/>
      <c r="AY407" s="3850"/>
      <c r="AZ407" s="3850"/>
      <c r="BA407" s="3850"/>
      <c r="BC407" s="3850"/>
      <c r="BD407" s="3850"/>
      <c r="BE407" s="3850"/>
      <c r="BF407" s="3850"/>
      <c r="BG407" s="3850"/>
      <c r="BH407" s="3850"/>
      <c r="BI407" s="3850"/>
      <c r="BJ407" s="3850"/>
      <c r="BK407" s="3850"/>
      <c r="BL407" s="3850"/>
      <c r="BM407" s="3850"/>
      <c r="BN407" s="3850"/>
      <c r="BO407" s="3850"/>
      <c r="BP407" s="3850"/>
      <c r="BQ407" s="3850"/>
      <c r="BR407" s="3850"/>
      <c r="BS407" s="3850"/>
      <c r="BT407" s="3850"/>
      <c r="BU407" s="3850"/>
      <c r="BV407" s="3850"/>
      <c r="BW407" s="3850"/>
      <c r="BX407" s="3850"/>
      <c r="BY407" s="3850"/>
      <c r="BZ407" s="3850"/>
      <c r="CA407" s="3850"/>
      <c r="CB407" s="3850"/>
      <c r="CC407" s="3850"/>
      <c r="CD407" s="3850"/>
      <c r="CE407" s="3850"/>
      <c r="CF407" s="3850"/>
      <c r="CG407" s="3850"/>
      <c r="CH407" s="3850"/>
      <c r="CI407" s="3850"/>
      <c r="CJ407" s="3850"/>
      <c r="CK407" s="3850"/>
      <c r="CL407" s="3850"/>
      <c r="CM407" s="3850"/>
      <c r="CN407" s="3850"/>
      <c r="CO407" s="3850"/>
      <c r="CP407" s="3850"/>
      <c r="CQ407" s="3850"/>
      <c r="CR407" s="3850"/>
      <c r="CS407" s="3850"/>
      <c r="CT407" s="3850"/>
      <c r="CU407" s="3850"/>
      <c r="CV407" s="3850"/>
      <c r="CW407" s="3850"/>
      <c r="CX407" s="3850"/>
      <c r="CY407" s="3850"/>
      <c r="CZ407" s="3850"/>
      <c r="DA407" s="3850"/>
      <c r="DB407" s="3850"/>
      <c r="DC407" s="3850"/>
      <c r="DD407" s="3850"/>
      <c r="DE407" s="3850"/>
      <c r="DF407" s="3850"/>
      <c r="DG407" s="3850"/>
      <c r="DH407" s="3850"/>
      <c r="DI407" s="3850"/>
      <c r="DJ407" s="3850"/>
      <c r="DK407" s="3850"/>
      <c r="DL407" s="3850"/>
      <c r="DM407" s="3850"/>
      <c r="DN407" s="3850"/>
      <c r="DO407" s="3850"/>
      <c r="DP407" s="3850"/>
      <c r="DQ407" s="3850"/>
      <c r="DR407" s="3850"/>
      <c r="DS407" s="3850"/>
      <c r="DT407" s="3850"/>
      <c r="DU407" s="3850"/>
      <c r="DV407" s="3850"/>
      <c r="DW407" s="3850"/>
      <c r="DX407" s="3850"/>
      <c r="DY407" s="3850"/>
      <c r="DZ407" s="3850"/>
      <c r="EA407" s="3850"/>
    </row>
    <row r="408" spans="1:131" s="3849" customFormat="1">
      <c r="A408" s="4063"/>
      <c r="B408" s="4064"/>
      <c r="C408" s="4067"/>
      <c r="D408" s="3874"/>
      <c r="E408" s="3883"/>
      <c r="F408" s="3874"/>
      <c r="G408" s="3875"/>
      <c r="H408" s="3874"/>
      <c r="I408" s="3875"/>
      <c r="J408" s="3874"/>
      <c r="K408" s="3875"/>
      <c r="L408" s="3874"/>
      <c r="N408" s="3846"/>
      <c r="O408" s="3850"/>
      <c r="P408" s="3848"/>
      <c r="AV408" s="3850"/>
      <c r="AX408" s="3850"/>
      <c r="AY408" s="3850"/>
      <c r="AZ408" s="3850"/>
      <c r="BA408" s="3850"/>
      <c r="BC408" s="3850"/>
      <c r="BD408" s="3850"/>
      <c r="BE408" s="3850"/>
      <c r="BF408" s="3850"/>
      <c r="BG408" s="3850"/>
      <c r="BH408" s="3850"/>
      <c r="BI408" s="3850"/>
      <c r="BJ408" s="3850"/>
      <c r="BK408" s="3850"/>
      <c r="BL408" s="3850"/>
      <c r="BM408" s="3850"/>
      <c r="BN408" s="3850"/>
      <c r="BO408" s="3850"/>
      <c r="BP408" s="3850"/>
      <c r="BQ408" s="3850"/>
      <c r="BR408" s="3850"/>
      <c r="BS408" s="3850"/>
      <c r="BT408" s="3850"/>
      <c r="BU408" s="3850"/>
      <c r="BV408" s="3850"/>
      <c r="BW408" s="3850"/>
      <c r="BX408" s="3850"/>
      <c r="BY408" s="3850"/>
      <c r="BZ408" s="3850"/>
      <c r="CA408" s="3850"/>
      <c r="CB408" s="3850"/>
      <c r="CC408" s="3850"/>
      <c r="CD408" s="3850"/>
      <c r="CE408" s="3850"/>
      <c r="CF408" s="3850"/>
      <c r="CG408" s="3850"/>
      <c r="CH408" s="3850"/>
      <c r="CI408" s="3850"/>
      <c r="CJ408" s="3850"/>
      <c r="CK408" s="3850"/>
      <c r="CL408" s="3850"/>
      <c r="CM408" s="3850"/>
      <c r="CN408" s="3850"/>
      <c r="CO408" s="3850"/>
      <c r="CP408" s="3850"/>
      <c r="CQ408" s="3850"/>
      <c r="CR408" s="3850"/>
      <c r="CS408" s="3850"/>
      <c r="CT408" s="3850"/>
      <c r="CU408" s="3850"/>
      <c r="CV408" s="3850"/>
      <c r="CW408" s="3850"/>
      <c r="CX408" s="3850"/>
      <c r="CY408" s="3850"/>
      <c r="CZ408" s="3850"/>
      <c r="DA408" s="3850"/>
      <c r="DB408" s="3850"/>
      <c r="DC408" s="3850"/>
      <c r="DD408" s="3850"/>
      <c r="DE408" s="3850"/>
      <c r="DF408" s="3850"/>
      <c r="DG408" s="3850"/>
      <c r="DH408" s="3850"/>
      <c r="DI408" s="3850"/>
      <c r="DJ408" s="3850"/>
      <c r="DK408" s="3850"/>
      <c r="DL408" s="3850"/>
      <c r="DM408" s="3850"/>
      <c r="DN408" s="3850"/>
      <c r="DO408" s="3850"/>
      <c r="DP408" s="3850"/>
      <c r="DQ408" s="3850"/>
      <c r="DR408" s="3850"/>
      <c r="DS408" s="3850"/>
      <c r="DT408" s="3850"/>
      <c r="DU408" s="3850"/>
      <c r="DV408" s="3850"/>
      <c r="DW408" s="3850"/>
      <c r="DX408" s="3850"/>
      <c r="DY408" s="3850"/>
      <c r="DZ408" s="3850"/>
      <c r="EA408" s="3850"/>
    </row>
    <row r="409" spans="1:131" s="3849" customFormat="1">
      <c r="A409" s="4063"/>
      <c r="B409" s="4064"/>
      <c r="C409" s="4067"/>
      <c r="D409" s="3874"/>
      <c r="E409" s="3883"/>
      <c r="F409" s="3874"/>
      <c r="G409" s="3875"/>
      <c r="H409" s="3874"/>
      <c r="I409" s="3875"/>
      <c r="J409" s="3874"/>
      <c r="K409" s="3875"/>
      <c r="L409" s="3874"/>
      <c r="N409" s="3846"/>
      <c r="O409" s="3850"/>
      <c r="P409" s="3848"/>
      <c r="AV409" s="3850"/>
      <c r="AX409" s="3850"/>
      <c r="AY409" s="3850"/>
      <c r="AZ409" s="3850"/>
      <c r="BA409" s="3850"/>
      <c r="BC409" s="3850"/>
      <c r="BD409" s="3850"/>
      <c r="BE409" s="3850"/>
      <c r="BF409" s="3850"/>
      <c r="BG409" s="3850"/>
      <c r="BH409" s="3850"/>
      <c r="BI409" s="3850"/>
      <c r="BJ409" s="3850"/>
      <c r="BK409" s="3850"/>
      <c r="BL409" s="3850"/>
      <c r="BM409" s="3850"/>
      <c r="BN409" s="3850"/>
      <c r="BO409" s="3850"/>
      <c r="BP409" s="3850"/>
      <c r="BQ409" s="3850"/>
      <c r="BR409" s="3850"/>
      <c r="BS409" s="3850"/>
      <c r="BT409" s="3850"/>
      <c r="BU409" s="3850"/>
      <c r="BV409" s="3850"/>
      <c r="BW409" s="3850"/>
      <c r="BX409" s="3850"/>
      <c r="BY409" s="3850"/>
      <c r="BZ409" s="3850"/>
      <c r="CA409" s="3850"/>
      <c r="CB409" s="3850"/>
      <c r="CC409" s="3850"/>
      <c r="CD409" s="3850"/>
      <c r="CE409" s="3850"/>
      <c r="CF409" s="3850"/>
      <c r="CG409" s="3850"/>
      <c r="CH409" s="3850"/>
      <c r="CI409" s="3850"/>
      <c r="CJ409" s="3850"/>
      <c r="CK409" s="3850"/>
      <c r="CL409" s="3850"/>
      <c r="CM409" s="3850"/>
      <c r="CN409" s="3850"/>
      <c r="CO409" s="3850"/>
      <c r="CP409" s="3850"/>
      <c r="CQ409" s="3850"/>
      <c r="CR409" s="3850"/>
      <c r="CS409" s="3850"/>
      <c r="CT409" s="3850"/>
      <c r="CU409" s="3850"/>
      <c r="CV409" s="3850"/>
      <c r="CW409" s="3850"/>
      <c r="CX409" s="3850"/>
      <c r="CY409" s="3850"/>
      <c r="CZ409" s="3850"/>
      <c r="DA409" s="3850"/>
      <c r="DB409" s="3850"/>
      <c r="DC409" s="3850"/>
      <c r="DD409" s="3850"/>
      <c r="DE409" s="3850"/>
      <c r="DF409" s="3850"/>
      <c r="DG409" s="3850"/>
      <c r="DH409" s="3850"/>
      <c r="DI409" s="3850"/>
      <c r="DJ409" s="3850"/>
      <c r="DK409" s="3850"/>
      <c r="DL409" s="3850"/>
      <c r="DM409" s="3850"/>
      <c r="DN409" s="3850"/>
      <c r="DO409" s="3850"/>
      <c r="DP409" s="3850"/>
      <c r="DQ409" s="3850"/>
      <c r="DR409" s="3850"/>
      <c r="DS409" s="3850"/>
      <c r="DT409" s="3850"/>
      <c r="DU409" s="3850"/>
      <c r="DV409" s="3850"/>
      <c r="DW409" s="3850"/>
      <c r="DX409" s="3850"/>
      <c r="DY409" s="3850"/>
      <c r="DZ409" s="3850"/>
      <c r="EA409" s="3850"/>
    </row>
    <row r="410" spans="1:131" s="3849" customFormat="1">
      <c r="A410" s="4063"/>
      <c r="B410" s="4064"/>
      <c r="C410" s="4067"/>
      <c r="D410" s="3874"/>
      <c r="E410" s="3883"/>
      <c r="F410" s="3874"/>
      <c r="G410" s="3875"/>
      <c r="H410" s="3874"/>
      <c r="I410" s="3875"/>
      <c r="J410" s="3874"/>
      <c r="K410" s="3875"/>
      <c r="L410" s="3874"/>
      <c r="N410" s="3846"/>
      <c r="O410" s="3850"/>
      <c r="P410" s="3848"/>
      <c r="AV410" s="3850"/>
      <c r="AX410" s="3850"/>
      <c r="AY410" s="3850"/>
      <c r="AZ410" s="3850"/>
      <c r="BA410" s="3850"/>
      <c r="BC410" s="3850"/>
      <c r="BD410" s="3850"/>
      <c r="BE410" s="3850"/>
      <c r="BF410" s="3850"/>
      <c r="BG410" s="3850"/>
      <c r="BH410" s="3850"/>
      <c r="BI410" s="3850"/>
      <c r="BJ410" s="3850"/>
      <c r="BK410" s="3850"/>
      <c r="BL410" s="3850"/>
      <c r="BM410" s="3850"/>
      <c r="BN410" s="3850"/>
      <c r="BO410" s="3850"/>
      <c r="BP410" s="3850"/>
      <c r="BQ410" s="3850"/>
      <c r="BR410" s="3850"/>
      <c r="BS410" s="3850"/>
      <c r="BT410" s="3850"/>
      <c r="BU410" s="3850"/>
      <c r="BV410" s="3850"/>
      <c r="BW410" s="3850"/>
      <c r="BX410" s="3850"/>
      <c r="BY410" s="3850"/>
      <c r="BZ410" s="3850"/>
      <c r="CA410" s="3850"/>
      <c r="CB410" s="3850"/>
      <c r="CC410" s="3850"/>
      <c r="CD410" s="3850"/>
      <c r="CE410" s="3850"/>
      <c r="CF410" s="3850"/>
      <c r="CG410" s="3850"/>
      <c r="CH410" s="3850"/>
      <c r="CI410" s="3850"/>
      <c r="CJ410" s="3850"/>
      <c r="CK410" s="3850"/>
      <c r="CL410" s="3850"/>
      <c r="CM410" s="3850"/>
      <c r="CN410" s="3850"/>
      <c r="CO410" s="3850"/>
      <c r="CP410" s="3850"/>
      <c r="CQ410" s="3850"/>
      <c r="CR410" s="3850"/>
      <c r="CS410" s="3850"/>
      <c r="CT410" s="3850"/>
      <c r="CU410" s="3850"/>
      <c r="CV410" s="3850"/>
      <c r="CW410" s="3850"/>
      <c r="CX410" s="3850"/>
      <c r="CY410" s="3850"/>
      <c r="CZ410" s="3850"/>
      <c r="DA410" s="3850"/>
      <c r="DB410" s="3850"/>
      <c r="DC410" s="3850"/>
      <c r="DD410" s="3850"/>
      <c r="DE410" s="3850"/>
      <c r="DF410" s="3850"/>
      <c r="DG410" s="3850"/>
      <c r="DH410" s="3850"/>
      <c r="DI410" s="3850"/>
      <c r="DJ410" s="3850"/>
      <c r="DK410" s="3850"/>
      <c r="DL410" s="3850"/>
      <c r="DM410" s="3850"/>
      <c r="DN410" s="3850"/>
      <c r="DO410" s="3850"/>
      <c r="DP410" s="3850"/>
      <c r="DQ410" s="3850"/>
      <c r="DR410" s="3850"/>
      <c r="DS410" s="3850"/>
      <c r="DT410" s="3850"/>
      <c r="DU410" s="3850"/>
      <c r="DV410" s="3850"/>
      <c r="DW410" s="3850"/>
      <c r="DX410" s="3850"/>
      <c r="DY410" s="3850"/>
      <c r="DZ410" s="3850"/>
      <c r="EA410" s="3850"/>
    </row>
    <row r="411" spans="1:131" s="3849" customFormat="1">
      <c r="A411" s="4063"/>
      <c r="B411" s="4064"/>
      <c r="C411" s="4067"/>
      <c r="D411" s="3874"/>
      <c r="E411" s="3883"/>
      <c r="F411" s="3874"/>
      <c r="G411" s="3875"/>
      <c r="H411" s="3874"/>
      <c r="I411" s="3875"/>
      <c r="J411" s="3874"/>
      <c r="K411" s="3875"/>
      <c r="L411" s="3874"/>
      <c r="N411" s="3846"/>
      <c r="O411" s="3850"/>
      <c r="P411" s="3848"/>
      <c r="AV411" s="3850"/>
      <c r="AX411" s="3850"/>
      <c r="AY411" s="3850"/>
      <c r="AZ411" s="3850"/>
      <c r="BA411" s="3850"/>
      <c r="BC411" s="3850"/>
      <c r="BD411" s="3850"/>
      <c r="BE411" s="3850"/>
      <c r="BF411" s="3850"/>
      <c r="BG411" s="3850"/>
      <c r="BH411" s="3850"/>
      <c r="BI411" s="3850"/>
      <c r="BJ411" s="3850"/>
      <c r="BK411" s="3850"/>
      <c r="BL411" s="3850"/>
      <c r="BM411" s="3850"/>
      <c r="BN411" s="3850"/>
      <c r="BO411" s="3850"/>
      <c r="BP411" s="3850"/>
      <c r="BQ411" s="3850"/>
      <c r="BR411" s="3850"/>
      <c r="BS411" s="3850"/>
      <c r="BT411" s="3850"/>
      <c r="BU411" s="3850"/>
      <c r="BV411" s="3850"/>
      <c r="BW411" s="3850"/>
      <c r="BX411" s="3850"/>
      <c r="BY411" s="3850"/>
      <c r="BZ411" s="3850"/>
      <c r="CA411" s="3850"/>
      <c r="CB411" s="3850"/>
      <c r="CC411" s="3850"/>
      <c r="CD411" s="3850"/>
      <c r="CE411" s="3850"/>
      <c r="CF411" s="3850"/>
      <c r="CG411" s="3850"/>
      <c r="CH411" s="3850"/>
      <c r="CI411" s="3850"/>
      <c r="CJ411" s="3850"/>
      <c r="CK411" s="3850"/>
      <c r="CL411" s="3850"/>
      <c r="CM411" s="3850"/>
      <c r="CN411" s="3850"/>
      <c r="CO411" s="3850"/>
      <c r="CP411" s="3850"/>
      <c r="CQ411" s="3850"/>
      <c r="CR411" s="3850"/>
      <c r="CS411" s="3850"/>
      <c r="CT411" s="3850"/>
      <c r="CU411" s="3850"/>
      <c r="CV411" s="3850"/>
      <c r="CW411" s="3850"/>
      <c r="CX411" s="3850"/>
      <c r="CY411" s="3850"/>
      <c r="CZ411" s="3850"/>
      <c r="DA411" s="3850"/>
      <c r="DB411" s="3850"/>
      <c r="DC411" s="3850"/>
      <c r="DD411" s="3850"/>
      <c r="DE411" s="3850"/>
      <c r="DF411" s="3850"/>
      <c r="DG411" s="3850"/>
      <c r="DH411" s="3850"/>
      <c r="DI411" s="3850"/>
      <c r="DJ411" s="3850"/>
      <c r="DK411" s="3850"/>
      <c r="DL411" s="3850"/>
      <c r="DM411" s="3850"/>
      <c r="DN411" s="3850"/>
      <c r="DO411" s="3850"/>
      <c r="DP411" s="3850"/>
      <c r="DQ411" s="3850"/>
      <c r="DR411" s="3850"/>
      <c r="DS411" s="3850"/>
      <c r="DT411" s="3850"/>
      <c r="DU411" s="3850"/>
      <c r="DV411" s="3850"/>
      <c r="DW411" s="3850"/>
      <c r="DX411" s="3850"/>
      <c r="DY411" s="3850"/>
      <c r="DZ411" s="3850"/>
      <c r="EA411" s="3850"/>
    </row>
    <row r="412" spans="1:131" s="3849" customFormat="1">
      <c r="A412" s="4063"/>
      <c r="B412" s="4064"/>
      <c r="C412" s="4067"/>
      <c r="D412" s="3874"/>
      <c r="E412" s="3883"/>
      <c r="F412" s="3874"/>
      <c r="G412" s="3875"/>
      <c r="H412" s="3874"/>
      <c r="I412" s="3875"/>
      <c r="J412" s="3874"/>
      <c r="K412" s="3875"/>
      <c r="L412" s="3874"/>
      <c r="N412" s="3846"/>
      <c r="O412" s="3850"/>
      <c r="P412" s="3848"/>
      <c r="AV412" s="3850"/>
      <c r="AX412" s="3850"/>
      <c r="AY412" s="3850"/>
      <c r="AZ412" s="3850"/>
      <c r="BA412" s="3850"/>
      <c r="BC412" s="3850"/>
      <c r="BD412" s="3850"/>
      <c r="BE412" s="3850"/>
      <c r="BF412" s="3850"/>
      <c r="BG412" s="3850"/>
      <c r="BH412" s="3850"/>
      <c r="BI412" s="3850"/>
      <c r="BJ412" s="3850"/>
      <c r="BK412" s="3850"/>
      <c r="BL412" s="3850"/>
      <c r="BM412" s="3850"/>
      <c r="BN412" s="3850"/>
      <c r="BO412" s="3850"/>
      <c r="BP412" s="3850"/>
      <c r="BQ412" s="3850"/>
      <c r="BR412" s="3850"/>
      <c r="BS412" s="3850"/>
      <c r="BT412" s="3850"/>
      <c r="BU412" s="3850"/>
      <c r="BV412" s="3850"/>
      <c r="BW412" s="3850"/>
      <c r="BX412" s="3850"/>
      <c r="BY412" s="3850"/>
      <c r="BZ412" s="3850"/>
      <c r="CA412" s="3850"/>
      <c r="CB412" s="3850"/>
      <c r="CC412" s="3850"/>
      <c r="CD412" s="3850"/>
      <c r="CE412" s="3850"/>
      <c r="CF412" s="3850"/>
      <c r="CG412" s="3850"/>
      <c r="CH412" s="3850"/>
      <c r="CI412" s="3850"/>
      <c r="CJ412" s="3850"/>
      <c r="CK412" s="3850"/>
      <c r="CL412" s="3850"/>
      <c r="CM412" s="3850"/>
      <c r="CN412" s="3850"/>
      <c r="CO412" s="3850"/>
      <c r="CP412" s="3850"/>
      <c r="CQ412" s="3850"/>
      <c r="CR412" s="3850"/>
      <c r="CS412" s="3850"/>
      <c r="CT412" s="3850"/>
      <c r="CU412" s="3850"/>
      <c r="CV412" s="3850"/>
      <c r="CW412" s="3850"/>
      <c r="CX412" s="3850"/>
      <c r="CY412" s="3850"/>
      <c r="CZ412" s="3850"/>
      <c r="DA412" s="3850"/>
      <c r="DB412" s="3850"/>
      <c r="DC412" s="3850"/>
      <c r="DD412" s="3850"/>
      <c r="DE412" s="3850"/>
      <c r="DF412" s="3850"/>
      <c r="DG412" s="3850"/>
      <c r="DH412" s="3850"/>
      <c r="DI412" s="3850"/>
      <c r="DJ412" s="3850"/>
      <c r="DK412" s="3850"/>
      <c r="DL412" s="3850"/>
      <c r="DM412" s="3850"/>
      <c r="DN412" s="3850"/>
      <c r="DO412" s="3850"/>
      <c r="DP412" s="3850"/>
      <c r="DQ412" s="3850"/>
      <c r="DR412" s="3850"/>
      <c r="DS412" s="3850"/>
      <c r="DT412" s="3850"/>
      <c r="DU412" s="3850"/>
      <c r="DV412" s="3850"/>
      <c r="DW412" s="3850"/>
      <c r="DX412" s="3850"/>
      <c r="DY412" s="3850"/>
      <c r="DZ412" s="3850"/>
      <c r="EA412" s="3850"/>
    </row>
    <row r="413" spans="1:131" s="3849" customFormat="1">
      <c r="A413" s="4063"/>
      <c r="B413" s="4064"/>
      <c r="C413" s="4067"/>
      <c r="D413" s="3874"/>
      <c r="E413" s="3883"/>
      <c r="F413" s="3874"/>
      <c r="G413" s="3875"/>
      <c r="H413" s="3874"/>
      <c r="I413" s="3875"/>
      <c r="J413" s="3874"/>
      <c r="K413" s="3875"/>
      <c r="L413" s="3874"/>
      <c r="N413" s="3846"/>
      <c r="O413" s="3850"/>
      <c r="P413" s="3848"/>
      <c r="AV413" s="3850"/>
      <c r="AX413" s="3850"/>
      <c r="AY413" s="3850"/>
      <c r="AZ413" s="3850"/>
      <c r="BA413" s="3850"/>
      <c r="BC413" s="3850"/>
      <c r="BD413" s="3850"/>
      <c r="BE413" s="3850"/>
      <c r="BF413" s="3850"/>
      <c r="BG413" s="3850"/>
      <c r="BH413" s="3850"/>
      <c r="BI413" s="3850"/>
      <c r="BJ413" s="3850"/>
      <c r="BK413" s="3850"/>
      <c r="BL413" s="3850"/>
      <c r="BM413" s="3850"/>
      <c r="BN413" s="3850"/>
      <c r="BO413" s="3850"/>
      <c r="BP413" s="3850"/>
      <c r="BQ413" s="3850"/>
      <c r="BR413" s="3850"/>
      <c r="BS413" s="3850"/>
      <c r="BT413" s="3850"/>
      <c r="BU413" s="3850"/>
      <c r="BV413" s="3850"/>
      <c r="BW413" s="3850"/>
      <c r="BX413" s="3850"/>
      <c r="BY413" s="3850"/>
      <c r="BZ413" s="3850"/>
      <c r="CA413" s="3850"/>
      <c r="CB413" s="3850"/>
      <c r="CC413" s="3850"/>
      <c r="CD413" s="3850"/>
      <c r="CE413" s="3850"/>
      <c r="CF413" s="3850"/>
      <c r="CG413" s="3850"/>
      <c r="CH413" s="3850"/>
      <c r="CI413" s="3850"/>
      <c r="CJ413" s="3850"/>
      <c r="CK413" s="3850"/>
      <c r="CL413" s="3850"/>
      <c r="CM413" s="3850"/>
      <c r="CN413" s="3850"/>
      <c r="CO413" s="3850"/>
      <c r="CP413" s="3850"/>
      <c r="CQ413" s="3850"/>
      <c r="CR413" s="3850"/>
      <c r="CS413" s="3850"/>
      <c r="CT413" s="3850"/>
      <c r="CU413" s="3850"/>
      <c r="CV413" s="3850"/>
      <c r="CW413" s="3850"/>
      <c r="CX413" s="3850"/>
      <c r="CY413" s="3850"/>
      <c r="CZ413" s="3850"/>
      <c r="DA413" s="3850"/>
      <c r="DB413" s="3850"/>
      <c r="DC413" s="3850"/>
      <c r="DD413" s="3850"/>
      <c r="DE413" s="3850"/>
      <c r="DF413" s="3850"/>
      <c r="DG413" s="3850"/>
      <c r="DH413" s="3850"/>
      <c r="DI413" s="3850"/>
      <c r="DJ413" s="3850"/>
      <c r="DK413" s="3850"/>
      <c r="DL413" s="3850"/>
      <c r="DM413" s="3850"/>
      <c r="DN413" s="3850"/>
      <c r="DO413" s="3850"/>
      <c r="DP413" s="3850"/>
      <c r="DQ413" s="3850"/>
      <c r="DR413" s="3850"/>
      <c r="DS413" s="3850"/>
      <c r="DT413" s="3850"/>
      <c r="DU413" s="3850"/>
      <c r="DV413" s="3850"/>
      <c r="DW413" s="3850"/>
      <c r="DX413" s="3850"/>
      <c r="DY413" s="3850"/>
      <c r="DZ413" s="3850"/>
      <c r="EA413" s="3850"/>
    </row>
    <row r="414" spans="1:131" s="3849" customFormat="1">
      <c r="A414" s="4063"/>
      <c r="B414" s="4064"/>
      <c r="C414" s="4067"/>
      <c r="D414" s="3874"/>
      <c r="E414" s="3883"/>
      <c r="F414" s="3874"/>
      <c r="G414" s="3875"/>
      <c r="H414" s="3874"/>
      <c r="I414" s="3875"/>
      <c r="J414" s="3874"/>
      <c r="K414" s="3875"/>
      <c r="L414" s="3874"/>
      <c r="N414" s="3846"/>
      <c r="O414" s="3850"/>
      <c r="P414" s="3848"/>
      <c r="AV414" s="3850"/>
      <c r="AX414" s="3850"/>
      <c r="AY414" s="3850"/>
      <c r="AZ414" s="3850"/>
      <c r="BA414" s="3850"/>
      <c r="BC414" s="3850"/>
      <c r="BD414" s="3850"/>
      <c r="BE414" s="3850"/>
      <c r="BF414" s="3850"/>
      <c r="BG414" s="3850"/>
      <c r="BH414" s="3850"/>
      <c r="BI414" s="3850"/>
      <c r="BJ414" s="3850"/>
      <c r="BK414" s="3850"/>
      <c r="BL414" s="3850"/>
      <c r="BM414" s="3850"/>
      <c r="BN414" s="3850"/>
      <c r="BO414" s="3850"/>
      <c r="BP414" s="3850"/>
      <c r="BQ414" s="3850"/>
      <c r="BR414" s="3850"/>
      <c r="BS414" s="3850"/>
      <c r="BT414" s="3850"/>
      <c r="BU414" s="3850"/>
      <c r="BV414" s="3850"/>
      <c r="BW414" s="3850"/>
      <c r="BX414" s="3850"/>
      <c r="BY414" s="3850"/>
      <c r="BZ414" s="3850"/>
      <c r="CA414" s="3850"/>
      <c r="CB414" s="3850"/>
      <c r="CC414" s="3850"/>
      <c r="CD414" s="3850"/>
      <c r="CE414" s="3850"/>
      <c r="CF414" s="3850"/>
      <c r="CG414" s="3850"/>
      <c r="CH414" s="3850"/>
      <c r="CI414" s="3850"/>
      <c r="CJ414" s="3850"/>
      <c r="CK414" s="3850"/>
      <c r="CL414" s="3850"/>
      <c r="CM414" s="3850"/>
      <c r="CN414" s="3850"/>
      <c r="CO414" s="3850"/>
      <c r="CP414" s="3850"/>
      <c r="CQ414" s="3850"/>
      <c r="CR414" s="3850"/>
      <c r="CS414" s="3850"/>
      <c r="CT414" s="3850"/>
      <c r="CU414" s="3850"/>
      <c r="CV414" s="3850"/>
      <c r="CW414" s="3850"/>
      <c r="CX414" s="3850"/>
      <c r="CY414" s="3850"/>
      <c r="CZ414" s="3850"/>
      <c r="DA414" s="3850"/>
      <c r="DB414" s="3850"/>
      <c r="DC414" s="3850"/>
      <c r="DD414" s="3850"/>
      <c r="DE414" s="3850"/>
      <c r="DF414" s="3850"/>
      <c r="DG414" s="3850"/>
      <c r="DH414" s="3850"/>
      <c r="DI414" s="3850"/>
      <c r="DJ414" s="3850"/>
      <c r="DK414" s="3850"/>
      <c r="DL414" s="3850"/>
      <c r="DM414" s="3850"/>
      <c r="DN414" s="3850"/>
      <c r="DO414" s="3850"/>
      <c r="DP414" s="3850"/>
      <c r="DQ414" s="3850"/>
      <c r="DR414" s="3850"/>
      <c r="DS414" s="3850"/>
      <c r="DT414" s="3850"/>
      <c r="DU414" s="3850"/>
      <c r="DV414" s="3850"/>
      <c r="DW414" s="3850"/>
      <c r="DX414" s="3850"/>
      <c r="DY414" s="3850"/>
      <c r="DZ414" s="3850"/>
      <c r="EA414" s="3850"/>
    </row>
    <row r="415" spans="1:131" s="3849" customFormat="1">
      <c r="A415" s="4063"/>
      <c r="B415" s="4064"/>
      <c r="C415" s="4067"/>
      <c r="D415" s="3874"/>
      <c r="E415" s="3883"/>
      <c r="F415" s="3874"/>
      <c r="G415" s="3875"/>
      <c r="H415" s="3874"/>
      <c r="I415" s="3875"/>
      <c r="J415" s="3874"/>
      <c r="K415" s="3875"/>
      <c r="L415" s="3874"/>
      <c r="N415" s="3846"/>
      <c r="O415" s="3850"/>
      <c r="P415" s="3848"/>
      <c r="AV415" s="3850"/>
      <c r="AX415" s="3850"/>
      <c r="AY415" s="3850"/>
      <c r="AZ415" s="3850"/>
      <c r="BA415" s="3850"/>
      <c r="BC415" s="3850"/>
      <c r="BD415" s="3850"/>
      <c r="BE415" s="3850"/>
      <c r="BF415" s="3850"/>
      <c r="BG415" s="3850"/>
      <c r="BH415" s="3850"/>
      <c r="BI415" s="3850"/>
      <c r="BJ415" s="3850"/>
      <c r="BK415" s="3850"/>
      <c r="BL415" s="3850"/>
      <c r="BM415" s="3850"/>
      <c r="BN415" s="3850"/>
      <c r="BO415" s="3850"/>
      <c r="BP415" s="3850"/>
      <c r="BQ415" s="3850"/>
      <c r="BR415" s="3850"/>
      <c r="BS415" s="3850"/>
      <c r="BT415" s="3850"/>
      <c r="BU415" s="3850"/>
      <c r="BV415" s="3850"/>
      <c r="BW415" s="3850"/>
      <c r="BX415" s="3850"/>
      <c r="BY415" s="3850"/>
      <c r="BZ415" s="3850"/>
      <c r="CA415" s="3850"/>
      <c r="CB415" s="3850"/>
      <c r="CC415" s="3850"/>
      <c r="CD415" s="3850"/>
      <c r="CE415" s="3850"/>
      <c r="CF415" s="3850"/>
      <c r="CG415" s="3850"/>
      <c r="CH415" s="3850"/>
      <c r="CI415" s="3850"/>
      <c r="CJ415" s="3850"/>
      <c r="CK415" s="3850"/>
      <c r="CL415" s="3850"/>
      <c r="CM415" s="3850"/>
      <c r="CN415" s="3850"/>
      <c r="CO415" s="3850"/>
      <c r="CP415" s="3850"/>
      <c r="CQ415" s="3850"/>
      <c r="CR415" s="3850"/>
      <c r="CS415" s="3850"/>
      <c r="CT415" s="3850"/>
      <c r="CU415" s="3850"/>
      <c r="CV415" s="3850"/>
      <c r="CW415" s="3850"/>
      <c r="CX415" s="3850"/>
      <c r="CY415" s="3850"/>
      <c r="CZ415" s="3850"/>
      <c r="DA415" s="3850"/>
      <c r="DB415" s="3850"/>
      <c r="DC415" s="3850"/>
      <c r="DD415" s="3850"/>
      <c r="DE415" s="3850"/>
      <c r="DF415" s="3850"/>
      <c r="DG415" s="3850"/>
      <c r="DH415" s="3850"/>
      <c r="DI415" s="3850"/>
      <c r="DJ415" s="3850"/>
      <c r="DK415" s="3850"/>
      <c r="DL415" s="3850"/>
      <c r="DM415" s="3850"/>
      <c r="DN415" s="3850"/>
      <c r="DO415" s="3850"/>
      <c r="DP415" s="3850"/>
      <c r="DQ415" s="3850"/>
      <c r="DR415" s="3850"/>
      <c r="DS415" s="3850"/>
      <c r="DT415" s="3850"/>
      <c r="DU415" s="3850"/>
      <c r="DV415" s="3850"/>
      <c r="DW415" s="3850"/>
      <c r="DX415" s="3850"/>
      <c r="DY415" s="3850"/>
      <c r="DZ415" s="3850"/>
      <c r="EA415" s="3850"/>
    </row>
    <row r="416" spans="1:131" s="3849" customFormat="1">
      <c r="A416" s="4063"/>
      <c r="B416" s="4064"/>
      <c r="C416" s="4067"/>
      <c r="D416" s="3874"/>
      <c r="E416" s="3883"/>
      <c r="F416" s="3874"/>
      <c r="G416" s="3875"/>
      <c r="H416" s="3874"/>
      <c r="I416" s="3875"/>
      <c r="J416" s="3874"/>
      <c r="K416" s="3875"/>
      <c r="L416" s="3874"/>
      <c r="N416" s="3846"/>
      <c r="O416" s="3850"/>
      <c r="P416" s="3848"/>
      <c r="AV416" s="3850"/>
      <c r="AX416" s="3850"/>
      <c r="AY416" s="3850"/>
      <c r="AZ416" s="3850"/>
      <c r="BA416" s="3850"/>
      <c r="BC416" s="3850"/>
      <c r="BD416" s="3850"/>
      <c r="BE416" s="3850"/>
      <c r="BF416" s="3850"/>
      <c r="BG416" s="3850"/>
      <c r="BH416" s="3850"/>
      <c r="BI416" s="3850"/>
      <c r="BJ416" s="3850"/>
      <c r="BK416" s="3850"/>
      <c r="BL416" s="3850"/>
      <c r="BM416" s="3850"/>
      <c r="BN416" s="3850"/>
      <c r="BO416" s="3850"/>
      <c r="BP416" s="3850"/>
      <c r="BQ416" s="3850"/>
      <c r="BR416" s="3850"/>
      <c r="BS416" s="3850"/>
      <c r="BT416" s="3850"/>
      <c r="BU416" s="3850"/>
      <c r="BV416" s="3850"/>
      <c r="BW416" s="3850"/>
      <c r="BX416" s="3850"/>
      <c r="BY416" s="3850"/>
      <c r="BZ416" s="3850"/>
      <c r="CA416" s="3850"/>
      <c r="CB416" s="3850"/>
      <c r="CC416" s="3850"/>
      <c r="CD416" s="3850"/>
      <c r="CE416" s="3850"/>
      <c r="CF416" s="3850"/>
      <c r="CG416" s="3850"/>
      <c r="CH416" s="3850"/>
      <c r="CI416" s="3850"/>
      <c r="CJ416" s="3850"/>
      <c r="CK416" s="3850"/>
      <c r="CL416" s="3850"/>
      <c r="CM416" s="3850"/>
      <c r="CN416" s="3850"/>
      <c r="CO416" s="3850"/>
      <c r="CP416" s="3850"/>
      <c r="CQ416" s="3850"/>
      <c r="CR416" s="3850"/>
      <c r="CS416" s="3850"/>
      <c r="CT416" s="3850"/>
      <c r="CU416" s="3850"/>
      <c r="CV416" s="3850"/>
      <c r="CW416" s="3850"/>
      <c r="CX416" s="3850"/>
      <c r="CY416" s="3850"/>
      <c r="CZ416" s="3850"/>
      <c r="DA416" s="3850"/>
      <c r="DB416" s="3850"/>
      <c r="DC416" s="3850"/>
      <c r="DD416" s="3850"/>
      <c r="DE416" s="3850"/>
      <c r="DF416" s="3850"/>
      <c r="DG416" s="3850"/>
      <c r="DH416" s="3850"/>
      <c r="DI416" s="3850"/>
      <c r="DJ416" s="3850"/>
      <c r="DK416" s="3850"/>
      <c r="DL416" s="3850"/>
      <c r="DM416" s="3850"/>
      <c r="DN416" s="3850"/>
      <c r="DO416" s="3850"/>
      <c r="DP416" s="3850"/>
      <c r="DQ416" s="3850"/>
      <c r="DR416" s="3850"/>
      <c r="DS416" s="3850"/>
      <c r="DT416" s="3850"/>
      <c r="DU416" s="3850"/>
      <c r="DV416" s="3850"/>
      <c r="DW416" s="3850"/>
      <c r="DX416" s="3850"/>
      <c r="DY416" s="3850"/>
      <c r="DZ416" s="3850"/>
      <c r="EA416" s="3850"/>
    </row>
    <row r="417" spans="1:131" s="3849" customFormat="1">
      <c r="A417" s="4063"/>
      <c r="B417" s="4064"/>
      <c r="C417" s="4067"/>
      <c r="D417" s="3874"/>
      <c r="E417" s="3883"/>
      <c r="F417" s="3874"/>
      <c r="G417" s="3875"/>
      <c r="H417" s="3874"/>
      <c r="I417" s="3875"/>
      <c r="J417" s="3874"/>
      <c r="K417" s="3875"/>
      <c r="L417" s="3874"/>
      <c r="N417" s="3846"/>
      <c r="O417" s="3850"/>
      <c r="P417" s="3848"/>
      <c r="AV417" s="3850"/>
      <c r="AX417" s="3850"/>
      <c r="AY417" s="3850"/>
      <c r="AZ417" s="3850"/>
      <c r="BA417" s="3850"/>
      <c r="BC417" s="3850"/>
      <c r="BD417" s="3850"/>
      <c r="BE417" s="3850"/>
      <c r="BF417" s="3850"/>
      <c r="BG417" s="3850"/>
      <c r="BH417" s="3850"/>
      <c r="BI417" s="3850"/>
      <c r="BJ417" s="3850"/>
      <c r="BK417" s="3850"/>
      <c r="BL417" s="3850"/>
      <c r="BM417" s="3850"/>
      <c r="BN417" s="3850"/>
      <c r="BO417" s="3850"/>
      <c r="BP417" s="3850"/>
      <c r="BQ417" s="3850"/>
      <c r="BR417" s="3850"/>
      <c r="BS417" s="3850"/>
      <c r="BT417" s="3850"/>
      <c r="BU417" s="3850"/>
      <c r="BV417" s="3850"/>
      <c r="BW417" s="3850"/>
      <c r="BX417" s="3850"/>
      <c r="BY417" s="3850"/>
      <c r="BZ417" s="3850"/>
      <c r="CA417" s="3850"/>
      <c r="CB417" s="3850"/>
      <c r="CC417" s="3850"/>
      <c r="CD417" s="3850"/>
      <c r="CE417" s="3850"/>
      <c r="CF417" s="3850"/>
      <c r="CG417" s="3850"/>
      <c r="CH417" s="3850"/>
      <c r="CI417" s="3850"/>
      <c r="CJ417" s="3850"/>
      <c r="CK417" s="3850"/>
      <c r="CL417" s="3850"/>
      <c r="CM417" s="3850"/>
      <c r="CN417" s="3850"/>
      <c r="CO417" s="3850"/>
      <c r="CP417" s="3850"/>
      <c r="CQ417" s="3850"/>
      <c r="CR417" s="3850"/>
      <c r="CS417" s="3850"/>
      <c r="CT417" s="3850"/>
      <c r="CU417" s="3850"/>
      <c r="CV417" s="3850"/>
      <c r="CW417" s="3850"/>
      <c r="CX417" s="3850"/>
      <c r="CY417" s="3850"/>
      <c r="CZ417" s="3850"/>
      <c r="DA417" s="3850"/>
      <c r="DB417" s="3850"/>
      <c r="DC417" s="3850"/>
      <c r="DD417" s="3850"/>
      <c r="DE417" s="3850"/>
      <c r="DF417" s="3850"/>
      <c r="DG417" s="3850"/>
      <c r="DH417" s="3850"/>
      <c r="DI417" s="3850"/>
      <c r="DJ417" s="3850"/>
      <c r="DK417" s="3850"/>
      <c r="DL417" s="3850"/>
      <c r="DM417" s="3850"/>
      <c r="DN417" s="3850"/>
      <c r="DO417" s="3850"/>
      <c r="DP417" s="3850"/>
      <c r="DQ417" s="3850"/>
      <c r="DR417" s="3850"/>
      <c r="DS417" s="3850"/>
      <c r="DT417" s="3850"/>
      <c r="DU417" s="3850"/>
      <c r="DV417" s="3850"/>
      <c r="DW417" s="3850"/>
      <c r="DX417" s="3850"/>
      <c r="DY417" s="3850"/>
      <c r="DZ417" s="3850"/>
      <c r="EA417" s="3850"/>
    </row>
    <row r="418" spans="1:131" s="3849" customFormat="1">
      <c r="A418" s="4063"/>
      <c r="B418" s="4064"/>
      <c r="C418" s="4067"/>
      <c r="D418" s="3874"/>
      <c r="E418" s="3883"/>
      <c r="F418" s="3874"/>
      <c r="G418" s="3875"/>
      <c r="H418" s="3874"/>
      <c r="I418" s="3875"/>
      <c r="J418" s="3874"/>
      <c r="K418" s="3875"/>
      <c r="L418" s="3874"/>
      <c r="N418" s="3846"/>
      <c r="O418" s="3850"/>
      <c r="P418" s="3848"/>
      <c r="AV418" s="3850"/>
      <c r="AX418" s="3850"/>
      <c r="AY418" s="3850"/>
      <c r="AZ418" s="3850"/>
      <c r="BA418" s="3850"/>
      <c r="BC418" s="3850"/>
      <c r="BD418" s="3850"/>
      <c r="BE418" s="3850"/>
      <c r="BF418" s="3850"/>
      <c r="BG418" s="3850"/>
      <c r="BH418" s="3850"/>
      <c r="BI418" s="3850"/>
      <c r="BJ418" s="3850"/>
      <c r="BK418" s="3850"/>
      <c r="BL418" s="3850"/>
      <c r="BM418" s="3850"/>
      <c r="BN418" s="3850"/>
      <c r="BO418" s="3850"/>
      <c r="BP418" s="3850"/>
      <c r="BQ418" s="3850"/>
      <c r="BR418" s="3850"/>
      <c r="BS418" s="3850"/>
      <c r="BT418" s="3850"/>
      <c r="BU418" s="3850"/>
      <c r="BV418" s="3850"/>
      <c r="BW418" s="3850"/>
      <c r="BX418" s="3850"/>
      <c r="BY418" s="3850"/>
      <c r="BZ418" s="3850"/>
      <c r="CA418" s="3850"/>
      <c r="CB418" s="3850"/>
      <c r="CC418" s="3850"/>
      <c r="CD418" s="3850"/>
      <c r="CE418" s="3850"/>
      <c r="CF418" s="3850"/>
      <c r="CG418" s="3850"/>
      <c r="CH418" s="3850"/>
      <c r="CI418" s="3850"/>
      <c r="CJ418" s="3850"/>
      <c r="CK418" s="3850"/>
      <c r="CL418" s="3850"/>
      <c r="CM418" s="3850"/>
      <c r="CN418" s="3850"/>
      <c r="CO418" s="3850"/>
      <c r="CP418" s="3850"/>
      <c r="CQ418" s="3850"/>
      <c r="CR418" s="3850"/>
      <c r="CS418" s="3850"/>
      <c r="CT418" s="3850"/>
      <c r="CU418" s="3850"/>
      <c r="CV418" s="3850"/>
      <c r="CW418" s="3850"/>
      <c r="CX418" s="3850"/>
      <c r="CY418" s="3850"/>
      <c r="CZ418" s="3850"/>
      <c r="DA418" s="3850"/>
      <c r="DB418" s="3850"/>
      <c r="DC418" s="3850"/>
      <c r="DD418" s="3850"/>
      <c r="DE418" s="3850"/>
      <c r="DF418" s="3850"/>
      <c r="DG418" s="3850"/>
      <c r="DH418" s="3850"/>
      <c r="DI418" s="3850"/>
      <c r="DJ418" s="3850"/>
      <c r="DK418" s="3850"/>
      <c r="DL418" s="3850"/>
      <c r="DM418" s="3850"/>
      <c r="DN418" s="3850"/>
      <c r="DO418" s="3850"/>
      <c r="DP418" s="3850"/>
      <c r="DQ418" s="3850"/>
      <c r="DR418" s="3850"/>
      <c r="DS418" s="3850"/>
      <c r="DT418" s="3850"/>
      <c r="DU418" s="3850"/>
      <c r="DV418" s="3850"/>
      <c r="DW418" s="3850"/>
      <c r="DX418" s="3850"/>
      <c r="DY418" s="3850"/>
      <c r="DZ418" s="3850"/>
      <c r="EA418" s="3850"/>
    </row>
    <row r="419" spans="1:131" s="3849" customFormat="1">
      <c r="A419" s="4063"/>
      <c r="B419" s="4064"/>
      <c r="C419" s="4067"/>
      <c r="D419" s="3874"/>
      <c r="E419" s="3883"/>
      <c r="F419" s="3874"/>
      <c r="G419" s="3875"/>
      <c r="H419" s="3874"/>
      <c r="I419" s="3875"/>
      <c r="J419" s="3874"/>
      <c r="K419" s="3875"/>
      <c r="L419" s="3874"/>
      <c r="N419" s="3846"/>
      <c r="O419" s="3850"/>
      <c r="P419" s="3848"/>
      <c r="AV419" s="3850"/>
      <c r="AX419" s="3850"/>
      <c r="AY419" s="3850"/>
      <c r="AZ419" s="3850"/>
      <c r="BA419" s="3850"/>
      <c r="BC419" s="3850"/>
      <c r="BD419" s="3850"/>
      <c r="BE419" s="3850"/>
      <c r="BF419" s="3850"/>
      <c r="BG419" s="3850"/>
      <c r="BH419" s="3850"/>
      <c r="BI419" s="3850"/>
      <c r="BJ419" s="3850"/>
      <c r="BK419" s="3850"/>
      <c r="BL419" s="3850"/>
      <c r="BM419" s="3850"/>
      <c r="BN419" s="3850"/>
      <c r="BO419" s="3850"/>
      <c r="BP419" s="3850"/>
      <c r="BQ419" s="3850"/>
      <c r="BR419" s="3850"/>
      <c r="BS419" s="3850"/>
      <c r="BT419" s="3850"/>
      <c r="BU419" s="3850"/>
      <c r="BV419" s="3850"/>
      <c r="BW419" s="3850"/>
      <c r="BX419" s="3850"/>
      <c r="BY419" s="3850"/>
      <c r="BZ419" s="3850"/>
      <c r="CA419" s="3850"/>
      <c r="CB419" s="3850"/>
      <c r="CC419" s="3850"/>
      <c r="CD419" s="3850"/>
      <c r="CE419" s="3850"/>
      <c r="CF419" s="3850"/>
      <c r="CG419" s="3850"/>
      <c r="CH419" s="3850"/>
      <c r="CI419" s="3850"/>
      <c r="CJ419" s="3850"/>
      <c r="CK419" s="3850"/>
      <c r="CL419" s="3850"/>
      <c r="CM419" s="3850"/>
      <c r="CN419" s="3850"/>
      <c r="CO419" s="3850"/>
      <c r="CP419" s="3850"/>
      <c r="CQ419" s="3850"/>
      <c r="CR419" s="3850"/>
      <c r="CS419" s="3850"/>
      <c r="CT419" s="3850"/>
      <c r="CU419" s="3850"/>
      <c r="CV419" s="3850"/>
      <c r="CW419" s="3850"/>
      <c r="CX419" s="3850"/>
      <c r="CY419" s="3850"/>
      <c r="CZ419" s="3850"/>
      <c r="DA419" s="3850"/>
      <c r="DB419" s="3850"/>
      <c r="DC419" s="3850"/>
      <c r="DD419" s="3850"/>
      <c r="DE419" s="3850"/>
      <c r="DF419" s="3850"/>
      <c r="DG419" s="3850"/>
      <c r="DH419" s="3850"/>
      <c r="DI419" s="3850"/>
      <c r="DJ419" s="3850"/>
      <c r="DK419" s="3850"/>
      <c r="DL419" s="3850"/>
      <c r="DM419" s="3850"/>
      <c r="DN419" s="3850"/>
      <c r="DO419" s="3850"/>
      <c r="DP419" s="3850"/>
      <c r="DQ419" s="3850"/>
      <c r="DR419" s="3850"/>
      <c r="DS419" s="3850"/>
      <c r="DT419" s="3850"/>
      <c r="DU419" s="3850"/>
      <c r="DV419" s="3850"/>
      <c r="DW419" s="3850"/>
      <c r="DX419" s="3850"/>
      <c r="DY419" s="3850"/>
      <c r="DZ419" s="3850"/>
      <c r="EA419" s="3850"/>
    </row>
    <row r="420" spans="1:131" s="3849" customFormat="1">
      <c r="A420" s="4063"/>
      <c r="B420" s="4064"/>
      <c r="C420" s="4067"/>
      <c r="D420" s="3874"/>
      <c r="E420" s="3883"/>
      <c r="F420" s="3874"/>
      <c r="G420" s="3875"/>
      <c r="H420" s="3874"/>
      <c r="I420" s="3875"/>
      <c r="J420" s="3874"/>
      <c r="K420" s="3875"/>
      <c r="L420" s="3874"/>
      <c r="N420" s="3846"/>
      <c r="O420" s="3850"/>
      <c r="P420" s="3848"/>
      <c r="AV420" s="3850"/>
      <c r="AX420" s="3850"/>
      <c r="AY420" s="3850"/>
      <c r="AZ420" s="3850"/>
      <c r="BA420" s="3850"/>
      <c r="BC420" s="3850"/>
      <c r="BD420" s="3850"/>
      <c r="BE420" s="3850"/>
      <c r="BF420" s="3850"/>
      <c r="BG420" s="3850"/>
      <c r="BH420" s="3850"/>
      <c r="BI420" s="3850"/>
      <c r="BJ420" s="3850"/>
      <c r="BK420" s="3850"/>
      <c r="BL420" s="3850"/>
      <c r="BM420" s="3850"/>
      <c r="BN420" s="3850"/>
      <c r="BO420" s="3850"/>
      <c r="BP420" s="3850"/>
      <c r="BQ420" s="3850"/>
      <c r="BR420" s="3850"/>
      <c r="BS420" s="3850"/>
      <c r="BT420" s="3850"/>
      <c r="BU420" s="3850"/>
      <c r="BV420" s="3850"/>
      <c r="BW420" s="3850"/>
      <c r="BX420" s="3850"/>
      <c r="BY420" s="3850"/>
      <c r="BZ420" s="3850"/>
      <c r="CA420" s="3850"/>
      <c r="CB420" s="3850"/>
      <c r="CC420" s="3850"/>
      <c r="CD420" s="3850"/>
      <c r="CE420" s="3850"/>
      <c r="CF420" s="3850"/>
      <c r="CG420" s="3850"/>
      <c r="CH420" s="3850"/>
      <c r="CI420" s="3850"/>
      <c r="CJ420" s="3850"/>
      <c r="CK420" s="3850"/>
      <c r="CL420" s="3850"/>
      <c r="CM420" s="3850"/>
      <c r="CN420" s="3850"/>
      <c r="CO420" s="3850"/>
      <c r="CP420" s="3850"/>
      <c r="CQ420" s="3850"/>
      <c r="CR420" s="3850"/>
      <c r="CS420" s="3850"/>
      <c r="CT420" s="3850"/>
      <c r="CU420" s="3850"/>
      <c r="CV420" s="3850"/>
      <c r="CW420" s="3850"/>
      <c r="CX420" s="3850"/>
      <c r="CY420" s="3850"/>
      <c r="CZ420" s="3850"/>
      <c r="DA420" s="3850"/>
      <c r="DB420" s="3850"/>
      <c r="DC420" s="3850"/>
      <c r="DD420" s="3850"/>
      <c r="DE420" s="3850"/>
      <c r="DF420" s="3850"/>
      <c r="DG420" s="3850"/>
      <c r="DH420" s="3850"/>
      <c r="DI420" s="3850"/>
      <c r="DJ420" s="3850"/>
      <c r="DK420" s="3850"/>
      <c r="DL420" s="3850"/>
      <c r="DM420" s="3850"/>
      <c r="DN420" s="3850"/>
      <c r="DO420" s="3850"/>
      <c r="DP420" s="3850"/>
      <c r="DQ420" s="3850"/>
      <c r="DR420" s="3850"/>
      <c r="DS420" s="3850"/>
      <c r="DT420" s="3850"/>
      <c r="DU420" s="3850"/>
      <c r="DV420" s="3850"/>
      <c r="DW420" s="3850"/>
      <c r="DX420" s="3850"/>
      <c r="DY420" s="3850"/>
      <c r="DZ420" s="3850"/>
      <c r="EA420" s="3850"/>
    </row>
    <row r="421" spans="1:131" s="3849" customFormat="1">
      <c r="A421" s="4063"/>
      <c r="B421" s="4064"/>
      <c r="C421" s="4067"/>
      <c r="D421" s="3874"/>
      <c r="E421" s="3883"/>
      <c r="F421" s="3874"/>
      <c r="G421" s="3875"/>
      <c r="H421" s="3874"/>
      <c r="I421" s="3875"/>
      <c r="J421" s="3874"/>
      <c r="K421" s="3875"/>
      <c r="L421" s="3874"/>
      <c r="N421" s="3846"/>
      <c r="O421" s="3850"/>
      <c r="P421" s="3848"/>
      <c r="AV421" s="3850"/>
      <c r="AX421" s="3850"/>
      <c r="AY421" s="3850"/>
      <c r="AZ421" s="3850"/>
      <c r="BA421" s="3850"/>
      <c r="BC421" s="3850"/>
      <c r="BD421" s="3850"/>
      <c r="BE421" s="3850"/>
      <c r="BF421" s="3850"/>
      <c r="BG421" s="3850"/>
      <c r="BH421" s="3850"/>
      <c r="BI421" s="3850"/>
      <c r="BJ421" s="3850"/>
      <c r="BK421" s="3850"/>
      <c r="BL421" s="3850"/>
      <c r="BM421" s="3850"/>
      <c r="BN421" s="3850"/>
      <c r="BO421" s="3850"/>
      <c r="BP421" s="3850"/>
      <c r="BQ421" s="3850"/>
      <c r="BR421" s="3850"/>
      <c r="BS421" s="3850"/>
      <c r="BT421" s="3850"/>
      <c r="BU421" s="3850"/>
      <c r="BV421" s="3850"/>
      <c r="BW421" s="3850"/>
      <c r="BX421" s="3850"/>
      <c r="BY421" s="3850"/>
      <c r="BZ421" s="3850"/>
      <c r="CA421" s="3850"/>
      <c r="CB421" s="3850"/>
      <c r="CC421" s="3850"/>
      <c r="CD421" s="3850"/>
      <c r="CE421" s="3850"/>
      <c r="CF421" s="3850"/>
      <c r="CG421" s="3850"/>
      <c r="CH421" s="3850"/>
      <c r="CI421" s="3850"/>
      <c r="CJ421" s="3850"/>
      <c r="CK421" s="3850"/>
      <c r="CL421" s="3850"/>
      <c r="CM421" s="3850"/>
      <c r="CN421" s="3850"/>
      <c r="CO421" s="3850"/>
      <c r="CP421" s="3850"/>
      <c r="CQ421" s="3850"/>
      <c r="CR421" s="3850"/>
      <c r="CS421" s="3850"/>
      <c r="CT421" s="3850"/>
      <c r="CU421" s="3850"/>
      <c r="CV421" s="3850"/>
      <c r="CW421" s="3850"/>
      <c r="CX421" s="3850"/>
      <c r="CY421" s="3850"/>
      <c r="CZ421" s="3850"/>
      <c r="DA421" s="3850"/>
      <c r="DB421" s="3850"/>
      <c r="DC421" s="3850"/>
      <c r="DD421" s="3850"/>
      <c r="DE421" s="3850"/>
      <c r="DF421" s="3850"/>
      <c r="DG421" s="3850"/>
      <c r="DH421" s="3850"/>
      <c r="DI421" s="3850"/>
      <c r="DJ421" s="3850"/>
      <c r="DK421" s="3850"/>
      <c r="DL421" s="3850"/>
      <c r="DM421" s="3850"/>
      <c r="DN421" s="3850"/>
      <c r="DO421" s="3850"/>
      <c r="DP421" s="3850"/>
      <c r="DQ421" s="3850"/>
      <c r="DR421" s="3850"/>
      <c r="DS421" s="3850"/>
      <c r="DT421" s="3850"/>
      <c r="DU421" s="3850"/>
      <c r="DV421" s="3850"/>
      <c r="DW421" s="3850"/>
      <c r="DX421" s="3850"/>
      <c r="DY421" s="3850"/>
      <c r="DZ421" s="3850"/>
      <c r="EA421" s="3850"/>
    </row>
    <row r="422" spans="1:131" s="3849" customFormat="1">
      <c r="A422" s="4063"/>
      <c r="B422" s="4064"/>
      <c r="C422" s="4067"/>
      <c r="D422" s="3874"/>
      <c r="E422" s="3883"/>
      <c r="F422" s="3874"/>
      <c r="G422" s="3875"/>
      <c r="H422" s="3874"/>
      <c r="I422" s="3875"/>
      <c r="J422" s="3874"/>
      <c r="K422" s="3875"/>
      <c r="L422" s="3874"/>
      <c r="N422" s="3846"/>
      <c r="O422" s="3850"/>
      <c r="P422" s="3848"/>
      <c r="AV422" s="3850"/>
      <c r="AX422" s="3850"/>
      <c r="AY422" s="3850"/>
      <c r="AZ422" s="3850"/>
      <c r="BA422" s="3850"/>
      <c r="BC422" s="3850"/>
      <c r="BD422" s="3850"/>
      <c r="BE422" s="3850"/>
      <c r="BF422" s="3850"/>
      <c r="BG422" s="3850"/>
      <c r="BH422" s="3850"/>
      <c r="BI422" s="3850"/>
      <c r="BJ422" s="3850"/>
      <c r="BK422" s="3850"/>
      <c r="BL422" s="3850"/>
      <c r="BM422" s="3850"/>
      <c r="BN422" s="3850"/>
      <c r="BO422" s="3850"/>
      <c r="BP422" s="3850"/>
      <c r="BQ422" s="3850"/>
      <c r="BR422" s="3850"/>
      <c r="BS422" s="3850"/>
      <c r="BT422" s="3850"/>
      <c r="BU422" s="3850"/>
      <c r="BV422" s="3850"/>
      <c r="BW422" s="3850"/>
      <c r="BX422" s="3850"/>
      <c r="BY422" s="3850"/>
      <c r="BZ422" s="3850"/>
      <c r="CA422" s="3850"/>
      <c r="CB422" s="3850"/>
      <c r="CC422" s="3850"/>
      <c r="CD422" s="3850"/>
      <c r="CE422" s="3850"/>
      <c r="CF422" s="3850"/>
      <c r="CG422" s="3850"/>
      <c r="CH422" s="3850"/>
      <c r="CI422" s="3850"/>
      <c r="CJ422" s="3850"/>
      <c r="CK422" s="3850"/>
      <c r="CL422" s="3850"/>
      <c r="CM422" s="3850"/>
      <c r="CN422" s="3850"/>
      <c r="CO422" s="3850"/>
      <c r="CP422" s="3850"/>
      <c r="CQ422" s="3850"/>
      <c r="CR422" s="3850"/>
      <c r="CS422" s="3850"/>
      <c r="CT422" s="3850"/>
      <c r="CU422" s="3850"/>
      <c r="CV422" s="3850"/>
      <c r="CW422" s="3850"/>
      <c r="CX422" s="3850"/>
      <c r="CY422" s="3850"/>
      <c r="CZ422" s="3850"/>
      <c r="DA422" s="3850"/>
      <c r="DB422" s="3850"/>
      <c r="DC422" s="3850"/>
      <c r="DD422" s="3850"/>
      <c r="DE422" s="3850"/>
      <c r="DF422" s="3850"/>
      <c r="DG422" s="3850"/>
      <c r="DH422" s="3850"/>
      <c r="DI422" s="3850"/>
      <c r="DJ422" s="3850"/>
      <c r="DK422" s="3850"/>
      <c r="DL422" s="3850"/>
      <c r="DM422" s="3850"/>
      <c r="DN422" s="3850"/>
      <c r="DO422" s="3850"/>
      <c r="DP422" s="3850"/>
      <c r="DQ422" s="3850"/>
      <c r="DR422" s="3850"/>
      <c r="DS422" s="3850"/>
      <c r="DT422" s="3850"/>
      <c r="DU422" s="3850"/>
      <c r="DV422" s="3850"/>
      <c r="DW422" s="3850"/>
      <c r="DX422" s="3850"/>
      <c r="DY422" s="3850"/>
      <c r="DZ422" s="3850"/>
      <c r="EA422" s="3850"/>
    </row>
    <row r="423" spans="1:131" s="3849" customFormat="1">
      <c r="A423" s="4063"/>
      <c r="B423" s="4064"/>
      <c r="C423" s="4067"/>
      <c r="D423" s="3874"/>
      <c r="E423" s="3883"/>
      <c r="F423" s="3874"/>
      <c r="G423" s="3875"/>
      <c r="H423" s="3874"/>
      <c r="I423" s="3875"/>
      <c r="J423" s="3874"/>
      <c r="K423" s="3875"/>
      <c r="L423" s="3874"/>
      <c r="N423" s="3846"/>
      <c r="O423" s="3850"/>
      <c r="P423" s="3848"/>
      <c r="AV423" s="3850"/>
      <c r="AX423" s="3850"/>
      <c r="AY423" s="3850"/>
      <c r="AZ423" s="3850"/>
      <c r="BA423" s="3850"/>
      <c r="BC423" s="3850"/>
      <c r="BD423" s="3850"/>
      <c r="BE423" s="3850"/>
      <c r="BF423" s="3850"/>
      <c r="BG423" s="3850"/>
      <c r="BH423" s="3850"/>
      <c r="BI423" s="3850"/>
      <c r="BJ423" s="3850"/>
      <c r="BK423" s="3850"/>
      <c r="BL423" s="3850"/>
      <c r="BM423" s="3850"/>
      <c r="BN423" s="3850"/>
      <c r="BO423" s="3850"/>
      <c r="BP423" s="3850"/>
      <c r="BQ423" s="3850"/>
      <c r="BR423" s="3850"/>
      <c r="BS423" s="3850"/>
      <c r="BT423" s="3850"/>
      <c r="BU423" s="3850"/>
      <c r="BV423" s="3850"/>
      <c r="BW423" s="3850"/>
      <c r="BX423" s="3850"/>
      <c r="BY423" s="3850"/>
      <c r="BZ423" s="3850"/>
      <c r="CA423" s="3850"/>
      <c r="CB423" s="3850"/>
      <c r="CC423" s="3850"/>
      <c r="CD423" s="3850"/>
      <c r="CE423" s="3850"/>
      <c r="CF423" s="3850"/>
      <c r="CG423" s="3850"/>
      <c r="CH423" s="3850"/>
      <c r="CI423" s="3850"/>
      <c r="CJ423" s="3850"/>
      <c r="CK423" s="3850"/>
      <c r="CL423" s="3850"/>
      <c r="CM423" s="3850"/>
      <c r="CN423" s="3850"/>
      <c r="CO423" s="3850"/>
      <c r="CP423" s="3850"/>
      <c r="CQ423" s="3850"/>
      <c r="CR423" s="3850"/>
      <c r="CS423" s="3850"/>
      <c r="CT423" s="3850"/>
      <c r="CU423" s="3850"/>
      <c r="CV423" s="3850"/>
      <c r="CW423" s="3850"/>
      <c r="CX423" s="3850"/>
      <c r="CY423" s="3850"/>
      <c r="CZ423" s="3850"/>
      <c r="DA423" s="3850"/>
      <c r="DB423" s="3850"/>
      <c r="DC423" s="3850"/>
      <c r="DD423" s="3850"/>
      <c r="DE423" s="3850"/>
      <c r="DF423" s="3850"/>
      <c r="DG423" s="3850"/>
      <c r="DH423" s="3850"/>
      <c r="DI423" s="3850"/>
      <c r="DJ423" s="3850"/>
      <c r="DK423" s="3850"/>
      <c r="DL423" s="3850"/>
      <c r="DM423" s="3850"/>
      <c r="DN423" s="3850"/>
      <c r="DO423" s="3850"/>
      <c r="DP423" s="3850"/>
      <c r="DQ423" s="3850"/>
      <c r="DR423" s="3850"/>
      <c r="DS423" s="3850"/>
      <c r="DT423" s="3850"/>
      <c r="DU423" s="3850"/>
      <c r="DV423" s="3850"/>
      <c r="DW423" s="3850"/>
      <c r="DX423" s="3850"/>
      <c r="DY423" s="3850"/>
      <c r="DZ423" s="3850"/>
      <c r="EA423" s="3850"/>
    </row>
    <row r="424" spans="1:131" s="3849" customFormat="1">
      <c r="A424" s="4063"/>
      <c r="B424" s="4064"/>
      <c r="C424" s="4067"/>
      <c r="D424" s="3874"/>
      <c r="E424" s="3883"/>
      <c r="F424" s="3874"/>
      <c r="G424" s="3875"/>
      <c r="H424" s="3874"/>
      <c r="I424" s="3875"/>
      <c r="J424" s="3874"/>
      <c r="K424" s="3875"/>
      <c r="L424" s="3874"/>
      <c r="N424" s="3846"/>
      <c r="O424" s="3850"/>
      <c r="P424" s="3848"/>
      <c r="AV424" s="3850"/>
      <c r="AX424" s="3850"/>
      <c r="AY424" s="3850"/>
      <c r="AZ424" s="3850"/>
      <c r="BA424" s="3850"/>
      <c r="BB424" s="3850"/>
      <c r="BC424" s="3850"/>
      <c r="BD424" s="3850"/>
      <c r="BE424" s="3850"/>
      <c r="BF424" s="3850"/>
      <c r="BG424" s="3850"/>
      <c r="BH424" s="3850"/>
      <c r="BI424" s="3850"/>
      <c r="BJ424" s="3850"/>
      <c r="BK424" s="3850"/>
      <c r="BL424" s="3850"/>
      <c r="BM424" s="3850"/>
      <c r="BN424" s="3850"/>
      <c r="BO424" s="3850"/>
      <c r="BP424" s="3850"/>
      <c r="BQ424" s="3850"/>
      <c r="BR424" s="3850"/>
      <c r="BS424" s="3850"/>
      <c r="BT424" s="3850"/>
      <c r="BU424" s="3850"/>
      <c r="BV424" s="3850"/>
      <c r="BW424" s="3850"/>
      <c r="BX424" s="3850"/>
      <c r="BY424" s="3850"/>
      <c r="BZ424" s="3850"/>
      <c r="CA424" s="3850"/>
      <c r="CB424" s="3850"/>
      <c r="CC424" s="3850"/>
      <c r="CD424" s="3850"/>
      <c r="CE424" s="3850"/>
      <c r="CF424" s="3850"/>
      <c r="CG424" s="3850"/>
      <c r="CH424" s="3850"/>
      <c r="CI424" s="3850"/>
      <c r="CJ424" s="3850"/>
      <c r="CK424" s="3850"/>
      <c r="CL424" s="3850"/>
      <c r="CM424" s="3850"/>
      <c r="CN424" s="3850"/>
      <c r="CO424" s="3850"/>
      <c r="CP424" s="3850"/>
      <c r="CQ424" s="3850"/>
      <c r="CR424" s="3850"/>
      <c r="CS424" s="3850"/>
      <c r="CT424" s="3850"/>
      <c r="CU424" s="3850"/>
      <c r="CV424" s="3850"/>
      <c r="CW424" s="3850"/>
      <c r="CX424" s="3850"/>
      <c r="CY424" s="3850"/>
      <c r="CZ424" s="3850"/>
      <c r="DA424" s="3850"/>
      <c r="DB424" s="3850"/>
      <c r="DC424" s="3850"/>
      <c r="DD424" s="3850"/>
      <c r="DE424" s="3850"/>
      <c r="DF424" s="3850"/>
      <c r="DG424" s="3850"/>
      <c r="DH424" s="3850"/>
      <c r="DI424" s="3850"/>
      <c r="DJ424" s="3850"/>
      <c r="DK424" s="3850"/>
      <c r="DL424" s="3850"/>
      <c r="DM424" s="3850"/>
      <c r="DN424" s="3850"/>
      <c r="DO424" s="3850"/>
      <c r="DP424" s="3850"/>
      <c r="DQ424" s="3850"/>
      <c r="DR424" s="3850"/>
      <c r="DS424" s="3850"/>
      <c r="DT424" s="3850"/>
      <c r="DU424" s="3850"/>
      <c r="DV424" s="3850"/>
      <c r="DW424" s="3850"/>
      <c r="DX424" s="3850"/>
      <c r="DY424" s="3850"/>
      <c r="DZ424" s="3850"/>
      <c r="EA424" s="3850"/>
    </row>
    <row r="425" spans="1:131" s="3849" customFormat="1">
      <c r="A425" s="4063"/>
      <c r="B425" s="4064"/>
      <c r="C425" s="4067"/>
      <c r="D425" s="3874"/>
      <c r="E425" s="3883"/>
      <c r="F425" s="3874"/>
      <c r="G425" s="3875"/>
      <c r="H425" s="3874"/>
      <c r="I425" s="3875"/>
      <c r="J425" s="3874"/>
      <c r="K425" s="3875"/>
      <c r="L425" s="3874"/>
      <c r="N425" s="3846"/>
      <c r="O425" s="3850"/>
      <c r="P425" s="3848"/>
      <c r="AV425" s="3850"/>
      <c r="AX425" s="3850"/>
      <c r="AY425" s="3850"/>
      <c r="AZ425" s="3850"/>
      <c r="BA425" s="3850"/>
      <c r="BB425" s="3850"/>
      <c r="BC425" s="3850"/>
      <c r="BD425" s="3850"/>
      <c r="BE425" s="3850"/>
      <c r="BF425" s="3850"/>
      <c r="BG425" s="3850"/>
      <c r="BH425" s="3850"/>
      <c r="BI425" s="3850"/>
      <c r="BJ425" s="3850"/>
      <c r="BK425" s="3850"/>
      <c r="BL425" s="3850"/>
      <c r="BM425" s="3850"/>
      <c r="BN425" s="3850"/>
      <c r="BO425" s="3850"/>
      <c r="BP425" s="3850"/>
      <c r="BQ425" s="3850"/>
      <c r="BR425" s="3850"/>
      <c r="BS425" s="3850"/>
      <c r="BT425" s="3850"/>
      <c r="BU425" s="3850"/>
      <c r="BV425" s="3850"/>
      <c r="BW425" s="3850"/>
      <c r="BX425" s="3850"/>
      <c r="BY425" s="3850"/>
      <c r="BZ425" s="3850"/>
      <c r="CA425" s="3850"/>
      <c r="CB425" s="3850"/>
      <c r="CC425" s="3850"/>
      <c r="CD425" s="3850"/>
      <c r="CE425" s="3850"/>
      <c r="CF425" s="3850"/>
      <c r="CG425" s="3850"/>
      <c r="CH425" s="3850"/>
      <c r="CI425" s="3850"/>
      <c r="CJ425" s="3850"/>
      <c r="CK425" s="3850"/>
      <c r="CL425" s="3850"/>
      <c r="CM425" s="3850"/>
      <c r="CN425" s="3850"/>
      <c r="CO425" s="3850"/>
      <c r="CP425" s="3850"/>
      <c r="CQ425" s="3850"/>
      <c r="CR425" s="3850"/>
      <c r="CS425" s="3850"/>
      <c r="CT425" s="3850"/>
      <c r="CU425" s="3850"/>
      <c r="CV425" s="3850"/>
      <c r="CW425" s="3850"/>
      <c r="CX425" s="3850"/>
      <c r="CY425" s="3850"/>
      <c r="CZ425" s="3850"/>
      <c r="DA425" s="3850"/>
      <c r="DB425" s="3850"/>
      <c r="DC425" s="3850"/>
      <c r="DD425" s="3850"/>
      <c r="DE425" s="3850"/>
      <c r="DF425" s="3850"/>
      <c r="DG425" s="3850"/>
      <c r="DH425" s="3850"/>
      <c r="DI425" s="3850"/>
      <c r="DJ425" s="3850"/>
      <c r="DK425" s="3850"/>
      <c r="DL425" s="3850"/>
      <c r="DM425" s="3850"/>
      <c r="DN425" s="3850"/>
      <c r="DO425" s="3850"/>
      <c r="DP425" s="3850"/>
      <c r="DQ425" s="3850"/>
      <c r="DR425" s="3850"/>
      <c r="DS425" s="3850"/>
      <c r="DT425" s="3850"/>
      <c r="DU425" s="3850"/>
      <c r="DV425" s="3850"/>
      <c r="DW425" s="3850"/>
      <c r="DX425" s="3850"/>
      <c r="DY425" s="3850"/>
      <c r="DZ425" s="3850"/>
      <c r="EA425" s="3850"/>
    </row>
    <row r="426" spans="1:131" s="3849" customFormat="1">
      <c r="A426" s="4063"/>
      <c r="B426" s="4064"/>
      <c r="C426" s="4067"/>
      <c r="D426" s="3874"/>
      <c r="E426" s="3883"/>
      <c r="F426" s="3874"/>
      <c r="G426" s="3875"/>
      <c r="H426" s="3874"/>
      <c r="I426" s="3875"/>
      <c r="J426" s="3874"/>
      <c r="K426" s="3875"/>
      <c r="L426" s="3874"/>
      <c r="N426" s="3846"/>
      <c r="O426" s="3850"/>
      <c r="P426" s="3848"/>
      <c r="AV426" s="3850"/>
      <c r="AX426" s="3850"/>
      <c r="AY426" s="3850"/>
      <c r="AZ426" s="3850"/>
      <c r="BA426" s="3850"/>
      <c r="BB426" s="3850"/>
      <c r="BC426" s="3850"/>
      <c r="BD426" s="3850"/>
      <c r="BE426" s="3850"/>
      <c r="BF426" s="3850"/>
      <c r="BG426" s="3850"/>
      <c r="BH426" s="3850"/>
      <c r="BI426" s="3850"/>
      <c r="BJ426" s="3850"/>
      <c r="BK426" s="3850"/>
      <c r="BL426" s="3850"/>
      <c r="BM426" s="3850"/>
      <c r="BN426" s="3850"/>
      <c r="BO426" s="3850"/>
      <c r="BP426" s="3850"/>
      <c r="BQ426" s="3850"/>
      <c r="BR426" s="3850"/>
      <c r="BS426" s="3850"/>
      <c r="BT426" s="3850"/>
      <c r="BU426" s="3850"/>
      <c r="BV426" s="3850"/>
      <c r="BW426" s="3850"/>
      <c r="BX426" s="3850"/>
      <c r="BY426" s="3850"/>
      <c r="BZ426" s="3850"/>
      <c r="CA426" s="3850"/>
      <c r="CB426" s="3850"/>
      <c r="CC426" s="3850"/>
      <c r="CD426" s="3850"/>
      <c r="CE426" s="3850"/>
      <c r="CF426" s="3850"/>
      <c r="CG426" s="3850"/>
      <c r="CH426" s="3850"/>
      <c r="CI426" s="3850"/>
      <c r="CJ426" s="3850"/>
      <c r="CK426" s="3850"/>
      <c r="CL426" s="3850"/>
      <c r="CM426" s="3850"/>
      <c r="CN426" s="3850"/>
      <c r="CO426" s="3850"/>
      <c r="CP426" s="3850"/>
      <c r="CQ426" s="3850"/>
      <c r="CR426" s="3850"/>
      <c r="CS426" s="3850"/>
      <c r="CT426" s="3850"/>
      <c r="CU426" s="3850"/>
      <c r="CV426" s="3850"/>
      <c r="CW426" s="3850"/>
      <c r="CX426" s="3850"/>
      <c r="CY426" s="3850"/>
      <c r="CZ426" s="3850"/>
      <c r="DA426" s="3850"/>
      <c r="DB426" s="3850"/>
      <c r="DC426" s="3850"/>
      <c r="DD426" s="3850"/>
      <c r="DE426" s="3850"/>
      <c r="DF426" s="3850"/>
      <c r="DG426" s="3850"/>
      <c r="DH426" s="3850"/>
      <c r="DI426" s="3850"/>
      <c r="DJ426" s="3850"/>
      <c r="DK426" s="3850"/>
      <c r="DL426" s="3850"/>
      <c r="DM426" s="3850"/>
      <c r="DN426" s="3850"/>
      <c r="DO426" s="3850"/>
      <c r="DP426" s="3850"/>
      <c r="DQ426" s="3850"/>
      <c r="DR426" s="3850"/>
      <c r="DS426" s="3850"/>
      <c r="DT426" s="3850"/>
      <c r="DU426" s="3850"/>
      <c r="DV426" s="3850"/>
      <c r="DW426" s="3850"/>
      <c r="DX426" s="3850"/>
      <c r="DY426" s="3850"/>
      <c r="DZ426" s="3850"/>
      <c r="EA426" s="3850"/>
    </row>
    <row r="427" spans="1:131" s="3849" customFormat="1">
      <c r="A427" s="4063"/>
      <c r="B427" s="4064"/>
      <c r="C427" s="4067"/>
      <c r="D427" s="3874"/>
      <c r="E427" s="3883"/>
      <c r="F427" s="3874"/>
      <c r="G427" s="3875"/>
      <c r="H427" s="3874"/>
      <c r="I427" s="3875"/>
      <c r="J427" s="3874"/>
      <c r="K427" s="3875"/>
      <c r="L427" s="3874"/>
      <c r="N427" s="3846"/>
      <c r="O427" s="3850"/>
      <c r="P427" s="3848"/>
      <c r="AV427" s="3850"/>
      <c r="AX427" s="3850"/>
      <c r="AY427" s="3850"/>
      <c r="AZ427" s="3850"/>
      <c r="BA427" s="3850"/>
      <c r="BB427" s="3850"/>
      <c r="BC427" s="3850"/>
      <c r="BD427" s="3850"/>
      <c r="BE427" s="3850"/>
      <c r="BF427" s="3850"/>
      <c r="BG427" s="3850"/>
      <c r="BH427" s="3850"/>
      <c r="BI427" s="3850"/>
      <c r="BJ427" s="3850"/>
      <c r="BK427" s="3850"/>
      <c r="BL427" s="3850"/>
      <c r="BM427" s="3850"/>
      <c r="BN427" s="3850"/>
      <c r="BO427" s="3850"/>
      <c r="BP427" s="3850"/>
      <c r="BQ427" s="3850"/>
      <c r="BR427" s="3850"/>
      <c r="BS427" s="3850"/>
      <c r="BT427" s="3850"/>
      <c r="BU427" s="3850"/>
      <c r="BV427" s="3850"/>
      <c r="BW427" s="3850"/>
      <c r="BX427" s="3850"/>
      <c r="BY427" s="3850"/>
      <c r="BZ427" s="3850"/>
      <c r="CA427" s="3850"/>
      <c r="CB427" s="3850"/>
      <c r="CC427" s="3850"/>
      <c r="CD427" s="3850"/>
      <c r="CE427" s="3850"/>
      <c r="CF427" s="3850"/>
      <c r="CG427" s="3850"/>
      <c r="CH427" s="3850"/>
      <c r="CI427" s="3850"/>
      <c r="CJ427" s="3850"/>
      <c r="CK427" s="3850"/>
      <c r="CL427" s="3850"/>
      <c r="CM427" s="3850"/>
      <c r="CN427" s="3850"/>
      <c r="CO427" s="3850"/>
      <c r="CP427" s="3850"/>
      <c r="CQ427" s="3850"/>
      <c r="CR427" s="3850"/>
      <c r="CS427" s="3850"/>
      <c r="CT427" s="3850"/>
      <c r="CU427" s="3850"/>
      <c r="CV427" s="3850"/>
      <c r="CW427" s="3850"/>
      <c r="CX427" s="3850"/>
      <c r="CY427" s="3850"/>
      <c r="CZ427" s="3850"/>
      <c r="DA427" s="3850"/>
      <c r="DB427" s="3850"/>
      <c r="DC427" s="3850"/>
      <c r="DD427" s="3850"/>
      <c r="DE427" s="3850"/>
      <c r="DF427" s="3850"/>
      <c r="DG427" s="3850"/>
      <c r="DH427" s="3850"/>
      <c r="DI427" s="3850"/>
      <c r="DJ427" s="3850"/>
      <c r="DK427" s="3850"/>
      <c r="DL427" s="3850"/>
      <c r="DM427" s="3850"/>
      <c r="DN427" s="3850"/>
      <c r="DO427" s="3850"/>
      <c r="DP427" s="3850"/>
      <c r="DQ427" s="3850"/>
      <c r="DR427" s="3850"/>
      <c r="DS427" s="3850"/>
      <c r="DT427" s="3850"/>
      <c r="DU427" s="3850"/>
      <c r="DV427" s="3850"/>
      <c r="DW427" s="3850"/>
      <c r="DX427" s="3850"/>
      <c r="DY427" s="3850"/>
      <c r="DZ427" s="3850"/>
      <c r="EA427" s="3850"/>
    </row>
    <row r="428" spans="1:131" s="3849" customFormat="1">
      <c r="A428" s="4063"/>
      <c r="B428" s="4064"/>
      <c r="C428" s="4067"/>
      <c r="D428" s="3874"/>
      <c r="E428" s="3883"/>
      <c r="F428" s="3874"/>
      <c r="G428" s="3875"/>
      <c r="H428" s="3874"/>
      <c r="I428" s="3875"/>
      <c r="J428" s="3874"/>
      <c r="K428" s="3875"/>
      <c r="L428" s="3874"/>
      <c r="N428" s="3846"/>
      <c r="O428" s="3850"/>
      <c r="P428" s="3848"/>
      <c r="AV428" s="3850"/>
      <c r="AX428" s="3850"/>
      <c r="AY428" s="3850"/>
      <c r="AZ428" s="3850"/>
      <c r="BA428" s="3850"/>
      <c r="BB428" s="3850"/>
      <c r="BC428" s="3850"/>
      <c r="BD428" s="3850"/>
      <c r="BE428" s="3850"/>
      <c r="BF428" s="3850"/>
      <c r="BG428" s="3850"/>
      <c r="BH428" s="3850"/>
      <c r="BI428" s="3850"/>
      <c r="BJ428" s="3850"/>
      <c r="BK428" s="3850"/>
      <c r="BL428" s="3850"/>
      <c r="BM428" s="3850"/>
      <c r="BN428" s="3850"/>
      <c r="BO428" s="3850"/>
      <c r="BP428" s="3850"/>
      <c r="BQ428" s="3850"/>
      <c r="BR428" s="3850"/>
      <c r="BS428" s="3850"/>
      <c r="BT428" s="3850"/>
      <c r="BU428" s="3850"/>
      <c r="BV428" s="3850"/>
      <c r="BW428" s="3850"/>
      <c r="BX428" s="3850"/>
      <c r="BY428" s="3850"/>
      <c r="BZ428" s="3850"/>
      <c r="CA428" s="3850"/>
      <c r="CB428" s="3850"/>
      <c r="CC428" s="3850"/>
      <c r="CD428" s="3850"/>
      <c r="CE428" s="3850"/>
      <c r="CF428" s="3850"/>
      <c r="CG428" s="3850"/>
      <c r="CH428" s="3850"/>
      <c r="CI428" s="3850"/>
      <c r="CJ428" s="3850"/>
      <c r="CK428" s="3850"/>
      <c r="CL428" s="3850"/>
      <c r="CM428" s="3850"/>
      <c r="CN428" s="3850"/>
      <c r="CO428" s="3850"/>
      <c r="CP428" s="3850"/>
      <c r="CQ428" s="3850"/>
      <c r="CR428" s="3850"/>
      <c r="CS428" s="3850"/>
      <c r="CT428" s="3850"/>
      <c r="CU428" s="3850"/>
      <c r="CV428" s="3850"/>
      <c r="CW428" s="3850"/>
      <c r="CX428" s="3850"/>
      <c r="CY428" s="3850"/>
      <c r="CZ428" s="3850"/>
      <c r="DA428" s="3850"/>
      <c r="DB428" s="3850"/>
      <c r="DC428" s="3850"/>
      <c r="DD428" s="3850"/>
      <c r="DE428" s="3850"/>
      <c r="DF428" s="3850"/>
      <c r="DG428" s="3850"/>
      <c r="DH428" s="3850"/>
      <c r="DI428" s="3850"/>
      <c r="DJ428" s="3850"/>
      <c r="DK428" s="3850"/>
      <c r="DL428" s="3850"/>
      <c r="DM428" s="3850"/>
      <c r="DN428" s="3850"/>
      <c r="DO428" s="3850"/>
      <c r="DP428" s="3850"/>
      <c r="DQ428" s="3850"/>
      <c r="DR428" s="3850"/>
      <c r="DS428" s="3850"/>
      <c r="DT428" s="3850"/>
      <c r="DU428" s="3850"/>
      <c r="DV428" s="3850"/>
      <c r="DW428" s="3850"/>
      <c r="DX428" s="3850"/>
      <c r="DY428" s="3850"/>
      <c r="DZ428" s="3850"/>
      <c r="EA428" s="3850"/>
    </row>
    <row r="429" spans="1:131" s="3849" customFormat="1">
      <c r="A429" s="4063"/>
      <c r="B429" s="4064"/>
      <c r="C429" s="4067"/>
      <c r="D429" s="3874"/>
      <c r="E429" s="3883"/>
      <c r="F429" s="3874"/>
      <c r="G429" s="3875"/>
      <c r="H429" s="3874"/>
      <c r="I429" s="3875"/>
      <c r="J429" s="3874"/>
      <c r="K429" s="3875"/>
      <c r="L429" s="3874"/>
      <c r="N429" s="3846"/>
      <c r="O429" s="3850"/>
      <c r="P429" s="3848"/>
      <c r="AV429" s="3850"/>
      <c r="AX429" s="3850"/>
      <c r="AY429" s="3850"/>
      <c r="AZ429" s="3850"/>
      <c r="BA429" s="3850"/>
      <c r="BB429" s="3850"/>
      <c r="BC429" s="3850"/>
      <c r="BD429" s="3850"/>
      <c r="BE429" s="3850"/>
      <c r="BF429" s="3850"/>
      <c r="BG429" s="3850"/>
      <c r="BH429" s="3850"/>
      <c r="BI429" s="3850"/>
      <c r="BJ429" s="3850"/>
      <c r="BK429" s="3850"/>
      <c r="BL429" s="3850"/>
      <c r="BM429" s="3850"/>
      <c r="BN429" s="3850"/>
      <c r="BO429" s="3850"/>
      <c r="BP429" s="3850"/>
      <c r="BQ429" s="3850"/>
      <c r="BR429" s="3850"/>
      <c r="BS429" s="3850"/>
      <c r="BT429" s="3850"/>
      <c r="BU429" s="3850"/>
      <c r="BV429" s="3850"/>
      <c r="BW429" s="3850"/>
      <c r="BX429" s="3850"/>
      <c r="BY429" s="3850"/>
      <c r="BZ429" s="3850"/>
      <c r="CA429" s="3850"/>
      <c r="CB429" s="3850"/>
      <c r="CC429" s="3850"/>
      <c r="CD429" s="3850"/>
      <c r="CE429" s="3850"/>
      <c r="CF429" s="3850"/>
      <c r="CG429" s="3850"/>
      <c r="CH429" s="3850"/>
      <c r="CI429" s="3850"/>
      <c r="CJ429" s="3850"/>
      <c r="CK429" s="3850"/>
      <c r="CL429" s="3850"/>
      <c r="CM429" s="3850"/>
      <c r="CN429" s="3850"/>
      <c r="CO429" s="3850"/>
      <c r="CP429" s="3850"/>
      <c r="CQ429" s="3850"/>
      <c r="CR429" s="3850"/>
      <c r="CS429" s="3850"/>
      <c r="CT429" s="3850"/>
      <c r="CU429" s="3850"/>
      <c r="CV429" s="3850"/>
      <c r="CW429" s="3850"/>
      <c r="CX429" s="3850"/>
      <c r="CY429" s="3850"/>
      <c r="CZ429" s="3850"/>
      <c r="DA429" s="3850"/>
      <c r="DB429" s="3850"/>
      <c r="DC429" s="3850"/>
      <c r="DD429" s="3850"/>
      <c r="DE429" s="3850"/>
      <c r="DF429" s="3850"/>
      <c r="DG429" s="3850"/>
      <c r="DH429" s="3850"/>
      <c r="DI429" s="3850"/>
      <c r="DJ429" s="3850"/>
      <c r="DK429" s="3850"/>
      <c r="DL429" s="3850"/>
      <c r="DM429" s="3850"/>
      <c r="DN429" s="3850"/>
      <c r="DO429" s="3850"/>
      <c r="DP429" s="3850"/>
      <c r="DQ429" s="3850"/>
      <c r="DR429" s="3850"/>
      <c r="DS429" s="3850"/>
      <c r="DT429" s="3850"/>
      <c r="DU429" s="3850"/>
      <c r="DV429" s="3850"/>
      <c r="DW429" s="3850"/>
      <c r="DX429" s="3850"/>
      <c r="DY429" s="3850"/>
      <c r="DZ429" s="3850"/>
      <c r="EA429" s="3850"/>
    </row>
    <row r="430" spans="1:131" s="3849" customFormat="1">
      <c r="A430" s="4063"/>
      <c r="B430" s="4064"/>
      <c r="C430" s="4067"/>
      <c r="D430" s="3874"/>
      <c r="E430" s="3883"/>
      <c r="F430" s="3874"/>
      <c r="G430" s="3875"/>
      <c r="H430" s="3874"/>
      <c r="I430" s="3875"/>
      <c r="J430" s="3874"/>
      <c r="K430" s="3875"/>
      <c r="L430" s="3874"/>
      <c r="N430" s="3846"/>
      <c r="O430" s="3850"/>
      <c r="P430" s="3848"/>
      <c r="AV430" s="3850"/>
      <c r="AX430" s="3850"/>
      <c r="AY430" s="3850"/>
      <c r="AZ430" s="3850"/>
      <c r="BA430" s="3850"/>
      <c r="BB430" s="3850"/>
      <c r="BC430" s="3850"/>
      <c r="BD430" s="3850"/>
      <c r="BE430" s="3850"/>
      <c r="BF430" s="3850"/>
      <c r="BG430" s="3850"/>
      <c r="BH430" s="3850"/>
      <c r="BI430" s="3850"/>
      <c r="BJ430" s="3850"/>
      <c r="BK430" s="3850"/>
      <c r="BL430" s="3850"/>
      <c r="BM430" s="3850"/>
      <c r="BN430" s="3850"/>
      <c r="BO430" s="3850"/>
      <c r="BP430" s="3850"/>
      <c r="BQ430" s="3850"/>
      <c r="BR430" s="3850"/>
      <c r="BS430" s="3850"/>
      <c r="BT430" s="3850"/>
      <c r="BU430" s="3850"/>
      <c r="BV430" s="3850"/>
      <c r="BW430" s="3850"/>
      <c r="BX430" s="3850"/>
      <c r="BY430" s="3850"/>
      <c r="BZ430" s="3850"/>
      <c r="CA430" s="3850"/>
      <c r="CB430" s="3850"/>
      <c r="CC430" s="3850"/>
      <c r="CD430" s="3850"/>
      <c r="CE430" s="3850"/>
      <c r="CF430" s="3850"/>
      <c r="CG430" s="3850"/>
      <c r="CH430" s="3850"/>
      <c r="CI430" s="3850"/>
      <c r="CJ430" s="3850"/>
      <c r="CK430" s="3850"/>
      <c r="CL430" s="3850"/>
      <c r="CM430" s="3850"/>
      <c r="CN430" s="3850"/>
      <c r="CO430" s="3850"/>
      <c r="CP430" s="3850"/>
      <c r="CQ430" s="3850"/>
      <c r="CR430" s="3850"/>
      <c r="CS430" s="3850"/>
      <c r="CT430" s="3850"/>
      <c r="CU430" s="3850"/>
      <c r="CV430" s="3850"/>
      <c r="CW430" s="3850"/>
      <c r="CX430" s="3850"/>
      <c r="CY430" s="3850"/>
      <c r="CZ430" s="3850"/>
      <c r="DA430" s="3850"/>
      <c r="DB430" s="3850"/>
      <c r="DC430" s="3850"/>
      <c r="DD430" s="3850"/>
      <c r="DE430" s="3850"/>
      <c r="DF430" s="3850"/>
      <c r="DG430" s="3850"/>
      <c r="DH430" s="3850"/>
      <c r="DI430" s="3850"/>
      <c r="DJ430" s="3850"/>
      <c r="DK430" s="3850"/>
      <c r="DL430" s="3850"/>
      <c r="DM430" s="3850"/>
      <c r="DN430" s="3850"/>
      <c r="DO430" s="3850"/>
      <c r="DP430" s="3850"/>
      <c r="DQ430" s="3850"/>
      <c r="DR430" s="3850"/>
      <c r="DS430" s="3850"/>
      <c r="DT430" s="3850"/>
      <c r="DU430" s="3850"/>
      <c r="DV430" s="3850"/>
      <c r="DW430" s="3850"/>
      <c r="DX430" s="3850"/>
      <c r="DY430" s="3850"/>
      <c r="DZ430" s="3850"/>
      <c r="EA430" s="3850"/>
    </row>
    <row r="431" spans="1:131" s="3849" customFormat="1">
      <c r="A431" s="4063"/>
      <c r="B431" s="4064"/>
      <c r="C431" s="4067"/>
      <c r="D431" s="3874"/>
      <c r="E431" s="3883"/>
      <c r="F431" s="3874"/>
      <c r="G431" s="3875"/>
      <c r="H431" s="3874"/>
      <c r="I431" s="3875"/>
      <c r="J431" s="3874"/>
      <c r="K431" s="3875"/>
      <c r="L431" s="3874"/>
      <c r="N431" s="3846"/>
      <c r="O431" s="3850"/>
      <c r="P431" s="3848"/>
      <c r="AV431" s="3850"/>
      <c r="AX431" s="3850"/>
      <c r="AY431" s="3850"/>
      <c r="AZ431" s="3850"/>
      <c r="BA431" s="3850"/>
      <c r="BB431" s="3850"/>
      <c r="BC431" s="3850"/>
      <c r="BD431" s="3850"/>
      <c r="BE431" s="3850"/>
      <c r="BF431" s="3850"/>
      <c r="BG431" s="3850"/>
      <c r="BH431" s="3850"/>
      <c r="BI431" s="3850"/>
      <c r="BJ431" s="3850"/>
      <c r="BK431" s="3850"/>
      <c r="BL431" s="3850"/>
      <c r="BM431" s="3850"/>
      <c r="BN431" s="3850"/>
      <c r="BO431" s="3850"/>
      <c r="BP431" s="3850"/>
      <c r="BQ431" s="3850"/>
      <c r="BR431" s="3850"/>
      <c r="BS431" s="3850"/>
      <c r="BT431" s="3850"/>
      <c r="BU431" s="3850"/>
      <c r="BV431" s="3850"/>
      <c r="BW431" s="3850"/>
      <c r="BX431" s="3850"/>
      <c r="BY431" s="3850"/>
      <c r="BZ431" s="3850"/>
      <c r="CA431" s="3850"/>
      <c r="CB431" s="3850"/>
      <c r="CC431" s="3850"/>
      <c r="CD431" s="3850"/>
      <c r="CE431" s="3850"/>
      <c r="CF431" s="3850"/>
      <c r="CG431" s="3850"/>
      <c r="CH431" s="3850"/>
      <c r="CI431" s="3850"/>
      <c r="CJ431" s="3850"/>
      <c r="CK431" s="3850"/>
      <c r="CL431" s="3850"/>
      <c r="CM431" s="3850"/>
      <c r="CN431" s="3850"/>
      <c r="CO431" s="3850"/>
      <c r="CP431" s="3850"/>
      <c r="CQ431" s="3850"/>
      <c r="CR431" s="3850"/>
      <c r="CS431" s="3850"/>
      <c r="CT431" s="3850"/>
      <c r="CU431" s="3850"/>
      <c r="CV431" s="3850"/>
      <c r="CW431" s="3850"/>
      <c r="CX431" s="3850"/>
      <c r="CY431" s="3850"/>
      <c r="CZ431" s="3850"/>
      <c r="DA431" s="3850"/>
      <c r="DB431" s="3850"/>
      <c r="DC431" s="3850"/>
      <c r="DD431" s="3850"/>
      <c r="DE431" s="3850"/>
      <c r="DF431" s="3850"/>
      <c r="DG431" s="3850"/>
      <c r="DH431" s="3850"/>
      <c r="DI431" s="3850"/>
      <c r="DJ431" s="3850"/>
      <c r="DK431" s="3850"/>
      <c r="DL431" s="3850"/>
      <c r="DM431" s="3850"/>
      <c r="DN431" s="3850"/>
      <c r="DO431" s="3850"/>
      <c r="DP431" s="3850"/>
      <c r="DQ431" s="3850"/>
      <c r="DR431" s="3850"/>
      <c r="DS431" s="3850"/>
      <c r="DT431" s="3850"/>
      <c r="DU431" s="3850"/>
      <c r="DV431" s="3850"/>
      <c r="DW431" s="3850"/>
      <c r="DX431" s="3850"/>
      <c r="DY431" s="3850"/>
      <c r="DZ431" s="3850"/>
      <c r="EA431" s="3850"/>
    </row>
    <row r="432" spans="1:131" s="3849" customFormat="1">
      <c r="A432" s="4063"/>
      <c r="B432" s="4064"/>
      <c r="C432" s="4067"/>
      <c r="D432" s="3874"/>
      <c r="E432" s="3883"/>
      <c r="F432" s="3874"/>
      <c r="G432" s="3875"/>
      <c r="H432" s="3874"/>
      <c r="I432" s="3875"/>
      <c r="J432" s="3874"/>
      <c r="K432" s="3875"/>
      <c r="L432" s="3874"/>
      <c r="N432" s="3846"/>
      <c r="O432" s="3850"/>
      <c r="P432" s="3848"/>
      <c r="AV432" s="3850"/>
      <c r="AX432" s="3850"/>
      <c r="AY432" s="3850"/>
      <c r="AZ432" s="3850"/>
      <c r="BA432" s="3850"/>
      <c r="BB432" s="3850"/>
      <c r="BC432" s="3850"/>
      <c r="BD432" s="3850"/>
      <c r="BE432" s="3850"/>
      <c r="BF432" s="3850"/>
      <c r="BG432" s="3850"/>
      <c r="BH432" s="3850"/>
      <c r="BI432" s="3850"/>
      <c r="BJ432" s="3850"/>
      <c r="BK432" s="3850"/>
      <c r="BL432" s="3850"/>
      <c r="BM432" s="3850"/>
      <c r="BN432" s="3850"/>
      <c r="BO432" s="3850"/>
      <c r="BP432" s="3850"/>
      <c r="BQ432" s="3850"/>
      <c r="BR432" s="3850"/>
      <c r="BS432" s="3850"/>
      <c r="BT432" s="3850"/>
      <c r="BU432" s="3850"/>
      <c r="BV432" s="3850"/>
      <c r="BW432" s="3850"/>
      <c r="BX432" s="3850"/>
      <c r="BY432" s="3850"/>
      <c r="BZ432" s="3850"/>
      <c r="CA432" s="3850"/>
      <c r="CB432" s="3850"/>
      <c r="CC432" s="3850"/>
      <c r="CD432" s="3850"/>
      <c r="CE432" s="3850"/>
      <c r="CF432" s="3850"/>
      <c r="CG432" s="3850"/>
      <c r="CH432" s="3850"/>
      <c r="CI432" s="3850"/>
      <c r="CJ432" s="3850"/>
      <c r="CK432" s="3850"/>
      <c r="CL432" s="3850"/>
      <c r="CM432" s="3850"/>
      <c r="CN432" s="3850"/>
      <c r="CO432" s="3850"/>
      <c r="CP432" s="3850"/>
      <c r="CQ432" s="3850"/>
      <c r="CR432" s="3850"/>
      <c r="CS432" s="3850"/>
      <c r="CT432" s="3850"/>
      <c r="CU432" s="3850"/>
      <c r="CV432" s="3850"/>
      <c r="CW432" s="3850"/>
      <c r="CX432" s="3850"/>
      <c r="CY432" s="3850"/>
      <c r="CZ432" s="3850"/>
      <c r="DA432" s="3850"/>
      <c r="DB432" s="3850"/>
      <c r="DC432" s="3850"/>
      <c r="DD432" s="3850"/>
      <c r="DE432" s="3850"/>
      <c r="DF432" s="3850"/>
      <c r="DG432" s="3850"/>
      <c r="DH432" s="3850"/>
      <c r="DI432" s="3850"/>
      <c r="DJ432" s="3850"/>
      <c r="DK432" s="3850"/>
      <c r="DL432" s="3850"/>
      <c r="DM432" s="3850"/>
      <c r="DN432" s="3850"/>
      <c r="DO432" s="3850"/>
      <c r="DP432" s="3850"/>
      <c r="DQ432" s="3850"/>
      <c r="DR432" s="3850"/>
      <c r="DS432" s="3850"/>
      <c r="DT432" s="3850"/>
      <c r="DU432" s="3850"/>
      <c r="DV432" s="3850"/>
      <c r="DW432" s="3850"/>
      <c r="DX432" s="3850"/>
      <c r="DY432" s="3850"/>
      <c r="DZ432" s="3850"/>
      <c r="EA432" s="3850"/>
    </row>
    <row r="433" spans="1:131" s="3849" customFormat="1">
      <c r="A433" s="4063"/>
      <c r="B433" s="4064"/>
      <c r="C433" s="4067"/>
      <c r="D433" s="3874"/>
      <c r="E433" s="3883"/>
      <c r="F433" s="3874"/>
      <c r="G433" s="3875"/>
      <c r="H433" s="3874"/>
      <c r="I433" s="3875"/>
      <c r="J433" s="3874"/>
      <c r="K433" s="3875"/>
      <c r="L433" s="3874"/>
      <c r="N433" s="3846"/>
      <c r="O433" s="3850"/>
      <c r="P433" s="3848"/>
      <c r="AV433" s="3850"/>
      <c r="AX433" s="3850"/>
      <c r="AY433" s="3850"/>
      <c r="AZ433" s="3850"/>
      <c r="BA433" s="3850"/>
      <c r="BB433" s="3850"/>
      <c r="BC433" s="3850"/>
      <c r="BD433" s="3850"/>
      <c r="BE433" s="3850"/>
      <c r="BF433" s="3850"/>
      <c r="BG433" s="3850"/>
      <c r="BH433" s="3850"/>
      <c r="BI433" s="3850"/>
      <c r="BJ433" s="3850"/>
      <c r="BK433" s="3850"/>
      <c r="BL433" s="3850"/>
      <c r="BM433" s="3850"/>
      <c r="BN433" s="3850"/>
      <c r="BO433" s="3850"/>
      <c r="BP433" s="3850"/>
      <c r="BQ433" s="3850"/>
      <c r="BR433" s="3850"/>
      <c r="BS433" s="3850"/>
      <c r="BT433" s="3850"/>
      <c r="BU433" s="3850"/>
      <c r="BV433" s="3850"/>
      <c r="BW433" s="3850"/>
      <c r="BX433" s="3850"/>
      <c r="BY433" s="3850"/>
      <c r="BZ433" s="3850"/>
      <c r="CA433" s="3850"/>
      <c r="CB433" s="3850"/>
      <c r="CC433" s="3850"/>
      <c r="CD433" s="3850"/>
      <c r="CE433" s="3850"/>
      <c r="CF433" s="3850"/>
      <c r="CG433" s="3850"/>
      <c r="CH433" s="3850"/>
      <c r="CI433" s="3850"/>
      <c r="CJ433" s="3850"/>
      <c r="CK433" s="3850"/>
      <c r="CL433" s="3850"/>
      <c r="CM433" s="3850"/>
      <c r="CN433" s="3850"/>
      <c r="CO433" s="3850"/>
      <c r="CP433" s="3850"/>
      <c r="CQ433" s="3850"/>
      <c r="CR433" s="3850"/>
      <c r="CS433" s="3850"/>
      <c r="CT433" s="3850"/>
      <c r="CU433" s="3850"/>
      <c r="CV433" s="3850"/>
      <c r="CW433" s="3850"/>
      <c r="CX433" s="3850"/>
      <c r="CY433" s="3850"/>
      <c r="CZ433" s="3850"/>
      <c r="DA433" s="3850"/>
      <c r="DB433" s="3850"/>
      <c r="DC433" s="3850"/>
      <c r="DD433" s="3850"/>
      <c r="DE433" s="3850"/>
      <c r="DF433" s="3850"/>
      <c r="DG433" s="3850"/>
      <c r="DH433" s="3850"/>
      <c r="DI433" s="3850"/>
      <c r="DJ433" s="3850"/>
      <c r="DK433" s="3850"/>
      <c r="DL433" s="3850"/>
      <c r="DM433" s="3850"/>
      <c r="DN433" s="3850"/>
      <c r="DO433" s="3850"/>
      <c r="DP433" s="3850"/>
      <c r="DQ433" s="3850"/>
      <c r="DR433" s="3850"/>
      <c r="DS433" s="3850"/>
      <c r="DT433" s="3850"/>
      <c r="DU433" s="3850"/>
      <c r="DV433" s="3850"/>
      <c r="DW433" s="3850"/>
      <c r="DX433" s="3850"/>
      <c r="DY433" s="3850"/>
      <c r="DZ433" s="3850"/>
      <c r="EA433" s="3850"/>
    </row>
    <row r="434" spans="1:131" s="3849" customFormat="1">
      <c r="A434" s="4063"/>
      <c r="B434" s="4064"/>
      <c r="C434" s="4067"/>
      <c r="D434" s="3874"/>
      <c r="E434" s="3883"/>
      <c r="F434" s="3874"/>
      <c r="G434" s="3875"/>
      <c r="H434" s="3874"/>
      <c r="I434" s="3875"/>
      <c r="J434" s="3874"/>
      <c r="K434" s="3875"/>
      <c r="L434" s="3874"/>
      <c r="N434" s="3846"/>
      <c r="O434" s="3850"/>
      <c r="P434" s="3848"/>
      <c r="AV434" s="3850"/>
      <c r="AX434" s="3850"/>
      <c r="AY434" s="3850"/>
      <c r="AZ434" s="3850"/>
      <c r="BA434" s="3850"/>
      <c r="BB434" s="3850"/>
      <c r="BC434" s="3850"/>
      <c r="BD434" s="3850"/>
      <c r="BE434" s="3850"/>
      <c r="BF434" s="3850"/>
      <c r="BG434" s="3850"/>
      <c r="BH434" s="3850"/>
      <c r="BI434" s="3850"/>
      <c r="BJ434" s="3850"/>
      <c r="BK434" s="3850"/>
      <c r="BL434" s="3850"/>
      <c r="BM434" s="3850"/>
      <c r="BN434" s="3850"/>
      <c r="BO434" s="3850"/>
      <c r="BP434" s="3850"/>
      <c r="BQ434" s="3850"/>
      <c r="BR434" s="3850"/>
      <c r="BS434" s="3850"/>
      <c r="BT434" s="3850"/>
      <c r="BU434" s="3850"/>
      <c r="BV434" s="3850"/>
      <c r="BW434" s="3850"/>
      <c r="BX434" s="3850"/>
      <c r="BY434" s="3850"/>
      <c r="BZ434" s="3850"/>
      <c r="CA434" s="3850"/>
      <c r="CB434" s="3850"/>
      <c r="CC434" s="3850"/>
      <c r="CD434" s="3850"/>
      <c r="CE434" s="3850"/>
      <c r="CF434" s="3850"/>
      <c r="CG434" s="3850"/>
      <c r="CH434" s="3850"/>
      <c r="CI434" s="3850"/>
      <c r="CJ434" s="3850"/>
      <c r="CK434" s="3850"/>
      <c r="CL434" s="3850"/>
      <c r="CM434" s="3850"/>
      <c r="CN434" s="3850"/>
      <c r="CO434" s="3850"/>
      <c r="CP434" s="3850"/>
      <c r="CQ434" s="3850"/>
      <c r="CR434" s="3850"/>
      <c r="CS434" s="3850"/>
      <c r="CT434" s="3850"/>
      <c r="CU434" s="3850"/>
      <c r="CV434" s="3850"/>
      <c r="CW434" s="3850"/>
      <c r="CX434" s="3850"/>
      <c r="CY434" s="3850"/>
      <c r="CZ434" s="3850"/>
      <c r="DA434" s="3850"/>
      <c r="DB434" s="3850"/>
      <c r="DC434" s="3850"/>
      <c r="DD434" s="3850"/>
      <c r="DE434" s="3850"/>
      <c r="DF434" s="3850"/>
      <c r="DG434" s="3850"/>
      <c r="DH434" s="3850"/>
      <c r="DI434" s="3850"/>
      <c r="DJ434" s="3850"/>
      <c r="DK434" s="3850"/>
      <c r="DL434" s="3850"/>
      <c r="DM434" s="3850"/>
      <c r="DN434" s="3850"/>
      <c r="DO434" s="3850"/>
      <c r="DP434" s="3850"/>
      <c r="DQ434" s="3850"/>
      <c r="DR434" s="3850"/>
      <c r="DS434" s="3850"/>
      <c r="DT434" s="3850"/>
      <c r="DU434" s="3850"/>
      <c r="DV434" s="3850"/>
      <c r="DW434" s="3850"/>
      <c r="DX434" s="3850"/>
      <c r="DY434" s="3850"/>
      <c r="DZ434" s="3850"/>
      <c r="EA434" s="3850"/>
    </row>
    <row r="435" spans="1:131" s="3849" customFormat="1">
      <c r="A435" s="4063"/>
      <c r="B435" s="4064"/>
      <c r="C435" s="4067"/>
      <c r="D435" s="3874"/>
      <c r="E435" s="3883"/>
      <c r="F435" s="3874"/>
      <c r="G435" s="3875"/>
      <c r="H435" s="3874"/>
      <c r="I435" s="3875"/>
      <c r="J435" s="3874"/>
      <c r="K435" s="3875"/>
      <c r="L435" s="3874"/>
      <c r="N435" s="3846"/>
      <c r="O435" s="3850"/>
      <c r="P435" s="3848"/>
      <c r="AV435" s="3850"/>
      <c r="AX435" s="3850"/>
      <c r="AY435" s="3850"/>
      <c r="AZ435" s="3850"/>
      <c r="BA435" s="3850"/>
      <c r="BB435" s="3850"/>
      <c r="BC435" s="3850"/>
      <c r="BD435" s="3850"/>
      <c r="BE435" s="3850"/>
      <c r="BF435" s="3850"/>
      <c r="BG435" s="3850"/>
      <c r="BH435" s="3850"/>
      <c r="BI435" s="3850"/>
      <c r="BJ435" s="3850"/>
      <c r="BK435" s="3850"/>
      <c r="BL435" s="3850"/>
      <c r="BM435" s="3850"/>
      <c r="BN435" s="3850"/>
      <c r="BO435" s="3850"/>
      <c r="BP435" s="3850"/>
      <c r="BQ435" s="3850"/>
      <c r="BR435" s="3850"/>
      <c r="BS435" s="3850"/>
      <c r="BT435" s="3850"/>
      <c r="BU435" s="3850"/>
      <c r="BV435" s="3850"/>
      <c r="BW435" s="3850"/>
      <c r="BX435" s="3850"/>
      <c r="BY435" s="3850"/>
      <c r="BZ435" s="3850"/>
      <c r="CA435" s="3850"/>
      <c r="CB435" s="3850"/>
      <c r="CC435" s="3850"/>
      <c r="CD435" s="3850"/>
      <c r="CE435" s="3850"/>
      <c r="CF435" s="3850"/>
      <c r="CG435" s="3850"/>
      <c r="CH435" s="3850"/>
      <c r="CI435" s="3850"/>
      <c r="CJ435" s="3850"/>
      <c r="CK435" s="3850"/>
      <c r="CL435" s="3850"/>
      <c r="CM435" s="3850"/>
      <c r="CN435" s="3850"/>
      <c r="CO435" s="3850"/>
      <c r="CP435" s="3850"/>
      <c r="CQ435" s="3850"/>
      <c r="CR435" s="3850"/>
      <c r="CS435" s="3850"/>
      <c r="CT435" s="3850"/>
      <c r="CU435" s="3850"/>
      <c r="CV435" s="3850"/>
      <c r="CW435" s="3850"/>
      <c r="CX435" s="3850"/>
      <c r="CY435" s="3850"/>
      <c r="CZ435" s="3850"/>
      <c r="DA435" s="3850"/>
      <c r="DB435" s="3850"/>
      <c r="DC435" s="3850"/>
      <c r="DD435" s="3850"/>
      <c r="DE435" s="3850"/>
      <c r="DF435" s="3850"/>
      <c r="DG435" s="3850"/>
      <c r="DH435" s="3850"/>
      <c r="DI435" s="3850"/>
      <c r="DJ435" s="3850"/>
      <c r="DK435" s="3850"/>
      <c r="DL435" s="3850"/>
      <c r="DM435" s="3850"/>
      <c r="DN435" s="3850"/>
      <c r="DO435" s="3850"/>
      <c r="DP435" s="3850"/>
      <c r="DQ435" s="3850"/>
      <c r="DR435" s="3850"/>
      <c r="DS435" s="3850"/>
      <c r="DT435" s="3850"/>
      <c r="DU435" s="3850"/>
      <c r="DV435" s="3850"/>
      <c r="DW435" s="3850"/>
      <c r="DX435" s="3850"/>
      <c r="DY435" s="3850"/>
      <c r="DZ435" s="3850"/>
      <c r="EA435" s="3850"/>
    </row>
    <row r="436" spans="1:131" s="3849" customFormat="1">
      <c r="A436" s="4063"/>
      <c r="B436" s="4064"/>
      <c r="C436" s="4067"/>
      <c r="D436" s="3874"/>
      <c r="E436" s="3883"/>
      <c r="F436" s="3874"/>
      <c r="G436" s="3875"/>
      <c r="H436" s="3874"/>
      <c r="I436" s="3875"/>
      <c r="J436" s="3874"/>
      <c r="K436" s="3875"/>
      <c r="L436" s="3874"/>
      <c r="N436" s="3846"/>
      <c r="O436" s="3850"/>
      <c r="P436" s="3848"/>
      <c r="AV436" s="3850"/>
      <c r="AX436" s="3850"/>
      <c r="AY436" s="3850"/>
      <c r="AZ436" s="3850"/>
      <c r="BA436" s="3850"/>
      <c r="BB436" s="3850"/>
      <c r="BC436" s="3850"/>
      <c r="BD436" s="3850"/>
      <c r="BE436" s="3850"/>
      <c r="BF436" s="3850"/>
      <c r="BG436" s="3850"/>
      <c r="BH436" s="3850"/>
      <c r="BI436" s="3850"/>
      <c r="BJ436" s="3850"/>
      <c r="BK436" s="3850"/>
      <c r="BL436" s="3850"/>
      <c r="BM436" s="3850"/>
      <c r="BN436" s="3850"/>
      <c r="BO436" s="3850"/>
      <c r="BP436" s="3850"/>
      <c r="BQ436" s="3850"/>
      <c r="BR436" s="3850"/>
      <c r="BS436" s="3850"/>
      <c r="BT436" s="3850"/>
      <c r="BU436" s="3850"/>
      <c r="BV436" s="3850"/>
      <c r="BW436" s="3850"/>
      <c r="BX436" s="3850"/>
      <c r="BY436" s="3850"/>
      <c r="BZ436" s="3850"/>
      <c r="CA436" s="3850"/>
      <c r="CB436" s="3850"/>
      <c r="CC436" s="3850"/>
      <c r="CD436" s="3850"/>
      <c r="CE436" s="3850"/>
      <c r="CF436" s="3850"/>
      <c r="CG436" s="3850"/>
      <c r="CH436" s="3850"/>
      <c r="CI436" s="3850"/>
      <c r="CJ436" s="3850"/>
      <c r="CK436" s="3850"/>
      <c r="CL436" s="3850"/>
      <c r="CM436" s="3850"/>
      <c r="CN436" s="3850"/>
      <c r="CO436" s="3850"/>
      <c r="CP436" s="3850"/>
      <c r="CQ436" s="3850"/>
      <c r="CR436" s="3850"/>
      <c r="CS436" s="3850"/>
      <c r="CT436" s="3850"/>
      <c r="CU436" s="3850"/>
      <c r="CV436" s="3850"/>
      <c r="CW436" s="3850"/>
      <c r="CX436" s="3850"/>
      <c r="CY436" s="3850"/>
      <c r="CZ436" s="3850"/>
      <c r="DA436" s="3850"/>
      <c r="DB436" s="3850"/>
      <c r="DC436" s="3850"/>
      <c r="DD436" s="3850"/>
      <c r="DE436" s="3850"/>
      <c r="DF436" s="3850"/>
      <c r="DG436" s="3850"/>
      <c r="DH436" s="3850"/>
      <c r="DI436" s="3850"/>
      <c r="DJ436" s="3850"/>
      <c r="DK436" s="3850"/>
      <c r="DL436" s="3850"/>
      <c r="DM436" s="3850"/>
      <c r="DN436" s="3850"/>
      <c r="DO436" s="3850"/>
      <c r="DP436" s="3850"/>
      <c r="DQ436" s="3850"/>
      <c r="DR436" s="3850"/>
      <c r="DS436" s="3850"/>
      <c r="DT436" s="3850"/>
      <c r="DU436" s="3850"/>
      <c r="DV436" s="3850"/>
      <c r="DW436" s="3850"/>
      <c r="DX436" s="3850"/>
      <c r="DY436" s="3850"/>
      <c r="DZ436" s="3850"/>
      <c r="EA436" s="3850"/>
    </row>
    <row r="437" spans="1:131" s="3849" customFormat="1">
      <c r="A437" s="4063"/>
      <c r="B437" s="4064"/>
      <c r="C437" s="4067"/>
      <c r="D437" s="3874"/>
      <c r="E437" s="3883"/>
      <c r="F437" s="3874"/>
      <c r="G437" s="3875"/>
      <c r="H437" s="3874"/>
      <c r="I437" s="3875"/>
      <c r="J437" s="3874"/>
      <c r="K437" s="3875"/>
      <c r="L437" s="3874"/>
      <c r="N437" s="3846"/>
      <c r="O437" s="3850"/>
      <c r="P437" s="3848"/>
      <c r="AV437" s="3850"/>
      <c r="AX437" s="3850"/>
      <c r="AY437" s="3850"/>
      <c r="AZ437" s="3850"/>
      <c r="BA437" s="3850"/>
      <c r="BB437" s="3850"/>
      <c r="BC437" s="3850"/>
      <c r="BD437" s="3850"/>
      <c r="BE437" s="3850"/>
      <c r="BF437" s="3850"/>
      <c r="BG437" s="3850"/>
      <c r="BH437" s="3850"/>
      <c r="BI437" s="3850"/>
      <c r="BJ437" s="3850"/>
      <c r="BK437" s="3850"/>
      <c r="BL437" s="3850"/>
      <c r="BM437" s="3850"/>
      <c r="BN437" s="3850"/>
      <c r="BO437" s="3850"/>
      <c r="BP437" s="3850"/>
      <c r="BQ437" s="3850"/>
      <c r="BR437" s="3850"/>
      <c r="BS437" s="3850"/>
      <c r="BT437" s="3850"/>
      <c r="BU437" s="3850"/>
      <c r="BV437" s="3850"/>
      <c r="BW437" s="3850"/>
      <c r="BX437" s="3850"/>
      <c r="BY437" s="3850"/>
      <c r="BZ437" s="3850"/>
      <c r="CA437" s="3850"/>
      <c r="CB437" s="3850"/>
      <c r="CC437" s="3850"/>
      <c r="CD437" s="3850"/>
      <c r="CE437" s="3850"/>
      <c r="CF437" s="3850"/>
      <c r="CG437" s="3850"/>
      <c r="CH437" s="3850"/>
      <c r="CI437" s="3850"/>
      <c r="CJ437" s="3850"/>
      <c r="CK437" s="3850"/>
      <c r="CL437" s="3850"/>
      <c r="CM437" s="3850"/>
      <c r="CN437" s="3850"/>
      <c r="CO437" s="3850"/>
      <c r="CP437" s="3850"/>
      <c r="CQ437" s="3850"/>
      <c r="CR437" s="3850"/>
      <c r="CS437" s="3850"/>
      <c r="CT437" s="3850"/>
      <c r="CU437" s="3850"/>
      <c r="CV437" s="3850"/>
      <c r="CW437" s="3850"/>
      <c r="CX437" s="3850"/>
      <c r="CY437" s="3850"/>
      <c r="CZ437" s="3850"/>
      <c r="DA437" s="3850"/>
      <c r="DB437" s="3850"/>
      <c r="DC437" s="3850"/>
      <c r="DD437" s="3850"/>
      <c r="DE437" s="3850"/>
      <c r="DF437" s="3850"/>
      <c r="DG437" s="3850"/>
      <c r="DH437" s="3850"/>
      <c r="DI437" s="3850"/>
      <c r="DJ437" s="3850"/>
      <c r="DK437" s="3850"/>
      <c r="DL437" s="3850"/>
      <c r="DM437" s="3850"/>
      <c r="DN437" s="3850"/>
      <c r="DO437" s="3850"/>
      <c r="DP437" s="3850"/>
      <c r="DQ437" s="3850"/>
      <c r="DR437" s="3850"/>
      <c r="DS437" s="3850"/>
      <c r="DT437" s="3850"/>
      <c r="DU437" s="3850"/>
      <c r="DV437" s="3850"/>
      <c r="DW437" s="3850"/>
      <c r="DX437" s="3850"/>
      <c r="DY437" s="3850"/>
      <c r="DZ437" s="3850"/>
      <c r="EA437" s="3850"/>
    </row>
    <row r="438" spans="1:131" s="3849" customFormat="1">
      <c r="A438" s="4063"/>
      <c r="B438" s="4064"/>
      <c r="C438" s="4067"/>
      <c r="D438" s="3874"/>
      <c r="E438" s="3883"/>
      <c r="F438" s="3874"/>
      <c r="G438" s="3875"/>
      <c r="H438" s="3874"/>
      <c r="I438" s="3875"/>
      <c r="J438" s="3874"/>
      <c r="K438" s="3875"/>
      <c r="L438" s="3874"/>
      <c r="N438" s="3846"/>
      <c r="O438" s="3850"/>
      <c r="P438" s="3848"/>
      <c r="AV438" s="3850"/>
      <c r="AX438" s="3850"/>
      <c r="AY438" s="3850"/>
      <c r="AZ438" s="3850"/>
      <c r="BA438" s="3850"/>
      <c r="BB438" s="3850"/>
      <c r="BC438" s="3850"/>
      <c r="BD438" s="3850"/>
      <c r="BE438" s="3850"/>
      <c r="BF438" s="3850"/>
      <c r="BG438" s="3850"/>
      <c r="BH438" s="3850"/>
      <c r="BI438" s="3850"/>
      <c r="BJ438" s="3850"/>
      <c r="BK438" s="3850"/>
      <c r="BL438" s="3850"/>
      <c r="BM438" s="3850"/>
      <c r="BN438" s="3850"/>
      <c r="BO438" s="3850"/>
      <c r="BP438" s="3850"/>
      <c r="BQ438" s="3850"/>
      <c r="BR438" s="3850"/>
      <c r="BS438" s="3850"/>
      <c r="BT438" s="3850"/>
      <c r="BU438" s="3850"/>
      <c r="BV438" s="3850"/>
      <c r="BW438" s="3850"/>
      <c r="BX438" s="3850"/>
      <c r="BY438" s="3850"/>
      <c r="BZ438" s="3850"/>
      <c r="CA438" s="3850"/>
      <c r="CB438" s="3850"/>
      <c r="CC438" s="3850"/>
      <c r="CD438" s="3850"/>
      <c r="CE438" s="3850"/>
      <c r="CF438" s="3850"/>
      <c r="CG438" s="3850"/>
      <c r="CH438" s="3850"/>
      <c r="CI438" s="3850"/>
      <c r="CJ438" s="3850"/>
      <c r="CK438" s="3850"/>
      <c r="CL438" s="3850"/>
      <c r="CM438" s="3850"/>
      <c r="CN438" s="3850"/>
      <c r="CO438" s="3850"/>
      <c r="CP438" s="3850"/>
      <c r="CQ438" s="3850"/>
      <c r="CR438" s="3850"/>
      <c r="CS438" s="3850"/>
      <c r="CT438" s="3850"/>
      <c r="CU438" s="3850"/>
      <c r="CV438" s="3850"/>
      <c r="CW438" s="3850"/>
      <c r="CX438" s="3850"/>
      <c r="CY438" s="3850"/>
      <c r="CZ438" s="3850"/>
      <c r="DA438" s="3850"/>
      <c r="DB438" s="3850"/>
      <c r="DC438" s="3850"/>
      <c r="DD438" s="3850"/>
      <c r="DE438" s="3850"/>
      <c r="DF438" s="3850"/>
      <c r="DG438" s="3850"/>
      <c r="DH438" s="3850"/>
      <c r="DI438" s="3850"/>
      <c r="DJ438" s="3850"/>
      <c r="DK438" s="3850"/>
      <c r="DL438" s="3850"/>
      <c r="DM438" s="3850"/>
      <c r="DN438" s="3850"/>
      <c r="DO438" s="3850"/>
      <c r="DP438" s="3850"/>
      <c r="DQ438" s="3850"/>
      <c r="DR438" s="3850"/>
      <c r="DS438" s="3850"/>
      <c r="DT438" s="3850"/>
      <c r="DU438" s="3850"/>
      <c r="DV438" s="3850"/>
      <c r="DW438" s="3850"/>
      <c r="DX438" s="3850"/>
      <c r="DY438" s="3850"/>
      <c r="DZ438" s="3850"/>
      <c r="EA438" s="3850"/>
    </row>
    <row r="439" spans="1:131" s="3849" customFormat="1">
      <c r="A439" s="4063"/>
      <c r="B439" s="4064"/>
      <c r="C439" s="4067"/>
      <c r="D439" s="3874"/>
      <c r="E439" s="3883"/>
      <c r="F439" s="3874"/>
      <c r="G439" s="3875"/>
      <c r="H439" s="3874"/>
      <c r="I439" s="3875"/>
      <c r="J439" s="3874"/>
      <c r="K439" s="3875"/>
      <c r="L439" s="3874"/>
      <c r="N439" s="3846"/>
      <c r="O439" s="3850"/>
      <c r="P439" s="3848"/>
      <c r="AV439" s="3850"/>
      <c r="AX439" s="3850"/>
      <c r="AY439" s="3850"/>
      <c r="AZ439" s="3850"/>
      <c r="BA439" s="3850"/>
      <c r="BB439" s="3850"/>
      <c r="BC439" s="3850"/>
      <c r="BD439" s="3850"/>
      <c r="BE439" s="3850"/>
      <c r="BF439" s="3850"/>
      <c r="BG439" s="3850"/>
      <c r="BH439" s="3850"/>
      <c r="BI439" s="3850"/>
      <c r="BJ439" s="3850"/>
      <c r="BK439" s="3850"/>
      <c r="BL439" s="3850"/>
      <c r="BM439" s="3850"/>
      <c r="BN439" s="3850"/>
      <c r="BO439" s="3850"/>
      <c r="BP439" s="3850"/>
      <c r="BQ439" s="3850"/>
      <c r="BR439" s="3850"/>
      <c r="BS439" s="3850"/>
      <c r="BT439" s="3850"/>
      <c r="BU439" s="3850"/>
      <c r="BV439" s="3850"/>
      <c r="BW439" s="3850"/>
      <c r="BX439" s="3850"/>
      <c r="BY439" s="3850"/>
      <c r="BZ439" s="3850"/>
      <c r="CA439" s="3850"/>
      <c r="CB439" s="3850"/>
      <c r="CC439" s="3850"/>
      <c r="CD439" s="3850"/>
      <c r="CE439" s="3850"/>
      <c r="CF439" s="3850"/>
      <c r="CG439" s="3850"/>
      <c r="CH439" s="3850"/>
      <c r="CI439" s="3850"/>
      <c r="CJ439" s="3850"/>
      <c r="CK439" s="3850"/>
      <c r="CL439" s="3850"/>
      <c r="CM439" s="3850"/>
      <c r="CN439" s="3850"/>
      <c r="CO439" s="3850"/>
      <c r="CP439" s="3850"/>
      <c r="CQ439" s="3850"/>
      <c r="CR439" s="3850"/>
      <c r="CS439" s="3850"/>
      <c r="CT439" s="3850"/>
      <c r="CU439" s="3850"/>
      <c r="CV439" s="3850"/>
      <c r="CW439" s="3850"/>
      <c r="CX439" s="3850"/>
      <c r="CY439" s="3850"/>
      <c r="CZ439" s="3850"/>
      <c r="DA439" s="3850"/>
      <c r="DB439" s="3850"/>
      <c r="DC439" s="3850"/>
      <c r="DD439" s="3850"/>
      <c r="DE439" s="3850"/>
      <c r="DF439" s="3850"/>
      <c r="DG439" s="3850"/>
      <c r="DH439" s="3850"/>
      <c r="DI439" s="3850"/>
      <c r="DJ439" s="3850"/>
      <c r="DK439" s="3850"/>
      <c r="DL439" s="3850"/>
      <c r="DM439" s="3850"/>
      <c r="DN439" s="3850"/>
      <c r="DO439" s="3850"/>
      <c r="DP439" s="3850"/>
      <c r="DQ439" s="3850"/>
      <c r="DR439" s="3850"/>
      <c r="DS439" s="3850"/>
      <c r="DT439" s="3850"/>
      <c r="DU439" s="3850"/>
      <c r="DV439" s="3850"/>
      <c r="DW439" s="3850"/>
      <c r="DX439" s="3850"/>
      <c r="DY439" s="3850"/>
      <c r="DZ439" s="3850"/>
      <c r="EA439" s="3850"/>
    </row>
    <row r="440" spans="1:131" s="3849" customFormat="1">
      <c r="A440" s="4063"/>
      <c r="B440" s="4064"/>
      <c r="C440" s="4067"/>
      <c r="D440" s="3874"/>
      <c r="E440" s="3883"/>
      <c r="F440" s="3874"/>
      <c r="G440" s="3875"/>
      <c r="H440" s="3874"/>
      <c r="I440" s="3875"/>
      <c r="J440" s="3874"/>
      <c r="K440" s="3875"/>
      <c r="L440" s="3874"/>
      <c r="N440" s="3846"/>
      <c r="O440" s="3850"/>
      <c r="P440" s="3848"/>
      <c r="AV440" s="3850"/>
      <c r="AX440" s="3850"/>
      <c r="AY440" s="3850"/>
      <c r="AZ440" s="3850"/>
      <c r="BA440" s="3850"/>
      <c r="BB440" s="3850"/>
      <c r="BC440" s="3850"/>
      <c r="BD440" s="3850"/>
      <c r="BE440" s="3850"/>
      <c r="BF440" s="3850"/>
      <c r="BG440" s="3850"/>
      <c r="BH440" s="3850"/>
      <c r="BI440" s="3850"/>
      <c r="BJ440" s="3850"/>
      <c r="BK440" s="3850"/>
      <c r="BL440" s="3850"/>
      <c r="BM440" s="3850"/>
      <c r="BN440" s="3850"/>
      <c r="BO440" s="3850"/>
      <c r="BP440" s="3850"/>
      <c r="BQ440" s="3850"/>
      <c r="BR440" s="3850"/>
      <c r="BS440" s="3850"/>
      <c r="BT440" s="3850"/>
      <c r="BU440" s="3850"/>
      <c r="BV440" s="3850"/>
      <c r="BW440" s="3850"/>
      <c r="BX440" s="3850"/>
      <c r="BY440" s="3850"/>
      <c r="BZ440" s="3850"/>
      <c r="CA440" s="3850"/>
      <c r="CB440" s="3850"/>
      <c r="CC440" s="3850"/>
      <c r="CD440" s="3850"/>
      <c r="CE440" s="3850"/>
      <c r="CF440" s="3850"/>
      <c r="CG440" s="3850"/>
      <c r="CH440" s="3850"/>
      <c r="CI440" s="3850"/>
      <c r="CJ440" s="3850"/>
      <c r="CK440" s="3850"/>
      <c r="CL440" s="3850"/>
      <c r="CM440" s="3850"/>
      <c r="CN440" s="3850"/>
      <c r="CO440" s="3850"/>
      <c r="CP440" s="3850"/>
      <c r="CQ440" s="3850"/>
      <c r="CR440" s="3850"/>
      <c r="CS440" s="3850"/>
      <c r="CT440" s="3850"/>
      <c r="CU440" s="3850"/>
      <c r="CV440" s="3850"/>
      <c r="CW440" s="3850"/>
      <c r="CX440" s="3850"/>
      <c r="CY440" s="3850"/>
      <c r="CZ440" s="3850"/>
      <c r="DA440" s="3850"/>
      <c r="DB440" s="3850"/>
      <c r="DC440" s="3850"/>
      <c r="DD440" s="3850"/>
      <c r="DE440" s="3850"/>
      <c r="DF440" s="3850"/>
      <c r="DG440" s="3850"/>
      <c r="DH440" s="3850"/>
      <c r="DI440" s="3850"/>
      <c r="DJ440" s="3850"/>
      <c r="DK440" s="3850"/>
      <c r="DL440" s="3850"/>
      <c r="DM440" s="3850"/>
      <c r="DN440" s="3850"/>
      <c r="DO440" s="3850"/>
      <c r="DP440" s="3850"/>
      <c r="DQ440" s="3850"/>
      <c r="DR440" s="3850"/>
      <c r="DS440" s="3850"/>
      <c r="DT440" s="3850"/>
      <c r="DU440" s="3850"/>
      <c r="DV440" s="3850"/>
      <c r="DW440" s="3850"/>
      <c r="DX440" s="3850"/>
      <c r="DY440" s="3850"/>
      <c r="DZ440" s="3850"/>
      <c r="EA440" s="3850"/>
    </row>
    <row r="441" spans="1:131" s="3849" customFormat="1">
      <c r="A441" s="4063"/>
      <c r="B441" s="4064"/>
      <c r="C441" s="4067"/>
      <c r="D441" s="3874"/>
      <c r="E441" s="3883"/>
      <c r="F441" s="3874"/>
      <c r="G441" s="3875"/>
      <c r="H441" s="3874"/>
      <c r="I441" s="3875"/>
      <c r="J441" s="3874"/>
      <c r="K441" s="3875"/>
      <c r="L441" s="3874"/>
      <c r="N441" s="3846"/>
      <c r="O441" s="3850"/>
      <c r="P441" s="3848"/>
      <c r="Q441" s="3850"/>
      <c r="R441" s="3850"/>
      <c r="AV441" s="3850"/>
      <c r="AX441" s="3850"/>
      <c r="AY441" s="3850"/>
      <c r="AZ441" s="3850"/>
      <c r="BA441" s="3850"/>
      <c r="BB441" s="3850"/>
      <c r="BC441" s="3850"/>
      <c r="BD441" s="3850"/>
      <c r="BE441" s="3850"/>
      <c r="BF441" s="3850"/>
      <c r="BG441" s="3850"/>
      <c r="BH441" s="3850"/>
      <c r="BI441" s="3850"/>
      <c r="BJ441" s="3850"/>
      <c r="BK441" s="3850"/>
      <c r="BL441" s="3850"/>
      <c r="BM441" s="3850"/>
      <c r="BN441" s="3850"/>
      <c r="BO441" s="3850"/>
      <c r="BP441" s="3850"/>
      <c r="BQ441" s="3850"/>
      <c r="BR441" s="3850"/>
      <c r="BS441" s="3850"/>
      <c r="BT441" s="3850"/>
      <c r="BU441" s="3850"/>
      <c r="BV441" s="3850"/>
      <c r="BW441" s="3850"/>
      <c r="BX441" s="3850"/>
      <c r="BY441" s="3850"/>
      <c r="BZ441" s="3850"/>
      <c r="CA441" s="3850"/>
      <c r="CB441" s="3850"/>
      <c r="CC441" s="3850"/>
      <c r="CD441" s="3850"/>
      <c r="CE441" s="3850"/>
      <c r="CF441" s="3850"/>
      <c r="CG441" s="3850"/>
      <c r="CH441" s="3850"/>
      <c r="CI441" s="3850"/>
      <c r="CJ441" s="3850"/>
      <c r="CK441" s="3850"/>
      <c r="CL441" s="3850"/>
      <c r="CM441" s="3850"/>
      <c r="CN441" s="3850"/>
      <c r="CO441" s="3850"/>
      <c r="CP441" s="3850"/>
      <c r="CQ441" s="3850"/>
      <c r="CR441" s="3850"/>
      <c r="CS441" s="3850"/>
      <c r="CT441" s="3850"/>
      <c r="CU441" s="3850"/>
      <c r="CV441" s="3850"/>
      <c r="CW441" s="3850"/>
      <c r="CX441" s="3850"/>
      <c r="CY441" s="3850"/>
      <c r="CZ441" s="3850"/>
      <c r="DA441" s="3850"/>
      <c r="DB441" s="3850"/>
      <c r="DC441" s="3850"/>
      <c r="DD441" s="3850"/>
      <c r="DE441" s="3850"/>
      <c r="DF441" s="3850"/>
      <c r="DG441" s="3850"/>
      <c r="DH441" s="3850"/>
      <c r="DI441" s="3850"/>
      <c r="DJ441" s="3850"/>
      <c r="DK441" s="3850"/>
      <c r="DL441" s="3850"/>
      <c r="DM441" s="3850"/>
      <c r="DN441" s="3850"/>
      <c r="DO441" s="3850"/>
      <c r="DP441" s="3850"/>
      <c r="DQ441" s="3850"/>
      <c r="DR441" s="3850"/>
      <c r="DS441" s="3850"/>
      <c r="DT441" s="3850"/>
      <c r="DU441" s="3850"/>
      <c r="DV441" s="3850"/>
      <c r="DW441" s="3850"/>
      <c r="DX441" s="3850"/>
      <c r="DY441" s="3850"/>
      <c r="DZ441" s="3850"/>
      <c r="EA441" s="3850"/>
    </row>
    <row r="442" spans="1:131" s="3849" customFormat="1">
      <c r="A442" s="4063"/>
      <c r="B442" s="4064"/>
      <c r="C442" s="4067"/>
      <c r="D442" s="3874"/>
      <c r="E442" s="3883"/>
      <c r="F442" s="3874"/>
      <c r="G442" s="3875"/>
      <c r="H442" s="3874"/>
      <c r="I442" s="3875"/>
      <c r="J442" s="3874"/>
      <c r="K442" s="3875"/>
      <c r="L442" s="3874"/>
      <c r="N442" s="3846"/>
      <c r="O442" s="3850"/>
      <c r="P442" s="3848"/>
      <c r="Q442" s="3850"/>
      <c r="R442" s="3850"/>
      <c r="S442" s="3850"/>
      <c r="T442" s="3850"/>
      <c r="U442" s="3850"/>
      <c r="V442" s="3850"/>
      <c r="W442" s="3850"/>
      <c r="X442" s="3850"/>
      <c r="Y442" s="3850"/>
      <c r="Z442" s="3850"/>
      <c r="AA442" s="3850"/>
      <c r="AB442" s="3850"/>
      <c r="AC442" s="3850"/>
      <c r="AD442" s="3850"/>
      <c r="AE442" s="3850"/>
      <c r="AF442" s="3850"/>
      <c r="AG442" s="3850"/>
      <c r="AH442" s="3850"/>
      <c r="AI442" s="3850"/>
      <c r="AJ442" s="3850"/>
      <c r="AK442" s="3850"/>
      <c r="AL442" s="3850"/>
      <c r="AM442" s="3850"/>
      <c r="AN442" s="3850"/>
      <c r="AO442" s="3850"/>
      <c r="AP442" s="3850"/>
      <c r="AQ442" s="3850"/>
      <c r="AR442" s="3850"/>
      <c r="AS442" s="3850"/>
      <c r="AV442" s="3850"/>
      <c r="AX442" s="3850"/>
      <c r="AY442" s="3850"/>
      <c r="AZ442" s="3850"/>
      <c r="BA442" s="3850"/>
      <c r="BB442" s="3850"/>
      <c r="BC442" s="3850"/>
      <c r="BD442" s="3850"/>
      <c r="BE442" s="3850"/>
      <c r="BF442" s="3850"/>
      <c r="BG442" s="3850"/>
      <c r="BH442" s="3850"/>
      <c r="BI442" s="3850"/>
      <c r="BJ442" s="3850"/>
      <c r="BK442" s="3850"/>
      <c r="BL442" s="3850"/>
      <c r="BM442" s="3850"/>
      <c r="BN442" s="3850"/>
      <c r="BO442" s="3850"/>
      <c r="BP442" s="3850"/>
      <c r="BQ442" s="3850"/>
      <c r="BR442" s="3850"/>
      <c r="BS442" s="3850"/>
      <c r="BT442" s="3850"/>
      <c r="BU442" s="3850"/>
      <c r="BV442" s="3850"/>
      <c r="BW442" s="3850"/>
      <c r="BX442" s="3850"/>
      <c r="BY442" s="3850"/>
      <c r="BZ442" s="3850"/>
      <c r="CA442" s="3850"/>
      <c r="CB442" s="3850"/>
      <c r="CC442" s="3850"/>
      <c r="CD442" s="3850"/>
      <c r="CE442" s="3850"/>
      <c r="CF442" s="3850"/>
      <c r="CG442" s="3850"/>
      <c r="CH442" s="3850"/>
      <c r="CI442" s="3850"/>
      <c r="CJ442" s="3850"/>
      <c r="CK442" s="3850"/>
      <c r="CL442" s="3850"/>
      <c r="CM442" s="3850"/>
      <c r="CN442" s="3850"/>
      <c r="CO442" s="3850"/>
      <c r="CP442" s="3850"/>
      <c r="CQ442" s="3850"/>
      <c r="CR442" s="3850"/>
      <c r="CS442" s="3850"/>
      <c r="CT442" s="3850"/>
      <c r="CU442" s="3850"/>
      <c r="CV442" s="3850"/>
      <c r="CW442" s="3850"/>
      <c r="CX442" s="3850"/>
      <c r="CY442" s="3850"/>
      <c r="CZ442" s="3850"/>
      <c r="DA442" s="3850"/>
      <c r="DB442" s="3850"/>
      <c r="DC442" s="3850"/>
      <c r="DD442" s="3850"/>
      <c r="DE442" s="3850"/>
      <c r="DF442" s="3850"/>
      <c r="DG442" s="3850"/>
      <c r="DH442" s="3850"/>
      <c r="DI442" s="3850"/>
      <c r="DJ442" s="3850"/>
      <c r="DK442" s="3850"/>
      <c r="DL442" s="3850"/>
      <c r="DM442" s="3850"/>
      <c r="DN442" s="3850"/>
      <c r="DO442" s="3850"/>
      <c r="DP442" s="3850"/>
      <c r="DQ442" s="3850"/>
      <c r="DR442" s="3850"/>
      <c r="DS442" s="3850"/>
      <c r="DT442" s="3850"/>
      <c r="DU442" s="3850"/>
      <c r="DV442" s="3850"/>
      <c r="DW442" s="3850"/>
      <c r="DX442" s="3850"/>
      <c r="DY442" s="3850"/>
      <c r="DZ442" s="3850"/>
      <c r="EA442" s="3850"/>
    </row>
    <row r="443" spans="1:131" s="3849" customFormat="1">
      <c r="A443" s="4063"/>
      <c r="B443" s="4064"/>
      <c r="C443" s="4067"/>
      <c r="D443" s="3874"/>
      <c r="E443" s="3883"/>
      <c r="F443" s="3874"/>
      <c r="G443" s="3875"/>
      <c r="H443" s="3874"/>
      <c r="I443" s="3875"/>
      <c r="J443" s="3874"/>
      <c r="K443" s="3875"/>
      <c r="L443" s="3874"/>
      <c r="N443" s="3846"/>
      <c r="O443" s="3850"/>
      <c r="P443" s="3848"/>
      <c r="Q443" s="3850"/>
      <c r="R443" s="3850"/>
      <c r="S443" s="3850"/>
      <c r="T443" s="3850"/>
      <c r="U443" s="3850"/>
      <c r="V443" s="3850"/>
      <c r="W443" s="3850"/>
      <c r="X443" s="3850"/>
      <c r="Y443" s="3850"/>
      <c r="Z443" s="3850"/>
      <c r="AA443" s="3850"/>
      <c r="AB443" s="3850"/>
      <c r="AC443" s="3850"/>
      <c r="AD443" s="3850"/>
      <c r="AE443" s="3850"/>
      <c r="AF443" s="3850"/>
      <c r="AG443" s="3850"/>
      <c r="AH443" s="3850"/>
      <c r="AI443" s="3850"/>
      <c r="AJ443" s="3850"/>
      <c r="AK443" s="3850"/>
      <c r="AL443" s="3850"/>
      <c r="AM443" s="3850"/>
      <c r="AN443" s="3850"/>
      <c r="AO443" s="3850"/>
      <c r="AP443" s="3850"/>
      <c r="AQ443" s="3850"/>
      <c r="AR443" s="3850"/>
      <c r="AS443" s="3850"/>
      <c r="AV443" s="3850"/>
      <c r="AX443" s="3850"/>
      <c r="AY443" s="3850"/>
      <c r="AZ443" s="3850"/>
      <c r="BA443" s="3850"/>
      <c r="BB443" s="3850"/>
      <c r="BC443" s="3850"/>
      <c r="BD443" s="3850"/>
      <c r="BE443" s="3850"/>
      <c r="BF443" s="3850"/>
      <c r="BG443" s="3850"/>
      <c r="BH443" s="3850"/>
      <c r="BI443" s="3850"/>
      <c r="BJ443" s="3850"/>
      <c r="BK443" s="3850"/>
      <c r="BL443" s="3850"/>
      <c r="BM443" s="3850"/>
      <c r="BN443" s="3850"/>
      <c r="BO443" s="3850"/>
      <c r="BP443" s="3850"/>
      <c r="BQ443" s="3850"/>
      <c r="BR443" s="3850"/>
      <c r="BS443" s="3850"/>
      <c r="BT443" s="3850"/>
      <c r="BU443" s="3850"/>
      <c r="BV443" s="3850"/>
      <c r="BW443" s="3850"/>
      <c r="BX443" s="3850"/>
      <c r="BY443" s="3850"/>
      <c r="BZ443" s="3850"/>
      <c r="CA443" s="3850"/>
      <c r="CB443" s="3850"/>
      <c r="CC443" s="3850"/>
      <c r="CD443" s="3850"/>
      <c r="CE443" s="3850"/>
      <c r="CF443" s="3850"/>
      <c r="CG443" s="3850"/>
      <c r="CH443" s="3850"/>
      <c r="CI443" s="3850"/>
      <c r="CJ443" s="3850"/>
      <c r="CK443" s="3850"/>
      <c r="CL443" s="3850"/>
      <c r="CM443" s="3850"/>
      <c r="CN443" s="3850"/>
      <c r="CO443" s="3850"/>
      <c r="CP443" s="3850"/>
      <c r="CQ443" s="3850"/>
      <c r="CR443" s="3850"/>
      <c r="CS443" s="3850"/>
      <c r="CT443" s="3850"/>
      <c r="CU443" s="3850"/>
      <c r="CV443" s="3850"/>
      <c r="CW443" s="3850"/>
      <c r="CX443" s="3850"/>
      <c r="CY443" s="3850"/>
      <c r="CZ443" s="3850"/>
      <c r="DA443" s="3850"/>
      <c r="DB443" s="3850"/>
      <c r="DC443" s="3850"/>
      <c r="DD443" s="3850"/>
      <c r="DE443" s="3850"/>
      <c r="DF443" s="3850"/>
      <c r="DG443" s="3850"/>
      <c r="DH443" s="3850"/>
      <c r="DI443" s="3850"/>
      <c r="DJ443" s="3850"/>
      <c r="DK443" s="3850"/>
      <c r="DL443" s="3850"/>
      <c r="DM443" s="3850"/>
      <c r="DN443" s="3850"/>
      <c r="DO443" s="3850"/>
      <c r="DP443" s="3850"/>
      <c r="DQ443" s="3850"/>
      <c r="DR443" s="3850"/>
      <c r="DS443" s="3850"/>
      <c r="DT443" s="3850"/>
      <c r="DU443" s="3850"/>
      <c r="DV443" s="3850"/>
      <c r="DW443" s="3850"/>
      <c r="DX443" s="3850"/>
      <c r="DY443" s="3850"/>
      <c r="DZ443" s="3850"/>
      <c r="EA443" s="3850"/>
    </row>
    <row r="444" spans="1:131" s="3849" customFormat="1">
      <c r="A444" s="4063"/>
      <c r="B444" s="4064"/>
      <c r="C444" s="4067"/>
      <c r="D444" s="3874"/>
      <c r="E444" s="3883"/>
      <c r="F444" s="3874"/>
      <c r="G444" s="3875"/>
      <c r="H444" s="3874"/>
      <c r="I444" s="3875"/>
      <c r="J444" s="3874"/>
      <c r="K444" s="3875"/>
      <c r="L444" s="3874"/>
      <c r="N444" s="3846"/>
      <c r="O444" s="3850"/>
      <c r="P444" s="3848"/>
      <c r="Q444" s="3850"/>
      <c r="R444" s="3850"/>
      <c r="S444" s="3850"/>
      <c r="T444" s="3850"/>
      <c r="U444" s="3850"/>
      <c r="V444" s="3850"/>
      <c r="W444" s="3850"/>
      <c r="X444" s="3850"/>
      <c r="Y444" s="3850"/>
      <c r="Z444" s="3850"/>
      <c r="AA444" s="3850"/>
      <c r="AB444" s="3850"/>
      <c r="AC444" s="3850"/>
      <c r="AD444" s="3850"/>
      <c r="AE444" s="3850"/>
      <c r="AF444" s="3850"/>
      <c r="AG444" s="3850"/>
      <c r="AH444" s="3850"/>
      <c r="AI444" s="3850"/>
      <c r="AJ444" s="3850"/>
      <c r="AK444" s="3850"/>
      <c r="AL444" s="3850"/>
      <c r="AM444" s="3850"/>
      <c r="AN444" s="3850"/>
      <c r="AO444" s="3850"/>
      <c r="AP444" s="3850"/>
      <c r="AQ444" s="3850"/>
      <c r="AR444" s="3850"/>
      <c r="AS444" s="3850"/>
      <c r="AV444" s="3850"/>
      <c r="AX444" s="3850"/>
      <c r="AY444" s="3850"/>
      <c r="AZ444" s="3850"/>
      <c r="BA444" s="3850"/>
      <c r="BB444" s="3850"/>
      <c r="BC444" s="3850"/>
      <c r="BD444" s="3850"/>
      <c r="BE444" s="3850"/>
      <c r="BF444" s="3850"/>
      <c r="BG444" s="3850"/>
      <c r="BH444" s="3850"/>
      <c r="BI444" s="3850"/>
      <c r="BJ444" s="3850"/>
      <c r="BK444" s="3850"/>
      <c r="BL444" s="3850"/>
      <c r="BM444" s="3850"/>
      <c r="BN444" s="3850"/>
      <c r="BO444" s="3850"/>
      <c r="BP444" s="3850"/>
      <c r="BQ444" s="3850"/>
      <c r="BR444" s="3850"/>
      <c r="BS444" s="3850"/>
      <c r="BT444" s="3850"/>
      <c r="BU444" s="3850"/>
      <c r="BV444" s="3850"/>
      <c r="BW444" s="3850"/>
      <c r="BX444" s="3850"/>
      <c r="BY444" s="3850"/>
      <c r="BZ444" s="3850"/>
      <c r="CA444" s="3850"/>
      <c r="CB444" s="3850"/>
      <c r="CC444" s="3850"/>
      <c r="CD444" s="3850"/>
      <c r="CE444" s="3850"/>
      <c r="CF444" s="3850"/>
      <c r="CG444" s="3850"/>
      <c r="CH444" s="3850"/>
      <c r="CI444" s="3850"/>
      <c r="CJ444" s="3850"/>
      <c r="CK444" s="3850"/>
      <c r="CL444" s="3850"/>
      <c r="CM444" s="3850"/>
      <c r="CN444" s="3850"/>
      <c r="CO444" s="3850"/>
      <c r="CP444" s="3850"/>
      <c r="CQ444" s="3850"/>
      <c r="CR444" s="3850"/>
      <c r="CS444" s="3850"/>
      <c r="CT444" s="3850"/>
      <c r="CU444" s="3850"/>
      <c r="CV444" s="3850"/>
      <c r="CW444" s="3850"/>
      <c r="CX444" s="3850"/>
      <c r="CY444" s="3850"/>
      <c r="CZ444" s="3850"/>
      <c r="DA444" s="3850"/>
      <c r="DB444" s="3850"/>
      <c r="DC444" s="3850"/>
      <c r="DD444" s="3850"/>
      <c r="DE444" s="3850"/>
      <c r="DF444" s="3850"/>
      <c r="DG444" s="3850"/>
      <c r="DH444" s="3850"/>
      <c r="DI444" s="3850"/>
      <c r="DJ444" s="3850"/>
      <c r="DK444" s="3850"/>
      <c r="DL444" s="3850"/>
      <c r="DM444" s="3850"/>
      <c r="DN444" s="3850"/>
      <c r="DO444" s="3850"/>
      <c r="DP444" s="3850"/>
      <c r="DQ444" s="3850"/>
      <c r="DR444" s="3850"/>
      <c r="DS444" s="3850"/>
      <c r="DT444" s="3850"/>
      <c r="DU444" s="3850"/>
      <c r="DV444" s="3850"/>
      <c r="DW444" s="3850"/>
      <c r="DX444" s="3850"/>
      <c r="DY444" s="3850"/>
      <c r="DZ444" s="3850"/>
      <c r="EA444" s="3850"/>
    </row>
    <row r="445" spans="1:131" s="3849" customFormat="1">
      <c r="A445" s="4063"/>
      <c r="B445" s="4064"/>
      <c r="C445" s="4067"/>
      <c r="D445" s="3874"/>
      <c r="E445" s="3883"/>
      <c r="F445" s="3874"/>
      <c r="G445" s="3875"/>
      <c r="H445" s="3874"/>
      <c r="I445" s="3875"/>
      <c r="J445" s="3874"/>
      <c r="K445" s="3875"/>
      <c r="L445" s="3874"/>
      <c r="N445" s="3846"/>
      <c r="O445" s="3850"/>
      <c r="P445" s="3848"/>
      <c r="Q445" s="3850"/>
      <c r="R445" s="3850"/>
      <c r="S445" s="3850"/>
      <c r="T445" s="3850"/>
      <c r="U445" s="3850"/>
      <c r="V445" s="3850"/>
      <c r="W445" s="3850"/>
      <c r="X445" s="3850"/>
      <c r="Y445" s="3850"/>
      <c r="Z445" s="3850"/>
      <c r="AA445" s="3850"/>
      <c r="AB445" s="3850"/>
      <c r="AC445" s="3850"/>
      <c r="AD445" s="3850"/>
      <c r="AE445" s="3850"/>
      <c r="AF445" s="3850"/>
      <c r="AG445" s="3850"/>
      <c r="AH445" s="3850"/>
      <c r="AI445" s="3850"/>
      <c r="AJ445" s="3850"/>
      <c r="AK445" s="3850"/>
      <c r="AL445" s="3850"/>
      <c r="AM445" s="3850"/>
      <c r="AN445" s="3850"/>
      <c r="AO445" s="3850"/>
      <c r="AP445" s="3850"/>
      <c r="AQ445" s="3850"/>
      <c r="AR445" s="3850"/>
      <c r="AS445" s="3850"/>
      <c r="AV445" s="3850"/>
      <c r="AX445" s="3850"/>
      <c r="AY445" s="3850"/>
      <c r="AZ445" s="3850"/>
      <c r="BA445" s="3850"/>
      <c r="BB445" s="3850"/>
      <c r="BC445" s="3850"/>
      <c r="BD445" s="3850"/>
      <c r="BE445" s="3850"/>
      <c r="BF445" s="3850"/>
      <c r="BG445" s="3850"/>
      <c r="BH445" s="3850"/>
      <c r="BI445" s="3850"/>
      <c r="BJ445" s="3850"/>
      <c r="BK445" s="3850"/>
      <c r="BL445" s="3850"/>
      <c r="BM445" s="3850"/>
      <c r="BN445" s="3850"/>
      <c r="BO445" s="3850"/>
      <c r="BP445" s="3850"/>
      <c r="BQ445" s="3850"/>
      <c r="BR445" s="3850"/>
      <c r="BS445" s="3850"/>
      <c r="BT445" s="3850"/>
      <c r="BU445" s="3850"/>
      <c r="BV445" s="3850"/>
      <c r="BW445" s="3850"/>
      <c r="BX445" s="3850"/>
      <c r="BY445" s="3850"/>
      <c r="BZ445" s="3850"/>
      <c r="CA445" s="3850"/>
      <c r="CB445" s="3850"/>
      <c r="CC445" s="3850"/>
      <c r="CD445" s="3850"/>
      <c r="CE445" s="3850"/>
      <c r="CF445" s="3850"/>
      <c r="CG445" s="3850"/>
      <c r="CH445" s="3850"/>
      <c r="CI445" s="3850"/>
      <c r="CJ445" s="3850"/>
      <c r="CK445" s="3850"/>
      <c r="CL445" s="3850"/>
      <c r="CM445" s="3850"/>
      <c r="CN445" s="3850"/>
      <c r="CO445" s="3850"/>
      <c r="CP445" s="3850"/>
      <c r="CQ445" s="3850"/>
      <c r="CR445" s="3850"/>
      <c r="CS445" s="3850"/>
      <c r="CT445" s="3850"/>
      <c r="CU445" s="3850"/>
      <c r="CV445" s="3850"/>
      <c r="CW445" s="3850"/>
      <c r="CX445" s="3850"/>
      <c r="CY445" s="3850"/>
      <c r="CZ445" s="3850"/>
      <c r="DA445" s="3850"/>
      <c r="DB445" s="3850"/>
      <c r="DC445" s="3850"/>
      <c r="DD445" s="3850"/>
      <c r="DE445" s="3850"/>
      <c r="DF445" s="3850"/>
      <c r="DG445" s="3850"/>
      <c r="DH445" s="3850"/>
      <c r="DI445" s="3850"/>
      <c r="DJ445" s="3850"/>
      <c r="DK445" s="3850"/>
      <c r="DL445" s="3850"/>
      <c r="DM445" s="3850"/>
      <c r="DN445" s="3850"/>
      <c r="DO445" s="3850"/>
      <c r="DP445" s="3850"/>
      <c r="DQ445" s="3850"/>
      <c r="DR445" s="3850"/>
      <c r="DS445" s="3850"/>
      <c r="DT445" s="3850"/>
      <c r="DU445" s="3850"/>
      <c r="DV445" s="3850"/>
      <c r="DW445" s="3850"/>
      <c r="DX445" s="3850"/>
      <c r="DY445" s="3850"/>
      <c r="DZ445" s="3850"/>
      <c r="EA445" s="3850"/>
    </row>
    <row r="446" spans="1:131" s="3849" customFormat="1">
      <c r="A446" s="4063"/>
      <c r="B446" s="4064"/>
      <c r="C446" s="4067"/>
      <c r="D446" s="3874"/>
      <c r="E446" s="3883"/>
      <c r="F446" s="3874"/>
      <c r="G446" s="3875"/>
      <c r="H446" s="3874"/>
      <c r="I446" s="3875"/>
      <c r="J446" s="3874"/>
      <c r="K446" s="3875"/>
      <c r="L446" s="3874"/>
      <c r="N446" s="3846"/>
      <c r="O446" s="3850"/>
      <c r="P446" s="3848"/>
      <c r="Q446" s="3850"/>
      <c r="R446" s="3850"/>
      <c r="S446" s="3850"/>
      <c r="T446" s="3850"/>
      <c r="U446" s="3850"/>
      <c r="V446" s="3850"/>
      <c r="W446" s="3850"/>
      <c r="X446" s="3850"/>
      <c r="Y446" s="3850"/>
      <c r="Z446" s="3850"/>
      <c r="AA446" s="3850"/>
      <c r="AB446" s="3850"/>
      <c r="AC446" s="3850"/>
      <c r="AD446" s="3850"/>
      <c r="AE446" s="3850"/>
      <c r="AF446" s="3850"/>
      <c r="AG446" s="3850"/>
      <c r="AH446" s="3850"/>
      <c r="AI446" s="3850"/>
      <c r="AJ446" s="3850"/>
      <c r="AK446" s="3850"/>
      <c r="AL446" s="3850"/>
      <c r="AM446" s="3850"/>
      <c r="AN446" s="3850"/>
      <c r="AO446" s="3850"/>
      <c r="AP446" s="3850"/>
      <c r="AQ446" s="3850"/>
      <c r="AR446" s="3850"/>
      <c r="AS446" s="3850"/>
      <c r="AV446" s="3850"/>
      <c r="AX446" s="3850"/>
      <c r="AY446" s="3850"/>
      <c r="AZ446" s="3850"/>
      <c r="BA446" s="3850"/>
      <c r="BB446" s="3850"/>
      <c r="BC446" s="3850"/>
      <c r="BD446" s="3850"/>
      <c r="BE446" s="3850"/>
      <c r="BF446" s="3850"/>
      <c r="BG446" s="3850"/>
      <c r="BH446" s="3850"/>
      <c r="BI446" s="3850"/>
      <c r="BJ446" s="3850"/>
      <c r="BK446" s="3850"/>
      <c r="BL446" s="3850"/>
      <c r="BM446" s="3850"/>
      <c r="BN446" s="3850"/>
      <c r="BO446" s="3850"/>
      <c r="BP446" s="3850"/>
      <c r="BQ446" s="3850"/>
      <c r="BR446" s="3850"/>
      <c r="BS446" s="3850"/>
      <c r="BT446" s="3850"/>
      <c r="BU446" s="3850"/>
      <c r="BV446" s="3850"/>
      <c r="BW446" s="3850"/>
      <c r="BX446" s="3850"/>
      <c r="BY446" s="3850"/>
      <c r="BZ446" s="3850"/>
      <c r="CA446" s="3850"/>
      <c r="CB446" s="3850"/>
      <c r="CC446" s="3850"/>
      <c r="CD446" s="3850"/>
      <c r="CE446" s="3850"/>
      <c r="CF446" s="3850"/>
      <c r="CG446" s="3850"/>
      <c r="CH446" s="3850"/>
      <c r="CI446" s="3850"/>
      <c r="CJ446" s="3850"/>
      <c r="CK446" s="3850"/>
      <c r="CL446" s="3850"/>
      <c r="CM446" s="3850"/>
      <c r="CN446" s="3850"/>
      <c r="CO446" s="3850"/>
      <c r="CP446" s="3850"/>
      <c r="CQ446" s="3850"/>
      <c r="CR446" s="3850"/>
      <c r="CS446" s="3850"/>
      <c r="CT446" s="3850"/>
      <c r="CU446" s="3850"/>
      <c r="CV446" s="3850"/>
      <c r="CW446" s="3850"/>
      <c r="CX446" s="3850"/>
      <c r="CY446" s="3850"/>
      <c r="CZ446" s="3850"/>
      <c r="DA446" s="3850"/>
      <c r="DB446" s="3850"/>
      <c r="DC446" s="3850"/>
      <c r="DD446" s="3850"/>
      <c r="DE446" s="3850"/>
      <c r="DF446" s="3850"/>
      <c r="DG446" s="3850"/>
      <c r="DH446" s="3850"/>
      <c r="DI446" s="3850"/>
      <c r="DJ446" s="3850"/>
      <c r="DK446" s="3850"/>
      <c r="DL446" s="3850"/>
      <c r="DM446" s="3850"/>
      <c r="DN446" s="3850"/>
      <c r="DO446" s="3850"/>
      <c r="DP446" s="3850"/>
      <c r="DQ446" s="3850"/>
      <c r="DR446" s="3850"/>
      <c r="DS446" s="3850"/>
      <c r="DT446" s="3850"/>
      <c r="DU446" s="3850"/>
      <c r="DV446" s="3850"/>
      <c r="DW446" s="3850"/>
      <c r="DX446" s="3850"/>
      <c r="DY446" s="3850"/>
      <c r="DZ446" s="3850"/>
      <c r="EA446" s="3850"/>
    </row>
    <row r="447" spans="1:131" s="3849" customFormat="1">
      <c r="A447" s="4063"/>
      <c r="B447" s="4064"/>
      <c r="C447" s="4067"/>
      <c r="D447" s="3874"/>
      <c r="E447" s="3883"/>
      <c r="F447" s="3874"/>
      <c r="G447" s="3875"/>
      <c r="H447" s="3874"/>
      <c r="I447" s="3875"/>
      <c r="J447" s="3874"/>
      <c r="K447" s="3875"/>
      <c r="L447" s="3874"/>
      <c r="N447" s="3846"/>
      <c r="O447" s="3850"/>
      <c r="P447" s="3848"/>
      <c r="Q447" s="3850"/>
      <c r="R447" s="3850"/>
      <c r="S447" s="3850"/>
      <c r="T447" s="3850"/>
      <c r="U447" s="3850"/>
      <c r="V447" s="3850"/>
      <c r="W447" s="3850"/>
      <c r="X447" s="3850"/>
      <c r="Y447" s="3850"/>
      <c r="Z447" s="3850"/>
      <c r="AA447" s="3850"/>
      <c r="AB447" s="3850"/>
      <c r="AC447" s="3850"/>
      <c r="AD447" s="3850"/>
      <c r="AE447" s="3850"/>
      <c r="AF447" s="3850"/>
      <c r="AG447" s="3850"/>
      <c r="AH447" s="3850"/>
      <c r="AI447" s="3850"/>
      <c r="AJ447" s="3850"/>
      <c r="AK447" s="3850"/>
      <c r="AL447" s="3850"/>
      <c r="AM447" s="3850"/>
      <c r="AN447" s="3850"/>
      <c r="AO447" s="3850"/>
      <c r="AP447" s="3850"/>
      <c r="AQ447" s="3850"/>
      <c r="AR447" s="3850"/>
      <c r="AS447" s="3850"/>
      <c r="AV447" s="3850"/>
      <c r="AX447" s="3850"/>
      <c r="AY447" s="3850"/>
      <c r="AZ447" s="3850"/>
      <c r="BA447" s="3850"/>
      <c r="BB447" s="3850"/>
      <c r="BC447" s="3850"/>
      <c r="BD447" s="3850"/>
      <c r="BE447" s="3850"/>
      <c r="BF447" s="3850"/>
      <c r="BG447" s="3850"/>
      <c r="BH447" s="3850"/>
      <c r="BI447" s="3850"/>
      <c r="BJ447" s="3850"/>
      <c r="BK447" s="3850"/>
      <c r="BL447" s="3850"/>
      <c r="BM447" s="3850"/>
      <c r="BN447" s="3850"/>
      <c r="BO447" s="3850"/>
      <c r="BP447" s="3850"/>
      <c r="BQ447" s="3850"/>
      <c r="BR447" s="3850"/>
      <c r="BS447" s="3850"/>
      <c r="BT447" s="3850"/>
      <c r="BU447" s="3850"/>
      <c r="BV447" s="3850"/>
      <c r="BW447" s="3850"/>
      <c r="BX447" s="3850"/>
      <c r="BY447" s="3850"/>
      <c r="BZ447" s="3850"/>
      <c r="CA447" s="3850"/>
      <c r="CB447" s="3850"/>
      <c r="CC447" s="3850"/>
      <c r="CD447" s="3850"/>
      <c r="CE447" s="3850"/>
      <c r="CF447" s="3850"/>
      <c r="CG447" s="3850"/>
      <c r="CH447" s="3850"/>
      <c r="CI447" s="3850"/>
      <c r="CJ447" s="3850"/>
      <c r="CK447" s="3850"/>
      <c r="CL447" s="3850"/>
      <c r="CM447" s="3850"/>
      <c r="CN447" s="3850"/>
      <c r="CO447" s="3850"/>
      <c r="CP447" s="3850"/>
      <c r="CQ447" s="3850"/>
      <c r="CR447" s="3850"/>
      <c r="CS447" s="3850"/>
      <c r="CT447" s="3850"/>
      <c r="CU447" s="3850"/>
      <c r="CV447" s="3850"/>
      <c r="CW447" s="3850"/>
      <c r="CX447" s="3850"/>
      <c r="CY447" s="3850"/>
      <c r="CZ447" s="3850"/>
      <c r="DA447" s="3850"/>
      <c r="DB447" s="3850"/>
      <c r="DC447" s="3850"/>
      <c r="DD447" s="3850"/>
      <c r="DE447" s="3850"/>
      <c r="DF447" s="3850"/>
      <c r="DG447" s="3850"/>
      <c r="DH447" s="3850"/>
      <c r="DI447" s="3850"/>
      <c r="DJ447" s="3850"/>
      <c r="DK447" s="3850"/>
      <c r="DL447" s="3850"/>
      <c r="DM447" s="3850"/>
      <c r="DN447" s="3850"/>
      <c r="DO447" s="3850"/>
      <c r="DP447" s="3850"/>
      <c r="DQ447" s="3850"/>
      <c r="DR447" s="3850"/>
      <c r="DS447" s="3850"/>
      <c r="DT447" s="3850"/>
      <c r="DU447" s="3850"/>
      <c r="DV447" s="3850"/>
      <c r="DW447" s="3850"/>
      <c r="DX447" s="3850"/>
      <c r="DY447" s="3850"/>
      <c r="DZ447" s="3850"/>
      <c r="EA447" s="3850"/>
    </row>
    <row r="448" spans="1:131" s="3849" customFormat="1">
      <c r="A448" s="4063"/>
      <c r="B448" s="4064"/>
      <c r="C448" s="4067"/>
      <c r="D448" s="3874"/>
      <c r="E448" s="3883"/>
      <c r="F448" s="3874"/>
      <c r="G448" s="3875"/>
      <c r="H448" s="3874"/>
      <c r="I448" s="3875"/>
      <c r="J448" s="3874"/>
      <c r="K448" s="3875"/>
      <c r="L448" s="3874"/>
      <c r="N448" s="3846"/>
      <c r="O448" s="3850"/>
      <c r="P448" s="3848"/>
      <c r="Q448" s="3850"/>
      <c r="R448" s="3850"/>
      <c r="S448" s="3850"/>
      <c r="T448" s="3850"/>
      <c r="U448" s="3850"/>
      <c r="V448" s="3850"/>
      <c r="W448" s="3850"/>
      <c r="X448" s="3850"/>
      <c r="Y448" s="3850"/>
      <c r="Z448" s="3850"/>
      <c r="AA448" s="3850"/>
      <c r="AB448" s="3850"/>
      <c r="AC448" s="3850"/>
      <c r="AD448" s="3850"/>
      <c r="AE448" s="3850"/>
      <c r="AF448" s="3850"/>
      <c r="AG448" s="3850"/>
      <c r="AH448" s="3850"/>
      <c r="AI448" s="3850"/>
      <c r="AJ448" s="3850"/>
      <c r="AK448" s="3850"/>
      <c r="AL448" s="3850"/>
      <c r="AM448" s="3850"/>
      <c r="AN448" s="3850"/>
      <c r="AO448" s="3850"/>
      <c r="AP448" s="3850"/>
      <c r="AQ448" s="3850"/>
      <c r="AR448" s="3850"/>
      <c r="AS448" s="3850"/>
      <c r="AV448" s="3850"/>
      <c r="AX448" s="3850"/>
      <c r="AY448" s="3850"/>
      <c r="AZ448" s="3850"/>
      <c r="BA448" s="3850"/>
      <c r="BB448" s="3850"/>
      <c r="BC448" s="3850"/>
      <c r="BD448" s="3850"/>
      <c r="BE448" s="3850"/>
      <c r="BF448" s="3850"/>
      <c r="BG448" s="3850"/>
      <c r="BH448" s="3850"/>
      <c r="BI448" s="3850"/>
      <c r="BJ448" s="3850"/>
      <c r="BK448" s="3850"/>
      <c r="BL448" s="3850"/>
      <c r="BM448" s="3850"/>
      <c r="BN448" s="3850"/>
      <c r="BO448" s="3850"/>
      <c r="BP448" s="3850"/>
      <c r="BQ448" s="3850"/>
      <c r="BR448" s="3850"/>
      <c r="BS448" s="3850"/>
      <c r="BT448" s="3850"/>
      <c r="BU448" s="3850"/>
      <c r="BV448" s="3850"/>
      <c r="BW448" s="3850"/>
      <c r="BX448" s="3850"/>
      <c r="BY448" s="3850"/>
      <c r="BZ448" s="3850"/>
      <c r="CA448" s="3850"/>
      <c r="CB448" s="3850"/>
      <c r="CC448" s="3850"/>
      <c r="CD448" s="3850"/>
      <c r="CE448" s="3850"/>
      <c r="CF448" s="3850"/>
      <c r="CG448" s="3850"/>
      <c r="CH448" s="3850"/>
      <c r="CI448" s="3850"/>
      <c r="CJ448" s="3850"/>
      <c r="CK448" s="3850"/>
      <c r="CL448" s="3850"/>
      <c r="CM448" s="3850"/>
      <c r="CN448" s="3850"/>
      <c r="CO448" s="3850"/>
      <c r="CP448" s="3850"/>
      <c r="CQ448" s="3850"/>
      <c r="CR448" s="3850"/>
      <c r="CS448" s="3850"/>
      <c r="CT448" s="3850"/>
      <c r="CU448" s="3850"/>
      <c r="CV448" s="3850"/>
      <c r="CW448" s="3850"/>
      <c r="CX448" s="3850"/>
      <c r="CY448" s="3850"/>
      <c r="CZ448" s="3850"/>
      <c r="DA448" s="3850"/>
      <c r="DB448" s="3850"/>
      <c r="DC448" s="3850"/>
      <c r="DD448" s="3850"/>
      <c r="DE448" s="3850"/>
      <c r="DF448" s="3850"/>
      <c r="DG448" s="3850"/>
      <c r="DH448" s="3850"/>
      <c r="DI448" s="3850"/>
      <c r="DJ448" s="3850"/>
      <c r="DK448" s="3850"/>
      <c r="DL448" s="3850"/>
      <c r="DM448" s="3850"/>
      <c r="DN448" s="3850"/>
      <c r="DO448" s="3850"/>
      <c r="DP448" s="3850"/>
      <c r="DQ448" s="3850"/>
      <c r="DR448" s="3850"/>
      <c r="DS448" s="3850"/>
      <c r="DT448" s="3850"/>
      <c r="DU448" s="3850"/>
      <c r="DV448" s="3850"/>
      <c r="DW448" s="3850"/>
      <c r="DX448" s="3850"/>
      <c r="DY448" s="3850"/>
      <c r="DZ448" s="3850"/>
      <c r="EA448" s="3850"/>
    </row>
    <row r="449" spans="1:131" s="3849" customFormat="1">
      <c r="A449" s="4063"/>
      <c r="B449" s="4064"/>
      <c r="C449" s="4067"/>
      <c r="D449" s="3874"/>
      <c r="E449" s="3883"/>
      <c r="F449" s="3874"/>
      <c r="G449" s="3875"/>
      <c r="H449" s="3874"/>
      <c r="I449" s="3875"/>
      <c r="J449" s="3874"/>
      <c r="K449" s="3875"/>
      <c r="L449" s="3874"/>
      <c r="N449" s="3846"/>
      <c r="O449" s="3850"/>
      <c r="P449" s="3848"/>
      <c r="Q449" s="3850"/>
      <c r="R449" s="3850"/>
      <c r="S449" s="3850"/>
      <c r="T449" s="3850"/>
      <c r="U449" s="3850"/>
      <c r="V449" s="3850"/>
      <c r="W449" s="3850"/>
      <c r="X449" s="3850"/>
      <c r="Y449" s="3850"/>
      <c r="Z449" s="3850"/>
      <c r="AA449" s="3850"/>
      <c r="AB449" s="3850"/>
      <c r="AC449" s="3850"/>
      <c r="AD449" s="3850"/>
      <c r="AE449" s="3850"/>
      <c r="AF449" s="3850"/>
      <c r="AG449" s="3850"/>
      <c r="AH449" s="3850"/>
      <c r="AI449" s="3850"/>
      <c r="AJ449" s="3850"/>
      <c r="AK449" s="3850"/>
      <c r="AL449" s="3850"/>
      <c r="AM449" s="3850"/>
      <c r="AN449" s="3850"/>
      <c r="AO449" s="3850"/>
      <c r="AP449" s="3850"/>
      <c r="AQ449" s="3850"/>
      <c r="AR449" s="3850"/>
      <c r="AS449" s="3850"/>
      <c r="AV449" s="3850"/>
      <c r="AX449" s="3850"/>
      <c r="AY449" s="3850"/>
      <c r="AZ449" s="3850"/>
      <c r="BA449" s="3850"/>
      <c r="BB449" s="3850"/>
      <c r="BC449" s="3850"/>
      <c r="BD449" s="3850"/>
      <c r="BE449" s="3850"/>
      <c r="BF449" s="3850"/>
      <c r="BG449" s="3850"/>
      <c r="BH449" s="3850"/>
      <c r="BI449" s="3850"/>
      <c r="BJ449" s="3850"/>
      <c r="BK449" s="3850"/>
      <c r="BL449" s="3850"/>
      <c r="BM449" s="3850"/>
      <c r="BN449" s="3850"/>
      <c r="BO449" s="3850"/>
      <c r="BP449" s="3850"/>
      <c r="BQ449" s="3850"/>
      <c r="BR449" s="3850"/>
      <c r="BS449" s="3850"/>
      <c r="BT449" s="3850"/>
      <c r="BU449" s="3850"/>
      <c r="BV449" s="3850"/>
      <c r="BW449" s="3850"/>
      <c r="BX449" s="3850"/>
      <c r="BY449" s="3850"/>
      <c r="BZ449" s="3850"/>
      <c r="CA449" s="3850"/>
      <c r="CB449" s="3850"/>
      <c r="CC449" s="3850"/>
      <c r="CD449" s="3850"/>
      <c r="CE449" s="3850"/>
      <c r="CF449" s="3850"/>
      <c r="CG449" s="3850"/>
      <c r="CH449" s="3850"/>
      <c r="CI449" s="3850"/>
      <c r="CJ449" s="3850"/>
      <c r="CK449" s="3850"/>
      <c r="CL449" s="3850"/>
      <c r="CM449" s="3850"/>
      <c r="CN449" s="3850"/>
      <c r="CO449" s="3850"/>
      <c r="CP449" s="3850"/>
      <c r="CQ449" s="3850"/>
      <c r="CR449" s="3850"/>
      <c r="CS449" s="3850"/>
      <c r="CT449" s="3850"/>
      <c r="CU449" s="3850"/>
      <c r="CV449" s="3850"/>
      <c r="CW449" s="3850"/>
      <c r="CX449" s="3850"/>
      <c r="CY449" s="3850"/>
      <c r="CZ449" s="3850"/>
      <c r="DA449" s="3850"/>
      <c r="DB449" s="3850"/>
      <c r="DC449" s="3850"/>
      <c r="DD449" s="3850"/>
      <c r="DE449" s="3850"/>
      <c r="DF449" s="3850"/>
      <c r="DG449" s="3850"/>
      <c r="DH449" s="3850"/>
      <c r="DI449" s="3850"/>
      <c r="DJ449" s="3850"/>
      <c r="DK449" s="3850"/>
      <c r="DL449" s="3850"/>
      <c r="DM449" s="3850"/>
      <c r="DN449" s="3850"/>
      <c r="DO449" s="3850"/>
      <c r="DP449" s="3850"/>
      <c r="DQ449" s="3850"/>
      <c r="DR449" s="3850"/>
      <c r="DS449" s="3850"/>
      <c r="DT449" s="3850"/>
      <c r="DU449" s="3850"/>
      <c r="DV449" s="3850"/>
      <c r="DW449" s="3850"/>
      <c r="DX449" s="3850"/>
      <c r="DY449" s="3850"/>
      <c r="DZ449" s="3850"/>
      <c r="EA449" s="3850"/>
    </row>
    <row r="450" spans="1:131" s="3849" customFormat="1">
      <c r="A450" s="4063"/>
      <c r="B450" s="4064"/>
      <c r="C450" s="4067"/>
      <c r="D450" s="3874"/>
      <c r="E450" s="3883"/>
      <c r="F450" s="3874"/>
      <c r="G450" s="3875"/>
      <c r="H450" s="3874"/>
      <c r="I450" s="3875"/>
      <c r="J450" s="3874"/>
      <c r="K450" s="3875"/>
      <c r="L450" s="3874"/>
      <c r="N450" s="3846"/>
      <c r="O450" s="3850"/>
      <c r="P450" s="3848"/>
      <c r="Q450" s="3850"/>
      <c r="R450" s="3850"/>
      <c r="S450" s="3850"/>
      <c r="T450" s="3850"/>
      <c r="U450" s="3850"/>
      <c r="V450" s="3850"/>
      <c r="W450" s="3850"/>
      <c r="X450" s="3850"/>
      <c r="Y450" s="3850"/>
      <c r="Z450" s="3850"/>
      <c r="AA450" s="3850"/>
      <c r="AB450" s="3850"/>
      <c r="AC450" s="3850"/>
      <c r="AD450" s="3850"/>
      <c r="AE450" s="3850"/>
      <c r="AF450" s="3850"/>
      <c r="AG450" s="3850"/>
      <c r="AH450" s="3850"/>
      <c r="AI450" s="3850"/>
      <c r="AJ450" s="3850"/>
      <c r="AK450" s="3850"/>
      <c r="AL450" s="3850"/>
      <c r="AM450" s="3850"/>
      <c r="AN450" s="3850"/>
      <c r="AO450" s="3850"/>
      <c r="AP450" s="3850"/>
      <c r="AQ450" s="3850"/>
      <c r="AR450" s="3850"/>
      <c r="AS450" s="3850"/>
      <c r="AV450" s="3850"/>
      <c r="AX450" s="3850"/>
      <c r="AY450" s="3850"/>
      <c r="AZ450" s="3850"/>
      <c r="BA450" s="3850"/>
      <c r="BB450" s="3850"/>
      <c r="BC450" s="3850"/>
      <c r="BD450" s="3850"/>
      <c r="BE450" s="3850"/>
      <c r="BF450" s="3850"/>
      <c r="BG450" s="3850"/>
      <c r="BH450" s="3850"/>
      <c r="BI450" s="3850"/>
      <c r="BJ450" s="3850"/>
      <c r="BK450" s="3850"/>
      <c r="BL450" s="3850"/>
      <c r="BM450" s="3850"/>
      <c r="BN450" s="3850"/>
      <c r="BO450" s="3850"/>
      <c r="BP450" s="3850"/>
      <c r="BQ450" s="3850"/>
      <c r="BR450" s="3850"/>
      <c r="BS450" s="3850"/>
      <c r="BT450" s="3850"/>
      <c r="BU450" s="3850"/>
      <c r="BV450" s="3850"/>
      <c r="BW450" s="3850"/>
      <c r="BX450" s="3850"/>
      <c r="BY450" s="3850"/>
      <c r="BZ450" s="3850"/>
      <c r="CA450" s="3850"/>
      <c r="CB450" s="3850"/>
      <c r="CC450" s="3850"/>
      <c r="CD450" s="3850"/>
      <c r="CE450" s="3850"/>
      <c r="CF450" s="3850"/>
      <c r="CG450" s="3850"/>
      <c r="CH450" s="3850"/>
      <c r="CI450" s="3850"/>
      <c r="CJ450" s="3850"/>
      <c r="CK450" s="3850"/>
      <c r="CL450" s="3850"/>
      <c r="CM450" s="3850"/>
      <c r="CN450" s="3850"/>
      <c r="CO450" s="3850"/>
      <c r="CP450" s="3850"/>
      <c r="CQ450" s="3850"/>
      <c r="CR450" s="3850"/>
      <c r="CS450" s="3850"/>
      <c r="CT450" s="3850"/>
      <c r="CU450" s="3850"/>
      <c r="CV450" s="3850"/>
      <c r="CW450" s="3850"/>
      <c r="CX450" s="3850"/>
      <c r="CY450" s="3850"/>
      <c r="CZ450" s="3850"/>
      <c r="DA450" s="3850"/>
      <c r="DB450" s="3850"/>
      <c r="DC450" s="3850"/>
      <c r="DD450" s="3850"/>
      <c r="DE450" s="3850"/>
      <c r="DF450" s="3850"/>
      <c r="DG450" s="3850"/>
      <c r="DH450" s="3850"/>
      <c r="DI450" s="3850"/>
      <c r="DJ450" s="3850"/>
      <c r="DK450" s="3850"/>
      <c r="DL450" s="3850"/>
      <c r="DM450" s="3850"/>
      <c r="DN450" s="3850"/>
      <c r="DO450" s="3850"/>
      <c r="DP450" s="3850"/>
      <c r="DQ450" s="3850"/>
      <c r="DR450" s="3850"/>
      <c r="DS450" s="3850"/>
      <c r="DT450" s="3850"/>
      <c r="DU450" s="3850"/>
      <c r="DV450" s="3850"/>
      <c r="DW450" s="3850"/>
      <c r="DX450" s="3850"/>
      <c r="DY450" s="3850"/>
      <c r="DZ450" s="3850"/>
      <c r="EA450" s="3850"/>
    </row>
    <row r="451" spans="1:131" s="3849" customFormat="1">
      <c r="A451" s="4063"/>
      <c r="B451" s="4064"/>
      <c r="C451" s="4067"/>
      <c r="D451" s="3874"/>
      <c r="E451" s="3883"/>
      <c r="F451" s="3874"/>
      <c r="G451" s="3875"/>
      <c r="H451" s="3874"/>
      <c r="I451" s="3875"/>
      <c r="J451" s="3874"/>
      <c r="K451" s="3875"/>
      <c r="L451" s="3874"/>
      <c r="N451" s="3846"/>
      <c r="O451" s="3850"/>
      <c r="P451" s="3848"/>
      <c r="Q451" s="3850"/>
      <c r="R451" s="3850"/>
      <c r="S451" s="3850"/>
      <c r="T451" s="3850"/>
      <c r="U451" s="3850"/>
      <c r="V451" s="3850"/>
      <c r="W451" s="3850"/>
      <c r="X451" s="3850"/>
      <c r="Y451" s="3850"/>
      <c r="Z451" s="3850"/>
      <c r="AA451" s="3850"/>
      <c r="AB451" s="3850"/>
      <c r="AC451" s="3850"/>
      <c r="AD451" s="3850"/>
      <c r="AE451" s="3850"/>
      <c r="AF451" s="3850"/>
      <c r="AG451" s="3850"/>
      <c r="AH451" s="3850"/>
      <c r="AI451" s="3850"/>
      <c r="AJ451" s="3850"/>
      <c r="AK451" s="3850"/>
      <c r="AL451" s="3850"/>
      <c r="AM451" s="3850"/>
      <c r="AN451" s="3850"/>
      <c r="AO451" s="3850"/>
      <c r="AP451" s="3850"/>
      <c r="AQ451" s="3850"/>
      <c r="AR451" s="3850"/>
      <c r="AS451" s="3850"/>
      <c r="AV451" s="3850"/>
      <c r="AX451" s="3850"/>
      <c r="AY451" s="3850"/>
      <c r="AZ451" s="3850"/>
      <c r="BA451" s="3850"/>
      <c r="BB451" s="3850"/>
      <c r="BC451" s="3850"/>
      <c r="BD451" s="3850"/>
      <c r="BE451" s="3850"/>
      <c r="BF451" s="3850"/>
      <c r="BG451" s="3850"/>
      <c r="BH451" s="3850"/>
      <c r="BI451" s="3850"/>
      <c r="BJ451" s="3850"/>
      <c r="BK451" s="3850"/>
      <c r="BL451" s="3850"/>
      <c r="BM451" s="3850"/>
      <c r="BN451" s="3850"/>
      <c r="BO451" s="3850"/>
      <c r="BP451" s="3850"/>
      <c r="BQ451" s="3850"/>
      <c r="BR451" s="3850"/>
      <c r="BS451" s="3850"/>
      <c r="BT451" s="3850"/>
      <c r="BU451" s="3850"/>
      <c r="BV451" s="3850"/>
      <c r="BW451" s="3850"/>
      <c r="BX451" s="3850"/>
      <c r="BY451" s="3850"/>
      <c r="BZ451" s="3850"/>
      <c r="CA451" s="3850"/>
      <c r="CB451" s="3850"/>
      <c r="CC451" s="3850"/>
      <c r="CD451" s="3850"/>
      <c r="CE451" s="3850"/>
      <c r="CF451" s="3850"/>
      <c r="CG451" s="3850"/>
      <c r="CH451" s="3850"/>
      <c r="CI451" s="3850"/>
      <c r="CJ451" s="3850"/>
      <c r="CK451" s="3850"/>
      <c r="CL451" s="3850"/>
      <c r="CM451" s="3850"/>
      <c r="CN451" s="3850"/>
      <c r="CO451" s="3850"/>
      <c r="CP451" s="3850"/>
      <c r="CQ451" s="3850"/>
      <c r="CR451" s="3850"/>
      <c r="CS451" s="3850"/>
      <c r="CT451" s="3850"/>
      <c r="CU451" s="3850"/>
      <c r="CV451" s="3850"/>
      <c r="CW451" s="3850"/>
      <c r="CX451" s="3850"/>
      <c r="CY451" s="3850"/>
      <c r="CZ451" s="3850"/>
      <c r="DA451" s="3850"/>
      <c r="DB451" s="3850"/>
      <c r="DC451" s="3850"/>
      <c r="DD451" s="3850"/>
      <c r="DE451" s="3850"/>
      <c r="DF451" s="3850"/>
      <c r="DG451" s="3850"/>
      <c r="DH451" s="3850"/>
      <c r="DI451" s="3850"/>
      <c r="DJ451" s="3850"/>
      <c r="DK451" s="3850"/>
      <c r="DL451" s="3850"/>
      <c r="DM451" s="3850"/>
      <c r="DN451" s="3850"/>
      <c r="DO451" s="3850"/>
      <c r="DP451" s="3850"/>
      <c r="DQ451" s="3850"/>
      <c r="DR451" s="3850"/>
      <c r="DS451" s="3850"/>
      <c r="DT451" s="3850"/>
      <c r="DU451" s="3850"/>
      <c r="DV451" s="3850"/>
      <c r="DW451" s="3850"/>
      <c r="DX451" s="3850"/>
      <c r="DY451" s="3850"/>
      <c r="DZ451" s="3850"/>
      <c r="EA451" s="3850"/>
    </row>
    <row r="452" spans="1:131" s="3849" customFormat="1">
      <c r="A452" s="4063"/>
      <c r="B452" s="4064"/>
      <c r="C452" s="4067"/>
      <c r="D452" s="3874"/>
      <c r="E452" s="3883"/>
      <c r="F452" s="3874"/>
      <c r="G452" s="3875"/>
      <c r="H452" s="3874"/>
      <c r="I452" s="3875"/>
      <c r="J452" s="3874"/>
      <c r="K452" s="3875"/>
      <c r="L452" s="3874"/>
      <c r="N452" s="3846"/>
      <c r="O452" s="3850"/>
      <c r="P452" s="3848"/>
      <c r="Q452" s="3850"/>
      <c r="R452" s="3850"/>
      <c r="S452" s="3850"/>
      <c r="T452" s="3850"/>
      <c r="U452" s="3850"/>
      <c r="V452" s="3850"/>
      <c r="W452" s="3850"/>
      <c r="X452" s="3850"/>
      <c r="Y452" s="3850"/>
      <c r="Z452" s="3850"/>
      <c r="AA452" s="3850"/>
      <c r="AB452" s="3850"/>
      <c r="AC452" s="3850"/>
      <c r="AD452" s="3850"/>
      <c r="AE452" s="3850"/>
      <c r="AF452" s="3850"/>
      <c r="AG452" s="3850"/>
      <c r="AH452" s="3850"/>
      <c r="AI452" s="3850"/>
      <c r="AJ452" s="3850"/>
      <c r="AK452" s="3850"/>
      <c r="AL452" s="3850"/>
      <c r="AM452" s="3850"/>
      <c r="AN452" s="3850"/>
      <c r="AO452" s="3850"/>
      <c r="AP452" s="3850"/>
      <c r="AQ452" s="3850"/>
      <c r="AR452" s="3850"/>
      <c r="AS452" s="3850"/>
      <c r="AV452" s="3850"/>
      <c r="AX452" s="3850"/>
      <c r="AY452" s="3850"/>
      <c r="AZ452" s="3850"/>
      <c r="BA452" s="3850"/>
      <c r="BB452" s="3850"/>
      <c r="BC452" s="3850"/>
      <c r="BD452" s="3850"/>
      <c r="BE452" s="3850"/>
      <c r="BF452" s="3850"/>
      <c r="BG452" s="3850"/>
      <c r="BH452" s="3850"/>
      <c r="BI452" s="3850"/>
      <c r="BJ452" s="3850"/>
      <c r="BK452" s="3850"/>
      <c r="BL452" s="3850"/>
      <c r="BM452" s="3850"/>
      <c r="BN452" s="3850"/>
      <c r="BO452" s="3850"/>
      <c r="BP452" s="3850"/>
      <c r="BQ452" s="3850"/>
      <c r="BR452" s="3850"/>
      <c r="BS452" s="3850"/>
      <c r="BT452" s="3850"/>
      <c r="BU452" s="3850"/>
      <c r="BV452" s="3850"/>
      <c r="BW452" s="3850"/>
      <c r="BX452" s="3850"/>
      <c r="BY452" s="3850"/>
      <c r="BZ452" s="3850"/>
      <c r="CA452" s="3850"/>
      <c r="CB452" s="3850"/>
      <c r="CC452" s="3850"/>
      <c r="CD452" s="3850"/>
      <c r="CE452" s="3850"/>
      <c r="CF452" s="3850"/>
      <c r="CG452" s="3850"/>
      <c r="CH452" s="3850"/>
      <c r="CI452" s="3850"/>
      <c r="CJ452" s="3850"/>
      <c r="CK452" s="3850"/>
      <c r="CL452" s="3850"/>
      <c r="CM452" s="3850"/>
      <c r="CN452" s="3850"/>
      <c r="CO452" s="3850"/>
      <c r="CP452" s="3850"/>
      <c r="CQ452" s="3850"/>
      <c r="CR452" s="3850"/>
      <c r="CS452" s="3850"/>
      <c r="CT452" s="3850"/>
      <c r="CU452" s="3850"/>
      <c r="CV452" s="3850"/>
      <c r="CW452" s="3850"/>
      <c r="CX452" s="3850"/>
      <c r="CY452" s="3850"/>
      <c r="CZ452" s="3850"/>
      <c r="DA452" s="3850"/>
      <c r="DB452" s="3850"/>
      <c r="DC452" s="3850"/>
      <c r="DD452" s="3850"/>
      <c r="DE452" s="3850"/>
      <c r="DF452" s="3850"/>
      <c r="DG452" s="3850"/>
      <c r="DH452" s="3850"/>
      <c r="DI452" s="3850"/>
      <c r="DJ452" s="3850"/>
      <c r="DK452" s="3850"/>
      <c r="DL452" s="3850"/>
      <c r="DM452" s="3850"/>
      <c r="DN452" s="3850"/>
      <c r="DO452" s="3850"/>
      <c r="DP452" s="3850"/>
      <c r="DQ452" s="3850"/>
      <c r="DR452" s="3850"/>
      <c r="DS452" s="3850"/>
      <c r="DT452" s="3850"/>
      <c r="DU452" s="3850"/>
      <c r="DV452" s="3850"/>
      <c r="DW452" s="3850"/>
      <c r="DX452" s="3850"/>
      <c r="DY452" s="3850"/>
      <c r="DZ452" s="3850"/>
      <c r="EA452" s="3850"/>
    </row>
    <row r="453" spans="1:131" s="3849" customFormat="1">
      <c r="A453" s="4063"/>
      <c r="B453" s="4064"/>
      <c r="C453" s="4067"/>
      <c r="D453" s="3874"/>
      <c r="E453" s="3883"/>
      <c r="F453" s="3874"/>
      <c r="G453" s="3875"/>
      <c r="H453" s="3874"/>
      <c r="I453" s="3875"/>
      <c r="J453" s="3874"/>
      <c r="K453" s="3875"/>
      <c r="L453" s="3874"/>
      <c r="N453" s="3846"/>
      <c r="O453" s="3850"/>
      <c r="P453" s="3848"/>
      <c r="Q453" s="3850"/>
      <c r="R453" s="3850"/>
      <c r="S453" s="3850"/>
      <c r="T453" s="3850"/>
      <c r="U453" s="3850"/>
      <c r="V453" s="3850"/>
      <c r="W453" s="3850"/>
      <c r="X453" s="3850"/>
      <c r="Y453" s="3850"/>
      <c r="Z453" s="3850"/>
      <c r="AA453" s="3850"/>
      <c r="AB453" s="3850"/>
      <c r="AC453" s="3850"/>
      <c r="AD453" s="3850"/>
      <c r="AE453" s="3850"/>
      <c r="AF453" s="3850"/>
      <c r="AG453" s="3850"/>
      <c r="AH453" s="3850"/>
      <c r="AI453" s="3850"/>
      <c r="AJ453" s="3850"/>
      <c r="AK453" s="3850"/>
      <c r="AL453" s="3850"/>
      <c r="AM453" s="3850"/>
      <c r="AN453" s="3850"/>
      <c r="AO453" s="3850"/>
      <c r="AP453" s="3850"/>
      <c r="AQ453" s="3850"/>
      <c r="AR453" s="3850"/>
      <c r="AS453" s="3850"/>
      <c r="AV453" s="3850"/>
      <c r="AX453" s="3850"/>
      <c r="AY453" s="3850"/>
      <c r="AZ453" s="3850"/>
      <c r="BA453" s="3850"/>
      <c r="BB453" s="3850"/>
      <c r="BC453" s="3850"/>
      <c r="BD453" s="3850"/>
      <c r="BE453" s="3850"/>
      <c r="BF453" s="3850"/>
      <c r="BG453" s="3850"/>
      <c r="BH453" s="3850"/>
      <c r="BI453" s="3850"/>
      <c r="BJ453" s="3850"/>
      <c r="BK453" s="3850"/>
      <c r="BL453" s="3850"/>
      <c r="BM453" s="3850"/>
      <c r="BN453" s="3850"/>
      <c r="BO453" s="3850"/>
      <c r="BP453" s="3850"/>
      <c r="BQ453" s="3850"/>
      <c r="BR453" s="3850"/>
      <c r="BS453" s="3850"/>
      <c r="BT453" s="3850"/>
      <c r="BU453" s="3850"/>
      <c r="BV453" s="3850"/>
      <c r="BW453" s="3850"/>
      <c r="BX453" s="3850"/>
      <c r="BY453" s="3850"/>
      <c r="BZ453" s="3850"/>
      <c r="CA453" s="3850"/>
      <c r="CB453" s="3850"/>
      <c r="CC453" s="3850"/>
      <c r="CD453" s="3850"/>
      <c r="CE453" s="3850"/>
      <c r="CF453" s="3850"/>
      <c r="CG453" s="3850"/>
      <c r="CH453" s="3850"/>
      <c r="CI453" s="3850"/>
      <c r="CJ453" s="3850"/>
      <c r="CK453" s="3850"/>
      <c r="CL453" s="3850"/>
      <c r="CM453" s="3850"/>
      <c r="CN453" s="3850"/>
      <c r="CO453" s="3850"/>
      <c r="CP453" s="3850"/>
      <c r="CQ453" s="3850"/>
      <c r="CR453" s="3850"/>
      <c r="CS453" s="3850"/>
      <c r="CT453" s="3850"/>
      <c r="CU453" s="3850"/>
      <c r="CV453" s="3850"/>
      <c r="CW453" s="3850"/>
      <c r="CX453" s="3850"/>
      <c r="CY453" s="3850"/>
      <c r="CZ453" s="3850"/>
      <c r="DA453" s="3850"/>
      <c r="DB453" s="3850"/>
      <c r="DC453" s="3850"/>
      <c r="DD453" s="3850"/>
      <c r="DE453" s="3850"/>
      <c r="DF453" s="3850"/>
      <c r="DG453" s="3850"/>
      <c r="DH453" s="3850"/>
      <c r="DI453" s="3850"/>
      <c r="DJ453" s="3850"/>
      <c r="DK453" s="3850"/>
      <c r="DL453" s="3850"/>
      <c r="DM453" s="3850"/>
      <c r="DN453" s="3850"/>
      <c r="DO453" s="3850"/>
      <c r="DP453" s="3850"/>
      <c r="DQ453" s="3850"/>
      <c r="DR453" s="3850"/>
      <c r="DS453" s="3850"/>
      <c r="DT453" s="3850"/>
      <c r="DU453" s="3850"/>
      <c r="DV453" s="3850"/>
      <c r="DW453" s="3850"/>
      <c r="DX453" s="3850"/>
      <c r="DY453" s="3850"/>
      <c r="DZ453" s="3850"/>
      <c r="EA453" s="3850"/>
    </row>
    <row r="454" spans="1:131" s="3849" customFormat="1">
      <c r="A454" s="4063"/>
      <c r="B454" s="4064"/>
      <c r="C454" s="4067"/>
      <c r="D454" s="3874"/>
      <c r="E454" s="3883"/>
      <c r="F454" s="3874"/>
      <c r="G454" s="3875"/>
      <c r="H454" s="3874"/>
      <c r="I454" s="3875"/>
      <c r="J454" s="3874"/>
      <c r="K454" s="3875"/>
      <c r="L454" s="3874"/>
      <c r="N454" s="3846"/>
      <c r="O454" s="3850"/>
      <c r="P454" s="3848"/>
      <c r="Q454" s="3850"/>
      <c r="R454" s="3850"/>
      <c r="S454" s="3850"/>
      <c r="T454" s="3850"/>
      <c r="U454" s="3850"/>
      <c r="V454" s="3850"/>
      <c r="W454" s="3850"/>
      <c r="X454" s="3850"/>
      <c r="Y454" s="3850"/>
      <c r="Z454" s="3850"/>
      <c r="AA454" s="3850"/>
      <c r="AB454" s="3850"/>
      <c r="AC454" s="3850"/>
      <c r="AD454" s="3850"/>
      <c r="AE454" s="3850"/>
      <c r="AF454" s="3850"/>
      <c r="AG454" s="3850"/>
      <c r="AH454" s="3850"/>
      <c r="AI454" s="3850"/>
      <c r="AJ454" s="3850"/>
      <c r="AK454" s="3850"/>
      <c r="AL454" s="3850"/>
      <c r="AM454" s="3850"/>
      <c r="AN454" s="3850"/>
      <c r="AO454" s="3850"/>
      <c r="AP454" s="3850"/>
      <c r="AQ454" s="3850"/>
      <c r="AR454" s="3850"/>
      <c r="AS454" s="3850"/>
      <c r="AV454" s="3850"/>
      <c r="AX454" s="3850"/>
      <c r="AY454" s="3850"/>
      <c r="AZ454" s="3850"/>
      <c r="BA454" s="3850"/>
      <c r="BB454" s="3850"/>
      <c r="BC454" s="3850"/>
      <c r="BD454" s="3850"/>
      <c r="BE454" s="3850"/>
      <c r="BF454" s="3850"/>
      <c r="BG454" s="3850"/>
      <c r="BH454" s="3850"/>
      <c r="BI454" s="3850"/>
      <c r="BJ454" s="3850"/>
      <c r="BK454" s="3850"/>
      <c r="BL454" s="3850"/>
      <c r="BM454" s="3850"/>
      <c r="BN454" s="3850"/>
      <c r="BO454" s="3850"/>
      <c r="BP454" s="3850"/>
      <c r="BQ454" s="3850"/>
      <c r="BR454" s="3850"/>
      <c r="BS454" s="3850"/>
      <c r="BT454" s="3850"/>
      <c r="BU454" s="3850"/>
      <c r="BV454" s="3850"/>
      <c r="BW454" s="3850"/>
      <c r="BX454" s="3850"/>
      <c r="BY454" s="3850"/>
      <c r="BZ454" s="3850"/>
      <c r="CA454" s="3850"/>
      <c r="CB454" s="3850"/>
      <c r="CC454" s="3850"/>
      <c r="CD454" s="3850"/>
      <c r="CE454" s="3850"/>
      <c r="CF454" s="3850"/>
      <c r="CG454" s="3850"/>
      <c r="CH454" s="3850"/>
      <c r="CI454" s="3850"/>
      <c r="CJ454" s="3850"/>
      <c r="CK454" s="3850"/>
      <c r="CL454" s="3850"/>
      <c r="CM454" s="3850"/>
      <c r="CN454" s="3850"/>
      <c r="CO454" s="3850"/>
      <c r="CP454" s="3850"/>
      <c r="CQ454" s="3850"/>
      <c r="CR454" s="3850"/>
      <c r="CS454" s="3850"/>
      <c r="CT454" s="3850"/>
      <c r="CU454" s="3850"/>
      <c r="CV454" s="3850"/>
      <c r="CW454" s="3850"/>
      <c r="CX454" s="3850"/>
      <c r="CY454" s="3850"/>
      <c r="CZ454" s="3850"/>
      <c r="DA454" s="3850"/>
      <c r="DB454" s="3850"/>
      <c r="DC454" s="3850"/>
      <c r="DD454" s="3850"/>
      <c r="DE454" s="3850"/>
      <c r="DF454" s="3850"/>
      <c r="DG454" s="3850"/>
      <c r="DH454" s="3850"/>
      <c r="DI454" s="3850"/>
      <c r="DJ454" s="3850"/>
      <c r="DK454" s="3850"/>
      <c r="DL454" s="3850"/>
      <c r="DM454" s="3850"/>
      <c r="DN454" s="3850"/>
      <c r="DO454" s="3850"/>
      <c r="DP454" s="3850"/>
      <c r="DQ454" s="3850"/>
      <c r="DR454" s="3850"/>
      <c r="DS454" s="3850"/>
      <c r="DT454" s="3850"/>
      <c r="DU454" s="3850"/>
      <c r="DV454" s="3850"/>
      <c r="DW454" s="3850"/>
      <c r="DX454" s="3850"/>
      <c r="DY454" s="3850"/>
      <c r="DZ454" s="3850"/>
      <c r="EA454" s="3850"/>
    </row>
    <row r="455" spans="1:131" s="3849" customFormat="1">
      <c r="A455" s="4063"/>
      <c r="B455" s="4064"/>
      <c r="C455" s="4067"/>
      <c r="D455" s="3874"/>
      <c r="E455" s="3883"/>
      <c r="F455" s="3874"/>
      <c r="G455" s="3875"/>
      <c r="H455" s="3874"/>
      <c r="I455" s="3875"/>
      <c r="J455" s="3874"/>
      <c r="K455" s="3875"/>
      <c r="L455" s="3874"/>
      <c r="N455" s="3846"/>
      <c r="O455" s="3850"/>
      <c r="P455" s="3848"/>
      <c r="Q455" s="3850"/>
      <c r="R455" s="3850"/>
      <c r="S455" s="3850"/>
      <c r="T455" s="3850"/>
      <c r="U455" s="3850"/>
      <c r="V455" s="3850"/>
      <c r="W455" s="3850"/>
      <c r="X455" s="3850"/>
      <c r="Y455" s="3850"/>
      <c r="Z455" s="3850"/>
      <c r="AA455" s="3850"/>
      <c r="AB455" s="3850"/>
      <c r="AC455" s="3850"/>
      <c r="AD455" s="3850"/>
      <c r="AE455" s="3850"/>
      <c r="AF455" s="3850"/>
      <c r="AG455" s="3850"/>
      <c r="AH455" s="3850"/>
      <c r="AI455" s="3850"/>
      <c r="AJ455" s="3850"/>
      <c r="AK455" s="3850"/>
      <c r="AL455" s="3850"/>
      <c r="AM455" s="3850"/>
      <c r="AN455" s="3850"/>
      <c r="AO455" s="3850"/>
      <c r="AP455" s="3850"/>
      <c r="AQ455" s="3850"/>
      <c r="AR455" s="3850"/>
      <c r="AS455" s="3850"/>
      <c r="AV455" s="3850"/>
      <c r="AX455" s="3850"/>
      <c r="AY455" s="3850"/>
      <c r="AZ455" s="3850"/>
      <c r="BA455" s="3850"/>
      <c r="BB455" s="3850"/>
      <c r="BC455" s="3850"/>
      <c r="BD455" s="3850"/>
      <c r="BE455" s="3850"/>
      <c r="BF455" s="3850"/>
      <c r="BG455" s="3850"/>
      <c r="BH455" s="3850"/>
      <c r="BI455" s="3850"/>
      <c r="BJ455" s="3850"/>
      <c r="BK455" s="3850"/>
      <c r="BL455" s="3850"/>
      <c r="BM455" s="3850"/>
      <c r="BN455" s="3850"/>
      <c r="BO455" s="3850"/>
      <c r="BP455" s="3850"/>
      <c r="BQ455" s="3850"/>
      <c r="BR455" s="3850"/>
      <c r="BS455" s="3850"/>
      <c r="BT455" s="3850"/>
      <c r="BU455" s="3850"/>
      <c r="BV455" s="3850"/>
      <c r="BW455" s="3850"/>
      <c r="BX455" s="3850"/>
      <c r="BY455" s="3850"/>
      <c r="BZ455" s="3850"/>
      <c r="CA455" s="3850"/>
      <c r="CB455" s="3850"/>
      <c r="CC455" s="3850"/>
      <c r="CD455" s="3850"/>
      <c r="CE455" s="3850"/>
      <c r="CF455" s="3850"/>
      <c r="CG455" s="3850"/>
      <c r="CH455" s="3850"/>
      <c r="CI455" s="3850"/>
      <c r="CJ455" s="3850"/>
      <c r="CK455" s="3850"/>
      <c r="CL455" s="3850"/>
      <c r="CM455" s="3850"/>
      <c r="CN455" s="3850"/>
      <c r="CO455" s="3850"/>
      <c r="CP455" s="3850"/>
      <c r="CQ455" s="3850"/>
      <c r="CR455" s="3850"/>
      <c r="CS455" s="3850"/>
      <c r="CT455" s="3850"/>
      <c r="CU455" s="3850"/>
      <c r="CV455" s="3850"/>
      <c r="CW455" s="3850"/>
      <c r="CX455" s="3850"/>
      <c r="CY455" s="3850"/>
      <c r="CZ455" s="3850"/>
      <c r="DA455" s="3850"/>
      <c r="DB455" s="3850"/>
      <c r="DC455" s="3850"/>
      <c r="DD455" s="3850"/>
      <c r="DE455" s="3850"/>
      <c r="DF455" s="3850"/>
      <c r="DG455" s="3850"/>
      <c r="DH455" s="3850"/>
      <c r="DI455" s="3850"/>
      <c r="DJ455" s="3850"/>
      <c r="DK455" s="3850"/>
      <c r="DL455" s="3850"/>
      <c r="DM455" s="3850"/>
      <c r="DN455" s="3850"/>
      <c r="DO455" s="3850"/>
      <c r="DP455" s="3850"/>
      <c r="DQ455" s="3850"/>
      <c r="DR455" s="3850"/>
      <c r="DS455" s="3850"/>
      <c r="DT455" s="3850"/>
      <c r="DU455" s="3850"/>
      <c r="DV455" s="3850"/>
      <c r="DW455" s="3850"/>
      <c r="DX455" s="3850"/>
      <c r="DY455" s="3850"/>
      <c r="DZ455" s="3850"/>
      <c r="EA455" s="3850"/>
    </row>
    <row r="456" spans="1:131" s="3849" customFormat="1">
      <c r="A456" s="4063"/>
      <c r="B456" s="4064"/>
      <c r="C456" s="4067"/>
      <c r="D456" s="3874"/>
      <c r="E456" s="3883"/>
      <c r="F456" s="3874"/>
      <c r="G456" s="3875"/>
      <c r="H456" s="3874"/>
      <c r="I456" s="3875"/>
      <c r="J456" s="3874"/>
      <c r="K456" s="3875"/>
      <c r="L456" s="3874"/>
      <c r="N456" s="3846"/>
      <c r="O456" s="3850"/>
      <c r="P456" s="3848"/>
      <c r="Q456" s="3850"/>
      <c r="R456" s="3850"/>
      <c r="S456" s="3850"/>
      <c r="T456" s="3850"/>
      <c r="U456" s="3850"/>
      <c r="V456" s="3850"/>
      <c r="W456" s="3850"/>
      <c r="X456" s="3850"/>
      <c r="Y456" s="3850"/>
      <c r="Z456" s="3850"/>
      <c r="AA456" s="3850"/>
      <c r="AB456" s="3850"/>
      <c r="AC456" s="3850"/>
      <c r="AD456" s="3850"/>
      <c r="AE456" s="3850"/>
      <c r="AF456" s="3850"/>
      <c r="AG456" s="3850"/>
      <c r="AH456" s="3850"/>
      <c r="AI456" s="3850"/>
      <c r="AJ456" s="3850"/>
      <c r="AK456" s="3850"/>
      <c r="AL456" s="3850"/>
      <c r="AM456" s="3850"/>
      <c r="AN456" s="3850"/>
      <c r="AO456" s="3850"/>
      <c r="AP456" s="3850"/>
      <c r="AQ456" s="3850"/>
      <c r="AR456" s="3850"/>
      <c r="AS456" s="3850"/>
      <c r="AV456" s="3850"/>
      <c r="AX456" s="3850"/>
      <c r="AY456" s="3850"/>
      <c r="AZ456" s="3850"/>
      <c r="BA456" s="3850"/>
      <c r="BB456" s="3850"/>
      <c r="BC456" s="3850"/>
      <c r="BD456" s="3850"/>
      <c r="BE456" s="3850"/>
      <c r="BF456" s="3850"/>
      <c r="BG456" s="3850"/>
      <c r="BH456" s="3850"/>
      <c r="BI456" s="3850"/>
      <c r="BJ456" s="3850"/>
      <c r="BK456" s="3850"/>
      <c r="BL456" s="3850"/>
      <c r="BM456" s="3850"/>
      <c r="BN456" s="3850"/>
      <c r="BO456" s="3850"/>
      <c r="BP456" s="3850"/>
      <c r="BQ456" s="3850"/>
      <c r="BR456" s="3850"/>
      <c r="BS456" s="3850"/>
      <c r="BT456" s="3850"/>
      <c r="BU456" s="3850"/>
      <c r="BV456" s="3850"/>
      <c r="BW456" s="3850"/>
      <c r="BX456" s="3850"/>
      <c r="BY456" s="3850"/>
      <c r="BZ456" s="3850"/>
      <c r="CA456" s="3850"/>
      <c r="CB456" s="3850"/>
      <c r="CC456" s="3850"/>
      <c r="CD456" s="3850"/>
      <c r="CE456" s="3850"/>
      <c r="CF456" s="3850"/>
      <c r="CG456" s="3850"/>
      <c r="CH456" s="3850"/>
      <c r="CI456" s="3850"/>
      <c r="CJ456" s="3850"/>
      <c r="CK456" s="3850"/>
      <c r="CL456" s="3850"/>
      <c r="CM456" s="3850"/>
      <c r="CN456" s="3850"/>
      <c r="CO456" s="3850"/>
      <c r="CP456" s="3850"/>
      <c r="CQ456" s="3850"/>
      <c r="CR456" s="3850"/>
      <c r="CS456" s="3850"/>
      <c r="CT456" s="3850"/>
      <c r="CU456" s="3850"/>
      <c r="CV456" s="3850"/>
      <c r="CW456" s="3850"/>
      <c r="CX456" s="3850"/>
      <c r="CY456" s="3850"/>
      <c r="CZ456" s="3850"/>
      <c r="DA456" s="3850"/>
      <c r="DB456" s="3850"/>
      <c r="DC456" s="3850"/>
      <c r="DD456" s="3850"/>
      <c r="DE456" s="3850"/>
      <c r="DF456" s="3850"/>
      <c r="DG456" s="3850"/>
      <c r="DH456" s="3850"/>
      <c r="DI456" s="3850"/>
      <c r="DJ456" s="3850"/>
      <c r="DK456" s="3850"/>
      <c r="DL456" s="3850"/>
      <c r="DM456" s="3850"/>
      <c r="DN456" s="3850"/>
      <c r="DO456" s="3850"/>
      <c r="DP456" s="3850"/>
      <c r="DQ456" s="3850"/>
      <c r="DR456" s="3850"/>
      <c r="DS456" s="3850"/>
      <c r="DT456" s="3850"/>
      <c r="DU456" s="3850"/>
      <c r="DV456" s="3850"/>
      <c r="DW456" s="3850"/>
      <c r="DX456" s="3850"/>
      <c r="DY456" s="3850"/>
      <c r="DZ456" s="3850"/>
      <c r="EA456" s="3850"/>
    </row>
    <row r="457" spans="1:131" s="3849" customFormat="1">
      <c r="A457" s="4063"/>
      <c r="B457" s="4064"/>
      <c r="C457" s="4067"/>
      <c r="D457" s="3874"/>
      <c r="E457" s="3883"/>
      <c r="F457" s="3874"/>
      <c r="G457" s="3875"/>
      <c r="H457" s="3874"/>
      <c r="I457" s="3875"/>
      <c r="J457" s="3874"/>
      <c r="K457" s="3875"/>
      <c r="L457" s="3874"/>
      <c r="N457" s="3846"/>
      <c r="O457" s="3850"/>
      <c r="P457" s="3848"/>
      <c r="Q457" s="3850"/>
      <c r="R457" s="3850"/>
      <c r="S457" s="3850"/>
      <c r="T457" s="3850"/>
      <c r="U457" s="3850"/>
      <c r="V457" s="3850"/>
      <c r="W457" s="3850"/>
      <c r="X457" s="3850"/>
      <c r="Y457" s="3850"/>
      <c r="Z457" s="3850"/>
      <c r="AA457" s="3850"/>
      <c r="AB457" s="3850"/>
      <c r="AC457" s="3850"/>
      <c r="AD457" s="3850"/>
      <c r="AE457" s="3850"/>
      <c r="AF457" s="3850"/>
      <c r="AG457" s="3850"/>
      <c r="AH457" s="3850"/>
      <c r="AI457" s="3850"/>
      <c r="AJ457" s="3850"/>
      <c r="AK457" s="3850"/>
      <c r="AL457" s="3850"/>
      <c r="AM457" s="3850"/>
      <c r="AN457" s="3850"/>
      <c r="AO457" s="3850"/>
      <c r="AP457" s="3850"/>
      <c r="AQ457" s="3850"/>
      <c r="AR457" s="3850"/>
      <c r="AS457" s="3850"/>
      <c r="AV457" s="3850"/>
      <c r="AX457" s="3850"/>
      <c r="AY457" s="3850"/>
      <c r="AZ457" s="3850"/>
      <c r="BA457" s="3850"/>
      <c r="BB457" s="3850"/>
      <c r="BC457" s="3850"/>
      <c r="BD457" s="3850"/>
      <c r="BE457" s="3850"/>
      <c r="BF457" s="3850"/>
      <c r="BG457" s="3850"/>
      <c r="BH457" s="3850"/>
      <c r="BI457" s="3850"/>
      <c r="BJ457" s="3850"/>
      <c r="BK457" s="3850"/>
      <c r="BL457" s="3850"/>
      <c r="BM457" s="3850"/>
      <c r="BN457" s="3850"/>
      <c r="BO457" s="3850"/>
      <c r="BP457" s="3850"/>
      <c r="BQ457" s="3850"/>
      <c r="BR457" s="3850"/>
      <c r="BS457" s="3850"/>
      <c r="BT457" s="3850"/>
      <c r="BU457" s="3850"/>
      <c r="BV457" s="3850"/>
      <c r="BW457" s="3850"/>
      <c r="BX457" s="3850"/>
      <c r="BY457" s="3850"/>
      <c r="BZ457" s="3850"/>
      <c r="CA457" s="3850"/>
      <c r="CB457" s="3850"/>
      <c r="CC457" s="3850"/>
      <c r="CD457" s="3850"/>
      <c r="CE457" s="3850"/>
      <c r="CF457" s="3850"/>
      <c r="CG457" s="3850"/>
      <c r="CH457" s="3850"/>
      <c r="CI457" s="3850"/>
      <c r="CJ457" s="3850"/>
      <c r="CK457" s="3850"/>
      <c r="CL457" s="3850"/>
      <c r="CM457" s="3850"/>
      <c r="CN457" s="3850"/>
      <c r="CO457" s="3850"/>
      <c r="CP457" s="3850"/>
      <c r="CQ457" s="3850"/>
      <c r="CR457" s="3850"/>
      <c r="CS457" s="3850"/>
      <c r="CT457" s="3850"/>
      <c r="CU457" s="3850"/>
      <c r="CV457" s="3850"/>
      <c r="CW457" s="3850"/>
      <c r="CX457" s="3850"/>
      <c r="CY457" s="3850"/>
      <c r="CZ457" s="3850"/>
      <c r="DA457" s="3850"/>
      <c r="DB457" s="3850"/>
      <c r="DC457" s="3850"/>
      <c r="DD457" s="3850"/>
      <c r="DE457" s="3850"/>
      <c r="DF457" s="3850"/>
      <c r="DG457" s="3850"/>
      <c r="DH457" s="3850"/>
      <c r="DI457" s="3850"/>
      <c r="DJ457" s="3850"/>
      <c r="DK457" s="3850"/>
      <c r="DL457" s="3850"/>
      <c r="DM457" s="3850"/>
      <c r="DN457" s="3850"/>
      <c r="DO457" s="3850"/>
      <c r="DP457" s="3850"/>
      <c r="DQ457" s="3850"/>
      <c r="DR457" s="3850"/>
      <c r="DS457" s="3850"/>
      <c r="DT457" s="3850"/>
      <c r="DU457" s="3850"/>
      <c r="DV457" s="3850"/>
      <c r="DW457" s="3850"/>
      <c r="DX457" s="3850"/>
      <c r="DY457" s="3850"/>
      <c r="DZ457" s="3850"/>
      <c r="EA457" s="3850"/>
    </row>
    <row r="458" spans="1:131" s="3849" customFormat="1">
      <c r="A458" s="4063"/>
      <c r="B458" s="4064"/>
      <c r="C458" s="4067"/>
      <c r="D458" s="3874"/>
      <c r="E458" s="3883"/>
      <c r="F458" s="3874"/>
      <c r="G458" s="3875"/>
      <c r="H458" s="3874"/>
      <c r="I458" s="3875"/>
      <c r="J458" s="3874"/>
      <c r="K458" s="3875"/>
      <c r="L458" s="3874"/>
      <c r="N458" s="3846"/>
      <c r="O458" s="3850"/>
      <c r="P458" s="3848"/>
      <c r="Q458" s="3850"/>
      <c r="R458" s="3850"/>
      <c r="S458" s="3850"/>
      <c r="T458" s="3850"/>
      <c r="U458" s="3850"/>
      <c r="V458" s="3850"/>
      <c r="W458" s="3850"/>
      <c r="X458" s="3850"/>
      <c r="Y458" s="3850"/>
      <c r="Z458" s="3850"/>
      <c r="AA458" s="3850"/>
      <c r="AB458" s="3850"/>
      <c r="AC458" s="3850"/>
      <c r="AD458" s="3850"/>
      <c r="AE458" s="3850"/>
      <c r="AF458" s="3850"/>
      <c r="AG458" s="3850"/>
      <c r="AH458" s="3850"/>
      <c r="AI458" s="3850"/>
      <c r="AJ458" s="3850"/>
      <c r="AK458" s="3850"/>
      <c r="AL458" s="3850"/>
      <c r="AM458" s="3850"/>
      <c r="AN458" s="3850"/>
      <c r="AO458" s="3850"/>
      <c r="AP458" s="3850"/>
      <c r="AQ458" s="3850"/>
      <c r="AR458" s="3850"/>
      <c r="AS458" s="3850"/>
      <c r="AV458" s="3850"/>
      <c r="AX458" s="3850"/>
      <c r="AY458" s="3850"/>
      <c r="AZ458" s="3850"/>
      <c r="BA458" s="3850"/>
      <c r="BB458" s="3850"/>
      <c r="BC458" s="3850"/>
      <c r="BD458" s="3850"/>
      <c r="BE458" s="3850"/>
      <c r="BF458" s="3850"/>
      <c r="BG458" s="3850"/>
      <c r="BH458" s="3850"/>
      <c r="BI458" s="3850"/>
      <c r="BJ458" s="3850"/>
      <c r="BK458" s="3850"/>
      <c r="BL458" s="3850"/>
      <c r="BM458" s="3850"/>
      <c r="BN458" s="3850"/>
      <c r="BO458" s="3850"/>
      <c r="BP458" s="3850"/>
      <c r="BQ458" s="3850"/>
      <c r="BR458" s="3850"/>
      <c r="BS458" s="3850"/>
      <c r="BT458" s="3850"/>
      <c r="BU458" s="3850"/>
      <c r="BV458" s="3850"/>
      <c r="BW458" s="3850"/>
      <c r="BX458" s="3850"/>
      <c r="BY458" s="3850"/>
      <c r="BZ458" s="3850"/>
      <c r="CA458" s="3850"/>
      <c r="CB458" s="3850"/>
      <c r="CC458" s="3850"/>
      <c r="CD458" s="3850"/>
      <c r="CE458" s="3850"/>
      <c r="CF458" s="3850"/>
      <c r="CG458" s="3850"/>
      <c r="CH458" s="3850"/>
      <c r="CI458" s="3850"/>
      <c r="CJ458" s="3850"/>
      <c r="CK458" s="3850"/>
      <c r="CL458" s="3850"/>
      <c r="CM458" s="3850"/>
      <c r="CN458" s="3850"/>
      <c r="CO458" s="3850"/>
      <c r="CP458" s="3850"/>
      <c r="CQ458" s="3850"/>
      <c r="CR458" s="3850"/>
      <c r="CS458" s="3850"/>
      <c r="CT458" s="3850"/>
      <c r="CU458" s="3850"/>
      <c r="CV458" s="3850"/>
      <c r="CW458" s="3850"/>
      <c r="CX458" s="3850"/>
      <c r="CY458" s="3850"/>
      <c r="CZ458" s="3850"/>
      <c r="DA458" s="3850"/>
      <c r="DB458" s="3850"/>
      <c r="DC458" s="3850"/>
      <c r="DD458" s="3850"/>
      <c r="DE458" s="3850"/>
      <c r="DF458" s="3850"/>
      <c r="DG458" s="3850"/>
      <c r="DH458" s="3850"/>
      <c r="DI458" s="3850"/>
      <c r="DJ458" s="3850"/>
      <c r="DK458" s="3850"/>
      <c r="DL458" s="3850"/>
      <c r="DM458" s="3850"/>
      <c r="DN458" s="3850"/>
      <c r="DO458" s="3850"/>
      <c r="DP458" s="3850"/>
      <c r="DQ458" s="3850"/>
      <c r="DR458" s="3850"/>
      <c r="DS458" s="3850"/>
      <c r="DT458" s="3850"/>
      <c r="DU458" s="3850"/>
      <c r="DV458" s="3850"/>
      <c r="DW458" s="3850"/>
      <c r="DX458" s="3850"/>
      <c r="DY458" s="3850"/>
      <c r="DZ458" s="3850"/>
      <c r="EA458" s="3850"/>
    </row>
    <row r="459" spans="1:131" s="3849" customFormat="1">
      <c r="A459" s="4063"/>
      <c r="B459" s="4064"/>
      <c r="C459" s="4067"/>
      <c r="D459" s="3874"/>
      <c r="E459" s="3883"/>
      <c r="F459" s="3874"/>
      <c r="G459" s="3875"/>
      <c r="H459" s="3874"/>
      <c r="I459" s="3875"/>
      <c r="J459" s="3874"/>
      <c r="K459" s="3875"/>
      <c r="L459" s="3874"/>
      <c r="N459" s="3846"/>
      <c r="O459" s="3850"/>
      <c r="P459" s="3848"/>
      <c r="Q459" s="3850"/>
      <c r="R459" s="3850"/>
      <c r="S459" s="3850"/>
      <c r="T459" s="3850"/>
      <c r="U459" s="3850"/>
      <c r="V459" s="3850"/>
      <c r="W459" s="3850"/>
      <c r="X459" s="3850"/>
      <c r="Y459" s="3850"/>
      <c r="Z459" s="3850"/>
      <c r="AA459" s="3850"/>
      <c r="AB459" s="3850"/>
      <c r="AC459" s="3850"/>
      <c r="AD459" s="3850"/>
      <c r="AE459" s="3850"/>
      <c r="AF459" s="3850"/>
      <c r="AG459" s="3850"/>
      <c r="AH459" s="3850"/>
      <c r="AI459" s="3850"/>
      <c r="AJ459" s="3850"/>
      <c r="AK459" s="3850"/>
      <c r="AL459" s="3850"/>
      <c r="AM459" s="3850"/>
      <c r="AN459" s="3850"/>
      <c r="AO459" s="3850"/>
      <c r="AP459" s="3850"/>
      <c r="AQ459" s="3850"/>
      <c r="AR459" s="3850"/>
      <c r="AS459" s="3850"/>
      <c r="AV459" s="3850"/>
      <c r="AX459" s="3850"/>
      <c r="AY459" s="3850"/>
      <c r="AZ459" s="3850"/>
      <c r="BA459" s="3850"/>
      <c r="BB459" s="3850"/>
      <c r="BC459" s="3850"/>
      <c r="BD459" s="3850"/>
      <c r="BE459" s="3850"/>
      <c r="BF459" s="3850"/>
      <c r="BG459" s="3850"/>
      <c r="BH459" s="3850"/>
      <c r="BI459" s="3850"/>
      <c r="BJ459" s="3850"/>
      <c r="BK459" s="3850"/>
      <c r="BL459" s="3850"/>
      <c r="BM459" s="3850"/>
      <c r="BN459" s="3850"/>
      <c r="BO459" s="3850"/>
      <c r="BP459" s="3850"/>
      <c r="BQ459" s="3850"/>
      <c r="BR459" s="3850"/>
      <c r="BS459" s="3850"/>
      <c r="BT459" s="3850"/>
      <c r="BU459" s="3850"/>
      <c r="BV459" s="3850"/>
      <c r="BW459" s="3850"/>
      <c r="BX459" s="3850"/>
      <c r="BY459" s="3850"/>
      <c r="BZ459" s="3850"/>
      <c r="CA459" s="3850"/>
      <c r="CB459" s="3850"/>
      <c r="CC459" s="3850"/>
      <c r="CD459" s="3850"/>
      <c r="CE459" s="3850"/>
      <c r="CF459" s="3850"/>
      <c r="CG459" s="3850"/>
      <c r="CH459" s="3850"/>
      <c r="CI459" s="3850"/>
      <c r="CJ459" s="3850"/>
      <c r="CK459" s="3850"/>
      <c r="CL459" s="3850"/>
      <c r="CM459" s="3850"/>
      <c r="CN459" s="3850"/>
      <c r="CO459" s="3850"/>
      <c r="CP459" s="3850"/>
      <c r="CQ459" s="3850"/>
      <c r="CR459" s="3850"/>
      <c r="CS459" s="3850"/>
      <c r="CT459" s="3850"/>
      <c r="CU459" s="3850"/>
      <c r="CV459" s="3850"/>
      <c r="CW459" s="3850"/>
      <c r="CX459" s="3850"/>
      <c r="CY459" s="3850"/>
      <c r="CZ459" s="3850"/>
      <c r="DA459" s="3850"/>
      <c r="DB459" s="3850"/>
      <c r="DC459" s="3850"/>
      <c r="DD459" s="3850"/>
      <c r="DE459" s="3850"/>
      <c r="DF459" s="3850"/>
      <c r="DG459" s="3850"/>
      <c r="DH459" s="3850"/>
      <c r="DI459" s="3850"/>
      <c r="DJ459" s="3850"/>
      <c r="DK459" s="3850"/>
      <c r="DL459" s="3850"/>
      <c r="DM459" s="3850"/>
      <c r="DN459" s="3850"/>
      <c r="DO459" s="3850"/>
      <c r="DP459" s="3850"/>
      <c r="DQ459" s="3850"/>
      <c r="DR459" s="3850"/>
      <c r="DS459" s="3850"/>
      <c r="DT459" s="3850"/>
      <c r="DU459" s="3850"/>
      <c r="DV459" s="3850"/>
      <c r="DW459" s="3850"/>
      <c r="DX459" s="3850"/>
      <c r="DY459" s="3850"/>
      <c r="DZ459" s="3850"/>
      <c r="EA459" s="3850"/>
    </row>
    <row r="460" spans="1:131" s="3849" customFormat="1">
      <c r="A460" s="4063"/>
      <c r="B460" s="4064"/>
      <c r="C460" s="4067"/>
      <c r="D460" s="3874"/>
      <c r="E460" s="3883"/>
      <c r="F460" s="3874"/>
      <c r="G460" s="3875"/>
      <c r="H460" s="3874"/>
      <c r="I460" s="3875"/>
      <c r="J460" s="3874"/>
      <c r="K460" s="3875"/>
      <c r="L460" s="3874"/>
      <c r="N460" s="3846"/>
      <c r="O460" s="3850"/>
      <c r="P460" s="3848"/>
      <c r="Q460" s="3850"/>
      <c r="R460" s="3850"/>
      <c r="S460" s="3850"/>
      <c r="T460" s="3850"/>
      <c r="U460" s="3850"/>
      <c r="V460" s="3850"/>
      <c r="W460" s="3850"/>
      <c r="X460" s="3850"/>
      <c r="Y460" s="3850"/>
      <c r="Z460" s="3850"/>
      <c r="AA460" s="3850"/>
      <c r="AB460" s="3850"/>
      <c r="AC460" s="3850"/>
      <c r="AD460" s="3850"/>
      <c r="AE460" s="3850"/>
      <c r="AF460" s="3850"/>
      <c r="AG460" s="3850"/>
      <c r="AH460" s="3850"/>
      <c r="AI460" s="3850"/>
      <c r="AJ460" s="3850"/>
      <c r="AK460" s="3850"/>
      <c r="AL460" s="3850"/>
      <c r="AM460" s="3850"/>
      <c r="AN460" s="3850"/>
      <c r="AO460" s="3850"/>
      <c r="AP460" s="3850"/>
      <c r="AQ460" s="3850"/>
      <c r="AR460" s="3850"/>
      <c r="AS460" s="3850"/>
      <c r="AV460" s="3850"/>
      <c r="AX460" s="3850"/>
      <c r="AY460" s="3850"/>
      <c r="AZ460" s="3850"/>
      <c r="BA460" s="3850"/>
      <c r="BB460" s="3850"/>
      <c r="BC460" s="3850"/>
      <c r="BD460" s="3850"/>
      <c r="BE460" s="3850"/>
      <c r="BF460" s="3850"/>
      <c r="BG460" s="3850"/>
      <c r="BH460" s="3850"/>
      <c r="BI460" s="3850"/>
      <c r="BJ460" s="3850"/>
      <c r="BK460" s="3850"/>
      <c r="BL460" s="3850"/>
      <c r="BM460" s="3850"/>
      <c r="BN460" s="3850"/>
      <c r="BO460" s="3850"/>
      <c r="BP460" s="3850"/>
      <c r="BQ460" s="3850"/>
      <c r="BR460" s="3850"/>
      <c r="BS460" s="3850"/>
      <c r="BT460" s="3850"/>
      <c r="BU460" s="3850"/>
      <c r="BV460" s="3850"/>
      <c r="BW460" s="3850"/>
      <c r="BX460" s="3850"/>
      <c r="BY460" s="3850"/>
      <c r="BZ460" s="3850"/>
      <c r="CA460" s="3850"/>
      <c r="CB460" s="3850"/>
      <c r="CC460" s="3850"/>
      <c r="CD460" s="3850"/>
      <c r="CE460" s="3850"/>
      <c r="CF460" s="3850"/>
      <c r="CG460" s="3850"/>
      <c r="CH460" s="3850"/>
      <c r="CI460" s="3850"/>
      <c r="CJ460" s="3850"/>
      <c r="CK460" s="3850"/>
      <c r="CL460" s="3850"/>
      <c r="CM460" s="3850"/>
      <c r="CN460" s="3850"/>
      <c r="CO460" s="3850"/>
      <c r="CP460" s="3850"/>
      <c r="CQ460" s="3850"/>
      <c r="CR460" s="3850"/>
      <c r="CS460" s="3850"/>
      <c r="CT460" s="3850"/>
      <c r="CU460" s="3850"/>
      <c r="CV460" s="3850"/>
      <c r="CW460" s="3850"/>
      <c r="CX460" s="3850"/>
      <c r="CY460" s="3850"/>
      <c r="CZ460" s="3850"/>
      <c r="DA460" s="3850"/>
      <c r="DB460" s="3850"/>
      <c r="DC460" s="3850"/>
      <c r="DD460" s="3850"/>
      <c r="DE460" s="3850"/>
      <c r="DF460" s="3850"/>
      <c r="DG460" s="3850"/>
      <c r="DH460" s="3850"/>
      <c r="DI460" s="3850"/>
      <c r="DJ460" s="3850"/>
      <c r="DK460" s="3850"/>
      <c r="DL460" s="3850"/>
      <c r="DM460" s="3850"/>
      <c r="DN460" s="3850"/>
      <c r="DO460" s="3850"/>
      <c r="DP460" s="3850"/>
      <c r="DQ460" s="3850"/>
      <c r="DR460" s="3850"/>
      <c r="DS460" s="3850"/>
      <c r="DT460" s="3850"/>
      <c r="DU460" s="3850"/>
      <c r="DV460" s="3850"/>
      <c r="DW460" s="3850"/>
      <c r="DX460" s="3850"/>
      <c r="DY460" s="3850"/>
      <c r="DZ460" s="3850"/>
      <c r="EA460" s="3850"/>
    </row>
    <row r="461" spans="1:131" s="3849" customFormat="1">
      <c r="A461" s="4063"/>
      <c r="B461" s="4064"/>
      <c r="C461" s="4067"/>
      <c r="D461" s="3874"/>
      <c r="E461" s="3883"/>
      <c r="F461" s="3874"/>
      <c r="G461" s="3875"/>
      <c r="H461" s="3874"/>
      <c r="I461" s="3875"/>
      <c r="J461" s="3874"/>
      <c r="K461" s="3875"/>
      <c r="L461" s="3874"/>
      <c r="N461" s="3846"/>
      <c r="O461" s="3850"/>
      <c r="P461" s="3848"/>
      <c r="Q461" s="3850"/>
      <c r="R461" s="3850"/>
      <c r="S461" s="3850"/>
      <c r="T461" s="3850"/>
      <c r="U461" s="3850"/>
      <c r="V461" s="3850"/>
      <c r="W461" s="3850"/>
      <c r="X461" s="3850"/>
      <c r="Y461" s="3850"/>
      <c r="Z461" s="3850"/>
      <c r="AA461" s="3850"/>
      <c r="AB461" s="3850"/>
      <c r="AC461" s="3850"/>
      <c r="AD461" s="3850"/>
      <c r="AE461" s="3850"/>
      <c r="AF461" s="3850"/>
      <c r="AG461" s="3850"/>
      <c r="AH461" s="3850"/>
      <c r="AI461" s="3850"/>
      <c r="AJ461" s="3850"/>
      <c r="AK461" s="3850"/>
      <c r="AL461" s="3850"/>
      <c r="AM461" s="3850"/>
      <c r="AN461" s="3850"/>
      <c r="AO461" s="3850"/>
      <c r="AP461" s="3850"/>
      <c r="AQ461" s="3850"/>
      <c r="AR461" s="3850"/>
      <c r="AS461" s="3850"/>
      <c r="AV461" s="3850"/>
      <c r="AX461" s="3850"/>
      <c r="AY461" s="3850"/>
      <c r="AZ461" s="3850"/>
      <c r="BA461" s="3850"/>
      <c r="BB461" s="3850"/>
      <c r="BC461" s="3850"/>
      <c r="BD461" s="3850"/>
      <c r="BE461" s="3850"/>
      <c r="BF461" s="3850"/>
      <c r="BG461" s="3850"/>
      <c r="BH461" s="3850"/>
      <c r="BI461" s="3850"/>
      <c r="BJ461" s="3850"/>
      <c r="BK461" s="3850"/>
      <c r="BL461" s="3850"/>
      <c r="BM461" s="3850"/>
      <c r="BN461" s="3850"/>
      <c r="BO461" s="3850"/>
      <c r="BP461" s="3850"/>
      <c r="BQ461" s="3850"/>
      <c r="BR461" s="3850"/>
      <c r="BS461" s="3850"/>
      <c r="BT461" s="3850"/>
      <c r="BU461" s="3850"/>
      <c r="BV461" s="3850"/>
      <c r="BW461" s="3850"/>
      <c r="BX461" s="3850"/>
      <c r="BY461" s="3850"/>
      <c r="BZ461" s="3850"/>
      <c r="CA461" s="3850"/>
      <c r="CB461" s="3850"/>
      <c r="CC461" s="3850"/>
      <c r="CD461" s="3850"/>
      <c r="CE461" s="3850"/>
      <c r="CF461" s="3850"/>
      <c r="CG461" s="3850"/>
      <c r="CH461" s="3850"/>
      <c r="CI461" s="3850"/>
      <c r="CJ461" s="3850"/>
      <c r="CK461" s="3850"/>
      <c r="CL461" s="3850"/>
      <c r="CM461" s="3850"/>
      <c r="CN461" s="3850"/>
      <c r="CO461" s="3850"/>
      <c r="CP461" s="3850"/>
      <c r="CQ461" s="3850"/>
      <c r="CR461" s="3850"/>
      <c r="CS461" s="3850"/>
      <c r="CT461" s="3850"/>
      <c r="CU461" s="3850"/>
      <c r="CV461" s="3850"/>
      <c r="CW461" s="3850"/>
      <c r="CX461" s="3850"/>
      <c r="CY461" s="3850"/>
      <c r="CZ461" s="3850"/>
      <c r="DA461" s="3850"/>
      <c r="DB461" s="3850"/>
      <c r="DC461" s="3850"/>
      <c r="DD461" s="3850"/>
      <c r="DE461" s="3850"/>
      <c r="DF461" s="3850"/>
      <c r="DG461" s="3850"/>
      <c r="DH461" s="3850"/>
      <c r="DI461" s="3850"/>
      <c r="DJ461" s="3850"/>
      <c r="DK461" s="3850"/>
      <c r="DL461" s="3850"/>
      <c r="DM461" s="3850"/>
      <c r="DN461" s="3850"/>
      <c r="DO461" s="3850"/>
      <c r="DP461" s="3850"/>
      <c r="DQ461" s="3850"/>
      <c r="DR461" s="3850"/>
      <c r="DS461" s="3850"/>
      <c r="DT461" s="3850"/>
      <c r="DU461" s="3850"/>
      <c r="DV461" s="3850"/>
      <c r="DW461" s="3850"/>
      <c r="DX461" s="3850"/>
      <c r="DY461" s="3850"/>
      <c r="DZ461" s="3850"/>
      <c r="EA461" s="3850"/>
    </row>
    <row r="462" spans="1:131" s="3849" customFormat="1">
      <c r="A462" s="4063"/>
      <c r="B462" s="4064"/>
      <c r="C462" s="4067"/>
      <c r="D462" s="3874"/>
      <c r="E462" s="3883"/>
      <c r="F462" s="3874"/>
      <c r="G462" s="3875"/>
      <c r="H462" s="3874"/>
      <c r="I462" s="3875"/>
      <c r="J462" s="3874"/>
      <c r="K462" s="3875"/>
      <c r="L462" s="3874"/>
      <c r="N462" s="3846"/>
      <c r="O462" s="3850"/>
      <c r="P462" s="3848"/>
      <c r="Q462" s="3850"/>
      <c r="R462" s="3850"/>
      <c r="S462" s="3850"/>
      <c r="T462" s="3850"/>
      <c r="U462" s="3850"/>
      <c r="V462" s="3850"/>
      <c r="W462" s="3850"/>
      <c r="X462" s="3850"/>
      <c r="Y462" s="3850"/>
      <c r="Z462" s="3850"/>
      <c r="AA462" s="3850"/>
      <c r="AB462" s="3850"/>
      <c r="AC462" s="3850"/>
      <c r="AD462" s="3850"/>
      <c r="AE462" s="3850"/>
      <c r="AF462" s="3850"/>
      <c r="AG462" s="3850"/>
      <c r="AH462" s="3850"/>
      <c r="AI462" s="3850"/>
      <c r="AJ462" s="3850"/>
      <c r="AK462" s="3850"/>
      <c r="AL462" s="3850"/>
      <c r="AM462" s="3850"/>
      <c r="AN462" s="3850"/>
      <c r="AO462" s="3850"/>
      <c r="AP462" s="3850"/>
      <c r="AQ462" s="3850"/>
      <c r="AR462" s="3850"/>
      <c r="AS462" s="3850"/>
      <c r="AV462" s="3850"/>
      <c r="AX462" s="3850"/>
      <c r="AY462" s="3850"/>
      <c r="AZ462" s="3850"/>
      <c r="BA462" s="3850"/>
      <c r="BB462" s="3850"/>
      <c r="BC462" s="3850"/>
      <c r="BD462" s="3850"/>
      <c r="BE462" s="3850"/>
      <c r="BF462" s="3850"/>
      <c r="BG462" s="3850"/>
      <c r="BH462" s="3850"/>
      <c r="BI462" s="3850"/>
      <c r="BJ462" s="3850"/>
      <c r="BK462" s="3850"/>
      <c r="BL462" s="3850"/>
      <c r="BM462" s="3850"/>
      <c r="BN462" s="3850"/>
      <c r="BO462" s="3850"/>
      <c r="BP462" s="3850"/>
      <c r="BQ462" s="3850"/>
      <c r="BR462" s="3850"/>
      <c r="BS462" s="3850"/>
      <c r="BT462" s="3850"/>
      <c r="BU462" s="3850"/>
      <c r="BV462" s="3850"/>
      <c r="BW462" s="3850"/>
      <c r="BX462" s="3850"/>
      <c r="BY462" s="3850"/>
      <c r="BZ462" s="3850"/>
      <c r="CA462" s="3850"/>
      <c r="CB462" s="3850"/>
      <c r="CC462" s="3850"/>
      <c r="CD462" s="3850"/>
      <c r="CE462" s="3850"/>
      <c r="CF462" s="3850"/>
      <c r="CG462" s="3850"/>
      <c r="CH462" s="3850"/>
      <c r="CI462" s="3850"/>
      <c r="CJ462" s="3850"/>
      <c r="CK462" s="3850"/>
      <c r="CL462" s="3850"/>
      <c r="CM462" s="3850"/>
      <c r="CN462" s="3850"/>
      <c r="CO462" s="3850"/>
      <c r="CP462" s="3850"/>
      <c r="CQ462" s="3850"/>
      <c r="CR462" s="3850"/>
      <c r="CS462" s="3850"/>
      <c r="CT462" s="3850"/>
      <c r="CU462" s="3850"/>
      <c r="CV462" s="3850"/>
      <c r="CW462" s="3850"/>
      <c r="CX462" s="3850"/>
      <c r="CY462" s="3850"/>
      <c r="CZ462" s="3850"/>
      <c r="DA462" s="3850"/>
      <c r="DB462" s="3850"/>
      <c r="DC462" s="3850"/>
      <c r="DD462" s="3850"/>
      <c r="DE462" s="3850"/>
      <c r="DF462" s="3850"/>
      <c r="DG462" s="3850"/>
      <c r="DH462" s="3850"/>
      <c r="DI462" s="3850"/>
      <c r="DJ462" s="3850"/>
      <c r="DK462" s="3850"/>
      <c r="DL462" s="3850"/>
      <c r="DM462" s="3850"/>
      <c r="DN462" s="3850"/>
      <c r="DO462" s="3850"/>
      <c r="DP462" s="3850"/>
      <c r="DQ462" s="3850"/>
      <c r="DR462" s="3850"/>
      <c r="DS462" s="3850"/>
      <c r="DT462" s="3850"/>
      <c r="DU462" s="3850"/>
      <c r="DV462" s="3850"/>
      <c r="DW462" s="3850"/>
      <c r="DX462" s="3850"/>
      <c r="DY462" s="3850"/>
      <c r="DZ462" s="3850"/>
      <c r="EA462" s="3850"/>
    </row>
    <row r="463" spans="1:131" s="3849" customFormat="1">
      <c r="A463" s="4063"/>
      <c r="B463" s="4064"/>
      <c r="C463" s="4067"/>
      <c r="D463" s="3874"/>
      <c r="E463" s="3883"/>
      <c r="F463" s="3874"/>
      <c r="G463" s="3875"/>
      <c r="H463" s="3874"/>
      <c r="I463" s="3875"/>
      <c r="J463" s="3874"/>
      <c r="K463" s="3875"/>
      <c r="L463" s="3874"/>
      <c r="N463" s="3846"/>
      <c r="O463" s="3850"/>
      <c r="P463" s="3848"/>
      <c r="Q463" s="3850"/>
      <c r="R463" s="3850"/>
      <c r="S463" s="3850"/>
      <c r="T463" s="3850"/>
      <c r="U463" s="3850"/>
      <c r="V463" s="3850"/>
      <c r="W463" s="3850"/>
      <c r="X463" s="3850"/>
      <c r="Y463" s="3850"/>
      <c r="Z463" s="3850"/>
      <c r="AA463" s="3850"/>
      <c r="AB463" s="3850"/>
      <c r="AC463" s="3850"/>
      <c r="AD463" s="3850"/>
      <c r="AE463" s="3850"/>
      <c r="AF463" s="3850"/>
      <c r="AG463" s="3850"/>
      <c r="AH463" s="3850"/>
      <c r="AI463" s="3850"/>
      <c r="AJ463" s="3850"/>
      <c r="AK463" s="3850"/>
      <c r="AL463" s="3850"/>
      <c r="AM463" s="3850"/>
      <c r="AN463" s="3850"/>
      <c r="AO463" s="3850"/>
      <c r="AP463" s="3850"/>
      <c r="AQ463" s="3850"/>
      <c r="AR463" s="3850"/>
      <c r="AS463" s="3850"/>
      <c r="AV463" s="3850"/>
      <c r="AX463" s="3850"/>
      <c r="AY463" s="3850"/>
      <c r="AZ463" s="3850"/>
      <c r="BA463" s="3850"/>
      <c r="BB463" s="3850"/>
      <c r="BC463" s="3850"/>
      <c r="BD463" s="3850"/>
      <c r="BE463" s="3850"/>
      <c r="BF463" s="3850"/>
      <c r="BG463" s="3850"/>
      <c r="BH463" s="3850"/>
      <c r="BI463" s="3850"/>
      <c r="BJ463" s="3850"/>
      <c r="BK463" s="3850"/>
      <c r="BL463" s="3850"/>
      <c r="BM463" s="3850"/>
      <c r="BN463" s="3850"/>
      <c r="BO463" s="3850"/>
      <c r="BP463" s="3850"/>
      <c r="BQ463" s="3850"/>
      <c r="BR463" s="3850"/>
      <c r="BS463" s="3850"/>
      <c r="BT463" s="3850"/>
      <c r="BU463" s="3850"/>
      <c r="BV463" s="3850"/>
      <c r="BW463" s="3850"/>
      <c r="BX463" s="3850"/>
      <c r="BY463" s="3850"/>
      <c r="BZ463" s="3850"/>
      <c r="CA463" s="3850"/>
      <c r="CB463" s="3850"/>
      <c r="CC463" s="3850"/>
      <c r="CD463" s="3850"/>
      <c r="CE463" s="3850"/>
      <c r="CF463" s="3850"/>
      <c r="CG463" s="3850"/>
      <c r="CH463" s="3850"/>
      <c r="CI463" s="3850"/>
      <c r="CJ463" s="3850"/>
      <c r="CK463" s="3850"/>
      <c r="CL463" s="3850"/>
      <c r="CM463" s="3850"/>
      <c r="CN463" s="3850"/>
      <c r="CO463" s="3850"/>
      <c r="CP463" s="3850"/>
      <c r="CQ463" s="3850"/>
      <c r="CR463" s="3850"/>
      <c r="CS463" s="3850"/>
      <c r="CT463" s="3850"/>
      <c r="CU463" s="3850"/>
      <c r="CV463" s="3850"/>
      <c r="CW463" s="3850"/>
      <c r="CX463" s="3850"/>
      <c r="CY463" s="3850"/>
      <c r="CZ463" s="3850"/>
      <c r="DA463" s="3850"/>
      <c r="DB463" s="3850"/>
      <c r="DC463" s="3850"/>
      <c r="DD463" s="3850"/>
      <c r="DE463" s="3850"/>
      <c r="DF463" s="3850"/>
      <c r="DG463" s="3850"/>
      <c r="DH463" s="3850"/>
      <c r="DI463" s="3850"/>
      <c r="DJ463" s="3850"/>
      <c r="DK463" s="3850"/>
      <c r="DL463" s="3850"/>
      <c r="DM463" s="3850"/>
      <c r="DN463" s="3850"/>
      <c r="DO463" s="3850"/>
      <c r="DP463" s="3850"/>
      <c r="DQ463" s="3850"/>
      <c r="DR463" s="3850"/>
      <c r="DS463" s="3850"/>
      <c r="DT463" s="3850"/>
      <c r="DU463" s="3850"/>
      <c r="DV463" s="3850"/>
      <c r="DW463" s="3850"/>
      <c r="DX463" s="3850"/>
      <c r="DY463" s="3850"/>
      <c r="DZ463" s="3850"/>
      <c r="EA463" s="3850"/>
    </row>
    <row r="464" spans="1:131" s="3849" customFormat="1">
      <c r="A464" s="4063"/>
      <c r="B464" s="4064"/>
      <c r="C464" s="4067"/>
      <c r="D464" s="3874"/>
      <c r="E464" s="3883"/>
      <c r="F464" s="3874"/>
      <c r="G464" s="3875"/>
      <c r="H464" s="3874"/>
      <c r="I464" s="3875"/>
      <c r="J464" s="3874"/>
      <c r="K464" s="3875"/>
      <c r="L464" s="3874"/>
      <c r="N464" s="3846"/>
      <c r="O464" s="3850"/>
      <c r="P464" s="3848"/>
      <c r="Q464" s="3850"/>
      <c r="R464" s="3850"/>
      <c r="S464" s="3850"/>
      <c r="T464" s="3850"/>
      <c r="U464" s="3850"/>
      <c r="V464" s="3850"/>
      <c r="W464" s="3850"/>
      <c r="X464" s="3850"/>
      <c r="Y464" s="3850"/>
      <c r="Z464" s="3850"/>
      <c r="AA464" s="3850"/>
      <c r="AB464" s="3850"/>
      <c r="AC464" s="3850"/>
      <c r="AD464" s="3850"/>
      <c r="AE464" s="3850"/>
      <c r="AF464" s="3850"/>
      <c r="AG464" s="3850"/>
      <c r="AH464" s="3850"/>
      <c r="AI464" s="3850"/>
      <c r="AJ464" s="3850"/>
      <c r="AK464" s="3850"/>
      <c r="AL464" s="3850"/>
      <c r="AM464" s="3850"/>
      <c r="AN464" s="3850"/>
      <c r="AO464" s="3850"/>
      <c r="AP464" s="3850"/>
      <c r="AQ464" s="3850"/>
      <c r="AR464" s="3850"/>
      <c r="AS464" s="3850"/>
      <c r="AV464" s="3850"/>
      <c r="AX464" s="3850"/>
      <c r="AY464" s="3850"/>
      <c r="AZ464" s="3850"/>
      <c r="BA464" s="3850"/>
      <c r="BB464" s="3850"/>
      <c r="BC464" s="3850"/>
      <c r="BD464" s="3850"/>
      <c r="BE464" s="3850"/>
      <c r="BF464" s="3850"/>
      <c r="BG464" s="3850"/>
      <c r="BH464" s="3850"/>
      <c r="BI464" s="3850"/>
      <c r="BJ464" s="3850"/>
      <c r="BK464" s="3850"/>
      <c r="BL464" s="3850"/>
      <c r="BM464" s="3850"/>
      <c r="BN464" s="3850"/>
      <c r="BO464" s="3850"/>
      <c r="BP464" s="3850"/>
      <c r="BQ464" s="3850"/>
      <c r="BR464" s="3850"/>
      <c r="BS464" s="3850"/>
      <c r="BT464" s="3850"/>
      <c r="BU464" s="3850"/>
      <c r="BV464" s="3850"/>
      <c r="BW464" s="3850"/>
      <c r="BX464" s="3850"/>
      <c r="BY464" s="3850"/>
      <c r="BZ464" s="3850"/>
      <c r="CA464" s="3850"/>
      <c r="CB464" s="3850"/>
      <c r="CC464" s="3850"/>
      <c r="CD464" s="3850"/>
      <c r="CE464" s="3850"/>
      <c r="CF464" s="3850"/>
      <c r="CG464" s="3850"/>
      <c r="CH464" s="3850"/>
      <c r="CI464" s="3850"/>
      <c r="CJ464" s="3850"/>
      <c r="CK464" s="3850"/>
      <c r="CL464" s="3850"/>
      <c r="CM464" s="3850"/>
      <c r="CN464" s="3850"/>
      <c r="CO464" s="3850"/>
      <c r="CP464" s="3850"/>
      <c r="CQ464" s="3850"/>
      <c r="CR464" s="3850"/>
      <c r="CS464" s="3850"/>
      <c r="CT464" s="3850"/>
      <c r="CU464" s="3850"/>
      <c r="CV464" s="3850"/>
      <c r="CW464" s="3850"/>
      <c r="CX464" s="3850"/>
      <c r="CY464" s="3850"/>
      <c r="CZ464" s="3850"/>
      <c r="DA464" s="3850"/>
      <c r="DB464" s="3850"/>
      <c r="DC464" s="3850"/>
      <c r="DD464" s="3850"/>
      <c r="DE464" s="3850"/>
      <c r="DF464" s="3850"/>
      <c r="DG464" s="3850"/>
      <c r="DH464" s="3850"/>
      <c r="DI464" s="3850"/>
      <c r="DJ464" s="3850"/>
      <c r="DK464" s="3850"/>
      <c r="DL464" s="3850"/>
      <c r="DM464" s="3850"/>
      <c r="DN464" s="3850"/>
      <c r="DO464" s="3850"/>
      <c r="DP464" s="3850"/>
      <c r="DQ464" s="3850"/>
      <c r="DR464" s="3850"/>
      <c r="DS464" s="3850"/>
      <c r="DT464" s="3850"/>
      <c r="DU464" s="3850"/>
      <c r="DV464" s="3850"/>
      <c r="DW464" s="3850"/>
      <c r="DX464" s="3850"/>
      <c r="DY464" s="3850"/>
      <c r="DZ464" s="3850"/>
      <c r="EA464" s="3850"/>
    </row>
    <row r="465" spans="1:131" s="3849" customFormat="1">
      <c r="A465" s="4063"/>
      <c r="B465" s="4064"/>
      <c r="C465" s="4067"/>
      <c r="D465" s="3874"/>
      <c r="E465" s="3883"/>
      <c r="F465" s="3874"/>
      <c r="G465" s="3875"/>
      <c r="H465" s="3874"/>
      <c r="I465" s="3875"/>
      <c r="J465" s="3874"/>
      <c r="K465" s="3875"/>
      <c r="L465" s="3874"/>
      <c r="N465" s="3846"/>
      <c r="O465" s="3850"/>
      <c r="P465" s="3848"/>
      <c r="Q465" s="3850"/>
      <c r="R465" s="3850"/>
      <c r="S465" s="3850"/>
      <c r="T465" s="3850"/>
      <c r="U465" s="3850"/>
      <c r="V465" s="3850"/>
      <c r="W465" s="3850"/>
      <c r="X465" s="3850"/>
      <c r="Y465" s="3850"/>
      <c r="Z465" s="3850"/>
      <c r="AA465" s="3850"/>
      <c r="AB465" s="3850"/>
      <c r="AC465" s="3850"/>
      <c r="AD465" s="3850"/>
      <c r="AE465" s="3850"/>
      <c r="AF465" s="3850"/>
      <c r="AG465" s="3850"/>
      <c r="AH465" s="3850"/>
      <c r="AI465" s="3850"/>
      <c r="AJ465" s="3850"/>
      <c r="AK465" s="3850"/>
      <c r="AL465" s="3850"/>
      <c r="AM465" s="3850"/>
      <c r="AN465" s="3850"/>
      <c r="AO465" s="3850"/>
      <c r="AP465" s="3850"/>
      <c r="AQ465" s="3850"/>
      <c r="AR465" s="3850"/>
      <c r="AS465" s="3850"/>
      <c r="AV465" s="3850"/>
      <c r="AX465" s="3850"/>
      <c r="AY465" s="3850"/>
      <c r="AZ465" s="3850"/>
      <c r="BA465" s="3850"/>
      <c r="BB465" s="3850"/>
      <c r="BC465" s="3850"/>
      <c r="BD465" s="3850"/>
      <c r="BE465" s="3850"/>
      <c r="BF465" s="3850"/>
      <c r="BG465" s="3850"/>
      <c r="BH465" s="3850"/>
      <c r="BI465" s="3850"/>
      <c r="BJ465" s="3850"/>
      <c r="BK465" s="3850"/>
      <c r="BL465" s="3850"/>
      <c r="BM465" s="3850"/>
      <c r="BN465" s="3850"/>
      <c r="BO465" s="3850"/>
      <c r="BP465" s="3850"/>
      <c r="BQ465" s="3850"/>
      <c r="BR465" s="3850"/>
      <c r="BS465" s="3850"/>
      <c r="BT465" s="3850"/>
      <c r="BU465" s="3850"/>
      <c r="BV465" s="3850"/>
      <c r="BW465" s="3850"/>
      <c r="BX465" s="3850"/>
      <c r="BY465" s="3850"/>
      <c r="BZ465" s="3850"/>
      <c r="CA465" s="3850"/>
      <c r="CB465" s="3850"/>
      <c r="CC465" s="3850"/>
      <c r="CD465" s="3850"/>
      <c r="CE465" s="3850"/>
      <c r="CF465" s="3850"/>
      <c r="CG465" s="3850"/>
      <c r="CH465" s="3850"/>
      <c r="CI465" s="3850"/>
      <c r="CJ465" s="3850"/>
      <c r="CK465" s="3850"/>
      <c r="CL465" s="3850"/>
      <c r="CM465" s="3850"/>
      <c r="CN465" s="3850"/>
      <c r="CO465" s="3850"/>
      <c r="CP465" s="3850"/>
      <c r="CQ465" s="3850"/>
      <c r="CR465" s="3850"/>
      <c r="CS465" s="3850"/>
      <c r="CT465" s="3850"/>
      <c r="CU465" s="3850"/>
      <c r="CV465" s="3850"/>
      <c r="CW465" s="3850"/>
      <c r="CX465" s="3850"/>
      <c r="CY465" s="3850"/>
      <c r="CZ465" s="3850"/>
      <c r="DA465" s="3850"/>
      <c r="DB465" s="3850"/>
      <c r="DC465" s="3850"/>
      <c r="DD465" s="3850"/>
      <c r="DE465" s="3850"/>
      <c r="DF465" s="3850"/>
      <c r="DG465" s="3850"/>
      <c r="DH465" s="3850"/>
      <c r="DI465" s="3850"/>
      <c r="DJ465" s="3850"/>
      <c r="DK465" s="3850"/>
      <c r="DL465" s="3850"/>
      <c r="DM465" s="3850"/>
      <c r="DN465" s="3850"/>
      <c r="DO465" s="3850"/>
      <c r="DP465" s="3850"/>
      <c r="DQ465" s="3850"/>
      <c r="DR465" s="3850"/>
      <c r="DS465" s="3850"/>
      <c r="DT465" s="3850"/>
      <c r="DU465" s="3850"/>
      <c r="DV465" s="3850"/>
      <c r="DW465" s="3850"/>
      <c r="DX465" s="3850"/>
      <c r="DY465" s="3850"/>
      <c r="DZ465" s="3850"/>
      <c r="EA465" s="3850"/>
    </row>
    <row r="466" spans="1:131" s="3849" customFormat="1">
      <c r="A466" s="4063"/>
      <c r="B466" s="4064"/>
      <c r="C466" s="4067"/>
      <c r="D466" s="3874"/>
      <c r="E466" s="3883"/>
      <c r="F466" s="3874"/>
      <c r="G466" s="3875"/>
      <c r="H466" s="3874"/>
      <c r="I466" s="3875"/>
      <c r="J466" s="3874"/>
      <c r="K466" s="3875"/>
      <c r="L466" s="3874"/>
      <c r="N466" s="3846"/>
      <c r="O466" s="3850"/>
      <c r="P466" s="3848"/>
      <c r="Q466" s="3850"/>
      <c r="R466" s="3850"/>
      <c r="S466" s="3850"/>
      <c r="T466" s="3850"/>
      <c r="U466" s="3850"/>
      <c r="V466" s="3850"/>
      <c r="W466" s="3850"/>
      <c r="X466" s="3850"/>
      <c r="Y466" s="3850"/>
      <c r="Z466" s="3850"/>
      <c r="AA466" s="3850"/>
      <c r="AB466" s="3850"/>
      <c r="AC466" s="3850"/>
      <c r="AD466" s="3850"/>
      <c r="AE466" s="3850"/>
      <c r="AF466" s="3850"/>
      <c r="AG466" s="3850"/>
      <c r="AH466" s="3850"/>
      <c r="AI466" s="3850"/>
      <c r="AJ466" s="3850"/>
      <c r="AK466" s="3850"/>
      <c r="AL466" s="3850"/>
      <c r="AM466" s="3850"/>
      <c r="AN466" s="3850"/>
      <c r="AO466" s="3850"/>
      <c r="AP466" s="3850"/>
      <c r="AQ466" s="3850"/>
      <c r="AR466" s="3850"/>
      <c r="AS466" s="3850"/>
      <c r="AV466" s="3850"/>
      <c r="AX466" s="3850"/>
      <c r="AY466" s="3850"/>
      <c r="AZ466" s="3850"/>
      <c r="BA466" s="3850"/>
      <c r="BB466" s="3850"/>
      <c r="BC466" s="3850"/>
      <c r="BD466" s="3850"/>
      <c r="BE466" s="3850"/>
      <c r="BF466" s="3850"/>
      <c r="BG466" s="3850"/>
      <c r="BH466" s="3850"/>
      <c r="BI466" s="3850"/>
      <c r="BJ466" s="3850"/>
      <c r="BK466" s="3850"/>
      <c r="BL466" s="3850"/>
      <c r="BM466" s="3850"/>
      <c r="BN466" s="3850"/>
      <c r="BO466" s="3850"/>
      <c r="BP466" s="3850"/>
      <c r="BQ466" s="3850"/>
      <c r="BR466" s="3850"/>
      <c r="BS466" s="3850"/>
      <c r="BT466" s="3850"/>
      <c r="BU466" s="3850"/>
      <c r="BV466" s="3850"/>
      <c r="BW466" s="3850"/>
      <c r="BX466" s="3850"/>
      <c r="BY466" s="3850"/>
      <c r="BZ466" s="3850"/>
      <c r="CA466" s="3850"/>
      <c r="CB466" s="3850"/>
      <c r="CC466" s="3850"/>
      <c r="CD466" s="3850"/>
      <c r="CE466" s="3850"/>
      <c r="CF466" s="3850"/>
      <c r="CG466" s="3850"/>
      <c r="CH466" s="3850"/>
      <c r="CI466" s="3850"/>
      <c r="CJ466" s="3850"/>
      <c r="CK466" s="3850"/>
      <c r="CL466" s="3850"/>
      <c r="CM466" s="3850"/>
      <c r="CN466" s="3850"/>
      <c r="CO466" s="3850"/>
      <c r="CP466" s="3850"/>
      <c r="CQ466" s="3850"/>
      <c r="CR466" s="3850"/>
      <c r="CS466" s="3850"/>
      <c r="CT466" s="3850"/>
      <c r="CU466" s="3850"/>
      <c r="CV466" s="3850"/>
      <c r="CW466" s="3850"/>
      <c r="CX466" s="3850"/>
      <c r="CY466" s="3850"/>
      <c r="CZ466" s="3850"/>
      <c r="DA466" s="3850"/>
      <c r="DB466" s="3850"/>
      <c r="DC466" s="3850"/>
      <c r="DD466" s="3850"/>
      <c r="DE466" s="3850"/>
      <c r="DF466" s="3850"/>
      <c r="DG466" s="3850"/>
      <c r="DH466" s="3850"/>
      <c r="DI466" s="3850"/>
      <c r="DJ466" s="3850"/>
      <c r="DK466" s="3850"/>
      <c r="DL466" s="3850"/>
      <c r="DM466" s="3850"/>
      <c r="DN466" s="3850"/>
      <c r="DO466" s="3850"/>
      <c r="DP466" s="3850"/>
      <c r="DQ466" s="3850"/>
      <c r="DR466" s="3850"/>
      <c r="DS466" s="3850"/>
      <c r="DT466" s="3850"/>
      <c r="DU466" s="3850"/>
      <c r="DV466" s="3850"/>
      <c r="DW466" s="3850"/>
      <c r="DX466" s="3850"/>
      <c r="DY466" s="3850"/>
      <c r="DZ466" s="3850"/>
      <c r="EA466" s="3850"/>
    </row>
    <row r="467" spans="1:131" s="3849" customFormat="1">
      <c r="A467" s="4063"/>
      <c r="B467" s="4064"/>
      <c r="C467" s="4067"/>
      <c r="D467" s="3874"/>
      <c r="E467" s="3883"/>
      <c r="F467" s="3874"/>
      <c r="G467" s="3875"/>
      <c r="H467" s="3874"/>
      <c r="I467" s="3875"/>
      <c r="J467" s="3874"/>
      <c r="K467" s="3875"/>
      <c r="L467" s="3874"/>
      <c r="N467" s="3846"/>
      <c r="O467" s="3850"/>
      <c r="P467" s="3848"/>
      <c r="Q467" s="3850"/>
      <c r="R467" s="3850"/>
      <c r="S467" s="3850"/>
      <c r="T467" s="3850"/>
      <c r="U467" s="3850"/>
      <c r="V467" s="3850"/>
      <c r="W467" s="3850"/>
      <c r="X467" s="3850"/>
      <c r="Y467" s="3850"/>
      <c r="Z467" s="3850"/>
      <c r="AA467" s="3850"/>
      <c r="AB467" s="3850"/>
      <c r="AC467" s="3850"/>
      <c r="AD467" s="3850"/>
      <c r="AE467" s="3850"/>
      <c r="AF467" s="3850"/>
      <c r="AG467" s="3850"/>
      <c r="AH467" s="3850"/>
      <c r="AI467" s="3850"/>
      <c r="AJ467" s="3850"/>
      <c r="AK467" s="3850"/>
      <c r="AL467" s="3850"/>
      <c r="AM467" s="3850"/>
      <c r="AN467" s="3850"/>
      <c r="AO467" s="3850"/>
      <c r="AP467" s="3850"/>
      <c r="AQ467" s="3850"/>
      <c r="AR467" s="3850"/>
      <c r="AS467" s="3850"/>
      <c r="AV467" s="3850"/>
      <c r="AX467" s="3850"/>
      <c r="AY467" s="3850"/>
      <c r="AZ467" s="3850"/>
      <c r="BA467" s="3850"/>
      <c r="BB467" s="3850"/>
      <c r="BC467" s="3850"/>
      <c r="BD467" s="3850"/>
      <c r="BE467" s="3850"/>
      <c r="BF467" s="3850"/>
      <c r="BG467" s="3850"/>
      <c r="BH467" s="3850"/>
      <c r="BI467" s="3850"/>
      <c r="BJ467" s="3850"/>
      <c r="BK467" s="3850"/>
      <c r="BL467" s="3850"/>
      <c r="BM467" s="3850"/>
      <c r="BN467" s="3850"/>
      <c r="BO467" s="3850"/>
      <c r="BP467" s="3850"/>
      <c r="BQ467" s="3850"/>
      <c r="BR467" s="3850"/>
      <c r="BS467" s="3850"/>
      <c r="BT467" s="3850"/>
      <c r="BU467" s="3850"/>
      <c r="BV467" s="3850"/>
      <c r="BW467" s="3850"/>
      <c r="BX467" s="3850"/>
      <c r="BY467" s="3850"/>
      <c r="BZ467" s="3850"/>
      <c r="CA467" s="3850"/>
      <c r="CB467" s="3850"/>
      <c r="CC467" s="3850"/>
      <c r="CD467" s="3850"/>
      <c r="CE467" s="3850"/>
      <c r="CF467" s="3850"/>
      <c r="CG467" s="3850"/>
      <c r="CH467" s="3850"/>
      <c r="CI467" s="3850"/>
      <c r="CJ467" s="3850"/>
      <c r="CK467" s="3850"/>
      <c r="CL467" s="3850"/>
      <c r="CM467" s="3850"/>
      <c r="CN467" s="3850"/>
      <c r="CO467" s="3850"/>
      <c r="CP467" s="3850"/>
      <c r="CQ467" s="3850"/>
      <c r="CR467" s="3850"/>
      <c r="CS467" s="3850"/>
      <c r="CT467" s="3850"/>
      <c r="CU467" s="3850"/>
      <c r="CV467" s="3850"/>
      <c r="CW467" s="3850"/>
      <c r="CX467" s="3850"/>
      <c r="CY467" s="3850"/>
      <c r="CZ467" s="3850"/>
      <c r="DA467" s="3850"/>
      <c r="DB467" s="3850"/>
      <c r="DC467" s="3850"/>
      <c r="DD467" s="3850"/>
      <c r="DE467" s="3850"/>
      <c r="DF467" s="3850"/>
      <c r="DG467" s="3850"/>
      <c r="DH467" s="3850"/>
      <c r="DI467" s="3850"/>
      <c r="DJ467" s="3850"/>
      <c r="DK467" s="3850"/>
      <c r="DL467" s="3850"/>
      <c r="DM467" s="3850"/>
      <c r="DN467" s="3850"/>
      <c r="DO467" s="3850"/>
      <c r="DP467" s="3850"/>
      <c r="DQ467" s="3850"/>
      <c r="DR467" s="3850"/>
      <c r="DS467" s="3850"/>
      <c r="DT467" s="3850"/>
      <c r="DU467" s="3850"/>
      <c r="DV467" s="3850"/>
      <c r="DW467" s="3850"/>
      <c r="DX467" s="3850"/>
      <c r="DY467" s="3850"/>
      <c r="DZ467" s="3850"/>
      <c r="EA467" s="3850"/>
    </row>
    <row r="468" spans="1:131" s="3849" customFormat="1">
      <c r="A468" s="4063"/>
      <c r="B468" s="4064"/>
      <c r="C468" s="4067"/>
      <c r="D468" s="3874"/>
      <c r="E468" s="3883"/>
      <c r="F468" s="3874"/>
      <c r="G468" s="3875"/>
      <c r="H468" s="3874"/>
      <c r="I468" s="3875"/>
      <c r="J468" s="3874"/>
      <c r="K468" s="3875"/>
      <c r="L468" s="3874"/>
      <c r="N468" s="3846"/>
      <c r="O468" s="3850"/>
      <c r="P468" s="3848"/>
      <c r="Q468" s="3850"/>
      <c r="R468" s="3850"/>
      <c r="S468" s="3850"/>
      <c r="T468" s="3850"/>
      <c r="U468" s="3850"/>
      <c r="V468" s="3850"/>
      <c r="W468" s="3850"/>
      <c r="X468" s="3850"/>
      <c r="Y468" s="3850"/>
      <c r="Z468" s="3850"/>
      <c r="AA468" s="3850"/>
      <c r="AB468" s="3850"/>
      <c r="AC468" s="3850"/>
      <c r="AD468" s="3850"/>
      <c r="AE468" s="3850"/>
      <c r="AF468" s="3850"/>
      <c r="AG468" s="3850"/>
      <c r="AH468" s="3850"/>
      <c r="AI468" s="3850"/>
      <c r="AJ468" s="3850"/>
      <c r="AK468" s="3850"/>
      <c r="AL468" s="3850"/>
      <c r="AM468" s="3850"/>
      <c r="AN468" s="3850"/>
      <c r="AO468" s="3850"/>
      <c r="AP468" s="3850"/>
      <c r="AQ468" s="3850"/>
      <c r="AR468" s="3850"/>
      <c r="AS468" s="3850"/>
      <c r="AV468" s="3850"/>
      <c r="AX468" s="3850"/>
      <c r="AY468" s="3850"/>
      <c r="AZ468" s="3850"/>
      <c r="BA468" s="3850"/>
      <c r="BB468" s="3850"/>
      <c r="BC468" s="3850"/>
      <c r="BD468" s="3850"/>
      <c r="BE468" s="3850"/>
      <c r="BF468" s="3850"/>
      <c r="BG468" s="3850"/>
      <c r="BH468" s="3850"/>
      <c r="BI468" s="3850"/>
      <c r="BJ468" s="3850"/>
      <c r="BK468" s="3850"/>
      <c r="BL468" s="3850"/>
      <c r="BM468" s="3850"/>
      <c r="BN468" s="3850"/>
      <c r="BO468" s="3850"/>
      <c r="BP468" s="3850"/>
      <c r="BQ468" s="3850"/>
      <c r="BR468" s="3850"/>
      <c r="BS468" s="3850"/>
      <c r="BT468" s="3850"/>
      <c r="BU468" s="3850"/>
      <c r="BV468" s="3850"/>
      <c r="BW468" s="3850"/>
      <c r="BX468" s="3850"/>
      <c r="BY468" s="3850"/>
      <c r="BZ468" s="3850"/>
      <c r="CA468" s="3850"/>
      <c r="CB468" s="3850"/>
      <c r="CC468" s="3850"/>
      <c r="CD468" s="3850"/>
      <c r="CE468" s="3850"/>
      <c r="CF468" s="3850"/>
      <c r="CG468" s="3850"/>
      <c r="CH468" s="3850"/>
      <c r="CI468" s="3850"/>
      <c r="CJ468" s="3850"/>
      <c r="CK468" s="3850"/>
      <c r="CL468" s="3850"/>
      <c r="CM468" s="3850"/>
      <c r="CN468" s="3850"/>
      <c r="CO468" s="3850"/>
      <c r="CP468" s="3850"/>
      <c r="CQ468" s="3850"/>
      <c r="CR468" s="3850"/>
      <c r="CS468" s="3850"/>
      <c r="CT468" s="3850"/>
      <c r="CU468" s="3850"/>
      <c r="CV468" s="3850"/>
      <c r="CW468" s="3850"/>
      <c r="CX468" s="3850"/>
      <c r="CY468" s="3850"/>
      <c r="CZ468" s="3850"/>
      <c r="DA468" s="3850"/>
      <c r="DB468" s="3850"/>
      <c r="DC468" s="3850"/>
      <c r="DD468" s="3850"/>
      <c r="DE468" s="3850"/>
      <c r="DF468" s="3850"/>
      <c r="DG468" s="3850"/>
      <c r="DH468" s="3850"/>
      <c r="DI468" s="3850"/>
      <c r="DJ468" s="3850"/>
      <c r="DK468" s="3850"/>
      <c r="DL468" s="3850"/>
      <c r="DM468" s="3850"/>
      <c r="DN468" s="3850"/>
      <c r="DO468" s="3850"/>
      <c r="DP468" s="3850"/>
      <c r="DQ468" s="3850"/>
      <c r="DR468" s="3850"/>
      <c r="DS468" s="3850"/>
      <c r="DT468" s="3850"/>
      <c r="DU468" s="3850"/>
      <c r="DV468" s="3850"/>
      <c r="DW468" s="3850"/>
      <c r="DX468" s="3850"/>
      <c r="DY468" s="3850"/>
      <c r="DZ468" s="3850"/>
      <c r="EA468" s="3850"/>
    </row>
    <row r="469" spans="1:131" s="3849" customFormat="1">
      <c r="A469" s="4063"/>
      <c r="B469" s="4064"/>
      <c r="C469" s="4067"/>
      <c r="D469" s="3874"/>
      <c r="E469" s="3883"/>
      <c r="F469" s="3874"/>
      <c r="G469" s="3875"/>
      <c r="H469" s="3874"/>
      <c r="I469" s="3875"/>
      <c r="J469" s="3874"/>
      <c r="K469" s="3875"/>
      <c r="L469" s="3874"/>
      <c r="N469" s="3846"/>
      <c r="O469" s="3850"/>
      <c r="P469" s="3848"/>
      <c r="Q469" s="3850"/>
      <c r="R469" s="3850"/>
      <c r="S469" s="3850"/>
      <c r="T469" s="3850"/>
      <c r="U469" s="3850"/>
      <c r="V469" s="3850"/>
      <c r="W469" s="3850"/>
      <c r="X469" s="3850"/>
      <c r="Y469" s="3850"/>
      <c r="Z469" s="3850"/>
      <c r="AA469" s="3850"/>
      <c r="AB469" s="3850"/>
      <c r="AC469" s="3850"/>
      <c r="AD469" s="3850"/>
      <c r="AE469" s="3850"/>
      <c r="AF469" s="3850"/>
      <c r="AG469" s="3850"/>
      <c r="AH469" s="3850"/>
      <c r="AI469" s="3850"/>
      <c r="AJ469" s="3850"/>
      <c r="AK469" s="3850"/>
      <c r="AL469" s="3850"/>
      <c r="AM469" s="3850"/>
      <c r="AN469" s="3850"/>
      <c r="AO469" s="3850"/>
      <c r="AP469" s="3850"/>
      <c r="AQ469" s="3850"/>
      <c r="AR469" s="3850"/>
      <c r="AS469" s="3850"/>
      <c r="AV469" s="3850"/>
      <c r="AX469" s="3850"/>
      <c r="AY469" s="3850"/>
      <c r="AZ469" s="3850"/>
      <c r="BA469" s="3850"/>
      <c r="BB469" s="3850"/>
      <c r="BC469" s="3850"/>
      <c r="BD469" s="3850"/>
      <c r="BE469" s="3850"/>
      <c r="BF469" s="3850"/>
      <c r="BG469" s="3850"/>
      <c r="BH469" s="3850"/>
      <c r="BI469" s="3850"/>
      <c r="BJ469" s="3850"/>
      <c r="BK469" s="3850"/>
      <c r="BL469" s="3850"/>
      <c r="BM469" s="3850"/>
      <c r="BN469" s="3850"/>
      <c r="BO469" s="3850"/>
      <c r="BP469" s="3850"/>
      <c r="BQ469" s="3850"/>
      <c r="BR469" s="3850"/>
      <c r="BS469" s="3850"/>
      <c r="BT469" s="3850"/>
      <c r="BU469" s="3850"/>
      <c r="BV469" s="3850"/>
      <c r="BW469" s="3850"/>
      <c r="BX469" s="3850"/>
      <c r="BY469" s="3850"/>
      <c r="BZ469" s="3850"/>
      <c r="CA469" s="3850"/>
      <c r="CB469" s="3850"/>
      <c r="CC469" s="3850"/>
      <c r="CD469" s="3850"/>
      <c r="CE469" s="3850"/>
      <c r="CF469" s="3850"/>
      <c r="CG469" s="3850"/>
      <c r="CH469" s="3850"/>
      <c r="CI469" s="3850"/>
      <c r="CJ469" s="3850"/>
      <c r="CK469" s="3850"/>
      <c r="CL469" s="3850"/>
      <c r="CM469" s="3850"/>
      <c r="CN469" s="3850"/>
      <c r="CO469" s="3850"/>
      <c r="CP469" s="3850"/>
      <c r="CQ469" s="3850"/>
      <c r="CR469" s="3850"/>
      <c r="CS469" s="3850"/>
      <c r="CT469" s="3850"/>
      <c r="CU469" s="3850"/>
      <c r="CV469" s="3850"/>
      <c r="CW469" s="3850"/>
      <c r="CX469" s="3850"/>
      <c r="CY469" s="3850"/>
      <c r="CZ469" s="3850"/>
      <c r="DA469" s="3850"/>
      <c r="DB469" s="3850"/>
      <c r="DC469" s="3850"/>
      <c r="DD469" s="3850"/>
      <c r="DE469" s="3850"/>
      <c r="DF469" s="3850"/>
      <c r="DG469" s="3850"/>
      <c r="DH469" s="3850"/>
      <c r="DI469" s="3850"/>
      <c r="DJ469" s="3850"/>
      <c r="DK469" s="3850"/>
      <c r="DL469" s="3850"/>
      <c r="DM469" s="3850"/>
      <c r="DN469" s="3850"/>
      <c r="DO469" s="3850"/>
      <c r="DP469" s="3850"/>
      <c r="DQ469" s="3850"/>
      <c r="DR469" s="3850"/>
      <c r="DS469" s="3850"/>
      <c r="DT469" s="3850"/>
      <c r="DU469" s="3850"/>
      <c r="DV469" s="3850"/>
      <c r="DW469" s="3850"/>
      <c r="DX469" s="3850"/>
      <c r="DY469" s="3850"/>
      <c r="DZ469" s="3850"/>
      <c r="EA469" s="3850"/>
    </row>
    <row r="470" spans="1:131" s="3849" customFormat="1">
      <c r="A470" s="4063"/>
      <c r="B470" s="4064"/>
      <c r="C470" s="4067"/>
      <c r="D470" s="3874"/>
      <c r="E470" s="3883"/>
      <c r="F470" s="3874"/>
      <c r="G470" s="3875"/>
      <c r="H470" s="3874"/>
      <c r="I470" s="3875"/>
      <c r="J470" s="3874"/>
      <c r="K470" s="3875"/>
      <c r="L470" s="3874"/>
      <c r="N470" s="3846"/>
      <c r="O470" s="3850"/>
      <c r="P470" s="3848"/>
      <c r="Q470" s="3850"/>
      <c r="R470" s="3850"/>
      <c r="S470" s="3850"/>
      <c r="T470" s="3850"/>
      <c r="U470" s="3850"/>
      <c r="V470" s="3850"/>
      <c r="W470" s="3850"/>
      <c r="X470" s="3850"/>
      <c r="Y470" s="3850"/>
      <c r="Z470" s="3850"/>
      <c r="AA470" s="3850"/>
      <c r="AB470" s="3850"/>
      <c r="AC470" s="3850"/>
      <c r="AD470" s="3850"/>
      <c r="AE470" s="3850"/>
      <c r="AF470" s="3850"/>
      <c r="AG470" s="3850"/>
      <c r="AH470" s="3850"/>
      <c r="AI470" s="3850"/>
      <c r="AJ470" s="3850"/>
      <c r="AK470" s="3850"/>
      <c r="AL470" s="3850"/>
      <c r="AM470" s="3850"/>
      <c r="AN470" s="3850"/>
      <c r="AO470" s="3850"/>
      <c r="AP470" s="3850"/>
      <c r="AQ470" s="3850"/>
      <c r="AR470" s="3850"/>
      <c r="AS470" s="3850"/>
      <c r="AV470" s="3850"/>
      <c r="AX470" s="3850"/>
      <c r="AY470" s="3850"/>
      <c r="AZ470" s="3850"/>
      <c r="BA470" s="3850"/>
      <c r="BB470" s="3850"/>
      <c r="BC470" s="3850"/>
      <c r="BD470" s="3850"/>
      <c r="BE470" s="3850"/>
      <c r="BF470" s="3850"/>
      <c r="BG470" s="3850"/>
      <c r="BH470" s="3850"/>
      <c r="BI470" s="3850"/>
      <c r="BJ470" s="3850"/>
      <c r="BK470" s="3850"/>
      <c r="BL470" s="3850"/>
      <c r="BM470" s="3850"/>
      <c r="BN470" s="3850"/>
      <c r="BO470" s="3850"/>
      <c r="BP470" s="3850"/>
      <c r="BQ470" s="3850"/>
      <c r="BR470" s="3850"/>
      <c r="BS470" s="3850"/>
      <c r="BT470" s="3850"/>
      <c r="BU470" s="3850"/>
      <c r="BV470" s="3850"/>
      <c r="BW470" s="3850"/>
      <c r="BX470" s="3850"/>
      <c r="BY470" s="3850"/>
      <c r="BZ470" s="3850"/>
      <c r="CA470" s="3850"/>
      <c r="CB470" s="3850"/>
      <c r="CC470" s="3850"/>
      <c r="CD470" s="3850"/>
      <c r="CE470" s="3850"/>
      <c r="CF470" s="3850"/>
      <c r="CG470" s="3850"/>
      <c r="CH470" s="3850"/>
      <c r="CI470" s="3850"/>
      <c r="CJ470" s="3850"/>
      <c r="CK470" s="3850"/>
      <c r="CL470" s="3850"/>
      <c r="CM470" s="3850"/>
      <c r="CN470" s="3850"/>
      <c r="CO470" s="3850"/>
      <c r="CP470" s="3850"/>
      <c r="CQ470" s="3850"/>
      <c r="CR470" s="3850"/>
      <c r="CS470" s="3850"/>
      <c r="CT470" s="3850"/>
      <c r="CU470" s="3850"/>
      <c r="CV470" s="3850"/>
      <c r="CW470" s="3850"/>
      <c r="CX470" s="3850"/>
      <c r="CY470" s="3850"/>
      <c r="CZ470" s="3850"/>
      <c r="DA470" s="3850"/>
      <c r="DB470" s="3850"/>
      <c r="DC470" s="3850"/>
      <c r="DD470" s="3850"/>
      <c r="DE470" s="3850"/>
      <c r="DF470" s="3850"/>
      <c r="DG470" s="3850"/>
      <c r="DH470" s="3850"/>
      <c r="DI470" s="3850"/>
      <c r="DJ470" s="3850"/>
      <c r="DK470" s="3850"/>
      <c r="DL470" s="3850"/>
      <c r="DM470" s="3850"/>
      <c r="DN470" s="3850"/>
      <c r="DO470" s="3850"/>
      <c r="DP470" s="3850"/>
      <c r="DQ470" s="3850"/>
      <c r="DR470" s="3850"/>
      <c r="DS470" s="3850"/>
      <c r="DT470" s="3850"/>
      <c r="DU470" s="3850"/>
      <c r="DV470" s="3850"/>
      <c r="DW470" s="3850"/>
      <c r="DX470" s="3850"/>
      <c r="DY470" s="3850"/>
      <c r="DZ470" s="3850"/>
      <c r="EA470" s="3850"/>
    </row>
    <row r="471" spans="1:131" s="3849" customFormat="1">
      <c r="A471" s="4063"/>
      <c r="B471" s="4064"/>
      <c r="C471" s="4067"/>
      <c r="D471" s="3874"/>
      <c r="E471" s="3883"/>
      <c r="F471" s="3874"/>
      <c r="G471" s="3875"/>
      <c r="H471" s="3874"/>
      <c r="I471" s="3875"/>
      <c r="J471" s="3874"/>
      <c r="K471" s="3875"/>
      <c r="L471" s="3874"/>
      <c r="N471" s="3846"/>
      <c r="O471" s="3850"/>
      <c r="P471" s="3848"/>
      <c r="Q471" s="3850"/>
      <c r="R471" s="3850"/>
      <c r="S471" s="3850"/>
      <c r="T471" s="3850"/>
      <c r="U471" s="3850"/>
      <c r="V471" s="3850"/>
      <c r="W471" s="3850"/>
      <c r="X471" s="3850"/>
      <c r="Y471" s="3850"/>
      <c r="Z471" s="3850"/>
      <c r="AA471" s="3850"/>
      <c r="AB471" s="3850"/>
      <c r="AC471" s="3850"/>
      <c r="AD471" s="3850"/>
      <c r="AE471" s="3850"/>
      <c r="AF471" s="3850"/>
      <c r="AG471" s="3850"/>
      <c r="AH471" s="3850"/>
      <c r="AI471" s="3850"/>
      <c r="AJ471" s="3850"/>
      <c r="AK471" s="3850"/>
      <c r="AL471" s="3850"/>
      <c r="AM471" s="3850"/>
      <c r="AN471" s="3850"/>
      <c r="AO471" s="3850"/>
      <c r="AP471" s="3850"/>
      <c r="AQ471" s="3850"/>
      <c r="AR471" s="3850"/>
      <c r="AS471" s="3850"/>
      <c r="AV471" s="3850"/>
      <c r="AX471" s="3850"/>
      <c r="AY471" s="3850"/>
      <c r="AZ471" s="3850"/>
      <c r="BA471" s="3850"/>
      <c r="BB471" s="3850"/>
      <c r="BC471" s="3850"/>
      <c r="BD471" s="3850"/>
      <c r="BE471" s="3850"/>
      <c r="BF471" s="3850"/>
      <c r="BG471" s="3850"/>
      <c r="BH471" s="3850"/>
      <c r="BI471" s="3850"/>
      <c r="BJ471" s="3850"/>
      <c r="BK471" s="3850"/>
      <c r="BL471" s="3850"/>
      <c r="BM471" s="3850"/>
      <c r="BN471" s="3850"/>
      <c r="BO471" s="3850"/>
      <c r="BP471" s="3850"/>
      <c r="BQ471" s="3850"/>
      <c r="BR471" s="3850"/>
      <c r="BS471" s="3850"/>
      <c r="BT471" s="3850"/>
      <c r="BU471" s="3850"/>
      <c r="BV471" s="3850"/>
      <c r="BW471" s="3850"/>
      <c r="BX471" s="3850"/>
      <c r="BY471" s="3850"/>
      <c r="BZ471" s="3850"/>
      <c r="CA471" s="3850"/>
      <c r="CB471" s="3850"/>
      <c r="CC471" s="3850"/>
      <c r="CD471" s="3850"/>
      <c r="CE471" s="3850"/>
      <c r="CF471" s="3850"/>
      <c r="CG471" s="3850"/>
      <c r="CH471" s="3850"/>
      <c r="CI471" s="3850"/>
      <c r="CJ471" s="3850"/>
      <c r="CK471" s="3850"/>
      <c r="CL471" s="3850"/>
      <c r="CM471" s="3850"/>
      <c r="CN471" s="3850"/>
      <c r="CO471" s="3850"/>
      <c r="CP471" s="3850"/>
      <c r="CQ471" s="3850"/>
      <c r="CR471" s="3850"/>
      <c r="CS471" s="3850"/>
      <c r="CT471" s="3850"/>
      <c r="CU471" s="3850"/>
      <c r="CV471" s="3850"/>
      <c r="CW471" s="3850"/>
      <c r="CX471" s="3850"/>
      <c r="CY471" s="3850"/>
      <c r="CZ471" s="3850"/>
      <c r="DA471" s="3850"/>
      <c r="DB471" s="3850"/>
      <c r="DC471" s="3850"/>
      <c r="DD471" s="3850"/>
      <c r="DE471" s="3850"/>
      <c r="DF471" s="3850"/>
      <c r="DG471" s="3850"/>
      <c r="DH471" s="3850"/>
      <c r="DI471" s="3850"/>
      <c r="DJ471" s="3850"/>
      <c r="DK471" s="3850"/>
      <c r="DL471" s="3850"/>
      <c r="DM471" s="3850"/>
      <c r="DN471" s="3850"/>
      <c r="DO471" s="3850"/>
      <c r="DP471" s="3850"/>
      <c r="DQ471" s="3850"/>
      <c r="DR471" s="3850"/>
      <c r="DS471" s="3850"/>
      <c r="DT471" s="3850"/>
      <c r="DU471" s="3850"/>
      <c r="DV471" s="3850"/>
      <c r="DW471" s="3850"/>
      <c r="DX471" s="3850"/>
      <c r="DY471" s="3850"/>
      <c r="DZ471" s="3850"/>
      <c r="EA471" s="3850"/>
    </row>
    <row r="472" spans="1:131" s="3849" customFormat="1">
      <c r="A472" s="4063"/>
      <c r="B472" s="4064"/>
      <c r="C472" s="4067"/>
      <c r="D472" s="3874"/>
      <c r="E472" s="3883"/>
      <c r="F472" s="3874"/>
      <c r="G472" s="3875"/>
      <c r="H472" s="3874"/>
      <c r="I472" s="3875"/>
      <c r="J472" s="3874"/>
      <c r="K472" s="3875"/>
      <c r="L472" s="3874"/>
      <c r="N472" s="3846"/>
      <c r="O472" s="3850"/>
      <c r="P472" s="3848"/>
      <c r="Q472" s="3850"/>
      <c r="R472" s="3850"/>
      <c r="S472" s="3850"/>
      <c r="T472" s="3850"/>
      <c r="U472" s="3850"/>
      <c r="V472" s="3850"/>
      <c r="W472" s="3850"/>
      <c r="X472" s="3850"/>
      <c r="Y472" s="3850"/>
      <c r="Z472" s="3850"/>
      <c r="AA472" s="3850"/>
      <c r="AB472" s="3850"/>
      <c r="AC472" s="3850"/>
      <c r="AD472" s="3850"/>
      <c r="AE472" s="3850"/>
      <c r="AF472" s="3850"/>
      <c r="AG472" s="3850"/>
      <c r="AH472" s="3850"/>
      <c r="AI472" s="3850"/>
      <c r="AJ472" s="3850"/>
      <c r="AK472" s="3850"/>
      <c r="AL472" s="3850"/>
      <c r="AM472" s="3850"/>
      <c r="AN472" s="3850"/>
      <c r="AO472" s="3850"/>
      <c r="AP472" s="3850"/>
      <c r="AQ472" s="3850"/>
      <c r="AR472" s="3850"/>
      <c r="AS472" s="3850"/>
      <c r="AV472" s="3850"/>
      <c r="AX472" s="3850"/>
      <c r="AY472" s="3850"/>
      <c r="AZ472" s="3850"/>
      <c r="BA472" s="3850"/>
      <c r="BB472" s="3850"/>
      <c r="BC472" s="3850"/>
      <c r="BD472" s="3850"/>
      <c r="BE472" s="3850"/>
      <c r="BF472" s="3850"/>
      <c r="BG472" s="3850"/>
      <c r="BH472" s="3850"/>
      <c r="BI472" s="3850"/>
      <c r="BJ472" s="3850"/>
      <c r="BK472" s="3850"/>
      <c r="BL472" s="3850"/>
      <c r="BM472" s="3850"/>
      <c r="BN472" s="3850"/>
      <c r="BO472" s="3850"/>
      <c r="BP472" s="3850"/>
      <c r="BQ472" s="3850"/>
      <c r="BR472" s="3850"/>
      <c r="BS472" s="3850"/>
      <c r="BT472" s="3850"/>
      <c r="BU472" s="3850"/>
      <c r="BV472" s="3850"/>
      <c r="BW472" s="3850"/>
      <c r="BX472" s="3850"/>
      <c r="BY472" s="3850"/>
      <c r="BZ472" s="3850"/>
      <c r="CA472" s="3850"/>
      <c r="CB472" s="3850"/>
      <c r="CC472" s="3850"/>
      <c r="CD472" s="3850"/>
      <c r="CE472" s="3850"/>
      <c r="CF472" s="3850"/>
      <c r="CG472" s="3850"/>
      <c r="CH472" s="3850"/>
      <c r="CI472" s="3850"/>
      <c r="CJ472" s="3850"/>
      <c r="CK472" s="3850"/>
      <c r="CL472" s="3850"/>
      <c r="CM472" s="3850"/>
      <c r="CN472" s="3850"/>
      <c r="CO472" s="3850"/>
      <c r="CP472" s="3850"/>
      <c r="CQ472" s="3850"/>
      <c r="CR472" s="3850"/>
      <c r="CS472" s="3850"/>
      <c r="CT472" s="3850"/>
      <c r="CU472" s="3850"/>
      <c r="CV472" s="3850"/>
      <c r="CW472" s="3850"/>
      <c r="CX472" s="3850"/>
      <c r="CY472" s="3850"/>
      <c r="CZ472" s="3850"/>
      <c r="DA472" s="3850"/>
      <c r="DB472" s="3850"/>
      <c r="DC472" s="3850"/>
      <c r="DD472" s="3850"/>
      <c r="DE472" s="3850"/>
      <c r="DF472" s="3850"/>
      <c r="DG472" s="3850"/>
      <c r="DH472" s="3850"/>
      <c r="DI472" s="3850"/>
      <c r="DJ472" s="3850"/>
      <c r="DK472" s="3850"/>
      <c r="DL472" s="3850"/>
      <c r="DM472" s="3850"/>
      <c r="DN472" s="3850"/>
      <c r="DO472" s="3850"/>
      <c r="DP472" s="3850"/>
      <c r="DQ472" s="3850"/>
      <c r="DR472" s="3850"/>
      <c r="DS472" s="3850"/>
      <c r="DT472" s="3850"/>
      <c r="DU472" s="3850"/>
      <c r="DV472" s="3850"/>
      <c r="DW472" s="3850"/>
      <c r="DX472" s="3850"/>
      <c r="DY472" s="3850"/>
      <c r="DZ472" s="3850"/>
      <c r="EA472" s="3850"/>
    </row>
    <row r="473" spans="1:131" s="3849" customFormat="1">
      <c r="A473" s="4063"/>
      <c r="B473" s="4064"/>
      <c r="C473" s="4067"/>
      <c r="D473" s="3874"/>
      <c r="E473" s="3883"/>
      <c r="F473" s="3874"/>
      <c r="G473" s="3875"/>
      <c r="H473" s="3874"/>
      <c r="I473" s="3875"/>
      <c r="J473" s="3874"/>
      <c r="K473" s="3875"/>
      <c r="L473" s="3874"/>
      <c r="N473" s="3846"/>
      <c r="O473" s="3850"/>
      <c r="P473" s="3848"/>
      <c r="Q473" s="3850"/>
      <c r="R473" s="3850"/>
      <c r="S473" s="3850"/>
      <c r="T473" s="3850"/>
      <c r="U473" s="3850"/>
      <c r="V473" s="3850"/>
      <c r="W473" s="3850"/>
      <c r="X473" s="3850"/>
      <c r="Y473" s="3850"/>
      <c r="Z473" s="3850"/>
      <c r="AA473" s="3850"/>
      <c r="AB473" s="3850"/>
      <c r="AC473" s="3850"/>
      <c r="AD473" s="3850"/>
      <c r="AE473" s="3850"/>
      <c r="AF473" s="3850"/>
      <c r="AG473" s="3850"/>
      <c r="AH473" s="3850"/>
      <c r="AI473" s="3850"/>
      <c r="AJ473" s="3850"/>
      <c r="AK473" s="3850"/>
      <c r="AL473" s="3850"/>
      <c r="AM473" s="3850"/>
      <c r="AN473" s="3850"/>
      <c r="AO473" s="3850"/>
      <c r="AP473" s="3850"/>
      <c r="AQ473" s="3850"/>
      <c r="AR473" s="3850"/>
      <c r="AS473" s="3850"/>
      <c r="AV473" s="3850"/>
      <c r="AX473" s="3850"/>
      <c r="AY473" s="3850"/>
      <c r="AZ473" s="3850"/>
      <c r="BA473" s="3850"/>
      <c r="BB473" s="3850"/>
      <c r="BC473" s="3850"/>
      <c r="BD473" s="3850"/>
      <c r="BE473" s="3850"/>
      <c r="BF473" s="3850"/>
      <c r="BG473" s="3850"/>
      <c r="BH473" s="3850"/>
      <c r="BI473" s="3850"/>
      <c r="BJ473" s="3850"/>
      <c r="BK473" s="3850"/>
      <c r="BL473" s="3850"/>
      <c r="BM473" s="3850"/>
      <c r="BN473" s="3850"/>
      <c r="BO473" s="3850"/>
      <c r="BP473" s="3850"/>
      <c r="BQ473" s="3850"/>
      <c r="BR473" s="3850"/>
      <c r="BS473" s="3850"/>
      <c r="BT473" s="3850"/>
      <c r="BU473" s="3850"/>
      <c r="BV473" s="3850"/>
      <c r="BW473" s="3850"/>
      <c r="BX473" s="3850"/>
      <c r="BY473" s="3850"/>
      <c r="BZ473" s="3850"/>
      <c r="CA473" s="3850"/>
      <c r="CB473" s="3850"/>
      <c r="CC473" s="3850"/>
      <c r="CD473" s="3850"/>
      <c r="CE473" s="3850"/>
      <c r="CF473" s="3850"/>
      <c r="CG473" s="3850"/>
      <c r="CH473" s="3850"/>
      <c r="CI473" s="3850"/>
      <c r="CJ473" s="3850"/>
      <c r="CK473" s="3850"/>
      <c r="CL473" s="3850"/>
      <c r="CM473" s="3850"/>
      <c r="CN473" s="3850"/>
      <c r="CO473" s="3850"/>
      <c r="CP473" s="3850"/>
      <c r="CQ473" s="3850"/>
      <c r="CR473" s="3850"/>
      <c r="CS473" s="3850"/>
      <c r="CT473" s="3850"/>
      <c r="CU473" s="3850"/>
      <c r="CV473" s="3850"/>
      <c r="CW473" s="3850"/>
      <c r="CX473" s="3850"/>
      <c r="CY473" s="3850"/>
      <c r="CZ473" s="3850"/>
      <c r="DA473" s="3850"/>
      <c r="DB473" s="3850"/>
      <c r="DC473" s="3850"/>
      <c r="DD473" s="3850"/>
      <c r="DE473" s="3850"/>
      <c r="DF473" s="3850"/>
      <c r="DG473" s="3850"/>
      <c r="DH473" s="3850"/>
      <c r="DI473" s="3850"/>
      <c r="DJ473" s="3850"/>
      <c r="DK473" s="3850"/>
      <c r="DL473" s="3850"/>
      <c r="DM473" s="3850"/>
      <c r="DN473" s="3850"/>
      <c r="DO473" s="3850"/>
      <c r="DP473" s="3850"/>
      <c r="DQ473" s="3850"/>
      <c r="DR473" s="3850"/>
      <c r="DS473" s="3850"/>
      <c r="DT473" s="3850"/>
      <c r="DU473" s="3850"/>
      <c r="DV473" s="3850"/>
      <c r="DW473" s="3850"/>
      <c r="DX473" s="3850"/>
      <c r="DY473" s="3850"/>
      <c r="DZ473" s="3850"/>
      <c r="EA473" s="3850"/>
    </row>
    <row r="474" spans="1:131" s="3849" customFormat="1">
      <c r="A474" s="4063"/>
      <c r="B474" s="4064"/>
      <c r="C474" s="4067"/>
      <c r="D474" s="3874"/>
      <c r="E474" s="3883"/>
      <c r="F474" s="3874"/>
      <c r="G474" s="3875"/>
      <c r="H474" s="3874"/>
      <c r="I474" s="3875"/>
      <c r="J474" s="3874"/>
      <c r="K474" s="3875"/>
      <c r="L474" s="3874"/>
      <c r="N474" s="3846"/>
      <c r="O474" s="3850"/>
      <c r="P474" s="3848"/>
      <c r="Q474" s="3850"/>
      <c r="R474" s="3850"/>
      <c r="S474" s="3850"/>
      <c r="T474" s="3850"/>
      <c r="U474" s="3850"/>
      <c r="V474" s="3850"/>
      <c r="W474" s="3850"/>
      <c r="X474" s="3850"/>
      <c r="Y474" s="3850"/>
      <c r="Z474" s="3850"/>
      <c r="AA474" s="3850"/>
      <c r="AB474" s="3850"/>
      <c r="AC474" s="3850"/>
      <c r="AD474" s="3850"/>
      <c r="AE474" s="3850"/>
      <c r="AF474" s="3850"/>
      <c r="AG474" s="3850"/>
      <c r="AH474" s="3850"/>
      <c r="AI474" s="3850"/>
      <c r="AJ474" s="3850"/>
      <c r="AK474" s="3850"/>
      <c r="AL474" s="3850"/>
      <c r="AM474" s="3850"/>
      <c r="AN474" s="3850"/>
      <c r="AO474" s="3850"/>
      <c r="AP474" s="3850"/>
      <c r="AQ474" s="3850"/>
      <c r="AR474" s="3850"/>
      <c r="AS474" s="3850"/>
      <c r="AV474" s="3850"/>
      <c r="AX474" s="3850"/>
      <c r="AY474" s="3850"/>
      <c r="AZ474" s="3850"/>
      <c r="BA474" s="3850"/>
      <c r="BB474" s="3850"/>
      <c r="BC474" s="3850"/>
      <c r="BD474" s="3850"/>
      <c r="BE474" s="3850"/>
      <c r="BF474" s="3850"/>
      <c r="BG474" s="3850"/>
      <c r="BH474" s="3850"/>
      <c r="BI474" s="3850"/>
      <c r="BJ474" s="3850"/>
      <c r="BK474" s="3850"/>
      <c r="BL474" s="3850"/>
      <c r="BM474" s="3850"/>
      <c r="BN474" s="3850"/>
      <c r="BO474" s="3850"/>
      <c r="BP474" s="3850"/>
      <c r="BQ474" s="3850"/>
      <c r="BR474" s="3850"/>
      <c r="BS474" s="3850"/>
      <c r="BT474" s="3850"/>
      <c r="BU474" s="3850"/>
      <c r="BV474" s="3850"/>
      <c r="BW474" s="3850"/>
      <c r="BX474" s="3850"/>
      <c r="BY474" s="3850"/>
      <c r="BZ474" s="3850"/>
      <c r="CA474" s="3850"/>
      <c r="CB474" s="3850"/>
      <c r="CC474" s="3850"/>
      <c r="CD474" s="3850"/>
      <c r="CE474" s="3850"/>
      <c r="CF474" s="3850"/>
      <c r="CG474" s="3850"/>
      <c r="CH474" s="3850"/>
      <c r="CI474" s="3850"/>
      <c r="CJ474" s="3850"/>
      <c r="CK474" s="3850"/>
      <c r="CL474" s="3850"/>
      <c r="CM474" s="3850"/>
      <c r="CN474" s="3850"/>
      <c r="CO474" s="3850"/>
      <c r="CP474" s="3850"/>
      <c r="CQ474" s="3850"/>
      <c r="CR474" s="3850"/>
      <c r="CS474" s="3850"/>
      <c r="CT474" s="3850"/>
      <c r="CU474" s="3850"/>
      <c r="CV474" s="3850"/>
      <c r="CW474" s="3850"/>
      <c r="CX474" s="3850"/>
      <c r="CY474" s="3850"/>
      <c r="CZ474" s="3850"/>
      <c r="DA474" s="3850"/>
      <c r="DB474" s="3850"/>
      <c r="DC474" s="3850"/>
      <c r="DD474" s="3850"/>
      <c r="DE474" s="3850"/>
      <c r="DF474" s="3850"/>
      <c r="DG474" s="3850"/>
      <c r="DH474" s="3850"/>
      <c r="DI474" s="3850"/>
      <c r="DJ474" s="3850"/>
      <c r="DK474" s="3850"/>
      <c r="DL474" s="3850"/>
      <c r="DM474" s="3850"/>
      <c r="DN474" s="3850"/>
      <c r="DO474" s="3850"/>
      <c r="DP474" s="3850"/>
      <c r="DQ474" s="3850"/>
      <c r="DR474" s="3850"/>
      <c r="DS474" s="3850"/>
      <c r="DT474" s="3850"/>
      <c r="DU474" s="3850"/>
      <c r="DV474" s="3850"/>
      <c r="DW474" s="3850"/>
      <c r="DX474" s="3850"/>
      <c r="DY474" s="3850"/>
      <c r="DZ474" s="3850"/>
      <c r="EA474" s="3850"/>
    </row>
    <row r="475" spans="1:131" s="3849" customFormat="1">
      <c r="A475" s="4063"/>
      <c r="B475" s="4064"/>
      <c r="C475" s="4067"/>
      <c r="D475" s="3874"/>
      <c r="E475" s="3883"/>
      <c r="F475" s="3874"/>
      <c r="G475" s="3875"/>
      <c r="H475" s="3874"/>
      <c r="I475" s="3875"/>
      <c r="J475" s="3874"/>
      <c r="K475" s="3875"/>
      <c r="L475" s="3874"/>
      <c r="N475" s="3846"/>
      <c r="O475" s="3850"/>
      <c r="P475" s="3848"/>
      <c r="Q475" s="3850"/>
      <c r="R475" s="3850"/>
      <c r="S475" s="3850"/>
      <c r="T475" s="3850"/>
      <c r="U475" s="3850"/>
      <c r="V475" s="3850"/>
      <c r="W475" s="3850"/>
      <c r="X475" s="3850"/>
      <c r="Y475" s="3850"/>
      <c r="Z475" s="3850"/>
      <c r="AA475" s="3850"/>
      <c r="AB475" s="3850"/>
      <c r="AC475" s="3850"/>
      <c r="AD475" s="3850"/>
      <c r="AE475" s="3850"/>
      <c r="AF475" s="3850"/>
      <c r="AG475" s="3850"/>
      <c r="AH475" s="3850"/>
      <c r="AI475" s="3850"/>
      <c r="AJ475" s="3850"/>
      <c r="AK475" s="3850"/>
      <c r="AL475" s="3850"/>
      <c r="AM475" s="3850"/>
      <c r="AN475" s="3850"/>
      <c r="AO475" s="3850"/>
      <c r="AP475" s="3850"/>
      <c r="AQ475" s="3850"/>
      <c r="AR475" s="3850"/>
      <c r="AS475" s="3850"/>
      <c r="AV475" s="3850"/>
      <c r="AX475" s="3850"/>
      <c r="AY475" s="3850"/>
      <c r="AZ475" s="3850"/>
      <c r="BA475" s="3850"/>
      <c r="BB475" s="3850"/>
      <c r="BC475" s="3850"/>
      <c r="BD475" s="3850"/>
      <c r="BE475" s="3850"/>
      <c r="BF475" s="3850"/>
      <c r="BG475" s="3850"/>
      <c r="BH475" s="3850"/>
      <c r="BI475" s="3850"/>
      <c r="BJ475" s="3850"/>
      <c r="BK475" s="3850"/>
      <c r="BL475" s="3850"/>
      <c r="BM475" s="3850"/>
      <c r="BN475" s="3850"/>
      <c r="BO475" s="3850"/>
      <c r="BP475" s="3850"/>
      <c r="BQ475" s="3850"/>
      <c r="BR475" s="3850"/>
      <c r="BS475" s="3850"/>
      <c r="BT475" s="3850"/>
      <c r="BU475" s="3850"/>
      <c r="BV475" s="3850"/>
      <c r="BW475" s="3850"/>
      <c r="BX475" s="3850"/>
      <c r="BY475" s="3850"/>
      <c r="BZ475" s="3850"/>
      <c r="CA475" s="3850"/>
      <c r="CB475" s="3850"/>
      <c r="CC475" s="3850"/>
      <c r="CD475" s="3850"/>
      <c r="CE475" s="3850"/>
      <c r="CF475" s="3850"/>
      <c r="CG475" s="3850"/>
      <c r="CH475" s="3850"/>
      <c r="CI475" s="3850"/>
      <c r="CJ475" s="3850"/>
      <c r="CK475" s="3850"/>
      <c r="CL475" s="3850"/>
      <c r="CM475" s="3850"/>
      <c r="CN475" s="3850"/>
      <c r="CO475" s="3850"/>
      <c r="CP475" s="3850"/>
      <c r="CQ475" s="3850"/>
      <c r="CR475" s="3850"/>
      <c r="CS475" s="3850"/>
      <c r="CT475" s="3850"/>
      <c r="CU475" s="3850"/>
      <c r="CV475" s="3850"/>
      <c r="CW475" s="3850"/>
      <c r="CX475" s="3850"/>
      <c r="CY475" s="3850"/>
      <c r="CZ475" s="3850"/>
      <c r="DA475" s="3850"/>
      <c r="DB475" s="3850"/>
      <c r="DC475" s="3850"/>
      <c r="DD475" s="3850"/>
      <c r="DE475" s="3850"/>
      <c r="DF475" s="3850"/>
      <c r="DG475" s="3850"/>
      <c r="DH475" s="3850"/>
      <c r="DI475" s="3850"/>
      <c r="DJ475" s="3850"/>
      <c r="DK475" s="3850"/>
      <c r="DL475" s="3850"/>
      <c r="DM475" s="3850"/>
      <c r="DN475" s="3850"/>
      <c r="DO475" s="3850"/>
      <c r="DP475" s="3850"/>
      <c r="DQ475" s="3850"/>
      <c r="DR475" s="3850"/>
      <c r="DS475" s="3850"/>
      <c r="DT475" s="3850"/>
      <c r="DU475" s="3850"/>
      <c r="DV475" s="3850"/>
      <c r="DW475" s="3850"/>
      <c r="DX475" s="3850"/>
      <c r="DY475" s="3850"/>
      <c r="DZ475" s="3850"/>
      <c r="EA475" s="3850"/>
    </row>
    <row r="476" spans="1:131" s="3849" customFormat="1">
      <c r="A476" s="4063"/>
      <c r="B476" s="4064"/>
      <c r="C476" s="4067"/>
      <c r="D476" s="3874"/>
      <c r="E476" s="3883"/>
      <c r="F476" s="3874"/>
      <c r="G476" s="3875"/>
      <c r="H476" s="3874"/>
      <c r="I476" s="3875"/>
      <c r="J476" s="3874"/>
      <c r="K476" s="3875"/>
      <c r="L476" s="3874"/>
      <c r="N476" s="3846"/>
      <c r="O476" s="3850"/>
      <c r="P476" s="3848"/>
      <c r="Q476" s="3850"/>
      <c r="R476" s="3850"/>
      <c r="S476" s="3850"/>
      <c r="T476" s="3850"/>
      <c r="U476" s="3850"/>
      <c r="V476" s="3850"/>
      <c r="W476" s="3850"/>
      <c r="X476" s="3850"/>
      <c r="Y476" s="3850"/>
      <c r="Z476" s="3850"/>
      <c r="AA476" s="3850"/>
      <c r="AB476" s="3850"/>
      <c r="AC476" s="3850"/>
      <c r="AD476" s="3850"/>
      <c r="AE476" s="3850"/>
      <c r="AF476" s="3850"/>
      <c r="AG476" s="3850"/>
      <c r="AH476" s="3850"/>
      <c r="AI476" s="3850"/>
      <c r="AJ476" s="3850"/>
      <c r="AK476" s="3850"/>
      <c r="AL476" s="3850"/>
      <c r="AM476" s="3850"/>
      <c r="AN476" s="3850"/>
      <c r="AO476" s="3850"/>
      <c r="AP476" s="3850"/>
      <c r="AQ476" s="3850"/>
      <c r="AR476" s="3850"/>
      <c r="AS476" s="3850"/>
      <c r="AV476" s="3850"/>
      <c r="AX476" s="3850"/>
      <c r="AY476" s="3850"/>
      <c r="AZ476" s="3850"/>
      <c r="BA476" s="3850"/>
      <c r="BB476" s="3850"/>
      <c r="BC476" s="3850"/>
      <c r="BD476" s="3850"/>
      <c r="BE476" s="3850"/>
      <c r="BF476" s="3850"/>
      <c r="BG476" s="3850"/>
      <c r="BH476" s="3850"/>
      <c r="BI476" s="3850"/>
      <c r="BJ476" s="3850"/>
      <c r="BK476" s="3850"/>
      <c r="BL476" s="3850"/>
      <c r="BM476" s="3850"/>
      <c r="BN476" s="3850"/>
      <c r="BO476" s="3850"/>
      <c r="BP476" s="3850"/>
      <c r="BQ476" s="3850"/>
      <c r="BR476" s="3850"/>
      <c r="BS476" s="3850"/>
      <c r="BT476" s="3850"/>
      <c r="BU476" s="3850"/>
      <c r="BV476" s="3850"/>
      <c r="BW476" s="3850"/>
      <c r="BX476" s="3850"/>
      <c r="BY476" s="3850"/>
      <c r="BZ476" s="3850"/>
      <c r="CA476" s="3850"/>
      <c r="CB476" s="3850"/>
      <c r="CC476" s="3850"/>
      <c r="CD476" s="3850"/>
      <c r="CE476" s="3850"/>
      <c r="CF476" s="3850"/>
      <c r="CG476" s="3850"/>
      <c r="CH476" s="3850"/>
      <c r="CI476" s="3850"/>
      <c r="CJ476" s="3850"/>
      <c r="CK476" s="3850"/>
      <c r="CL476" s="3850"/>
      <c r="CM476" s="3850"/>
      <c r="CN476" s="3850"/>
      <c r="CO476" s="3850"/>
      <c r="CP476" s="3850"/>
      <c r="CQ476" s="3850"/>
      <c r="CR476" s="3850"/>
      <c r="CS476" s="3850"/>
      <c r="CT476" s="3850"/>
      <c r="CU476" s="3850"/>
      <c r="CV476" s="3850"/>
      <c r="CW476" s="3850"/>
      <c r="CX476" s="3850"/>
      <c r="CY476" s="3850"/>
      <c r="CZ476" s="3850"/>
      <c r="DA476" s="3850"/>
      <c r="DB476" s="3850"/>
      <c r="DC476" s="3850"/>
      <c r="DD476" s="3850"/>
      <c r="DE476" s="3850"/>
      <c r="DF476" s="3850"/>
      <c r="DG476" s="3850"/>
      <c r="DH476" s="3850"/>
      <c r="DI476" s="3850"/>
      <c r="DJ476" s="3850"/>
      <c r="DK476" s="3850"/>
      <c r="DL476" s="3850"/>
      <c r="DM476" s="3850"/>
      <c r="DN476" s="3850"/>
      <c r="DO476" s="3850"/>
      <c r="DP476" s="3850"/>
      <c r="DQ476" s="3850"/>
      <c r="DR476" s="3850"/>
      <c r="DS476" s="3850"/>
      <c r="DT476" s="3850"/>
      <c r="DU476" s="3850"/>
      <c r="DV476" s="3850"/>
      <c r="DW476" s="3850"/>
      <c r="DX476" s="3850"/>
      <c r="DY476" s="3850"/>
      <c r="DZ476" s="3850"/>
      <c r="EA476" s="3850"/>
    </row>
    <row r="477" spans="1:131" s="3849" customFormat="1">
      <c r="A477" s="4063"/>
      <c r="B477" s="4064"/>
      <c r="C477" s="4067"/>
      <c r="D477" s="3874"/>
      <c r="E477" s="3883"/>
      <c r="F477" s="3874"/>
      <c r="G477" s="3875"/>
      <c r="H477" s="3874"/>
      <c r="I477" s="3875"/>
      <c r="J477" s="3874"/>
      <c r="K477" s="3875"/>
      <c r="L477" s="3874"/>
      <c r="N477" s="3846"/>
      <c r="O477" s="3850"/>
      <c r="P477" s="3848"/>
      <c r="Q477" s="3850"/>
      <c r="R477" s="3850"/>
      <c r="S477" s="3850"/>
      <c r="T477" s="3850"/>
      <c r="U477" s="3850"/>
      <c r="V477" s="3850"/>
      <c r="W477" s="3850"/>
      <c r="X477" s="3850"/>
      <c r="Y477" s="3850"/>
      <c r="Z477" s="3850"/>
      <c r="AA477" s="3850"/>
      <c r="AB477" s="3850"/>
      <c r="AC477" s="3850"/>
      <c r="AD477" s="3850"/>
      <c r="AE477" s="3850"/>
      <c r="AF477" s="3850"/>
      <c r="AG477" s="3850"/>
      <c r="AH477" s="3850"/>
      <c r="AI477" s="3850"/>
      <c r="AJ477" s="3850"/>
      <c r="AK477" s="3850"/>
      <c r="AL477" s="3850"/>
      <c r="AM477" s="3850"/>
      <c r="AN477" s="3850"/>
      <c r="AO477" s="3850"/>
      <c r="AP477" s="3850"/>
      <c r="AQ477" s="3850"/>
      <c r="AR477" s="3850"/>
      <c r="AS477" s="3850"/>
      <c r="AV477" s="3850"/>
      <c r="AX477" s="3850"/>
      <c r="AY477" s="3850"/>
      <c r="AZ477" s="3850"/>
      <c r="BA477" s="3850"/>
      <c r="BB477" s="3850"/>
      <c r="BC477" s="3850"/>
      <c r="BD477" s="3850"/>
      <c r="BE477" s="3850"/>
      <c r="BF477" s="3850"/>
      <c r="BG477" s="3850"/>
      <c r="BH477" s="3850"/>
      <c r="BI477" s="3850"/>
      <c r="BJ477" s="3850"/>
      <c r="BK477" s="3850"/>
      <c r="BL477" s="3850"/>
      <c r="BM477" s="3850"/>
      <c r="BN477" s="3850"/>
      <c r="BO477" s="3850"/>
      <c r="BP477" s="3850"/>
      <c r="BQ477" s="3850"/>
      <c r="BR477" s="3850"/>
      <c r="BS477" s="3850"/>
      <c r="BT477" s="3850"/>
      <c r="BU477" s="3850"/>
      <c r="BV477" s="3850"/>
      <c r="BW477" s="3850"/>
      <c r="BX477" s="3850"/>
      <c r="BY477" s="3850"/>
      <c r="BZ477" s="3850"/>
      <c r="CA477" s="3850"/>
      <c r="CB477" s="3850"/>
      <c r="CC477" s="3850"/>
      <c r="CD477" s="3850"/>
      <c r="CE477" s="3850"/>
      <c r="CF477" s="3850"/>
      <c r="CG477" s="3850"/>
      <c r="CH477" s="3850"/>
      <c r="CI477" s="3850"/>
      <c r="CJ477" s="3850"/>
      <c r="CK477" s="3850"/>
      <c r="CL477" s="3850"/>
      <c r="CM477" s="3850"/>
      <c r="CN477" s="3850"/>
      <c r="CO477" s="3850"/>
      <c r="CP477" s="3850"/>
      <c r="CQ477" s="3850"/>
      <c r="CR477" s="3850"/>
      <c r="CS477" s="3850"/>
      <c r="CT477" s="3850"/>
      <c r="CU477" s="3850"/>
      <c r="CV477" s="3850"/>
      <c r="CW477" s="3850"/>
      <c r="CX477" s="3850"/>
      <c r="CY477" s="3850"/>
      <c r="CZ477" s="3850"/>
      <c r="DA477" s="3850"/>
      <c r="DB477" s="3850"/>
      <c r="DC477" s="3850"/>
      <c r="DD477" s="3850"/>
      <c r="DE477" s="3850"/>
      <c r="DF477" s="3850"/>
      <c r="DG477" s="3850"/>
      <c r="DH477" s="3850"/>
      <c r="DI477" s="3850"/>
      <c r="DJ477" s="3850"/>
      <c r="DK477" s="3850"/>
      <c r="DL477" s="3850"/>
      <c r="DM477" s="3850"/>
      <c r="DN477" s="3850"/>
      <c r="DO477" s="3850"/>
      <c r="DP477" s="3850"/>
      <c r="DQ477" s="3850"/>
      <c r="DR477" s="3850"/>
      <c r="DS477" s="3850"/>
      <c r="DT477" s="3850"/>
      <c r="DU477" s="3850"/>
      <c r="DV477" s="3850"/>
      <c r="DW477" s="3850"/>
      <c r="DX477" s="3850"/>
      <c r="DY477" s="3850"/>
      <c r="DZ477" s="3850"/>
      <c r="EA477" s="3850"/>
    </row>
    <row r="478" spans="1:131" s="3849" customFormat="1">
      <c r="A478" s="4063"/>
      <c r="B478" s="4064"/>
      <c r="C478" s="4067"/>
      <c r="D478" s="3874"/>
      <c r="E478" s="3883"/>
      <c r="F478" s="3874"/>
      <c r="G478" s="3875"/>
      <c r="H478" s="3874"/>
      <c r="I478" s="3875"/>
      <c r="J478" s="3874"/>
      <c r="K478" s="3875"/>
      <c r="L478" s="3874"/>
      <c r="N478" s="3846"/>
      <c r="O478" s="3850"/>
      <c r="P478" s="3848"/>
      <c r="Q478" s="3850"/>
      <c r="R478" s="3850"/>
      <c r="S478" s="3850"/>
      <c r="T478" s="3850"/>
      <c r="U478" s="3850"/>
      <c r="V478" s="3850"/>
      <c r="W478" s="3850"/>
      <c r="X478" s="3850"/>
      <c r="Y478" s="3850"/>
      <c r="Z478" s="3850"/>
      <c r="AA478" s="3850"/>
      <c r="AB478" s="3850"/>
      <c r="AC478" s="3850"/>
      <c r="AD478" s="3850"/>
      <c r="AE478" s="3850"/>
      <c r="AF478" s="3850"/>
      <c r="AG478" s="3850"/>
      <c r="AH478" s="3850"/>
      <c r="AI478" s="3850"/>
      <c r="AJ478" s="3850"/>
      <c r="AK478" s="3850"/>
      <c r="AL478" s="3850"/>
      <c r="AM478" s="3850"/>
      <c r="AN478" s="3850"/>
      <c r="AO478" s="3850"/>
      <c r="AP478" s="3850"/>
      <c r="AQ478" s="3850"/>
      <c r="AR478" s="3850"/>
      <c r="AS478" s="3850"/>
      <c r="AV478" s="3850"/>
      <c r="AX478" s="3850"/>
      <c r="AY478" s="3850"/>
      <c r="AZ478" s="3850"/>
      <c r="BA478" s="3850"/>
      <c r="BB478" s="3850"/>
      <c r="BC478" s="3850"/>
      <c r="BD478" s="3850"/>
      <c r="BE478" s="3850"/>
      <c r="BF478" s="3850"/>
      <c r="BG478" s="3850"/>
      <c r="BH478" s="3850"/>
      <c r="BI478" s="3850"/>
      <c r="BJ478" s="3850"/>
      <c r="BK478" s="3850"/>
      <c r="BL478" s="3850"/>
      <c r="BM478" s="3850"/>
      <c r="BN478" s="3850"/>
      <c r="BO478" s="3850"/>
      <c r="BP478" s="3850"/>
      <c r="BQ478" s="3850"/>
      <c r="BR478" s="3850"/>
      <c r="BS478" s="3850"/>
      <c r="BT478" s="3850"/>
      <c r="BU478" s="3850"/>
      <c r="BV478" s="3850"/>
      <c r="BW478" s="3850"/>
      <c r="BX478" s="3850"/>
      <c r="BY478" s="3850"/>
      <c r="BZ478" s="3850"/>
      <c r="CA478" s="3850"/>
      <c r="CB478" s="3850"/>
      <c r="CC478" s="3850"/>
      <c r="CD478" s="3850"/>
      <c r="CE478" s="3850"/>
      <c r="CF478" s="3850"/>
      <c r="CG478" s="3850"/>
      <c r="CH478" s="3850"/>
      <c r="CI478" s="3850"/>
      <c r="CJ478" s="3850"/>
      <c r="CK478" s="3850"/>
      <c r="CL478" s="3850"/>
      <c r="CM478" s="3850"/>
      <c r="CN478" s="3850"/>
      <c r="CO478" s="3850"/>
      <c r="CP478" s="3850"/>
      <c r="CQ478" s="3850"/>
      <c r="CR478" s="3850"/>
      <c r="CS478" s="3850"/>
      <c r="CT478" s="3850"/>
      <c r="CU478" s="3850"/>
      <c r="CV478" s="3850"/>
      <c r="CW478" s="3850"/>
      <c r="CX478" s="3850"/>
      <c r="CY478" s="3850"/>
      <c r="CZ478" s="3850"/>
      <c r="DA478" s="3850"/>
      <c r="DB478" s="3850"/>
      <c r="DC478" s="3850"/>
      <c r="DD478" s="3850"/>
      <c r="DE478" s="3850"/>
      <c r="DF478" s="3850"/>
      <c r="DG478" s="3850"/>
      <c r="DH478" s="3850"/>
      <c r="DI478" s="3850"/>
      <c r="DJ478" s="3850"/>
      <c r="DK478" s="3850"/>
      <c r="DL478" s="3850"/>
      <c r="DM478" s="3850"/>
      <c r="DN478" s="3850"/>
      <c r="DO478" s="3850"/>
      <c r="DP478" s="3850"/>
      <c r="DQ478" s="3850"/>
      <c r="DR478" s="3850"/>
      <c r="DS478" s="3850"/>
      <c r="DT478" s="3850"/>
      <c r="DU478" s="3850"/>
      <c r="DV478" s="3850"/>
      <c r="DW478" s="3850"/>
      <c r="DX478" s="3850"/>
      <c r="DY478" s="3850"/>
      <c r="DZ478" s="3850"/>
      <c r="EA478" s="3850"/>
    </row>
    <row r="479" spans="1:131" s="3849" customFormat="1">
      <c r="A479" s="4063"/>
      <c r="B479" s="4064"/>
      <c r="C479" s="4067"/>
      <c r="D479" s="3874"/>
      <c r="E479" s="3883"/>
      <c r="F479" s="3874"/>
      <c r="G479" s="3875"/>
      <c r="H479" s="3874"/>
      <c r="I479" s="3875"/>
      <c r="J479" s="3874"/>
      <c r="K479" s="3875"/>
      <c r="L479" s="3874"/>
      <c r="N479" s="3846"/>
      <c r="O479" s="3850"/>
      <c r="P479" s="3848"/>
      <c r="Q479" s="3850"/>
      <c r="R479" s="3850"/>
      <c r="S479" s="3850"/>
      <c r="T479" s="3850"/>
      <c r="U479" s="3850"/>
      <c r="V479" s="3850"/>
      <c r="W479" s="3850"/>
      <c r="X479" s="3850"/>
      <c r="Y479" s="3850"/>
      <c r="Z479" s="3850"/>
      <c r="AA479" s="3850"/>
      <c r="AB479" s="3850"/>
      <c r="AC479" s="3850"/>
      <c r="AD479" s="3850"/>
      <c r="AE479" s="3850"/>
      <c r="AF479" s="3850"/>
      <c r="AG479" s="3850"/>
      <c r="AH479" s="3850"/>
      <c r="AI479" s="3850"/>
      <c r="AJ479" s="3850"/>
      <c r="AK479" s="3850"/>
      <c r="AL479" s="3850"/>
      <c r="AM479" s="3850"/>
      <c r="AN479" s="3850"/>
      <c r="AO479" s="3850"/>
      <c r="AP479" s="3850"/>
      <c r="AQ479" s="3850"/>
      <c r="AR479" s="3850"/>
      <c r="AS479" s="3850"/>
      <c r="AV479" s="3850"/>
      <c r="AX479" s="3850"/>
      <c r="AY479" s="3850"/>
      <c r="AZ479" s="3850"/>
      <c r="BA479" s="3850"/>
      <c r="BB479" s="3850"/>
      <c r="BC479" s="3850"/>
      <c r="BD479" s="3850"/>
      <c r="BE479" s="3850"/>
      <c r="BF479" s="3850"/>
      <c r="BG479" s="3850"/>
      <c r="BH479" s="3850"/>
      <c r="BI479" s="3850"/>
      <c r="BJ479" s="3850"/>
      <c r="BK479" s="3850"/>
      <c r="BL479" s="3850"/>
      <c r="BM479" s="3850"/>
      <c r="BN479" s="3850"/>
      <c r="BO479" s="3850"/>
      <c r="BP479" s="3850"/>
      <c r="BQ479" s="3850"/>
      <c r="BR479" s="3850"/>
      <c r="BS479" s="3850"/>
      <c r="BT479" s="3850"/>
      <c r="BU479" s="3850"/>
      <c r="BV479" s="3850"/>
      <c r="BW479" s="3850"/>
      <c r="BX479" s="3850"/>
      <c r="BY479" s="3850"/>
      <c r="BZ479" s="3850"/>
      <c r="CA479" s="3850"/>
      <c r="CB479" s="3850"/>
      <c r="CC479" s="3850"/>
      <c r="CD479" s="3850"/>
      <c r="CE479" s="3850"/>
      <c r="CF479" s="3850"/>
      <c r="CG479" s="3850"/>
      <c r="CH479" s="3850"/>
      <c r="CI479" s="3850"/>
      <c r="CJ479" s="3850"/>
      <c r="CK479" s="3850"/>
      <c r="CL479" s="3850"/>
      <c r="CM479" s="3850"/>
      <c r="CN479" s="3850"/>
      <c r="CO479" s="3850"/>
      <c r="CP479" s="3850"/>
      <c r="CQ479" s="3850"/>
      <c r="CR479" s="3850"/>
      <c r="CS479" s="3850"/>
      <c r="CT479" s="3850"/>
      <c r="CU479" s="3850"/>
      <c r="CV479" s="3850"/>
      <c r="CW479" s="3850"/>
      <c r="CX479" s="3850"/>
      <c r="CY479" s="3850"/>
      <c r="CZ479" s="3850"/>
      <c r="DA479" s="3850"/>
      <c r="DB479" s="3850"/>
      <c r="DC479" s="3850"/>
      <c r="DD479" s="3850"/>
      <c r="DE479" s="3850"/>
      <c r="DF479" s="3850"/>
      <c r="DG479" s="3850"/>
      <c r="DH479" s="3850"/>
      <c r="DI479" s="3850"/>
      <c r="DJ479" s="3850"/>
      <c r="DK479" s="3850"/>
      <c r="DL479" s="3850"/>
      <c r="DM479" s="3850"/>
      <c r="DN479" s="3850"/>
      <c r="DO479" s="3850"/>
      <c r="DP479" s="3850"/>
      <c r="DQ479" s="3850"/>
      <c r="DR479" s="3850"/>
      <c r="DS479" s="3850"/>
      <c r="DT479" s="3850"/>
      <c r="DU479" s="3850"/>
      <c r="DV479" s="3850"/>
      <c r="DW479" s="3850"/>
      <c r="DX479" s="3850"/>
      <c r="DY479" s="3850"/>
      <c r="DZ479" s="3850"/>
      <c r="EA479" s="3850"/>
    </row>
    <row r="480" spans="1:131" s="3849" customFormat="1">
      <c r="A480" s="4063"/>
      <c r="B480" s="4064"/>
      <c r="C480" s="4067"/>
      <c r="D480" s="3874"/>
      <c r="E480" s="3883"/>
      <c r="F480" s="3874"/>
      <c r="G480" s="3875"/>
      <c r="H480" s="3874"/>
      <c r="I480" s="3875"/>
      <c r="J480" s="3874"/>
      <c r="K480" s="3875"/>
      <c r="L480" s="3874"/>
      <c r="N480" s="3846"/>
      <c r="O480" s="3850"/>
      <c r="P480" s="3848"/>
      <c r="Q480" s="3850"/>
      <c r="R480" s="3850"/>
      <c r="S480" s="3850"/>
      <c r="T480" s="3850"/>
      <c r="U480" s="3850"/>
      <c r="V480" s="3850"/>
      <c r="W480" s="3850"/>
      <c r="X480" s="3850"/>
      <c r="Y480" s="3850"/>
      <c r="Z480" s="3850"/>
      <c r="AA480" s="3850"/>
      <c r="AB480" s="3850"/>
      <c r="AC480" s="3850"/>
      <c r="AD480" s="3850"/>
      <c r="AE480" s="3850"/>
      <c r="AF480" s="3850"/>
      <c r="AG480" s="3850"/>
      <c r="AH480" s="3850"/>
      <c r="AI480" s="3850"/>
      <c r="AJ480" s="3850"/>
      <c r="AK480" s="3850"/>
      <c r="AL480" s="3850"/>
      <c r="AM480" s="3850"/>
      <c r="AN480" s="3850"/>
      <c r="AO480" s="3850"/>
      <c r="AP480" s="3850"/>
      <c r="AQ480" s="3850"/>
      <c r="AR480" s="3850"/>
      <c r="AS480" s="3850"/>
      <c r="AV480" s="3850"/>
      <c r="AX480" s="3850"/>
      <c r="AY480" s="3850"/>
      <c r="AZ480" s="3850"/>
      <c r="BA480" s="3850"/>
      <c r="BB480" s="3850"/>
      <c r="BC480" s="3850"/>
      <c r="BD480" s="3850"/>
      <c r="BE480" s="3850"/>
      <c r="BF480" s="3850"/>
      <c r="BG480" s="3850"/>
      <c r="BH480" s="3850"/>
      <c r="BI480" s="3850"/>
      <c r="BJ480" s="3850"/>
      <c r="BK480" s="3850"/>
      <c r="BL480" s="3850"/>
      <c r="BM480" s="3850"/>
      <c r="BN480" s="3850"/>
      <c r="BO480" s="3850"/>
      <c r="BP480" s="3850"/>
      <c r="BQ480" s="3850"/>
      <c r="BR480" s="3850"/>
      <c r="BS480" s="3850"/>
      <c r="BT480" s="3850"/>
      <c r="BU480" s="3850"/>
      <c r="BV480" s="3850"/>
      <c r="BW480" s="3850"/>
      <c r="BX480" s="3850"/>
      <c r="BY480" s="3850"/>
      <c r="BZ480" s="3850"/>
      <c r="CA480" s="3850"/>
      <c r="CB480" s="3850"/>
      <c r="CC480" s="3850"/>
      <c r="CD480" s="3850"/>
      <c r="CE480" s="3850"/>
      <c r="CF480" s="3850"/>
      <c r="CG480" s="3850"/>
      <c r="CH480" s="3850"/>
      <c r="CI480" s="3850"/>
      <c r="CJ480" s="3850"/>
      <c r="CK480" s="3850"/>
      <c r="CL480" s="3850"/>
      <c r="CM480" s="3850"/>
      <c r="CN480" s="3850"/>
      <c r="CO480" s="3850"/>
      <c r="CP480" s="3850"/>
      <c r="CQ480" s="3850"/>
      <c r="CR480" s="3850"/>
      <c r="CS480" s="3850"/>
      <c r="CT480" s="3850"/>
      <c r="CU480" s="3850"/>
      <c r="CV480" s="3850"/>
      <c r="CW480" s="3850"/>
      <c r="CX480" s="3850"/>
      <c r="CY480" s="3850"/>
      <c r="CZ480" s="3850"/>
      <c r="DA480" s="3850"/>
      <c r="DB480" s="3850"/>
      <c r="DC480" s="3850"/>
      <c r="DD480" s="3850"/>
      <c r="DE480" s="3850"/>
      <c r="DF480" s="3850"/>
      <c r="DG480" s="3850"/>
      <c r="DH480" s="3850"/>
      <c r="DI480" s="3850"/>
      <c r="DJ480" s="3850"/>
      <c r="DK480" s="3850"/>
      <c r="DL480" s="3850"/>
      <c r="DM480" s="3850"/>
      <c r="DN480" s="3850"/>
      <c r="DO480" s="3850"/>
      <c r="DP480" s="3850"/>
      <c r="DQ480" s="3850"/>
      <c r="DR480" s="3850"/>
      <c r="DS480" s="3850"/>
      <c r="DT480" s="3850"/>
      <c r="DU480" s="3850"/>
      <c r="DV480" s="3850"/>
      <c r="DW480" s="3850"/>
      <c r="DX480" s="3850"/>
      <c r="DY480" s="3850"/>
      <c r="DZ480" s="3850"/>
      <c r="EA480" s="3850"/>
    </row>
    <row r="481" spans="1:131" s="3849" customFormat="1">
      <c r="A481" s="4063"/>
      <c r="B481" s="4064"/>
      <c r="C481" s="4067"/>
      <c r="D481" s="3874"/>
      <c r="E481" s="3883"/>
      <c r="F481" s="3874"/>
      <c r="G481" s="3875"/>
      <c r="H481" s="3874"/>
      <c r="I481" s="3875"/>
      <c r="J481" s="3874"/>
      <c r="K481" s="3875"/>
      <c r="L481" s="3874"/>
      <c r="N481" s="3846"/>
      <c r="O481" s="3850"/>
      <c r="P481" s="3848"/>
      <c r="Q481" s="3850"/>
      <c r="R481" s="3850"/>
      <c r="S481" s="3850"/>
      <c r="T481" s="3850"/>
      <c r="U481" s="3850"/>
      <c r="V481" s="3850"/>
      <c r="W481" s="3850"/>
      <c r="X481" s="3850"/>
      <c r="Y481" s="3850"/>
      <c r="Z481" s="3850"/>
      <c r="AA481" s="3850"/>
      <c r="AB481" s="3850"/>
      <c r="AC481" s="3850"/>
      <c r="AD481" s="3850"/>
      <c r="AE481" s="3850"/>
      <c r="AF481" s="3850"/>
      <c r="AG481" s="3850"/>
      <c r="AH481" s="3850"/>
      <c r="AI481" s="3850"/>
      <c r="AJ481" s="3850"/>
      <c r="AK481" s="3850"/>
      <c r="AL481" s="3850"/>
      <c r="AM481" s="3850"/>
      <c r="AN481" s="3850"/>
      <c r="AO481" s="3850"/>
      <c r="AP481" s="3850"/>
      <c r="AQ481" s="3850"/>
      <c r="AR481" s="3850"/>
      <c r="AS481" s="3850"/>
      <c r="AV481" s="3850"/>
      <c r="AX481" s="3850"/>
      <c r="AY481" s="3850"/>
      <c r="AZ481" s="3850"/>
      <c r="BA481" s="3850"/>
      <c r="BB481" s="3850"/>
      <c r="BC481" s="3850"/>
      <c r="BD481" s="3850"/>
      <c r="BE481" s="3850"/>
      <c r="BF481" s="3850"/>
      <c r="BG481" s="3850"/>
      <c r="BH481" s="3850"/>
      <c r="BI481" s="3850"/>
      <c r="BJ481" s="3850"/>
      <c r="BK481" s="3850"/>
      <c r="BL481" s="3850"/>
      <c r="BM481" s="3850"/>
      <c r="BN481" s="3850"/>
      <c r="BO481" s="3850"/>
      <c r="BP481" s="3850"/>
      <c r="BQ481" s="3850"/>
      <c r="BR481" s="3850"/>
      <c r="BS481" s="3850"/>
      <c r="BT481" s="3850"/>
      <c r="BU481" s="3850"/>
      <c r="BV481" s="3850"/>
      <c r="BW481" s="3850"/>
      <c r="BX481" s="3850"/>
      <c r="BY481" s="3850"/>
      <c r="BZ481" s="3850"/>
      <c r="CA481" s="3850"/>
      <c r="CB481" s="3850"/>
      <c r="CC481" s="3850"/>
      <c r="CD481" s="3850"/>
      <c r="CE481" s="3850"/>
      <c r="CF481" s="3850"/>
      <c r="CG481" s="3850"/>
      <c r="CH481" s="3850"/>
      <c r="CI481" s="3850"/>
      <c r="CJ481" s="3850"/>
      <c r="CK481" s="3850"/>
      <c r="CL481" s="3850"/>
      <c r="CM481" s="3850"/>
      <c r="CN481" s="3850"/>
      <c r="CO481" s="3850"/>
      <c r="CP481" s="3850"/>
      <c r="CQ481" s="3850"/>
      <c r="CR481" s="3850"/>
      <c r="CS481" s="3850"/>
      <c r="CT481" s="3850"/>
      <c r="CU481" s="3850"/>
      <c r="CV481" s="3850"/>
      <c r="CW481" s="3850"/>
      <c r="CX481" s="3850"/>
      <c r="CY481" s="3850"/>
      <c r="CZ481" s="3850"/>
      <c r="DA481" s="3850"/>
      <c r="DB481" s="3850"/>
      <c r="DC481" s="3850"/>
      <c r="DD481" s="3850"/>
      <c r="DE481" s="3850"/>
      <c r="DF481" s="3850"/>
      <c r="DG481" s="3850"/>
      <c r="DH481" s="3850"/>
      <c r="DI481" s="3850"/>
      <c r="DJ481" s="3850"/>
      <c r="DK481" s="3850"/>
      <c r="DL481" s="3850"/>
      <c r="DM481" s="3850"/>
      <c r="DN481" s="3850"/>
      <c r="DO481" s="3850"/>
      <c r="DP481" s="3850"/>
      <c r="DQ481" s="3850"/>
      <c r="DR481" s="3850"/>
      <c r="DS481" s="3850"/>
      <c r="DT481" s="3850"/>
      <c r="DU481" s="3850"/>
      <c r="DV481" s="3850"/>
      <c r="DW481" s="3850"/>
      <c r="DX481" s="3850"/>
      <c r="DY481" s="3850"/>
      <c r="DZ481" s="3850"/>
      <c r="EA481" s="3850"/>
    </row>
    <row r="482" spans="1:131" s="3849" customFormat="1">
      <c r="A482" s="4063"/>
      <c r="B482" s="4064"/>
      <c r="C482" s="4067"/>
      <c r="D482" s="3874"/>
      <c r="E482" s="3883"/>
      <c r="F482" s="3874"/>
      <c r="G482" s="3875"/>
      <c r="H482" s="3874"/>
      <c r="I482" s="3875"/>
      <c r="J482" s="3874"/>
      <c r="K482" s="3875"/>
      <c r="L482" s="3874"/>
      <c r="N482" s="3846"/>
      <c r="O482" s="3850"/>
      <c r="P482" s="3848"/>
      <c r="Q482" s="3850"/>
      <c r="R482" s="3850"/>
      <c r="S482" s="3850"/>
      <c r="T482" s="3850"/>
      <c r="U482" s="3850"/>
      <c r="V482" s="3850"/>
      <c r="W482" s="3850"/>
      <c r="X482" s="3850"/>
      <c r="Y482" s="3850"/>
      <c r="Z482" s="3850"/>
      <c r="AA482" s="3850"/>
      <c r="AB482" s="3850"/>
      <c r="AC482" s="3850"/>
      <c r="AD482" s="3850"/>
      <c r="AE482" s="3850"/>
      <c r="AF482" s="3850"/>
      <c r="AG482" s="3850"/>
      <c r="AH482" s="3850"/>
      <c r="AI482" s="3850"/>
      <c r="AJ482" s="3850"/>
      <c r="AK482" s="3850"/>
      <c r="AL482" s="3850"/>
      <c r="AM482" s="3850"/>
      <c r="AN482" s="3850"/>
      <c r="AO482" s="3850"/>
      <c r="AP482" s="3850"/>
      <c r="AQ482" s="3850"/>
      <c r="AR482" s="3850"/>
      <c r="AS482" s="3850"/>
      <c r="AV482" s="3850"/>
      <c r="AX482" s="3850"/>
      <c r="AY482" s="3850"/>
      <c r="AZ482" s="3850"/>
      <c r="BA482" s="3850"/>
      <c r="BB482" s="3850"/>
      <c r="BC482" s="3850"/>
      <c r="BD482" s="3850"/>
      <c r="BE482" s="3850"/>
      <c r="BF482" s="3850"/>
      <c r="BG482" s="3850"/>
      <c r="BH482" s="3850"/>
      <c r="BI482" s="3850"/>
      <c r="BJ482" s="3850"/>
      <c r="BK482" s="3850"/>
      <c r="BL482" s="3850"/>
      <c r="BM482" s="3850"/>
      <c r="BN482" s="3850"/>
      <c r="BO482" s="3850"/>
      <c r="BP482" s="3850"/>
      <c r="BQ482" s="3850"/>
      <c r="BR482" s="3850"/>
      <c r="BS482" s="3850"/>
      <c r="BT482" s="3850"/>
      <c r="BU482" s="3850"/>
      <c r="BV482" s="3850"/>
      <c r="BW482" s="3850"/>
      <c r="BX482" s="3850"/>
      <c r="BY482" s="3850"/>
      <c r="BZ482" s="3850"/>
      <c r="CA482" s="3850"/>
      <c r="CB482" s="3850"/>
      <c r="CC482" s="3850"/>
      <c r="CD482" s="3850"/>
      <c r="CE482" s="3850"/>
      <c r="CF482" s="3850"/>
      <c r="CG482" s="3850"/>
      <c r="CH482" s="3850"/>
      <c r="CI482" s="3850"/>
      <c r="CJ482" s="3850"/>
      <c r="CK482" s="3850"/>
      <c r="CL482" s="3850"/>
      <c r="CM482" s="3850"/>
      <c r="CN482" s="3850"/>
      <c r="CO482" s="3850"/>
      <c r="CP482" s="3850"/>
      <c r="CQ482" s="3850"/>
      <c r="CR482" s="3850"/>
      <c r="CS482" s="3850"/>
      <c r="CT482" s="3850"/>
      <c r="CU482" s="3850"/>
      <c r="CV482" s="3850"/>
      <c r="CW482" s="3850"/>
      <c r="CX482" s="3850"/>
      <c r="CY482" s="3850"/>
      <c r="CZ482" s="3850"/>
      <c r="DA482" s="3850"/>
      <c r="DB482" s="3850"/>
      <c r="DC482" s="3850"/>
      <c r="DD482" s="3850"/>
      <c r="DE482" s="3850"/>
      <c r="DF482" s="3850"/>
      <c r="DG482" s="3850"/>
      <c r="DH482" s="3850"/>
      <c r="DI482" s="3850"/>
      <c r="DJ482" s="3850"/>
      <c r="DK482" s="3850"/>
      <c r="DL482" s="3850"/>
      <c r="DM482" s="3850"/>
      <c r="DN482" s="3850"/>
      <c r="DO482" s="3850"/>
      <c r="DP482" s="3850"/>
      <c r="DQ482" s="3850"/>
      <c r="DR482" s="3850"/>
      <c r="DS482" s="3850"/>
      <c r="DT482" s="3850"/>
      <c r="DU482" s="3850"/>
      <c r="DV482" s="3850"/>
      <c r="DW482" s="3850"/>
      <c r="DX482" s="3850"/>
      <c r="DY482" s="3850"/>
      <c r="DZ482" s="3850"/>
      <c r="EA482" s="3850"/>
    </row>
    <row r="483" spans="1:131" s="3849" customFormat="1">
      <c r="A483" s="4063"/>
      <c r="B483" s="4064"/>
      <c r="C483" s="4067"/>
      <c r="D483" s="3874"/>
      <c r="E483" s="3883"/>
      <c r="F483" s="3874"/>
      <c r="G483" s="3875"/>
      <c r="H483" s="3874"/>
      <c r="I483" s="3875"/>
      <c r="J483" s="3874"/>
      <c r="K483" s="3875"/>
      <c r="L483" s="3874"/>
      <c r="N483" s="3846"/>
      <c r="O483" s="3850"/>
      <c r="P483" s="3848"/>
      <c r="Q483" s="3850"/>
      <c r="R483" s="3850"/>
      <c r="S483" s="3850"/>
      <c r="T483" s="3850"/>
      <c r="U483" s="3850"/>
      <c r="V483" s="3850"/>
      <c r="W483" s="3850"/>
      <c r="X483" s="3850"/>
      <c r="Y483" s="3850"/>
      <c r="Z483" s="3850"/>
      <c r="AA483" s="3850"/>
      <c r="AB483" s="3850"/>
      <c r="AC483" s="3850"/>
      <c r="AD483" s="3850"/>
      <c r="AE483" s="3850"/>
      <c r="AF483" s="3850"/>
      <c r="AG483" s="3850"/>
      <c r="AH483" s="3850"/>
      <c r="AI483" s="3850"/>
      <c r="AJ483" s="3850"/>
      <c r="AK483" s="3850"/>
      <c r="AL483" s="3850"/>
      <c r="AM483" s="3850"/>
      <c r="AN483" s="3850"/>
      <c r="AO483" s="3850"/>
      <c r="AP483" s="3850"/>
      <c r="AQ483" s="3850"/>
      <c r="AR483" s="3850"/>
      <c r="AS483" s="3850"/>
      <c r="AV483" s="3850"/>
      <c r="AX483" s="3850"/>
      <c r="AY483" s="3850"/>
      <c r="AZ483" s="3850"/>
      <c r="BA483" s="3850"/>
      <c r="BB483" s="3850"/>
      <c r="BC483" s="3850"/>
      <c r="BD483" s="3850"/>
      <c r="BE483" s="3850"/>
      <c r="BF483" s="3850"/>
      <c r="BG483" s="3850"/>
      <c r="BH483" s="3850"/>
      <c r="BI483" s="3850"/>
      <c r="BJ483" s="3850"/>
      <c r="BK483" s="3850"/>
      <c r="BL483" s="3850"/>
      <c r="BM483" s="3850"/>
      <c r="BN483" s="3850"/>
      <c r="BO483" s="3850"/>
      <c r="BP483" s="3850"/>
      <c r="BQ483" s="3850"/>
      <c r="BR483" s="3850"/>
      <c r="BS483" s="3850"/>
      <c r="BT483" s="3850"/>
      <c r="BU483" s="3850"/>
      <c r="BV483" s="3850"/>
      <c r="BW483" s="3850"/>
      <c r="BX483" s="3850"/>
      <c r="BY483" s="3850"/>
      <c r="BZ483" s="3850"/>
      <c r="CA483" s="3850"/>
      <c r="CB483" s="3850"/>
      <c r="CC483" s="3850"/>
      <c r="CD483" s="3850"/>
      <c r="CE483" s="3850"/>
      <c r="CF483" s="3850"/>
      <c r="CG483" s="3850"/>
      <c r="CH483" s="3850"/>
      <c r="CI483" s="3850"/>
      <c r="CJ483" s="3850"/>
      <c r="CK483" s="3850"/>
      <c r="CL483" s="3850"/>
      <c r="CM483" s="3850"/>
      <c r="CN483" s="3850"/>
      <c r="CO483" s="3850"/>
      <c r="CP483" s="3850"/>
      <c r="CQ483" s="3850"/>
      <c r="CR483" s="3850"/>
      <c r="CS483" s="3850"/>
      <c r="CT483" s="3850"/>
      <c r="CU483" s="3850"/>
      <c r="CV483" s="3850"/>
      <c r="CW483" s="3850"/>
      <c r="CX483" s="3850"/>
      <c r="CY483" s="3850"/>
      <c r="CZ483" s="3850"/>
      <c r="DA483" s="3850"/>
      <c r="DB483" s="3850"/>
      <c r="DC483" s="3850"/>
      <c r="DD483" s="3850"/>
      <c r="DE483" s="3850"/>
      <c r="DF483" s="3850"/>
      <c r="DG483" s="3850"/>
      <c r="DH483" s="3850"/>
      <c r="DI483" s="3850"/>
      <c r="DJ483" s="3850"/>
      <c r="DK483" s="3850"/>
      <c r="DL483" s="3850"/>
      <c r="DM483" s="3850"/>
      <c r="DN483" s="3850"/>
      <c r="DO483" s="3850"/>
      <c r="DP483" s="3850"/>
      <c r="DQ483" s="3850"/>
      <c r="DR483" s="3850"/>
      <c r="DS483" s="3850"/>
      <c r="DT483" s="3850"/>
      <c r="DU483" s="3850"/>
      <c r="DV483" s="3850"/>
      <c r="DW483" s="3850"/>
      <c r="DX483" s="3850"/>
      <c r="DY483" s="3850"/>
      <c r="DZ483" s="3850"/>
      <c r="EA483" s="3850"/>
    </row>
    <row r="484" spans="1:131" s="3849" customFormat="1">
      <c r="A484" s="4063"/>
      <c r="B484" s="4064"/>
      <c r="C484" s="4067"/>
      <c r="D484" s="3874"/>
      <c r="E484" s="3883"/>
      <c r="F484" s="3874"/>
      <c r="G484" s="3875"/>
      <c r="H484" s="3874"/>
      <c r="I484" s="3875"/>
      <c r="J484" s="3874"/>
      <c r="K484" s="3875"/>
      <c r="L484" s="3874"/>
      <c r="N484" s="3846"/>
      <c r="O484" s="3850"/>
      <c r="P484" s="3848"/>
      <c r="Q484" s="3850"/>
      <c r="R484" s="3850"/>
      <c r="S484" s="3850"/>
      <c r="T484" s="3850"/>
      <c r="U484" s="3850"/>
      <c r="V484" s="3850"/>
      <c r="W484" s="3850"/>
      <c r="X484" s="3850"/>
      <c r="Y484" s="3850"/>
      <c r="Z484" s="3850"/>
      <c r="AA484" s="3850"/>
      <c r="AB484" s="3850"/>
      <c r="AC484" s="3850"/>
      <c r="AD484" s="3850"/>
      <c r="AE484" s="3850"/>
      <c r="AF484" s="3850"/>
      <c r="AG484" s="3850"/>
      <c r="AH484" s="3850"/>
      <c r="AI484" s="3850"/>
      <c r="AJ484" s="3850"/>
      <c r="AK484" s="3850"/>
      <c r="AL484" s="3850"/>
      <c r="AM484" s="3850"/>
      <c r="AN484" s="3850"/>
      <c r="AO484" s="3850"/>
      <c r="AP484" s="3850"/>
      <c r="AQ484" s="3850"/>
      <c r="AR484" s="3850"/>
      <c r="AS484" s="3850"/>
      <c r="AV484" s="3850"/>
      <c r="AX484" s="3850"/>
      <c r="AY484" s="3850"/>
      <c r="AZ484" s="3850"/>
      <c r="BA484" s="3850"/>
      <c r="BB484" s="3850"/>
      <c r="BC484" s="3850"/>
      <c r="BD484" s="3850"/>
      <c r="BE484" s="3850"/>
      <c r="BF484" s="3850"/>
      <c r="BG484" s="3850"/>
      <c r="BH484" s="3850"/>
      <c r="BI484" s="3850"/>
      <c r="BJ484" s="3850"/>
      <c r="BK484" s="3850"/>
      <c r="BL484" s="3850"/>
      <c r="BM484" s="3850"/>
      <c r="BN484" s="3850"/>
      <c r="BO484" s="3850"/>
      <c r="BP484" s="3850"/>
      <c r="BQ484" s="3850"/>
      <c r="BR484" s="3850"/>
      <c r="BS484" s="3850"/>
      <c r="BT484" s="3850"/>
      <c r="BU484" s="3850"/>
      <c r="BV484" s="3850"/>
      <c r="BW484" s="3850"/>
      <c r="BX484" s="3850"/>
      <c r="BY484" s="3850"/>
      <c r="BZ484" s="3850"/>
      <c r="CA484" s="3850"/>
      <c r="CB484" s="3850"/>
      <c r="CC484" s="3850"/>
      <c r="CD484" s="3850"/>
      <c r="CE484" s="3850"/>
      <c r="CF484" s="3850"/>
      <c r="CG484" s="3850"/>
      <c r="CH484" s="3850"/>
      <c r="CI484" s="3850"/>
      <c r="CJ484" s="3850"/>
      <c r="CK484" s="3850"/>
      <c r="CL484" s="3850"/>
      <c r="CM484" s="3850"/>
      <c r="CN484" s="3850"/>
      <c r="CO484" s="3850"/>
      <c r="CP484" s="3850"/>
      <c r="CQ484" s="3850"/>
      <c r="CR484" s="3850"/>
      <c r="CS484" s="3850"/>
      <c r="CT484" s="3850"/>
      <c r="CU484" s="3850"/>
      <c r="CV484" s="3850"/>
      <c r="CW484" s="3850"/>
      <c r="CX484" s="3850"/>
      <c r="CY484" s="3850"/>
      <c r="CZ484" s="3850"/>
      <c r="DA484" s="3850"/>
      <c r="DB484" s="3850"/>
      <c r="DC484" s="3850"/>
      <c r="DD484" s="3850"/>
      <c r="DE484" s="3850"/>
      <c r="DF484" s="3850"/>
      <c r="DG484" s="3850"/>
      <c r="DH484" s="3850"/>
      <c r="DI484" s="3850"/>
      <c r="DJ484" s="3850"/>
      <c r="DK484" s="3850"/>
      <c r="DL484" s="3850"/>
      <c r="DM484" s="3850"/>
      <c r="DN484" s="3850"/>
      <c r="DO484" s="3850"/>
      <c r="DP484" s="3850"/>
      <c r="DQ484" s="3850"/>
      <c r="DR484" s="3850"/>
      <c r="DS484" s="3850"/>
      <c r="DT484" s="3850"/>
      <c r="DU484" s="3850"/>
      <c r="DV484" s="3850"/>
      <c r="DW484" s="3850"/>
      <c r="DX484" s="3850"/>
      <c r="DY484" s="3850"/>
      <c r="DZ484" s="3850"/>
      <c r="EA484" s="3850"/>
    </row>
    <row r="485" spans="1:131" s="3849" customFormat="1">
      <c r="A485" s="4063"/>
      <c r="B485" s="4064"/>
      <c r="C485" s="4067"/>
      <c r="D485" s="3874"/>
      <c r="E485" s="3883"/>
      <c r="F485" s="3874"/>
      <c r="G485" s="3875"/>
      <c r="H485" s="3874"/>
      <c r="I485" s="3875"/>
      <c r="J485" s="3874"/>
      <c r="K485" s="3875"/>
      <c r="L485" s="3874"/>
      <c r="N485" s="3846"/>
      <c r="O485" s="3850"/>
      <c r="P485" s="3848"/>
      <c r="Q485" s="3850"/>
      <c r="R485" s="3850"/>
      <c r="S485" s="3850"/>
      <c r="T485" s="3850"/>
      <c r="U485" s="3850"/>
      <c r="V485" s="3850"/>
      <c r="W485" s="3850"/>
      <c r="X485" s="3850"/>
      <c r="Y485" s="3850"/>
      <c r="Z485" s="3850"/>
      <c r="AA485" s="3850"/>
      <c r="AB485" s="3850"/>
      <c r="AC485" s="3850"/>
      <c r="AD485" s="3850"/>
      <c r="AE485" s="3850"/>
      <c r="AF485" s="3850"/>
      <c r="AG485" s="3850"/>
      <c r="AH485" s="3850"/>
      <c r="AI485" s="3850"/>
      <c r="AJ485" s="3850"/>
      <c r="AK485" s="3850"/>
      <c r="AL485" s="3850"/>
      <c r="AM485" s="3850"/>
      <c r="AN485" s="3850"/>
      <c r="AO485" s="3850"/>
      <c r="AP485" s="3850"/>
      <c r="AQ485" s="3850"/>
      <c r="AR485" s="3850"/>
      <c r="AS485" s="3850"/>
      <c r="AV485" s="3850"/>
      <c r="AX485" s="3850"/>
      <c r="AY485" s="3850"/>
      <c r="AZ485" s="3850"/>
      <c r="BA485" s="3850"/>
      <c r="BB485" s="3850"/>
      <c r="BC485" s="3850"/>
      <c r="BD485" s="3850"/>
      <c r="BE485" s="3850"/>
      <c r="BF485" s="3850"/>
      <c r="BG485" s="3850"/>
      <c r="BH485" s="3850"/>
      <c r="BI485" s="3850"/>
      <c r="BJ485" s="3850"/>
      <c r="BK485" s="3850"/>
      <c r="BL485" s="3850"/>
      <c r="BM485" s="3850"/>
      <c r="BN485" s="3850"/>
      <c r="BO485" s="3850"/>
      <c r="BP485" s="3850"/>
      <c r="BQ485" s="3850"/>
      <c r="BR485" s="3850"/>
      <c r="BS485" s="3850"/>
      <c r="BT485" s="3850"/>
      <c r="BU485" s="3850"/>
      <c r="BV485" s="3850"/>
      <c r="BW485" s="3850"/>
      <c r="BX485" s="3850"/>
      <c r="BY485" s="3850"/>
      <c r="BZ485" s="3850"/>
      <c r="CA485" s="3850"/>
      <c r="CB485" s="3850"/>
      <c r="CC485" s="3850"/>
      <c r="CD485" s="3850"/>
      <c r="CE485" s="3850"/>
      <c r="CF485" s="3850"/>
      <c r="CG485" s="3850"/>
      <c r="CH485" s="3850"/>
      <c r="CI485" s="3850"/>
      <c r="CJ485" s="3850"/>
      <c r="CK485" s="3850"/>
      <c r="CL485" s="3850"/>
      <c r="CM485" s="3850"/>
      <c r="CN485" s="3850"/>
      <c r="CO485" s="3850"/>
      <c r="CP485" s="3850"/>
      <c r="CQ485" s="3850"/>
      <c r="CR485" s="3850"/>
      <c r="CS485" s="3850"/>
      <c r="CT485" s="3850"/>
      <c r="CU485" s="3850"/>
      <c r="CV485" s="3850"/>
      <c r="CW485" s="3850"/>
      <c r="CX485" s="3850"/>
      <c r="CY485" s="3850"/>
      <c r="CZ485" s="3850"/>
      <c r="DA485" s="3850"/>
      <c r="DB485" s="3850"/>
      <c r="DC485" s="3850"/>
      <c r="DD485" s="3850"/>
      <c r="DE485" s="3850"/>
      <c r="DF485" s="3850"/>
      <c r="DG485" s="3850"/>
      <c r="DH485" s="3850"/>
      <c r="DI485" s="3850"/>
      <c r="DJ485" s="3850"/>
      <c r="DK485" s="3850"/>
      <c r="DL485" s="3850"/>
      <c r="DM485" s="3850"/>
      <c r="DN485" s="3850"/>
      <c r="DO485" s="3850"/>
      <c r="DP485" s="3850"/>
      <c r="DQ485" s="3850"/>
      <c r="DR485" s="3850"/>
      <c r="DS485" s="3850"/>
      <c r="DT485" s="3850"/>
      <c r="DU485" s="3850"/>
      <c r="DV485" s="3850"/>
      <c r="DW485" s="3850"/>
      <c r="DX485" s="3850"/>
      <c r="DY485" s="3850"/>
      <c r="DZ485" s="3850"/>
      <c r="EA485" s="3850"/>
    </row>
    <row r="486" spans="1:131" s="3849" customFormat="1">
      <c r="A486" s="4063"/>
      <c r="B486" s="4064"/>
      <c r="C486" s="4067"/>
      <c r="D486" s="3874"/>
      <c r="E486" s="3883"/>
      <c r="F486" s="3874"/>
      <c r="G486" s="3875"/>
      <c r="H486" s="3874"/>
      <c r="I486" s="3875"/>
      <c r="J486" s="3874"/>
      <c r="K486" s="3875"/>
      <c r="L486" s="3874"/>
      <c r="N486" s="3846"/>
      <c r="O486" s="3850"/>
      <c r="P486" s="3848"/>
      <c r="Q486" s="3850"/>
      <c r="R486" s="3850"/>
      <c r="S486" s="3850"/>
      <c r="T486" s="3850"/>
      <c r="U486" s="3850"/>
      <c r="V486" s="3850"/>
      <c r="W486" s="3850"/>
      <c r="X486" s="3850"/>
      <c r="Y486" s="3850"/>
      <c r="Z486" s="3850"/>
      <c r="AA486" s="3850"/>
      <c r="AB486" s="3850"/>
      <c r="AC486" s="3850"/>
      <c r="AD486" s="3850"/>
      <c r="AE486" s="3850"/>
      <c r="AF486" s="3850"/>
      <c r="AG486" s="3850"/>
      <c r="AH486" s="3850"/>
      <c r="AI486" s="3850"/>
      <c r="AJ486" s="3850"/>
      <c r="AK486" s="3850"/>
      <c r="AL486" s="3850"/>
      <c r="AM486" s="3850"/>
      <c r="AN486" s="3850"/>
      <c r="AO486" s="3850"/>
      <c r="AP486" s="3850"/>
      <c r="AQ486" s="3850"/>
      <c r="AR486" s="3850"/>
      <c r="AS486" s="3850"/>
      <c r="AV486" s="3850"/>
      <c r="AX486" s="3850"/>
      <c r="AY486" s="3850"/>
      <c r="AZ486" s="3850"/>
      <c r="BA486" s="3850"/>
      <c r="BB486" s="3850"/>
      <c r="BC486" s="3850"/>
      <c r="BD486" s="3850"/>
      <c r="BE486" s="3850"/>
      <c r="BF486" s="3850"/>
      <c r="BG486" s="3850"/>
      <c r="BH486" s="3850"/>
      <c r="BI486" s="3850"/>
      <c r="BJ486" s="3850"/>
      <c r="BK486" s="3850"/>
      <c r="BL486" s="3850"/>
      <c r="BM486" s="3850"/>
      <c r="BN486" s="3850"/>
      <c r="BO486" s="3850"/>
      <c r="BP486" s="3850"/>
      <c r="BQ486" s="3850"/>
      <c r="BR486" s="3850"/>
      <c r="BS486" s="3850"/>
      <c r="BT486" s="3850"/>
      <c r="BU486" s="3850"/>
      <c r="BV486" s="3850"/>
      <c r="BW486" s="3850"/>
      <c r="BX486" s="3850"/>
      <c r="BY486" s="3850"/>
      <c r="BZ486" s="3850"/>
      <c r="CA486" s="3850"/>
      <c r="CB486" s="3850"/>
      <c r="CC486" s="3850"/>
      <c r="CD486" s="3850"/>
      <c r="CE486" s="3850"/>
      <c r="CF486" s="3850"/>
      <c r="CG486" s="3850"/>
      <c r="CH486" s="3850"/>
      <c r="CI486" s="3850"/>
      <c r="CJ486" s="3850"/>
      <c r="CK486" s="3850"/>
      <c r="CL486" s="3850"/>
      <c r="CM486" s="3850"/>
      <c r="CN486" s="3850"/>
      <c r="CO486" s="3850"/>
      <c r="CP486" s="3850"/>
      <c r="CQ486" s="3850"/>
      <c r="CR486" s="3850"/>
      <c r="CS486" s="3850"/>
      <c r="CT486" s="3850"/>
      <c r="CU486" s="3850"/>
      <c r="CV486" s="3850"/>
      <c r="CW486" s="3850"/>
      <c r="CX486" s="3850"/>
      <c r="CY486" s="3850"/>
      <c r="CZ486" s="3850"/>
      <c r="DA486" s="3850"/>
      <c r="DB486" s="3850"/>
      <c r="DC486" s="3850"/>
      <c r="DD486" s="3850"/>
      <c r="DE486" s="3850"/>
      <c r="DF486" s="3850"/>
      <c r="DG486" s="3850"/>
      <c r="DH486" s="3850"/>
      <c r="DI486" s="3850"/>
      <c r="DJ486" s="3850"/>
      <c r="DK486" s="3850"/>
      <c r="DL486" s="3850"/>
      <c r="DM486" s="3850"/>
      <c r="DN486" s="3850"/>
      <c r="DO486" s="3850"/>
      <c r="DP486" s="3850"/>
      <c r="DQ486" s="3850"/>
      <c r="DR486" s="3850"/>
      <c r="DS486" s="3850"/>
      <c r="DT486" s="3850"/>
      <c r="DU486" s="3850"/>
      <c r="DV486" s="3850"/>
      <c r="DW486" s="3850"/>
      <c r="DX486" s="3850"/>
      <c r="DY486" s="3850"/>
      <c r="DZ486" s="3850"/>
      <c r="EA486" s="3850"/>
    </row>
    <row r="487" spans="1:131" s="3849" customFormat="1">
      <c r="A487" s="4063"/>
      <c r="B487" s="4064"/>
      <c r="C487" s="4067"/>
      <c r="D487" s="3874"/>
      <c r="E487" s="3883"/>
      <c r="F487" s="3874"/>
      <c r="G487" s="3875"/>
      <c r="H487" s="3874"/>
      <c r="I487" s="3875"/>
      <c r="J487" s="3874"/>
      <c r="K487" s="3875"/>
      <c r="L487" s="3874"/>
      <c r="N487" s="3846"/>
      <c r="O487" s="3850"/>
      <c r="P487" s="3848"/>
      <c r="Q487" s="3850"/>
      <c r="R487" s="3850"/>
      <c r="S487" s="3850"/>
      <c r="T487" s="3850"/>
      <c r="U487" s="3850"/>
      <c r="V487" s="3850"/>
      <c r="W487" s="3850"/>
      <c r="X487" s="3850"/>
      <c r="Y487" s="3850"/>
      <c r="Z487" s="3850"/>
      <c r="AA487" s="3850"/>
      <c r="AB487" s="3850"/>
      <c r="AC487" s="3850"/>
      <c r="AD487" s="3850"/>
      <c r="AE487" s="3850"/>
      <c r="AF487" s="3850"/>
      <c r="AG487" s="3850"/>
      <c r="AH487" s="3850"/>
      <c r="AI487" s="3850"/>
      <c r="AJ487" s="3850"/>
      <c r="AK487" s="3850"/>
      <c r="AL487" s="3850"/>
      <c r="AM487" s="3850"/>
      <c r="AN487" s="3850"/>
      <c r="AO487" s="3850"/>
      <c r="AP487" s="3850"/>
      <c r="AQ487" s="3850"/>
      <c r="AR487" s="3850"/>
      <c r="AS487" s="3850"/>
      <c r="AV487" s="3850"/>
      <c r="AX487" s="3850"/>
      <c r="AY487" s="3850"/>
      <c r="AZ487" s="3850"/>
      <c r="BA487" s="3850"/>
      <c r="BB487" s="3850"/>
      <c r="BC487" s="3850"/>
      <c r="BD487" s="3850"/>
      <c r="BE487" s="3850"/>
      <c r="BF487" s="3850"/>
      <c r="BG487" s="3850"/>
      <c r="BH487" s="3850"/>
      <c r="BI487" s="3850"/>
      <c r="BJ487" s="3850"/>
      <c r="BK487" s="3850"/>
      <c r="BL487" s="3850"/>
      <c r="BM487" s="3850"/>
      <c r="BN487" s="3850"/>
      <c r="BO487" s="3850"/>
      <c r="BP487" s="3850"/>
      <c r="BQ487" s="3850"/>
      <c r="BR487" s="3850"/>
      <c r="BS487" s="3850"/>
      <c r="BT487" s="3850"/>
      <c r="BU487" s="3850"/>
      <c r="BV487" s="3850"/>
      <c r="BW487" s="3850"/>
      <c r="BX487" s="3850"/>
      <c r="BY487" s="3850"/>
      <c r="BZ487" s="3850"/>
      <c r="CA487" s="3850"/>
      <c r="CB487" s="3850"/>
      <c r="CC487" s="3850"/>
      <c r="CD487" s="3850"/>
      <c r="CE487" s="3850"/>
      <c r="CF487" s="3850"/>
      <c r="CG487" s="3850"/>
      <c r="CH487" s="3850"/>
      <c r="CI487" s="3850"/>
      <c r="CJ487" s="3850"/>
      <c r="CK487" s="3850"/>
      <c r="CL487" s="3850"/>
      <c r="CM487" s="3850"/>
      <c r="CN487" s="3850"/>
      <c r="CO487" s="3850"/>
      <c r="CP487" s="3850"/>
      <c r="CQ487" s="3850"/>
      <c r="CR487" s="3850"/>
      <c r="CS487" s="3850"/>
      <c r="CT487" s="3850"/>
      <c r="CU487" s="3850"/>
      <c r="CV487" s="3850"/>
      <c r="CW487" s="3850"/>
      <c r="CX487" s="3850"/>
      <c r="CY487" s="3850"/>
      <c r="CZ487" s="3850"/>
      <c r="DA487" s="3850"/>
      <c r="DB487" s="3850"/>
      <c r="DC487" s="3850"/>
      <c r="DD487" s="3850"/>
      <c r="DE487" s="3850"/>
      <c r="DF487" s="3850"/>
      <c r="DG487" s="3850"/>
      <c r="DH487" s="3850"/>
      <c r="DI487" s="3850"/>
      <c r="DJ487" s="3850"/>
      <c r="DK487" s="3850"/>
      <c r="DL487" s="3850"/>
      <c r="DM487" s="3850"/>
      <c r="DN487" s="3850"/>
      <c r="DO487" s="3850"/>
      <c r="DP487" s="3850"/>
      <c r="DQ487" s="3850"/>
      <c r="DR487" s="3850"/>
      <c r="DS487" s="3850"/>
      <c r="DT487" s="3850"/>
      <c r="DU487" s="3850"/>
      <c r="DV487" s="3850"/>
      <c r="DW487" s="3850"/>
      <c r="DX487" s="3850"/>
      <c r="DY487" s="3850"/>
      <c r="DZ487" s="3850"/>
      <c r="EA487" s="3850"/>
    </row>
    <row r="488" spans="1:131" s="3849" customFormat="1">
      <c r="A488" s="4063"/>
      <c r="B488" s="4064"/>
      <c r="C488" s="4067"/>
      <c r="D488" s="3874"/>
      <c r="E488" s="3883"/>
      <c r="F488" s="3874"/>
      <c r="G488" s="3875"/>
      <c r="H488" s="3874"/>
      <c r="I488" s="3875"/>
      <c r="J488" s="3874"/>
      <c r="K488" s="3875"/>
      <c r="L488" s="3874"/>
      <c r="N488" s="3846"/>
      <c r="O488" s="3850"/>
      <c r="P488" s="3848"/>
      <c r="Q488" s="3850"/>
      <c r="R488" s="3850"/>
      <c r="S488" s="3850"/>
      <c r="T488" s="3850"/>
      <c r="U488" s="3850"/>
      <c r="V488" s="3850"/>
      <c r="W488" s="3850"/>
      <c r="X488" s="3850"/>
      <c r="Y488" s="3850"/>
      <c r="Z488" s="3850"/>
      <c r="AA488" s="3850"/>
      <c r="AB488" s="3850"/>
      <c r="AC488" s="3850"/>
      <c r="AD488" s="3850"/>
      <c r="AE488" s="3850"/>
      <c r="AF488" s="3850"/>
      <c r="AG488" s="3850"/>
      <c r="AH488" s="3850"/>
      <c r="AI488" s="3850"/>
      <c r="AJ488" s="3850"/>
      <c r="AK488" s="3850"/>
      <c r="AL488" s="3850"/>
      <c r="AM488" s="3850"/>
      <c r="AN488" s="3850"/>
      <c r="AO488" s="3850"/>
      <c r="AP488" s="3850"/>
      <c r="AQ488" s="3850"/>
      <c r="AR488" s="3850"/>
      <c r="AS488" s="3850"/>
      <c r="AV488" s="3850"/>
      <c r="AX488" s="3850"/>
      <c r="AY488" s="3850"/>
      <c r="AZ488" s="3850"/>
      <c r="BA488" s="3850"/>
      <c r="BB488" s="3850"/>
      <c r="BC488" s="3850"/>
      <c r="BD488" s="3850"/>
      <c r="BE488" s="3850"/>
      <c r="BF488" s="3850"/>
      <c r="BG488" s="3850"/>
      <c r="BH488" s="3850"/>
      <c r="BI488" s="3850"/>
      <c r="BJ488" s="3850"/>
      <c r="BK488" s="3850"/>
      <c r="BL488" s="3850"/>
      <c r="BM488" s="3850"/>
      <c r="BN488" s="3850"/>
      <c r="BO488" s="3850"/>
      <c r="BP488" s="3850"/>
      <c r="BQ488" s="3850"/>
      <c r="BR488" s="3850"/>
      <c r="BS488" s="3850"/>
      <c r="BT488" s="3850"/>
      <c r="BU488" s="3850"/>
      <c r="BV488" s="3850"/>
      <c r="BW488" s="3850"/>
      <c r="BX488" s="3850"/>
      <c r="BY488" s="3850"/>
      <c r="BZ488" s="3850"/>
      <c r="CA488" s="3850"/>
      <c r="CB488" s="3850"/>
      <c r="CC488" s="3850"/>
      <c r="CD488" s="3850"/>
      <c r="CE488" s="3850"/>
      <c r="CF488" s="3850"/>
      <c r="CG488" s="3850"/>
      <c r="CH488" s="3850"/>
      <c r="CI488" s="3850"/>
      <c r="CJ488" s="3850"/>
      <c r="CK488" s="3850"/>
      <c r="CL488" s="3850"/>
      <c r="CM488" s="3850"/>
      <c r="CN488" s="3850"/>
      <c r="CO488" s="3850"/>
      <c r="CP488" s="3850"/>
      <c r="CQ488" s="3850"/>
      <c r="CR488" s="3850"/>
      <c r="CS488" s="3850"/>
      <c r="CT488" s="3850"/>
      <c r="CU488" s="3850"/>
      <c r="CV488" s="3850"/>
      <c r="CW488" s="3850"/>
      <c r="CX488" s="3850"/>
      <c r="CY488" s="3850"/>
      <c r="CZ488" s="3850"/>
      <c r="DA488" s="3850"/>
      <c r="DB488" s="3850"/>
      <c r="DC488" s="3850"/>
      <c r="DD488" s="3850"/>
      <c r="DE488" s="3850"/>
      <c r="DF488" s="3850"/>
      <c r="DG488" s="3850"/>
      <c r="DH488" s="3850"/>
      <c r="DI488" s="3850"/>
      <c r="DJ488" s="3850"/>
      <c r="DK488" s="3850"/>
      <c r="DL488" s="3850"/>
      <c r="DM488" s="3850"/>
      <c r="DN488" s="3850"/>
      <c r="DO488" s="3850"/>
      <c r="DP488" s="3850"/>
      <c r="DQ488" s="3850"/>
      <c r="DR488" s="3850"/>
      <c r="DS488" s="3850"/>
      <c r="DT488" s="3850"/>
      <c r="DU488" s="3850"/>
      <c r="DV488" s="3850"/>
      <c r="DW488" s="3850"/>
      <c r="DX488" s="3850"/>
      <c r="DY488" s="3850"/>
      <c r="DZ488" s="3850"/>
      <c r="EA488" s="3850"/>
    </row>
    <row r="489" spans="1:131" s="3849" customFormat="1">
      <c r="A489" s="4063"/>
      <c r="B489" s="4064"/>
      <c r="C489" s="4067"/>
      <c r="D489" s="3874"/>
      <c r="E489" s="3883"/>
      <c r="F489" s="3874"/>
      <c r="G489" s="3875"/>
      <c r="H489" s="3874"/>
      <c r="I489" s="3875"/>
      <c r="J489" s="3874"/>
      <c r="K489" s="3875"/>
      <c r="L489" s="3874"/>
      <c r="N489" s="3846"/>
      <c r="O489" s="3850"/>
      <c r="P489" s="3848"/>
      <c r="Q489" s="3850"/>
      <c r="R489" s="3850"/>
      <c r="S489" s="3850"/>
      <c r="T489" s="3850"/>
      <c r="U489" s="3850"/>
      <c r="V489" s="3850"/>
      <c r="W489" s="3850"/>
      <c r="X489" s="3850"/>
      <c r="Y489" s="3850"/>
      <c r="Z489" s="3850"/>
      <c r="AA489" s="3850"/>
      <c r="AB489" s="3850"/>
      <c r="AC489" s="3850"/>
      <c r="AD489" s="3850"/>
      <c r="AE489" s="3850"/>
      <c r="AF489" s="3850"/>
      <c r="AG489" s="3850"/>
      <c r="AH489" s="3850"/>
      <c r="AI489" s="3850"/>
      <c r="AJ489" s="3850"/>
      <c r="AK489" s="3850"/>
      <c r="AL489" s="3850"/>
      <c r="AM489" s="3850"/>
      <c r="AN489" s="3850"/>
      <c r="AO489" s="3850"/>
      <c r="AP489" s="3850"/>
      <c r="AQ489" s="3850"/>
      <c r="AR489" s="3850"/>
      <c r="AS489" s="3850"/>
      <c r="AV489" s="3850"/>
      <c r="AX489" s="3850"/>
      <c r="AY489" s="3850"/>
      <c r="AZ489" s="3850"/>
      <c r="BA489" s="3850"/>
      <c r="BB489" s="3850"/>
      <c r="BC489" s="3850"/>
      <c r="BD489" s="3850"/>
      <c r="BE489" s="3850"/>
      <c r="BF489" s="3850"/>
      <c r="BG489" s="3850"/>
      <c r="BH489" s="3850"/>
      <c r="BI489" s="3850"/>
      <c r="BJ489" s="3850"/>
      <c r="BK489" s="3850"/>
      <c r="BL489" s="3850"/>
      <c r="BM489" s="3850"/>
      <c r="BN489" s="3850"/>
      <c r="BO489" s="3850"/>
      <c r="BP489" s="3850"/>
      <c r="BQ489" s="3850"/>
      <c r="BR489" s="3850"/>
      <c r="BS489" s="3850"/>
      <c r="BT489" s="3850"/>
      <c r="BU489" s="3850"/>
      <c r="BV489" s="3850"/>
      <c r="BW489" s="3850"/>
      <c r="BX489" s="3850"/>
      <c r="BY489" s="3850"/>
      <c r="BZ489" s="3850"/>
      <c r="CA489" s="3850"/>
      <c r="CB489" s="3850"/>
      <c r="CC489" s="3850"/>
      <c r="CD489" s="3850"/>
      <c r="CE489" s="3850"/>
      <c r="CF489" s="3850"/>
      <c r="CG489" s="3850"/>
      <c r="CH489" s="3850"/>
      <c r="CI489" s="3850"/>
      <c r="CJ489" s="3850"/>
      <c r="CK489" s="3850"/>
      <c r="CL489" s="3850"/>
      <c r="CM489" s="3850"/>
      <c r="CN489" s="3850"/>
      <c r="CO489" s="3850"/>
      <c r="CP489" s="3850"/>
      <c r="CQ489" s="3850"/>
      <c r="CR489" s="3850"/>
      <c r="CS489" s="3850"/>
      <c r="CT489" s="3850"/>
      <c r="CU489" s="3850"/>
      <c r="CV489" s="3850"/>
      <c r="CW489" s="3850"/>
      <c r="CX489" s="3850"/>
      <c r="CY489" s="3850"/>
      <c r="CZ489" s="3850"/>
      <c r="DA489" s="3850"/>
      <c r="DB489" s="3850"/>
      <c r="DC489" s="3850"/>
      <c r="DD489" s="3850"/>
      <c r="DE489" s="3850"/>
      <c r="DF489" s="3850"/>
      <c r="DG489" s="3850"/>
      <c r="DH489" s="3850"/>
      <c r="DI489" s="3850"/>
      <c r="DJ489" s="3850"/>
      <c r="DK489" s="3850"/>
      <c r="DL489" s="3850"/>
      <c r="DM489" s="3850"/>
      <c r="DN489" s="3850"/>
      <c r="DO489" s="3850"/>
      <c r="DP489" s="3850"/>
      <c r="DQ489" s="3850"/>
      <c r="DR489" s="3850"/>
      <c r="DS489" s="3850"/>
      <c r="DT489" s="3850"/>
      <c r="DU489" s="3850"/>
      <c r="DV489" s="3850"/>
      <c r="DW489" s="3850"/>
      <c r="DX489" s="3850"/>
      <c r="DY489" s="3850"/>
      <c r="DZ489" s="3850"/>
      <c r="EA489" s="3850"/>
    </row>
    <row r="490" spans="1:131" s="3849" customFormat="1">
      <c r="A490" s="4063"/>
      <c r="B490" s="4064"/>
      <c r="C490" s="4067"/>
      <c r="D490" s="3874"/>
      <c r="E490" s="3883"/>
      <c r="F490" s="3874"/>
      <c r="G490" s="3875"/>
      <c r="H490" s="3874"/>
      <c r="I490" s="3875"/>
      <c r="J490" s="3874"/>
      <c r="K490" s="3875"/>
      <c r="L490" s="3874"/>
      <c r="N490" s="3846"/>
      <c r="O490" s="3850"/>
      <c r="P490" s="3848"/>
      <c r="Q490" s="3850"/>
      <c r="R490" s="3850"/>
      <c r="S490" s="3850"/>
      <c r="T490" s="3850"/>
      <c r="U490" s="3850"/>
      <c r="V490" s="3850"/>
      <c r="W490" s="3850"/>
      <c r="X490" s="3850"/>
      <c r="Y490" s="3850"/>
      <c r="Z490" s="3850"/>
      <c r="AA490" s="3850"/>
      <c r="AB490" s="3850"/>
      <c r="AC490" s="3850"/>
      <c r="AD490" s="3850"/>
      <c r="AE490" s="3850"/>
      <c r="AF490" s="3850"/>
      <c r="AG490" s="3850"/>
      <c r="AH490" s="3850"/>
      <c r="AI490" s="3850"/>
      <c r="AJ490" s="3850"/>
      <c r="AK490" s="3850"/>
      <c r="AL490" s="3850"/>
      <c r="AM490" s="3850"/>
      <c r="AN490" s="3850"/>
      <c r="AO490" s="3850"/>
      <c r="AP490" s="3850"/>
      <c r="AQ490" s="3850"/>
      <c r="AR490" s="3850"/>
      <c r="AS490" s="3850"/>
      <c r="AV490" s="3850"/>
      <c r="AX490" s="3850"/>
      <c r="AY490" s="3850"/>
      <c r="AZ490" s="3850"/>
      <c r="BA490" s="3850"/>
      <c r="BB490" s="3850"/>
      <c r="BC490" s="3850"/>
      <c r="BD490" s="3850"/>
      <c r="BE490" s="3850"/>
      <c r="BF490" s="3850"/>
      <c r="BG490" s="3850"/>
      <c r="BH490" s="3850"/>
      <c r="BI490" s="3850"/>
      <c r="BJ490" s="3850"/>
      <c r="BK490" s="3850"/>
      <c r="BL490" s="3850"/>
      <c r="BM490" s="3850"/>
      <c r="BN490" s="3850"/>
      <c r="BO490" s="3850"/>
      <c r="BP490" s="3850"/>
      <c r="BQ490" s="3850"/>
      <c r="BR490" s="3850"/>
      <c r="BS490" s="3850"/>
      <c r="BT490" s="3850"/>
      <c r="BU490" s="3850"/>
      <c r="BV490" s="3850"/>
      <c r="BW490" s="3850"/>
      <c r="BX490" s="3850"/>
      <c r="BY490" s="3850"/>
      <c r="BZ490" s="3850"/>
      <c r="CA490" s="3850"/>
      <c r="CB490" s="3850"/>
      <c r="CC490" s="3850"/>
      <c r="CD490" s="3850"/>
      <c r="CE490" s="3850"/>
      <c r="CF490" s="3850"/>
      <c r="CG490" s="3850"/>
      <c r="CH490" s="3850"/>
      <c r="CI490" s="3850"/>
      <c r="CJ490" s="3850"/>
      <c r="CK490" s="3850"/>
      <c r="CL490" s="3850"/>
      <c r="CM490" s="3850"/>
      <c r="CN490" s="3850"/>
      <c r="CO490" s="3850"/>
      <c r="CP490" s="3850"/>
      <c r="CQ490" s="3850"/>
      <c r="CR490" s="3850"/>
      <c r="CS490" s="3850"/>
      <c r="CT490" s="3850"/>
      <c r="CU490" s="3850"/>
      <c r="CV490" s="3850"/>
      <c r="CW490" s="3850"/>
      <c r="CX490" s="3850"/>
      <c r="CY490" s="3850"/>
      <c r="CZ490" s="3850"/>
      <c r="DA490" s="3850"/>
      <c r="DB490" s="3850"/>
      <c r="DC490" s="3850"/>
      <c r="DD490" s="3850"/>
      <c r="DE490" s="3850"/>
      <c r="DF490" s="3850"/>
      <c r="DG490" s="3850"/>
      <c r="DH490" s="3850"/>
      <c r="DI490" s="3850"/>
      <c r="DJ490" s="3850"/>
      <c r="DK490" s="3850"/>
      <c r="DL490" s="3850"/>
      <c r="DM490" s="3850"/>
      <c r="DN490" s="3850"/>
      <c r="DO490" s="3850"/>
      <c r="DP490" s="3850"/>
      <c r="DQ490" s="3850"/>
      <c r="DR490" s="3850"/>
      <c r="DS490" s="3850"/>
      <c r="DT490" s="3850"/>
      <c r="DU490" s="3850"/>
      <c r="DV490" s="3850"/>
      <c r="DW490" s="3850"/>
      <c r="DX490" s="3850"/>
      <c r="DY490" s="3850"/>
      <c r="DZ490" s="3850"/>
      <c r="EA490" s="3850"/>
    </row>
    <row r="491" spans="1:131" s="3849" customFormat="1">
      <c r="A491" s="4063"/>
      <c r="B491" s="4064"/>
      <c r="C491" s="4067"/>
      <c r="D491" s="3874"/>
      <c r="E491" s="3883"/>
      <c r="F491" s="3874"/>
      <c r="G491" s="3875"/>
      <c r="H491" s="3874"/>
      <c r="I491" s="3875"/>
      <c r="J491" s="3874"/>
      <c r="K491" s="3875"/>
      <c r="L491" s="3874"/>
      <c r="N491" s="3846"/>
      <c r="O491" s="3850"/>
      <c r="P491" s="3848"/>
      <c r="Q491" s="3850"/>
      <c r="R491" s="3850"/>
      <c r="S491" s="3850"/>
      <c r="T491" s="3850"/>
      <c r="U491" s="3850"/>
      <c r="V491" s="3850"/>
      <c r="W491" s="3850"/>
      <c r="X491" s="3850"/>
      <c r="Y491" s="3850"/>
      <c r="Z491" s="3850"/>
      <c r="AA491" s="3850"/>
      <c r="AB491" s="3850"/>
      <c r="AC491" s="3850"/>
      <c r="AD491" s="3850"/>
      <c r="AE491" s="3850"/>
      <c r="AF491" s="3850"/>
      <c r="AG491" s="3850"/>
      <c r="AH491" s="3850"/>
      <c r="AI491" s="3850"/>
      <c r="AJ491" s="3850"/>
      <c r="AK491" s="3850"/>
      <c r="AL491" s="3850"/>
      <c r="AM491" s="3850"/>
      <c r="AN491" s="3850"/>
      <c r="AO491" s="3850"/>
      <c r="AP491" s="3850"/>
      <c r="AQ491" s="3850"/>
      <c r="AR491" s="3850"/>
      <c r="AS491" s="3850"/>
      <c r="AV491" s="3850"/>
      <c r="AX491" s="3850"/>
      <c r="AY491" s="3850"/>
      <c r="AZ491" s="3850"/>
      <c r="BA491" s="3850"/>
      <c r="BB491" s="3850"/>
      <c r="BC491" s="3850"/>
      <c r="BD491" s="3850"/>
      <c r="BE491" s="3850"/>
      <c r="BF491" s="3850"/>
      <c r="BG491" s="3850"/>
      <c r="BH491" s="3850"/>
      <c r="BI491" s="3850"/>
      <c r="BJ491" s="3850"/>
      <c r="BK491" s="3850"/>
      <c r="BL491" s="3850"/>
      <c r="BM491" s="3850"/>
      <c r="BN491" s="3850"/>
      <c r="BO491" s="3850"/>
      <c r="BP491" s="3850"/>
      <c r="BQ491" s="3850"/>
      <c r="BR491" s="3850"/>
      <c r="BS491" s="3850"/>
      <c r="BT491" s="3850"/>
      <c r="BU491" s="3850"/>
      <c r="BV491" s="3850"/>
      <c r="BW491" s="3850"/>
      <c r="BX491" s="3850"/>
      <c r="BY491" s="3850"/>
      <c r="BZ491" s="3850"/>
      <c r="CA491" s="3850"/>
      <c r="CB491" s="3850"/>
      <c r="CC491" s="3850"/>
      <c r="CD491" s="3850"/>
      <c r="CE491" s="3850"/>
      <c r="CF491" s="3850"/>
      <c r="CG491" s="3850"/>
      <c r="CH491" s="3850"/>
      <c r="CI491" s="3850"/>
      <c r="CJ491" s="3850"/>
      <c r="CK491" s="3850"/>
      <c r="CL491" s="3850"/>
      <c r="CM491" s="3850"/>
      <c r="CN491" s="3850"/>
      <c r="CO491" s="3850"/>
      <c r="CP491" s="3850"/>
      <c r="CQ491" s="3850"/>
      <c r="CR491" s="3850"/>
      <c r="CS491" s="3850"/>
      <c r="CT491" s="3850"/>
      <c r="CU491" s="3850"/>
      <c r="CV491" s="3850"/>
      <c r="CW491" s="3850"/>
      <c r="CX491" s="3850"/>
      <c r="CY491" s="3850"/>
      <c r="CZ491" s="3850"/>
      <c r="DA491" s="3850"/>
      <c r="DB491" s="3850"/>
      <c r="DC491" s="3850"/>
      <c r="DD491" s="3850"/>
      <c r="DE491" s="3850"/>
      <c r="DF491" s="3850"/>
      <c r="DG491" s="3850"/>
      <c r="DH491" s="3850"/>
      <c r="DI491" s="3850"/>
      <c r="DJ491" s="3850"/>
      <c r="DK491" s="3850"/>
      <c r="DL491" s="3850"/>
      <c r="DM491" s="3850"/>
      <c r="DN491" s="3850"/>
      <c r="DO491" s="3850"/>
      <c r="DP491" s="3850"/>
      <c r="DQ491" s="3850"/>
      <c r="DR491" s="3850"/>
      <c r="DS491" s="3850"/>
      <c r="DT491" s="3850"/>
      <c r="DU491" s="3850"/>
      <c r="DV491" s="3850"/>
      <c r="DW491" s="3850"/>
      <c r="DX491" s="3850"/>
      <c r="DY491" s="3850"/>
      <c r="DZ491" s="3850"/>
      <c r="EA491" s="3850"/>
    </row>
    <row r="492" spans="1:131" s="3849" customFormat="1">
      <c r="A492" s="4063"/>
      <c r="B492" s="4064"/>
      <c r="C492" s="4067"/>
      <c r="D492" s="3874"/>
      <c r="E492" s="3883"/>
      <c r="F492" s="3874"/>
      <c r="G492" s="3875"/>
      <c r="H492" s="3874"/>
      <c r="I492" s="3875"/>
      <c r="J492" s="3874"/>
      <c r="K492" s="3875"/>
      <c r="L492" s="3874"/>
      <c r="N492" s="3846"/>
      <c r="O492" s="3850"/>
      <c r="P492" s="3848"/>
      <c r="Q492" s="3850"/>
      <c r="R492" s="3850"/>
      <c r="S492" s="3850"/>
      <c r="T492" s="3850"/>
      <c r="U492" s="3850"/>
      <c r="V492" s="3850"/>
      <c r="W492" s="3850"/>
      <c r="X492" s="3850"/>
      <c r="Y492" s="3850"/>
      <c r="Z492" s="3850"/>
      <c r="AA492" s="3850"/>
      <c r="AB492" s="3850"/>
      <c r="AC492" s="3850"/>
      <c r="AD492" s="3850"/>
      <c r="AE492" s="3850"/>
      <c r="AF492" s="3850"/>
      <c r="AG492" s="3850"/>
      <c r="AH492" s="3850"/>
      <c r="AI492" s="3850"/>
      <c r="AJ492" s="3850"/>
      <c r="AK492" s="3850"/>
      <c r="AL492" s="3850"/>
      <c r="AM492" s="3850"/>
      <c r="AN492" s="3850"/>
      <c r="AO492" s="3850"/>
      <c r="AP492" s="3850"/>
      <c r="AQ492" s="3850"/>
      <c r="AR492" s="3850"/>
      <c r="AS492" s="3850"/>
      <c r="AV492" s="3850"/>
      <c r="AX492" s="3850"/>
      <c r="AY492" s="3850"/>
      <c r="AZ492" s="3850"/>
      <c r="BA492" s="3850"/>
      <c r="BB492" s="3850"/>
      <c r="BC492" s="3850"/>
      <c r="BD492" s="3850"/>
      <c r="BE492" s="3850"/>
      <c r="BF492" s="3850"/>
      <c r="BG492" s="3850"/>
      <c r="BH492" s="3850"/>
      <c r="BI492" s="3850"/>
      <c r="BJ492" s="3850"/>
      <c r="BK492" s="3850"/>
      <c r="BL492" s="3850"/>
      <c r="BM492" s="3850"/>
      <c r="BN492" s="3850"/>
      <c r="BO492" s="3850"/>
      <c r="BP492" s="3850"/>
      <c r="BQ492" s="3850"/>
      <c r="BR492" s="3850"/>
      <c r="BS492" s="3850"/>
      <c r="BT492" s="3850"/>
      <c r="BU492" s="3850"/>
      <c r="BV492" s="3850"/>
      <c r="BW492" s="3850"/>
      <c r="BX492" s="3850"/>
      <c r="BY492" s="3850"/>
      <c r="BZ492" s="3850"/>
      <c r="CA492" s="3850"/>
      <c r="CB492" s="3850"/>
      <c r="CC492" s="3850"/>
      <c r="CD492" s="3850"/>
      <c r="CE492" s="3850"/>
      <c r="CF492" s="3850"/>
      <c r="CG492" s="3850"/>
      <c r="CH492" s="3850"/>
      <c r="CI492" s="3850"/>
      <c r="CJ492" s="3850"/>
      <c r="CK492" s="3850"/>
      <c r="CL492" s="3850"/>
      <c r="CM492" s="3850"/>
      <c r="CN492" s="3850"/>
      <c r="CO492" s="3850"/>
      <c r="CP492" s="3850"/>
      <c r="CQ492" s="3850"/>
      <c r="CR492" s="3850"/>
      <c r="CS492" s="3850"/>
      <c r="CT492" s="3850"/>
      <c r="CU492" s="3850"/>
      <c r="CV492" s="3850"/>
      <c r="CW492" s="3850"/>
      <c r="CX492" s="3850"/>
      <c r="CY492" s="3850"/>
      <c r="CZ492" s="3850"/>
      <c r="DA492" s="3850"/>
      <c r="DB492" s="3850"/>
      <c r="DC492" s="3850"/>
      <c r="DD492" s="3850"/>
      <c r="DE492" s="3850"/>
      <c r="DF492" s="3850"/>
      <c r="DG492" s="3850"/>
      <c r="DH492" s="3850"/>
      <c r="DI492" s="3850"/>
      <c r="DJ492" s="3850"/>
      <c r="DK492" s="3850"/>
      <c r="DL492" s="3850"/>
      <c r="DM492" s="3850"/>
      <c r="DN492" s="3850"/>
      <c r="DO492" s="3850"/>
      <c r="DP492" s="3850"/>
      <c r="DQ492" s="3850"/>
      <c r="DR492" s="3850"/>
      <c r="DS492" s="3850"/>
      <c r="DT492" s="3850"/>
      <c r="DU492" s="3850"/>
      <c r="DV492" s="3850"/>
      <c r="DW492" s="3850"/>
      <c r="DX492" s="3850"/>
      <c r="DY492" s="3850"/>
      <c r="DZ492" s="3850"/>
      <c r="EA492" s="3850"/>
    </row>
    <row r="493" spans="1:131" s="3849" customFormat="1">
      <c r="A493" s="4063"/>
      <c r="B493" s="4064"/>
      <c r="C493" s="4067"/>
      <c r="D493" s="3874"/>
      <c r="E493" s="3883"/>
      <c r="F493" s="3874"/>
      <c r="G493" s="3875"/>
      <c r="H493" s="3874"/>
      <c r="I493" s="3875"/>
      <c r="J493" s="3874"/>
      <c r="K493" s="3875"/>
      <c r="L493" s="3874"/>
      <c r="N493" s="3846"/>
      <c r="O493" s="3850"/>
      <c r="P493" s="3848"/>
      <c r="Q493" s="3850"/>
      <c r="R493" s="3850"/>
      <c r="S493" s="3850"/>
      <c r="T493" s="3850"/>
      <c r="U493" s="3850"/>
      <c r="V493" s="3850"/>
      <c r="W493" s="3850"/>
      <c r="X493" s="3850"/>
      <c r="Y493" s="3850"/>
      <c r="Z493" s="3850"/>
      <c r="AA493" s="3850"/>
      <c r="AB493" s="3850"/>
      <c r="AC493" s="3850"/>
      <c r="AD493" s="3850"/>
      <c r="AE493" s="3850"/>
      <c r="AF493" s="3850"/>
      <c r="AG493" s="3850"/>
      <c r="AH493" s="3850"/>
      <c r="AI493" s="3850"/>
      <c r="AJ493" s="3850"/>
      <c r="AK493" s="3850"/>
      <c r="AL493" s="3850"/>
      <c r="AM493" s="3850"/>
      <c r="AN493" s="3850"/>
      <c r="AO493" s="3850"/>
      <c r="AP493" s="3850"/>
      <c r="AQ493" s="3850"/>
      <c r="AR493" s="3850"/>
      <c r="AS493" s="3850"/>
      <c r="AV493" s="3850"/>
      <c r="AX493" s="3850"/>
      <c r="AY493" s="3850"/>
      <c r="AZ493" s="3850"/>
      <c r="BA493" s="3850"/>
      <c r="BB493" s="3850"/>
      <c r="BC493" s="3850"/>
      <c r="BD493" s="3850"/>
      <c r="BE493" s="3850"/>
      <c r="BF493" s="3850"/>
      <c r="BG493" s="3850"/>
      <c r="BH493" s="3850"/>
      <c r="BI493" s="3850"/>
      <c r="BJ493" s="3850"/>
      <c r="BK493" s="3850"/>
      <c r="BL493" s="3850"/>
      <c r="BM493" s="3850"/>
      <c r="BN493" s="3850"/>
      <c r="BO493" s="3850"/>
      <c r="BP493" s="3850"/>
      <c r="BQ493" s="3850"/>
      <c r="BR493" s="3850"/>
      <c r="BS493" s="3850"/>
      <c r="BT493" s="3850"/>
      <c r="BU493" s="3850"/>
      <c r="BV493" s="3850"/>
      <c r="BW493" s="3850"/>
      <c r="BX493" s="3850"/>
      <c r="BY493" s="3850"/>
      <c r="BZ493" s="3850"/>
      <c r="CA493" s="3850"/>
      <c r="CB493" s="3850"/>
      <c r="CC493" s="3850"/>
      <c r="CD493" s="3850"/>
      <c r="CE493" s="3850"/>
      <c r="CF493" s="3850"/>
      <c r="CG493" s="3850"/>
      <c r="CH493" s="3850"/>
      <c r="CI493" s="3850"/>
      <c r="CJ493" s="3850"/>
      <c r="CK493" s="3850"/>
      <c r="CL493" s="3850"/>
      <c r="CM493" s="3850"/>
      <c r="CN493" s="3850"/>
      <c r="CO493" s="3850"/>
      <c r="CP493" s="3850"/>
      <c r="CQ493" s="3850"/>
      <c r="CR493" s="3850"/>
      <c r="CS493" s="3850"/>
      <c r="CT493" s="3850"/>
      <c r="CU493" s="3850"/>
      <c r="CV493" s="3850"/>
      <c r="CW493" s="3850"/>
      <c r="CX493" s="3850"/>
      <c r="CY493" s="3850"/>
      <c r="CZ493" s="3850"/>
      <c r="DA493" s="3850"/>
      <c r="DB493" s="3850"/>
      <c r="DC493" s="3850"/>
      <c r="DD493" s="3850"/>
      <c r="DE493" s="3850"/>
      <c r="DF493" s="3850"/>
      <c r="DG493" s="3850"/>
      <c r="DH493" s="3850"/>
      <c r="DI493" s="3850"/>
      <c r="DJ493" s="3850"/>
      <c r="DK493" s="3850"/>
      <c r="DL493" s="3850"/>
      <c r="DM493" s="3850"/>
      <c r="DN493" s="3850"/>
      <c r="DO493" s="3850"/>
      <c r="DP493" s="3850"/>
      <c r="DQ493" s="3850"/>
      <c r="DR493" s="3850"/>
      <c r="DS493" s="3850"/>
      <c r="DT493" s="3850"/>
      <c r="DU493" s="3850"/>
      <c r="DV493" s="3850"/>
      <c r="DW493" s="3850"/>
      <c r="DX493" s="3850"/>
      <c r="DY493" s="3850"/>
      <c r="DZ493" s="3850"/>
      <c r="EA493" s="3850"/>
    </row>
    <row r="494" spans="1:131" s="3849" customFormat="1">
      <c r="A494" s="4063"/>
      <c r="B494" s="4064"/>
      <c r="C494" s="4067"/>
      <c r="D494" s="3874"/>
      <c r="E494" s="3883"/>
      <c r="F494" s="3874"/>
      <c r="G494" s="3875"/>
      <c r="H494" s="3874"/>
      <c r="I494" s="3875"/>
      <c r="J494" s="3874"/>
      <c r="K494" s="3875"/>
      <c r="L494" s="3874"/>
      <c r="N494" s="3846"/>
      <c r="O494" s="3850"/>
      <c r="P494" s="3848"/>
      <c r="Q494" s="3850"/>
      <c r="R494" s="3850"/>
      <c r="S494" s="3850"/>
      <c r="T494" s="3850"/>
      <c r="U494" s="3850"/>
      <c r="V494" s="3850"/>
      <c r="W494" s="3850"/>
      <c r="X494" s="3850"/>
      <c r="Y494" s="3850"/>
      <c r="Z494" s="3850"/>
      <c r="AA494" s="3850"/>
      <c r="AB494" s="3850"/>
      <c r="AC494" s="3850"/>
      <c r="AD494" s="3850"/>
      <c r="AE494" s="3850"/>
      <c r="AF494" s="3850"/>
      <c r="AG494" s="3850"/>
      <c r="AH494" s="3850"/>
      <c r="AI494" s="3850"/>
      <c r="AJ494" s="3850"/>
      <c r="AK494" s="3850"/>
      <c r="AL494" s="3850"/>
      <c r="AM494" s="3850"/>
      <c r="AN494" s="3850"/>
      <c r="AO494" s="3850"/>
      <c r="AP494" s="3850"/>
      <c r="AQ494" s="3850"/>
      <c r="AR494" s="3850"/>
      <c r="AS494" s="3850"/>
      <c r="AV494" s="3850"/>
      <c r="AX494" s="3850"/>
      <c r="AY494" s="3850"/>
      <c r="AZ494" s="3850"/>
      <c r="BA494" s="3850"/>
      <c r="BB494" s="3850"/>
      <c r="BC494" s="3850"/>
      <c r="BD494" s="3850"/>
      <c r="BE494" s="3850"/>
      <c r="BF494" s="3850"/>
      <c r="BG494" s="3850"/>
      <c r="BH494" s="3850"/>
      <c r="BI494" s="3850"/>
      <c r="BJ494" s="3850"/>
      <c r="BK494" s="3850"/>
      <c r="BL494" s="3850"/>
      <c r="BM494" s="3850"/>
      <c r="BN494" s="3850"/>
      <c r="BO494" s="3850"/>
      <c r="BP494" s="3850"/>
      <c r="BQ494" s="3850"/>
      <c r="BR494" s="3850"/>
      <c r="BS494" s="3850"/>
      <c r="BT494" s="3850"/>
      <c r="BU494" s="3850"/>
      <c r="BV494" s="3850"/>
      <c r="BW494" s="3850"/>
      <c r="BX494" s="3850"/>
      <c r="BY494" s="3850"/>
      <c r="BZ494" s="3850"/>
      <c r="CA494" s="3850"/>
      <c r="CB494" s="3850"/>
      <c r="CC494" s="3850"/>
      <c r="CD494" s="3850"/>
      <c r="CE494" s="3850"/>
      <c r="CF494" s="3850"/>
      <c r="CG494" s="3850"/>
      <c r="CH494" s="3850"/>
      <c r="CI494" s="3850"/>
      <c r="CJ494" s="3850"/>
      <c r="CK494" s="3850"/>
      <c r="CL494" s="3850"/>
      <c r="CM494" s="3850"/>
      <c r="CN494" s="3850"/>
      <c r="CO494" s="3850"/>
      <c r="CP494" s="3850"/>
      <c r="CQ494" s="3850"/>
      <c r="CR494" s="3850"/>
      <c r="CS494" s="3850"/>
      <c r="CT494" s="3850"/>
      <c r="CU494" s="3850"/>
      <c r="CV494" s="3850"/>
      <c r="CW494" s="3850"/>
      <c r="CX494" s="3850"/>
      <c r="CY494" s="3850"/>
      <c r="CZ494" s="3850"/>
      <c r="DA494" s="3850"/>
      <c r="DB494" s="3850"/>
      <c r="DC494" s="3850"/>
      <c r="DD494" s="3850"/>
      <c r="DE494" s="3850"/>
      <c r="DF494" s="3850"/>
      <c r="DG494" s="3850"/>
      <c r="DH494" s="3850"/>
      <c r="DI494" s="3850"/>
      <c r="DJ494" s="3850"/>
      <c r="DK494" s="3850"/>
      <c r="DL494" s="3850"/>
      <c r="DM494" s="3850"/>
      <c r="DN494" s="3850"/>
      <c r="DO494" s="3850"/>
      <c r="DP494" s="3850"/>
      <c r="DQ494" s="3850"/>
      <c r="DR494" s="3850"/>
      <c r="DS494" s="3850"/>
      <c r="DT494" s="3850"/>
      <c r="DU494" s="3850"/>
      <c r="DV494" s="3850"/>
      <c r="DW494" s="3850"/>
      <c r="DX494" s="3850"/>
      <c r="DY494" s="3850"/>
      <c r="DZ494" s="3850"/>
      <c r="EA494" s="3850"/>
    </row>
    <row r="495" spans="1:131" s="3849" customFormat="1">
      <c r="A495" s="4063"/>
      <c r="B495" s="4064"/>
      <c r="C495" s="4067"/>
      <c r="D495" s="3874"/>
      <c r="E495" s="3883"/>
      <c r="F495" s="3874"/>
      <c r="G495" s="3875"/>
      <c r="H495" s="3874"/>
      <c r="I495" s="3875"/>
      <c r="J495" s="3874"/>
      <c r="K495" s="3875"/>
      <c r="L495" s="3874"/>
      <c r="N495" s="3846"/>
      <c r="O495" s="3850"/>
      <c r="P495" s="3848"/>
      <c r="Q495" s="3850"/>
      <c r="R495" s="3850"/>
      <c r="S495" s="3850"/>
      <c r="T495" s="3850"/>
      <c r="U495" s="3850"/>
      <c r="V495" s="3850"/>
      <c r="W495" s="3850"/>
      <c r="X495" s="3850"/>
      <c r="Y495" s="3850"/>
      <c r="Z495" s="3850"/>
      <c r="AA495" s="3850"/>
      <c r="AB495" s="3850"/>
      <c r="AC495" s="3850"/>
      <c r="AD495" s="3850"/>
      <c r="AE495" s="3850"/>
      <c r="AF495" s="3850"/>
      <c r="AG495" s="3850"/>
      <c r="AH495" s="3850"/>
      <c r="AI495" s="3850"/>
      <c r="AJ495" s="3850"/>
      <c r="AK495" s="3850"/>
      <c r="AL495" s="3850"/>
      <c r="AM495" s="3850"/>
      <c r="AN495" s="3850"/>
      <c r="AO495" s="3850"/>
      <c r="AP495" s="3850"/>
      <c r="AQ495" s="3850"/>
      <c r="AR495" s="3850"/>
      <c r="AS495" s="3850"/>
      <c r="AV495" s="3850"/>
      <c r="AX495" s="3850"/>
      <c r="AY495" s="3850"/>
      <c r="AZ495" s="3850"/>
      <c r="BA495" s="3850"/>
      <c r="BB495" s="3850"/>
      <c r="BC495" s="3850"/>
      <c r="BD495" s="3850"/>
      <c r="BE495" s="3850"/>
      <c r="BF495" s="3850"/>
      <c r="BG495" s="3850"/>
      <c r="BH495" s="3850"/>
      <c r="BI495" s="3850"/>
      <c r="BJ495" s="3850"/>
      <c r="BK495" s="3850"/>
      <c r="BL495" s="3850"/>
      <c r="BM495" s="3850"/>
      <c r="BN495" s="3850"/>
      <c r="BO495" s="3850"/>
      <c r="BP495" s="3850"/>
      <c r="BQ495" s="3850"/>
      <c r="BR495" s="3850"/>
      <c r="BS495" s="3850"/>
      <c r="BT495" s="3850"/>
      <c r="BU495" s="3850"/>
      <c r="BV495" s="3850"/>
      <c r="BW495" s="3850"/>
      <c r="BX495" s="3850"/>
      <c r="BY495" s="3850"/>
      <c r="BZ495" s="3850"/>
      <c r="CA495" s="3850"/>
      <c r="CB495" s="3850"/>
      <c r="CC495" s="3850"/>
      <c r="CD495" s="3850"/>
      <c r="CE495" s="3850"/>
      <c r="CF495" s="3850"/>
      <c r="CG495" s="3850"/>
      <c r="CH495" s="3850"/>
      <c r="CI495" s="3850"/>
      <c r="CJ495" s="3850"/>
      <c r="CK495" s="3850"/>
      <c r="CL495" s="3850"/>
      <c r="CM495" s="3850"/>
      <c r="CN495" s="3850"/>
      <c r="CO495" s="3850"/>
      <c r="CP495" s="3850"/>
      <c r="CQ495" s="3850"/>
      <c r="CR495" s="3850"/>
      <c r="CS495" s="3850"/>
      <c r="CT495" s="3850"/>
      <c r="CU495" s="3850"/>
      <c r="CV495" s="3850"/>
      <c r="CW495" s="3850"/>
      <c r="CX495" s="3850"/>
      <c r="CY495" s="3850"/>
      <c r="CZ495" s="3850"/>
      <c r="DA495" s="3850"/>
      <c r="DB495" s="3850"/>
      <c r="DC495" s="3850"/>
      <c r="DD495" s="3850"/>
      <c r="DE495" s="3850"/>
      <c r="DF495" s="3850"/>
      <c r="DG495" s="3850"/>
      <c r="DH495" s="3850"/>
      <c r="DI495" s="3850"/>
      <c r="DJ495" s="3850"/>
      <c r="DK495" s="3850"/>
      <c r="DL495" s="3850"/>
      <c r="DM495" s="3850"/>
      <c r="DN495" s="3850"/>
      <c r="DO495" s="3850"/>
      <c r="DP495" s="3850"/>
      <c r="DQ495" s="3850"/>
      <c r="DR495" s="3850"/>
      <c r="DS495" s="3850"/>
      <c r="DT495" s="3850"/>
      <c r="DU495" s="3850"/>
      <c r="DV495" s="3850"/>
      <c r="DW495" s="3850"/>
      <c r="DX495" s="3850"/>
      <c r="DY495" s="3850"/>
      <c r="DZ495" s="3850"/>
      <c r="EA495" s="3850"/>
    </row>
    <row r="496" spans="1:131" s="3849" customFormat="1">
      <c r="A496" s="4063"/>
      <c r="B496" s="4064"/>
      <c r="C496" s="4067"/>
      <c r="D496" s="3874"/>
      <c r="E496" s="3883"/>
      <c r="F496" s="3874"/>
      <c r="G496" s="3875"/>
      <c r="H496" s="3874"/>
      <c r="I496" s="3875"/>
      <c r="J496" s="3874"/>
      <c r="K496" s="3875"/>
      <c r="L496" s="3874"/>
      <c r="N496" s="3846"/>
      <c r="O496" s="3850"/>
      <c r="P496" s="3848"/>
      <c r="Q496" s="3850"/>
      <c r="R496" s="3850"/>
      <c r="S496" s="3850"/>
      <c r="T496" s="3850"/>
      <c r="U496" s="3850"/>
      <c r="V496" s="3850"/>
      <c r="W496" s="3850"/>
      <c r="X496" s="3850"/>
      <c r="Y496" s="3850"/>
      <c r="Z496" s="3850"/>
      <c r="AA496" s="3850"/>
      <c r="AB496" s="3850"/>
      <c r="AC496" s="3850"/>
      <c r="AD496" s="3850"/>
      <c r="AE496" s="3850"/>
      <c r="AF496" s="3850"/>
      <c r="AG496" s="3850"/>
      <c r="AH496" s="3850"/>
      <c r="AI496" s="3850"/>
      <c r="AJ496" s="3850"/>
      <c r="AK496" s="3850"/>
      <c r="AL496" s="3850"/>
      <c r="AM496" s="3850"/>
      <c r="AN496" s="3850"/>
      <c r="AO496" s="3850"/>
      <c r="AP496" s="3850"/>
      <c r="AQ496" s="3850"/>
      <c r="AR496" s="3850"/>
      <c r="AS496" s="3850"/>
      <c r="AV496" s="3850"/>
      <c r="AX496" s="3850"/>
      <c r="AY496" s="3850"/>
      <c r="AZ496" s="3850"/>
      <c r="BA496" s="3850"/>
      <c r="BB496" s="3850"/>
      <c r="BC496" s="3850"/>
      <c r="BD496" s="3850"/>
      <c r="BE496" s="3850"/>
      <c r="BF496" s="3850"/>
      <c r="BG496" s="3850"/>
      <c r="BH496" s="3850"/>
      <c r="BI496" s="3850"/>
      <c r="BJ496" s="3850"/>
      <c r="BK496" s="3850"/>
      <c r="BL496" s="3850"/>
      <c r="BM496" s="3850"/>
      <c r="BN496" s="3850"/>
      <c r="BO496" s="3850"/>
      <c r="BP496" s="3850"/>
      <c r="BQ496" s="3850"/>
      <c r="BR496" s="3850"/>
      <c r="BS496" s="3850"/>
      <c r="BT496" s="3850"/>
      <c r="BU496" s="3850"/>
      <c r="BV496" s="3850"/>
      <c r="BW496" s="3850"/>
      <c r="BX496" s="3850"/>
      <c r="BY496" s="3850"/>
      <c r="BZ496" s="3850"/>
      <c r="CA496" s="3850"/>
      <c r="CB496" s="3850"/>
      <c r="CC496" s="3850"/>
      <c r="CD496" s="3850"/>
      <c r="CE496" s="3850"/>
      <c r="CF496" s="3850"/>
      <c r="CG496" s="3850"/>
      <c r="CH496" s="3850"/>
      <c r="CI496" s="3850"/>
      <c r="CJ496" s="3850"/>
      <c r="CK496" s="3850"/>
      <c r="CL496" s="3850"/>
      <c r="CM496" s="3850"/>
      <c r="CN496" s="3850"/>
      <c r="CO496" s="3850"/>
      <c r="CP496" s="3850"/>
      <c r="CQ496" s="3850"/>
      <c r="CR496" s="3850"/>
      <c r="CS496" s="3850"/>
      <c r="CT496" s="3850"/>
      <c r="CU496" s="3850"/>
      <c r="CV496" s="3850"/>
      <c r="CW496" s="3850"/>
      <c r="CX496" s="3850"/>
      <c r="CY496" s="3850"/>
      <c r="CZ496" s="3850"/>
      <c r="DA496" s="3850"/>
      <c r="DB496" s="3850"/>
      <c r="DC496" s="3850"/>
      <c r="DD496" s="3850"/>
      <c r="DE496" s="3850"/>
      <c r="DF496" s="3850"/>
      <c r="DG496" s="3850"/>
      <c r="DH496" s="3850"/>
      <c r="DI496" s="3850"/>
      <c r="DJ496" s="3850"/>
      <c r="DK496" s="3850"/>
      <c r="DL496" s="3850"/>
      <c r="DM496" s="3850"/>
      <c r="DN496" s="3850"/>
      <c r="DO496" s="3850"/>
      <c r="DP496" s="3850"/>
      <c r="DQ496" s="3850"/>
      <c r="DR496" s="3850"/>
      <c r="DS496" s="3850"/>
      <c r="DT496" s="3850"/>
      <c r="DU496" s="3850"/>
      <c r="DV496" s="3850"/>
      <c r="DW496" s="3850"/>
      <c r="DX496" s="3850"/>
      <c r="DY496" s="3850"/>
      <c r="DZ496" s="3850"/>
      <c r="EA496" s="3850"/>
    </row>
    <row r="497" spans="1:131" s="3849" customFormat="1">
      <c r="A497" s="4063"/>
      <c r="B497" s="4064"/>
      <c r="C497" s="4067"/>
      <c r="D497" s="3874"/>
      <c r="E497" s="3883"/>
      <c r="F497" s="3874"/>
      <c r="G497" s="3875"/>
      <c r="H497" s="3874"/>
      <c r="I497" s="3875"/>
      <c r="J497" s="3874"/>
      <c r="K497" s="3875"/>
      <c r="L497" s="3874"/>
      <c r="N497" s="3846"/>
      <c r="O497" s="3850"/>
      <c r="P497" s="3848"/>
      <c r="Q497" s="3850"/>
      <c r="R497" s="3850"/>
      <c r="S497" s="3850"/>
      <c r="T497" s="3850"/>
      <c r="U497" s="3850"/>
      <c r="V497" s="3850"/>
      <c r="W497" s="3850"/>
      <c r="X497" s="3850"/>
      <c r="Y497" s="3850"/>
      <c r="Z497" s="3850"/>
      <c r="AA497" s="3850"/>
      <c r="AB497" s="3850"/>
      <c r="AC497" s="3850"/>
      <c r="AD497" s="3850"/>
      <c r="AE497" s="3850"/>
      <c r="AF497" s="3850"/>
      <c r="AG497" s="3850"/>
      <c r="AH497" s="3850"/>
      <c r="AI497" s="3850"/>
      <c r="AJ497" s="3850"/>
      <c r="AK497" s="3850"/>
      <c r="AL497" s="3850"/>
      <c r="AM497" s="3850"/>
      <c r="AN497" s="3850"/>
      <c r="AO497" s="3850"/>
      <c r="AP497" s="3850"/>
      <c r="AQ497" s="3850"/>
      <c r="AR497" s="3850"/>
      <c r="AS497" s="3850"/>
      <c r="AV497" s="3850"/>
      <c r="AX497" s="3850"/>
      <c r="AY497" s="3850"/>
      <c r="AZ497" s="3850"/>
      <c r="BA497" s="3850"/>
      <c r="BB497" s="3850"/>
      <c r="BC497" s="3850"/>
      <c r="BD497" s="3850"/>
      <c r="BE497" s="3850"/>
      <c r="BF497" s="3850"/>
      <c r="BG497" s="3850"/>
      <c r="BH497" s="3850"/>
      <c r="BI497" s="3850"/>
      <c r="BJ497" s="3850"/>
      <c r="BK497" s="3850"/>
      <c r="BL497" s="3850"/>
      <c r="BM497" s="3850"/>
      <c r="BN497" s="3850"/>
      <c r="BO497" s="3850"/>
      <c r="BP497" s="3850"/>
      <c r="BQ497" s="3850"/>
      <c r="BR497" s="3850"/>
      <c r="BS497" s="3850"/>
      <c r="BT497" s="3850"/>
      <c r="BU497" s="3850"/>
      <c r="BV497" s="3850"/>
      <c r="BW497" s="3850"/>
      <c r="BX497" s="3850"/>
      <c r="BY497" s="3850"/>
      <c r="BZ497" s="3850"/>
      <c r="CA497" s="3850"/>
      <c r="CB497" s="3850"/>
      <c r="CC497" s="3850"/>
      <c r="CD497" s="3850"/>
      <c r="CE497" s="3850"/>
      <c r="CF497" s="3850"/>
      <c r="CG497" s="3850"/>
      <c r="CH497" s="3850"/>
      <c r="CI497" s="3850"/>
      <c r="CJ497" s="3850"/>
      <c r="CK497" s="3850"/>
      <c r="CL497" s="3850"/>
      <c r="CM497" s="3850"/>
      <c r="CN497" s="3850"/>
      <c r="CO497" s="3850"/>
      <c r="CP497" s="3850"/>
      <c r="CQ497" s="3850"/>
      <c r="CR497" s="3850"/>
      <c r="CS497" s="3850"/>
      <c r="CT497" s="3850"/>
      <c r="CU497" s="3850"/>
      <c r="CV497" s="3850"/>
      <c r="CW497" s="3850"/>
      <c r="CX497" s="3850"/>
      <c r="CY497" s="3850"/>
      <c r="CZ497" s="3850"/>
      <c r="DA497" s="3850"/>
      <c r="DB497" s="3850"/>
      <c r="DC497" s="3850"/>
      <c r="DD497" s="3850"/>
      <c r="DE497" s="3850"/>
      <c r="DF497" s="3850"/>
      <c r="DG497" s="3850"/>
      <c r="DH497" s="3850"/>
      <c r="DI497" s="3850"/>
      <c r="DJ497" s="3850"/>
      <c r="DK497" s="3850"/>
      <c r="DL497" s="3850"/>
      <c r="DM497" s="3850"/>
      <c r="DN497" s="3850"/>
      <c r="DO497" s="3850"/>
      <c r="DP497" s="3850"/>
      <c r="DQ497" s="3850"/>
      <c r="DR497" s="3850"/>
      <c r="DS497" s="3850"/>
      <c r="DT497" s="3850"/>
      <c r="DU497" s="3850"/>
      <c r="DV497" s="3850"/>
      <c r="DW497" s="3850"/>
      <c r="DX497" s="3850"/>
      <c r="DY497" s="3850"/>
      <c r="DZ497" s="3850"/>
      <c r="EA497" s="3850"/>
    </row>
    <row r="498" spans="1:131" s="3849" customFormat="1">
      <c r="A498" s="4063"/>
      <c r="B498" s="4064"/>
      <c r="C498" s="4067"/>
      <c r="D498" s="3874"/>
      <c r="E498" s="3883"/>
      <c r="F498" s="3874"/>
      <c r="G498" s="3875"/>
      <c r="H498" s="3874"/>
      <c r="I498" s="3875"/>
      <c r="J498" s="3874"/>
      <c r="K498" s="3875"/>
      <c r="L498" s="3874"/>
      <c r="N498" s="3846"/>
      <c r="O498" s="3850"/>
      <c r="P498" s="3848"/>
      <c r="Q498" s="3850"/>
      <c r="R498" s="3850"/>
      <c r="S498" s="3850"/>
      <c r="T498" s="3850"/>
      <c r="U498" s="3850"/>
      <c r="V498" s="3850"/>
      <c r="W498" s="3850"/>
      <c r="X498" s="3850"/>
      <c r="Y498" s="3850"/>
      <c r="Z498" s="3850"/>
      <c r="AA498" s="3850"/>
      <c r="AB498" s="3850"/>
      <c r="AC498" s="3850"/>
      <c r="AD498" s="3850"/>
      <c r="AE498" s="3850"/>
      <c r="AF498" s="3850"/>
      <c r="AG498" s="3850"/>
      <c r="AH498" s="3850"/>
      <c r="AI498" s="3850"/>
      <c r="AJ498" s="3850"/>
      <c r="AK498" s="3850"/>
      <c r="AL498" s="3850"/>
      <c r="AM498" s="3850"/>
      <c r="AN498" s="3850"/>
      <c r="AO498" s="3850"/>
      <c r="AP498" s="3850"/>
      <c r="AQ498" s="3850"/>
      <c r="AR498" s="3850"/>
      <c r="AS498" s="3850"/>
      <c r="AV498" s="3850"/>
      <c r="AX498" s="3850"/>
      <c r="AY498" s="3850"/>
      <c r="AZ498" s="3850"/>
      <c r="BA498" s="3850"/>
      <c r="BB498" s="3850"/>
      <c r="BC498" s="3850"/>
      <c r="BD498" s="3850"/>
      <c r="BE498" s="3850"/>
      <c r="BF498" s="3850"/>
      <c r="BG498" s="3850"/>
      <c r="BH498" s="3850"/>
      <c r="BI498" s="3850"/>
      <c r="BJ498" s="3850"/>
      <c r="BK498" s="3850"/>
      <c r="BL498" s="3850"/>
      <c r="BM498" s="3850"/>
      <c r="BN498" s="3850"/>
      <c r="BO498" s="3850"/>
      <c r="BP498" s="3850"/>
      <c r="BQ498" s="3850"/>
      <c r="BR498" s="3850"/>
      <c r="BS498" s="3850"/>
      <c r="BT498" s="3850"/>
      <c r="BU498" s="3850"/>
      <c r="BV498" s="3850"/>
      <c r="BW498" s="3850"/>
      <c r="BX498" s="3850"/>
      <c r="BY498" s="3850"/>
      <c r="BZ498" s="3850"/>
      <c r="CA498" s="3850"/>
      <c r="CB498" s="3850"/>
      <c r="CC498" s="3850"/>
      <c r="CD498" s="3850"/>
      <c r="CE498" s="3850"/>
      <c r="CF498" s="3850"/>
      <c r="CG498" s="3850"/>
      <c r="CH498" s="3850"/>
      <c r="CI498" s="3850"/>
      <c r="CJ498" s="3850"/>
      <c r="CK498" s="3850"/>
      <c r="CL498" s="3850"/>
      <c r="CM498" s="3850"/>
      <c r="CN498" s="3850"/>
      <c r="CO498" s="3850"/>
      <c r="CP498" s="3850"/>
      <c r="CQ498" s="3850"/>
      <c r="CR498" s="3850"/>
      <c r="CS498" s="3850"/>
      <c r="CT498" s="3850"/>
      <c r="CU498" s="3850"/>
      <c r="CV498" s="3850"/>
      <c r="CW498" s="3850"/>
      <c r="CX498" s="3850"/>
      <c r="CY498" s="3850"/>
      <c r="CZ498" s="3850"/>
      <c r="DA498" s="3850"/>
      <c r="DB498" s="3850"/>
      <c r="DC498" s="3850"/>
      <c r="DD498" s="3850"/>
      <c r="DE498" s="3850"/>
      <c r="DF498" s="3850"/>
      <c r="DG498" s="3850"/>
      <c r="DH498" s="3850"/>
      <c r="DI498" s="3850"/>
      <c r="DJ498" s="3850"/>
      <c r="DK498" s="3850"/>
      <c r="DL498" s="3850"/>
      <c r="DM498" s="3850"/>
      <c r="DN498" s="3850"/>
      <c r="DO498" s="3850"/>
      <c r="DP498" s="3850"/>
      <c r="DQ498" s="3850"/>
      <c r="DR498" s="3850"/>
      <c r="DS498" s="3850"/>
      <c r="DT498" s="3850"/>
      <c r="DU498" s="3850"/>
      <c r="DV498" s="3850"/>
      <c r="DW498" s="3850"/>
      <c r="DX498" s="3850"/>
      <c r="DY498" s="3850"/>
      <c r="DZ498" s="3850"/>
      <c r="EA498" s="3850"/>
    </row>
    <row r="499" spans="1:131" s="3849" customFormat="1">
      <c r="A499" s="4063"/>
      <c r="B499" s="4064"/>
      <c r="C499" s="4067"/>
      <c r="D499" s="3874"/>
      <c r="E499" s="3883"/>
      <c r="F499" s="3874"/>
      <c r="G499" s="3875"/>
      <c r="H499" s="3874"/>
      <c r="I499" s="3875"/>
      <c r="J499" s="3874"/>
      <c r="K499" s="3875"/>
      <c r="L499" s="3874"/>
      <c r="N499" s="3846"/>
      <c r="O499" s="3850"/>
      <c r="P499" s="3848"/>
      <c r="Q499" s="3850"/>
      <c r="R499" s="3850"/>
      <c r="S499" s="3850"/>
      <c r="T499" s="3850"/>
      <c r="U499" s="3850"/>
      <c r="V499" s="3850"/>
      <c r="W499" s="3850"/>
      <c r="X499" s="3850"/>
      <c r="Y499" s="3850"/>
      <c r="Z499" s="3850"/>
      <c r="AA499" s="3850"/>
      <c r="AB499" s="3850"/>
      <c r="AC499" s="3850"/>
      <c r="AD499" s="3850"/>
      <c r="AE499" s="3850"/>
      <c r="AF499" s="3850"/>
      <c r="AG499" s="3850"/>
      <c r="AH499" s="3850"/>
      <c r="AI499" s="3850"/>
      <c r="AJ499" s="3850"/>
      <c r="AK499" s="3850"/>
      <c r="AL499" s="3850"/>
      <c r="AM499" s="3850"/>
      <c r="AN499" s="3850"/>
      <c r="AO499" s="3850"/>
      <c r="AP499" s="3850"/>
      <c r="AQ499" s="3850"/>
      <c r="AR499" s="3850"/>
      <c r="AS499" s="3850"/>
      <c r="AV499" s="3850"/>
      <c r="AX499" s="3850"/>
      <c r="AY499" s="3850"/>
      <c r="AZ499" s="3850"/>
      <c r="BA499" s="3850"/>
      <c r="BB499" s="3850"/>
      <c r="BC499" s="3850"/>
      <c r="BD499" s="3850"/>
      <c r="BE499" s="3850"/>
      <c r="BF499" s="3850"/>
      <c r="BG499" s="3850"/>
      <c r="BH499" s="3850"/>
      <c r="BI499" s="3850"/>
      <c r="BJ499" s="3850"/>
      <c r="BK499" s="3850"/>
      <c r="BL499" s="3850"/>
      <c r="BM499" s="3850"/>
      <c r="BN499" s="3850"/>
      <c r="BO499" s="3850"/>
      <c r="BP499" s="3850"/>
      <c r="BQ499" s="3850"/>
      <c r="BR499" s="3850"/>
      <c r="BS499" s="3850"/>
      <c r="BT499" s="3850"/>
      <c r="BU499" s="3850"/>
      <c r="BV499" s="3850"/>
      <c r="BW499" s="3850"/>
      <c r="BX499" s="3850"/>
      <c r="BY499" s="3850"/>
      <c r="BZ499" s="3850"/>
      <c r="CA499" s="3850"/>
      <c r="CB499" s="3850"/>
      <c r="CC499" s="3850"/>
      <c r="CD499" s="3850"/>
      <c r="CE499" s="3850"/>
      <c r="CF499" s="3850"/>
      <c r="CG499" s="3850"/>
      <c r="CH499" s="3850"/>
      <c r="CI499" s="3850"/>
      <c r="CJ499" s="3850"/>
      <c r="CK499" s="3850"/>
      <c r="CL499" s="3850"/>
      <c r="CM499" s="3850"/>
      <c r="CN499" s="3850"/>
      <c r="CO499" s="3850"/>
      <c r="CP499" s="3850"/>
      <c r="CQ499" s="3850"/>
      <c r="CR499" s="3850"/>
      <c r="CS499" s="3850"/>
      <c r="CT499" s="3850"/>
      <c r="CU499" s="3850"/>
      <c r="CV499" s="3850"/>
      <c r="CW499" s="3850"/>
      <c r="CX499" s="3850"/>
      <c r="CY499" s="3850"/>
      <c r="CZ499" s="3850"/>
      <c r="DA499" s="3850"/>
      <c r="DB499" s="3850"/>
      <c r="DC499" s="3850"/>
      <c r="DD499" s="3850"/>
      <c r="DE499" s="3850"/>
      <c r="DF499" s="3850"/>
      <c r="DG499" s="3850"/>
      <c r="DH499" s="3850"/>
      <c r="DI499" s="3850"/>
      <c r="DJ499" s="3850"/>
      <c r="DK499" s="3850"/>
      <c r="DL499" s="3850"/>
      <c r="DM499" s="3850"/>
      <c r="DN499" s="3850"/>
      <c r="DO499" s="3850"/>
      <c r="DP499" s="3850"/>
      <c r="DQ499" s="3850"/>
      <c r="DR499" s="3850"/>
      <c r="DS499" s="3850"/>
      <c r="DT499" s="3850"/>
      <c r="DU499" s="3850"/>
      <c r="DV499" s="3850"/>
      <c r="DW499" s="3850"/>
      <c r="DX499" s="3850"/>
      <c r="DY499" s="3850"/>
      <c r="DZ499" s="3850"/>
      <c r="EA499" s="3850"/>
    </row>
    <row r="500" spans="1:131" s="3849" customFormat="1">
      <c r="A500" s="4063"/>
      <c r="B500" s="4064"/>
      <c r="C500" s="4067"/>
      <c r="D500" s="3874"/>
      <c r="E500" s="3883"/>
      <c r="F500" s="3874"/>
      <c r="G500" s="3875"/>
      <c r="H500" s="3874"/>
      <c r="I500" s="3875"/>
      <c r="J500" s="3874"/>
      <c r="K500" s="3875"/>
      <c r="L500" s="3874"/>
      <c r="N500" s="3846"/>
      <c r="O500" s="3850"/>
      <c r="P500" s="3848"/>
      <c r="Q500" s="3850"/>
      <c r="R500" s="3850"/>
      <c r="S500" s="3850"/>
      <c r="T500" s="3850"/>
      <c r="U500" s="3850"/>
      <c r="V500" s="3850"/>
      <c r="W500" s="3850"/>
      <c r="X500" s="3850"/>
      <c r="Y500" s="3850"/>
      <c r="Z500" s="3850"/>
      <c r="AA500" s="3850"/>
      <c r="AB500" s="3850"/>
      <c r="AC500" s="3850"/>
      <c r="AD500" s="3850"/>
      <c r="AE500" s="3850"/>
      <c r="AF500" s="3850"/>
      <c r="AG500" s="3850"/>
      <c r="AH500" s="3850"/>
      <c r="AI500" s="3850"/>
      <c r="AJ500" s="3850"/>
      <c r="AK500" s="3850"/>
      <c r="AL500" s="3850"/>
      <c r="AM500" s="3850"/>
      <c r="AN500" s="3850"/>
      <c r="AO500" s="3850"/>
      <c r="AP500" s="3850"/>
      <c r="AQ500" s="3850"/>
      <c r="AR500" s="3850"/>
      <c r="AS500" s="3850"/>
      <c r="AV500" s="3850"/>
      <c r="AX500" s="3850"/>
      <c r="AY500" s="3850"/>
      <c r="AZ500" s="3850"/>
      <c r="BA500" s="3850"/>
      <c r="BB500" s="3850"/>
      <c r="BC500" s="3850"/>
      <c r="BD500" s="3850"/>
      <c r="BE500" s="3850"/>
      <c r="BF500" s="3850"/>
      <c r="BG500" s="3850"/>
      <c r="BH500" s="3850"/>
      <c r="BI500" s="3850"/>
      <c r="BJ500" s="3850"/>
      <c r="BK500" s="3850"/>
      <c r="BL500" s="3850"/>
      <c r="BM500" s="3850"/>
      <c r="BN500" s="3850"/>
      <c r="BO500" s="3850"/>
      <c r="BP500" s="3850"/>
      <c r="BQ500" s="3850"/>
      <c r="BR500" s="3850"/>
      <c r="BS500" s="3850"/>
      <c r="BT500" s="3850"/>
      <c r="BU500" s="3850"/>
      <c r="BV500" s="3850"/>
      <c r="BW500" s="3850"/>
      <c r="BX500" s="3850"/>
      <c r="BY500" s="3850"/>
      <c r="BZ500" s="3850"/>
      <c r="CA500" s="3850"/>
      <c r="CB500" s="3850"/>
      <c r="CC500" s="3850"/>
      <c r="CD500" s="3850"/>
      <c r="CE500" s="3850"/>
      <c r="CF500" s="3850"/>
      <c r="CG500" s="3850"/>
      <c r="CH500" s="3850"/>
      <c r="CI500" s="3850"/>
      <c r="CJ500" s="3850"/>
      <c r="CK500" s="3850"/>
      <c r="CL500" s="3850"/>
      <c r="CM500" s="3850"/>
      <c r="CN500" s="3850"/>
      <c r="CO500" s="3850"/>
      <c r="CP500" s="3850"/>
      <c r="CQ500" s="3850"/>
      <c r="CR500" s="3850"/>
      <c r="CS500" s="3850"/>
      <c r="CT500" s="3850"/>
      <c r="CU500" s="3850"/>
      <c r="CV500" s="3850"/>
      <c r="CW500" s="3850"/>
      <c r="CX500" s="3850"/>
      <c r="CY500" s="3850"/>
      <c r="CZ500" s="3850"/>
      <c r="DA500" s="3850"/>
      <c r="DB500" s="3850"/>
      <c r="DC500" s="3850"/>
      <c r="DD500" s="3850"/>
      <c r="DE500" s="3850"/>
      <c r="DF500" s="3850"/>
      <c r="DG500" s="3850"/>
      <c r="DH500" s="3850"/>
      <c r="DI500" s="3850"/>
      <c r="DJ500" s="3850"/>
      <c r="DK500" s="3850"/>
      <c r="DL500" s="3850"/>
      <c r="DM500" s="3850"/>
      <c r="DN500" s="3850"/>
      <c r="DO500" s="3850"/>
      <c r="DP500" s="3850"/>
      <c r="DQ500" s="3850"/>
      <c r="DR500" s="3850"/>
      <c r="DS500" s="3850"/>
      <c r="DT500" s="3850"/>
      <c r="DU500" s="3850"/>
      <c r="DV500" s="3850"/>
      <c r="DW500" s="3850"/>
      <c r="DX500" s="3850"/>
      <c r="DY500" s="3850"/>
      <c r="DZ500" s="3850"/>
      <c r="EA500" s="3850"/>
    </row>
    <row r="501" spans="1:131" s="3849" customFormat="1">
      <c r="A501" s="4063"/>
      <c r="B501" s="4064"/>
      <c r="C501" s="4067"/>
      <c r="D501" s="3874"/>
      <c r="E501" s="3883"/>
      <c r="F501" s="3874"/>
      <c r="G501" s="3875"/>
      <c r="H501" s="3874"/>
      <c r="I501" s="3875"/>
      <c r="J501" s="3874"/>
      <c r="K501" s="3875"/>
      <c r="L501" s="3874"/>
      <c r="N501" s="3846"/>
      <c r="O501" s="3850"/>
      <c r="P501" s="3848"/>
      <c r="Q501" s="3850"/>
      <c r="R501" s="3850"/>
      <c r="S501" s="3850"/>
      <c r="T501" s="3850"/>
      <c r="U501" s="3850"/>
      <c r="V501" s="3850"/>
      <c r="W501" s="3850"/>
      <c r="X501" s="3850"/>
      <c r="Y501" s="3850"/>
      <c r="Z501" s="3850"/>
      <c r="AA501" s="3850"/>
      <c r="AB501" s="3850"/>
      <c r="AC501" s="3850"/>
      <c r="AD501" s="3850"/>
      <c r="AE501" s="3850"/>
      <c r="AF501" s="3850"/>
      <c r="AG501" s="3850"/>
      <c r="AH501" s="3850"/>
      <c r="AI501" s="3850"/>
      <c r="AJ501" s="3850"/>
      <c r="AK501" s="3850"/>
      <c r="AL501" s="3850"/>
      <c r="AM501" s="3850"/>
      <c r="AN501" s="3850"/>
      <c r="AO501" s="3850"/>
      <c r="AP501" s="3850"/>
      <c r="AQ501" s="3850"/>
      <c r="AR501" s="3850"/>
      <c r="AS501" s="3850"/>
      <c r="AV501" s="3850"/>
      <c r="AX501" s="3850"/>
      <c r="AY501" s="3850"/>
      <c r="AZ501" s="3850"/>
      <c r="BA501" s="3850"/>
      <c r="BB501" s="3850"/>
      <c r="BC501" s="3850"/>
      <c r="BD501" s="3850"/>
      <c r="BE501" s="3850"/>
      <c r="BF501" s="3850"/>
      <c r="BG501" s="3850"/>
      <c r="BH501" s="3850"/>
      <c r="BI501" s="3850"/>
      <c r="BJ501" s="3850"/>
      <c r="BK501" s="3850"/>
      <c r="BL501" s="3850"/>
      <c r="BM501" s="3850"/>
      <c r="BN501" s="3850"/>
      <c r="BO501" s="3850"/>
      <c r="BP501" s="3850"/>
      <c r="BQ501" s="3850"/>
      <c r="BR501" s="3850"/>
      <c r="BS501" s="3850"/>
      <c r="BT501" s="3850"/>
      <c r="BU501" s="3850"/>
      <c r="BV501" s="3850"/>
      <c r="BW501" s="3850"/>
      <c r="BX501" s="3850"/>
      <c r="BY501" s="3850"/>
      <c r="BZ501" s="3850"/>
      <c r="CA501" s="3850"/>
      <c r="CB501" s="3850"/>
      <c r="CC501" s="3850"/>
      <c r="CD501" s="3850"/>
      <c r="CE501" s="3850"/>
      <c r="CF501" s="3850"/>
      <c r="CG501" s="3850"/>
      <c r="CH501" s="3850"/>
      <c r="CI501" s="3850"/>
      <c r="CJ501" s="3850"/>
      <c r="CK501" s="3850"/>
      <c r="CL501" s="3850"/>
      <c r="CM501" s="3850"/>
      <c r="CN501" s="3850"/>
      <c r="CO501" s="3850"/>
      <c r="CP501" s="3850"/>
      <c r="CQ501" s="3850"/>
      <c r="CR501" s="3850"/>
      <c r="CS501" s="3850"/>
      <c r="CT501" s="3850"/>
      <c r="CU501" s="3850"/>
      <c r="CV501" s="3850"/>
      <c r="CW501" s="3850"/>
      <c r="CX501" s="3850"/>
      <c r="CY501" s="3850"/>
      <c r="CZ501" s="3850"/>
      <c r="DA501" s="3850"/>
      <c r="DB501" s="3850"/>
      <c r="DC501" s="3850"/>
      <c r="DD501" s="3850"/>
      <c r="DE501" s="3850"/>
      <c r="DF501" s="3850"/>
      <c r="DG501" s="3850"/>
      <c r="DH501" s="3850"/>
      <c r="DI501" s="3850"/>
      <c r="DJ501" s="3850"/>
      <c r="DK501" s="3850"/>
      <c r="DL501" s="3850"/>
      <c r="DM501" s="3850"/>
      <c r="DN501" s="3850"/>
      <c r="DO501" s="3850"/>
      <c r="DP501" s="3850"/>
      <c r="DQ501" s="3850"/>
      <c r="DR501" s="3850"/>
      <c r="DS501" s="3850"/>
      <c r="DT501" s="3850"/>
      <c r="DU501" s="3850"/>
      <c r="DV501" s="3850"/>
      <c r="DW501" s="3850"/>
      <c r="DX501" s="3850"/>
      <c r="DY501" s="3850"/>
      <c r="DZ501" s="3850"/>
      <c r="EA501" s="3850"/>
    </row>
    <row r="502" spans="1:131" s="3849" customFormat="1">
      <c r="A502" s="4063"/>
      <c r="B502" s="4064"/>
      <c r="C502" s="4067"/>
      <c r="D502" s="3874"/>
      <c r="E502" s="3883"/>
      <c r="F502" s="3874"/>
      <c r="G502" s="3875"/>
      <c r="H502" s="3874"/>
      <c r="I502" s="3875"/>
      <c r="J502" s="3874"/>
      <c r="K502" s="3875"/>
      <c r="L502" s="3874"/>
      <c r="N502" s="3846"/>
      <c r="O502" s="3850"/>
      <c r="P502" s="3848"/>
      <c r="Q502" s="3850"/>
      <c r="R502" s="3850"/>
      <c r="S502" s="3850"/>
      <c r="T502" s="3850"/>
      <c r="U502" s="3850"/>
      <c r="V502" s="3850"/>
      <c r="W502" s="3850"/>
      <c r="X502" s="3850"/>
      <c r="Y502" s="3850"/>
      <c r="Z502" s="3850"/>
      <c r="AA502" s="3850"/>
      <c r="AB502" s="3850"/>
      <c r="AC502" s="3850"/>
      <c r="AD502" s="3850"/>
      <c r="AE502" s="3850"/>
      <c r="AF502" s="3850"/>
      <c r="AG502" s="3850"/>
      <c r="AH502" s="3850"/>
      <c r="AI502" s="3850"/>
      <c r="AJ502" s="3850"/>
      <c r="AK502" s="3850"/>
      <c r="AL502" s="3850"/>
      <c r="AM502" s="3850"/>
      <c r="AN502" s="3850"/>
      <c r="AO502" s="3850"/>
      <c r="AP502" s="3850"/>
      <c r="AQ502" s="3850"/>
      <c r="AR502" s="3850"/>
      <c r="AS502" s="3850"/>
      <c r="AV502" s="3850"/>
      <c r="AX502" s="3850"/>
      <c r="AY502" s="3850"/>
      <c r="AZ502" s="3850"/>
      <c r="BA502" s="3850"/>
      <c r="BB502" s="3850"/>
      <c r="BC502" s="3850"/>
      <c r="BD502" s="3850"/>
      <c r="BE502" s="3850"/>
      <c r="BF502" s="3850"/>
      <c r="BG502" s="3850"/>
      <c r="BH502" s="3850"/>
      <c r="BI502" s="3850"/>
      <c r="BJ502" s="3850"/>
      <c r="BK502" s="3850"/>
      <c r="BL502" s="3850"/>
      <c r="BM502" s="3850"/>
      <c r="BN502" s="3850"/>
      <c r="BO502" s="3850"/>
      <c r="BP502" s="3850"/>
      <c r="BQ502" s="3850"/>
      <c r="BR502" s="3850"/>
      <c r="BS502" s="3850"/>
      <c r="BT502" s="3850"/>
      <c r="BU502" s="3850"/>
      <c r="BV502" s="3850"/>
      <c r="BW502" s="3850"/>
      <c r="BX502" s="3850"/>
      <c r="BY502" s="3850"/>
      <c r="BZ502" s="3850"/>
      <c r="CA502" s="3850"/>
      <c r="CB502" s="3850"/>
      <c r="CC502" s="3850"/>
      <c r="CD502" s="3850"/>
      <c r="CE502" s="3850"/>
      <c r="CF502" s="3850"/>
      <c r="CG502" s="3850"/>
      <c r="CH502" s="3850"/>
      <c r="CI502" s="3850"/>
      <c r="CJ502" s="3850"/>
      <c r="CK502" s="3850"/>
      <c r="CL502" s="3850"/>
      <c r="CM502" s="3850"/>
      <c r="CN502" s="3850"/>
      <c r="CO502" s="3850"/>
      <c r="CP502" s="3850"/>
      <c r="CQ502" s="3850"/>
      <c r="CR502" s="3850"/>
      <c r="CS502" s="3850"/>
      <c r="CT502" s="3850"/>
      <c r="CU502" s="3850"/>
      <c r="CV502" s="3850"/>
      <c r="CW502" s="3850"/>
      <c r="CX502" s="3850"/>
      <c r="CY502" s="3850"/>
      <c r="CZ502" s="3850"/>
      <c r="DA502" s="3850"/>
      <c r="DB502" s="3850"/>
      <c r="DC502" s="3850"/>
      <c r="DD502" s="3850"/>
      <c r="DE502" s="3850"/>
      <c r="DF502" s="3850"/>
      <c r="DG502" s="3850"/>
      <c r="DH502" s="3850"/>
      <c r="DI502" s="3850"/>
      <c r="DJ502" s="3850"/>
      <c r="DK502" s="3850"/>
      <c r="DL502" s="3850"/>
      <c r="DM502" s="3850"/>
      <c r="DN502" s="3850"/>
      <c r="DO502" s="3850"/>
      <c r="DP502" s="3850"/>
      <c r="DQ502" s="3850"/>
      <c r="DR502" s="3850"/>
      <c r="DS502" s="3850"/>
      <c r="DT502" s="3850"/>
      <c r="DU502" s="3850"/>
      <c r="DV502" s="3850"/>
      <c r="DW502" s="3850"/>
      <c r="DX502" s="3850"/>
      <c r="DY502" s="3850"/>
      <c r="DZ502" s="3850"/>
      <c r="EA502" s="3850"/>
    </row>
    <row r="503" spans="1:131" s="3849" customFormat="1">
      <c r="A503" s="4063"/>
      <c r="B503" s="4064"/>
      <c r="C503" s="4067"/>
      <c r="D503" s="3874"/>
      <c r="E503" s="3883"/>
      <c r="F503" s="3874"/>
      <c r="G503" s="3875"/>
      <c r="H503" s="3874"/>
      <c r="I503" s="3875"/>
      <c r="J503" s="3874"/>
      <c r="K503" s="3875"/>
      <c r="L503" s="3874"/>
      <c r="N503" s="3846"/>
      <c r="O503" s="3850"/>
      <c r="P503" s="3848"/>
      <c r="Q503" s="3850"/>
      <c r="R503" s="3850"/>
      <c r="S503" s="3850"/>
      <c r="T503" s="3850"/>
      <c r="U503" s="3850"/>
      <c r="V503" s="3850"/>
      <c r="W503" s="3850"/>
      <c r="X503" s="3850"/>
      <c r="Y503" s="3850"/>
      <c r="Z503" s="3850"/>
      <c r="AA503" s="3850"/>
      <c r="AB503" s="3850"/>
      <c r="AC503" s="3850"/>
      <c r="AD503" s="3850"/>
      <c r="AE503" s="3850"/>
      <c r="AF503" s="3850"/>
      <c r="AG503" s="3850"/>
      <c r="AH503" s="3850"/>
      <c r="AI503" s="3850"/>
      <c r="AJ503" s="3850"/>
      <c r="AK503" s="3850"/>
      <c r="AL503" s="3850"/>
      <c r="AM503" s="3850"/>
      <c r="AN503" s="3850"/>
      <c r="AO503" s="3850"/>
      <c r="AP503" s="3850"/>
      <c r="AQ503" s="3850"/>
      <c r="AR503" s="3850"/>
      <c r="AS503" s="3850"/>
      <c r="AV503" s="3850"/>
      <c r="AX503" s="3850"/>
      <c r="AY503" s="3850"/>
      <c r="AZ503" s="3850"/>
      <c r="BA503" s="3850"/>
      <c r="BB503" s="3850"/>
      <c r="BC503" s="3850"/>
      <c r="BD503" s="3850"/>
      <c r="BE503" s="3850"/>
      <c r="BF503" s="3850"/>
      <c r="BG503" s="3850"/>
      <c r="BH503" s="3850"/>
      <c r="BI503" s="3850"/>
      <c r="BJ503" s="3850"/>
      <c r="BK503" s="3850"/>
      <c r="BL503" s="3850"/>
      <c r="BM503" s="3850"/>
      <c r="BN503" s="3850"/>
      <c r="BO503" s="3850"/>
      <c r="BP503" s="3850"/>
      <c r="BQ503" s="3850"/>
      <c r="BR503" s="3850"/>
      <c r="BS503" s="3850"/>
      <c r="BT503" s="3850"/>
      <c r="BU503" s="3850"/>
      <c r="BV503" s="3850"/>
      <c r="BW503" s="3850"/>
      <c r="BX503" s="3850"/>
      <c r="BY503" s="3850"/>
      <c r="BZ503" s="3850"/>
      <c r="CA503" s="3850"/>
      <c r="CB503" s="3850"/>
      <c r="CC503" s="3850"/>
      <c r="CD503" s="3850"/>
      <c r="CE503" s="3850"/>
      <c r="CF503" s="3850"/>
      <c r="CG503" s="3850"/>
      <c r="CH503" s="3850"/>
      <c r="CI503" s="3850"/>
      <c r="CJ503" s="3850"/>
      <c r="CK503" s="3850"/>
      <c r="CL503" s="3850"/>
      <c r="CM503" s="3850"/>
      <c r="CN503" s="3850"/>
      <c r="CO503" s="3850"/>
      <c r="CP503" s="3850"/>
      <c r="CQ503" s="3850"/>
      <c r="CR503" s="3850"/>
      <c r="CS503" s="3850"/>
      <c r="CT503" s="3850"/>
      <c r="CU503" s="3850"/>
      <c r="CV503" s="3850"/>
      <c r="CW503" s="3850"/>
      <c r="CX503" s="3850"/>
      <c r="CY503" s="3850"/>
      <c r="CZ503" s="3850"/>
      <c r="DA503" s="3850"/>
      <c r="DB503" s="3850"/>
      <c r="DC503" s="3850"/>
      <c r="DD503" s="3850"/>
      <c r="DE503" s="3850"/>
      <c r="DF503" s="3850"/>
      <c r="DG503" s="3850"/>
      <c r="DH503" s="3850"/>
      <c r="DI503" s="3850"/>
      <c r="DJ503" s="3850"/>
      <c r="DK503" s="3850"/>
      <c r="DL503" s="3850"/>
      <c r="DM503" s="3850"/>
      <c r="DN503" s="3850"/>
      <c r="DO503" s="3850"/>
      <c r="DP503" s="3850"/>
      <c r="DQ503" s="3850"/>
      <c r="DR503" s="3850"/>
      <c r="DS503" s="3850"/>
      <c r="DT503" s="3850"/>
      <c r="DU503" s="3850"/>
      <c r="DV503" s="3850"/>
      <c r="DW503" s="3850"/>
      <c r="DX503" s="3850"/>
      <c r="DY503" s="3850"/>
      <c r="DZ503" s="3850"/>
      <c r="EA503" s="3850"/>
    </row>
    <row r="504" spans="1:131" s="3849" customFormat="1">
      <c r="A504" s="4063"/>
      <c r="B504" s="4064"/>
      <c r="C504" s="4067"/>
      <c r="D504" s="3874"/>
      <c r="E504" s="3883"/>
      <c r="F504" s="3874"/>
      <c r="G504" s="3875"/>
      <c r="H504" s="3874"/>
      <c r="I504" s="3875"/>
      <c r="J504" s="3874"/>
      <c r="K504" s="3875"/>
      <c r="L504" s="3874"/>
      <c r="N504" s="3846"/>
      <c r="O504" s="3850"/>
      <c r="P504" s="3848"/>
      <c r="Q504" s="3850"/>
      <c r="R504" s="3850"/>
      <c r="S504" s="3850"/>
      <c r="T504" s="3850"/>
      <c r="U504" s="3850"/>
      <c r="V504" s="3850"/>
      <c r="W504" s="3850"/>
      <c r="X504" s="3850"/>
      <c r="Y504" s="3850"/>
      <c r="Z504" s="3850"/>
      <c r="AA504" s="3850"/>
      <c r="AB504" s="3850"/>
      <c r="AC504" s="3850"/>
      <c r="AD504" s="3850"/>
      <c r="AE504" s="3850"/>
      <c r="AF504" s="3850"/>
      <c r="AG504" s="3850"/>
      <c r="AH504" s="3850"/>
      <c r="AI504" s="3850"/>
      <c r="AJ504" s="3850"/>
      <c r="AK504" s="3850"/>
      <c r="AL504" s="3850"/>
      <c r="AM504" s="3850"/>
      <c r="AN504" s="3850"/>
      <c r="AO504" s="3850"/>
      <c r="AP504" s="3850"/>
      <c r="AQ504" s="3850"/>
      <c r="AR504" s="3850"/>
      <c r="AS504" s="3850"/>
      <c r="AV504" s="3850"/>
      <c r="AX504" s="3850"/>
      <c r="AY504" s="3850"/>
      <c r="AZ504" s="3850"/>
      <c r="BA504" s="3850"/>
      <c r="BB504" s="3850"/>
      <c r="BC504" s="3850"/>
      <c r="BD504" s="3850"/>
      <c r="BE504" s="3850"/>
      <c r="BF504" s="3850"/>
      <c r="BG504" s="3850"/>
      <c r="BH504" s="3850"/>
      <c r="BI504" s="3850"/>
      <c r="BJ504" s="3850"/>
      <c r="BK504" s="3850"/>
      <c r="BL504" s="3850"/>
      <c r="BM504" s="3850"/>
      <c r="BN504" s="3850"/>
      <c r="BO504" s="3850"/>
      <c r="BP504" s="3850"/>
      <c r="BQ504" s="3850"/>
      <c r="BR504" s="3850"/>
      <c r="BS504" s="3850"/>
      <c r="BT504" s="3850"/>
      <c r="BU504" s="3850"/>
      <c r="BV504" s="3850"/>
      <c r="BW504" s="3850"/>
      <c r="BX504" s="3850"/>
      <c r="BY504" s="3850"/>
      <c r="BZ504" s="3850"/>
      <c r="CA504" s="3850"/>
      <c r="CB504" s="3850"/>
      <c r="CC504" s="3850"/>
      <c r="CD504" s="3850"/>
      <c r="CE504" s="3850"/>
      <c r="CF504" s="3850"/>
      <c r="CG504" s="3850"/>
      <c r="CH504" s="3850"/>
      <c r="CI504" s="3850"/>
      <c r="CJ504" s="3850"/>
      <c r="CK504" s="3850"/>
      <c r="CL504" s="3850"/>
      <c r="CM504" s="3850"/>
      <c r="CN504" s="3850"/>
      <c r="CO504" s="3850"/>
      <c r="CP504" s="3850"/>
      <c r="CQ504" s="3850"/>
      <c r="CR504" s="3850"/>
      <c r="CS504" s="3850"/>
      <c r="CT504" s="3850"/>
      <c r="CU504" s="3850"/>
      <c r="CV504" s="3850"/>
      <c r="CW504" s="3850"/>
      <c r="CX504" s="3850"/>
      <c r="CY504" s="3850"/>
      <c r="CZ504" s="3850"/>
      <c r="DA504" s="3850"/>
      <c r="DB504" s="3850"/>
      <c r="DC504" s="3850"/>
      <c r="DD504" s="3850"/>
      <c r="DE504" s="3850"/>
      <c r="DF504" s="3850"/>
      <c r="DG504" s="3850"/>
      <c r="DH504" s="3850"/>
      <c r="DI504" s="3850"/>
      <c r="DJ504" s="3850"/>
      <c r="DK504" s="3850"/>
      <c r="DL504" s="3850"/>
      <c r="DM504" s="3850"/>
      <c r="DN504" s="3850"/>
      <c r="DO504" s="3850"/>
      <c r="DP504" s="3850"/>
      <c r="DQ504" s="3850"/>
      <c r="DR504" s="3850"/>
      <c r="DS504" s="3850"/>
      <c r="DT504" s="3850"/>
      <c r="DU504" s="3850"/>
      <c r="DV504" s="3850"/>
      <c r="DW504" s="3850"/>
      <c r="DX504" s="3850"/>
      <c r="DY504" s="3850"/>
      <c r="DZ504" s="3850"/>
      <c r="EA504" s="3850"/>
    </row>
    <row r="505" spans="1:131" s="3849" customFormat="1">
      <c r="A505" s="4063"/>
      <c r="B505" s="4064"/>
      <c r="C505" s="4067"/>
      <c r="D505" s="3874"/>
      <c r="E505" s="3883"/>
      <c r="F505" s="3874"/>
      <c r="G505" s="3875"/>
      <c r="H505" s="3874"/>
      <c r="I505" s="3875"/>
      <c r="J505" s="3874"/>
      <c r="K505" s="3875"/>
      <c r="L505" s="3874"/>
      <c r="N505" s="3846"/>
      <c r="O505" s="3850"/>
      <c r="P505" s="3848"/>
      <c r="Q505" s="3850"/>
      <c r="R505" s="3850"/>
      <c r="S505" s="3850"/>
      <c r="T505" s="3850"/>
      <c r="U505" s="3850"/>
      <c r="V505" s="3850"/>
      <c r="W505" s="3850"/>
      <c r="X505" s="3850"/>
      <c r="Y505" s="3850"/>
      <c r="Z505" s="3850"/>
      <c r="AA505" s="3850"/>
      <c r="AB505" s="3850"/>
      <c r="AC505" s="3850"/>
      <c r="AD505" s="3850"/>
      <c r="AE505" s="3850"/>
      <c r="AF505" s="3850"/>
      <c r="AG505" s="3850"/>
      <c r="AH505" s="3850"/>
      <c r="AI505" s="3850"/>
      <c r="AJ505" s="3850"/>
      <c r="AK505" s="3850"/>
      <c r="AL505" s="3850"/>
      <c r="AM505" s="3850"/>
      <c r="AN505" s="3850"/>
      <c r="AO505" s="3850"/>
      <c r="AP505" s="3850"/>
      <c r="AQ505" s="3850"/>
      <c r="AR505" s="3850"/>
      <c r="AS505" s="3850"/>
      <c r="AV505" s="3850"/>
      <c r="AX505" s="3850"/>
      <c r="AY505" s="3850"/>
      <c r="AZ505" s="3850"/>
      <c r="BA505" s="3850"/>
      <c r="BB505" s="3850"/>
      <c r="BC505" s="3850"/>
      <c r="BD505" s="3850"/>
      <c r="BE505" s="3850"/>
      <c r="BF505" s="3850"/>
      <c r="BG505" s="3850"/>
      <c r="BH505" s="3850"/>
      <c r="BI505" s="3850"/>
      <c r="BJ505" s="3850"/>
      <c r="BK505" s="3850"/>
      <c r="BL505" s="3850"/>
      <c r="BM505" s="3850"/>
      <c r="BN505" s="3850"/>
      <c r="BO505" s="3850"/>
      <c r="BP505" s="3850"/>
      <c r="BQ505" s="3850"/>
      <c r="BR505" s="3850"/>
      <c r="BS505" s="3850"/>
      <c r="BT505" s="3850"/>
      <c r="BU505" s="3850"/>
      <c r="BV505" s="3850"/>
      <c r="BW505" s="3850"/>
      <c r="BX505" s="3850"/>
      <c r="BY505" s="3850"/>
      <c r="BZ505" s="3850"/>
      <c r="CA505" s="3850"/>
      <c r="CB505" s="3850"/>
      <c r="CC505" s="3850"/>
      <c r="CD505" s="3850"/>
      <c r="CE505" s="3850"/>
      <c r="CF505" s="3850"/>
      <c r="CG505" s="3850"/>
      <c r="CH505" s="3850"/>
      <c r="CI505" s="3850"/>
      <c r="CJ505" s="3850"/>
      <c r="CK505" s="3850"/>
      <c r="CL505" s="3850"/>
      <c r="CM505" s="3850"/>
      <c r="CN505" s="3850"/>
      <c r="CO505" s="3850"/>
      <c r="CP505" s="3850"/>
      <c r="CQ505" s="3850"/>
      <c r="CR505" s="3850"/>
      <c r="CS505" s="3850"/>
      <c r="CT505" s="3850"/>
      <c r="CU505" s="3850"/>
      <c r="CV505" s="3850"/>
      <c r="CW505" s="3850"/>
      <c r="CX505" s="3850"/>
      <c r="CY505" s="3850"/>
      <c r="CZ505" s="3850"/>
      <c r="DA505" s="3850"/>
      <c r="DB505" s="3850"/>
      <c r="DC505" s="3850"/>
      <c r="DD505" s="3850"/>
      <c r="DE505" s="3850"/>
      <c r="DF505" s="3850"/>
      <c r="DG505" s="3850"/>
      <c r="DH505" s="3850"/>
      <c r="DI505" s="3850"/>
      <c r="DJ505" s="3850"/>
      <c r="DK505" s="3850"/>
      <c r="DL505" s="3850"/>
      <c r="DM505" s="3850"/>
      <c r="DN505" s="3850"/>
      <c r="DO505" s="3850"/>
      <c r="DP505" s="3850"/>
      <c r="DQ505" s="3850"/>
      <c r="DR505" s="3850"/>
      <c r="DS505" s="3850"/>
      <c r="DT505" s="3850"/>
      <c r="DU505" s="3850"/>
      <c r="DV505" s="3850"/>
      <c r="DW505" s="3850"/>
      <c r="DX505" s="3850"/>
      <c r="DY505" s="3850"/>
      <c r="DZ505" s="3850"/>
      <c r="EA505" s="3850"/>
    </row>
    <row r="506" spans="1:131" s="3849" customFormat="1">
      <c r="A506" s="4063"/>
      <c r="B506" s="4064"/>
      <c r="C506" s="4067"/>
      <c r="D506" s="3874"/>
      <c r="E506" s="3883"/>
      <c r="F506" s="3874"/>
      <c r="G506" s="3875"/>
      <c r="H506" s="3874"/>
      <c r="I506" s="3875"/>
      <c r="J506" s="3874"/>
      <c r="K506" s="3875"/>
      <c r="L506" s="3874"/>
      <c r="N506" s="3846"/>
      <c r="O506" s="3850"/>
      <c r="P506" s="3848"/>
      <c r="Q506" s="3850"/>
      <c r="R506" s="3850"/>
      <c r="S506" s="3850"/>
      <c r="T506" s="3850"/>
      <c r="U506" s="3850"/>
      <c r="V506" s="3850"/>
      <c r="W506" s="3850"/>
      <c r="X506" s="3850"/>
      <c r="Y506" s="3850"/>
      <c r="Z506" s="3850"/>
      <c r="AA506" s="3850"/>
      <c r="AB506" s="3850"/>
      <c r="AC506" s="3850"/>
      <c r="AD506" s="3850"/>
      <c r="AE506" s="3850"/>
      <c r="AF506" s="3850"/>
      <c r="AG506" s="3850"/>
      <c r="AH506" s="3850"/>
      <c r="AI506" s="3850"/>
      <c r="AJ506" s="3850"/>
      <c r="AK506" s="3850"/>
      <c r="AL506" s="3850"/>
      <c r="AM506" s="3850"/>
      <c r="AN506" s="3850"/>
      <c r="AO506" s="3850"/>
      <c r="AP506" s="3850"/>
      <c r="AQ506" s="3850"/>
      <c r="AR506" s="3850"/>
      <c r="AS506" s="3850"/>
      <c r="AV506" s="3850"/>
      <c r="AX506" s="3850"/>
      <c r="AY506" s="3850"/>
      <c r="AZ506" s="3850"/>
      <c r="BA506" s="3850"/>
      <c r="BB506" s="3850"/>
      <c r="BC506" s="3850"/>
      <c r="BD506" s="3850"/>
      <c r="BE506" s="3850"/>
      <c r="BF506" s="3850"/>
      <c r="BG506" s="3850"/>
      <c r="BH506" s="3850"/>
      <c r="BI506" s="3850"/>
      <c r="BJ506" s="3850"/>
      <c r="BK506" s="3850"/>
      <c r="BL506" s="3850"/>
      <c r="BM506" s="3850"/>
      <c r="BN506" s="3850"/>
      <c r="BO506" s="3850"/>
      <c r="BP506" s="3850"/>
      <c r="BQ506" s="3850"/>
      <c r="BR506" s="3850"/>
      <c r="BS506" s="3850"/>
      <c r="BT506" s="3850"/>
      <c r="BU506" s="3850"/>
      <c r="BV506" s="3850"/>
      <c r="BW506" s="3850"/>
      <c r="BX506" s="3850"/>
      <c r="BY506" s="3850"/>
      <c r="BZ506" s="3850"/>
      <c r="CA506" s="3850"/>
      <c r="CB506" s="3850"/>
      <c r="CC506" s="3850"/>
      <c r="CD506" s="3850"/>
      <c r="CE506" s="3850"/>
      <c r="CF506" s="3850"/>
      <c r="CG506" s="3850"/>
      <c r="CH506" s="3850"/>
      <c r="CI506" s="3850"/>
      <c r="CJ506" s="3850"/>
      <c r="CK506" s="3850"/>
      <c r="CL506" s="3850"/>
      <c r="CM506" s="3850"/>
      <c r="CN506" s="3850"/>
      <c r="CO506" s="3850"/>
      <c r="CP506" s="3850"/>
      <c r="CQ506" s="3850"/>
      <c r="CR506" s="3850"/>
      <c r="CS506" s="3850"/>
      <c r="CT506" s="3850"/>
      <c r="CU506" s="3850"/>
      <c r="CV506" s="3850"/>
      <c r="CW506" s="3850"/>
      <c r="CX506" s="3850"/>
      <c r="CY506" s="3850"/>
      <c r="CZ506" s="3850"/>
      <c r="DA506" s="3850"/>
      <c r="DB506" s="3850"/>
      <c r="DC506" s="3850"/>
      <c r="DD506" s="3850"/>
      <c r="DE506" s="3850"/>
      <c r="DF506" s="3850"/>
      <c r="DG506" s="3850"/>
      <c r="DH506" s="3850"/>
      <c r="DI506" s="3850"/>
      <c r="DJ506" s="3850"/>
      <c r="DK506" s="3850"/>
      <c r="DL506" s="3850"/>
      <c r="DM506" s="3850"/>
      <c r="DN506" s="3850"/>
      <c r="DO506" s="3850"/>
      <c r="DP506" s="3850"/>
      <c r="DQ506" s="3850"/>
      <c r="DR506" s="3850"/>
      <c r="DS506" s="3850"/>
      <c r="DT506" s="3850"/>
      <c r="DU506" s="3850"/>
      <c r="DV506" s="3850"/>
      <c r="DW506" s="3850"/>
      <c r="DX506" s="3850"/>
      <c r="DY506" s="3850"/>
      <c r="DZ506" s="3850"/>
      <c r="EA506" s="3850"/>
    </row>
    <row r="507" spans="1:131" s="3849" customFormat="1">
      <c r="A507" s="4063"/>
      <c r="B507" s="4064"/>
      <c r="C507" s="4067"/>
      <c r="D507" s="3874"/>
      <c r="E507" s="3883"/>
      <c r="F507" s="3874"/>
      <c r="G507" s="3875"/>
      <c r="H507" s="3874"/>
      <c r="I507" s="3875"/>
      <c r="J507" s="3874"/>
      <c r="K507" s="3875"/>
      <c r="L507" s="3874"/>
      <c r="N507" s="3846"/>
      <c r="O507" s="3850"/>
      <c r="P507" s="3848"/>
      <c r="Q507" s="3850"/>
      <c r="R507" s="3850"/>
      <c r="S507" s="3850"/>
      <c r="T507" s="3850"/>
      <c r="U507" s="3850"/>
      <c r="V507" s="3850"/>
      <c r="W507" s="3850"/>
      <c r="X507" s="3850"/>
      <c r="Y507" s="3850"/>
      <c r="Z507" s="3850"/>
      <c r="AA507" s="3850"/>
      <c r="AB507" s="3850"/>
      <c r="AC507" s="3850"/>
      <c r="AD507" s="3850"/>
      <c r="AE507" s="3850"/>
      <c r="AF507" s="3850"/>
      <c r="AG507" s="3850"/>
      <c r="AH507" s="3850"/>
      <c r="AI507" s="3850"/>
      <c r="AJ507" s="3850"/>
      <c r="AK507" s="3850"/>
      <c r="AL507" s="3850"/>
      <c r="AM507" s="3850"/>
      <c r="AN507" s="3850"/>
      <c r="AO507" s="3850"/>
      <c r="AP507" s="3850"/>
      <c r="AQ507" s="3850"/>
      <c r="AR507" s="3850"/>
      <c r="AS507" s="3850"/>
      <c r="AV507" s="3850"/>
      <c r="AX507" s="3850"/>
      <c r="AY507" s="3850"/>
      <c r="AZ507" s="3850"/>
      <c r="BA507" s="3850"/>
      <c r="BB507" s="3850"/>
      <c r="BC507" s="3850"/>
      <c r="BD507" s="3850"/>
      <c r="BE507" s="3850"/>
      <c r="BF507" s="3850"/>
      <c r="BG507" s="3850"/>
      <c r="BH507" s="3850"/>
      <c r="BI507" s="3850"/>
      <c r="BJ507" s="3850"/>
      <c r="BK507" s="3850"/>
      <c r="BL507" s="3850"/>
      <c r="BM507" s="3850"/>
      <c r="BN507" s="3850"/>
      <c r="BO507" s="3850"/>
      <c r="BP507" s="3850"/>
      <c r="BQ507" s="3850"/>
      <c r="BR507" s="3850"/>
      <c r="BS507" s="3850"/>
      <c r="BT507" s="3850"/>
      <c r="BU507" s="3850"/>
      <c r="BV507" s="3850"/>
      <c r="BW507" s="3850"/>
      <c r="BX507" s="3850"/>
      <c r="BY507" s="3850"/>
      <c r="BZ507" s="3850"/>
      <c r="CA507" s="3850"/>
      <c r="CB507" s="3850"/>
      <c r="CC507" s="3850"/>
      <c r="CD507" s="3850"/>
      <c r="CE507" s="3850"/>
      <c r="CF507" s="3850"/>
      <c r="CG507" s="3850"/>
      <c r="CH507" s="3850"/>
      <c r="CI507" s="3850"/>
      <c r="CJ507" s="3850"/>
      <c r="CK507" s="3850"/>
      <c r="CL507" s="3850"/>
      <c r="CM507" s="3850"/>
      <c r="CN507" s="3850"/>
      <c r="CO507" s="3850"/>
      <c r="CP507" s="3850"/>
      <c r="CQ507" s="3850"/>
      <c r="CR507" s="3850"/>
      <c r="CS507" s="3850"/>
      <c r="CT507" s="3850"/>
      <c r="CU507" s="3850"/>
      <c r="CV507" s="3850"/>
      <c r="CW507" s="3850"/>
      <c r="CX507" s="3850"/>
      <c r="CY507" s="3850"/>
      <c r="CZ507" s="3850"/>
      <c r="DA507" s="3850"/>
      <c r="DB507" s="3850"/>
      <c r="DC507" s="3850"/>
      <c r="DD507" s="3850"/>
      <c r="DE507" s="3850"/>
      <c r="DF507" s="3850"/>
      <c r="DG507" s="3850"/>
      <c r="DH507" s="3850"/>
      <c r="DI507" s="3850"/>
      <c r="DJ507" s="3850"/>
      <c r="DK507" s="3850"/>
      <c r="DL507" s="3850"/>
      <c r="DM507" s="3850"/>
      <c r="DN507" s="3850"/>
      <c r="DO507" s="3850"/>
      <c r="DP507" s="3850"/>
      <c r="DQ507" s="3850"/>
      <c r="DR507" s="3850"/>
      <c r="DS507" s="3850"/>
      <c r="DT507" s="3850"/>
      <c r="DU507" s="3850"/>
      <c r="DV507" s="3850"/>
      <c r="DW507" s="3850"/>
      <c r="DX507" s="3850"/>
      <c r="DY507" s="3850"/>
      <c r="DZ507" s="3850"/>
      <c r="EA507" s="3850"/>
    </row>
    <row r="508" spans="1:131" s="3849" customFormat="1">
      <c r="A508" s="4063"/>
      <c r="B508" s="4064"/>
      <c r="C508" s="4067"/>
      <c r="D508" s="3874"/>
      <c r="E508" s="3883"/>
      <c r="F508" s="3874"/>
      <c r="G508" s="3875"/>
      <c r="H508" s="3874"/>
      <c r="I508" s="3875"/>
      <c r="J508" s="3874"/>
      <c r="K508" s="3875"/>
      <c r="L508" s="3874"/>
      <c r="N508" s="3846"/>
      <c r="O508" s="3850"/>
      <c r="P508" s="3848"/>
      <c r="Q508" s="3850"/>
      <c r="R508" s="3850"/>
      <c r="S508" s="3850"/>
      <c r="T508" s="3850"/>
      <c r="U508" s="3850"/>
      <c r="V508" s="3850"/>
      <c r="W508" s="3850"/>
      <c r="X508" s="3850"/>
      <c r="Y508" s="3850"/>
      <c r="Z508" s="3850"/>
      <c r="AA508" s="3850"/>
      <c r="AB508" s="3850"/>
      <c r="AC508" s="3850"/>
      <c r="AD508" s="3850"/>
      <c r="AE508" s="3850"/>
      <c r="AF508" s="3850"/>
      <c r="AG508" s="3850"/>
      <c r="AH508" s="3850"/>
      <c r="AI508" s="3850"/>
      <c r="AJ508" s="3850"/>
      <c r="AK508" s="3850"/>
      <c r="AL508" s="3850"/>
      <c r="AM508" s="3850"/>
      <c r="AN508" s="3850"/>
      <c r="AO508" s="3850"/>
      <c r="AP508" s="3850"/>
      <c r="AQ508" s="3850"/>
      <c r="AR508" s="3850"/>
      <c r="AS508" s="3850"/>
      <c r="AV508" s="3850"/>
      <c r="AX508" s="3850"/>
      <c r="AY508" s="3850"/>
      <c r="AZ508" s="3850"/>
      <c r="BA508" s="3850"/>
      <c r="BB508" s="3850"/>
      <c r="BC508" s="3850"/>
      <c r="BD508" s="3850"/>
      <c r="BE508" s="3850"/>
      <c r="BF508" s="3850"/>
      <c r="BG508" s="3850"/>
      <c r="BH508" s="3850"/>
      <c r="BI508" s="3850"/>
      <c r="BJ508" s="3850"/>
      <c r="BK508" s="3850"/>
      <c r="BL508" s="3850"/>
      <c r="BM508" s="3850"/>
      <c r="BN508" s="3850"/>
      <c r="BO508" s="3850"/>
      <c r="BP508" s="3850"/>
      <c r="BQ508" s="3850"/>
      <c r="BR508" s="3850"/>
      <c r="BS508" s="3850"/>
      <c r="BT508" s="3850"/>
      <c r="BU508" s="3850"/>
      <c r="BV508" s="3850"/>
      <c r="BW508" s="3850"/>
      <c r="BX508" s="3850"/>
      <c r="BY508" s="3850"/>
      <c r="BZ508" s="3850"/>
      <c r="CA508" s="3850"/>
      <c r="CB508" s="3850"/>
      <c r="CC508" s="3850"/>
      <c r="CD508" s="3850"/>
      <c r="CE508" s="3850"/>
      <c r="CF508" s="3850"/>
      <c r="CG508" s="3850"/>
      <c r="CH508" s="3850"/>
      <c r="CI508" s="3850"/>
      <c r="CJ508" s="3850"/>
      <c r="CK508" s="3850"/>
      <c r="CL508" s="3850"/>
      <c r="CM508" s="3850"/>
      <c r="CN508" s="3850"/>
      <c r="CO508" s="3850"/>
      <c r="CP508" s="3850"/>
      <c r="CQ508" s="3850"/>
      <c r="CR508" s="3850"/>
      <c r="CS508" s="3850"/>
      <c r="CT508" s="3850"/>
      <c r="CU508" s="3850"/>
      <c r="CV508" s="3850"/>
      <c r="CW508" s="3850"/>
      <c r="CX508" s="3850"/>
      <c r="CY508" s="3850"/>
      <c r="CZ508" s="3850"/>
      <c r="DA508" s="3850"/>
      <c r="DB508" s="3850"/>
      <c r="DC508" s="3850"/>
      <c r="DD508" s="3850"/>
      <c r="DE508" s="3850"/>
      <c r="DF508" s="3850"/>
      <c r="DG508" s="3850"/>
      <c r="DH508" s="3850"/>
      <c r="DI508" s="3850"/>
      <c r="DJ508" s="3850"/>
      <c r="DK508" s="3850"/>
      <c r="DL508" s="3850"/>
      <c r="DM508" s="3850"/>
      <c r="DN508" s="3850"/>
      <c r="DO508" s="3850"/>
      <c r="DP508" s="3850"/>
      <c r="DQ508" s="3850"/>
      <c r="DR508" s="3850"/>
      <c r="DS508" s="3850"/>
      <c r="DT508" s="3850"/>
      <c r="DU508" s="3850"/>
      <c r="DV508" s="3850"/>
      <c r="DW508" s="3850"/>
      <c r="DX508" s="3850"/>
      <c r="DY508" s="3850"/>
      <c r="DZ508" s="3850"/>
      <c r="EA508" s="3850"/>
    </row>
    <row r="509" spans="1:131" s="3849" customFormat="1">
      <c r="A509" s="4063"/>
      <c r="B509" s="4064"/>
      <c r="C509" s="4067"/>
      <c r="D509" s="3874"/>
      <c r="E509" s="3883"/>
      <c r="F509" s="3874"/>
      <c r="G509" s="3875"/>
      <c r="H509" s="3874"/>
      <c r="I509" s="3875"/>
      <c r="J509" s="3874"/>
      <c r="K509" s="3875"/>
      <c r="L509" s="3874"/>
      <c r="N509" s="3846"/>
      <c r="O509" s="3850"/>
      <c r="P509" s="3848"/>
      <c r="Q509" s="3850"/>
      <c r="R509" s="3850"/>
      <c r="S509" s="3850"/>
      <c r="T509" s="3850"/>
      <c r="U509" s="3850"/>
      <c r="V509" s="3850"/>
      <c r="W509" s="3850"/>
      <c r="X509" s="3850"/>
      <c r="Y509" s="3850"/>
      <c r="Z509" s="3850"/>
      <c r="AA509" s="3850"/>
      <c r="AB509" s="3850"/>
      <c r="AC509" s="3850"/>
      <c r="AD509" s="3850"/>
      <c r="AE509" s="3850"/>
      <c r="AF509" s="3850"/>
      <c r="AG509" s="3850"/>
      <c r="AH509" s="3850"/>
      <c r="AI509" s="3850"/>
      <c r="AJ509" s="3850"/>
      <c r="AK509" s="3850"/>
      <c r="AL509" s="3850"/>
      <c r="AM509" s="3850"/>
      <c r="AN509" s="3850"/>
      <c r="AO509" s="3850"/>
      <c r="AP509" s="3850"/>
      <c r="AQ509" s="3850"/>
      <c r="AR509" s="3850"/>
      <c r="AS509" s="3850"/>
      <c r="AV509" s="3850"/>
      <c r="AX509" s="3850"/>
      <c r="AY509" s="3850"/>
      <c r="AZ509" s="3850"/>
      <c r="BA509" s="3850"/>
      <c r="BB509" s="3850"/>
      <c r="BC509" s="3850"/>
      <c r="BD509" s="3850"/>
      <c r="BE509" s="3850"/>
      <c r="BF509" s="3850"/>
      <c r="BG509" s="3850"/>
      <c r="BH509" s="3850"/>
      <c r="BI509" s="3850"/>
      <c r="BJ509" s="3850"/>
      <c r="BK509" s="3850"/>
      <c r="BL509" s="3850"/>
      <c r="BM509" s="3850"/>
      <c r="BN509" s="3850"/>
      <c r="BO509" s="3850"/>
      <c r="BP509" s="3850"/>
      <c r="BQ509" s="3850"/>
      <c r="BR509" s="3850"/>
      <c r="BS509" s="3850"/>
      <c r="BT509" s="3850"/>
      <c r="BU509" s="3850"/>
      <c r="BV509" s="3850"/>
      <c r="BW509" s="3850"/>
      <c r="BX509" s="3850"/>
      <c r="BY509" s="3850"/>
      <c r="BZ509" s="3850"/>
      <c r="CA509" s="3850"/>
      <c r="CB509" s="3850"/>
      <c r="CC509" s="3850"/>
      <c r="CD509" s="3850"/>
      <c r="CE509" s="3850"/>
      <c r="CF509" s="3850"/>
      <c r="CG509" s="3850"/>
      <c r="CH509" s="3850"/>
      <c r="CI509" s="3850"/>
      <c r="CJ509" s="3850"/>
      <c r="CK509" s="3850"/>
      <c r="CL509" s="3850"/>
      <c r="CM509" s="3850"/>
      <c r="CN509" s="3850"/>
      <c r="CO509" s="3850"/>
      <c r="CP509" s="3850"/>
      <c r="CQ509" s="3850"/>
      <c r="CR509" s="3850"/>
      <c r="CS509" s="3850"/>
      <c r="CT509" s="3850"/>
      <c r="CU509" s="3850"/>
      <c r="CV509" s="3850"/>
      <c r="CW509" s="3850"/>
      <c r="CX509" s="3850"/>
      <c r="CY509" s="3850"/>
      <c r="CZ509" s="3850"/>
      <c r="DA509" s="3850"/>
      <c r="DB509" s="3850"/>
      <c r="DC509" s="3850"/>
      <c r="DD509" s="3850"/>
      <c r="DE509" s="3850"/>
      <c r="DF509" s="3850"/>
      <c r="DG509" s="3850"/>
      <c r="DH509" s="3850"/>
      <c r="DI509" s="3850"/>
      <c r="DJ509" s="3850"/>
      <c r="DK509" s="3850"/>
      <c r="DL509" s="3850"/>
      <c r="DM509" s="3850"/>
      <c r="DN509" s="3850"/>
      <c r="DO509" s="3850"/>
      <c r="DP509" s="3850"/>
      <c r="DQ509" s="3850"/>
      <c r="DR509" s="3850"/>
      <c r="DS509" s="3850"/>
      <c r="DT509" s="3850"/>
      <c r="DU509" s="3850"/>
      <c r="DV509" s="3850"/>
      <c r="DW509" s="3850"/>
      <c r="DX509" s="3850"/>
      <c r="DY509" s="3850"/>
      <c r="DZ509" s="3850"/>
      <c r="EA509" s="3850"/>
    </row>
    <row r="510" spans="1:131" s="3849" customFormat="1">
      <c r="A510" s="4063"/>
      <c r="B510" s="4064"/>
      <c r="C510" s="4067"/>
      <c r="D510" s="3874"/>
      <c r="E510" s="3883"/>
      <c r="F510" s="3874"/>
      <c r="G510" s="3875"/>
      <c r="H510" s="3874"/>
      <c r="I510" s="3875"/>
      <c r="J510" s="3874"/>
      <c r="K510" s="3875"/>
      <c r="L510" s="3874"/>
      <c r="N510" s="3846"/>
      <c r="O510" s="3850"/>
      <c r="P510" s="3848"/>
      <c r="Q510" s="3850"/>
      <c r="R510" s="3850"/>
      <c r="S510" s="3850"/>
      <c r="T510" s="3850"/>
      <c r="U510" s="3850"/>
      <c r="V510" s="3850"/>
      <c r="W510" s="3850"/>
      <c r="X510" s="3850"/>
      <c r="Y510" s="3850"/>
      <c r="Z510" s="3850"/>
      <c r="AA510" s="3850"/>
      <c r="AB510" s="3850"/>
      <c r="AC510" s="3850"/>
      <c r="AD510" s="3850"/>
      <c r="AE510" s="3850"/>
      <c r="AF510" s="3850"/>
      <c r="AG510" s="3850"/>
      <c r="AH510" s="3850"/>
      <c r="AI510" s="3850"/>
      <c r="AJ510" s="3850"/>
      <c r="AK510" s="3850"/>
      <c r="AL510" s="3850"/>
      <c r="AM510" s="3850"/>
      <c r="AN510" s="3850"/>
      <c r="AO510" s="3850"/>
      <c r="AP510" s="3850"/>
      <c r="AQ510" s="3850"/>
      <c r="AR510" s="3850"/>
      <c r="AS510" s="3850"/>
      <c r="AV510" s="3850"/>
      <c r="AX510" s="3850"/>
      <c r="AY510" s="3850"/>
      <c r="AZ510" s="3850"/>
      <c r="BA510" s="3850"/>
      <c r="BB510" s="3850"/>
      <c r="BC510" s="3850"/>
      <c r="BD510" s="3850"/>
      <c r="BE510" s="3850"/>
      <c r="BF510" s="3850"/>
      <c r="BG510" s="3850"/>
      <c r="BH510" s="3850"/>
      <c r="BI510" s="3850"/>
      <c r="BJ510" s="3850"/>
      <c r="BK510" s="3850"/>
      <c r="BL510" s="3850"/>
      <c r="BM510" s="3850"/>
      <c r="BN510" s="3850"/>
      <c r="BO510" s="3850"/>
      <c r="BP510" s="3850"/>
      <c r="BQ510" s="3850"/>
      <c r="BR510" s="3850"/>
      <c r="BS510" s="3850"/>
      <c r="BT510" s="3850"/>
      <c r="BU510" s="3850"/>
      <c r="BV510" s="3850"/>
      <c r="BW510" s="3850"/>
      <c r="BX510" s="3850"/>
      <c r="BY510" s="3850"/>
      <c r="BZ510" s="3850"/>
      <c r="CA510" s="3850"/>
      <c r="CB510" s="3850"/>
      <c r="CC510" s="3850"/>
      <c r="CD510" s="3850"/>
      <c r="CE510" s="3850"/>
      <c r="CF510" s="3850"/>
      <c r="CG510" s="3850"/>
      <c r="CH510" s="3850"/>
      <c r="CI510" s="3850"/>
      <c r="CJ510" s="3850"/>
      <c r="CK510" s="3850"/>
      <c r="CL510" s="3850"/>
      <c r="CM510" s="3850"/>
      <c r="CN510" s="3850"/>
      <c r="CO510" s="3850"/>
      <c r="CP510" s="3850"/>
      <c r="CQ510" s="3850"/>
      <c r="CR510" s="3850"/>
      <c r="CS510" s="3850"/>
      <c r="CT510" s="3850"/>
      <c r="CU510" s="3850"/>
      <c r="CV510" s="3850"/>
      <c r="CW510" s="3850"/>
      <c r="CX510" s="3850"/>
      <c r="CY510" s="3850"/>
      <c r="CZ510" s="3850"/>
      <c r="DA510" s="3850"/>
      <c r="DB510" s="3850"/>
      <c r="DC510" s="3850"/>
      <c r="DD510" s="3850"/>
      <c r="DE510" s="3850"/>
      <c r="DF510" s="3850"/>
      <c r="DG510" s="3850"/>
      <c r="DH510" s="3850"/>
      <c r="DI510" s="3850"/>
      <c r="DJ510" s="3850"/>
      <c r="DK510" s="3850"/>
      <c r="DL510" s="3850"/>
      <c r="DM510" s="3850"/>
      <c r="DN510" s="3850"/>
      <c r="DO510" s="3850"/>
      <c r="DP510" s="3850"/>
      <c r="DQ510" s="3850"/>
      <c r="DR510" s="3850"/>
      <c r="DS510" s="3850"/>
      <c r="DT510" s="3850"/>
      <c r="DU510" s="3850"/>
      <c r="DV510" s="3850"/>
      <c r="DW510" s="3850"/>
      <c r="DX510" s="3850"/>
      <c r="DY510" s="3850"/>
      <c r="DZ510" s="3850"/>
      <c r="EA510" s="3850"/>
    </row>
    <row r="511" spans="1:131" s="3849" customFormat="1">
      <c r="A511" s="4063"/>
      <c r="B511" s="4064"/>
      <c r="C511" s="4067"/>
      <c r="D511" s="3874"/>
      <c r="E511" s="3883"/>
      <c r="F511" s="3874"/>
      <c r="G511" s="3875"/>
      <c r="H511" s="3874"/>
      <c r="I511" s="3875"/>
      <c r="J511" s="3874"/>
      <c r="K511" s="3875"/>
      <c r="L511" s="3874"/>
      <c r="N511" s="3846"/>
      <c r="O511" s="3850"/>
      <c r="P511" s="3848"/>
      <c r="Q511" s="3850"/>
      <c r="R511" s="3850"/>
      <c r="S511" s="3850"/>
      <c r="T511" s="3850"/>
      <c r="U511" s="3850"/>
      <c r="V511" s="3850"/>
      <c r="W511" s="3850"/>
      <c r="X511" s="3850"/>
      <c r="Y511" s="3850"/>
      <c r="Z511" s="3850"/>
      <c r="AA511" s="3850"/>
      <c r="AB511" s="3850"/>
      <c r="AC511" s="3850"/>
      <c r="AD511" s="3850"/>
      <c r="AE511" s="3850"/>
      <c r="AF511" s="3850"/>
      <c r="AG511" s="3850"/>
      <c r="AH511" s="3850"/>
      <c r="AI511" s="3850"/>
      <c r="AJ511" s="3850"/>
      <c r="AK511" s="3850"/>
      <c r="AL511" s="3850"/>
      <c r="AM511" s="3850"/>
      <c r="AN511" s="3850"/>
      <c r="AO511" s="3850"/>
      <c r="AP511" s="3850"/>
      <c r="AQ511" s="3850"/>
      <c r="AR511" s="3850"/>
      <c r="AS511" s="3850"/>
      <c r="AV511" s="3850"/>
      <c r="AX511" s="3850"/>
      <c r="AY511" s="3850"/>
      <c r="AZ511" s="3850"/>
      <c r="BA511" s="3850"/>
      <c r="BB511" s="3850"/>
      <c r="BC511" s="3850"/>
      <c r="BD511" s="3850"/>
      <c r="BE511" s="3850"/>
      <c r="BF511" s="3850"/>
      <c r="BG511" s="3850"/>
      <c r="BH511" s="3850"/>
      <c r="BI511" s="3850"/>
      <c r="BJ511" s="3850"/>
      <c r="BK511" s="3850"/>
      <c r="BL511" s="3850"/>
      <c r="BM511" s="3850"/>
      <c r="BN511" s="3850"/>
      <c r="BO511" s="3850"/>
      <c r="BP511" s="3850"/>
      <c r="BQ511" s="3850"/>
      <c r="BR511" s="3850"/>
      <c r="BS511" s="3850"/>
      <c r="BT511" s="3850"/>
      <c r="BU511" s="3850"/>
      <c r="BV511" s="3850"/>
      <c r="BW511" s="3850"/>
      <c r="BX511" s="3850"/>
      <c r="BY511" s="3850"/>
      <c r="BZ511" s="3850"/>
      <c r="CA511" s="3850"/>
      <c r="CB511" s="3850"/>
      <c r="CC511" s="3850"/>
      <c r="CD511" s="3850"/>
      <c r="CE511" s="3850"/>
      <c r="CF511" s="3850"/>
      <c r="CG511" s="3850"/>
      <c r="CH511" s="3850"/>
      <c r="CI511" s="3850"/>
      <c r="CJ511" s="3850"/>
      <c r="CK511" s="3850"/>
      <c r="CL511" s="3850"/>
      <c r="CM511" s="3850"/>
      <c r="CN511" s="3850"/>
      <c r="CO511" s="3850"/>
      <c r="CP511" s="3850"/>
      <c r="CQ511" s="3850"/>
      <c r="CR511" s="3850"/>
      <c r="CS511" s="3850"/>
      <c r="CT511" s="3850"/>
      <c r="CU511" s="3850"/>
      <c r="CV511" s="3850"/>
      <c r="CW511" s="3850"/>
      <c r="CX511" s="3850"/>
      <c r="CY511" s="3850"/>
      <c r="CZ511" s="3850"/>
      <c r="DA511" s="3850"/>
      <c r="DB511" s="3850"/>
      <c r="DC511" s="3850"/>
      <c r="DD511" s="3850"/>
      <c r="DE511" s="3850"/>
      <c r="DF511" s="3850"/>
      <c r="DG511" s="3850"/>
      <c r="DH511" s="3850"/>
      <c r="DI511" s="3850"/>
      <c r="DJ511" s="3850"/>
      <c r="DK511" s="3850"/>
      <c r="DL511" s="3850"/>
      <c r="DM511" s="3850"/>
      <c r="DN511" s="3850"/>
      <c r="DO511" s="3850"/>
      <c r="DP511" s="3850"/>
      <c r="DQ511" s="3850"/>
      <c r="DR511" s="3850"/>
      <c r="DS511" s="3850"/>
      <c r="DT511" s="3850"/>
      <c r="DU511" s="3850"/>
      <c r="DV511" s="3850"/>
      <c r="DW511" s="3850"/>
      <c r="DX511" s="3850"/>
      <c r="DY511" s="3850"/>
      <c r="DZ511" s="3850"/>
      <c r="EA511" s="3850"/>
    </row>
    <row r="512" spans="1:131" s="3849" customFormat="1">
      <c r="A512" s="4063"/>
      <c r="B512" s="4064"/>
      <c r="C512" s="4067"/>
      <c r="D512" s="3874"/>
      <c r="E512" s="3883"/>
      <c r="F512" s="3874"/>
      <c r="G512" s="3875"/>
      <c r="H512" s="3874"/>
      <c r="I512" s="3875"/>
      <c r="J512" s="3874"/>
      <c r="K512" s="3875"/>
      <c r="L512" s="3874"/>
      <c r="N512" s="3846"/>
      <c r="O512" s="3850"/>
      <c r="P512" s="3848"/>
      <c r="Q512" s="3850"/>
      <c r="R512" s="3850"/>
      <c r="S512" s="3850"/>
      <c r="T512" s="3850"/>
      <c r="U512" s="3850"/>
      <c r="V512" s="3850"/>
      <c r="W512" s="3850"/>
      <c r="X512" s="3850"/>
      <c r="Y512" s="3850"/>
      <c r="Z512" s="3850"/>
      <c r="AA512" s="3850"/>
      <c r="AB512" s="3850"/>
      <c r="AC512" s="3850"/>
      <c r="AD512" s="3850"/>
      <c r="AE512" s="3850"/>
      <c r="AF512" s="3850"/>
      <c r="AG512" s="3850"/>
      <c r="AH512" s="3850"/>
      <c r="AI512" s="3850"/>
      <c r="AJ512" s="3850"/>
      <c r="AK512" s="3850"/>
      <c r="AL512" s="3850"/>
      <c r="AM512" s="3850"/>
      <c r="AN512" s="3850"/>
      <c r="AO512" s="3850"/>
      <c r="AP512" s="3850"/>
      <c r="AQ512" s="3850"/>
      <c r="AR512" s="3850"/>
      <c r="AS512" s="3850"/>
      <c r="AV512" s="3850"/>
      <c r="AX512" s="3850"/>
      <c r="AY512" s="3850"/>
      <c r="AZ512" s="3850"/>
      <c r="BA512" s="3850"/>
      <c r="BB512" s="3850"/>
      <c r="BC512" s="3850"/>
      <c r="BD512" s="3850"/>
      <c r="BE512" s="3850"/>
      <c r="BF512" s="3850"/>
      <c r="BG512" s="3850"/>
      <c r="BH512" s="3850"/>
      <c r="BI512" s="3850"/>
      <c r="BJ512" s="3850"/>
      <c r="BK512" s="3850"/>
      <c r="BL512" s="3850"/>
      <c r="BM512" s="3850"/>
      <c r="BN512" s="3850"/>
      <c r="BO512" s="3850"/>
      <c r="BP512" s="3850"/>
      <c r="BQ512" s="3850"/>
      <c r="BR512" s="3850"/>
      <c r="BS512" s="3850"/>
      <c r="BT512" s="3850"/>
      <c r="BU512" s="3850"/>
      <c r="BV512" s="3850"/>
      <c r="BW512" s="3850"/>
      <c r="BX512" s="3850"/>
      <c r="BY512" s="3850"/>
      <c r="BZ512" s="3850"/>
      <c r="CA512" s="3850"/>
      <c r="CB512" s="3850"/>
      <c r="CC512" s="3850"/>
      <c r="CD512" s="3850"/>
      <c r="CE512" s="3850"/>
      <c r="CF512" s="3850"/>
      <c r="CG512" s="3850"/>
      <c r="CH512" s="3850"/>
      <c r="CI512" s="3850"/>
      <c r="CJ512" s="3850"/>
      <c r="CK512" s="3850"/>
      <c r="CL512" s="3850"/>
      <c r="CM512" s="3850"/>
      <c r="CN512" s="3850"/>
      <c r="CO512" s="3850"/>
      <c r="CP512" s="3850"/>
      <c r="CQ512" s="3850"/>
      <c r="CR512" s="3850"/>
      <c r="CS512" s="3850"/>
      <c r="CT512" s="3850"/>
      <c r="CU512" s="3850"/>
      <c r="CV512" s="3850"/>
      <c r="CW512" s="3850"/>
      <c r="CX512" s="3850"/>
      <c r="CY512" s="3850"/>
      <c r="CZ512" s="3850"/>
      <c r="DA512" s="3850"/>
      <c r="DB512" s="3850"/>
      <c r="DC512" s="3850"/>
      <c r="DD512" s="3850"/>
      <c r="DE512" s="3850"/>
      <c r="DF512" s="3850"/>
      <c r="DG512" s="3850"/>
      <c r="DH512" s="3850"/>
      <c r="DI512" s="3850"/>
      <c r="DJ512" s="3850"/>
      <c r="DK512" s="3850"/>
      <c r="DL512" s="3850"/>
      <c r="DM512" s="3850"/>
      <c r="DN512" s="3850"/>
      <c r="DO512" s="3850"/>
      <c r="DP512" s="3850"/>
      <c r="DQ512" s="3850"/>
      <c r="DR512" s="3850"/>
      <c r="DS512" s="3850"/>
      <c r="DT512" s="3850"/>
      <c r="DU512" s="3850"/>
      <c r="DV512" s="3850"/>
      <c r="DW512" s="3850"/>
      <c r="DX512" s="3850"/>
      <c r="DY512" s="3850"/>
      <c r="DZ512" s="3850"/>
      <c r="EA512" s="3850"/>
    </row>
    <row r="513" spans="1:131" s="3849" customFormat="1">
      <c r="A513" s="4063"/>
      <c r="B513" s="4064"/>
      <c r="C513" s="4067"/>
      <c r="D513" s="3874"/>
      <c r="E513" s="3883"/>
      <c r="F513" s="3874"/>
      <c r="G513" s="3875"/>
      <c r="H513" s="3874"/>
      <c r="I513" s="3875"/>
      <c r="J513" s="3874"/>
      <c r="K513" s="3875"/>
      <c r="L513" s="3874"/>
      <c r="N513" s="3846"/>
      <c r="O513" s="3850"/>
      <c r="P513" s="3848"/>
      <c r="Q513" s="3850"/>
      <c r="R513" s="3850"/>
      <c r="S513" s="3850"/>
      <c r="T513" s="3850"/>
      <c r="U513" s="3850"/>
      <c r="V513" s="3850"/>
      <c r="W513" s="3850"/>
      <c r="X513" s="3850"/>
      <c r="Y513" s="3850"/>
      <c r="Z513" s="3850"/>
      <c r="AA513" s="3850"/>
      <c r="AB513" s="3850"/>
      <c r="AC513" s="3850"/>
      <c r="AD513" s="3850"/>
      <c r="AE513" s="3850"/>
      <c r="AF513" s="3850"/>
      <c r="AG513" s="3850"/>
      <c r="AH513" s="3850"/>
      <c r="AI513" s="3850"/>
      <c r="AJ513" s="3850"/>
      <c r="AK513" s="3850"/>
      <c r="AL513" s="3850"/>
      <c r="AM513" s="3850"/>
      <c r="AN513" s="3850"/>
      <c r="AO513" s="3850"/>
      <c r="AP513" s="3850"/>
      <c r="AQ513" s="3850"/>
      <c r="AR513" s="3850"/>
      <c r="AS513" s="3850"/>
      <c r="AV513" s="3850"/>
      <c r="AX513" s="3850"/>
      <c r="AY513" s="3850"/>
      <c r="AZ513" s="3850"/>
      <c r="BA513" s="3850"/>
      <c r="BB513" s="3850"/>
      <c r="BC513" s="3850"/>
      <c r="BD513" s="3850"/>
      <c r="BE513" s="3850"/>
      <c r="BF513" s="3850"/>
      <c r="BG513" s="3850"/>
      <c r="BH513" s="3850"/>
      <c r="BI513" s="3850"/>
      <c r="BJ513" s="3850"/>
      <c r="BK513" s="3850"/>
      <c r="BL513" s="3850"/>
      <c r="BM513" s="3850"/>
      <c r="BN513" s="3850"/>
      <c r="BO513" s="3850"/>
      <c r="BP513" s="3850"/>
      <c r="BQ513" s="3850"/>
      <c r="BR513" s="3850"/>
      <c r="BS513" s="3850"/>
      <c r="BT513" s="3850"/>
      <c r="BU513" s="3850"/>
      <c r="BV513" s="3850"/>
      <c r="BW513" s="3850"/>
      <c r="BX513" s="3850"/>
      <c r="BY513" s="3850"/>
      <c r="BZ513" s="3850"/>
      <c r="CA513" s="3850"/>
      <c r="CB513" s="3850"/>
      <c r="CC513" s="3850"/>
      <c r="CD513" s="3850"/>
      <c r="CE513" s="3850"/>
      <c r="CF513" s="3850"/>
      <c r="CG513" s="3850"/>
      <c r="CH513" s="3850"/>
      <c r="CI513" s="3850"/>
      <c r="CJ513" s="3850"/>
      <c r="CK513" s="3850"/>
      <c r="CL513" s="3850"/>
      <c r="CM513" s="3850"/>
      <c r="CN513" s="3850"/>
      <c r="CO513" s="3850"/>
      <c r="CP513" s="3850"/>
      <c r="CQ513" s="3850"/>
      <c r="CR513" s="3850"/>
      <c r="CS513" s="3850"/>
      <c r="CT513" s="3850"/>
      <c r="CU513" s="3850"/>
      <c r="CV513" s="3850"/>
      <c r="CW513" s="3850"/>
      <c r="CX513" s="3850"/>
      <c r="CY513" s="3850"/>
      <c r="CZ513" s="3850"/>
      <c r="DA513" s="3850"/>
      <c r="DB513" s="3850"/>
      <c r="DC513" s="3850"/>
      <c r="DD513" s="3850"/>
      <c r="DE513" s="3850"/>
      <c r="DF513" s="3850"/>
      <c r="DG513" s="3850"/>
      <c r="DH513" s="3850"/>
      <c r="DI513" s="3850"/>
      <c r="DJ513" s="3850"/>
      <c r="DK513" s="3850"/>
      <c r="DL513" s="3850"/>
      <c r="DM513" s="3850"/>
      <c r="DN513" s="3850"/>
      <c r="DO513" s="3850"/>
      <c r="DP513" s="3850"/>
      <c r="DQ513" s="3850"/>
      <c r="DR513" s="3850"/>
      <c r="DS513" s="3850"/>
      <c r="DT513" s="3850"/>
      <c r="DU513" s="3850"/>
      <c r="DV513" s="3850"/>
      <c r="DW513" s="3850"/>
      <c r="DX513" s="3850"/>
      <c r="DY513" s="3850"/>
      <c r="DZ513" s="3850"/>
      <c r="EA513" s="3850"/>
    </row>
    <row r="514" spans="1:131" s="3849" customFormat="1">
      <c r="A514" s="4063"/>
      <c r="B514" s="4064"/>
      <c r="C514" s="4067"/>
      <c r="D514" s="3874"/>
      <c r="E514" s="3883"/>
      <c r="F514" s="3874"/>
      <c r="G514" s="3875"/>
      <c r="H514" s="3874"/>
      <c r="I514" s="3875"/>
      <c r="J514" s="3874"/>
      <c r="K514" s="3875"/>
      <c r="L514" s="3874"/>
      <c r="N514" s="3846"/>
      <c r="O514" s="3850"/>
      <c r="P514" s="3848"/>
      <c r="Q514" s="3850"/>
      <c r="R514" s="3850"/>
      <c r="S514" s="3850"/>
      <c r="T514" s="3850"/>
      <c r="U514" s="3850"/>
      <c r="V514" s="3850"/>
      <c r="W514" s="3850"/>
      <c r="X514" s="3850"/>
      <c r="Y514" s="3850"/>
      <c r="Z514" s="3850"/>
      <c r="AA514" s="3850"/>
      <c r="AB514" s="3850"/>
      <c r="AC514" s="3850"/>
      <c r="AD514" s="3850"/>
      <c r="AE514" s="3850"/>
      <c r="AF514" s="3850"/>
      <c r="AG514" s="3850"/>
      <c r="AH514" s="3850"/>
      <c r="AI514" s="3850"/>
      <c r="AJ514" s="3850"/>
      <c r="AK514" s="3850"/>
      <c r="AL514" s="3850"/>
      <c r="AM514" s="3850"/>
      <c r="AN514" s="3850"/>
      <c r="AO514" s="3850"/>
      <c r="AP514" s="3850"/>
      <c r="AQ514" s="3850"/>
      <c r="AR514" s="3850"/>
      <c r="AS514" s="3850"/>
      <c r="AV514" s="3850"/>
      <c r="AX514" s="3850"/>
      <c r="AY514" s="3850"/>
      <c r="AZ514" s="3850"/>
      <c r="BA514" s="3850"/>
      <c r="BB514" s="3850"/>
      <c r="BC514" s="3850"/>
      <c r="BD514" s="3850"/>
      <c r="BE514" s="3850"/>
      <c r="BF514" s="3850"/>
      <c r="BG514" s="3850"/>
      <c r="BH514" s="3850"/>
      <c r="BI514" s="3850"/>
      <c r="BJ514" s="3850"/>
      <c r="BK514" s="3850"/>
      <c r="BL514" s="3850"/>
      <c r="BM514" s="3850"/>
      <c r="BN514" s="3850"/>
      <c r="BO514" s="3850"/>
      <c r="BP514" s="3850"/>
      <c r="BQ514" s="3850"/>
      <c r="BR514" s="3850"/>
      <c r="BS514" s="3850"/>
      <c r="BT514" s="3850"/>
      <c r="BU514" s="3850"/>
      <c r="BV514" s="3850"/>
      <c r="BW514" s="3850"/>
      <c r="BX514" s="3850"/>
      <c r="BY514" s="3850"/>
      <c r="BZ514" s="3850"/>
      <c r="CA514" s="3850"/>
      <c r="CB514" s="3850"/>
      <c r="CC514" s="3850"/>
      <c r="CD514" s="3850"/>
      <c r="CE514" s="3850"/>
      <c r="CF514" s="3850"/>
      <c r="CG514" s="3850"/>
      <c r="CH514" s="3850"/>
      <c r="CI514" s="3850"/>
      <c r="CJ514" s="3850"/>
      <c r="CK514" s="3850"/>
      <c r="CL514" s="3850"/>
      <c r="CM514" s="3850"/>
      <c r="CN514" s="3850"/>
      <c r="CO514" s="3850"/>
      <c r="CP514" s="3850"/>
      <c r="CQ514" s="3850"/>
      <c r="CR514" s="3850"/>
      <c r="CS514" s="3850"/>
      <c r="CT514" s="3850"/>
      <c r="CU514" s="3850"/>
      <c r="CV514" s="3850"/>
      <c r="CW514" s="3850"/>
      <c r="CX514" s="3850"/>
      <c r="CY514" s="3850"/>
      <c r="CZ514" s="3850"/>
      <c r="DA514" s="3850"/>
      <c r="DB514" s="3850"/>
      <c r="DC514" s="3850"/>
      <c r="DD514" s="3850"/>
      <c r="DE514" s="3850"/>
      <c r="DF514" s="3850"/>
      <c r="DG514" s="3850"/>
      <c r="DH514" s="3850"/>
      <c r="DI514" s="3850"/>
      <c r="DJ514" s="3850"/>
      <c r="DK514" s="3850"/>
      <c r="DL514" s="3850"/>
      <c r="DM514" s="3850"/>
      <c r="DN514" s="3850"/>
      <c r="DO514" s="3850"/>
      <c r="DP514" s="3850"/>
      <c r="DQ514" s="3850"/>
      <c r="DR514" s="3850"/>
      <c r="DS514" s="3850"/>
      <c r="DT514" s="3850"/>
      <c r="DU514" s="3850"/>
      <c r="DV514" s="3850"/>
      <c r="DW514" s="3850"/>
      <c r="DX514" s="3850"/>
      <c r="DY514" s="3850"/>
      <c r="DZ514" s="3850"/>
      <c r="EA514" s="3850"/>
    </row>
    <row r="515" spans="1:131" s="3849" customFormat="1">
      <c r="A515" s="4063"/>
      <c r="B515" s="4064"/>
      <c r="C515" s="4067"/>
      <c r="D515" s="3874"/>
      <c r="E515" s="3883"/>
      <c r="F515" s="3874"/>
      <c r="G515" s="3875"/>
      <c r="H515" s="3874"/>
      <c r="I515" s="3875"/>
      <c r="J515" s="3874"/>
      <c r="K515" s="3875"/>
      <c r="L515" s="3874"/>
      <c r="N515" s="3846"/>
      <c r="O515" s="3850"/>
      <c r="P515" s="3848"/>
      <c r="Q515" s="3850"/>
      <c r="R515" s="3850"/>
      <c r="S515" s="3850"/>
      <c r="T515" s="3850"/>
      <c r="U515" s="3850"/>
      <c r="V515" s="3850"/>
      <c r="W515" s="3850"/>
      <c r="X515" s="3850"/>
      <c r="Y515" s="3850"/>
      <c r="Z515" s="3850"/>
      <c r="AA515" s="3850"/>
      <c r="AB515" s="3850"/>
      <c r="AC515" s="3850"/>
      <c r="AD515" s="3850"/>
      <c r="AE515" s="3850"/>
      <c r="AF515" s="3850"/>
      <c r="AG515" s="3850"/>
      <c r="AH515" s="3850"/>
      <c r="AI515" s="3850"/>
      <c r="AJ515" s="3850"/>
      <c r="AK515" s="3850"/>
      <c r="AL515" s="3850"/>
      <c r="AM515" s="3850"/>
      <c r="AN515" s="3850"/>
      <c r="AO515" s="3850"/>
      <c r="AP515" s="3850"/>
      <c r="AQ515" s="3850"/>
      <c r="AR515" s="3850"/>
      <c r="AS515" s="3850"/>
      <c r="AV515" s="3850"/>
      <c r="AX515" s="3850"/>
      <c r="AY515" s="3850"/>
      <c r="AZ515" s="3850"/>
      <c r="BA515" s="3850"/>
      <c r="BB515" s="3850"/>
      <c r="BC515" s="3850"/>
      <c r="BD515" s="3850"/>
      <c r="BE515" s="3850"/>
      <c r="BF515" s="3850"/>
      <c r="BG515" s="3850"/>
      <c r="BH515" s="3850"/>
      <c r="BI515" s="3850"/>
      <c r="BJ515" s="3850"/>
      <c r="BK515" s="3850"/>
      <c r="BL515" s="3850"/>
      <c r="BM515" s="3850"/>
      <c r="BN515" s="3850"/>
      <c r="BO515" s="3850"/>
      <c r="BP515" s="3850"/>
      <c r="BQ515" s="3850"/>
      <c r="BR515" s="3850"/>
      <c r="BS515" s="3850"/>
      <c r="BT515" s="3850"/>
      <c r="BU515" s="3850"/>
      <c r="BV515" s="3850"/>
      <c r="BW515" s="3850"/>
      <c r="BX515" s="3850"/>
      <c r="BY515" s="3850"/>
      <c r="BZ515" s="3850"/>
      <c r="CA515" s="3850"/>
      <c r="CB515" s="3850"/>
      <c r="CC515" s="3850"/>
      <c r="CD515" s="3850"/>
      <c r="CE515" s="3850"/>
      <c r="CF515" s="3850"/>
      <c r="CG515" s="3850"/>
      <c r="CH515" s="3850"/>
      <c r="CI515" s="3850"/>
      <c r="CJ515" s="3850"/>
      <c r="CK515" s="3850"/>
      <c r="CL515" s="3850"/>
      <c r="CM515" s="3850"/>
      <c r="CN515" s="3850"/>
      <c r="CO515" s="3850"/>
      <c r="CP515" s="3850"/>
      <c r="CQ515" s="3850"/>
      <c r="CR515" s="3850"/>
      <c r="CS515" s="3850"/>
      <c r="CT515" s="3850"/>
      <c r="CU515" s="3850"/>
      <c r="CV515" s="3850"/>
      <c r="CW515" s="3850"/>
      <c r="CX515" s="3850"/>
      <c r="CY515" s="3850"/>
      <c r="CZ515" s="3850"/>
      <c r="DA515" s="3850"/>
      <c r="DB515" s="3850"/>
      <c r="DC515" s="3850"/>
      <c r="DD515" s="3850"/>
      <c r="DE515" s="3850"/>
      <c r="DF515" s="3850"/>
      <c r="DG515" s="3850"/>
      <c r="DH515" s="3850"/>
      <c r="DI515" s="3850"/>
      <c r="DJ515" s="3850"/>
      <c r="DK515" s="3850"/>
      <c r="DL515" s="3850"/>
      <c r="DM515" s="3850"/>
      <c r="DN515" s="3850"/>
      <c r="DO515" s="3850"/>
      <c r="DP515" s="3850"/>
      <c r="DQ515" s="3850"/>
      <c r="DR515" s="3850"/>
      <c r="DS515" s="3850"/>
      <c r="DT515" s="3850"/>
      <c r="DU515" s="3850"/>
      <c r="DV515" s="3850"/>
      <c r="DW515" s="3850"/>
      <c r="DX515" s="3850"/>
      <c r="DY515" s="3850"/>
      <c r="DZ515" s="3850"/>
      <c r="EA515" s="3850"/>
    </row>
    <row r="516" spans="1:131" s="3849" customFormat="1">
      <c r="A516" s="4063"/>
      <c r="B516" s="4064"/>
      <c r="C516" s="4067"/>
      <c r="D516" s="3874"/>
      <c r="E516" s="3883"/>
      <c r="F516" s="3874"/>
      <c r="G516" s="3875"/>
      <c r="H516" s="3874"/>
      <c r="I516" s="3875"/>
      <c r="J516" s="3874"/>
      <c r="K516" s="3875"/>
      <c r="L516" s="3874"/>
      <c r="N516" s="3846"/>
      <c r="O516" s="3850"/>
      <c r="P516" s="3848"/>
      <c r="Q516" s="3850"/>
      <c r="R516" s="3850"/>
      <c r="S516" s="3850"/>
      <c r="T516" s="3850"/>
      <c r="U516" s="3850"/>
      <c r="V516" s="3850"/>
      <c r="W516" s="3850"/>
      <c r="X516" s="3850"/>
      <c r="Y516" s="3850"/>
      <c r="Z516" s="3850"/>
      <c r="AA516" s="3850"/>
      <c r="AB516" s="3850"/>
      <c r="AC516" s="3850"/>
      <c r="AD516" s="3850"/>
      <c r="AE516" s="3850"/>
      <c r="AF516" s="3850"/>
      <c r="AG516" s="3850"/>
      <c r="AH516" s="3850"/>
      <c r="AI516" s="3850"/>
      <c r="AJ516" s="3850"/>
      <c r="AK516" s="3850"/>
      <c r="AL516" s="3850"/>
      <c r="AM516" s="3850"/>
      <c r="AN516" s="3850"/>
      <c r="AO516" s="3850"/>
      <c r="AP516" s="3850"/>
      <c r="AQ516" s="3850"/>
      <c r="AR516" s="3850"/>
      <c r="AS516" s="3850"/>
      <c r="AV516" s="3850"/>
      <c r="AX516" s="3850"/>
      <c r="AY516" s="3850"/>
      <c r="AZ516" s="3850"/>
      <c r="BA516" s="3850"/>
      <c r="BB516" s="3850"/>
      <c r="BC516" s="3850"/>
      <c r="BD516" s="3850"/>
      <c r="BE516" s="3850"/>
      <c r="BF516" s="3850"/>
      <c r="BG516" s="3850"/>
      <c r="BH516" s="3850"/>
      <c r="BI516" s="3850"/>
      <c r="BJ516" s="3850"/>
      <c r="BK516" s="3850"/>
      <c r="BL516" s="3850"/>
      <c r="BM516" s="3850"/>
      <c r="BN516" s="3850"/>
      <c r="BO516" s="3850"/>
      <c r="BP516" s="3850"/>
      <c r="BQ516" s="3850"/>
      <c r="BR516" s="3850"/>
      <c r="BS516" s="3850"/>
      <c r="BT516" s="3850"/>
      <c r="BU516" s="3850"/>
      <c r="BV516" s="3850"/>
      <c r="BW516" s="3850"/>
      <c r="BX516" s="3850"/>
      <c r="BY516" s="3850"/>
      <c r="BZ516" s="3850"/>
      <c r="CA516" s="3850"/>
      <c r="CB516" s="3850"/>
      <c r="CC516" s="3850"/>
      <c r="CD516" s="3850"/>
      <c r="CE516" s="3850"/>
      <c r="CF516" s="3850"/>
      <c r="CG516" s="3850"/>
      <c r="CH516" s="3850"/>
      <c r="CI516" s="3850"/>
      <c r="CJ516" s="3850"/>
      <c r="CK516" s="3850"/>
      <c r="CL516" s="3850"/>
      <c r="CM516" s="3850"/>
      <c r="CN516" s="3850"/>
      <c r="CO516" s="3850"/>
      <c r="CP516" s="3850"/>
      <c r="CQ516" s="3850"/>
      <c r="CR516" s="3850"/>
      <c r="CS516" s="3850"/>
      <c r="CT516" s="3850"/>
      <c r="CU516" s="3850"/>
      <c r="CV516" s="3850"/>
      <c r="CW516" s="3850"/>
      <c r="CX516" s="3850"/>
      <c r="CY516" s="3850"/>
      <c r="CZ516" s="3850"/>
      <c r="DA516" s="3850"/>
      <c r="DB516" s="3850"/>
      <c r="DC516" s="3850"/>
      <c r="DD516" s="3850"/>
      <c r="DE516" s="3850"/>
      <c r="DF516" s="3850"/>
      <c r="DG516" s="3850"/>
      <c r="DH516" s="3850"/>
      <c r="DI516" s="3850"/>
      <c r="DJ516" s="3850"/>
      <c r="DK516" s="3850"/>
      <c r="DL516" s="3850"/>
      <c r="DM516" s="3850"/>
      <c r="DN516" s="3850"/>
      <c r="DO516" s="3850"/>
      <c r="DP516" s="3850"/>
      <c r="DQ516" s="3850"/>
      <c r="DR516" s="3850"/>
      <c r="DS516" s="3850"/>
      <c r="DT516" s="3850"/>
      <c r="DU516" s="3850"/>
      <c r="DV516" s="3850"/>
      <c r="DW516" s="3850"/>
      <c r="DX516" s="3850"/>
      <c r="DY516" s="3850"/>
      <c r="DZ516" s="3850"/>
      <c r="EA516" s="3850"/>
    </row>
    <row r="517" spans="1:131" s="3849" customFormat="1">
      <c r="A517" s="4063"/>
      <c r="B517" s="4064"/>
      <c r="C517" s="4067"/>
      <c r="D517" s="3874"/>
      <c r="E517" s="3883"/>
      <c r="F517" s="3874"/>
      <c r="G517" s="3875"/>
      <c r="H517" s="3874"/>
      <c r="I517" s="3875"/>
      <c r="J517" s="3874"/>
      <c r="K517" s="3875"/>
      <c r="L517" s="3874"/>
      <c r="N517" s="3846"/>
      <c r="O517" s="3850"/>
      <c r="P517" s="3848"/>
      <c r="Q517" s="3850"/>
      <c r="R517" s="3850"/>
      <c r="S517" s="3850"/>
      <c r="T517" s="3850"/>
      <c r="U517" s="3850"/>
      <c r="V517" s="3850"/>
      <c r="W517" s="3850"/>
      <c r="X517" s="3850"/>
      <c r="Y517" s="3850"/>
      <c r="Z517" s="3850"/>
      <c r="AA517" s="3850"/>
      <c r="AB517" s="3850"/>
      <c r="AC517" s="3850"/>
      <c r="AD517" s="3850"/>
      <c r="AE517" s="3850"/>
      <c r="AF517" s="3850"/>
      <c r="AG517" s="3850"/>
      <c r="AH517" s="3850"/>
      <c r="AI517" s="3850"/>
      <c r="AJ517" s="3850"/>
      <c r="AK517" s="3850"/>
      <c r="AL517" s="3850"/>
      <c r="AM517" s="3850"/>
      <c r="AN517" s="3850"/>
      <c r="AO517" s="3850"/>
      <c r="AP517" s="3850"/>
      <c r="AQ517" s="3850"/>
      <c r="AR517" s="3850"/>
      <c r="AS517" s="3850"/>
      <c r="AV517" s="3850"/>
      <c r="AX517" s="3850"/>
      <c r="AY517" s="3850"/>
      <c r="AZ517" s="3850"/>
      <c r="BA517" s="3850"/>
      <c r="BB517" s="3850"/>
      <c r="BC517" s="3850"/>
      <c r="BD517" s="3850"/>
      <c r="BE517" s="3850"/>
      <c r="BF517" s="3850"/>
      <c r="BG517" s="3850"/>
      <c r="BH517" s="3850"/>
      <c r="BI517" s="3850"/>
      <c r="BJ517" s="3850"/>
      <c r="BK517" s="3850"/>
      <c r="BL517" s="3850"/>
      <c r="BM517" s="3850"/>
      <c r="BN517" s="3850"/>
      <c r="BO517" s="3850"/>
      <c r="BP517" s="3850"/>
      <c r="BQ517" s="3850"/>
      <c r="BR517" s="3850"/>
      <c r="BS517" s="3850"/>
      <c r="BT517" s="3850"/>
      <c r="BU517" s="3850"/>
      <c r="BV517" s="3850"/>
      <c r="BW517" s="3850"/>
      <c r="BX517" s="3850"/>
      <c r="BY517" s="3850"/>
      <c r="BZ517" s="3850"/>
      <c r="CA517" s="3850"/>
      <c r="CB517" s="3850"/>
      <c r="CC517" s="3850"/>
      <c r="CD517" s="3850"/>
      <c r="CE517" s="3850"/>
      <c r="CF517" s="3850"/>
      <c r="CG517" s="3850"/>
      <c r="CH517" s="3850"/>
      <c r="CI517" s="3850"/>
      <c r="CJ517" s="3850"/>
      <c r="CK517" s="3850"/>
      <c r="CL517" s="3850"/>
      <c r="CM517" s="3850"/>
      <c r="CN517" s="3850"/>
      <c r="CO517" s="3850"/>
      <c r="CP517" s="3850"/>
      <c r="CQ517" s="3850"/>
      <c r="CR517" s="3850"/>
      <c r="CS517" s="3850"/>
      <c r="CT517" s="3850"/>
      <c r="CU517" s="3850"/>
      <c r="CV517" s="3850"/>
      <c r="CW517" s="3850"/>
      <c r="CX517" s="3850"/>
      <c r="CY517" s="3850"/>
      <c r="CZ517" s="3850"/>
      <c r="DA517" s="3850"/>
      <c r="DB517" s="3850"/>
      <c r="DC517" s="3850"/>
      <c r="DD517" s="3850"/>
      <c r="DE517" s="3850"/>
      <c r="DF517" s="3850"/>
      <c r="DG517" s="3850"/>
      <c r="DH517" s="3850"/>
      <c r="DI517" s="3850"/>
      <c r="DJ517" s="3850"/>
      <c r="DK517" s="3850"/>
      <c r="DL517" s="3850"/>
      <c r="DM517" s="3850"/>
      <c r="DN517" s="3850"/>
      <c r="DO517" s="3850"/>
      <c r="DP517" s="3850"/>
      <c r="DQ517" s="3850"/>
      <c r="DR517" s="3850"/>
      <c r="DS517" s="3850"/>
      <c r="DT517" s="3850"/>
      <c r="DU517" s="3850"/>
      <c r="DV517" s="3850"/>
      <c r="DW517" s="3850"/>
      <c r="DX517" s="3850"/>
      <c r="DY517" s="3850"/>
      <c r="DZ517" s="3850"/>
      <c r="EA517" s="3850"/>
    </row>
    <row r="518" spans="1:131" s="3849" customFormat="1">
      <c r="A518" s="3852"/>
      <c r="B518" s="3840"/>
      <c r="C518" s="3870"/>
      <c r="D518" s="3893"/>
      <c r="E518" s="3883"/>
      <c r="F518" s="3874"/>
      <c r="G518" s="3875"/>
      <c r="H518" s="3874"/>
      <c r="I518" s="3875"/>
      <c r="J518" s="3874"/>
      <c r="K518" s="3876"/>
      <c r="L518" s="3874"/>
      <c r="N518" s="3846"/>
      <c r="O518" s="3847"/>
      <c r="P518" s="3853"/>
      <c r="Q518" s="3850"/>
      <c r="R518" s="3850"/>
      <c r="S518" s="3850"/>
      <c r="T518" s="3850"/>
      <c r="U518" s="3850"/>
      <c r="V518" s="3850"/>
      <c r="W518" s="3850"/>
      <c r="X518" s="3850"/>
      <c r="Y518" s="3850"/>
      <c r="Z518" s="3850"/>
      <c r="AA518" s="3850"/>
      <c r="AB518" s="3850"/>
      <c r="AC518" s="3850"/>
      <c r="AD518" s="3850"/>
      <c r="AE518" s="3850"/>
      <c r="AF518" s="3850"/>
      <c r="AG518" s="3850"/>
      <c r="AH518" s="3850"/>
      <c r="AI518" s="3850"/>
      <c r="AJ518" s="3850"/>
      <c r="AK518" s="3850"/>
      <c r="AL518" s="3850"/>
      <c r="AM518" s="3850"/>
      <c r="AN518" s="3850"/>
      <c r="AO518" s="3850"/>
      <c r="AP518" s="3850"/>
      <c r="AQ518" s="3850"/>
      <c r="AR518" s="3850"/>
      <c r="AS518" s="3850"/>
      <c r="AV518" s="3850"/>
      <c r="AX518" s="3850"/>
      <c r="AY518" s="3850"/>
      <c r="AZ518" s="3850"/>
      <c r="BA518" s="3850"/>
      <c r="BB518" s="3850"/>
      <c r="BC518" s="3850"/>
      <c r="BD518" s="3850"/>
      <c r="BE518" s="3850"/>
      <c r="BF518" s="3850"/>
      <c r="BG518" s="3850"/>
      <c r="BH518" s="3850"/>
      <c r="BI518" s="3850"/>
      <c r="BJ518" s="3850"/>
      <c r="BK518" s="3850"/>
      <c r="BL518" s="3850"/>
      <c r="BM518" s="3850"/>
      <c r="BN518" s="3850"/>
      <c r="BO518" s="3850"/>
      <c r="BP518" s="3850"/>
      <c r="BQ518" s="3850"/>
      <c r="BR518" s="3850"/>
      <c r="BS518" s="3850"/>
      <c r="BT518" s="3850"/>
      <c r="BU518" s="3850"/>
      <c r="BV518" s="3850"/>
      <c r="BW518" s="3850"/>
      <c r="BX518" s="3850"/>
      <c r="BY518" s="3850"/>
      <c r="BZ518" s="3850"/>
      <c r="CA518" s="3850"/>
      <c r="CB518" s="3850"/>
      <c r="CC518" s="3850"/>
      <c r="CD518" s="3850"/>
      <c r="CE518" s="3850"/>
      <c r="CF518" s="3850"/>
      <c r="CG518" s="3850"/>
      <c r="CH518" s="3850"/>
      <c r="CI518" s="3850"/>
      <c r="CJ518" s="3850"/>
      <c r="CK518" s="3850"/>
      <c r="CL518" s="3850"/>
      <c r="CM518" s="3850"/>
      <c r="CN518" s="3850"/>
      <c r="CO518" s="3850"/>
      <c r="CP518" s="3850"/>
      <c r="CQ518" s="3850"/>
      <c r="CR518" s="3850"/>
      <c r="CS518" s="3850"/>
      <c r="CT518" s="3850"/>
      <c r="CU518" s="3850"/>
      <c r="CV518" s="3850"/>
      <c r="CW518" s="3850"/>
      <c r="CX518" s="3850"/>
      <c r="CY518" s="3850"/>
      <c r="CZ518" s="3850"/>
      <c r="DA518" s="3850"/>
      <c r="DB518" s="3850"/>
      <c r="DC518" s="3850"/>
      <c r="DD518" s="3850"/>
      <c r="DE518" s="3850"/>
      <c r="DF518" s="3850"/>
      <c r="DG518" s="3850"/>
      <c r="DH518" s="3850"/>
      <c r="DI518" s="3850"/>
      <c r="DJ518" s="3850"/>
      <c r="DK518" s="3850"/>
      <c r="DL518" s="3850"/>
      <c r="DM518" s="3850"/>
      <c r="DN518" s="3850"/>
      <c r="DO518" s="3850"/>
      <c r="DP518" s="3850"/>
      <c r="DQ518" s="3850"/>
      <c r="DR518" s="3850"/>
      <c r="DS518" s="3850"/>
      <c r="DT518" s="3850"/>
      <c r="DU518" s="3850"/>
      <c r="DV518" s="3850"/>
      <c r="DW518" s="3850"/>
      <c r="DX518" s="3850"/>
      <c r="DY518" s="3850"/>
      <c r="DZ518" s="3850"/>
      <c r="EA518" s="3850"/>
    </row>
    <row r="519" spans="1:131" s="3849" customFormat="1">
      <c r="A519" s="3852"/>
      <c r="B519" s="3840"/>
      <c r="C519" s="3870"/>
      <c r="D519" s="3893"/>
      <c r="E519" s="3883"/>
      <c r="F519" s="3874"/>
      <c r="G519" s="3875"/>
      <c r="H519" s="3874"/>
      <c r="I519" s="3875"/>
      <c r="J519" s="3874"/>
      <c r="K519" s="3876"/>
      <c r="L519" s="3874"/>
      <c r="N519" s="3846"/>
      <c r="O519" s="3847"/>
      <c r="P519" s="3853"/>
      <c r="S519" s="3850"/>
      <c r="T519" s="3850"/>
      <c r="U519" s="3850"/>
      <c r="V519" s="3850"/>
      <c r="W519" s="3850"/>
      <c r="X519" s="3850"/>
      <c r="Y519" s="3850"/>
      <c r="Z519" s="3850"/>
      <c r="AA519" s="3850"/>
      <c r="AB519" s="3850"/>
      <c r="AC519" s="3850"/>
      <c r="AD519" s="3850"/>
      <c r="AE519" s="3850"/>
      <c r="AF519" s="3850"/>
      <c r="AG519" s="3850"/>
      <c r="AH519" s="3850"/>
      <c r="AI519" s="3850"/>
      <c r="AJ519" s="3850"/>
      <c r="AK519" s="3850"/>
      <c r="AL519" s="3850"/>
      <c r="AM519" s="3850"/>
      <c r="AN519" s="3850"/>
      <c r="AO519" s="3850"/>
      <c r="AP519" s="3850"/>
      <c r="AQ519" s="3850"/>
      <c r="AR519" s="3850"/>
      <c r="AS519" s="3850"/>
      <c r="AV519" s="3850"/>
      <c r="AX519" s="3850"/>
      <c r="AY519" s="3850"/>
      <c r="AZ519" s="3850"/>
      <c r="BA519" s="3850"/>
      <c r="BB519" s="3850"/>
      <c r="BC519" s="3850"/>
      <c r="BD519" s="3850"/>
      <c r="BE519" s="3850"/>
      <c r="BF519" s="3850"/>
      <c r="BG519" s="3850"/>
      <c r="BH519" s="3850"/>
      <c r="BI519" s="3850"/>
      <c r="BJ519" s="3850"/>
      <c r="BK519" s="3850"/>
      <c r="BL519" s="3850"/>
      <c r="BM519" s="3850"/>
      <c r="BN519" s="3850"/>
      <c r="BO519" s="3850"/>
      <c r="BP519" s="3850"/>
      <c r="BQ519" s="3850"/>
      <c r="BR519" s="3850"/>
      <c r="BS519" s="3850"/>
      <c r="BT519" s="3850"/>
      <c r="BU519" s="3850"/>
      <c r="BV519" s="3850"/>
      <c r="BW519" s="3850"/>
      <c r="BX519" s="3850"/>
      <c r="BY519" s="3850"/>
      <c r="BZ519" s="3850"/>
      <c r="CA519" s="3850"/>
      <c r="CB519" s="3850"/>
      <c r="CC519" s="3850"/>
      <c r="CD519" s="3850"/>
      <c r="CE519" s="3850"/>
      <c r="CF519" s="3850"/>
      <c r="CG519" s="3850"/>
      <c r="CH519" s="3850"/>
      <c r="CI519" s="3850"/>
      <c r="CJ519" s="3850"/>
      <c r="CK519" s="3850"/>
      <c r="CL519" s="3850"/>
      <c r="CM519" s="3850"/>
      <c r="CN519" s="3850"/>
      <c r="CO519" s="3850"/>
      <c r="CP519" s="3850"/>
      <c r="CQ519" s="3850"/>
      <c r="CR519" s="3850"/>
      <c r="CS519" s="3850"/>
      <c r="CT519" s="3850"/>
      <c r="CU519" s="3850"/>
      <c r="CV519" s="3850"/>
      <c r="CW519" s="3850"/>
      <c r="CX519" s="3850"/>
      <c r="CY519" s="3850"/>
      <c r="CZ519" s="3850"/>
      <c r="DA519" s="3850"/>
      <c r="DB519" s="3850"/>
      <c r="DC519" s="3850"/>
      <c r="DD519" s="3850"/>
      <c r="DE519" s="3850"/>
      <c r="DF519" s="3850"/>
      <c r="DG519" s="3850"/>
      <c r="DH519" s="3850"/>
      <c r="DI519" s="3850"/>
      <c r="DJ519" s="3850"/>
      <c r="DK519" s="3850"/>
      <c r="DL519" s="3850"/>
      <c r="DM519" s="3850"/>
      <c r="DN519" s="3850"/>
      <c r="DO519" s="3850"/>
      <c r="DP519" s="3850"/>
      <c r="DQ519" s="3850"/>
      <c r="DR519" s="3850"/>
      <c r="DS519" s="3850"/>
      <c r="DT519" s="3850"/>
      <c r="DU519" s="3850"/>
      <c r="DV519" s="3850"/>
      <c r="DW519" s="3850"/>
      <c r="DX519" s="3850"/>
      <c r="DY519" s="3850"/>
      <c r="DZ519" s="3850"/>
      <c r="EA519" s="3850"/>
    </row>
    <row r="520" spans="1:131" s="3849" customFormat="1">
      <c r="A520" s="3852"/>
      <c r="B520" s="3840"/>
      <c r="C520" s="3870"/>
      <c r="D520" s="3893"/>
      <c r="E520" s="3883"/>
      <c r="F520" s="3874"/>
      <c r="G520" s="3875"/>
      <c r="H520" s="3874"/>
      <c r="I520" s="3875"/>
      <c r="J520" s="3874"/>
      <c r="K520" s="3876"/>
      <c r="L520" s="3874"/>
      <c r="N520" s="3846"/>
      <c r="O520" s="3847"/>
      <c r="P520" s="3853"/>
      <c r="AV520" s="3850"/>
      <c r="AX520" s="3850"/>
      <c r="AY520" s="3850"/>
      <c r="AZ520" s="3850"/>
      <c r="BA520" s="3850"/>
      <c r="BB520" s="3850"/>
      <c r="BC520" s="3850"/>
      <c r="BD520" s="3850"/>
      <c r="BE520" s="3850"/>
      <c r="BF520" s="3850"/>
      <c r="BG520" s="3850"/>
      <c r="BH520" s="3850"/>
      <c r="BI520" s="3850"/>
      <c r="BJ520" s="3850"/>
      <c r="BK520" s="3850"/>
      <c r="BL520" s="3850"/>
      <c r="BM520" s="3850"/>
      <c r="BN520" s="3850"/>
      <c r="BO520" s="3850"/>
      <c r="BP520" s="3850"/>
      <c r="BQ520" s="3850"/>
      <c r="BR520" s="3850"/>
      <c r="BS520" s="3850"/>
      <c r="BT520" s="3850"/>
      <c r="BU520" s="3850"/>
      <c r="BV520" s="3850"/>
      <c r="BW520" s="3850"/>
      <c r="BX520" s="3850"/>
      <c r="BY520" s="3850"/>
      <c r="BZ520" s="3850"/>
      <c r="CA520" s="3850"/>
      <c r="CB520" s="3850"/>
      <c r="CC520" s="3850"/>
      <c r="CD520" s="3850"/>
      <c r="CE520" s="3850"/>
      <c r="CF520" s="3850"/>
      <c r="CG520" s="3850"/>
      <c r="CH520" s="3850"/>
      <c r="CI520" s="3850"/>
      <c r="CJ520" s="3850"/>
      <c r="CK520" s="3850"/>
      <c r="CL520" s="3850"/>
      <c r="CM520" s="3850"/>
      <c r="CN520" s="3850"/>
      <c r="CO520" s="3850"/>
      <c r="CP520" s="3850"/>
      <c r="CQ520" s="3850"/>
      <c r="CR520" s="3850"/>
      <c r="CS520" s="3850"/>
      <c r="CT520" s="3850"/>
      <c r="CU520" s="3850"/>
      <c r="CV520" s="3850"/>
      <c r="CW520" s="3850"/>
      <c r="CX520" s="3850"/>
      <c r="CY520" s="3850"/>
      <c r="CZ520" s="3850"/>
      <c r="DA520" s="3850"/>
      <c r="DB520" s="3850"/>
      <c r="DC520" s="3850"/>
      <c r="DD520" s="3850"/>
      <c r="DE520" s="3850"/>
      <c r="DF520" s="3850"/>
      <c r="DG520" s="3850"/>
      <c r="DH520" s="3850"/>
      <c r="DI520" s="3850"/>
      <c r="DJ520" s="3850"/>
      <c r="DK520" s="3850"/>
      <c r="DL520" s="3850"/>
      <c r="DM520" s="3850"/>
      <c r="DN520" s="3850"/>
      <c r="DO520" s="3850"/>
      <c r="DP520" s="3850"/>
      <c r="DQ520" s="3850"/>
      <c r="DR520" s="3850"/>
      <c r="DS520" s="3850"/>
      <c r="DT520" s="3850"/>
      <c r="DU520" s="3850"/>
      <c r="DV520" s="3850"/>
      <c r="DW520" s="3850"/>
      <c r="DX520" s="3850"/>
      <c r="DY520" s="3850"/>
      <c r="DZ520" s="3850"/>
      <c r="EA520" s="3850"/>
    </row>
    <row r="521" spans="1:131" s="3849" customFormat="1">
      <c r="A521" s="3852"/>
      <c r="B521" s="3840"/>
      <c r="C521" s="3870"/>
      <c r="D521" s="3893"/>
      <c r="E521" s="3883"/>
      <c r="F521" s="3874"/>
      <c r="G521" s="3875"/>
      <c r="H521" s="3874"/>
      <c r="I521" s="3875"/>
      <c r="J521" s="3874"/>
      <c r="K521" s="3876"/>
      <c r="L521" s="3874"/>
      <c r="N521" s="3846"/>
      <c r="O521" s="3847"/>
      <c r="P521" s="3853"/>
      <c r="AV521" s="3850"/>
      <c r="AX521" s="3850"/>
      <c r="AY521" s="3850"/>
      <c r="AZ521" s="3850"/>
      <c r="BA521" s="3850"/>
      <c r="BB521" s="3850"/>
      <c r="BC521" s="3850"/>
      <c r="BD521" s="3850"/>
      <c r="BE521" s="3850"/>
      <c r="BF521" s="3850"/>
      <c r="BG521" s="3850"/>
      <c r="BH521" s="3850"/>
      <c r="BI521" s="3850"/>
      <c r="BJ521" s="3850"/>
      <c r="BK521" s="3850"/>
      <c r="BL521" s="3850"/>
      <c r="BM521" s="3850"/>
      <c r="BN521" s="3850"/>
      <c r="BO521" s="3850"/>
      <c r="BP521" s="3850"/>
      <c r="BQ521" s="3850"/>
      <c r="BR521" s="3850"/>
      <c r="BS521" s="3850"/>
      <c r="BT521" s="3850"/>
      <c r="BU521" s="3850"/>
      <c r="BV521" s="3850"/>
      <c r="BW521" s="3850"/>
      <c r="BX521" s="3850"/>
      <c r="BY521" s="3850"/>
      <c r="BZ521" s="3850"/>
      <c r="CA521" s="3850"/>
      <c r="CB521" s="3850"/>
      <c r="CC521" s="3850"/>
      <c r="CD521" s="3850"/>
      <c r="CE521" s="3850"/>
      <c r="CF521" s="3850"/>
      <c r="CG521" s="3850"/>
      <c r="CH521" s="3850"/>
      <c r="CI521" s="3850"/>
      <c r="CJ521" s="3850"/>
      <c r="CK521" s="3850"/>
      <c r="CL521" s="3850"/>
      <c r="CM521" s="3850"/>
      <c r="CN521" s="3850"/>
      <c r="CO521" s="3850"/>
      <c r="CP521" s="3850"/>
      <c r="CQ521" s="3850"/>
      <c r="CR521" s="3850"/>
      <c r="CS521" s="3850"/>
      <c r="CT521" s="3850"/>
      <c r="CU521" s="3850"/>
      <c r="CV521" s="3850"/>
      <c r="CW521" s="3850"/>
      <c r="CX521" s="3850"/>
      <c r="CY521" s="3850"/>
      <c r="CZ521" s="3850"/>
      <c r="DA521" s="3850"/>
      <c r="DB521" s="3850"/>
      <c r="DC521" s="3850"/>
      <c r="DD521" s="3850"/>
      <c r="DE521" s="3850"/>
      <c r="DF521" s="3850"/>
      <c r="DG521" s="3850"/>
      <c r="DH521" s="3850"/>
      <c r="DI521" s="3850"/>
      <c r="DJ521" s="3850"/>
      <c r="DK521" s="3850"/>
      <c r="DL521" s="3850"/>
      <c r="DM521" s="3850"/>
      <c r="DN521" s="3850"/>
      <c r="DO521" s="3850"/>
      <c r="DP521" s="3850"/>
      <c r="DQ521" s="3850"/>
      <c r="DR521" s="3850"/>
      <c r="DS521" s="3850"/>
      <c r="DT521" s="3850"/>
      <c r="DU521" s="3850"/>
      <c r="DV521" s="3850"/>
      <c r="DW521" s="3850"/>
      <c r="DX521" s="3850"/>
      <c r="DY521" s="3850"/>
      <c r="DZ521" s="3850"/>
      <c r="EA521" s="3850"/>
    </row>
    <row r="522" spans="1:131" s="3849" customFormat="1">
      <c r="A522" s="3852"/>
      <c r="B522" s="3840"/>
      <c r="C522" s="3870"/>
      <c r="D522" s="3893"/>
      <c r="E522" s="3883"/>
      <c r="F522" s="3874"/>
      <c r="G522" s="3875"/>
      <c r="H522" s="3874"/>
      <c r="I522" s="3875"/>
      <c r="J522" s="3874"/>
      <c r="K522" s="3876"/>
      <c r="L522" s="3874"/>
      <c r="N522" s="3846"/>
      <c r="O522" s="3847"/>
      <c r="P522" s="3853"/>
      <c r="AV522" s="3850"/>
      <c r="AX522" s="3850"/>
      <c r="AY522" s="3850"/>
      <c r="AZ522" s="3850"/>
      <c r="BA522" s="3850"/>
      <c r="BB522" s="3850"/>
      <c r="BC522" s="3850"/>
      <c r="BD522" s="3850"/>
      <c r="BE522" s="3850"/>
      <c r="BF522" s="3850"/>
      <c r="BG522" s="3850"/>
      <c r="BH522" s="3850"/>
      <c r="BI522" s="3850"/>
      <c r="BJ522" s="3850"/>
      <c r="BK522" s="3850"/>
      <c r="BL522" s="3850"/>
      <c r="BM522" s="3850"/>
      <c r="BN522" s="3850"/>
      <c r="BO522" s="3850"/>
      <c r="BP522" s="3850"/>
      <c r="BQ522" s="3850"/>
      <c r="BR522" s="3850"/>
      <c r="BS522" s="3850"/>
      <c r="BT522" s="3850"/>
      <c r="BU522" s="3850"/>
      <c r="BV522" s="3850"/>
      <c r="BW522" s="3850"/>
      <c r="BX522" s="3850"/>
      <c r="BY522" s="3850"/>
      <c r="BZ522" s="3850"/>
      <c r="CA522" s="3850"/>
      <c r="CB522" s="3850"/>
      <c r="CC522" s="3850"/>
      <c r="CD522" s="3850"/>
      <c r="CE522" s="3850"/>
      <c r="CF522" s="3850"/>
      <c r="CG522" s="3850"/>
      <c r="CH522" s="3850"/>
      <c r="CI522" s="3850"/>
      <c r="CJ522" s="3850"/>
      <c r="CK522" s="3850"/>
      <c r="CL522" s="3850"/>
      <c r="CM522" s="3850"/>
      <c r="CN522" s="3850"/>
      <c r="CO522" s="3850"/>
      <c r="CP522" s="3850"/>
      <c r="CQ522" s="3850"/>
      <c r="CR522" s="3850"/>
      <c r="CS522" s="3850"/>
      <c r="CT522" s="3850"/>
      <c r="CU522" s="3850"/>
      <c r="CV522" s="3850"/>
      <c r="CW522" s="3850"/>
      <c r="CX522" s="3850"/>
      <c r="CY522" s="3850"/>
      <c r="CZ522" s="3850"/>
      <c r="DA522" s="3850"/>
      <c r="DB522" s="3850"/>
      <c r="DC522" s="3850"/>
      <c r="DD522" s="3850"/>
      <c r="DE522" s="3850"/>
      <c r="DF522" s="3850"/>
      <c r="DG522" s="3850"/>
      <c r="DH522" s="3850"/>
      <c r="DI522" s="3850"/>
      <c r="DJ522" s="3850"/>
      <c r="DK522" s="3850"/>
      <c r="DL522" s="3850"/>
      <c r="DM522" s="3850"/>
      <c r="DN522" s="3850"/>
      <c r="DO522" s="3850"/>
      <c r="DP522" s="3850"/>
      <c r="DQ522" s="3850"/>
      <c r="DR522" s="3850"/>
      <c r="DS522" s="3850"/>
      <c r="DT522" s="3850"/>
      <c r="DU522" s="3850"/>
      <c r="DV522" s="3850"/>
      <c r="DW522" s="3850"/>
      <c r="DX522" s="3850"/>
      <c r="DY522" s="3850"/>
      <c r="DZ522" s="3850"/>
      <c r="EA522" s="3850"/>
    </row>
    <row r="523" spans="1:131" s="3849" customFormat="1">
      <c r="A523" s="3852"/>
      <c r="B523" s="3840"/>
      <c r="C523" s="3870"/>
      <c r="D523" s="3893"/>
      <c r="E523" s="3883"/>
      <c r="F523" s="3874"/>
      <c r="G523" s="3875"/>
      <c r="H523" s="3874"/>
      <c r="I523" s="3875"/>
      <c r="J523" s="3874"/>
      <c r="K523" s="3876"/>
      <c r="L523" s="3874"/>
      <c r="N523" s="3846"/>
      <c r="O523" s="3847"/>
      <c r="P523" s="3853"/>
      <c r="AV523" s="3850"/>
      <c r="AX523" s="3850"/>
      <c r="AY523" s="3850"/>
      <c r="AZ523" s="3850"/>
      <c r="BA523" s="3850"/>
      <c r="BB523" s="3850"/>
      <c r="BC523" s="3850"/>
      <c r="BD523" s="3850"/>
      <c r="BE523" s="3850"/>
      <c r="BF523" s="3850"/>
      <c r="BG523" s="3850"/>
      <c r="BH523" s="3850"/>
      <c r="BI523" s="3850"/>
      <c r="BJ523" s="3850"/>
      <c r="BK523" s="3850"/>
      <c r="BL523" s="3850"/>
      <c r="BM523" s="3850"/>
      <c r="BN523" s="3850"/>
      <c r="BO523" s="3850"/>
      <c r="BP523" s="3850"/>
      <c r="BQ523" s="3850"/>
      <c r="BR523" s="3850"/>
      <c r="BS523" s="3850"/>
      <c r="BT523" s="3850"/>
      <c r="BU523" s="3850"/>
      <c r="BV523" s="3850"/>
      <c r="BW523" s="3850"/>
      <c r="BX523" s="3850"/>
      <c r="BY523" s="3850"/>
      <c r="BZ523" s="3850"/>
      <c r="CA523" s="3850"/>
      <c r="CB523" s="3850"/>
      <c r="CC523" s="3850"/>
      <c r="CD523" s="3850"/>
      <c r="CE523" s="3850"/>
      <c r="CF523" s="3850"/>
      <c r="CG523" s="3850"/>
      <c r="CH523" s="3850"/>
      <c r="CI523" s="3850"/>
      <c r="CJ523" s="3850"/>
      <c r="CK523" s="3850"/>
      <c r="CL523" s="3850"/>
      <c r="CM523" s="3850"/>
      <c r="CN523" s="3850"/>
      <c r="CO523" s="3850"/>
      <c r="CP523" s="3850"/>
      <c r="CQ523" s="3850"/>
      <c r="CR523" s="3850"/>
      <c r="CS523" s="3850"/>
      <c r="CT523" s="3850"/>
      <c r="CU523" s="3850"/>
      <c r="CV523" s="3850"/>
      <c r="CW523" s="3850"/>
      <c r="CX523" s="3850"/>
      <c r="CY523" s="3850"/>
      <c r="CZ523" s="3850"/>
      <c r="DA523" s="3850"/>
      <c r="DB523" s="3850"/>
      <c r="DC523" s="3850"/>
      <c r="DD523" s="3850"/>
      <c r="DE523" s="3850"/>
      <c r="DF523" s="3850"/>
      <c r="DG523" s="3850"/>
      <c r="DH523" s="3850"/>
      <c r="DI523" s="3850"/>
      <c r="DJ523" s="3850"/>
      <c r="DK523" s="3850"/>
      <c r="DL523" s="3850"/>
      <c r="DM523" s="3850"/>
      <c r="DN523" s="3850"/>
      <c r="DO523" s="3850"/>
      <c r="DP523" s="3850"/>
      <c r="DQ523" s="3850"/>
      <c r="DR523" s="3850"/>
      <c r="DS523" s="3850"/>
      <c r="DT523" s="3850"/>
      <c r="DU523" s="3850"/>
      <c r="DV523" s="3850"/>
      <c r="DW523" s="3850"/>
      <c r="DX523" s="3850"/>
      <c r="DY523" s="3850"/>
      <c r="DZ523" s="3850"/>
      <c r="EA523" s="3850"/>
    </row>
    <row r="524" spans="1:131" s="3849" customFormat="1">
      <c r="A524" s="3852"/>
      <c r="B524" s="3840"/>
      <c r="C524" s="3870"/>
      <c r="D524" s="3893"/>
      <c r="E524" s="3883"/>
      <c r="F524" s="3874"/>
      <c r="G524" s="3875"/>
      <c r="H524" s="3874"/>
      <c r="I524" s="3875"/>
      <c r="J524" s="3874"/>
      <c r="K524" s="3876"/>
      <c r="L524" s="3874"/>
      <c r="N524" s="3846"/>
      <c r="O524" s="3847"/>
      <c r="P524" s="3853"/>
      <c r="AV524" s="3850"/>
      <c r="AX524" s="3850"/>
      <c r="AY524" s="3850"/>
      <c r="AZ524" s="3850"/>
      <c r="BA524" s="3850"/>
      <c r="BB524" s="3850"/>
      <c r="BC524" s="3850"/>
      <c r="BD524" s="3850"/>
      <c r="BE524" s="3850"/>
      <c r="BF524" s="3850"/>
      <c r="BG524" s="3850"/>
      <c r="BH524" s="3850"/>
      <c r="BI524" s="3850"/>
      <c r="BJ524" s="3850"/>
      <c r="BK524" s="3850"/>
      <c r="BL524" s="3850"/>
      <c r="BM524" s="3850"/>
      <c r="BN524" s="3850"/>
      <c r="BO524" s="3850"/>
      <c r="BP524" s="3850"/>
      <c r="BQ524" s="3850"/>
      <c r="BR524" s="3850"/>
      <c r="BS524" s="3850"/>
      <c r="BT524" s="3850"/>
      <c r="BU524" s="3850"/>
      <c r="BV524" s="3850"/>
      <c r="BW524" s="3850"/>
      <c r="BX524" s="3850"/>
      <c r="BY524" s="3850"/>
      <c r="BZ524" s="3850"/>
      <c r="CA524" s="3850"/>
      <c r="CB524" s="3850"/>
      <c r="CC524" s="3850"/>
      <c r="CD524" s="3850"/>
      <c r="CE524" s="3850"/>
      <c r="CF524" s="3850"/>
      <c r="CG524" s="3850"/>
      <c r="CH524" s="3850"/>
      <c r="CI524" s="3850"/>
      <c r="CJ524" s="3850"/>
      <c r="CK524" s="3850"/>
      <c r="CL524" s="3850"/>
      <c r="CM524" s="3850"/>
      <c r="CN524" s="3850"/>
      <c r="CO524" s="3850"/>
      <c r="CP524" s="3850"/>
      <c r="CQ524" s="3850"/>
      <c r="CR524" s="3850"/>
      <c r="CS524" s="3850"/>
      <c r="CT524" s="3850"/>
      <c r="CU524" s="3850"/>
      <c r="CV524" s="3850"/>
      <c r="CW524" s="3850"/>
      <c r="CX524" s="3850"/>
      <c r="CY524" s="3850"/>
      <c r="CZ524" s="3850"/>
      <c r="DA524" s="3850"/>
      <c r="DB524" s="3850"/>
      <c r="DC524" s="3850"/>
      <c r="DD524" s="3850"/>
      <c r="DE524" s="3850"/>
      <c r="DF524" s="3850"/>
      <c r="DG524" s="3850"/>
      <c r="DH524" s="3850"/>
      <c r="DI524" s="3850"/>
      <c r="DJ524" s="3850"/>
      <c r="DK524" s="3850"/>
      <c r="DL524" s="3850"/>
      <c r="DM524" s="3850"/>
      <c r="DN524" s="3850"/>
      <c r="DO524" s="3850"/>
      <c r="DP524" s="3850"/>
      <c r="DQ524" s="3850"/>
      <c r="DR524" s="3850"/>
      <c r="DS524" s="3850"/>
      <c r="DT524" s="3850"/>
      <c r="DU524" s="3850"/>
      <c r="DV524" s="3850"/>
      <c r="DW524" s="3850"/>
      <c r="DX524" s="3850"/>
      <c r="DY524" s="3850"/>
      <c r="DZ524" s="3850"/>
      <c r="EA524" s="3850"/>
    </row>
    <row r="525" spans="1:131" s="3849" customFormat="1">
      <c r="A525" s="3852"/>
      <c r="B525" s="3840"/>
      <c r="C525" s="3870"/>
      <c r="D525" s="3893"/>
      <c r="E525" s="3883"/>
      <c r="F525" s="3874"/>
      <c r="G525" s="3875"/>
      <c r="H525" s="3874"/>
      <c r="I525" s="3875"/>
      <c r="J525" s="3874"/>
      <c r="K525" s="3876"/>
      <c r="L525" s="3874"/>
      <c r="N525" s="3846"/>
      <c r="O525" s="3847"/>
      <c r="P525" s="3853"/>
      <c r="AV525" s="3850"/>
      <c r="AX525" s="3850"/>
      <c r="AY525" s="3850"/>
      <c r="AZ525" s="3850"/>
      <c r="BA525" s="3850"/>
      <c r="BB525" s="3850"/>
      <c r="BC525" s="3850"/>
      <c r="BD525" s="3850"/>
      <c r="BE525" s="3850"/>
      <c r="BF525" s="3850"/>
      <c r="BG525" s="3850"/>
      <c r="BH525" s="3850"/>
      <c r="BI525" s="3850"/>
      <c r="BJ525" s="3850"/>
      <c r="BK525" s="3850"/>
      <c r="BL525" s="3850"/>
      <c r="BM525" s="3850"/>
      <c r="BN525" s="3850"/>
      <c r="BO525" s="3850"/>
      <c r="BP525" s="3850"/>
      <c r="BQ525" s="3850"/>
      <c r="BR525" s="3850"/>
      <c r="BS525" s="3850"/>
      <c r="BT525" s="3850"/>
      <c r="BU525" s="3850"/>
      <c r="BV525" s="3850"/>
      <c r="BW525" s="3850"/>
      <c r="BX525" s="3850"/>
      <c r="BY525" s="3850"/>
      <c r="BZ525" s="3850"/>
      <c r="CA525" s="3850"/>
      <c r="CB525" s="3850"/>
      <c r="CC525" s="3850"/>
      <c r="CD525" s="3850"/>
      <c r="CE525" s="3850"/>
      <c r="CF525" s="3850"/>
      <c r="CG525" s="3850"/>
      <c r="CH525" s="3850"/>
      <c r="CI525" s="3850"/>
      <c r="CJ525" s="3850"/>
      <c r="CK525" s="3850"/>
      <c r="CL525" s="3850"/>
      <c r="CM525" s="3850"/>
      <c r="CN525" s="3850"/>
      <c r="CO525" s="3850"/>
      <c r="CP525" s="3850"/>
      <c r="CQ525" s="3850"/>
      <c r="CR525" s="3850"/>
      <c r="CS525" s="3850"/>
      <c r="CT525" s="3850"/>
      <c r="CU525" s="3850"/>
      <c r="CV525" s="3850"/>
      <c r="CW525" s="3850"/>
      <c r="CX525" s="3850"/>
      <c r="CY525" s="3850"/>
      <c r="CZ525" s="3850"/>
      <c r="DA525" s="3850"/>
      <c r="DB525" s="3850"/>
      <c r="DC525" s="3850"/>
      <c r="DD525" s="3850"/>
      <c r="DE525" s="3850"/>
      <c r="DF525" s="3850"/>
      <c r="DG525" s="3850"/>
      <c r="DH525" s="3850"/>
      <c r="DI525" s="3850"/>
      <c r="DJ525" s="3850"/>
      <c r="DK525" s="3850"/>
      <c r="DL525" s="3850"/>
      <c r="DM525" s="3850"/>
      <c r="DN525" s="3850"/>
      <c r="DO525" s="3850"/>
      <c r="DP525" s="3850"/>
      <c r="DQ525" s="3850"/>
      <c r="DR525" s="3850"/>
      <c r="DS525" s="3850"/>
      <c r="DT525" s="3850"/>
      <c r="DU525" s="3850"/>
      <c r="DV525" s="3850"/>
      <c r="DW525" s="3850"/>
      <c r="DX525" s="3850"/>
      <c r="DY525" s="3850"/>
      <c r="DZ525" s="3850"/>
      <c r="EA525" s="3850"/>
    </row>
    <row r="526" spans="1:131" s="3849" customFormat="1">
      <c r="A526" s="3852"/>
      <c r="B526" s="3840"/>
      <c r="C526" s="3870"/>
      <c r="D526" s="3893"/>
      <c r="E526" s="3883"/>
      <c r="F526" s="3874"/>
      <c r="G526" s="3875"/>
      <c r="H526" s="3874"/>
      <c r="I526" s="3875"/>
      <c r="J526" s="3874"/>
      <c r="K526" s="3876"/>
      <c r="L526" s="3874"/>
      <c r="N526" s="3846"/>
      <c r="O526" s="3847"/>
      <c r="P526" s="3853"/>
      <c r="AV526" s="3850"/>
      <c r="AX526" s="3850"/>
      <c r="AY526" s="3850"/>
      <c r="AZ526" s="3850"/>
      <c r="BA526" s="3850"/>
      <c r="BB526" s="3850"/>
      <c r="BC526" s="3850"/>
      <c r="BD526" s="3850"/>
      <c r="BE526" s="3850"/>
      <c r="BF526" s="3850"/>
      <c r="BG526" s="3850"/>
      <c r="BH526" s="3850"/>
      <c r="BI526" s="3850"/>
      <c r="BJ526" s="3850"/>
      <c r="BK526" s="3850"/>
      <c r="BL526" s="3850"/>
      <c r="BM526" s="3850"/>
      <c r="BN526" s="3850"/>
      <c r="BO526" s="3850"/>
      <c r="BP526" s="3850"/>
      <c r="BQ526" s="3850"/>
      <c r="BR526" s="3850"/>
      <c r="BS526" s="3850"/>
      <c r="BT526" s="3850"/>
      <c r="BU526" s="3850"/>
      <c r="BV526" s="3850"/>
      <c r="BW526" s="3850"/>
      <c r="BX526" s="3850"/>
      <c r="BY526" s="3850"/>
      <c r="BZ526" s="3850"/>
      <c r="CA526" s="3850"/>
      <c r="CB526" s="3850"/>
      <c r="CC526" s="3850"/>
      <c r="CD526" s="3850"/>
      <c r="CE526" s="3850"/>
      <c r="CF526" s="3850"/>
      <c r="CG526" s="3850"/>
      <c r="CH526" s="3850"/>
      <c r="CI526" s="3850"/>
      <c r="CJ526" s="3850"/>
      <c r="CK526" s="3850"/>
      <c r="CL526" s="3850"/>
      <c r="CM526" s="3850"/>
      <c r="CN526" s="3850"/>
      <c r="CO526" s="3850"/>
      <c r="CP526" s="3850"/>
      <c r="CQ526" s="3850"/>
      <c r="CR526" s="3850"/>
      <c r="CS526" s="3850"/>
      <c r="CT526" s="3850"/>
      <c r="CU526" s="3850"/>
      <c r="CV526" s="3850"/>
      <c r="CW526" s="3850"/>
      <c r="CX526" s="3850"/>
      <c r="CY526" s="3850"/>
      <c r="CZ526" s="3850"/>
      <c r="DA526" s="3850"/>
      <c r="DB526" s="3850"/>
      <c r="DC526" s="3850"/>
      <c r="DD526" s="3850"/>
      <c r="DE526" s="3850"/>
      <c r="DF526" s="3850"/>
      <c r="DG526" s="3850"/>
      <c r="DH526" s="3850"/>
      <c r="DI526" s="3850"/>
      <c r="DJ526" s="3850"/>
      <c r="DK526" s="3850"/>
      <c r="DL526" s="3850"/>
      <c r="DM526" s="3850"/>
      <c r="DN526" s="3850"/>
      <c r="DO526" s="3850"/>
      <c r="DP526" s="3850"/>
      <c r="DQ526" s="3850"/>
      <c r="DR526" s="3850"/>
      <c r="DS526" s="3850"/>
      <c r="DT526" s="3850"/>
      <c r="DU526" s="3850"/>
      <c r="DV526" s="3850"/>
      <c r="DW526" s="3850"/>
      <c r="DX526" s="3850"/>
      <c r="DY526" s="3850"/>
      <c r="DZ526" s="3850"/>
      <c r="EA526" s="3850"/>
    </row>
    <row r="527" spans="1:131" s="3849" customFormat="1">
      <c r="A527" s="3852"/>
      <c r="B527" s="3840"/>
      <c r="C527" s="3870"/>
      <c r="D527" s="3893"/>
      <c r="E527" s="3883"/>
      <c r="F527" s="3874"/>
      <c r="G527" s="3875"/>
      <c r="H527" s="3874"/>
      <c r="I527" s="3875"/>
      <c r="J527" s="3874"/>
      <c r="K527" s="3876"/>
      <c r="L527" s="3874"/>
      <c r="N527" s="3846"/>
      <c r="O527" s="3847"/>
      <c r="P527" s="3853"/>
      <c r="AV527" s="3850"/>
      <c r="AX527" s="3850"/>
      <c r="AY527" s="3850"/>
      <c r="AZ527" s="3850"/>
      <c r="BA527" s="3850"/>
      <c r="BB527" s="3850"/>
      <c r="BC527" s="3850"/>
      <c r="BD527" s="3850"/>
      <c r="BE527" s="3850"/>
      <c r="BF527" s="3850"/>
      <c r="BG527" s="3850"/>
      <c r="BH527" s="3850"/>
      <c r="BI527" s="3850"/>
      <c r="BJ527" s="3850"/>
      <c r="BK527" s="3850"/>
      <c r="BL527" s="3850"/>
      <c r="BM527" s="3850"/>
      <c r="BN527" s="3850"/>
      <c r="BO527" s="3850"/>
      <c r="BP527" s="3850"/>
      <c r="BQ527" s="3850"/>
      <c r="BR527" s="3850"/>
      <c r="BS527" s="3850"/>
      <c r="BT527" s="3850"/>
      <c r="BU527" s="3850"/>
      <c r="BV527" s="3850"/>
      <c r="BW527" s="3850"/>
      <c r="BX527" s="3850"/>
      <c r="BY527" s="3850"/>
      <c r="BZ527" s="3850"/>
      <c r="CA527" s="3850"/>
      <c r="CB527" s="3850"/>
      <c r="CC527" s="3850"/>
      <c r="CD527" s="3850"/>
      <c r="CE527" s="3850"/>
      <c r="CF527" s="3850"/>
      <c r="CG527" s="3850"/>
      <c r="CH527" s="3850"/>
      <c r="CI527" s="3850"/>
      <c r="CJ527" s="3850"/>
      <c r="CK527" s="3850"/>
      <c r="CL527" s="3850"/>
      <c r="CM527" s="3850"/>
      <c r="CN527" s="3850"/>
      <c r="CO527" s="3850"/>
      <c r="CP527" s="3850"/>
      <c r="CQ527" s="3850"/>
      <c r="CR527" s="3850"/>
      <c r="CS527" s="3850"/>
      <c r="CT527" s="3850"/>
      <c r="CU527" s="3850"/>
      <c r="CV527" s="3850"/>
      <c r="CW527" s="3850"/>
      <c r="CX527" s="3850"/>
      <c r="CY527" s="3850"/>
      <c r="CZ527" s="3850"/>
      <c r="DA527" s="3850"/>
      <c r="DB527" s="3850"/>
      <c r="DC527" s="3850"/>
      <c r="DD527" s="3850"/>
      <c r="DE527" s="3850"/>
      <c r="DF527" s="3850"/>
      <c r="DG527" s="3850"/>
      <c r="DH527" s="3850"/>
      <c r="DI527" s="3850"/>
      <c r="DJ527" s="3850"/>
      <c r="DK527" s="3850"/>
      <c r="DL527" s="3850"/>
      <c r="DM527" s="3850"/>
      <c r="DN527" s="3850"/>
      <c r="DO527" s="3850"/>
      <c r="DP527" s="3850"/>
      <c r="DQ527" s="3850"/>
      <c r="DR527" s="3850"/>
      <c r="DS527" s="3850"/>
      <c r="DT527" s="3850"/>
      <c r="DU527" s="3850"/>
      <c r="DV527" s="3850"/>
      <c r="DW527" s="3850"/>
      <c r="DX527" s="3850"/>
      <c r="DY527" s="3850"/>
      <c r="DZ527" s="3850"/>
      <c r="EA527" s="3850"/>
    </row>
    <row r="528" spans="1:131" s="3849" customFormat="1">
      <c r="A528" s="3852"/>
      <c r="B528" s="3840"/>
      <c r="C528" s="3870"/>
      <c r="D528" s="3893"/>
      <c r="E528" s="3883"/>
      <c r="F528" s="3874"/>
      <c r="G528" s="3875"/>
      <c r="H528" s="3874"/>
      <c r="I528" s="3875"/>
      <c r="J528" s="3874"/>
      <c r="K528" s="3876"/>
      <c r="L528" s="3874"/>
      <c r="N528" s="3846"/>
      <c r="O528" s="3847"/>
      <c r="P528" s="3853"/>
      <c r="AV528" s="3850"/>
      <c r="AX528" s="3850"/>
      <c r="AY528" s="3850"/>
      <c r="AZ528" s="3850"/>
      <c r="BA528" s="3850"/>
      <c r="BB528" s="3850"/>
      <c r="BC528" s="3850"/>
      <c r="BD528" s="3850"/>
      <c r="BE528" s="3850"/>
      <c r="BF528" s="3850"/>
      <c r="BG528" s="3850"/>
      <c r="BH528" s="3850"/>
      <c r="BI528" s="3850"/>
      <c r="BJ528" s="3850"/>
      <c r="BK528" s="3850"/>
      <c r="BL528" s="3850"/>
      <c r="BM528" s="3850"/>
      <c r="BN528" s="3850"/>
      <c r="BO528" s="3850"/>
      <c r="BP528" s="3850"/>
      <c r="BQ528" s="3850"/>
      <c r="BR528" s="3850"/>
      <c r="BS528" s="3850"/>
      <c r="BT528" s="3850"/>
      <c r="BU528" s="3850"/>
      <c r="BV528" s="3850"/>
      <c r="BW528" s="3850"/>
      <c r="BX528" s="3850"/>
      <c r="BY528" s="3850"/>
      <c r="BZ528" s="3850"/>
      <c r="CA528" s="3850"/>
      <c r="CB528" s="3850"/>
      <c r="CC528" s="3850"/>
      <c r="CD528" s="3850"/>
      <c r="CE528" s="3850"/>
      <c r="CF528" s="3850"/>
      <c r="CG528" s="3850"/>
      <c r="CH528" s="3850"/>
      <c r="CI528" s="3850"/>
      <c r="CJ528" s="3850"/>
      <c r="CK528" s="3850"/>
      <c r="CL528" s="3850"/>
      <c r="CM528" s="3850"/>
      <c r="CN528" s="3850"/>
      <c r="CO528" s="3850"/>
      <c r="CP528" s="3850"/>
      <c r="CQ528" s="3850"/>
      <c r="CR528" s="3850"/>
      <c r="CS528" s="3850"/>
      <c r="CT528" s="3850"/>
      <c r="CU528" s="3850"/>
      <c r="CV528" s="3850"/>
      <c r="CW528" s="3850"/>
      <c r="CX528" s="3850"/>
      <c r="CY528" s="3850"/>
      <c r="CZ528" s="3850"/>
      <c r="DA528" s="3850"/>
      <c r="DB528" s="3850"/>
      <c r="DC528" s="3850"/>
      <c r="DD528" s="3850"/>
      <c r="DE528" s="3850"/>
      <c r="DF528" s="3850"/>
      <c r="DG528" s="3850"/>
      <c r="DH528" s="3850"/>
      <c r="DI528" s="3850"/>
      <c r="DJ528" s="3850"/>
      <c r="DK528" s="3850"/>
      <c r="DL528" s="3850"/>
      <c r="DM528" s="3850"/>
      <c r="DN528" s="3850"/>
      <c r="DO528" s="3850"/>
      <c r="DP528" s="3850"/>
      <c r="DQ528" s="3850"/>
      <c r="DR528" s="3850"/>
      <c r="DS528" s="3850"/>
      <c r="DT528" s="3850"/>
      <c r="DU528" s="3850"/>
      <c r="DV528" s="3850"/>
      <c r="DW528" s="3850"/>
      <c r="DX528" s="3850"/>
      <c r="DY528" s="3850"/>
      <c r="DZ528" s="3850"/>
      <c r="EA528" s="3850"/>
    </row>
    <row r="529" spans="1:131" s="3849" customFormat="1">
      <c r="A529" s="3852"/>
      <c r="B529" s="3840"/>
      <c r="C529" s="3870"/>
      <c r="D529" s="3893"/>
      <c r="E529" s="3883"/>
      <c r="F529" s="3874"/>
      <c r="G529" s="3875"/>
      <c r="H529" s="3874"/>
      <c r="I529" s="3875"/>
      <c r="J529" s="3874"/>
      <c r="K529" s="3876"/>
      <c r="L529" s="3874"/>
      <c r="N529" s="3846"/>
      <c r="O529" s="3847"/>
      <c r="P529" s="3853"/>
      <c r="AV529" s="3850"/>
      <c r="AX529" s="3850"/>
      <c r="AY529" s="3850"/>
      <c r="AZ529" s="3850"/>
      <c r="BA529" s="3850"/>
      <c r="BB529" s="3850"/>
      <c r="BC529" s="3850"/>
      <c r="BD529" s="3850"/>
      <c r="BE529" s="3850"/>
      <c r="BF529" s="3850"/>
      <c r="BG529" s="3850"/>
      <c r="BH529" s="3850"/>
      <c r="BI529" s="3850"/>
      <c r="BJ529" s="3850"/>
      <c r="BK529" s="3850"/>
      <c r="BL529" s="3850"/>
      <c r="BM529" s="3850"/>
      <c r="BN529" s="3850"/>
      <c r="BO529" s="3850"/>
      <c r="BP529" s="3850"/>
      <c r="BQ529" s="3850"/>
      <c r="BR529" s="3850"/>
      <c r="BS529" s="3850"/>
      <c r="BT529" s="3850"/>
      <c r="BU529" s="3850"/>
      <c r="BV529" s="3850"/>
      <c r="BW529" s="3850"/>
      <c r="BX529" s="3850"/>
      <c r="BY529" s="3850"/>
      <c r="BZ529" s="3850"/>
      <c r="CA529" s="3850"/>
      <c r="CB529" s="3850"/>
      <c r="CC529" s="3850"/>
      <c r="CD529" s="3850"/>
      <c r="CE529" s="3850"/>
      <c r="CF529" s="3850"/>
      <c r="CG529" s="3850"/>
      <c r="CH529" s="3850"/>
      <c r="CI529" s="3850"/>
      <c r="CJ529" s="3850"/>
      <c r="CK529" s="3850"/>
      <c r="CL529" s="3850"/>
      <c r="CM529" s="3850"/>
      <c r="CN529" s="3850"/>
      <c r="CO529" s="3850"/>
      <c r="CP529" s="3850"/>
      <c r="CQ529" s="3850"/>
      <c r="CR529" s="3850"/>
      <c r="CS529" s="3850"/>
      <c r="CT529" s="3850"/>
      <c r="CU529" s="3850"/>
      <c r="CV529" s="3850"/>
      <c r="CW529" s="3850"/>
      <c r="CX529" s="3850"/>
      <c r="CY529" s="3850"/>
      <c r="CZ529" s="3850"/>
      <c r="DA529" s="3850"/>
      <c r="DB529" s="3850"/>
      <c r="DC529" s="3850"/>
      <c r="DD529" s="3850"/>
      <c r="DE529" s="3850"/>
      <c r="DF529" s="3850"/>
      <c r="DG529" s="3850"/>
      <c r="DH529" s="3850"/>
      <c r="DI529" s="3850"/>
      <c r="DJ529" s="3850"/>
      <c r="DK529" s="3850"/>
      <c r="DL529" s="3850"/>
      <c r="DM529" s="3850"/>
      <c r="DN529" s="3850"/>
      <c r="DO529" s="3850"/>
      <c r="DP529" s="3850"/>
      <c r="DQ529" s="3850"/>
      <c r="DR529" s="3850"/>
      <c r="DS529" s="3850"/>
      <c r="DT529" s="3850"/>
      <c r="DU529" s="3850"/>
      <c r="DV529" s="3850"/>
      <c r="DW529" s="3850"/>
      <c r="DX529" s="3850"/>
      <c r="DY529" s="3850"/>
      <c r="DZ529" s="3850"/>
      <c r="EA529" s="3850"/>
    </row>
    <row r="530" spans="1:131" s="3849" customFormat="1">
      <c r="A530" s="3852"/>
      <c r="B530" s="3840"/>
      <c r="C530" s="3870"/>
      <c r="D530" s="3893"/>
      <c r="E530" s="3883"/>
      <c r="F530" s="3874"/>
      <c r="G530" s="3875"/>
      <c r="H530" s="3874"/>
      <c r="I530" s="3875"/>
      <c r="J530" s="3874"/>
      <c r="K530" s="3876"/>
      <c r="L530" s="3874"/>
      <c r="N530" s="3846"/>
      <c r="O530" s="3847"/>
      <c r="P530" s="3853"/>
      <c r="AV530" s="3850"/>
      <c r="AX530" s="3850"/>
      <c r="AY530" s="3850"/>
      <c r="AZ530" s="3850"/>
      <c r="BA530" s="3850"/>
      <c r="BB530" s="3850"/>
      <c r="BC530" s="3850"/>
      <c r="BD530" s="3850"/>
      <c r="BE530" s="3850"/>
      <c r="BF530" s="3850"/>
      <c r="BG530" s="3850"/>
      <c r="BH530" s="3850"/>
      <c r="BI530" s="3850"/>
      <c r="BJ530" s="3850"/>
      <c r="BK530" s="3850"/>
      <c r="BL530" s="3850"/>
      <c r="BM530" s="3850"/>
      <c r="BN530" s="3850"/>
      <c r="BO530" s="3850"/>
      <c r="BP530" s="3850"/>
      <c r="BQ530" s="3850"/>
      <c r="BR530" s="3850"/>
      <c r="BS530" s="3850"/>
      <c r="BT530" s="3850"/>
      <c r="BU530" s="3850"/>
      <c r="BV530" s="3850"/>
      <c r="BW530" s="3850"/>
      <c r="BX530" s="3850"/>
      <c r="BY530" s="3850"/>
      <c r="BZ530" s="3850"/>
      <c r="CA530" s="3850"/>
      <c r="CB530" s="3850"/>
      <c r="CC530" s="3850"/>
      <c r="CD530" s="3850"/>
      <c r="CE530" s="3850"/>
      <c r="CF530" s="3850"/>
      <c r="CG530" s="3850"/>
      <c r="CH530" s="3850"/>
      <c r="CI530" s="3850"/>
      <c r="CJ530" s="3850"/>
      <c r="CK530" s="3850"/>
      <c r="CL530" s="3850"/>
      <c r="CM530" s="3850"/>
      <c r="CN530" s="3850"/>
      <c r="CO530" s="3850"/>
      <c r="CP530" s="3850"/>
      <c r="CQ530" s="3850"/>
      <c r="CR530" s="3850"/>
      <c r="CS530" s="3850"/>
      <c r="CT530" s="3850"/>
      <c r="CU530" s="3850"/>
      <c r="CV530" s="3850"/>
      <c r="CW530" s="3850"/>
      <c r="CX530" s="3850"/>
      <c r="CY530" s="3850"/>
      <c r="CZ530" s="3850"/>
      <c r="DA530" s="3850"/>
      <c r="DB530" s="3850"/>
      <c r="DC530" s="3850"/>
      <c r="DD530" s="3850"/>
      <c r="DE530" s="3850"/>
      <c r="DF530" s="3850"/>
      <c r="DG530" s="3850"/>
      <c r="DH530" s="3850"/>
      <c r="DI530" s="3850"/>
      <c r="DJ530" s="3850"/>
      <c r="DK530" s="3850"/>
      <c r="DL530" s="3850"/>
      <c r="DM530" s="3850"/>
      <c r="DN530" s="3850"/>
      <c r="DO530" s="3850"/>
      <c r="DP530" s="3850"/>
      <c r="DQ530" s="3850"/>
      <c r="DR530" s="3850"/>
      <c r="DS530" s="3850"/>
      <c r="DT530" s="3850"/>
      <c r="DU530" s="3850"/>
      <c r="DV530" s="3850"/>
      <c r="DW530" s="3850"/>
      <c r="DX530" s="3850"/>
      <c r="DY530" s="3850"/>
      <c r="DZ530" s="3850"/>
      <c r="EA530" s="3850"/>
    </row>
    <row r="531" spans="1:131" s="3849" customFormat="1">
      <c r="A531" s="3852"/>
      <c r="B531" s="3840"/>
      <c r="C531" s="3870"/>
      <c r="D531" s="3893"/>
      <c r="E531" s="3883"/>
      <c r="F531" s="3874"/>
      <c r="G531" s="3875"/>
      <c r="H531" s="3874"/>
      <c r="I531" s="3875"/>
      <c r="J531" s="3874"/>
      <c r="K531" s="3876"/>
      <c r="L531" s="3874"/>
      <c r="N531" s="3846"/>
      <c r="O531" s="3847"/>
      <c r="P531" s="3853"/>
      <c r="AV531" s="3850"/>
      <c r="AX531" s="3850"/>
      <c r="AY531" s="3850"/>
      <c r="AZ531" s="3850"/>
      <c r="BA531" s="3850"/>
      <c r="BB531" s="3850"/>
      <c r="BC531" s="3850"/>
      <c r="BD531" s="3850"/>
      <c r="BE531" s="3850"/>
      <c r="BF531" s="3850"/>
      <c r="BG531" s="3850"/>
      <c r="BH531" s="3850"/>
      <c r="BI531" s="3850"/>
      <c r="BJ531" s="3850"/>
      <c r="BK531" s="3850"/>
      <c r="BL531" s="3850"/>
      <c r="BM531" s="3850"/>
      <c r="BN531" s="3850"/>
      <c r="BO531" s="3850"/>
      <c r="BP531" s="3850"/>
      <c r="BQ531" s="3850"/>
      <c r="BR531" s="3850"/>
      <c r="BS531" s="3850"/>
      <c r="BT531" s="3850"/>
      <c r="BU531" s="3850"/>
      <c r="BV531" s="3850"/>
      <c r="BW531" s="3850"/>
      <c r="BX531" s="3850"/>
      <c r="BY531" s="3850"/>
      <c r="BZ531" s="3850"/>
      <c r="CA531" s="3850"/>
      <c r="CB531" s="3850"/>
      <c r="CC531" s="3850"/>
      <c r="CD531" s="3850"/>
      <c r="CE531" s="3850"/>
      <c r="CF531" s="3850"/>
      <c r="CG531" s="3850"/>
      <c r="CH531" s="3850"/>
      <c r="CI531" s="3850"/>
      <c r="CJ531" s="3850"/>
      <c r="CK531" s="3850"/>
      <c r="CL531" s="3850"/>
      <c r="CM531" s="3850"/>
      <c r="CN531" s="3850"/>
      <c r="CO531" s="3850"/>
      <c r="CP531" s="3850"/>
      <c r="CQ531" s="3850"/>
      <c r="CR531" s="3850"/>
      <c r="CS531" s="3850"/>
      <c r="CT531" s="3850"/>
      <c r="CU531" s="3850"/>
      <c r="CV531" s="3850"/>
      <c r="CW531" s="3850"/>
      <c r="CX531" s="3850"/>
      <c r="CY531" s="3850"/>
      <c r="CZ531" s="3850"/>
      <c r="DA531" s="3850"/>
      <c r="DB531" s="3850"/>
      <c r="DC531" s="3850"/>
      <c r="DD531" s="3850"/>
      <c r="DE531" s="3850"/>
      <c r="DF531" s="3850"/>
      <c r="DG531" s="3850"/>
      <c r="DH531" s="3850"/>
      <c r="DI531" s="3850"/>
      <c r="DJ531" s="3850"/>
      <c r="DK531" s="3850"/>
      <c r="DL531" s="3850"/>
      <c r="DM531" s="3850"/>
      <c r="DN531" s="3850"/>
      <c r="DO531" s="3850"/>
      <c r="DP531" s="3850"/>
      <c r="DQ531" s="3850"/>
      <c r="DR531" s="3850"/>
      <c r="DS531" s="3850"/>
      <c r="DT531" s="3850"/>
      <c r="DU531" s="3850"/>
      <c r="DV531" s="3850"/>
      <c r="DW531" s="3850"/>
      <c r="DX531" s="3850"/>
      <c r="DY531" s="3850"/>
      <c r="DZ531" s="3850"/>
      <c r="EA531" s="3850"/>
    </row>
    <row r="532" spans="1:131" s="3849" customFormat="1">
      <c r="A532" s="3852"/>
      <c r="B532" s="3840"/>
      <c r="C532" s="3870"/>
      <c r="D532" s="3893"/>
      <c r="E532" s="3883"/>
      <c r="F532" s="3874"/>
      <c r="G532" s="3875"/>
      <c r="H532" s="3874"/>
      <c r="I532" s="3875"/>
      <c r="J532" s="3874"/>
      <c r="K532" s="3876"/>
      <c r="L532" s="3874"/>
      <c r="N532" s="3846"/>
      <c r="O532" s="3847"/>
      <c r="P532" s="3853"/>
      <c r="AV532" s="3850"/>
      <c r="AX532" s="3850"/>
      <c r="AY532" s="3850"/>
      <c r="AZ532" s="3850"/>
      <c r="BA532" s="3850"/>
      <c r="BB532" s="3850"/>
      <c r="BC532" s="3850"/>
      <c r="BD532" s="3850"/>
      <c r="BE532" s="3850"/>
      <c r="BF532" s="3850"/>
      <c r="BG532" s="3850"/>
      <c r="BH532" s="3850"/>
      <c r="BI532" s="3850"/>
      <c r="BJ532" s="3850"/>
      <c r="BK532" s="3850"/>
      <c r="BL532" s="3850"/>
      <c r="BM532" s="3850"/>
      <c r="BN532" s="3850"/>
      <c r="BO532" s="3850"/>
      <c r="BP532" s="3850"/>
      <c r="BQ532" s="3850"/>
      <c r="BR532" s="3850"/>
      <c r="BS532" s="3850"/>
      <c r="BT532" s="3850"/>
      <c r="BU532" s="3850"/>
      <c r="BV532" s="3850"/>
      <c r="BW532" s="3850"/>
      <c r="BX532" s="3850"/>
      <c r="BY532" s="3850"/>
      <c r="BZ532" s="3850"/>
      <c r="CA532" s="3850"/>
      <c r="CB532" s="3850"/>
      <c r="CC532" s="3850"/>
      <c r="CD532" s="3850"/>
      <c r="CE532" s="3850"/>
      <c r="CF532" s="3850"/>
      <c r="CG532" s="3850"/>
      <c r="CH532" s="3850"/>
      <c r="CI532" s="3850"/>
      <c r="CJ532" s="3850"/>
      <c r="CK532" s="3850"/>
      <c r="CL532" s="3850"/>
      <c r="CM532" s="3850"/>
      <c r="CN532" s="3850"/>
      <c r="CO532" s="3850"/>
      <c r="CP532" s="3850"/>
      <c r="CQ532" s="3850"/>
      <c r="CR532" s="3850"/>
      <c r="CS532" s="3850"/>
      <c r="CT532" s="3850"/>
      <c r="CU532" s="3850"/>
      <c r="CV532" s="3850"/>
      <c r="CW532" s="3850"/>
      <c r="CX532" s="3850"/>
      <c r="CY532" s="3850"/>
      <c r="CZ532" s="3850"/>
      <c r="DA532" s="3850"/>
      <c r="DB532" s="3850"/>
      <c r="DC532" s="3850"/>
      <c r="DD532" s="3850"/>
      <c r="DE532" s="3850"/>
      <c r="DF532" s="3850"/>
      <c r="DG532" s="3850"/>
      <c r="DH532" s="3850"/>
      <c r="DI532" s="3850"/>
      <c r="DJ532" s="3850"/>
      <c r="DK532" s="3850"/>
      <c r="DL532" s="3850"/>
      <c r="DM532" s="3850"/>
      <c r="DN532" s="3850"/>
      <c r="DO532" s="3850"/>
      <c r="DP532" s="3850"/>
      <c r="DQ532" s="3850"/>
      <c r="DR532" s="3850"/>
      <c r="DS532" s="3850"/>
      <c r="DT532" s="3850"/>
      <c r="DU532" s="3850"/>
      <c r="DV532" s="3850"/>
      <c r="DW532" s="3850"/>
      <c r="DX532" s="3850"/>
      <c r="DY532" s="3850"/>
      <c r="DZ532" s="3850"/>
      <c r="EA532" s="3850"/>
    </row>
    <row r="533" spans="1:131" s="3849" customFormat="1">
      <c r="A533" s="3852"/>
      <c r="B533" s="3840"/>
      <c r="C533" s="3870"/>
      <c r="D533" s="3893"/>
      <c r="E533" s="3883"/>
      <c r="F533" s="3874"/>
      <c r="G533" s="3875"/>
      <c r="H533" s="3874"/>
      <c r="I533" s="3875"/>
      <c r="J533" s="3874"/>
      <c r="K533" s="3876"/>
      <c r="L533" s="3874"/>
      <c r="N533" s="3846"/>
      <c r="O533" s="3847"/>
      <c r="P533" s="3853"/>
      <c r="AV533" s="3850"/>
      <c r="AX533" s="3850"/>
      <c r="AY533" s="3850"/>
      <c r="AZ533" s="3850"/>
      <c r="BA533" s="3850"/>
      <c r="BB533" s="3850"/>
      <c r="BC533" s="3850"/>
      <c r="BD533" s="3850"/>
      <c r="BE533" s="3850"/>
      <c r="BF533" s="3850"/>
      <c r="BG533" s="3850"/>
      <c r="BH533" s="3850"/>
      <c r="BI533" s="3850"/>
      <c r="BJ533" s="3850"/>
      <c r="BK533" s="3850"/>
      <c r="BL533" s="3850"/>
      <c r="BM533" s="3850"/>
      <c r="BN533" s="3850"/>
      <c r="BO533" s="3850"/>
      <c r="BP533" s="3850"/>
      <c r="BQ533" s="3850"/>
      <c r="BR533" s="3850"/>
      <c r="BS533" s="3850"/>
      <c r="BT533" s="3850"/>
      <c r="BU533" s="3850"/>
      <c r="BV533" s="3850"/>
      <c r="BW533" s="3850"/>
      <c r="BX533" s="3850"/>
      <c r="BY533" s="3850"/>
      <c r="BZ533" s="3850"/>
      <c r="CA533" s="3850"/>
      <c r="CB533" s="3850"/>
      <c r="CC533" s="3850"/>
      <c r="CD533" s="3850"/>
      <c r="CE533" s="3850"/>
      <c r="CF533" s="3850"/>
      <c r="CG533" s="3850"/>
      <c r="CH533" s="3850"/>
      <c r="CI533" s="3850"/>
      <c r="CJ533" s="3850"/>
      <c r="CK533" s="3850"/>
      <c r="CL533" s="3850"/>
      <c r="CM533" s="3850"/>
      <c r="CN533" s="3850"/>
      <c r="CO533" s="3850"/>
      <c r="CP533" s="3850"/>
      <c r="CQ533" s="3850"/>
      <c r="CR533" s="3850"/>
      <c r="CS533" s="3850"/>
      <c r="CT533" s="3850"/>
      <c r="CU533" s="3850"/>
      <c r="CV533" s="3850"/>
      <c r="CW533" s="3850"/>
      <c r="CX533" s="3850"/>
      <c r="CY533" s="3850"/>
      <c r="CZ533" s="3850"/>
      <c r="DA533" s="3850"/>
      <c r="DB533" s="3850"/>
      <c r="DC533" s="3850"/>
      <c r="DD533" s="3850"/>
      <c r="DE533" s="3850"/>
      <c r="DF533" s="3850"/>
      <c r="DG533" s="3850"/>
      <c r="DH533" s="3850"/>
      <c r="DI533" s="3850"/>
      <c r="DJ533" s="3850"/>
      <c r="DK533" s="3850"/>
      <c r="DL533" s="3850"/>
      <c r="DM533" s="3850"/>
      <c r="DN533" s="3850"/>
      <c r="DO533" s="3850"/>
      <c r="DP533" s="3850"/>
      <c r="DQ533" s="3850"/>
      <c r="DR533" s="3850"/>
      <c r="DS533" s="3850"/>
      <c r="DT533" s="3850"/>
      <c r="DU533" s="3850"/>
      <c r="DV533" s="3850"/>
      <c r="DW533" s="3850"/>
      <c r="DX533" s="3850"/>
      <c r="DY533" s="3850"/>
      <c r="DZ533" s="3850"/>
      <c r="EA533" s="3850"/>
    </row>
    <row r="534" spans="1:131" s="3849" customFormat="1">
      <c r="A534" s="3852"/>
      <c r="B534" s="3840"/>
      <c r="C534" s="3870"/>
      <c r="D534" s="3893"/>
      <c r="E534" s="3883"/>
      <c r="F534" s="3874"/>
      <c r="G534" s="3875"/>
      <c r="H534" s="3874"/>
      <c r="I534" s="3875"/>
      <c r="J534" s="3874"/>
      <c r="K534" s="3876"/>
      <c r="L534" s="3874"/>
      <c r="N534" s="3846"/>
      <c r="O534" s="3847"/>
      <c r="P534" s="3853"/>
      <c r="AV534" s="3850"/>
      <c r="AX534" s="3850"/>
      <c r="AY534" s="3850"/>
      <c r="AZ534" s="3850"/>
      <c r="BA534" s="3850"/>
      <c r="BB534" s="3850"/>
      <c r="BC534" s="3850"/>
      <c r="BD534" s="3850"/>
      <c r="BE534" s="3850"/>
      <c r="BF534" s="3850"/>
      <c r="BG534" s="3850"/>
      <c r="BH534" s="3850"/>
      <c r="BI534" s="3850"/>
      <c r="BJ534" s="3850"/>
      <c r="BK534" s="3850"/>
      <c r="BL534" s="3850"/>
      <c r="BM534" s="3850"/>
      <c r="BN534" s="3850"/>
      <c r="BO534" s="3850"/>
      <c r="BP534" s="3850"/>
      <c r="BQ534" s="3850"/>
      <c r="BR534" s="3850"/>
      <c r="BS534" s="3850"/>
      <c r="BT534" s="3850"/>
      <c r="BU534" s="3850"/>
      <c r="BV534" s="3850"/>
      <c r="BW534" s="3850"/>
      <c r="BX534" s="3850"/>
      <c r="BY534" s="3850"/>
      <c r="BZ534" s="3850"/>
      <c r="CA534" s="3850"/>
      <c r="CB534" s="3850"/>
      <c r="CC534" s="3850"/>
      <c r="CD534" s="3850"/>
      <c r="CE534" s="3850"/>
      <c r="CF534" s="3850"/>
      <c r="CG534" s="3850"/>
      <c r="CH534" s="3850"/>
      <c r="CI534" s="3850"/>
      <c r="CJ534" s="3850"/>
      <c r="CK534" s="3850"/>
      <c r="CL534" s="3850"/>
      <c r="CM534" s="3850"/>
      <c r="CN534" s="3850"/>
      <c r="CO534" s="3850"/>
      <c r="CP534" s="3850"/>
      <c r="CQ534" s="3850"/>
      <c r="CR534" s="3850"/>
      <c r="CS534" s="3850"/>
      <c r="CT534" s="3850"/>
      <c r="CU534" s="3850"/>
      <c r="CV534" s="3850"/>
      <c r="CW534" s="3850"/>
      <c r="CX534" s="3850"/>
      <c r="CY534" s="3850"/>
      <c r="CZ534" s="3850"/>
      <c r="DA534" s="3850"/>
      <c r="DB534" s="3850"/>
      <c r="DC534" s="3850"/>
      <c r="DD534" s="3850"/>
      <c r="DE534" s="3850"/>
      <c r="DF534" s="3850"/>
      <c r="DG534" s="3850"/>
      <c r="DH534" s="3850"/>
      <c r="DI534" s="3850"/>
      <c r="DJ534" s="3850"/>
      <c r="DK534" s="3850"/>
      <c r="DL534" s="3850"/>
      <c r="DM534" s="3850"/>
      <c r="DN534" s="3850"/>
      <c r="DO534" s="3850"/>
      <c r="DP534" s="3850"/>
      <c r="DQ534" s="3850"/>
      <c r="DR534" s="3850"/>
      <c r="DS534" s="3850"/>
      <c r="DT534" s="3850"/>
      <c r="DU534" s="3850"/>
      <c r="DV534" s="3850"/>
      <c r="DW534" s="3850"/>
      <c r="DX534" s="3850"/>
      <c r="DY534" s="3850"/>
      <c r="DZ534" s="3850"/>
      <c r="EA534" s="3850"/>
    </row>
    <row r="535" spans="1:131" s="3849" customFormat="1">
      <c r="A535" s="3852"/>
      <c r="B535" s="3840"/>
      <c r="C535" s="3870"/>
      <c r="D535" s="3893"/>
      <c r="E535" s="3883"/>
      <c r="F535" s="3874"/>
      <c r="G535" s="3875"/>
      <c r="H535" s="3874"/>
      <c r="I535" s="3875"/>
      <c r="J535" s="3874"/>
      <c r="K535" s="3876"/>
      <c r="L535" s="3874"/>
      <c r="N535" s="3846"/>
      <c r="O535" s="3847"/>
      <c r="P535" s="3853"/>
      <c r="AV535" s="3850"/>
      <c r="AX535" s="3850"/>
      <c r="AY535" s="3850"/>
      <c r="AZ535" s="3850"/>
      <c r="BA535" s="3850"/>
      <c r="BB535" s="3850"/>
      <c r="BC535" s="3850"/>
      <c r="BD535" s="3850"/>
      <c r="BE535" s="3850"/>
      <c r="BF535" s="3850"/>
      <c r="BG535" s="3850"/>
      <c r="BH535" s="3850"/>
      <c r="BI535" s="3850"/>
      <c r="BJ535" s="3850"/>
      <c r="BK535" s="3850"/>
      <c r="BL535" s="3850"/>
      <c r="BM535" s="3850"/>
      <c r="BN535" s="3850"/>
      <c r="BO535" s="3850"/>
      <c r="BP535" s="3850"/>
      <c r="BQ535" s="3850"/>
      <c r="BR535" s="3850"/>
      <c r="BS535" s="3850"/>
      <c r="BT535" s="3850"/>
      <c r="BU535" s="3850"/>
      <c r="BV535" s="3850"/>
      <c r="BW535" s="3850"/>
      <c r="BX535" s="3850"/>
      <c r="BY535" s="3850"/>
      <c r="BZ535" s="3850"/>
      <c r="CA535" s="3850"/>
      <c r="CB535" s="3850"/>
      <c r="CC535" s="3850"/>
      <c r="CD535" s="3850"/>
      <c r="CE535" s="3850"/>
      <c r="CF535" s="3850"/>
      <c r="CG535" s="3850"/>
      <c r="CH535" s="3850"/>
      <c r="CI535" s="3850"/>
      <c r="CJ535" s="3850"/>
      <c r="CK535" s="3850"/>
      <c r="CL535" s="3850"/>
      <c r="CM535" s="3850"/>
      <c r="CN535" s="3850"/>
      <c r="CO535" s="3850"/>
      <c r="CP535" s="3850"/>
      <c r="CQ535" s="3850"/>
      <c r="CR535" s="3850"/>
      <c r="CS535" s="3850"/>
      <c r="CT535" s="3850"/>
      <c r="CU535" s="3850"/>
      <c r="CV535" s="3850"/>
      <c r="CW535" s="3850"/>
      <c r="CX535" s="3850"/>
      <c r="CY535" s="3850"/>
      <c r="CZ535" s="3850"/>
      <c r="DA535" s="3850"/>
      <c r="DB535" s="3850"/>
      <c r="DC535" s="3850"/>
      <c r="DD535" s="3850"/>
      <c r="DE535" s="3850"/>
      <c r="DF535" s="3850"/>
      <c r="DG535" s="3850"/>
      <c r="DH535" s="3850"/>
      <c r="DI535" s="3850"/>
      <c r="DJ535" s="3850"/>
      <c r="DK535" s="3850"/>
      <c r="DL535" s="3850"/>
      <c r="DM535" s="3850"/>
      <c r="DN535" s="3850"/>
      <c r="DO535" s="3850"/>
      <c r="DP535" s="3850"/>
      <c r="DQ535" s="3850"/>
      <c r="DR535" s="3850"/>
      <c r="DS535" s="3850"/>
      <c r="DT535" s="3850"/>
      <c r="DU535" s="3850"/>
      <c r="DV535" s="3850"/>
      <c r="DW535" s="3850"/>
      <c r="DX535" s="3850"/>
      <c r="DY535" s="3850"/>
      <c r="DZ535" s="3850"/>
      <c r="EA535" s="3850"/>
    </row>
    <row r="536" spans="1:131" s="3849" customFormat="1">
      <c r="A536" s="3852"/>
      <c r="B536" s="3840"/>
      <c r="C536" s="3870"/>
      <c r="D536" s="3893"/>
      <c r="E536" s="3883"/>
      <c r="F536" s="3874"/>
      <c r="G536" s="3875"/>
      <c r="H536" s="3874"/>
      <c r="I536" s="3875"/>
      <c r="J536" s="3874"/>
      <c r="K536" s="3876"/>
      <c r="L536" s="3874"/>
      <c r="N536" s="3846"/>
      <c r="O536" s="3847"/>
      <c r="P536" s="3853"/>
      <c r="AV536" s="3850"/>
      <c r="AX536" s="3850"/>
      <c r="AY536" s="3850"/>
      <c r="AZ536" s="3850"/>
      <c r="BA536" s="3850"/>
      <c r="BB536" s="3850"/>
      <c r="BC536" s="3850"/>
      <c r="BD536" s="3850"/>
      <c r="BE536" s="3850"/>
      <c r="BF536" s="3850"/>
      <c r="BG536" s="3850"/>
      <c r="BH536" s="3850"/>
      <c r="BI536" s="3850"/>
      <c r="BJ536" s="3850"/>
      <c r="BK536" s="3850"/>
      <c r="BL536" s="3850"/>
      <c r="BM536" s="3850"/>
      <c r="BN536" s="3850"/>
      <c r="BO536" s="3850"/>
      <c r="BP536" s="3850"/>
      <c r="BQ536" s="3850"/>
      <c r="BR536" s="3850"/>
      <c r="BS536" s="3850"/>
      <c r="BT536" s="3850"/>
      <c r="BU536" s="3850"/>
      <c r="BV536" s="3850"/>
      <c r="BW536" s="3850"/>
      <c r="BX536" s="3850"/>
      <c r="BY536" s="3850"/>
      <c r="BZ536" s="3850"/>
      <c r="CA536" s="3850"/>
      <c r="CB536" s="3850"/>
      <c r="CC536" s="3850"/>
      <c r="CD536" s="3850"/>
      <c r="CE536" s="3850"/>
      <c r="CF536" s="3850"/>
      <c r="CG536" s="3850"/>
      <c r="CH536" s="3850"/>
      <c r="CI536" s="3850"/>
      <c r="CJ536" s="3850"/>
      <c r="CK536" s="3850"/>
      <c r="CL536" s="3850"/>
      <c r="CM536" s="3850"/>
      <c r="CN536" s="3850"/>
      <c r="CO536" s="3850"/>
      <c r="CP536" s="3850"/>
      <c r="CQ536" s="3850"/>
      <c r="CR536" s="3850"/>
      <c r="CS536" s="3850"/>
      <c r="CT536" s="3850"/>
      <c r="CU536" s="3850"/>
      <c r="CV536" s="3850"/>
      <c r="CW536" s="3850"/>
      <c r="CX536" s="3850"/>
      <c r="CY536" s="3850"/>
      <c r="CZ536" s="3850"/>
      <c r="DA536" s="3850"/>
      <c r="DB536" s="3850"/>
      <c r="DC536" s="3850"/>
      <c r="DD536" s="3850"/>
      <c r="DE536" s="3850"/>
      <c r="DF536" s="3850"/>
      <c r="DG536" s="3850"/>
      <c r="DH536" s="3850"/>
      <c r="DI536" s="3850"/>
      <c r="DJ536" s="3850"/>
      <c r="DK536" s="3850"/>
      <c r="DL536" s="3850"/>
      <c r="DM536" s="3850"/>
      <c r="DN536" s="3850"/>
      <c r="DO536" s="3850"/>
      <c r="DP536" s="3850"/>
      <c r="DQ536" s="3850"/>
      <c r="DR536" s="3850"/>
      <c r="DS536" s="3850"/>
      <c r="DT536" s="3850"/>
      <c r="DU536" s="3850"/>
      <c r="DV536" s="3850"/>
      <c r="DW536" s="3850"/>
      <c r="DX536" s="3850"/>
      <c r="DY536" s="3850"/>
      <c r="DZ536" s="3850"/>
      <c r="EA536" s="3850"/>
    </row>
    <row r="537" spans="1:131" s="3849" customFormat="1">
      <c r="A537" s="3852"/>
      <c r="B537" s="3840"/>
      <c r="C537" s="3870"/>
      <c r="D537" s="3893"/>
      <c r="E537" s="3883"/>
      <c r="F537" s="3874"/>
      <c r="G537" s="3875"/>
      <c r="H537" s="3874"/>
      <c r="I537" s="3875"/>
      <c r="J537" s="3874"/>
      <c r="K537" s="3876"/>
      <c r="L537" s="3874"/>
      <c r="N537" s="3846"/>
      <c r="O537" s="3847"/>
      <c r="P537" s="3853"/>
      <c r="AV537" s="3850"/>
      <c r="AX537" s="3850"/>
      <c r="AY537" s="3850"/>
      <c r="AZ537" s="3850"/>
      <c r="BA537" s="3850"/>
      <c r="BB537" s="3850"/>
      <c r="BC537" s="3850"/>
      <c r="BD537" s="3850"/>
      <c r="BE537" s="3850"/>
      <c r="BF537" s="3850"/>
      <c r="BG537" s="3850"/>
      <c r="BH537" s="3850"/>
      <c r="BI537" s="3850"/>
      <c r="BJ537" s="3850"/>
      <c r="BK537" s="3850"/>
      <c r="BL537" s="3850"/>
      <c r="BM537" s="3850"/>
      <c r="BN537" s="3850"/>
      <c r="BO537" s="3850"/>
      <c r="BP537" s="3850"/>
      <c r="BQ537" s="3850"/>
      <c r="BR537" s="3850"/>
      <c r="BS537" s="3850"/>
      <c r="BT537" s="3850"/>
      <c r="BU537" s="3850"/>
      <c r="BV537" s="3850"/>
      <c r="BW537" s="3850"/>
      <c r="BX537" s="3850"/>
      <c r="BY537" s="3850"/>
      <c r="BZ537" s="3850"/>
      <c r="CA537" s="3850"/>
      <c r="CB537" s="3850"/>
      <c r="CC537" s="3850"/>
      <c r="CD537" s="3850"/>
      <c r="CE537" s="3850"/>
      <c r="CF537" s="3850"/>
      <c r="CG537" s="3850"/>
      <c r="CH537" s="3850"/>
      <c r="CI537" s="3850"/>
      <c r="CJ537" s="3850"/>
      <c r="CK537" s="3850"/>
      <c r="CL537" s="3850"/>
      <c r="CM537" s="3850"/>
      <c r="CN537" s="3850"/>
      <c r="CO537" s="3850"/>
      <c r="CP537" s="3850"/>
      <c r="CQ537" s="3850"/>
      <c r="CR537" s="3850"/>
      <c r="CS537" s="3850"/>
      <c r="CT537" s="3850"/>
      <c r="CU537" s="3850"/>
      <c r="CV537" s="3850"/>
      <c r="CW537" s="3850"/>
      <c r="CX537" s="3850"/>
      <c r="CY537" s="3850"/>
      <c r="CZ537" s="3850"/>
      <c r="DA537" s="3850"/>
      <c r="DB537" s="3850"/>
      <c r="DC537" s="3850"/>
      <c r="DD537" s="3850"/>
      <c r="DE537" s="3850"/>
      <c r="DF537" s="3850"/>
      <c r="DG537" s="3850"/>
      <c r="DH537" s="3850"/>
      <c r="DI537" s="3850"/>
      <c r="DJ537" s="3850"/>
      <c r="DK537" s="3850"/>
      <c r="DL537" s="3850"/>
      <c r="DM537" s="3850"/>
      <c r="DN537" s="3850"/>
      <c r="DO537" s="3850"/>
      <c r="DP537" s="3850"/>
      <c r="DQ537" s="3850"/>
      <c r="DR537" s="3850"/>
      <c r="DS537" s="3850"/>
      <c r="DT537" s="3850"/>
      <c r="DU537" s="3850"/>
      <c r="DV537" s="3850"/>
      <c r="DW537" s="3850"/>
      <c r="DX537" s="3850"/>
      <c r="DY537" s="3850"/>
      <c r="DZ537" s="3850"/>
      <c r="EA537" s="3850"/>
    </row>
    <row r="538" spans="1:131" s="3849" customFormat="1">
      <c r="A538" s="3852"/>
      <c r="B538" s="3840"/>
      <c r="C538" s="3870"/>
      <c r="D538" s="3893"/>
      <c r="E538" s="3883"/>
      <c r="F538" s="3874"/>
      <c r="G538" s="3875"/>
      <c r="H538" s="3874"/>
      <c r="I538" s="3875"/>
      <c r="J538" s="3874"/>
      <c r="K538" s="3876"/>
      <c r="L538" s="3874"/>
      <c r="N538" s="3846"/>
      <c r="O538" s="3847"/>
      <c r="P538" s="3853"/>
      <c r="AV538" s="3850"/>
      <c r="AX538" s="3850"/>
      <c r="AY538" s="3850"/>
      <c r="AZ538" s="3850"/>
      <c r="BA538" s="3850"/>
      <c r="BB538" s="3850"/>
      <c r="BC538" s="3850"/>
      <c r="BD538" s="3850"/>
      <c r="BE538" s="3850"/>
      <c r="BF538" s="3850"/>
      <c r="BG538" s="3850"/>
      <c r="BH538" s="3850"/>
      <c r="BI538" s="3850"/>
      <c r="BJ538" s="3850"/>
      <c r="BK538" s="3850"/>
      <c r="BL538" s="3850"/>
      <c r="BM538" s="3850"/>
      <c r="BN538" s="3850"/>
      <c r="BO538" s="3850"/>
      <c r="BP538" s="3850"/>
      <c r="BQ538" s="3850"/>
      <c r="BR538" s="3850"/>
      <c r="BS538" s="3850"/>
      <c r="BT538" s="3850"/>
      <c r="BU538" s="3850"/>
      <c r="BV538" s="3850"/>
      <c r="BW538" s="3850"/>
      <c r="BX538" s="3850"/>
      <c r="BY538" s="3850"/>
      <c r="BZ538" s="3850"/>
      <c r="CA538" s="3850"/>
      <c r="CB538" s="3850"/>
      <c r="CC538" s="3850"/>
      <c r="CD538" s="3850"/>
      <c r="CE538" s="3850"/>
      <c r="CF538" s="3850"/>
      <c r="CG538" s="3850"/>
      <c r="CH538" s="3850"/>
      <c r="CI538" s="3850"/>
      <c r="CJ538" s="3850"/>
      <c r="CK538" s="3850"/>
      <c r="CL538" s="3850"/>
      <c r="CM538" s="3850"/>
      <c r="CN538" s="3850"/>
      <c r="CO538" s="3850"/>
      <c r="CP538" s="3850"/>
      <c r="CQ538" s="3850"/>
      <c r="CR538" s="3850"/>
      <c r="CS538" s="3850"/>
      <c r="CT538" s="3850"/>
      <c r="CU538" s="3850"/>
      <c r="CV538" s="3850"/>
      <c r="CW538" s="3850"/>
      <c r="CX538" s="3850"/>
      <c r="CY538" s="3850"/>
      <c r="CZ538" s="3850"/>
      <c r="DA538" s="3850"/>
      <c r="DB538" s="3850"/>
      <c r="DC538" s="3850"/>
      <c r="DD538" s="3850"/>
      <c r="DE538" s="3850"/>
      <c r="DF538" s="3850"/>
      <c r="DG538" s="3850"/>
      <c r="DH538" s="3850"/>
      <c r="DI538" s="3850"/>
      <c r="DJ538" s="3850"/>
      <c r="DK538" s="3850"/>
      <c r="DL538" s="3850"/>
      <c r="DM538" s="3850"/>
      <c r="DN538" s="3850"/>
      <c r="DO538" s="3850"/>
      <c r="DP538" s="3850"/>
      <c r="DQ538" s="3850"/>
      <c r="DR538" s="3850"/>
      <c r="DS538" s="3850"/>
      <c r="DT538" s="3850"/>
      <c r="DU538" s="3850"/>
      <c r="DV538" s="3850"/>
      <c r="DW538" s="3850"/>
      <c r="DX538" s="3850"/>
      <c r="DY538" s="3850"/>
      <c r="DZ538" s="3850"/>
      <c r="EA538" s="3850"/>
    </row>
    <row r="539" spans="1:131" s="3849" customFormat="1">
      <c r="A539" s="3852"/>
      <c r="B539" s="3840"/>
      <c r="C539" s="3870"/>
      <c r="D539" s="3893"/>
      <c r="E539" s="3883"/>
      <c r="F539" s="3874"/>
      <c r="G539" s="3875"/>
      <c r="H539" s="3874"/>
      <c r="I539" s="3875"/>
      <c r="J539" s="3874"/>
      <c r="K539" s="3876"/>
      <c r="L539" s="3874"/>
      <c r="N539" s="3846"/>
      <c r="O539" s="3847"/>
      <c r="P539" s="3853"/>
      <c r="AV539" s="3850"/>
      <c r="AX539" s="3850"/>
      <c r="AY539" s="3850"/>
      <c r="AZ539" s="3850"/>
      <c r="BA539" s="3850"/>
      <c r="BB539" s="3850"/>
      <c r="BC539" s="3850"/>
      <c r="BD539" s="3850"/>
      <c r="BE539" s="3850"/>
      <c r="BF539" s="3850"/>
      <c r="BG539" s="3850"/>
      <c r="BH539" s="3850"/>
      <c r="BI539" s="3850"/>
      <c r="BJ539" s="3850"/>
      <c r="BK539" s="3850"/>
      <c r="BL539" s="3850"/>
      <c r="BM539" s="3850"/>
      <c r="BN539" s="3850"/>
      <c r="BO539" s="3850"/>
      <c r="BP539" s="3850"/>
      <c r="BQ539" s="3850"/>
      <c r="BR539" s="3850"/>
      <c r="BS539" s="3850"/>
      <c r="BT539" s="3850"/>
      <c r="BU539" s="3850"/>
      <c r="BV539" s="3850"/>
      <c r="BW539" s="3850"/>
      <c r="BX539" s="3850"/>
      <c r="BY539" s="3850"/>
      <c r="BZ539" s="3850"/>
      <c r="CA539" s="3850"/>
      <c r="CB539" s="3850"/>
      <c r="CC539" s="3850"/>
      <c r="CD539" s="3850"/>
      <c r="CE539" s="3850"/>
      <c r="CF539" s="3850"/>
      <c r="CG539" s="3850"/>
      <c r="CH539" s="3850"/>
      <c r="CI539" s="3850"/>
      <c r="CJ539" s="3850"/>
      <c r="CK539" s="3850"/>
      <c r="CL539" s="3850"/>
      <c r="CM539" s="3850"/>
      <c r="CN539" s="3850"/>
      <c r="CO539" s="3850"/>
      <c r="CP539" s="3850"/>
      <c r="CQ539" s="3850"/>
      <c r="CR539" s="3850"/>
      <c r="CS539" s="3850"/>
      <c r="CT539" s="3850"/>
      <c r="CU539" s="3850"/>
      <c r="CV539" s="3850"/>
      <c r="CW539" s="3850"/>
      <c r="CX539" s="3850"/>
      <c r="CY539" s="3850"/>
      <c r="CZ539" s="3850"/>
      <c r="DA539" s="3850"/>
      <c r="DB539" s="3850"/>
      <c r="DC539" s="3850"/>
      <c r="DD539" s="3850"/>
      <c r="DE539" s="3850"/>
      <c r="DF539" s="3850"/>
      <c r="DG539" s="3850"/>
      <c r="DH539" s="3850"/>
      <c r="DI539" s="3850"/>
      <c r="DJ539" s="3850"/>
      <c r="DK539" s="3850"/>
      <c r="DL539" s="3850"/>
      <c r="DM539" s="3850"/>
      <c r="DN539" s="3850"/>
      <c r="DO539" s="3850"/>
      <c r="DP539" s="3850"/>
      <c r="DQ539" s="3850"/>
      <c r="DR539" s="3850"/>
      <c r="DS539" s="3850"/>
      <c r="DT539" s="3850"/>
      <c r="DU539" s="3850"/>
      <c r="DV539" s="3850"/>
      <c r="DW539" s="3850"/>
      <c r="DX539" s="3850"/>
      <c r="DY539" s="3850"/>
      <c r="DZ539" s="3850"/>
      <c r="EA539" s="3850"/>
    </row>
    <row r="540" spans="1:131" s="3849" customFormat="1">
      <c r="A540" s="3852"/>
      <c r="B540" s="3840"/>
      <c r="C540" s="3870"/>
      <c r="D540" s="3893"/>
      <c r="E540" s="3883"/>
      <c r="F540" s="3874"/>
      <c r="G540" s="3875"/>
      <c r="H540" s="3874"/>
      <c r="I540" s="3875"/>
      <c r="J540" s="3874"/>
      <c r="K540" s="3876"/>
      <c r="L540" s="3874"/>
      <c r="N540" s="3846"/>
      <c r="O540" s="3847"/>
      <c r="P540" s="3853"/>
      <c r="AV540" s="3850"/>
      <c r="AX540" s="3850"/>
      <c r="AY540" s="3850"/>
      <c r="AZ540" s="3850"/>
      <c r="BA540" s="3850"/>
      <c r="BB540" s="3850"/>
      <c r="BC540" s="3850"/>
      <c r="BD540" s="3850"/>
      <c r="BE540" s="3850"/>
      <c r="BF540" s="3850"/>
      <c r="BG540" s="3850"/>
      <c r="BH540" s="3850"/>
      <c r="BI540" s="3850"/>
      <c r="BJ540" s="3850"/>
      <c r="BK540" s="3850"/>
      <c r="BL540" s="3850"/>
      <c r="BM540" s="3850"/>
      <c r="BN540" s="3850"/>
      <c r="BO540" s="3850"/>
      <c r="BP540" s="3850"/>
      <c r="BQ540" s="3850"/>
      <c r="BR540" s="3850"/>
      <c r="BS540" s="3850"/>
      <c r="BT540" s="3850"/>
      <c r="BU540" s="3850"/>
      <c r="BV540" s="3850"/>
      <c r="BW540" s="3850"/>
      <c r="BX540" s="3850"/>
      <c r="BY540" s="3850"/>
      <c r="BZ540" s="3850"/>
      <c r="CA540" s="3850"/>
      <c r="CB540" s="3850"/>
      <c r="CC540" s="3850"/>
      <c r="CD540" s="3850"/>
      <c r="CE540" s="3850"/>
      <c r="CF540" s="3850"/>
      <c r="CG540" s="3850"/>
      <c r="CH540" s="3850"/>
      <c r="CI540" s="3850"/>
      <c r="CJ540" s="3850"/>
      <c r="CK540" s="3850"/>
      <c r="CL540" s="3850"/>
      <c r="CM540" s="3850"/>
      <c r="CN540" s="3850"/>
      <c r="CO540" s="3850"/>
      <c r="CP540" s="3850"/>
      <c r="CQ540" s="3850"/>
      <c r="CR540" s="3850"/>
      <c r="CS540" s="3850"/>
      <c r="CT540" s="3850"/>
      <c r="CU540" s="3850"/>
      <c r="CV540" s="3850"/>
      <c r="CW540" s="3850"/>
      <c r="CX540" s="3850"/>
      <c r="CY540" s="3850"/>
      <c r="CZ540" s="3850"/>
      <c r="DA540" s="3850"/>
      <c r="DB540" s="3850"/>
      <c r="DC540" s="3850"/>
      <c r="DD540" s="3850"/>
      <c r="DE540" s="3850"/>
      <c r="DF540" s="3850"/>
      <c r="DG540" s="3850"/>
      <c r="DH540" s="3850"/>
      <c r="DI540" s="3850"/>
      <c r="DJ540" s="3850"/>
      <c r="DK540" s="3850"/>
      <c r="DL540" s="3850"/>
      <c r="DM540" s="3850"/>
      <c r="DN540" s="3850"/>
      <c r="DO540" s="3850"/>
      <c r="DP540" s="3850"/>
      <c r="DQ540" s="3850"/>
      <c r="DR540" s="3850"/>
      <c r="DS540" s="3850"/>
      <c r="DT540" s="3850"/>
      <c r="DU540" s="3850"/>
      <c r="DV540" s="3850"/>
      <c r="DW540" s="3850"/>
      <c r="DX540" s="3850"/>
      <c r="DY540" s="3850"/>
      <c r="DZ540" s="3850"/>
      <c r="EA540" s="3850"/>
    </row>
    <row r="541" spans="1:131" s="3849" customFormat="1">
      <c r="A541" s="3852"/>
      <c r="B541" s="3840"/>
      <c r="C541" s="3870"/>
      <c r="D541" s="3893"/>
      <c r="E541" s="3883"/>
      <c r="F541" s="3874"/>
      <c r="G541" s="3875"/>
      <c r="H541" s="3874"/>
      <c r="I541" s="3875"/>
      <c r="J541" s="3874"/>
      <c r="K541" s="3876"/>
      <c r="L541" s="3874"/>
      <c r="N541" s="3846"/>
      <c r="O541" s="3847"/>
      <c r="P541" s="3853"/>
      <c r="AV541" s="3850"/>
      <c r="AX541" s="3850"/>
      <c r="AY541" s="3850"/>
      <c r="AZ541" s="3850"/>
      <c r="BA541" s="3850"/>
      <c r="BB541" s="3850"/>
      <c r="BC541" s="3850"/>
      <c r="BD541" s="3850"/>
      <c r="BE541" s="3850"/>
      <c r="BF541" s="3850"/>
      <c r="BG541" s="3850"/>
      <c r="BH541" s="3850"/>
      <c r="BI541" s="3850"/>
      <c r="BJ541" s="3850"/>
      <c r="BK541" s="3850"/>
      <c r="BL541" s="3850"/>
      <c r="BM541" s="3850"/>
      <c r="BN541" s="3850"/>
      <c r="BO541" s="3850"/>
      <c r="BP541" s="3850"/>
      <c r="BQ541" s="3850"/>
      <c r="BR541" s="3850"/>
      <c r="BS541" s="3850"/>
      <c r="BT541" s="3850"/>
      <c r="BU541" s="3850"/>
      <c r="BV541" s="3850"/>
      <c r="BW541" s="3850"/>
      <c r="BX541" s="3850"/>
      <c r="BY541" s="3850"/>
      <c r="BZ541" s="3850"/>
      <c r="CA541" s="3850"/>
      <c r="CB541" s="3850"/>
      <c r="CC541" s="3850"/>
      <c r="CD541" s="3850"/>
      <c r="CE541" s="3850"/>
      <c r="CF541" s="3850"/>
      <c r="CG541" s="3850"/>
      <c r="CH541" s="3850"/>
      <c r="CI541" s="3850"/>
      <c r="CJ541" s="3850"/>
      <c r="CK541" s="3850"/>
      <c r="CL541" s="3850"/>
      <c r="CM541" s="3850"/>
      <c r="CN541" s="3850"/>
      <c r="CO541" s="3850"/>
      <c r="CP541" s="3850"/>
      <c r="CQ541" s="3850"/>
      <c r="CR541" s="3850"/>
      <c r="CS541" s="3850"/>
      <c r="CT541" s="3850"/>
      <c r="CU541" s="3850"/>
      <c r="CV541" s="3850"/>
      <c r="CW541" s="3850"/>
      <c r="CX541" s="3850"/>
      <c r="CY541" s="3850"/>
      <c r="CZ541" s="3850"/>
      <c r="DA541" s="3850"/>
      <c r="DB541" s="3850"/>
      <c r="DC541" s="3850"/>
      <c r="DD541" s="3850"/>
      <c r="DE541" s="3850"/>
      <c r="DF541" s="3850"/>
      <c r="DG541" s="3850"/>
      <c r="DH541" s="3850"/>
      <c r="DI541" s="3850"/>
      <c r="DJ541" s="3850"/>
      <c r="DK541" s="3850"/>
      <c r="DL541" s="3850"/>
      <c r="DM541" s="3850"/>
      <c r="DN541" s="3850"/>
      <c r="DO541" s="3850"/>
      <c r="DP541" s="3850"/>
      <c r="DQ541" s="3850"/>
      <c r="DR541" s="3850"/>
      <c r="DS541" s="3850"/>
      <c r="DT541" s="3850"/>
      <c r="DU541" s="3850"/>
      <c r="DV541" s="3850"/>
      <c r="DW541" s="3850"/>
      <c r="DX541" s="3850"/>
      <c r="DY541" s="3850"/>
      <c r="DZ541" s="3850"/>
      <c r="EA541" s="3850"/>
    </row>
    <row r="542" spans="1:131" s="3849" customFormat="1">
      <c r="A542" s="3852"/>
      <c r="B542" s="3840"/>
      <c r="C542" s="3870"/>
      <c r="D542" s="3893"/>
      <c r="E542" s="3883"/>
      <c r="F542" s="3874"/>
      <c r="G542" s="3875"/>
      <c r="H542" s="3874"/>
      <c r="I542" s="3875"/>
      <c r="J542" s="3874"/>
      <c r="K542" s="3876"/>
      <c r="L542" s="3874"/>
      <c r="N542" s="3846"/>
      <c r="O542" s="3847"/>
      <c r="P542" s="3853"/>
      <c r="AV542" s="3850"/>
      <c r="AX542" s="3850"/>
      <c r="AY542" s="3850"/>
      <c r="AZ542" s="3850"/>
      <c r="BA542" s="3850"/>
      <c r="BB542" s="3850"/>
      <c r="BC542" s="3850"/>
      <c r="BD542" s="3850"/>
      <c r="BE542" s="3850"/>
      <c r="BF542" s="3850"/>
      <c r="BG542" s="3850"/>
      <c r="BH542" s="3850"/>
      <c r="BI542" s="3850"/>
      <c r="BJ542" s="3850"/>
      <c r="BK542" s="3850"/>
      <c r="BL542" s="3850"/>
      <c r="BM542" s="3850"/>
      <c r="BN542" s="3850"/>
      <c r="BO542" s="3850"/>
      <c r="BP542" s="3850"/>
      <c r="BQ542" s="3850"/>
      <c r="BR542" s="3850"/>
      <c r="BS542" s="3850"/>
      <c r="BT542" s="3850"/>
      <c r="BU542" s="3850"/>
      <c r="BV542" s="3850"/>
      <c r="BW542" s="3850"/>
      <c r="BX542" s="3850"/>
      <c r="BY542" s="3850"/>
      <c r="BZ542" s="3850"/>
      <c r="CA542" s="3850"/>
      <c r="CB542" s="3850"/>
      <c r="CC542" s="3850"/>
      <c r="CD542" s="3850"/>
      <c r="CE542" s="3850"/>
      <c r="CF542" s="3850"/>
      <c r="CG542" s="3850"/>
      <c r="CH542" s="3850"/>
      <c r="CI542" s="3850"/>
      <c r="CJ542" s="3850"/>
      <c r="CK542" s="3850"/>
      <c r="CL542" s="3850"/>
      <c r="CM542" s="3850"/>
      <c r="CN542" s="3850"/>
      <c r="CO542" s="3850"/>
      <c r="CP542" s="3850"/>
      <c r="CQ542" s="3850"/>
      <c r="CR542" s="3850"/>
      <c r="CS542" s="3850"/>
      <c r="CT542" s="3850"/>
      <c r="CU542" s="3850"/>
      <c r="CV542" s="3850"/>
      <c r="CW542" s="3850"/>
      <c r="CX542" s="3850"/>
      <c r="CY542" s="3850"/>
      <c r="CZ542" s="3850"/>
      <c r="DA542" s="3850"/>
      <c r="DB542" s="3850"/>
      <c r="DC542" s="3850"/>
      <c r="DD542" s="3850"/>
      <c r="DE542" s="3850"/>
      <c r="DF542" s="3850"/>
      <c r="DG542" s="3850"/>
      <c r="DH542" s="3850"/>
      <c r="DI542" s="3850"/>
      <c r="DJ542" s="3850"/>
      <c r="DK542" s="3850"/>
      <c r="DL542" s="3850"/>
      <c r="DM542" s="3850"/>
      <c r="DN542" s="3850"/>
      <c r="DO542" s="3850"/>
      <c r="DP542" s="3850"/>
      <c r="DQ542" s="3850"/>
      <c r="DR542" s="3850"/>
      <c r="DS542" s="3850"/>
      <c r="DT542" s="3850"/>
      <c r="DU542" s="3850"/>
      <c r="DV542" s="3850"/>
      <c r="DW542" s="3850"/>
      <c r="DX542" s="3850"/>
      <c r="DY542" s="3850"/>
      <c r="DZ542" s="3850"/>
      <c r="EA542" s="3850"/>
    </row>
    <row r="543" spans="1:131" s="3849" customFormat="1">
      <c r="A543" s="3852"/>
      <c r="B543" s="3840"/>
      <c r="C543" s="3870"/>
      <c r="D543" s="3893"/>
      <c r="E543" s="3883"/>
      <c r="F543" s="3874"/>
      <c r="G543" s="3875"/>
      <c r="H543" s="3874"/>
      <c r="I543" s="3875"/>
      <c r="J543" s="3874"/>
      <c r="K543" s="3876"/>
      <c r="L543" s="3874"/>
      <c r="N543" s="3846"/>
      <c r="O543" s="3847"/>
      <c r="P543" s="3853"/>
      <c r="AV543" s="3850"/>
      <c r="AX543" s="3850"/>
      <c r="AY543" s="3850"/>
      <c r="AZ543" s="3850"/>
      <c r="BA543" s="3850"/>
      <c r="BB543" s="3850"/>
      <c r="BC543" s="3850"/>
      <c r="BD543" s="3850"/>
      <c r="BE543" s="3850"/>
      <c r="BF543" s="3850"/>
      <c r="BG543" s="3850"/>
      <c r="BH543" s="3850"/>
      <c r="BI543" s="3850"/>
      <c r="BJ543" s="3850"/>
      <c r="BK543" s="3850"/>
      <c r="BL543" s="3850"/>
      <c r="BM543" s="3850"/>
      <c r="BN543" s="3850"/>
      <c r="BO543" s="3850"/>
      <c r="BP543" s="3850"/>
      <c r="BQ543" s="3850"/>
      <c r="BR543" s="3850"/>
      <c r="BS543" s="3850"/>
      <c r="BT543" s="3850"/>
      <c r="BU543" s="3850"/>
      <c r="BV543" s="3850"/>
      <c r="BW543" s="3850"/>
      <c r="BX543" s="3850"/>
      <c r="BY543" s="3850"/>
      <c r="BZ543" s="3850"/>
      <c r="CA543" s="3850"/>
      <c r="CB543" s="3850"/>
      <c r="CC543" s="3850"/>
      <c r="CD543" s="3850"/>
      <c r="CE543" s="3850"/>
      <c r="CF543" s="3850"/>
      <c r="CG543" s="3850"/>
      <c r="CH543" s="3850"/>
      <c r="CI543" s="3850"/>
      <c r="CJ543" s="3850"/>
      <c r="CK543" s="3850"/>
      <c r="CL543" s="3850"/>
      <c r="CM543" s="3850"/>
      <c r="CN543" s="3850"/>
      <c r="CO543" s="3850"/>
      <c r="CP543" s="3850"/>
      <c r="CQ543" s="3850"/>
      <c r="CR543" s="3850"/>
      <c r="CS543" s="3850"/>
      <c r="CT543" s="3850"/>
      <c r="CU543" s="3850"/>
      <c r="CV543" s="3850"/>
      <c r="CW543" s="3850"/>
      <c r="CX543" s="3850"/>
      <c r="CY543" s="3850"/>
      <c r="CZ543" s="3850"/>
      <c r="DA543" s="3850"/>
      <c r="DB543" s="3850"/>
      <c r="DC543" s="3850"/>
      <c r="DD543" s="3850"/>
      <c r="DE543" s="3850"/>
      <c r="DF543" s="3850"/>
      <c r="DG543" s="3850"/>
      <c r="DH543" s="3850"/>
      <c r="DI543" s="3850"/>
      <c r="DJ543" s="3850"/>
      <c r="DK543" s="3850"/>
      <c r="DL543" s="3850"/>
      <c r="DM543" s="3850"/>
      <c r="DN543" s="3850"/>
      <c r="DO543" s="3850"/>
      <c r="DP543" s="3850"/>
      <c r="DQ543" s="3850"/>
      <c r="DR543" s="3850"/>
      <c r="DS543" s="3850"/>
      <c r="DT543" s="3850"/>
      <c r="DU543" s="3850"/>
      <c r="DV543" s="3850"/>
      <c r="DW543" s="3850"/>
      <c r="DX543" s="3850"/>
      <c r="DY543" s="3850"/>
      <c r="DZ543" s="3850"/>
      <c r="EA543" s="3850"/>
    </row>
    <row r="544" spans="1:131" s="3849" customFormat="1">
      <c r="A544" s="3852"/>
      <c r="B544" s="3840"/>
      <c r="C544" s="3870"/>
      <c r="D544" s="3893"/>
      <c r="E544" s="3883"/>
      <c r="F544" s="3874"/>
      <c r="G544" s="3875"/>
      <c r="H544" s="3874"/>
      <c r="I544" s="3875"/>
      <c r="J544" s="3874"/>
      <c r="K544" s="3876"/>
      <c r="L544" s="3874"/>
      <c r="N544" s="3846"/>
      <c r="O544" s="3847"/>
      <c r="P544" s="3853"/>
      <c r="AV544" s="3850"/>
      <c r="AX544" s="3850"/>
      <c r="AY544" s="3850"/>
      <c r="AZ544" s="3850"/>
      <c r="BA544" s="3850"/>
      <c r="BB544" s="3850"/>
      <c r="BC544" s="3850"/>
      <c r="BD544" s="3850"/>
      <c r="BE544" s="3850"/>
      <c r="BF544" s="3850"/>
      <c r="BG544" s="3850"/>
      <c r="BH544" s="3850"/>
      <c r="BI544" s="3850"/>
      <c r="BJ544" s="3850"/>
      <c r="BK544" s="3850"/>
      <c r="BL544" s="3850"/>
      <c r="BM544" s="3850"/>
      <c r="BN544" s="3850"/>
      <c r="BO544" s="3850"/>
      <c r="BP544" s="3850"/>
      <c r="BQ544" s="3850"/>
      <c r="BR544" s="3850"/>
      <c r="BS544" s="3850"/>
      <c r="BT544" s="3850"/>
      <c r="BU544" s="3850"/>
      <c r="BV544" s="3850"/>
      <c r="BW544" s="3850"/>
      <c r="BX544" s="3850"/>
      <c r="BY544" s="3850"/>
      <c r="BZ544" s="3850"/>
      <c r="CA544" s="3850"/>
      <c r="CB544" s="3850"/>
      <c r="CC544" s="3850"/>
      <c r="CD544" s="3850"/>
      <c r="CE544" s="3850"/>
      <c r="CF544" s="3850"/>
      <c r="CG544" s="3850"/>
      <c r="CH544" s="3850"/>
      <c r="CI544" s="3850"/>
      <c r="CJ544" s="3850"/>
      <c r="CK544" s="3850"/>
      <c r="CL544" s="3850"/>
      <c r="CM544" s="3850"/>
      <c r="CN544" s="3850"/>
      <c r="CO544" s="3850"/>
      <c r="CP544" s="3850"/>
      <c r="CQ544" s="3850"/>
      <c r="CR544" s="3850"/>
      <c r="CS544" s="3850"/>
      <c r="CT544" s="3850"/>
      <c r="CU544" s="3850"/>
      <c r="CV544" s="3850"/>
      <c r="CW544" s="3850"/>
      <c r="CX544" s="3850"/>
      <c r="CY544" s="3850"/>
      <c r="CZ544" s="3850"/>
      <c r="DA544" s="3850"/>
      <c r="DB544" s="3850"/>
      <c r="DC544" s="3850"/>
      <c r="DD544" s="3850"/>
      <c r="DE544" s="3850"/>
      <c r="DF544" s="3850"/>
      <c r="DG544" s="3850"/>
      <c r="DH544" s="3850"/>
      <c r="DI544" s="3850"/>
      <c r="DJ544" s="3850"/>
      <c r="DK544" s="3850"/>
      <c r="DL544" s="3850"/>
      <c r="DM544" s="3850"/>
      <c r="DN544" s="3850"/>
      <c r="DO544" s="3850"/>
      <c r="DP544" s="3850"/>
      <c r="DQ544" s="3850"/>
      <c r="DR544" s="3850"/>
      <c r="DS544" s="3850"/>
      <c r="DT544" s="3850"/>
      <c r="DU544" s="3850"/>
      <c r="DV544" s="3850"/>
      <c r="DW544" s="3850"/>
      <c r="DX544" s="3850"/>
      <c r="DY544" s="3850"/>
      <c r="DZ544" s="3850"/>
      <c r="EA544" s="3850"/>
    </row>
    <row r="545" spans="1:131" s="3849" customFormat="1">
      <c r="A545" s="3852"/>
      <c r="B545" s="3840"/>
      <c r="C545" s="3870"/>
      <c r="D545" s="3893"/>
      <c r="E545" s="3883"/>
      <c r="F545" s="3874"/>
      <c r="G545" s="3875"/>
      <c r="H545" s="3874"/>
      <c r="I545" s="3875"/>
      <c r="J545" s="3874"/>
      <c r="K545" s="3876"/>
      <c r="L545" s="3874"/>
      <c r="N545" s="3846"/>
      <c r="O545" s="3847"/>
      <c r="P545" s="3853"/>
      <c r="AV545" s="3850"/>
      <c r="AX545" s="3850"/>
      <c r="AY545" s="3850"/>
      <c r="AZ545" s="3850"/>
      <c r="BA545" s="3850"/>
      <c r="BB545" s="3850"/>
      <c r="BC545" s="3850"/>
      <c r="BD545" s="3850"/>
      <c r="BE545" s="3850"/>
      <c r="BF545" s="3850"/>
      <c r="BG545" s="3850"/>
      <c r="BH545" s="3850"/>
      <c r="BI545" s="3850"/>
      <c r="BJ545" s="3850"/>
      <c r="BK545" s="3850"/>
      <c r="BL545" s="3850"/>
      <c r="BM545" s="3850"/>
      <c r="BN545" s="3850"/>
      <c r="BO545" s="3850"/>
      <c r="BP545" s="3850"/>
      <c r="BQ545" s="3850"/>
      <c r="BR545" s="3850"/>
      <c r="BS545" s="3850"/>
      <c r="BT545" s="3850"/>
      <c r="BU545" s="3850"/>
      <c r="BV545" s="3850"/>
      <c r="BW545" s="3850"/>
      <c r="BX545" s="3850"/>
      <c r="BY545" s="3850"/>
      <c r="BZ545" s="3850"/>
      <c r="CA545" s="3850"/>
      <c r="CB545" s="3850"/>
      <c r="CC545" s="3850"/>
      <c r="CD545" s="3850"/>
      <c r="CE545" s="3850"/>
      <c r="CF545" s="3850"/>
      <c r="CG545" s="3850"/>
      <c r="CH545" s="3850"/>
      <c r="CI545" s="3850"/>
      <c r="CJ545" s="3850"/>
      <c r="CK545" s="3850"/>
      <c r="CL545" s="3850"/>
      <c r="CM545" s="3850"/>
      <c r="CN545" s="3850"/>
      <c r="CO545" s="3850"/>
      <c r="CP545" s="3850"/>
      <c r="CQ545" s="3850"/>
      <c r="CR545" s="3850"/>
      <c r="CS545" s="3850"/>
      <c r="CT545" s="3850"/>
      <c r="CU545" s="3850"/>
      <c r="CV545" s="3850"/>
      <c r="CW545" s="3850"/>
      <c r="CX545" s="3850"/>
      <c r="CY545" s="3850"/>
      <c r="CZ545" s="3850"/>
      <c r="DA545" s="3850"/>
      <c r="DB545" s="3850"/>
      <c r="DC545" s="3850"/>
      <c r="DD545" s="3850"/>
      <c r="DE545" s="3850"/>
      <c r="DF545" s="3850"/>
      <c r="DG545" s="3850"/>
      <c r="DH545" s="3850"/>
      <c r="DI545" s="3850"/>
      <c r="DJ545" s="3850"/>
      <c r="DK545" s="3850"/>
      <c r="DL545" s="3850"/>
      <c r="DM545" s="3850"/>
      <c r="DN545" s="3850"/>
      <c r="DO545" s="3850"/>
      <c r="DP545" s="3850"/>
      <c r="DQ545" s="3850"/>
      <c r="DR545" s="3850"/>
      <c r="DS545" s="3850"/>
      <c r="DT545" s="3850"/>
      <c r="DU545" s="3850"/>
      <c r="DV545" s="3850"/>
      <c r="DW545" s="3850"/>
      <c r="DX545" s="3850"/>
      <c r="DY545" s="3850"/>
      <c r="DZ545" s="3850"/>
      <c r="EA545" s="3850"/>
    </row>
    <row r="546" spans="1:131" s="3849" customFormat="1">
      <c r="A546" s="3852"/>
      <c r="B546" s="3840"/>
      <c r="C546" s="3870"/>
      <c r="D546" s="3893"/>
      <c r="E546" s="3883"/>
      <c r="F546" s="3874"/>
      <c r="G546" s="3875"/>
      <c r="H546" s="3874"/>
      <c r="I546" s="3875"/>
      <c r="J546" s="3874"/>
      <c r="K546" s="3876"/>
      <c r="L546" s="3874"/>
      <c r="N546" s="3846"/>
      <c r="O546" s="3847"/>
      <c r="P546" s="3853"/>
      <c r="AV546" s="3850"/>
      <c r="AX546" s="3850"/>
      <c r="AY546" s="3850"/>
      <c r="AZ546" s="3850"/>
      <c r="BA546" s="3850"/>
      <c r="BB546" s="3850"/>
      <c r="BC546" s="3850"/>
      <c r="BD546" s="3850"/>
      <c r="BE546" s="3850"/>
      <c r="BF546" s="3850"/>
      <c r="BG546" s="3850"/>
      <c r="BH546" s="3850"/>
      <c r="BI546" s="3850"/>
      <c r="BJ546" s="3850"/>
      <c r="BK546" s="3850"/>
      <c r="BL546" s="3850"/>
      <c r="BM546" s="3850"/>
      <c r="BN546" s="3850"/>
      <c r="BO546" s="3850"/>
      <c r="BP546" s="3850"/>
      <c r="BQ546" s="3850"/>
      <c r="BR546" s="3850"/>
      <c r="BS546" s="3850"/>
      <c r="BT546" s="3850"/>
      <c r="BU546" s="3850"/>
      <c r="BV546" s="3850"/>
      <c r="BW546" s="3850"/>
      <c r="BX546" s="3850"/>
      <c r="BY546" s="3850"/>
      <c r="BZ546" s="3850"/>
      <c r="CA546" s="3850"/>
      <c r="CB546" s="3850"/>
      <c r="CC546" s="3850"/>
      <c r="CD546" s="3850"/>
      <c r="CE546" s="3850"/>
      <c r="CF546" s="3850"/>
      <c r="CG546" s="3850"/>
      <c r="CH546" s="3850"/>
      <c r="CI546" s="3850"/>
      <c r="CJ546" s="3850"/>
      <c r="CK546" s="3850"/>
      <c r="CL546" s="3850"/>
      <c r="CM546" s="3850"/>
      <c r="CN546" s="3850"/>
      <c r="CO546" s="3850"/>
      <c r="CP546" s="3850"/>
      <c r="CQ546" s="3850"/>
      <c r="CR546" s="3850"/>
      <c r="CS546" s="3850"/>
      <c r="CT546" s="3850"/>
      <c r="CU546" s="3850"/>
      <c r="CV546" s="3850"/>
      <c r="CW546" s="3850"/>
      <c r="CX546" s="3850"/>
      <c r="CY546" s="3850"/>
      <c r="CZ546" s="3850"/>
      <c r="DA546" s="3850"/>
      <c r="DB546" s="3850"/>
      <c r="DC546" s="3850"/>
      <c r="DD546" s="3850"/>
      <c r="DE546" s="3850"/>
      <c r="DF546" s="3850"/>
      <c r="DG546" s="3850"/>
      <c r="DH546" s="3850"/>
      <c r="DI546" s="3850"/>
      <c r="DJ546" s="3850"/>
      <c r="DK546" s="3850"/>
      <c r="DL546" s="3850"/>
      <c r="DM546" s="3850"/>
      <c r="DN546" s="3850"/>
      <c r="DO546" s="3850"/>
      <c r="DP546" s="3850"/>
      <c r="DQ546" s="3850"/>
      <c r="DR546" s="3850"/>
      <c r="DS546" s="3850"/>
      <c r="DT546" s="3850"/>
      <c r="DU546" s="3850"/>
      <c r="DV546" s="3850"/>
      <c r="DW546" s="3850"/>
      <c r="DX546" s="3850"/>
      <c r="DY546" s="3850"/>
      <c r="DZ546" s="3850"/>
      <c r="EA546" s="3850"/>
    </row>
    <row r="547" spans="1:131" s="3849" customFormat="1">
      <c r="A547" s="3852"/>
      <c r="B547" s="3840"/>
      <c r="C547" s="3870"/>
      <c r="D547" s="3893"/>
      <c r="E547" s="3883"/>
      <c r="F547" s="3874"/>
      <c r="G547" s="3875"/>
      <c r="H547" s="3874"/>
      <c r="I547" s="3875"/>
      <c r="J547" s="3874"/>
      <c r="K547" s="3876"/>
      <c r="L547" s="3874"/>
      <c r="N547" s="3846"/>
      <c r="O547" s="3847"/>
      <c r="P547" s="3853"/>
      <c r="AV547" s="3850"/>
      <c r="AX547" s="3850"/>
      <c r="AY547" s="3850"/>
      <c r="AZ547" s="3850"/>
      <c r="BA547" s="3850"/>
      <c r="BB547" s="3850"/>
      <c r="BC547" s="3850"/>
      <c r="BD547" s="3850"/>
      <c r="BE547" s="3850"/>
      <c r="BF547" s="3850"/>
      <c r="BG547" s="3850"/>
      <c r="BH547" s="3850"/>
      <c r="BI547" s="3850"/>
      <c r="BJ547" s="3850"/>
      <c r="BK547" s="3850"/>
      <c r="BL547" s="3850"/>
      <c r="BM547" s="3850"/>
      <c r="BN547" s="3850"/>
      <c r="BO547" s="3850"/>
      <c r="BP547" s="3850"/>
      <c r="BQ547" s="3850"/>
      <c r="BR547" s="3850"/>
      <c r="BS547" s="3850"/>
      <c r="BT547" s="3850"/>
      <c r="BU547" s="3850"/>
      <c r="BV547" s="3850"/>
      <c r="BW547" s="3850"/>
      <c r="BX547" s="3850"/>
      <c r="BY547" s="3850"/>
      <c r="BZ547" s="3850"/>
      <c r="CA547" s="3850"/>
      <c r="CB547" s="3850"/>
      <c r="CC547" s="3850"/>
      <c r="CD547" s="3850"/>
      <c r="CE547" s="3850"/>
      <c r="CF547" s="3850"/>
      <c r="CG547" s="3850"/>
      <c r="CH547" s="3850"/>
      <c r="CI547" s="3850"/>
      <c r="CJ547" s="3850"/>
      <c r="CK547" s="3850"/>
      <c r="CL547" s="3850"/>
      <c r="CM547" s="3850"/>
      <c r="CN547" s="3850"/>
      <c r="CO547" s="3850"/>
      <c r="CP547" s="3850"/>
      <c r="CQ547" s="3850"/>
      <c r="CR547" s="3850"/>
      <c r="CS547" s="3850"/>
      <c r="CT547" s="3850"/>
      <c r="CU547" s="3850"/>
      <c r="CV547" s="3850"/>
      <c r="CW547" s="3850"/>
      <c r="CX547" s="3850"/>
      <c r="CY547" s="3850"/>
      <c r="CZ547" s="3850"/>
      <c r="DA547" s="3850"/>
      <c r="DB547" s="3850"/>
      <c r="DC547" s="3850"/>
      <c r="DD547" s="3850"/>
      <c r="DE547" s="3850"/>
      <c r="DF547" s="3850"/>
      <c r="DG547" s="3850"/>
      <c r="DH547" s="3850"/>
      <c r="DI547" s="3850"/>
      <c r="DJ547" s="3850"/>
      <c r="DK547" s="3850"/>
      <c r="DL547" s="3850"/>
      <c r="DM547" s="3850"/>
      <c r="DN547" s="3850"/>
      <c r="DO547" s="3850"/>
      <c r="DP547" s="3850"/>
      <c r="DQ547" s="3850"/>
      <c r="DR547" s="3850"/>
      <c r="DS547" s="3850"/>
      <c r="DT547" s="3850"/>
      <c r="DU547" s="3850"/>
      <c r="DV547" s="3850"/>
      <c r="DW547" s="3850"/>
      <c r="DX547" s="3850"/>
      <c r="DY547" s="3850"/>
      <c r="DZ547" s="3850"/>
      <c r="EA547" s="3850"/>
    </row>
    <row r="548" spans="1:131" s="3849" customFormat="1">
      <c r="A548" s="3852"/>
      <c r="B548" s="3840"/>
      <c r="C548" s="3870"/>
      <c r="D548" s="3893"/>
      <c r="E548" s="3883"/>
      <c r="F548" s="3874"/>
      <c r="G548" s="3875"/>
      <c r="H548" s="3874"/>
      <c r="I548" s="3875"/>
      <c r="J548" s="3874"/>
      <c r="K548" s="3876"/>
      <c r="L548" s="3874"/>
      <c r="N548" s="3846"/>
      <c r="O548" s="3847"/>
      <c r="P548" s="3853"/>
      <c r="AV548" s="3850"/>
      <c r="AX548" s="3850"/>
      <c r="AY548" s="3850"/>
      <c r="AZ548" s="3850"/>
      <c r="BA548" s="3850"/>
      <c r="BB548" s="3850"/>
      <c r="BC548" s="3850"/>
      <c r="BD548" s="3850"/>
      <c r="BE548" s="3850"/>
      <c r="BF548" s="3850"/>
      <c r="BG548" s="3850"/>
      <c r="BH548" s="3850"/>
      <c r="BI548" s="3850"/>
      <c r="BJ548" s="3850"/>
      <c r="BK548" s="3850"/>
      <c r="BL548" s="3850"/>
      <c r="BM548" s="3850"/>
      <c r="BN548" s="3850"/>
      <c r="BO548" s="3850"/>
      <c r="BP548" s="3850"/>
      <c r="BQ548" s="3850"/>
      <c r="BR548" s="3850"/>
      <c r="BS548" s="3850"/>
      <c r="BT548" s="3850"/>
      <c r="BU548" s="3850"/>
      <c r="BV548" s="3850"/>
      <c r="BW548" s="3850"/>
      <c r="BX548" s="3850"/>
      <c r="BY548" s="3850"/>
      <c r="BZ548" s="3850"/>
      <c r="CA548" s="3850"/>
      <c r="CB548" s="3850"/>
      <c r="CC548" s="3850"/>
      <c r="CD548" s="3850"/>
      <c r="CE548" s="3850"/>
      <c r="CF548" s="3850"/>
      <c r="CG548" s="3850"/>
      <c r="CH548" s="3850"/>
      <c r="CI548" s="3850"/>
      <c r="CJ548" s="3850"/>
      <c r="CK548" s="3850"/>
      <c r="CL548" s="3850"/>
      <c r="CM548" s="3850"/>
      <c r="CN548" s="3850"/>
      <c r="CO548" s="3850"/>
      <c r="CP548" s="3850"/>
      <c r="CQ548" s="3850"/>
      <c r="CR548" s="3850"/>
      <c r="CS548" s="3850"/>
      <c r="CT548" s="3850"/>
      <c r="CU548" s="3850"/>
      <c r="CV548" s="3850"/>
      <c r="CW548" s="3850"/>
      <c r="CX548" s="3850"/>
      <c r="CY548" s="3850"/>
      <c r="CZ548" s="3850"/>
      <c r="DA548" s="3850"/>
      <c r="DB548" s="3850"/>
      <c r="DC548" s="3850"/>
      <c r="DD548" s="3850"/>
      <c r="DE548" s="3850"/>
      <c r="DF548" s="3850"/>
      <c r="DG548" s="3850"/>
      <c r="DH548" s="3850"/>
      <c r="DI548" s="3850"/>
      <c r="DJ548" s="3850"/>
      <c r="DK548" s="3850"/>
      <c r="DL548" s="3850"/>
      <c r="DM548" s="3850"/>
      <c r="DN548" s="3850"/>
      <c r="DO548" s="3850"/>
      <c r="DP548" s="3850"/>
      <c r="DQ548" s="3850"/>
      <c r="DR548" s="3850"/>
      <c r="DS548" s="3850"/>
      <c r="DT548" s="3850"/>
      <c r="DU548" s="3850"/>
      <c r="DV548" s="3850"/>
      <c r="DW548" s="3850"/>
      <c r="DX548" s="3850"/>
      <c r="DY548" s="3850"/>
      <c r="DZ548" s="3850"/>
      <c r="EA548" s="3850"/>
    </row>
    <row r="549" spans="1:131" s="3849" customFormat="1">
      <c r="A549" s="3852"/>
      <c r="B549" s="3840"/>
      <c r="C549" s="3870"/>
      <c r="D549" s="3893"/>
      <c r="E549" s="3883"/>
      <c r="F549" s="3874"/>
      <c r="G549" s="3875"/>
      <c r="H549" s="3874"/>
      <c r="I549" s="3875"/>
      <c r="J549" s="3874"/>
      <c r="K549" s="3876"/>
      <c r="L549" s="3874"/>
      <c r="N549" s="3846"/>
      <c r="O549" s="3847"/>
      <c r="P549" s="3853"/>
      <c r="AV549" s="3850"/>
      <c r="AX549" s="3850"/>
      <c r="AY549" s="3850"/>
      <c r="AZ549" s="3850"/>
      <c r="BA549" s="3850"/>
      <c r="BB549" s="3850"/>
      <c r="BC549" s="3850"/>
      <c r="BD549" s="3850"/>
      <c r="BE549" s="3850"/>
      <c r="BF549" s="3850"/>
      <c r="BG549" s="3850"/>
      <c r="BH549" s="3850"/>
      <c r="BI549" s="3850"/>
      <c r="BJ549" s="3850"/>
      <c r="BK549" s="3850"/>
      <c r="BL549" s="3850"/>
      <c r="BM549" s="3850"/>
      <c r="BN549" s="3850"/>
      <c r="BO549" s="3850"/>
      <c r="BP549" s="3850"/>
      <c r="BQ549" s="3850"/>
      <c r="BR549" s="3850"/>
      <c r="BS549" s="3850"/>
      <c r="BT549" s="3850"/>
      <c r="BU549" s="3850"/>
      <c r="BV549" s="3850"/>
      <c r="BW549" s="3850"/>
      <c r="BX549" s="3850"/>
      <c r="BY549" s="3850"/>
      <c r="BZ549" s="3850"/>
      <c r="CA549" s="3850"/>
      <c r="CB549" s="3850"/>
      <c r="CC549" s="3850"/>
      <c r="CD549" s="3850"/>
      <c r="CE549" s="3850"/>
      <c r="CF549" s="3850"/>
      <c r="CG549" s="3850"/>
      <c r="CH549" s="3850"/>
      <c r="CI549" s="3850"/>
      <c r="CJ549" s="3850"/>
      <c r="CK549" s="3850"/>
      <c r="CL549" s="3850"/>
      <c r="CM549" s="3850"/>
      <c r="CN549" s="3850"/>
      <c r="CO549" s="3850"/>
      <c r="CP549" s="3850"/>
      <c r="CQ549" s="3850"/>
      <c r="CR549" s="3850"/>
      <c r="CS549" s="3850"/>
      <c r="CT549" s="3850"/>
      <c r="CU549" s="3850"/>
      <c r="CV549" s="3850"/>
      <c r="CW549" s="3850"/>
      <c r="CX549" s="3850"/>
      <c r="CY549" s="3850"/>
      <c r="CZ549" s="3850"/>
      <c r="DA549" s="3850"/>
      <c r="DB549" s="3850"/>
      <c r="DC549" s="3850"/>
      <c r="DD549" s="3850"/>
      <c r="DE549" s="3850"/>
      <c r="DF549" s="3850"/>
      <c r="DG549" s="3850"/>
      <c r="DH549" s="3850"/>
      <c r="DI549" s="3850"/>
      <c r="DJ549" s="3850"/>
      <c r="DK549" s="3850"/>
      <c r="DL549" s="3850"/>
      <c r="DM549" s="3850"/>
      <c r="DN549" s="3850"/>
      <c r="DO549" s="3850"/>
      <c r="DP549" s="3850"/>
      <c r="DQ549" s="3850"/>
      <c r="DR549" s="3850"/>
      <c r="DS549" s="3850"/>
      <c r="DT549" s="3850"/>
      <c r="DU549" s="3850"/>
      <c r="DV549" s="3850"/>
      <c r="DW549" s="3850"/>
      <c r="DX549" s="3850"/>
      <c r="DY549" s="3850"/>
      <c r="DZ549" s="3850"/>
      <c r="EA549" s="3850"/>
    </row>
    <row r="550" spans="1:131" s="3849" customFormat="1">
      <c r="A550" s="3852"/>
      <c r="B550" s="3840"/>
      <c r="C550" s="3870"/>
      <c r="D550" s="3893"/>
      <c r="E550" s="3883"/>
      <c r="F550" s="3874"/>
      <c r="G550" s="3875"/>
      <c r="H550" s="3874"/>
      <c r="I550" s="3875"/>
      <c r="J550" s="3874"/>
      <c r="K550" s="3876"/>
      <c r="L550" s="3874"/>
      <c r="N550" s="3846"/>
      <c r="O550" s="3847"/>
      <c r="P550" s="3853"/>
      <c r="AV550" s="3850"/>
      <c r="AX550" s="3850"/>
      <c r="AY550" s="3850"/>
      <c r="AZ550" s="3850"/>
      <c r="BA550" s="3850"/>
      <c r="BB550" s="3850"/>
      <c r="BC550" s="3850"/>
      <c r="BD550" s="3850"/>
      <c r="BE550" s="3850"/>
      <c r="BF550" s="3850"/>
      <c r="BG550" s="3850"/>
      <c r="BH550" s="3850"/>
      <c r="BI550" s="3850"/>
      <c r="BJ550" s="3850"/>
      <c r="BK550" s="3850"/>
      <c r="BL550" s="3850"/>
      <c r="BM550" s="3850"/>
      <c r="BN550" s="3850"/>
      <c r="BO550" s="3850"/>
      <c r="BP550" s="3850"/>
      <c r="BQ550" s="3850"/>
      <c r="BR550" s="3850"/>
      <c r="BS550" s="3850"/>
      <c r="BT550" s="3850"/>
      <c r="BU550" s="3850"/>
      <c r="BV550" s="3850"/>
      <c r="BW550" s="3850"/>
      <c r="BX550" s="3850"/>
      <c r="BY550" s="3850"/>
      <c r="BZ550" s="3850"/>
      <c r="CA550" s="3850"/>
      <c r="CB550" s="3850"/>
      <c r="CC550" s="3850"/>
      <c r="CD550" s="3850"/>
      <c r="CE550" s="3850"/>
      <c r="CF550" s="3850"/>
      <c r="CG550" s="3850"/>
      <c r="CH550" s="3850"/>
      <c r="CI550" s="3850"/>
      <c r="CJ550" s="3850"/>
      <c r="CK550" s="3850"/>
      <c r="CL550" s="3850"/>
      <c r="CM550" s="3850"/>
      <c r="CN550" s="3850"/>
      <c r="CO550" s="3850"/>
      <c r="CP550" s="3850"/>
      <c r="CQ550" s="3850"/>
      <c r="CR550" s="3850"/>
      <c r="CS550" s="3850"/>
      <c r="CT550" s="3850"/>
      <c r="CU550" s="3850"/>
      <c r="CV550" s="3850"/>
      <c r="CW550" s="3850"/>
      <c r="CX550" s="3850"/>
      <c r="CY550" s="3850"/>
      <c r="CZ550" s="3850"/>
      <c r="DA550" s="3850"/>
      <c r="DB550" s="3850"/>
      <c r="DC550" s="3850"/>
      <c r="DD550" s="3850"/>
      <c r="DE550" s="3850"/>
      <c r="DF550" s="3850"/>
      <c r="DG550" s="3850"/>
      <c r="DH550" s="3850"/>
      <c r="DI550" s="3850"/>
      <c r="DJ550" s="3850"/>
      <c r="DK550" s="3850"/>
      <c r="DL550" s="3850"/>
      <c r="DM550" s="3850"/>
      <c r="DN550" s="3850"/>
      <c r="DO550" s="3850"/>
      <c r="DP550" s="3850"/>
      <c r="DQ550" s="3850"/>
      <c r="DR550" s="3850"/>
      <c r="DS550" s="3850"/>
      <c r="DT550" s="3850"/>
      <c r="DU550" s="3850"/>
      <c r="DV550" s="3850"/>
      <c r="DW550" s="3850"/>
      <c r="DX550" s="3850"/>
      <c r="DY550" s="3850"/>
      <c r="DZ550" s="3850"/>
      <c r="EA550" s="3850"/>
    </row>
    <row r="551" spans="1:131" s="3849" customFormat="1">
      <c r="A551" s="3852"/>
      <c r="B551" s="3840"/>
      <c r="C551" s="3870"/>
      <c r="D551" s="3893"/>
      <c r="E551" s="3883"/>
      <c r="F551" s="3874"/>
      <c r="G551" s="3875"/>
      <c r="H551" s="3874"/>
      <c r="I551" s="3875"/>
      <c r="J551" s="3874"/>
      <c r="K551" s="3876"/>
      <c r="L551" s="3874"/>
      <c r="N551" s="3846"/>
      <c r="O551" s="3847"/>
      <c r="P551" s="3853"/>
      <c r="AV551" s="3850"/>
      <c r="AX551" s="3850"/>
      <c r="AY551" s="3850"/>
      <c r="AZ551" s="3850"/>
      <c r="BA551" s="3850"/>
      <c r="BB551" s="3850"/>
      <c r="BC551" s="3850"/>
      <c r="BD551" s="3850"/>
      <c r="BE551" s="3850"/>
      <c r="BF551" s="3850"/>
      <c r="BG551" s="3850"/>
      <c r="BH551" s="3850"/>
      <c r="BI551" s="3850"/>
      <c r="BJ551" s="3850"/>
      <c r="BK551" s="3850"/>
      <c r="BL551" s="3850"/>
      <c r="BM551" s="3850"/>
      <c r="BN551" s="3850"/>
      <c r="BO551" s="3850"/>
      <c r="BP551" s="3850"/>
      <c r="BQ551" s="3850"/>
      <c r="BR551" s="3850"/>
      <c r="BS551" s="3850"/>
      <c r="BT551" s="3850"/>
      <c r="BU551" s="3850"/>
      <c r="BV551" s="3850"/>
      <c r="BW551" s="3850"/>
      <c r="BX551" s="3850"/>
      <c r="BY551" s="3850"/>
      <c r="BZ551" s="3850"/>
      <c r="CA551" s="3850"/>
      <c r="CB551" s="3850"/>
      <c r="CC551" s="3850"/>
      <c r="CD551" s="3850"/>
      <c r="CE551" s="3850"/>
      <c r="CF551" s="3850"/>
      <c r="CG551" s="3850"/>
      <c r="CH551" s="3850"/>
      <c r="CI551" s="3850"/>
      <c r="CJ551" s="3850"/>
      <c r="CK551" s="3850"/>
      <c r="CL551" s="3850"/>
      <c r="CM551" s="3850"/>
      <c r="CN551" s="3850"/>
      <c r="CO551" s="3850"/>
      <c r="CP551" s="3850"/>
      <c r="CQ551" s="3850"/>
      <c r="CR551" s="3850"/>
      <c r="CS551" s="3850"/>
      <c r="CT551" s="3850"/>
      <c r="CU551" s="3850"/>
      <c r="CV551" s="3850"/>
      <c r="CW551" s="3850"/>
      <c r="CX551" s="3850"/>
      <c r="CY551" s="3850"/>
      <c r="CZ551" s="3850"/>
      <c r="DA551" s="3850"/>
      <c r="DB551" s="3850"/>
      <c r="DC551" s="3850"/>
      <c r="DD551" s="3850"/>
      <c r="DE551" s="3850"/>
      <c r="DF551" s="3850"/>
      <c r="DG551" s="3850"/>
      <c r="DH551" s="3850"/>
      <c r="DI551" s="3850"/>
      <c r="DJ551" s="3850"/>
      <c r="DK551" s="3850"/>
      <c r="DL551" s="3850"/>
      <c r="DM551" s="3850"/>
      <c r="DN551" s="3850"/>
      <c r="DO551" s="3850"/>
      <c r="DP551" s="3850"/>
      <c r="DQ551" s="3850"/>
      <c r="DR551" s="3850"/>
      <c r="DS551" s="3850"/>
      <c r="DT551" s="3850"/>
      <c r="DU551" s="3850"/>
      <c r="DV551" s="3850"/>
      <c r="DW551" s="3850"/>
      <c r="DX551" s="3850"/>
      <c r="DY551" s="3850"/>
      <c r="DZ551" s="3850"/>
      <c r="EA551" s="3850"/>
    </row>
    <row r="552" spans="1:131" s="3849" customFormat="1">
      <c r="A552" s="3852"/>
      <c r="B552" s="3840"/>
      <c r="C552" s="3870"/>
      <c r="D552" s="3893"/>
      <c r="E552" s="3883"/>
      <c r="F552" s="3874"/>
      <c r="G552" s="3875"/>
      <c r="H552" s="3874"/>
      <c r="I552" s="3875"/>
      <c r="J552" s="3874"/>
      <c r="K552" s="3876"/>
      <c r="L552" s="3874"/>
      <c r="N552" s="3846"/>
      <c r="O552" s="3847"/>
      <c r="P552" s="3853"/>
      <c r="AV552" s="3850"/>
      <c r="AX552" s="3850"/>
      <c r="AY552" s="3850"/>
      <c r="AZ552" s="3850"/>
      <c r="BA552" s="3850"/>
      <c r="BB552" s="3850"/>
      <c r="BC552" s="3850"/>
      <c r="BD552" s="3850"/>
      <c r="BE552" s="3850"/>
      <c r="BF552" s="3850"/>
      <c r="BG552" s="3850"/>
      <c r="BH552" s="3850"/>
      <c r="BI552" s="3850"/>
      <c r="BJ552" s="3850"/>
      <c r="BK552" s="3850"/>
      <c r="BL552" s="3850"/>
      <c r="BM552" s="3850"/>
      <c r="BN552" s="3850"/>
      <c r="BO552" s="3850"/>
      <c r="BP552" s="3850"/>
      <c r="BQ552" s="3850"/>
      <c r="BR552" s="3850"/>
      <c r="BS552" s="3850"/>
      <c r="BT552" s="3850"/>
      <c r="BU552" s="3850"/>
      <c r="BV552" s="3850"/>
      <c r="BW552" s="3850"/>
      <c r="BX552" s="3850"/>
      <c r="BY552" s="3850"/>
      <c r="BZ552" s="3850"/>
      <c r="CA552" s="3850"/>
      <c r="CB552" s="3850"/>
      <c r="CC552" s="3850"/>
      <c r="CD552" s="3850"/>
      <c r="CE552" s="3850"/>
      <c r="CF552" s="3850"/>
      <c r="CG552" s="3850"/>
      <c r="CH552" s="3850"/>
      <c r="CI552" s="3850"/>
      <c r="CJ552" s="3850"/>
      <c r="CK552" s="3850"/>
      <c r="CL552" s="3850"/>
      <c r="CM552" s="3850"/>
      <c r="CN552" s="3850"/>
      <c r="CO552" s="3850"/>
      <c r="CP552" s="3850"/>
      <c r="CQ552" s="3850"/>
      <c r="CR552" s="3850"/>
      <c r="CS552" s="3850"/>
      <c r="CT552" s="3850"/>
      <c r="CU552" s="3850"/>
      <c r="CV552" s="3850"/>
      <c r="CW552" s="3850"/>
      <c r="CX552" s="3850"/>
      <c r="CY552" s="3850"/>
      <c r="CZ552" s="3850"/>
      <c r="DA552" s="3850"/>
      <c r="DB552" s="3850"/>
      <c r="DC552" s="3850"/>
      <c r="DD552" s="3850"/>
      <c r="DE552" s="3850"/>
      <c r="DF552" s="3850"/>
      <c r="DG552" s="3850"/>
      <c r="DH552" s="3850"/>
      <c r="DI552" s="3850"/>
      <c r="DJ552" s="3850"/>
      <c r="DK552" s="3850"/>
      <c r="DL552" s="3850"/>
      <c r="DM552" s="3850"/>
      <c r="DN552" s="3850"/>
      <c r="DO552" s="3850"/>
      <c r="DP552" s="3850"/>
      <c r="DQ552" s="3850"/>
      <c r="DR552" s="3850"/>
      <c r="DS552" s="3850"/>
      <c r="DT552" s="3850"/>
      <c r="DU552" s="3850"/>
      <c r="DV552" s="3850"/>
      <c r="DW552" s="3850"/>
      <c r="DX552" s="3850"/>
      <c r="DY552" s="3850"/>
      <c r="DZ552" s="3850"/>
      <c r="EA552" s="3850"/>
    </row>
    <row r="553" spans="1:131" s="3849" customFormat="1">
      <c r="A553" s="3852"/>
      <c r="B553" s="3840"/>
      <c r="C553" s="3870"/>
      <c r="D553" s="3893"/>
      <c r="E553" s="3883"/>
      <c r="F553" s="3874"/>
      <c r="G553" s="3875"/>
      <c r="H553" s="3874"/>
      <c r="I553" s="3875"/>
      <c r="J553" s="3874"/>
      <c r="K553" s="3876"/>
      <c r="L553" s="3874"/>
      <c r="N553" s="3846"/>
      <c r="O553" s="3847"/>
      <c r="P553" s="3853"/>
      <c r="AV553" s="3850"/>
      <c r="AX553" s="3850"/>
      <c r="AY553" s="3850"/>
      <c r="AZ553" s="3850"/>
      <c r="BA553" s="3850"/>
      <c r="BB553" s="3850"/>
      <c r="BC553" s="3850"/>
      <c r="BD553" s="3850"/>
      <c r="BE553" s="3850"/>
      <c r="BF553" s="3850"/>
      <c r="BG553" s="3850"/>
      <c r="BH553" s="3850"/>
      <c r="BI553" s="3850"/>
      <c r="BJ553" s="3850"/>
      <c r="BK553" s="3850"/>
      <c r="BL553" s="3850"/>
      <c r="BM553" s="3850"/>
      <c r="BN553" s="3850"/>
      <c r="BO553" s="3850"/>
      <c r="BP553" s="3850"/>
      <c r="BQ553" s="3850"/>
      <c r="BR553" s="3850"/>
      <c r="BS553" s="3850"/>
      <c r="BT553" s="3850"/>
      <c r="BU553" s="3850"/>
      <c r="BV553" s="3850"/>
      <c r="BW553" s="3850"/>
      <c r="BX553" s="3850"/>
      <c r="BY553" s="3850"/>
      <c r="BZ553" s="3850"/>
      <c r="CA553" s="3850"/>
      <c r="CB553" s="3850"/>
      <c r="CC553" s="3850"/>
      <c r="CD553" s="3850"/>
      <c r="CE553" s="3850"/>
      <c r="CF553" s="3850"/>
      <c r="CG553" s="3850"/>
      <c r="CH553" s="3850"/>
      <c r="CI553" s="3850"/>
      <c r="CJ553" s="3850"/>
      <c r="CK553" s="3850"/>
      <c r="CL553" s="3850"/>
      <c r="CM553" s="3850"/>
      <c r="CN553" s="3850"/>
      <c r="CO553" s="3850"/>
      <c r="CP553" s="3850"/>
      <c r="CQ553" s="3850"/>
      <c r="CR553" s="3850"/>
      <c r="CS553" s="3850"/>
      <c r="CT553" s="3850"/>
      <c r="CU553" s="3850"/>
      <c r="CV553" s="3850"/>
      <c r="CW553" s="3850"/>
      <c r="CX553" s="3850"/>
      <c r="CY553" s="3850"/>
      <c r="CZ553" s="3850"/>
      <c r="DA553" s="3850"/>
      <c r="DB553" s="3850"/>
      <c r="DC553" s="3850"/>
      <c r="DD553" s="3850"/>
      <c r="DE553" s="3850"/>
      <c r="DF553" s="3850"/>
      <c r="DG553" s="3850"/>
      <c r="DH553" s="3850"/>
      <c r="DI553" s="3850"/>
      <c r="DJ553" s="3850"/>
      <c r="DK553" s="3850"/>
      <c r="DL553" s="3850"/>
      <c r="DM553" s="3850"/>
      <c r="DN553" s="3850"/>
      <c r="DO553" s="3850"/>
      <c r="DP553" s="3850"/>
      <c r="DQ553" s="3850"/>
      <c r="DR553" s="3850"/>
      <c r="DS553" s="3850"/>
      <c r="DT553" s="3850"/>
      <c r="DU553" s="3850"/>
      <c r="DV553" s="3850"/>
      <c r="DW553" s="3850"/>
      <c r="DX553" s="3850"/>
      <c r="DY553" s="3850"/>
      <c r="DZ553" s="3850"/>
      <c r="EA553" s="3850"/>
    </row>
    <row r="554" spans="1:131" s="3849" customFormat="1">
      <c r="A554" s="3852"/>
      <c r="B554" s="3840"/>
      <c r="C554" s="3870"/>
      <c r="D554" s="3893"/>
      <c r="E554" s="3883"/>
      <c r="F554" s="3874"/>
      <c r="G554" s="3875"/>
      <c r="H554" s="3874"/>
      <c r="I554" s="3875"/>
      <c r="J554" s="3874"/>
      <c r="K554" s="3876"/>
      <c r="L554" s="3874"/>
      <c r="N554" s="3846"/>
      <c r="O554" s="3847"/>
      <c r="P554" s="3853"/>
      <c r="AV554" s="3850"/>
      <c r="AX554" s="3850"/>
      <c r="AY554" s="3850"/>
      <c r="AZ554" s="3850"/>
      <c r="BA554" s="3850"/>
      <c r="BB554" s="3850"/>
      <c r="BC554" s="3850"/>
      <c r="BD554" s="3850"/>
      <c r="BE554" s="3850"/>
      <c r="BF554" s="3850"/>
      <c r="BG554" s="3850"/>
      <c r="BH554" s="3850"/>
      <c r="BI554" s="3850"/>
      <c r="BJ554" s="3850"/>
      <c r="BK554" s="3850"/>
      <c r="BL554" s="3850"/>
      <c r="BM554" s="3850"/>
      <c r="BN554" s="3850"/>
      <c r="BO554" s="3850"/>
      <c r="BP554" s="3850"/>
      <c r="BQ554" s="3850"/>
      <c r="BR554" s="3850"/>
      <c r="BS554" s="3850"/>
      <c r="BT554" s="3850"/>
      <c r="BU554" s="3850"/>
      <c r="BV554" s="3850"/>
      <c r="BW554" s="3850"/>
      <c r="BX554" s="3850"/>
      <c r="BY554" s="3850"/>
      <c r="BZ554" s="3850"/>
      <c r="CA554" s="3850"/>
      <c r="CB554" s="3850"/>
      <c r="CC554" s="3850"/>
      <c r="CD554" s="3850"/>
      <c r="CE554" s="3850"/>
      <c r="CF554" s="3850"/>
      <c r="CG554" s="3850"/>
      <c r="CH554" s="3850"/>
      <c r="CI554" s="3850"/>
      <c r="CJ554" s="3850"/>
      <c r="CK554" s="3850"/>
      <c r="CL554" s="3850"/>
      <c r="CM554" s="3850"/>
      <c r="CN554" s="3850"/>
      <c r="CO554" s="3850"/>
      <c r="CP554" s="3850"/>
      <c r="CQ554" s="3850"/>
      <c r="CR554" s="3850"/>
      <c r="CS554" s="3850"/>
      <c r="CT554" s="3850"/>
      <c r="CU554" s="3850"/>
      <c r="CV554" s="3850"/>
      <c r="CW554" s="3850"/>
      <c r="CX554" s="3850"/>
      <c r="CY554" s="3850"/>
      <c r="CZ554" s="3850"/>
      <c r="DA554" s="3850"/>
      <c r="DB554" s="3850"/>
      <c r="DC554" s="3850"/>
      <c r="DD554" s="3850"/>
      <c r="DE554" s="3850"/>
      <c r="DF554" s="3850"/>
      <c r="DG554" s="3850"/>
      <c r="DH554" s="3850"/>
      <c r="DI554" s="3850"/>
      <c r="DJ554" s="3850"/>
      <c r="DK554" s="3850"/>
      <c r="DL554" s="3850"/>
      <c r="DM554" s="3850"/>
      <c r="DN554" s="3850"/>
      <c r="DO554" s="3850"/>
      <c r="DP554" s="3850"/>
      <c r="DQ554" s="3850"/>
      <c r="DR554" s="3850"/>
      <c r="DS554" s="3850"/>
      <c r="DT554" s="3850"/>
      <c r="DU554" s="3850"/>
      <c r="DV554" s="3850"/>
      <c r="DW554" s="3850"/>
      <c r="DX554" s="3850"/>
      <c r="DY554" s="3850"/>
      <c r="DZ554" s="3850"/>
      <c r="EA554" s="3850"/>
    </row>
    <row r="555" spans="1:131" s="3849" customFormat="1">
      <c r="A555" s="3852"/>
      <c r="B555" s="3840"/>
      <c r="C555" s="3870"/>
      <c r="D555" s="3893"/>
      <c r="E555" s="3883"/>
      <c r="F555" s="3874"/>
      <c r="G555" s="3875"/>
      <c r="H555" s="3874"/>
      <c r="I555" s="3875"/>
      <c r="J555" s="3874"/>
      <c r="K555" s="3876"/>
      <c r="L555" s="3874"/>
      <c r="N555" s="3846"/>
      <c r="O555" s="3847"/>
      <c r="P555" s="3853"/>
      <c r="AV555" s="3850"/>
      <c r="AX555" s="3850"/>
      <c r="AY555" s="3850"/>
      <c r="AZ555" s="3850"/>
      <c r="BA555" s="3850"/>
      <c r="BB555" s="3850"/>
      <c r="BC555" s="3850"/>
      <c r="BD555" s="3850"/>
      <c r="BE555" s="3850"/>
      <c r="BF555" s="3850"/>
      <c r="BG555" s="3850"/>
      <c r="BH555" s="3850"/>
      <c r="BI555" s="3850"/>
      <c r="BJ555" s="3850"/>
      <c r="BK555" s="3850"/>
      <c r="BL555" s="3850"/>
      <c r="BM555" s="3850"/>
      <c r="BN555" s="3850"/>
      <c r="BO555" s="3850"/>
      <c r="BP555" s="3850"/>
      <c r="BQ555" s="3850"/>
      <c r="BR555" s="3850"/>
      <c r="BS555" s="3850"/>
      <c r="BT555" s="3850"/>
      <c r="BU555" s="3850"/>
      <c r="BV555" s="3850"/>
      <c r="BW555" s="3850"/>
      <c r="BX555" s="3850"/>
      <c r="BY555" s="3850"/>
      <c r="BZ555" s="3850"/>
      <c r="CA555" s="3850"/>
      <c r="CB555" s="3850"/>
      <c r="CC555" s="3850"/>
      <c r="CD555" s="3850"/>
      <c r="CE555" s="3850"/>
      <c r="CF555" s="3850"/>
      <c r="CG555" s="3850"/>
      <c r="CH555" s="3850"/>
      <c r="CI555" s="3850"/>
      <c r="CJ555" s="3850"/>
      <c r="CK555" s="3850"/>
      <c r="CL555" s="3850"/>
      <c r="CM555" s="3850"/>
      <c r="CN555" s="3850"/>
      <c r="CO555" s="3850"/>
      <c r="CP555" s="3850"/>
      <c r="CQ555" s="3850"/>
      <c r="CR555" s="3850"/>
      <c r="CS555" s="3850"/>
      <c r="CT555" s="3850"/>
      <c r="CU555" s="3850"/>
      <c r="CV555" s="3850"/>
      <c r="CW555" s="3850"/>
      <c r="CX555" s="3850"/>
      <c r="CY555" s="3850"/>
      <c r="CZ555" s="3850"/>
      <c r="DA555" s="3850"/>
      <c r="DB555" s="3850"/>
      <c r="DC555" s="3850"/>
      <c r="DD555" s="3850"/>
      <c r="DE555" s="3850"/>
      <c r="DF555" s="3850"/>
      <c r="DG555" s="3850"/>
      <c r="DH555" s="3850"/>
      <c r="DI555" s="3850"/>
      <c r="DJ555" s="3850"/>
      <c r="DK555" s="3850"/>
      <c r="DL555" s="3850"/>
      <c r="DM555" s="3850"/>
      <c r="DN555" s="3850"/>
      <c r="DO555" s="3850"/>
      <c r="DP555" s="3850"/>
      <c r="DQ555" s="3850"/>
      <c r="DR555" s="3850"/>
      <c r="DS555" s="3850"/>
      <c r="DT555" s="3850"/>
      <c r="DU555" s="3850"/>
      <c r="DV555" s="3850"/>
      <c r="DW555" s="3850"/>
      <c r="DX555" s="3850"/>
      <c r="DY555" s="3850"/>
      <c r="DZ555" s="3850"/>
      <c r="EA555" s="3850"/>
    </row>
    <row r="556" spans="1:131" s="3849" customFormat="1">
      <c r="A556" s="3852"/>
      <c r="B556" s="3840"/>
      <c r="C556" s="3870"/>
      <c r="D556" s="3893"/>
      <c r="E556" s="3883"/>
      <c r="F556" s="3874"/>
      <c r="G556" s="3875"/>
      <c r="H556" s="3874"/>
      <c r="I556" s="3875"/>
      <c r="J556" s="3874"/>
      <c r="K556" s="3876"/>
      <c r="L556" s="3874"/>
      <c r="N556" s="3846"/>
      <c r="O556" s="3847"/>
      <c r="P556" s="3853"/>
      <c r="AV556" s="3850"/>
      <c r="AX556" s="3850"/>
      <c r="AY556" s="3850"/>
      <c r="AZ556" s="3850"/>
      <c r="BA556" s="3850"/>
      <c r="BB556" s="3850"/>
      <c r="BC556" s="3850"/>
      <c r="BD556" s="3850"/>
      <c r="BE556" s="3850"/>
      <c r="BF556" s="3850"/>
      <c r="BG556" s="3850"/>
      <c r="BH556" s="3850"/>
      <c r="BI556" s="3850"/>
      <c r="BJ556" s="3850"/>
      <c r="BK556" s="3850"/>
      <c r="BL556" s="3850"/>
      <c r="BM556" s="3850"/>
      <c r="BN556" s="3850"/>
      <c r="BO556" s="3850"/>
      <c r="BP556" s="3850"/>
      <c r="BQ556" s="3850"/>
      <c r="BR556" s="3850"/>
      <c r="BS556" s="3850"/>
      <c r="BT556" s="3850"/>
      <c r="BU556" s="3850"/>
      <c r="BV556" s="3850"/>
      <c r="BW556" s="3850"/>
      <c r="BX556" s="3850"/>
      <c r="BY556" s="3850"/>
      <c r="BZ556" s="3850"/>
      <c r="CA556" s="3850"/>
      <c r="CB556" s="3850"/>
      <c r="CC556" s="3850"/>
      <c r="CD556" s="3850"/>
      <c r="CE556" s="3850"/>
      <c r="CF556" s="3850"/>
      <c r="CG556" s="3850"/>
      <c r="CH556" s="3850"/>
      <c r="CI556" s="3850"/>
      <c r="CJ556" s="3850"/>
      <c r="CK556" s="3850"/>
      <c r="CL556" s="3850"/>
      <c r="CM556" s="3850"/>
      <c r="CN556" s="3850"/>
      <c r="CO556" s="3850"/>
      <c r="CP556" s="3850"/>
      <c r="CQ556" s="3850"/>
      <c r="CR556" s="3850"/>
      <c r="CS556" s="3850"/>
      <c r="CT556" s="3850"/>
      <c r="CU556" s="3850"/>
      <c r="CV556" s="3850"/>
      <c r="CW556" s="3850"/>
      <c r="CX556" s="3850"/>
      <c r="CY556" s="3850"/>
      <c r="CZ556" s="3850"/>
      <c r="DA556" s="3850"/>
      <c r="DB556" s="3850"/>
      <c r="DC556" s="3850"/>
      <c r="DD556" s="3850"/>
      <c r="DE556" s="3850"/>
      <c r="DF556" s="3850"/>
      <c r="DG556" s="3850"/>
      <c r="DH556" s="3850"/>
      <c r="DI556" s="3850"/>
      <c r="DJ556" s="3850"/>
      <c r="DK556" s="3850"/>
      <c r="DL556" s="3850"/>
      <c r="DM556" s="3850"/>
      <c r="DN556" s="3850"/>
      <c r="DO556" s="3850"/>
      <c r="DP556" s="3850"/>
      <c r="DQ556" s="3850"/>
      <c r="DR556" s="3850"/>
      <c r="DS556" s="3850"/>
      <c r="DT556" s="3850"/>
      <c r="DU556" s="3850"/>
      <c r="DV556" s="3850"/>
      <c r="DW556" s="3850"/>
      <c r="DX556" s="3850"/>
      <c r="DY556" s="3850"/>
      <c r="DZ556" s="3850"/>
      <c r="EA556" s="3850"/>
    </row>
    <row r="557" spans="1:131" s="3849" customFormat="1">
      <c r="A557" s="3852"/>
      <c r="B557" s="3840"/>
      <c r="C557" s="3870"/>
      <c r="D557" s="3893"/>
      <c r="E557" s="3883"/>
      <c r="F557" s="3874"/>
      <c r="G557" s="3875"/>
      <c r="H557" s="3874"/>
      <c r="I557" s="3875"/>
      <c r="J557" s="3874"/>
      <c r="K557" s="3876"/>
      <c r="L557" s="3874"/>
      <c r="N557" s="3846"/>
      <c r="O557" s="3847"/>
      <c r="P557" s="3853"/>
      <c r="AV557" s="3850"/>
      <c r="AX557" s="3850"/>
      <c r="AY557" s="3850"/>
      <c r="AZ557" s="3850"/>
      <c r="BA557" s="3850"/>
      <c r="BB557" s="3850"/>
      <c r="BC557" s="3850"/>
      <c r="BD557" s="3850"/>
      <c r="BE557" s="3850"/>
      <c r="BF557" s="3850"/>
      <c r="BG557" s="3850"/>
      <c r="BH557" s="3850"/>
      <c r="BI557" s="3850"/>
      <c r="BJ557" s="3850"/>
      <c r="BK557" s="3850"/>
      <c r="BL557" s="3850"/>
      <c r="BM557" s="3850"/>
      <c r="BN557" s="3850"/>
      <c r="BO557" s="3850"/>
      <c r="BP557" s="3850"/>
      <c r="BQ557" s="3850"/>
      <c r="BR557" s="3850"/>
      <c r="BS557" s="3850"/>
      <c r="BT557" s="3850"/>
      <c r="BU557" s="3850"/>
      <c r="BV557" s="3850"/>
      <c r="BW557" s="3850"/>
      <c r="BX557" s="3850"/>
      <c r="BY557" s="3850"/>
      <c r="BZ557" s="3850"/>
      <c r="CA557" s="3850"/>
      <c r="CB557" s="3850"/>
      <c r="CC557" s="3850"/>
      <c r="CD557" s="3850"/>
      <c r="CE557" s="3850"/>
      <c r="CF557" s="3850"/>
      <c r="CG557" s="3850"/>
      <c r="CH557" s="3850"/>
      <c r="CI557" s="3850"/>
      <c r="CJ557" s="3850"/>
      <c r="CK557" s="3850"/>
      <c r="CL557" s="3850"/>
      <c r="CM557" s="3850"/>
      <c r="CN557" s="3850"/>
      <c r="CO557" s="3850"/>
      <c r="CP557" s="3850"/>
      <c r="CQ557" s="3850"/>
      <c r="CR557" s="3850"/>
      <c r="CS557" s="3850"/>
      <c r="CT557" s="3850"/>
      <c r="CU557" s="3850"/>
      <c r="CV557" s="3850"/>
      <c r="CW557" s="3850"/>
      <c r="CX557" s="3850"/>
      <c r="CY557" s="3850"/>
      <c r="CZ557" s="3850"/>
      <c r="DA557" s="3850"/>
      <c r="DB557" s="3850"/>
      <c r="DC557" s="3850"/>
      <c r="DD557" s="3850"/>
      <c r="DE557" s="3850"/>
      <c r="DF557" s="3850"/>
      <c r="DG557" s="3850"/>
      <c r="DH557" s="3850"/>
      <c r="DI557" s="3850"/>
      <c r="DJ557" s="3850"/>
      <c r="DK557" s="3850"/>
      <c r="DL557" s="3850"/>
      <c r="DM557" s="3850"/>
      <c r="DN557" s="3850"/>
      <c r="DO557" s="3850"/>
      <c r="DP557" s="3850"/>
      <c r="DQ557" s="3850"/>
      <c r="DR557" s="3850"/>
      <c r="DS557" s="3850"/>
      <c r="DT557" s="3850"/>
      <c r="DU557" s="3850"/>
      <c r="DV557" s="3850"/>
      <c r="DW557" s="3850"/>
      <c r="DX557" s="3850"/>
      <c r="DY557" s="3850"/>
      <c r="DZ557" s="3850"/>
      <c r="EA557" s="3850"/>
    </row>
    <row r="558" spans="1:131" s="3849" customFormat="1">
      <c r="A558" s="3852"/>
      <c r="B558" s="3840"/>
      <c r="C558" s="3870"/>
      <c r="D558" s="3893"/>
      <c r="E558" s="3883"/>
      <c r="F558" s="3874"/>
      <c r="G558" s="3875"/>
      <c r="H558" s="3874"/>
      <c r="I558" s="3875"/>
      <c r="J558" s="3874"/>
      <c r="K558" s="3876"/>
      <c r="L558" s="3874"/>
      <c r="N558" s="3846"/>
      <c r="O558" s="3847"/>
      <c r="P558" s="3853"/>
      <c r="AV558" s="3850"/>
      <c r="AX558" s="3850"/>
      <c r="AY558" s="3850"/>
      <c r="AZ558" s="3850"/>
      <c r="BA558" s="3850"/>
      <c r="BB558" s="3850"/>
      <c r="BC558" s="3850"/>
      <c r="BD558" s="3850"/>
      <c r="BE558" s="3850"/>
      <c r="BF558" s="3850"/>
      <c r="BG558" s="3850"/>
      <c r="BH558" s="3850"/>
      <c r="BI558" s="3850"/>
      <c r="BJ558" s="3850"/>
      <c r="BK558" s="3850"/>
      <c r="BL558" s="3850"/>
      <c r="BM558" s="3850"/>
      <c r="BN558" s="3850"/>
      <c r="BO558" s="3850"/>
      <c r="BP558" s="3850"/>
      <c r="BQ558" s="3850"/>
      <c r="BR558" s="3850"/>
      <c r="BS558" s="3850"/>
      <c r="BT558" s="3850"/>
      <c r="BU558" s="3850"/>
      <c r="BV558" s="3850"/>
      <c r="BW558" s="3850"/>
      <c r="BX558" s="3850"/>
      <c r="BY558" s="3850"/>
      <c r="BZ558" s="3850"/>
      <c r="CA558" s="3850"/>
      <c r="CB558" s="3850"/>
      <c r="CC558" s="3850"/>
      <c r="CD558" s="3850"/>
      <c r="CE558" s="3850"/>
      <c r="CF558" s="3850"/>
      <c r="CG558" s="3850"/>
      <c r="CH558" s="3850"/>
      <c r="CI558" s="3850"/>
      <c r="CJ558" s="3850"/>
      <c r="CK558" s="3850"/>
      <c r="CL558" s="3850"/>
      <c r="CM558" s="3850"/>
      <c r="CN558" s="3850"/>
      <c r="CO558" s="3850"/>
      <c r="CP558" s="3850"/>
      <c r="CQ558" s="3850"/>
      <c r="CR558" s="3850"/>
      <c r="CS558" s="3850"/>
      <c r="CT558" s="3850"/>
      <c r="CU558" s="3850"/>
      <c r="CV558" s="3850"/>
      <c r="CW558" s="3850"/>
      <c r="CX558" s="3850"/>
      <c r="CY558" s="3850"/>
      <c r="CZ558" s="3850"/>
      <c r="DA558" s="3850"/>
      <c r="DB558" s="3850"/>
      <c r="DC558" s="3850"/>
      <c r="DD558" s="3850"/>
      <c r="DE558" s="3850"/>
      <c r="DF558" s="3850"/>
      <c r="DG558" s="3850"/>
      <c r="DH558" s="3850"/>
      <c r="DI558" s="3850"/>
      <c r="DJ558" s="3850"/>
      <c r="DK558" s="3850"/>
      <c r="DL558" s="3850"/>
      <c r="DM558" s="3850"/>
      <c r="DN558" s="3850"/>
      <c r="DO558" s="3850"/>
      <c r="DP558" s="3850"/>
      <c r="DQ558" s="3850"/>
      <c r="DR558" s="3850"/>
      <c r="DS558" s="3850"/>
      <c r="DT558" s="3850"/>
      <c r="DU558" s="3850"/>
      <c r="DV558" s="3850"/>
      <c r="DW558" s="3850"/>
      <c r="DX558" s="3850"/>
      <c r="DY558" s="3850"/>
      <c r="DZ558" s="3850"/>
      <c r="EA558" s="3850"/>
    </row>
    <row r="559" spans="1:131" s="3849" customFormat="1">
      <c r="A559" s="3852"/>
      <c r="B559" s="3840"/>
      <c r="C559" s="3870"/>
      <c r="D559" s="3893"/>
      <c r="E559" s="3883"/>
      <c r="F559" s="3874"/>
      <c r="G559" s="3875"/>
      <c r="H559" s="3874"/>
      <c r="I559" s="3875"/>
      <c r="J559" s="3874"/>
      <c r="K559" s="3876"/>
      <c r="L559" s="3874"/>
      <c r="N559" s="3846"/>
      <c r="O559" s="3847"/>
      <c r="P559" s="3853"/>
      <c r="AV559" s="3850"/>
      <c r="AX559" s="3850"/>
      <c r="AY559" s="3850"/>
      <c r="AZ559" s="3850"/>
      <c r="BA559" s="3850"/>
      <c r="BB559" s="3850"/>
      <c r="BC559" s="3850"/>
      <c r="BD559" s="3850"/>
      <c r="BE559" s="3850"/>
      <c r="BF559" s="3850"/>
      <c r="BG559" s="3850"/>
      <c r="BH559" s="3850"/>
      <c r="BI559" s="3850"/>
      <c r="BJ559" s="3850"/>
      <c r="BK559" s="3850"/>
      <c r="BL559" s="3850"/>
      <c r="BM559" s="3850"/>
      <c r="BN559" s="3850"/>
      <c r="BO559" s="3850"/>
      <c r="BP559" s="3850"/>
      <c r="BQ559" s="3850"/>
      <c r="BR559" s="3850"/>
      <c r="BS559" s="3850"/>
      <c r="BT559" s="3850"/>
      <c r="BU559" s="3850"/>
      <c r="BV559" s="3850"/>
      <c r="BW559" s="3850"/>
      <c r="BX559" s="3850"/>
      <c r="BY559" s="3850"/>
      <c r="BZ559" s="3850"/>
      <c r="CA559" s="3850"/>
      <c r="CB559" s="3850"/>
      <c r="CC559" s="3850"/>
      <c r="CD559" s="3850"/>
      <c r="CE559" s="3850"/>
      <c r="CF559" s="3850"/>
      <c r="CG559" s="3850"/>
      <c r="CH559" s="3850"/>
      <c r="CI559" s="3850"/>
      <c r="CJ559" s="3850"/>
      <c r="CK559" s="3850"/>
      <c r="CL559" s="3850"/>
      <c r="CM559" s="3850"/>
      <c r="CN559" s="3850"/>
      <c r="CO559" s="3850"/>
      <c r="CP559" s="3850"/>
      <c r="CQ559" s="3850"/>
      <c r="CR559" s="3850"/>
      <c r="CS559" s="3850"/>
      <c r="CT559" s="3850"/>
      <c r="CU559" s="3850"/>
      <c r="CV559" s="3850"/>
      <c r="CW559" s="3850"/>
      <c r="CX559" s="3850"/>
      <c r="CY559" s="3850"/>
      <c r="CZ559" s="3850"/>
      <c r="DA559" s="3850"/>
      <c r="DB559" s="3850"/>
      <c r="DC559" s="3850"/>
      <c r="DD559" s="3850"/>
      <c r="DE559" s="3850"/>
      <c r="DF559" s="3850"/>
      <c r="DG559" s="3850"/>
      <c r="DH559" s="3850"/>
      <c r="DI559" s="3850"/>
      <c r="DJ559" s="3850"/>
      <c r="DK559" s="3850"/>
      <c r="DL559" s="3850"/>
      <c r="DM559" s="3850"/>
      <c r="DN559" s="3850"/>
      <c r="DO559" s="3850"/>
      <c r="DP559" s="3850"/>
      <c r="DQ559" s="3850"/>
      <c r="DR559" s="3850"/>
      <c r="DS559" s="3850"/>
      <c r="DT559" s="3850"/>
      <c r="DU559" s="3850"/>
      <c r="DV559" s="3850"/>
      <c r="DW559" s="3850"/>
      <c r="DX559" s="3850"/>
      <c r="DY559" s="3850"/>
      <c r="DZ559" s="3850"/>
      <c r="EA559" s="3850"/>
    </row>
    <row r="560" spans="1:131" s="3849" customFormat="1">
      <c r="A560" s="3852"/>
      <c r="B560" s="3840"/>
      <c r="C560" s="3870"/>
      <c r="D560" s="3893"/>
      <c r="E560" s="3883"/>
      <c r="F560" s="3874"/>
      <c r="G560" s="3875"/>
      <c r="H560" s="3874"/>
      <c r="I560" s="3875"/>
      <c r="J560" s="3874"/>
      <c r="K560" s="3876"/>
      <c r="L560" s="3874"/>
      <c r="N560" s="3846"/>
      <c r="O560" s="3847"/>
      <c r="P560" s="3853"/>
      <c r="AV560" s="3850"/>
      <c r="AX560" s="3850"/>
      <c r="AY560" s="3850"/>
      <c r="AZ560" s="3850"/>
      <c r="BA560" s="3850"/>
      <c r="BB560" s="3850"/>
      <c r="BC560" s="3850"/>
      <c r="BD560" s="3850"/>
      <c r="BE560" s="3850"/>
      <c r="BF560" s="3850"/>
      <c r="BG560" s="3850"/>
      <c r="BH560" s="3850"/>
      <c r="BI560" s="3850"/>
      <c r="BJ560" s="3850"/>
      <c r="BK560" s="3850"/>
      <c r="BL560" s="3850"/>
      <c r="BM560" s="3850"/>
      <c r="BN560" s="3850"/>
      <c r="BO560" s="3850"/>
      <c r="BP560" s="3850"/>
      <c r="BQ560" s="3850"/>
      <c r="BR560" s="3850"/>
      <c r="BS560" s="3850"/>
      <c r="BT560" s="3850"/>
      <c r="BU560" s="3850"/>
      <c r="BV560" s="3850"/>
      <c r="BW560" s="3850"/>
      <c r="BX560" s="3850"/>
      <c r="BY560" s="3850"/>
      <c r="BZ560" s="3850"/>
      <c r="CA560" s="3850"/>
      <c r="CB560" s="3850"/>
      <c r="CC560" s="3850"/>
      <c r="CD560" s="3850"/>
      <c r="CE560" s="3850"/>
      <c r="CF560" s="3850"/>
      <c r="CG560" s="3850"/>
      <c r="CH560" s="3850"/>
      <c r="CI560" s="3850"/>
      <c r="CJ560" s="3850"/>
      <c r="CK560" s="3850"/>
      <c r="CL560" s="3850"/>
      <c r="CM560" s="3850"/>
      <c r="CN560" s="3850"/>
      <c r="CO560" s="3850"/>
      <c r="CP560" s="3850"/>
      <c r="CQ560" s="3850"/>
      <c r="CR560" s="3850"/>
      <c r="CS560" s="3850"/>
      <c r="CT560" s="3850"/>
      <c r="CU560" s="3850"/>
      <c r="CV560" s="3850"/>
      <c r="CW560" s="3850"/>
      <c r="CX560" s="3850"/>
      <c r="CY560" s="3850"/>
      <c r="CZ560" s="3850"/>
      <c r="DA560" s="3850"/>
      <c r="DB560" s="3850"/>
      <c r="DC560" s="3850"/>
      <c r="DD560" s="3850"/>
      <c r="DE560" s="3850"/>
      <c r="DF560" s="3850"/>
      <c r="DG560" s="3850"/>
      <c r="DH560" s="3850"/>
      <c r="DI560" s="3850"/>
      <c r="DJ560" s="3850"/>
      <c r="DK560" s="3850"/>
      <c r="DL560" s="3850"/>
      <c r="DM560" s="3850"/>
      <c r="DN560" s="3850"/>
      <c r="DO560" s="3850"/>
      <c r="DP560" s="3850"/>
      <c r="DQ560" s="3850"/>
      <c r="DR560" s="3850"/>
      <c r="DS560" s="3850"/>
      <c r="DT560" s="3850"/>
      <c r="DU560" s="3850"/>
      <c r="DV560" s="3850"/>
      <c r="DW560" s="3850"/>
      <c r="DX560" s="3850"/>
      <c r="DY560" s="3850"/>
      <c r="DZ560" s="3850"/>
      <c r="EA560" s="3850"/>
    </row>
    <row r="561" spans="1:131" s="3849" customFormat="1">
      <c r="A561" s="3852"/>
      <c r="B561" s="3840"/>
      <c r="C561" s="3870"/>
      <c r="D561" s="3893"/>
      <c r="E561" s="3883"/>
      <c r="F561" s="3874"/>
      <c r="G561" s="3875"/>
      <c r="H561" s="3874"/>
      <c r="I561" s="3875"/>
      <c r="J561" s="3874"/>
      <c r="K561" s="3876"/>
      <c r="L561" s="3874"/>
      <c r="N561" s="3846"/>
      <c r="O561" s="3847"/>
      <c r="P561" s="3853"/>
      <c r="AV561" s="3850"/>
      <c r="AX561" s="3850"/>
      <c r="AY561" s="3850"/>
      <c r="AZ561" s="3850"/>
      <c r="BA561" s="3850"/>
      <c r="BB561" s="3850"/>
      <c r="BC561" s="3850"/>
      <c r="BD561" s="3850"/>
      <c r="BE561" s="3850"/>
      <c r="BF561" s="3850"/>
      <c r="BG561" s="3850"/>
      <c r="BH561" s="3850"/>
      <c r="BI561" s="3850"/>
      <c r="BJ561" s="3850"/>
      <c r="BK561" s="3850"/>
      <c r="BL561" s="3850"/>
      <c r="BM561" s="3850"/>
      <c r="BN561" s="3850"/>
      <c r="BO561" s="3850"/>
      <c r="BP561" s="3850"/>
      <c r="BQ561" s="3850"/>
      <c r="BR561" s="3850"/>
      <c r="BS561" s="3850"/>
      <c r="BT561" s="3850"/>
      <c r="BU561" s="3850"/>
      <c r="BV561" s="3850"/>
      <c r="BW561" s="3850"/>
      <c r="BX561" s="3850"/>
      <c r="BY561" s="3850"/>
      <c r="BZ561" s="3850"/>
      <c r="CA561" s="3850"/>
      <c r="CB561" s="3850"/>
      <c r="CC561" s="3850"/>
      <c r="CD561" s="3850"/>
      <c r="CE561" s="3850"/>
      <c r="CF561" s="3850"/>
      <c r="CG561" s="3850"/>
      <c r="CH561" s="3850"/>
      <c r="CI561" s="3850"/>
      <c r="CJ561" s="3850"/>
      <c r="CK561" s="3850"/>
      <c r="CL561" s="3850"/>
      <c r="CM561" s="3850"/>
      <c r="CN561" s="3850"/>
      <c r="CO561" s="3850"/>
      <c r="CP561" s="3850"/>
      <c r="CQ561" s="3850"/>
      <c r="CR561" s="3850"/>
      <c r="CS561" s="3850"/>
      <c r="CT561" s="3850"/>
      <c r="CU561" s="3850"/>
      <c r="CV561" s="3850"/>
      <c r="CW561" s="3850"/>
      <c r="CX561" s="3850"/>
      <c r="CY561" s="3850"/>
      <c r="CZ561" s="3850"/>
      <c r="DA561" s="3850"/>
      <c r="DB561" s="3850"/>
      <c r="DC561" s="3850"/>
      <c r="DD561" s="3850"/>
      <c r="DE561" s="3850"/>
      <c r="DF561" s="3850"/>
      <c r="DG561" s="3850"/>
      <c r="DH561" s="3850"/>
      <c r="DI561" s="3850"/>
      <c r="DJ561" s="3850"/>
      <c r="DK561" s="3850"/>
      <c r="DL561" s="3850"/>
      <c r="DM561" s="3850"/>
      <c r="DN561" s="3850"/>
      <c r="DO561" s="3850"/>
      <c r="DP561" s="3850"/>
      <c r="DQ561" s="3850"/>
      <c r="DR561" s="3850"/>
      <c r="DS561" s="3850"/>
      <c r="DT561" s="3850"/>
      <c r="DU561" s="3850"/>
      <c r="DV561" s="3850"/>
      <c r="DW561" s="3850"/>
      <c r="DX561" s="3850"/>
      <c r="DY561" s="3850"/>
      <c r="DZ561" s="3850"/>
      <c r="EA561" s="3850"/>
    </row>
    <row r="562" spans="1:131" s="3849" customFormat="1">
      <c r="A562" s="3852"/>
      <c r="B562" s="3840"/>
      <c r="C562" s="3870"/>
      <c r="D562" s="3893"/>
      <c r="E562" s="3883"/>
      <c r="F562" s="3874"/>
      <c r="G562" s="3875"/>
      <c r="H562" s="3874"/>
      <c r="I562" s="3875"/>
      <c r="J562" s="3874"/>
      <c r="K562" s="3876"/>
      <c r="L562" s="3874"/>
      <c r="N562" s="3846"/>
      <c r="O562" s="3847"/>
      <c r="P562" s="3853"/>
      <c r="AV562" s="3850"/>
      <c r="AX562" s="3850"/>
      <c r="AY562" s="3850"/>
      <c r="AZ562" s="3850"/>
      <c r="BA562" s="3850"/>
      <c r="BB562" s="3850"/>
      <c r="BC562" s="3850"/>
      <c r="BD562" s="3850"/>
      <c r="BE562" s="3850"/>
      <c r="BF562" s="3850"/>
      <c r="BG562" s="3850"/>
      <c r="BH562" s="3850"/>
      <c r="BI562" s="3850"/>
      <c r="BJ562" s="3850"/>
      <c r="BK562" s="3850"/>
      <c r="BL562" s="3850"/>
      <c r="BM562" s="3850"/>
      <c r="BN562" s="3850"/>
      <c r="BO562" s="3850"/>
      <c r="BP562" s="3850"/>
      <c r="BQ562" s="3850"/>
      <c r="BR562" s="3850"/>
      <c r="BS562" s="3850"/>
      <c r="BT562" s="3850"/>
      <c r="BU562" s="3850"/>
      <c r="BV562" s="3850"/>
      <c r="BW562" s="3850"/>
      <c r="BX562" s="3850"/>
      <c r="BY562" s="3850"/>
      <c r="BZ562" s="3850"/>
      <c r="CA562" s="3850"/>
      <c r="CB562" s="3850"/>
      <c r="CC562" s="3850"/>
      <c r="CD562" s="3850"/>
      <c r="CE562" s="3850"/>
      <c r="CF562" s="3850"/>
      <c r="CG562" s="3850"/>
      <c r="CH562" s="3850"/>
      <c r="CI562" s="3850"/>
      <c r="CJ562" s="3850"/>
      <c r="CK562" s="3850"/>
      <c r="CL562" s="3850"/>
      <c r="CM562" s="3850"/>
      <c r="CN562" s="3850"/>
      <c r="CO562" s="3850"/>
      <c r="CP562" s="3850"/>
      <c r="CQ562" s="3850"/>
      <c r="CR562" s="3850"/>
      <c r="CS562" s="3850"/>
      <c r="CT562" s="3850"/>
      <c r="CU562" s="3850"/>
      <c r="CV562" s="3850"/>
      <c r="CW562" s="3850"/>
      <c r="CX562" s="3850"/>
      <c r="CY562" s="3850"/>
      <c r="CZ562" s="3850"/>
      <c r="DA562" s="3850"/>
      <c r="DB562" s="3850"/>
      <c r="DC562" s="3850"/>
      <c r="DD562" s="3850"/>
      <c r="DE562" s="3850"/>
      <c r="DF562" s="3850"/>
      <c r="DG562" s="3850"/>
      <c r="DH562" s="3850"/>
      <c r="DI562" s="3850"/>
      <c r="DJ562" s="3850"/>
      <c r="DK562" s="3850"/>
      <c r="DL562" s="3850"/>
      <c r="DM562" s="3850"/>
      <c r="DN562" s="3850"/>
      <c r="DO562" s="3850"/>
      <c r="DP562" s="3850"/>
      <c r="DQ562" s="3850"/>
      <c r="DR562" s="3850"/>
      <c r="DS562" s="3850"/>
      <c r="DT562" s="3850"/>
      <c r="DU562" s="3850"/>
      <c r="DV562" s="3850"/>
      <c r="DW562" s="3850"/>
      <c r="DX562" s="3850"/>
      <c r="DY562" s="3850"/>
      <c r="DZ562" s="3850"/>
      <c r="EA562" s="3850"/>
    </row>
    <row r="563" spans="1:131" s="3849" customFormat="1">
      <c r="A563" s="3852"/>
      <c r="B563" s="3840"/>
      <c r="C563" s="3870"/>
      <c r="D563" s="3893"/>
      <c r="E563" s="3883"/>
      <c r="F563" s="3874"/>
      <c r="G563" s="3875"/>
      <c r="H563" s="3874"/>
      <c r="I563" s="3875"/>
      <c r="J563" s="3874"/>
      <c r="K563" s="3876"/>
      <c r="L563" s="3874"/>
      <c r="N563" s="3846"/>
      <c r="O563" s="3847"/>
      <c r="P563" s="3853"/>
      <c r="AV563" s="3850"/>
      <c r="AX563" s="3850"/>
      <c r="AY563" s="3850"/>
      <c r="AZ563" s="3850"/>
      <c r="BA563" s="3850"/>
      <c r="BB563" s="3850"/>
      <c r="BC563" s="3850"/>
      <c r="BD563" s="3850"/>
      <c r="BE563" s="3850"/>
      <c r="BF563" s="3850"/>
      <c r="BG563" s="3850"/>
      <c r="BH563" s="3850"/>
      <c r="BI563" s="3850"/>
      <c r="BJ563" s="3850"/>
      <c r="BK563" s="3850"/>
      <c r="BL563" s="3850"/>
      <c r="BM563" s="3850"/>
      <c r="BN563" s="3850"/>
      <c r="BO563" s="3850"/>
      <c r="BP563" s="3850"/>
      <c r="BQ563" s="3850"/>
      <c r="BR563" s="3850"/>
      <c r="BS563" s="3850"/>
      <c r="BT563" s="3850"/>
      <c r="BU563" s="3850"/>
      <c r="BV563" s="3850"/>
      <c r="BW563" s="3850"/>
      <c r="BX563" s="3850"/>
      <c r="BY563" s="3850"/>
      <c r="BZ563" s="3850"/>
      <c r="CA563" s="3850"/>
      <c r="CB563" s="3850"/>
      <c r="CC563" s="3850"/>
      <c r="CD563" s="3850"/>
      <c r="CE563" s="3850"/>
      <c r="CF563" s="3850"/>
      <c r="CG563" s="3850"/>
      <c r="CH563" s="3850"/>
      <c r="CI563" s="3850"/>
      <c r="CJ563" s="3850"/>
      <c r="CK563" s="3850"/>
      <c r="CL563" s="3850"/>
      <c r="CM563" s="3850"/>
      <c r="CN563" s="3850"/>
      <c r="CO563" s="3850"/>
      <c r="CP563" s="3850"/>
      <c r="CQ563" s="3850"/>
      <c r="CR563" s="3850"/>
      <c r="CS563" s="3850"/>
      <c r="CT563" s="3850"/>
      <c r="CU563" s="3850"/>
      <c r="CV563" s="3850"/>
      <c r="CW563" s="3850"/>
      <c r="CX563" s="3850"/>
      <c r="CY563" s="3850"/>
      <c r="CZ563" s="3850"/>
      <c r="DA563" s="3850"/>
      <c r="DB563" s="3850"/>
      <c r="DC563" s="3850"/>
      <c r="DD563" s="3850"/>
      <c r="DE563" s="3850"/>
      <c r="DF563" s="3850"/>
      <c r="DG563" s="3850"/>
      <c r="DH563" s="3850"/>
      <c r="DI563" s="3850"/>
      <c r="DJ563" s="3850"/>
      <c r="DK563" s="3850"/>
      <c r="DL563" s="3850"/>
      <c r="DM563" s="3850"/>
      <c r="DN563" s="3850"/>
      <c r="DO563" s="3850"/>
      <c r="DP563" s="3850"/>
      <c r="DQ563" s="3850"/>
      <c r="DR563" s="3850"/>
      <c r="DS563" s="3850"/>
      <c r="DT563" s="3850"/>
      <c r="DU563" s="3850"/>
      <c r="DV563" s="3850"/>
      <c r="DW563" s="3850"/>
      <c r="DX563" s="3850"/>
      <c r="DY563" s="3850"/>
      <c r="DZ563" s="3850"/>
      <c r="EA563" s="3850"/>
    </row>
    <row r="564" spans="1:131" s="3849" customFormat="1">
      <c r="A564" s="3852"/>
      <c r="B564" s="3840"/>
      <c r="C564" s="3870"/>
      <c r="D564" s="3893"/>
      <c r="E564" s="3883"/>
      <c r="F564" s="3874"/>
      <c r="G564" s="3875"/>
      <c r="H564" s="3874"/>
      <c r="I564" s="3875"/>
      <c r="J564" s="3874"/>
      <c r="K564" s="3876"/>
      <c r="L564" s="3874"/>
      <c r="N564" s="3846"/>
      <c r="O564" s="3847"/>
      <c r="P564" s="3853"/>
      <c r="AV564" s="3850"/>
      <c r="AX564" s="3850"/>
      <c r="AY564" s="3850"/>
      <c r="AZ564" s="3850"/>
      <c r="BA564" s="3850"/>
      <c r="BB564" s="3850"/>
      <c r="BC564" s="3850"/>
      <c r="BD564" s="3850"/>
      <c r="BE564" s="3850"/>
      <c r="BF564" s="3850"/>
      <c r="BG564" s="3850"/>
      <c r="BH564" s="3850"/>
      <c r="BI564" s="3850"/>
      <c r="BJ564" s="3850"/>
      <c r="BK564" s="3850"/>
      <c r="BL564" s="3850"/>
      <c r="BM564" s="3850"/>
      <c r="BN564" s="3850"/>
      <c r="BO564" s="3850"/>
      <c r="BP564" s="3850"/>
      <c r="BQ564" s="3850"/>
      <c r="BR564" s="3850"/>
      <c r="BS564" s="3850"/>
      <c r="BT564" s="3850"/>
      <c r="BU564" s="3850"/>
      <c r="BV564" s="3850"/>
      <c r="BW564" s="3850"/>
      <c r="BX564" s="3850"/>
      <c r="BY564" s="3850"/>
      <c r="BZ564" s="3850"/>
      <c r="CA564" s="3850"/>
      <c r="CB564" s="3850"/>
      <c r="CC564" s="3850"/>
      <c r="CD564" s="3850"/>
      <c r="CE564" s="3850"/>
      <c r="CF564" s="3850"/>
      <c r="CG564" s="3850"/>
      <c r="CH564" s="3850"/>
      <c r="CI564" s="3850"/>
      <c r="CJ564" s="3850"/>
      <c r="CK564" s="3850"/>
      <c r="CL564" s="3850"/>
      <c r="CM564" s="3850"/>
      <c r="CN564" s="3850"/>
      <c r="CO564" s="3850"/>
      <c r="CP564" s="3850"/>
      <c r="CQ564" s="3850"/>
      <c r="CR564" s="3850"/>
      <c r="CS564" s="3850"/>
      <c r="CT564" s="3850"/>
      <c r="CU564" s="3850"/>
      <c r="CV564" s="3850"/>
      <c r="CW564" s="3850"/>
      <c r="CX564" s="3850"/>
      <c r="CY564" s="3850"/>
      <c r="CZ564" s="3850"/>
      <c r="DA564" s="3850"/>
      <c r="DB564" s="3850"/>
      <c r="DC564" s="3850"/>
      <c r="DD564" s="3850"/>
      <c r="DE564" s="3850"/>
      <c r="DF564" s="3850"/>
      <c r="DG564" s="3850"/>
      <c r="DH564" s="3850"/>
      <c r="DI564" s="3850"/>
      <c r="DJ564" s="3850"/>
      <c r="DK564" s="3850"/>
      <c r="DL564" s="3850"/>
      <c r="DM564" s="3850"/>
      <c r="DN564" s="3850"/>
      <c r="DO564" s="3850"/>
      <c r="DP564" s="3850"/>
      <c r="DQ564" s="3850"/>
      <c r="DR564" s="3850"/>
      <c r="DS564" s="3850"/>
      <c r="DT564" s="3850"/>
      <c r="DU564" s="3850"/>
      <c r="DV564" s="3850"/>
      <c r="DW564" s="3850"/>
      <c r="DX564" s="3850"/>
      <c r="DY564" s="3850"/>
      <c r="DZ564" s="3850"/>
      <c r="EA564" s="3850"/>
    </row>
    <row r="565" spans="1:131" s="3849" customFormat="1">
      <c r="A565" s="3852"/>
      <c r="B565" s="3840"/>
      <c r="C565" s="3870"/>
      <c r="D565" s="3893"/>
      <c r="E565" s="3883"/>
      <c r="F565" s="3874"/>
      <c r="G565" s="3875"/>
      <c r="H565" s="3874"/>
      <c r="I565" s="3875"/>
      <c r="J565" s="3874"/>
      <c r="K565" s="3876"/>
      <c r="L565" s="3874"/>
      <c r="N565" s="3846"/>
      <c r="O565" s="3847"/>
      <c r="P565" s="3853"/>
      <c r="AV565" s="3850"/>
      <c r="AX565" s="3850"/>
      <c r="AY565" s="3850"/>
      <c r="AZ565" s="3850"/>
      <c r="BA565" s="3850"/>
      <c r="BB565" s="3850"/>
      <c r="BC565" s="3850"/>
      <c r="BD565" s="3850"/>
      <c r="BE565" s="3850"/>
      <c r="BF565" s="3850"/>
      <c r="BG565" s="3850"/>
      <c r="BH565" s="3850"/>
      <c r="BI565" s="3850"/>
      <c r="BJ565" s="3850"/>
      <c r="BK565" s="3850"/>
      <c r="BL565" s="3850"/>
      <c r="BM565" s="3850"/>
      <c r="BN565" s="3850"/>
      <c r="BO565" s="3850"/>
      <c r="BP565" s="3850"/>
      <c r="BQ565" s="3850"/>
      <c r="BR565" s="3850"/>
      <c r="BS565" s="3850"/>
      <c r="BT565" s="3850"/>
      <c r="BU565" s="3850"/>
      <c r="BV565" s="3850"/>
      <c r="BW565" s="3850"/>
      <c r="BX565" s="3850"/>
      <c r="BY565" s="3850"/>
      <c r="BZ565" s="3850"/>
      <c r="CA565" s="3850"/>
      <c r="CB565" s="3850"/>
      <c r="CC565" s="3850"/>
      <c r="CD565" s="3850"/>
      <c r="CE565" s="3850"/>
      <c r="CF565" s="3850"/>
      <c r="CG565" s="3850"/>
      <c r="CH565" s="3850"/>
      <c r="CI565" s="3850"/>
      <c r="CJ565" s="3850"/>
      <c r="CK565" s="3850"/>
      <c r="CL565" s="3850"/>
      <c r="CM565" s="3850"/>
      <c r="CN565" s="3850"/>
      <c r="CO565" s="3850"/>
      <c r="CP565" s="3850"/>
      <c r="CQ565" s="3850"/>
      <c r="CR565" s="3850"/>
      <c r="CS565" s="3850"/>
      <c r="CT565" s="3850"/>
      <c r="CU565" s="3850"/>
      <c r="CV565" s="3850"/>
      <c r="CW565" s="3850"/>
      <c r="CX565" s="3850"/>
      <c r="CY565" s="3850"/>
      <c r="CZ565" s="3850"/>
      <c r="DA565" s="3850"/>
      <c r="DB565" s="3850"/>
      <c r="DC565" s="3850"/>
      <c r="DD565" s="3850"/>
      <c r="DE565" s="3850"/>
      <c r="DF565" s="3850"/>
      <c r="DG565" s="3850"/>
      <c r="DH565" s="3850"/>
      <c r="DI565" s="3850"/>
      <c r="DJ565" s="3850"/>
      <c r="DK565" s="3850"/>
      <c r="DL565" s="3850"/>
      <c r="DM565" s="3850"/>
      <c r="DN565" s="3850"/>
      <c r="DO565" s="3850"/>
      <c r="DP565" s="3850"/>
      <c r="DQ565" s="3850"/>
      <c r="DR565" s="3850"/>
      <c r="DS565" s="3850"/>
      <c r="DT565" s="3850"/>
      <c r="DU565" s="3850"/>
      <c r="DV565" s="3850"/>
      <c r="DW565" s="3850"/>
      <c r="DX565" s="3850"/>
      <c r="DY565" s="3850"/>
      <c r="DZ565" s="3850"/>
      <c r="EA565" s="3850"/>
    </row>
    <row r="566" spans="1:131" s="3849" customFormat="1">
      <c r="A566" s="3852"/>
      <c r="B566" s="3840"/>
      <c r="C566" s="3870"/>
      <c r="D566" s="3893"/>
      <c r="E566" s="3883"/>
      <c r="F566" s="3874"/>
      <c r="G566" s="3875"/>
      <c r="H566" s="3874"/>
      <c r="I566" s="3875"/>
      <c r="J566" s="3874"/>
      <c r="K566" s="3876"/>
      <c r="L566" s="3874"/>
      <c r="N566" s="3846"/>
      <c r="O566" s="3847"/>
      <c r="P566" s="3853"/>
      <c r="AV566" s="3850"/>
      <c r="AX566" s="3850"/>
      <c r="AY566" s="3850"/>
      <c r="AZ566" s="3850"/>
      <c r="BA566" s="3850"/>
      <c r="BB566" s="3850"/>
      <c r="BC566" s="3850"/>
      <c r="BD566" s="3850"/>
      <c r="BE566" s="3850"/>
      <c r="BF566" s="3850"/>
      <c r="BG566" s="3850"/>
      <c r="BH566" s="3850"/>
      <c r="BI566" s="3850"/>
      <c r="BJ566" s="3850"/>
      <c r="BK566" s="3850"/>
      <c r="BL566" s="3850"/>
      <c r="BM566" s="3850"/>
      <c r="BN566" s="3850"/>
      <c r="BO566" s="3850"/>
      <c r="BP566" s="3850"/>
      <c r="BQ566" s="3850"/>
      <c r="BR566" s="3850"/>
      <c r="BS566" s="3850"/>
      <c r="BT566" s="3850"/>
      <c r="BU566" s="3850"/>
      <c r="BV566" s="3850"/>
      <c r="BW566" s="3850"/>
      <c r="BX566" s="3850"/>
      <c r="BY566" s="3850"/>
      <c r="BZ566" s="3850"/>
      <c r="CA566" s="3850"/>
      <c r="CB566" s="3850"/>
      <c r="CC566" s="3850"/>
      <c r="CD566" s="3850"/>
      <c r="CE566" s="3850"/>
      <c r="CF566" s="3850"/>
      <c r="CG566" s="3850"/>
      <c r="CH566" s="3850"/>
      <c r="CI566" s="3850"/>
      <c r="CJ566" s="3850"/>
      <c r="CK566" s="3850"/>
      <c r="CL566" s="3850"/>
      <c r="CM566" s="3850"/>
      <c r="CN566" s="3850"/>
      <c r="CO566" s="3850"/>
      <c r="CP566" s="3850"/>
      <c r="CQ566" s="3850"/>
      <c r="CR566" s="3850"/>
      <c r="CS566" s="3850"/>
      <c r="CT566" s="3850"/>
      <c r="CU566" s="3850"/>
      <c r="CV566" s="3850"/>
      <c r="CW566" s="3850"/>
      <c r="CX566" s="3850"/>
      <c r="CY566" s="3850"/>
      <c r="CZ566" s="3850"/>
      <c r="DA566" s="3850"/>
      <c r="DB566" s="3850"/>
      <c r="DC566" s="3850"/>
      <c r="DD566" s="3850"/>
      <c r="DE566" s="3850"/>
      <c r="DF566" s="3850"/>
      <c r="DG566" s="3850"/>
      <c r="DH566" s="3850"/>
      <c r="DI566" s="3850"/>
      <c r="DJ566" s="3850"/>
      <c r="DK566" s="3850"/>
      <c r="DL566" s="3850"/>
      <c r="DM566" s="3850"/>
      <c r="DN566" s="3850"/>
      <c r="DO566" s="3850"/>
      <c r="DP566" s="3850"/>
      <c r="DQ566" s="3850"/>
      <c r="DR566" s="3850"/>
      <c r="DS566" s="3850"/>
      <c r="DT566" s="3850"/>
      <c r="DU566" s="3850"/>
      <c r="DV566" s="3850"/>
      <c r="DW566" s="3850"/>
      <c r="DX566" s="3850"/>
      <c r="DY566" s="3850"/>
      <c r="DZ566" s="3850"/>
      <c r="EA566" s="3850"/>
    </row>
    <row r="567" spans="1:131" s="3849" customFormat="1">
      <c r="A567" s="3852"/>
      <c r="B567" s="3840"/>
      <c r="C567" s="3870"/>
      <c r="D567" s="3893"/>
      <c r="E567" s="3883"/>
      <c r="F567" s="3874"/>
      <c r="G567" s="3875"/>
      <c r="H567" s="3874"/>
      <c r="I567" s="3875"/>
      <c r="J567" s="3874"/>
      <c r="K567" s="3876"/>
      <c r="L567" s="3874"/>
      <c r="N567" s="3846"/>
      <c r="O567" s="3847"/>
      <c r="P567" s="3853"/>
      <c r="AV567" s="3850"/>
      <c r="AW567" s="3850"/>
      <c r="AX567" s="3850"/>
      <c r="AY567" s="3850"/>
      <c r="AZ567" s="3850"/>
      <c r="BA567" s="3850"/>
      <c r="BB567" s="3850"/>
      <c r="BC567" s="3850"/>
      <c r="BD567" s="3850"/>
      <c r="BE567" s="3850"/>
      <c r="BF567" s="3850"/>
      <c r="BG567" s="3850"/>
      <c r="BH567" s="3850"/>
      <c r="BI567" s="3850"/>
      <c r="BJ567" s="3850"/>
      <c r="BK567" s="3850"/>
      <c r="BL567" s="3850"/>
      <c r="BM567" s="3850"/>
      <c r="BN567" s="3850"/>
      <c r="BO567" s="3850"/>
      <c r="BP567" s="3850"/>
      <c r="BQ567" s="3850"/>
      <c r="BR567" s="3850"/>
      <c r="BS567" s="3850"/>
      <c r="BT567" s="3850"/>
      <c r="BU567" s="3850"/>
      <c r="BV567" s="3850"/>
      <c r="BW567" s="3850"/>
      <c r="BX567" s="3850"/>
      <c r="BY567" s="3850"/>
      <c r="BZ567" s="3850"/>
      <c r="CA567" s="3850"/>
      <c r="CB567" s="3850"/>
      <c r="CC567" s="3850"/>
      <c r="CD567" s="3850"/>
      <c r="CE567" s="3850"/>
      <c r="CF567" s="3850"/>
      <c r="CG567" s="3850"/>
      <c r="CH567" s="3850"/>
      <c r="CI567" s="3850"/>
      <c r="CJ567" s="3850"/>
      <c r="CK567" s="3850"/>
      <c r="CL567" s="3850"/>
      <c r="CM567" s="3850"/>
      <c r="CN567" s="3850"/>
      <c r="CO567" s="3850"/>
      <c r="CP567" s="3850"/>
      <c r="CQ567" s="3850"/>
      <c r="CR567" s="3850"/>
      <c r="CS567" s="3850"/>
      <c r="CT567" s="3850"/>
      <c r="CU567" s="3850"/>
      <c r="CV567" s="3850"/>
      <c r="CW567" s="3850"/>
      <c r="CX567" s="3850"/>
      <c r="CY567" s="3850"/>
      <c r="CZ567" s="3850"/>
      <c r="DA567" s="3850"/>
      <c r="DB567" s="3850"/>
      <c r="DC567" s="3850"/>
      <c r="DD567" s="3850"/>
      <c r="DE567" s="3850"/>
      <c r="DF567" s="3850"/>
      <c r="DG567" s="3850"/>
      <c r="DH567" s="3850"/>
      <c r="DI567" s="3850"/>
      <c r="DJ567" s="3850"/>
      <c r="DK567" s="3850"/>
      <c r="DL567" s="3850"/>
      <c r="DM567" s="3850"/>
      <c r="DN567" s="3850"/>
      <c r="DO567" s="3850"/>
      <c r="DP567" s="3850"/>
      <c r="DQ567" s="3850"/>
      <c r="DR567" s="3850"/>
      <c r="DS567" s="3850"/>
      <c r="DT567" s="3850"/>
      <c r="DU567" s="3850"/>
      <c r="DV567" s="3850"/>
      <c r="DW567" s="3850"/>
      <c r="DX567" s="3850"/>
      <c r="DY567" s="3850"/>
      <c r="DZ567" s="3850"/>
      <c r="EA567" s="3850"/>
    </row>
    <row r="568" spans="1:131" s="3849" customFormat="1">
      <c r="A568" s="3852"/>
      <c r="B568" s="3840"/>
      <c r="C568" s="3870"/>
      <c r="D568" s="3893"/>
      <c r="E568" s="3883"/>
      <c r="F568" s="3874"/>
      <c r="G568" s="3875"/>
      <c r="H568" s="3874"/>
      <c r="I568" s="3875"/>
      <c r="J568" s="3874"/>
      <c r="K568" s="3876"/>
      <c r="L568" s="3874"/>
      <c r="N568" s="3846"/>
      <c r="O568" s="3847"/>
      <c r="P568" s="3853"/>
      <c r="AV568" s="3850"/>
      <c r="AW568" s="3850"/>
      <c r="AX568" s="3850"/>
      <c r="AY568" s="3850"/>
      <c r="AZ568" s="3850"/>
      <c r="BA568" s="3850"/>
      <c r="BB568" s="3850"/>
      <c r="BC568" s="3850"/>
      <c r="BD568" s="3850"/>
      <c r="BE568" s="3850"/>
      <c r="BF568" s="3850"/>
      <c r="BG568" s="3850"/>
      <c r="BH568" s="3850"/>
      <c r="BI568" s="3850"/>
      <c r="BJ568" s="3850"/>
      <c r="BK568" s="3850"/>
      <c r="BL568" s="3850"/>
      <c r="BM568" s="3850"/>
      <c r="BN568" s="3850"/>
      <c r="BO568" s="3850"/>
      <c r="BP568" s="3850"/>
      <c r="BQ568" s="3850"/>
      <c r="BR568" s="3850"/>
      <c r="BS568" s="3850"/>
      <c r="BT568" s="3850"/>
      <c r="BU568" s="3850"/>
      <c r="BV568" s="3850"/>
      <c r="BW568" s="3850"/>
      <c r="BX568" s="3850"/>
      <c r="BY568" s="3850"/>
      <c r="BZ568" s="3850"/>
      <c r="CA568" s="3850"/>
      <c r="CB568" s="3850"/>
      <c r="CC568" s="3850"/>
      <c r="CD568" s="3850"/>
      <c r="CE568" s="3850"/>
      <c r="CF568" s="3850"/>
      <c r="CG568" s="3850"/>
      <c r="CH568" s="3850"/>
      <c r="CI568" s="3850"/>
      <c r="CJ568" s="3850"/>
      <c r="CK568" s="3850"/>
      <c r="CL568" s="3850"/>
      <c r="CM568" s="3850"/>
      <c r="CN568" s="3850"/>
      <c r="CO568" s="3850"/>
      <c r="CP568" s="3850"/>
      <c r="CQ568" s="3850"/>
      <c r="CR568" s="3850"/>
      <c r="CS568" s="3850"/>
      <c r="CT568" s="3850"/>
      <c r="CU568" s="3850"/>
      <c r="CV568" s="3850"/>
      <c r="CW568" s="3850"/>
      <c r="CX568" s="3850"/>
      <c r="CY568" s="3850"/>
      <c r="CZ568" s="3850"/>
      <c r="DA568" s="3850"/>
      <c r="DB568" s="3850"/>
      <c r="DC568" s="3850"/>
      <c r="DD568" s="3850"/>
      <c r="DE568" s="3850"/>
      <c r="DF568" s="3850"/>
      <c r="DG568" s="3850"/>
      <c r="DH568" s="3850"/>
      <c r="DI568" s="3850"/>
      <c r="DJ568" s="3850"/>
      <c r="DK568" s="3850"/>
      <c r="DL568" s="3850"/>
      <c r="DM568" s="3850"/>
      <c r="DN568" s="3850"/>
      <c r="DO568" s="3850"/>
      <c r="DP568" s="3850"/>
      <c r="DQ568" s="3850"/>
      <c r="DR568" s="3850"/>
      <c r="DS568" s="3850"/>
      <c r="DT568" s="3850"/>
      <c r="DU568" s="3850"/>
      <c r="DV568" s="3850"/>
      <c r="DW568" s="3850"/>
      <c r="DX568" s="3850"/>
      <c r="DY568" s="3850"/>
      <c r="DZ568" s="3850"/>
      <c r="EA568" s="3850"/>
    </row>
    <row r="569" spans="1:131" s="3849" customFormat="1">
      <c r="A569" s="3852"/>
      <c r="B569" s="3840"/>
      <c r="C569" s="3870"/>
      <c r="D569" s="3893"/>
      <c r="E569" s="3883"/>
      <c r="F569" s="3874"/>
      <c r="G569" s="3875"/>
      <c r="H569" s="3874"/>
      <c r="I569" s="3875"/>
      <c r="J569" s="3874"/>
      <c r="K569" s="3876"/>
      <c r="L569" s="3874"/>
      <c r="N569" s="3846"/>
      <c r="O569" s="3847"/>
      <c r="P569" s="3853"/>
      <c r="AV569" s="3850"/>
      <c r="AW569" s="3850"/>
      <c r="AX569" s="3850"/>
      <c r="AY569" s="3850"/>
      <c r="AZ569" s="3850"/>
      <c r="BA569" s="3850"/>
      <c r="BB569" s="3850"/>
      <c r="BC569" s="3850"/>
      <c r="BD569" s="3850"/>
      <c r="BE569" s="3850"/>
      <c r="BF569" s="3850"/>
      <c r="BG569" s="3850"/>
      <c r="BH569" s="3850"/>
      <c r="BI569" s="3850"/>
      <c r="BJ569" s="3850"/>
      <c r="BK569" s="3850"/>
      <c r="BL569" s="3850"/>
      <c r="BM569" s="3850"/>
      <c r="BN569" s="3850"/>
      <c r="BO569" s="3850"/>
      <c r="BP569" s="3850"/>
      <c r="BQ569" s="3850"/>
      <c r="BR569" s="3850"/>
      <c r="BS569" s="3850"/>
      <c r="BT569" s="3850"/>
      <c r="BU569" s="3850"/>
      <c r="BV569" s="3850"/>
      <c r="BW569" s="3850"/>
      <c r="BX569" s="3850"/>
      <c r="BY569" s="3850"/>
      <c r="BZ569" s="3850"/>
      <c r="CA569" s="3850"/>
      <c r="CB569" s="3850"/>
      <c r="CC569" s="3850"/>
      <c r="CD569" s="3850"/>
      <c r="CE569" s="3850"/>
      <c r="CF569" s="3850"/>
      <c r="CG569" s="3850"/>
      <c r="CH569" s="3850"/>
      <c r="CI569" s="3850"/>
      <c r="CJ569" s="3850"/>
      <c r="CK569" s="3850"/>
      <c r="CL569" s="3850"/>
      <c r="CM569" s="3850"/>
      <c r="CN569" s="3850"/>
      <c r="CO569" s="3850"/>
      <c r="CP569" s="3850"/>
      <c r="CQ569" s="3850"/>
      <c r="CR569" s="3850"/>
      <c r="CS569" s="3850"/>
      <c r="CT569" s="3850"/>
      <c r="CU569" s="3850"/>
      <c r="CV569" s="3850"/>
      <c r="CW569" s="3850"/>
      <c r="CX569" s="3850"/>
      <c r="CY569" s="3850"/>
      <c r="CZ569" s="3850"/>
      <c r="DA569" s="3850"/>
      <c r="DB569" s="3850"/>
      <c r="DC569" s="3850"/>
      <c r="DD569" s="3850"/>
      <c r="DE569" s="3850"/>
      <c r="DF569" s="3850"/>
      <c r="DG569" s="3850"/>
      <c r="DH569" s="3850"/>
      <c r="DI569" s="3850"/>
      <c r="DJ569" s="3850"/>
      <c r="DK569" s="3850"/>
      <c r="DL569" s="3850"/>
      <c r="DM569" s="3850"/>
      <c r="DN569" s="3850"/>
      <c r="DO569" s="3850"/>
      <c r="DP569" s="3850"/>
      <c r="DQ569" s="3850"/>
      <c r="DR569" s="3850"/>
      <c r="DS569" s="3850"/>
      <c r="DT569" s="3850"/>
      <c r="DU569" s="3850"/>
      <c r="DV569" s="3850"/>
      <c r="DW569" s="3850"/>
      <c r="DX569" s="3850"/>
      <c r="DY569" s="3850"/>
      <c r="DZ569" s="3850"/>
      <c r="EA569" s="3850"/>
    </row>
    <row r="570" spans="1:131" s="3849" customFormat="1">
      <c r="A570" s="3852"/>
      <c r="B570" s="3840"/>
      <c r="C570" s="3870"/>
      <c r="D570" s="3893"/>
      <c r="E570" s="3883"/>
      <c r="F570" s="3874"/>
      <c r="G570" s="3875"/>
      <c r="H570" s="3874"/>
      <c r="I570" s="3875"/>
      <c r="J570" s="3874"/>
      <c r="K570" s="3876"/>
      <c r="L570" s="3874"/>
      <c r="N570" s="3846"/>
      <c r="O570" s="3847"/>
      <c r="P570" s="3853"/>
      <c r="AV570" s="3850"/>
      <c r="AW570" s="3850"/>
      <c r="AX570" s="3850"/>
      <c r="AY570" s="3850"/>
      <c r="AZ570" s="3850"/>
      <c r="BA570" s="3850"/>
      <c r="BB570" s="3850"/>
      <c r="BC570" s="3850"/>
      <c r="BD570" s="3850"/>
      <c r="BE570" s="3850"/>
      <c r="BF570" s="3850"/>
      <c r="BG570" s="3850"/>
      <c r="BH570" s="3850"/>
      <c r="BI570" s="3850"/>
      <c r="BJ570" s="3850"/>
      <c r="BK570" s="3850"/>
      <c r="BL570" s="3850"/>
      <c r="BM570" s="3850"/>
      <c r="BN570" s="3850"/>
      <c r="BO570" s="3850"/>
      <c r="BP570" s="3850"/>
      <c r="BQ570" s="3850"/>
      <c r="BR570" s="3850"/>
      <c r="BS570" s="3850"/>
      <c r="BT570" s="3850"/>
      <c r="BU570" s="3850"/>
      <c r="BV570" s="3850"/>
      <c r="BW570" s="3850"/>
      <c r="BX570" s="3850"/>
      <c r="BY570" s="3850"/>
      <c r="BZ570" s="3850"/>
      <c r="CA570" s="3850"/>
      <c r="CB570" s="3850"/>
      <c r="CC570" s="3850"/>
      <c r="CD570" s="3850"/>
      <c r="CE570" s="3850"/>
      <c r="CF570" s="3850"/>
      <c r="CG570" s="3850"/>
      <c r="CH570" s="3850"/>
      <c r="CI570" s="3850"/>
      <c r="CJ570" s="3850"/>
      <c r="CK570" s="3850"/>
      <c r="CL570" s="3850"/>
      <c r="CM570" s="3850"/>
      <c r="CN570" s="3850"/>
      <c r="CO570" s="3850"/>
      <c r="CP570" s="3850"/>
      <c r="CQ570" s="3850"/>
      <c r="CR570" s="3850"/>
      <c r="CS570" s="3850"/>
      <c r="CT570" s="3850"/>
      <c r="CU570" s="3850"/>
      <c r="CV570" s="3850"/>
      <c r="CW570" s="3850"/>
      <c r="CX570" s="3850"/>
      <c r="CY570" s="3850"/>
      <c r="CZ570" s="3850"/>
      <c r="DA570" s="3850"/>
      <c r="DB570" s="3850"/>
      <c r="DC570" s="3850"/>
      <c r="DD570" s="3850"/>
      <c r="DE570" s="3850"/>
      <c r="DF570" s="3850"/>
      <c r="DG570" s="3850"/>
      <c r="DH570" s="3850"/>
      <c r="DI570" s="3850"/>
      <c r="DJ570" s="3850"/>
      <c r="DK570" s="3850"/>
      <c r="DL570" s="3850"/>
      <c r="DM570" s="3850"/>
      <c r="DN570" s="3850"/>
      <c r="DO570" s="3850"/>
      <c r="DP570" s="3850"/>
      <c r="DQ570" s="3850"/>
      <c r="DR570" s="3850"/>
      <c r="DS570" s="3850"/>
      <c r="DT570" s="3850"/>
      <c r="DU570" s="3850"/>
      <c r="DV570" s="3850"/>
      <c r="DW570" s="3850"/>
      <c r="DX570" s="3850"/>
      <c r="DY570" s="3850"/>
      <c r="DZ570" s="3850"/>
      <c r="EA570" s="3850"/>
    </row>
    <row r="571" spans="1:131" s="3849" customFormat="1">
      <c r="A571" s="3852"/>
      <c r="B571" s="3840"/>
      <c r="C571" s="3870"/>
      <c r="D571" s="3893"/>
      <c r="E571" s="3883"/>
      <c r="F571" s="3874"/>
      <c r="G571" s="3875"/>
      <c r="H571" s="3874"/>
      <c r="I571" s="3875"/>
      <c r="J571" s="3874"/>
      <c r="K571" s="3876"/>
      <c r="L571" s="3874"/>
      <c r="N571" s="3846"/>
      <c r="O571" s="3847"/>
      <c r="P571" s="3853"/>
      <c r="AV571" s="3850"/>
      <c r="AW571" s="3850"/>
      <c r="AX571" s="3850"/>
      <c r="AY571" s="3850"/>
      <c r="AZ571" s="3850"/>
      <c r="BA571" s="3850"/>
      <c r="BB571" s="3850"/>
      <c r="BC571" s="3850"/>
      <c r="BD571" s="3850"/>
      <c r="BE571" s="3850"/>
      <c r="BF571" s="3850"/>
      <c r="BG571" s="3850"/>
      <c r="BH571" s="3850"/>
      <c r="BI571" s="3850"/>
      <c r="BJ571" s="3850"/>
      <c r="BK571" s="3850"/>
      <c r="BL571" s="3850"/>
      <c r="BM571" s="3850"/>
      <c r="BN571" s="3850"/>
      <c r="BO571" s="3850"/>
      <c r="BP571" s="3850"/>
      <c r="BQ571" s="3850"/>
      <c r="BR571" s="3850"/>
      <c r="BS571" s="3850"/>
      <c r="BT571" s="3850"/>
      <c r="BU571" s="3850"/>
      <c r="BV571" s="3850"/>
      <c r="BW571" s="3850"/>
      <c r="BX571" s="3850"/>
      <c r="BY571" s="3850"/>
      <c r="BZ571" s="3850"/>
      <c r="CA571" s="3850"/>
      <c r="CB571" s="3850"/>
      <c r="CC571" s="3850"/>
      <c r="CD571" s="3850"/>
      <c r="CE571" s="3850"/>
      <c r="CF571" s="3850"/>
      <c r="CG571" s="3850"/>
      <c r="CH571" s="3850"/>
      <c r="CI571" s="3850"/>
      <c r="CJ571" s="3850"/>
      <c r="CK571" s="3850"/>
      <c r="CL571" s="3850"/>
      <c r="CM571" s="3850"/>
      <c r="CN571" s="3850"/>
      <c r="CO571" s="3850"/>
      <c r="CP571" s="3850"/>
      <c r="CQ571" s="3850"/>
      <c r="CR571" s="3850"/>
      <c r="CS571" s="3850"/>
      <c r="CT571" s="3850"/>
      <c r="CU571" s="3850"/>
      <c r="CV571" s="3850"/>
      <c r="CW571" s="3850"/>
      <c r="CX571" s="3850"/>
      <c r="CY571" s="3850"/>
      <c r="CZ571" s="3850"/>
      <c r="DA571" s="3850"/>
      <c r="DB571" s="3850"/>
      <c r="DC571" s="3850"/>
      <c r="DD571" s="3850"/>
      <c r="DE571" s="3850"/>
      <c r="DF571" s="3850"/>
      <c r="DG571" s="3850"/>
      <c r="DH571" s="3850"/>
      <c r="DI571" s="3850"/>
      <c r="DJ571" s="3850"/>
      <c r="DK571" s="3850"/>
      <c r="DL571" s="3850"/>
      <c r="DM571" s="3850"/>
      <c r="DN571" s="3850"/>
      <c r="DO571" s="3850"/>
      <c r="DP571" s="3850"/>
      <c r="DQ571" s="3850"/>
      <c r="DR571" s="3850"/>
      <c r="DS571" s="3850"/>
      <c r="DT571" s="3850"/>
      <c r="DU571" s="3850"/>
      <c r="DV571" s="3850"/>
      <c r="DW571" s="3850"/>
      <c r="DX571" s="3850"/>
      <c r="DY571" s="3850"/>
      <c r="DZ571" s="3850"/>
      <c r="EA571" s="3850"/>
    </row>
    <row r="572" spans="1:131" s="3849" customFormat="1">
      <c r="A572" s="3852"/>
      <c r="B572" s="3840"/>
      <c r="C572" s="3870"/>
      <c r="D572" s="3893"/>
      <c r="E572" s="3883"/>
      <c r="F572" s="3874"/>
      <c r="G572" s="3875"/>
      <c r="H572" s="3874"/>
      <c r="I572" s="3875"/>
      <c r="J572" s="3874"/>
      <c r="K572" s="3876"/>
      <c r="L572" s="3874"/>
      <c r="N572" s="3846"/>
      <c r="O572" s="3847"/>
      <c r="P572" s="3853"/>
      <c r="AV572" s="3850"/>
      <c r="AW572" s="3850"/>
      <c r="AX572" s="3850"/>
      <c r="AY572" s="3850"/>
      <c r="AZ572" s="3850"/>
      <c r="BA572" s="3850"/>
      <c r="BB572" s="3850"/>
      <c r="BC572" s="3850"/>
      <c r="BD572" s="3850"/>
      <c r="BE572" s="3850"/>
      <c r="BF572" s="3850"/>
      <c r="BG572" s="3850"/>
      <c r="BH572" s="3850"/>
      <c r="BI572" s="3850"/>
      <c r="BJ572" s="3850"/>
      <c r="BK572" s="3850"/>
      <c r="BL572" s="3850"/>
      <c r="BM572" s="3850"/>
      <c r="BN572" s="3850"/>
      <c r="BO572" s="3850"/>
      <c r="BP572" s="3850"/>
      <c r="BQ572" s="3850"/>
      <c r="BR572" s="3850"/>
      <c r="BS572" s="3850"/>
      <c r="BT572" s="3850"/>
      <c r="BU572" s="3850"/>
      <c r="BV572" s="3850"/>
      <c r="BW572" s="3850"/>
      <c r="BX572" s="3850"/>
      <c r="BY572" s="3850"/>
      <c r="BZ572" s="3850"/>
      <c r="CA572" s="3850"/>
      <c r="CB572" s="3850"/>
      <c r="CC572" s="3850"/>
      <c r="CD572" s="3850"/>
      <c r="CE572" s="3850"/>
      <c r="CF572" s="3850"/>
      <c r="CG572" s="3850"/>
      <c r="CH572" s="3850"/>
      <c r="CI572" s="3850"/>
      <c r="CJ572" s="3850"/>
      <c r="CK572" s="3850"/>
      <c r="CL572" s="3850"/>
      <c r="CM572" s="3850"/>
      <c r="CN572" s="3850"/>
      <c r="CO572" s="3850"/>
      <c r="CP572" s="3850"/>
      <c r="CQ572" s="3850"/>
      <c r="CR572" s="3850"/>
      <c r="CS572" s="3850"/>
      <c r="CT572" s="3850"/>
      <c r="CU572" s="3850"/>
      <c r="CV572" s="3850"/>
      <c r="CW572" s="3850"/>
      <c r="CX572" s="3850"/>
      <c r="CY572" s="3850"/>
      <c r="CZ572" s="3850"/>
      <c r="DA572" s="3850"/>
      <c r="DB572" s="3850"/>
      <c r="DC572" s="3850"/>
      <c r="DD572" s="3850"/>
      <c r="DE572" s="3850"/>
      <c r="DF572" s="3850"/>
      <c r="DG572" s="3850"/>
      <c r="DH572" s="3850"/>
      <c r="DI572" s="3850"/>
      <c r="DJ572" s="3850"/>
      <c r="DK572" s="3850"/>
      <c r="DL572" s="3850"/>
      <c r="DM572" s="3850"/>
      <c r="DN572" s="3850"/>
      <c r="DO572" s="3850"/>
      <c r="DP572" s="3850"/>
      <c r="DQ572" s="3850"/>
      <c r="DR572" s="3850"/>
      <c r="DS572" s="3850"/>
      <c r="DT572" s="3850"/>
      <c r="DU572" s="3850"/>
      <c r="DV572" s="3850"/>
      <c r="DW572" s="3850"/>
      <c r="DX572" s="3850"/>
      <c r="DY572" s="3850"/>
      <c r="DZ572" s="3850"/>
      <c r="EA572" s="3850"/>
    </row>
    <row r="573" spans="1:131" s="3849" customFormat="1">
      <c r="A573" s="3852"/>
      <c r="B573" s="3840"/>
      <c r="C573" s="3870"/>
      <c r="D573" s="3893"/>
      <c r="E573" s="3883"/>
      <c r="F573" s="3874"/>
      <c r="G573" s="3875"/>
      <c r="H573" s="3874"/>
      <c r="I573" s="3875"/>
      <c r="J573" s="3874"/>
      <c r="K573" s="3876"/>
      <c r="L573" s="3874"/>
      <c r="N573" s="3846"/>
      <c r="O573" s="3847"/>
      <c r="P573" s="3853"/>
      <c r="AV573" s="3850"/>
      <c r="AW573" s="3850"/>
      <c r="AX573" s="3850"/>
      <c r="AY573" s="3850"/>
      <c r="AZ573" s="3850"/>
      <c r="BA573" s="3850"/>
      <c r="BB573" s="3850"/>
      <c r="BC573" s="3850"/>
      <c r="BD573" s="3850"/>
      <c r="BE573" s="3850"/>
      <c r="BF573" s="3850"/>
      <c r="BG573" s="3850"/>
      <c r="BH573" s="3850"/>
      <c r="BI573" s="3850"/>
      <c r="BJ573" s="3850"/>
      <c r="BK573" s="3850"/>
      <c r="BL573" s="3850"/>
      <c r="BM573" s="3850"/>
      <c r="BN573" s="3850"/>
      <c r="BO573" s="3850"/>
      <c r="BP573" s="3850"/>
      <c r="BQ573" s="3850"/>
      <c r="BR573" s="3850"/>
      <c r="BS573" s="3850"/>
      <c r="BT573" s="3850"/>
      <c r="BU573" s="3850"/>
      <c r="BV573" s="3850"/>
      <c r="BW573" s="3850"/>
      <c r="BX573" s="3850"/>
      <c r="BY573" s="3850"/>
      <c r="BZ573" s="3850"/>
      <c r="CA573" s="3850"/>
      <c r="CB573" s="3850"/>
      <c r="CC573" s="3850"/>
      <c r="CD573" s="3850"/>
      <c r="CE573" s="3850"/>
      <c r="CF573" s="3850"/>
      <c r="CG573" s="3850"/>
      <c r="CH573" s="3850"/>
      <c r="CI573" s="3850"/>
      <c r="CJ573" s="3850"/>
      <c r="CK573" s="3850"/>
      <c r="CL573" s="3850"/>
      <c r="CM573" s="3850"/>
      <c r="CN573" s="3850"/>
      <c r="CO573" s="3850"/>
      <c r="CP573" s="3850"/>
      <c r="CQ573" s="3850"/>
      <c r="CR573" s="3850"/>
      <c r="CS573" s="3850"/>
      <c r="CT573" s="3850"/>
      <c r="CU573" s="3850"/>
      <c r="CV573" s="3850"/>
      <c r="CW573" s="3850"/>
      <c r="CX573" s="3850"/>
      <c r="CY573" s="3850"/>
      <c r="CZ573" s="3850"/>
      <c r="DA573" s="3850"/>
      <c r="DB573" s="3850"/>
      <c r="DC573" s="3850"/>
      <c r="DD573" s="3850"/>
      <c r="DE573" s="3850"/>
      <c r="DF573" s="3850"/>
      <c r="DG573" s="3850"/>
      <c r="DH573" s="3850"/>
      <c r="DI573" s="3850"/>
      <c r="DJ573" s="3850"/>
      <c r="DK573" s="3850"/>
      <c r="DL573" s="3850"/>
      <c r="DM573" s="3850"/>
      <c r="DN573" s="3850"/>
      <c r="DO573" s="3850"/>
      <c r="DP573" s="3850"/>
      <c r="DQ573" s="3850"/>
      <c r="DR573" s="3850"/>
      <c r="DS573" s="3850"/>
      <c r="DT573" s="3850"/>
      <c r="DU573" s="3850"/>
      <c r="DV573" s="3850"/>
      <c r="DW573" s="3850"/>
      <c r="DX573" s="3850"/>
      <c r="DY573" s="3850"/>
      <c r="DZ573" s="3850"/>
      <c r="EA573" s="3850"/>
    </row>
    <row r="574" spans="1:131" s="3849" customFormat="1">
      <c r="A574" s="3852"/>
      <c r="B574" s="3840"/>
      <c r="C574" s="3870"/>
      <c r="D574" s="3893"/>
      <c r="E574" s="3883"/>
      <c r="F574" s="3874"/>
      <c r="G574" s="3875"/>
      <c r="H574" s="3874"/>
      <c r="I574" s="3875"/>
      <c r="J574" s="3874"/>
      <c r="K574" s="3876"/>
      <c r="L574" s="3874"/>
      <c r="N574" s="3846"/>
      <c r="O574" s="3847"/>
      <c r="P574" s="3853"/>
      <c r="AV574" s="3850"/>
      <c r="AW574" s="3850"/>
      <c r="AX574" s="3850"/>
      <c r="AY574" s="3850"/>
      <c r="AZ574" s="3850"/>
      <c r="BA574" s="3850"/>
      <c r="BB574" s="3850"/>
      <c r="BC574" s="3850"/>
      <c r="BD574" s="3850"/>
      <c r="BE574" s="3850"/>
      <c r="BF574" s="3850"/>
      <c r="BG574" s="3850"/>
      <c r="BH574" s="3850"/>
      <c r="BI574" s="3850"/>
      <c r="BJ574" s="3850"/>
      <c r="BK574" s="3850"/>
      <c r="BL574" s="3850"/>
      <c r="BM574" s="3850"/>
      <c r="BN574" s="3850"/>
      <c r="BO574" s="3850"/>
      <c r="BP574" s="3850"/>
      <c r="BQ574" s="3850"/>
      <c r="BR574" s="3850"/>
      <c r="BS574" s="3850"/>
      <c r="BT574" s="3850"/>
      <c r="BU574" s="3850"/>
      <c r="BV574" s="3850"/>
      <c r="BW574" s="3850"/>
      <c r="BX574" s="3850"/>
      <c r="BY574" s="3850"/>
      <c r="BZ574" s="3850"/>
      <c r="CA574" s="3850"/>
      <c r="CB574" s="3850"/>
      <c r="CC574" s="3850"/>
      <c r="CD574" s="3850"/>
      <c r="CE574" s="3850"/>
      <c r="CF574" s="3850"/>
      <c r="CG574" s="3850"/>
      <c r="CH574" s="3850"/>
      <c r="CI574" s="3850"/>
      <c r="CJ574" s="3850"/>
      <c r="CK574" s="3850"/>
      <c r="CL574" s="3850"/>
      <c r="CM574" s="3850"/>
      <c r="CN574" s="3850"/>
      <c r="CO574" s="3850"/>
      <c r="CP574" s="3850"/>
      <c r="CQ574" s="3850"/>
      <c r="CR574" s="3850"/>
      <c r="CS574" s="3850"/>
      <c r="CT574" s="3850"/>
      <c r="CU574" s="3850"/>
      <c r="CV574" s="3850"/>
      <c r="CW574" s="3850"/>
      <c r="CX574" s="3850"/>
      <c r="CY574" s="3850"/>
      <c r="CZ574" s="3850"/>
      <c r="DA574" s="3850"/>
      <c r="DB574" s="3850"/>
      <c r="DC574" s="3850"/>
      <c r="DD574" s="3850"/>
      <c r="DE574" s="3850"/>
      <c r="DF574" s="3850"/>
      <c r="DG574" s="3850"/>
      <c r="DH574" s="3850"/>
      <c r="DI574" s="3850"/>
      <c r="DJ574" s="3850"/>
      <c r="DK574" s="3850"/>
      <c r="DL574" s="3850"/>
      <c r="DM574" s="3850"/>
      <c r="DN574" s="3850"/>
      <c r="DO574" s="3850"/>
      <c r="DP574" s="3850"/>
      <c r="DQ574" s="3850"/>
      <c r="DR574" s="3850"/>
      <c r="DS574" s="3850"/>
      <c r="DT574" s="3850"/>
      <c r="DU574" s="3850"/>
      <c r="DV574" s="3850"/>
      <c r="DW574" s="3850"/>
      <c r="DX574" s="3850"/>
      <c r="DY574" s="3850"/>
      <c r="DZ574" s="3850"/>
      <c r="EA574" s="3850"/>
    </row>
    <row r="575" spans="1:131" s="3849" customFormat="1">
      <c r="A575" s="3852"/>
      <c r="B575" s="3840"/>
      <c r="C575" s="3870"/>
      <c r="D575" s="3893"/>
      <c r="E575" s="3883"/>
      <c r="F575" s="3874"/>
      <c r="G575" s="3875"/>
      <c r="H575" s="3874"/>
      <c r="I575" s="3875"/>
      <c r="J575" s="3874"/>
      <c r="K575" s="3876"/>
      <c r="L575" s="3874"/>
      <c r="N575" s="3846"/>
      <c r="O575" s="3847"/>
      <c r="P575" s="3853"/>
      <c r="AV575" s="3850"/>
      <c r="AW575" s="3850"/>
      <c r="AX575" s="3850"/>
      <c r="AY575" s="3850"/>
      <c r="AZ575" s="3850"/>
      <c r="BA575" s="3850"/>
      <c r="BB575" s="3850"/>
      <c r="BC575" s="3850"/>
      <c r="BD575" s="3850"/>
      <c r="BE575" s="3850"/>
      <c r="BF575" s="3850"/>
      <c r="BG575" s="3850"/>
      <c r="BH575" s="3850"/>
      <c r="BI575" s="3850"/>
      <c r="BJ575" s="3850"/>
      <c r="BK575" s="3850"/>
      <c r="BL575" s="3850"/>
      <c r="BM575" s="3850"/>
      <c r="BN575" s="3850"/>
      <c r="BO575" s="3850"/>
      <c r="BP575" s="3850"/>
      <c r="BQ575" s="3850"/>
      <c r="BR575" s="3850"/>
      <c r="BS575" s="3850"/>
      <c r="BT575" s="3850"/>
      <c r="BU575" s="3850"/>
      <c r="BV575" s="3850"/>
      <c r="BW575" s="3850"/>
      <c r="BX575" s="3850"/>
      <c r="BY575" s="3850"/>
      <c r="BZ575" s="3850"/>
      <c r="CA575" s="3850"/>
      <c r="CB575" s="3850"/>
      <c r="CC575" s="3850"/>
      <c r="CD575" s="3850"/>
      <c r="CE575" s="3850"/>
      <c r="CF575" s="3850"/>
      <c r="CG575" s="3850"/>
      <c r="CH575" s="3850"/>
      <c r="CI575" s="3850"/>
      <c r="CJ575" s="3850"/>
      <c r="CK575" s="3850"/>
      <c r="CL575" s="3850"/>
      <c r="CM575" s="3850"/>
      <c r="CN575" s="3850"/>
      <c r="CO575" s="3850"/>
      <c r="CP575" s="3850"/>
      <c r="CQ575" s="3850"/>
      <c r="CR575" s="3850"/>
      <c r="CS575" s="3850"/>
      <c r="CT575" s="3850"/>
      <c r="CU575" s="3850"/>
      <c r="CV575" s="3850"/>
      <c r="CW575" s="3850"/>
      <c r="CX575" s="3850"/>
      <c r="CY575" s="3850"/>
      <c r="CZ575" s="3850"/>
      <c r="DA575" s="3850"/>
      <c r="DB575" s="3850"/>
      <c r="DC575" s="3850"/>
      <c r="DD575" s="3850"/>
      <c r="DE575" s="3850"/>
      <c r="DF575" s="3850"/>
      <c r="DG575" s="3850"/>
      <c r="DH575" s="3850"/>
      <c r="DI575" s="3850"/>
      <c r="DJ575" s="3850"/>
      <c r="DK575" s="3850"/>
      <c r="DL575" s="3850"/>
      <c r="DM575" s="3850"/>
      <c r="DN575" s="3850"/>
      <c r="DO575" s="3850"/>
      <c r="DP575" s="3850"/>
      <c r="DQ575" s="3850"/>
      <c r="DR575" s="3850"/>
      <c r="DS575" s="3850"/>
      <c r="DT575" s="3850"/>
      <c r="DU575" s="3850"/>
      <c r="DV575" s="3850"/>
      <c r="DW575" s="3850"/>
      <c r="DX575" s="3850"/>
      <c r="DY575" s="3850"/>
      <c r="DZ575" s="3850"/>
      <c r="EA575" s="3850"/>
    </row>
    <row r="576" spans="1:131" s="3849" customFormat="1">
      <c r="A576" s="3852"/>
      <c r="B576" s="3840"/>
      <c r="C576" s="3870"/>
      <c r="D576" s="3893"/>
      <c r="E576" s="3883"/>
      <c r="F576" s="3874"/>
      <c r="G576" s="3875"/>
      <c r="H576" s="3874"/>
      <c r="I576" s="3875"/>
      <c r="J576" s="3874"/>
      <c r="K576" s="3876"/>
      <c r="L576" s="3874"/>
      <c r="N576" s="3846"/>
      <c r="O576" s="3847"/>
      <c r="P576" s="3853"/>
      <c r="AV576" s="3850"/>
      <c r="AW576" s="3850"/>
      <c r="AX576" s="3850"/>
      <c r="AY576" s="3850"/>
      <c r="AZ576" s="3850"/>
      <c r="BA576" s="3850"/>
      <c r="BB576" s="3850"/>
      <c r="BC576" s="3850"/>
      <c r="BD576" s="3850"/>
      <c r="BE576" s="3850"/>
      <c r="BF576" s="3850"/>
      <c r="BG576" s="3850"/>
      <c r="BH576" s="3850"/>
      <c r="BI576" s="3850"/>
      <c r="BJ576" s="3850"/>
      <c r="BK576" s="3850"/>
      <c r="BL576" s="3850"/>
      <c r="BM576" s="3850"/>
      <c r="BN576" s="3850"/>
      <c r="BO576" s="3850"/>
      <c r="BP576" s="3850"/>
      <c r="BQ576" s="3850"/>
      <c r="BR576" s="3850"/>
      <c r="BS576" s="3850"/>
      <c r="BT576" s="3850"/>
      <c r="BU576" s="3850"/>
      <c r="BV576" s="3850"/>
      <c r="BW576" s="3850"/>
      <c r="BX576" s="3850"/>
      <c r="BY576" s="3850"/>
      <c r="BZ576" s="3850"/>
      <c r="CA576" s="3850"/>
      <c r="CB576" s="3850"/>
      <c r="CC576" s="3850"/>
      <c r="CD576" s="3850"/>
      <c r="CE576" s="3850"/>
      <c r="CF576" s="3850"/>
      <c r="CG576" s="3850"/>
      <c r="CH576" s="3850"/>
      <c r="CI576" s="3850"/>
      <c r="CJ576" s="3850"/>
      <c r="CK576" s="3850"/>
      <c r="CL576" s="3850"/>
      <c r="CM576" s="3850"/>
      <c r="CN576" s="3850"/>
      <c r="CO576" s="3850"/>
      <c r="CP576" s="3850"/>
      <c r="CQ576" s="3850"/>
      <c r="CR576" s="3850"/>
      <c r="CS576" s="3850"/>
      <c r="CT576" s="3850"/>
      <c r="CU576" s="3850"/>
      <c r="CV576" s="3850"/>
      <c r="CW576" s="3850"/>
      <c r="CX576" s="3850"/>
      <c r="CY576" s="3850"/>
      <c r="CZ576" s="3850"/>
      <c r="DA576" s="3850"/>
      <c r="DB576" s="3850"/>
      <c r="DC576" s="3850"/>
      <c r="DD576" s="3850"/>
      <c r="DE576" s="3850"/>
      <c r="DF576" s="3850"/>
      <c r="DG576" s="3850"/>
      <c r="DH576" s="3850"/>
      <c r="DI576" s="3850"/>
      <c r="DJ576" s="3850"/>
      <c r="DK576" s="3850"/>
      <c r="DL576" s="3850"/>
      <c r="DM576" s="3850"/>
      <c r="DN576" s="3850"/>
      <c r="DO576" s="3850"/>
      <c r="DP576" s="3850"/>
      <c r="DQ576" s="3850"/>
      <c r="DR576" s="3850"/>
      <c r="DS576" s="3850"/>
      <c r="DT576" s="3850"/>
      <c r="DU576" s="3850"/>
      <c r="DV576" s="3850"/>
      <c r="DW576" s="3850"/>
      <c r="DX576" s="3850"/>
      <c r="DY576" s="3850"/>
      <c r="DZ576" s="3850"/>
      <c r="EA576" s="3850"/>
    </row>
    <row r="577" spans="1:131" s="3849" customFormat="1">
      <c r="A577" s="3852"/>
      <c r="B577" s="3840"/>
      <c r="C577" s="3870"/>
      <c r="D577" s="3893"/>
      <c r="E577" s="3883"/>
      <c r="F577" s="3874"/>
      <c r="G577" s="3875"/>
      <c r="H577" s="3874"/>
      <c r="I577" s="3875"/>
      <c r="J577" s="3874"/>
      <c r="K577" s="3876"/>
      <c r="L577" s="3874"/>
      <c r="N577" s="3846"/>
      <c r="O577" s="3847"/>
      <c r="P577" s="3853"/>
      <c r="AV577" s="3850"/>
      <c r="AW577" s="3850"/>
      <c r="AX577" s="3850"/>
      <c r="AY577" s="3850"/>
      <c r="AZ577" s="3850"/>
      <c r="BA577" s="3850"/>
      <c r="BB577" s="3850"/>
      <c r="BC577" s="3850"/>
      <c r="BD577" s="3850"/>
      <c r="BE577" s="3850"/>
      <c r="BF577" s="3850"/>
      <c r="BG577" s="3850"/>
      <c r="BH577" s="3850"/>
      <c r="BI577" s="3850"/>
      <c r="BJ577" s="3850"/>
      <c r="BK577" s="3850"/>
      <c r="BL577" s="3850"/>
      <c r="BM577" s="3850"/>
      <c r="BN577" s="3850"/>
      <c r="BO577" s="3850"/>
      <c r="BP577" s="3850"/>
      <c r="BQ577" s="3850"/>
      <c r="BR577" s="3850"/>
      <c r="BS577" s="3850"/>
      <c r="BT577" s="3850"/>
      <c r="BU577" s="3850"/>
      <c r="BV577" s="3850"/>
      <c r="BW577" s="3850"/>
      <c r="BX577" s="3850"/>
      <c r="BY577" s="3850"/>
      <c r="BZ577" s="3850"/>
      <c r="CA577" s="3850"/>
      <c r="CB577" s="3850"/>
      <c r="CC577" s="3850"/>
      <c r="CD577" s="3850"/>
      <c r="CE577" s="3850"/>
      <c r="CF577" s="3850"/>
      <c r="CG577" s="3850"/>
      <c r="CH577" s="3850"/>
      <c r="CI577" s="3850"/>
      <c r="CJ577" s="3850"/>
      <c r="CK577" s="3850"/>
      <c r="CL577" s="3850"/>
      <c r="CM577" s="3850"/>
      <c r="CN577" s="3850"/>
      <c r="CO577" s="3850"/>
      <c r="CP577" s="3850"/>
      <c r="CQ577" s="3850"/>
      <c r="CR577" s="3850"/>
      <c r="CS577" s="3850"/>
      <c r="CT577" s="3850"/>
      <c r="CU577" s="3850"/>
      <c r="CV577" s="3850"/>
      <c r="CW577" s="3850"/>
      <c r="CX577" s="3850"/>
      <c r="CY577" s="3850"/>
      <c r="CZ577" s="3850"/>
      <c r="DA577" s="3850"/>
      <c r="DB577" s="3850"/>
      <c r="DC577" s="3850"/>
      <c r="DD577" s="3850"/>
      <c r="DE577" s="3850"/>
      <c r="DF577" s="3850"/>
      <c r="DG577" s="3850"/>
      <c r="DH577" s="3850"/>
      <c r="DI577" s="3850"/>
      <c r="DJ577" s="3850"/>
      <c r="DK577" s="3850"/>
      <c r="DL577" s="3850"/>
      <c r="DM577" s="3850"/>
      <c r="DN577" s="3850"/>
      <c r="DO577" s="3850"/>
      <c r="DP577" s="3850"/>
      <c r="DQ577" s="3850"/>
      <c r="DR577" s="3850"/>
      <c r="DS577" s="3850"/>
      <c r="DT577" s="3850"/>
      <c r="DU577" s="3850"/>
      <c r="DV577" s="3850"/>
      <c r="DW577" s="3850"/>
      <c r="DX577" s="3850"/>
      <c r="DY577" s="3850"/>
      <c r="DZ577" s="3850"/>
      <c r="EA577" s="3850"/>
    </row>
    <row r="578" spans="1:131" s="3849" customFormat="1">
      <c r="A578" s="3852"/>
      <c r="B578" s="3840"/>
      <c r="C578" s="3870"/>
      <c r="D578" s="3893"/>
      <c r="E578" s="3883"/>
      <c r="F578" s="3874"/>
      <c r="G578" s="3875"/>
      <c r="H578" s="3874"/>
      <c r="I578" s="3875"/>
      <c r="J578" s="3874"/>
      <c r="K578" s="3876"/>
      <c r="L578" s="3874"/>
      <c r="N578" s="3846"/>
      <c r="O578" s="3847"/>
      <c r="P578" s="3853"/>
      <c r="AV578" s="3850"/>
      <c r="AW578" s="3850"/>
      <c r="AX578" s="3850"/>
      <c r="AY578" s="3850"/>
      <c r="AZ578" s="3850"/>
      <c r="BA578" s="3850"/>
      <c r="BB578" s="3850"/>
      <c r="BC578" s="3850"/>
      <c r="BD578" s="3850"/>
      <c r="BE578" s="3850"/>
      <c r="BF578" s="3850"/>
      <c r="BG578" s="3850"/>
      <c r="BH578" s="3850"/>
      <c r="BI578" s="3850"/>
      <c r="BJ578" s="3850"/>
      <c r="BK578" s="3850"/>
      <c r="BL578" s="3850"/>
      <c r="BM578" s="3850"/>
      <c r="BN578" s="3850"/>
      <c r="BO578" s="3850"/>
      <c r="BP578" s="3850"/>
      <c r="BQ578" s="3850"/>
      <c r="BR578" s="3850"/>
      <c r="BS578" s="3850"/>
      <c r="BT578" s="3850"/>
      <c r="BU578" s="3850"/>
      <c r="BV578" s="3850"/>
      <c r="BW578" s="3850"/>
      <c r="BX578" s="3850"/>
      <c r="BY578" s="3850"/>
      <c r="BZ578" s="3850"/>
      <c r="CA578" s="3850"/>
      <c r="CB578" s="3850"/>
      <c r="CC578" s="3850"/>
      <c r="CD578" s="3850"/>
      <c r="CE578" s="3850"/>
      <c r="CF578" s="3850"/>
      <c r="CG578" s="3850"/>
      <c r="CH578" s="3850"/>
      <c r="CI578" s="3850"/>
      <c r="CJ578" s="3850"/>
      <c r="CK578" s="3850"/>
      <c r="CL578" s="3850"/>
      <c r="CM578" s="3850"/>
      <c r="CN578" s="3850"/>
      <c r="CO578" s="3850"/>
      <c r="CP578" s="3850"/>
      <c r="CQ578" s="3850"/>
      <c r="CR578" s="3850"/>
      <c r="CS578" s="3850"/>
      <c r="CT578" s="3850"/>
      <c r="CU578" s="3850"/>
      <c r="CV578" s="3850"/>
      <c r="CW578" s="3850"/>
      <c r="CX578" s="3850"/>
      <c r="CY578" s="3850"/>
      <c r="CZ578" s="3850"/>
      <c r="DA578" s="3850"/>
      <c r="DB578" s="3850"/>
      <c r="DC578" s="3850"/>
      <c r="DD578" s="3850"/>
      <c r="DE578" s="3850"/>
      <c r="DF578" s="3850"/>
      <c r="DG578" s="3850"/>
      <c r="DH578" s="3850"/>
      <c r="DI578" s="3850"/>
      <c r="DJ578" s="3850"/>
      <c r="DK578" s="3850"/>
      <c r="DL578" s="3850"/>
      <c r="DM578" s="3850"/>
      <c r="DN578" s="3850"/>
      <c r="DO578" s="3850"/>
      <c r="DP578" s="3850"/>
      <c r="DQ578" s="3850"/>
      <c r="DR578" s="3850"/>
      <c r="DS578" s="3850"/>
      <c r="DT578" s="3850"/>
      <c r="DU578" s="3850"/>
      <c r="DV578" s="3850"/>
      <c r="DW578" s="3850"/>
      <c r="DX578" s="3850"/>
      <c r="DY578" s="3850"/>
      <c r="DZ578" s="3850"/>
      <c r="EA578" s="3850"/>
    </row>
    <row r="579" spans="1:131" s="3849" customFormat="1">
      <c r="A579" s="3852"/>
      <c r="B579" s="3840"/>
      <c r="C579" s="3870"/>
      <c r="D579" s="3893"/>
      <c r="E579" s="3883"/>
      <c r="F579" s="3874"/>
      <c r="G579" s="3875"/>
      <c r="H579" s="3874"/>
      <c r="I579" s="3875"/>
      <c r="J579" s="3874"/>
      <c r="K579" s="3876"/>
      <c r="L579" s="3874"/>
      <c r="N579" s="3846"/>
      <c r="O579" s="3847"/>
      <c r="P579" s="3853"/>
      <c r="AV579" s="3850"/>
      <c r="AW579" s="3850"/>
      <c r="AX579" s="3850"/>
      <c r="AY579" s="3850"/>
      <c r="AZ579" s="3850"/>
      <c r="BA579" s="3850"/>
      <c r="BB579" s="3850"/>
      <c r="BC579" s="3850"/>
      <c r="BD579" s="3850"/>
      <c r="BE579" s="3850"/>
      <c r="BF579" s="3850"/>
      <c r="BG579" s="3850"/>
      <c r="BH579" s="3850"/>
      <c r="BI579" s="3850"/>
      <c r="BJ579" s="3850"/>
      <c r="BK579" s="3850"/>
      <c r="BL579" s="3850"/>
      <c r="BM579" s="3850"/>
      <c r="BN579" s="3850"/>
      <c r="BO579" s="3850"/>
      <c r="BP579" s="3850"/>
      <c r="BQ579" s="3850"/>
      <c r="BR579" s="3850"/>
      <c r="BS579" s="3850"/>
      <c r="BT579" s="3850"/>
      <c r="BU579" s="3850"/>
      <c r="BV579" s="3850"/>
      <c r="BW579" s="3850"/>
      <c r="BX579" s="3850"/>
      <c r="BY579" s="3850"/>
      <c r="BZ579" s="3850"/>
      <c r="CA579" s="3850"/>
      <c r="CB579" s="3850"/>
      <c r="CC579" s="3850"/>
      <c r="CD579" s="3850"/>
      <c r="CE579" s="3850"/>
      <c r="CF579" s="3850"/>
      <c r="CG579" s="3850"/>
      <c r="CH579" s="3850"/>
      <c r="CI579" s="3850"/>
      <c r="CJ579" s="3850"/>
      <c r="CK579" s="3850"/>
      <c r="CL579" s="3850"/>
      <c r="CM579" s="3850"/>
      <c r="CN579" s="3850"/>
      <c r="CO579" s="3850"/>
      <c r="CP579" s="3850"/>
      <c r="CQ579" s="3850"/>
      <c r="CR579" s="3850"/>
      <c r="CS579" s="3850"/>
      <c r="CT579" s="3850"/>
      <c r="CU579" s="3850"/>
      <c r="CV579" s="3850"/>
      <c r="CW579" s="3850"/>
      <c r="CX579" s="3850"/>
      <c r="CY579" s="3850"/>
      <c r="CZ579" s="3850"/>
      <c r="DA579" s="3850"/>
      <c r="DB579" s="3850"/>
      <c r="DC579" s="3850"/>
      <c r="DD579" s="3850"/>
      <c r="DE579" s="3850"/>
      <c r="DF579" s="3850"/>
      <c r="DG579" s="3850"/>
      <c r="DH579" s="3850"/>
      <c r="DI579" s="3850"/>
      <c r="DJ579" s="3850"/>
      <c r="DK579" s="3850"/>
      <c r="DL579" s="3850"/>
      <c r="DM579" s="3850"/>
      <c r="DN579" s="3850"/>
      <c r="DO579" s="3850"/>
      <c r="DP579" s="3850"/>
      <c r="DQ579" s="3850"/>
      <c r="DR579" s="3850"/>
      <c r="DS579" s="3850"/>
      <c r="DT579" s="3850"/>
      <c r="DU579" s="3850"/>
      <c r="DV579" s="3850"/>
      <c r="DW579" s="3850"/>
      <c r="DX579" s="3850"/>
      <c r="DY579" s="3850"/>
      <c r="DZ579" s="3850"/>
      <c r="EA579" s="3850"/>
    </row>
    <row r="580" spans="1:131" s="3849" customFormat="1">
      <c r="A580" s="3852"/>
      <c r="B580" s="3840"/>
      <c r="C580" s="3870"/>
      <c r="D580" s="3893"/>
      <c r="E580" s="3883"/>
      <c r="F580" s="3874"/>
      <c r="G580" s="3875"/>
      <c r="H580" s="3874"/>
      <c r="I580" s="3875"/>
      <c r="J580" s="3874"/>
      <c r="K580" s="3876"/>
      <c r="L580" s="3874"/>
      <c r="N580" s="3846"/>
      <c r="O580" s="3847"/>
      <c r="P580" s="3853"/>
      <c r="AV580" s="3850"/>
      <c r="AW580" s="3850"/>
      <c r="AX580" s="3850"/>
      <c r="AY580" s="3850"/>
      <c r="AZ580" s="3850"/>
      <c r="BA580" s="3850"/>
      <c r="BB580" s="3850"/>
      <c r="BC580" s="3850"/>
      <c r="BD580" s="3850"/>
      <c r="BE580" s="3850"/>
      <c r="BF580" s="3850"/>
      <c r="BG580" s="3850"/>
      <c r="BH580" s="3850"/>
      <c r="BI580" s="3850"/>
      <c r="BJ580" s="3850"/>
      <c r="BK580" s="3850"/>
      <c r="BL580" s="3850"/>
      <c r="BM580" s="3850"/>
      <c r="BN580" s="3850"/>
      <c r="BO580" s="3850"/>
      <c r="BP580" s="3850"/>
      <c r="BQ580" s="3850"/>
      <c r="BR580" s="3850"/>
      <c r="BS580" s="3850"/>
      <c r="BT580" s="3850"/>
      <c r="BU580" s="3850"/>
      <c r="BV580" s="3850"/>
      <c r="BW580" s="3850"/>
      <c r="BX580" s="3850"/>
      <c r="BY580" s="3850"/>
      <c r="BZ580" s="3850"/>
      <c r="CA580" s="3850"/>
      <c r="CB580" s="3850"/>
      <c r="CC580" s="3850"/>
      <c r="CD580" s="3850"/>
      <c r="CE580" s="3850"/>
      <c r="CF580" s="3850"/>
      <c r="CG580" s="3850"/>
      <c r="CH580" s="3850"/>
      <c r="CI580" s="3850"/>
      <c r="CJ580" s="3850"/>
      <c r="CK580" s="3850"/>
      <c r="CL580" s="3850"/>
      <c r="CM580" s="3850"/>
      <c r="CN580" s="3850"/>
      <c r="CO580" s="3850"/>
      <c r="CP580" s="3850"/>
      <c r="CQ580" s="3850"/>
      <c r="CR580" s="3850"/>
      <c r="CS580" s="3850"/>
      <c r="CT580" s="3850"/>
      <c r="CU580" s="3850"/>
      <c r="CV580" s="3850"/>
      <c r="CW580" s="3850"/>
      <c r="CX580" s="3850"/>
      <c r="CY580" s="3850"/>
      <c r="CZ580" s="3850"/>
      <c r="DA580" s="3850"/>
      <c r="DB580" s="3850"/>
      <c r="DC580" s="3850"/>
      <c r="DD580" s="3850"/>
      <c r="DE580" s="3850"/>
      <c r="DF580" s="3850"/>
      <c r="DG580" s="3850"/>
      <c r="DH580" s="3850"/>
      <c r="DI580" s="3850"/>
      <c r="DJ580" s="3850"/>
      <c r="DK580" s="3850"/>
      <c r="DL580" s="3850"/>
      <c r="DM580" s="3850"/>
      <c r="DN580" s="3850"/>
      <c r="DO580" s="3850"/>
      <c r="DP580" s="3850"/>
      <c r="DQ580" s="3850"/>
      <c r="DR580" s="3850"/>
      <c r="DS580" s="3850"/>
      <c r="DT580" s="3850"/>
      <c r="DU580" s="3850"/>
      <c r="DV580" s="3850"/>
      <c r="DW580" s="3850"/>
      <c r="DX580" s="3850"/>
      <c r="DY580" s="3850"/>
      <c r="DZ580" s="3850"/>
      <c r="EA580" s="3850"/>
    </row>
    <row r="581" spans="1:131" s="3849" customFormat="1">
      <c r="A581" s="3852"/>
      <c r="B581" s="3840"/>
      <c r="C581" s="3870"/>
      <c r="D581" s="3893"/>
      <c r="E581" s="3883"/>
      <c r="F581" s="3874"/>
      <c r="G581" s="3875"/>
      <c r="H581" s="3874"/>
      <c r="I581" s="3875"/>
      <c r="J581" s="3874"/>
      <c r="K581" s="3876"/>
      <c r="L581" s="3874"/>
      <c r="N581" s="3846"/>
      <c r="O581" s="3847"/>
      <c r="P581" s="3853"/>
      <c r="AV581" s="3850"/>
      <c r="AW581" s="3850"/>
      <c r="AX581" s="3850"/>
      <c r="AY581" s="3850"/>
      <c r="AZ581" s="3850"/>
      <c r="BA581" s="3850"/>
      <c r="BB581" s="3850"/>
      <c r="BC581" s="3850"/>
      <c r="BD581" s="3850"/>
      <c r="BE581" s="3850"/>
      <c r="BF581" s="3850"/>
      <c r="BG581" s="3850"/>
      <c r="BH581" s="3850"/>
      <c r="BI581" s="3850"/>
      <c r="BJ581" s="3850"/>
      <c r="BK581" s="3850"/>
      <c r="BL581" s="3850"/>
      <c r="BM581" s="3850"/>
      <c r="BN581" s="3850"/>
      <c r="BO581" s="3850"/>
      <c r="BP581" s="3850"/>
      <c r="BQ581" s="3850"/>
      <c r="BR581" s="3850"/>
      <c r="BS581" s="3850"/>
      <c r="BT581" s="3850"/>
      <c r="BU581" s="3850"/>
      <c r="BV581" s="3850"/>
      <c r="BW581" s="3850"/>
      <c r="BX581" s="3850"/>
      <c r="BY581" s="3850"/>
      <c r="BZ581" s="3850"/>
      <c r="CA581" s="3850"/>
      <c r="CB581" s="3850"/>
      <c r="CC581" s="3850"/>
      <c r="CD581" s="3850"/>
      <c r="CE581" s="3850"/>
      <c r="CF581" s="3850"/>
      <c r="CG581" s="3850"/>
      <c r="CH581" s="3850"/>
      <c r="CI581" s="3850"/>
      <c r="CJ581" s="3850"/>
      <c r="CK581" s="3850"/>
      <c r="CL581" s="3850"/>
      <c r="CM581" s="3850"/>
      <c r="CN581" s="3850"/>
      <c r="CO581" s="3850"/>
      <c r="CP581" s="3850"/>
      <c r="CQ581" s="3850"/>
      <c r="CR581" s="3850"/>
      <c r="CS581" s="3850"/>
      <c r="CT581" s="3850"/>
      <c r="CU581" s="3850"/>
      <c r="CV581" s="3850"/>
      <c r="CW581" s="3850"/>
      <c r="CX581" s="3850"/>
      <c r="CY581" s="3850"/>
      <c r="CZ581" s="3850"/>
      <c r="DA581" s="3850"/>
      <c r="DB581" s="3850"/>
      <c r="DC581" s="3850"/>
      <c r="DD581" s="3850"/>
      <c r="DE581" s="3850"/>
      <c r="DF581" s="3850"/>
      <c r="DG581" s="3850"/>
      <c r="DH581" s="3850"/>
      <c r="DI581" s="3850"/>
      <c r="DJ581" s="3850"/>
      <c r="DK581" s="3850"/>
      <c r="DL581" s="3850"/>
      <c r="DM581" s="3850"/>
      <c r="DN581" s="3850"/>
      <c r="DO581" s="3850"/>
      <c r="DP581" s="3850"/>
      <c r="DQ581" s="3850"/>
      <c r="DR581" s="3850"/>
      <c r="DS581" s="3850"/>
      <c r="DT581" s="3850"/>
      <c r="DU581" s="3850"/>
      <c r="DV581" s="3850"/>
      <c r="DW581" s="3850"/>
      <c r="DX581" s="3850"/>
      <c r="DY581" s="3850"/>
      <c r="DZ581" s="3850"/>
      <c r="EA581" s="3850"/>
    </row>
    <row r="582" spans="1:131" s="3849" customFormat="1">
      <c r="A582" s="3852"/>
      <c r="B582" s="3840"/>
      <c r="C582" s="3870"/>
      <c r="D582" s="3893"/>
      <c r="E582" s="3883"/>
      <c r="F582" s="3874"/>
      <c r="G582" s="3875"/>
      <c r="H582" s="3874"/>
      <c r="I582" s="3875"/>
      <c r="J582" s="3874"/>
      <c r="K582" s="3876"/>
      <c r="L582" s="3874"/>
      <c r="N582" s="3846"/>
      <c r="O582" s="3847"/>
      <c r="P582" s="3853"/>
      <c r="AV582" s="3850"/>
      <c r="AW582" s="3850"/>
      <c r="AX582" s="3850"/>
      <c r="AY582" s="3850"/>
      <c r="AZ582" s="3850"/>
      <c r="BA582" s="3850"/>
      <c r="BB582" s="3850"/>
      <c r="BC582" s="3850"/>
      <c r="BD582" s="3850"/>
      <c r="BE582" s="3850"/>
      <c r="BF582" s="3850"/>
      <c r="BG582" s="3850"/>
      <c r="BH582" s="3850"/>
      <c r="BI582" s="3850"/>
      <c r="BJ582" s="3850"/>
      <c r="BK582" s="3850"/>
      <c r="BL582" s="3850"/>
      <c r="BM582" s="3850"/>
      <c r="BN582" s="3850"/>
      <c r="BO582" s="3850"/>
      <c r="BP582" s="3850"/>
      <c r="BQ582" s="3850"/>
      <c r="BR582" s="3850"/>
      <c r="BS582" s="3850"/>
      <c r="BT582" s="3850"/>
      <c r="BU582" s="3850"/>
      <c r="BV582" s="3850"/>
      <c r="BW582" s="3850"/>
      <c r="BX582" s="3850"/>
      <c r="BY582" s="3850"/>
      <c r="BZ582" s="3850"/>
      <c r="CA582" s="3850"/>
      <c r="CB582" s="3850"/>
      <c r="CC582" s="3850"/>
      <c r="CD582" s="3850"/>
      <c r="CE582" s="3850"/>
      <c r="CF582" s="3850"/>
      <c r="CG582" s="3850"/>
      <c r="CH582" s="3850"/>
      <c r="CI582" s="3850"/>
      <c r="CJ582" s="3850"/>
      <c r="CK582" s="3850"/>
      <c r="CL582" s="3850"/>
      <c r="CM582" s="3850"/>
      <c r="CN582" s="3850"/>
      <c r="CO582" s="3850"/>
      <c r="CP582" s="3850"/>
      <c r="CQ582" s="3850"/>
      <c r="CR582" s="3850"/>
      <c r="CS582" s="3850"/>
      <c r="CT582" s="3850"/>
      <c r="CU582" s="3850"/>
      <c r="CV582" s="3850"/>
      <c r="CW582" s="3850"/>
      <c r="CX582" s="3850"/>
      <c r="CY582" s="3850"/>
      <c r="CZ582" s="3850"/>
      <c r="DA582" s="3850"/>
      <c r="DB582" s="3850"/>
      <c r="DC582" s="3850"/>
      <c r="DD582" s="3850"/>
      <c r="DE582" s="3850"/>
      <c r="DF582" s="3850"/>
      <c r="DG582" s="3850"/>
      <c r="DH582" s="3850"/>
      <c r="DI582" s="3850"/>
      <c r="DJ582" s="3850"/>
      <c r="DK582" s="3850"/>
      <c r="DL582" s="3850"/>
      <c r="DM582" s="3850"/>
      <c r="DN582" s="3850"/>
      <c r="DO582" s="3850"/>
      <c r="DP582" s="3850"/>
      <c r="DQ582" s="3850"/>
      <c r="DR582" s="3850"/>
      <c r="DS582" s="3850"/>
      <c r="DT582" s="3850"/>
      <c r="DU582" s="3850"/>
      <c r="DV582" s="3850"/>
      <c r="DW582" s="3850"/>
      <c r="DX582" s="3850"/>
      <c r="DY582" s="3850"/>
      <c r="DZ582" s="3850"/>
      <c r="EA582" s="3850"/>
    </row>
    <row r="583" spans="1:131" s="3849" customFormat="1">
      <c r="A583" s="3852"/>
      <c r="B583" s="3840"/>
      <c r="C583" s="3870"/>
      <c r="D583" s="3893"/>
      <c r="E583" s="3883"/>
      <c r="F583" s="3874"/>
      <c r="G583" s="3875"/>
      <c r="H583" s="3874"/>
      <c r="I583" s="3875"/>
      <c r="J583" s="3874"/>
      <c r="K583" s="3876"/>
      <c r="L583" s="3874"/>
      <c r="N583" s="3846"/>
      <c r="O583" s="3847"/>
      <c r="P583" s="3853"/>
      <c r="AV583" s="3850"/>
      <c r="AW583" s="3850"/>
      <c r="AX583" s="3850"/>
      <c r="AY583" s="3850"/>
      <c r="AZ583" s="3850"/>
      <c r="BA583" s="3850"/>
      <c r="BB583" s="3850"/>
      <c r="BC583" s="3850"/>
      <c r="BD583" s="3850"/>
      <c r="BE583" s="3850"/>
      <c r="BF583" s="3850"/>
      <c r="BG583" s="3850"/>
      <c r="BH583" s="3850"/>
      <c r="BI583" s="3850"/>
      <c r="BJ583" s="3850"/>
      <c r="BK583" s="3850"/>
      <c r="BL583" s="3850"/>
      <c r="BM583" s="3850"/>
      <c r="BN583" s="3850"/>
      <c r="BO583" s="3850"/>
      <c r="BP583" s="3850"/>
      <c r="BQ583" s="3850"/>
      <c r="BR583" s="3850"/>
      <c r="BS583" s="3850"/>
      <c r="BT583" s="3850"/>
      <c r="BU583" s="3850"/>
      <c r="BV583" s="3850"/>
      <c r="BW583" s="3850"/>
      <c r="BX583" s="3850"/>
      <c r="BY583" s="3850"/>
      <c r="BZ583" s="3850"/>
      <c r="CA583" s="3850"/>
      <c r="CB583" s="3850"/>
      <c r="CC583" s="3850"/>
      <c r="CD583" s="3850"/>
      <c r="CE583" s="3850"/>
      <c r="CF583" s="3850"/>
      <c r="CG583" s="3850"/>
      <c r="CH583" s="3850"/>
      <c r="CI583" s="3850"/>
      <c r="CJ583" s="3850"/>
      <c r="CK583" s="3850"/>
      <c r="CL583" s="3850"/>
      <c r="CM583" s="3850"/>
      <c r="CN583" s="3850"/>
      <c r="CO583" s="3850"/>
      <c r="CP583" s="3850"/>
      <c r="CQ583" s="3850"/>
      <c r="CR583" s="3850"/>
      <c r="CS583" s="3850"/>
      <c r="CT583" s="3850"/>
      <c r="CU583" s="3850"/>
      <c r="CV583" s="3850"/>
      <c r="CW583" s="3850"/>
      <c r="CX583" s="3850"/>
      <c r="CY583" s="3850"/>
      <c r="CZ583" s="3850"/>
      <c r="DA583" s="3850"/>
      <c r="DB583" s="3850"/>
      <c r="DC583" s="3850"/>
      <c r="DD583" s="3850"/>
      <c r="DE583" s="3850"/>
      <c r="DF583" s="3850"/>
      <c r="DG583" s="3850"/>
      <c r="DH583" s="3850"/>
      <c r="DI583" s="3850"/>
      <c r="DJ583" s="3850"/>
      <c r="DK583" s="3850"/>
      <c r="DL583" s="3850"/>
      <c r="DM583" s="3850"/>
      <c r="DN583" s="3850"/>
      <c r="DO583" s="3850"/>
      <c r="DP583" s="3850"/>
      <c r="DQ583" s="3850"/>
      <c r="DR583" s="3850"/>
      <c r="DS583" s="3850"/>
      <c r="DT583" s="3850"/>
      <c r="DU583" s="3850"/>
      <c r="DV583" s="3850"/>
      <c r="DW583" s="3850"/>
      <c r="DX583" s="3850"/>
      <c r="DY583" s="3850"/>
      <c r="DZ583" s="3850"/>
      <c r="EA583" s="3850"/>
    </row>
    <row r="584" spans="1:131" s="3849" customFormat="1">
      <c r="A584" s="3852"/>
      <c r="B584" s="3840"/>
      <c r="C584" s="3870"/>
      <c r="D584" s="3893"/>
      <c r="E584" s="3883"/>
      <c r="F584" s="3874"/>
      <c r="G584" s="3875"/>
      <c r="H584" s="3874"/>
      <c r="I584" s="3875"/>
      <c r="J584" s="3874"/>
      <c r="K584" s="3876"/>
      <c r="L584" s="3874"/>
      <c r="N584" s="3846"/>
      <c r="O584" s="3847"/>
      <c r="P584" s="3853"/>
      <c r="AV584" s="3850"/>
      <c r="AW584" s="3850"/>
      <c r="AX584" s="3850"/>
      <c r="AY584" s="3850"/>
      <c r="AZ584" s="3850"/>
      <c r="BA584" s="3850"/>
      <c r="BB584" s="3850"/>
      <c r="BC584" s="3850"/>
      <c r="BD584" s="3850"/>
      <c r="BE584" s="3850"/>
      <c r="BF584" s="3850"/>
      <c r="BG584" s="3850"/>
      <c r="BH584" s="3850"/>
      <c r="BI584" s="3850"/>
      <c r="BJ584" s="3850"/>
      <c r="BK584" s="3850"/>
      <c r="BL584" s="3850"/>
      <c r="BM584" s="3850"/>
      <c r="BN584" s="3850"/>
      <c r="BO584" s="3850"/>
      <c r="BP584" s="3850"/>
      <c r="BQ584" s="3850"/>
      <c r="BR584" s="3850"/>
      <c r="BS584" s="3850"/>
      <c r="BT584" s="3850"/>
      <c r="BU584" s="3850"/>
      <c r="BV584" s="3850"/>
      <c r="BW584" s="3850"/>
      <c r="BX584" s="3850"/>
      <c r="BY584" s="3850"/>
      <c r="BZ584" s="3850"/>
      <c r="CA584" s="3850"/>
      <c r="CB584" s="3850"/>
      <c r="CC584" s="3850"/>
      <c r="CD584" s="3850"/>
      <c r="CE584" s="3850"/>
      <c r="CF584" s="3850"/>
      <c r="CG584" s="3850"/>
      <c r="CH584" s="3850"/>
      <c r="CI584" s="3850"/>
      <c r="CJ584" s="3850"/>
      <c r="CK584" s="3850"/>
      <c r="CL584" s="3850"/>
      <c r="CM584" s="3850"/>
      <c r="CN584" s="3850"/>
      <c r="CO584" s="3850"/>
      <c r="CP584" s="3850"/>
      <c r="CQ584" s="3850"/>
      <c r="CR584" s="3850"/>
      <c r="CS584" s="3850"/>
      <c r="CT584" s="3850"/>
      <c r="CU584" s="3850"/>
      <c r="CV584" s="3850"/>
      <c r="CW584" s="3850"/>
      <c r="CX584" s="3850"/>
      <c r="CY584" s="3850"/>
      <c r="CZ584" s="3850"/>
      <c r="DA584" s="3850"/>
      <c r="DB584" s="3850"/>
      <c r="DC584" s="3850"/>
      <c r="DD584" s="3850"/>
      <c r="DE584" s="3850"/>
      <c r="DF584" s="3850"/>
      <c r="DG584" s="3850"/>
      <c r="DH584" s="3850"/>
      <c r="DI584" s="3850"/>
      <c r="DJ584" s="3850"/>
      <c r="DK584" s="3850"/>
      <c r="DL584" s="3850"/>
      <c r="DM584" s="3850"/>
      <c r="DN584" s="3850"/>
      <c r="DO584" s="3850"/>
      <c r="DP584" s="3850"/>
      <c r="DQ584" s="3850"/>
      <c r="DR584" s="3850"/>
      <c r="DS584" s="3850"/>
      <c r="DT584" s="3850"/>
      <c r="DU584" s="3850"/>
      <c r="DV584" s="3850"/>
      <c r="DW584" s="3850"/>
      <c r="DX584" s="3850"/>
      <c r="DY584" s="3850"/>
      <c r="DZ584" s="3850"/>
      <c r="EA584" s="3850"/>
    </row>
    <row r="585" spans="1:131" s="3849" customFormat="1">
      <c r="A585" s="3852"/>
      <c r="B585" s="3840"/>
      <c r="C585" s="3870"/>
      <c r="D585" s="3893"/>
      <c r="E585" s="3883"/>
      <c r="F585" s="3874"/>
      <c r="G585" s="3875"/>
      <c r="H585" s="3874"/>
      <c r="I585" s="3875"/>
      <c r="J585" s="3874"/>
      <c r="K585" s="3876"/>
      <c r="L585" s="3874"/>
      <c r="N585" s="3846"/>
      <c r="O585" s="3847"/>
      <c r="P585" s="3853"/>
      <c r="AV585" s="3850"/>
      <c r="AW585" s="3850"/>
      <c r="AX585" s="3850"/>
      <c r="AY585" s="3850"/>
      <c r="AZ585" s="3850"/>
      <c r="BA585" s="3850"/>
      <c r="BB585" s="3850"/>
      <c r="BC585" s="3850"/>
      <c r="BD585" s="3850"/>
      <c r="BE585" s="3850"/>
      <c r="BF585" s="3850"/>
      <c r="BG585" s="3850"/>
      <c r="BH585" s="3850"/>
      <c r="BI585" s="3850"/>
      <c r="BJ585" s="3850"/>
      <c r="BK585" s="3850"/>
      <c r="BL585" s="3850"/>
      <c r="BM585" s="3850"/>
      <c r="BN585" s="3850"/>
      <c r="BO585" s="3850"/>
      <c r="BP585" s="3850"/>
      <c r="BQ585" s="3850"/>
      <c r="BR585" s="3850"/>
      <c r="BS585" s="3850"/>
      <c r="BT585" s="3850"/>
      <c r="BU585" s="3850"/>
      <c r="BV585" s="3850"/>
      <c r="BW585" s="3850"/>
      <c r="BX585" s="3850"/>
      <c r="BY585" s="3850"/>
      <c r="BZ585" s="3850"/>
      <c r="CA585" s="3850"/>
      <c r="CB585" s="3850"/>
      <c r="CC585" s="3850"/>
      <c r="CD585" s="3850"/>
      <c r="CE585" s="3850"/>
      <c r="CF585" s="3850"/>
      <c r="CG585" s="3850"/>
      <c r="CH585" s="3850"/>
      <c r="CI585" s="3850"/>
      <c r="CJ585" s="3850"/>
      <c r="CK585" s="3850"/>
      <c r="CL585" s="3850"/>
      <c r="CM585" s="3850"/>
      <c r="CN585" s="3850"/>
      <c r="CO585" s="3850"/>
      <c r="CP585" s="3850"/>
      <c r="CQ585" s="3850"/>
      <c r="CR585" s="3850"/>
      <c r="CS585" s="3850"/>
      <c r="CT585" s="3850"/>
      <c r="CU585" s="3850"/>
      <c r="CV585" s="3850"/>
      <c r="CW585" s="3850"/>
      <c r="CX585" s="3850"/>
      <c r="CY585" s="3850"/>
      <c r="CZ585" s="3850"/>
      <c r="DA585" s="3850"/>
      <c r="DB585" s="3850"/>
      <c r="DC585" s="3850"/>
      <c r="DD585" s="3850"/>
      <c r="DE585" s="3850"/>
      <c r="DF585" s="3850"/>
      <c r="DG585" s="3850"/>
      <c r="DH585" s="3850"/>
      <c r="DI585" s="3850"/>
      <c r="DJ585" s="3850"/>
      <c r="DK585" s="3850"/>
      <c r="DL585" s="3850"/>
      <c r="DM585" s="3850"/>
      <c r="DN585" s="3850"/>
      <c r="DO585" s="3850"/>
      <c r="DP585" s="3850"/>
      <c r="DQ585" s="3850"/>
      <c r="DR585" s="3850"/>
      <c r="DS585" s="3850"/>
      <c r="DT585" s="3850"/>
      <c r="DU585" s="3850"/>
      <c r="DV585" s="3850"/>
      <c r="DW585" s="3850"/>
      <c r="DX585" s="3850"/>
      <c r="DY585" s="3850"/>
      <c r="DZ585" s="3850"/>
      <c r="EA585" s="3850"/>
    </row>
    <row r="586" spans="1:131" s="3849" customFormat="1">
      <c r="A586" s="3852"/>
      <c r="B586" s="3840"/>
      <c r="C586" s="3870"/>
      <c r="D586" s="3893"/>
      <c r="E586" s="3883"/>
      <c r="F586" s="3874"/>
      <c r="G586" s="3875"/>
      <c r="H586" s="3874"/>
      <c r="I586" s="3875"/>
      <c r="J586" s="3874"/>
      <c r="K586" s="3876"/>
      <c r="L586" s="3874"/>
      <c r="N586" s="3846"/>
      <c r="O586" s="3847"/>
      <c r="P586" s="3853"/>
      <c r="AV586" s="3850"/>
      <c r="AW586" s="3850"/>
      <c r="AX586" s="3850"/>
      <c r="AY586" s="3850"/>
      <c r="AZ586" s="3850"/>
      <c r="BA586" s="3850"/>
      <c r="BB586" s="3850"/>
      <c r="BC586" s="3850"/>
      <c r="BD586" s="3850"/>
      <c r="BE586" s="3850"/>
      <c r="BF586" s="3850"/>
      <c r="BG586" s="3850"/>
      <c r="BH586" s="3850"/>
      <c r="BI586" s="3850"/>
      <c r="BJ586" s="3850"/>
      <c r="BK586" s="3850"/>
      <c r="BL586" s="3850"/>
      <c r="BM586" s="3850"/>
      <c r="BN586" s="3850"/>
      <c r="BO586" s="3850"/>
      <c r="BP586" s="3850"/>
      <c r="BQ586" s="3850"/>
      <c r="BR586" s="3850"/>
      <c r="BS586" s="3850"/>
      <c r="BT586" s="3850"/>
      <c r="BU586" s="3850"/>
      <c r="BV586" s="3850"/>
      <c r="BW586" s="3850"/>
      <c r="BX586" s="3850"/>
      <c r="BY586" s="3850"/>
      <c r="BZ586" s="3850"/>
      <c r="CA586" s="3850"/>
      <c r="CB586" s="3850"/>
      <c r="CC586" s="3850"/>
      <c r="CD586" s="3850"/>
      <c r="CE586" s="3850"/>
      <c r="CF586" s="3850"/>
      <c r="CG586" s="3850"/>
      <c r="CH586" s="3850"/>
      <c r="CI586" s="3850"/>
      <c r="CJ586" s="3850"/>
      <c r="CK586" s="3850"/>
      <c r="CL586" s="3850"/>
      <c r="CM586" s="3850"/>
      <c r="CN586" s="3850"/>
      <c r="CO586" s="3850"/>
      <c r="CP586" s="3850"/>
      <c r="CQ586" s="3850"/>
      <c r="CR586" s="3850"/>
      <c r="CS586" s="3850"/>
      <c r="CT586" s="3850"/>
      <c r="CU586" s="3850"/>
      <c r="CV586" s="3850"/>
      <c r="CW586" s="3850"/>
      <c r="CX586" s="3850"/>
      <c r="CY586" s="3850"/>
      <c r="CZ586" s="3850"/>
      <c r="DA586" s="3850"/>
      <c r="DB586" s="3850"/>
      <c r="DC586" s="3850"/>
      <c r="DD586" s="3850"/>
      <c r="DE586" s="3850"/>
      <c r="DF586" s="3850"/>
      <c r="DG586" s="3850"/>
      <c r="DH586" s="3850"/>
      <c r="DI586" s="3850"/>
      <c r="DJ586" s="3850"/>
      <c r="DK586" s="3850"/>
      <c r="DL586" s="3850"/>
      <c r="DM586" s="3850"/>
      <c r="DN586" s="3850"/>
      <c r="DO586" s="3850"/>
      <c r="DP586" s="3850"/>
      <c r="DQ586" s="3850"/>
      <c r="DR586" s="3850"/>
      <c r="DS586" s="3850"/>
      <c r="DT586" s="3850"/>
      <c r="DU586" s="3850"/>
      <c r="DV586" s="3850"/>
      <c r="DW586" s="3850"/>
      <c r="DX586" s="3850"/>
      <c r="DY586" s="3850"/>
      <c r="DZ586" s="3850"/>
      <c r="EA586" s="3850"/>
    </row>
    <row r="587" spans="1:131" s="3849" customFormat="1">
      <c r="A587" s="3852"/>
      <c r="B587" s="3840"/>
      <c r="C587" s="3870"/>
      <c r="D587" s="3893"/>
      <c r="E587" s="3883"/>
      <c r="F587" s="3874"/>
      <c r="G587" s="3875"/>
      <c r="H587" s="3874"/>
      <c r="I587" s="3875"/>
      <c r="J587" s="3874"/>
      <c r="K587" s="3876"/>
      <c r="L587" s="3874"/>
      <c r="N587" s="3846"/>
      <c r="O587" s="3847"/>
      <c r="P587" s="3853"/>
      <c r="AV587" s="3850"/>
      <c r="AW587" s="3850"/>
      <c r="AX587" s="3850"/>
      <c r="AY587" s="3850"/>
      <c r="AZ587" s="3850"/>
      <c r="BA587" s="3850"/>
      <c r="BB587" s="3850"/>
      <c r="BC587" s="3850"/>
      <c r="BD587" s="3850"/>
      <c r="BE587" s="3850"/>
      <c r="BF587" s="3850"/>
      <c r="BG587" s="3850"/>
      <c r="BH587" s="3850"/>
      <c r="BI587" s="3850"/>
      <c r="BJ587" s="3850"/>
      <c r="BK587" s="3850"/>
      <c r="BL587" s="3850"/>
      <c r="BM587" s="3850"/>
      <c r="BN587" s="3850"/>
      <c r="BO587" s="3850"/>
      <c r="BP587" s="3850"/>
      <c r="BQ587" s="3850"/>
      <c r="BR587" s="3850"/>
      <c r="BS587" s="3850"/>
      <c r="BT587" s="3850"/>
      <c r="BU587" s="3850"/>
      <c r="BV587" s="3850"/>
      <c r="BW587" s="3850"/>
      <c r="BX587" s="3850"/>
      <c r="BY587" s="3850"/>
      <c r="BZ587" s="3850"/>
      <c r="CA587" s="3850"/>
      <c r="CB587" s="3850"/>
      <c r="CC587" s="3850"/>
      <c r="CD587" s="3850"/>
      <c r="CE587" s="3850"/>
      <c r="CF587" s="3850"/>
      <c r="CG587" s="3850"/>
      <c r="CH587" s="3850"/>
      <c r="CI587" s="3850"/>
      <c r="CJ587" s="3850"/>
      <c r="CK587" s="3850"/>
      <c r="CL587" s="3850"/>
      <c r="CM587" s="3850"/>
      <c r="CN587" s="3850"/>
      <c r="CO587" s="3850"/>
      <c r="CP587" s="3850"/>
      <c r="CQ587" s="3850"/>
      <c r="CR587" s="3850"/>
      <c r="CS587" s="3850"/>
      <c r="CT587" s="3850"/>
      <c r="CU587" s="3850"/>
      <c r="CV587" s="3850"/>
      <c r="CW587" s="3850"/>
      <c r="CX587" s="3850"/>
      <c r="CY587" s="3850"/>
      <c r="CZ587" s="3850"/>
      <c r="DA587" s="3850"/>
      <c r="DB587" s="3850"/>
      <c r="DC587" s="3850"/>
      <c r="DD587" s="3850"/>
      <c r="DE587" s="3850"/>
      <c r="DF587" s="3850"/>
      <c r="DG587" s="3850"/>
      <c r="DH587" s="3850"/>
      <c r="DI587" s="3850"/>
      <c r="DJ587" s="3850"/>
      <c r="DK587" s="3850"/>
      <c r="DL587" s="3850"/>
      <c r="DM587" s="3850"/>
      <c r="DN587" s="3850"/>
      <c r="DO587" s="3850"/>
      <c r="DP587" s="3850"/>
      <c r="DQ587" s="3850"/>
      <c r="DR587" s="3850"/>
      <c r="DS587" s="3850"/>
      <c r="DT587" s="3850"/>
      <c r="DU587" s="3850"/>
      <c r="DV587" s="3850"/>
      <c r="DW587" s="3850"/>
      <c r="DX587" s="3850"/>
      <c r="DY587" s="3850"/>
      <c r="DZ587" s="3850"/>
      <c r="EA587" s="3850"/>
    </row>
    <row r="588" spans="1:131" s="3849" customFormat="1">
      <c r="A588" s="3852"/>
      <c r="B588" s="3840"/>
      <c r="C588" s="3870"/>
      <c r="D588" s="3893"/>
      <c r="E588" s="3883"/>
      <c r="F588" s="3874"/>
      <c r="G588" s="3875"/>
      <c r="H588" s="3874"/>
      <c r="I588" s="3875"/>
      <c r="J588" s="3874"/>
      <c r="K588" s="3876"/>
      <c r="L588" s="3874"/>
      <c r="N588" s="3846"/>
      <c r="O588" s="3847"/>
      <c r="P588" s="3853"/>
      <c r="AV588" s="3850"/>
      <c r="AW588" s="3850"/>
      <c r="AX588" s="3850"/>
      <c r="AY588" s="3850"/>
      <c r="AZ588" s="3850"/>
      <c r="BA588" s="3850"/>
      <c r="BB588" s="3850"/>
      <c r="BC588" s="3850"/>
      <c r="BD588" s="3850"/>
      <c r="BE588" s="3850"/>
      <c r="BF588" s="3850"/>
      <c r="BG588" s="3850"/>
      <c r="BH588" s="3850"/>
      <c r="BI588" s="3850"/>
      <c r="BJ588" s="3850"/>
      <c r="BK588" s="3850"/>
      <c r="BL588" s="3850"/>
      <c r="BM588" s="3850"/>
      <c r="BN588" s="3850"/>
      <c r="BO588" s="3850"/>
      <c r="BP588" s="3850"/>
      <c r="BQ588" s="3850"/>
      <c r="BR588" s="3850"/>
      <c r="BS588" s="3850"/>
      <c r="BT588" s="3850"/>
      <c r="BU588" s="3850"/>
      <c r="BV588" s="3850"/>
      <c r="BW588" s="3850"/>
      <c r="BX588" s="3850"/>
      <c r="BY588" s="3850"/>
      <c r="BZ588" s="3850"/>
      <c r="CA588" s="3850"/>
      <c r="CB588" s="3850"/>
      <c r="CC588" s="3850"/>
      <c r="CD588" s="3850"/>
      <c r="CE588" s="3850"/>
      <c r="CF588" s="3850"/>
      <c r="CG588" s="3850"/>
      <c r="CH588" s="3850"/>
      <c r="CI588" s="3850"/>
      <c r="CJ588" s="3850"/>
      <c r="CK588" s="3850"/>
      <c r="CL588" s="3850"/>
      <c r="CM588" s="3850"/>
      <c r="CN588" s="3850"/>
      <c r="CO588" s="3850"/>
      <c r="CP588" s="3850"/>
      <c r="CQ588" s="3850"/>
      <c r="CR588" s="3850"/>
      <c r="CS588" s="3850"/>
      <c r="CT588" s="3850"/>
      <c r="CU588" s="3850"/>
      <c r="CV588" s="3850"/>
      <c r="CW588" s="3850"/>
      <c r="CX588" s="3850"/>
      <c r="CY588" s="3850"/>
      <c r="CZ588" s="3850"/>
      <c r="DA588" s="3850"/>
      <c r="DB588" s="3850"/>
      <c r="DC588" s="3850"/>
      <c r="DD588" s="3850"/>
      <c r="DE588" s="3850"/>
      <c r="DF588" s="3850"/>
      <c r="DG588" s="3850"/>
      <c r="DH588" s="3850"/>
      <c r="DI588" s="3850"/>
      <c r="DJ588" s="3850"/>
      <c r="DK588" s="3850"/>
      <c r="DL588" s="3850"/>
      <c r="DM588" s="3850"/>
      <c r="DN588" s="3850"/>
      <c r="DO588" s="3850"/>
      <c r="DP588" s="3850"/>
      <c r="DQ588" s="3850"/>
      <c r="DR588" s="3850"/>
      <c r="DS588" s="3850"/>
      <c r="DT588" s="3850"/>
      <c r="DU588" s="3850"/>
      <c r="DV588" s="3850"/>
      <c r="DW588" s="3850"/>
      <c r="DX588" s="3850"/>
      <c r="DY588" s="3850"/>
      <c r="DZ588" s="3850"/>
      <c r="EA588" s="3850"/>
    </row>
    <row r="589" spans="1:131" s="3849" customFormat="1">
      <c r="A589" s="3852"/>
      <c r="B589" s="3840"/>
      <c r="C589" s="3870"/>
      <c r="D589" s="3893"/>
      <c r="E589" s="3883"/>
      <c r="F589" s="3874"/>
      <c r="G589" s="3875"/>
      <c r="H589" s="3874"/>
      <c r="I589" s="3875"/>
      <c r="J589" s="3874"/>
      <c r="K589" s="3876"/>
      <c r="L589" s="3874"/>
      <c r="N589" s="3846"/>
      <c r="O589" s="3847"/>
      <c r="P589" s="3853"/>
      <c r="AV589" s="3850"/>
      <c r="AW589" s="3850"/>
      <c r="AX589" s="3850"/>
      <c r="AY589" s="3850"/>
      <c r="AZ589" s="3850"/>
      <c r="BA589" s="3850"/>
      <c r="BB589" s="3850"/>
      <c r="BC589" s="3850"/>
      <c r="BD589" s="3850"/>
      <c r="BE589" s="3850"/>
      <c r="BF589" s="3850"/>
      <c r="BG589" s="3850"/>
      <c r="BH589" s="3850"/>
      <c r="BI589" s="3850"/>
      <c r="BJ589" s="3850"/>
      <c r="BK589" s="3850"/>
      <c r="BL589" s="3850"/>
      <c r="BM589" s="3850"/>
      <c r="BN589" s="3850"/>
      <c r="BO589" s="3850"/>
      <c r="BP589" s="3850"/>
      <c r="BQ589" s="3850"/>
      <c r="BR589" s="3850"/>
      <c r="BS589" s="3850"/>
      <c r="BT589" s="3850"/>
      <c r="BU589" s="3850"/>
      <c r="BV589" s="3850"/>
      <c r="BW589" s="3850"/>
      <c r="BX589" s="3850"/>
      <c r="BY589" s="3850"/>
      <c r="BZ589" s="3850"/>
      <c r="CA589" s="3850"/>
      <c r="CB589" s="3850"/>
      <c r="CC589" s="3850"/>
      <c r="CD589" s="3850"/>
      <c r="CE589" s="3850"/>
      <c r="CF589" s="3850"/>
      <c r="CG589" s="3850"/>
      <c r="CH589" s="3850"/>
      <c r="CI589" s="3850"/>
      <c r="CJ589" s="3850"/>
      <c r="CK589" s="3850"/>
      <c r="CL589" s="3850"/>
      <c r="CM589" s="3850"/>
      <c r="CN589" s="3850"/>
      <c r="CO589" s="3850"/>
      <c r="CP589" s="3850"/>
      <c r="CQ589" s="3850"/>
      <c r="CR589" s="3850"/>
      <c r="CS589" s="3850"/>
      <c r="CT589" s="3850"/>
      <c r="CU589" s="3850"/>
      <c r="CV589" s="3850"/>
      <c r="CW589" s="3850"/>
      <c r="CX589" s="3850"/>
      <c r="CY589" s="3850"/>
      <c r="CZ589" s="3850"/>
      <c r="DA589" s="3850"/>
      <c r="DB589" s="3850"/>
      <c r="DC589" s="3850"/>
      <c r="DD589" s="3850"/>
      <c r="DE589" s="3850"/>
      <c r="DF589" s="3850"/>
      <c r="DG589" s="3850"/>
      <c r="DH589" s="3850"/>
      <c r="DI589" s="3850"/>
      <c r="DJ589" s="3850"/>
      <c r="DK589" s="3850"/>
      <c r="DL589" s="3850"/>
      <c r="DM589" s="3850"/>
      <c r="DN589" s="3850"/>
      <c r="DO589" s="3850"/>
      <c r="DP589" s="3850"/>
      <c r="DQ589" s="3850"/>
      <c r="DR589" s="3850"/>
      <c r="DS589" s="3850"/>
      <c r="DT589" s="3850"/>
      <c r="DU589" s="3850"/>
      <c r="DV589" s="3850"/>
      <c r="DW589" s="3850"/>
      <c r="DX589" s="3850"/>
      <c r="DY589" s="3850"/>
      <c r="DZ589" s="3850"/>
      <c r="EA589" s="3850"/>
    </row>
    <row r="590" spans="1:131" s="3849" customFormat="1">
      <c r="A590" s="3852"/>
      <c r="B590" s="3840"/>
      <c r="C590" s="3870"/>
      <c r="D590" s="3893"/>
      <c r="E590" s="3883"/>
      <c r="F590" s="3874"/>
      <c r="G590" s="3875"/>
      <c r="H590" s="3874"/>
      <c r="I590" s="3875"/>
      <c r="J590" s="3874"/>
      <c r="K590" s="3876"/>
      <c r="L590" s="3874"/>
      <c r="N590" s="3846"/>
      <c r="O590" s="3847"/>
      <c r="P590" s="3853"/>
      <c r="AV590" s="3850"/>
      <c r="AW590" s="3850"/>
      <c r="AX590" s="3850"/>
      <c r="AY590" s="3850"/>
      <c r="AZ590" s="3850"/>
      <c r="BA590" s="3850"/>
      <c r="BB590" s="3850"/>
      <c r="BC590" s="3850"/>
      <c r="BD590" s="3850"/>
      <c r="BE590" s="3850"/>
      <c r="BF590" s="3850"/>
      <c r="BG590" s="3850"/>
      <c r="BH590" s="3850"/>
      <c r="BI590" s="3850"/>
      <c r="BJ590" s="3850"/>
      <c r="BK590" s="3850"/>
      <c r="BL590" s="3850"/>
      <c r="BM590" s="3850"/>
      <c r="BN590" s="3850"/>
      <c r="BO590" s="3850"/>
      <c r="BP590" s="3850"/>
      <c r="BQ590" s="3850"/>
      <c r="BR590" s="3850"/>
      <c r="BS590" s="3850"/>
      <c r="BT590" s="3850"/>
      <c r="BU590" s="3850"/>
      <c r="BV590" s="3850"/>
      <c r="BW590" s="3850"/>
      <c r="BX590" s="3850"/>
      <c r="BY590" s="3850"/>
      <c r="BZ590" s="3850"/>
      <c r="CA590" s="3850"/>
      <c r="CB590" s="3850"/>
      <c r="CC590" s="3850"/>
      <c r="CD590" s="3850"/>
      <c r="CE590" s="3850"/>
      <c r="CF590" s="3850"/>
      <c r="CG590" s="3850"/>
      <c r="CH590" s="3850"/>
      <c r="CI590" s="3850"/>
      <c r="CJ590" s="3850"/>
      <c r="CK590" s="3850"/>
      <c r="CL590" s="3850"/>
      <c r="CM590" s="3850"/>
      <c r="CN590" s="3850"/>
      <c r="CO590" s="3850"/>
      <c r="CP590" s="3850"/>
      <c r="CQ590" s="3850"/>
      <c r="CR590" s="3850"/>
      <c r="CS590" s="3850"/>
      <c r="CT590" s="3850"/>
      <c r="CU590" s="3850"/>
      <c r="CV590" s="3850"/>
      <c r="CW590" s="3850"/>
      <c r="CX590" s="3850"/>
      <c r="CY590" s="3850"/>
      <c r="CZ590" s="3850"/>
      <c r="DA590" s="3850"/>
      <c r="DB590" s="3850"/>
      <c r="DC590" s="3850"/>
      <c r="DD590" s="3850"/>
      <c r="DE590" s="3850"/>
      <c r="DF590" s="3850"/>
      <c r="DG590" s="3850"/>
      <c r="DH590" s="3850"/>
      <c r="DI590" s="3850"/>
      <c r="DJ590" s="3850"/>
      <c r="DK590" s="3850"/>
      <c r="DL590" s="3850"/>
      <c r="DM590" s="3850"/>
      <c r="DN590" s="3850"/>
      <c r="DO590" s="3850"/>
      <c r="DP590" s="3850"/>
      <c r="DQ590" s="3850"/>
      <c r="DR590" s="3850"/>
      <c r="DS590" s="3850"/>
      <c r="DT590" s="3850"/>
      <c r="DU590" s="3850"/>
      <c r="DV590" s="3850"/>
      <c r="DW590" s="3850"/>
      <c r="DX590" s="3850"/>
      <c r="DY590" s="3850"/>
      <c r="DZ590" s="3850"/>
      <c r="EA590" s="3850"/>
    </row>
    <row r="591" spans="1:131" s="3849" customFormat="1">
      <c r="A591" s="3852"/>
      <c r="B591" s="3840"/>
      <c r="C591" s="3870"/>
      <c r="D591" s="3893"/>
      <c r="E591" s="3883"/>
      <c r="F591" s="3874"/>
      <c r="G591" s="3875"/>
      <c r="H591" s="3874"/>
      <c r="I591" s="3875"/>
      <c r="J591" s="3874"/>
      <c r="K591" s="3876"/>
      <c r="L591" s="3874"/>
      <c r="N591" s="3846"/>
      <c r="O591" s="3847"/>
      <c r="P591" s="3853"/>
      <c r="AV591" s="3850"/>
      <c r="AW591" s="3850"/>
      <c r="AX591" s="3850"/>
      <c r="AY591" s="3850"/>
      <c r="AZ591" s="3850"/>
      <c r="BA591" s="3850"/>
      <c r="BB591" s="3850"/>
      <c r="BC591" s="3850"/>
      <c r="BD591" s="3850"/>
      <c r="BE591" s="3850"/>
      <c r="BF591" s="3850"/>
      <c r="BG591" s="3850"/>
      <c r="BH591" s="3850"/>
      <c r="BI591" s="3850"/>
      <c r="BJ591" s="3850"/>
      <c r="BK591" s="3850"/>
      <c r="BL591" s="3850"/>
      <c r="BM591" s="3850"/>
      <c r="BN591" s="3850"/>
      <c r="BO591" s="3850"/>
      <c r="BP591" s="3850"/>
      <c r="BQ591" s="3850"/>
      <c r="BR591" s="3850"/>
      <c r="BS591" s="3850"/>
      <c r="BT591" s="3850"/>
      <c r="BU591" s="3850"/>
      <c r="BV591" s="3850"/>
      <c r="BW591" s="3850"/>
      <c r="BX591" s="3850"/>
      <c r="BY591" s="3850"/>
      <c r="BZ591" s="3850"/>
      <c r="CA591" s="3850"/>
      <c r="CB591" s="3850"/>
      <c r="CC591" s="3850"/>
      <c r="CD591" s="3850"/>
      <c r="CE591" s="3850"/>
      <c r="CF591" s="3850"/>
      <c r="CG591" s="3850"/>
      <c r="CH591" s="3850"/>
      <c r="CI591" s="3850"/>
      <c r="CJ591" s="3850"/>
      <c r="CK591" s="3850"/>
      <c r="CL591" s="3850"/>
      <c r="CM591" s="3850"/>
      <c r="CN591" s="3850"/>
      <c r="CO591" s="3850"/>
      <c r="CP591" s="3850"/>
      <c r="CQ591" s="3850"/>
      <c r="CR591" s="3850"/>
      <c r="CS591" s="3850"/>
      <c r="CT591" s="3850"/>
      <c r="CU591" s="3850"/>
      <c r="CV591" s="3850"/>
      <c r="CW591" s="3850"/>
      <c r="CX591" s="3850"/>
      <c r="CY591" s="3850"/>
      <c r="CZ591" s="3850"/>
      <c r="DA591" s="3850"/>
      <c r="DB591" s="3850"/>
      <c r="DC591" s="3850"/>
      <c r="DD591" s="3850"/>
      <c r="DE591" s="3850"/>
      <c r="DF591" s="3850"/>
      <c r="DG591" s="3850"/>
      <c r="DH591" s="3850"/>
      <c r="DI591" s="3850"/>
      <c r="DJ591" s="3850"/>
      <c r="DK591" s="3850"/>
      <c r="DL591" s="3850"/>
      <c r="DM591" s="3850"/>
      <c r="DN591" s="3850"/>
      <c r="DO591" s="3850"/>
      <c r="DP591" s="3850"/>
      <c r="DQ591" s="3850"/>
      <c r="DR591" s="3850"/>
      <c r="DS591" s="3850"/>
      <c r="DT591" s="3850"/>
      <c r="DU591" s="3850"/>
      <c r="DV591" s="3850"/>
      <c r="DW591" s="3850"/>
      <c r="DX591" s="3850"/>
      <c r="DY591" s="3850"/>
      <c r="DZ591" s="3850"/>
      <c r="EA591" s="3850"/>
    </row>
    <row r="592" spans="1:131" s="3849" customFormat="1">
      <c r="A592" s="3852"/>
      <c r="B592" s="3840"/>
      <c r="C592" s="3870"/>
      <c r="D592" s="3893"/>
      <c r="E592" s="3883"/>
      <c r="F592" s="3874"/>
      <c r="G592" s="3875"/>
      <c r="H592" s="3874"/>
      <c r="I592" s="3875"/>
      <c r="J592" s="3874"/>
      <c r="K592" s="3876"/>
      <c r="L592" s="3874"/>
      <c r="N592" s="3846"/>
      <c r="O592" s="3847"/>
      <c r="P592" s="3853"/>
      <c r="AV592" s="3850"/>
      <c r="AW592" s="3850"/>
      <c r="AX592" s="3850"/>
      <c r="AY592" s="3850"/>
      <c r="AZ592" s="3850"/>
      <c r="BA592" s="3850"/>
      <c r="BB592" s="3850"/>
      <c r="BC592" s="3850"/>
      <c r="BD592" s="3850"/>
      <c r="BE592" s="3850"/>
      <c r="BF592" s="3850"/>
      <c r="BG592" s="3850"/>
      <c r="BH592" s="3850"/>
      <c r="BI592" s="3850"/>
      <c r="BJ592" s="3850"/>
      <c r="BK592" s="3850"/>
      <c r="BL592" s="3850"/>
      <c r="BM592" s="3850"/>
      <c r="BN592" s="3850"/>
      <c r="BO592" s="3850"/>
      <c r="BP592" s="3850"/>
      <c r="BQ592" s="3850"/>
      <c r="BR592" s="3850"/>
      <c r="BS592" s="3850"/>
      <c r="BT592" s="3850"/>
      <c r="BU592" s="3850"/>
      <c r="BV592" s="3850"/>
      <c r="BW592" s="3850"/>
      <c r="BX592" s="3850"/>
      <c r="BY592" s="3850"/>
      <c r="BZ592" s="3850"/>
      <c r="CA592" s="3850"/>
      <c r="CB592" s="3850"/>
      <c r="CC592" s="3850"/>
      <c r="CD592" s="3850"/>
      <c r="CE592" s="3850"/>
      <c r="CF592" s="3850"/>
      <c r="CG592" s="3850"/>
      <c r="CH592" s="3850"/>
      <c r="CI592" s="3850"/>
      <c r="CJ592" s="3850"/>
      <c r="CK592" s="3850"/>
      <c r="CL592" s="3850"/>
      <c r="CM592" s="3850"/>
      <c r="CN592" s="3850"/>
      <c r="CO592" s="3850"/>
      <c r="CP592" s="3850"/>
      <c r="CQ592" s="3850"/>
      <c r="CR592" s="3850"/>
      <c r="CS592" s="3850"/>
      <c r="CT592" s="3850"/>
      <c r="CU592" s="3850"/>
      <c r="CV592" s="3850"/>
      <c r="CW592" s="3850"/>
      <c r="CX592" s="3850"/>
      <c r="CY592" s="3850"/>
      <c r="CZ592" s="3850"/>
      <c r="DA592" s="3850"/>
      <c r="DB592" s="3850"/>
      <c r="DC592" s="3850"/>
      <c r="DD592" s="3850"/>
      <c r="DE592" s="3850"/>
      <c r="DF592" s="3850"/>
      <c r="DG592" s="3850"/>
      <c r="DH592" s="3850"/>
      <c r="DI592" s="3850"/>
      <c r="DJ592" s="3850"/>
      <c r="DK592" s="3850"/>
      <c r="DL592" s="3850"/>
      <c r="DM592" s="3850"/>
      <c r="DN592" s="3850"/>
      <c r="DO592" s="3850"/>
      <c r="DP592" s="3850"/>
      <c r="DQ592" s="3850"/>
      <c r="DR592" s="3850"/>
      <c r="DS592" s="3850"/>
      <c r="DT592" s="3850"/>
      <c r="DU592" s="3850"/>
      <c r="DV592" s="3850"/>
      <c r="DW592" s="3850"/>
      <c r="DX592" s="3850"/>
      <c r="DY592" s="3850"/>
      <c r="DZ592" s="3850"/>
      <c r="EA592" s="3850"/>
    </row>
    <row r="593" spans="1:131" s="3849" customFormat="1">
      <c r="A593" s="3852"/>
      <c r="B593" s="3840"/>
      <c r="C593" s="3870"/>
      <c r="D593" s="3893"/>
      <c r="E593" s="3883"/>
      <c r="F593" s="3874"/>
      <c r="G593" s="3875"/>
      <c r="H593" s="3874"/>
      <c r="I593" s="3875"/>
      <c r="J593" s="3874"/>
      <c r="K593" s="3876"/>
      <c r="L593" s="3874"/>
      <c r="N593" s="3846"/>
      <c r="O593" s="3847"/>
      <c r="P593" s="3853"/>
      <c r="AV593" s="3850"/>
      <c r="AW593" s="3850"/>
      <c r="AX593" s="3850"/>
      <c r="AY593" s="3850"/>
      <c r="AZ593" s="3850"/>
      <c r="BA593" s="3850"/>
      <c r="BB593" s="3850"/>
      <c r="BC593" s="3850"/>
      <c r="BD593" s="3850"/>
      <c r="BE593" s="3850"/>
      <c r="BF593" s="3850"/>
      <c r="BG593" s="3850"/>
      <c r="BH593" s="3850"/>
      <c r="BI593" s="3850"/>
      <c r="BJ593" s="3850"/>
      <c r="BK593" s="3850"/>
      <c r="BL593" s="3850"/>
      <c r="BM593" s="3850"/>
      <c r="BN593" s="3850"/>
      <c r="BO593" s="3850"/>
      <c r="BP593" s="3850"/>
      <c r="BQ593" s="3850"/>
      <c r="BR593" s="3850"/>
      <c r="BS593" s="3850"/>
      <c r="BT593" s="3850"/>
      <c r="BU593" s="3850"/>
      <c r="BV593" s="3850"/>
      <c r="BW593" s="3850"/>
      <c r="BX593" s="3850"/>
      <c r="BY593" s="3850"/>
      <c r="BZ593" s="3850"/>
      <c r="CA593" s="3850"/>
      <c r="CB593" s="3850"/>
      <c r="CC593" s="3850"/>
      <c r="CD593" s="3850"/>
      <c r="CE593" s="3850"/>
      <c r="CF593" s="3850"/>
      <c r="CG593" s="3850"/>
      <c r="CH593" s="3850"/>
      <c r="CI593" s="3850"/>
      <c r="CJ593" s="3850"/>
      <c r="CK593" s="3850"/>
      <c r="CL593" s="3850"/>
      <c r="CM593" s="3850"/>
      <c r="CN593" s="3850"/>
      <c r="CO593" s="3850"/>
      <c r="CP593" s="3850"/>
      <c r="CQ593" s="3850"/>
      <c r="CR593" s="3850"/>
      <c r="CS593" s="3850"/>
      <c r="CT593" s="3850"/>
      <c r="CU593" s="3850"/>
      <c r="CV593" s="3850"/>
      <c r="CW593" s="3850"/>
      <c r="CX593" s="3850"/>
      <c r="CY593" s="3850"/>
      <c r="CZ593" s="3850"/>
      <c r="DA593" s="3850"/>
      <c r="DB593" s="3850"/>
      <c r="DC593" s="3850"/>
      <c r="DD593" s="3850"/>
      <c r="DE593" s="3850"/>
      <c r="DF593" s="3850"/>
      <c r="DG593" s="3850"/>
      <c r="DH593" s="3850"/>
      <c r="DI593" s="3850"/>
      <c r="DJ593" s="3850"/>
      <c r="DK593" s="3850"/>
      <c r="DL593" s="3850"/>
      <c r="DM593" s="3850"/>
      <c r="DN593" s="3850"/>
      <c r="DO593" s="3850"/>
      <c r="DP593" s="3850"/>
      <c r="DQ593" s="3850"/>
      <c r="DR593" s="3850"/>
      <c r="DS593" s="3850"/>
      <c r="DT593" s="3850"/>
      <c r="DU593" s="3850"/>
      <c r="DV593" s="3850"/>
      <c r="DW593" s="3850"/>
      <c r="DX593" s="3850"/>
      <c r="DY593" s="3850"/>
      <c r="DZ593" s="3850"/>
      <c r="EA593" s="3850"/>
    </row>
    <row r="594" spans="1:131" s="3849" customFormat="1">
      <c r="A594" s="3852"/>
      <c r="B594" s="3840"/>
      <c r="C594" s="3870"/>
      <c r="D594" s="3893"/>
      <c r="E594" s="3883"/>
      <c r="F594" s="3874"/>
      <c r="G594" s="3875"/>
      <c r="H594" s="3874"/>
      <c r="I594" s="3875"/>
      <c r="J594" s="3874"/>
      <c r="K594" s="3876"/>
      <c r="L594" s="3874"/>
      <c r="N594" s="3846"/>
      <c r="O594" s="3847"/>
      <c r="P594" s="3853"/>
      <c r="AV594" s="3850"/>
      <c r="AW594" s="3850"/>
      <c r="AX594" s="3850"/>
      <c r="AY594" s="3850"/>
      <c r="AZ594" s="3850"/>
      <c r="BA594" s="3850"/>
      <c r="BB594" s="3850"/>
      <c r="BC594" s="3850"/>
      <c r="BD594" s="3850"/>
      <c r="BE594" s="3850"/>
      <c r="BF594" s="3850"/>
      <c r="BG594" s="3850"/>
      <c r="BH594" s="3850"/>
      <c r="BI594" s="3850"/>
      <c r="BJ594" s="3850"/>
      <c r="BK594" s="3850"/>
      <c r="BL594" s="3850"/>
      <c r="BM594" s="3850"/>
      <c r="BN594" s="3850"/>
      <c r="BO594" s="3850"/>
      <c r="BP594" s="3850"/>
      <c r="BQ594" s="3850"/>
      <c r="BR594" s="3850"/>
      <c r="BS594" s="3850"/>
      <c r="BT594" s="3850"/>
      <c r="BU594" s="3850"/>
      <c r="BV594" s="3850"/>
      <c r="BW594" s="3850"/>
      <c r="BX594" s="3850"/>
      <c r="BY594" s="3850"/>
      <c r="BZ594" s="3850"/>
      <c r="CA594" s="3850"/>
      <c r="CB594" s="3850"/>
      <c r="CC594" s="3850"/>
      <c r="CD594" s="3850"/>
      <c r="CE594" s="3850"/>
      <c r="CF594" s="3850"/>
      <c r="CG594" s="3850"/>
      <c r="CH594" s="3850"/>
      <c r="CI594" s="3850"/>
      <c r="CJ594" s="3850"/>
      <c r="CK594" s="3850"/>
      <c r="CL594" s="3850"/>
      <c r="CM594" s="3850"/>
      <c r="CN594" s="3850"/>
      <c r="CO594" s="3850"/>
      <c r="CP594" s="3850"/>
      <c r="CQ594" s="3850"/>
      <c r="CR594" s="3850"/>
      <c r="CS594" s="3850"/>
      <c r="CT594" s="3850"/>
      <c r="CU594" s="3850"/>
      <c r="CV594" s="3850"/>
      <c r="CW594" s="3850"/>
      <c r="CX594" s="3850"/>
      <c r="CY594" s="3850"/>
      <c r="CZ594" s="3850"/>
      <c r="DA594" s="3850"/>
      <c r="DB594" s="3850"/>
      <c r="DC594" s="3850"/>
      <c r="DD594" s="3850"/>
      <c r="DE594" s="3850"/>
      <c r="DF594" s="3850"/>
      <c r="DG594" s="3850"/>
      <c r="DH594" s="3850"/>
      <c r="DI594" s="3850"/>
      <c r="DJ594" s="3850"/>
      <c r="DK594" s="3850"/>
      <c r="DL594" s="3850"/>
      <c r="DM594" s="3850"/>
      <c r="DN594" s="3850"/>
      <c r="DO594" s="3850"/>
      <c r="DP594" s="3850"/>
      <c r="DQ594" s="3850"/>
      <c r="DR594" s="3850"/>
      <c r="DS594" s="3850"/>
      <c r="DT594" s="3850"/>
      <c r="DU594" s="3850"/>
      <c r="DV594" s="3850"/>
      <c r="DW594" s="3850"/>
      <c r="DX594" s="3850"/>
      <c r="DY594" s="3850"/>
      <c r="DZ594" s="3850"/>
      <c r="EA594" s="3850"/>
    </row>
    <row r="595" spans="1:131" s="3849" customFormat="1">
      <c r="A595" s="3852"/>
      <c r="B595" s="3840"/>
      <c r="C595" s="3870"/>
      <c r="D595" s="3893"/>
      <c r="E595" s="3883"/>
      <c r="F595" s="3874"/>
      <c r="G595" s="3875"/>
      <c r="H595" s="3874"/>
      <c r="I595" s="3875"/>
      <c r="J595" s="3874"/>
      <c r="K595" s="3876"/>
      <c r="L595" s="3874"/>
      <c r="N595" s="3846"/>
      <c r="O595" s="3847"/>
      <c r="P595" s="3853"/>
      <c r="AV595" s="3850"/>
      <c r="AW595" s="3850"/>
      <c r="AX595" s="3850"/>
      <c r="AY595" s="3850"/>
      <c r="AZ595" s="3850"/>
      <c r="BA595" s="3850"/>
      <c r="BB595" s="3850"/>
      <c r="BC595" s="3850"/>
      <c r="BD595" s="3850"/>
      <c r="BE595" s="3850"/>
      <c r="BF595" s="3850"/>
      <c r="BG595" s="3850"/>
      <c r="BH595" s="3850"/>
      <c r="BI595" s="3850"/>
      <c r="BJ595" s="3850"/>
      <c r="BK595" s="3850"/>
      <c r="BL595" s="3850"/>
      <c r="BM595" s="3850"/>
      <c r="BN595" s="3850"/>
      <c r="BO595" s="3850"/>
      <c r="BP595" s="3850"/>
      <c r="BQ595" s="3850"/>
      <c r="BR595" s="3850"/>
      <c r="BS595" s="3850"/>
      <c r="BT595" s="3850"/>
      <c r="BU595" s="3850"/>
      <c r="BV595" s="3850"/>
      <c r="BW595" s="3850"/>
      <c r="BX595" s="3850"/>
      <c r="BY595" s="3850"/>
      <c r="BZ595" s="3850"/>
      <c r="CA595" s="3850"/>
      <c r="CB595" s="3850"/>
      <c r="CC595" s="3850"/>
      <c r="CD595" s="3850"/>
      <c r="CE595" s="3850"/>
      <c r="CF595" s="3850"/>
      <c r="CG595" s="3850"/>
      <c r="CH595" s="3850"/>
      <c r="CI595" s="3850"/>
      <c r="CJ595" s="3850"/>
      <c r="CK595" s="3850"/>
      <c r="CL595" s="3850"/>
      <c r="CM595" s="3850"/>
      <c r="CN595" s="3850"/>
      <c r="CO595" s="3850"/>
      <c r="CP595" s="3850"/>
      <c r="CQ595" s="3850"/>
      <c r="CR595" s="3850"/>
      <c r="CS595" s="3850"/>
      <c r="CT595" s="3850"/>
      <c r="CU595" s="3850"/>
      <c r="CV595" s="3850"/>
      <c r="CW595" s="3850"/>
      <c r="CX595" s="3850"/>
      <c r="CY595" s="3850"/>
      <c r="CZ595" s="3850"/>
      <c r="DA595" s="3850"/>
      <c r="DB595" s="3850"/>
      <c r="DC595" s="3850"/>
      <c r="DD595" s="3850"/>
      <c r="DE595" s="3850"/>
      <c r="DF595" s="3850"/>
      <c r="DG595" s="3850"/>
      <c r="DH595" s="3850"/>
      <c r="DI595" s="3850"/>
      <c r="DJ595" s="3850"/>
      <c r="DK595" s="3850"/>
      <c r="DL595" s="3850"/>
      <c r="DM595" s="3850"/>
      <c r="DN595" s="3850"/>
      <c r="DO595" s="3850"/>
      <c r="DP595" s="3850"/>
      <c r="DQ595" s="3850"/>
      <c r="DR595" s="3850"/>
      <c r="DS595" s="3850"/>
      <c r="DT595" s="3850"/>
      <c r="DU595" s="3850"/>
      <c r="DV595" s="3850"/>
      <c r="DW595" s="3850"/>
      <c r="DX595" s="3850"/>
      <c r="DY595" s="3850"/>
      <c r="DZ595" s="3850"/>
      <c r="EA595" s="3850"/>
    </row>
    <row r="596" spans="1:131" s="3849" customFormat="1">
      <c r="A596" s="3852"/>
      <c r="B596" s="3840"/>
      <c r="C596" s="3870"/>
      <c r="D596" s="3893"/>
      <c r="E596" s="3883"/>
      <c r="F596" s="3874"/>
      <c r="G596" s="3875"/>
      <c r="H596" s="3874"/>
      <c r="I596" s="3875"/>
      <c r="J596" s="3874"/>
      <c r="K596" s="3876"/>
      <c r="L596" s="3874"/>
      <c r="N596" s="3846"/>
      <c r="O596" s="3847"/>
      <c r="P596" s="3853"/>
      <c r="AV596" s="3850"/>
      <c r="AW596" s="3850"/>
      <c r="AX596" s="3850"/>
      <c r="AY596" s="3850"/>
      <c r="AZ596" s="3850"/>
      <c r="BA596" s="3850"/>
      <c r="BB596" s="3850"/>
      <c r="BC596" s="3850"/>
      <c r="BD596" s="3850"/>
      <c r="BE596" s="3850"/>
      <c r="BF596" s="3850"/>
      <c r="BG596" s="3850"/>
      <c r="BH596" s="3850"/>
      <c r="BI596" s="3850"/>
      <c r="BJ596" s="3850"/>
      <c r="BK596" s="3850"/>
      <c r="BL596" s="3850"/>
      <c r="BM596" s="3850"/>
      <c r="BN596" s="3850"/>
      <c r="BO596" s="3850"/>
      <c r="BP596" s="3850"/>
      <c r="BQ596" s="3850"/>
      <c r="BR596" s="3850"/>
      <c r="BS596" s="3850"/>
      <c r="BT596" s="3850"/>
      <c r="BU596" s="3850"/>
      <c r="BV596" s="3850"/>
      <c r="BW596" s="3850"/>
      <c r="BX596" s="3850"/>
      <c r="BY596" s="3850"/>
      <c r="BZ596" s="3850"/>
      <c r="CA596" s="3850"/>
      <c r="CB596" s="3850"/>
      <c r="CC596" s="3850"/>
      <c r="CD596" s="3850"/>
      <c r="CE596" s="3850"/>
      <c r="CF596" s="3850"/>
      <c r="CG596" s="3850"/>
      <c r="CH596" s="3850"/>
      <c r="CI596" s="3850"/>
      <c r="CJ596" s="3850"/>
      <c r="CK596" s="3850"/>
      <c r="CL596" s="3850"/>
      <c r="CM596" s="3850"/>
      <c r="CN596" s="3850"/>
      <c r="CO596" s="3850"/>
      <c r="CP596" s="3850"/>
      <c r="CQ596" s="3850"/>
      <c r="CR596" s="3850"/>
      <c r="CS596" s="3850"/>
      <c r="CT596" s="3850"/>
      <c r="CU596" s="3850"/>
      <c r="CV596" s="3850"/>
      <c r="CW596" s="3850"/>
      <c r="CX596" s="3850"/>
      <c r="CY596" s="3850"/>
      <c r="CZ596" s="3850"/>
      <c r="DA596" s="3850"/>
      <c r="DB596" s="3850"/>
      <c r="DC596" s="3850"/>
      <c r="DD596" s="3850"/>
      <c r="DE596" s="3850"/>
      <c r="DF596" s="3850"/>
      <c r="DG596" s="3850"/>
      <c r="DH596" s="3850"/>
      <c r="DI596" s="3850"/>
      <c r="DJ596" s="3850"/>
      <c r="DK596" s="3850"/>
      <c r="DL596" s="3850"/>
      <c r="DM596" s="3850"/>
      <c r="DN596" s="3850"/>
      <c r="DO596" s="3850"/>
      <c r="DP596" s="3850"/>
      <c r="DQ596" s="3850"/>
      <c r="DR596" s="3850"/>
      <c r="DS596" s="3850"/>
      <c r="DT596" s="3850"/>
      <c r="DU596" s="3850"/>
      <c r="DV596" s="3850"/>
      <c r="DW596" s="3850"/>
      <c r="DX596" s="3850"/>
      <c r="DY596" s="3850"/>
      <c r="DZ596" s="3850"/>
      <c r="EA596" s="3850"/>
    </row>
    <row r="597" spans="1:131" s="3849" customFormat="1">
      <c r="A597" s="3852"/>
      <c r="B597" s="3840"/>
      <c r="C597" s="3870"/>
      <c r="D597" s="3893"/>
      <c r="E597" s="3883"/>
      <c r="F597" s="3874"/>
      <c r="G597" s="3875"/>
      <c r="H597" s="3874"/>
      <c r="I597" s="3875"/>
      <c r="J597" s="3874"/>
      <c r="K597" s="3876"/>
      <c r="L597" s="3874"/>
      <c r="N597" s="3846"/>
      <c r="O597" s="3847"/>
      <c r="P597" s="3853"/>
      <c r="AV597" s="3850"/>
      <c r="AW597" s="3850"/>
      <c r="AX597" s="3850"/>
      <c r="AY597" s="3850"/>
      <c r="AZ597" s="3850"/>
      <c r="BA597" s="3850"/>
      <c r="BB597" s="3850"/>
      <c r="BC597" s="3850"/>
      <c r="BD597" s="3850"/>
      <c r="BE597" s="3850"/>
      <c r="BF597" s="3850"/>
      <c r="BG597" s="3850"/>
      <c r="BH597" s="3850"/>
      <c r="BI597" s="3850"/>
      <c r="BJ597" s="3850"/>
      <c r="BK597" s="3850"/>
      <c r="BL597" s="3850"/>
      <c r="BM597" s="3850"/>
      <c r="BN597" s="3850"/>
      <c r="BO597" s="3850"/>
      <c r="BP597" s="3850"/>
      <c r="BQ597" s="3850"/>
      <c r="BR597" s="3850"/>
      <c r="BS597" s="3850"/>
      <c r="BT597" s="3850"/>
      <c r="BU597" s="3850"/>
      <c r="BV597" s="3850"/>
      <c r="BW597" s="3850"/>
      <c r="BX597" s="3850"/>
      <c r="BY597" s="3850"/>
      <c r="BZ597" s="3850"/>
      <c r="CA597" s="3850"/>
      <c r="CB597" s="3850"/>
      <c r="CC597" s="3850"/>
      <c r="CD597" s="3850"/>
      <c r="CE597" s="3850"/>
      <c r="CF597" s="3850"/>
      <c r="CG597" s="3850"/>
      <c r="CH597" s="3850"/>
      <c r="CI597" s="3850"/>
      <c r="CJ597" s="3850"/>
      <c r="CK597" s="3850"/>
      <c r="CL597" s="3850"/>
      <c r="CM597" s="3850"/>
      <c r="CN597" s="3850"/>
      <c r="CO597" s="3850"/>
      <c r="CP597" s="3850"/>
      <c r="CQ597" s="3850"/>
      <c r="CR597" s="3850"/>
      <c r="CS597" s="3850"/>
      <c r="CT597" s="3850"/>
      <c r="CU597" s="3850"/>
      <c r="CV597" s="3850"/>
      <c r="CW597" s="3850"/>
      <c r="CX597" s="3850"/>
      <c r="CY597" s="3850"/>
      <c r="CZ597" s="3850"/>
      <c r="DA597" s="3850"/>
      <c r="DB597" s="3850"/>
      <c r="DC597" s="3850"/>
      <c r="DD597" s="3850"/>
      <c r="DE597" s="3850"/>
      <c r="DF597" s="3850"/>
      <c r="DG597" s="3850"/>
      <c r="DH597" s="3850"/>
      <c r="DI597" s="3850"/>
      <c r="DJ597" s="3850"/>
      <c r="DK597" s="3850"/>
      <c r="DL597" s="3850"/>
      <c r="DM597" s="3850"/>
      <c r="DN597" s="3850"/>
      <c r="DO597" s="3850"/>
      <c r="DP597" s="3850"/>
      <c r="DQ597" s="3850"/>
      <c r="DR597" s="3850"/>
      <c r="DS597" s="3850"/>
      <c r="DT597" s="3850"/>
      <c r="DU597" s="3850"/>
      <c r="DV597" s="3850"/>
      <c r="DW597" s="3850"/>
      <c r="DX597" s="3850"/>
      <c r="DY597" s="3850"/>
      <c r="DZ597" s="3850"/>
      <c r="EA597" s="3850"/>
    </row>
    <row r="598" spans="1:131" s="3849" customFormat="1">
      <c r="A598" s="3852"/>
      <c r="B598" s="3840"/>
      <c r="C598" s="3870"/>
      <c r="D598" s="3893"/>
      <c r="E598" s="3883"/>
      <c r="F598" s="3874"/>
      <c r="G598" s="3875"/>
      <c r="H598" s="3874"/>
      <c r="I598" s="3875"/>
      <c r="J598" s="3874"/>
      <c r="K598" s="3876"/>
      <c r="L598" s="3874"/>
      <c r="N598" s="3846"/>
      <c r="O598" s="3847"/>
      <c r="P598" s="3853"/>
      <c r="AV598" s="3850"/>
      <c r="AW598" s="3850"/>
      <c r="AX598" s="3850"/>
      <c r="AY598" s="3850"/>
      <c r="AZ598" s="3850"/>
      <c r="BA598" s="3850"/>
      <c r="BB598" s="3850"/>
      <c r="BC598" s="3850"/>
      <c r="BD598" s="3850"/>
      <c r="BE598" s="3850"/>
      <c r="BF598" s="3850"/>
      <c r="BG598" s="3850"/>
      <c r="BH598" s="3850"/>
      <c r="BI598" s="3850"/>
      <c r="BJ598" s="3850"/>
      <c r="BK598" s="3850"/>
      <c r="BL598" s="3850"/>
      <c r="BM598" s="3850"/>
      <c r="BN598" s="3850"/>
      <c r="BO598" s="3850"/>
      <c r="BP598" s="3850"/>
      <c r="BQ598" s="3850"/>
      <c r="BR598" s="3850"/>
      <c r="BS598" s="3850"/>
      <c r="BT598" s="3850"/>
      <c r="BU598" s="3850"/>
      <c r="BV598" s="3850"/>
      <c r="BW598" s="3850"/>
      <c r="BX598" s="3850"/>
      <c r="BY598" s="3850"/>
      <c r="BZ598" s="3850"/>
      <c r="CA598" s="3850"/>
      <c r="CB598" s="3850"/>
      <c r="CC598" s="3850"/>
      <c r="CD598" s="3850"/>
      <c r="CE598" s="3850"/>
      <c r="CF598" s="3850"/>
      <c r="CG598" s="3850"/>
      <c r="CH598" s="3850"/>
      <c r="CI598" s="3850"/>
      <c r="CJ598" s="3850"/>
      <c r="CK598" s="3850"/>
      <c r="CL598" s="3850"/>
      <c r="CM598" s="3850"/>
      <c r="CN598" s="3850"/>
      <c r="CO598" s="3850"/>
      <c r="CP598" s="3850"/>
      <c r="CQ598" s="3850"/>
      <c r="CR598" s="3850"/>
      <c r="CS598" s="3850"/>
      <c r="CT598" s="3850"/>
      <c r="CU598" s="3850"/>
      <c r="CV598" s="3850"/>
      <c r="CW598" s="3850"/>
      <c r="CX598" s="3850"/>
      <c r="CY598" s="3850"/>
      <c r="CZ598" s="3850"/>
      <c r="DA598" s="3850"/>
      <c r="DB598" s="3850"/>
      <c r="DC598" s="3850"/>
      <c r="DD598" s="3850"/>
      <c r="DE598" s="3850"/>
      <c r="DF598" s="3850"/>
      <c r="DG598" s="3850"/>
      <c r="DH598" s="3850"/>
      <c r="DI598" s="3850"/>
      <c r="DJ598" s="3850"/>
      <c r="DK598" s="3850"/>
      <c r="DL598" s="3850"/>
      <c r="DM598" s="3850"/>
      <c r="DN598" s="3850"/>
      <c r="DO598" s="3850"/>
      <c r="DP598" s="3850"/>
      <c r="DQ598" s="3850"/>
      <c r="DR598" s="3850"/>
      <c r="DS598" s="3850"/>
      <c r="DT598" s="3850"/>
      <c r="DU598" s="3850"/>
      <c r="DV598" s="3850"/>
      <c r="DW598" s="3850"/>
      <c r="DX598" s="3850"/>
      <c r="DY598" s="3850"/>
      <c r="DZ598" s="3850"/>
      <c r="EA598" s="3850"/>
    </row>
    <row r="599" spans="1:131" s="3849" customFormat="1">
      <c r="A599" s="3852"/>
      <c r="B599" s="3840"/>
      <c r="C599" s="3870"/>
      <c r="D599" s="3893"/>
      <c r="E599" s="3883"/>
      <c r="F599" s="3874"/>
      <c r="G599" s="3875"/>
      <c r="H599" s="3874"/>
      <c r="I599" s="3875"/>
      <c r="J599" s="3874"/>
      <c r="K599" s="3876"/>
      <c r="L599" s="3874"/>
      <c r="N599" s="3846"/>
      <c r="O599" s="3847"/>
      <c r="P599" s="3853"/>
      <c r="AV599" s="3850"/>
      <c r="AW599" s="3850"/>
      <c r="AX599" s="3850"/>
      <c r="AY599" s="3850"/>
      <c r="AZ599" s="3850"/>
      <c r="BA599" s="3850"/>
      <c r="BB599" s="3850"/>
      <c r="BC599" s="3850"/>
      <c r="BD599" s="3850"/>
      <c r="BE599" s="3850"/>
      <c r="BF599" s="3850"/>
      <c r="BG599" s="3850"/>
      <c r="BH599" s="3850"/>
      <c r="BI599" s="3850"/>
      <c r="BJ599" s="3850"/>
      <c r="BK599" s="3850"/>
      <c r="BL599" s="3850"/>
      <c r="BM599" s="3850"/>
      <c r="BN599" s="3850"/>
      <c r="BO599" s="3850"/>
      <c r="BP599" s="3850"/>
      <c r="BQ599" s="3850"/>
      <c r="BR599" s="3850"/>
      <c r="BS599" s="3850"/>
      <c r="BT599" s="3850"/>
      <c r="BU599" s="3850"/>
      <c r="BV599" s="3850"/>
      <c r="BW599" s="3850"/>
      <c r="BX599" s="3850"/>
      <c r="BY599" s="3850"/>
      <c r="BZ599" s="3850"/>
      <c r="CA599" s="3850"/>
      <c r="CB599" s="3850"/>
      <c r="CC599" s="3850"/>
      <c r="CD599" s="3850"/>
      <c r="CE599" s="3850"/>
      <c r="CF599" s="3850"/>
      <c r="CG599" s="3850"/>
      <c r="CH599" s="3850"/>
      <c r="CI599" s="3850"/>
      <c r="CJ599" s="3850"/>
      <c r="CK599" s="3850"/>
      <c r="CL599" s="3850"/>
      <c r="CM599" s="3850"/>
      <c r="CN599" s="3850"/>
      <c r="CO599" s="3850"/>
      <c r="CP599" s="3850"/>
      <c r="CQ599" s="3850"/>
      <c r="CR599" s="3850"/>
      <c r="CS599" s="3850"/>
      <c r="CT599" s="3850"/>
      <c r="CU599" s="3850"/>
      <c r="CV599" s="3850"/>
      <c r="CW599" s="3850"/>
      <c r="CX599" s="3850"/>
      <c r="CY599" s="3850"/>
      <c r="CZ599" s="3850"/>
      <c r="DA599" s="3850"/>
      <c r="DB599" s="3850"/>
      <c r="DC599" s="3850"/>
      <c r="DD599" s="3850"/>
      <c r="DE599" s="3850"/>
      <c r="DF599" s="3850"/>
      <c r="DG599" s="3850"/>
      <c r="DH599" s="3850"/>
      <c r="DI599" s="3850"/>
      <c r="DJ599" s="3850"/>
      <c r="DK599" s="3850"/>
      <c r="DL599" s="3850"/>
      <c r="DM599" s="3850"/>
      <c r="DN599" s="3850"/>
      <c r="DO599" s="3850"/>
      <c r="DP599" s="3850"/>
      <c r="DQ599" s="3850"/>
      <c r="DR599" s="3850"/>
      <c r="DS599" s="3850"/>
      <c r="DT599" s="3850"/>
      <c r="DU599" s="3850"/>
      <c r="DV599" s="3850"/>
      <c r="DW599" s="3850"/>
      <c r="DX599" s="3850"/>
      <c r="DY599" s="3850"/>
      <c r="DZ599" s="3850"/>
      <c r="EA599" s="3850"/>
    </row>
    <row r="600" spans="1:131" s="3849" customFormat="1">
      <c r="A600" s="3852"/>
      <c r="B600" s="3840"/>
      <c r="C600" s="3870"/>
      <c r="D600" s="3893"/>
      <c r="E600" s="3883"/>
      <c r="F600" s="3874"/>
      <c r="G600" s="3875"/>
      <c r="H600" s="3874"/>
      <c r="I600" s="3875"/>
      <c r="J600" s="3874"/>
      <c r="K600" s="3876"/>
      <c r="L600" s="3874"/>
      <c r="N600" s="3846"/>
      <c r="O600" s="3847"/>
      <c r="P600" s="3853"/>
      <c r="AV600" s="3850"/>
      <c r="AW600" s="3850"/>
      <c r="AX600" s="3850"/>
      <c r="AY600" s="3850"/>
      <c r="AZ600" s="3850"/>
      <c r="BA600" s="3850"/>
      <c r="BB600" s="3850"/>
      <c r="BC600" s="3850"/>
      <c r="BD600" s="3850"/>
      <c r="BE600" s="3850"/>
      <c r="BF600" s="3850"/>
      <c r="BG600" s="3850"/>
      <c r="BH600" s="3850"/>
      <c r="BI600" s="3850"/>
      <c r="BJ600" s="3850"/>
      <c r="BK600" s="3850"/>
      <c r="BL600" s="3850"/>
      <c r="BM600" s="3850"/>
      <c r="BN600" s="3850"/>
      <c r="BO600" s="3850"/>
      <c r="BP600" s="3850"/>
      <c r="BQ600" s="3850"/>
      <c r="BR600" s="3850"/>
      <c r="BS600" s="3850"/>
      <c r="BT600" s="3850"/>
      <c r="BU600" s="3850"/>
      <c r="BV600" s="3850"/>
      <c r="BW600" s="3850"/>
      <c r="BX600" s="3850"/>
      <c r="BY600" s="3850"/>
      <c r="BZ600" s="3850"/>
      <c r="CA600" s="3850"/>
      <c r="CB600" s="3850"/>
      <c r="CC600" s="3850"/>
      <c r="CD600" s="3850"/>
      <c r="CE600" s="3850"/>
      <c r="CF600" s="3850"/>
      <c r="CG600" s="3850"/>
      <c r="CH600" s="3850"/>
      <c r="CI600" s="3850"/>
      <c r="CJ600" s="3850"/>
      <c r="CK600" s="3850"/>
      <c r="CL600" s="3850"/>
      <c r="CM600" s="3850"/>
      <c r="CN600" s="3850"/>
      <c r="CO600" s="3850"/>
      <c r="CP600" s="3850"/>
      <c r="CQ600" s="3850"/>
      <c r="CR600" s="3850"/>
      <c r="CS600" s="3850"/>
      <c r="CT600" s="3850"/>
      <c r="CU600" s="3850"/>
      <c r="CV600" s="3850"/>
      <c r="CW600" s="3850"/>
      <c r="CX600" s="3850"/>
      <c r="CY600" s="3850"/>
      <c r="CZ600" s="3850"/>
      <c r="DA600" s="3850"/>
      <c r="DB600" s="3850"/>
      <c r="DC600" s="3850"/>
      <c r="DD600" s="3850"/>
      <c r="DE600" s="3850"/>
      <c r="DF600" s="3850"/>
      <c r="DG600" s="3850"/>
      <c r="DH600" s="3850"/>
      <c r="DI600" s="3850"/>
      <c r="DJ600" s="3850"/>
      <c r="DK600" s="3850"/>
      <c r="DL600" s="3850"/>
      <c r="DM600" s="3850"/>
      <c r="DN600" s="3850"/>
      <c r="DO600" s="3850"/>
      <c r="DP600" s="3850"/>
      <c r="DQ600" s="3850"/>
      <c r="DR600" s="3850"/>
      <c r="DS600" s="3850"/>
      <c r="DT600" s="3850"/>
      <c r="DU600" s="3850"/>
      <c r="DV600" s="3850"/>
      <c r="DW600" s="3850"/>
      <c r="DX600" s="3850"/>
      <c r="DY600" s="3850"/>
      <c r="DZ600" s="3850"/>
      <c r="EA600" s="3850"/>
    </row>
    <row r="601" spans="1:131" s="3849" customFormat="1">
      <c r="A601" s="3852"/>
      <c r="B601" s="3840"/>
      <c r="C601" s="3870"/>
      <c r="D601" s="3893"/>
      <c r="E601" s="3883"/>
      <c r="F601" s="3874"/>
      <c r="G601" s="3875"/>
      <c r="H601" s="3874"/>
      <c r="I601" s="3875"/>
      <c r="J601" s="3874"/>
      <c r="K601" s="3876"/>
      <c r="L601" s="3874"/>
      <c r="N601" s="3846"/>
      <c r="O601" s="3847"/>
      <c r="P601" s="3853"/>
      <c r="AV601" s="3850"/>
      <c r="AW601" s="3850"/>
      <c r="AX601" s="3850"/>
      <c r="AY601" s="3850"/>
      <c r="AZ601" s="3850"/>
      <c r="BA601" s="3850"/>
      <c r="BB601" s="3850"/>
      <c r="BC601" s="3850"/>
      <c r="BD601" s="3850"/>
      <c r="BE601" s="3850"/>
      <c r="BF601" s="3850"/>
      <c r="BG601" s="3850"/>
      <c r="BH601" s="3850"/>
      <c r="BI601" s="3850"/>
      <c r="BJ601" s="3850"/>
      <c r="BK601" s="3850"/>
      <c r="BL601" s="3850"/>
      <c r="BM601" s="3850"/>
      <c r="BN601" s="3850"/>
      <c r="BO601" s="3850"/>
      <c r="BP601" s="3850"/>
      <c r="BQ601" s="3850"/>
      <c r="BR601" s="3850"/>
      <c r="BS601" s="3850"/>
      <c r="BT601" s="3850"/>
      <c r="BU601" s="3850"/>
      <c r="BV601" s="3850"/>
      <c r="BW601" s="3850"/>
      <c r="BX601" s="3850"/>
      <c r="BY601" s="3850"/>
      <c r="BZ601" s="3850"/>
      <c r="CA601" s="3850"/>
      <c r="CB601" s="3850"/>
      <c r="CC601" s="3850"/>
      <c r="CD601" s="3850"/>
      <c r="CE601" s="3850"/>
      <c r="CF601" s="3850"/>
      <c r="CG601" s="3850"/>
      <c r="CH601" s="3850"/>
      <c r="CI601" s="3850"/>
      <c r="CJ601" s="3850"/>
      <c r="CK601" s="3850"/>
      <c r="CL601" s="3850"/>
      <c r="CM601" s="3850"/>
      <c r="CN601" s="3850"/>
      <c r="CO601" s="3850"/>
      <c r="CP601" s="3850"/>
      <c r="CQ601" s="3850"/>
      <c r="CR601" s="3850"/>
      <c r="CS601" s="3850"/>
      <c r="CT601" s="3850"/>
      <c r="CU601" s="3850"/>
      <c r="CV601" s="3850"/>
      <c r="CW601" s="3850"/>
      <c r="CX601" s="3850"/>
      <c r="CY601" s="3850"/>
      <c r="CZ601" s="3850"/>
      <c r="DA601" s="3850"/>
      <c r="DB601" s="3850"/>
      <c r="DC601" s="3850"/>
      <c r="DD601" s="3850"/>
      <c r="DE601" s="3850"/>
      <c r="DF601" s="3850"/>
      <c r="DG601" s="3850"/>
      <c r="DH601" s="3850"/>
      <c r="DI601" s="3850"/>
      <c r="DJ601" s="3850"/>
      <c r="DK601" s="3850"/>
      <c r="DL601" s="3850"/>
      <c r="DM601" s="3850"/>
      <c r="DN601" s="3850"/>
      <c r="DO601" s="3850"/>
      <c r="DP601" s="3850"/>
      <c r="DQ601" s="3850"/>
      <c r="DR601" s="3850"/>
      <c r="DS601" s="3850"/>
      <c r="DT601" s="3850"/>
      <c r="DU601" s="3850"/>
      <c r="DV601" s="3850"/>
      <c r="DW601" s="3850"/>
      <c r="DX601" s="3850"/>
      <c r="DY601" s="3850"/>
      <c r="DZ601" s="3850"/>
      <c r="EA601" s="3850"/>
    </row>
    <row r="602" spans="1:131" s="3849" customFormat="1">
      <c r="A602" s="3852"/>
      <c r="B602" s="3840"/>
      <c r="C602" s="3870"/>
      <c r="D602" s="3893"/>
      <c r="E602" s="3883"/>
      <c r="F602" s="3874"/>
      <c r="G602" s="3875"/>
      <c r="H602" s="3874"/>
      <c r="I602" s="3875"/>
      <c r="J602" s="3874"/>
      <c r="K602" s="3876"/>
      <c r="L602" s="3874"/>
      <c r="N602" s="3846"/>
      <c r="O602" s="3847"/>
      <c r="P602" s="3853"/>
      <c r="AV602" s="3850"/>
      <c r="AW602" s="3850"/>
      <c r="AX602" s="3850"/>
      <c r="AY602" s="3850"/>
      <c r="AZ602" s="3850"/>
      <c r="BA602" s="3850"/>
      <c r="BB602" s="3850"/>
      <c r="BC602" s="3850"/>
      <c r="BD602" s="3850"/>
      <c r="BE602" s="3850"/>
      <c r="BF602" s="3850"/>
      <c r="BG602" s="3850"/>
      <c r="BH602" s="3850"/>
      <c r="BI602" s="3850"/>
      <c r="BJ602" s="3850"/>
      <c r="BK602" s="3850"/>
      <c r="BL602" s="3850"/>
      <c r="BM602" s="3850"/>
      <c r="BN602" s="3850"/>
      <c r="BO602" s="3850"/>
      <c r="BP602" s="3850"/>
      <c r="BQ602" s="3850"/>
      <c r="BR602" s="3850"/>
      <c r="BS602" s="3850"/>
      <c r="BT602" s="3850"/>
      <c r="BU602" s="3850"/>
      <c r="BV602" s="3850"/>
      <c r="BW602" s="3850"/>
      <c r="BX602" s="3850"/>
      <c r="BY602" s="3850"/>
      <c r="BZ602" s="3850"/>
      <c r="CA602" s="3850"/>
      <c r="CB602" s="3850"/>
      <c r="CC602" s="3850"/>
      <c r="CD602" s="3850"/>
      <c r="CE602" s="3850"/>
      <c r="CF602" s="3850"/>
      <c r="CG602" s="3850"/>
      <c r="CH602" s="3850"/>
      <c r="CI602" s="3850"/>
      <c r="CJ602" s="3850"/>
      <c r="CK602" s="3850"/>
      <c r="CL602" s="3850"/>
      <c r="CM602" s="3850"/>
      <c r="CN602" s="3850"/>
      <c r="CO602" s="3850"/>
      <c r="CP602" s="3850"/>
      <c r="CQ602" s="3850"/>
      <c r="CR602" s="3850"/>
      <c r="CS602" s="3850"/>
      <c r="CT602" s="3850"/>
      <c r="CU602" s="3850"/>
      <c r="CV602" s="3850"/>
      <c r="CW602" s="3850"/>
      <c r="CX602" s="3850"/>
      <c r="CY602" s="3850"/>
      <c r="CZ602" s="3850"/>
      <c r="DA602" s="3850"/>
      <c r="DB602" s="3850"/>
      <c r="DC602" s="3850"/>
      <c r="DD602" s="3850"/>
      <c r="DE602" s="3850"/>
      <c r="DF602" s="3850"/>
      <c r="DG602" s="3850"/>
      <c r="DH602" s="3850"/>
      <c r="DI602" s="3850"/>
      <c r="DJ602" s="3850"/>
      <c r="DK602" s="3850"/>
      <c r="DL602" s="3850"/>
      <c r="DM602" s="3850"/>
      <c r="DN602" s="3850"/>
      <c r="DO602" s="3850"/>
      <c r="DP602" s="3850"/>
      <c r="DQ602" s="3850"/>
      <c r="DR602" s="3850"/>
      <c r="DS602" s="3850"/>
      <c r="DT602" s="3850"/>
      <c r="DU602" s="3850"/>
      <c r="DV602" s="3850"/>
      <c r="DW602" s="3850"/>
      <c r="DX602" s="3850"/>
      <c r="DY602" s="3850"/>
      <c r="DZ602" s="3850"/>
      <c r="EA602" s="3850"/>
    </row>
    <row r="603" spans="1:131" s="3849" customFormat="1">
      <c r="A603" s="3852"/>
      <c r="B603" s="3840"/>
      <c r="C603" s="3870"/>
      <c r="D603" s="3893"/>
      <c r="E603" s="3883"/>
      <c r="F603" s="3874"/>
      <c r="G603" s="3875"/>
      <c r="H603" s="3874"/>
      <c r="I603" s="3875"/>
      <c r="J603" s="3874"/>
      <c r="K603" s="3876"/>
      <c r="L603" s="3874"/>
      <c r="N603" s="3846"/>
      <c r="O603" s="3847"/>
      <c r="P603" s="3853"/>
      <c r="AV603" s="3850"/>
      <c r="AW603" s="3850"/>
      <c r="AX603" s="3850"/>
      <c r="AY603" s="3850"/>
      <c r="AZ603" s="3850"/>
      <c r="BA603" s="3850"/>
      <c r="BB603" s="3850"/>
      <c r="BC603" s="3850"/>
      <c r="BD603" s="3850"/>
      <c r="BE603" s="3850"/>
      <c r="BF603" s="3850"/>
      <c r="BG603" s="3850"/>
      <c r="BH603" s="3850"/>
      <c r="BI603" s="3850"/>
      <c r="BJ603" s="3850"/>
      <c r="BK603" s="3850"/>
      <c r="BL603" s="3850"/>
      <c r="BM603" s="3850"/>
      <c r="BN603" s="3850"/>
      <c r="BO603" s="3850"/>
      <c r="BP603" s="3850"/>
      <c r="BQ603" s="3850"/>
      <c r="BR603" s="3850"/>
      <c r="BS603" s="3850"/>
      <c r="BT603" s="3850"/>
      <c r="BU603" s="3850"/>
      <c r="BV603" s="3850"/>
      <c r="BW603" s="3850"/>
      <c r="BX603" s="3850"/>
      <c r="BY603" s="3850"/>
      <c r="BZ603" s="3850"/>
      <c r="CA603" s="3850"/>
      <c r="CB603" s="3850"/>
      <c r="CC603" s="3850"/>
      <c r="CD603" s="3850"/>
      <c r="CE603" s="3850"/>
      <c r="CF603" s="3850"/>
      <c r="CG603" s="3850"/>
      <c r="CH603" s="3850"/>
      <c r="CI603" s="3850"/>
      <c r="CJ603" s="3850"/>
      <c r="CK603" s="3850"/>
      <c r="CL603" s="3850"/>
      <c r="CM603" s="3850"/>
      <c r="CN603" s="3850"/>
      <c r="CO603" s="3850"/>
      <c r="CP603" s="3850"/>
      <c r="CQ603" s="3850"/>
      <c r="CR603" s="3850"/>
      <c r="CS603" s="3850"/>
      <c r="CT603" s="3850"/>
      <c r="CU603" s="3850"/>
      <c r="CV603" s="3850"/>
      <c r="CW603" s="3850"/>
      <c r="CX603" s="3850"/>
      <c r="CY603" s="3850"/>
      <c r="CZ603" s="3850"/>
      <c r="DA603" s="3850"/>
      <c r="DB603" s="3850"/>
      <c r="DC603" s="3850"/>
      <c r="DD603" s="3850"/>
      <c r="DE603" s="3850"/>
      <c r="DF603" s="3850"/>
      <c r="DG603" s="3850"/>
      <c r="DH603" s="3850"/>
      <c r="DI603" s="3850"/>
      <c r="DJ603" s="3850"/>
      <c r="DK603" s="3850"/>
      <c r="DL603" s="3850"/>
      <c r="DM603" s="3850"/>
      <c r="DN603" s="3850"/>
      <c r="DO603" s="3850"/>
      <c r="DP603" s="3850"/>
      <c r="DQ603" s="3850"/>
      <c r="DR603" s="3850"/>
      <c r="DS603" s="3850"/>
      <c r="DT603" s="3850"/>
      <c r="DU603" s="3850"/>
      <c r="DV603" s="3850"/>
      <c r="DW603" s="3850"/>
      <c r="DX603" s="3850"/>
      <c r="DY603" s="3850"/>
      <c r="DZ603" s="3850"/>
      <c r="EA603" s="3850"/>
    </row>
    <row r="604" spans="1:131" s="3849" customFormat="1">
      <c r="A604" s="3852"/>
      <c r="B604" s="3840"/>
      <c r="C604" s="3870"/>
      <c r="D604" s="3893"/>
      <c r="E604" s="3883"/>
      <c r="F604" s="3874"/>
      <c r="G604" s="3875"/>
      <c r="H604" s="3874"/>
      <c r="I604" s="3875"/>
      <c r="J604" s="3874"/>
      <c r="K604" s="3876"/>
      <c r="L604" s="3874"/>
      <c r="N604" s="3846"/>
      <c r="O604" s="3847"/>
      <c r="P604" s="3853"/>
      <c r="AU604" s="3850"/>
      <c r="AV604" s="3850"/>
      <c r="AW604" s="3850"/>
      <c r="AX604" s="3850"/>
      <c r="AY604" s="3850"/>
      <c r="AZ604" s="3850"/>
      <c r="BA604" s="3850"/>
      <c r="BB604" s="3850"/>
      <c r="BC604" s="3850"/>
      <c r="BD604" s="3850"/>
      <c r="BE604" s="3850"/>
      <c r="BF604" s="3850"/>
      <c r="BG604" s="3850"/>
      <c r="BH604" s="3850"/>
      <c r="BI604" s="3850"/>
      <c r="BJ604" s="3850"/>
      <c r="BK604" s="3850"/>
      <c r="BL604" s="3850"/>
      <c r="BM604" s="3850"/>
      <c r="BN604" s="3850"/>
      <c r="BO604" s="3850"/>
      <c r="BP604" s="3850"/>
      <c r="BQ604" s="3850"/>
      <c r="BR604" s="3850"/>
      <c r="BS604" s="3850"/>
      <c r="BT604" s="3850"/>
      <c r="BU604" s="3850"/>
      <c r="BV604" s="3850"/>
      <c r="BW604" s="3850"/>
      <c r="BX604" s="3850"/>
      <c r="BY604" s="3850"/>
      <c r="BZ604" s="3850"/>
      <c r="CA604" s="3850"/>
      <c r="CB604" s="3850"/>
      <c r="CC604" s="3850"/>
      <c r="CD604" s="3850"/>
      <c r="CE604" s="3850"/>
      <c r="CF604" s="3850"/>
      <c r="CG604" s="3850"/>
      <c r="CH604" s="3850"/>
      <c r="CI604" s="3850"/>
      <c r="CJ604" s="3850"/>
      <c r="CK604" s="3850"/>
      <c r="CL604" s="3850"/>
      <c r="CM604" s="3850"/>
      <c r="CN604" s="3850"/>
      <c r="CO604" s="3850"/>
      <c r="CP604" s="3850"/>
      <c r="CQ604" s="3850"/>
      <c r="CR604" s="3850"/>
      <c r="CS604" s="3850"/>
      <c r="CT604" s="3850"/>
      <c r="CU604" s="3850"/>
      <c r="CV604" s="3850"/>
      <c r="CW604" s="3850"/>
      <c r="CX604" s="3850"/>
      <c r="CY604" s="3850"/>
      <c r="CZ604" s="3850"/>
      <c r="DA604" s="3850"/>
      <c r="DB604" s="3850"/>
      <c r="DC604" s="3850"/>
      <c r="DD604" s="3850"/>
      <c r="DE604" s="3850"/>
      <c r="DF604" s="3850"/>
      <c r="DG604" s="3850"/>
      <c r="DH604" s="3850"/>
      <c r="DI604" s="3850"/>
      <c r="DJ604" s="3850"/>
      <c r="DK604" s="3850"/>
      <c r="DL604" s="3850"/>
      <c r="DM604" s="3850"/>
      <c r="DN604" s="3850"/>
      <c r="DO604" s="3850"/>
      <c r="DP604" s="3850"/>
      <c r="DQ604" s="3850"/>
      <c r="DR604" s="3850"/>
      <c r="DS604" s="3850"/>
      <c r="DT604" s="3850"/>
      <c r="DU604" s="3850"/>
      <c r="DV604" s="3850"/>
      <c r="DW604" s="3850"/>
      <c r="DX604" s="3850"/>
      <c r="DY604" s="3850"/>
      <c r="DZ604" s="3850"/>
    </row>
    <row r="605" spans="1:131" s="3849" customFormat="1">
      <c r="A605" s="3852"/>
      <c r="B605" s="3840"/>
      <c r="C605" s="3870"/>
      <c r="D605" s="3893"/>
      <c r="E605" s="3883"/>
      <c r="F605" s="3874"/>
      <c r="G605" s="3875"/>
      <c r="H605" s="3874"/>
      <c r="I605" s="3875"/>
      <c r="J605" s="3874"/>
      <c r="K605" s="3876"/>
      <c r="L605" s="3874"/>
      <c r="N605" s="3846"/>
      <c r="O605" s="3847"/>
      <c r="P605" s="3853"/>
      <c r="AU605" s="3850"/>
      <c r="AV605" s="3850"/>
      <c r="AW605" s="3850"/>
      <c r="AX605" s="3850"/>
      <c r="AY605" s="3850"/>
      <c r="AZ605" s="3850"/>
      <c r="BA605" s="3850"/>
      <c r="BB605" s="3850"/>
      <c r="BC605" s="3850"/>
      <c r="BD605" s="3850"/>
      <c r="BE605" s="3850"/>
      <c r="BF605" s="3850"/>
      <c r="BG605" s="3850"/>
      <c r="BH605" s="3850"/>
      <c r="BI605" s="3850"/>
      <c r="BJ605" s="3850"/>
      <c r="BK605" s="3850"/>
      <c r="BL605" s="3850"/>
      <c r="BM605" s="3850"/>
      <c r="BN605" s="3850"/>
      <c r="BO605" s="3850"/>
      <c r="BP605" s="3850"/>
      <c r="BQ605" s="3850"/>
      <c r="BR605" s="3850"/>
      <c r="BS605" s="3850"/>
      <c r="BT605" s="3850"/>
      <c r="BU605" s="3850"/>
      <c r="BV605" s="3850"/>
      <c r="BW605" s="3850"/>
      <c r="BX605" s="3850"/>
      <c r="BY605" s="3850"/>
      <c r="BZ605" s="3850"/>
      <c r="CA605" s="3850"/>
      <c r="CB605" s="3850"/>
      <c r="CC605" s="3850"/>
      <c r="CD605" s="3850"/>
      <c r="CE605" s="3850"/>
      <c r="CF605" s="3850"/>
      <c r="CG605" s="3850"/>
      <c r="CH605" s="3850"/>
      <c r="CI605" s="3850"/>
      <c r="CJ605" s="3850"/>
      <c r="CK605" s="3850"/>
      <c r="CL605" s="3850"/>
      <c r="CM605" s="3850"/>
      <c r="CN605" s="3850"/>
      <c r="CO605" s="3850"/>
      <c r="CP605" s="3850"/>
      <c r="CQ605" s="3850"/>
      <c r="CR605" s="3850"/>
      <c r="CS605" s="3850"/>
      <c r="CT605" s="3850"/>
      <c r="CU605" s="3850"/>
      <c r="CV605" s="3850"/>
      <c r="CW605" s="3850"/>
      <c r="CX605" s="3850"/>
      <c r="CY605" s="3850"/>
      <c r="CZ605" s="3850"/>
      <c r="DA605" s="3850"/>
      <c r="DB605" s="3850"/>
      <c r="DC605" s="3850"/>
      <c r="DD605" s="3850"/>
      <c r="DE605" s="3850"/>
      <c r="DF605" s="3850"/>
      <c r="DG605" s="3850"/>
      <c r="DH605" s="3850"/>
      <c r="DI605" s="3850"/>
      <c r="DJ605" s="3850"/>
      <c r="DK605" s="3850"/>
      <c r="DL605" s="3850"/>
      <c r="DM605" s="3850"/>
      <c r="DN605" s="3850"/>
      <c r="DO605" s="3850"/>
      <c r="DP605" s="3850"/>
      <c r="DQ605" s="3850"/>
      <c r="DR605" s="3850"/>
      <c r="DS605" s="3850"/>
      <c r="DT605" s="3850"/>
      <c r="DU605" s="3850"/>
      <c r="DV605" s="3850"/>
      <c r="DW605" s="3850"/>
      <c r="DX605" s="3850"/>
      <c r="DY605" s="3850"/>
      <c r="DZ605" s="3850"/>
    </row>
    <row r="606" spans="1:131" s="3849" customFormat="1">
      <c r="A606" s="3852"/>
      <c r="B606" s="3840"/>
      <c r="C606" s="3870"/>
      <c r="D606" s="3893"/>
      <c r="E606" s="3883"/>
      <c r="F606" s="3874"/>
      <c r="G606" s="3875"/>
      <c r="H606" s="3874"/>
      <c r="I606" s="3875"/>
      <c r="J606" s="3874"/>
      <c r="K606" s="3876"/>
      <c r="L606" s="3874"/>
      <c r="N606" s="3846"/>
      <c r="O606" s="3847"/>
      <c r="P606" s="3853"/>
      <c r="AU606" s="3850"/>
      <c r="AV606" s="3850"/>
      <c r="AW606" s="3850"/>
      <c r="AX606" s="3850"/>
      <c r="AY606" s="3850"/>
      <c r="AZ606" s="3850"/>
      <c r="BA606" s="3850"/>
      <c r="BB606" s="3850"/>
      <c r="BC606" s="3850"/>
      <c r="BD606" s="3850"/>
      <c r="BE606" s="3850"/>
      <c r="BF606" s="3850"/>
      <c r="BG606" s="3850"/>
      <c r="BH606" s="3850"/>
      <c r="BI606" s="3850"/>
      <c r="BJ606" s="3850"/>
      <c r="BK606" s="3850"/>
      <c r="BL606" s="3850"/>
      <c r="BM606" s="3850"/>
      <c r="BN606" s="3850"/>
      <c r="BO606" s="3850"/>
      <c r="BP606" s="3850"/>
      <c r="BQ606" s="3850"/>
      <c r="BR606" s="3850"/>
      <c r="BS606" s="3850"/>
      <c r="BT606" s="3850"/>
      <c r="BU606" s="3850"/>
      <c r="BV606" s="3850"/>
      <c r="BW606" s="3850"/>
      <c r="BX606" s="3850"/>
      <c r="BY606" s="3850"/>
      <c r="BZ606" s="3850"/>
      <c r="CA606" s="3850"/>
      <c r="CB606" s="3850"/>
      <c r="CC606" s="3850"/>
      <c r="CD606" s="3850"/>
      <c r="CE606" s="3850"/>
      <c r="CF606" s="3850"/>
      <c r="CG606" s="3850"/>
      <c r="CH606" s="3850"/>
      <c r="CI606" s="3850"/>
      <c r="CJ606" s="3850"/>
      <c r="CK606" s="3850"/>
      <c r="CL606" s="3850"/>
      <c r="CM606" s="3850"/>
      <c r="CN606" s="3850"/>
      <c r="CO606" s="3850"/>
      <c r="CP606" s="3850"/>
      <c r="CQ606" s="3850"/>
      <c r="CR606" s="3850"/>
      <c r="CS606" s="3850"/>
      <c r="CT606" s="3850"/>
      <c r="CU606" s="3850"/>
      <c r="CV606" s="3850"/>
      <c r="CW606" s="3850"/>
      <c r="CX606" s="3850"/>
      <c r="CY606" s="3850"/>
      <c r="CZ606" s="3850"/>
      <c r="DA606" s="3850"/>
      <c r="DB606" s="3850"/>
      <c r="DC606" s="3850"/>
      <c r="DD606" s="3850"/>
      <c r="DE606" s="3850"/>
      <c r="DF606" s="3850"/>
      <c r="DG606" s="3850"/>
      <c r="DH606" s="3850"/>
      <c r="DI606" s="3850"/>
      <c r="DJ606" s="3850"/>
      <c r="DK606" s="3850"/>
      <c r="DL606" s="3850"/>
      <c r="DM606" s="3850"/>
      <c r="DN606" s="3850"/>
      <c r="DO606" s="3850"/>
      <c r="DP606" s="3850"/>
      <c r="DQ606" s="3850"/>
      <c r="DR606" s="3850"/>
      <c r="DS606" s="3850"/>
      <c r="DT606" s="3850"/>
      <c r="DU606" s="3850"/>
      <c r="DV606" s="3850"/>
      <c r="DW606" s="3850"/>
      <c r="DX606" s="3850"/>
      <c r="DY606" s="3850"/>
      <c r="DZ606" s="3850"/>
    </row>
    <row r="607" spans="1:131" s="3849" customFormat="1">
      <c r="A607" s="3852"/>
      <c r="B607" s="3840"/>
      <c r="C607" s="3870"/>
      <c r="D607" s="3893"/>
      <c r="E607" s="3883"/>
      <c r="F607" s="3874"/>
      <c r="G607" s="3875"/>
      <c r="H607" s="3874"/>
      <c r="I607" s="3875"/>
      <c r="J607" s="3874"/>
      <c r="K607" s="3876"/>
      <c r="L607" s="3874"/>
      <c r="N607" s="3846"/>
      <c r="O607" s="3847"/>
      <c r="P607" s="3853"/>
      <c r="AU607" s="3850"/>
      <c r="AV607" s="3850"/>
      <c r="AW607" s="3850"/>
      <c r="AX607" s="3850"/>
      <c r="AY607" s="3850"/>
      <c r="AZ607" s="3850"/>
      <c r="BA607" s="3850"/>
      <c r="BB607" s="3850"/>
      <c r="BC607" s="3850"/>
      <c r="BD607" s="3850"/>
      <c r="BE607" s="3850"/>
      <c r="BF607" s="3850"/>
      <c r="BG607" s="3850"/>
      <c r="BH607" s="3850"/>
      <c r="BI607" s="3850"/>
      <c r="BJ607" s="3850"/>
      <c r="BK607" s="3850"/>
      <c r="BL607" s="3850"/>
      <c r="BM607" s="3850"/>
      <c r="BN607" s="3850"/>
      <c r="BO607" s="3850"/>
      <c r="BP607" s="3850"/>
      <c r="BQ607" s="3850"/>
      <c r="BR607" s="3850"/>
      <c r="BS607" s="3850"/>
      <c r="BT607" s="3850"/>
      <c r="BU607" s="3850"/>
      <c r="BV607" s="3850"/>
      <c r="BW607" s="3850"/>
      <c r="BX607" s="3850"/>
      <c r="BY607" s="3850"/>
      <c r="BZ607" s="3850"/>
      <c r="CA607" s="3850"/>
      <c r="CB607" s="3850"/>
      <c r="CC607" s="3850"/>
      <c r="CD607" s="3850"/>
      <c r="CE607" s="3850"/>
      <c r="CF607" s="3850"/>
      <c r="CG607" s="3850"/>
      <c r="CH607" s="3850"/>
      <c r="CI607" s="3850"/>
      <c r="CJ607" s="3850"/>
      <c r="CK607" s="3850"/>
      <c r="CL607" s="3850"/>
      <c r="CM607" s="3850"/>
      <c r="CN607" s="3850"/>
      <c r="CO607" s="3850"/>
      <c r="CP607" s="3850"/>
      <c r="CQ607" s="3850"/>
      <c r="CR607" s="3850"/>
      <c r="CS607" s="3850"/>
      <c r="CT607" s="3850"/>
      <c r="CU607" s="3850"/>
      <c r="CV607" s="3850"/>
      <c r="CW607" s="3850"/>
      <c r="CX607" s="3850"/>
      <c r="CY607" s="3850"/>
      <c r="CZ607" s="3850"/>
      <c r="DA607" s="3850"/>
      <c r="DB607" s="3850"/>
      <c r="DC607" s="3850"/>
      <c r="DD607" s="3850"/>
      <c r="DE607" s="3850"/>
      <c r="DF607" s="3850"/>
      <c r="DG607" s="3850"/>
      <c r="DH607" s="3850"/>
      <c r="DI607" s="3850"/>
      <c r="DJ607" s="3850"/>
      <c r="DK607" s="3850"/>
      <c r="DL607" s="3850"/>
      <c r="DM607" s="3850"/>
      <c r="DN607" s="3850"/>
      <c r="DO607" s="3850"/>
      <c r="DP607" s="3850"/>
      <c r="DQ607" s="3850"/>
      <c r="DR607" s="3850"/>
      <c r="DS607" s="3850"/>
      <c r="DT607" s="3850"/>
      <c r="DU607" s="3850"/>
      <c r="DV607" s="3850"/>
      <c r="DW607" s="3850"/>
      <c r="DX607" s="3850"/>
      <c r="DY607" s="3850"/>
      <c r="DZ607" s="3850"/>
    </row>
    <row r="608" spans="1:131" s="3849" customFormat="1">
      <c r="A608" s="3852"/>
      <c r="B608" s="3840"/>
      <c r="C608" s="3870"/>
      <c r="D608" s="3893"/>
      <c r="E608" s="3883"/>
      <c r="F608" s="3874"/>
      <c r="G608" s="3875"/>
      <c r="H608" s="3874"/>
      <c r="I608" s="3875"/>
      <c r="J608" s="3874"/>
      <c r="K608" s="3876"/>
      <c r="L608" s="3874"/>
      <c r="N608" s="3846"/>
      <c r="O608" s="3847"/>
      <c r="P608" s="3853"/>
      <c r="AU608" s="3850"/>
      <c r="AV608" s="3850"/>
      <c r="AW608" s="3850"/>
      <c r="AX608" s="3850"/>
      <c r="AY608" s="3850"/>
      <c r="AZ608" s="3850"/>
      <c r="BA608" s="3850"/>
      <c r="BB608" s="3850"/>
      <c r="BC608" s="3850"/>
      <c r="BD608" s="3850"/>
      <c r="BE608" s="3850"/>
      <c r="BF608" s="3850"/>
      <c r="BG608" s="3850"/>
      <c r="BH608" s="3850"/>
      <c r="BI608" s="3850"/>
      <c r="BJ608" s="3850"/>
      <c r="BK608" s="3850"/>
      <c r="BL608" s="3850"/>
      <c r="BM608" s="3850"/>
      <c r="BN608" s="3850"/>
      <c r="BO608" s="3850"/>
      <c r="BP608" s="3850"/>
      <c r="BQ608" s="3850"/>
      <c r="BR608" s="3850"/>
      <c r="BS608" s="3850"/>
      <c r="BT608" s="3850"/>
      <c r="BU608" s="3850"/>
      <c r="BV608" s="3850"/>
      <c r="BW608" s="3850"/>
      <c r="BX608" s="3850"/>
      <c r="BY608" s="3850"/>
      <c r="BZ608" s="3850"/>
      <c r="CA608" s="3850"/>
      <c r="CB608" s="3850"/>
      <c r="CC608" s="3850"/>
      <c r="CD608" s="3850"/>
      <c r="CE608" s="3850"/>
      <c r="CF608" s="3850"/>
      <c r="CG608" s="3850"/>
      <c r="CH608" s="3850"/>
      <c r="CI608" s="3850"/>
      <c r="CJ608" s="3850"/>
      <c r="CK608" s="3850"/>
      <c r="CL608" s="3850"/>
      <c r="CM608" s="3850"/>
      <c r="CN608" s="3850"/>
      <c r="CO608" s="3850"/>
      <c r="CP608" s="3850"/>
      <c r="CQ608" s="3850"/>
      <c r="CR608" s="3850"/>
      <c r="CS608" s="3850"/>
      <c r="CT608" s="3850"/>
      <c r="CU608" s="3850"/>
      <c r="CV608" s="3850"/>
      <c r="CW608" s="3850"/>
      <c r="CX608" s="3850"/>
      <c r="CY608" s="3850"/>
      <c r="CZ608" s="3850"/>
      <c r="DA608" s="3850"/>
      <c r="DB608" s="3850"/>
      <c r="DC608" s="3850"/>
      <c r="DD608" s="3850"/>
      <c r="DE608" s="3850"/>
      <c r="DF608" s="3850"/>
      <c r="DG608" s="3850"/>
      <c r="DH608" s="3850"/>
      <c r="DI608" s="3850"/>
      <c r="DJ608" s="3850"/>
      <c r="DK608" s="3850"/>
      <c r="DL608" s="3850"/>
      <c r="DM608" s="3850"/>
      <c r="DN608" s="3850"/>
      <c r="DO608" s="3850"/>
      <c r="DP608" s="3850"/>
      <c r="DQ608" s="3850"/>
      <c r="DR608" s="3850"/>
      <c r="DS608" s="3850"/>
      <c r="DT608" s="3850"/>
      <c r="DU608" s="3850"/>
      <c r="DV608" s="3850"/>
      <c r="DW608" s="3850"/>
      <c r="DX608" s="3850"/>
      <c r="DY608" s="3850"/>
      <c r="DZ608" s="3850"/>
    </row>
    <row r="609" spans="1:130" s="3849" customFormat="1">
      <c r="A609" s="3852"/>
      <c r="B609" s="3840"/>
      <c r="C609" s="3870"/>
      <c r="D609" s="3893"/>
      <c r="E609" s="3883"/>
      <c r="F609" s="3874"/>
      <c r="G609" s="3875"/>
      <c r="H609" s="3874"/>
      <c r="I609" s="3875"/>
      <c r="J609" s="3874"/>
      <c r="K609" s="3876"/>
      <c r="L609" s="3874"/>
      <c r="N609" s="3846"/>
      <c r="O609" s="3847"/>
      <c r="P609" s="3853"/>
      <c r="AU609" s="3850"/>
      <c r="AV609" s="3850"/>
      <c r="AW609" s="3850"/>
      <c r="AX609" s="3850"/>
      <c r="AY609" s="3850"/>
      <c r="AZ609" s="3850"/>
      <c r="BA609" s="3850"/>
      <c r="BB609" s="3850"/>
      <c r="BC609" s="3850"/>
      <c r="BD609" s="3850"/>
      <c r="BE609" s="3850"/>
      <c r="BF609" s="3850"/>
      <c r="BG609" s="3850"/>
      <c r="BH609" s="3850"/>
      <c r="BI609" s="3850"/>
      <c r="BJ609" s="3850"/>
      <c r="BK609" s="3850"/>
      <c r="BL609" s="3850"/>
      <c r="BM609" s="3850"/>
      <c r="BN609" s="3850"/>
      <c r="BO609" s="3850"/>
      <c r="BP609" s="3850"/>
      <c r="BQ609" s="3850"/>
      <c r="BR609" s="3850"/>
      <c r="BS609" s="3850"/>
      <c r="BT609" s="3850"/>
      <c r="BU609" s="3850"/>
      <c r="BV609" s="3850"/>
      <c r="BW609" s="3850"/>
      <c r="BX609" s="3850"/>
      <c r="BY609" s="3850"/>
      <c r="BZ609" s="3850"/>
      <c r="CA609" s="3850"/>
      <c r="CB609" s="3850"/>
      <c r="CC609" s="3850"/>
      <c r="CD609" s="3850"/>
      <c r="CE609" s="3850"/>
      <c r="CF609" s="3850"/>
      <c r="CG609" s="3850"/>
      <c r="CH609" s="3850"/>
      <c r="CI609" s="3850"/>
      <c r="CJ609" s="3850"/>
      <c r="CK609" s="3850"/>
      <c r="CL609" s="3850"/>
      <c r="CM609" s="3850"/>
      <c r="CN609" s="3850"/>
      <c r="CO609" s="3850"/>
      <c r="CP609" s="3850"/>
      <c r="CQ609" s="3850"/>
      <c r="CR609" s="3850"/>
      <c r="CS609" s="3850"/>
      <c r="CT609" s="3850"/>
      <c r="CU609" s="3850"/>
      <c r="CV609" s="3850"/>
      <c r="CW609" s="3850"/>
      <c r="CX609" s="3850"/>
      <c r="CY609" s="3850"/>
      <c r="CZ609" s="3850"/>
      <c r="DA609" s="3850"/>
      <c r="DB609" s="3850"/>
      <c r="DC609" s="3850"/>
      <c r="DD609" s="3850"/>
      <c r="DE609" s="3850"/>
      <c r="DF609" s="3850"/>
      <c r="DG609" s="3850"/>
      <c r="DH609" s="3850"/>
      <c r="DI609" s="3850"/>
      <c r="DJ609" s="3850"/>
      <c r="DK609" s="3850"/>
      <c r="DL609" s="3850"/>
      <c r="DM609" s="3850"/>
      <c r="DN609" s="3850"/>
      <c r="DO609" s="3850"/>
      <c r="DP609" s="3850"/>
      <c r="DQ609" s="3850"/>
      <c r="DR609" s="3850"/>
      <c r="DS609" s="3850"/>
      <c r="DT609" s="3850"/>
      <c r="DU609" s="3850"/>
      <c r="DV609" s="3850"/>
      <c r="DW609" s="3850"/>
      <c r="DX609" s="3850"/>
      <c r="DY609" s="3850"/>
      <c r="DZ609" s="3850"/>
    </row>
    <row r="610" spans="1:130" s="3849" customFormat="1">
      <c r="A610" s="3852"/>
      <c r="B610" s="3840"/>
      <c r="C610" s="3870"/>
      <c r="D610" s="3893"/>
      <c r="E610" s="3883"/>
      <c r="F610" s="3874"/>
      <c r="G610" s="3875"/>
      <c r="H610" s="3874"/>
      <c r="I610" s="3875"/>
      <c r="J610" s="3874"/>
      <c r="K610" s="3876"/>
      <c r="L610" s="3874"/>
      <c r="N610" s="3846"/>
      <c r="O610" s="3847"/>
      <c r="P610" s="3853"/>
      <c r="AU610" s="3850"/>
      <c r="AV610" s="3850"/>
      <c r="AW610" s="3850"/>
      <c r="AX610" s="3850"/>
      <c r="AY610" s="3850"/>
      <c r="AZ610" s="3850"/>
      <c r="BA610" s="3850"/>
      <c r="BB610" s="3850"/>
      <c r="BC610" s="3850"/>
      <c r="BD610" s="3850"/>
      <c r="BE610" s="3850"/>
      <c r="BF610" s="3850"/>
      <c r="BG610" s="3850"/>
      <c r="BH610" s="3850"/>
      <c r="BI610" s="3850"/>
      <c r="BJ610" s="3850"/>
      <c r="BK610" s="3850"/>
      <c r="BL610" s="3850"/>
      <c r="BM610" s="3850"/>
      <c r="BN610" s="3850"/>
      <c r="BO610" s="3850"/>
      <c r="BP610" s="3850"/>
      <c r="BQ610" s="3850"/>
      <c r="BR610" s="3850"/>
      <c r="BS610" s="3850"/>
      <c r="BT610" s="3850"/>
      <c r="BU610" s="3850"/>
      <c r="BV610" s="3850"/>
      <c r="BW610" s="3850"/>
      <c r="BX610" s="3850"/>
      <c r="BY610" s="3850"/>
      <c r="BZ610" s="3850"/>
      <c r="CA610" s="3850"/>
      <c r="CB610" s="3850"/>
      <c r="CC610" s="3850"/>
      <c r="CD610" s="3850"/>
      <c r="CE610" s="3850"/>
      <c r="CF610" s="3850"/>
      <c r="CG610" s="3850"/>
      <c r="CH610" s="3850"/>
      <c r="CI610" s="3850"/>
      <c r="CJ610" s="3850"/>
      <c r="CK610" s="3850"/>
      <c r="CL610" s="3850"/>
      <c r="CM610" s="3850"/>
      <c r="CN610" s="3850"/>
      <c r="CO610" s="3850"/>
      <c r="CP610" s="3850"/>
      <c r="CQ610" s="3850"/>
      <c r="CR610" s="3850"/>
      <c r="CS610" s="3850"/>
      <c r="CT610" s="3850"/>
      <c r="CU610" s="3850"/>
      <c r="CV610" s="3850"/>
      <c r="CW610" s="3850"/>
      <c r="CX610" s="3850"/>
      <c r="CY610" s="3850"/>
      <c r="CZ610" s="3850"/>
      <c r="DA610" s="3850"/>
      <c r="DB610" s="3850"/>
      <c r="DC610" s="3850"/>
      <c r="DD610" s="3850"/>
      <c r="DE610" s="3850"/>
      <c r="DF610" s="3850"/>
      <c r="DG610" s="3850"/>
      <c r="DH610" s="3850"/>
      <c r="DI610" s="3850"/>
      <c r="DJ610" s="3850"/>
      <c r="DK610" s="3850"/>
      <c r="DL610" s="3850"/>
      <c r="DM610" s="3850"/>
      <c r="DN610" s="3850"/>
      <c r="DO610" s="3850"/>
      <c r="DP610" s="3850"/>
      <c r="DQ610" s="3850"/>
      <c r="DR610" s="3850"/>
      <c r="DS610" s="3850"/>
      <c r="DT610" s="3850"/>
      <c r="DU610" s="3850"/>
      <c r="DV610" s="3850"/>
      <c r="DW610" s="3850"/>
      <c r="DX610" s="3850"/>
      <c r="DY610" s="3850"/>
      <c r="DZ610" s="3850"/>
    </row>
    <row r="611" spans="1:130" s="3849" customFormat="1">
      <c r="A611" s="3852"/>
      <c r="B611" s="3840"/>
      <c r="C611" s="3870"/>
      <c r="D611" s="3893"/>
      <c r="E611" s="3883"/>
      <c r="F611" s="3874"/>
      <c r="G611" s="3875"/>
      <c r="H611" s="3874"/>
      <c r="I611" s="3875"/>
      <c r="J611" s="3874"/>
      <c r="K611" s="3876"/>
      <c r="L611" s="3874"/>
      <c r="N611" s="3846"/>
      <c r="O611" s="3847"/>
      <c r="P611" s="3853"/>
      <c r="AU611" s="3850"/>
      <c r="AV611" s="3850"/>
      <c r="AW611" s="3850"/>
      <c r="AX611" s="3850"/>
      <c r="AY611" s="3850"/>
      <c r="AZ611" s="3850"/>
      <c r="BA611" s="3850"/>
      <c r="BB611" s="3850"/>
      <c r="BC611" s="3850"/>
      <c r="BD611" s="3850"/>
      <c r="BE611" s="3850"/>
      <c r="BF611" s="3850"/>
      <c r="BG611" s="3850"/>
      <c r="BH611" s="3850"/>
      <c r="BI611" s="3850"/>
      <c r="BJ611" s="3850"/>
      <c r="BK611" s="3850"/>
      <c r="BL611" s="3850"/>
      <c r="BM611" s="3850"/>
      <c r="BN611" s="3850"/>
      <c r="BO611" s="3850"/>
      <c r="BP611" s="3850"/>
      <c r="BQ611" s="3850"/>
      <c r="BR611" s="3850"/>
      <c r="BS611" s="3850"/>
      <c r="BT611" s="3850"/>
      <c r="BU611" s="3850"/>
      <c r="BV611" s="3850"/>
      <c r="BW611" s="3850"/>
      <c r="BX611" s="3850"/>
      <c r="BY611" s="3850"/>
      <c r="BZ611" s="3850"/>
      <c r="CA611" s="3850"/>
      <c r="CB611" s="3850"/>
      <c r="CC611" s="3850"/>
      <c r="CD611" s="3850"/>
      <c r="CE611" s="3850"/>
      <c r="CF611" s="3850"/>
      <c r="CG611" s="3850"/>
      <c r="CH611" s="3850"/>
      <c r="CI611" s="3850"/>
      <c r="CJ611" s="3850"/>
      <c r="CK611" s="3850"/>
      <c r="CL611" s="3850"/>
      <c r="CM611" s="3850"/>
      <c r="CN611" s="3850"/>
      <c r="CO611" s="3850"/>
      <c r="CP611" s="3850"/>
      <c r="CQ611" s="3850"/>
      <c r="CR611" s="3850"/>
      <c r="CS611" s="3850"/>
      <c r="CT611" s="3850"/>
      <c r="CU611" s="3850"/>
      <c r="CV611" s="3850"/>
      <c r="CW611" s="3850"/>
      <c r="CX611" s="3850"/>
      <c r="CY611" s="3850"/>
      <c r="CZ611" s="3850"/>
      <c r="DA611" s="3850"/>
      <c r="DB611" s="3850"/>
      <c r="DC611" s="3850"/>
      <c r="DD611" s="3850"/>
      <c r="DE611" s="3850"/>
      <c r="DF611" s="3850"/>
      <c r="DG611" s="3850"/>
      <c r="DH611" s="3850"/>
      <c r="DI611" s="3850"/>
      <c r="DJ611" s="3850"/>
      <c r="DK611" s="3850"/>
      <c r="DL611" s="3850"/>
      <c r="DM611" s="3850"/>
      <c r="DN611" s="3850"/>
      <c r="DO611" s="3850"/>
      <c r="DP611" s="3850"/>
      <c r="DQ611" s="3850"/>
      <c r="DR611" s="3850"/>
      <c r="DS611" s="3850"/>
      <c r="DT611" s="3850"/>
      <c r="DU611" s="3850"/>
      <c r="DV611" s="3850"/>
      <c r="DW611" s="3850"/>
      <c r="DX611" s="3850"/>
      <c r="DY611" s="3850"/>
      <c r="DZ611" s="3850"/>
    </row>
    <row r="612" spans="1:130" s="3849" customFormat="1">
      <c r="A612" s="3852"/>
      <c r="B612" s="3840"/>
      <c r="C612" s="3870"/>
      <c r="D612" s="3893"/>
      <c r="E612" s="3883"/>
      <c r="F612" s="3874"/>
      <c r="G612" s="3875"/>
      <c r="H612" s="3874"/>
      <c r="I612" s="3875"/>
      <c r="J612" s="3874"/>
      <c r="K612" s="3876"/>
      <c r="L612" s="3874"/>
      <c r="N612" s="3846"/>
      <c r="O612" s="3847"/>
      <c r="P612" s="3853"/>
      <c r="AU612" s="3850"/>
      <c r="AV612" s="3850"/>
      <c r="AW612" s="3850"/>
      <c r="AX612" s="3850"/>
      <c r="AY612" s="3850"/>
      <c r="AZ612" s="3850"/>
      <c r="BA612" s="3850"/>
      <c r="BB612" s="3850"/>
      <c r="BC612" s="3850"/>
      <c r="BD612" s="3850"/>
      <c r="BE612" s="3850"/>
      <c r="BF612" s="3850"/>
      <c r="BG612" s="3850"/>
      <c r="BH612" s="3850"/>
      <c r="BI612" s="3850"/>
      <c r="BJ612" s="3850"/>
      <c r="BK612" s="3850"/>
      <c r="BL612" s="3850"/>
      <c r="BM612" s="3850"/>
      <c r="BN612" s="3850"/>
      <c r="BO612" s="3850"/>
      <c r="BP612" s="3850"/>
      <c r="BQ612" s="3850"/>
      <c r="BR612" s="3850"/>
      <c r="BS612" s="3850"/>
      <c r="BT612" s="3850"/>
      <c r="BU612" s="3850"/>
      <c r="BV612" s="3850"/>
      <c r="BW612" s="3850"/>
      <c r="BX612" s="3850"/>
      <c r="BY612" s="3850"/>
      <c r="BZ612" s="3850"/>
      <c r="CA612" s="3850"/>
      <c r="CB612" s="3850"/>
      <c r="CC612" s="3850"/>
      <c r="CD612" s="3850"/>
      <c r="CE612" s="3850"/>
      <c r="CF612" s="3850"/>
      <c r="CG612" s="3850"/>
      <c r="CH612" s="3850"/>
      <c r="CI612" s="3850"/>
      <c r="CJ612" s="3850"/>
      <c r="CK612" s="3850"/>
      <c r="CL612" s="3850"/>
      <c r="CM612" s="3850"/>
      <c r="CN612" s="3850"/>
      <c r="CO612" s="3850"/>
      <c r="CP612" s="3850"/>
      <c r="CQ612" s="3850"/>
      <c r="CR612" s="3850"/>
      <c r="CS612" s="3850"/>
      <c r="CT612" s="3850"/>
      <c r="CU612" s="3850"/>
      <c r="CV612" s="3850"/>
      <c r="CW612" s="3850"/>
      <c r="CX612" s="3850"/>
      <c r="CY612" s="3850"/>
      <c r="CZ612" s="3850"/>
      <c r="DA612" s="3850"/>
      <c r="DB612" s="3850"/>
      <c r="DC612" s="3850"/>
      <c r="DD612" s="3850"/>
      <c r="DE612" s="3850"/>
      <c r="DF612" s="3850"/>
      <c r="DG612" s="3850"/>
      <c r="DH612" s="3850"/>
      <c r="DI612" s="3850"/>
      <c r="DJ612" s="3850"/>
      <c r="DK612" s="3850"/>
      <c r="DL612" s="3850"/>
      <c r="DM612" s="3850"/>
      <c r="DN612" s="3850"/>
      <c r="DO612" s="3850"/>
      <c r="DP612" s="3850"/>
      <c r="DQ612" s="3850"/>
      <c r="DR612" s="3850"/>
      <c r="DS612" s="3850"/>
      <c r="DT612" s="3850"/>
      <c r="DU612" s="3850"/>
      <c r="DV612" s="3850"/>
      <c r="DW612" s="3850"/>
      <c r="DX612" s="3850"/>
      <c r="DY612" s="3850"/>
      <c r="DZ612" s="3850"/>
    </row>
    <row r="613" spans="1:130" s="3849" customFormat="1">
      <c r="A613" s="3852"/>
      <c r="B613" s="3840"/>
      <c r="C613" s="3870"/>
      <c r="D613" s="3893"/>
      <c r="E613" s="3883"/>
      <c r="F613" s="3874"/>
      <c r="G613" s="3875"/>
      <c r="H613" s="3874"/>
      <c r="I613" s="3875"/>
      <c r="J613" s="3874"/>
      <c r="K613" s="3876"/>
      <c r="L613" s="3874"/>
      <c r="N613" s="3846"/>
      <c r="O613" s="3847"/>
      <c r="P613" s="3853"/>
      <c r="AU613" s="3850"/>
      <c r="AV613" s="3850"/>
      <c r="AW613" s="3850"/>
      <c r="AX613" s="3850"/>
      <c r="AY613" s="3850"/>
      <c r="AZ613" s="3850"/>
      <c r="BA613" s="3850"/>
      <c r="BB613" s="3850"/>
      <c r="BC613" s="3850"/>
      <c r="BD613" s="3850"/>
      <c r="BE613" s="3850"/>
      <c r="BF613" s="3850"/>
      <c r="BG613" s="3850"/>
      <c r="BH613" s="3850"/>
      <c r="BI613" s="3850"/>
      <c r="BJ613" s="3850"/>
      <c r="BK613" s="3850"/>
      <c r="BL613" s="3850"/>
      <c r="BM613" s="3850"/>
      <c r="BN613" s="3850"/>
      <c r="BO613" s="3850"/>
      <c r="BP613" s="3850"/>
      <c r="BQ613" s="3850"/>
      <c r="BR613" s="3850"/>
      <c r="BS613" s="3850"/>
      <c r="BT613" s="3850"/>
      <c r="BU613" s="3850"/>
      <c r="BV613" s="3850"/>
      <c r="BW613" s="3850"/>
      <c r="BX613" s="3850"/>
      <c r="BY613" s="3850"/>
      <c r="BZ613" s="3850"/>
      <c r="CA613" s="3850"/>
      <c r="CB613" s="3850"/>
      <c r="CC613" s="3850"/>
      <c r="CD613" s="3850"/>
      <c r="CE613" s="3850"/>
      <c r="CF613" s="3850"/>
      <c r="CG613" s="3850"/>
      <c r="CH613" s="3850"/>
      <c r="CI613" s="3850"/>
      <c r="CJ613" s="3850"/>
      <c r="CK613" s="3850"/>
      <c r="CL613" s="3850"/>
      <c r="CM613" s="3850"/>
      <c r="CN613" s="3850"/>
      <c r="CO613" s="3850"/>
      <c r="CP613" s="3850"/>
      <c r="CQ613" s="3850"/>
      <c r="CR613" s="3850"/>
      <c r="CS613" s="3850"/>
      <c r="CT613" s="3850"/>
      <c r="CU613" s="3850"/>
      <c r="CV613" s="3850"/>
      <c r="CW613" s="3850"/>
      <c r="CX613" s="3850"/>
      <c r="CY613" s="3850"/>
      <c r="CZ613" s="3850"/>
      <c r="DA613" s="3850"/>
      <c r="DB613" s="3850"/>
      <c r="DC613" s="3850"/>
      <c r="DD613" s="3850"/>
      <c r="DE613" s="3850"/>
      <c r="DF613" s="3850"/>
      <c r="DG613" s="3850"/>
      <c r="DH613" s="3850"/>
      <c r="DI613" s="3850"/>
      <c r="DJ613" s="3850"/>
      <c r="DK613" s="3850"/>
      <c r="DL613" s="3850"/>
      <c r="DM613" s="3850"/>
      <c r="DN613" s="3850"/>
      <c r="DO613" s="3850"/>
      <c r="DP613" s="3850"/>
      <c r="DQ613" s="3850"/>
      <c r="DR613" s="3850"/>
      <c r="DS613" s="3850"/>
      <c r="DT613" s="3850"/>
      <c r="DU613" s="3850"/>
      <c r="DV613" s="3850"/>
      <c r="DW613" s="3850"/>
      <c r="DX613" s="3850"/>
      <c r="DY613" s="3850"/>
      <c r="DZ613" s="3850"/>
    </row>
    <row r="614" spans="1:130" s="3849" customFormat="1">
      <c r="A614" s="3852"/>
      <c r="B614" s="3840"/>
      <c r="C614" s="3870"/>
      <c r="D614" s="3893"/>
      <c r="E614" s="3883"/>
      <c r="F614" s="3874"/>
      <c r="G614" s="3875"/>
      <c r="H614" s="3874"/>
      <c r="I614" s="3875"/>
      <c r="J614" s="3874"/>
      <c r="K614" s="3876"/>
      <c r="L614" s="3874"/>
      <c r="N614" s="3846"/>
      <c r="O614" s="3847"/>
      <c r="P614" s="3853"/>
      <c r="AU614" s="3850"/>
      <c r="AV614" s="3850"/>
      <c r="AW614" s="3850"/>
      <c r="AX614" s="3850"/>
      <c r="AY614" s="3850"/>
      <c r="AZ614" s="3850"/>
      <c r="BA614" s="3850"/>
      <c r="BB614" s="3850"/>
      <c r="BC614" s="3850"/>
      <c r="BD614" s="3850"/>
      <c r="BE614" s="3850"/>
      <c r="BF614" s="3850"/>
      <c r="BG614" s="3850"/>
      <c r="BH614" s="3850"/>
      <c r="BI614" s="3850"/>
      <c r="BJ614" s="3850"/>
      <c r="BK614" s="3850"/>
      <c r="BL614" s="3850"/>
      <c r="BM614" s="3850"/>
      <c r="BN614" s="3850"/>
      <c r="BO614" s="3850"/>
      <c r="BP614" s="3850"/>
      <c r="BQ614" s="3850"/>
      <c r="BR614" s="3850"/>
      <c r="BS614" s="3850"/>
      <c r="BT614" s="3850"/>
      <c r="BU614" s="3850"/>
      <c r="BV614" s="3850"/>
      <c r="BW614" s="3850"/>
      <c r="BX614" s="3850"/>
      <c r="BY614" s="3850"/>
      <c r="BZ614" s="3850"/>
      <c r="CA614" s="3850"/>
      <c r="CB614" s="3850"/>
      <c r="CC614" s="3850"/>
      <c r="CD614" s="3850"/>
      <c r="CE614" s="3850"/>
      <c r="CF614" s="3850"/>
      <c r="CG614" s="3850"/>
      <c r="CH614" s="3850"/>
      <c r="CI614" s="3850"/>
      <c r="CJ614" s="3850"/>
      <c r="CK614" s="3850"/>
      <c r="CL614" s="3850"/>
      <c r="CM614" s="3850"/>
      <c r="CN614" s="3850"/>
      <c r="CO614" s="3850"/>
      <c r="CP614" s="3850"/>
      <c r="CQ614" s="3850"/>
      <c r="CR614" s="3850"/>
      <c r="CS614" s="3850"/>
      <c r="CT614" s="3850"/>
      <c r="CU614" s="3850"/>
      <c r="CV614" s="3850"/>
      <c r="CW614" s="3850"/>
      <c r="CX614" s="3850"/>
      <c r="CY614" s="3850"/>
      <c r="CZ614" s="3850"/>
      <c r="DA614" s="3850"/>
      <c r="DB614" s="3850"/>
      <c r="DC614" s="3850"/>
      <c r="DD614" s="3850"/>
      <c r="DE614" s="3850"/>
      <c r="DF614" s="3850"/>
      <c r="DG614" s="3850"/>
      <c r="DH614" s="3850"/>
      <c r="DI614" s="3850"/>
      <c r="DJ614" s="3850"/>
      <c r="DK614" s="3850"/>
      <c r="DL614" s="3850"/>
      <c r="DM614" s="3850"/>
      <c r="DN614" s="3850"/>
      <c r="DO614" s="3850"/>
      <c r="DP614" s="3850"/>
      <c r="DQ614" s="3850"/>
      <c r="DR614" s="3850"/>
      <c r="DS614" s="3850"/>
      <c r="DT614" s="3850"/>
      <c r="DU614" s="3850"/>
      <c r="DV614" s="3850"/>
      <c r="DW614" s="3850"/>
      <c r="DX614" s="3850"/>
      <c r="DY614" s="3850"/>
      <c r="DZ614" s="3850"/>
    </row>
    <row r="615" spans="1:130" s="3849" customFormat="1">
      <c r="A615" s="3852"/>
      <c r="B615" s="3840"/>
      <c r="C615" s="3870"/>
      <c r="D615" s="3893"/>
      <c r="E615" s="3883"/>
      <c r="F615" s="3874"/>
      <c r="G615" s="3875"/>
      <c r="H615" s="3874"/>
      <c r="I615" s="3875"/>
      <c r="J615" s="3874"/>
      <c r="K615" s="3876"/>
      <c r="L615" s="3874"/>
      <c r="N615" s="3846"/>
      <c r="O615" s="3847"/>
      <c r="P615" s="3853"/>
      <c r="AU615" s="3850"/>
      <c r="AV615" s="3850"/>
      <c r="AW615" s="3850"/>
      <c r="AX615" s="3850"/>
      <c r="AY615" s="3850"/>
      <c r="AZ615" s="3850"/>
      <c r="BA615" s="3850"/>
      <c r="BB615" s="3850"/>
      <c r="BC615" s="3850"/>
      <c r="BD615" s="3850"/>
      <c r="BE615" s="3850"/>
      <c r="BF615" s="3850"/>
      <c r="BG615" s="3850"/>
      <c r="BH615" s="3850"/>
      <c r="BI615" s="3850"/>
      <c r="BJ615" s="3850"/>
      <c r="BK615" s="3850"/>
      <c r="BL615" s="3850"/>
      <c r="BM615" s="3850"/>
      <c r="BN615" s="3850"/>
      <c r="BO615" s="3850"/>
      <c r="BP615" s="3850"/>
      <c r="BQ615" s="3850"/>
      <c r="BR615" s="3850"/>
      <c r="BS615" s="3850"/>
      <c r="BT615" s="3850"/>
      <c r="BU615" s="3850"/>
      <c r="BV615" s="3850"/>
      <c r="BW615" s="3850"/>
      <c r="BX615" s="3850"/>
      <c r="BY615" s="3850"/>
      <c r="BZ615" s="3850"/>
      <c r="CA615" s="3850"/>
      <c r="CB615" s="3850"/>
      <c r="CC615" s="3850"/>
      <c r="CD615" s="3850"/>
      <c r="CE615" s="3850"/>
      <c r="CF615" s="3850"/>
      <c r="CG615" s="3850"/>
      <c r="CH615" s="3850"/>
      <c r="CI615" s="3850"/>
      <c r="CJ615" s="3850"/>
      <c r="CK615" s="3850"/>
      <c r="CL615" s="3850"/>
      <c r="CM615" s="3850"/>
      <c r="CN615" s="3850"/>
      <c r="CO615" s="3850"/>
      <c r="CP615" s="3850"/>
      <c r="CQ615" s="3850"/>
      <c r="CR615" s="3850"/>
      <c r="CS615" s="3850"/>
      <c r="CT615" s="3850"/>
      <c r="CU615" s="3850"/>
      <c r="CV615" s="3850"/>
      <c r="CW615" s="3850"/>
      <c r="CX615" s="3850"/>
      <c r="CY615" s="3850"/>
      <c r="CZ615" s="3850"/>
      <c r="DA615" s="3850"/>
      <c r="DB615" s="3850"/>
      <c r="DC615" s="3850"/>
      <c r="DD615" s="3850"/>
      <c r="DE615" s="3850"/>
      <c r="DF615" s="3850"/>
      <c r="DG615" s="3850"/>
      <c r="DH615" s="3850"/>
      <c r="DI615" s="3850"/>
      <c r="DJ615" s="3850"/>
      <c r="DK615" s="3850"/>
      <c r="DL615" s="3850"/>
      <c r="DM615" s="3850"/>
      <c r="DN615" s="3850"/>
      <c r="DO615" s="3850"/>
      <c r="DP615" s="3850"/>
      <c r="DQ615" s="3850"/>
      <c r="DR615" s="3850"/>
      <c r="DS615" s="3850"/>
      <c r="DT615" s="3850"/>
      <c r="DU615" s="3850"/>
      <c r="DV615" s="3850"/>
      <c r="DW615" s="3850"/>
      <c r="DX615" s="3850"/>
      <c r="DY615" s="3850"/>
      <c r="DZ615" s="3850"/>
    </row>
    <row r="616" spans="1:130" s="3849" customFormat="1">
      <c r="A616" s="3852"/>
      <c r="B616" s="3840"/>
      <c r="C616" s="3870"/>
      <c r="D616" s="3893"/>
      <c r="E616" s="3883"/>
      <c r="F616" s="3874"/>
      <c r="G616" s="3875"/>
      <c r="H616" s="3874"/>
      <c r="I616" s="3875"/>
      <c r="J616" s="3874"/>
      <c r="K616" s="3876"/>
      <c r="L616" s="3874"/>
      <c r="N616" s="3846"/>
      <c r="O616" s="3847"/>
      <c r="P616" s="3853"/>
      <c r="AU616" s="3850"/>
      <c r="AV616" s="3850"/>
      <c r="AW616" s="3850"/>
      <c r="AX616" s="3850"/>
      <c r="AY616" s="3850"/>
      <c r="AZ616" s="3850"/>
      <c r="BA616" s="3850"/>
      <c r="BB616" s="3850"/>
      <c r="BC616" s="3850"/>
      <c r="BD616" s="3850"/>
      <c r="BE616" s="3850"/>
      <c r="BF616" s="3850"/>
      <c r="BG616" s="3850"/>
      <c r="BH616" s="3850"/>
      <c r="BI616" s="3850"/>
      <c r="BJ616" s="3850"/>
      <c r="BK616" s="3850"/>
      <c r="BL616" s="3850"/>
      <c r="BM616" s="3850"/>
      <c r="BN616" s="3850"/>
      <c r="BO616" s="3850"/>
      <c r="BP616" s="3850"/>
      <c r="BQ616" s="3850"/>
      <c r="BR616" s="3850"/>
      <c r="BS616" s="3850"/>
      <c r="BT616" s="3850"/>
      <c r="BU616" s="3850"/>
      <c r="BV616" s="3850"/>
      <c r="BW616" s="3850"/>
      <c r="BX616" s="3850"/>
      <c r="BY616" s="3850"/>
      <c r="BZ616" s="3850"/>
      <c r="CA616" s="3850"/>
      <c r="CB616" s="3850"/>
      <c r="CC616" s="3850"/>
      <c r="CD616" s="3850"/>
      <c r="CE616" s="3850"/>
      <c r="CF616" s="3850"/>
      <c r="CG616" s="3850"/>
      <c r="CH616" s="3850"/>
      <c r="CI616" s="3850"/>
      <c r="CJ616" s="3850"/>
      <c r="CK616" s="3850"/>
      <c r="CL616" s="3850"/>
      <c r="CM616" s="3850"/>
      <c r="CN616" s="3850"/>
      <c r="CO616" s="3850"/>
      <c r="CP616" s="3850"/>
      <c r="CQ616" s="3850"/>
      <c r="CR616" s="3850"/>
      <c r="CS616" s="3850"/>
      <c r="CT616" s="3850"/>
      <c r="CU616" s="3850"/>
      <c r="CV616" s="3850"/>
      <c r="CW616" s="3850"/>
      <c r="CX616" s="3850"/>
      <c r="CY616" s="3850"/>
      <c r="CZ616" s="3850"/>
      <c r="DA616" s="3850"/>
      <c r="DB616" s="3850"/>
      <c r="DC616" s="3850"/>
      <c r="DD616" s="3850"/>
      <c r="DE616" s="3850"/>
      <c r="DF616" s="3850"/>
      <c r="DG616" s="3850"/>
      <c r="DH616" s="3850"/>
      <c r="DI616" s="3850"/>
      <c r="DJ616" s="3850"/>
      <c r="DK616" s="3850"/>
      <c r="DL616" s="3850"/>
      <c r="DM616" s="3850"/>
      <c r="DN616" s="3850"/>
      <c r="DO616" s="3850"/>
      <c r="DP616" s="3850"/>
      <c r="DQ616" s="3850"/>
      <c r="DR616" s="3850"/>
      <c r="DS616" s="3850"/>
      <c r="DT616" s="3850"/>
      <c r="DU616" s="3850"/>
      <c r="DV616" s="3850"/>
      <c r="DW616" s="3850"/>
      <c r="DX616" s="3850"/>
      <c r="DY616" s="3850"/>
      <c r="DZ616" s="3850"/>
    </row>
    <row r="617" spans="1:130" s="3849" customFormat="1">
      <c r="A617" s="3852"/>
      <c r="B617" s="3840"/>
      <c r="C617" s="3870"/>
      <c r="D617" s="3893"/>
      <c r="E617" s="3883"/>
      <c r="F617" s="3874"/>
      <c r="G617" s="3875"/>
      <c r="H617" s="3874"/>
      <c r="I617" s="3875"/>
      <c r="J617" s="3874"/>
      <c r="K617" s="3876"/>
      <c r="L617" s="3874"/>
      <c r="N617" s="3846"/>
      <c r="O617" s="3847"/>
      <c r="P617" s="3853"/>
      <c r="AU617" s="3850"/>
      <c r="AV617" s="3850"/>
      <c r="AW617" s="3850"/>
      <c r="AX617" s="3850"/>
      <c r="AY617" s="3850"/>
      <c r="AZ617" s="3850"/>
      <c r="BA617" s="3850"/>
      <c r="BB617" s="3850"/>
      <c r="BC617" s="3850"/>
      <c r="BD617" s="3850"/>
      <c r="BE617" s="3850"/>
      <c r="BF617" s="3850"/>
      <c r="BG617" s="3850"/>
      <c r="BH617" s="3850"/>
      <c r="BI617" s="3850"/>
      <c r="BJ617" s="3850"/>
      <c r="BK617" s="3850"/>
      <c r="BL617" s="3850"/>
      <c r="BM617" s="3850"/>
      <c r="BN617" s="3850"/>
      <c r="BO617" s="3850"/>
      <c r="BP617" s="3850"/>
      <c r="BQ617" s="3850"/>
      <c r="BR617" s="3850"/>
      <c r="BS617" s="3850"/>
      <c r="BT617" s="3850"/>
      <c r="BU617" s="3850"/>
      <c r="BV617" s="3850"/>
      <c r="BW617" s="3850"/>
      <c r="BX617" s="3850"/>
      <c r="BY617" s="3850"/>
      <c r="BZ617" s="3850"/>
      <c r="CA617" s="3850"/>
      <c r="CB617" s="3850"/>
      <c r="CC617" s="3850"/>
      <c r="CD617" s="3850"/>
      <c r="CE617" s="3850"/>
      <c r="CF617" s="3850"/>
      <c r="CG617" s="3850"/>
      <c r="CH617" s="3850"/>
      <c r="CI617" s="3850"/>
      <c r="CJ617" s="3850"/>
      <c r="CK617" s="3850"/>
      <c r="CL617" s="3850"/>
      <c r="CM617" s="3850"/>
      <c r="CN617" s="3850"/>
      <c r="CO617" s="3850"/>
      <c r="CP617" s="3850"/>
      <c r="CQ617" s="3850"/>
      <c r="CR617" s="3850"/>
      <c r="CS617" s="3850"/>
      <c r="CT617" s="3850"/>
      <c r="CU617" s="3850"/>
      <c r="CV617" s="3850"/>
      <c r="CW617" s="3850"/>
      <c r="CX617" s="3850"/>
      <c r="CY617" s="3850"/>
      <c r="CZ617" s="3850"/>
      <c r="DA617" s="3850"/>
      <c r="DB617" s="3850"/>
      <c r="DC617" s="3850"/>
      <c r="DD617" s="3850"/>
      <c r="DE617" s="3850"/>
      <c r="DF617" s="3850"/>
      <c r="DG617" s="3850"/>
      <c r="DH617" s="3850"/>
      <c r="DI617" s="3850"/>
      <c r="DJ617" s="3850"/>
      <c r="DK617" s="3850"/>
      <c r="DL617" s="3850"/>
      <c r="DM617" s="3850"/>
      <c r="DN617" s="3850"/>
      <c r="DO617" s="3850"/>
      <c r="DP617" s="3850"/>
      <c r="DQ617" s="3850"/>
      <c r="DR617" s="3850"/>
      <c r="DS617" s="3850"/>
      <c r="DT617" s="3850"/>
      <c r="DU617" s="3850"/>
      <c r="DV617" s="3850"/>
      <c r="DW617" s="3850"/>
      <c r="DX617" s="3850"/>
      <c r="DY617" s="3850"/>
      <c r="DZ617" s="3850"/>
    </row>
    <row r="618" spans="1:130" s="3849" customFormat="1">
      <c r="A618" s="3852"/>
      <c r="B618" s="3840"/>
      <c r="C618" s="3870"/>
      <c r="D618" s="3893"/>
      <c r="E618" s="3883"/>
      <c r="F618" s="3874"/>
      <c r="G618" s="3875"/>
      <c r="H618" s="3874"/>
      <c r="I618" s="3875"/>
      <c r="J618" s="3874"/>
      <c r="K618" s="3876"/>
      <c r="L618" s="3874"/>
      <c r="N618" s="3846"/>
      <c r="O618" s="3847"/>
      <c r="P618" s="3853"/>
      <c r="AU618" s="3850"/>
      <c r="AV618" s="3850"/>
      <c r="AW618" s="3850"/>
      <c r="AX618" s="3850"/>
      <c r="AY618" s="3850"/>
      <c r="AZ618" s="3850"/>
      <c r="BA618" s="3850"/>
      <c r="BB618" s="3850"/>
      <c r="BC618" s="3850"/>
      <c r="BD618" s="3850"/>
      <c r="BE618" s="3850"/>
      <c r="BF618" s="3850"/>
      <c r="BG618" s="3850"/>
      <c r="BH618" s="3850"/>
      <c r="BI618" s="3850"/>
      <c r="BJ618" s="3850"/>
      <c r="BK618" s="3850"/>
      <c r="BL618" s="3850"/>
      <c r="BM618" s="3850"/>
      <c r="BN618" s="3850"/>
      <c r="BO618" s="3850"/>
      <c r="BP618" s="3850"/>
      <c r="BQ618" s="3850"/>
      <c r="BR618" s="3850"/>
      <c r="BS618" s="3850"/>
      <c r="BT618" s="3850"/>
      <c r="BU618" s="3850"/>
      <c r="BV618" s="3850"/>
      <c r="BW618" s="3850"/>
      <c r="BX618" s="3850"/>
      <c r="BY618" s="3850"/>
      <c r="BZ618" s="3850"/>
      <c r="CA618" s="3850"/>
      <c r="CB618" s="3850"/>
      <c r="CC618" s="3850"/>
      <c r="CD618" s="3850"/>
      <c r="CE618" s="3850"/>
      <c r="CF618" s="3850"/>
      <c r="CG618" s="3850"/>
      <c r="CH618" s="3850"/>
      <c r="CI618" s="3850"/>
      <c r="CJ618" s="3850"/>
      <c r="CK618" s="3850"/>
      <c r="CL618" s="3850"/>
      <c r="CM618" s="3850"/>
      <c r="CN618" s="3850"/>
      <c r="CO618" s="3850"/>
      <c r="CP618" s="3850"/>
      <c r="CQ618" s="3850"/>
      <c r="CR618" s="3850"/>
      <c r="CS618" s="3850"/>
      <c r="CT618" s="3850"/>
      <c r="CU618" s="3850"/>
      <c r="CV618" s="3850"/>
      <c r="CW618" s="3850"/>
      <c r="CX618" s="3850"/>
      <c r="CY618" s="3850"/>
      <c r="CZ618" s="3850"/>
      <c r="DA618" s="3850"/>
      <c r="DB618" s="3850"/>
      <c r="DC618" s="3850"/>
      <c r="DD618" s="3850"/>
      <c r="DE618" s="3850"/>
      <c r="DF618" s="3850"/>
      <c r="DG618" s="3850"/>
      <c r="DH618" s="3850"/>
      <c r="DI618" s="3850"/>
      <c r="DJ618" s="3850"/>
      <c r="DK618" s="3850"/>
      <c r="DL618" s="3850"/>
      <c r="DM618" s="3850"/>
      <c r="DN618" s="3850"/>
      <c r="DO618" s="3850"/>
      <c r="DP618" s="3850"/>
      <c r="DQ618" s="3850"/>
      <c r="DR618" s="3850"/>
      <c r="DS618" s="3850"/>
      <c r="DT618" s="3850"/>
      <c r="DU618" s="3850"/>
      <c r="DV618" s="3850"/>
      <c r="DW618" s="3850"/>
      <c r="DX618" s="3850"/>
      <c r="DY618" s="3850"/>
      <c r="DZ618" s="3850"/>
    </row>
    <row r="619" spans="1:130" s="3849" customFormat="1">
      <c r="A619" s="3852"/>
      <c r="B619" s="3840"/>
      <c r="C619" s="3870"/>
      <c r="D619" s="3893"/>
      <c r="E619" s="3883"/>
      <c r="F619" s="3874"/>
      <c r="G619" s="3875"/>
      <c r="H619" s="3874"/>
      <c r="I619" s="3875"/>
      <c r="J619" s="3874"/>
      <c r="K619" s="3876"/>
      <c r="L619" s="3874"/>
      <c r="N619" s="3846"/>
      <c r="O619" s="3847"/>
      <c r="P619" s="3853"/>
      <c r="AU619" s="3850"/>
      <c r="AV619" s="3850"/>
      <c r="AW619" s="3850"/>
      <c r="AX619" s="3850"/>
      <c r="AY619" s="3850"/>
      <c r="AZ619" s="3850"/>
      <c r="BA619" s="3850"/>
      <c r="BB619" s="3850"/>
      <c r="BC619" s="3850"/>
      <c r="BD619" s="3850"/>
      <c r="BE619" s="3850"/>
      <c r="BF619" s="3850"/>
      <c r="BG619" s="3850"/>
      <c r="BH619" s="3850"/>
      <c r="BI619" s="3850"/>
      <c r="BJ619" s="3850"/>
      <c r="BK619" s="3850"/>
      <c r="BL619" s="3850"/>
      <c r="BM619" s="3850"/>
      <c r="BN619" s="3850"/>
      <c r="BO619" s="3850"/>
      <c r="BP619" s="3850"/>
      <c r="BQ619" s="3850"/>
      <c r="BR619" s="3850"/>
      <c r="BS619" s="3850"/>
      <c r="BT619" s="3850"/>
      <c r="BU619" s="3850"/>
      <c r="BV619" s="3850"/>
      <c r="BW619" s="3850"/>
      <c r="BX619" s="3850"/>
      <c r="BY619" s="3850"/>
      <c r="BZ619" s="3850"/>
      <c r="CA619" s="3850"/>
      <c r="CB619" s="3850"/>
      <c r="CC619" s="3850"/>
      <c r="CD619" s="3850"/>
      <c r="CE619" s="3850"/>
      <c r="CF619" s="3850"/>
      <c r="CG619" s="3850"/>
      <c r="CH619" s="3850"/>
      <c r="CI619" s="3850"/>
      <c r="CJ619" s="3850"/>
      <c r="CK619" s="3850"/>
      <c r="CL619" s="3850"/>
      <c r="CM619" s="3850"/>
      <c r="CN619" s="3850"/>
      <c r="CO619" s="3850"/>
      <c r="CP619" s="3850"/>
      <c r="CQ619" s="3850"/>
      <c r="CR619" s="3850"/>
      <c r="CS619" s="3850"/>
      <c r="CT619" s="3850"/>
      <c r="CU619" s="3850"/>
      <c r="CV619" s="3850"/>
      <c r="CW619" s="3850"/>
      <c r="CX619" s="3850"/>
      <c r="CY619" s="3850"/>
      <c r="CZ619" s="3850"/>
      <c r="DA619" s="3850"/>
      <c r="DB619" s="3850"/>
      <c r="DC619" s="3850"/>
      <c r="DD619" s="3850"/>
      <c r="DE619" s="3850"/>
      <c r="DF619" s="3850"/>
      <c r="DG619" s="3850"/>
      <c r="DH619" s="3850"/>
      <c r="DI619" s="3850"/>
      <c r="DJ619" s="3850"/>
      <c r="DK619" s="3850"/>
      <c r="DL619" s="3850"/>
      <c r="DM619" s="3850"/>
      <c r="DN619" s="3850"/>
      <c r="DO619" s="3850"/>
      <c r="DP619" s="3850"/>
      <c r="DQ619" s="3850"/>
      <c r="DR619" s="3850"/>
      <c r="DS619" s="3850"/>
      <c r="DT619" s="3850"/>
      <c r="DU619" s="3850"/>
      <c r="DV619" s="3850"/>
      <c r="DW619" s="3850"/>
      <c r="DX619" s="3850"/>
      <c r="DY619" s="3850"/>
      <c r="DZ619" s="3850"/>
    </row>
    <row r="620" spans="1:130" s="3849" customFormat="1">
      <c r="A620" s="3852"/>
      <c r="B620" s="3840"/>
      <c r="C620" s="3870"/>
      <c r="D620" s="3893"/>
      <c r="E620" s="3883"/>
      <c r="F620" s="3874"/>
      <c r="G620" s="3875"/>
      <c r="H620" s="3874"/>
      <c r="I620" s="3875"/>
      <c r="J620" s="3874"/>
      <c r="K620" s="3876"/>
      <c r="L620" s="3874"/>
      <c r="N620" s="3846"/>
      <c r="O620" s="3847"/>
      <c r="P620" s="3853"/>
      <c r="AU620" s="3850"/>
      <c r="AV620" s="3850"/>
      <c r="AW620" s="3850"/>
      <c r="AX620" s="3850"/>
      <c r="AY620" s="3850"/>
      <c r="AZ620" s="3850"/>
      <c r="BA620" s="3850"/>
      <c r="BB620" s="3850"/>
      <c r="BC620" s="3850"/>
      <c r="BD620" s="3850"/>
      <c r="BE620" s="3850"/>
      <c r="BF620" s="3850"/>
      <c r="BG620" s="3850"/>
      <c r="BH620" s="3850"/>
      <c r="BI620" s="3850"/>
      <c r="BJ620" s="3850"/>
      <c r="BK620" s="3850"/>
      <c r="BL620" s="3850"/>
      <c r="BM620" s="3850"/>
      <c r="BN620" s="3850"/>
      <c r="BO620" s="3850"/>
      <c r="BP620" s="3850"/>
      <c r="BQ620" s="3850"/>
      <c r="BR620" s="3850"/>
      <c r="BS620" s="3850"/>
      <c r="BT620" s="3850"/>
      <c r="BU620" s="3850"/>
      <c r="BV620" s="3850"/>
      <c r="BW620" s="3850"/>
      <c r="BX620" s="3850"/>
      <c r="BY620" s="3850"/>
      <c r="BZ620" s="3850"/>
      <c r="CA620" s="3850"/>
      <c r="CB620" s="3850"/>
      <c r="CC620" s="3850"/>
      <c r="CD620" s="3850"/>
      <c r="CE620" s="3850"/>
      <c r="CF620" s="3850"/>
      <c r="CG620" s="3850"/>
      <c r="CH620" s="3850"/>
      <c r="CI620" s="3850"/>
      <c r="CJ620" s="3850"/>
      <c r="CK620" s="3850"/>
      <c r="CL620" s="3850"/>
      <c r="CM620" s="3850"/>
      <c r="CN620" s="3850"/>
      <c r="CO620" s="3850"/>
      <c r="CP620" s="3850"/>
      <c r="CQ620" s="3850"/>
      <c r="CR620" s="3850"/>
      <c r="CS620" s="3850"/>
      <c r="CT620" s="3850"/>
      <c r="CU620" s="3850"/>
      <c r="CV620" s="3850"/>
      <c r="CW620" s="3850"/>
      <c r="CX620" s="3850"/>
      <c r="CY620" s="3850"/>
      <c r="CZ620" s="3850"/>
      <c r="DA620" s="3850"/>
      <c r="DB620" s="3850"/>
      <c r="DC620" s="3850"/>
      <c r="DD620" s="3850"/>
      <c r="DE620" s="3850"/>
      <c r="DF620" s="3850"/>
      <c r="DG620" s="3850"/>
      <c r="DH620" s="3850"/>
      <c r="DI620" s="3850"/>
      <c r="DJ620" s="3850"/>
      <c r="DK620" s="3850"/>
      <c r="DL620" s="3850"/>
      <c r="DM620" s="3850"/>
      <c r="DN620" s="3850"/>
      <c r="DO620" s="3850"/>
      <c r="DP620" s="3850"/>
      <c r="DQ620" s="3850"/>
      <c r="DR620" s="3850"/>
      <c r="DS620" s="3850"/>
      <c r="DT620" s="3850"/>
      <c r="DU620" s="3850"/>
      <c r="DV620" s="3850"/>
      <c r="DW620" s="3850"/>
      <c r="DX620" s="3850"/>
      <c r="DY620" s="3850"/>
      <c r="DZ620" s="3850"/>
    </row>
    <row r="621" spans="1:130" s="3849" customFormat="1">
      <c r="A621" s="3852"/>
      <c r="B621" s="3840"/>
      <c r="C621" s="3870"/>
      <c r="D621" s="3893"/>
      <c r="E621" s="3883"/>
      <c r="F621" s="3874"/>
      <c r="G621" s="3875"/>
      <c r="H621" s="3874"/>
      <c r="I621" s="3875"/>
      <c r="J621" s="3874"/>
      <c r="K621" s="3876"/>
      <c r="L621" s="3874"/>
      <c r="N621" s="3846"/>
      <c r="O621" s="3847"/>
      <c r="P621" s="3853"/>
      <c r="AU621" s="3850"/>
      <c r="AV621" s="3850"/>
      <c r="AW621" s="3850"/>
      <c r="AX621" s="3850"/>
      <c r="AY621" s="3850"/>
      <c r="AZ621" s="3850"/>
      <c r="BA621" s="3850"/>
      <c r="BB621" s="3850"/>
      <c r="BC621" s="3850"/>
      <c r="BD621" s="3850"/>
      <c r="BE621" s="3850"/>
      <c r="BF621" s="3850"/>
      <c r="BG621" s="3850"/>
      <c r="BH621" s="3850"/>
      <c r="BI621" s="3850"/>
      <c r="BJ621" s="3850"/>
      <c r="BK621" s="3850"/>
      <c r="BL621" s="3850"/>
      <c r="BM621" s="3850"/>
      <c r="BN621" s="3850"/>
      <c r="BO621" s="3850"/>
      <c r="BP621" s="3850"/>
      <c r="BQ621" s="3850"/>
      <c r="BR621" s="3850"/>
      <c r="BS621" s="3850"/>
      <c r="BT621" s="3850"/>
      <c r="BU621" s="3850"/>
      <c r="BV621" s="3850"/>
      <c r="BW621" s="3850"/>
      <c r="BX621" s="3850"/>
      <c r="BY621" s="3850"/>
      <c r="BZ621" s="3850"/>
      <c r="CA621" s="3850"/>
      <c r="CB621" s="3850"/>
      <c r="CC621" s="3850"/>
      <c r="CD621" s="3850"/>
      <c r="CE621" s="3850"/>
      <c r="CF621" s="3850"/>
      <c r="CG621" s="3850"/>
      <c r="CH621" s="3850"/>
      <c r="CI621" s="3850"/>
      <c r="CJ621" s="3850"/>
      <c r="CK621" s="3850"/>
      <c r="CL621" s="3850"/>
      <c r="CM621" s="3850"/>
      <c r="CN621" s="3850"/>
      <c r="CO621" s="3850"/>
      <c r="CP621" s="3850"/>
      <c r="CQ621" s="3850"/>
      <c r="CR621" s="3850"/>
      <c r="CS621" s="3850"/>
      <c r="CT621" s="3850"/>
      <c r="CU621" s="3850"/>
      <c r="CV621" s="3850"/>
      <c r="CW621" s="3850"/>
      <c r="CX621" s="3850"/>
      <c r="CY621" s="3850"/>
      <c r="CZ621" s="3850"/>
      <c r="DA621" s="3850"/>
      <c r="DB621" s="3850"/>
      <c r="DC621" s="3850"/>
      <c r="DD621" s="3850"/>
      <c r="DE621" s="3850"/>
      <c r="DF621" s="3850"/>
      <c r="DG621" s="3850"/>
      <c r="DH621" s="3850"/>
      <c r="DI621" s="3850"/>
      <c r="DJ621" s="3850"/>
      <c r="DK621" s="3850"/>
      <c r="DL621" s="3850"/>
      <c r="DM621" s="3850"/>
      <c r="DN621" s="3850"/>
      <c r="DO621" s="3850"/>
      <c r="DP621" s="3850"/>
      <c r="DQ621" s="3850"/>
      <c r="DR621" s="3850"/>
      <c r="DS621" s="3850"/>
      <c r="DT621" s="3850"/>
      <c r="DU621" s="3850"/>
      <c r="DV621" s="3850"/>
      <c r="DW621" s="3850"/>
      <c r="DX621" s="3850"/>
      <c r="DY621" s="3850"/>
      <c r="DZ621" s="3850"/>
    </row>
    <row r="622" spans="1:130" s="3849" customFormat="1">
      <c r="A622" s="3852"/>
      <c r="B622" s="3840"/>
      <c r="C622" s="3870"/>
      <c r="D622" s="3893"/>
      <c r="E622" s="3883"/>
      <c r="F622" s="3874"/>
      <c r="G622" s="3875"/>
      <c r="H622" s="3874"/>
      <c r="I622" s="3875"/>
      <c r="J622" s="3874"/>
      <c r="K622" s="3876"/>
      <c r="L622" s="3874"/>
      <c r="N622" s="3846"/>
      <c r="O622" s="3847"/>
      <c r="P622" s="3853"/>
      <c r="AU622" s="3850"/>
      <c r="AV622" s="3850"/>
      <c r="AW622" s="3850"/>
      <c r="AX622" s="3850"/>
      <c r="AY622" s="3850"/>
      <c r="AZ622" s="3850"/>
      <c r="BA622" s="3850"/>
      <c r="BB622" s="3850"/>
      <c r="BC622" s="3850"/>
      <c r="BD622" s="3850"/>
      <c r="BE622" s="3850"/>
      <c r="BF622" s="3850"/>
      <c r="BG622" s="3850"/>
      <c r="BH622" s="3850"/>
      <c r="BI622" s="3850"/>
      <c r="BJ622" s="3850"/>
      <c r="BK622" s="3850"/>
      <c r="BL622" s="3850"/>
      <c r="BM622" s="3850"/>
      <c r="BN622" s="3850"/>
      <c r="BO622" s="3850"/>
      <c r="BP622" s="3850"/>
      <c r="BQ622" s="3850"/>
      <c r="BR622" s="3850"/>
      <c r="BS622" s="3850"/>
      <c r="BT622" s="3850"/>
      <c r="BU622" s="3850"/>
      <c r="BV622" s="3850"/>
      <c r="BW622" s="3850"/>
      <c r="BX622" s="3850"/>
      <c r="BY622" s="3850"/>
      <c r="BZ622" s="3850"/>
      <c r="CA622" s="3850"/>
      <c r="CB622" s="3850"/>
      <c r="CC622" s="3850"/>
      <c r="CD622" s="3850"/>
      <c r="CE622" s="3850"/>
      <c r="CF622" s="3850"/>
      <c r="CG622" s="3850"/>
      <c r="CH622" s="3850"/>
      <c r="CI622" s="3850"/>
      <c r="CJ622" s="3850"/>
      <c r="CK622" s="3850"/>
      <c r="CL622" s="3850"/>
      <c r="CM622" s="3850"/>
      <c r="CN622" s="3850"/>
      <c r="CO622" s="3850"/>
      <c r="CP622" s="3850"/>
      <c r="CQ622" s="3850"/>
      <c r="CR622" s="3850"/>
      <c r="CS622" s="3850"/>
      <c r="CT622" s="3850"/>
      <c r="CU622" s="3850"/>
      <c r="CV622" s="3850"/>
      <c r="CW622" s="3850"/>
      <c r="CX622" s="3850"/>
      <c r="CY622" s="3850"/>
      <c r="CZ622" s="3850"/>
      <c r="DA622" s="3850"/>
      <c r="DB622" s="3850"/>
      <c r="DC622" s="3850"/>
      <c r="DD622" s="3850"/>
      <c r="DE622" s="3850"/>
      <c r="DF622" s="3850"/>
      <c r="DG622" s="3850"/>
      <c r="DH622" s="3850"/>
      <c r="DI622" s="3850"/>
      <c r="DJ622" s="3850"/>
      <c r="DK622" s="3850"/>
      <c r="DL622" s="3850"/>
      <c r="DM622" s="3850"/>
      <c r="DN622" s="3850"/>
      <c r="DO622" s="3850"/>
      <c r="DP622" s="3850"/>
      <c r="DQ622" s="3850"/>
      <c r="DR622" s="3850"/>
      <c r="DS622" s="3850"/>
      <c r="DT622" s="3850"/>
      <c r="DU622" s="3850"/>
      <c r="DV622" s="3850"/>
      <c r="DW622" s="3850"/>
      <c r="DX622" s="3850"/>
      <c r="DY622" s="3850"/>
      <c r="DZ622" s="3850"/>
    </row>
    <row r="623" spans="1:130" s="3849" customFormat="1">
      <c r="A623" s="3852"/>
      <c r="B623" s="3840"/>
      <c r="C623" s="3870"/>
      <c r="D623" s="3893"/>
      <c r="E623" s="3883"/>
      <c r="F623" s="3874"/>
      <c r="G623" s="3875"/>
      <c r="H623" s="3874"/>
      <c r="I623" s="3875"/>
      <c r="J623" s="3874"/>
      <c r="K623" s="3876"/>
      <c r="L623" s="3874"/>
      <c r="N623" s="3846"/>
      <c r="O623" s="3847"/>
      <c r="P623" s="3853"/>
      <c r="AU623" s="3850"/>
      <c r="AV623" s="3850"/>
      <c r="AW623" s="3850"/>
      <c r="AX623" s="3850"/>
      <c r="AY623" s="3850"/>
      <c r="AZ623" s="3850"/>
      <c r="BA623" s="3850"/>
      <c r="BB623" s="3850"/>
      <c r="BC623" s="3850"/>
      <c r="BD623" s="3850"/>
      <c r="BE623" s="3850"/>
      <c r="BF623" s="3850"/>
      <c r="BG623" s="3850"/>
      <c r="BH623" s="3850"/>
      <c r="BI623" s="3850"/>
      <c r="BJ623" s="3850"/>
      <c r="BK623" s="3850"/>
      <c r="BL623" s="3850"/>
      <c r="BM623" s="3850"/>
      <c r="BN623" s="3850"/>
      <c r="BO623" s="3850"/>
      <c r="BP623" s="3850"/>
      <c r="BQ623" s="3850"/>
      <c r="BR623" s="3850"/>
      <c r="BS623" s="3850"/>
      <c r="BT623" s="3850"/>
      <c r="BU623" s="3850"/>
      <c r="BV623" s="3850"/>
      <c r="BW623" s="3850"/>
      <c r="BX623" s="3850"/>
      <c r="BY623" s="3850"/>
      <c r="BZ623" s="3850"/>
      <c r="CA623" s="3850"/>
      <c r="CB623" s="3850"/>
      <c r="CC623" s="3850"/>
      <c r="CD623" s="3850"/>
      <c r="CE623" s="3850"/>
      <c r="CF623" s="3850"/>
      <c r="CG623" s="3850"/>
      <c r="CH623" s="3850"/>
      <c r="CI623" s="3850"/>
      <c r="CJ623" s="3850"/>
      <c r="CK623" s="3850"/>
      <c r="CL623" s="3850"/>
      <c r="CM623" s="3850"/>
      <c r="CN623" s="3850"/>
      <c r="CO623" s="3850"/>
      <c r="CP623" s="3850"/>
      <c r="CQ623" s="3850"/>
      <c r="CR623" s="3850"/>
      <c r="CS623" s="3850"/>
      <c r="CT623" s="3850"/>
      <c r="CU623" s="3850"/>
      <c r="CV623" s="3850"/>
      <c r="CW623" s="3850"/>
      <c r="CX623" s="3850"/>
      <c r="CY623" s="3850"/>
      <c r="CZ623" s="3850"/>
      <c r="DA623" s="3850"/>
      <c r="DB623" s="3850"/>
      <c r="DC623" s="3850"/>
      <c r="DD623" s="3850"/>
      <c r="DE623" s="3850"/>
      <c r="DF623" s="3850"/>
      <c r="DG623" s="3850"/>
      <c r="DH623" s="3850"/>
      <c r="DI623" s="3850"/>
      <c r="DJ623" s="3850"/>
      <c r="DK623" s="3850"/>
      <c r="DL623" s="3850"/>
      <c r="DM623" s="3850"/>
      <c r="DN623" s="3850"/>
      <c r="DO623" s="3850"/>
      <c r="DP623" s="3850"/>
      <c r="DQ623" s="3850"/>
      <c r="DR623" s="3850"/>
      <c r="DS623" s="3850"/>
      <c r="DT623" s="3850"/>
      <c r="DU623" s="3850"/>
      <c r="DV623" s="3850"/>
      <c r="DW623" s="3850"/>
      <c r="DX623" s="3850"/>
      <c r="DY623" s="3850"/>
      <c r="DZ623" s="3850"/>
    </row>
    <row r="624" spans="1:130" s="3849" customFormat="1">
      <c r="A624" s="3852"/>
      <c r="B624" s="3840"/>
      <c r="C624" s="3870"/>
      <c r="D624" s="3893"/>
      <c r="E624" s="3883"/>
      <c r="F624" s="3874"/>
      <c r="G624" s="3875"/>
      <c r="H624" s="3874"/>
      <c r="I624" s="3875"/>
      <c r="J624" s="3874"/>
      <c r="K624" s="3876"/>
      <c r="L624" s="3874"/>
      <c r="N624" s="3846"/>
      <c r="O624" s="3847"/>
      <c r="P624" s="3853"/>
      <c r="AU624" s="3850"/>
      <c r="AV624" s="3850"/>
      <c r="AW624" s="3850"/>
      <c r="AX624" s="3850"/>
      <c r="AY624" s="3850"/>
      <c r="AZ624" s="3850"/>
      <c r="BA624" s="3850"/>
      <c r="BB624" s="3850"/>
      <c r="BC624" s="3850"/>
      <c r="BD624" s="3850"/>
      <c r="BE624" s="3850"/>
      <c r="BF624" s="3850"/>
      <c r="BG624" s="3850"/>
      <c r="BH624" s="3850"/>
      <c r="BI624" s="3850"/>
      <c r="BJ624" s="3850"/>
      <c r="BK624" s="3850"/>
      <c r="BL624" s="3850"/>
      <c r="BM624" s="3850"/>
      <c r="BN624" s="3850"/>
      <c r="BO624" s="3850"/>
      <c r="BP624" s="3850"/>
      <c r="BQ624" s="3850"/>
      <c r="BR624" s="3850"/>
      <c r="BS624" s="3850"/>
      <c r="BT624" s="3850"/>
      <c r="BU624" s="3850"/>
      <c r="BV624" s="3850"/>
      <c r="BW624" s="3850"/>
      <c r="BX624" s="3850"/>
      <c r="BY624" s="3850"/>
      <c r="BZ624" s="3850"/>
      <c r="CA624" s="3850"/>
      <c r="CB624" s="3850"/>
      <c r="CC624" s="3850"/>
      <c r="CD624" s="3850"/>
      <c r="CE624" s="3850"/>
      <c r="CF624" s="3850"/>
      <c r="CG624" s="3850"/>
      <c r="CH624" s="3850"/>
      <c r="CI624" s="3850"/>
      <c r="CJ624" s="3850"/>
      <c r="CK624" s="3850"/>
      <c r="CL624" s="3850"/>
      <c r="CM624" s="3850"/>
      <c r="CN624" s="3850"/>
      <c r="CO624" s="3850"/>
      <c r="CP624" s="3850"/>
      <c r="CQ624" s="3850"/>
      <c r="CR624" s="3850"/>
      <c r="CS624" s="3850"/>
      <c r="CT624" s="3850"/>
      <c r="CU624" s="3850"/>
      <c r="CV624" s="3850"/>
      <c r="CW624" s="3850"/>
      <c r="CX624" s="3850"/>
      <c r="CY624" s="3850"/>
      <c r="CZ624" s="3850"/>
      <c r="DA624" s="3850"/>
      <c r="DB624" s="3850"/>
      <c r="DC624" s="3850"/>
      <c r="DD624" s="3850"/>
      <c r="DE624" s="3850"/>
      <c r="DF624" s="3850"/>
      <c r="DG624" s="3850"/>
      <c r="DH624" s="3850"/>
      <c r="DI624" s="3850"/>
      <c r="DJ624" s="3850"/>
      <c r="DK624" s="3850"/>
      <c r="DL624" s="3850"/>
      <c r="DM624" s="3850"/>
      <c r="DN624" s="3850"/>
      <c r="DO624" s="3850"/>
      <c r="DP624" s="3850"/>
      <c r="DQ624" s="3850"/>
      <c r="DR624" s="3850"/>
      <c r="DS624" s="3850"/>
      <c r="DT624" s="3850"/>
      <c r="DU624" s="3850"/>
      <c r="DV624" s="3850"/>
      <c r="DW624" s="3850"/>
      <c r="DX624" s="3850"/>
      <c r="DY624" s="3850"/>
      <c r="DZ624" s="3850"/>
    </row>
    <row r="625" spans="1:130" s="3849" customFormat="1">
      <c r="A625" s="3852"/>
      <c r="B625" s="3840"/>
      <c r="C625" s="3870"/>
      <c r="D625" s="3893"/>
      <c r="E625" s="3883"/>
      <c r="F625" s="3874"/>
      <c r="G625" s="3875"/>
      <c r="H625" s="3874"/>
      <c r="I625" s="3875"/>
      <c r="J625" s="3874"/>
      <c r="K625" s="3876"/>
      <c r="L625" s="3874"/>
      <c r="N625" s="3846"/>
      <c r="O625" s="3847"/>
      <c r="P625" s="3853"/>
      <c r="AU625" s="3850"/>
      <c r="AV625" s="3850"/>
      <c r="AW625" s="3850"/>
      <c r="AX625" s="3850"/>
      <c r="AY625" s="3850"/>
      <c r="AZ625" s="3850"/>
      <c r="BA625" s="3850"/>
      <c r="BB625" s="3850"/>
      <c r="BC625" s="3850"/>
      <c r="BD625" s="3850"/>
      <c r="BE625" s="3850"/>
      <c r="BF625" s="3850"/>
      <c r="BG625" s="3850"/>
      <c r="BH625" s="3850"/>
      <c r="BI625" s="3850"/>
      <c r="BJ625" s="3850"/>
      <c r="BK625" s="3850"/>
      <c r="BL625" s="3850"/>
      <c r="BM625" s="3850"/>
      <c r="BN625" s="3850"/>
      <c r="BO625" s="3850"/>
      <c r="BP625" s="3850"/>
      <c r="BQ625" s="3850"/>
      <c r="BR625" s="3850"/>
      <c r="BS625" s="3850"/>
      <c r="BT625" s="3850"/>
      <c r="BU625" s="3850"/>
      <c r="BV625" s="3850"/>
      <c r="BW625" s="3850"/>
      <c r="BX625" s="3850"/>
      <c r="BY625" s="3850"/>
      <c r="BZ625" s="3850"/>
      <c r="CA625" s="3850"/>
      <c r="CB625" s="3850"/>
      <c r="CC625" s="3850"/>
      <c r="CD625" s="3850"/>
      <c r="CE625" s="3850"/>
      <c r="CF625" s="3850"/>
      <c r="CG625" s="3850"/>
      <c r="CH625" s="3850"/>
      <c r="CI625" s="3850"/>
      <c r="CJ625" s="3850"/>
      <c r="CK625" s="3850"/>
      <c r="CL625" s="3850"/>
      <c r="CM625" s="3850"/>
      <c r="CN625" s="3850"/>
      <c r="CO625" s="3850"/>
      <c r="CP625" s="3850"/>
      <c r="CQ625" s="3850"/>
      <c r="CR625" s="3850"/>
      <c r="CS625" s="3850"/>
      <c r="CT625" s="3850"/>
      <c r="CU625" s="3850"/>
      <c r="CV625" s="3850"/>
      <c r="CW625" s="3850"/>
      <c r="CX625" s="3850"/>
      <c r="CY625" s="3850"/>
      <c r="CZ625" s="3850"/>
      <c r="DA625" s="3850"/>
      <c r="DB625" s="3850"/>
      <c r="DC625" s="3850"/>
      <c r="DD625" s="3850"/>
      <c r="DE625" s="3850"/>
      <c r="DF625" s="3850"/>
      <c r="DG625" s="3850"/>
      <c r="DH625" s="3850"/>
      <c r="DI625" s="3850"/>
      <c r="DJ625" s="3850"/>
      <c r="DK625" s="3850"/>
      <c r="DL625" s="3850"/>
      <c r="DM625" s="3850"/>
      <c r="DN625" s="3850"/>
      <c r="DO625" s="3850"/>
      <c r="DP625" s="3850"/>
      <c r="DQ625" s="3850"/>
      <c r="DR625" s="3850"/>
      <c r="DS625" s="3850"/>
      <c r="DT625" s="3850"/>
      <c r="DU625" s="3850"/>
      <c r="DV625" s="3850"/>
      <c r="DW625" s="3850"/>
      <c r="DX625" s="3850"/>
      <c r="DY625" s="3850"/>
      <c r="DZ625" s="3850"/>
    </row>
    <row r="626" spans="1:130" s="3849" customFormat="1">
      <c r="A626" s="3852"/>
      <c r="B626" s="3840"/>
      <c r="C626" s="3870"/>
      <c r="D626" s="3893"/>
      <c r="E626" s="3883"/>
      <c r="F626" s="3874"/>
      <c r="G626" s="3875"/>
      <c r="H626" s="3874"/>
      <c r="I626" s="3875"/>
      <c r="J626" s="3874"/>
      <c r="K626" s="3876"/>
      <c r="L626" s="3874"/>
      <c r="N626" s="3846"/>
      <c r="O626" s="3847"/>
      <c r="P626" s="3853"/>
      <c r="AU626" s="3850"/>
      <c r="AV626" s="3850"/>
      <c r="AW626" s="3850"/>
      <c r="AX626" s="3850"/>
      <c r="AY626" s="3850"/>
      <c r="AZ626" s="3850"/>
      <c r="BA626" s="3850"/>
      <c r="BB626" s="3850"/>
      <c r="BC626" s="3850"/>
      <c r="BD626" s="3850"/>
      <c r="BE626" s="3850"/>
      <c r="BF626" s="3850"/>
      <c r="BG626" s="3850"/>
      <c r="BH626" s="3850"/>
      <c r="BI626" s="3850"/>
      <c r="BJ626" s="3850"/>
      <c r="BK626" s="3850"/>
      <c r="BL626" s="3850"/>
      <c r="BM626" s="3850"/>
      <c r="BN626" s="3850"/>
      <c r="BO626" s="3850"/>
      <c r="BP626" s="3850"/>
      <c r="BQ626" s="3850"/>
      <c r="BR626" s="3850"/>
      <c r="BS626" s="3850"/>
      <c r="BT626" s="3850"/>
      <c r="BU626" s="3850"/>
      <c r="BV626" s="3850"/>
      <c r="BW626" s="3850"/>
      <c r="BX626" s="3850"/>
      <c r="BY626" s="3850"/>
      <c r="BZ626" s="3850"/>
      <c r="CA626" s="3850"/>
      <c r="CB626" s="3850"/>
      <c r="CC626" s="3850"/>
      <c r="CD626" s="3850"/>
      <c r="CE626" s="3850"/>
      <c r="CF626" s="3850"/>
      <c r="CG626" s="3850"/>
      <c r="CH626" s="3850"/>
      <c r="CI626" s="3850"/>
      <c r="CJ626" s="3850"/>
      <c r="CK626" s="3850"/>
      <c r="CL626" s="3850"/>
      <c r="CM626" s="3850"/>
      <c r="CN626" s="3850"/>
      <c r="CO626" s="3850"/>
      <c r="CP626" s="3850"/>
      <c r="CQ626" s="3850"/>
      <c r="CR626" s="3850"/>
      <c r="CS626" s="3850"/>
      <c r="CT626" s="3850"/>
      <c r="CU626" s="3850"/>
      <c r="CV626" s="3850"/>
      <c r="CW626" s="3850"/>
      <c r="CX626" s="3850"/>
      <c r="CY626" s="3850"/>
      <c r="CZ626" s="3850"/>
      <c r="DA626" s="3850"/>
      <c r="DB626" s="3850"/>
      <c r="DC626" s="3850"/>
      <c r="DD626" s="3850"/>
      <c r="DE626" s="3850"/>
      <c r="DF626" s="3850"/>
      <c r="DG626" s="3850"/>
      <c r="DH626" s="3850"/>
      <c r="DI626" s="3850"/>
      <c r="DJ626" s="3850"/>
      <c r="DK626" s="3850"/>
      <c r="DL626" s="3850"/>
      <c r="DM626" s="3850"/>
      <c r="DN626" s="3850"/>
      <c r="DO626" s="3850"/>
      <c r="DP626" s="3850"/>
      <c r="DQ626" s="3850"/>
      <c r="DR626" s="3850"/>
      <c r="DS626" s="3850"/>
      <c r="DT626" s="3850"/>
      <c r="DU626" s="3850"/>
      <c r="DV626" s="3850"/>
      <c r="DW626" s="3850"/>
      <c r="DX626" s="3850"/>
      <c r="DY626" s="3850"/>
      <c r="DZ626" s="3850"/>
    </row>
    <row r="627" spans="1:130" s="3849" customFormat="1">
      <c r="A627" s="3852"/>
      <c r="B627" s="3840"/>
      <c r="C627" s="3870"/>
      <c r="D627" s="3893"/>
      <c r="E627" s="3883"/>
      <c r="F627" s="3874"/>
      <c r="G627" s="3875"/>
      <c r="H627" s="3874"/>
      <c r="I627" s="3875"/>
      <c r="J627" s="3874"/>
      <c r="K627" s="3876"/>
      <c r="L627" s="3874"/>
      <c r="N627" s="3846"/>
      <c r="O627" s="3847"/>
      <c r="P627" s="3853"/>
      <c r="AU627" s="3850"/>
      <c r="AV627" s="3850"/>
      <c r="AW627" s="3850"/>
      <c r="AX627" s="3850"/>
      <c r="AY627" s="3850"/>
      <c r="AZ627" s="3850"/>
      <c r="BA627" s="3850"/>
      <c r="BB627" s="3850"/>
      <c r="BC627" s="3850"/>
      <c r="BD627" s="3850"/>
      <c r="BE627" s="3850"/>
      <c r="BF627" s="3850"/>
      <c r="BG627" s="3850"/>
      <c r="BH627" s="3850"/>
      <c r="BI627" s="3850"/>
      <c r="BJ627" s="3850"/>
      <c r="BK627" s="3850"/>
      <c r="BL627" s="3850"/>
      <c r="BM627" s="3850"/>
      <c r="BN627" s="3850"/>
      <c r="BO627" s="3850"/>
      <c r="BP627" s="3850"/>
      <c r="BQ627" s="3850"/>
      <c r="BR627" s="3850"/>
      <c r="BS627" s="3850"/>
      <c r="BT627" s="3850"/>
      <c r="BU627" s="3850"/>
      <c r="BV627" s="3850"/>
      <c r="BW627" s="3850"/>
      <c r="BX627" s="3850"/>
      <c r="BY627" s="3850"/>
      <c r="BZ627" s="3850"/>
      <c r="CA627" s="3850"/>
      <c r="CB627" s="3850"/>
      <c r="CC627" s="3850"/>
      <c r="CD627" s="3850"/>
      <c r="CE627" s="3850"/>
      <c r="CF627" s="3850"/>
      <c r="CG627" s="3850"/>
      <c r="CH627" s="3850"/>
      <c r="CI627" s="3850"/>
      <c r="CJ627" s="3850"/>
      <c r="CK627" s="3850"/>
      <c r="CL627" s="3850"/>
      <c r="CM627" s="3850"/>
      <c r="CN627" s="3850"/>
      <c r="CO627" s="3850"/>
      <c r="CP627" s="3850"/>
      <c r="CQ627" s="3850"/>
      <c r="CR627" s="3850"/>
      <c r="CS627" s="3850"/>
      <c r="CT627" s="3850"/>
      <c r="CU627" s="3850"/>
      <c r="CV627" s="3850"/>
      <c r="CW627" s="3850"/>
      <c r="CX627" s="3850"/>
      <c r="CY627" s="3850"/>
      <c r="CZ627" s="3850"/>
      <c r="DA627" s="3850"/>
      <c r="DB627" s="3850"/>
      <c r="DC627" s="3850"/>
      <c r="DD627" s="3850"/>
      <c r="DE627" s="3850"/>
      <c r="DF627" s="3850"/>
      <c r="DG627" s="3850"/>
      <c r="DH627" s="3850"/>
      <c r="DI627" s="3850"/>
      <c r="DJ627" s="3850"/>
      <c r="DK627" s="3850"/>
      <c r="DL627" s="3850"/>
      <c r="DM627" s="3850"/>
      <c r="DN627" s="3850"/>
      <c r="DO627" s="3850"/>
      <c r="DP627" s="3850"/>
      <c r="DQ627" s="3850"/>
      <c r="DR627" s="3850"/>
      <c r="DS627" s="3850"/>
      <c r="DT627" s="3850"/>
      <c r="DU627" s="3850"/>
      <c r="DV627" s="3850"/>
      <c r="DW627" s="3850"/>
      <c r="DX627" s="3850"/>
      <c r="DY627" s="3850"/>
      <c r="DZ627" s="3850"/>
    </row>
    <row r="628" spans="1:130" s="3849" customFormat="1">
      <c r="A628" s="3852"/>
      <c r="B628" s="3840"/>
      <c r="C628" s="3870"/>
      <c r="D628" s="3893"/>
      <c r="E628" s="3883"/>
      <c r="F628" s="3874"/>
      <c r="G628" s="3875"/>
      <c r="H628" s="3874"/>
      <c r="I628" s="3875"/>
      <c r="J628" s="3874"/>
      <c r="K628" s="3876"/>
      <c r="L628" s="3874"/>
      <c r="N628" s="3846"/>
      <c r="O628" s="3847"/>
      <c r="P628" s="3853"/>
      <c r="AU628" s="3850"/>
      <c r="AV628" s="3850"/>
      <c r="AW628" s="3850"/>
      <c r="AX628" s="3850"/>
      <c r="AY628" s="3850"/>
      <c r="AZ628" s="3850"/>
      <c r="BA628" s="3850"/>
      <c r="BB628" s="3850"/>
      <c r="BC628" s="3850"/>
      <c r="BD628" s="3850"/>
      <c r="BE628" s="3850"/>
      <c r="BF628" s="3850"/>
      <c r="BG628" s="3850"/>
      <c r="BH628" s="3850"/>
      <c r="BI628" s="3850"/>
      <c r="BJ628" s="3850"/>
      <c r="BK628" s="3850"/>
      <c r="BL628" s="3850"/>
      <c r="BM628" s="3850"/>
      <c r="BN628" s="3850"/>
      <c r="BO628" s="3850"/>
      <c r="BP628" s="3850"/>
      <c r="BQ628" s="3850"/>
      <c r="BR628" s="3850"/>
      <c r="BS628" s="3850"/>
      <c r="BT628" s="3850"/>
      <c r="BU628" s="3850"/>
      <c r="BV628" s="3850"/>
      <c r="BW628" s="3850"/>
      <c r="BX628" s="3850"/>
      <c r="BY628" s="3850"/>
      <c r="BZ628" s="3850"/>
      <c r="CA628" s="3850"/>
      <c r="CB628" s="3850"/>
      <c r="CC628" s="3850"/>
      <c r="CD628" s="3850"/>
      <c r="CE628" s="3850"/>
      <c r="CF628" s="3850"/>
      <c r="CG628" s="3850"/>
      <c r="CH628" s="3850"/>
      <c r="CI628" s="3850"/>
      <c r="CJ628" s="3850"/>
      <c r="CK628" s="3850"/>
      <c r="CL628" s="3850"/>
      <c r="CM628" s="3850"/>
      <c r="CN628" s="3850"/>
      <c r="CO628" s="3850"/>
      <c r="CP628" s="3850"/>
      <c r="CQ628" s="3850"/>
      <c r="CR628" s="3850"/>
      <c r="CS628" s="3850"/>
      <c r="CT628" s="3850"/>
      <c r="CU628" s="3850"/>
      <c r="CV628" s="3850"/>
      <c r="CW628" s="3850"/>
      <c r="CX628" s="3850"/>
      <c r="CY628" s="3850"/>
      <c r="CZ628" s="3850"/>
      <c r="DA628" s="3850"/>
      <c r="DB628" s="3850"/>
      <c r="DC628" s="3850"/>
      <c r="DD628" s="3850"/>
      <c r="DE628" s="3850"/>
      <c r="DF628" s="3850"/>
      <c r="DG628" s="3850"/>
      <c r="DH628" s="3850"/>
      <c r="DI628" s="3850"/>
      <c r="DJ628" s="3850"/>
      <c r="DK628" s="3850"/>
      <c r="DL628" s="3850"/>
      <c r="DM628" s="3850"/>
      <c r="DN628" s="3850"/>
      <c r="DO628" s="3850"/>
      <c r="DP628" s="3850"/>
      <c r="DQ628" s="3850"/>
      <c r="DR628" s="3850"/>
      <c r="DS628" s="3850"/>
      <c r="DT628" s="3850"/>
      <c r="DU628" s="3850"/>
      <c r="DV628" s="3850"/>
      <c r="DW628" s="3850"/>
      <c r="DX628" s="3850"/>
      <c r="DY628" s="3850"/>
      <c r="DZ628" s="3850"/>
    </row>
    <row r="629" spans="1:130" s="3849" customFormat="1">
      <c r="A629" s="3852"/>
      <c r="B629" s="3840"/>
      <c r="C629" s="3870"/>
      <c r="D629" s="3893"/>
      <c r="E629" s="3883"/>
      <c r="F629" s="3874"/>
      <c r="G629" s="3875"/>
      <c r="H629" s="3874"/>
      <c r="I629" s="3875"/>
      <c r="J629" s="3874"/>
      <c r="K629" s="3876"/>
      <c r="L629" s="3874"/>
      <c r="N629" s="3846"/>
      <c r="O629" s="3847"/>
      <c r="P629" s="3853"/>
      <c r="AU629" s="3850"/>
      <c r="AV629" s="3850"/>
      <c r="AW629" s="3850"/>
      <c r="AX629" s="3850"/>
      <c r="AY629" s="3850"/>
      <c r="AZ629" s="3850"/>
      <c r="BA629" s="3850"/>
      <c r="BB629" s="3850"/>
      <c r="BC629" s="3850"/>
      <c r="BD629" s="3850"/>
      <c r="BE629" s="3850"/>
      <c r="BF629" s="3850"/>
      <c r="BG629" s="3850"/>
      <c r="BH629" s="3850"/>
      <c r="BI629" s="3850"/>
      <c r="BJ629" s="3850"/>
      <c r="BK629" s="3850"/>
      <c r="BL629" s="3850"/>
      <c r="BM629" s="3850"/>
      <c r="BN629" s="3850"/>
      <c r="BO629" s="3850"/>
      <c r="BP629" s="3850"/>
      <c r="BQ629" s="3850"/>
      <c r="BR629" s="3850"/>
      <c r="BS629" s="3850"/>
      <c r="BT629" s="3850"/>
      <c r="BU629" s="3850"/>
      <c r="BV629" s="3850"/>
      <c r="BW629" s="3850"/>
      <c r="BX629" s="3850"/>
      <c r="BY629" s="3850"/>
      <c r="BZ629" s="3850"/>
      <c r="CA629" s="3850"/>
      <c r="CB629" s="3850"/>
      <c r="CC629" s="3850"/>
      <c r="CD629" s="3850"/>
      <c r="CE629" s="3850"/>
      <c r="CF629" s="3850"/>
      <c r="CG629" s="3850"/>
      <c r="CH629" s="3850"/>
      <c r="CI629" s="3850"/>
      <c r="CJ629" s="3850"/>
      <c r="CK629" s="3850"/>
      <c r="CL629" s="3850"/>
      <c r="CM629" s="3850"/>
      <c r="CN629" s="3850"/>
      <c r="CO629" s="3850"/>
      <c r="CP629" s="3850"/>
      <c r="CQ629" s="3850"/>
      <c r="CR629" s="3850"/>
      <c r="CS629" s="3850"/>
      <c r="CT629" s="3850"/>
      <c r="CU629" s="3850"/>
      <c r="CV629" s="3850"/>
      <c r="CW629" s="3850"/>
      <c r="CX629" s="3850"/>
      <c r="CY629" s="3850"/>
      <c r="CZ629" s="3850"/>
      <c r="DA629" s="3850"/>
      <c r="DB629" s="3850"/>
      <c r="DC629" s="3850"/>
      <c r="DD629" s="3850"/>
      <c r="DE629" s="3850"/>
      <c r="DF629" s="3850"/>
      <c r="DG629" s="3850"/>
      <c r="DH629" s="3850"/>
      <c r="DI629" s="3850"/>
      <c r="DJ629" s="3850"/>
      <c r="DK629" s="3850"/>
      <c r="DL629" s="3850"/>
      <c r="DM629" s="3850"/>
      <c r="DN629" s="3850"/>
      <c r="DO629" s="3850"/>
      <c r="DP629" s="3850"/>
      <c r="DQ629" s="3850"/>
      <c r="DR629" s="3850"/>
      <c r="DS629" s="3850"/>
      <c r="DT629" s="3850"/>
      <c r="DU629" s="3850"/>
      <c r="DV629" s="3850"/>
      <c r="DW629" s="3850"/>
      <c r="DX629" s="3850"/>
      <c r="DY629" s="3850"/>
      <c r="DZ629" s="3850"/>
    </row>
    <row r="630" spans="1:130" s="3849" customFormat="1">
      <c r="A630" s="3852"/>
      <c r="B630" s="3840"/>
      <c r="C630" s="3870"/>
      <c r="D630" s="3893"/>
      <c r="E630" s="3883"/>
      <c r="F630" s="3874"/>
      <c r="G630" s="3875"/>
      <c r="H630" s="3874"/>
      <c r="I630" s="3875"/>
      <c r="J630" s="3874"/>
      <c r="K630" s="3876"/>
      <c r="L630" s="3874"/>
      <c r="N630" s="3846"/>
      <c r="O630" s="3847"/>
      <c r="P630" s="3853"/>
      <c r="AU630" s="3850"/>
      <c r="AV630" s="3850"/>
      <c r="AW630" s="3850"/>
      <c r="AX630" s="3850"/>
      <c r="AY630" s="3850"/>
      <c r="AZ630" s="3850"/>
      <c r="BA630" s="3850"/>
      <c r="BB630" s="3850"/>
      <c r="BC630" s="3850"/>
      <c r="BD630" s="3850"/>
      <c r="BE630" s="3850"/>
      <c r="BF630" s="3850"/>
      <c r="BG630" s="3850"/>
      <c r="BH630" s="3850"/>
      <c r="BI630" s="3850"/>
      <c r="BJ630" s="3850"/>
      <c r="BK630" s="3850"/>
      <c r="BL630" s="3850"/>
      <c r="BM630" s="3850"/>
      <c r="BN630" s="3850"/>
      <c r="BO630" s="3850"/>
      <c r="BP630" s="3850"/>
      <c r="BQ630" s="3850"/>
      <c r="BR630" s="3850"/>
      <c r="BS630" s="3850"/>
      <c r="BT630" s="3850"/>
      <c r="BU630" s="3850"/>
      <c r="BV630" s="3850"/>
      <c r="BW630" s="3850"/>
      <c r="BX630" s="3850"/>
      <c r="BY630" s="3850"/>
      <c r="BZ630" s="3850"/>
      <c r="CA630" s="3850"/>
      <c r="CB630" s="3850"/>
      <c r="CC630" s="3850"/>
      <c r="CD630" s="3850"/>
      <c r="CE630" s="3850"/>
      <c r="CF630" s="3850"/>
      <c r="CG630" s="3850"/>
      <c r="CH630" s="3850"/>
      <c r="CI630" s="3850"/>
      <c r="CJ630" s="3850"/>
      <c r="CK630" s="3850"/>
      <c r="CL630" s="3850"/>
      <c r="CM630" s="3850"/>
      <c r="CN630" s="3850"/>
      <c r="CO630" s="3850"/>
      <c r="CP630" s="3850"/>
      <c r="CQ630" s="3850"/>
      <c r="CR630" s="3850"/>
      <c r="CS630" s="3850"/>
      <c r="CT630" s="3850"/>
      <c r="CU630" s="3850"/>
      <c r="CV630" s="3850"/>
      <c r="CW630" s="3850"/>
      <c r="CX630" s="3850"/>
      <c r="CY630" s="3850"/>
      <c r="CZ630" s="3850"/>
      <c r="DA630" s="3850"/>
      <c r="DB630" s="3850"/>
      <c r="DC630" s="3850"/>
      <c r="DD630" s="3850"/>
      <c r="DE630" s="3850"/>
      <c r="DF630" s="3850"/>
      <c r="DG630" s="3850"/>
      <c r="DH630" s="3850"/>
      <c r="DI630" s="3850"/>
      <c r="DJ630" s="3850"/>
      <c r="DK630" s="3850"/>
      <c r="DL630" s="3850"/>
      <c r="DM630" s="3850"/>
      <c r="DN630" s="3850"/>
      <c r="DO630" s="3850"/>
      <c r="DP630" s="3850"/>
      <c r="DQ630" s="3850"/>
      <c r="DR630" s="3850"/>
      <c r="DS630" s="3850"/>
      <c r="DT630" s="3850"/>
      <c r="DU630" s="3850"/>
      <c r="DV630" s="3850"/>
      <c r="DW630" s="3850"/>
      <c r="DX630" s="3850"/>
      <c r="DY630" s="3850"/>
      <c r="DZ630" s="3850"/>
    </row>
    <row r="631" spans="1:130" s="3849" customFormat="1">
      <c r="A631" s="3852"/>
      <c r="B631" s="3840"/>
      <c r="C631" s="3870"/>
      <c r="D631" s="3893"/>
      <c r="E631" s="3883"/>
      <c r="F631" s="3874"/>
      <c r="G631" s="3875"/>
      <c r="H631" s="3874"/>
      <c r="I631" s="3875"/>
      <c r="J631" s="3874"/>
      <c r="K631" s="3876"/>
      <c r="L631" s="3874"/>
      <c r="N631" s="3846"/>
      <c r="O631" s="3847"/>
      <c r="P631" s="3853"/>
      <c r="AU631" s="3850"/>
      <c r="AV631" s="3850"/>
      <c r="AW631" s="3850"/>
      <c r="AX631" s="3850"/>
      <c r="AY631" s="3850"/>
      <c r="AZ631" s="3850"/>
      <c r="BA631" s="3850"/>
      <c r="BB631" s="3850"/>
      <c r="BC631" s="3850"/>
      <c r="BD631" s="3850"/>
      <c r="BE631" s="3850"/>
      <c r="BF631" s="3850"/>
      <c r="BG631" s="3850"/>
      <c r="BH631" s="3850"/>
      <c r="BI631" s="3850"/>
      <c r="BJ631" s="3850"/>
      <c r="BK631" s="3850"/>
      <c r="BL631" s="3850"/>
      <c r="BM631" s="3850"/>
      <c r="BN631" s="3850"/>
      <c r="BO631" s="3850"/>
      <c r="BP631" s="3850"/>
      <c r="BQ631" s="3850"/>
      <c r="BR631" s="3850"/>
      <c r="BS631" s="3850"/>
      <c r="BT631" s="3850"/>
      <c r="BU631" s="3850"/>
      <c r="BV631" s="3850"/>
      <c r="BW631" s="3850"/>
      <c r="BX631" s="3850"/>
      <c r="BY631" s="3850"/>
      <c r="BZ631" s="3850"/>
      <c r="CA631" s="3850"/>
      <c r="CB631" s="3850"/>
      <c r="CC631" s="3850"/>
      <c r="CD631" s="3850"/>
      <c r="CE631" s="3850"/>
      <c r="CF631" s="3850"/>
      <c r="CG631" s="3850"/>
      <c r="CH631" s="3850"/>
      <c r="CI631" s="3850"/>
      <c r="CJ631" s="3850"/>
      <c r="CK631" s="3850"/>
      <c r="CL631" s="3850"/>
      <c r="CM631" s="3850"/>
      <c r="CN631" s="3850"/>
      <c r="CO631" s="3850"/>
      <c r="CP631" s="3850"/>
      <c r="CQ631" s="3850"/>
      <c r="CR631" s="3850"/>
      <c r="CS631" s="3850"/>
      <c r="CT631" s="3850"/>
      <c r="CU631" s="3850"/>
      <c r="CV631" s="3850"/>
      <c r="CW631" s="3850"/>
      <c r="CX631" s="3850"/>
      <c r="CY631" s="3850"/>
      <c r="CZ631" s="3850"/>
      <c r="DA631" s="3850"/>
      <c r="DB631" s="3850"/>
      <c r="DC631" s="3850"/>
      <c r="DD631" s="3850"/>
      <c r="DE631" s="3850"/>
      <c r="DF631" s="3850"/>
      <c r="DG631" s="3850"/>
      <c r="DH631" s="3850"/>
      <c r="DI631" s="3850"/>
      <c r="DJ631" s="3850"/>
      <c r="DK631" s="3850"/>
      <c r="DL631" s="3850"/>
      <c r="DM631" s="3850"/>
      <c r="DN631" s="3850"/>
      <c r="DO631" s="3850"/>
      <c r="DP631" s="3850"/>
      <c r="DQ631" s="3850"/>
      <c r="DR631" s="3850"/>
      <c r="DS631" s="3850"/>
      <c r="DT631" s="3850"/>
      <c r="DU631" s="3850"/>
      <c r="DV631" s="3850"/>
      <c r="DW631" s="3850"/>
      <c r="DX631" s="3850"/>
      <c r="DY631" s="3850"/>
      <c r="DZ631" s="3850"/>
    </row>
    <row r="632" spans="1:130" s="3849" customFormat="1">
      <c r="A632" s="3852"/>
      <c r="B632" s="3840"/>
      <c r="C632" s="3870"/>
      <c r="D632" s="3893"/>
      <c r="E632" s="3883"/>
      <c r="F632" s="3874"/>
      <c r="G632" s="3875"/>
      <c r="H632" s="3874"/>
      <c r="I632" s="3875"/>
      <c r="J632" s="3874"/>
      <c r="K632" s="3876"/>
      <c r="L632" s="3874"/>
      <c r="N632" s="3846"/>
      <c r="O632" s="3847"/>
      <c r="P632" s="3853"/>
      <c r="AU632" s="3850"/>
      <c r="AV632" s="3850"/>
      <c r="AW632" s="3850"/>
      <c r="AX632" s="3850"/>
      <c r="AY632" s="3850"/>
      <c r="AZ632" s="3850"/>
      <c r="BA632" s="3850"/>
      <c r="BB632" s="3850"/>
      <c r="BC632" s="3850"/>
      <c r="BD632" s="3850"/>
      <c r="BE632" s="3850"/>
      <c r="BF632" s="3850"/>
      <c r="BG632" s="3850"/>
      <c r="BH632" s="3850"/>
      <c r="BI632" s="3850"/>
      <c r="BJ632" s="3850"/>
      <c r="BK632" s="3850"/>
      <c r="BL632" s="3850"/>
      <c r="BM632" s="3850"/>
      <c r="BN632" s="3850"/>
      <c r="BO632" s="3850"/>
      <c r="BP632" s="3850"/>
      <c r="BQ632" s="3850"/>
      <c r="BR632" s="3850"/>
      <c r="BS632" s="3850"/>
      <c r="BT632" s="3850"/>
      <c r="BU632" s="3850"/>
      <c r="BV632" s="3850"/>
      <c r="BW632" s="3850"/>
      <c r="BX632" s="3850"/>
      <c r="BY632" s="3850"/>
      <c r="BZ632" s="3850"/>
      <c r="CA632" s="3850"/>
      <c r="CB632" s="3850"/>
      <c r="CC632" s="3850"/>
      <c r="CD632" s="3850"/>
      <c r="CE632" s="3850"/>
      <c r="CF632" s="3850"/>
      <c r="CG632" s="3850"/>
      <c r="CH632" s="3850"/>
      <c r="CI632" s="3850"/>
      <c r="CJ632" s="3850"/>
      <c r="CK632" s="3850"/>
      <c r="CL632" s="3850"/>
      <c r="CM632" s="3850"/>
      <c r="CN632" s="3850"/>
      <c r="CO632" s="3850"/>
      <c r="CP632" s="3850"/>
      <c r="CQ632" s="3850"/>
      <c r="CR632" s="3850"/>
      <c r="CS632" s="3850"/>
      <c r="CT632" s="3850"/>
      <c r="CU632" s="3850"/>
      <c r="CV632" s="3850"/>
      <c r="CW632" s="3850"/>
      <c r="CX632" s="3850"/>
      <c r="CY632" s="3850"/>
      <c r="CZ632" s="3850"/>
      <c r="DA632" s="3850"/>
      <c r="DB632" s="3850"/>
      <c r="DC632" s="3850"/>
      <c r="DD632" s="3850"/>
      <c r="DE632" s="3850"/>
      <c r="DF632" s="3850"/>
      <c r="DG632" s="3850"/>
      <c r="DH632" s="3850"/>
      <c r="DI632" s="3850"/>
      <c r="DJ632" s="3850"/>
      <c r="DK632" s="3850"/>
      <c r="DL632" s="3850"/>
      <c r="DM632" s="3850"/>
      <c r="DN632" s="3850"/>
      <c r="DO632" s="3850"/>
      <c r="DP632" s="3850"/>
      <c r="DQ632" s="3850"/>
      <c r="DR632" s="3850"/>
      <c r="DS632" s="3850"/>
      <c r="DT632" s="3850"/>
      <c r="DU632" s="3850"/>
      <c r="DV632" s="3850"/>
      <c r="DW632" s="3850"/>
      <c r="DX632" s="3850"/>
      <c r="DY632" s="3850"/>
      <c r="DZ632" s="3850"/>
    </row>
    <row r="633" spans="1:130" s="3849" customFormat="1">
      <c r="A633" s="3852"/>
      <c r="B633" s="3840"/>
      <c r="C633" s="3870"/>
      <c r="D633" s="3893"/>
      <c r="E633" s="3883"/>
      <c r="F633" s="3874"/>
      <c r="G633" s="3875"/>
      <c r="H633" s="3874"/>
      <c r="I633" s="3875"/>
      <c r="J633" s="3874"/>
      <c r="K633" s="3876"/>
      <c r="L633" s="3874"/>
      <c r="N633" s="3846"/>
      <c r="O633" s="3847"/>
      <c r="P633" s="3853"/>
      <c r="AU633" s="3850"/>
      <c r="AV633" s="3850"/>
      <c r="AW633" s="3850"/>
      <c r="AX633" s="3850"/>
      <c r="AY633" s="3850"/>
      <c r="AZ633" s="3850"/>
      <c r="BA633" s="3850"/>
      <c r="BB633" s="3850"/>
      <c r="BC633" s="3850"/>
      <c r="BD633" s="3850"/>
      <c r="BE633" s="3850"/>
      <c r="BF633" s="3850"/>
      <c r="BG633" s="3850"/>
      <c r="BH633" s="3850"/>
      <c r="BI633" s="3850"/>
      <c r="BJ633" s="3850"/>
      <c r="BK633" s="3850"/>
      <c r="BL633" s="3850"/>
      <c r="BM633" s="3850"/>
      <c r="BN633" s="3850"/>
      <c r="BO633" s="3850"/>
      <c r="BP633" s="3850"/>
      <c r="BQ633" s="3850"/>
      <c r="BR633" s="3850"/>
      <c r="BS633" s="3850"/>
      <c r="BT633" s="3850"/>
      <c r="BU633" s="3850"/>
      <c r="BV633" s="3850"/>
      <c r="BW633" s="3850"/>
      <c r="BX633" s="3850"/>
      <c r="BY633" s="3850"/>
      <c r="BZ633" s="3850"/>
      <c r="CA633" s="3850"/>
      <c r="CB633" s="3850"/>
      <c r="CC633" s="3850"/>
      <c r="CD633" s="3850"/>
      <c r="CE633" s="3850"/>
      <c r="CF633" s="3850"/>
      <c r="CG633" s="3850"/>
      <c r="CH633" s="3850"/>
      <c r="CI633" s="3850"/>
      <c r="CJ633" s="3850"/>
      <c r="CK633" s="3850"/>
      <c r="CL633" s="3850"/>
      <c r="CM633" s="3850"/>
      <c r="CN633" s="3850"/>
      <c r="CO633" s="3850"/>
      <c r="CP633" s="3850"/>
      <c r="CQ633" s="3850"/>
      <c r="CR633" s="3850"/>
      <c r="CS633" s="3850"/>
      <c r="CT633" s="3850"/>
      <c r="CU633" s="3850"/>
      <c r="CV633" s="3850"/>
      <c r="CW633" s="3850"/>
      <c r="CX633" s="3850"/>
      <c r="CY633" s="3850"/>
      <c r="CZ633" s="3850"/>
      <c r="DA633" s="3850"/>
      <c r="DB633" s="3850"/>
      <c r="DC633" s="3850"/>
      <c r="DD633" s="3850"/>
      <c r="DE633" s="3850"/>
      <c r="DF633" s="3850"/>
      <c r="DG633" s="3850"/>
      <c r="DH633" s="3850"/>
      <c r="DI633" s="3850"/>
      <c r="DJ633" s="3850"/>
      <c r="DK633" s="3850"/>
      <c r="DL633" s="3850"/>
      <c r="DM633" s="3850"/>
      <c r="DN633" s="3850"/>
      <c r="DO633" s="3850"/>
      <c r="DP633" s="3850"/>
      <c r="DQ633" s="3850"/>
      <c r="DR633" s="3850"/>
      <c r="DS633" s="3850"/>
      <c r="DT633" s="3850"/>
      <c r="DU633" s="3850"/>
      <c r="DV633" s="3850"/>
      <c r="DW633" s="3850"/>
      <c r="DX633" s="3850"/>
      <c r="DY633" s="3850"/>
      <c r="DZ633" s="3850"/>
    </row>
    <row r="634" spans="1:130" s="3849" customFormat="1">
      <c r="A634" s="3852"/>
      <c r="B634" s="3840"/>
      <c r="C634" s="3870"/>
      <c r="D634" s="3893"/>
      <c r="E634" s="3883"/>
      <c r="F634" s="3874"/>
      <c r="G634" s="3875"/>
      <c r="H634" s="3874"/>
      <c r="I634" s="3875"/>
      <c r="J634" s="3874"/>
      <c r="K634" s="3876"/>
      <c r="L634" s="3874"/>
      <c r="N634" s="3846"/>
      <c r="O634" s="3847"/>
      <c r="P634" s="3853"/>
      <c r="AU634" s="3850"/>
      <c r="AV634" s="3850"/>
      <c r="AW634" s="3850"/>
      <c r="AX634" s="3850"/>
      <c r="AY634" s="3850"/>
      <c r="AZ634" s="3850"/>
      <c r="BA634" s="3850"/>
      <c r="BB634" s="3850"/>
      <c r="BC634" s="3850"/>
      <c r="BD634" s="3850"/>
      <c r="BE634" s="3850"/>
      <c r="BF634" s="3850"/>
      <c r="BG634" s="3850"/>
      <c r="BH634" s="3850"/>
      <c r="BI634" s="3850"/>
      <c r="BJ634" s="3850"/>
      <c r="BK634" s="3850"/>
      <c r="BL634" s="3850"/>
      <c r="BM634" s="3850"/>
      <c r="BN634" s="3850"/>
      <c r="BO634" s="3850"/>
      <c r="BP634" s="3850"/>
      <c r="BQ634" s="3850"/>
      <c r="BR634" s="3850"/>
      <c r="BS634" s="3850"/>
      <c r="BT634" s="3850"/>
      <c r="BU634" s="3850"/>
      <c r="BV634" s="3850"/>
      <c r="BW634" s="3850"/>
      <c r="BX634" s="3850"/>
      <c r="BY634" s="3850"/>
      <c r="BZ634" s="3850"/>
      <c r="CA634" s="3850"/>
      <c r="CB634" s="3850"/>
      <c r="CC634" s="3850"/>
      <c r="CD634" s="3850"/>
      <c r="CE634" s="3850"/>
      <c r="CF634" s="3850"/>
      <c r="CG634" s="3850"/>
      <c r="CH634" s="3850"/>
      <c r="CI634" s="3850"/>
      <c r="CJ634" s="3850"/>
      <c r="CK634" s="3850"/>
      <c r="CL634" s="3850"/>
      <c r="CM634" s="3850"/>
      <c r="CN634" s="3850"/>
      <c r="CO634" s="3850"/>
      <c r="CP634" s="3850"/>
      <c r="CQ634" s="3850"/>
      <c r="CR634" s="3850"/>
      <c r="CS634" s="3850"/>
      <c r="CT634" s="3850"/>
      <c r="CU634" s="3850"/>
      <c r="CV634" s="3850"/>
      <c r="CW634" s="3850"/>
      <c r="CX634" s="3850"/>
      <c r="CY634" s="3850"/>
      <c r="CZ634" s="3850"/>
      <c r="DA634" s="3850"/>
      <c r="DB634" s="3850"/>
      <c r="DC634" s="3850"/>
      <c r="DD634" s="3850"/>
      <c r="DE634" s="3850"/>
      <c r="DF634" s="3850"/>
      <c r="DG634" s="3850"/>
      <c r="DH634" s="3850"/>
      <c r="DI634" s="3850"/>
      <c r="DJ634" s="3850"/>
      <c r="DK634" s="3850"/>
      <c r="DL634" s="3850"/>
      <c r="DM634" s="3850"/>
      <c r="DN634" s="3850"/>
      <c r="DO634" s="3850"/>
      <c r="DP634" s="3850"/>
      <c r="DQ634" s="3850"/>
      <c r="DR634" s="3850"/>
      <c r="DS634" s="3850"/>
      <c r="DT634" s="3850"/>
      <c r="DU634" s="3850"/>
      <c r="DV634" s="3850"/>
      <c r="DW634" s="3850"/>
      <c r="DX634" s="3850"/>
      <c r="DY634" s="3850"/>
      <c r="DZ634" s="3850"/>
    </row>
    <row r="635" spans="1:130" s="3849" customFormat="1">
      <c r="A635" s="3852"/>
      <c r="B635" s="3840"/>
      <c r="C635" s="3870"/>
      <c r="D635" s="3893"/>
      <c r="E635" s="3883"/>
      <c r="F635" s="3874"/>
      <c r="G635" s="3875"/>
      <c r="H635" s="3874"/>
      <c r="I635" s="3875"/>
      <c r="J635" s="3874"/>
      <c r="K635" s="3876"/>
      <c r="L635" s="3874"/>
      <c r="N635" s="3846"/>
      <c r="O635" s="3847"/>
      <c r="P635" s="3853"/>
      <c r="AU635" s="3850"/>
      <c r="AV635" s="3850"/>
      <c r="AW635" s="3850"/>
      <c r="AX635" s="3850"/>
      <c r="AY635" s="3850"/>
      <c r="AZ635" s="3850"/>
      <c r="BA635" s="3850"/>
      <c r="BB635" s="3850"/>
      <c r="BC635" s="3850"/>
      <c r="BD635" s="3850"/>
      <c r="BE635" s="3850"/>
      <c r="BF635" s="3850"/>
      <c r="BG635" s="3850"/>
      <c r="BH635" s="3850"/>
      <c r="BI635" s="3850"/>
      <c r="BJ635" s="3850"/>
      <c r="BK635" s="3850"/>
      <c r="BL635" s="3850"/>
      <c r="BM635" s="3850"/>
      <c r="BN635" s="3850"/>
      <c r="BO635" s="3850"/>
      <c r="BP635" s="3850"/>
      <c r="BQ635" s="3850"/>
      <c r="BR635" s="3850"/>
      <c r="BS635" s="3850"/>
      <c r="BT635" s="3850"/>
      <c r="BU635" s="3850"/>
      <c r="BV635" s="3850"/>
      <c r="BW635" s="3850"/>
      <c r="BX635" s="3850"/>
      <c r="BY635" s="3850"/>
      <c r="BZ635" s="3850"/>
      <c r="CA635" s="3850"/>
      <c r="CB635" s="3850"/>
      <c r="CC635" s="3850"/>
      <c r="CD635" s="3850"/>
      <c r="CE635" s="3850"/>
      <c r="CF635" s="3850"/>
      <c r="CG635" s="3850"/>
      <c r="CH635" s="3850"/>
      <c r="CI635" s="3850"/>
      <c r="CJ635" s="3850"/>
      <c r="CK635" s="3850"/>
      <c r="CL635" s="3850"/>
      <c r="CM635" s="3850"/>
      <c r="CN635" s="3850"/>
      <c r="CO635" s="3850"/>
      <c r="CP635" s="3850"/>
      <c r="CQ635" s="3850"/>
      <c r="CR635" s="3850"/>
      <c r="CS635" s="3850"/>
      <c r="CT635" s="3850"/>
      <c r="CU635" s="3850"/>
      <c r="CV635" s="3850"/>
      <c r="CW635" s="3850"/>
      <c r="CX635" s="3850"/>
      <c r="CY635" s="3850"/>
      <c r="CZ635" s="3850"/>
      <c r="DA635" s="3850"/>
      <c r="DB635" s="3850"/>
      <c r="DC635" s="3850"/>
      <c r="DD635" s="3850"/>
      <c r="DE635" s="3850"/>
      <c r="DF635" s="3850"/>
      <c r="DG635" s="3850"/>
      <c r="DH635" s="3850"/>
      <c r="DI635" s="3850"/>
      <c r="DJ635" s="3850"/>
      <c r="DK635" s="3850"/>
      <c r="DL635" s="3850"/>
      <c r="DM635" s="3850"/>
      <c r="DN635" s="3850"/>
      <c r="DO635" s="3850"/>
      <c r="DP635" s="3850"/>
      <c r="DQ635" s="3850"/>
      <c r="DR635" s="3850"/>
      <c r="DS635" s="3850"/>
      <c r="DT635" s="3850"/>
      <c r="DU635" s="3850"/>
      <c r="DV635" s="3850"/>
      <c r="DW635" s="3850"/>
      <c r="DX635" s="3850"/>
      <c r="DY635" s="3850"/>
      <c r="DZ635" s="3850"/>
    </row>
    <row r="636" spans="1:130" s="3849" customFormat="1">
      <c r="A636" s="3852"/>
      <c r="B636" s="3840"/>
      <c r="C636" s="3870"/>
      <c r="D636" s="3893"/>
      <c r="E636" s="3883"/>
      <c r="F636" s="3874"/>
      <c r="G636" s="3875"/>
      <c r="H636" s="3874"/>
      <c r="I636" s="3875"/>
      <c r="J636" s="3874"/>
      <c r="K636" s="3876"/>
      <c r="L636" s="3874"/>
      <c r="N636" s="3846"/>
      <c r="O636" s="3847"/>
      <c r="P636" s="3853"/>
      <c r="AU636" s="3850"/>
      <c r="AV636" s="3850"/>
      <c r="AW636" s="3850"/>
      <c r="AX636" s="3850"/>
      <c r="AY636" s="3850"/>
      <c r="AZ636" s="3850"/>
      <c r="BA636" s="3850"/>
      <c r="BB636" s="3850"/>
      <c r="BC636" s="3850"/>
      <c r="BD636" s="3850"/>
      <c r="BE636" s="3850"/>
      <c r="BF636" s="3850"/>
      <c r="BG636" s="3850"/>
      <c r="BH636" s="3850"/>
      <c r="BI636" s="3850"/>
      <c r="BJ636" s="3850"/>
      <c r="BK636" s="3850"/>
      <c r="BL636" s="3850"/>
      <c r="BM636" s="3850"/>
      <c r="BN636" s="3850"/>
      <c r="BO636" s="3850"/>
      <c r="BP636" s="3850"/>
      <c r="BQ636" s="3850"/>
      <c r="BR636" s="3850"/>
      <c r="BS636" s="3850"/>
      <c r="BT636" s="3850"/>
      <c r="BU636" s="3850"/>
      <c r="BV636" s="3850"/>
      <c r="BW636" s="3850"/>
      <c r="BX636" s="3850"/>
      <c r="BY636" s="3850"/>
      <c r="BZ636" s="3850"/>
      <c r="CA636" s="3850"/>
      <c r="CB636" s="3850"/>
      <c r="CC636" s="3850"/>
      <c r="CD636" s="3850"/>
      <c r="CE636" s="3850"/>
      <c r="CF636" s="3850"/>
      <c r="CG636" s="3850"/>
      <c r="CH636" s="3850"/>
      <c r="CI636" s="3850"/>
      <c r="CJ636" s="3850"/>
      <c r="CK636" s="3850"/>
      <c r="CL636" s="3850"/>
      <c r="CM636" s="3850"/>
      <c r="CN636" s="3850"/>
      <c r="CO636" s="3850"/>
      <c r="CP636" s="3850"/>
      <c r="CQ636" s="3850"/>
      <c r="CR636" s="3850"/>
      <c r="CS636" s="3850"/>
      <c r="CT636" s="3850"/>
      <c r="CU636" s="3850"/>
      <c r="CV636" s="3850"/>
      <c r="CW636" s="3850"/>
      <c r="CX636" s="3850"/>
      <c r="CY636" s="3850"/>
      <c r="CZ636" s="3850"/>
      <c r="DA636" s="3850"/>
      <c r="DB636" s="3850"/>
      <c r="DC636" s="3850"/>
      <c r="DD636" s="3850"/>
      <c r="DE636" s="3850"/>
      <c r="DF636" s="3850"/>
      <c r="DG636" s="3850"/>
      <c r="DH636" s="3850"/>
      <c r="DI636" s="3850"/>
      <c r="DJ636" s="3850"/>
      <c r="DK636" s="3850"/>
      <c r="DL636" s="3850"/>
      <c r="DM636" s="3850"/>
      <c r="DN636" s="3850"/>
      <c r="DO636" s="3850"/>
      <c r="DP636" s="3850"/>
      <c r="DQ636" s="3850"/>
      <c r="DR636" s="3850"/>
      <c r="DS636" s="3850"/>
      <c r="DT636" s="3850"/>
      <c r="DU636" s="3850"/>
      <c r="DV636" s="3850"/>
      <c r="DW636" s="3850"/>
      <c r="DX636" s="3850"/>
      <c r="DY636" s="3850"/>
      <c r="DZ636" s="3850"/>
    </row>
    <row r="637" spans="1:130" s="3849" customFormat="1">
      <c r="A637" s="3852"/>
      <c r="B637" s="3840"/>
      <c r="C637" s="3870"/>
      <c r="D637" s="3893"/>
      <c r="E637" s="3883"/>
      <c r="F637" s="3874"/>
      <c r="G637" s="3875"/>
      <c r="H637" s="3874"/>
      <c r="I637" s="3875"/>
      <c r="J637" s="3874"/>
      <c r="K637" s="3876"/>
      <c r="L637" s="3874"/>
      <c r="N637" s="3846"/>
      <c r="O637" s="3847"/>
      <c r="P637" s="3853"/>
      <c r="AU637" s="3850"/>
      <c r="AV637" s="3850"/>
      <c r="AW637" s="3850"/>
      <c r="AX637" s="3850"/>
      <c r="AY637" s="3850"/>
      <c r="AZ637" s="3850"/>
      <c r="BA637" s="3850"/>
      <c r="BB637" s="3850"/>
      <c r="BC637" s="3850"/>
      <c r="BD637" s="3850"/>
      <c r="BE637" s="3850"/>
      <c r="BF637" s="3850"/>
      <c r="BG637" s="3850"/>
      <c r="BH637" s="3850"/>
      <c r="BI637" s="3850"/>
      <c r="BJ637" s="3850"/>
      <c r="BK637" s="3850"/>
      <c r="BL637" s="3850"/>
      <c r="BM637" s="3850"/>
      <c r="BN637" s="3850"/>
      <c r="BO637" s="3850"/>
      <c r="BP637" s="3850"/>
      <c r="BQ637" s="3850"/>
      <c r="BR637" s="3850"/>
      <c r="BS637" s="3850"/>
      <c r="BT637" s="3850"/>
      <c r="BU637" s="3850"/>
      <c r="BV637" s="3850"/>
      <c r="BW637" s="3850"/>
      <c r="BX637" s="3850"/>
      <c r="BY637" s="3850"/>
      <c r="BZ637" s="3850"/>
      <c r="CA637" s="3850"/>
      <c r="CB637" s="3850"/>
      <c r="CC637" s="3850"/>
      <c r="CD637" s="3850"/>
      <c r="CE637" s="3850"/>
      <c r="CF637" s="3850"/>
      <c r="CG637" s="3850"/>
      <c r="CH637" s="3850"/>
      <c r="CI637" s="3850"/>
      <c r="CJ637" s="3850"/>
      <c r="CK637" s="3850"/>
      <c r="CL637" s="3850"/>
      <c r="CM637" s="3850"/>
      <c r="CN637" s="3850"/>
      <c r="CO637" s="3850"/>
      <c r="CP637" s="3850"/>
      <c r="CQ637" s="3850"/>
      <c r="CR637" s="3850"/>
      <c r="CS637" s="3850"/>
      <c r="CT637" s="3850"/>
      <c r="CU637" s="3850"/>
      <c r="CV637" s="3850"/>
      <c r="CW637" s="3850"/>
      <c r="CX637" s="3850"/>
      <c r="CY637" s="3850"/>
      <c r="CZ637" s="3850"/>
      <c r="DA637" s="3850"/>
      <c r="DB637" s="3850"/>
      <c r="DC637" s="3850"/>
      <c r="DD637" s="3850"/>
      <c r="DE637" s="3850"/>
      <c r="DF637" s="3850"/>
      <c r="DG637" s="3850"/>
      <c r="DH637" s="3850"/>
      <c r="DI637" s="3850"/>
      <c r="DJ637" s="3850"/>
      <c r="DK637" s="3850"/>
      <c r="DL637" s="3850"/>
      <c r="DM637" s="3850"/>
      <c r="DN637" s="3850"/>
      <c r="DO637" s="3850"/>
      <c r="DP637" s="3850"/>
      <c r="DQ637" s="3850"/>
      <c r="DR637" s="3850"/>
      <c r="DS637" s="3850"/>
      <c r="DT637" s="3850"/>
      <c r="DU637" s="3850"/>
      <c r="DV637" s="3850"/>
      <c r="DW637" s="3850"/>
      <c r="DX637" s="3850"/>
      <c r="DY637" s="3850"/>
      <c r="DZ637" s="3850"/>
    </row>
    <row r="638" spans="1:130" s="3849" customFormat="1">
      <c r="A638" s="3852"/>
      <c r="B638" s="3840"/>
      <c r="C638" s="3870"/>
      <c r="D638" s="3893"/>
      <c r="E638" s="3883"/>
      <c r="F638" s="3874"/>
      <c r="G638" s="3875"/>
      <c r="H638" s="3874"/>
      <c r="I638" s="3875"/>
      <c r="J638" s="3874"/>
      <c r="K638" s="3876"/>
      <c r="L638" s="3874"/>
      <c r="N638" s="3846"/>
      <c r="O638" s="3847"/>
      <c r="P638" s="3853"/>
      <c r="AU638" s="3850"/>
      <c r="AV638" s="3850"/>
      <c r="AW638" s="3850"/>
      <c r="AX638" s="3850"/>
      <c r="AY638" s="3850"/>
      <c r="AZ638" s="3850"/>
      <c r="BA638" s="3850"/>
      <c r="BB638" s="3850"/>
      <c r="BC638" s="3850"/>
      <c r="BD638" s="3850"/>
      <c r="BE638" s="3850"/>
      <c r="BF638" s="3850"/>
      <c r="BG638" s="3850"/>
      <c r="BH638" s="3850"/>
      <c r="BI638" s="3850"/>
      <c r="BJ638" s="3850"/>
      <c r="BK638" s="3850"/>
      <c r="BL638" s="3850"/>
      <c r="BM638" s="3850"/>
      <c r="BN638" s="3850"/>
      <c r="BO638" s="3850"/>
      <c r="BP638" s="3850"/>
      <c r="BQ638" s="3850"/>
      <c r="BR638" s="3850"/>
      <c r="BS638" s="3850"/>
      <c r="BT638" s="3850"/>
      <c r="BU638" s="3850"/>
      <c r="BV638" s="3850"/>
      <c r="BW638" s="3850"/>
      <c r="BX638" s="3850"/>
      <c r="BY638" s="3850"/>
      <c r="BZ638" s="3850"/>
      <c r="CA638" s="3850"/>
      <c r="CB638" s="3850"/>
      <c r="CC638" s="3850"/>
      <c r="CD638" s="3850"/>
      <c r="CE638" s="3850"/>
      <c r="CF638" s="3850"/>
      <c r="CG638" s="3850"/>
      <c r="CH638" s="3850"/>
      <c r="CI638" s="3850"/>
      <c r="CJ638" s="3850"/>
      <c r="CK638" s="3850"/>
      <c r="CL638" s="3850"/>
      <c r="CM638" s="3850"/>
      <c r="CN638" s="3850"/>
      <c r="CO638" s="3850"/>
      <c r="CP638" s="3850"/>
      <c r="CQ638" s="3850"/>
      <c r="CR638" s="3850"/>
      <c r="CS638" s="3850"/>
      <c r="CT638" s="3850"/>
      <c r="CU638" s="3850"/>
      <c r="CV638" s="3850"/>
      <c r="CW638" s="3850"/>
      <c r="CX638" s="3850"/>
      <c r="CY638" s="3850"/>
      <c r="CZ638" s="3850"/>
      <c r="DA638" s="3850"/>
      <c r="DB638" s="3850"/>
      <c r="DC638" s="3850"/>
      <c r="DD638" s="3850"/>
      <c r="DE638" s="3850"/>
      <c r="DF638" s="3850"/>
      <c r="DG638" s="3850"/>
      <c r="DH638" s="3850"/>
      <c r="DI638" s="3850"/>
      <c r="DJ638" s="3850"/>
      <c r="DK638" s="3850"/>
      <c r="DL638" s="3850"/>
      <c r="DM638" s="3850"/>
      <c r="DN638" s="3850"/>
      <c r="DO638" s="3850"/>
      <c r="DP638" s="3850"/>
      <c r="DQ638" s="3850"/>
      <c r="DR638" s="3850"/>
      <c r="DS638" s="3850"/>
      <c r="DT638" s="3850"/>
      <c r="DU638" s="3850"/>
      <c r="DV638" s="3850"/>
      <c r="DW638" s="3850"/>
      <c r="DX638" s="3850"/>
      <c r="DY638" s="3850"/>
      <c r="DZ638" s="3850"/>
    </row>
    <row r="639" spans="1:130" s="3849" customFormat="1">
      <c r="A639" s="3852"/>
      <c r="B639" s="3840"/>
      <c r="C639" s="3870"/>
      <c r="D639" s="3893"/>
      <c r="E639" s="3883"/>
      <c r="F639" s="3874"/>
      <c r="G639" s="3875"/>
      <c r="H639" s="3874"/>
      <c r="I639" s="3875"/>
      <c r="J639" s="3874"/>
      <c r="K639" s="3876"/>
      <c r="L639" s="3874"/>
      <c r="N639" s="3846"/>
      <c r="O639" s="3847"/>
      <c r="P639" s="3853"/>
      <c r="AU639" s="3850"/>
      <c r="AV639" s="3850"/>
      <c r="AW639" s="3850"/>
      <c r="AX639" s="3850"/>
      <c r="AY639" s="3850"/>
      <c r="AZ639" s="3850"/>
      <c r="BA639" s="3850"/>
      <c r="BB639" s="3850"/>
      <c r="BC639" s="3850"/>
      <c r="BD639" s="3850"/>
      <c r="BE639" s="3850"/>
      <c r="BF639" s="3850"/>
      <c r="BG639" s="3850"/>
      <c r="BH639" s="3850"/>
      <c r="BI639" s="3850"/>
      <c r="BJ639" s="3850"/>
      <c r="BK639" s="3850"/>
      <c r="BL639" s="3850"/>
      <c r="BM639" s="3850"/>
      <c r="BN639" s="3850"/>
      <c r="BO639" s="3850"/>
      <c r="BP639" s="3850"/>
      <c r="BQ639" s="3850"/>
      <c r="BR639" s="3850"/>
      <c r="BS639" s="3850"/>
      <c r="BT639" s="3850"/>
      <c r="BU639" s="3850"/>
      <c r="BV639" s="3850"/>
      <c r="BW639" s="3850"/>
      <c r="BX639" s="3850"/>
      <c r="BY639" s="3850"/>
      <c r="BZ639" s="3850"/>
      <c r="CA639" s="3850"/>
      <c r="CB639" s="3850"/>
      <c r="CC639" s="3850"/>
      <c r="CD639" s="3850"/>
      <c r="CE639" s="3850"/>
      <c r="CF639" s="3850"/>
      <c r="CG639" s="3850"/>
      <c r="CH639" s="3850"/>
      <c r="CI639" s="3850"/>
      <c r="CJ639" s="3850"/>
      <c r="CK639" s="3850"/>
      <c r="CL639" s="3850"/>
      <c r="CM639" s="3850"/>
      <c r="CN639" s="3850"/>
      <c r="CO639" s="3850"/>
      <c r="CP639" s="3850"/>
      <c r="CQ639" s="3850"/>
      <c r="CR639" s="3850"/>
      <c r="CS639" s="3850"/>
      <c r="CT639" s="3850"/>
      <c r="CU639" s="3850"/>
      <c r="CV639" s="3850"/>
      <c r="CW639" s="3850"/>
      <c r="CX639" s="3850"/>
      <c r="CY639" s="3850"/>
      <c r="CZ639" s="3850"/>
      <c r="DA639" s="3850"/>
      <c r="DB639" s="3850"/>
      <c r="DC639" s="3850"/>
      <c r="DD639" s="3850"/>
      <c r="DE639" s="3850"/>
      <c r="DF639" s="3850"/>
      <c r="DG639" s="3850"/>
      <c r="DH639" s="3850"/>
      <c r="DI639" s="3850"/>
      <c r="DJ639" s="3850"/>
      <c r="DK639" s="3850"/>
      <c r="DL639" s="3850"/>
      <c r="DM639" s="3850"/>
      <c r="DN639" s="3850"/>
      <c r="DO639" s="3850"/>
      <c r="DP639" s="3850"/>
      <c r="DQ639" s="3850"/>
      <c r="DR639" s="3850"/>
      <c r="DS639" s="3850"/>
      <c r="DT639" s="3850"/>
      <c r="DU639" s="3850"/>
      <c r="DV639" s="3850"/>
      <c r="DW639" s="3850"/>
      <c r="DX639" s="3850"/>
      <c r="DY639" s="3850"/>
      <c r="DZ639" s="3850"/>
    </row>
    <row r="640" spans="1:130" s="3849" customFormat="1">
      <c r="A640" s="3852"/>
      <c r="B640" s="3840"/>
      <c r="C640" s="3870"/>
      <c r="D640" s="3893"/>
      <c r="E640" s="3883"/>
      <c r="F640" s="3874"/>
      <c r="G640" s="3875"/>
      <c r="H640" s="3874"/>
      <c r="I640" s="3875"/>
      <c r="J640" s="3874"/>
      <c r="K640" s="3876"/>
      <c r="L640" s="3874"/>
      <c r="N640" s="3846"/>
      <c r="O640" s="3847"/>
      <c r="P640" s="3853"/>
      <c r="AU640" s="3850"/>
      <c r="AV640" s="3850"/>
      <c r="AW640" s="3850"/>
      <c r="AX640" s="3850"/>
      <c r="AY640" s="3850"/>
      <c r="AZ640" s="3850"/>
      <c r="BA640" s="3850"/>
      <c r="BB640" s="3850"/>
      <c r="BC640" s="3850"/>
      <c r="BD640" s="3850"/>
      <c r="BE640" s="3850"/>
      <c r="BF640" s="3850"/>
      <c r="BG640" s="3850"/>
      <c r="BH640" s="3850"/>
      <c r="BI640" s="3850"/>
      <c r="BJ640" s="3850"/>
      <c r="BK640" s="3850"/>
      <c r="BL640" s="3850"/>
      <c r="BM640" s="3850"/>
      <c r="BN640" s="3850"/>
      <c r="BO640" s="3850"/>
      <c r="BP640" s="3850"/>
      <c r="BQ640" s="3850"/>
      <c r="BR640" s="3850"/>
      <c r="BS640" s="3850"/>
      <c r="BT640" s="3850"/>
      <c r="BU640" s="3850"/>
      <c r="BV640" s="3850"/>
      <c r="BW640" s="3850"/>
      <c r="BX640" s="3850"/>
      <c r="BY640" s="3850"/>
      <c r="BZ640" s="3850"/>
      <c r="CA640" s="3850"/>
      <c r="CB640" s="3850"/>
      <c r="CC640" s="3850"/>
      <c r="CD640" s="3850"/>
      <c r="CE640" s="3850"/>
      <c r="CF640" s="3850"/>
      <c r="CG640" s="3850"/>
      <c r="CH640" s="3850"/>
      <c r="CI640" s="3850"/>
      <c r="CJ640" s="3850"/>
      <c r="CK640" s="3850"/>
      <c r="CL640" s="3850"/>
      <c r="CM640" s="3850"/>
      <c r="CN640" s="3850"/>
      <c r="CO640" s="3850"/>
      <c r="CP640" s="3850"/>
      <c r="CQ640" s="3850"/>
      <c r="CR640" s="3850"/>
      <c r="CS640" s="3850"/>
      <c r="CT640" s="3850"/>
      <c r="CU640" s="3850"/>
      <c r="CV640" s="3850"/>
      <c r="CW640" s="3850"/>
      <c r="CX640" s="3850"/>
      <c r="CY640" s="3850"/>
      <c r="CZ640" s="3850"/>
      <c r="DA640" s="3850"/>
      <c r="DB640" s="3850"/>
      <c r="DC640" s="3850"/>
      <c r="DD640" s="3850"/>
      <c r="DE640" s="3850"/>
      <c r="DF640" s="3850"/>
      <c r="DG640" s="3850"/>
      <c r="DH640" s="3850"/>
      <c r="DI640" s="3850"/>
      <c r="DJ640" s="3850"/>
      <c r="DK640" s="3850"/>
      <c r="DL640" s="3850"/>
      <c r="DM640" s="3850"/>
      <c r="DN640" s="3850"/>
      <c r="DO640" s="3850"/>
      <c r="DP640" s="3850"/>
      <c r="DQ640" s="3850"/>
      <c r="DR640" s="3850"/>
      <c r="DS640" s="3850"/>
      <c r="DT640" s="3850"/>
      <c r="DU640" s="3850"/>
      <c r="DV640" s="3850"/>
      <c r="DW640" s="3850"/>
      <c r="DX640" s="3850"/>
      <c r="DY640" s="3850"/>
      <c r="DZ640" s="3850"/>
    </row>
    <row r="641" spans="1:130" s="3849" customFormat="1">
      <c r="A641" s="3852"/>
      <c r="B641" s="3840"/>
      <c r="C641" s="3870"/>
      <c r="D641" s="3893"/>
      <c r="E641" s="3883"/>
      <c r="F641" s="3874"/>
      <c r="G641" s="3875"/>
      <c r="H641" s="3874"/>
      <c r="I641" s="3875"/>
      <c r="J641" s="3874"/>
      <c r="K641" s="3876"/>
      <c r="L641" s="3874"/>
      <c r="N641" s="3846"/>
      <c r="O641" s="3847"/>
      <c r="P641" s="3853"/>
      <c r="AU641" s="3850"/>
      <c r="AV641" s="3850"/>
      <c r="AW641" s="3850"/>
      <c r="AX641" s="3850"/>
      <c r="AY641" s="3850"/>
      <c r="AZ641" s="3850"/>
      <c r="BA641" s="3850"/>
      <c r="BB641" s="3850"/>
      <c r="BC641" s="3850"/>
      <c r="BD641" s="3850"/>
      <c r="BE641" s="3850"/>
      <c r="BF641" s="3850"/>
      <c r="BG641" s="3850"/>
      <c r="BH641" s="3850"/>
      <c r="BI641" s="3850"/>
      <c r="BJ641" s="3850"/>
      <c r="BK641" s="3850"/>
      <c r="BL641" s="3850"/>
      <c r="BM641" s="3850"/>
      <c r="BN641" s="3850"/>
      <c r="BO641" s="3850"/>
      <c r="BP641" s="3850"/>
      <c r="BQ641" s="3850"/>
      <c r="BR641" s="3850"/>
      <c r="BS641" s="3850"/>
      <c r="BT641" s="3850"/>
      <c r="BU641" s="3850"/>
      <c r="BV641" s="3850"/>
      <c r="BW641" s="3850"/>
      <c r="BX641" s="3850"/>
      <c r="BY641" s="3850"/>
      <c r="BZ641" s="3850"/>
      <c r="CA641" s="3850"/>
      <c r="CB641" s="3850"/>
      <c r="CC641" s="3850"/>
      <c r="CD641" s="3850"/>
      <c r="CE641" s="3850"/>
      <c r="CF641" s="3850"/>
      <c r="CG641" s="3850"/>
      <c r="CH641" s="3850"/>
      <c r="CI641" s="3850"/>
      <c r="CJ641" s="3850"/>
      <c r="CK641" s="3850"/>
      <c r="CL641" s="3850"/>
      <c r="CM641" s="3850"/>
      <c r="CN641" s="3850"/>
      <c r="CO641" s="3850"/>
      <c r="CP641" s="3850"/>
      <c r="CQ641" s="3850"/>
      <c r="CR641" s="3850"/>
      <c r="CS641" s="3850"/>
      <c r="CT641" s="3850"/>
      <c r="CU641" s="3850"/>
      <c r="CV641" s="3850"/>
      <c r="CW641" s="3850"/>
      <c r="CX641" s="3850"/>
      <c r="CY641" s="3850"/>
      <c r="CZ641" s="3850"/>
      <c r="DA641" s="3850"/>
      <c r="DB641" s="3850"/>
      <c r="DC641" s="3850"/>
      <c r="DD641" s="3850"/>
      <c r="DE641" s="3850"/>
      <c r="DF641" s="3850"/>
      <c r="DG641" s="3850"/>
      <c r="DH641" s="3850"/>
      <c r="DI641" s="3850"/>
      <c r="DJ641" s="3850"/>
      <c r="DK641" s="3850"/>
      <c r="DL641" s="3850"/>
      <c r="DM641" s="3850"/>
      <c r="DN641" s="3850"/>
      <c r="DO641" s="3850"/>
      <c r="DP641" s="3850"/>
      <c r="DQ641" s="3850"/>
      <c r="DR641" s="3850"/>
      <c r="DS641" s="3850"/>
      <c r="DT641" s="3850"/>
      <c r="DU641" s="3850"/>
      <c r="DV641" s="3850"/>
      <c r="DW641" s="3850"/>
      <c r="DX641" s="3850"/>
      <c r="DY641" s="3850"/>
      <c r="DZ641" s="3850"/>
    </row>
    <row r="642" spans="1:130" s="3849" customFormat="1">
      <c r="A642" s="3852"/>
      <c r="B642" s="3840"/>
      <c r="C642" s="3870"/>
      <c r="D642" s="3893"/>
      <c r="E642" s="3883"/>
      <c r="F642" s="3874"/>
      <c r="G642" s="3875"/>
      <c r="H642" s="3874"/>
      <c r="I642" s="3875"/>
      <c r="J642" s="3874"/>
      <c r="K642" s="3876"/>
      <c r="L642" s="3874"/>
      <c r="N642" s="3846"/>
      <c r="O642" s="3847"/>
      <c r="P642" s="3853"/>
      <c r="AU642" s="3850"/>
      <c r="AV642" s="3850"/>
      <c r="AW642" s="3850"/>
      <c r="AX642" s="3850"/>
      <c r="AY642" s="3850"/>
      <c r="AZ642" s="3850"/>
      <c r="BA642" s="3850"/>
      <c r="BB642" s="3850"/>
      <c r="BC642" s="3850"/>
      <c r="BD642" s="3850"/>
      <c r="BE642" s="3850"/>
      <c r="BF642" s="3850"/>
      <c r="BG642" s="3850"/>
      <c r="BH642" s="3850"/>
      <c r="BI642" s="3850"/>
      <c r="BJ642" s="3850"/>
      <c r="BK642" s="3850"/>
      <c r="BL642" s="3850"/>
      <c r="BM642" s="3850"/>
      <c r="BN642" s="3850"/>
      <c r="BO642" s="3850"/>
      <c r="BP642" s="3850"/>
      <c r="BQ642" s="3850"/>
      <c r="BR642" s="3850"/>
      <c r="BS642" s="3850"/>
      <c r="BT642" s="3850"/>
      <c r="BU642" s="3850"/>
      <c r="BV642" s="3850"/>
      <c r="BW642" s="3850"/>
      <c r="BX642" s="3850"/>
      <c r="BY642" s="3850"/>
      <c r="BZ642" s="3850"/>
      <c r="CA642" s="3850"/>
      <c r="CB642" s="3850"/>
      <c r="CC642" s="3850"/>
      <c r="CD642" s="3850"/>
      <c r="CE642" s="3850"/>
      <c r="CF642" s="3850"/>
      <c r="CG642" s="3850"/>
      <c r="CH642" s="3850"/>
      <c r="CI642" s="3850"/>
      <c r="CJ642" s="3850"/>
      <c r="CK642" s="3850"/>
      <c r="CL642" s="3850"/>
      <c r="CM642" s="3850"/>
      <c r="CN642" s="3850"/>
      <c r="CO642" s="3850"/>
      <c r="CP642" s="3850"/>
      <c r="CQ642" s="3850"/>
      <c r="CR642" s="3850"/>
      <c r="CS642" s="3850"/>
      <c r="CT642" s="3850"/>
      <c r="CU642" s="3850"/>
      <c r="CV642" s="3850"/>
      <c r="CW642" s="3850"/>
      <c r="CX642" s="3850"/>
      <c r="CY642" s="3850"/>
      <c r="CZ642" s="3850"/>
      <c r="DA642" s="3850"/>
      <c r="DB642" s="3850"/>
      <c r="DC642" s="3850"/>
      <c r="DD642" s="3850"/>
      <c r="DE642" s="3850"/>
      <c r="DF642" s="3850"/>
      <c r="DG642" s="3850"/>
      <c r="DH642" s="3850"/>
      <c r="DI642" s="3850"/>
      <c r="DJ642" s="3850"/>
      <c r="DK642" s="3850"/>
      <c r="DL642" s="3850"/>
      <c r="DM642" s="3850"/>
      <c r="DN642" s="3850"/>
      <c r="DO642" s="3850"/>
      <c r="DP642" s="3850"/>
      <c r="DQ642" s="3850"/>
      <c r="DR642" s="3850"/>
      <c r="DS642" s="3850"/>
      <c r="DT642" s="3850"/>
      <c r="DU642" s="3850"/>
      <c r="DV642" s="3850"/>
      <c r="DW642" s="3850"/>
      <c r="DX642" s="3850"/>
      <c r="DY642" s="3850"/>
      <c r="DZ642" s="3850"/>
    </row>
    <row r="643" spans="1:130" s="3849" customFormat="1">
      <c r="A643" s="3852"/>
      <c r="B643" s="3840"/>
      <c r="C643" s="3870"/>
      <c r="D643" s="3893"/>
      <c r="E643" s="3883"/>
      <c r="F643" s="3874"/>
      <c r="G643" s="3875"/>
      <c r="H643" s="3874"/>
      <c r="I643" s="3875"/>
      <c r="J643" s="3874"/>
      <c r="K643" s="3876"/>
      <c r="L643" s="3874"/>
      <c r="N643" s="3846"/>
      <c r="O643" s="3847"/>
      <c r="P643" s="3853"/>
      <c r="AU643" s="3850"/>
      <c r="AV643" s="3850"/>
      <c r="AW643" s="3850"/>
      <c r="AX643" s="3850"/>
      <c r="AY643" s="3850"/>
      <c r="AZ643" s="3850"/>
      <c r="BA643" s="3850"/>
      <c r="BB643" s="3850"/>
      <c r="BC643" s="3850"/>
      <c r="BD643" s="3850"/>
      <c r="BE643" s="3850"/>
      <c r="BF643" s="3850"/>
      <c r="BG643" s="3850"/>
      <c r="BH643" s="3850"/>
      <c r="BI643" s="3850"/>
      <c r="BJ643" s="3850"/>
      <c r="BK643" s="3850"/>
      <c r="BL643" s="3850"/>
      <c r="BM643" s="3850"/>
      <c r="BN643" s="3850"/>
      <c r="BO643" s="3850"/>
      <c r="BP643" s="3850"/>
      <c r="BQ643" s="3850"/>
      <c r="BR643" s="3850"/>
      <c r="BS643" s="3850"/>
      <c r="BT643" s="3850"/>
      <c r="BU643" s="3850"/>
      <c r="BV643" s="3850"/>
      <c r="BW643" s="3850"/>
      <c r="BX643" s="3850"/>
      <c r="BY643" s="3850"/>
      <c r="BZ643" s="3850"/>
      <c r="CA643" s="3850"/>
      <c r="CB643" s="3850"/>
      <c r="CC643" s="3850"/>
      <c r="CD643" s="3850"/>
      <c r="CE643" s="3850"/>
      <c r="CF643" s="3850"/>
      <c r="CG643" s="3850"/>
      <c r="CH643" s="3850"/>
      <c r="CI643" s="3850"/>
      <c r="CJ643" s="3850"/>
      <c r="CK643" s="3850"/>
      <c r="CL643" s="3850"/>
      <c r="CM643" s="3850"/>
      <c r="CN643" s="3850"/>
      <c r="CO643" s="3850"/>
      <c r="CP643" s="3850"/>
      <c r="CQ643" s="3850"/>
      <c r="CR643" s="3850"/>
      <c r="CS643" s="3850"/>
      <c r="CT643" s="3850"/>
      <c r="CU643" s="3850"/>
      <c r="CV643" s="3850"/>
      <c r="CW643" s="3850"/>
      <c r="CX643" s="3850"/>
      <c r="CY643" s="3850"/>
      <c r="CZ643" s="3850"/>
      <c r="DA643" s="3850"/>
      <c r="DB643" s="3850"/>
      <c r="DC643" s="3850"/>
      <c r="DD643" s="3850"/>
      <c r="DE643" s="3850"/>
      <c r="DF643" s="3850"/>
      <c r="DG643" s="3850"/>
      <c r="DH643" s="3850"/>
      <c r="DI643" s="3850"/>
      <c r="DJ643" s="3850"/>
      <c r="DK643" s="3850"/>
      <c r="DL643" s="3850"/>
      <c r="DM643" s="3850"/>
      <c r="DN643" s="3850"/>
      <c r="DO643" s="3850"/>
      <c r="DP643" s="3850"/>
      <c r="DQ643" s="3850"/>
      <c r="DR643" s="3850"/>
      <c r="DS643" s="3850"/>
      <c r="DT643" s="3850"/>
      <c r="DU643" s="3850"/>
      <c r="DV643" s="3850"/>
      <c r="DW643" s="3850"/>
      <c r="DX643" s="3850"/>
      <c r="DY643" s="3850"/>
      <c r="DZ643" s="3850"/>
    </row>
    <row r="644" spans="1:130" s="3849" customFormat="1">
      <c r="A644" s="3852"/>
      <c r="B644" s="3840"/>
      <c r="C644" s="3870"/>
      <c r="D644" s="3893"/>
      <c r="E644" s="3883"/>
      <c r="F644" s="3874"/>
      <c r="G644" s="3875"/>
      <c r="H644" s="3874"/>
      <c r="I644" s="3875"/>
      <c r="J644" s="3874"/>
      <c r="K644" s="3876"/>
      <c r="L644" s="3874"/>
      <c r="N644" s="3846"/>
      <c r="O644" s="3847"/>
      <c r="P644" s="3853"/>
      <c r="AU644" s="3850"/>
      <c r="AV644" s="3850"/>
      <c r="AW644" s="3850"/>
      <c r="AX644" s="3850"/>
      <c r="AY644" s="3850"/>
      <c r="AZ644" s="3850"/>
      <c r="BA644" s="3850"/>
      <c r="BB644" s="3850"/>
      <c r="BC644" s="3850"/>
      <c r="BD644" s="3850"/>
      <c r="BE644" s="3850"/>
      <c r="BF644" s="3850"/>
      <c r="BG644" s="3850"/>
      <c r="BH644" s="3850"/>
      <c r="BI644" s="3850"/>
      <c r="BJ644" s="3850"/>
      <c r="BK644" s="3850"/>
      <c r="BL644" s="3850"/>
      <c r="BM644" s="3850"/>
      <c r="BN644" s="3850"/>
      <c r="BO644" s="3850"/>
      <c r="BP644" s="3850"/>
      <c r="BQ644" s="3850"/>
      <c r="BR644" s="3850"/>
      <c r="BS644" s="3850"/>
      <c r="BT644" s="3850"/>
      <c r="BU644" s="3850"/>
      <c r="BV644" s="3850"/>
      <c r="BW644" s="3850"/>
      <c r="BX644" s="3850"/>
      <c r="BY644" s="3850"/>
      <c r="BZ644" s="3850"/>
      <c r="CA644" s="3850"/>
      <c r="CB644" s="3850"/>
      <c r="CC644" s="3850"/>
      <c r="CD644" s="3850"/>
      <c r="CE644" s="3850"/>
      <c r="CF644" s="3850"/>
      <c r="CG644" s="3850"/>
      <c r="CH644" s="3850"/>
      <c r="CI644" s="3850"/>
      <c r="CJ644" s="3850"/>
      <c r="CK644" s="3850"/>
      <c r="CL644" s="3850"/>
      <c r="CM644" s="3850"/>
      <c r="CN644" s="3850"/>
      <c r="CO644" s="3850"/>
      <c r="CP644" s="3850"/>
      <c r="CQ644" s="3850"/>
      <c r="CR644" s="3850"/>
      <c r="CS644" s="3850"/>
      <c r="CT644" s="3850"/>
      <c r="CU644" s="3850"/>
      <c r="CV644" s="3850"/>
      <c r="CW644" s="3850"/>
      <c r="CX644" s="3850"/>
      <c r="CY644" s="3850"/>
      <c r="CZ644" s="3850"/>
      <c r="DA644" s="3850"/>
      <c r="DB644" s="3850"/>
      <c r="DC644" s="3850"/>
      <c r="DD644" s="3850"/>
      <c r="DE644" s="3850"/>
      <c r="DF644" s="3850"/>
      <c r="DG644" s="3850"/>
      <c r="DH644" s="3850"/>
      <c r="DI644" s="3850"/>
      <c r="DJ644" s="3850"/>
      <c r="DK644" s="3850"/>
      <c r="DL644" s="3850"/>
      <c r="DM644" s="3850"/>
      <c r="DN644" s="3850"/>
      <c r="DO644" s="3850"/>
      <c r="DP644" s="3850"/>
      <c r="DQ644" s="3850"/>
      <c r="DR644" s="3850"/>
      <c r="DS644" s="3850"/>
      <c r="DT644" s="3850"/>
      <c r="DU644" s="3850"/>
      <c r="DV644" s="3850"/>
      <c r="DW644" s="3850"/>
      <c r="DX644" s="3850"/>
      <c r="DY644" s="3850"/>
      <c r="DZ644" s="3850"/>
    </row>
    <row r="645" spans="1:130" s="3849" customFormat="1">
      <c r="A645" s="3852"/>
      <c r="B645" s="3840"/>
      <c r="C645" s="3870"/>
      <c r="D645" s="3893"/>
      <c r="E645" s="3883"/>
      <c r="F645" s="3874"/>
      <c r="G645" s="3875"/>
      <c r="H645" s="3874"/>
      <c r="I645" s="3875"/>
      <c r="J645" s="3874"/>
      <c r="K645" s="3876"/>
      <c r="L645" s="3874"/>
      <c r="N645" s="3846"/>
      <c r="O645" s="3847"/>
      <c r="P645" s="3853"/>
      <c r="AU645" s="3850"/>
      <c r="AV645" s="3850"/>
      <c r="AW645" s="3850"/>
      <c r="AX645" s="3850"/>
      <c r="AY645" s="3850"/>
      <c r="AZ645" s="3850"/>
      <c r="BA645" s="3850"/>
      <c r="BB645" s="3850"/>
      <c r="BC645" s="3850"/>
      <c r="BD645" s="3850"/>
      <c r="BE645" s="3850"/>
      <c r="BF645" s="3850"/>
      <c r="BG645" s="3850"/>
      <c r="BH645" s="3850"/>
      <c r="BI645" s="3850"/>
      <c r="BJ645" s="3850"/>
      <c r="BK645" s="3850"/>
      <c r="BL645" s="3850"/>
      <c r="BM645" s="3850"/>
      <c r="BN645" s="3850"/>
      <c r="BO645" s="3850"/>
      <c r="BP645" s="3850"/>
      <c r="BQ645" s="3850"/>
      <c r="BR645" s="3850"/>
      <c r="BS645" s="3850"/>
      <c r="BT645" s="3850"/>
      <c r="BU645" s="3850"/>
      <c r="BV645" s="3850"/>
      <c r="BW645" s="3850"/>
      <c r="BX645" s="3850"/>
      <c r="BY645" s="3850"/>
      <c r="BZ645" s="3850"/>
      <c r="CA645" s="3850"/>
      <c r="CB645" s="3850"/>
      <c r="CC645" s="3850"/>
      <c r="CD645" s="3850"/>
      <c r="CE645" s="3850"/>
      <c r="CF645" s="3850"/>
      <c r="CG645" s="3850"/>
      <c r="CH645" s="3850"/>
      <c r="CI645" s="3850"/>
      <c r="CJ645" s="3850"/>
      <c r="CK645" s="3850"/>
      <c r="CL645" s="3850"/>
      <c r="CM645" s="3850"/>
      <c r="CN645" s="3850"/>
      <c r="CO645" s="3850"/>
      <c r="CP645" s="3850"/>
      <c r="CQ645" s="3850"/>
      <c r="CR645" s="3850"/>
      <c r="CS645" s="3850"/>
      <c r="CT645" s="3850"/>
      <c r="CU645" s="3850"/>
      <c r="CV645" s="3850"/>
      <c r="CW645" s="3850"/>
      <c r="CX645" s="3850"/>
      <c r="CY645" s="3850"/>
      <c r="CZ645" s="3850"/>
      <c r="DA645" s="3850"/>
      <c r="DB645" s="3850"/>
      <c r="DC645" s="3850"/>
      <c r="DD645" s="3850"/>
      <c r="DE645" s="3850"/>
      <c r="DF645" s="3850"/>
      <c r="DG645" s="3850"/>
      <c r="DH645" s="3850"/>
      <c r="DI645" s="3850"/>
      <c r="DJ645" s="3850"/>
      <c r="DK645" s="3850"/>
      <c r="DL645" s="3850"/>
      <c r="DM645" s="3850"/>
      <c r="DN645" s="3850"/>
      <c r="DO645" s="3850"/>
      <c r="DP645" s="3850"/>
      <c r="DQ645" s="3850"/>
      <c r="DR645" s="3850"/>
      <c r="DS645" s="3850"/>
      <c r="DT645" s="3850"/>
      <c r="DU645" s="3850"/>
      <c r="DV645" s="3850"/>
      <c r="DW645" s="3850"/>
      <c r="DX645" s="3850"/>
      <c r="DY645" s="3850"/>
      <c r="DZ645" s="3850"/>
    </row>
    <row r="646" spans="1:130" s="3849" customFormat="1">
      <c r="A646" s="3852"/>
      <c r="B646" s="3840"/>
      <c r="C646" s="3870"/>
      <c r="D646" s="3893"/>
      <c r="E646" s="3883"/>
      <c r="F646" s="3874"/>
      <c r="G646" s="3875"/>
      <c r="H646" s="3874"/>
      <c r="I646" s="3875"/>
      <c r="J646" s="3874"/>
      <c r="K646" s="3876"/>
      <c r="L646" s="3874"/>
      <c r="N646" s="3846"/>
      <c r="O646" s="3847"/>
      <c r="P646" s="3853"/>
      <c r="AU646" s="3850"/>
      <c r="AV646" s="3850"/>
      <c r="AW646" s="3850"/>
      <c r="AX646" s="3850"/>
      <c r="AY646" s="3850"/>
      <c r="AZ646" s="3850"/>
      <c r="BA646" s="3850"/>
      <c r="BB646" s="3850"/>
      <c r="BC646" s="3850"/>
      <c r="BD646" s="3850"/>
      <c r="BE646" s="3850"/>
      <c r="BF646" s="3850"/>
      <c r="BG646" s="3850"/>
      <c r="BH646" s="3850"/>
      <c r="BI646" s="3850"/>
      <c r="BJ646" s="3850"/>
      <c r="BK646" s="3850"/>
      <c r="BL646" s="3850"/>
      <c r="BM646" s="3850"/>
      <c r="BN646" s="3850"/>
      <c r="BO646" s="3850"/>
      <c r="BP646" s="3850"/>
      <c r="BQ646" s="3850"/>
      <c r="BR646" s="3850"/>
      <c r="BS646" s="3850"/>
      <c r="BT646" s="3850"/>
      <c r="BU646" s="3850"/>
      <c r="BV646" s="3850"/>
      <c r="BW646" s="3850"/>
      <c r="BX646" s="3850"/>
      <c r="BY646" s="3850"/>
      <c r="BZ646" s="3850"/>
      <c r="CA646" s="3850"/>
      <c r="CB646" s="3850"/>
      <c r="CC646" s="3850"/>
      <c r="CD646" s="3850"/>
      <c r="CE646" s="3850"/>
      <c r="CF646" s="3850"/>
      <c r="CG646" s="3850"/>
      <c r="CH646" s="3850"/>
      <c r="CI646" s="3850"/>
      <c r="CJ646" s="3850"/>
      <c r="CK646" s="3850"/>
      <c r="CL646" s="3850"/>
      <c r="CM646" s="3850"/>
      <c r="CN646" s="3850"/>
      <c r="CO646" s="3850"/>
      <c r="CP646" s="3850"/>
      <c r="CQ646" s="3850"/>
      <c r="CR646" s="3850"/>
      <c r="CS646" s="3850"/>
      <c r="CT646" s="3850"/>
      <c r="CU646" s="3850"/>
      <c r="CV646" s="3850"/>
      <c r="CW646" s="3850"/>
      <c r="CX646" s="3850"/>
      <c r="CY646" s="3850"/>
      <c r="CZ646" s="3850"/>
      <c r="DA646" s="3850"/>
      <c r="DB646" s="3850"/>
      <c r="DC646" s="3850"/>
      <c r="DD646" s="3850"/>
      <c r="DE646" s="3850"/>
      <c r="DF646" s="3850"/>
      <c r="DG646" s="3850"/>
      <c r="DH646" s="3850"/>
      <c r="DI646" s="3850"/>
      <c r="DJ646" s="3850"/>
      <c r="DK646" s="3850"/>
      <c r="DL646" s="3850"/>
      <c r="DM646" s="3850"/>
      <c r="DN646" s="3850"/>
      <c r="DO646" s="3850"/>
      <c r="DP646" s="3850"/>
      <c r="DQ646" s="3850"/>
      <c r="DR646" s="3850"/>
      <c r="DS646" s="3850"/>
      <c r="DT646" s="3850"/>
      <c r="DU646" s="3850"/>
      <c r="DV646" s="3850"/>
      <c r="DW646" s="3850"/>
      <c r="DX646" s="3850"/>
      <c r="DY646" s="3850"/>
      <c r="DZ646" s="3850"/>
    </row>
    <row r="647" spans="1:130" s="3849" customFormat="1">
      <c r="A647" s="3852"/>
      <c r="B647" s="3840"/>
      <c r="C647" s="3870"/>
      <c r="D647" s="3893"/>
      <c r="E647" s="3883"/>
      <c r="F647" s="3874"/>
      <c r="G647" s="3875"/>
      <c r="H647" s="3874"/>
      <c r="I647" s="3875"/>
      <c r="J647" s="3874"/>
      <c r="K647" s="3876"/>
      <c r="L647" s="3874"/>
      <c r="N647" s="3846"/>
      <c r="O647" s="3847"/>
      <c r="P647" s="3853"/>
      <c r="AU647" s="3850"/>
      <c r="AV647" s="3850"/>
      <c r="AW647" s="3850"/>
      <c r="AX647" s="3850"/>
      <c r="AY647" s="3850"/>
      <c r="AZ647" s="3850"/>
      <c r="BA647" s="3850"/>
      <c r="BB647" s="3850"/>
      <c r="BC647" s="3850"/>
      <c r="BD647" s="3850"/>
      <c r="BE647" s="3850"/>
      <c r="BF647" s="3850"/>
      <c r="BG647" s="3850"/>
      <c r="BH647" s="3850"/>
      <c r="BI647" s="3850"/>
      <c r="BJ647" s="3850"/>
      <c r="BK647" s="3850"/>
      <c r="BL647" s="3850"/>
      <c r="BM647" s="3850"/>
      <c r="BN647" s="3850"/>
      <c r="BO647" s="3850"/>
      <c r="BP647" s="3850"/>
      <c r="BQ647" s="3850"/>
      <c r="BR647" s="3850"/>
      <c r="BS647" s="3850"/>
      <c r="BT647" s="3850"/>
      <c r="BU647" s="3850"/>
      <c r="BV647" s="3850"/>
      <c r="BW647" s="3850"/>
      <c r="BX647" s="3850"/>
      <c r="BY647" s="3850"/>
      <c r="BZ647" s="3850"/>
      <c r="CA647" s="3850"/>
      <c r="CB647" s="3850"/>
      <c r="CC647" s="3850"/>
      <c r="CD647" s="3850"/>
      <c r="CE647" s="3850"/>
      <c r="CF647" s="3850"/>
      <c r="CG647" s="3850"/>
      <c r="CH647" s="3850"/>
      <c r="CI647" s="3850"/>
      <c r="CJ647" s="3850"/>
      <c r="CK647" s="3850"/>
      <c r="CL647" s="3850"/>
      <c r="CM647" s="3850"/>
      <c r="CN647" s="3850"/>
      <c r="CO647" s="3850"/>
      <c r="CP647" s="3850"/>
      <c r="CQ647" s="3850"/>
      <c r="CR647" s="3850"/>
      <c r="CS647" s="3850"/>
      <c r="CT647" s="3850"/>
      <c r="CU647" s="3850"/>
      <c r="CV647" s="3850"/>
      <c r="CW647" s="3850"/>
      <c r="CX647" s="3850"/>
      <c r="CY647" s="3850"/>
      <c r="CZ647" s="3850"/>
      <c r="DA647" s="3850"/>
      <c r="DB647" s="3850"/>
      <c r="DC647" s="3850"/>
      <c r="DD647" s="3850"/>
      <c r="DE647" s="3850"/>
      <c r="DF647" s="3850"/>
      <c r="DG647" s="3850"/>
      <c r="DH647" s="3850"/>
      <c r="DI647" s="3850"/>
      <c r="DJ647" s="3850"/>
      <c r="DK647" s="3850"/>
      <c r="DL647" s="3850"/>
      <c r="DM647" s="3850"/>
      <c r="DN647" s="3850"/>
      <c r="DO647" s="3850"/>
      <c r="DP647" s="3850"/>
      <c r="DQ647" s="3850"/>
      <c r="DR647" s="3850"/>
      <c r="DS647" s="3850"/>
      <c r="DT647" s="3850"/>
      <c r="DU647" s="3850"/>
      <c r="DV647" s="3850"/>
      <c r="DW647" s="3850"/>
      <c r="DX647" s="3850"/>
      <c r="DY647" s="3850"/>
      <c r="DZ647" s="3850"/>
    </row>
    <row r="648" spans="1:130" s="3849" customFormat="1">
      <c r="A648" s="3852"/>
      <c r="B648" s="3840"/>
      <c r="C648" s="3870"/>
      <c r="D648" s="3893"/>
      <c r="E648" s="3883"/>
      <c r="F648" s="3874"/>
      <c r="G648" s="3875"/>
      <c r="H648" s="3874"/>
      <c r="I648" s="3875"/>
      <c r="J648" s="3874"/>
      <c r="K648" s="3876"/>
      <c r="L648" s="3874"/>
      <c r="N648" s="3846"/>
      <c r="O648" s="3847"/>
      <c r="P648" s="3853"/>
      <c r="AU648" s="3850"/>
      <c r="AV648" s="3850"/>
      <c r="AW648" s="3850"/>
      <c r="AX648" s="3850"/>
      <c r="AY648" s="3850"/>
      <c r="AZ648" s="3850"/>
      <c r="BA648" s="3850"/>
      <c r="BB648" s="3850"/>
      <c r="BC648" s="3850"/>
      <c r="BD648" s="3850"/>
      <c r="BE648" s="3850"/>
      <c r="BF648" s="3850"/>
      <c r="BG648" s="3850"/>
      <c r="BH648" s="3850"/>
      <c r="BI648" s="3850"/>
      <c r="BJ648" s="3850"/>
      <c r="BK648" s="3850"/>
      <c r="BL648" s="3850"/>
      <c r="BM648" s="3850"/>
      <c r="BN648" s="3850"/>
      <c r="BO648" s="3850"/>
      <c r="BP648" s="3850"/>
      <c r="BQ648" s="3850"/>
      <c r="BR648" s="3850"/>
      <c r="BS648" s="3850"/>
      <c r="BT648" s="3850"/>
      <c r="BU648" s="3850"/>
      <c r="BV648" s="3850"/>
      <c r="BW648" s="3850"/>
      <c r="BX648" s="3850"/>
      <c r="BY648" s="3850"/>
      <c r="BZ648" s="3850"/>
      <c r="CA648" s="3850"/>
      <c r="CB648" s="3850"/>
      <c r="CC648" s="3850"/>
      <c r="CD648" s="3850"/>
      <c r="CE648" s="3850"/>
      <c r="CF648" s="3850"/>
      <c r="CG648" s="3850"/>
      <c r="CH648" s="3850"/>
      <c r="CI648" s="3850"/>
      <c r="CJ648" s="3850"/>
      <c r="CK648" s="3850"/>
      <c r="CL648" s="3850"/>
      <c r="CM648" s="3850"/>
      <c r="CN648" s="3850"/>
      <c r="CO648" s="3850"/>
      <c r="CP648" s="3850"/>
      <c r="CQ648" s="3850"/>
      <c r="CR648" s="3850"/>
      <c r="CS648" s="3850"/>
      <c r="CT648" s="3850"/>
      <c r="CU648" s="3850"/>
      <c r="CV648" s="3850"/>
      <c r="CW648" s="3850"/>
      <c r="CX648" s="3850"/>
      <c r="CY648" s="3850"/>
      <c r="CZ648" s="3850"/>
      <c r="DA648" s="3850"/>
      <c r="DB648" s="3850"/>
      <c r="DC648" s="3850"/>
      <c r="DD648" s="3850"/>
      <c r="DE648" s="3850"/>
      <c r="DF648" s="3850"/>
      <c r="DG648" s="3850"/>
      <c r="DH648" s="3850"/>
      <c r="DI648" s="3850"/>
      <c r="DJ648" s="3850"/>
      <c r="DK648" s="3850"/>
      <c r="DL648" s="3850"/>
      <c r="DM648" s="3850"/>
      <c r="DN648" s="3850"/>
      <c r="DO648" s="3850"/>
      <c r="DP648" s="3850"/>
      <c r="DQ648" s="3850"/>
      <c r="DR648" s="3850"/>
      <c r="DS648" s="3850"/>
      <c r="DT648" s="3850"/>
      <c r="DU648" s="3850"/>
      <c r="DV648" s="3850"/>
      <c r="DW648" s="3850"/>
      <c r="DX648" s="3850"/>
      <c r="DY648" s="3850"/>
      <c r="DZ648" s="3850"/>
    </row>
    <row r="649" spans="1:130" s="3849" customFormat="1">
      <c r="A649" s="3852"/>
      <c r="B649" s="3840"/>
      <c r="C649" s="3870"/>
      <c r="D649" s="3893"/>
      <c r="E649" s="3883"/>
      <c r="F649" s="3874"/>
      <c r="G649" s="3875"/>
      <c r="H649" s="3874"/>
      <c r="I649" s="3875"/>
      <c r="J649" s="3874"/>
      <c r="K649" s="3876"/>
      <c r="L649" s="3874"/>
      <c r="N649" s="3846"/>
      <c r="O649" s="3847"/>
      <c r="P649" s="3853"/>
      <c r="AU649" s="3850"/>
      <c r="AV649" s="3850"/>
      <c r="AW649" s="3850"/>
      <c r="AX649" s="3850"/>
      <c r="AY649" s="3850"/>
      <c r="AZ649" s="3850"/>
      <c r="BA649" s="3850"/>
      <c r="BB649" s="3850"/>
      <c r="BC649" s="3850"/>
      <c r="BD649" s="3850"/>
      <c r="BE649" s="3850"/>
      <c r="BF649" s="3850"/>
      <c r="BG649" s="3850"/>
      <c r="BH649" s="3850"/>
      <c r="BI649" s="3850"/>
      <c r="BJ649" s="3850"/>
      <c r="BK649" s="3850"/>
      <c r="BL649" s="3850"/>
      <c r="BM649" s="3850"/>
      <c r="BN649" s="3850"/>
      <c r="BO649" s="3850"/>
      <c r="BP649" s="3850"/>
      <c r="BQ649" s="3850"/>
      <c r="BR649" s="3850"/>
      <c r="BS649" s="3850"/>
      <c r="BT649" s="3850"/>
      <c r="BU649" s="3850"/>
      <c r="BV649" s="3850"/>
      <c r="BW649" s="3850"/>
      <c r="BX649" s="3850"/>
      <c r="BY649" s="3850"/>
      <c r="BZ649" s="3850"/>
      <c r="CA649" s="3850"/>
      <c r="CB649" s="3850"/>
      <c r="CC649" s="3850"/>
      <c r="CD649" s="3850"/>
      <c r="CE649" s="3850"/>
      <c r="CF649" s="3850"/>
      <c r="CG649" s="3850"/>
      <c r="CH649" s="3850"/>
      <c r="CI649" s="3850"/>
      <c r="CJ649" s="3850"/>
      <c r="CK649" s="3850"/>
      <c r="CL649" s="3850"/>
      <c r="CM649" s="3850"/>
      <c r="CN649" s="3850"/>
      <c r="CO649" s="3850"/>
      <c r="CP649" s="3850"/>
      <c r="CQ649" s="3850"/>
      <c r="CR649" s="3850"/>
      <c r="CS649" s="3850"/>
      <c r="CT649" s="3850"/>
      <c r="CU649" s="3850"/>
      <c r="CV649" s="3850"/>
      <c r="CW649" s="3850"/>
      <c r="CX649" s="3850"/>
      <c r="CY649" s="3850"/>
      <c r="CZ649" s="3850"/>
      <c r="DA649" s="3850"/>
      <c r="DB649" s="3850"/>
      <c r="DC649" s="3850"/>
      <c r="DD649" s="3850"/>
      <c r="DE649" s="3850"/>
      <c r="DF649" s="3850"/>
      <c r="DG649" s="3850"/>
      <c r="DH649" s="3850"/>
      <c r="DI649" s="3850"/>
      <c r="DJ649" s="3850"/>
      <c r="DK649" s="3850"/>
      <c r="DL649" s="3850"/>
      <c r="DM649" s="3850"/>
      <c r="DN649" s="3850"/>
      <c r="DO649" s="3850"/>
      <c r="DP649" s="3850"/>
      <c r="DQ649" s="3850"/>
      <c r="DR649" s="3850"/>
      <c r="DS649" s="3850"/>
      <c r="DT649" s="3850"/>
      <c r="DU649" s="3850"/>
      <c r="DV649" s="3850"/>
      <c r="DW649" s="3850"/>
      <c r="DX649" s="3850"/>
      <c r="DY649" s="3850"/>
      <c r="DZ649" s="3850"/>
    </row>
    <row r="650" spans="1:130" s="3849" customFormat="1">
      <c r="A650" s="3852"/>
      <c r="B650" s="3840"/>
      <c r="C650" s="3870"/>
      <c r="D650" s="3893"/>
      <c r="E650" s="3883"/>
      <c r="F650" s="3874"/>
      <c r="G650" s="3875"/>
      <c r="H650" s="3874"/>
      <c r="I650" s="3875"/>
      <c r="J650" s="3874"/>
      <c r="K650" s="3876"/>
      <c r="L650" s="3874"/>
      <c r="N650" s="3846"/>
      <c r="O650" s="3847"/>
      <c r="P650" s="3853"/>
      <c r="AU650" s="3850"/>
      <c r="AV650" s="3850"/>
      <c r="AW650" s="3850"/>
      <c r="AX650" s="3850"/>
      <c r="AY650" s="3850"/>
      <c r="AZ650" s="3850"/>
      <c r="BA650" s="3850"/>
      <c r="BB650" s="3850"/>
      <c r="BC650" s="3850"/>
      <c r="BD650" s="3850"/>
      <c r="BE650" s="3850"/>
      <c r="BF650" s="3850"/>
      <c r="BG650" s="3850"/>
      <c r="BH650" s="3850"/>
      <c r="BI650" s="3850"/>
      <c r="BJ650" s="3850"/>
      <c r="BK650" s="3850"/>
      <c r="BL650" s="3850"/>
      <c r="BM650" s="3850"/>
      <c r="BN650" s="3850"/>
      <c r="BO650" s="3850"/>
      <c r="BP650" s="3850"/>
      <c r="BQ650" s="3850"/>
      <c r="BR650" s="3850"/>
      <c r="BS650" s="3850"/>
      <c r="BT650" s="3850"/>
      <c r="BU650" s="3850"/>
      <c r="BV650" s="3850"/>
      <c r="BW650" s="3850"/>
      <c r="BX650" s="3850"/>
      <c r="BY650" s="3850"/>
      <c r="BZ650" s="3850"/>
      <c r="CA650" s="3850"/>
      <c r="CB650" s="3850"/>
      <c r="CC650" s="3850"/>
      <c r="CD650" s="3850"/>
      <c r="CE650" s="3850"/>
      <c r="CF650" s="3850"/>
      <c r="CG650" s="3850"/>
      <c r="CH650" s="3850"/>
      <c r="CI650" s="3850"/>
      <c r="CJ650" s="3850"/>
      <c r="CK650" s="3850"/>
      <c r="CL650" s="3850"/>
      <c r="CM650" s="3850"/>
      <c r="CN650" s="3850"/>
      <c r="CO650" s="3850"/>
      <c r="CP650" s="3850"/>
      <c r="CQ650" s="3850"/>
      <c r="CR650" s="3850"/>
      <c r="CS650" s="3850"/>
      <c r="CT650" s="3850"/>
      <c r="CU650" s="3850"/>
      <c r="CV650" s="3850"/>
      <c r="CW650" s="3850"/>
      <c r="CX650" s="3850"/>
      <c r="CY650" s="3850"/>
      <c r="CZ650" s="3850"/>
      <c r="DA650" s="3850"/>
      <c r="DB650" s="3850"/>
      <c r="DC650" s="3850"/>
      <c r="DD650" s="3850"/>
      <c r="DE650" s="3850"/>
      <c r="DF650" s="3850"/>
      <c r="DG650" s="3850"/>
      <c r="DH650" s="3850"/>
      <c r="DI650" s="3850"/>
      <c r="DJ650" s="3850"/>
      <c r="DK650" s="3850"/>
      <c r="DL650" s="3850"/>
      <c r="DM650" s="3850"/>
      <c r="DN650" s="3850"/>
      <c r="DO650" s="3850"/>
      <c r="DP650" s="3850"/>
      <c r="DQ650" s="3850"/>
      <c r="DR650" s="3850"/>
      <c r="DS650" s="3850"/>
      <c r="DT650" s="3850"/>
      <c r="DU650" s="3850"/>
      <c r="DV650" s="3850"/>
      <c r="DW650" s="3850"/>
      <c r="DX650" s="3850"/>
      <c r="DY650" s="3850"/>
      <c r="DZ650" s="3850"/>
    </row>
    <row r="651" spans="1:130" s="3849" customFormat="1">
      <c r="A651" s="3852"/>
      <c r="B651" s="3840"/>
      <c r="C651" s="3870"/>
      <c r="D651" s="3893"/>
      <c r="E651" s="3883"/>
      <c r="F651" s="3874"/>
      <c r="G651" s="3875"/>
      <c r="H651" s="3874"/>
      <c r="I651" s="3875"/>
      <c r="J651" s="3874"/>
      <c r="K651" s="3876"/>
      <c r="L651" s="3874"/>
      <c r="N651" s="3846"/>
      <c r="O651" s="3847"/>
      <c r="P651" s="3853"/>
      <c r="AU651" s="3850"/>
      <c r="AV651" s="3850"/>
      <c r="AW651" s="3850"/>
      <c r="AX651" s="3850"/>
      <c r="AY651" s="3850"/>
      <c r="AZ651" s="3850"/>
      <c r="BA651" s="3850"/>
      <c r="BB651" s="3850"/>
      <c r="BC651" s="3850"/>
      <c r="BD651" s="3850"/>
      <c r="BE651" s="3850"/>
      <c r="BF651" s="3850"/>
      <c r="BG651" s="3850"/>
      <c r="BH651" s="3850"/>
      <c r="BI651" s="3850"/>
      <c r="BJ651" s="3850"/>
      <c r="BK651" s="3850"/>
      <c r="BL651" s="3850"/>
      <c r="BM651" s="3850"/>
      <c r="BN651" s="3850"/>
      <c r="BO651" s="3850"/>
      <c r="BP651" s="3850"/>
      <c r="BQ651" s="3850"/>
      <c r="BR651" s="3850"/>
      <c r="BS651" s="3850"/>
      <c r="BT651" s="3850"/>
      <c r="BU651" s="3850"/>
      <c r="BV651" s="3850"/>
      <c r="BW651" s="3850"/>
      <c r="BX651" s="3850"/>
      <c r="BY651" s="3850"/>
      <c r="BZ651" s="3850"/>
      <c r="CA651" s="3850"/>
      <c r="CB651" s="3850"/>
      <c r="CC651" s="3850"/>
      <c r="CD651" s="3850"/>
      <c r="CE651" s="3850"/>
      <c r="CF651" s="3850"/>
      <c r="CG651" s="3850"/>
      <c r="CH651" s="3850"/>
      <c r="CI651" s="3850"/>
      <c r="CJ651" s="3850"/>
      <c r="CK651" s="3850"/>
      <c r="CL651" s="3850"/>
      <c r="CM651" s="3850"/>
      <c r="CN651" s="3850"/>
      <c r="CO651" s="3850"/>
      <c r="CP651" s="3850"/>
      <c r="CQ651" s="3850"/>
      <c r="CR651" s="3850"/>
      <c r="CS651" s="3850"/>
      <c r="CT651" s="3850"/>
      <c r="CU651" s="3850"/>
      <c r="CV651" s="3850"/>
      <c r="CW651" s="3850"/>
      <c r="CX651" s="3850"/>
      <c r="CY651" s="3850"/>
      <c r="CZ651" s="3850"/>
      <c r="DA651" s="3850"/>
      <c r="DB651" s="3850"/>
      <c r="DC651" s="3850"/>
      <c r="DD651" s="3850"/>
      <c r="DE651" s="3850"/>
      <c r="DF651" s="3850"/>
      <c r="DG651" s="3850"/>
      <c r="DH651" s="3850"/>
      <c r="DI651" s="3850"/>
      <c r="DJ651" s="3850"/>
      <c r="DK651" s="3850"/>
      <c r="DL651" s="3850"/>
      <c r="DM651" s="3850"/>
      <c r="DN651" s="3850"/>
      <c r="DO651" s="3850"/>
      <c r="DP651" s="3850"/>
      <c r="DQ651" s="3850"/>
      <c r="DR651" s="3850"/>
      <c r="DS651" s="3850"/>
      <c r="DT651" s="3850"/>
      <c r="DU651" s="3850"/>
      <c r="DV651" s="3850"/>
      <c r="DW651" s="3850"/>
      <c r="DX651" s="3850"/>
      <c r="DY651" s="3850"/>
      <c r="DZ651" s="3850"/>
    </row>
    <row r="652" spans="1:130" s="3849" customFormat="1">
      <c r="A652" s="3852"/>
      <c r="B652" s="3840"/>
      <c r="C652" s="3870"/>
      <c r="D652" s="3893"/>
      <c r="E652" s="3883"/>
      <c r="F652" s="3874"/>
      <c r="G652" s="3875"/>
      <c r="H652" s="3874"/>
      <c r="I652" s="3875"/>
      <c r="J652" s="3874"/>
      <c r="K652" s="3876"/>
      <c r="L652" s="3874"/>
      <c r="N652" s="3846"/>
      <c r="O652" s="3847"/>
      <c r="P652" s="3853"/>
      <c r="AU652" s="3850"/>
      <c r="AV652" s="3850"/>
      <c r="AW652" s="3850"/>
      <c r="AX652" s="3850"/>
      <c r="AY652" s="3850"/>
      <c r="AZ652" s="3850"/>
      <c r="BA652" s="3850"/>
      <c r="BB652" s="3850"/>
      <c r="BC652" s="3850"/>
      <c r="BD652" s="3850"/>
      <c r="BE652" s="3850"/>
      <c r="BF652" s="3850"/>
      <c r="BG652" s="3850"/>
      <c r="BH652" s="3850"/>
      <c r="BI652" s="3850"/>
      <c r="BJ652" s="3850"/>
      <c r="BK652" s="3850"/>
      <c r="BL652" s="3850"/>
      <c r="BM652" s="3850"/>
      <c r="BN652" s="3850"/>
      <c r="BO652" s="3850"/>
      <c r="BP652" s="3850"/>
      <c r="BQ652" s="3850"/>
      <c r="BR652" s="3850"/>
      <c r="BS652" s="3850"/>
      <c r="BT652" s="3850"/>
      <c r="BU652" s="3850"/>
      <c r="BV652" s="3850"/>
      <c r="BW652" s="3850"/>
      <c r="BX652" s="3850"/>
      <c r="BY652" s="3850"/>
      <c r="BZ652" s="3850"/>
      <c r="CA652" s="3850"/>
      <c r="CB652" s="3850"/>
      <c r="CC652" s="3850"/>
      <c r="CD652" s="3850"/>
      <c r="CE652" s="3850"/>
      <c r="CF652" s="3850"/>
      <c r="CG652" s="3850"/>
      <c r="CH652" s="3850"/>
      <c r="CI652" s="3850"/>
      <c r="CJ652" s="3850"/>
      <c r="CK652" s="3850"/>
      <c r="CL652" s="3850"/>
      <c r="CM652" s="3850"/>
      <c r="CN652" s="3850"/>
      <c r="CO652" s="3850"/>
      <c r="CP652" s="3850"/>
      <c r="CQ652" s="3850"/>
      <c r="CR652" s="3850"/>
      <c r="CS652" s="3850"/>
      <c r="CT652" s="3850"/>
      <c r="CU652" s="3850"/>
      <c r="CV652" s="3850"/>
      <c r="CW652" s="3850"/>
      <c r="CX652" s="3850"/>
      <c r="CY652" s="3850"/>
      <c r="CZ652" s="3850"/>
      <c r="DA652" s="3850"/>
      <c r="DB652" s="3850"/>
      <c r="DC652" s="3850"/>
      <c r="DD652" s="3850"/>
      <c r="DE652" s="3850"/>
      <c r="DF652" s="3850"/>
      <c r="DG652" s="3850"/>
      <c r="DH652" s="3850"/>
      <c r="DI652" s="3850"/>
      <c r="DJ652" s="3850"/>
      <c r="DK652" s="3850"/>
      <c r="DL652" s="3850"/>
      <c r="DM652" s="3850"/>
      <c r="DN652" s="3850"/>
      <c r="DO652" s="3850"/>
      <c r="DP652" s="3850"/>
      <c r="DQ652" s="3850"/>
      <c r="DR652" s="3850"/>
      <c r="DS652" s="3850"/>
      <c r="DT652" s="3850"/>
      <c r="DU652" s="3850"/>
      <c r="DV652" s="3850"/>
      <c r="DW652" s="3850"/>
      <c r="DX652" s="3850"/>
      <c r="DY652" s="3850"/>
      <c r="DZ652" s="3850"/>
    </row>
    <row r="653" spans="1:130" s="3849" customFormat="1">
      <c r="A653" s="3852"/>
      <c r="B653" s="3840"/>
      <c r="C653" s="3870"/>
      <c r="D653" s="3893"/>
      <c r="E653" s="3883"/>
      <c r="F653" s="3874"/>
      <c r="G653" s="3875"/>
      <c r="H653" s="3874"/>
      <c r="I653" s="3875"/>
      <c r="J653" s="3874"/>
      <c r="K653" s="3876"/>
      <c r="L653" s="3874"/>
      <c r="N653" s="3846"/>
      <c r="O653" s="3847"/>
      <c r="P653" s="3853"/>
      <c r="AU653" s="3850"/>
      <c r="AV653" s="3850"/>
      <c r="AW653" s="3850"/>
      <c r="AX653" s="3850"/>
      <c r="AY653" s="3850"/>
      <c r="AZ653" s="3850"/>
      <c r="BA653" s="3850"/>
      <c r="BB653" s="3850"/>
      <c r="BC653" s="3850"/>
      <c r="BD653" s="3850"/>
      <c r="BE653" s="3850"/>
      <c r="BF653" s="3850"/>
      <c r="BG653" s="3850"/>
      <c r="BH653" s="3850"/>
      <c r="BI653" s="3850"/>
      <c r="BJ653" s="3850"/>
      <c r="BK653" s="3850"/>
      <c r="BL653" s="3850"/>
      <c r="BM653" s="3850"/>
      <c r="BN653" s="3850"/>
      <c r="BO653" s="3850"/>
      <c r="BP653" s="3850"/>
      <c r="BQ653" s="3850"/>
      <c r="BR653" s="3850"/>
      <c r="BS653" s="3850"/>
      <c r="BT653" s="3850"/>
      <c r="BU653" s="3850"/>
      <c r="BV653" s="3850"/>
      <c r="BW653" s="3850"/>
      <c r="BX653" s="3850"/>
      <c r="BY653" s="3850"/>
      <c r="BZ653" s="3850"/>
      <c r="CA653" s="3850"/>
      <c r="CB653" s="3850"/>
      <c r="CC653" s="3850"/>
      <c r="CD653" s="3850"/>
      <c r="CE653" s="3850"/>
      <c r="CF653" s="3850"/>
      <c r="CG653" s="3850"/>
      <c r="CH653" s="3850"/>
      <c r="CI653" s="3850"/>
      <c r="CJ653" s="3850"/>
      <c r="CK653" s="3850"/>
      <c r="CL653" s="3850"/>
      <c r="CM653" s="3850"/>
      <c r="CN653" s="3850"/>
      <c r="CO653" s="3850"/>
      <c r="CP653" s="3850"/>
      <c r="CQ653" s="3850"/>
      <c r="CR653" s="3850"/>
      <c r="CS653" s="3850"/>
      <c r="CT653" s="3850"/>
      <c r="CU653" s="3850"/>
      <c r="CV653" s="3850"/>
      <c r="CW653" s="3850"/>
      <c r="CX653" s="3850"/>
      <c r="CY653" s="3850"/>
      <c r="CZ653" s="3850"/>
      <c r="DA653" s="3850"/>
      <c r="DB653" s="3850"/>
      <c r="DC653" s="3850"/>
      <c r="DD653" s="3850"/>
      <c r="DE653" s="3850"/>
      <c r="DF653" s="3850"/>
      <c r="DG653" s="3850"/>
      <c r="DH653" s="3850"/>
      <c r="DI653" s="3850"/>
      <c r="DJ653" s="3850"/>
      <c r="DK653" s="3850"/>
      <c r="DL653" s="3850"/>
      <c r="DM653" s="3850"/>
      <c r="DN653" s="3850"/>
      <c r="DO653" s="3850"/>
      <c r="DP653" s="3850"/>
      <c r="DQ653" s="3850"/>
      <c r="DR653" s="3850"/>
      <c r="DS653" s="3850"/>
      <c r="DT653" s="3850"/>
      <c r="DU653" s="3850"/>
      <c r="DV653" s="3850"/>
      <c r="DW653" s="3850"/>
      <c r="DX653" s="3850"/>
      <c r="DY653" s="3850"/>
      <c r="DZ653" s="3850"/>
    </row>
    <row r="654" spans="1:130" s="3849" customFormat="1">
      <c r="A654" s="3852"/>
      <c r="B654" s="3840"/>
      <c r="C654" s="3870"/>
      <c r="D654" s="3893"/>
      <c r="E654" s="3883"/>
      <c r="F654" s="3874"/>
      <c r="G654" s="3875"/>
      <c r="H654" s="3874"/>
      <c r="I654" s="3875"/>
      <c r="J654" s="3874"/>
      <c r="K654" s="3876"/>
      <c r="L654" s="3874"/>
      <c r="N654" s="3846"/>
      <c r="O654" s="3847"/>
      <c r="P654" s="3853"/>
      <c r="AU654" s="3850"/>
      <c r="AV654" s="3850"/>
      <c r="AW654" s="3850"/>
      <c r="AX654" s="3850"/>
      <c r="AY654" s="3850"/>
      <c r="AZ654" s="3850"/>
      <c r="BA654" s="3850"/>
      <c r="BB654" s="3850"/>
      <c r="BC654" s="3850"/>
      <c r="BD654" s="3850"/>
      <c r="BE654" s="3850"/>
      <c r="BF654" s="3850"/>
      <c r="BG654" s="3850"/>
      <c r="BH654" s="3850"/>
      <c r="BI654" s="3850"/>
      <c r="BJ654" s="3850"/>
      <c r="BK654" s="3850"/>
      <c r="BL654" s="3850"/>
      <c r="BM654" s="3850"/>
      <c r="BN654" s="3850"/>
      <c r="BO654" s="3850"/>
      <c r="BP654" s="3850"/>
      <c r="BQ654" s="3850"/>
      <c r="BR654" s="3850"/>
      <c r="BS654" s="3850"/>
      <c r="BT654" s="3850"/>
      <c r="BU654" s="3850"/>
      <c r="BV654" s="3850"/>
      <c r="BW654" s="3850"/>
      <c r="BX654" s="3850"/>
      <c r="BY654" s="3850"/>
      <c r="BZ654" s="3850"/>
      <c r="CA654" s="3850"/>
      <c r="CB654" s="3850"/>
      <c r="CC654" s="3850"/>
      <c r="CD654" s="3850"/>
      <c r="CE654" s="3850"/>
      <c r="CF654" s="3850"/>
      <c r="CG654" s="3850"/>
      <c r="CH654" s="3850"/>
      <c r="CI654" s="3850"/>
      <c r="CJ654" s="3850"/>
      <c r="CK654" s="3850"/>
      <c r="CL654" s="3850"/>
      <c r="CM654" s="3850"/>
      <c r="CN654" s="3850"/>
      <c r="CO654" s="3850"/>
      <c r="CP654" s="3850"/>
      <c r="CQ654" s="3850"/>
      <c r="CR654" s="3850"/>
      <c r="CS654" s="3850"/>
      <c r="CT654" s="3850"/>
      <c r="CU654" s="3850"/>
      <c r="CV654" s="3850"/>
      <c r="CW654" s="3850"/>
      <c r="CX654" s="3850"/>
      <c r="CY654" s="3850"/>
      <c r="CZ654" s="3850"/>
      <c r="DA654" s="3850"/>
      <c r="DB654" s="3850"/>
      <c r="DC654" s="3850"/>
      <c r="DD654" s="3850"/>
      <c r="DE654" s="3850"/>
      <c r="DF654" s="3850"/>
      <c r="DG654" s="3850"/>
      <c r="DH654" s="3850"/>
      <c r="DI654" s="3850"/>
      <c r="DJ654" s="3850"/>
      <c r="DK654" s="3850"/>
      <c r="DL654" s="3850"/>
      <c r="DM654" s="3850"/>
      <c r="DN654" s="3850"/>
      <c r="DO654" s="3850"/>
      <c r="DP654" s="3850"/>
      <c r="DQ654" s="3850"/>
      <c r="DR654" s="3850"/>
      <c r="DS654" s="3850"/>
      <c r="DT654" s="3850"/>
      <c r="DU654" s="3850"/>
      <c r="DV654" s="3850"/>
      <c r="DW654" s="3850"/>
      <c r="DX654" s="3850"/>
      <c r="DY654" s="3850"/>
      <c r="DZ654" s="3850"/>
    </row>
    <row r="655" spans="1:130" s="3849" customFormat="1">
      <c r="A655" s="3852"/>
      <c r="B655" s="3840"/>
      <c r="C655" s="3870"/>
      <c r="D655" s="3893"/>
      <c r="E655" s="3883"/>
      <c r="F655" s="3874"/>
      <c r="G655" s="3875"/>
      <c r="H655" s="3874"/>
      <c r="I655" s="3875"/>
      <c r="J655" s="3874"/>
      <c r="K655" s="3876"/>
      <c r="L655" s="3874"/>
      <c r="N655" s="3846"/>
      <c r="O655" s="3847"/>
      <c r="P655" s="3853"/>
      <c r="AU655" s="3850"/>
      <c r="AV655" s="3850"/>
      <c r="AW655" s="3850"/>
      <c r="AX655" s="3850"/>
      <c r="AY655" s="3850"/>
      <c r="AZ655" s="3850"/>
      <c r="BA655" s="3850"/>
      <c r="BB655" s="3850"/>
      <c r="BC655" s="3850"/>
      <c r="BD655" s="3850"/>
      <c r="BE655" s="3850"/>
      <c r="BF655" s="3850"/>
      <c r="BG655" s="3850"/>
      <c r="BH655" s="3850"/>
      <c r="BI655" s="3850"/>
      <c r="BJ655" s="3850"/>
      <c r="BK655" s="3850"/>
      <c r="BL655" s="3850"/>
      <c r="BM655" s="3850"/>
      <c r="BN655" s="3850"/>
      <c r="BO655" s="3850"/>
      <c r="BP655" s="3850"/>
      <c r="BQ655" s="3850"/>
      <c r="BR655" s="3850"/>
      <c r="BS655" s="3850"/>
      <c r="BT655" s="3850"/>
      <c r="BU655" s="3850"/>
      <c r="BV655" s="3850"/>
      <c r="BW655" s="3850"/>
      <c r="BX655" s="3850"/>
      <c r="BY655" s="3850"/>
      <c r="BZ655" s="3850"/>
      <c r="CA655" s="3850"/>
      <c r="CB655" s="3850"/>
      <c r="CC655" s="3850"/>
      <c r="CD655" s="3850"/>
      <c r="CE655" s="3850"/>
      <c r="CF655" s="3850"/>
      <c r="CG655" s="3850"/>
      <c r="CH655" s="3850"/>
      <c r="CI655" s="3850"/>
      <c r="CJ655" s="3850"/>
      <c r="CK655" s="3850"/>
      <c r="CL655" s="3850"/>
      <c r="CM655" s="3850"/>
      <c r="CN655" s="3850"/>
      <c r="CO655" s="3850"/>
      <c r="CP655" s="3850"/>
      <c r="CQ655" s="3850"/>
      <c r="CR655" s="3850"/>
      <c r="CS655" s="3850"/>
      <c r="CT655" s="3850"/>
      <c r="CU655" s="3850"/>
      <c r="CV655" s="3850"/>
      <c r="CW655" s="3850"/>
      <c r="CX655" s="3850"/>
      <c r="CY655" s="3850"/>
      <c r="CZ655" s="3850"/>
      <c r="DA655" s="3850"/>
      <c r="DB655" s="3850"/>
      <c r="DC655" s="3850"/>
      <c r="DD655" s="3850"/>
      <c r="DE655" s="3850"/>
      <c r="DF655" s="3850"/>
      <c r="DG655" s="3850"/>
      <c r="DH655" s="3850"/>
      <c r="DI655" s="3850"/>
      <c r="DJ655" s="3850"/>
      <c r="DK655" s="3850"/>
      <c r="DL655" s="3850"/>
      <c r="DM655" s="3850"/>
      <c r="DN655" s="3850"/>
      <c r="DO655" s="3850"/>
      <c r="DP655" s="3850"/>
      <c r="DQ655" s="3850"/>
      <c r="DR655" s="3850"/>
      <c r="DS655" s="3850"/>
      <c r="DT655" s="3850"/>
      <c r="DU655" s="3850"/>
      <c r="DV655" s="3850"/>
      <c r="DW655" s="3850"/>
      <c r="DX655" s="3850"/>
      <c r="DY655" s="3850"/>
      <c r="DZ655" s="3850"/>
    </row>
    <row r="656" spans="1:130" s="3849" customFormat="1">
      <c r="A656" s="3852"/>
      <c r="B656" s="3840"/>
      <c r="C656" s="3870"/>
      <c r="D656" s="3893"/>
      <c r="E656" s="3883"/>
      <c r="F656" s="3874"/>
      <c r="G656" s="3875"/>
      <c r="H656" s="3874"/>
      <c r="I656" s="3875"/>
      <c r="J656" s="3874"/>
      <c r="K656" s="3876"/>
      <c r="L656" s="3874"/>
      <c r="N656" s="3846"/>
      <c r="O656" s="3847"/>
      <c r="P656" s="3853"/>
      <c r="AU656" s="3850"/>
      <c r="AV656" s="3850"/>
      <c r="AW656" s="3850"/>
      <c r="AX656" s="3850"/>
      <c r="AY656" s="3850"/>
      <c r="AZ656" s="3850"/>
      <c r="BA656" s="3850"/>
      <c r="BB656" s="3850"/>
      <c r="BC656" s="3850"/>
      <c r="BD656" s="3850"/>
      <c r="BE656" s="3850"/>
      <c r="BF656" s="3850"/>
      <c r="BG656" s="3850"/>
      <c r="BH656" s="3850"/>
      <c r="BI656" s="3850"/>
      <c r="BJ656" s="3850"/>
      <c r="BK656" s="3850"/>
      <c r="BL656" s="3850"/>
      <c r="BM656" s="3850"/>
      <c r="BN656" s="3850"/>
      <c r="BO656" s="3850"/>
      <c r="BP656" s="3850"/>
      <c r="BQ656" s="3850"/>
      <c r="BR656" s="3850"/>
      <c r="BS656" s="3850"/>
      <c r="BT656" s="3850"/>
      <c r="BU656" s="3850"/>
      <c r="BV656" s="3850"/>
      <c r="BW656" s="3850"/>
      <c r="BX656" s="3850"/>
      <c r="BY656" s="3850"/>
      <c r="BZ656" s="3850"/>
      <c r="CA656" s="3850"/>
      <c r="CB656" s="3850"/>
      <c r="CC656" s="3850"/>
      <c r="CD656" s="3850"/>
      <c r="CE656" s="3850"/>
      <c r="CF656" s="3850"/>
      <c r="CG656" s="3850"/>
      <c r="CH656" s="3850"/>
      <c r="CI656" s="3850"/>
      <c r="CJ656" s="3850"/>
      <c r="CK656" s="3850"/>
      <c r="CL656" s="3850"/>
      <c r="CM656" s="3850"/>
      <c r="CN656" s="3850"/>
      <c r="CO656" s="3850"/>
      <c r="CP656" s="3850"/>
      <c r="CQ656" s="3850"/>
      <c r="CR656" s="3850"/>
      <c r="CS656" s="3850"/>
      <c r="CT656" s="3850"/>
      <c r="CU656" s="3850"/>
      <c r="CV656" s="3850"/>
      <c r="CW656" s="3850"/>
      <c r="CX656" s="3850"/>
      <c r="CY656" s="3850"/>
      <c r="CZ656" s="3850"/>
      <c r="DA656" s="3850"/>
      <c r="DB656" s="3850"/>
      <c r="DC656" s="3850"/>
      <c r="DD656" s="3850"/>
      <c r="DE656" s="3850"/>
      <c r="DF656" s="3850"/>
      <c r="DG656" s="3850"/>
      <c r="DH656" s="3850"/>
      <c r="DI656" s="3850"/>
      <c r="DJ656" s="3850"/>
      <c r="DK656" s="3850"/>
      <c r="DL656" s="3850"/>
      <c r="DM656" s="3850"/>
      <c r="DN656" s="3850"/>
      <c r="DO656" s="3850"/>
      <c r="DP656" s="3850"/>
      <c r="DQ656" s="3850"/>
      <c r="DR656" s="3850"/>
      <c r="DS656" s="3850"/>
      <c r="DT656" s="3850"/>
      <c r="DU656" s="3850"/>
      <c r="DV656" s="3850"/>
      <c r="DW656" s="3850"/>
      <c r="DX656" s="3850"/>
      <c r="DY656" s="3850"/>
      <c r="DZ656" s="3850"/>
    </row>
    <row r="657" spans="1:130" s="3849" customFormat="1">
      <c r="A657" s="3852"/>
      <c r="B657" s="3840"/>
      <c r="C657" s="3870"/>
      <c r="D657" s="3893"/>
      <c r="E657" s="3883"/>
      <c r="F657" s="3874"/>
      <c r="G657" s="3875"/>
      <c r="H657" s="3874"/>
      <c r="I657" s="3875"/>
      <c r="J657" s="3874"/>
      <c r="K657" s="3876"/>
      <c r="L657" s="3874"/>
      <c r="N657" s="3846"/>
      <c r="O657" s="3847"/>
      <c r="P657" s="3853"/>
      <c r="AU657" s="3850"/>
      <c r="AV657" s="3850"/>
      <c r="AW657" s="3850"/>
      <c r="AX657" s="3850"/>
      <c r="AY657" s="3850"/>
      <c r="AZ657" s="3850"/>
      <c r="BA657" s="3850"/>
      <c r="BB657" s="3850"/>
      <c r="BC657" s="3850"/>
      <c r="BD657" s="3850"/>
      <c r="BE657" s="3850"/>
      <c r="BF657" s="3850"/>
      <c r="BG657" s="3850"/>
      <c r="BH657" s="3850"/>
      <c r="BI657" s="3850"/>
      <c r="BJ657" s="3850"/>
      <c r="BK657" s="3850"/>
      <c r="BL657" s="3850"/>
      <c r="BM657" s="3850"/>
      <c r="BN657" s="3850"/>
      <c r="BO657" s="3850"/>
      <c r="BP657" s="3850"/>
      <c r="BQ657" s="3850"/>
      <c r="BR657" s="3850"/>
      <c r="BS657" s="3850"/>
      <c r="BT657" s="3850"/>
      <c r="BU657" s="3850"/>
      <c r="BV657" s="3850"/>
      <c r="BW657" s="3850"/>
      <c r="BX657" s="3850"/>
      <c r="BY657" s="3850"/>
      <c r="BZ657" s="3850"/>
      <c r="CA657" s="3850"/>
      <c r="CB657" s="3850"/>
      <c r="CC657" s="3850"/>
      <c r="CD657" s="3850"/>
      <c r="CE657" s="3850"/>
      <c r="CF657" s="3850"/>
      <c r="CG657" s="3850"/>
      <c r="CH657" s="3850"/>
      <c r="CI657" s="3850"/>
      <c r="CJ657" s="3850"/>
      <c r="CK657" s="3850"/>
      <c r="CL657" s="3850"/>
      <c r="CM657" s="3850"/>
      <c r="CN657" s="3850"/>
      <c r="CO657" s="3850"/>
      <c r="CP657" s="3850"/>
      <c r="CQ657" s="3850"/>
      <c r="CR657" s="3850"/>
      <c r="CS657" s="3850"/>
      <c r="CT657" s="3850"/>
      <c r="CU657" s="3850"/>
      <c r="CV657" s="3850"/>
      <c r="CW657" s="3850"/>
      <c r="CX657" s="3850"/>
      <c r="CY657" s="3850"/>
      <c r="CZ657" s="3850"/>
      <c r="DA657" s="3850"/>
      <c r="DB657" s="3850"/>
      <c r="DC657" s="3850"/>
      <c r="DD657" s="3850"/>
      <c r="DE657" s="3850"/>
      <c r="DF657" s="3850"/>
      <c r="DG657" s="3850"/>
      <c r="DH657" s="3850"/>
      <c r="DI657" s="3850"/>
      <c r="DJ657" s="3850"/>
      <c r="DK657" s="3850"/>
      <c r="DL657" s="3850"/>
      <c r="DM657" s="3850"/>
      <c r="DN657" s="3850"/>
      <c r="DO657" s="3850"/>
      <c r="DP657" s="3850"/>
      <c r="DQ657" s="3850"/>
      <c r="DR657" s="3850"/>
      <c r="DS657" s="3850"/>
      <c r="DT657" s="3850"/>
      <c r="DU657" s="3850"/>
      <c r="DV657" s="3850"/>
      <c r="DW657" s="3850"/>
      <c r="DX657" s="3850"/>
      <c r="DY657" s="3850"/>
      <c r="DZ657" s="3850"/>
    </row>
    <row r="658" spans="1:130" s="3849" customFormat="1">
      <c r="A658" s="3852"/>
      <c r="B658" s="3840"/>
      <c r="C658" s="3870"/>
      <c r="D658" s="3893"/>
      <c r="E658" s="3883"/>
      <c r="F658" s="3874"/>
      <c r="G658" s="3875"/>
      <c r="H658" s="3874"/>
      <c r="I658" s="3875"/>
      <c r="J658" s="3874"/>
      <c r="K658" s="3876"/>
      <c r="L658" s="3874"/>
      <c r="N658" s="3846"/>
      <c r="O658" s="3847"/>
      <c r="P658" s="3853"/>
      <c r="AU658" s="3850"/>
      <c r="AV658" s="3850"/>
      <c r="AW658" s="3850"/>
      <c r="AX658" s="3850"/>
      <c r="AY658" s="3850"/>
      <c r="AZ658" s="3850"/>
      <c r="BA658" s="3850"/>
      <c r="BB658" s="3850"/>
      <c r="BC658" s="3850"/>
      <c r="BD658" s="3850"/>
      <c r="BE658" s="3850"/>
      <c r="BF658" s="3850"/>
      <c r="BG658" s="3850"/>
      <c r="BH658" s="3850"/>
      <c r="BI658" s="3850"/>
      <c r="BJ658" s="3850"/>
      <c r="BK658" s="3850"/>
      <c r="BL658" s="3850"/>
      <c r="BM658" s="3850"/>
      <c r="BN658" s="3850"/>
      <c r="BO658" s="3850"/>
      <c r="BP658" s="3850"/>
      <c r="BQ658" s="3850"/>
      <c r="BR658" s="3850"/>
      <c r="BS658" s="3850"/>
      <c r="BT658" s="3850"/>
      <c r="BU658" s="3850"/>
      <c r="BV658" s="3850"/>
      <c r="BW658" s="3850"/>
      <c r="BX658" s="3850"/>
      <c r="BY658" s="3850"/>
      <c r="BZ658" s="3850"/>
      <c r="CA658" s="3850"/>
      <c r="CB658" s="3850"/>
      <c r="CC658" s="3850"/>
      <c r="CD658" s="3850"/>
      <c r="CE658" s="3850"/>
      <c r="CF658" s="3850"/>
      <c r="CG658" s="3850"/>
      <c r="CH658" s="3850"/>
      <c r="CI658" s="3850"/>
      <c r="CJ658" s="3850"/>
      <c r="CK658" s="3850"/>
      <c r="CL658" s="3850"/>
      <c r="CM658" s="3850"/>
      <c r="CN658" s="3850"/>
      <c r="CO658" s="3850"/>
      <c r="CP658" s="3850"/>
      <c r="CQ658" s="3850"/>
      <c r="CR658" s="3850"/>
      <c r="CS658" s="3850"/>
      <c r="CT658" s="3850"/>
      <c r="CU658" s="3850"/>
      <c r="CV658" s="3850"/>
      <c r="CW658" s="3850"/>
      <c r="CX658" s="3850"/>
      <c r="CY658" s="3850"/>
      <c r="CZ658" s="3850"/>
      <c r="DA658" s="3850"/>
      <c r="DB658" s="3850"/>
      <c r="DC658" s="3850"/>
      <c r="DD658" s="3850"/>
      <c r="DE658" s="3850"/>
      <c r="DF658" s="3850"/>
      <c r="DG658" s="3850"/>
      <c r="DH658" s="3850"/>
      <c r="DI658" s="3850"/>
      <c r="DJ658" s="3850"/>
      <c r="DK658" s="3850"/>
      <c r="DL658" s="3850"/>
      <c r="DM658" s="3850"/>
      <c r="DN658" s="3850"/>
      <c r="DO658" s="3850"/>
      <c r="DP658" s="3850"/>
      <c r="DQ658" s="3850"/>
      <c r="DR658" s="3850"/>
      <c r="DS658" s="3850"/>
      <c r="DT658" s="3850"/>
      <c r="DU658" s="3850"/>
      <c r="DV658" s="3850"/>
      <c r="DW658" s="3850"/>
      <c r="DX658" s="3850"/>
      <c r="DY658" s="3850"/>
      <c r="DZ658" s="3850"/>
    </row>
    <row r="659" spans="1:130" s="3849" customFormat="1">
      <c r="A659" s="3852"/>
      <c r="B659" s="3840"/>
      <c r="C659" s="3870"/>
      <c r="D659" s="3893"/>
      <c r="E659" s="3883"/>
      <c r="F659" s="3874"/>
      <c r="G659" s="3875"/>
      <c r="H659" s="3874"/>
      <c r="I659" s="3875"/>
      <c r="J659" s="3874"/>
      <c r="K659" s="3876"/>
      <c r="L659" s="3874"/>
      <c r="N659" s="3846"/>
      <c r="O659" s="3847"/>
      <c r="P659" s="3853"/>
      <c r="AU659" s="3850"/>
      <c r="AV659" s="3850"/>
      <c r="AW659" s="3850"/>
      <c r="AX659" s="3850"/>
      <c r="AY659" s="3850"/>
      <c r="AZ659" s="3850"/>
      <c r="BA659" s="3850"/>
      <c r="BB659" s="3850"/>
      <c r="BC659" s="3850"/>
      <c r="BD659" s="3850"/>
      <c r="BE659" s="3850"/>
      <c r="BF659" s="3850"/>
      <c r="BG659" s="3850"/>
      <c r="BH659" s="3850"/>
      <c r="BI659" s="3850"/>
      <c r="BJ659" s="3850"/>
      <c r="BK659" s="3850"/>
      <c r="BL659" s="3850"/>
      <c r="BM659" s="3850"/>
      <c r="BN659" s="3850"/>
      <c r="BO659" s="3850"/>
      <c r="BP659" s="3850"/>
      <c r="BQ659" s="3850"/>
      <c r="BR659" s="3850"/>
      <c r="BS659" s="3850"/>
      <c r="BT659" s="3850"/>
      <c r="BU659" s="3850"/>
      <c r="BV659" s="3850"/>
      <c r="BW659" s="3850"/>
      <c r="BX659" s="3850"/>
      <c r="BY659" s="3850"/>
      <c r="BZ659" s="3850"/>
      <c r="CA659" s="3850"/>
      <c r="CB659" s="3850"/>
      <c r="CC659" s="3850"/>
      <c r="CD659" s="3850"/>
      <c r="CE659" s="3850"/>
      <c r="CF659" s="3850"/>
      <c r="CG659" s="3850"/>
      <c r="CH659" s="3850"/>
      <c r="CI659" s="3850"/>
      <c r="CJ659" s="3850"/>
      <c r="CK659" s="3850"/>
      <c r="CL659" s="3850"/>
      <c r="CM659" s="3850"/>
      <c r="CN659" s="3850"/>
      <c r="CO659" s="3850"/>
      <c r="CP659" s="3850"/>
      <c r="CQ659" s="3850"/>
      <c r="CR659" s="3850"/>
      <c r="CS659" s="3850"/>
      <c r="CT659" s="3850"/>
      <c r="CU659" s="3850"/>
      <c r="CV659" s="3850"/>
      <c r="CW659" s="3850"/>
      <c r="CX659" s="3850"/>
      <c r="CY659" s="3850"/>
      <c r="CZ659" s="3850"/>
      <c r="DA659" s="3850"/>
      <c r="DB659" s="3850"/>
      <c r="DC659" s="3850"/>
      <c r="DD659" s="3850"/>
      <c r="DE659" s="3850"/>
      <c r="DF659" s="3850"/>
      <c r="DG659" s="3850"/>
      <c r="DH659" s="3850"/>
      <c r="DI659" s="3850"/>
      <c r="DJ659" s="3850"/>
      <c r="DK659" s="3850"/>
      <c r="DL659" s="3850"/>
      <c r="DM659" s="3850"/>
      <c r="DN659" s="3850"/>
      <c r="DO659" s="3850"/>
      <c r="DP659" s="3850"/>
      <c r="DQ659" s="3850"/>
      <c r="DR659" s="3850"/>
      <c r="DS659" s="3850"/>
      <c r="DT659" s="3850"/>
      <c r="DU659" s="3850"/>
      <c r="DV659" s="3850"/>
      <c r="DW659" s="3850"/>
      <c r="DX659" s="3850"/>
      <c r="DY659" s="3850"/>
      <c r="DZ659" s="3850"/>
    </row>
    <row r="660" spans="1:130" s="3849" customFormat="1">
      <c r="A660" s="3852"/>
      <c r="B660" s="3840"/>
      <c r="C660" s="3870"/>
      <c r="D660" s="3893"/>
      <c r="E660" s="3883"/>
      <c r="F660" s="3874"/>
      <c r="G660" s="3875"/>
      <c r="H660" s="3874"/>
      <c r="I660" s="3875"/>
      <c r="J660" s="3874"/>
      <c r="K660" s="3876"/>
      <c r="L660" s="3874"/>
      <c r="N660" s="3846"/>
      <c r="O660" s="3847"/>
      <c r="P660" s="3853"/>
      <c r="AU660" s="3850"/>
      <c r="AV660" s="3850"/>
      <c r="AW660" s="3850"/>
      <c r="AX660" s="3850"/>
      <c r="AY660" s="3850"/>
      <c r="AZ660" s="3850"/>
      <c r="BA660" s="3850"/>
      <c r="BB660" s="3850"/>
      <c r="BC660" s="3850"/>
      <c r="BD660" s="3850"/>
      <c r="BE660" s="3850"/>
      <c r="BF660" s="3850"/>
      <c r="BG660" s="3850"/>
      <c r="BH660" s="3850"/>
      <c r="BI660" s="3850"/>
      <c r="BJ660" s="3850"/>
      <c r="BK660" s="3850"/>
      <c r="BL660" s="3850"/>
      <c r="BM660" s="3850"/>
      <c r="BN660" s="3850"/>
      <c r="BO660" s="3850"/>
      <c r="BP660" s="3850"/>
      <c r="BQ660" s="3850"/>
      <c r="BR660" s="3850"/>
      <c r="BS660" s="3850"/>
      <c r="BT660" s="3850"/>
      <c r="BU660" s="3850"/>
      <c r="BV660" s="3850"/>
      <c r="BW660" s="3850"/>
      <c r="BX660" s="3850"/>
      <c r="BY660" s="3850"/>
      <c r="BZ660" s="3850"/>
      <c r="CA660" s="3850"/>
      <c r="CB660" s="3850"/>
      <c r="CC660" s="3850"/>
      <c r="CD660" s="3850"/>
      <c r="CE660" s="3850"/>
      <c r="CF660" s="3850"/>
      <c r="CG660" s="3850"/>
      <c r="CH660" s="3850"/>
      <c r="CI660" s="3850"/>
      <c r="CJ660" s="3850"/>
      <c r="CK660" s="3850"/>
      <c r="CL660" s="3850"/>
      <c r="CM660" s="3850"/>
      <c r="CN660" s="3850"/>
      <c r="CO660" s="3850"/>
      <c r="CP660" s="3850"/>
      <c r="CQ660" s="3850"/>
      <c r="CR660" s="3850"/>
      <c r="CS660" s="3850"/>
      <c r="CT660" s="3850"/>
      <c r="CU660" s="3850"/>
      <c r="CV660" s="3850"/>
      <c r="CW660" s="3850"/>
      <c r="CX660" s="3850"/>
      <c r="CY660" s="3850"/>
      <c r="CZ660" s="3850"/>
      <c r="DA660" s="3850"/>
      <c r="DB660" s="3850"/>
      <c r="DC660" s="3850"/>
      <c r="DD660" s="3850"/>
      <c r="DE660" s="3850"/>
      <c r="DF660" s="3850"/>
      <c r="DG660" s="3850"/>
      <c r="DH660" s="3850"/>
      <c r="DI660" s="3850"/>
      <c r="DJ660" s="3850"/>
      <c r="DK660" s="3850"/>
      <c r="DL660" s="3850"/>
      <c r="DM660" s="3850"/>
      <c r="DN660" s="3850"/>
      <c r="DO660" s="3850"/>
      <c r="DP660" s="3850"/>
      <c r="DQ660" s="3850"/>
      <c r="DR660" s="3850"/>
      <c r="DS660" s="3850"/>
      <c r="DT660" s="3850"/>
      <c r="DU660" s="3850"/>
      <c r="DV660" s="3850"/>
      <c r="DW660" s="3850"/>
      <c r="DX660" s="3850"/>
      <c r="DY660" s="3850"/>
      <c r="DZ660" s="3850"/>
    </row>
    <row r="661" spans="1:130" s="3849" customFormat="1">
      <c r="A661" s="3852"/>
      <c r="B661" s="3840"/>
      <c r="C661" s="3870"/>
      <c r="D661" s="3893"/>
      <c r="E661" s="3883"/>
      <c r="F661" s="3874"/>
      <c r="G661" s="3875"/>
      <c r="H661" s="3874"/>
      <c r="I661" s="3875"/>
      <c r="J661" s="3874"/>
      <c r="K661" s="3876"/>
      <c r="L661" s="3874"/>
      <c r="N661" s="3846"/>
      <c r="O661" s="3847"/>
      <c r="P661" s="3853"/>
      <c r="AU661" s="3850"/>
      <c r="AV661" s="3850"/>
      <c r="AW661" s="3850"/>
      <c r="AX661" s="3850"/>
      <c r="AY661" s="3850"/>
      <c r="AZ661" s="3850"/>
      <c r="BA661" s="3850"/>
      <c r="BB661" s="3850"/>
      <c r="BC661" s="3850"/>
      <c r="BD661" s="3850"/>
      <c r="BE661" s="3850"/>
      <c r="BF661" s="3850"/>
      <c r="BG661" s="3850"/>
      <c r="BH661" s="3850"/>
      <c r="BI661" s="3850"/>
      <c r="BJ661" s="3850"/>
      <c r="BK661" s="3850"/>
      <c r="BL661" s="3850"/>
      <c r="BM661" s="3850"/>
      <c r="BN661" s="3850"/>
      <c r="BO661" s="3850"/>
      <c r="BP661" s="3850"/>
      <c r="BQ661" s="3850"/>
      <c r="BR661" s="3850"/>
      <c r="BS661" s="3850"/>
      <c r="BT661" s="3850"/>
      <c r="BU661" s="3850"/>
      <c r="BV661" s="3850"/>
      <c r="BW661" s="3850"/>
      <c r="BX661" s="3850"/>
      <c r="BY661" s="3850"/>
      <c r="BZ661" s="3850"/>
      <c r="CA661" s="3850"/>
      <c r="CB661" s="3850"/>
      <c r="CC661" s="3850"/>
      <c r="CD661" s="3850"/>
      <c r="CE661" s="3850"/>
      <c r="CF661" s="3850"/>
      <c r="CG661" s="3850"/>
      <c r="CH661" s="3850"/>
      <c r="CI661" s="3850"/>
      <c r="CJ661" s="3850"/>
      <c r="CK661" s="3850"/>
      <c r="CL661" s="3850"/>
      <c r="CM661" s="3850"/>
      <c r="CN661" s="3850"/>
      <c r="CO661" s="3850"/>
      <c r="CP661" s="3850"/>
      <c r="CQ661" s="3850"/>
      <c r="CR661" s="3850"/>
      <c r="CS661" s="3850"/>
      <c r="CT661" s="3850"/>
      <c r="CU661" s="3850"/>
      <c r="CV661" s="3850"/>
      <c r="CW661" s="3850"/>
      <c r="CX661" s="3850"/>
      <c r="CY661" s="3850"/>
      <c r="CZ661" s="3850"/>
      <c r="DA661" s="3850"/>
      <c r="DB661" s="3850"/>
      <c r="DC661" s="3850"/>
      <c r="DD661" s="3850"/>
      <c r="DE661" s="3850"/>
      <c r="DF661" s="3850"/>
      <c r="DG661" s="3850"/>
      <c r="DH661" s="3850"/>
      <c r="DI661" s="3850"/>
      <c r="DJ661" s="3850"/>
      <c r="DK661" s="3850"/>
      <c r="DL661" s="3850"/>
      <c r="DM661" s="3850"/>
      <c r="DN661" s="3850"/>
      <c r="DO661" s="3850"/>
      <c r="DP661" s="3850"/>
      <c r="DQ661" s="3850"/>
      <c r="DR661" s="3850"/>
      <c r="DS661" s="3850"/>
      <c r="DT661" s="3850"/>
      <c r="DU661" s="3850"/>
      <c r="DV661" s="3850"/>
      <c r="DW661" s="3850"/>
      <c r="DX661" s="3850"/>
      <c r="DY661" s="3850"/>
      <c r="DZ661" s="3850"/>
    </row>
    <row r="662" spans="1:130" s="3849" customFormat="1">
      <c r="A662" s="3852"/>
      <c r="B662" s="3840"/>
      <c r="C662" s="3870"/>
      <c r="D662" s="3893"/>
      <c r="E662" s="3883"/>
      <c r="F662" s="3874"/>
      <c r="G662" s="3875"/>
      <c r="H662" s="3874"/>
      <c r="I662" s="3875"/>
      <c r="J662" s="3874"/>
      <c r="K662" s="3876"/>
      <c r="L662" s="3874"/>
      <c r="N662" s="3846"/>
      <c r="O662" s="3847"/>
      <c r="P662" s="3853"/>
      <c r="AU662" s="3850"/>
      <c r="AV662" s="3850"/>
      <c r="AW662" s="3850"/>
      <c r="AX662" s="3850"/>
      <c r="AY662" s="3850"/>
      <c r="AZ662" s="3850"/>
      <c r="BA662" s="3850"/>
      <c r="BB662" s="3850"/>
      <c r="BC662" s="3850"/>
      <c r="BD662" s="3850"/>
      <c r="BE662" s="3850"/>
      <c r="BF662" s="3850"/>
      <c r="BG662" s="3850"/>
      <c r="BH662" s="3850"/>
      <c r="BI662" s="3850"/>
      <c r="BJ662" s="3850"/>
      <c r="BK662" s="3850"/>
      <c r="BL662" s="3850"/>
      <c r="BM662" s="3850"/>
      <c r="BN662" s="3850"/>
      <c r="BO662" s="3850"/>
      <c r="BP662" s="3850"/>
      <c r="BQ662" s="3850"/>
      <c r="BR662" s="3850"/>
      <c r="BS662" s="3850"/>
      <c r="BT662" s="3850"/>
      <c r="BU662" s="3850"/>
      <c r="BV662" s="3850"/>
      <c r="BW662" s="3850"/>
      <c r="BX662" s="3850"/>
      <c r="BY662" s="3850"/>
      <c r="BZ662" s="3850"/>
      <c r="CA662" s="3850"/>
      <c r="CB662" s="3850"/>
      <c r="CC662" s="3850"/>
      <c r="CD662" s="3850"/>
      <c r="CE662" s="3850"/>
      <c r="CF662" s="3850"/>
      <c r="CG662" s="3850"/>
      <c r="CH662" s="3850"/>
      <c r="CI662" s="3850"/>
      <c r="CJ662" s="3850"/>
      <c r="CK662" s="3850"/>
      <c r="CL662" s="3850"/>
      <c r="CM662" s="3850"/>
      <c r="CN662" s="3850"/>
      <c r="CO662" s="3850"/>
      <c r="CP662" s="3850"/>
      <c r="CQ662" s="3850"/>
      <c r="CR662" s="3850"/>
      <c r="CS662" s="3850"/>
      <c r="CT662" s="3850"/>
      <c r="CU662" s="3850"/>
      <c r="CV662" s="3850"/>
      <c r="CW662" s="3850"/>
      <c r="CX662" s="3850"/>
      <c r="CY662" s="3850"/>
      <c r="CZ662" s="3850"/>
      <c r="DA662" s="3850"/>
      <c r="DB662" s="3850"/>
      <c r="DC662" s="3850"/>
      <c r="DD662" s="3850"/>
      <c r="DE662" s="3850"/>
      <c r="DF662" s="3850"/>
      <c r="DG662" s="3850"/>
      <c r="DH662" s="3850"/>
      <c r="DI662" s="3850"/>
      <c r="DJ662" s="3850"/>
      <c r="DK662" s="3850"/>
      <c r="DL662" s="3850"/>
      <c r="DM662" s="3850"/>
      <c r="DN662" s="3850"/>
      <c r="DO662" s="3850"/>
      <c r="DP662" s="3850"/>
      <c r="DQ662" s="3850"/>
      <c r="DR662" s="3850"/>
      <c r="DS662" s="3850"/>
      <c r="DT662" s="3850"/>
      <c r="DU662" s="3850"/>
      <c r="DV662" s="3850"/>
      <c r="DW662" s="3850"/>
      <c r="DX662" s="3850"/>
      <c r="DY662" s="3850"/>
      <c r="DZ662" s="3850"/>
    </row>
    <row r="663" spans="1:130" s="3849" customFormat="1">
      <c r="A663" s="3852"/>
      <c r="B663" s="3840"/>
      <c r="C663" s="3870"/>
      <c r="D663" s="3893"/>
      <c r="E663" s="3883"/>
      <c r="F663" s="3874"/>
      <c r="G663" s="3875"/>
      <c r="H663" s="3874"/>
      <c r="I663" s="3875"/>
      <c r="J663" s="3874"/>
      <c r="K663" s="3876"/>
      <c r="L663" s="3874"/>
      <c r="N663" s="3846"/>
      <c r="O663" s="3847"/>
      <c r="P663" s="3853"/>
      <c r="AU663" s="3850"/>
      <c r="AV663" s="3850"/>
      <c r="AW663" s="3850"/>
      <c r="AX663" s="3850"/>
      <c r="AY663" s="3850"/>
      <c r="AZ663" s="3850"/>
      <c r="BA663" s="3850"/>
      <c r="BB663" s="3850"/>
      <c r="BC663" s="3850"/>
      <c r="BD663" s="3850"/>
      <c r="BE663" s="3850"/>
      <c r="BF663" s="3850"/>
      <c r="BG663" s="3850"/>
      <c r="BH663" s="3850"/>
      <c r="BI663" s="3850"/>
      <c r="BJ663" s="3850"/>
      <c r="BK663" s="3850"/>
      <c r="BL663" s="3850"/>
      <c r="BM663" s="3850"/>
      <c r="BN663" s="3850"/>
      <c r="BO663" s="3850"/>
      <c r="BP663" s="3850"/>
      <c r="BQ663" s="3850"/>
      <c r="BR663" s="3850"/>
      <c r="BS663" s="3850"/>
      <c r="BT663" s="3850"/>
      <c r="BU663" s="3850"/>
      <c r="BV663" s="3850"/>
      <c r="BW663" s="3850"/>
      <c r="BX663" s="3850"/>
      <c r="BY663" s="3850"/>
      <c r="BZ663" s="3850"/>
      <c r="CA663" s="3850"/>
      <c r="CB663" s="3850"/>
      <c r="CC663" s="3850"/>
      <c r="CD663" s="3850"/>
      <c r="CE663" s="3850"/>
      <c r="CF663" s="3850"/>
      <c r="CG663" s="3850"/>
      <c r="CH663" s="3850"/>
      <c r="CI663" s="3850"/>
      <c r="CJ663" s="3850"/>
      <c r="CK663" s="3850"/>
      <c r="CL663" s="3850"/>
      <c r="CM663" s="3850"/>
      <c r="CN663" s="3850"/>
      <c r="CO663" s="3850"/>
      <c r="CP663" s="3850"/>
      <c r="CQ663" s="3850"/>
      <c r="CR663" s="3850"/>
      <c r="CS663" s="3850"/>
      <c r="CT663" s="3850"/>
      <c r="CU663" s="3850"/>
      <c r="CV663" s="3850"/>
      <c r="CW663" s="3850"/>
      <c r="CX663" s="3850"/>
      <c r="CY663" s="3850"/>
      <c r="CZ663" s="3850"/>
      <c r="DA663" s="3850"/>
      <c r="DB663" s="3850"/>
      <c r="DC663" s="3850"/>
      <c r="DD663" s="3850"/>
      <c r="DE663" s="3850"/>
      <c r="DF663" s="3850"/>
      <c r="DG663" s="3850"/>
      <c r="DH663" s="3850"/>
      <c r="DI663" s="3850"/>
      <c r="DJ663" s="3850"/>
      <c r="DK663" s="3850"/>
      <c r="DL663" s="3850"/>
      <c r="DM663" s="3850"/>
      <c r="DN663" s="3850"/>
      <c r="DO663" s="3850"/>
      <c r="DP663" s="3850"/>
      <c r="DQ663" s="3850"/>
      <c r="DR663" s="3850"/>
      <c r="DS663" s="3850"/>
      <c r="DT663" s="3850"/>
      <c r="DU663" s="3850"/>
      <c r="DV663" s="3850"/>
      <c r="DW663" s="3850"/>
      <c r="DX663" s="3850"/>
      <c r="DY663" s="3850"/>
      <c r="DZ663" s="3850"/>
    </row>
    <row r="664" spans="1:130" s="3849" customFormat="1">
      <c r="A664" s="3852"/>
      <c r="B664" s="3840"/>
      <c r="C664" s="3870"/>
      <c r="D664" s="3893"/>
      <c r="E664" s="3883"/>
      <c r="F664" s="3874"/>
      <c r="G664" s="3875"/>
      <c r="H664" s="3874"/>
      <c r="I664" s="3875"/>
      <c r="J664" s="3874"/>
      <c r="K664" s="3876"/>
      <c r="L664" s="3874"/>
      <c r="N664" s="3846"/>
      <c r="O664" s="3847"/>
      <c r="P664" s="3853"/>
      <c r="AU664" s="3850"/>
      <c r="AV664" s="3850"/>
      <c r="AW664" s="3850"/>
      <c r="AX664" s="3850"/>
      <c r="AY664" s="3850"/>
      <c r="AZ664" s="3850"/>
      <c r="BA664" s="3850"/>
      <c r="BB664" s="3850"/>
      <c r="BC664" s="3850"/>
      <c r="BD664" s="3850"/>
      <c r="BE664" s="3850"/>
      <c r="BF664" s="3850"/>
      <c r="BG664" s="3850"/>
      <c r="BH664" s="3850"/>
      <c r="BI664" s="3850"/>
      <c r="BJ664" s="3850"/>
      <c r="BK664" s="3850"/>
      <c r="BL664" s="3850"/>
      <c r="BM664" s="3850"/>
      <c r="BN664" s="3850"/>
      <c r="BO664" s="3850"/>
      <c r="BP664" s="3850"/>
      <c r="BQ664" s="3850"/>
      <c r="BR664" s="3850"/>
      <c r="BS664" s="3850"/>
      <c r="BT664" s="3850"/>
      <c r="BU664" s="3850"/>
      <c r="BV664" s="3850"/>
      <c r="BW664" s="3850"/>
      <c r="BX664" s="3850"/>
      <c r="BY664" s="3850"/>
      <c r="BZ664" s="3850"/>
      <c r="CA664" s="3850"/>
      <c r="CB664" s="3850"/>
      <c r="CC664" s="3850"/>
      <c r="CD664" s="3850"/>
      <c r="CE664" s="3850"/>
      <c r="CF664" s="3850"/>
      <c r="CG664" s="3850"/>
      <c r="CH664" s="3850"/>
      <c r="CI664" s="3850"/>
      <c r="CJ664" s="3850"/>
      <c r="CK664" s="3850"/>
      <c r="CL664" s="3850"/>
      <c r="CM664" s="3850"/>
      <c r="CN664" s="3850"/>
      <c r="CO664" s="3850"/>
      <c r="CP664" s="3850"/>
      <c r="CQ664" s="3850"/>
      <c r="CR664" s="3850"/>
      <c r="CS664" s="3850"/>
      <c r="CT664" s="3850"/>
      <c r="CU664" s="3850"/>
      <c r="CV664" s="3850"/>
      <c r="CW664" s="3850"/>
      <c r="CX664" s="3850"/>
      <c r="CY664" s="3850"/>
      <c r="CZ664" s="3850"/>
      <c r="DA664" s="3850"/>
      <c r="DB664" s="3850"/>
      <c r="DC664" s="3850"/>
      <c r="DD664" s="3850"/>
      <c r="DE664" s="3850"/>
      <c r="DF664" s="3850"/>
      <c r="DG664" s="3850"/>
      <c r="DH664" s="3850"/>
      <c r="DI664" s="3850"/>
      <c r="DJ664" s="3850"/>
      <c r="DK664" s="3850"/>
      <c r="DL664" s="3850"/>
      <c r="DM664" s="3850"/>
      <c r="DN664" s="3850"/>
      <c r="DO664" s="3850"/>
      <c r="DP664" s="3850"/>
      <c r="DQ664" s="3850"/>
      <c r="DR664" s="3850"/>
      <c r="DS664" s="3850"/>
      <c r="DT664" s="3850"/>
      <c r="DU664" s="3850"/>
      <c r="DV664" s="3850"/>
      <c r="DW664" s="3850"/>
      <c r="DX664" s="3850"/>
      <c r="DY664" s="3850"/>
      <c r="DZ664" s="3850"/>
    </row>
    <row r="665" spans="1:130" s="3849" customFormat="1">
      <c r="A665" s="3852"/>
      <c r="B665" s="3840"/>
      <c r="C665" s="3870"/>
      <c r="D665" s="3893"/>
      <c r="E665" s="3883"/>
      <c r="F665" s="3874"/>
      <c r="G665" s="3875"/>
      <c r="H665" s="3874"/>
      <c r="I665" s="3875"/>
      <c r="J665" s="3874"/>
      <c r="K665" s="3876"/>
      <c r="L665" s="3874"/>
      <c r="N665" s="3846"/>
      <c r="O665" s="3847"/>
      <c r="P665" s="3853"/>
      <c r="AU665" s="3850"/>
      <c r="AV665" s="3850"/>
      <c r="AW665" s="3850"/>
      <c r="AX665" s="3850"/>
      <c r="AY665" s="3850"/>
      <c r="AZ665" s="3850"/>
      <c r="BA665" s="3850"/>
      <c r="BB665" s="3850"/>
      <c r="BC665" s="3850"/>
      <c r="BD665" s="3850"/>
      <c r="BE665" s="3850"/>
      <c r="BF665" s="3850"/>
      <c r="BG665" s="3850"/>
      <c r="BH665" s="3850"/>
      <c r="BI665" s="3850"/>
      <c r="BJ665" s="3850"/>
      <c r="BK665" s="3850"/>
      <c r="BL665" s="3850"/>
      <c r="BM665" s="3850"/>
      <c r="BN665" s="3850"/>
      <c r="BO665" s="3850"/>
      <c r="BP665" s="3850"/>
      <c r="BQ665" s="3850"/>
      <c r="BR665" s="3850"/>
      <c r="BS665" s="3850"/>
      <c r="BT665" s="3850"/>
      <c r="BU665" s="3850"/>
      <c r="BV665" s="3850"/>
      <c r="BW665" s="3850"/>
      <c r="BX665" s="3850"/>
      <c r="BY665" s="3850"/>
      <c r="BZ665" s="3850"/>
      <c r="CA665" s="3850"/>
      <c r="CB665" s="3850"/>
      <c r="CC665" s="3850"/>
      <c r="CD665" s="3850"/>
      <c r="CE665" s="3850"/>
      <c r="CF665" s="3850"/>
      <c r="CG665" s="3850"/>
      <c r="CH665" s="3850"/>
      <c r="CI665" s="3850"/>
      <c r="CJ665" s="3850"/>
      <c r="CK665" s="3850"/>
      <c r="CL665" s="3850"/>
      <c r="CM665" s="3850"/>
      <c r="CN665" s="3850"/>
      <c r="CO665" s="3850"/>
      <c r="CP665" s="3850"/>
      <c r="CQ665" s="3850"/>
      <c r="CR665" s="3850"/>
      <c r="CS665" s="3850"/>
      <c r="CT665" s="3850"/>
      <c r="CU665" s="3850"/>
      <c r="CV665" s="3850"/>
      <c r="CW665" s="3850"/>
      <c r="CX665" s="3850"/>
      <c r="CY665" s="3850"/>
      <c r="CZ665" s="3850"/>
      <c r="DA665" s="3850"/>
      <c r="DB665" s="3850"/>
      <c r="DC665" s="3850"/>
      <c r="DD665" s="3850"/>
      <c r="DE665" s="3850"/>
      <c r="DF665" s="3850"/>
      <c r="DG665" s="3850"/>
      <c r="DH665" s="3850"/>
      <c r="DI665" s="3850"/>
      <c r="DJ665" s="3850"/>
      <c r="DK665" s="3850"/>
      <c r="DL665" s="3850"/>
      <c r="DM665" s="3850"/>
      <c r="DN665" s="3850"/>
      <c r="DO665" s="3850"/>
      <c r="DP665" s="3850"/>
      <c r="DQ665" s="3850"/>
      <c r="DR665" s="3850"/>
      <c r="DS665" s="3850"/>
      <c r="DT665" s="3850"/>
      <c r="DU665" s="3850"/>
      <c r="DV665" s="3850"/>
      <c r="DW665" s="3850"/>
      <c r="DX665" s="3850"/>
      <c r="DY665" s="3850"/>
      <c r="DZ665" s="3850"/>
    </row>
    <row r="666" spans="1:130" s="3849" customFormat="1">
      <c r="A666" s="3852"/>
      <c r="B666" s="3840"/>
      <c r="C666" s="3870"/>
      <c r="D666" s="3893"/>
      <c r="E666" s="3883"/>
      <c r="F666" s="3874"/>
      <c r="G666" s="3875"/>
      <c r="H666" s="3874"/>
      <c r="I666" s="3875"/>
      <c r="J666" s="3874"/>
      <c r="K666" s="3876"/>
      <c r="L666" s="3874"/>
      <c r="N666" s="3846"/>
      <c r="O666" s="3847"/>
      <c r="P666" s="3853"/>
      <c r="AU666" s="3850"/>
      <c r="AV666" s="3850"/>
      <c r="AW666" s="3850"/>
      <c r="AX666" s="3850"/>
      <c r="AY666" s="3850"/>
      <c r="AZ666" s="3850"/>
      <c r="BA666" s="3850"/>
      <c r="BB666" s="3850"/>
      <c r="BC666" s="3850"/>
      <c r="BD666" s="3850"/>
      <c r="BE666" s="3850"/>
      <c r="BF666" s="3850"/>
      <c r="BG666" s="3850"/>
      <c r="BH666" s="3850"/>
      <c r="BI666" s="3850"/>
      <c r="BJ666" s="3850"/>
      <c r="BK666" s="3850"/>
      <c r="BL666" s="3850"/>
      <c r="BM666" s="3850"/>
      <c r="BN666" s="3850"/>
      <c r="BO666" s="3850"/>
      <c r="BP666" s="3850"/>
      <c r="BQ666" s="3850"/>
      <c r="BR666" s="3850"/>
      <c r="BS666" s="3850"/>
      <c r="BT666" s="3850"/>
      <c r="BU666" s="3850"/>
      <c r="BV666" s="3850"/>
      <c r="BW666" s="3850"/>
      <c r="BX666" s="3850"/>
      <c r="BY666" s="3850"/>
      <c r="BZ666" s="3850"/>
      <c r="CA666" s="3850"/>
      <c r="CB666" s="3850"/>
      <c r="CC666" s="3850"/>
      <c r="CD666" s="3850"/>
      <c r="CE666" s="3850"/>
      <c r="CF666" s="3850"/>
      <c r="CG666" s="3850"/>
      <c r="CH666" s="3850"/>
      <c r="CI666" s="3850"/>
      <c r="CJ666" s="3850"/>
      <c r="CK666" s="3850"/>
      <c r="CL666" s="3850"/>
      <c r="CM666" s="3850"/>
      <c r="CN666" s="3850"/>
      <c r="CO666" s="3850"/>
      <c r="CP666" s="3850"/>
      <c r="CQ666" s="3850"/>
      <c r="CR666" s="3850"/>
      <c r="CS666" s="3850"/>
      <c r="CT666" s="3850"/>
      <c r="CU666" s="3850"/>
      <c r="CV666" s="3850"/>
      <c r="CW666" s="3850"/>
      <c r="CX666" s="3850"/>
      <c r="CY666" s="3850"/>
      <c r="CZ666" s="3850"/>
      <c r="DA666" s="3850"/>
      <c r="DB666" s="3850"/>
      <c r="DC666" s="3850"/>
      <c r="DD666" s="3850"/>
      <c r="DE666" s="3850"/>
      <c r="DF666" s="3850"/>
      <c r="DG666" s="3850"/>
      <c r="DH666" s="3850"/>
      <c r="DI666" s="3850"/>
      <c r="DJ666" s="3850"/>
      <c r="DK666" s="3850"/>
      <c r="DL666" s="3850"/>
      <c r="DM666" s="3850"/>
      <c r="DN666" s="3850"/>
      <c r="DO666" s="3850"/>
      <c r="DP666" s="3850"/>
      <c r="DQ666" s="3850"/>
      <c r="DR666" s="3850"/>
      <c r="DS666" s="3850"/>
      <c r="DT666" s="3850"/>
      <c r="DU666" s="3850"/>
      <c r="DV666" s="3850"/>
      <c r="DW666" s="3850"/>
      <c r="DX666" s="3850"/>
      <c r="DY666" s="3850"/>
      <c r="DZ666" s="3850"/>
    </row>
    <row r="667" spans="1:130" s="3849" customFormat="1">
      <c r="A667" s="3852"/>
      <c r="B667" s="3840"/>
      <c r="C667" s="3870"/>
      <c r="D667" s="3893"/>
      <c r="E667" s="3883"/>
      <c r="F667" s="3874"/>
      <c r="G667" s="3875"/>
      <c r="H667" s="3874"/>
      <c r="I667" s="3875"/>
      <c r="J667" s="3874"/>
      <c r="K667" s="3876"/>
      <c r="L667" s="3874"/>
      <c r="N667" s="3846"/>
      <c r="O667" s="3847"/>
      <c r="P667" s="3853"/>
      <c r="AU667" s="3850"/>
      <c r="AV667" s="3850"/>
      <c r="AW667" s="3850"/>
      <c r="AX667" s="3850"/>
      <c r="AY667" s="3850"/>
      <c r="AZ667" s="3850"/>
      <c r="BA667" s="3850"/>
      <c r="BB667" s="3850"/>
      <c r="BC667" s="3850"/>
      <c r="BD667" s="3850"/>
      <c r="BE667" s="3850"/>
      <c r="BF667" s="3850"/>
      <c r="BG667" s="3850"/>
      <c r="BH667" s="3850"/>
      <c r="BI667" s="3850"/>
      <c r="BJ667" s="3850"/>
      <c r="BK667" s="3850"/>
      <c r="BL667" s="3850"/>
      <c r="BM667" s="3850"/>
      <c r="BN667" s="3850"/>
      <c r="BO667" s="3850"/>
      <c r="BP667" s="3850"/>
      <c r="BQ667" s="3850"/>
      <c r="BR667" s="3850"/>
      <c r="BS667" s="3850"/>
      <c r="BT667" s="3850"/>
      <c r="BU667" s="3850"/>
      <c r="BV667" s="3850"/>
      <c r="BW667" s="3850"/>
      <c r="BX667" s="3850"/>
      <c r="BY667" s="3850"/>
      <c r="BZ667" s="3850"/>
      <c r="CA667" s="3850"/>
      <c r="CB667" s="3850"/>
      <c r="CC667" s="3850"/>
      <c r="CD667" s="3850"/>
      <c r="CE667" s="3850"/>
      <c r="CF667" s="3850"/>
      <c r="CG667" s="3850"/>
      <c r="CH667" s="3850"/>
      <c r="CI667" s="3850"/>
      <c r="CJ667" s="3850"/>
      <c r="CK667" s="3850"/>
      <c r="CL667" s="3850"/>
      <c r="CM667" s="3850"/>
      <c r="CN667" s="3850"/>
      <c r="CO667" s="3850"/>
      <c r="CP667" s="3850"/>
      <c r="CQ667" s="3850"/>
      <c r="CR667" s="3850"/>
      <c r="CS667" s="3850"/>
      <c r="CT667" s="3850"/>
      <c r="CU667" s="3850"/>
      <c r="CV667" s="3850"/>
      <c r="CW667" s="3850"/>
      <c r="CX667" s="3850"/>
      <c r="CY667" s="3850"/>
      <c r="CZ667" s="3850"/>
      <c r="DA667" s="3850"/>
      <c r="DB667" s="3850"/>
      <c r="DC667" s="3850"/>
      <c r="DD667" s="3850"/>
      <c r="DE667" s="3850"/>
      <c r="DF667" s="3850"/>
      <c r="DG667" s="3850"/>
      <c r="DH667" s="3850"/>
      <c r="DI667" s="3850"/>
      <c r="DJ667" s="3850"/>
      <c r="DK667" s="3850"/>
      <c r="DL667" s="3850"/>
      <c r="DM667" s="3850"/>
      <c r="DN667" s="3850"/>
      <c r="DO667" s="3850"/>
      <c r="DP667" s="3850"/>
      <c r="DQ667" s="3850"/>
      <c r="DR667" s="3850"/>
      <c r="DS667" s="3850"/>
      <c r="DT667" s="3850"/>
      <c r="DU667" s="3850"/>
      <c r="DV667" s="3850"/>
      <c r="DW667" s="3850"/>
      <c r="DX667" s="3850"/>
      <c r="DY667" s="3850"/>
      <c r="DZ667" s="3850"/>
    </row>
    <row r="668" spans="1:130" s="3849" customFormat="1">
      <c r="A668" s="3852"/>
      <c r="B668" s="3840"/>
      <c r="C668" s="3870"/>
      <c r="D668" s="3893"/>
      <c r="E668" s="3883"/>
      <c r="F668" s="3874"/>
      <c r="G668" s="3875"/>
      <c r="H668" s="3874"/>
      <c r="I668" s="3875"/>
      <c r="J668" s="3874"/>
      <c r="K668" s="3876"/>
      <c r="L668" s="3874"/>
      <c r="N668" s="3846"/>
      <c r="O668" s="3847"/>
      <c r="P668" s="3853"/>
      <c r="AU668" s="3850"/>
      <c r="AV668" s="3850"/>
      <c r="AW668" s="3850"/>
      <c r="AX668" s="3850"/>
      <c r="AY668" s="3850"/>
      <c r="AZ668" s="3850"/>
      <c r="BA668" s="3850"/>
      <c r="BB668" s="3850"/>
      <c r="BC668" s="3850"/>
      <c r="BD668" s="3850"/>
      <c r="BE668" s="3850"/>
      <c r="BF668" s="3850"/>
      <c r="BG668" s="3850"/>
      <c r="BH668" s="3850"/>
      <c r="BI668" s="3850"/>
      <c r="BJ668" s="3850"/>
      <c r="BK668" s="3850"/>
      <c r="BL668" s="3850"/>
      <c r="BM668" s="3850"/>
      <c r="BN668" s="3850"/>
      <c r="BO668" s="3850"/>
      <c r="BP668" s="3850"/>
      <c r="BQ668" s="3850"/>
      <c r="BR668" s="3850"/>
      <c r="BS668" s="3850"/>
      <c r="BT668" s="3850"/>
      <c r="BU668" s="3850"/>
      <c r="BV668" s="3850"/>
      <c r="BW668" s="3850"/>
      <c r="BX668" s="3850"/>
      <c r="BY668" s="3850"/>
      <c r="BZ668" s="3850"/>
      <c r="CA668" s="3850"/>
      <c r="CB668" s="3850"/>
      <c r="CC668" s="3850"/>
      <c r="CD668" s="3850"/>
      <c r="CE668" s="3850"/>
      <c r="CF668" s="3850"/>
      <c r="CG668" s="3850"/>
      <c r="CH668" s="3850"/>
      <c r="CI668" s="3850"/>
      <c r="CJ668" s="3850"/>
      <c r="CK668" s="3850"/>
      <c r="CL668" s="3850"/>
      <c r="CM668" s="3850"/>
      <c r="CN668" s="3850"/>
      <c r="CO668" s="3850"/>
      <c r="CP668" s="3850"/>
      <c r="CQ668" s="3850"/>
      <c r="CR668" s="3850"/>
      <c r="CS668" s="3850"/>
      <c r="CT668" s="3850"/>
      <c r="CU668" s="3850"/>
      <c r="CV668" s="3850"/>
      <c r="CW668" s="3850"/>
      <c r="CX668" s="3850"/>
      <c r="CY668" s="3850"/>
      <c r="CZ668" s="3850"/>
      <c r="DA668" s="3850"/>
      <c r="DB668" s="3850"/>
      <c r="DC668" s="3850"/>
      <c r="DD668" s="3850"/>
      <c r="DE668" s="3850"/>
      <c r="DF668" s="3850"/>
      <c r="DG668" s="3850"/>
      <c r="DH668" s="3850"/>
      <c r="DI668" s="3850"/>
      <c r="DJ668" s="3850"/>
      <c r="DK668" s="3850"/>
      <c r="DL668" s="3850"/>
      <c r="DM668" s="3850"/>
      <c r="DN668" s="3850"/>
      <c r="DO668" s="3850"/>
      <c r="DP668" s="3850"/>
      <c r="DQ668" s="3850"/>
      <c r="DR668" s="3850"/>
      <c r="DS668" s="3850"/>
      <c r="DT668" s="3850"/>
      <c r="DU668" s="3850"/>
      <c r="DV668" s="3850"/>
      <c r="DW668" s="3850"/>
      <c r="DX668" s="3850"/>
      <c r="DY668" s="3850"/>
      <c r="DZ668" s="3850"/>
    </row>
    <row r="669" spans="1:130" s="3849" customFormat="1">
      <c r="A669" s="3852"/>
      <c r="B669" s="3840"/>
      <c r="C669" s="3870"/>
      <c r="D669" s="3893"/>
      <c r="E669" s="3883"/>
      <c r="F669" s="3874"/>
      <c r="G669" s="3875"/>
      <c r="H669" s="3874"/>
      <c r="I669" s="3875"/>
      <c r="J669" s="3874"/>
      <c r="K669" s="3876"/>
      <c r="L669" s="3874"/>
      <c r="N669" s="3846"/>
      <c r="O669" s="3847"/>
      <c r="P669" s="3853"/>
      <c r="AU669" s="3850"/>
      <c r="AV669" s="3850"/>
      <c r="AW669" s="3850"/>
      <c r="AX669" s="3850"/>
      <c r="AY669" s="3850"/>
      <c r="AZ669" s="3850"/>
      <c r="BA669" s="3850"/>
      <c r="BB669" s="3850"/>
      <c r="BC669" s="3850"/>
      <c r="BD669" s="3850"/>
      <c r="BE669" s="3850"/>
      <c r="BF669" s="3850"/>
      <c r="BG669" s="3850"/>
      <c r="BH669" s="3850"/>
      <c r="BI669" s="3850"/>
      <c r="BJ669" s="3850"/>
      <c r="BK669" s="3850"/>
      <c r="BL669" s="3850"/>
      <c r="BM669" s="3850"/>
      <c r="BN669" s="3850"/>
      <c r="BO669" s="3850"/>
      <c r="BP669" s="3850"/>
      <c r="BQ669" s="3850"/>
      <c r="BR669" s="3850"/>
      <c r="BS669" s="3850"/>
      <c r="BT669" s="3850"/>
      <c r="BU669" s="3850"/>
      <c r="BV669" s="3850"/>
      <c r="BW669" s="3850"/>
      <c r="BX669" s="3850"/>
      <c r="BY669" s="3850"/>
      <c r="BZ669" s="3850"/>
      <c r="CA669" s="3850"/>
      <c r="CB669" s="3850"/>
      <c r="CC669" s="3850"/>
      <c r="CD669" s="3850"/>
      <c r="CE669" s="3850"/>
      <c r="CF669" s="3850"/>
      <c r="CG669" s="3850"/>
      <c r="CH669" s="3850"/>
      <c r="CI669" s="3850"/>
      <c r="CJ669" s="3850"/>
      <c r="CK669" s="3850"/>
      <c r="CL669" s="3850"/>
      <c r="CM669" s="3850"/>
      <c r="CN669" s="3850"/>
      <c r="CO669" s="3850"/>
      <c r="CP669" s="3850"/>
      <c r="CQ669" s="3850"/>
      <c r="CR669" s="3850"/>
      <c r="CS669" s="3850"/>
      <c r="CT669" s="3850"/>
      <c r="CU669" s="3850"/>
      <c r="CV669" s="3850"/>
      <c r="CW669" s="3850"/>
      <c r="CX669" s="3850"/>
      <c r="CY669" s="3850"/>
      <c r="CZ669" s="3850"/>
      <c r="DA669" s="3850"/>
      <c r="DB669" s="3850"/>
      <c r="DC669" s="3850"/>
      <c r="DD669" s="3850"/>
      <c r="DE669" s="3850"/>
      <c r="DF669" s="3850"/>
      <c r="DG669" s="3850"/>
      <c r="DH669" s="3850"/>
      <c r="DI669" s="3850"/>
      <c r="DJ669" s="3850"/>
      <c r="DK669" s="3850"/>
      <c r="DL669" s="3850"/>
      <c r="DM669" s="3850"/>
      <c r="DN669" s="3850"/>
      <c r="DO669" s="3850"/>
      <c r="DP669" s="3850"/>
      <c r="DQ669" s="3850"/>
      <c r="DR669" s="3850"/>
      <c r="DS669" s="3850"/>
      <c r="DT669" s="3850"/>
      <c r="DU669" s="3850"/>
      <c r="DV669" s="3850"/>
      <c r="DW669" s="3850"/>
      <c r="DX669" s="3850"/>
      <c r="DY669" s="3850"/>
      <c r="DZ669" s="3850"/>
    </row>
    <row r="670" spans="1:130" s="3849" customFormat="1">
      <c r="A670" s="3852"/>
      <c r="B670" s="3840"/>
      <c r="C670" s="3870"/>
      <c r="D670" s="3893"/>
      <c r="E670" s="3883"/>
      <c r="F670" s="3874"/>
      <c r="G670" s="3875"/>
      <c r="H670" s="3874"/>
      <c r="I670" s="3875"/>
      <c r="J670" s="3874"/>
      <c r="K670" s="3876"/>
      <c r="L670" s="3874"/>
      <c r="N670" s="3846"/>
      <c r="O670" s="3847"/>
      <c r="P670" s="3853"/>
      <c r="AU670" s="3850"/>
      <c r="AV670" s="3850"/>
      <c r="AW670" s="3850"/>
      <c r="AX670" s="3850"/>
      <c r="AY670" s="3850"/>
      <c r="AZ670" s="3850"/>
      <c r="BA670" s="3850"/>
      <c r="BB670" s="3850"/>
      <c r="BC670" s="3850"/>
      <c r="BD670" s="3850"/>
      <c r="BE670" s="3850"/>
      <c r="BF670" s="3850"/>
      <c r="BG670" s="3850"/>
      <c r="BH670" s="3850"/>
      <c r="BI670" s="3850"/>
      <c r="BJ670" s="3850"/>
      <c r="BK670" s="3850"/>
      <c r="BL670" s="3850"/>
      <c r="BM670" s="3850"/>
      <c r="BN670" s="3850"/>
      <c r="BO670" s="3850"/>
      <c r="BP670" s="3850"/>
      <c r="BQ670" s="3850"/>
      <c r="BR670" s="3850"/>
      <c r="BS670" s="3850"/>
      <c r="BT670" s="3850"/>
      <c r="BU670" s="3850"/>
      <c r="BV670" s="3850"/>
      <c r="BW670" s="3850"/>
      <c r="BX670" s="3850"/>
      <c r="BY670" s="3850"/>
      <c r="BZ670" s="3850"/>
      <c r="CA670" s="3850"/>
      <c r="CB670" s="3850"/>
      <c r="CC670" s="3850"/>
      <c r="CD670" s="3850"/>
      <c r="CE670" s="3850"/>
      <c r="CF670" s="3850"/>
      <c r="CG670" s="3850"/>
      <c r="CH670" s="3850"/>
      <c r="CI670" s="3850"/>
      <c r="CJ670" s="3850"/>
      <c r="CK670" s="3850"/>
      <c r="CL670" s="3850"/>
      <c r="CM670" s="3850"/>
      <c r="CN670" s="3850"/>
      <c r="CO670" s="3850"/>
      <c r="CP670" s="3850"/>
      <c r="CQ670" s="3850"/>
      <c r="CR670" s="3850"/>
      <c r="CS670" s="3850"/>
      <c r="CT670" s="3850"/>
      <c r="CU670" s="3850"/>
      <c r="CV670" s="3850"/>
      <c r="CW670" s="3850"/>
      <c r="CX670" s="3850"/>
      <c r="CY670" s="3850"/>
      <c r="CZ670" s="3850"/>
      <c r="DA670" s="3850"/>
      <c r="DB670" s="3850"/>
      <c r="DC670" s="3850"/>
      <c r="DD670" s="3850"/>
      <c r="DE670" s="3850"/>
      <c r="DF670" s="3850"/>
      <c r="DG670" s="3850"/>
      <c r="DH670" s="3850"/>
      <c r="DI670" s="3850"/>
      <c r="DJ670" s="3850"/>
      <c r="DK670" s="3850"/>
      <c r="DL670" s="3850"/>
      <c r="DM670" s="3850"/>
      <c r="DN670" s="3850"/>
      <c r="DO670" s="3850"/>
      <c r="DP670" s="3850"/>
      <c r="DQ670" s="3850"/>
      <c r="DR670" s="3850"/>
      <c r="DS670" s="3850"/>
      <c r="DT670" s="3850"/>
      <c r="DU670" s="3850"/>
      <c r="DV670" s="3850"/>
      <c r="DW670" s="3850"/>
      <c r="DX670" s="3850"/>
      <c r="DY670" s="3850"/>
      <c r="DZ670" s="3850"/>
    </row>
    <row r="671" spans="1:130" s="3849" customFormat="1">
      <c r="A671" s="3852"/>
      <c r="B671" s="3840"/>
      <c r="C671" s="3870"/>
      <c r="D671" s="3893"/>
      <c r="E671" s="3883"/>
      <c r="F671" s="3874"/>
      <c r="G671" s="3875"/>
      <c r="H671" s="3874"/>
      <c r="I671" s="3875"/>
      <c r="J671" s="3874"/>
      <c r="K671" s="3876"/>
      <c r="L671" s="3874"/>
      <c r="N671" s="3846"/>
      <c r="O671" s="3847"/>
      <c r="P671" s="3853"/>
      <c r="AU671" s="3850"/>
      <c r="AV671" s="3850"/>
      <c r="AW671" s="3850"/>
      <c r="AX671" s="3850"/>
      <c r="AY671" s="3850"/>
      <c r="AZ671" s="3850"/>
      <c r="BA671" s="3850"/>
      <c r="BB671" s="3850"/>
      <c r="BC671" s="3850"/>
      <c r="BD671" s="3850"/>
      <c r="BE671" s="3850"/>
      <c r="BF671" s="3850"/>
      <c r="BG671" s="3850"/>
      <c r="BH671" s="3850"/>
      <c r="BI671" s="3850"/>
      <c r="BJ671" s="3850"/>
      <c r="BK671" s="3850"/>
      <c r="BL671" s="3850"/>
      <c r="BM671" s="3850"/>
      <c r="BN671" s="3850"/>
      <c r="BO671" s="3850"/>
      <c r="BP671" s="3850"/>
      <c r="BQ671" s="3850"/>
      <c r="BR671" s="3850"/>
      <c r="BS671" s="3850"/>
      <c r="BT671" s="3850"/>
      <c r="BU671" s="3850"/>
      <c r="BV671" s="3850"/>
      <c r="BW671" s="3850"/>
      <c r="BX671" s="3850"/>
      <c r="BY671" s="3850"/>
      <c r="BZ671" s="3850"/>
      <c r="CA671" s="3850"/>
      <c r="CB671" s="3850"/>
      <c r="CC671" s="3850"/>
      <c r="CD671" s="3850"/>
      <c r="CE671" s="3850"/>
      <c r="CF671" s="3850"/>
      <c r="CG671" s="3850"/>
      <c r="CH671" s="3850"/>
      <c r="CI671" s="3850"/>
      <c r="CJ671" s="3850"/>
      <c r="CK671" s="3850"/>
      <c r="CL671" s="3850"/>
      <c r="CM671" s="3850"/>
      <c r="CN671" s="3850"/>
      <c r="CO671" s="3850"/>
      <c r="CP671" s="3850"/>
      <c r="CQ671" s="3850"/>
      <c r="CR671" s="3850"/>
      <c r="CS671" s="3850"/>
      <c r="CT671" s="3850"/>
      <c r="CU671" s="3850"/>
      <c r="CV671" s="3850"/>
      <c r="CW671" s="3850"/>
      <c r="CX671" s="3850"/>
      <c r="CY671" s="3850"/>
      <c r="CZ671" s="3850"/>
      <c r="DA671" s="3850"/>
      <c r="DB671" s="3850"/>
      <c r="DC671" s="3850"/>
      <c r="DD671" s="3850"/>
      <c r="DE671" s="3850"/>
      <c r="DF671" s="3850"/>
      <c r="DG671" s="3850"/>
      <c r="DH671" s="3850"/>
      <c r="DI671" s="3850"/>
      <c r="DJ671" s="3850"/>
      <c r="DK671" s="3850"/>
      <c r="DL671" s="3850"/>
      <c r="DM671" s="3850"/>
      <c r="DN671" s="3850"/>
      <c r="DO671" s="3850"/>
      <c r="DP671" s="3850"/>
      <c r="DQ671" s="3850"/>
      <c r="DR671" s="3850"/>
      <c r="DS671" s="3850"/>
      <c r="DT671" s="3850"/>
      <c r="DU671" s="3850"/>
      <c r="DV671" s="3850"/>
      <c r="DW671" s="3850"/>
      <c r="DX671" s="3850"/>
      <c r="DY671" s="3850"/>
      <c r="DZ671" s="3850"/>
    </row>
    <row r="672" spans="1:130" s="3849" customFormat="1">
      <c r="A672" s="3852"/>
      <c r="B672" s="3840"/>
      <c r="C672" s="3870"/>
      <c r="D672" s="3893"/>
      <c r="E672" s="3883"/>
      <c r="F672" s="3874"/>
      <c r="G672" s="3875"/>
      <c r="H672" s="3874"/>
      <c r="I672" s="3875"/>
      <c r="J672" s="3874"/>
      <c r="K672" s="3876"/>
      <c r="L672" s="3874"/>
      <c r="N672" s="3846"/>
      <c r="O672" s="3847"/>
      <c r="P672" s="3853"/>
      <c r="AU672" s="3850"/>
      <c r="AV672" s="3850"/>
      <c r="AW672" s="3850"/>
      <c r="AX672" s="3850"/>
      <c r="AY672" s="3850"/>
      <c r="AZ672" s="3850"/>
      <c r="BA672" s="3850"/>
      <c r="BB672" s="3850"/>
      <c r="BC672" s="3850"/>
      <c r="BD672" s="3850"/>
      <c r="BE672" s="3850"/>
      <c r="BF672" s="3850"/>
      <c r="BG672" s="3850"/>
      <c r="BH672" s="3850"/>
      <c r="BI672" s="3850"/>
      <c r="BJ672" s="3850"/>
      <c r="BK672" s="3850"/>
      <c r="BL672" s="3850"/>
      <c r="BM672" s="3850"/>
      <c r="BN672" s="3850"/>
      <c r="BO672" s="3850"/>
      <c r="BP672" s="3850"/>
      <c r="BQ672" s="3850"/>
      <c r="BR672" s="3850"/>
      <c r="BS672" s="3850"/>
      <c r="BT672" s="3850"/>
      <c r="BU672" s="3850"/>
      <c r="BV672" s="3850"/>
      <c r="BW672" s="3850"/>
      <c r="BX672" s="3850"/>
      <c r="BY672" s="3850"/>
      <c r="BZ672" s="3850"/>
      <c r="CA672" s="3850"/>
      <c r="CB672" s="3850"/>
      <c r="CC672" s="3850"/>
      <c r="CD672" s="3850"/>
      <c r="CE672" s="3850"/>
      <c r="CF672" s="3850"/>
      <c r="CG672" s="3850"/>
      <c r="CH672" s="3850"/>
      <c r="CI672" s="3850"/>
      <c r="CJ672" s="3850"/>
      <c r="CK672" s="3850"/>
      <c r="CL672" s="3850"/>
      <c r="CM672" s="3850"/>
      <c r="CN672" s="3850"/>
      <c r="CO672" s="3850"/>
      <c r="CP672" s="3850"/>
      <c r="CQ672" s="3850"/>
      <c r="CR672" s="3850"/>
      <c r="CS672" s="3850"/>
      <c r="CT672" s="3850"/>
      <c r="CU672" s="3850"/>
      <c r="CV672" s="3850"/>
      <c r="CW672" s="3850"/>
      <c r="CX672" s="3850"/>
      <c r="CY672" s="3850"/>
      <c r="CZ672" s="3850"/>
      <c r="DA672" s="3850"/>
      <c r="DB672" s="3850"/>
      <c r="DC672" s="3850"/>
      <c r="DD672" s="3850"/>
      <c r="DE672" s="3850"/>
      <c r="DF672" s="3850"/>
      <c r="DG672" s="3850"/>
      <c r="DH672" s="3850"/>
      <c r="DI672" s="3850"/>
      <c r="DJ672" s="3850"/>
      <c r="DK672" s="3850"/>
      <c r="DL672" s="3850"/>
      <c r="DM672" s="3850"/>
      <c r="DN672" s="3850"/>
      <c r="DO672" s="3850"/>
      <c r="DP672" s="3850"/>
      <c r="DQ672" s="3850"/>
      <c r="DR672" s="3850"/>
      <c r="DS672" s="3850"/>
      <c r="DT672" s="3850"/>
      <c r="DU672" s="3850"/>
      <c r="DV672" s="3850"/>
      <c r="DW672" s="3850"/>
      <c r="DX672" s="3850"/>
      <c r="DY672" s="3850"/>
      <c r="DZ672" s="3850"/>
    </row>
    <row r="673" spans="1:130" s="3849" customFormat="1">
      <c r="A673" s="3852"/>
      <c r="B673" s="3840"/>
      <c r="C673" s="3870"/>
      <c r="D673" s="3893"/>
      <c r="E673" s="3883"/>
      <c r="F673" s="3874"/>
      <c r="G673" s="3875"/>
      <c r="H673" s="3874"/>
      <c r="I673" s="3875"/>
      <c r="J673" s="3874"/>
      <c r="K673" s="3876"/>
      <c r="L673" s="3874"/>
      <c r="N673" s="3846"/>
      <c r="O673" s="3847"/>
      <c r="P673" s="3853"/>
      <c r="AU673" s="3850"/>
      <c r="AV673" s="3850"/>
      <c r="AW673" s="3850"/>
      <c r="AX673" s="3850"/>
      <c r="AY673" s="3850"/>
      <c r="AZ673" s="3850"/>
      <c r="BA673" s="3850"/>
      <c r="BB673" s="3850"/>
      <c r="BC673" s="3850"/>
      <c r="BD673" s="3850"/>
      <c r="BE673" s="3850"/>
      <c r="BF673" s="3850"/>
      <c r="BG673" s="3850"/>
      <c r="BH673" s="3850"/>
      <c r="BI673" s="3850"/>
      <c r="BJ673" s="3850"/>
      <c r="BK673" s="3850"/>
      <c r="BL673" s="3850"/>
      <c r="BM673" s="3850"/>
      <c r="BN673" s="3850"/>
      <c r="BO673" s="3850"/>
      <c r="BP673" s="3850"/>
      <c r="BQ673" s="3850"/>
      <c r="BR673" s="3850"/>
      <c r="BS673" s="3850"/>
      <c r="BT673" s="3850"/>
      <c r="BU673" s="3850"/>
      <c r="BV673" s="3850"/>
      <c r="BW673" s="3850"/>
      <c r="BX673" s="3850"/>
      <c r="BY673" s="3850"/>
      <c r="BZ673" s="3850"/>
      <c r="CA673" s="3850"/>
      <c r="CB673" s="3850"/>
      <c r="CC673" s="3850"/>
      <c r="CD673" s="3850"/>
      <c r="CE673" s="3850"/>
      <c r="CF673" s="3850"/>
      <c r="CG673" s="3850"/>
      <c r="CH673" s="3850"/>
      <c r="CI673" s="3850"/>
      <c r="CJ673" s="3850"/>
      <c r="CK673" s="3850"/>
      <c r="CL673" s="3850"/>
      <c r="CM673" s="3850"/>
      <c r="CN673" s="3850"/>
      <c r="CO673" s="3850"/>
      <c r="CP673" s="3850"/>
      <c r="CQ673" s="3850"/>
      <c r="CR673" s="3850"/>
      <c r="CS673" s="3850"/>
      <c r="CT673" s="3850"/>
      <c r="CU673" s="3850"/>
      <c r="CV673" s="3850"/>
      <c r="CW673" s="3850"/>
      <c r="CX673" s="3850"/>
      <c r="CY673" s="3850"/>
      <c r="CZ673" s="3850"/>
      <c r="DA673" s="3850"/>
      <c r="DB673" s="3850"/>
      <c r="DC673" s="3850"/>
      <c r="DD673" s="3850"/>
      <c r="DE673" s="3850"/>
      <c r="DF673" s="3850"/>
      <c r="DG673" s="3850"/>
      <c r="DH673" s="3850"/>
      <c r="DI673" s="3850"/>
      <c r="DJ673" s="3850"/>
      <c r="DK673" s="3850"/>
      <c r="DL673" s="3850"/>
      <c r="DM673" s="3850"/>
      <c r="DN673" s="3850"/>
      <c r="DO673" s="3850"/>
      <c r="DP673" s="3850"/>
      <c r="DQ673" s="3850"/>
      <c r="DR673" s="3850"/>
      <c r="DS673" s="3850"/>
      <c r="DT673" s="3850"/>
      <c r="DU673" s="3850"/>
      <c r="DV673" s="3850"/>
      <c r="DW673" s="3850"/>
      <c r="DX673" s="3850"/>
      <c r="DY673" s="3850"/>
      <c r="DZ673" s="3850"/>
    </row>
    <row r="674" spans="1:130" s="3849" customFormat="1">
      <c r="A674" s="3852"/>
      <c r="B674" s="3840"/>
      <c r="C674" s="3870"/>
      <c r="D674" s="3893"/>
      <c r="E674" s="3883"/>
      <c r="F674" s="3874"/>
      <c r="G674" s="3875"/>
      <c r="H674" s="3874"/>
      <c r="I674" s="3875"/>
      <c r="J674" s="3874"/>
      <c r="K674" s="3876"/>
      <c r="L674" s="3874"/>
      <c r="N674" s="3846"/>
      <c r="O674" s="3847"/>
      <c r="P674" s="3853"/>
      <c r="AU674" s="3850"/>
      <c r="AV674" s="3850"/>
      <c r="AW674" s="3850"/>
      <c r="AX674" s="3850"/>
      <c r="AY674" s="3850"/>
      <c r="AZ674" s="3850"/>
      <c r="BA674" s="3850"/>
      <c r="BB674" s="3850"/>
      <c r="BC674" s="3850"/>
      <c r="BD674" s="3850"/>
      <c r="BE674" s="3850"/>
      <c r="BF674" s="3850"/>
      <c r="BG674" s="3850"/>
      <c r="BH674" s="3850"/>
      <c r="BI674" s="3850"/>
      <c r="BJ674" s="3850"/>
      <c r="BK674" s="3850"/>
      <c r="BL674" s="3850"/>
      <c r="BM674" s="3850"/>
      <c r="BN674" s="3850"/>
      <c r="BO674" s="3850"/>
      <c r="BP674" s="3850"/>
      <c r="BQ674" s="3850"/>
      <c r="BR674" s="3850"/>
      <c r="BS674" s="3850"/>
      <c r="BT674" s="3850"/>
      <c r="BU674" s="3850"/>
      <c r="BV674" s="3850"/>
      <c r="BW674" s="3850"/>
      <c r="BX674" s="3850"/>
      <c r="BY674" s="3850"/>
      <c r="BZ674" s="3850"/>
      <c r="CA674" s="3850"/>
      <c r="CB674" s="3850"/>
      <c r="CC674" s="3850"/>
      <c r="CD674" s="3850"/>
      <c r="CE674" s="3850"/>
      <c r="CF674" s="3850"/>
      <c r="CG674" s="3850"/>
      <c r="CH674" s="3850"/>
      <c r="CI674" s="3850"/>
      <c r="CJ674" s="3850"/>
      <c r="CK674" s="3850"/>
      <c r="CL674" s="3850"/>
      <c r="CM674" s="3850"/>
      <c r="CN674" s="3850"/>
      <c r="CO674" s="3850"/>
      <c r="CP674" s="3850"/>
      <c r="CQ674" s="3850"/>
      <c r="CR674" s="3850"/>
      <c r="CS674" s="3850"/>
      <c r="CT674" s="3850"/>
      <c r="CU674" s="3850"/>
      <c r="CV674" s="3850"/>
      <c r="CW674" s="3850"/>
      <c r="CX674" s="3850"/>
      <c r="CY674" s="3850"/>
      <c r="CZ674" s="3850"/>
      <c r="DA674" s="3850"/>
      <c r="DB674" s="3850"/>
      <c r="DC674" s="3850"/>
      <c r="DD674" s="3850"/>
      <c r="DE674" s="3850"/>
      <c r="DF674" s="3850"/>
      <c r="DG674" s="3850"/>
      <c r="DH674" s="3850"/>
      <c r="DI674" s="3850"/>
      <c r="DJ674" s="3850"/>
      <c r="DK674" s="3850"/>
      <c r="DL674" s="3850"/>
      <c r="DM674" s="3850"/>
      <c r="DN674" s="3850"/>
      <c r="DO674" s="3850"/>
      <c r="DP674" s="3850"/>
      <c r="DQ674" s="3850"/>
      <c r="DR674" s="3850"/>
      <c r="DS674" s="3850"/>
      <c r="DT674" s="3850"/>
      <c r="DU674" s="3850"/>
      <c r="DV674" s="3850"/>
      <c r="DW674" s="3850"/>
      <c r="DX674" s="3850"/>
      <c r="DY674" s="3850"/>
      <c r="DZ674" s="3850"/>
    </row>
    <row r="675" spans="1:130" s="3849" customFormat="1">
      <c r="A675" s="3852"/>
      <c r="B675" s="3840"/>
      <c r="C675" s="3870"/>
      <c r="D675" s="3893"/>
      <c r="E675" s="3883"/>
      <c r="F675" s="3874"/>
      <c r="G675" s="3875"/>
      <c r="H675" s="3874"/>
      <c r="I675" s="3875"/>
      <c r="J675" s="3874"/>
      <c r="K675" s="3876"/>
      <c r="L675" s="3874"/>
      <c r="N675" s="3846"/>
      <c r="O675" s="3847"/>
      <c r="P675" s="3853"/>
      <c r="AU675" s="3850"/>
      <c r="AV675" s="3850"/>
      <c r="AW675" s="3850"/>
      <c r="AX675" s="3850"/>
      <c r="AY675" s="3850"/>
      <c r="AZ675" s="3850"/>
      <c r="BA675" s="3850"/>
      <c r="BB675" s="3850"/>
      <c r="BC675" s="3850"/>
      <c r="BD675" s="3850"/>
      <c r="BE675" s="3850"/>
      <c r="BF675" s="3850"/>
      <c r="BG675" s="3850"/>
      <c r="BH675" s="3850"/>
      <c r="BI675" s="3850"/>
      <c r="BJ675" s="3850"/>
      <c r="BK675" s="3850"/>
      <c r="BL675" s="3850"/>
      <c r="BM675" s="3850"/>
      <c r="BN675" s="3850"/>
      <c r="BO675" s="3850"/>
      <c r="BP675" s="3850"/>
      <c r="BQ675" s="3850"/>
      <c r="BR675" s="3850"/>
      <c r="BS675" s="3850"/>
      <c r="BT675" s="3850"/>
      <c r="BU675" s="3850"/>
      <c r="BV675" s="3850"/>
      <c r="BW675" s="3850"/>
      <c r="BX675" s="3850"/>
      <c r="BY675" s="3850"/>
      <c r="BZ675" s="3850"/>
      <c r="CA675" s="3850"/>
      <c r="CB675" s="3850"/>
      <c r="CC675" s="3850"/>
      <c r="CD675" s="3850"/>
      <c r="CE675" s="3850"/>
      <c r="CF675" s="3850"/>
      <c r="CG675" s="3850"/>
      <c r="CH675" s="3850"/>
      <c r="CI675" s="3850"/>
      <c r="CJ675" s="3850"/>
      <c r="CK675" s="3850"/>
      <c r="CL675" s="3850"/>
      <c r="CM675" s="3850"/>
      <c r="CN675" s="3850"/>
      <c r="CO675" s="3850"/>
      <c r="CP675" s="3850"/>
      <c r="CQ675" s="3850"/>
      <c r="CR675" s="3850"/>
      <c r="CS675" s="3850"/>
      <c r="CT675" s="3850"/>
      <c r="CU675" s="3850"/>
      <c r="CV675" s="3850"/>
      <c r="CW675" s="3850"/>
      <c r="CX675" s="3850"/>
      <c r="CY675" s="3850"/>
      <c r="CZ675" s="3850"/>
      <c r="DA675" s="3850"/>
      <c r="DB675" s="3850"/>
      <c r="DC675" s="3850"/>
      <c r="DD675" s="3850"/>
      <c r="DE675" s="3850"/>
      <c r="DF675" s="3850"/>
      <c r="DG675" s="3850"/>
      <c r="DH675" s="3850"/>
      <c r="DI675" s="3850"/>
      <c r="DJ675" s="3850"/>
      <c r="DK675" s="3850"/>
      <c r="DL675" s="3850"/>
      <c r="DM675" s="3850"/>
      <c r="DN675" s="3850"/>
      <c r="DO675" s="3850"/>
      <c r="DP675" s="3850"/>
      <c r="DQ675" s="3850"/>
      <c r="DR675" s="3850"/>
      <c r="DS675" s="3850"/>
      <c r="DT675" s="3850"/>
      <c r="DU675" s="3850"/>
      <c r="DV675" s="3850"/>
      <c r="DW675" s="3850"/>
      <c r="DX675" s="3850"/>
      <c r="DY675" s="3850"/>
      <c r="DZ675" s="3850"/>
    </row>
    <row r="676" spans="1:130" s="3849" customFormat="1">
      <c r="A676" s="3852"/>
      <c r="B676" s="3840"/>
      <c r="C676" s="3870"/>
      <c r="D676" s="3893"/>
      <c r="E676" s="3883"/>
      <c r="F676" s="3874"/>
      <c r="G676" s="3875"/>
      <c r="H676" s="3874"/>
      <c r="I676" s="3875"/>
      <c r="J676" s="3874"/>
      <c r="K676" s="3876"/>
      <c r="L676" s="3874"/>
      <c r="N676" s="3846"/>
      <c r="O676" s="3847"/>
      <c r="P676" s="3853"/>
      <c r="AU676" s="3850"/>
      <c r="AV676" s="3850"/>
      <c r="AW676" s="3850"/>
      <c r="AX676" s="3850"/>
      <c r="AY676" s="3850"/>
      <c r="AZ676" s="3850"/>
      <c r="BA676" s="3850"/>
      <c r="BB676" s="3850"/>
      <c r="BC676" s="3850"/>
      <c r="BD676" s="3850"/>
      <c r="BE676" s="3850"/>
      <c r="BF676" s="3850"/>
      <c r="BG676" s="3850"/>
      <c r="BH676" s="3850"/>
      <c r="BI676" s="3850"/>
      <c r="BJ676" s="3850"/>
      <c r="BK676" s="3850"/>
      <c r="BL676" s="3850"/>
      <c r="BM676" s="3850"/>
      <c r="BN676" s="3850"/>
      <c r="BO676" s="3850"/>
      <c r="BP676" s="3850"/>
      <c r="BQ676" s="3850"/>
      <c r="BR676" s="3850"/>
      <c r="BS676" s="3850"/>
      <c r="BT676" s="3850"/>
      <c r="BU676" s="3850"/>
      <c r="BV676" s="3850"/>
      <c r="BW676" s="3850"/>
      <c r="BX676" s="3850"/>
      <c r="BY676" s="3850"/>
      <c r="BZ676" s="3850"/>
      <c r="CA676" s="3850"/>
      <c r="CB676" s="3850"/>
      <c r="CC676" s="3850"/>
      <c r="CD676" s="3850"/>
      <c r="CE676" s="3850"/>
      <c r="CF676" s="3850"/>
      <c r="CG676" s="3850"/>
      <c r="CH676" s="3850"/>
      <c r="CI676" s="3850"/>
      <c r="CJ676" s="3850"/>
      <c r="CK676" s="3850"/>
      <c r="CL676" s="3850"/>
      <c r="CM676" s="3850"/>
      <c r="CN676" s="3850"/>
      <c r="CO676" s="3850"/>
      <c r="CP676" s="3850"/>
      <c r="CQ676" s="3850"/>
      <c r="CR676" s="3850"/>
      <c r="CS676" s="3850"/>
      <c r="CT676" s="3850"/>
      <c r="CU676" s="3850"/>
      <c r="CV676" s="3850"/>
      <c r="CW676" s="3850"/>
      <c r="CX676" s="3850"/>
      <c r="CY676" s="3850"/>
      <c r="CZ676" s="3850"/>
      <c r="DA676" s="3850"/>
      <c r="DB676" s="3850"/>
      <c r="DC676" s="3850"/>
      <c r="DD676" s="3850"/>
      <c r="DE676" s="3850"/>
      <c r="DF676" s="3850"/>
      <c r="DG676" s="3850"/>
      <c r="DH676" s="3850"/>
      <c r="DI676" s="3850"/>
      <c r="DJ676" s="3850"/>
      <c r="DK676" s="3850"/>
      <c r="DL676" s="3850"/>
      <c r="DM676" s="3850"/>
      <c r="DN676" s="3850"/>
      <c r="DO676" s="3850"/>
      <c r="DP676" s="3850"/>
      <c r="DQ676" s="3850"/>
      <c r="DR676" s="3850"/>
      <c r="DS676" s="3850"/>
      <c r="DT676" s="3850"/>
      <c r="DU676" s="3850"/>
      <c r="DV676" s="3850"/>
      <c r="DW676" s="3850"/>
      <c r="DX676" s="3850"/>
      <c r="DY676" s="3850"/>
      <c r="DZ676" s="3850"/>
    </row>
    <row r="677" spans="1:130" s="3849" customFormat="1">
      <c r="A677" s="3852"/>
      <c r="B677" s="3840"/>
      <c r="C677" s="3870"/>
      <c r="D677" s="3893"/>
      <c r="E677" s="3883"/>
      <c r="F677" s="3874"/>
      <c r="G677" s="3875"/>
      <c r="H677" s="3874"/>
      <c r="I677" s="3875"/>
      <c r="J677" s="3874"/>
      <c r="K677" s="3876"/>
      <c r="L677" s="3874"/>
      <c r="N677" s="3846"/>
      <c r="O677" s="3847"/>
      <c r="P677" s="3853"/>
      <c r="AU677" s="3850"/>
      <c r="AV677" s="3850"/>
      <c r="AW677" s="3850"/>
      <c r="AX677" s="3850"/>
      <c r="AY677" s="3850"/>
      <c r="AZ677" s="3850"/>
      <c r="BA677" s="3850"/>
      <c r="BB677" s="3850"/>
      <c r="BC677" s="3850"/>
      <c r="BD677" s="3850"/>
      <c r="BE677" s="3850"/>
      <c r="BF677" s="3850"/>
      <c r="BG677" s="3850"/>
      <c r="BH677" s="3850"/>
      <c r="BI677" s="3850"/>
      <c r="BJ677" s="3850"/>
      <c r="BK677" s="3850"/>
      <c r="BL677" s="3850"/>
      <c r="BM677" s="3850"/>
      <c r="BN677" s="3850"/>
      <c r="BO677" s="3850"/>
      <c r="BP677" s="3850"/>
      <c r="BQ677" s="3850"/>
      <c r="BR677" s="3850"/>
      <c r="BS677" s="3850"/>
      <c r="BT677" s="3850"/>
      <c r="BU677" s="3850"/>
      <c r="BV677" s="3850"/>
      <c r="BW677" s="3850"/>
      <c r="BX677" s="3850"/>
      <c r="BY677" s="3850"/>
      <c r="BZ677" s="3850"/>
      <c r="CA677" s="3850"/>
      <c r="CB677" s="3850"/>
      <c r="CC677" s="3850"/>
      <c r="CD677" s="3850"/>
      <c r="CE677" s="3850"/>
      <c r="CF677" s="3850"/>
      <c r="CG677" s="3850"/>
      <c r="CH677" s="3850"/>
      <c r="CI677" s="3850"/>
      <c r="CJ677" s="3850"/>
      <c r="CK677" s="3850"/>
      <c r="CL677" s="3850"/>
      <c r="CM677" s="3850"/>
      <c r="CN677" s="3850"/>
      <c r="CO677" s="3850"/>
      <c r="CP677" s="3850"/>
      <c r="CQ677" s="3850"/>
      <c r="CR677" s="3850"/>
      <c r="CS677" s="3850"/>
      <c r="CT677" s="3850"/>
      <c r="CU677" s="3850"/>
      <c r="CV677" s="3850"/>
      <c r="CW677" s="3850"/>
      <c r="CX677" s="3850"/>
      <c r="CY677" s="3850"/>
      <c r="CZ677" s="3850"/>
      <c r="DA677" s="3850"/>
      <c r="DB677" s="3850"/>
      <c r="DC677" s="3850"/>
      <c r="DD677" s="3850"/>
      <c r="DE677" s="3850"/>
      <c r="DF677" s="3850"/>
      <c r="DG677" s="3850"/>
      <c r="DH677" s="3850"/>
      <c r="DI677" s="3850"/>
      <c r="DJ677" s="3850"/>
      <c r="DK677" s="3850"/>
      <c r="DL677" s="3850"/>
      <c r="DM677" s="3850"/>
      <c r="DN677" s="3850"/>
      <c r="DO677" s="3850"/>
      <c r="DP677" s="3850"/>
      <c r="DQ677" s="3850"/>
      <c r="DR677" s="3850"/>
      <c r="DS677" s="3850"/>
      <c r="DT677" s="3850"/>
      <c r="DU677" s="3850"/>
      <c r="DV677" s="3850"/>
      <c r="DW677" s="3850"/>
      <c r="DX677" s="3850"/>
      <c r="DY677" s="3850"/>
      <c r="DZ677" s="3850"/>
    </row>
    <row r="678" spans="1:130" s="3849" customFormat="1">
      <c r="A678" s="3852"/>
      <c r="B678" s="3840"/>
      <c r="C678" s="3870"/>
      <c r="D678" s="3893"/>
      <c r="E678" s="3883"/>
      <c r="F678" s="3874"/>
      <c r="G678" s="3875"/>
      <c r="H678" s="3874"/>
      <c r="I678" s="3875"/>
      <c r="J678" s="3874"/>
      <c r="K678" s="3876"/>
      <c r="L678" s="3874"/>
      <c r="N678" s="3846"/>
      <c r="O678" s="3847"/>
      <c r="P678" s="3853"/>
      <c r="AU678" s="3850"/>
      <c r="AV678" s="3850"/>
      <c r="AW678" s="3850"/>
      <c r="AX678" s="3850"/>
      <c r="AY678" s="3850"/>
      <c r="AZ678" s="3850"/>
      <c r="BA678" s="3850"/>
      <c r="BB678" s="3850"/>
      <c r="BC678" s="3850"/>
      <c r="BD678" s="3850"/>
      <c r="BE678" s="3850"/>
      <c r="BF678" s="3850"/>
      <c r="BG678" s="3850"/>
      <c r="BH678" s="3850"/>
      <c r="BI678" s="3850"/>
      <c r="BJ678" s="3850"/>
      <c r="BK678" s="3850"/>
      <c r="BL678" s="3850"/>
      <c r="BM678" s="3850"/>
      <c r="BN678" s="3850"/>
      <c r="BO678" s="3850"/>
      <c r="BP678" s="3850"/>
      <c r="BQ678" s="3850"/>
      <c r="BR678" s="3850"/>
      <c r="BS678" s="3850"/>
      <c r="BT678" s="3850"/>
      <c r="BU678" s="3850"/>
      <c r="BV678" s="3850"/>
      <c r="BW678" s="3850"/>
      <c r="BX678" s="3850"/>
      <c r="BY678" s="3850"/>
      <c r="BZ678" s="3850"/>
      <c r="CA678" s="3850"/>
      <c r="CB678" s="3850"/>
      <c r="CC678" s="3850"/>
      <c r="CD678" s="3850"/>
      <c r="CE678" s="3850"/>
      <c r="CF678" s="3850"/>
      <c r="CG678" s="3850"/>
      <c r="CH678" s="3850"/>
      <c r="CI678" s="3850"/>
      <c r="CJ678" s="3850"/>
      <c r="CK678" s="3850"/>
      <c r="CL678" s="3850"/>
      <c r="CM678" s="3850"/>
      <c r="CN678" s="3850"/>
      <c r="CO678" s="3850"/>
      <c r="CP678" s="3850"/>
      <c r="CQ678" s="3850"/>
      <c r="CR678" s="3850"/>
      <c r="CS678" s="3850"/>
      <c r="CT678" s="3850"/>
      <c r="CU678" s="3850"/>
      <c r="CV678" s="3850"/>
      <c r="CW678" s="3850"/>
      <c r="CX678" s="3850"/>
      <c r="CY678" s="3850"/>
      <c r="CZ678" s="3850"/>
      <c r="DA678" s="3850"/>
      <c r="DB678" s="3850"/>
      <c r="DC678" s="3850"/>
      <c r="DD678" s="3850"/>
      <c r="DE678" s="3850"/>
      <c r="DF678" s="3850"/>
      <c r="DG678" s="3850"/>
      <c r="DH678" s="3850"/>
      <c r="DI678" s="3850"/>
      <c r="DJ678" s="3850"/>
      <c r="DK678" s="3850"/>
      <c r="DL678" s="3850"/>
      <c r="DM678" s="3850"/>
      <c r="DN678" s="3850"/>
      <c r="DO678" s="3850"/>
      <c r="DP678" s="3850"/>
      <c r="DQ678" s="3850"/>
      <c r="DR678" s="3850"/>
      <c r="DS678" s="3850"/>
      <c r="DT678" s="3850"/>
      <c r="DU678" s="3850"/>
      <c r="DV678" s="3850"/>
      <c r="DW678" s="3850"/>
      <c r="DX678" s="3850"/>
      <c r="DY678" s="3850"/>
      <c r="DZ678" s="3850"/>
    </row>
    <row r="679" spans="1:130" s="3849" customFormat="1">
      <c r="A679" s="3852"/>
      <c r="B679" s="3840"/>
      <c r="C679" s="3870"/>
      <c r="D679" s="3893"/>
      <c r="E679" s="3883"/>
      <c r="F679" s="3874"/>
      <c r="G679" s="3875"/>
      <c r="H679" s="3874"/>
      <c r="I679" s="3875"/>
      <c r="J679" s="3874"/>
      <c r="K679" s="3876"/>
      <c r="L679" s="3874"/>
      <c r="N679" s="3846"/>
      <c r="O679" s="3847"/>
      <c r="P679" s="3853"/>
      <c r="AU679" s="3850"/>
      <c r="AV679" s="3850"/>
      <c r="AW679" s="3850"/>
      <c r="AX679" s="3850"/>
      <c r="AY679" s="3850"/>
      <c r="AZ679" s="3850"/>
      <c r="BA679" s="3850"/>
      <c r="BB679" s="3850"/>
      <c r="BC679" s="3850"/>
      <c r="BD679" s="3850"/>
      <c r="BE679" s="3850"/>
      <c r="BF679" s="3850"/>
      <c r="BG679" s="3850"/>
      <c r="BH679" s="3850"/>
      <c r="BI679" s="3850"/>
      <c r="BJ679" s="3850"/>
      <c r="BK679" s="3850"/>
      <c r="BL679" s="3850"/>
      <c r="BM679" s="3850"/>
      <c r="BN679" s="3850"/>
      <c r="BO679" s="3850"/>
      <c r="BP679" s="3850"/>
      <c r="BQ679" s="3850"/>
      <c r="BR679" s="3850"/>
      <c r="BS679" s="3850"/>
      <c r="BT679" s="3850"/>
      <c r="BU679" s="3850"/>
      <c r="BV679" s="3850"/>
      <c r="BW679" s="3850"/>
      <c r="BX679" s="3850"/>
      <c r="BY679" s="3850"/>
      <c r="BZ679" s="3850"/>
      <c r="CA679" s="3850"/>
      <c r="CB679" s="3850"/>
      <c r="CC679" s="3850"/>
      <c r="CD679" s="3850"/>
      <c r="CE679" s="3850"/>
      <c r="CF679" s="3850"/>
      <c r="CG679" s="3850"/>
      <c r="CH679" s="3850"/>
      <c r="CI679" s="3850"/>
      <c r="CJ679" s="3850"/>
      <c r="CK679" s="3850"/>
      <c r="CL679" s="3850"/>
      <c r="CM679" s="3850"/>
      <c r="CN679" s="3850"/>
      <c r="CO679" s="3850"/>
      <c r="CP679" s="3850"/>
      <c r="CQ679" s="3850"/>
      <c r="CR679" s="3850"/>
      <c r="CS679" s="3850"/>
      <c r="CT679" s="3850"/>
      <c r="CU679" s="3850"/>
      <c r="CV679" s="3850"/>
      <c r="CW679" s="3850"/>
      <c r="CX679" s="3850"/>
      <c r="CY679" s="3850"/>
      <c r="CZ679" s="3850"/>
      <c r="DA679" s="3850"/>
      <c r="DB679" s="3850"/>
      <c r="DC679" s="3850"/>
      <c r="DD679" s="3850"/>
      <c r="DE679" s="3850"/>
      <c r="DF679" s="3850"/>
      <c r="DG679" s="3850"/>
      <c r="DH679" s="3850"/>
      <c r="DI679" s="3850"/>
      <c r="DJ679" s="3850"/>
      <c r="DK679" s="3850"/>
      <c r="DL679" s="3850"/>
      <c r="DM679" s="3850"/>
      <c r="DN679" s="3850"/>
      <c r="DO679" s="3850"/>
      <c r="DP679" s="3850"/>
      <c r="DQ679" s="3850"/>
      <c r="DR679" s="3850"/>
      <c r="DS679" s="3850"/>
      <c r="DT679" s="3850"/>
      <c r="DU679" s="3850"/>
      <c r="DV679" s="3850"/>
      <c r="DW679" s="3850"/>
      <c r="DX679" s="3850"/>
      <c r="DY679" s="3850"/>
      <c r="DZ679" s="3850"/>
    </row>
    <row r="680" spans="1:130" s="3849" customFormat="1">
      <c r="A680" s="3852"/>
      <c r="B680" s="3840"/>
      <c r="C680" s="3870"/>
      <c r="D680" s="3893"/>
      <c r="E680" s="3883"/>
      <c r="F680" s="3874"/>
      <c r="G680" s="3875"/>
      <c r="H680" s="3874"/>
      <c r="I680" s="3875"/>
      <c r="J680" s="3874"/>
      <c r="K680" s="3876"/>
      <c r="L680" s="3874"/>
      <c r="N680" s="3846"/>
      <c r="O680" s="3847"/>
      <c r="P680" s="3853"/>
      <c r="AU680" s="3850"/>
      <c r="AV680" s="3850"/>
      <c r="AW680" s="3850"/>
      <c r="AX680" s="3850"/>
      <c r="AY680" s="3850"/>
      <c r="AZ680" s="3850"/>
      <c r="BA680" s="3850"/>
      <c r="BB680" s="3850"/>
      <c r="BC680" s="3850"/>
      <c r="BD680" s="3850"/>
      <c r="BE680" s="3850"/>
      <c r="BF680" s="3850"/>
      <c r="BG680" s="3850"/>
      <c r="BH680" s="3850"/>
      <c r="BI680" s="3850"/>
      <c r="BJ680" s="3850"/>
      <c r="BK680" s="3850"/>
      <c r="BL680" s="3850"/>
      <c r="BM680" s="3850"/>
      <c r="BN680" s="3850"/>
      <c r="BO680" s="3850"/>
      <c r="BP680" s="3850"/>
      <c r="BQ680" s="3850"/>
      <c r="BR680" s="3850"/>
      <c r="BS680" s="3850"/>
      <c r="BT680" s="3850"/>
      <c r="BU680" s="3850"/>
      <c r="BV680" s="3850"/>
      <c r="BW680" s="3850"/>
      <c r="BX680" s="3850"/>
      <c r="BY680" s="3850"/>
      <c r="BZ680" s="3850"/>
      <c r="CA680" s="3850"/>
      <c r="CB680" s="3850"/>
      <c r="CC680" s="3850"/>
      <c r="CD680" s="3850"/>
      <c r="CE680" s="3850"/>
      <c r="CF680" s="3850"/>
      <c r="CG680" s="3850"/>
      <c r="CH680" s="3850"/>
      <c r="CI680" s="3850"/>
      <c r="CJ680" s="3850"/>
      <c r="CK680" s="3850"/>
      <c r="CL680" s="3850"/>
      <c r="CM680" s="3850"/>
      <c r="CN680" s="3850"/>
      <c r="CO680" s="3850"/>
      <c r="CP680" s="3850"/>
      <c r="CQ680" s="3850"/>
      <c r="CR680" s="3850"/>
      <c r="CS680" s="3850"/>
      <c r="CT680" s="3850"/>
      <c r="CU680" s="3850"/>
      <c r="CV680" s="3850"/>
      <c r="CW680" s="3850"/>
      <c r="CX680" s="3850"/>
      <c r="CY680" s="3850"/>
      <c r="CZ680" s="3850"/>
      <c r="DA680" s="3850"/>
      <c r="DB680" s="3850"/>
      <c r="DC680" s="3850"/>
      <c r="DD680" s="3850"/>
      <c r="DE680" s="3850"/>
      <c r="DF680" s="3850"/>
      <c r="DG680" s="3850"/>
      <c r="DH680" s="3850"/>
      <c r="DI680" s="3850"/>
      <c r="DJ680" s="3850"/>
      <c r="DK680" s="3850"/>
      <c r="DL680" s="3850"/>
      <c r="DM680" s="3850"/>
      <c r="DN680" s="3850"/>
      <c r="DO680" s="3850"/>
      <c r="DP680" s="3850"/>
      <c r="DQ680" s="3850"/>
      <c r="DR680" s="3850"/>
      <c r="DS680" s="3850"/>
      <c r="DT680" s="3850"/>
      <c r="DU680" s="3850"/>
      <c r="DV680" s="3850"/>
      <c r="DW680" s="3850"/>
      <c r="DX680" s="3850"/>
      <c r="DY680" s="3850"/>
      <c r="DZ680" s="3850"/>
    </row>
  </sheetData>
  <autoFilter ref="K1:K684" xr:uid="{00000000-0009-0000-0000-00000F000000}"/>
  <mergeCells count="7">
    <mergeCell ref="B2:B3"/>
    <mergeCell ref="E2:M3"/>
    <mergeCell ref="P114:P115"/>
    <mergeCell ref="AN253:AN254"/>
    <mergeCell ref="AN272:AN273"/>
    <mergeCell ref="Q179:AD179"/>
    <mergeCell ref="L113:L114"/>
  </mergeCells>
  <conditionalFormatting sqref="C323">
    <cfRule type="duplicateValues" dxfId="450" priority="240" stopIfTrue="1"/>
  </conditionalFormatting>
  <conditionalFormatting sqref="C142">
    <cfRule type="duplicateValues" dxfId="449" priority="241" stopIfTrue="1"/>
  </conditionalFormatting>
  <conditionalFormatting sqref="C241">
    <cfRule type="duplicateValues" dxfId="448" priority="244" stopIfTrue="1"/>
  </conditionalFormatting>
  <conditionalFormatting sqref="C26">
    <cfRule type="duplicateValues" dxfId="447" priority="228" stopIfTrue="1"/>
    <cfRule type="duplicateValues" dxfId="446" priority="229" stopIfTrue="1"/>
  </conditionalFormatting>
  <conditionalFormatting sqref="D201">
    <cfRule type="duplicateValues" dxfId="445" priority="222" stopIfTrue="1"/>
    <cfRule type="duplicateValues" dxfId="444" priority="223" stopIfTrue="1"/>
  </conditionalFormatting>
  <conditionalFormatting sqref="C300">
    <cfRule type="duplicateValues" dxfId="443" priority="247" stopIfTrue="1"/>
    <cfRule type="duplicateValues" dxfId="442" priority="248" stopIfTrue="1"/>
  </conditionalFormatting>
  <conditionalFormatting sqref="C243">
    <cfRule type="duplicateValues" dxfId="441" priority="208" stopIfTrue="1"/>
    <cfRule type="duplicateValues" dxfId="440" priority="209" stopIfTrue="1"/>
  </conditionalFormatting>
  <conditionalFormatting sqref="C299">
    <cfRule type="duplicateValues" dxfId="439" priority="127" stopIfTrue="1"/>
    <cfRule type="duplicateValues" dxfId="438" priority="128" stopIfTrue="1"/>
  </conditionalFormatting>
  <conditionalFormatting sqref="C203:C209">
    <cfRule type="duplicateValues" dxfId="437" priority="91" stopIfTrue="1"/>
  </conditionalFormatting>
  <conditionalFormatting sqref="C203:C209">
    <cfRule type="duplicateValues" dxfId="436" priority="92" stopIfTrue="1"/>
    <cfRule type="duplicateValues" dxfId="435" priority="93" stopIfTrue="1"/>
  </conditionalFormatting>
  <conditionalFormatting sqref="C228:C236">
    <cfRule type="duplicateValues" dxfId="434" priority="84" stopIfTrue="1"/>
  </conditionalFormatting>
  <conditionalFormatting sqref="C228:C236">
    <cfRule type="duplicateValues" dxfId="433" priority="85" stopIfTrue="1"/>
    <cfRule type="duplicateValues" dxfId="432" priority="86" stopIfTrue="1"/>
  </conditionalFormatting>
  <conditionalFormatting sqref="C256:C263 C253:C254">
    <cfRule type="duplicateValues" dxfId="431" priority="74" stopIfTrue="1"/>
  </conditionalFormatting>
  <conditionalFormatting sqref="C256:C263 C253:C254">
    <cfRule type="duplicateValues" dxfId="430" priority="75" stopIfTrue="1"/>
    <cfRule type="duplicateValues" dxfId="429" priority="76" stopIfTrue="1"/>
  </conditionalFormatting>
  <conditionalFormatting sqref="C294:C298 C289 C291 C255">
    <cfRule type="duplicateValues" dxfId="428" priority="67" stopIfTrue="1"/>
  </conditionalFormatting>
  <conditionalFormatting sqref="C294:C298 C289 C291 C255">
    <cfRule type="duplicateValues" dxfId="427" priority="68" stopIfTrue="1"/>
    <cfRule type="duplicateValues" dxfId="426" priority="69" stopIfTrue="1"/>
  </conditionalFormatting>
  <conditionalFormatting sqref="C272 C264">
    <cfRule type="duplicateValues" dxfId="425" priority="14011" stopIfTrue="1"/>
  </conditionalFormatting>
  <conditionalFormatting sqref="C272 C264">
    <cfRule type="duplicateValues" dxfId="424" priority="14013" stopIfTrue="1"/>
    <cfRule type="duplicateValues" dxfId="423" priority="14014" stopIfTrue="1"/>
  </conditionalFormatting>
  <conditionalFormatting sqref="C277:C281 C273:C275">
    <cfRule type="duplicateValues" dxfId="422" priority="14083" stopIfTrue="1"/>
  </conditionalFormatting>
  <conditionalFormatting sqref="C277:C281 C273:C275">
    <cfRule type="duplicateValues" dxfId="421" priority="14085" stopIfTrue="1"/>
    <cfRule type="duplicateValues" dxfId="420" priority="14086" stopIfTrue="1"/>
  </conditionalFormatting>
  <conditionalFormatting sqref="C127">
    <cfRule type="duplicateValues" dxfId="419" priority="14630" stopIfTrue="1"/>
  </conditionalFormatting>
  <conditionalFormatting sqref="C210:C216">
    <cfRule type="duplicateValues" dxfId="418" priority="43" stopIfTrue="1"/>
  </conditionalFormatting>
  <conditionalFormatting sqref="C210:C216">
    <cfRule type="duplicateValues" dxfId="417" priority="44" stopIfTrue="1"/>
    <cfRule type="duplicateValues" dxfId="416" priority="45" stopIfTrue="1"/>
  </conditionalFormatting>
  <conditionalFormatting sqref="C145">
    <cfRule type="duplicateValues" dxfId="415" priority="40" stopIfTrue="1"/>
  </conditionalFormatting>
  <conditionalFormatting sqref="C145">
    <cfRule type="duplicateValues" dxfId="414" priority="41" stopIfTrue="1"/>
    <cfRule type="duplicateValues" dxfId="413" priority="42" stopIfTrue="1"/>
  </conditionalFormatting>
  <conditionalFormatting sqref="C41">
    <cfRule type="duplicateValues" dxfId="412" priority="38" stopIfTrue="1"/>
    <cfRule type="duplicateValues" dxfId="411" priority="39" stopIfTrue="1"/>
  </conditionalFormatting>
  <conditionalFormatting sqref="C84">
    <cfRule type="duplicateValues" dxfId="410" priority="33" stopIfTrue="1"/>
    <cfRule type="duplicateValues" dxfId="409" priority="34" stopIfTrue="1"/>
  </conditionalFormatting>
  <conditionalFormatting sqref="C59">
    <cfRule type="duplicateValues" dxfId="408" priority="31" stopIfTrue="1"/>
    <cfRule type="duplicateValues" dxfId="407" priority="32" stopIfTrue="1"/>
  </conditionalFormatting>
  <conditionalFormatting sqref="C140:C141">
    <cfRule type="duplicateValues" dxfId="406" priority="26" stopIfTrue="1"/>
  </conditionalFormatting>
  <conditionalFormatting sqref="C140:C141">
    <cfRule type="duplicateValues" dxfId="405" priority="27" stopIfTrue="1"/>
    <cfRule type="duplicateValues" dxfId="404" priority="28" stopIfTrue="1"/>
  </conditionalFormatting>
  <conditionalFormatting sqref="C292:C293 C290">
    <cfRule type="duplicateValues" dxfId="403" priority="23" stopIfTrue="1"/>
  </conditionalFormatting>
  <conditionalFormatting sqref="C292:C293 C290">
    <cfRule type="duplicateValues" dxfId="402" priority="24" stopIfTrue="1"/>
    <cfRule type="duplicateValues" dxfId="401" priority="25" stopIfTrue="1"/>
  </conditionalFormatting>
  <conditionalFormatting sqref="C276">
    <cfRule type="duplicateValues" dxfId="400" priority="20" stopIfTrue="1"/>
  </conditionalFormatting>
  <conditionalFormatting sqref="C276">
    <cfRule type="duplicateValues" dxfId="399" priority="21" stopIfTrue="1"/>
    <cfRule type="duplicateValues" dxfId="398" priority="22" stopIfTrue="1"/>
  </conditionalFormatting>
  <conditionalFormatting sqref="C128:C139">
    <cfRule type="duplicateValues" dxfId="397" priority="19862" stopIfTrue="1"/>
  </conditionalFormatting>
  <conditionalFormatting sqref="C128:C139">
    <cfRule type="duplicateValues" dxfId="396" priority="19863" stopIfTrue="1"/>
    <cfRule type="duplicateValues" dxfId="395" priority="19864" stopIfTrue="1"/>
  </conditionalFormatting>
  <conditionalFormatting sqref="C179:C200">
    <cfRule type="duplicateValues" dxfId="394" priority="19874" stopIfTrue="1"/>
  </conditionalFormatting>
  <conditionalFormatting sqref="C179:C200">
    <cfRule type="duplicateValues" dxfId="393" priority="19876" stopIfTrue="1"/>
    <cfRule type="duplicateValues" dxfId="392" priority="19877" stopIfTrue="1"/>
  </conditionalFormatting>
  <conditionalFormatting sqref="C325:C65514 C323 C1:C25 C27:C28 C241:C242 C267:C271 C61:C64 C201:C202 C232 C103 C142 C244:C252 C80:C83 C58 C163 C107 C127 C229 C265 C284:C288 C94:C95 C105">
    <cfRule type="duplicateValues" dxfId="391" priority="20449" stopIfTrue="1"/>
    <cfRule type="duplicateValues" dxfId="390" priority="20450" stopIfTrue="1"/>
  </conditionalFormatting>
  <conditionalFormatting sqref="C302:C307">
    <cfRule type="duplicateValues" dxfId="389" priority="17" stopIfTrue="1"/>
  </conditionalFormatting>
  <conditionalFormatting sqref="C302:C307">
    <cfRule type="duplicateValues" dxfId="388" priority="18" stopIfTrue="1"/>
    <cfRule type="duplicateValues" dxfId="387" priority="19" stopIfTrue="1"/>
  </conditionalFormatting>
  <conditionalFormatting sqref="C309">
    <cfRule type="duplicateValues" dxfId="386" priority="14" stopIfTrue="1"/>
  </conditionalFormatting>
  <conditionalFormatting sqref="C309">
    <cfRule type="duplicateValues" dxfId="385" priority="15" stopIfTrue="1"/>
    <cfRule type="duplicateValues" dxfId="384" priority="16" stopIfTrue="1"/>
  </conditionalFormatting>
  <conditionalFormatting sqref="C237">
    <cfRule type="duplicateValues" dxfId="383" priority="11" stopIfTrue="1"/>
  </conditionalFormatting>
  <conditionalFormatting sqref="C237">
    <cfRule type="duplicateValues" dxfId="382" priority="12" stopIfTrue="1"/>
    <cfRule type="duplicateValues" dxfId="381" priority="13" stopIfTrue="1"/>
  </conditionalFormatting>
  <conditionalFormatting sqref="C312:C313 C315:C317">
    <cfRule type="duplicateValues" dxfId="380" priority="10"/>
  </conditionalFormatting>
  <conditionalFormatting sqref="C315">
    <cfRule type="duplicateValues" dxfId="379" priority="4" stopIfTrue="1"/>
  </conditionalFormatting>
  <conditionalFormatting sqref="C315">
    <cfRule type="duplicateValues" dxfId="378" priority="5" stopIfTrue="1"/>
    <cfRule type="duplicateValues" dxfId="377" priority="6" stopIfTrue="1"/>
  </conditionalFormatting>
  <conditionalFormatting sqref="C314">
    <cfRule type="duplicateValues" dxfId="376" priority="1" stopIfTrue="1"/>
  </conditionalFormatting>
  <conditionalFormatting sqref="C314">
    <cfRule type="duplicateValues" dxfId="375" priority="2" stopIfTrue="1"/>
    <cfRule type="duplicateValues" dxfId="374" priority="3" stopIfTrue="1"/>
  </conditionalFormatting>
  <conditionalFormatting sqref="C321:C322">
    <cfRule type="duplicateValues" dxfId="373" priority="22344" stopIfTrue="1"/>
  </conditionalFormatting>
  <conditionalFormatting sqref="C321:C322">
    <cfRule type="duplicateValues" dxfId="372" priority="22346" stopIfTrue="1"/>
    <cfRule type="duplicateValues" dxfId="371" priority="22347" stopIfTrue="1"/>
  </conditionalFormatting>
  <hyperlinks>
    <hyperlink ref="P59" location="'Prepaid expenses'!A152" display="'Prepaid expenses'!A152" xr:uid="{CE22D6FE-0CF8-47A4-BAB1-A7403A5F4637}"/>
    <hyperlink ref="P145" location="'Accrued expenses'!A57" display="'Accrued expenses'!A57" xr:uid="{AC6CF150-838C-4387-A18C-D92DFEAC4A14}"/>
    <hyperlink ref="P140" location="'Accrued expenses'!A57" display="'Accrued expenses'!A57" xr:uid="{5AEFBD64-9AF7-4476-91EB-F17A4735E3B0}"/>
  </hyperlinks>
  <printOptions horizontalCentered="1" gridLines="1" gridLinesSet="0"/>
  <pageMargins left="0.51181102362204722" right="0.11811023622047245" top="0.51181102362204722" bottom="0.55118110236220474" header="0.51181102362204722" footer="0.51181102362204722"/>
  <pageSetup paperSize="9" scale="13" fitToHeight="6" orientation="landscape" blackAndWhite="1" cellComments="asDisplayed" horizontalDpi="300" verticalDpi="300" r:id="rId1"/>
  <headerFooter alignWithMargins="0"/>
  <rowBreaks count="2" manualBreakCount="2">
    <brk id="324" max="16383" man="1"/>
    <brk id="330" max="16383" man="1"/>
  </rowBreaks>
  <ignoredErrors>
    <ignoredError sqref="Q178:R178 S178:AA178 W199:AA199" numberStoredAsText="1"/>
    <ignoredError sqref="L155" formula="1"/>
  </ignoredErrors>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A556-D33B-436D-847D-41DEF049D523}">
  <sheetPr codeName="Sheet30">
    <tabColor rgb="FF00B0F0"/>
  </sheetPr>
  <dimension ref="A1:AA327"/>
  <sheetViews>
    <sheetView rightToLeft="1" zoomScale="85" zoomScaleNormal="85" workbookViewId="0">
      <selection activeCell="J15" sqref="B13:J20"/>
    </sheetView>
  </sheetViews>
  <sheetFormatPr defaultColWidth="9.33203125" defaultRowHeight="12.75"/>
  <cols>
    <col min="1" max="1" width="38" style="141" customWidth="1"/>
    <col min="2" max="2" width="29.33203125" style="461" customWidth="1"/>
    <col min="3" max="3" width="42.1640625" style="461" customWidth="1"/>
    <col min="4" max="4" width="48.1640625" style="461" customWidth="1"/>
    <col min="5" max="5" width="35.1640625" style="461" customWidth="1"/>
    <col min="6" max="6" width="22.6640625" style="141" customWidth="1"/>
    <col min="7" max="7" width="46.1640625" style="141" customWidth="1"/>
    <col min="8" max="8" width="23.1640625" style="141" customWidth="1"/>
    <col min="9" max="9" width="58.1640625" style="141" customWidth="1"/>
    <col min="10" max="10" width="51.83203125" style="141" customWidth="1"/>
    <col min="11" max="11" width="32.83203125" style="538" customWidth="1"/>
    <col min="12" max="12" width="75.83203125" style="461" bestFit="1" customWidth="1"/>
    <col min="13" max="13" width="15.5" style="141" bestFit="1" customWidth="1"/>
    <col min="14" max="14" width="5.33203125" style="137" customWidth="1"/>
    <col min="15" max="15" width="38" style="137" bestFit="1" customWidth="1"/>
    <col min="16" max="17" width="12.83203125" style="137" bestFit="1" customWidth="1"/>
    <col min="18" max="18" width="15.5" style="137" bestFit="1" customWidth="1"/>
    <col min="19" max="19" width="16.83203125" style="137" bestFit="1" customWidth="1"/>
    <col min="20" max="20" width="9.6640625" style="137" bestFit="1" customWidth="1"/>
    <col min="21" max="21" width="11.5" style="137" bestFit="1" customWidth="1"/>
    <col min="22" max="16384" width="9.33203125" style="137"/>
  </cols>
  <sheetData>
    <row r="1" spans="1:13" ht="13.5" thickBot="1">
      <c r="B1" s="580" t="s">
        <v>2259</v>
      </c>
      <c r="C1" s="581"/>
      <c r="D1" s="581"/>
      <c r="E1" s="581"/>
      <c r="F1" s="537"/>
      <c r="J1" s="137"/>
      <c r="K1" s="137"/>
      <c r="L1" s="137"/>
      <c r="M1" s="137"/>
    </row>
    <row r="2" spans="1:13" ht="13.5" thickBot="1">
      <c r="B2" s="582">
        <f>'נתונים לשינוי'!C1</f>
        <v>44561</v>
      </c>
      <c r="C2" s="580"/>
      <c r="D2" s="581"/>
      <c r="E2" s="581"/>
      <c r="F2" s="537"/>
      <c r="J2" s="137"/>
      <c r="K2" s="137"/>
      <c r="L2" s="137"/>
      <c r="M2" s="137"/>
    </row>
    <row r="3" spans="1:13" ht="13.5" thickBot="1">
      <c r="B3" s="540" t="s">
        <v>57</v>
      </c>
      <c r="C3" s="540" t="s">
        <v>178</v>
      </c>
      <c r="D3" s="2650" t="s">
        <v>59</v>
      </c>
      <c r="E3" s="2652"/>
      <c r="F3" s="1093"/>
      <c r="G3" s="52"/>
      <c r="H3" s="52"/>
      <c r="J3" s="137"/>
      <c r="K3" s="137"/>
      <c r="L3" s="137"/>
      <c r="M3" s="137"/>
    </row>
    <row r="4" spans="1:13" ht="13.5" thickBot="1">
      <c r="A4" s="50"/>
      <c r="B4" s="50"/>
      <c r="C4" s="50"/>
      <c r="D4" s="2651"/>
      <c r="E4" s="2653">
        <f>SUM(E5:E32)</f>
        <v>0</v>
      </c>
      <c r="F4" s="2649">
        <f>SUM(F5:F32)</f>
        <v>0</v>
      </c>
      <c r="G4" s="137"/>
      <c r="H4" s="52"/>
      <c r="J4" s="137"/>
      <c r="K4" s="137"/>
      <c r="L4" s="137"/>
      <c r="M4" s="137"/>
    </row>
    <row r="5" spans="1:13" ht="13.5" thickBot="1">
      <c r="B5" s="3696">
        <v>1</v>
      </c>
      <c r="C5" s="2432" t="s">
        <v>2852</v>
      </c>
      <c r="D5" s="2431"/>
      <c r="E5" s="1197" t="s">
        <v>2261</v>
      </c>
      <c r="F5" s="1345" t="s">
        <v>294</v>
      </c>
      <c r="G5" s="4597" t="s">
        <v>2427</v>
      </c>
      <c r="H5" s="52"/>
      <c r="J5" s="137"/>
      <c r="K5" s="137"/>
      <c r="L5" s="137"/>
      <c r="M5" s="137"/>
    </row>
    <row r="6" spans="1:13">
      <c r="B6" s="4587"/>
      <c r="C6" s="3702">
        <v>8410066</v>
      </c>
      <c r="D6" s="208" t="str">
        <f>VLOOKUP(C6,'מאזן בוחן צרפת'!$C:$D,2,0)</f>
        <v>Insurance Expense</v>
      </c>
      <c r="E6" s="1702"/>
      <c r="F6" s="2161">
        <f>E6/0.854737</f>
        <v>0</v>
      </c>
      <c r="G6" s="4590"/>
      <c r="H6" s="493" t="e">
        <f>E6/F6</f>
        <v>#DIV/0!</v>
      </c>
      <c r="J6" s="137"/>
      <c r="K6" s="137"/>
      <c r="L6" s="137"/>
      <c r="M6" s="137"/>
    </row>
    <row r="7" spans="1:13">
      <c r="B7" s="4595"/>
      <c r="C7" s="1550">
        <v>8030006</v>
      </c>
      <c r="D7" s="208" t="str">
        <f>VLOOKUP(C7,'מאזן בוחן צרפת'!$C:$D,2,0)</f>
        <v>משרדיות</v>
      </c>
      <c r="E7" s="1704"/>
      <c r="F7" s="1353">
        <f>E7/'מאזן בוחן צרפת'!$O$2</f>
        <v>0</v>
      </c>
      <c r="G7" s="4590"/>
      <c r="H7" s="493" t="e">
        <f>E7/F7</f>
        <v>#DIV/0!</v>
      </c>
      <c r="J7" s="137"/>
      <c r="K7" s="137"/>
      <c r="L7" s="137"/>
      <c r="M7" s="137"/>
    </row>
    <row r="8" spans="1:13" ht="13.5" thickBot="1">
      <c r="B8" s="4588"/>
      <c r="C8" s="1551">
        <v>1100001</v>
      </c>
      <c r="D8" s="208" t="str">
        <f>VLOOKUP(C8,'מאזן בוחן צרפת'!$C:$D,2,0)</f>
        <v>הוצאות מראש</v>
      </c>
      <c r="E8" s="1703">
        <f>-E6-E7</f>
        <v>0</v>
      </c>
      <c r="F8" s="2266">
        <f>-F6-F7</f>
        <v>0</v>
      </c>
      <c r="G8" s="4591"/>
      <c r="H8" s="493" t="e">
        <f>E8/F8</f>
        <v>#DIV/0!</v>
      </c>
      <c r="J8" s="137"/>
      <c r="K8" s="137"/>
      <c r="L8" s="137"/>
      <c r="M8" s="137"/>
    </row>
    <row r="9" spans="1:13" ht="13.5" thickBot="1">
      <c r="B9" s="3696">
        <f>B5+1</f>
        <v>2</v>
      </c>
      <c r="C9" s="2432" t="s">
        <v>2542</v>
      </c>
      <c r="D9" s="2431"/>
      <c r="E9" s="1197" t="s">
        <v>2261</v>
      </c>
      <c r="F9" s="1345" t="s">
        <v>294</v>
      </c>
      <c r="G9" s="4598" t="s">
        <v>3607</v>
      </c>
      <c r="H9" s="52"/>
    </row>
    <row r="10" spans="1:13" ht="12.6" customHeight="1" thickBot="1">
      <c r="B10" s="4587"/>
      <c r="C10" s="3703">
        <v>5900001</v>
      </c>
      <c r="D10" s="208" t="str">
        <f>VLOOKUP(C10,'מאזן בוחן צרפת'!$C:$D,2,0)</f>
        <v>Transfer Pricing per IC Agreeme-Cost of sales</v>
      </c>
      <c r="E10" s="1461"/>
      <c r="F10" s="1353"/>
      <c r="G10" s="4599"/>
      <c r="H10" s="52"/>
    </row>
    <row r="11" spans="1:13" ht="12.6" customHeight="1">
      <c r="B11" s="4595"/>
      <c r="C11" s="3061">
        <v>9010002</v>
      </c>
      <c r="D11" s="208" t="str">
        <f>VLOOKUP(C11,'מאזן בוחן צרפת'!$C:$D,2,0)</f>
        <v>הפרשי שער</v>
      </c>
      <c r="E11" s="3714"/>
      <c r="F11" s="1602">
        <f>-F12-F10</f>
        <v>0</v>
      </c>
      <c r="G11" s="4599"/>
      <c r="H11" s="52"/>
      <c r="J11" s="3073" t="s">
        <v>2454</v>
      </c>
      <c r="K11" s="2589" t="s">
        <v>1225</v>
      </c>
      <c r="L11" s="2975" t="s">
        <v>294</v>
      </c>
    </row>
    <row r="12" spans="1:13" ht="13.5" thickBot="1">
      <c r="B12" s="4588"/>
      <c r="C12" s="3704">
        <v>1130008</v>
      </c>
      <c r="D12" s="208" t="str">
        <f>VLOOKUP(C12,'מאזן בוחן צרפת'!$C:$D,2,0)</f>
        <v>אלגוסק ישראל</v>
      </c>
      <c r="E12" s="1349">
        <f>-E10</f>
        <v>0</v>
      </c>
      <c r="F12" s="1462">
        <f>E12/'מאזן בוחן צרפת'!$O$2</f>
        <v>0</v>
      </c>
      <c r="G12" s="4600"/>
      <c r="H12" s="4097"/>
      <c r="J12" s="145"/>
      <c r="K12" s="542"/>
      <c r="L12" s="2050"/>
    </row>
    <row r="13" spans="1:13" ht="13.5" thickBot="1">
      <c r="B13" s="3696">
        <f>B9+1</f>
        <v>3</v>
      </c>
      <c r="C13" s="2432" t="s">
        <v>2428</v>
      </c>
      <c r="D13" s="2431"/>
      <c r="E13" s="1197" t="s">
        <v>2261</v>
      </c>
      <c r="F13" s="1345" t="s">
        <v>294</v>
      </c>
      <c r="G13" s="4598" t="s">
        <v>3137</v>
      </c>
      <c r="H13" s="4097"/>
      <c r="J13" s="1029" t="s">
        <v>504</v>
      </c>
      <c r="K13" s="204">
        <f>-'מאזן בוחן צרפת'!J198</f>
        <v>2406776.2399999998</v>
      </c>
      <c r="L13" s="2969">
        <f>-'מאזן בוחן צרפת'!K198</f>
        <v>2836751.0400000005</v>
      </c>
    </row>
    <row r="14" spans="1:13" ht="13.5" thickBot="1">
      <c r="B14" s="4587"/>
      <c r="C14" s="3703">
        <v>5900001</v>
      </c>
      <c r="D14" s="208" t="str">
        <f>VLOOKUP(C14,'מאזן בוחן צרפת'!$C:$D,2,0)</f>
        <v>Transfer Pricing per IC Agreeme-Cost of sales</v>
      </c>
      <c r="E14" s="1461"/>
      <c r="F14" s="2161"/>
      <c r="G14" s="4599"/>
      <c r="H14" s="52"/>
      <c r="J14" s="145"/>
      <c r="K14" s="542"/>
      <c r="L14" s="2050"/>
    </row>
    <row r="15" spans="1:13" ht="13.5" thickBot="1">
      <c r="B15" s="4595"/>
      <c r="C15" s="3061">
        <v>1610097</v>
      </c>
      <c r="D15" s="208" t="str">
        <f>VLOOKUP(C15,'מאזן בוחן צרפת'!$C:$D,2,0)</f>
        <v>Prepaid Expenses TP LT</v>
      </c>
      <c r="E15" s="1348"/>
      <c r="F15" s="1353"/>
      <c r="G15" s="4599"/>
      <c r="H15" s="4101">
        <f>'[17]12.2021'!$A$14072</f>
        <v>0.387627596816432</v>
      </c>
      <c r="J15" s="1029" t="s">
        <v>658</v>
      </c>
      <c r="K15" s="204">
        <f>K13*0.025</f>
        <v>60169.405999999995</v>
      </c>
      <c r="L15" s="2969">
        <f>L13*0.025</f>
        <v>70918.776000000013</v>
      </c>
    </row>
    <row r="16" spans="1:13" ht="13.5" thickBot="1">
      <c r="B16" s="4588"/>
      <c r="C16" s="3704">
        <v>1100999</v>
      </c>
      <c r="D16" s="3699" t="str">
        <f>VLOOKUP(C16,'מאזן בוחן צרפת'!$C:$D,2,0)</f>
        <v>Prepaid Expenses TP IC</v>
      </c>
      <c r="E16" s="1349"/>
      <c r="F16" s="1462"/>
      <c r="G16" s="4600"/>
      <c r="J16" s="1029" t="s">
        <v>613</v>
      </c>
      <c r="K16" s="52">
        <f>-'מאזן בוחן צרפת'!J354</f>
        <v>60169.419999999933</v>
      </c>
      <c r="L16" s="2050">
        <f>-'מאזן בוחן צרפת'!K354</f>
        <v>70918.770000000601</v>
      </c>
    </row>
    <row r="17" spans="1:13" ht="13.5" thickBot="1">
      <c r="A17" s="544"/>
      <c r="B17" s="3696">
        <v>4</v>
      </c>
      <c r="C17" s="2432" t="s">
        <v>4608</v>
      </c>
      <c r="D17" s="2431"/>
      <c r="E17" s="1197" t="s">
        <v>2261</v>
      </c>
      <c r="F17" s="1345" t="s">
        <v>294</v>
      </c>
      <c r="G17" s="4598" t="s">
        <v>2718</v>
      </c>
      <c r="J17" s="3074" t="s">
        <v>234</v>
      </c>
      <c r="K17" s="956">
        <f>+K16-K15</f>
        <v>1.3999999937368557E-2</v>
      </c>
      <c r="L17" s="1343">
        <f>+L16-L15</f>
        <v>-5.9999994118697941E-3</v>
      </c>
    </row>
    <row r="18" spans="1:13">
      <c r="A18" s="32"/>
      <c r="B18" s="4587"/>
      <c r="C18" s="3705">
        <f>5100013-1</f>
        <v>5100012</v>
      </c>
      <c r="D18" s="208" t="str">
        <f>VLOOKUP(C18,'מאזן בוחן צרפת'!$C:$D,2,0)</f>
        <v>Share-Based Payment FAS123 - TS</v>
      </c>
      <c r="E18" s="1461">
        <f>F18*'מאזן בוחן צרפת'!$O$2</f>
        <v>0</v>
      </c>
      <c r="F18" s="1353"/>
      <c r="G18" s="4599"/>
      <c r="H18" s="493" t="e">
        <f>E18/F18</f>
        <v>#DIV/0!</v>
      </c>
      <c r="K18" s="527"/>
      <c r="L18" s="563"/>
      <c r="M18" s="383"/>
    </row>
    <row r="19" spans="1:13">
      <c r="A19" s="32"/>
      <c r="B19" s="4595"/>
      <c r="C19" s="3061">
        <v>7110006</v>
      </c>
      <c r="D19" s="208" t="str">
        <f>VLOOKUP(C19,'מאזן בוחן צרפת'!$C:$D,2,0)</f>
        <v>Share-Based Payment FAS123 - Sales</v>
      </c>
      <c r="E19" s="1348">
        <f>F19*'מאזן בוחן צרפת'!$O$2</f>
        <v>0</v>
      </c>
      <c r="F19" s="1353"/>
      <c r="G19" s="4599"/>
      <c r="H19" s="493" t="e">
        <f>E19/F19</f>
        <v>#DIV/0!</v>
      </c>
      <c r="M19" s="383"/>
    </row>
    <row r="20" spans="1:13" ht="13.5" thickBot="1">
      <c r="A20" s="32"/>
      <c r="B20" s="4588"/>
      <c r="C20" s="3704">
        <v>1130013</v>
      </c>
      <c r="D20" s="208" t="str">
        <f>VLOOKUP(C20,'מאזן בוחן צרפת'!$C:$D,2,0)</f>
        <v>Algosec Inc</v>
      </c>
      <c r="E20" s="1349">
        <f>F20*'מאזן בוחן צרפת'!$O$2</f>
        <v>0</v>
      </c>
      <c r="F20" s="1462">
        <f>-F19-F18</f>
        <v>0</v>
      </c>
      <c r="G20" s="4600"/>
      <c r="H20" s="493" t="e">
        <f>E20/F20</f>
        <v>#DIV/0!</v>
      </c>
      <c r="J20" s="2581" t="s">
        <v>3028</v>
      </c>
      <c r="K20" s="141"/>
      <c r="M20" s="1766"/>
    </row>
    <row r="21" spans="1:13" ht="13.5" thickBot="1">
      <c r="A21" s="32"/>
      <c r="B21" s="3696">
        <f>B17+1</f>
        <v>5</v>
      </c>
      <c r="C21" s="2432" t="s">
        <v>4869</v>
      </c>
      <c r="D21" s="2431"/>
      <c r="E21" s="1197" t="s">
        <v>2261</v>
      </c>
      <c r="F21" s="1345" t="s">
        <v>294</v>
      </c>
      <c r="G21" s="4598" t="s">
        <v>2718</v>
      </c>
      <c r="J21" s="1765"/>
      <c r="K21" s="63"/>
      <c r="L21" s="2694"/>
      <c r="M21" s="1766"/>
    </row>
    <row r="22" spans="1:13" ht="12.6" customHeight="1">
      <c r="A22" s="32"/>
      <c r="B22" s="4587"/>
      <c r="C22" s="3705">
        <v>2400001</v>
      </c>
      <c r="D22" s="208" t="str">
        <f>VLOOKUP(C22,'מאזן בוחן צרפת'!$C:$D,2,0)</f>
        <v>Accrued expenses Employees</v>
      </c>
      <c r="E22" s="1348"/>
      <c r="F22" s="1348"/>
      <c r="G22" s="4599"/>
      <c r="H22" s="493" t="e">
        <f>E22/F22</f>
        <v>#DIV/0!</v>
      </c>
      <c r="J22" s="2582"/>
      <c r="K22" s="380"/>
      <c r="L22" s="2694"/>
      <c r="M22" s="1761"/>
    </row>
    <row r="23" spans="1:13" ht="12.6" customHeight="1" thickBot="1">
      <c r="A23" s="32"/>
      <c r="B23" s="4595"/>
      <c r="C23" s="3705">
        <v>7110008</v>
      </c>
      <c r="D23" s="208" t="str">
        <f>VLOOKUP(C23,'מאזן בוחן צרפת'!$C:$D,2,0)</f>
        <v>שכר צרפת PVR -בונוס MBO</v>
      </c>
      <c r="E23" s="1348"/>
      <c r="F23" s="1353"/>
      <c r="G23" s="4599"/>
      <c r="H23" s="493" t="e">
        <f>E23/F23</f>
        <v>#DIV/0!</v>
      </c>
      <c r="J23" s="2582"/>
      <c r="K23" s="380"/>
      <c r="L23" s="2694"/>
      <c r="M23" s="1761"/>
    </row>
    <row r="24" spans="1:13" ht="12.6" customHeight="1" thickBot="1">
      <c r="A24" s="32"/>
      <c r="B24" s="4595"/>
      <c r="C24" s="3061">
        <v>5200003</v>
      </c>
      <c r="D24" s="208" t="str">
        <f>VLOOKUP(C24,'מאזן בוחן צרפת'!$C:$D,2,0)</f>
        <v>בונוס Delivery MBO</v>
      </c>
      <c r="E24" s="1348"/>
      <c r="F24" s="1353"/>
      <c r="G24" s="4599"/>
      <c r="H24" s="493" t="e">
        <f>E24/F24</f>
        <v>#DIV/0!</v>
      </c>
      <c r="J24" s="2285">
        <v>1</v>
      </c>
      <c r="K24" s="2980" t="s">
        <v>3487</v>
      </c>
      <c r="L24" s="2981"/>
      <c r="M24" s="2982" t="s">
        <v>3057</v>
      </c>
    </row>
    <row r="25" spans="1:13" ht="12.95" customHeight="1">
      <c r="A25" s="32"/>
      <c r="B25" s="4595"/>
      <c r="C25" s="3061">
        <v>7110002</v>
      </c>
      <c r="D25" s="208" t="str">
        <f>VLOOKUP(C25,'מאזן בוחן צרפת'!$C:$D,2,0)</f>
        <v>שכר צרפת מכירות-בונוס MBO</v>
      </c>
      <c r="E25" s="1348"/>
      <c r="F25" s="1353"/>
      <c r="G25" s="4599"/>
      <c r="H25" s="493" t="e">
        <f>E25/F25</f>
        <v>#DIV/0!</v>
      </c>
      <c r="J25" s="4145"/>
      <c r="K25" s="2647">
        <v>45500000</v>
      </c>
      <c r="L25" s="1561" t="s">
        <v>2973</v>
      </c>
      <c r="M25" s="3376"/>
    </row>
    <row r="26" spans="1:13" ht="12.95" customHeight="1" thickBot="1">
      <c r="A26" s="32"/>
      <c r="B26" s="4588"/>
      <c r="C26" s="3704">
        <v>7140002</v>
      </c>
      <c r="D26" s="3699" t="str">
        <f>VLOOKUP(C26,'מאזן בוחן צרפת'!$C:$D,2,0)</f>
        <v>בונוס SE MBO</v>
      </c>
      <c r="E26" s="1349"/>
      <c r="F26" s="1353"/>
      <c r="G26" s="4600"/>
      <c r="H26" s="493" t="e">
        <f>E26/F26</f>
        <v>#DIV/0!</v>
      </c>
      <c r="J26" s="4146"/>
      <c r="K26" s="2647">
        <v>75800000</v>
      </c>
      <c r="L26" s="3378" t="s">
        <v>3486</v>
      </c>
      <c r="M26" s="3379"/>
    </row>
    <row r="27" spans="1:13" ht="13.5" customHeight="1" thickBot="1">
      <c r="A27" s="32"/>
      <c r="B27" s="3696">
        <f>B21+1</f>
        <v>6</v>
      </c>
      <c r="C27" s="2432" t="s">
        <v>4728</v>
      </c>
      <c r="D27" s="2431"/>
      <c r="E27" s="1197" t="s">
        <v>2261</v>
      </c>
      <c r="F27" s="1345" t="s">
        <v>294</v>
      </c>
      <c r="G27" s="4077"/>
      <c r="J27" s="4147"/>
      <c r="K27" s="2424" t="s">
        <v>4113</v>
      </c>
      <c r="L27" s="1241" t="s">
        <v>4118</v>
      </c>
      <c r="M27" s="3377"/>
    </row>
    <row r="28" spans="1:13" ht="13.5" customHeight="1" thickBot="1">
      <c r="A28" s="32"/>
      <c r="B28" s="4587"/>
      <c r="C28" s="3705">
        <v>7110003</v>
      </c>
      <c r="D28" s="208" t="str">
        <f>VLOOKUP(C28,'מאזן בוחן צרפת'!$C:$D,2,0)</f>
        <v>Commission - Sales from provision only</v>
      </c>
      <c r="E28" s="1461"/>
      <c r="F28" s="1353">
        <f>E28/'מאזן בוחן צרפת'!$O$2</f>
        <v>0</v>
      </c>
      <c r="G28" s="4078" t="s">
        <v>4736</v>
      </c>
      <c r="H28" s="493" t="e">
        <f>E28/F28</f>
        <v>#DIV/0!</v>
      </c>
    </row>
    <row r="29" spans="1:13" ht="13.5" customHeight="1" thickBot="1">
      <c r="A29" s="32"/>
      <c r="B29" s="4588"/>
      <c r="C29" s="3704">
        <v>2400001</v>
      </c>
      <c r="D29" s="3699" t="str">
        <f>VLOOKUP(C29,'מאזן בוחן צרפת'!$C:$D,2,0)</f>
        <v>Accrued expenses Employees</v>
      </c>
      <c r="E29" s="1349">
        <f>-E28</f>
        <v>0</v>
      </c>
      <c r="F29" s="1462">
        <f>-F28</f>
        <v>0</v>
      </c>
      <c r="G29" s="4079"/>
      <c r="H29" s="493" t="e">
        <f>E29/F29</f>
        <v>#DIV/0!</v>
      </c>
      <c r="J29" s="2285">
        <f>J24+1</f>
        <v>2</v>
      </c>
      <c r="K29" s="2980" t="s">
        <v>3058</v>
      </c>
      <c r="L29" s="2981"/>
      <c r="M29" s="2982" t="s">
        <v>3057</v>
      </c>
    </row>
    <row r="30" spans="1:13" ht="13.5" customHeight="1" thickBot="1">
      <c r="A30" s="32"/>
      <c r="B30" s="3696">
        <f>B27+1</f>
        <v>7</v>
      </c>
      <c r="C30" s="2432" t="s">
        <v>3875</v>
      </c>
      <c r="D30" s="2431"/>
      <c r="E30" s="1197" t="s">
        <v>2261</v>
      </c>
      <c r="F30" s="1345" t="s">
        <v>294</v>
      </c>
      <c r="G30" s="4603" t="s">
        <v>2427</v>
      </c>
      <c r="J30" s="4145"/>
      <c r="K30" s="2647">
        <v>45500000</v>
      </c>
      <c r="L30" s="2645" t="s">
        <v>2973</v>
      </c>
      <c r="M30" s="2281"/>
    </row>
    <row r="31" spans="1:13" ht="13.5" thickBot="1">
      <c r="A31" s="32"/>
      <c r="B31" s="4587"/>
      <c r="C31" s="3705">
        <v>7110009</v>
      </c>
      <c r="D31" s="208" t="str">
        <f>VLOOKUP(C31,'מאזן בוחן צרפת'!$C:$D,2,0)</f>
        <v>שכר צרפת-RVP עמלות (ברוטו)</v>
      </c>
      <c r="E31" s="1461"/>
      <c r="F31" s="2161">
        <f>E31/'מאזן בוחן צרפת'!O2</f>
        <v>0</v>
      </c>
      <c r="G31" s="4604"/>
      <c r="H31" s="493" t="e">
        <f>E31/F31</f>
        <v>#DIV/0!</v>
      </c>
      <c r="J31" s="4147"/>
      <c r="K31" s="2424" t="s">
        <v>3059</v>
      </c>
      <c r="L31" s="2646" t="s">
        <v>2972</v>
      </c>
      <c r="M31" s="2457"/>
    </row>
    <row r="32" spans="1:13" ht="13.5" thickBot="1">
      <c r="A32" s="32"/>
      <c r="B32" s="4588"/>
      <c r="C32" s="3704">
        <v>2400202</v>
      </c>
      <c r="D32" s="3699" t="str">
        <f>VLOOKUP(C32,'מאזן בוחן צרפת'!$C:$D,2,0)</f>
        <v>Marc Henri GUY</v>
      </c>
      <c r="E32" s="1349">
        <f>-E31</f>
        <v>0</v>
      </c>
      <c r="F32" s="1462">
        <f>-F31</f>
        <v>0</v>
      </c>
      <c r="G32" s="4605"/>
      <c r="H32" s="493" t="e">
        <f>E32/F32</f>
        <v>#DIV/0!</v>
      </c>
      <c r="J32" s="41"/>
      <c r="K32" s="259"/>
      <c r="L32" s="2976"/>
    </row>
    <row r="33" spans="1:22" s="382" customFormat="1" ht="13.5" thickBot="1">
      <c r="A33" s="141"/>
      <c r="B33" s="3696">
        <f>B30+1</f>
        <v>8</v>
      </c>
      <c r="C33" s="3243" t="s">
        <v>1219</v>
      </c>
      <c r="D33" s="3242"/>
      <c r="E33" s="2869" t="s">
        <v>2261</v>
      </c>
      <c r="F33" s="3838" t="s">
        <v>294</v>
      </c>
      <c r="G33" s="137"/>
      <c r="H33" s="491"/>
      <c r="I33" s="41"/>
      <c r="J33" s="2285">
        <f>J29+1</f>
        <v>3</v>
      </c>
      <c r="K33" s="2980" t="s">
        <v>3061</v>
      </c>
      <c r="L33" s="2981"/>
      <c r="M33" s="2982" t="s">
        <v>3057</v>
      </c>
      <c r="N33" s="137"/>
      <c r="O33" s="137"/>
      <c r="P33" s="137"/>
      <c r="Q33" s="137"/>
      <c r="R33" s="137"/>
      <c r="S33" s="137"/>
      <c r="T33" s="137"/>
      <c r="U33" s="137"/>
      <c r="V33" s="141"/>
    </row>
    <row r="34" spans="1:22" s="382" customFormat="1">
      <c r="A34" s="141"/>
      <c r="B34" s="4587"/>
      <c r="C34" s="3059" t="s">
        <v>1868</v>
      </c>
      <c r="D34" s="208" t="str">
        <f>VLOOKUP(C34,'מאזן בוחן צרפת'!$C:$D,2,0)</f>
        <v>הכנסות מראש לצורך מאזן בלבד</v>
      </c>
      <c r="E34" s="2503">
        <f>F34*'מאזן בוחן צרפת'!O2</f>
        <v>0</v>
      </c>
      <c r="F34" s="1602">
        <f>-F35</f>
        <v>0</v>
      </c>
      <c r="G34" s="4601" t="s">
        <v>3289</v>
      </c>
      <c r="H34" s="491" t="e">
        <f>E34/F34</f>
        <v>#DIV/0!</v>
      </c>
      <c r="I34" s="41"/>
      <c r="J34" s="4145"/>
      <c r="K34" s="2647">
        <v>48600000</v>
      </c>
      <c r="L34" s="2645" t="s">
        <v>3062</v>
      </c>
      <c r="M34" s="2281"/>
      <c r="N34" s="137"/>
      <c r="O34" s="137"/>
      <c r="P34" s="137"/>
      <c r="Q34" s="137"/>
      <c r="R34" s="137"/>
      <c r="S34" s="137"/>
      <c r="T34" s="137"/>
      <c r="U34" s="137"/>
      <c r="V34" s="141"/>
    </row>
    <row r="35" spans="1:22" s="382" customFormat="1" ht="13.5" thickBot="1">
      <c r="A35" s="141"/>
      <c r="B35" s="4588"/>
      <c r="C35" s="3706">
        <v>2610001</v>
      </c>
      <c r="D35" s="3699" t="str">
        <f>VLOOKUP(C35,'מאזן בוחן צרפת'!$C:$D,2,0)</f>
        <v>הכנסות מראש זמן ארוך</v>
      </c>
      <c r="E35" s="1604">
        <f>-E34</f>
        <v>0</v>
      </c>
      <c r="F35" s="1605"/>
      <c r="G35" s="4602"/>
      <c r="H35" s="491" t="e">
        <f>E35/F35</f>
        <v>#DIV/0!</v>
      </c>
      <c r="I35" s="41"/>
      <c r="J35" s="4147"/>
      <c r="K35" s="2424">
        <v>61600000</v>
      </c>
      <c r="L35" s="2646" t="s">
        <v>3063</v>
      </c>
      <c r="M35" s="2457"/>
      <c r="N35" s="137"/>
      <c r="O35" s="137"/>
      <c r="P35" s="137"/>
      <c r="Q35" s="137"/>
      <c r="R35" s="137"/>
      <c r="S35" s="137"/>
      <c r="T35" s="137"/>
      <c r="U35" s="137"/>
      <c r="V35" s="141"/>
    </row>
    <row r="36" spans="1:22" s="382" customFormat="1" ht="13.5" thickBot="1">
      <c r="A36" s="141"/>
      <c r="B36" s="3696">
        <f>B33+1</f>
        <v>9</v>
      </c>
      <c r="C36" s="2432" t="s">
        <v>3060</v>
      </c>
      <c r="D36" s="2431"/>
      <c r="E36" s="1197" t="s">
        <v>2261</v>
      </c>
      <c r="F36" s="1345" t="s">
        <v>294</v>
      </c>
      <c r="G36" s="4589"/>
      <c r="H36" s="52"/>
      <c r="I36" s="41"/>
      <c r="J36" s="41"/>
      <c r="K36" s="259"/>
      <c r="L36" s="2976"/>
      <c r="M36" s="141"/>
      <c r="N36" s="137"/>
      <c r="O36" s="137"/>
      <c r="P36" s="137"/>
      <c r="Q36" s="137"/>
      <c r="R36" s="137"/>
      <c r="S36" s="137"/>
      <c r="T36" s="137"/>
      <c r="U36" s="137"/>
      <c r="V36" s="141"/>
    </row>
    <row r="37" spans="1:22" s="382" customFormat="1" ht="13.5" thickBot="1">
      <c r="A37" s="141"/>
      <c r="B37" s="4347"/>
      <c r="C37" s="3702">
        <v>2500001</v>
      </c>
      <c r="D37" s="208" t="str">
        <f>VLOOKUP(C37,'מאזן בוחן צרפת'!$C:$D,2,0)</f>
        <v>מע"מ תשומות</v>
      </c>
      <c r="E37" s="1702"/>
      <c r="F37" s="2161"/>
      <c r="G37" s="4590"/>
      <c r="H37" s="493" t="e">
        <f>E37/F37</f>
        <v>#DIV/0!</v>
      </c>
      <c r="I37" s="41"/>
      <c r="J37" s="2285">
        <f>J33+1</f>
        <v>4</v>
      </c>
      <c r="K37" s="2980" t="s">
        <v>2542</v>
      </c>
      <c r="L37" s="2981"/>
      <c r="M37" s="2982" t="s">
        <v>3057</v>
      </c>
      <c r="N37" s="137"/>
      <c r="O37" s="137"/>
      <c r="P37" s="137"/>
      <c r="Q37" s="137"/>
      <c r="R37" s="137"/>
      <c r="S37" s="137"/>
      <c r="T37" s="137"/>
      <c r="U37" s="137"/>
      <c r="V37" s="141"/>
    </row>
    <row r="38" spans="1:22" s="382" customFormat="1">
      <c r="A38" s="141"/>
      <c r="B38" s="4333"/>
      <c r="C38" s="1550">
        <v>2500003</v>
      </c>
      <c r="D38" s="208" t="str">
        <f>VLOOKUP(C38,'מאזן בוחן צרפת'!$C:$D,2,0)</f>
        <v>מע"מ עסקאות מדווחות</v>
      </c>
      <c r="E38" s="1704"/>
      <c r="F38" s="2265"/>
      <c r="G38" s="4590"/>
      <c r="H38" s="493" t="e">
        <f>E38/F38</f>
        <v>#DIV/0!</v>
      </c>
      <c r="I38" s="41"/>
      <c r="J38" s="4145"/>
      <c r="K38" s="2647">
        <v>45500000</v>
      </c>
      <c r="L38" s="2645" t="s">
        <v>2973</v>
      </c>
      <c r="M38" s="2281"/>
      <c r="N38" s="137"/>
      <c r="O38" s="137"/>
      <c r="P38" s="137"/>
      <c r="Q38" s="137"/>
      <c r="R38" s="137"/>
      <c r="S38" s="137"/>
      <c r="T38" s="137"/>
      <c r="U38" s="137"/>
      <c r="V38" s="141"/>
    </row>
    <row r="39" spans="1:22" s="382" customFormat="1" ht="13.5" thickBot="1">
      <c r="A39" s="141"/>
      <c r="B39" s="4333"/>
      <c r="C39" s="1550">
        <v>2500002</v>
      </c>
      <c r="D39" s="208" t="str">
        <f>VLOOKUP(C39,'מאזן בוחן צרפת'!$C:$D,2,0)</f>
        <v>מע"מ עסקאות</v>
      </c>
      <c r="E39" s="1704"/>
      <c r="F39" s="2265"/>
      <c r="G39" s="4590"/>
      <c r="H39" s="493" t="e">
        <f>E39/F39</f>
        <v>#DIV/0!</v>
      </c>
      <c r="I39" s="41"/>
      <c r="J39" s="4147"/>
      <c r="K39" s="2424" t="s">
        <v>3048</v>
      </c>
      <c r="L39" s="2646" t="s">
        <v>3726</v>
      </c>
      <c r="M39" s="2457"/>
      <c r="N39" s="137"/>
      <c r="O39" s="137"/>
      <c r="P39" s="137"/>
      <c r="Q39" s="137"/>
      <c r="R39" s="137"/>
      <c r="S39" s="137"/>
      <c r="T39" s="137"/>
      <c r="U39" s="137"/>
      <c r="V39" s="141"/>
    </row>
    <row r="40" spans="1:22" s="382" customFormat="1" ht="13.5" thickBot="1">
      <c r="A40" s="141"/>
      <c r="B40" s="4334"/>
      <c r="C40" s="1551">
        <v>2500005</v>
      </c>
      <c r="D40" s="3699" t="str">
        <f>VLOOKUP(C40,'מאזן בוחן צרפת'!$C:$D,2,0)</f>
        <v>מע"מ חו"ז TVA</v>
      </c>
      <c r="E40" s="1703"/>
      <c r="F40" s="1462"/>
      <c r="G40" s="4591"/>
      <c r="H40" s="493" t="e">
        <f>E40/F40</f>
        <v>#DIV/0!</v>
      </c>
      <c r="I40" s="41"/>
      <c r="J40" s="2285">
        <f>J37+1</f>
        <v>5</v>
      </c>
      <c r="K40" s="2980" t="s">
        <v>4608</v>
      </c>
      <c r="L40" s="2981"/>
      <c r="M40" s="2982" t="s">
        <v>3057</v>
      </c>
      <c r="N40" s="137"/>
      <c r="O40" s="137"/>
      <c r="P40" s="137"/>
      <c r="Q40" s="137"/>
      <c r="R40" s="137"/>
      <c r="S40" s="137"/>
      <c r="T40" s="137"/>
      <c r="U40" s="137"/>
      <c r="V40" s="141"/>
    </row>
    <row r="41" spans="1:22" s="382" customFormat="1" ht="13.5" thickBot="1">
      <c r="A41" s="141"/>
      <c r="B41" s="3696">
        <f>B36+1</f>
        <v>10</v>
      </c>
      <c r="C41" s="3243" t="s">
        <v>3895</v>
      </c>
      <c r="D41" s="3242"/>
      <c r="E41" s="2869" t="s">
        <v>2261</v>
      </c>
      <c r="F41" s="3685" t="s">
        <v>294</v>
      </c>
      <c r="G41" s="4351" t="s">
        <v>2427</v>
      </c>
      <c r="H41" s="41"/>
      <c r="I41" s="41"/>
      <c r="J41" s="3693"/>
      <c r="K41" s="2690">
        <v>6414555</v>
      </c>
      <c r="L41" s="2977" t="s">
        <v>3117</v>
      </c>
      <c r="M41" s="2691">
        <f>E18</f>
        <v>0</v>
      </c>
      <c r="N41" s="137"/>
      <c r="O41" s="137"/>
      <c r="P41" s="137"/>
      <c r="Q41" s="137"/>
      <c r="R41" s="137"/>
      <c r="S41" s="137"/>
      <c r="T41" s="137"/>
      <c r="U41" s="137"/>
      <c r="V41" s="141"/>
    </row>
    <row r="42" spans="1:22" s="382" customFormat="1">
      <c r="A42" s="141"/>
      <c r="B42" s="4587"/>
      <c r="C42" s="3059">
        <v>7110009</v>
      </c>
      <c r="D42" s="208" t="str">
        <f>VLOOKUP(C42,'מאזן בוחן צרפת'!$C:$D,2,0)</f>
        <v>שכר צרפת-RVP עמלות (ברוטו)</v>
      </c>
      <c r="E42" s="2503">
        <f>-E43</f>
        <v>0</v>
      </c>
      <c r="F42" s="1602">
        <f>-F43</f>
        <v>0</v>
      </c>
      <c r="G42" s="4352"/>
      <c r="H42" s="493" t="e">
        <f>E42/F42</f>
        <v>#DIV/0!</v>
      </c>
      <c r="I42" s="41"/>
      <c r="J42" s="3694"/>
      <c r="K42" s="2647">
        <v>6414444</v>
      </c>
      <c r="L42" s="2978" t="s">
        <v>3116</v>
      </c>
      <c r="M42" s="2692">
        <f>E19</f>
        <v>0</v>
      </c>
      <c r="N42" s="137"/>
      <c r="O42" s="137"/>
      <c r="P42" s="137"/>
      <c r="Q42" s="137"/>
      <c r="R42" s="137"/>
      <c r="S42" s="137"/>
      <c r="T42" s="137"/>
      <c r="U42" s="137"/>
      <c r="V42" s="141"/>
    </row>
    <row r="43" spans="1:22" s="382" customFormat="1" ht="13.5" thickBot="1">
      <c r="A43" s="141"/>
      <c r="B43" s="4588"/>
      <c r="C43" s="3705">
        <v>2400202</v>
      </c>
      <c r="D43" s="3699" t="str">
        <f>VLOOKUP(C43,'מאזן בוחן צרפת'!$C:$D,2,0)</f>
        <v>Marc Henri GUY</v>
      </c>
      <c r="E43" s="1604"/>
      <c r="F43" s="3711"/>
      <c r="G43" s="4353"/>
      <c r="H43" s="493" t="e">
        <f>E43/F43</f>
        <v>#DIV/0!</v>
      </c>
      <c r="I43" s="41"/>
      <c r="J43" s="3695"/>
      <c r="K43" s="2424">
        <v>45500000</v>
      </c>
      <c r="L43" s="2979" t="s">
        <v>2973</v>
      </c>
      <c r="M43" s="2693">
        <f>-M42-M41</f>
        <v>0</v>
      </c>
      <c r="N43" s="137"/>
      <c r="O43" s="137"/>
      <c r="P43" s="137"/>
      <c r="Q43" s="137"/>
      <c r="R43" s="137"/>
      <c r="S43" s="137"/>
      <c r="T43" s="137"/>
      <c r="U43" s="137"/>
      <c r="V43" s="141"/>
    </row>
    <row r="44" spans="1:22" s="382" customFormat="1" ht="13.5" thickBot="1">
      <c r="A44" s="141"/>
      <c r="B44" s="3696">
        <f>B41+1</f>
        <v>11</v>
      </c>
      <c r="C44" s="3243" t="s">
        <v>4843</v>
      </c>
      <c r="D44" s="3242"/>
      <c r="E44" s="2869" t="s">
        <v>2261</v>
      </c>
      <c r="F44" s="3685" t="s">
        <v>294</v>
      </c>
      <c r="G44" s="4351" t="s">
        <v>3137</v>
      </c>
      <c r="H44" s="41"/>
      <c r="I44" s="41"/>
      <c r="N44" s="137"/>
      <c r="O44" s="137"/>
      <c r="P44" s="137"/>
      <c r="Q44" s="137"/>
      <c r="R44" s="137"/>
      <c r="S44" s="137"/>
      <c r="T44" s="137"/>
      <c r="U44" s="137"/>
      <c r="V44" s="141"/>
    </row>
    <row r="45" spans="1:22" s="382" customFormat="1" ht="13.5" thickBot="1">
      <c r="A45" s="141"/>
      <c r="B45" s="4606"/>
      <c r="C45" s="3059">
        <v>1150001</v>
      </c>
      <c r="D45" s="208" t="str">
        <f>VLOOKUP(C45,'מאזן בוחן צרפת'!$C:$D,2,0)</f>
        <v>הכנסות לקבל</v>
      </c>
      <c r="E45" s="2503">
        <f>F45*'מאזן בוחן צרפת'!O2</f>
        <v>0</v>
      </c>
      <c r="F45" s="1602"/>
      <c r="G45" s="4352"/>
      <c r="H45" s="493" t="e">
        <f t="shared" ref="H45:H46" si="0">E45/F45</f>
        <v>#DIV/0!</v>
      </c>
      <c r="I45" s="41"/>
      <c r="J45" s="2285">
        <v>6</v>
      </c>
      <c r="K45" s="2980" t="s">
        <v>3727</v>
      </c>
      <c r="L45" s="2981"/>
      <c r="M45" s="2982" t="s">
        <v>3057</v>
      </c>
      <c r="N45" s="137"/>
      <c r="O45" s="137"/>
      <c r="P45" s="137"/>
      <c r="Q45" s="137"/>
      <c r="R45" s="137"/>
      <c r="S45" s="137"/>
      <c r="T45" s="137"/>
      <c r="U45" s="137"/>
      <c r="V45" s="141"/>
    </row>
    <row r="46" spans="1:22" s="382" customFormat="1" ht="13.5" thickBot="1">
      <c r="A46" s="141"/>
      <c r="B46" s="4607"/>
      <c r="C46" s="3706" t="s">
        <v>459</v>
      </c>
      <c r="D46" s="3699" t="str">
        <f>VLOOKUP(C46,'מאזן בוחן צרפת'!$C:$D,2,0)</f>
        <v>Maintenance Revenues Euro and Dollar-for Bal2014</v>
      </c>
      <c r="E46" s="1604">
        <f>-E45</f>
        <v>0</v>
      </c>
      <c r="F46" s="3711">
        <f>-F45</f>
        <v>0</v>
      </c>
      <c r="G46" s="4353"/>
      <c r="H46" s="493" t="e">
        <f t="shared" si="0"/>
        <v>#DIV/0!</v>
      </c>
      <c r="I46" s="41"/>
      <c r="J46" s="4148"/>
      <c r="K46" s="2690">
        <v>42800000</v>
      </c>
      <c r="L46" s="2977" t="s">
        <v>3426</v>
      </c>
      <c r="M46" s="2691"/>
      <c r="N46" s="137"/>
      <c r="O46" s="137"/>
      <c r="P46" s="137"/>
      <c r="Q46" s="137"/>
      <c r="R46" s="137"/>
      <c r="S46" s="137"/>
      <c r="T46" s="137"/>
      <c r="U46" s="137"/>
      <c r="V46" s="141"/>
    </row>
    <row r="47" spans="1:22" s="382" customFormat="1" ht="13.5" thickBot="1">
      <c r="A47" s="141"/>
      <c r="B47" s="3697">
        <f>B44+1</f>
        <v>12</v>
      </c>
      <c r="C47" s="3243" t="s">
        <v>4585</v>
      </c>
      <c r="D47" s="3242"/>
      <c r="E47" s="2869" t="s">
        <v>2261</v>
      </c>
      <c r="F47" s="3685" t="s">
        <v>294</v>
      </c>
      <c r="G47" s="4592" t="s">
        <v>2427</v>
      </c>
      <c r="H47" s="137"/>
      <c r="J47" s="4149"/>
      <c r="K47" s="2647">
        <v>64130300</v>
      </c>
      <c r="L47" s="2978" t="s">
        <v>3427</v>
      </c>
      <c r="M47" s="2692">
        <f>E23</f>
        <v>0</v>
      </c>
      <c r="N47" s="137"/>
      <c r="O47" s="137"/>
      <c r="P47" s="137"/>
      <c r="Q47" s="137"/>
      <c r="R47" s="137"/>
      <c r="S47" s="137"/>
      <c r="T47" s="137"/>
      <c r="U47" s="137"/>
      <c r="V47" s="141"/>
    </row>
    <row r="48" spans="1:22" s="382" customFormat="1">
      <c r="A48" s="141"/>
      <c r="B48" s="4587"/>
      <c r="C48" s="3707">
        <v>8410069</v>
      </c>
      <c r="D48" s="3700" t="str">
        <f>VLOOKUP(C48,'[32]מאזן בוחן צרפת'!$C:$D,2,0)</f>
        <v>יעוץ הנה"כ , שירותי הנה"ח</v>
      </c>
      <c r="E48" s="2870"/>
      <c r="F48" s="3712">
        <f>E48/'מאזן בוחן צרפת'!$O$2</f>
        <v>0</v>
      </c>
      <c r="G48" s="4593"/>
      <c r="H48" s="491" t="e">
        <f>E48/F48</f>
        <v>#DIV/0!</v>
      </c>
      <c r="I48" s="41"/>
      <c r="J48" s="4149"/>
      <c r="K48" s="2647">
        <v>64130100</v>
      </c>
      <c r="L48" s="2978" t="s">
        <v>3428</v>
      </c>
      <c r="M48" s="2692">
        <f>E24</f>
        <v>0</v>
      </c>
      <c r="N48" s="137"/>
      <c r="O48" s="137"/>
      <c r="P48" s="137"/>
      <c r="Q48" s="137"/>
      <c r="R48" s="137"/>
      <c r="S48" s="137"/>
      <c r="T48" s="137"/>
      <c r="U48" s="137"/>
      <c r="V48" s="141"/>
    </row>
    <row r="49" spans="1:22" s="382" customFormat="1" ht="13.5" thickBot="1">
      <c r="A49" s="141"/>
      <c r="B49" s="4588"/>
      <c r="C49" s="3058">
        <v>2200001</v>
      </c>
      <c r="D49" s="3699" t="str">
        <f>VLOOKUP(C49,'מאזן בוחן צרפת'!$C:$D,2,0)</f>
        <v>Accrued expenses</v>
      </c>
      <c r="E49" s="2557">
        <f>-E48</f>
        <v>0</v>
      </c>
      <c r="F49" s="3713">
        <f>-F48</f>
        <v>0</v>
      </c>
      <c r="G49" s="4594"/>
      <c r="H49" s="491" t="e">
        <f>E49/F49</f>
        <v>#DIV/0!</v>
      </c>
      <c r="I49" s="41"/>
      <c r="J49" s="4149"/>
      <c r="K49" s="2647">
        <v>64130200</v>
      </c>
      <c r="L49" s="2978" t="s">
        <v>3429</v>
      </c>
      <c r="M49" s="2692">
        <f>E25</f>
        <v>0</v>
      </c>
      <c r="N49" s="137"/>
      <c r="O49" s="137"/>
      <c r="P49" s="137"/>
      <c r="Q49" s="137"/>
      <c r="R49" s="137"/>
      <c r="S49" s="137"/>
      <c r="T49" s="137"/>
      <c r="U49" s="137"/>
      <c r="V49" s="141"/>
    </row>
    <row r="50" spans="1:22" s="382" customFormat="1" ht="13.5" thickBot="1">
      <c r="A50" s="141"/>
      <c r="B50" s="3697">
        <f>B47+1</f>
        <v>13</v>
      </c>
      <c r="C50" s="3243" t="s">
        <v>4735</v>
      </c>
      <c r="D50" s="3242"/>
      <c r="E50" s="2869" t="s">
        <v>2261</v>
      </c>
      <c r="F50" s="3685" t="s">
        <v>294</v>
      </c>
      <c r="G50" s="4592" t="s">
        <v>2427</v>
      </c>
      <c r="H50" s="137"/>
      <c r="I50" s="41"/>
      <c r="J50" s="4150"/>
      <c r="K50" s="2424">
        <v>64130400</v>
      </c>
      <c r="L50" s="2979" t="s">
        <v>3430</v>
      </c>
      <c r="M50" s="2693">
        <f>E26</f>
        <v>0</v>
      </c>
      <c r="N50" s="137"/>
      <c r="O50" s="137"/>
      <c r="P50" s="137"/>
      <c r="Q50" s="137"/>
      <c r="R50" s="137"/>
      <c r="S50" s="137"/>
      <c r="T50" s="137"/>
      <c r="U50" s="137"/>
      <c r="V50" s="141"/>
    </row>
    <row r="51" spans="1:22" s="382" customFormat="1" ht="13.5" thickBot="1">
      <c r="A51" s="141"/>
      <c r="B51" s="4587"/>
      <c r="C51" s="3707">
        <v>2400001</v>
      </c>
      <c r="D51" s="3700" t="str">
        <f>VLOOKUP(C51,'[32]מאזן בוחן צרפת'!$C:$D,2,0)</f>
        <v>Accrued expenses Employees</v>
      </c>
      <c r="E51" s="2870">
        <f>-SUM(E52:E53)</f>
        <v>0</v>
      </c>
      <c r="F51" s="3712">
        <f>-SUM(F52:F53)</f>
        <v>0</v>
      </c>
      <c r="G51" s="4593"/>
      <c r="H51" s="491" t="e">
        <f>E51/F51</f>
        <v>#DIV/0!</v>
      </c>
      <c r="I51" s="41"/>
      <c r="J51" s="2285">
        <f>J45+1</f>
        <v>7</v>
      </c>
      <c r="K51" s="2980" t="s">
        <v>4219</v>
      </c>
      <c r="L51" s="2981"/>
      <c r="M51" s="2982" t="s">
        <v>3057</v>
      </c>
      <c r="N51" s="137"/>
      <c r="O51" s="137"/>
      <c r="P51" s="137"/>
      <c r="Q51" s="137"/>
      <c r="R51" s="137"/>
      <c r="S51" s="137"/>
      <c r="T51" s="137"/>
      <c r="U51" s="137"/>
      <c r="V51" s="141"/>
    </row>
    <row r="52" spans="1:22" s="382" customFormat="1">
      <c r="A52" s="141"/>
      <c r="B52" s="4595"/>
      <c r="C52" s="3059">
        <v>5200011</v>
      </c>
      <c r="D52" s="3700" t="str">
        <f>VLOOKUP(C52,'[32]מאזן בוחן צרפת'!$C:$D,2,0)</f>
        <v>הפרשה להוצאות סוציאליות Delivery</v>
      </c>
      <c r="E52" s="2556">
        <f>F52*'מאזן בוחן צרפת'!$O$2</f>
        <v>0</v>
      </c>
      <c r="F52" s="2692"/>
      <c r="G52" s="4593"/>
      <c r="H52" s="491" t="e">
        <f>E52/F52</f>
        <v>#DIV/0!</v>
      </c>
      <c r="I52" s="41"/>
      <c r="J52" s="4145"/>
      <c r="K52" s="2647">
        <v>64130210</v>
      </c>
      <c r="L52" s="2645" t="s">
        <v>3481</v>
      </c>
      <c r="M52" s="2281">
        <f>E28</f>
        <v>0</v>
      </c>
      <c r="N52" s="137"/>
      <c r="O52" s="137"/>
      <c r="P52" s="137"/>
      <c r="Q52" s="137"/>
      <c r="R52" s="137"/>
      <c r="S52" s="137"/>
      <c r="T52" s="137"/>
      <c r="U52" s="137"/>
      <c r="V52" s="141"/>
    </row>
    <row r="53" spans="1:22" s="382" customFormat="1" ht="13.5" thickBot="1">
      <c r="A53" s="141"/>
      <c r="B53" s="4588"/>
      <c r="C53" s="3058">
        <v>7110017</v>
      </c>
      <c r="D53" s="3701" t="str">
        <f>VLOOKUP(C53,'[32]מאזן בוחן צרפת'!$C:$D,2,0)</f>
        <v>הפרשה להוצאות סוציאליות RVP</v>
      </c>
      <c r="E53" s="2557">
        <f>F53*'מאזן בוחן צרפת'!$O$2</f>
        <v>0</v>
      </c>
      <c r="F53" s="2693"/>
      <c r="G53" s="4594"/>
      <c r="H53" s="491" t="e">
        <f>E53/F53</f>
        <v>#DIV/0!</v>
      </c>
      <c r="I53" s="41"/>
      <c r="J53" s="4147"/>
      <c r="K53" s="2424">
        <v>42800000</v>
      </c>
      <c r="L53" s="2646" t="s">
        <v>3482</v>
      </c>
      <c r="M53" s="2457">
        <f>-M52</f>
        <v>0</v>
      </c>
      <c r="N53" s="137"/>
      <c r="O53" s="137"/>
      <c r="P53" s="137"/>
      <c r="Q53" s="137"/>
      <c r="R53" s="137"/>
      <c r="S53" s="137"/>
      <c r="T53" s="137"/>
      <c r="U53" s="137"/>
      <c r="V53" s="141"/>
    </row>
    <row r="54" spans="1:22" s="382" customFormat="1" ht="13.5" thickBot="1">
      <c r="A54" s="141"/>
      <c r="B54" s="3697">
        <f>B50+1</f>
        <v>14</v>
      </c>
      <c r="C54" s="3243" t="s">
        <v>4870</v>
      </c>
      <c r="D54" s="3242"/>
      <c r="E54" s="2869" t="s">
        <v>2261</v>
      </c>
      <c r="F54" s="3685" t="s">
        <v>294</v>
      </c>
      <c r="G54" s="4592" t="s">
        <v>4117</v>
      </c>
      <c r="H54" s="137"/>
      <c r="I54" s="41"/>
      <c r="J54" s="251"/>
      <c r="L54" s="61"/>
      <c r="M54" s="555"/>
      <c r="N54" s="137"/>
      <c r="O54" s="137"/>
      <c r="P54" s="137"/>
      <c r="Q54" s="137"/>
      <c r="R54" s="137"/>
      <c r="S54" s="137"/>
      <c r="T54" s="137"/>
      <c r="U54" s="137"/>
      <c r="V54" s="141"/>
    </row>
    <row r="55" spans="1:22" s="382" customFormat="1" ht="13.5" thickBot="1">
      <c r="A55" s="141"/>
      <c r="B55" s="4587"/>
      <c r="C55" s="3707">
        <v>2400001</v>
      </c>
      <c r="D55" s="4141" t="str">
        <f>VLOOKUP(C55,'[32]מאזן בוחן צרפת'!$C:$D,2,0)</f>
        <v>Accrued expenses Employees</v>
      </c>
      <c r="E55" s="2870">
        <f>-SUM(E56:E59)</f>
        <v>0</v>
      </c>
      <c r="F55" s="3712">
        <f>-SUM(F56:F59)</f>
        <v>0</v>
      </c>
      <c r="G55" s="4593"/>
      <c r="H55" s="491" t="e">
        <f>E55/F55</f>
        <v>#DIV/0!</v>
      </c>
      <c r="I55" s="41"/>
      <c r="J55" s="2285">
        <v>8</v>
      </c>
      <c r="K55" s="2980" t="s">
        <v>3483</v>
      </c>
      <c r="L55" s="2981"/>
      <c r="M55" s="2982" t="s">
        <v>3057</v>
      </c>
      <c r="N55" s="137"/>
      <c r="O55" s="137"/>
      <c r="P55" s="137"/>
      <c r="Q55" s="137"/>
      <c r="R55" s="137"/>
      <c r="S55" s="137"/>
      <c r="T55" s="137"/>
      <c r="U55" s="137"/>
      <c r="V55" s="141"/>
    </row>
    <row r="56" spans="1:22" s="382" customFormat="1">
      <c r="A56" s="141"/>
      <c r="B56" s="4595"/>
      <c r="C56" s="3707">
        <v>5200011</v>
      </c>
      <c r="D56" s="3700" t="str">
        <f>VLOOKUP(C56,'[32]מאזן בוחן צרפת'!$C:$D,2,0)</f>
        <v>הפרשה להוצאות סוציאליות Delivery</v>
      </c>
      <c r="E56" s="2556">
        <f>F56*'מאזן בוחן צרפת'!$O$2</f>
        <v>0</v>
      </c>
      <c r="F56" s="2552"/>
      <c r="G56" s="4593"/>
      <c r="H56" s="491" t="e">
        <f>E56/F56</f>
        <v>#DIV/0!</v>
      </c>
      <c r="I56" s="41"/>
      <c r="J56" s="4145"/>
      <c r="K56" s="2647">
        <v>48700000</v>
      </c>
      <c r="L56" s="2645" t="s">
        <v>3485</v>
      </c>
      <c r="M56" s="2281">
        <f>E34</f>
        <v>0</v>
      </c>
      <c r="N56" s="137"/>
      <c r="O56" s="137"/>
      <c r="P56" s="137"/>
      <c r="Q56" s="137"/>
      <c r="R56" s="137"/>
      <c r="S56" s="137"/>
      <c r="T56" s="137"/>
      <c r="U56" s="137"/>
      <c r="V56" s="141"/>
    </row>
    <row r="57" spans="1:22" s="382" customFormat="1" ht="13.5" thickBot="1">
      <c r="A57" s="141"/>
      <c r="B57" s="4595"/>
      <c r="C57" s="3705">
        <v>7110021</v>
      </c>
      <c r="D57" s="3700" t="str">
        <f>VLOOKUP(C57,'[32]מאזן בוחן צרפת'!$C:$D,2,0)</f>
        <v>הפרשה להוצאות סוציאליות Sales</v>
      </c>
      <c r="E57" s="2556">
        <f>F57*'מאזן בוחן צרפת'!$O$2</f>
        <v>0</v>
      </c>
      <c r="F57" s="2552"/>
      <c r="G57" s="4593"/>
      <c r="H57" s="491" t="e">
        <f>E57/F57</f>
        <v>#DIV/0!</v>
      </c>
      <c r="I57" s="41"/>
      <c r="J57" s="4147"/>
      <c r="K57" s="2424">
        <v>48770100</v>
      </c>
      <c r="L57" s="2646" t="s">
        <v>3484</v>
      </c>
      <c r="M57" s="2457">
        <f>-M56</f>
        <v>0</v>
      </c>
      <c r="N57" s="137"/>
      <c r="O57" s="137"/>
      <c r="P57" s="137"/>
      <c r="Q57" s="137"/>
      <c r="R57" s="137"/>
      <c r="S57" s="137"/>
      <c r="T57" s="137"/>
      <c r="U57" s="137"/>
      <c r="V57" s="141"/>
    </row>
    <row r="58" spans="1:22" s="382" customFormat="1" ht="13.5" thickBot="1">
      <c r="A58" s="141"/>
      <c r="B58" s="4595"/>
      <c r="C58" s="3705">
        <v>7140011</v>
      </c>
      <c r="D58" s="3700" t="str">
        <f>VLOOKUP(C58,'[32]מאזן בוחן צרפת'!$C:$D,2,0)</f>
        <v>הפרשה להוצאות סוציאליות SE</v>
      </c>
      <c r="E58" s="2556">
        <f>F58*'מאזן בוחן צרפת'!$O$2</f>
        <v>0</v>
      </c>
      <c r="F58" s="2552"/>
      <c r="G58" s="4593"/>
      <c r="H58" s="491" t="e">
        <f>E58/F58</f>
        <v>#DIV/0!</v>
      </c>
      <c r="I58" s="41"/>
      <c r="J58" s="251"/>
      <c r="L58" s="61"/>
      <c r="M58" s="555"/>
      <c r="N58" s="137"/>
      <c r="O58" s="137"/>
      <c r="P58" s="137"/>
      <c r="Q58" s="137"/>
      <c r="R58" s="137"/>
      <c r="S58" s="137"/>
      <c r="T58" s="137"/>
      <c r="U58" s="137"/>
      <c r="V58" s="141"/>
    </row>
    <row r="59" spans="1:22" s="382" customFormat="1" ht="13.5" thickBot="1">
      <c r="A59" s="141"/>
      <c r="B59" s="4588"/>
      <c r="C59" s="3058">
        <v>7110017</v>
      </c>
      <c r="D59" s="3701" t="str">
        <f>VLOOKUP(C59,'[32]מאזן בוחן צרפת'!$C:$D,2,0)</f>
        <v>הפרשה להוצאות סוציאליות RVP</v>
      </c>
      <c r="E59" s="2557">
        <f>F59*'מאזן בוחן צרפת'!$O$2</f>
        <v>0</v>
      </c>
      <c r="F59" s="4142"/>
      <c r="G59" s="4594"/>
      <c r="H59" s="491" t="e">
        <f>E59/F59</f>
        <v>#DIV/0!</v>
      </c>
      <c r="I59" s="41"/>
      <c r="J59" s="1820">
        <f>J55+1</f>
        <v>9</v>
      </c>
      <c r="K59" s="3243" t="s">
        <v>3488</v>
      </c>
      <c r="L59" s="3242"/>
      <c r="M59" s="2534" t="s">
        <v>2261</v>
      </c>
      <c r="N59" s="137"/>
      <c r="O59" s="137"/>
      <c r="P59" s="137"/>
      <c r="Q59" s="137"/>
      <c r="R59" s="137"/>
      <c r="S59" s="137"/>
      <c r="T59" s="137"/>
      <c r="U59" s="137"/>
      <c r="V59" s="141"/>
    </row>
    <row r="60" spans="1:22" s="382" customFormat="1" ht="13.5" thickBot="1">
      <c r="A60" s="141"/>
      <c r="B60" s="3696">
        <f>B54+1</f>
        <v>15</v>
      </c>
      <c r="C60" s="3243" t="s">
        <v>4730</v>
      </c>
      <c r="D60" s="3242"/>
      <c r="E60" s="2869" t="s">
        <v>2261</v>
      </c>
      <c r="F60" s="3685" t="s">
        <v>294</v>
      </c>
      <c r="G60" s="553"/>
      <c r="H60" s="41"/>
      <c r="I60" s="41"/>
      <c r="J60" s="3657"/>
      <c r="K60" s="3059">
        <v>2400001</v>
      </c>
      <c r="L60" s="2645" t="str">
        <f>VLOOKUP(K60,'מאזן בוחן צרפת'!$C:$D,2,0)</f>
        <v>Accrued expenses Employees</v>
      </c>
      <c r="M60" s="2503">
        <f>-M61-M62</f>
        <v>0</v>
      </c>
      <c r="N60" s="137"/>
      <c r="O60" s="137"/>
      <c r="P60" s="137"/>
      <c r="Q60" s="137"/>
      <c r="R60" s="137"/>
      <c r="S60" s="137"/>
      <c r="T60" s="137"/>
      <c r="U60" s="137"/>
      <c r="V60" s="141"/>
    </row>
    <row r="61" spans="1:22" s="382" customFormat="1" ht="13.5" thickBot="1">
      <c r="A61" s="141"/>
      <c r="B61" s="4587"/>
      <c r="C61" s="3059">
        <v>2400001</v>
      </c>
      <c r="D61" s="208" t="str">
        <f>VLOOKUP(C61,'מאזן בוחן צרפת'!$C:$D,2,0)</f>
        <v>Accrued expenses Employees</v>
      </c>
      <c r="E61" s="2503">
        <f>-SUM(E62:E64)</f>
        <v>0</v>
      </c>
      <c r="F61" s="1602">
        <f>E61/'מאזן בוחן צרפת'!$O$2</f>
        <v>0</v>
      </c>
      <c r="G61" s="4351" t="s">
        <v>3289</v>
      </c>
      <c r="H61" s="493" t="e">
        <f>E61/F61</f>
        <v>#DIV/0!</v>
      </c>
      <c r="I61" s="41" t="s">
        <v>4218</v>
      </c>
      <c r="J61" s="3657"/>
      <c r="K61" s="3059">
        <v>7110021</v>
      </c>
      <c r="L61" s="2645" t="str">
        <f>VLOOKUP(K61,'מאזן בוחן צרפת'!$C:$D,2,0)</f>
        <v>הפרשה להוצאות סוציאליות Sales</v>
      </c>
      <c r="M61" s="2503">
        <f>E62</f>
        <v>0</v>
      </c>
      <c r="N61" s="137"/>
      <c r="O61" s="137"/>
      <c r="P61" s="137"/>
      <c r="Q61" s="137"/>
      <c r="R61" s="137"/>
      <c r="S61" s="137"/>
      <c r="T61" s="137"/>
      <c r="U61" s="137"/>
      <c r="V61" s="141"/>
    </row>
    <row r="62" spans="1:22" s="382" customFormat="1" ht="13.5" thickBot="1">
      <c r="A62" s="141"/>
      <c r="B62" s="4595"/>
      <c r="C62" s="3059">
        <v>7110021</v>
      </c>
      <c r="D62" s="208" t="str">
        <f>VLOOKUP(C62,'מאזן בוחן צרפת'!$C:$D,2,0)</f>
        <v>הפרשה להוצאות סוציאליות Sales</v>
      </c>
      <c r="E62" s="2503"/>
      <c r="F62" s="1602">
        <f>E62/'מאזן בוחן צרפת'!$O$2</f>
        <v>0</v>
      </c>
      <c r="G62" s="4352"/>
      <c r="H62" s="493" t="e">
        <f>E62/F62</f>
        <v>#DIV/0!</v>
      </c>
      <c r="I62" s="3775">
        <v>0.42</v>
      </c>
      <c r="J62" s="4151"/>
      <c r="K62" s="3059">
        <v>7140011</v>
      </c>
      <c r="L62" s="2645" t="str">
        <f>VLOOKUP(K62,'מאזן בוחן צרפת'!$C:$D,2,0)</f>
        <v>הפרשה להוצאות סוציאליות SE</v>
      </c>
      <c r="M62" s="2503">
        <f>E63</f>
        <v>0</v>
      </c>
      <c r="N62" s="137"/>
      <c r="O62" s="137"/>
      <c r="P62" s="137"/>
      <c r="Q62" s="137"/>
      <c r="R62" s="137"/>
      <c r="S62" s="137"/>
      <c r="T62" s="137"/>
      <c r="U62" s="137"/>
      <c r="V62" s="141"/>
    </row>
    <row r="63" spans="1:22" s="382" customFormat="1" ht="13.5" thickBot="1">
      <c r="A63" s="141"/>
      <c r="B63" s="4595"/>
      <c r="C63" s="3059">
        <v>7140011</v>
      </c>
      <c r="D63" s="208" t="str">
        <f>VLOOKUP(C63,'מאזן בוחן צרפת'!$C:$D,2,0)</f>
        <v>הפרשה להוצאות סוציאליות SE</v>
      </c>
      <c r="E63" s="2503"/>
      <c r="F63" s="1602">
        <f>E63/'מאזן בוחן צרפת'!$O$2</f>
        <v>0</v>
      </c>
      <c r="G63" s="4352"/>
      <c r="H63" s="493" t="e">
        <f>E63/F63</f>
        <v>#DIV/0!</v>
      </c>
      <c r="I63" s="41"/>
      <c r="J63" s="4152"/>
      <c r="K63" s="3244">
        <v>7110017</v>
      </c>
      <c r="L63" s="2646" t="str">
        <f>VLOOKUP(K63,'מאזן בוחן צרפת'!$C:$D,2,0)</f>
        <v>הפרשה להוצאות סוציאליות RVP</v>
      </c>
      <c r="M63" s="1604">
        <f>E64</f>
        <v>0</v>
      </c>
      <c r="N63" s="137"/>
      <c r="O63" s="137"/>
      <c r="P63" s="137"/>
      <c r="Q63" s="137"/>
      <c r="R63" s="137"/>
      <c r="S63" s="137"/>
      <c r="T63" s="137"/>
      <c r="U63" s="137"/>
      <c r="V63" s="141"/>
    </row>
    <row r="64" spans="1:22" s="382" customFormat="1" ht="13.5" thickBot="1">
      <c r="A64" s="141"/>
      <c r="B64" s="4588"/>
      <c r="C64" s="3244">
        <v>7110017</v>
      </c>
      <c r="D64" s="3699" t="str">
        <f>VLOOKUP(C64,'מאזן בוחן צרפת'!$C:$D,2,0)</f>
        <v>הפרשה להוצאות סוציאליות RVP</v>
      </c>
      <c r="E64" s="1604"/>
      <c r="F64" s="1602">
        <f>E64/'מאזן בוחן צרפת'!$O$2</f>
        <v>0</v>
      </c>
      <c r="G64" s="4353"/>
      <c r="H64" s="493" t="e">
        <f>E64/F64</f>
        <v>#DIV/0!</v>
      </c>
      <c r="I64" s="41"/>
      <c r="J64" s="251"/>
      <c r="L64" s="61"/>
      <c r="M64" s="555"/>
      <c r="N64" s="137"/>
      <c r="O64" s="137"/>
      <c r="P64" s="137"/>
      <c r="Q64" s="137"/>
      <c r="R64" s="137"/>
      <c r="S64" s="137"/>
      <c r="T64" s="137"/>
      <c r="U64" s="137"/>
      <c r="V64" s="141"/>
    </row>
    <row r="65" spans="1:22" s="382" customFormat="1" ht="13.5" thickBot="1">
      <c r="A65" s="141"/>
      <c r="B65" s="3696">
        <f>B60+1</f>
        <v>16</v>
      </c>
      <c r="C65" s="3243" t="s">
        <v>3550</v>
      </c>
      <c r="D65" s="3242"/>
      <c r="E65" s="2869" t="s">
        <v>2261</v>
      </c>
      <c r="F65" s="3685" t="s">
        <v>294</v>
      </c>
      <c r="G65" s="553"/>
      <c r="H65" s="493"/>
      <c r="I65" s="41"/>
      <c r="J65" s="1820">
        <f>J59+1</f>
        <v>10</v>
      </c>
      <c r="K65" s="2532"/>
      <c r="L65" s="2533"/>
      <c r="M65" s="2534" t="s">
        <v>2261</v>
      </c>
      <c r="N65" s="137"/>
      <c r="O65" s="137"/>
      <c r="P65" s="137"/>
      <c r="Q65" s="137"/>
      <c r="R65" s="137"/>
      <c r="S65" s="137"/>
      <c r="T65" s="137"/>
      <c r="U65" s="137"/>
      <c r="V65" s="141"/>
    </row>
    <row r="66" spans="1:22" s="382" customFormat="1">
      <c r="A66" s="141"/>
      <c r="B66" s="4587"/>
      <c r="C66" s="3059">
        <v>2420001</v>
      </c>
      <c r="D66" s="208" t="str">
        <f>VLOOKUP(C66,'מאזן בוחן צרפת'!$C:$D,2,0)</f>
        <v>עתודה לחופשה</v>
      </c>
      <c r="E66" s="2503">
        <f>-SUM(E67:E70)</f>
        <v>0</v>
      </c>
      <c r="F66" s="1602">
        <f>E66/'מאזן בוחן צרפת'!$O$2</f>
        <v>0</v>
      </c>
      <c r="G66" s="4351" t="s">
        <v>4725</v>
      </c>
      <c r="H66" s="493" t="e">
        <f>E66/F66</f>
        <v>#DIV/0!</v>
      </c>
      <c r="I66" s="41"/>
      <c r="J66" s="3657"/>
      <c r="K66" s="1119"/>
      <c r="L66" s="549"/>
      <c r="M66" s="2503">
        <f>E43</f>
        <v>0</v>
      </c>
      <c r="N66" s="137"/>
      <c r="O66" s="137"/>
      <c r="P66" s="137"/>
      <c r="Q66" s="137"/>
      <c r="R66" s="137"/>
      <c r="S66" s="137"/>
      <c r="T66" s="137"/>
      <c r="U66" s="137"/>
      <c r="V66" s="141"/>
    </row>
    <row r="67" spans="1:22" s="382" customFormat="1" ht="13.5" thickBot="1">
      <c r="A67" s="141"/>
      <c r="B67" s="4595"/>
      <c r="C67" s="3059">
        <v>5200011</v>
      </c>
      <c r="D67" s="208" t="str">
        <f>VLOOKUP(C67,'מאזן בוחן צרפת'!$C:$D,2,0)</f>
        <v>הפרשה להוצ סוציאליות Delivery</v>
      </c>
      <c r="E67" s="2503"/>
      <c r="F67" s="1602">
        <f>E67/'מאזן בוחן צרפת'!$O$2</f>
        <v>0</v>
      </c>
      <c r="G67" s="4352"/>
      <c r="H67" s="493" t="e">
        <f>E67/F67</f>
        <v>#DIV/0!</v>
      </c>
      <c r="I67" s="41"/>
      <c r="J67" s="3658"/>
      <c r="K67" s="2884"/>
      <c r="L67" s="557"/>
      <c r="M67" s="1604">
        <f>-M66</f>
        <v>0</v>
      </c>
      <c r="N67" s="137"/>
      <c r="O67" s="137"/>
      <c r="P67" s="137"/>
      <c r="Q67" s="137"/>
      <c r="R67" s="137"/>
      <c r="S67" s="137"/>
      <c r="T67" s="137"/>
      <c r="U67" s="137"/>
      <c r="V67" s="141"/>
    </row>
    <row r="68" spans="1:22" s="382" customFormat="1" ht="13.5" thickBot="1">
      <c r="A68" s="141"/>
      <c r="B68" s="4595"/>
      <c r="C68" s="3059">
        <v>7110021</v>
      </c>
      <c r="D68" s="208" t="str">
        <f>VLOOKUP(C68,'מאזן בוחן צרפת'!$C:$D,2,0)</f>
        <v>הפרשה להוצאות סוציאליות Sales</v>
      </c>
      <c r="E68" s="2503"/>
      <c r="F68" s="1602">
        <f>E68/'מאזן בוחן צרפת'!$O$2</f>
        <v>0</v>
      </c>
      <c r="G68" s="4352"/>
      <c r="H68" s="493" t="e">
        <f>E68/F68</f>
        <v>#DIV/0!</v>
      </c>
      <c r="I68" s="41"/>
      <c r="J68" s="251"/>
      <c r="L68" s="61"/>
      <c r="M68" s="555"/>
      <c r="N68" s="137"/>
      <c r="O68" s="137"/>
      <c r="P68" s="137"/>
      <c r="Q68" s="137"/>
      <c r="R68" s="137"/>
      <c r="S68" s="137"/>
      <c r="T68" s="137"/>
      <c r="U68" s="137"/>
      <c r="V68" s="141"/>
    </row>
    <row r="69" spans="1:22" s="382" customFormat="1" ht="13.5" thickBot="1">
      <c r="A69" s="141"/>
      <c r="B69" s="4595"/>
      <c r="C69" s="3059">
        <v>7140011</v>
      </c>
      <c r="D69" s="208" t="str">
        <f>VLOOKUP(C69,'מאזן בוחן צרפת'!$C:$D,2,0)</f>
        <v>הפרשה להוצאות סוציאליות SE</v>
      </c>
      <c r="E69" s="2503"/>
      <c r="F69" s="1602">
        <f>E69/'מאזן בוחן צרפת'!$O$2</f>
        <v>0</v>
      </c>
      <c r="G69" s="4352"/>
      <c r="H69" s="493" t="e">
        <f>E69/F69</f>
        <v>#DIV/0!</v>
      </c>
      <c r="I69" s="41"/>
      <c r="J69" s="1820">
        <f>J65+1</f>
        <v>11</v>
      </c>
      <c r="K69" s="2532" t="s">
        <v>3895</v>
      </c>
      <c r="L69" s="2533"/>
      <c r="M69" s="2534" t="s">
        <v>2261</v>
      </c>
      <c r="N69" s="137"/>
      <c r="O69" s="137"/>
      <c r="P69" s="137"/>
      <c r="Q69" s="137"/>
      <c r="R69" s="137"/>
      <c r="S69" s="137"/>
      <c r="T69" s="137"/>
      <c r="U69" s="137"/>
      <c r="V69" s="141"/>
    </row>
    <row r="70" spans="1:22" s="382" customFormat="1" ht="13.5" thickBot="1">
      <c r="A70" s="141"/>
      <c r="B70" s="4588"/>
      <c r="C70" s="3244">
        <v>7110017</v>
      </c>
      <c r="D70" s="3699" t="str">
        <f>VLOOKUP(C70,'מאזן בוחן צרפת'!$C:$D,2,0)</f>
        <v>הפרשה להוצאות סוציאליות RVP</v>
      </c>
      <c r="E70" s="2503"/>
      <c r="F70" s="1602">
        <f>E70/'מאזן בוחן צרפת'!$O$2</f>
        <v>0</v>
      </c>
      <c r="G70" s="4353"/>
      <c r="H70" s="493" t="e">
        <f>E70/F70</f>
        <v>#DIV/0!</v>
      </c>
      <c r="I70" s="41"/>
      <c r="J70" s="3657"/>
      <c r="K70" s="1119">
        <v>42100200</v>
      </c>
      <c r="L70" s="549" t="s">
        <v>3877</v>
      </c>
      <c r="M70" s="2503"/>
      <c r="N70" s="137"/>
      <c r="O70" s="137"/>
      <c r="P70" s="137"/>
      <c r="Q70" s="137"/>
      <c r="R70" s="137"/>
      <c r="S70" s="137"/>
      <c r="T70" s="137"/>
      <c r="U70" s="137"/>
      <c r="V70" s="141"/>
    </row>
    <row r="71" spans="1:22" s="382" customFormat="1" ht="13.5" thickBot="1">
      <c r="A71" s="141"/>
      <c r="B71" s="3696">
        <f>B65+1</f>
        <v>17</v>
      </c>
      <c r="C71" s="3243" t="s">
        <v>3729</v>
      </c>
      <c r="D71" s="3242"/>
      <c r="E71" s="2869" t="s">
        <v>2261</v>
      </c>
      <c r="F71" s="3685" t="s">
        <v>294</v>
      </c>
      <c r="G71" s="137"/>
      <c r="H71" s="493"/>
      <c r="I71" s="41"/>
      <c r="J71" s="3658"/>
      <c r="K71" s="2884">
        <v>64130210</v>
      </c>
      <c r="L71" s="557" t="s">
        <v>3481</v>
      </c>
      <c r="M71" s="1604"/>
      <c r="N71" s="137"/>
      <c r="O71" s="137"/>
      <c r="P71" s="137"/>
      <c r="Q71" s="137"/>
      <c r="R71" s="137"/>
      <c r="S71" s="137"/>
      <c r="T71" s="137"/>
      <c r="U71" s="137"/>
      <c r="V71" s="141"/>
    </row>
    <row r="72" spans="1:22" s="382" customFormat="1" ht="13.5" thickBot="1">
      <c r="A72" s="141"/>
      <c r="B72" s="4587"/>
      <c r="C72" s="3705">
        <v>2400001</v>
      </c>
      <c r="D72" s="3709" t="str">
        <f>VLOOKUP(C72,'מאזן בוחן צרפת'!$C:$D,2,0)</f>
        <v>Accrued expenses Employees</v>
      </c>
      <c r="E72" s="1601">
        <f>-SUM($E$73:$E$76)</f>
        <v>0</v>
      </c>
      <c r="F72" s="1353">
        <f>E72/'מאזן בוחן צרפת'!$O$2</f>
        <v>0</v>
      </c>
      <c r="G72" s="4351" t="s">
        <v>2427</v>
      </c>
      <c r="H72" s="493" t="e">
        <f t="shared" ref="H72:H79" si="1">E72/F72</f>
        <v>#DIV/0!</v>
      </c>
      <c r="I72" s="41"/>
      <c r="J72" s="251"/>
      <c r="L72" s="61"/>
      <c r="M72" s="555"/>
      <c r="N72" s="137"/>
      <c r="O72" s="137"/>
      <c r="P72" s="137"/>
      <c r="Q72" s="137"/>
      <c r="R72" s="137"/>
      <c r="S72" s="137"/>
      <c r="T72" s="137"/>
      <c r="U72" s="137"/>
      <c r="V72" s="141"/>
    </row>
    <row r="73" spans="1:22" s="382" customFormat="1" ht="13.5" thickBot="1">
      <c r="A73" s="141"/>
      <c r="B73" s="4595"/>
      <c r="C73" s="3059">
        <v>7110010</v>
      </c>
      <c r="D73" s="208" t="str">
        <f>VLOOKUP(C73,'מאזן בוחן צרפת'!$C:$D,2,0)</f>
        <v>שכר צרפת RVP -בונוס One time bonus</v>
      </c>
      <c r="E73" s="3715"/>
      <c r="F73" s="1353">
        <f>E73/'מאזן בוחן צרפת'!$O$2</f>
        <v>0</v>
      </c>
      <c r="G73" s="4352"/>
      <c r="H73" s="493" t="e">
        <f t="shared" si="1"/>
        <v>#DIV/0!</v>
      </c>
      <c r="I73" s="41"/>
      <c r="J73" s="2285">
        <f>J69+1</f>
        <v>12</v>
      </c>
      <c r="K73" s="2980" t="s">
        <v>3728</v>
      </c>
      <c r="L73" s="2981"/>
      <c r="M73" s="2982" t="s">
        <v>3057</v>
      </c>
      <c r="N73" s="137"/>
      <c r="O73" s="137"/>
      <c r="P73" s="137"/>
      <c r="Q73" s="137"/>
      <c r="R73" s="137"/>
      <c r="S73" s="137"/>
      <c r="T73" s="137"/>
      <c r="U73" s="137"/>
      <c r="V73" s="141"/>
    </row>
    <row r="74" spans="1:22" s="382" customFormat="1">
      <c r="A74" s="141"/>
      <c r="B74" s="4595"/>
      <c r="C74" s="3059">
        <v>7140003</v>
      </c>
      <c r="D74" s="208" t="str">
        <f>VLOOKUP(C74,'מאזן בוחן צרפת'!$C:$D,2,0)</f>
        <v>Other Bonus SE</v>
      </c>
      <c r="E74" s="2503"/>
      <c r="F74" s="1353">
        <f>E74/'מאזן בוחן צרפת'!$O$2</f>
        <v>0</v>
      </c>
      <c r="G74" s="4352"/>
      <c r="H74" s="493" t="e">
        <f t="shared" si="1"/>
        <v>#DIV/0!</v>
      </c>
      <c r="I74" s="41"/>
      <c r="J74" s="4148"/>
      <c r="K74" s="2690">
        <v>2400001</v>
      </c>
      <c r="L74" s="2977" t="s">
        <v>3426</v>
      </c>
      <c r="M74" s="2691"/>
      <c r="N74" s="137"/>
      <c r="O74" s="137"/>
      <c r="P74" s="137"/>
      <c r="Q74" s="137"/>
      <c r="R74" s="137"/>
      <c r="S74" s="137"/>
      <c r="T74" s="137"/>
      <c r="U74" s="137"/>
      <c r="V74" s="141"/>
    </row>
    <row r="75" spans="1:22" s="382" customFormat="1">
      <c r="A75" s="141"/>
      <c r="B75" s="4595"/>
      <c r="C75" s="3059">
        <v>7110005</v>
      </c>
      <c r="D75" s="208" t="str">
        <f>VLOOKUP(C75,'מאזן בוחן צרפת'!$C:$D,2,0)</f>
        <v>שכר צרפת מכירות-בונוס Other</v>
      </c>
      <c r="E75" s="2503"/>
      <c r="F75" s="1353">
        <f>E75/'מאזן בוחן צרפת'!$O$2</f>
        <v>0</v>
      </c>
      <c r="G75" s="4352"/>
      <c r="H75" s="493" t="e">
        <f t="shared" si="1"/>
        <v>#DIV/0!</v>
      </c>
      <c r="I75" s="41"/>
      <c r="J75" s="4149"/>
      <c r="K75" s="2647">
        <v>64120300</v>
      </c>
      <c r="L75" s="2978" t="s">
        <v>3730</v>
      </c>
      <c r="M75" s="2692">
        <f>E73</f>
        <v>0</v>
      </c>
      <c r="N75" s="137"/>
      <c r="O75" s="137"/>
      <c r="P75" s="137"/>
      <c r="Q75" s="137"/>
      <c r="R75" s="137"/>
      <c r="S75" s="137"/>
      <c r="T75" s="137"/>
      <c r="U75" s="137"/>
      <c r="V75" s="141"/>
    </row>
    <row r="76" spans="1:22" s="382" customFormat="1" ht="13.5" thickBot="1">
      <c r="A76" s="141"/>
      <c r="B76" s="4588"/>
      <c r="C76" s="3244">
        <v>5200002</v>
      </c>
      <c r="D76" s="3699" t="str">
        <f>VLOOKUP(C76,'מאזן בוחן צרפת'!$C:$D,2,0)</f>
        <v>בונוס Delivery</v>
      </c>
      <c r="E76" s="1604"/>
      <c r="F76" s="3710">
        <f>E76/'מאזן בוחן צרפת'!$O$2</f>
        <v>0</v>
      </c>
      <c r="G76" s="4353"/>
      <c r="H76" s="493" t="e">
        <f t="shared" si="1"/>
        <v>#DIV/0!</v>
      </c>
      <c r="I76" s="41"/>
      <c r="J76" s="4149"/>
      <c r="K76" s="2647">
        <v>64120400</v>
      </c>
      <c r="L76" s="2978" t="s">
        <v>3731</v>
      </c>
      <c r="M76" s="2692">
        <f>E74</f>
        <v>0</v>
      </c>
      <c r="N76" s="137"/>
      <c r="O76" s="137"/>
      <c r="P76" s="137"/>
      <c r="Q76" s="137"/>
      <c r="R76" s="137"/>
      <c r="S76" s="137"/>
      <c r="T76" s="137"/>
      <c r="U76" s="137"/>
      <c r="V76" s="141"/>
    </row>
    <row r="77" spans="1:22" s="382" customFormat="1" ht="13.5" thickBot="1">
      <c r="A77" s="141"/>
      <c r="B77" s="3696">
        <f>B71+1</f>
        <v>18</v>
      </c>
      <c r="C77" s="3243" t="s">
        <v>4224</v>
      </c>
      <c r="D77" s="3242"/>
      <c r="E77" s="2869" t="s">
        <v>2261</v>
      </c>
      <c r="F77" s="3685" t="s">
        <v>294</v>
      </c>
      <c r="G77" s="553"/>
      <c r="H77" s="41"/>
      <c r="I77" s="41"/>
      <c r="J77" s="4149"/>
      <c r="K77" s="2647">
        <v>64120200</v>
      </c>
      <c r="L77" s="2978" t="s">
        <v>3733</v>
      </c>
      <c r="M77" s="2692">
        <f>E75</f>
        <v>0</v>
      </c>
      <c r="N77" s="137"/>
      <c r="O77" s="137"/>
      <c r="P77" s="137"/>
      <c r="Q77" s="137"/>
      <c r="R77" s="137"/>
      <c r="S77" s="137"/>
      <c r="T77" s="137"/>
      <c r="U77" s="137"/>
      <c r="V77" s="141"/>
    </row>
    <row r="78" spans="1:22" s="382" customFormat="1" ht="13.5" thickBot="1">
      <c r="A78" s="141"/>
      <c r="B78" s="4587"/>
      <c r="C78" s="3708">
        <v>7110009</v>
      </c>
      <c r="D78" s="3709" t="str">
        <f>VLOOKUP(C78,'מאזן בוחן צרפת'!$C:$D,2,0)</f>
        <v>שכר צרפת-RVP עמלות (ברוטו)</v>
      </c>
      <c r="E78" s="1601"/>
      <c r="F78" s="2492">
        <f>-F79</f>
        <v>0</v>
      </c>
      <c r="G78" s="4351" t="s">
        <v>2427</v>
      </c>
      <c r="H78" s="493" t="e">
        <f t="shared" si="1"/>
        <v>#DIV/0!</v>
      </c>
      <c r="I78" s="41"/>
      <c r="J78" s="4150"/>
      <c r="K78" s="2424">
        <v>64120100</v>
      </c>
      <c r="L78" s="2979" t="s">
        <v>3732</v>
      </c>
      <c r="M78" s="2693">
        <f>E76</f>
        <v>0</v>
      </c>
      <c r="N78" s="137"/>
      <c r="O78" s="137"/>
      <c r="P78" s="137"/>
      <c r="Q78" s="137"/>
      <c r="R78" s="137"/>
      <c r="S78" s="137"/>
      <c r="T78" s="137"/>
      <c r="U78" s="137"/>
      <c r="V78" s="141"/>
    </row>
    <row r="79" spans="1:22" s="382" customFormat="1" ht="13.5" thickBot="1">
      <c r="A79" s="141"/>
      <c r="B79" s="4588"/>
      <c r="C79" s="3244">
        <v>2400202</v>
      </c>
      <c r="D79" s="3699" t="str">
        <f>VLOOKUP(C79,'מאזן בוחן צרפת'!$C:$D,2,0)</f>
        <v>Marc Henri GUY</v>
      </c>
      <c r="E79" s="1604">
        <f>-E78</f>
        <v>0</v>
      </c>
      <c r="F79" s="3711">
        <f>E79/'מאזן בוחן צרפת'!$O$2</f>
        <v>0</v>
      </c>
      <c r="G79" s="4353"/>
      <c r="H79" s="493" t="e">
        <f t="shared" si="1"/>
        <v>#DIV/0!</v>
      </c>
      <c r="I79" s="41"/>
      <c r="N79" s="137"/>
      <c r="O79" s="137"/>
      <c r="P79" s="137"/>
      <c r="Q79" s="137"/>
      <c r="R79" s="137"/>
      <c r="S79" s="137"/>
      <c r="T79" s="137"/>
      <c r="U79" s="137"/>
      <c r="V79" s="141"/>
    </row>
    <row r="80" spans="1:22" s="382" customFormat="1" ht="13.5" thickBot="1">
      <c r="A80" s="141"/>
      <c r="B80" s="3696">
        <f>B77+1</f>
        <v>19</v>
      </c>
      <c r="C80" s="3243" t="s">
        <v>4590</v>
      </c>
      <c r="D80" s="3242"/>
      <c r="E80" s="2869" t="s">
        <v>2261</v>
      </c>
      <c r="F80" s="3685" t="s">
        <v>294</v>
      </c>
      <c r="G80" s="553"/>
      <c r="H80" s="41"/>
      <c r="I80" s="41"/>
      <c r="J80" s="1820">
        <f>J73+1</f>
        <v>13</v>
      </c>
      <c r="K80" s="2532" t="s">
        <v>4586</v>
      </c>
      <c r="L80" s="2533"/>
      <c r="M80" s="2534" t="s">
        <v>2261</v>
      </c>
      <c r="N80" s="137"/>
      <c r="O80" s="137"/>
      <c r="P80" s="137"/>
      <c r="Q80" s="137"/>
      <c r="R80" s="137"/>
      <c r="S80" s="137"/>
      <c r="T80" s="137"/>
      <c r="U80" s="137"/>
      <c r="V80" s="141"/>
    </row>
    <row r="81" spans="1:22" s="382" customFormat="1">
      <c r="A81" s="141"/>
      <c r="B81" s="4587"/>
      <c r="C81" s="3708">
        <v>1150001</v>
      </c>
      <c r="D81" s="3709" t="str">
        <f>VLOOKUP(C81,'מאזן בוחן צרפת'!$C:$D,2,0)</f>
        <v>הכנסות לקבל</v>
      </c>
      <c r="E81" s="1601"/>
      <c r="F81" s="2492">
        <f>-F82</f>
        <v>0</v>
      </c>
      <c r="G81" s="4351" t="s">
        <v>3137</v>
      </c>
      <c r="H81" s="493" t="e">
        <f t="shared" ref="H81:H82" si="2">E81/F81</f>
        <v>#DIV/0!</v>
      </c>
      <c r="I81" s="41"/>
      <c r="J81" s="3657"/>
      <c r="K81" s="1119">
        <v>62261000</v>
      </c>
      <c r="L81" s="549" t="s">
        <v>4587</v>
      </c>
      <c r="M81" s="2503">
        <f>E48</f>
        <v>0</v>
      </c>
      <c r="N81" s="380"/>
      <c r="O81" s="137"/>
      <c r="P81" s="137"/>
      <c r="Q81" s="137"/>
      <c r="R81" s="137"/>
      <c r="S81" s="137"/>
      <c r="T81" s="137"/>
      <c r="U81" s="137"/>
      <c r="V81" s="141"/>
    </row>
    <row r="82" spans="1:22" s="382" customFormat="1" ht="13.5" thickBot="1">
      <c r="A82" s="141"/>
      <c r="B82" s="4588"/>
      <c r="C82" s="3244">
        <v>53599</v>
      </c>
      <c r="D82" s="3699" t="str">
        <f>VLOOKUP(C82,'מאזן בוחן צרפת'!$C:$D,2,0)</f>
        <v>Sorting from Income</v>
      </c>
      <c r="E82" s="1604">
        <f>-E81</f>
        <v>0</v>
      </c>
      <c r="F82" s="3711">
        <f>E82/'מאזן בוחן צרפת'!$O$2</f>
        <v>0</v>
      </c>
      <c r="G82" s="4353"/>
      <c r="H82" s="493" t="e">
        <f t="shared" si="2"/>
        <v>#DIV/0!</v>
      </c>
      <c r="I82" s="41"/>
      <c r="J82" s="3658"/>
      <c r="K82" s="2884">
        <v>40100001</v>
      </c>
      <c r="L82" s="557" t="s">
        <v>4588</v>
      </c>
      <c r="M82" s="1604">
        <f>-M81</f>
        <v>0</v>
      </c>
      <c r="N82" s="380"/>
      <c r="O82" s="137"/>
      <c r="P82" s="137"/>
      <c r="Q82" s="137"/>
      <c r="R82" s="137"/>
      <c r="S82" s="137"/>
      <c r="T82" s="137"/>
      <c r="U82" s="137"/>
      <c r="V82" s="141"/>
    </row>
    <row r="83" spans="1:22" s="382" customFormat="1" ht="13.5" thickBot="1">
      <c r="A83" s="141"/>
      <c r="B83" s="3696">
        <f>B80+1</f>
        <v>20</v>
      </c>
      <c r="C83" s="3243" t="s">
        <v>4610</v>
      </c>
      <c r="D83" s="3242"/>
      <c r="E83" s="2869" t="s">
        <v>2261</v>
      </c>
      <c r="F83" s="3685" t="s">
        <v>294</v>
      </c>
      <c r="G83" s="553"/>
      <c r="H83" s="41"/>
      <c r="I83" s="41"/>
      <c r="N83" s="380"/>
      <c r="O83" s="137"/>
      <c r="P83" s="137"/>
      <c r="Q83" s="137"/>
      <c r="R83" s="137"/>
      <c r="S83" s="137"/>
      <c r="T83" s="137"/>
      <c r="U83" s="137"/>
      <c r="V83" s="141"/>
    </row>
    <row r="84" spans="1:22" s="382" customFormat="1" ht="13.5" thickBot="1">
      <c r="A84" s="141"/>
      <c r="B84" s="4449"/>
      <c r="C84" s="3059">
        <v>5200002</v>
      </c>
      <c r="D84" s="3709" t="str">
        <f>VLOOKUP(C84,'מאזן בוחן צרפת'!$C:$D,2,0)</f>
        <v>בונוס Delivery</v>
      </c>
      <c r="E84" s="3066">
        <f>F84*'מאזן בוחן צרפת'!$O$2</f>
        <v>0</v>
      </c>
      <c r="F84" s="1381"/>
      <c r="G84" s="4351" t="s">
        <v>2427</v>
      </c>
      <c r="H84" s="41"/>
      <c r="I84" s="41"/>
      <c r="J84" s="1820">
        <f>J80+1</f>
        <v>14</v>
      </c>
      <c r="K84" s="2532" t="s">
        <v>4590</v>
      </c>
      <c r="L84" s="2533"/>
      <c r="M84" s="2534" t="s">
        <v>2261</v>
      </c>
      <c r="N84" s="380"/>
      <c r="O84" s="137"/>
      <c r="P84" s="137"/>
      <c r="Q84" s="137"/>
      <c r="R84" s="137"/>
      <c r="S84" s="137"/>
      <c r="T84" s="137"/>
      <c r="U84" s="137"/>
      <c r="V84" s="141"/>
    </row>
    <row r="85" spans="1:22" s="382" customFormat="1">
      <c r="A85" s="141"/>
      <c r="B85" s="4596"/>
      <c r="C85" s="3059">
        <v>7110010</v>
      </c>
      <c r="D85" s="208" t="str">
        <f>VLOOKUP(C85,'מאזן בוחן צרפת'!$C:$D,2,0)</f>
        <v>שכר צרפת RVP -בונוס One time bonus</v>
      </c>
      <c r="E85" s="3066">
        <f>F85*'מאזן בוחן צרפת'!$O$2</f>
        <v>0</v>
      </c>
      <c r="F85" s="1381"/>
      <c r="G85" s="4352"/>
      <c r="H85" s="41"/>
      <c r="I85" s="41"/>
      <c r="J85" s="3657"/>
      <c r="K85" s="1119">
        <v>41100001</v>
      </c>
      <c r="L85" s="549" t="s">
        <v>4591</v>
      </c>
      <c r="M85" s="2503">
        <f>E81</f>
        <v>0</v>
      </c>
      <c r="N85" s="380"/>
      <c r="O85" s="137"/>
      <c r="P85" s="137"/>
      <c r="Q85" s="137"/>
      <c r="R85" s="137"/>
      <c r="S85" s="137"/>
      <c r="T85" s="137"/>
      <c r="U85" s="137"/>
      <c r="V85" s="141"/>
    </row>
    <row r="86" spans="1:22" s="382" customFormat="1" ht="13.5" thickBot="1">
      <c r="A86" s="141"/>
      <c r="B86" s="4450"/>
      <c r="C86" s="3058">
        <v>2400001</v>
      </c>
      <c r="D86" s="3699" t="str">
        <f>VLOOKUP(C86,'מאזן בוחן צרפת'!$C:$D,2,0)</f>
        <v>Accrued expenses Employees</v>
      </c>
      <c r="E86" s="3067">
        <f>F86*'מאזן בוחן צרפת'!$O$2</f>
        <v>0</v>
      </c>
      <c r="F86" s="3716">
        <f>-F85-F84</f>
        <v>0</v>
      </c>
      <c r="G86" s="4353"/>
      <c r="H86" s="41"/>
      <c r="I86" s="41"/>
      <c r="J86" s="3658"/>
      <c r="K86" s="2884">
        <v>48770100</v>
      </c>
      <c r="L86" s="557" t="s">
        <v>3484</v>
      </c>
      <c r="M86" s="1604">
        <f>-M85</f>
        <v>0</v>
      </c>
      <c r="N86" s="380"/>
      <c r="O86" s="137"/>
      <c r="P86" s="137"/>
      <c r="Q86" s="137"/>
      <c r="R86" s="137"/>
      <c r="S86" s="137"/>
      <c r="T86" s="137"/>
      <c r="U86" s="137"/>
      <c r="V86" s="141"/>
    </row>
    <row r="87" spans="1:22" s="382" customFormat="1" ht="13.5" thickBot="1">
      <c r="A87" s="141"/>
      <c r="B87" s="3696">
        <f>B83+1</f>
        <v>21</v>
      </c>
      <c r="C87" s="3243" t="s">
        <v>4726</v>
      </c>
      <c r="D87" s="3242"/>
      <c r="E87" s="2869" t="s">
        <v>2261</v>
      </c>
      <c r="F87" s="3774" t="s">
        <v>294</v>
      </c>
      <c r="G87" s="553"/>
      <c r="H87" s="41"/>
      <c r="I87" s="41"/>
      <c r="J87" s="380"/>
      <c r="K87" s="3065"/>
      <c r="L87" s="208"/>
      <c r="M87" s="733"/>
      <c r="N87" s="380"/>
      <c r="O87" s="137"/>
      <c r="P87" s="137"/>
      <c r="Q87" s="137"/>
      <c r="R87" s="137"/>
      <c r="S87" s="137"/>
      <c r="T87" s="137"/>
      <c r="U87" s="137"/>
      <c r="V87" s="141"/>
    </row>
    <row r="88" spans="1:22" s="382" customFormat="1" ht="13.5" thickBot="1">
      <c r="A88" s="141"/>
      <c r="B88" s="4587"/>
      <c r="C88" s="3708">
        <v>7020038</v>
      </c>
      <c r="D88" s="3709" t="str">
        <f>VLOOKUP(C88,'מאזן בוחן צרפת'!$C:$D,2,0)</f>
        <v>Marketing Demand Generation</v>
      </c>
      <c r="E88" s="1601"/>
      <c r="F88" s="2492">
        <f>-F89</f>
        <v>0</v>
      </c>
      <c r="G88" s="4351" t="s">
        <v>4727</v>
      </c>
      <c r="H88" s="493" t="e">
        <f t="shared" ref="H88:H89" si="3">E88/F88</f>
        <v>#DIV/0!</v>
      </c>
      <c r="I88" s="41"/>
      <c r="J88" s="1820">
        <f>J84+1</f>
        <v>15</v>
      </c>
      <c r="K88" s="2532" t="s">
        <v>3201</v>
      </c>
      <c r="L88" s="2533"/>
      <c r="M88" s="2535" t="s">
        <v>2261</v>
      </c>
      <c r="N88" s="380"/>
      <c r="O88" s="137"/>
      <c r="P88" s="137"/>
      <c r="Q88" s="137"/>
      <c r="R88" s="137"/>
      <c r="S88" s="137"/>
      <c r="T88" s="137"/>
      <c r="U88" s="137"/>
      <c r="V88" s="141"/>
    </row>
    <row r="89" spans="1:22" s="382" customFormat="1" ht="13.5" thickBot="1">
      <c r="A89" s="141"/>
      <c r="B89" s="4588"/>
      <c r="C89" s="3244">
        <v>2110009</v>
      </c>
      <c r="D89" s="3699" t="str">
        <f>VLOOKUP(C89,'מאזן בוחן צרפת'!$C:$D,2,0)</f>
        <v>STOREALLIANCE</v>
      </c>
      <c r="E89" s="1604">
        <f>-E88</f>
        <v>0</v>
      </c>
      <c r="F89" s="3711">
        <f>E89/'מאזן בוחן צרפת'!$O$2</f>
        <v>0</v>
      </c>
      <c r="G89" s="4353"/>
      <c r="H89" s="493" t="e">
        <f t="shared" si="3"/>
        <v>#DIV/0!</v>
      </c>
      <c r="I89" s="41"/>
      <c r="J89" s="3717"/>
      <c r="K89" s="3708">
        <v>64120100</v>
      </c>
      <c r="L89" s="2645" t="s">
        <v>3732</v>
      </c>
      <c r="M89" s="1601">
        <f>E84</f>
        <v>0</v>
      </c>
      <c r="N89" s="380"/>
      <c r="O89" s="137"/>
      <c r="P89" s="137"/>
      <c r="Q89" s="137"/>
      <c r="R89" s="137"/>
      <c r="S89" s="137"/>
      <c r="T89" s="137"/>
      <c r="U89" s="137"/>
      <c r="V89" s="141"/>
    </row>
    <row r="90" spans="1:22" s="382" customFormat="1" ht="13.5" thickBot="1">
      <c r="A90" s="141"/>
      <c r="B90" s="3696">
        <f>B87+1</f>
        <v>22</v>
      </c>
      <c r="C90" s="2432" t="s">
        <v>4729</v>
      </c>
      <c r="D90" s="2431"/>
      <c r="E90" s="1197" t="s">
        <v>2261</v>
      </c>
      <c r="F90" s="1345" t="s">
        <v>294</v>
      </c>
      <c r="G90" s="2428"/>
      <c r="H90" s="141"/>
      <c r="I90" s="41"/>
      <c r="J90" s="3719"/>
      <c r="K90" s="3061">
        <v>64120300</v>
      </c>
      <c r="L90" s="563" t="s">
        <v>3730</v>
      </c>
      <c r="M90" s="2503">
        <f>E85</f>
        <v>0</v>
      </c>
      <c r="N90" s="380"/>
      <c r="O90" s="137"/>
      <c r="P90" s="137"/>
      <c r="Q90" s="137"/>
      <c r="R90" s="137"/>
      <c r="S90" s="137"/>
      <c r="T90" s="137"/>
      <c r="U90" s="137"/>
      <c r="V90" s="141"/>
    </row>
    <row r="91" spans="1:22" s="382" customFormat="1" ht="13.5" thickBot="1">
      <c r="A91" s="141"/>
      <c r="B91" s="4587"/>
      <c r="C91" s="3705">
        <v>7110003</v>
      </c>
      <c r="D91" s="208" t="str">
        <f>VLOOKUP(C91,'מאזן בוחן צרפת'!$C:$D,2,0)</f>
        <v>Commission - Sales from provision only</v>
      </c>
      <c r="E91" s="1461"/>
      <c r="F91" s="1353">
        <f>E91/'מאזן בוחן צרפת'!$O$2</f>
        <v>0</v>
      </c>
      <c r="G91" s="2429" t="s">
        <v>2815</v>
      </c>
      <c r="H91" s="493" t="e">
        <f>E91/F91</f>
        <v>#DIV/0!</v>
      </c>
      <c r="I91" s="41"/>
      <c r="J91" s="3718"/>
      <c r="K91" s="3244">
        <v>42800000</v>
      </c>
      <c r="L91" s="3698" t="s">
        <v>3426</v>
      </c>
      <c r="M91" s="1604">
        <f>E86</f>
        <v>0</v>
      </c>
      <c r="N91" s="380"/>
      <c r="O91" s="137"/>
      <c r="P91" s="137"/>
      <c r="Q91" s="137"/>
      <c r="R91" s="137"/>
      <c r="S91" s="137"/>
      <c r="T91" s="137"/>
      <c r="U91" s="137"/>
      <c r="V91" s="141"/>
    </row>
    <row r="92" spans="1:22" s="382" customFormat="1" ht="13.5" thickBot="1">
      <c r="A92" s="141"/>
      <c r="B92" s="4588"/>
      <c r="C92" s="3704">
        <v>2400001</v>
      </c>
      <c r="D92" s="3699" t="str">
        <f>VLOOKUP(C92,'מאזן בוחן צרפת'!$C:$D,2,0)</f>
        <v>Accrued expenses Employees</v>
      </c>
      <c r="E92" s="1349">
        <f>-E91</f>
        <v>0</v>
      </c>
      <c r="F92" s="3710">
        <f>-F91</f>
        <v>0</v>
      </c>
      <c r="G92" s="2430"/>
      <c r="H92" s="493" t="e">
        <f>E92/F92</f>
        <v>#DIV/0!</v>
      </c>
      <c r="I92" s="41"/>
      <c r="J92" s="159"/>
      <c r="K92" s="159"/>
      <c r="L92" s="159"/>
      <c r="M92" s="159"/>
      <c r="N92" s="380"/>
      <c r="O92" s="137"/>
      <c r="P92" s="137"/>
      <c r="Q92" s="137"/>
      <c r="R92" s="137"/>
      <c r="S92" s="137"/>
      <c r="T92" s="137"/>
      <c r="U92" s="137"/>
      <c r="V92" s="141"/>
    </row>
    <row r="93" spans="1:22" s="382" customFormat="1" ht="13.5" thickBot="1">
      <c r="A93" s="141"/>
      <c r="B93" s="3696">
        <f>B90+1</f>
        <v>23</v>
      </c>
      <c r="C93" s="2432" t="s">
        <v>4732</v>
      </c>
      <c r="D93" s="2431"/>
      <c r="E93" s="1197" t="s">
        <v>2261</v>
      </c>
      <c r="F93" s="1345" t="s">
        <v>294</v>
      </c>
      <c r="G93" s="2428"/>
      <c r="H93" s="141"/>
      <c r="I93" s="41"/>
      <c r="J93" s="159"/>
      <c r="K93" s="159"/>
      <c r="L93" s="159"/>
      <c r="M93" s="159"/>
      <c r="N93" s="380"/>
      <c r="O93" s="137"/>
      <c r="P93" s="137"/>
      <c r="Q93" s="137"/>
      <c r="R93" s="137"/>
      <c r="S93" s="137"/>
      <c r="T93" s="137"/>
      <c r="U93" s="137"/>
      <c r="V93" s="141"/>
    </row>
    <row r="94" spans="1:22" s="382" customFormat="1">
      <c r="A94" s="141"/>
      <c r="B94" s="4587"/>
      <c r="C94" s="3705">
        <v>7110017</v>
      </c>
      <c r="D94" s="208" t="str">
        <f>VLOOKUP(C94,'מאזן בוחן צרפת'!$C:$D,2,0)</f>
        <v>הפרשה להוצאות סוציאליות RVP</v>
      </c>
      <c r="E94" s="1461"/>
      <c r="F94" s="1353">
        <f>E94/'מאזן בוחן צרפת'!$O$2</f>
        <v>0</v>
      </c>
      <c r="G94" s="2429" t="s">
        <v>2427</v>
      </c>
      <c r="H94" s="493" t="e">
        <f>E94/F94</f>
        <v>#DIV/0!</v>
      </c>
      <c r="I94" s="41"/>
      <c r="J94" s="159"/>
      <c r="K94" s="159"/>
      <c r="L94" s="159"/>
      <c r="M94" s="159"/>
      <c r="N94" s="380"/>
      <c r="O94" s="137"/>
      <c r="P94" s="137"/>
      <c r="Q94" s="137"/>
      <c r="R94" s="137"/>
      <c r="S94" s="137"/>
      <c r="T94" s="137"/>
      <c r="U94" s="137"/>
      <c r="V94" s="141"/>
    </row>
    <row r="95" spans="1:22" s="382" customFormat="1" ht="13.5" thickBot="1">
      <c r="A95" s="141"/>
      <c r="B95" s="4588"/>
      <c r="C95" s="3704">
        <v>2400001</v>
      </c>
      <c r="D95" s="3699" t="str">
        <f>VLOOKUP(C95,'מאזן בוחן צרפת'!$C:$D,2,0)</f>
        <v>Accrued expenses Employees</v>
      </c>
      <c r="E95" s="1349">
        <f>-E94</f>
        <v>0</v>
      </c>
      <c r="F95" s="3710">
        <f>-F94</f>
        <v>0</v>
      </c>
      <c r="G95" s="2430"/>
      <c r="H95" s="493" t="e">
        <f>E95/F95</f>
        <v>#DIV/0!</v>
      </c>
      <c r="I95" s="41"/>
      <c r="J95" s="159"/>
      <c r="K95" s="159"/>
      <c r="L95" s="159"/>
      <c r="M95" s="159"/>
      <c r="N95" s="380"/>
      <c r="O95" s="137"/>
      <c r="P95" s="137"/>
      <c r="Q95" s="137"/>
      <c r="R95" s="137"/>
      <c r="S95" s="137"/>
      <c r="T95" s="137"/>
      <c r="U95" s="137"/>
      <c r="V95" s="141"/>
    </row>
    <row r="96" spans="1:22" s="382" customFormat="1" ht="13.5" thickBot="1">
      <c r="A96" s="141"/>
      <c r="B96" s="3696">
        <f>B93+1</f>
        <v>24</v>
      </c>
      <c r="C96" s="3243" t="s">
        <v>4986</v>
      </c>
      <c r="D96" s="3242"/>
      <c r="E96" s="2869" t="s">
        <v>2261</v>
      </c>
      <c r="F96" s="3838" t="s">
        <v>294</v>
      </c>
      <c r="G96" s="553"/>
      <c r="H96" s="493"/>
      <c r="I96" s="41"/>
      <c r="J96" s="159"/>
      <c r="K96" s="159"/>
      <c r="L96" s="159"/>
      <c r="M96" s="159"/>
      <c r="N96" s="380"/>
      <c r="O96" s="137"/>
      <c r="P96" s="137"/>
      <c r="Q96" s="137"/>
      <c r="R96" s="137"/>
      <c r="S96" s="137"/>
      <c r="T96" s="137"/>
      <c r="U96" s="137"/>
      <c r="V96" s="141"/>
    </row>
    <row r="97" spans="1:22" s="382" customFormat="1">
      <c r="A97" s="141"/>
      <c r="B97" s="4587"/>
      <c r="C97" s="3708">
        <v>5200001</v>
      </c>
      <c r="D97" s="3709" t="str">
        <f>VLOOKUP(C97,'מאזן בוחן צרפת'!$C:$D,2,0)</f>
        <v>שכר עבודה Delivery</v>
      </c>
      <c r="E97" s="1601"/>
      <c r="F97" s="1601"/>
      <c r="G97" s="4351" t="s">
        <v>2427</v>
      </c>
      <c r="H97" s="493" t="e">
        <f t="shared" ref="H97:H101" si="4">E97/F97</f>
        <v>#DIV/0!</v>
      </c>
      <c r="I97" s="41"/>
      <c r="J97" s="159"/>
      <c r="K97" s="159"/>
      <c r="L97" s="159"/>
      <c r="M97" s="159"/>
      <c r="N97" s="380"/>
      <c r="O97" s="137"/>
      <c r="P97" s="137"/>
      <c r="Q97" s="137"/>
      <c r="R97" s="137"/>
      <c r="S97" s="137"/>
      <c r="T97" s="137"/>
      <c r="U97" s="137"/>
      <c r="V97" s="141"/>
    </row>
    <row r="98" spans="1:22" s="382" customFormat="1" ht="13.5" thickBot="1">
      <c r="A98" s="141"/>
      <c r="B98" s="4588"/>
      <c r="C98" s="3244">
        <v>2400217</v>
      </c>
      <c r="D98" s="3699" t="str">
        <f>VLOOKUP(C98,'מאזן בוחן צרפת'!$C:$D,2,0)</f>
        <v>ADESATT</v>
      </c>
      <c r="E98" s="1604"/>
      <c r="F98" s="3711"/>
      <c r="G98" s="4353"/>
      <c r="H98" s="493" t="e">
        <f t="shared" si="4"/>
        <v>#DIV/0!</v>
      </c>
      <c r="I98" s="41"/>
      <c r="J98" s="159"/>
      <c r="K98" s="159"/>
      <c r="L98" s="159"/>
      <c r="M98" s="159"/>
      <c r="N98" s="380"/>
      <c r="O98" s="137"/>
      <c r="P98" s="137"/>
      <c r="Q98" s="137"/>
      <c r="R98" s="137"/>
      <c r="S98" s="137"/>
      <c r="T98" s="137"/>
      <c r="U98" s="137"/>
      <c r="V98" s="141"/>
    </row>
    <row r="99" spans="1:22" s="382" customFormat="1" ht="13.5" thickBot="1">
      <c r="A99" s="141"/>
      <c r="B99" s="3696">
        <f>B96+1</f>
        <v>25</v>
      </c>
      <c r="C99" s="3243" t="s">
        <v>4985</v>
      </c>
      <c r="D99" s="3242"/>
      <c r="E99" s="2869" t="s">
        <v>2261</v>
      </c>
      <c r="F99" s="3838" t="s">
        <v>294</v>
      </c>
      <c r="G99" s="553"/>
      <c r="H99" s="493"/>
      <c r="I99" s="41"/>
      <c r="J99" s="159"/>
      <c r="K99" s="159"/>
      <c r="L99" s="159"/>
      <c r="M99" s="159"/>
      <c r="N99" s="380"/>
      <c r="O99" s="137"/>
      <c r="P99" s="137"/>
      <c r="Q99" s="137"/>
      <c r="R99" s="137"/>
      <c r="S99" s="137"/>
      <c r="T99" s="137"/>
      <c r="U99" s="137"/>
      <c r="V99" s="141"/>
    </row>
    <row r="100" spans="1:22" s="382" customFormat="1">
      <c r="A100" s="141"/>
      <c r="B100" s="4587"/>
      <c r="C100" s="3708">
        <v>5200001</v>
      </c>
      <c r="D100" s="3709" t="str">
        <f>VLOOKUP(C100,'מאזן בוחן צרפת'!$C:$D,2,0)</f>
        <v>שכר עבודה Delivery</v>
      </c>
      <c r="E100" s="1601"/>
      <c r="F100" s="1601"/>
      <c r="G100" s="4351" t="s">
        <v>2427</v>
      </c>
      <c r="H100" s="493" t="e">
        <f t="shared" si="4"/>
        <v>#DIV/0!</v>
      </c>
      <c r="I100" s="41"/>
      <c r="J100" s="159"/>
      <c r="K100" s="159"/>
      <c r="L100" s="159"/>
      <c r="M100" s="159"/>
      <c r="N100" s="380"/>
      <c r="O100" s="137"/>
      <c r="P100" s="137"/>
      <c r="Q100" s="137"/>
      <c r="R100" s="137"/>
      <c r="S100" s="137"/>
      <c r="T100" s="137"/>
      <c r="U100" s="137"/>
      <c r="V100" s="141"/>
    </row>
    <row r="101" spans="1:22" s="382" customFormat="1" ht="13.5" thickBot="1">
      <c r="A101" s="141"/>
      <c r="B101" s="4588"/>
      <c r="C101" s="3244">
        <v>2400214</v>
      </c>
      <c r="D101" s="3699" t="str">
        <f>VLOOKUP(C101,'מאזן בוחן צרפת'!$C:$D,2,0)</f>
        <v>AXA - Health insuranse-Provident</v>
      </c>
      <c r="E101" s="1604"/>
      <c r="F101" s="3711"/>
      <c r="G101" s="4353"/>
      <c r="H101" s="493" t="e">
        <f t="shared" si="4"/>
        <v>#DIV/0!</v>
      </c>
      <c r="I101" s="41"/>
      <c r="J101" s="159"/>
      <c r="K101" s="159"/>
      <c r="L101" s="159"/>
      <c r="M101" s="159"/>
      <c r="N101" s="380"/>
      <c r="O101" s="137"/>
      <c r="P101" s="137"/>
      <c r="Q101" s="137"/>
      <c r="R101" s="137"/>
      <c r="S101" s="137"/>
      <c r="T101" s="137"/>
      <c r="U101" s="137"/>
      <c r="V101" s="141"/>
    </row>
    <row r="102" spans="1:22" s="382" customFormat="1" ht="13.5" thickBot="1">
      <c r="A102" s="141"/>
      <c r="B102" s="3696">
        <f>B99+1</f>
        <v>26</v>
      </c>
      <c r="C102" s="3243" t="s">
        <v>4987</v>
      </c>
      <c r="D102" s="3242"/>
      <c r="E102" s="2869" t="s">
        <v>2261</v>
      </c>
      <c r="F102" s="3838" t="s">
        <v>294</v>
      </c>
      <c r="G102" s="553"/>
      <c r="H102" s="493"/>
      <c r="I102" s="41"/>
      <c r="J102" s="159"/>
      <c r="K102" s="159"/>
      <c r="L102" s="159"/>
      <c r="M102" s="159"/>
      <c r="N102" s="380"/>
      <c r="O102" s="137"/>
      <c r="P102" s="137"/>
      <c r="Q102" s="137"/>
      <c r="R102" s="137"/>
      <c r="S102" s="137"/>
      <c r="T102" s="137"/>
      <c r="U102" s="137"/>
      <c r="V102" s="141"/>
    </row>
    <row r="103" spans="1:22" s="382" customFormat="1">
      <c r="A103" s="141"/>
      <c r="B103" s="4587"/>
      <c r="C103" s="3708">
        <v>5200003</v>
      </c>
      <c r="D103" s="3709" t="str">
        <f>VLOOKUP(C103,'מאזן בוחן צרפת'!$C:$D,2,0)</f>
        <v>בונוס Delivery MBO</v>
      </c>
      <c r="E103" s="1601"/>
      <c r="F103" s="1601"/>
      <c r="G103" s="4351" t="s">
        <v>2427</v>
      </c>
      <c r="H103" s="493" t="e">
        <f t="shared" ref="H103:H104" si="5">E103/F103</f>
        <v>#DIV/0!</v>
      </c>
      <c r="I103" s="41"/>
      <c r="J103" s="159"/>
      <c r="K103" s="159"/>
      <c r="L103" s="159"/>
      <c r="M103" s="159"/>
      <c r="N103" s="380"/>
      <c r="O103" s="137"/>
      <c r="P103" s="137"/>
      <c r="Q103" s="137"/>
      <c r="R103" s="137"/>
      <c r="S103" s="137"/>
      <c r="T103" s="137"/>
      <c r="U103" s="137"/>
      <c r="V103" s="141"/>
    </row>
    <row r="104" spans="1:22" s="382" customFormat="1" ht="13.5" thickBot="1">
      <c r="A104" s="141"/>
      <c r="B104" s="4588"/>
      <c r="C104" s="3244">
        <v>2400001</v>
      </c>
      <c r="D104" s="3699" t="str">
        <f>VLOOKUP(C104,'מאזן בוחן צרפת'!$C:$D,2,0)</f>
        <v>Accrued expenses Employees</v>
      </c>
      <c r="E104" s="1604"/>
      <c r="F104" s="3711"/>
      <c r="G104" s="4353"/>
      <c r="H104" s="493" t="e">
        <f t="shared" si="5"/>
        <v>#DIV/0!</v>
      </c>
      <c r="I104" s="41"/>
      <c r="J104" s="159"/>
      <c r="K104" s="159"/>
      <c r="L104" s="159"/>
      <c r="M104" s="159"/>
      <c r="N104" s="380"/>
      <c r="O104" s="137"/>
      <c r="P104" s="137"/>
      <c r="Q104" s="137"/>
      <c r="R104" s="137"/>
      <c r="S104" s="137"/>
      <c r="T104" s="137"/>
      <c r="U104" s="137"/>
      <c r="V104" s="141"/>
    </row>
    <row r="105" spans="1:22" s="382" customFormat="1" ht="13.5" thickBot="1">
      <c r="A105" s="141"/>
      <c r="B105" s="3696">
        <f>B102+1</f>
        <v>27</v>
      </c>
      <c r="C105" s="2432" t="s">
        <v>4990</v>
      </c>
      <c r="D105" s="3242"/>
      <c r="E105" s="2869" t="s">
        <v>2261</v>
      </c>
      <c r="F105" s="3838" t="s">
        <v>294</v>
      </c>
      <c r="G105" s="553"/>
      <c r="H105" s="41"/>
      <c r="I105" s="41"/>
      <c r="J105" s="159"/>
      <c r="K105" s="159"/>
      <c r="L105" s="159"/>
      <c r="M105" s="159"/>
      <c r="N105" s="380"/>
      <c r="O105" s="137"/>
      <c r="P105" s="137"/>
      <c r="Q105" s="137"/>
      <c r="R105" s="137"/>
      <c r="S105" s="137"/>
      <c r="T105" s="137"/>
      <c r="U105" s="137"/>
      <c r="V105" s="141"/>
    </row>
    <row r="106" spans="1:22" s="382" customFormat="1">
      <c r="A106" s="141"/>
      <c r="B106" s="4587"/>
      <c r="C106" s="3708">
        <v>7110017</v>
      </c>
      <c r="D106" s="3709" t="str">
        <f>VLOOKUP(C106,'מאזן בוחן צרפת'!$C:$D,2,0)</f>
        <v>הפרשה להוצאות סוציאליות RVP</v>
      </c>
      <c r="E106" s="1601"/>
      <c r="F106" s="1602"/>
      <c r="G106" s="4351" t="s">
        <v>4991</v>
      </c>
      <c r="H106" s="41"/>
      <c r="I106" s="41"/>
      <c r="J106" s="159"/>
      <c r="K106" s="159"/>
      <c r="L106" s="159"/>
      <c r="M106" s="159"/>
      <c r="N106" s="380"/>
      <c r="O106" s="137"/>
      <c r="P106" s="137"/>
      <c r="Q106" s="137"/>
      <c r="R106" s="137"/>
      <c r="S106" s="137"/>
      <c r="T106" s="137"/>
      <c r="U106" s="137"/>
      <c r="V106" s="141"/>
    </row>
    <row r="107" spans="1:22" s="382" customFormat="1">
      <c r="A107" s="141"/>
      <c r="B107" s="4595"/>
      <c r="C107" s="3059">
        <v>7140011</v>
      </c>
      <c r="D107" s="208" t="str">
        <f>VLOOKUP(C107,'מאזן בוחן צרפת'!$C:$D,2,0)</f>
        <v>הפרשה להוצאות סוציאליות SE</v>
      </c>
      <c r="E107" s="2503"/>
      <c r="F107" s="1602"/>
      <c r="G107" s="4352"/>
      <c r="H107" s="41"/>
      <c r="I107" s="41"/>
      <c r="J107" s="159"/>
      <c r="K107" s="159"/>
      <c r="L107" s="159"/>
      <c r="M107" s="159"/>
      <c r="N107" s="380"/>
      <c r="O107" s="137"/>
      <c r="P107" s="137"/>
      <c r="Q107" s="137"/>
      <c r="R107" s="137"/>
      <c r="S107" s="137"/>
      <c r="T107" s="137"/>
      <c r="U107" s="137"/>
      <c r="V107" s="141"/>
    </row>
    <row r="108" spans="1:22" s="382" customFormat="1">
      <c r="A108" s="141"/>
      <c r="B108" s="4595"/>
      <c r="C108" s="3059">
        <v>7110021</v>
      </c>
      <c r="D108" s="208" t="str">
        <f>VLOOKUP(C108,'מאזן בוחן צרפת'!$C:$D,2,0)</f>
        <v>הפרשה להוצאות סוציאליות Sales</v>
      </c>
      <c r="E108" s="2503"/>
      <c r="F108" s="1602"/>
      <c r="G108" s="4352"/>
      <c r="H108" s="41"/>
      <c r="I108" s="41"/>
      <c r="J108" s="159"/>
      <c r="K108" s="159"/>
      <c r="L108" s="159"/>
      <c r="M108" s="159"/>
      <c r="N108" s="380"/>
      <c r="O108" s="137"/>
      <c r="P108" s="137"/>
      <c r="Q108" s="137"/>
      <c r="R108" s="137"/>
      <c r="S108" s="137"/>
      <c r="T108" s="137"/>
      <c r="U108" s="137"/>
      <c r="V108" s="141"/>
    </row>
    <row r="109" spans="1:22" s="382" customFormat="1" ht="13.5" thickBot="1">
      <c r="A109" s="141"/>
      <c r="B109" s="4588"/>
      <c r="C109" s="3244">
        <v>2400001</v>
      </c>
      <c r="D109" s="3699" t="str">
        <f>VLOOKUP(C109,'מאזן בוחן צרפת'!$C:$D,2,0)</f>
        <v>Accrued expenses Employees</v>
      </c>
      <c r="E109" s="1604"/>
      <c r="F109" s="1604"/>
      <c r="G109" s="4353"/>
      <c r="H109" s="41"/>
      <c r="I109" s="41"/>
      <c r="J109" s="159"/>
      <c r="K109" s="159"/>
      <c r="L109" s="159"/>
      <c r="M109" s="159"/>
      <c r="N109" s="380"/>
      <c r="O109" s="137"/>
      <c r="P109" s="137"/>
      <c r="Q109" s="137"/>
      <c r="R109" s="137"/>
      <c r="S109" s="137"/>
      <c r="T109" s="137"/>
      <c r="U109" s="137"/>
      <c r="V109" s="141"/>
    </row>
    <row r="110" spans="1:22" s="382" customFormat="1" ht="13.5" thickBot="1">
      <c r="A110" s="141"/>
      <c r="B110" s="3696">
        <f>B105+1</f>
        <v>28</v>
      </c>
      <c r="C110" s="3243" t="s">
        <v>4992</v>
      </c>
      <c r="D110" s="3242"/>
      <c r="E110" s="2869" t="s">
        <v>2261</v>
      </c>
      <c r="F110" s="3838" t="s">
        <v>294</v>
      </c>
      <c r="G110" s="553"/>
      <c r="H110" s="41"/>
      <c r="I110" s="41"/>
      <c r="J110" s="159"/>
      <c r="K110" s="159"/>
      <c r="L110" s="159"/>
      <c r="M110" s="159"/>
      <c r="N110" s="380"/>
      <c r="O110" s="137"/>
      <c r="P110" s="137"/>
      <c r="Q110" s="137"/>
      <c r="R110" s="137"/>
      <c r="S110" s="137"/>
      <c r="T110" s="137"/>
      <c r="U110" s="137"/>
      <c r="V110" s="141"/>
    </row>
    <row r="111" spans="1:22" s="382" customFormat="1">
      <c r="A111" s="141"/>
      <c r="B111" s="4449"/>
      <c r="C111" s="3059">
        <v>7020037</v>
      </c>
      <c r="D111" s="3709" t="str">
        <f>VLOOKUP(C111,'מאזן בוחן צרפת'!$C:$D,2,0)</f>
        <v>Event &amp; Field Marketing</v>
      </c>
      <c r="E111" s="3066"/>
      <c r="F111" s="3066"/>
      <c r="G111" s="4351" t="s">
        <v>2427</v>
      </c>
      <c r="H111" s="41"/>
      <c r="I111" s="41"/>
      <c r="J111" s="159"/>
      <c r="K111" s="159"/>
      <c r="L111" s="159"/>
      <c r="M111" s="159"/>
      <c r="N111" s="380"/>
      <c r="O111" s="137"/>
      <c r="P111" s="137"/>
      <c r="Q111" s="137"/>
      <c r="R111" s="137"/>
      <c r="S111" s="137"/>
      <c r="T111" s="137"/>
      <c r="U111" s="137"/>
      <c r="V111" s="141"/>
    </row>
    <row r="112" spans="1:22" s="382" customFormat="1">
      <c r="A112" s="141"/>
      <c r="B112" s="4596"/>
      <c r="C112" s="3059">
        <v>2500004</v>
      </c>
      <c r="D112" s="208" t="str">
        <f>VLOOKUP(C112,'מאזן בוחן צרפת'!$C:$D,2,0)</f>
        <v>מע"מ לא לקיזוז</v>
      </c>
      <c r="E112" s="3066"/>
      <c r="F112" s="3066"/>
      <c r="G112" s="4352"/>
      <c r="H112" s="41"/>
      <c r="I112" s="41"/>
      <c r="J112" s="159"/>
      <c r="K112" s="159"/>
      <c r="L112" s="159"/>
      <c r="M112" s="159"/>
      <c r="N112" s="380"/>
      <c r="O112" s="137"/>
      <c r="P112" s="137"/>
      <c r="Q112" s="137"/>
      <c r="R112" s="137"/>
      <c r="S112" s="137"/>
      <c r="T112" s="137"/>
      <c r="U112" s="137"/>
      <c r="V112" s="141"/>
    </row>
    <row r="113" spans="1:22" s="382" customFormat="1" ht="13.5" thickBot="1">
      <c r="A113" s="141"/>
      <c r="B113" s="4450"/>
      <c r="C113" s="3058">
        <v>2110015</v>
      </c>
      <c r="D113" s="3699" t="str">
        <f>VLOOKUP(C113,'מאזן בוחן צרפת'!$C:$D,2,0)</f>
        <v>GLOBAL SECURITY MAG</v>
      </c>
      <c r="E113" s="3067"/>
      <c r="F113" s="3067"/>
      <c r="G113" s="4353"/>
      <c r="H113" s="41"/>
      <c r="I113" s="41"/>
      <c r="J113" s="159"/>
      <c r="K113" s="159"/>
      <c r="L113" s="159"/>
      <c r="M113" s="159"/>
      <c r="N113" s="380"/>
      <c r="O113" s="137"/>
      <c r="P113" s="137"/>
      <c r="Q113" s="137"/>
      <c r="R113" s="137"/>
      <c r="S113" s="137"/>
      <c r="T113" s="137"/>
      <c r="U113" s="137"/>
      <c r="V113" s="141"/>
    </row>
    <row r="114" spans="1:22" s="382" customFormat="1" ht="13.5" thickBot="1">
      <c r="A114" s="141"/>
      <c r="B114" s="3696">
        <f>B110+1</f>
        <v>29</v>
      </c>
      <c r="C114" s="3243" t="s">
        <v>4995</v>
      </c>
      <c r="D114" s="3242"/>
      <c r="E114" s="2869" t="s">
        <v>2261</v>
      </c>
      <c r="F114" s="3838" t="s">
        <v>294</v>
      </c>
      <c r="G114" s="553"/>
      <c r="H114" s="493"/>
      <c r="I114" s="41"/>
      <c r="J114" s="159"/>
      <c r="K114" s="159"/>
      <c r="L114" s="159"/>
      <c r="M114" s="159"/>
      <c r="N114" s="380"/>
      <c r="O114" s="137"/>
      <c r="P114" s="137"/>
      <c r="Q114" s="137"/>
      <c r="R114" s="137"/>
      <c r="S114" s="137"/>
      <c r="T114" s="137"/>
      <c r="U114" s="137"/>
      <c r="V114" s="141"/>
    </row>
    <row r="115" spans="1:22" s="382" customFormat="1">
      <c r="A115" s="141"/>
      <c r="B115" s="4587"/>
      <c r="C115" s="3955">
        <v>2500004</v>
      </c>
      <c r="D115" s="3709" t="str">
        <f>VLOOKUP(C115,'מאזן בוחן צרפת'!$C:$D,2,0)</f>
        <v>מע"מ לא לקיזוז</v>
      </c>
      <c r="E115" s="1601"/>
      <c r="F115" s="3066"/>
      <c r="G115" s="4351" t="s">
        <v>2427</v>
      </c>
      <c r="H115" s="493" t="e">
        <f t="shared" ref="H115:H118" si="6">E115/F115</f>
        <v>#DIV/0!</v>
      </c>
      <c r="I115" s="41"/>
      <c r="J115" s="159"/>
      <c r="K115" s="159"/>
      <c r="L115" s="159"/>
      <c r="M115" s="159"/>
      <c r="N115" s="380"/>
      <c r="O115" s="137"/>
      <c r="P115" s="137"/>
      <c r="Q115" s="137"/>
      <c r="R115" s="137"/>
      <c r="S115" s="137"/>
      <c r="T115" s="137"/>
      <c r="U115" s="137"/>
      <c r="V115" s="141"/>
    </row>
    <row r="116" spans="1:22" s="382" customFormat="1">
      <c r="A116" s="141"/>
      <c r="B116" s="4595"/>
      <c r="C116" s="3059">
        <v>2500001</v>
      </c>
      <c r="D116" s="208" t="str">
        <f>VLOOKUP(C116,'מאזן בוחן צרפת'!$C:$D,2,0)</f>
        <v>מע"מ תשומות</v>
      </c>
      <c r="E116" s="2503"/>
      <c r="F116" s="3066"/>
      <c r="G116" s="4352"/>
      <c r="H116" s="493"/>
      <c r="I116" s="41"/>
      <c r="J116" s="159"/>
      <c r="K116" s="159"/>
      <c r="L116" s="159"/>
      <c r="M116" s="159"/>
      <c r="N116" s="380"/>
      <c r="O116" s="137"/>
      <c r="P116" s="137"/>
      <c r="Q116" s="137"/>
      <c r="R116" s="137"/>
      <c r="S116" s="137"/>
      <c r="T116" s="137"/>
      <c r="U116" s="137"/>
      <c r="V116" s="141"/>
    </row>
    <row r="117" spans="1:22" s="382" customFormat="1">
      <c r="A117" s="141"/>
      <c r="B117" s="4595"/>
      <c r="C117" s="3059">
        <v>2400212</v>
      </c>
      <c r="D117" s="208" t="str">
        <f>VLOOKUP(C117,'מאזן בוחן צרפת'!$C:$D,2,0)</f>
        <v>Formation continue</v>
      </c>
      <c r="E117" s="2503"/>
      <c r="F117" s="3066"/>
      <c r="G117" s="4352"/>
      <c r="H117" s="493"/>
      <c r="I117" s="41"/>
      <c r="J117" s="159"/>
      <c r="K117" s="159"/>
      <c r="L117" s="159"/>
      <c r="M117" s="159"/>
      <c r="N117" s="380"/>
      <c r="O117" s="137"/>
      <c r="P117" s="137"/>
      <c r="Q117" s="137"/>
      <c r="R117" s="137"/>
      <c r="S117" s="137"/>
      <c r="T117" s="137"/>
      <c r="U117" s="137"/>
      <c r="V117" s="141"/>
    </row>
    <row r="118" spans="1:22" s="382" customFormat="1" ht="13.5" thickBot="1">
      <c r="A118" s="141"/>
      <c r="B118" s="4588"/>
      <c r="C118" s="3244">
        <v>2110004</v>
      </c>
      <c r="D118" s="3699" t="str">
        <f>VLOOKUP(C118,'מאזן בוחן צרפת'!$C:$D,2,0)</f>
        <v>OPCO ATLAS FR</v>
      </c>
      <c r="E118" s="1604"/>
      <c r="F118" s="3067"/>
      <c r="G118" s="4353"/>
      <c r="H118" s="493" t="e">
        <f t="shared" si="6"/>
        <v>#DIV/0!</v>
      </c>
      <c r="I118" s="41"/>
      <c r="J118" s="159"/>
      <c r="K118" s="159"/>
      <c r="L118" s="159"/>
      <c r="M118" s="159"/>
      <c r="N118" s="380"/>
      <c r="O118" s="137"/>
      <c r="P118" s="137"/>
      <c r="Q118" s="137"/>
      <c r="R118" s="137"/>
      <c r="S118" s="137"/>
      <c r="T118" s="137"/>
      <c r="U118" s="137"/>
      <c r="V118" s="141"/>
    </row>
    <row r="119" spans="1:22" s="382" customFormat="1" ht="13.5" thickBot="1">
      <c r="A119" s="141"/>
      <c r="B119" s="3696">
        <f>B114+1</f>
        <v>30</v>
      </c>
      <c r="C119" s="3243" t="s">
        <v>5029</v>
      </c>
      <c r="D119" s="3242"/>
      <c r="E119" s="2869" t="s">
        <v>2261</v>
      </c>
      <c r="F119" s="3838" t="s">
        <v>294</v>
      </c>
      <c r="G119" s="553"/>
      <c r="H119" s="493"/>
      <c r="I119" s="41"/>
      <c r="J119" s="159"/>
      <c r="K119" s="159"/>
      <c r="L119" s="159"/>
      <c r="M119" s="159"/>
      <c r="N119" s="380"/>
      <c r="O119" s="137"/>
      <c r="P119" s="137"/>
      <c r="Q119" s="137"/>
      <c r="R119" s="137"/>
      <c r="S119" s="137"/>
      <c r="T119" s="137"/>
      <c r="U119" s="137"/>
      <c r="V119" s="141"/>
    </row>
    <row r="120" spans="1:22" s="382" customFormat="1">
      <c r="A120" s="141"/>
      <c r="B120" s="4587"/>
      <c r="C120" s="3708">
        <v>9100001</v>
      </c>
      <c r="D120" s="3709" t="str">
        <f>VLOOKUP(C120,'מאזן בוחן צרפת'!$C:$D,2,0)</f>
        <v>מיסים על הכנסה</v>
      </c>
      <c r="E120" s="1601"/>
      <c r="F120" s="1601"/>
      <c r="G120" s="4351" t="s">
        <v>2427</v>
      </c>
      <c r="H120" s="493" t="e">
        <f t="shared" ref="H120:H121" si="7">E120/F120</f>
        <v>#DIV/0!</v>
      </c>
      <c r="I120" s="41"/>
      <c r="J120" s="159"/>
      <c r="K120" s="159"/>
      <c r="L120" s="159"/>
      <c r="M120" s="159"/>
      <c r="N120" s="380"/>
      <c r="O120" s="137"/>
      <c r="P120" s="137"/>
      <c r="Q120" s="137"/>
      <c r="R120" s="137"/>
      <c r="S120" s="137"/>
      <c r="T120" s="137"/>
      <c r="U120" s="137"/>
      <c r="V120" s="141"/>
    </row>
    <row r="121" spans="1:22" s="382" customFormat="1" ht="13.5" thickBot="1">
      <c r="A121" s="141"/>
      <c r="B121" s="4588"/>
      <c r="C121" s="3244" t="s">
        <v>3048</v>
      </c>
      <c r="D121" s="3699" t="e">
        <f>VLOOKUP(C121,'מאזן בוחן צרפת'!$C:$D,2,0)</f>
        <v>#N/A</v>
      </c>
      <c r="E121" s="1604"/>
      <c r="F121" s="3711"/>
      <c r="G121" s="4353"/>
      <c r="H121" s="493" t="e">
        <f t="shared" si="7"/>
        <v>#DIV/0!</v>
      </c>
      <c r="I121" s="41"/>
      <c r="J121" s="159"/>
      <c r="K121" s="159"/>
      <c r="L121" s="159"/>
      <c r="M121" s="159"/>
      <c r="N121" s="380"/>
      <c r="O121" s="137"/>
      <c r="P121" s="137"/>
      <c r="Q121" s="137"/>
      <c r="R121" s="137"/>
      <c r="S121" s="137"/>
      <c r="T121" s="137"/>
      <c r="U121" s="137"/>
      <c r="V121" s="141"/>
    </row>
    <row r="122" spans="1:22" s="382" customFormat="1">
      <c r="A122" s="141"/>
      <c r="B122" s="141"/>
      <c r="C122" s="3065"/>
      <c r="D122" s="208"/>
      <c r="E122" s="733"/>
      <c r="F122" s="1381"/>
      <c r="G122" s="2214"/>
      <c r="H122" s="493"/>
      <c r="I122" s="41"/>
      <c r="J122" s="159"/>
      <c r="K122" s="159"/>
      <c r="L122" s="159"/>
      <c r="M122" s="159"/>
      <c r="N122" s="380"/>
      <c r="O122" s="137"/>
      <c r="P122" s="137"/>
      <c r="Q122" s="137"/>
      <c r="R122" s="137"/>
      <c r="S122" s="137"/>
      <c r="T122" s="137"/>
      <c r="U122" s="137"/>
      <c r="V122" s="141"/>
    </row>
    <row r="123" spans="1:22" s="382" customFormat="1">
      <c r="A123" s="141"/>
      <c r="B123" s="141"/>
      <c r="C123" s="3065"/>
      <c r="D123" s="208"/>
      <c r="E123" s="733"/>
      <c r="F123" s="1381"/>
      <c r="G123" s="2214"/>
      <c r="H123" s="493"/>
      <c r="I123" s="41"/>
      <c r="J123" s="159"/>
      <c r="K123" s="159"/>
      <c r="L123" s="159"/>
      <c r="M123" s="159"/>
      <c r="N123" s="380"/>
      <c r="O123" s="137"/>
      <c r="P123" s="137"/>
      <c r="Q123" s="137"/>
      <c r="R123" s="137"/>
      <c r="S123" s="137"/>
      <c r="T123" s="137"/>
      <c r="U123" s="137"/>
      <c r="V123" s="141"/>
    </row>
    <row r="124" spans="1:22" s="382" customFormat="1">
      <c r="A124" s="141"/>
      <c r="B124" s="141"/>
      <c r="C124" s="3065"/>
      <c r="D124" s="208"/>
      <c r="E124" s="733"/>
      <c r="F124" s="1381"/>
      <c r="G124" s="2214"/>
      <c r="H124" s="493"/>
      <c r="I124" s="41"/>
      <c r="J124" s="159"/>
      <c r="K124" s="159"/>
      <c r="L124" s="159"/>
      <c r="M124" s="159"/>
      <c r="N124" s="380"/>
      <c r="O124" s="137"/>
      <c r="P124" s="137"/>
      <c r="Q124" s="137"/>
      <c r="R124" s="137"/>
      <c r="S124" s="137"/>
      <c r="T124" s="137"/>
      <c r="U124" s="137"/>
      <c r="V124" s="141"/>
    </row>
    <row r="125" spans="1:22" s="382" customFormat="1" ht="13.5" thickBot="1">
      <c r="A125" s="141"/>
      <c r="B125" s="380"/>
      <c r="C125" s="380"/>
      <c r="D125" s="380"/>
      <c r="E125" s="380"/>
      <c r="F125" s="380"/>
      <c r="G125" s="380"/>
      <c r="H125" s="41"/>
      <c r="I125" s="41"/>
      <c r="J125" s="159"/>
      <c r="K125" s="159"/>
      <c r="L125" s="159"/>
      <c r="M125" s="159"/>
      <c r="N125" s="380"/>
      <c r="O125" s="137"/>
      <c r="P125" s="137"/>
      <c r="Q125" s="137"/>
      <c r="R125" s="137"/>
      <c r="S125" s="137"/>
      <c r="T125" s="137"/>
      <c r="U125" s="137"/>
      <c r="V125" s="141"/>
    </row>
    <row r="126" spans="1:22" s="380" customFormat="1" ht="13.5" thickBot="1">
      <c r="A126" s="4335" t="s">
        <v>4584</v>
      </c>
      <c r="B126" s="4336"/>
      <c r="C126" s="4336"/>
      <c r="D126" s="4336"/>
      <c r="E126" s="4336"/>
      <c r="F126" s="4336"/>
      <c r="G126" s="4337"/>
      <c r="H126" s="141"/>
      <c r="I126" s="141"/>
      <c r="J126" s="159"/>
      <c r="K126" s="159"/>
      <c r="L126" s="159"/>
      <c r="M126" s="159"/>
      <c r="O126" s="137"/>
      <c r="P126" s="137"/>
      <c r="Q126" s="137"/>
      <c r="R126" s="137"/>
      <c r="S126" s="137"/>
      <c r="T126" s="137"/>
      <c r="U126" s="137"/>
    </row>
    <row r="127" spans="1:22" s="380" customFormat="1">
      <c r="A127" s="141"/>
      <c r="B127" s="461"/>
      <c r="C127" s="461"/>
      <c r="D127" s="461"/>
      <c r="E127" s="461"/>
      <c r="F127" s="141"/>
      <c r="G127" s="141"/>
      <c r="H127" s="41"/>
      <c r="I127" s="41"/>
      <c r="O127" s="32"/>
      <c r="U127" s="141"/>
    </row>
    <row r="128" spans="1:22" s="380" customFormat="1">
      <c r="A128" s="194" t="s">
        <v>427</v>
      </c>
      <c r="B128" s="586" t="s">
        <v>428</v>
      </c>
      <c r="C128" s="586" t="s">
        <v>429</v>
      </c>
      <c r="D128" s="586" t="s">
        <v>430</v>
      </c>
      <c r="E128" s="586" t="s">
        <v>1255</v>
      </c>
      <c r="F128" s="194" t="s">
        <v>2242</v>
      </c>
      <c r="G128" s="194" t="s">
        <v>1257</v>
      </c>
      <c r="H128" s="41"/>
      <c r="I128" s="32"/>
      <c r="N128" s="32"/>
      <c r="O128" s="32"/>
    </row>
    <row r="129" spans="1:27" s="380" customFormat="1">
      <c r="A129" s="159" t="s">
        <v>1258</v>
      </c>
      <c r="B129" s="159" t="s">
        <v>1259</v>
      </c>
      <c r="C129" s="159" t="s">
        <v>340</v>
      </c>
      <c r="D129" s="587">
        <v>1000001</v>
      </c>
      <c r="E129" s="159" t="s">
        <v>2256</v>
      </c>
      <c r="F129" s="535">
        <v>1045948.83</v>
      </c>
      <c r="G129" s="535">
        <v>1183805.56</v>
      </c>
      <c r="H129" s="32">
        <f>VLOOKUP(D129,'מאזן בוחן צרפת'!$C:$E,3,0)-F129</f>
        <v>0</v>
      </c>
      <c r="I129" s="32">
        <f>VLOOKUP(D129,'מאזן בוחן צרפת'!$C:$M,11,0)-G129</f>
        <v>0</v>
      </c>
      <c r="K129" s="259"/>
      <c r="L129" s="159"/>
      <c r="M129" s="153"/>
      <c r="N129" s="153"/>
      <c r="O129" s="153"/>
      <c r="P129" s="153"/>
    </row>
    <row r="130" spans="1:27" s="380" customFormat="1">
      <c r="A130" s="159" t="s">
        <v>1258</v>
      </c>
      <c r="B130" s="159" t="s">
        <v>1260</v>
      </c>
      <c r="C130" s="159" t="s">
        <v>568</v>
      </c>
      <c r="D130" s="587">
        <v>1100001</v>
      </c>
      <c r="E130" s="159" t="s">
        <v>25</v>
      </c>
      <c r="F130" s="535">
        <v>1117.3800000000001</v>
      </c>
      <c r="G130" s="535">
        <v>1308.58</v>
      </c>
      <c r="H130" s="32">
        <f>VLOOKUP(D130,'מאזן בוחן צרפת'!$C:$E,3,0)-F130</f>
        <v>0</v>
      </c>
      <c r="I130" s="32">
        <f>VLOOKUP(D130,'מאזן בוחן צרפת'!$C:$M,11,0)-G130</f>
        <v>0</v>
      </c>
      <c r="K130" s="259"/>
      <c r="L130" s="159"/>
      <c r="M130" s="153"/>
      <c r="N130" s="153"/>
      <c r="O130" s="535"/>
      <c r="P130" s="535"/>
    </row>
    <row r="131" spans="1:27" s="380" customFormat="1">
      <c r="A131" s="159" t="s">
        <v>1258</v>
      </c>
      <c r="B131" s="159" t="s">
        <v>1260</v>
      </c>
      <c r="C131" s="159" t="s">
        <v>568</v>
      </c>
      <c r="D131" s="587">
        <v>1100999</v>
      </c>
      <c r="E131" s="159" t="s">
        <v>1918</v>
      </c>
      <c r="F131" s="535">
        <v>1833858.08</v>
      </c>
      <c r="G131" s="535">
        <v>2178645.4500000002</v>
      </c>
      <c r="H131" s="32">
        <f>VLOOKUP(D131,'מאזן בוחן צרפת'!$C:$E,3,0)-F131</f>
        <v>0</v>
      </c>
      <c r="I131" s="32">
        <f>VLOOKUP(D131,'מאזן בוחן צרפת'!$C:$M,11,0)-G131</f>
        <v>0</v>
      </c>
      <c r="K131" s="259"/>
      <c r="L131" s="159"/>
      <c r="M131" s="153"/>
      <c r="N131" s="153"/>
      <c r="O131" s="535"/>
      <c r="P131" s="535"/>
    </row>
    <row r="132" spans="1:27" s="380" customFormat="1">
      <c r="A132" s="159" t="s">
        <v>1258</v>
      </c>
      <c r="B132" s="159" t="s">
        <v>1260</v>
      </c>
      <c r="C132" s="159" t="s">
        <v>570</v>
      </c>
      <c r="D132" s="587">
        <v>1130008</v>
      </c>
      <c r="E132" s="159" t="s">
        <v>774</v>
      </c>
      <c r="F132" s="535">
        <v>-3737875.65</v>
      </c>
      <c r="G132" s="535">
        <v>-4230530.07</v>
      </c>
      <c r="H132" s="32">
        <f>VLOOKUP(D132,'מאזן בוחן צרפת'!$C:$E,3,0)-F132</f>
        <v>0</v>
      </c>
      <c r="I132" s="32">
        <f>VLOOKUP(D132,'מאזן בוחן צרפת'!$C:$M,11,0)-G132</f>
        <v>0</v>
      </c>
      <c r="K132" s="259"/>
      <c r="L132" s="159"/>
      <c r="M132" s="153"/>
      <c r="N132" s="153"/>
      <c r="O132" s="535"/>
      <c r="P132" s="535"/>
      <c r="Q132" s="535"/>
      <c r="R132" s="535"/>
      <c r="S132" s="535"/>
      <c r="T132" s="535"/>
      <c r="U132" s="535"/>
      <c r="V132" s="535"/>
      <c r="W132" s="535"/>
      <c r="X132" s="535"/>
      <c r="Y132" s="535"/>
      <c r="Z132" s="535"/>
      <c r="AA132" s="535"/>
    </row>
    <row r="133" spans="1:27" s="380" customFormat="1">
      <c r="A133" s="159" t="s">
        <v>1258</v>
      </c>
      <c r="B133" s="159" t="s">
        <v>1260</v>
      </c>
      <c r="C133" s="159" t="s">
        <v>570</v>
      </c>
      <c r="D133" s="587">
        <v>1130013</v>
      </c>
      <c r="E133" s="159" t="s">
        <v>1304</v>
      </c>
      <c r="F133" s="535">
        <v>-5559.4</v>
      </c>
      <c r="G133" s="535">
        <v>-6292.13</v>
      </c>
      <c r="H133" s="32">
        <f>VLOOKUP(D133,'מאזן בוחן צרפת'!$C:$E,3,0)-F133</f>
        <v>0</v>
      </c>
      <c r="I133" s="32">
        <f>VLOOKUP(D133,'מאזן בוחן צרפת'!$C:$M,11,0)-G133</f>
        <v>0</v>
      </c>
      <c r="K133" s="259"/>
      <c r="L133" s="159"/>
      <c r="M133" s="153"/>
      <c r="N133" s="153"/>
      <c r="O133" s="535"/>
      <c r="P133" s="535"/>
      <c r="Q133" s="535"/>
      <c r="R133" s="535"/>
      <c r="S133" s="535"/>
      <c r="T133" s="535"/>
      <c r="U133" s="535"/>
      <c r="V133" s="535"/>
      <c r="W133" s="535"/>
      <c r="X133" s="535"/>
      <c r="Y133" s="535"/>
      <c r="Z133" s="535"/>
      <c r="AA133" s="535"/>
    </row>
    <row r="134" spans="1:27" s="380" customFormat="1">
      <c r="A134" s="159" t="s">
        <v>1258</v>
      </c>
      <c r="B134" s="159" t="s">
        <v>1260</v>
      </c>
      <c r="C134" s="159" t="s">
        <v>2045</v>
      </c>
      <c r="D134" s="587">
        <v>1150001</v>
      </c>
      <c r="E134" s="159" t="s">
        <v>2046</v>
      </c>
      <c r="F134" s="535">
        <v>81639.360000000001</v>
      </c>
      <c r="G134" s="535">
        <v>92399.48</v>
      </c>
      <c r="H134" s="32">
        <f>VLOOKUP(D134,'מאזן בוחן צרפת'!$C:$E,3,0)-F134</f>
        <v>0</v>
      </c>
      <c r="I134" s="32">
        <f>VLOOKUP(D134,'מאזן בוחן צרפת'!$C:$M,11,0)-G134</f>
        <v>0</v>
      </c>
      <c r="K134" s="259"/>
      <c r="L134" s="159"/>
      <c r="M134" s="153"/>
      <c r="N134" s="153"/>
      <c r="O134" s="535"/>
      <c r="P134" s="535"/>
      <c r="Q134" s="535"/>
      <c r="R134" s="535"/>
      <c r="S134" s="535"/>
      <c r="T134" s="535"/>
      <c r="U134" s="535"/>
      <c r="V134" s="535"/>
      <c r="W134" s="535"/>
      <c r="X134" s="535"/>
      <c r="Y134" s="535"/>
      <c r="Z134" s="535"/>
      <c r="AA134" s="535"/>
    </row>
    <row r="135" spans="1:27" s="380" customFormat="1">
      <c r="A135" s="159" t="s">
        <v>1258</v>
      </c>
      <c r="B135" s="159" t="s">
        <v>1261</v>
      </c>
      <c r="C135" s="159" t="s">
        <v>574</v>
      </c>
      <c r="D135" s="587">
        <v>200900</v>
      </c>
      <c r="E135" s="159" t="s">
        <v>2951</v>
      </c>
      <c r="F135" s="535">
        <v>251439.98</v>
      </c>
      <c r="G135" s="535">
        <v>284579.93</v>
      </c>
      <c r="H135" s="32">
        <f>VLOOKUP(D135,'מאזן בוחן צרפת'!$C:$E,3,0)-F135</f>
        <v>0</v>
      </c>
      <c r="I135" s="32">
        <f>VLOOKUP(D135,'מאזן בוחן צרפת'!$C:$M,11,0)-G135</f>
        <v>0</v>
      </c>
      <c r="K135" s="259"/>
      <c r="L135" s="159"/>
      <c r="M135" s="153"/>
      <c r="N135" s="153"/>
      <c r="O135" s="535"/>
      <c r="P135" s="535"/>
      <c r="Q135" s="535"/>
      <c r="R135" s="535"/>
      <c r="S135" s="535"/>
      <c r="T135" s="535"/>
      <c r="U135" s="535"/>
      <c r="V135" s="535"/>
      <c r="W135" s="535"/>
      <c r="X135" s="535"/>
      <c r="Y135" s="535"/>
      <c r="Z135" s="535"/>
      <c r="AA135" s="535"/>
    </row>
    <row r="136" spans="1:27" s="380" customFormat="1">
      <c r="A136" s="159" t="s">
        <v>1258</v>
      </c>
      <c r="B136" s="159" t="s">
        <v>1261</v>
      </c>
      <c r="C136" s="159" t="s">
        <v>574</v>
      </c>
      <c r="D136" s="587">
        <v>204731</v>
      </c>
      <c r="E136" s="159" t="s">
        <v>4492</v>
      </c>
      <c r="F136" s="535">
        <v>45411.78</v>
      </c>
      <c r="G136" s="535">
        <v>51397.08</v>
      </c>
      <c r="H136" s="32">
        <f>VLOOKUP(D136,'מאזן בוחן צרפת'!$C:$E,3,0)-F136</f>
        <v>0</v>
      </c>
      <c r="I136" s="32">
        <f>VLOOKUP(D136,'מאזן בוחן צרפת'!$C:$M,11,0)-G136</f>
        <v>0</v>
      </c>
      <c r="K136" s="259"/>
      <c r="L136" s="159"/>
      <c r="M136" s="153"/>
      <c r="N136" s="153"/>
      <c r="O136" s="535"/>
      <c r="P136" s="535"/>
    </row>
    <row r="137" spans="1:27" s="380" customFormat="1">
      <c r="A137" s="159" t="s">
        <v>1258</v>
      </c>
      <c r="B137" s="159" t="s">
        <v>1261</v>
      </c>
      <c r="C137" s="159" t="s">
        <v>574</v>
      </c>
      <c r="D137" s="587">
        <v>206806</v>
      </c>
      <c r="E137" s="159" t="s">
        <v>1941</v>
      </c>
      <c r="F137" s="535">
        <v>17929.3</v>
      </c>
      <c r="G137" s="535">
        <v>20292.39</v>
      </c>
      <c r="H137" s="32">
        <f>VLOOKUP(D137,'מאזן בוחן צרפת'!$C:$E,3,0)-F137</f>
        <v>0</v>
      </c>
      <c r="I137" s="32">
        <f>VLOOKUP(D137,'מאזן בוחן צרפת'!$C:$M,11,0)-G137</f>
        <v>0</v>
      </c>
      <c r="K137" s="259"/>
      <c r="L137" s="159"/>
      <c r="M137" s="153"/>
      <c r="N137" s="153"/>
      <c r="O137" s="535"/>
      <c r="P137" s="535"/>
    </row>
    <row r="138" spans="1:27" s="380" customFormat="1">
      <c r="A138" s="159" t="s">
        <v>1258</v>
      </c>
      <c r="B138" s="159" t="s">
        <v>1261</v>
      </c>
      <c r="C138" s="159" t="s">
        <v>574</v>
      </c>
      <c r="D138" s="587">
        <v>214595</v>
      </c>
      <c r="E138" s="159" t="s">
        <v>682</v>
      </c>
      <c r="F138" s="535">
        <v>496269.29</v>
      </c>
      <c r="G138" s="535">
        <v>561677.9</v>
      </c>
      <c r="H138" s="32">
        <f>VLOOKUP(D138,'מאזן בוחן צרפת'!$C:$E,3,0)-F138</f>
        <v>0</v>
      </c>
      <c r="I138" s="32">
        <f>VLOOKUP(D138,'מאזן בוחן צרפת'!$C:$M,11,0)-G138</f>
        <v>0</v>
      </c>
      <c r="K138" s="259"/>
      <c r="L138" s="159"/>
      <c r="M138" s="153"/>
      <c r="N138" s="153"/>
      <c r="O138" s="535"/>
      <c r="P138" s="535"/>
    </row>
    <row r="139" spans="1:27" s="380" customFormat="1">
      <c r="A139" s="159" t="s">
        <v>1258</v>
      </c>
      <c r="B139" s="159" t="s">
        <v>1261</v>
      </c>
      <c r="C139" s="159" t="s">
        <v>574</v>
      </c>
      <c r="D139" s="587">
        <v>221408</v>
      </c>
      <c r="E139" s="159" t="s">
        <v>2014</v>
      </c>
      <c r="F139" s="535">
        <v>173451.06</v>
      </c>
      <c r="G139" s="535">
        <v>196312.02</v>
      </c>
      <c r="H139" s="32">
        <f>VLOOKUP(D139,'מאזן בוחן צרפת'!$C:$E,3,0)-F139</f>
        <v>0</v>
      </c>
      <c r="I139" s="32">
        <f>VLOOKUP(D139,'מאזן בוחן צרפת'!$C:$M,11,0)-G139</f>
        <v>0</v>
      </c>
      <c r="K139" s="259"/>
      <c r="L139" s="159"/>
      <c r="M139" s="153"/>
      <c r="N139" s="153"/>
      <c r="O139" s="535"/>
      <c r="P139" s="535"/>
    </row>
    <row r="140" spans="1:27" s="380" customFormat="1">
      <c r="A140" s="159" t="s">
        <v>1258</v>
      </c>
      <c r="B140" s="159" t="s">
        <v>1261</v>
      </c>
      <c r="C140" s="159" t="s">
        <v>574</v>
      </c>
      <c r="D140" s="587">
        <v>225489</v>
      </c>
      <c r="E140" s="159" t="s">
        <v>4493</v>
      </c>
      <c r="F140" s="535">
        <v>404701.94</v>
      </c>
      <c r="G140" s="535">
        <v>458041.92</v>
      </c>
      <c r="H140" s="32">
        <f>VLOOKUP(D140,'מאזן בוחן צרפת'!$C:$E,3,0)-F140</f>
        <v>0</v>
      </c>
      <c r="I140" s="32">
        <f>VLOOKUP(D140,'מאזן בוחן צרפת'!$C:$M,11,0)-G140</f>
        <v>0</v>
      </c>
      <c r="K140" s="259"/>
      <c r="L140" s="159"/>
      <c r="M140" s="153"/>
      <c r="N140" s="153"/>
      <c r="O140" s="153"/>
      <c r="P140" s="535"/>
    </row>
    <row r="141" spans="1:27" s="380" customFormat="1">
      <c r="A141" s="159" t="s">
        <v>1258</v>
      </c>
      <c r="B141" s="159" t="s">
        <v>1265</v>
      </c>
      <c r="C141" s="159" t="s">
        <v>1016</v>
      </c>
      <c r="D141" s="587">
        <v>1610097</v>
      </c>
      <c r="E141" s="159" t="s">
        <v>2526</v>
      </c>
      <c r="F141" s="535">
        <v>1160819.78</v>
      </c>
      <c r="G141" s="535">
        <v>1379067.85</v>
      </c>
      <c r="H141" s="32">
        <f>VLOOKUP(D141,'מאזן בוחן צרפת'!$C:$E,3,0)-F141</f>
        <v>0</v>
      </c>
      <c r="I141" s="32">
        <f>VLOOKUP(D141,'מאזן בוחן צרפת'!$C:$M,11,0)-G141</f>
        <v>0</v>
      </c>
      <c r="K141" s="259"/>
      <c r="L141" s="159"/>
      <c r="M141" s="153"/>
      <c r="N141" s="153"/>
      <c r="O141" s="535"/>
      <c r="P141" s="535"/>
    </row>
    <row r="142" spans="1:27" s="380" customFormat="1">
      <c r="A142" s="159" t="s">
        <v>1266</v>
      </c>
      <c r="B142" s="159" t="s">
        <v>1267</v>
      </c>
      <c r="C142" s="159" t="s">
        <v>1019</v>
      </c>
      <c r="D142" s="587" t="s">
        <v>1868</v>
      </c>
      <c r="E142" s="159" t="s">
        <v>1869</v>
      </c>
      <c r="F142" s="535">
        <v>578276.28</v>
      </c>
      <c r="G142" s="535">
        <v>654493.46</v>
      </c>
      <c r="H142" s="32">
        <f>VLOOKUP(D142,'מאזן בוחן צרפת'!$C:$E,3,0)-F142</f>
        <v>0</v>
      </c>
      <c r="I142" s="32">
        <f>VLOOKUP(D142,'מאזן בוחן צרפת'!$C:$M,11,0)-G142</f>
        <v>0</v>
      </c>
      <c r="K142" s="516"/>
      <c r="L142" s="159"/>
      <c r="M142" s="153"/>
      <c r="N142" s="153"/>
      <c r="O142" s="535"/>
      <c r="P142" s="535"/>
    </row>
    <row r="143" spans="1:27" s="380" customFormat="1">
      <c r="A143" s="159" t="s">
        <v>1266</v>
      </c>
      <c r="B143" s="159" t="s">
        <v>1267</v>
      </c>
      <c r="C143" s="159" t="s">
        <v>1019</v>
      </c>
      <c r="D143" s="587">
        <v>53501</v>
      </c>
      <c r="E143" s="159" t="s">
        <v>2534</v>
      </c>
      <c r="F143" s="535">
        <v>-1253983.17</v>
      </c>
      <c r="G143" s="535">
        <v>-1461941.11</v>
      </c>
      <c r="H143" s="32">
        <f>VLOOKUP(D143,'מאזן בוחן צרפת'!$C:$E,3,0)-F143</f>
        <v>0</v>
      </c>
      <c r="I143" s="32">
        <f>VLOOKUP(D143,'מאזן בוחן צרפת'!$C:$M,11,0)-G143</f>
        <v>0</v>
      </c>
      <c r="K143" s="516"/>
      <c r="L143" s="159"/>
      <c r="M143" s="153"/>
      <c r="N143" s="153"/>
      <c r="O143" s="535"/>
      <c r="P143" s="535"/>
    </row>
    <row r="144" spans="1:27" s="380" customFormat="1">
      <c r="A144" s="159" t="s">
        <v>1266</v>
      </c>
      <c r="B144" s="159" t="s">
        <v>1267</v>
      </c>
      <c r="C144" s="159" t="s">
        <v>1019</v>
      </c>
      <c r="D144" s="587">
        <v>53513</v>
      </c>
      <c r="E144" s="159" t="s">
        <v>3639</v>
      </c>
      <c r="F144" s="535">
        <v>0</v>
      </c>
      <c r="G144" s="535">
        <v>0.01</v>
      </c>
      <c r="H144" s="32">
        <f>VLOOKUP(D144,'מאזן בוחן צרפת'!$C:$E,3,0)-F144</f>
        <v>0</v>
      </c>
      <c r="I144" s="32">
        <f>VLOOKUP(D144,'מאזן בוחן צרפת'!$C:$M,11,0)-G144</f>
        <v>0</v>
      </c>
      <c r="K144" s="516"/>
      <c r="L144" s="159"/>
      <c r="M144" s="153"/>
      <c r="N144" s="153"/>
      <c r="O144" s="535"/>
      <c r="P144" s="535"/>
    </row>
    <row r="145" spans="1:16" s="380" customFormat="1">
      <c r="A145" s="159" t="s">
        <v>1266</v>
      </c>
      <c r="B145" s="159" t="s">
        <v>1267</v>
      </c>
      <c r="C145" s="159" t="s">
        <v>1019</v>
      </c>
      <c r="D145" s="587">
        <v>53516</v>
      </c>
      <c r="E145" s="159" t="s">
        <v>1638</v>
      </c>
      <c r="F145" s="535">
        <v>-17323.43</v>
      </c>
      <c r="G145" s="535">
        <v>-20549.63</v>
      </c>
      <c r="H145" s="32">
        <f>VLOOKUP(D145,'מאזן בוחן צרפת'!$C:$E,3,0)-F145</f>
        <v>0</v>
      </c>
      <c r="I145" s="32">
        <f>VLOOKUP(D145,'מאזן בוחן צרפת'!$C:$M,11,0)-G145</f>
        <v>0</v>
      </c>
      <c r="K145" s="516"/>
      <c r="L145" s="159"/>
      <c r="M145" s="153"/>
      <c r="N145" s="153"/>
      <c r="O145" s="535"/>
      <c r="P145" s="535"/>
    </row>
    <row r="146" spans="1:16" s="380" customFormat="1">
      <c r="A146" s="159" t="s">
        <v>1266</v>
      </c>
      <c r="B146" s="159" t="s">
        <v>1267</v>
      </c>
      <c r="C146" s="159" t="s">
        <v>1019</v>
      </c>
      <c r="D146" s="587">
        <v>53580</v>
      </c>
      <c r="E146" s="159" t="s">
        <v>1661</v>
      </c>
      <c r="F146" s="535">
        <v>-108717.88</v>
      </c>
      <c r="G146" s="535">
        <v>-123227.71</v>
      </c>
      <c r="H146" s="32">
        <f>VLOOKUP(D146,'מאזן בוחן צרפת'!$C:$E,3,0)-F146</f>
        <v>0</v>
      </c>
      <c r="I146" s="32">
        <f>VLOOKUP(D146,'מאזן בוחן צרפת'!$C:$M,11,0)-G146</f>
        <v>0</v>
      </c>
      <c r="K146" s="516"/>
      <c r="L146" s="159"/>
      <c r="M146" s="153"/>
      <c r="N146" s="153"/>
      <c r="O146" s="535"/>
      <c r="P146" s="535"/>
    </row>
    <row r="147" spans="1:16" s="380" customFormat="1">
      <c r="A147" s="159" t="s">
        <v>1266</v>
      </c>
      <c r="B147" s="159" t="s">
        <v>1267</v>
      </c>
      <c r="C147" s="159" t="s">
        <v>1019</v>
      </c>
      <c r="D147" s="587">
        <v>53599</v>
      </c>
      <c r="E147" s="159" t="s">
        <v>1952</v>
      </c>
      <c r="F147" s="535">
        <v>-73105.58</v>
      </c>
      <c r="G147" s="535">
        <v>-82740.94</v>
      </c>
      <c r="H147" s="32">
        <f>VLOOKUP(D147,'מאזן בוחן צרפת'!$C:$E,3,0)-F147</f>
        <v>0</v>
      </c>
      <c r="I147" s="32">
        <f>VLOOKUP(D147,'מאזן בוחן צרפת'!$C:$M,11,0)-G147</f>
        <v>0</v>
      </c>
      <c r="K147" s="516"/>
      <c r="L147" s="159"/>
      <c r="M147" s="153"/>
      <c r="N147" s="153"/>
      <c r="O147" s="153"/>
      <c r="P147" s="153"/>
    </row>
    <row r="148" spans="1:16" s="380" customFormat="1">
      <c r="A148" s="159" t="s">
        <v>1266</v>
      </c>
      <c r="B148" s="159" t="s">
        <v>1268</v>
      </c>
      <c r="C148" s="159" t="s">
        <v>1032</v>
      </c>
      <c r="D148" s="587">
        <v>2110002</v>
      </c>
      <c r="E148" s="159" t="s">
        <v>2245</v>
      </c>
      <c r="F148" s="535">
        <v>-1110</v>
      </c>
      <c r="G148" s="535">
        <v>-1256.3</v>
      </c>
      <c r="H148" s="32">
        <f>VLOOKUP(D148,'מאזן בוחן צרפת'!$C:$E,3,0)-F148</f>
        <v>0</v>
      </c>
      <c r="I148" s="32">
        <f>VLOOKUP(D148,'מאזן בוחן צרפת'!$C:$M,11,0)-G148</f>
        <v>0</v>
      </c>
      <c r="K148" s="516"/>
      <c r="L148" s="159"/>
      <c r="M148" s="153"/>
      <c r="N148" s="153"/>
      <c r="O148" s="535"/>
      <c r="P148" s="535"/>
    </row>
    <row r="149" spans="1:16" s="380" customFormat="1">
      <c r="A149" s="159" t="s">
        <v>1266</v>
      </c>
      <c r="B149" s="159" t="s">
        <v>1268</v>
      </c>
      <c r="C149" s="159" t="s">
        <v>1032</v>
      </c>
      <c r="D149" s="587">
        <v>2110004</v>
      </c>
      <c r="E149" s="159" t="s">
        <v>4994</v>
      </c>
      <c r="F149" s="535">
        <v>2345</v>
      </c>
      <c r="G149" s="535">
        <v>2654.07</v>
      </c>
      <c r="H149" s="32">
        <f>VLOOKUP(D149,'מאזן בוחן צרפת'!$C:$E,3,0)-F149</f>
        <v>0</v>
      </c>
      <c r="I149" s="32">
        <f>VLOOKUP(D149,'מאזן בוחן צרפת'!$C:$M,11,0)-G149</f>
        <v>0</v>
      </c>
      <c r="K149" s="516"/>
      <c r="L149" s="159"/>
      <c r="M149" s="153"/>
      <c r="N149" s="153"/>
      <c r="O149" s="153"/>
      <c r="P149" s="153"/>
    </row>
    <row r="150" spans="1:16" s="380" customFormat="1">
      <c r="A150" s="159" t="s">
        <v>1266</v>
      </c>
      <c r="B150" s="159" t="s">
        <v>1268</v>
      </c>
      <c r="C150" s="159" t="s">
        <v>1034</v>
      </c>
      <c r="D150" s="587">
        <v>2110007</v>
      </c>
      <c r="E150" s="159" t="s">
        <v>3651</v>
      </c>
      <c r="F150" s="535">
        <v>-876.6</v>
      </c>
      <c r="G150" s="535">
        <v>-991.3</v>
      </c>
      <c r="H150" s="32">
        <f>VLOOKUP(D150,'מאזן בוחן צרפת'!$C:$E,3,0)-F150</f>
        <v>0</v>
      </c>
      <c r="I150" s="32">
        <f>VLOOKUP(D150,'מאזן בוחן צרפת'!$C:$M,11,0)-G150</f>
        <v>0</v>
      </c>
      <c r="K150" s="516"/>
      <c r="L150" s="159"/>
      <c r="M150" s="153"/>
      <c r="N150" s="153"/>
      <c r="O150" s="535"/>
      <c r="P150" s="535"/>
    </row>
    <row r="151" spans="1:16" s="380" customFormat="1">
      <c r="A151" s="159" t="s">
        <v>1266</v>
      </c>
      <c r="B151" s="159" t="s">
        <v>1268</v>
      </c>
      <c r="C151" s="159" t="s">
        <v>1034</v>
      </c>
      <c r="D151" s="587">
        <v>2110009</v>
      </c>
      <c r="E151" s="159" t="s">
        <v>4317</v>
      </c>
      <c r="F151" s="535">
        <v>-8000</v>
      </c>
      <c r="G151" s="535">
        <v>-9054.4</v>
      </c>
      <c r="H151" s="32">
        <f>VLOOKUP(D151,'מאזן בוחן צרפת'!$C:$E,3,0)-F151</f>
        <v>0</v>
      </c>
      <c r="I151" s="32">
        <f>VLOOKUP(D151,'מאזן בוחן צרפת'!$C:$M,11,0)-G151</f>
        <v>0</v>
      </c>
      <c r="K151" s="516"/>
      <c r="L151" s="159"/>
      <c r="M151" s="153"/>
      <c r="N151" s="153"/>
      <c r="O151" s="153"/>
      <c r="P151" s="153"/>
    </row>
    <row r="152" spans="1:16" s="380" customFormat="1">
      <c r="A152" s="159" t="s">
        <v>1266</v>
      </c>
      <c r="B152" s="159" t="s">
        <v>1268</v>
      </c>
      <c r="C152" s="159" t="s">
        <v>1034</v>
      </c>
      <c r="D152" s="587">
        <v>2110015</v>
      </c>
      <c r="E152" s="159" t="s">
        <v>4996</v>
      </c>
      <c r="F152" s="535">
        <v>-1680</v>
      </c>
      <c r="G152" s="535">
        <v>-1901.42</v>
      </c>
      <c r="H152" s="32">
        <f>VLOOKUP(D152,'מאזן בוחן צרפת'!$C:$E,3,0)-F152</f>
        <v>0</v>
      </c>
      <c r="I152" s="32">
        <f>VLOOKUP(D152,'מאזן בוחן צרפת'!$C:$M,11,0)-G152</f>
        <v>0</v>
      </c>
      <c r="K152" s="516"/>
      <c r="L152" s="159"/>
      <c r="M152" s="153"/>
      <c r="N152" s="153"/>
      <c r="O152" s="153"/>
      <c r="P152" s="535"/>
    </row>
    <row r="153" spans="1:16" s="380" customFormat="1">
      <c r="A153" s="159" t="s">
        <v>1266</v>
      </c>
      <c r="B153" s="159" t="s">
        <v>1270</v>
      </c>
      <c r="C153" s="159" t="s">
        <v>1037</v>
      </c>
      <c r="D153" s="587">
        <v>2200001</v>
      </c>
      <c r="E153" s="159" t="s">
        <v>1313</v>
      </c>
      <c r="F153" s="535">
        <v>-5725</v>
      </c>
      <c r="G153" s="535">
        <v>-6479.56</v>
      </c>
      <c r="H153" s="32">
        <f>VLOOKUP(D153,'מאזן בוחן צרפת'!$C:$E,3,0)-F153</f>
        <v>0</v>
      </c>
      <c r="I153" s="32">
        <f>VLOOKUP(D153,'מאזן בוחן צרפת'!$C:$M,11,0)-G153</f>
        <v>0</v>
      </c>
      <c r="K153" s="516"/>
      <c r="L153" s="159"/>
      <c r="M153" s="153"/>
      <c r="N153" s="153"/>
      <c r="O153" s="535"/>
      <c r="P153" s="535"/>
    </row>
    <row r="154" spans="1:16" s="380" customFormat="1">
      <c r="A154" s="159" t="s">
        <v>1266</v>
      </c>
      <c r="B154" s="159" t="s">
        <v>1271</v>
      </c>
      <c r="C154" s="159" t="s">
        <v>1040</v>
      </c>
      <c r="D154" s="587">
        <v>2400001</v>
      </c>
      <c r="E154" s="159" t="s">
        <v>519</v>
      </c>
      <c r="F154" s="535">
        <v>-231719.27</v>
      </c>
      <c r="G154" s="535">
        <v>-260774.85</v>
      </c>
      <c r="H154" s="32">
        <f>VLOOKUP(D154,'מאזן בוחן צרפת'!$C:$E,3,0)-F154</f>
        <v>0</v>
      </c>
      <c r="I154" s="32">
        <f>VLOOKUP(D154,'מאזן בוחן צרפת'!$C:$M,11,0)-G154</f>
        <v>0</v>
      </c>
      <c r="K154" s="516"/>
      <c r="L154" s="159"/>
      <c r="M154" s="153"/>
      <c r="N154" s="153"/>
      <c r="O154" s="535"/>
      <c r="P154" s="535"/>
    </row>
    <row r="155" spans="1:16" s="380" customFormat="1">
      <c r="A155" s="159" t="s">
        <v>1266</v>
      </c>
      <c r="B155" s="159" t="s">
        <v>1271</v>
      </c>
      <c r="C155" s="159" t="s">
        <v>1040</v>
      </c>
      <c r="D155" s="587">
        <v>2400202</v>
      </c>
      <c r="E155" s="159" t="s">
        <v>2847</v>
      </c>
      <c r="F155" s="535">
        <v>0</v>
      </c>
      <c r="G155" s="535">
        <v>0.01</v>
      </c>
      <c r="H155" s="32">
        <f>VLOOKUP(D155,'מאזן בוחן צרפת'!$C:$E,3,0)-F155</f>
        <v>0</v>
      </c>
      <c r="I155" s="32">
        <f>VLOOKUP(D155,'מאזן בוחן צרפת'!$C:$M,11,0)-G155</f>
        <v>0</v>
      </c>
      <c r="K155" s="516"/>
      <c r="L155" s="159"/>
      <c r="M155" s="153"/>
      <c r="N155" s="153"/>
      <c r="O155" s="535"/>
      <c r="P155" s="535"/>
    </row>
    <row r="156" spans="1:16" s="380" customFormat="1">
      <c r="A156" s="159" t="s">
        <v>1266</v>
      </c>
      <c r="B156" s="159" t="s">
        <v>1271</v>
      </c>
      <c r="C156" s="159" t="s">
        <v>1040</v>
      </c>
      <c r="D156" s="587">
        <v>2400210</v>
      </c>
      <c r="E156" s="159" t="s">
        <v>1315</v>
      </c>
      <c r="F156" s="535">
        <v>-23982.7</v>
      </c>
      <c r="G156" s="535">
        <v>-27143.64</v>
      </c>
      <c r="H156" s="32">
        <f>VLOOKUP(D156,'מאזן בוחן צרפת'!$C:$E,3,0)-F156</f>
        <v>0</v>
      </c>
      <c r="I156" s="32">
        <f>VLOOKUP(D156,'מאזן בוחן צרפת'!$C:$M,11,0)-G156</f>
        <v>0</v>
      </c>
      <c r="K156" s="516"/>
      <c r="L156" s="159"/>
      <c r="M156" s="153"/>
      <c r="N156" s="153"/>
      <c r="O156" s="153"/>
      <c r="P156" s="153"/>
    </row>
    <row r="157" spans="1:16" s="380" customFormat="1">
      <c r="A157" s="153" t="s">
        <v>1266</v>
      </c>
      <c r="B157" s="159" t="s">
        <v>1271</v>
      </c>
      <c r="C157" s="159" t="s">
        <v>1040</v>
      </c>
      <c r="D157" s="587">
        <v>2400211</v>
      </c>
      <c r="E157" s="159" t="s">
        <v>1316</v>
      </c>
      <c r="F157" s="535">
        <v>-10801.27</v>
      </c>
      <c r="G157" s="535">
        <v>-12224.88</v>
      </c>
      <c r="H157" s="32">
        <f>VLOOKUP(D157,'מאזן בוחן צרפת'!$C:$E,3,0)-F157</f>
        <v>0</v>
      </c>
      <c r="I157" s="32">
        <f>VLOOKUP(D157,'מאזן בוחן צרפת'!$C:$M,11,0)-G157</f>
        <v>0</v>
      </c>
      <c r="K157" s="516"/>
      <c r="L157" s="159"/>
      <c r="M157" s="153"/>
      <c r="N157" s="153"/>
      <c r="O157" s="535"/>
      <c r="P157" s="535"/>
    </row>
    <row r="158" spans="1:16" s="380" customFormat="1">
      <c r="A158" s="153" t="s">
        <v>1266</v>
      </c>
      <c r="B158" s="159" t="s">
        <v>1271</v>
      </c>
      <c r="C158" s="159" t="s">
        <v>1040</v>
      </c>
      <c r="D158" s="587">
        <v>2400212</v>
      </c>
      <c r="E158" s="159" t="s">
        <v>1317</v>
      </c>
      <c r="F158" s="535">
        <v>-5788.42</v>
      </c>
      <c r="G158" s="535">
        <v>-6551.33</v>
      </c>
      <c r="H158" s="32">
        <f>VLOOKUP(D158,'מאזן בוחן צרפת'!$C:$E,3,0)-F158</f>
        <v>0</v>
      </c>
      <c r="I158" s="32">
        <f>VLOOKUP(D158,'מאזן בוחן צרפת'!$C:$M,11,0)-G158</f>
        <v>0</v>
      </c>
      <c r="K158" s="516"/>
      <c r="L158" s="159"/>
      <c r="M158" s="153"/>
      <c r="N158" s="153"/>
      <c r="O158" s="535"/>
      <c r="P158" s="535"/>
    </row>
    <row r="159" spans="1:16" s="380" customFormat="1">
      <c r="A159" s="153" t="s">
        <v>1266</v>
      </c>
      <c r="B159" s="159" t="s">
        <v>1271</v>
      </c>
      <c r="C159" s="159" t="s">
        <v>1040</v>
      </c>
      <c r="D159" s="587">
        <v>2400213</v>
      </c>
      <c r="E159" s="159" t="s">
        <v>1318</v>
      </c>
      <c r="F159" s="535">
        <v>-7803.87</v>
      </c>
      <c r="G159" s="535">
        <v>-8832.43</v>
      </c>
      <c r="H159" s="32">
        <f>VLOOKUP(D159,'מאזן בוחן צרפת'!$C:$E,3,0)-F159</f>
        <v>0</v>
      </c>
      <c r="I159" s="32">
        <f>VLOOKUP(D159,'מאזן בוחן צרפת'!$C:$M,11,0)-G159</f>
        <v>0</v>
      </c>
      <c r="K159" s="516"/>
      <c r="L159" s="159"/>
      <c r="M159" s="153"/>
      <c r="N159" s="153"/>
      <c r="O159" s="535"/>
      <c r="P159" s="535"/>
    </row>
    <row r="160" spans="1:16" s="380" customFormat="1">
      <c r="A160" s="153" t="s">
        <v>1266</v>
      </c>
      <c r="B160" s="159" t="s">
        <v>1271</v>
      </c>
      <c r="C160" s="159" t="s">
        <v>1040</v>
      </c>
      <c r="D160" s="587">
        <v>2400214</v>
      </c>
      <c r="E160" s="159" t="s">
        <v>2247</v>
      </c>
      <c r="F160" s="535">
        <v>-7516.1</v>
      </c>
      <c r="G160" s="535">
        <v>-8506.73</v>
      </c>
      <c r="H160" s="32">
        <f>VLOOKUP(D160,'מאזן בוחן צרפת'!$C:$E,3,0)-F160</f>
        <v>0</v>
      </c>
      <c r="I160" s="32">
        <f>VLOOKUP(D160,'מאזן בוחן צרפת'!$C:$M,11,0)-G160</f>
        <v>0</v>
      </c>
      <c r="K160" s="516"/>
      <c r="L160" s="159"/>
      <c r="M160" s="153"/>
      <c r="N160" s="153"/>
      <c r="O160" s="535"/>
      <c r="P160" s="535"/>
    </row>
    <row r="161" spans="1:16" s="380" customFormat="1">
      <c r="A161" s="153" t="s">
        <v>1266</v>
      </c>
      <c r="B161" s="159" t="s">
        <v>1271</v>
      </c>
      <c r="C161" s="159" t="s">
        <v>1040</v>
      </c>
      <c r="D161" s="587">
        <v>2400216</v>
      </c>
      <c r="E161" s="159" t="s">
        <v>1852</v>
      </c>
      <c r="F161" s="535">
        <v>-8456.36</v>
      </c>
      <c r="G161" s="535">
        <v>-9570.91</v>
      </c>
      <c r="H161" s="32">
        <f>VLOOKUP(D161,'מאזן בוחן צרפת'!$C:$E,3,0)-F161</f>
        <v>0</v>
      </c>
      <c r="I161" s="32">
        <f>VLOOKUP(D161,'מאזן בוחן צרפת'!$C:$M,11,0)-G161</f>
        <v>0</v>
      </c>
      <c r="K161" s="516"/>
      <c r="L161" s="159"/>
      <c r="M161" s="153"/>
      <c r="N161" s="153"/>
      <c r="O161" s="535"/>
      <c r="P161" s="535"/>
    </row>
    <row r="162" spans="1:16" s="380" customFormat="1">
      <c r="A162" s="153" t="s">
        <v>1266</v>
      </c>
      <c r="B162" s="159" t="s">
        <v>1271</v>
      </c>
      <c r="C162" s="159" t="s">
        <v>1040</v>
      </c>
      <c r="D162" s="587">
        <v>2400217</v>
      </c>
      <c r="E162" s="159" t="s">
        <v>2248</v>
      </c>
      <c r="F162" s="535">
        <v>-201</v>
      </c>
      <c r="G162" s="535">
        <v>-227.49</v>
      </c>
      <c r="H162" s="32">
        <f>VLOOKUP(D162,'מאזן בוחן צרפת'!$C:$E,3,0)-F162</f>
        <v>0</v>
      </c>
      <c r="I162" s="32">
        <f>VLOOKUP(D162,'מאזן בוחן צרפת'!$C:$M,11,0)-G162</f>
        <v>0</v>
      </c>
      <c r="K162" s="516"/>
      <c r="L162" s="159"/>
      <c r="M162" s="153"/>
      <c r="N162" s="153"/>
      <c r="O162" s="535"/>
      <c r="P162" s="535"/>
    </row>
    <row r="163" spans="1:16" s="380" customFormat="1">
      <c r="A163" s="153" t="s">
        <v>1266</v>
      </c>
      <c r="B163" s="159" t="s">
        <v>1271</v>
      </c>
      <c r="C163" s="159" t="s">
        <v>1043</v>
      </c>
      <c r="D163" s="587">
        <v>2420001</v>
      </c>
      <c r="E163" s="159" t="s">
        <v>354</v>
      </c>
      <c r="F163" s="535">
        <v>-175643.23</v>
      </c>
      <c r="G163" s="535">
        <v>-194050.63</v>
      </c>
      <c r="H163" s="32">
        <f>VLOOKUP(D163,'מאזן בוחן צרפת'!$C:$E,3,0)-F163</f>
        <v>0</v>
      </c>
      <c r="I163" s="32">
        <f>VLOOKUP(D163,'מאזן בוחן צרפת'!$C:$M,11,0)-G163</f>
        <v>0</v>
      </c>
      <c r="K163" s="516"/>
      <c r="L163" s="159"/>
      <c r="M163" s="153"/>
      <c r="N163" s="153"/>
      <c r="O163" s="535"/>
      <c r="P163" s="535"/>
    </row>
    <row r="164" spans="1:16" s="380" customFormat="1">
      <c r="A164" s="153" t="s">
        <v>1266</v>
      </c>
      <c r="B164" s="159" t="s">
        <v>1272</v>
      </c>
      <c r="C164" s="159" t="s">
        <v>1044</v>
      </c>
      <c r="D164" s="587">
        <v>2500001</v>
      </c>
      <c r="E164" s="159" t="s">
        <v>342</v>
      </c>
      <c r="F164" s="535">
        <v>1300.53</v>
      </c>
      <c r="G164" s="535">
        <v>1471.94</v>
      </c>
      <c r="H164" s="32">
        <f>VLOOKUP(D164,'מאזן בוחן צרפת'!$C:$E,3,0)-F164</f>
        <v>0</v>
      </c>
      <c r="I164" s="32">
        <f>VLOOKUP(D164,'מאזן בוחן צרפת'!$C:$M,11,0)-G164</f>
        <v>0</v>
      </c>
      <c r="K164" s="516"/>
      <c r="L164" s="159"/>
      <c r="M164" s="153"/>
      <c r="N164" s="153"/>
      <c r="O164" s="535"/>
      <c r="P164" s="535"/>
    </row>
    <row r="165" spans="1:16" s="380" customFormat="1">
      <c r="A165" s="153" t="s">
        <v>1266</v>
      </c>
      <c r="B165" s="159" t="s">
        <v>1272</v>
      </c>
      <c r="C165" s="159" t="s">
        <v>1044</v>
      </c>
      <c r="D165" s="587">
        <v>2500002</v>
      </c>
      <c r="E165" s="159" t="s">
        <v>632</v>
      </c>
      <c r="F165" s="535">
        <v>-231533.89</v>
      </c>
      <c r="G165" s="535">
        <v>-262050.21</v>
      </c>
      <c r="H165" s="32">
        <f>VLOOKUP(D165,'מאזן בוחן צרפת'!$C:$E,3,0)-F165</f>
        <v>0</v>
      </c>
      <c r="I165" s="32">
        <f>VLOOKUP(D165,'מאזן בוחן צרפת'!$C:$M,11,0)-G165</f>
        <v>0</v>
      </c>
      <c r="K165" s="516"/>
      <c r="L165" s="159"/>
      <c r="M165" s="153"/>
      <c r="N165" s="153"/>
      <c r="O165" s="535"/>
      <c r="P165" s="535"/>
    </row>
    <row r="166" spans="1:16" s="380" customFormat="1">
      <c r="A166" s="153" t="s">
        <v>1266</v>
      </c>
      <c r="B166" s="159" t="s">
        <v>1272</v>
      </c>
      <c r="C166" s="159" t="s">
        <v>1044</v>
      </c>
      <c r="D166" s="587">
        <v>2500003</v>
      </c>
      <c r="E166" s="159" t="s">
        <v>2963</v>
      </c>
      <c r="F166" s="535">
        <v>-14336.32</v>
      </c>
      <c r="G166" s="535">
        <v>-16225.86</v>
      </c>
      <c r="H166" s="32">
        <f>VLOOKUP(D166,'מאזן בוחן צרפת'!$C:$E,3,0)-F166</f>
        <v>0</v>
      </c>
      <c r="I166" s="32">
        <f>VLOOKUP(D166,'מאזן בוחן צרפת'!$C:$M,11,0)-G166</f>
        <v>0</v>
      </c>
      <c r="K166" s="516"/>
      <c r="L166" s="159"/>
      <c r="M166" s="153"/>
      <c r="N166" s="153"/>
      <c r="O166" s="153"/>
      <c r="P166" s="535"/>
    </row>
    <row r="167" spans="1:16" s="380" customFormat="1">
      <c r="A167" s="153" t="s">
        <v>1266</v>
      </c>
      <c r="B167" s="159" t="s">
        <v>1272</v>
      </c>
      <c r="C167" s="159" t="s">
        <v>1044</v>
      </c>
      <c r="D167" s="587">
        <v>2500004</v>
      </c>
      <c r="E167" s="159" t="s">
        <v>2277</v>
      </c>
      <c r="F167" s="535">
        <v>400.61</v>
      </c>
      <c r="G167" s="535">
        <v>453.42</v>
      </c>
      <c r="H167" s="32">
        <f>VLOOKUP(D167,'מאזן בוחן צרפת'!$C:$E,3,0)-F167</f>
        <v>0</v>
      </c>
      <c r="I167" s="32">
        <f>VLOOKUP(D167,'מאזן בוחן צרפת'!$C:$M,11,0)-G167</f>
        <v>0</v>
      </c>
      <c r="K167" s="516"/>
      <c r="L167" s="159"/>
      <c r="M167" s="153"/>
      <c r="N167" s="153"/>
      <c r="O167" s="535"/>
      <c r="P167" s="535"/>
    </row>
    <row r="168" spans="1:16" s="380" customFormat="1">
      <c r="A168" s="153" t="s">
        <v>1266</v>
      </c>
      <c r="B168" s="159" t="s">
        <v>1272</v>
      </c>
      <c r="C168" s="159" t="s">
        <v>1044</v>
      </c>
      <c r="D168" s="587">
        <v>2500021</v>
      </c>
      <c r="E168" s="159" t="s">
        <v>5035</v>
      </c>
      <c r="F168" s="535">
        <v>-6247</v>
      </c>
      <c r="G168" s="535">
        <v>-7070.36</v>
      </c>
      <c r="H168" s="32">
        <f>VLOOKUP(D168,'מאזן בוחן צרפת'!$C:$E,3,0)-F168</f>
        <v>0</v>
      </c>
      <c r="I168" s="32">
        <f>VLOOKUP(D168,'מאזן בוחן צרפת'!$C:$M,11,0)-G168</f>
        <v>0</v>
      </c>
      <c r="K168" s="516"/>
      <c r="L168" s="159"/>
      <c r="M168" s="153"/>
      <c r="N168" s="153"/>
      <c r="O168" s="535"/>
      <c r="P168" s="535"/>
    </row>
    <row r="169" spans="1:16" s="380" customFormat="1">
      <c r="A169" s="153" t="s">
        <v>1266</v>
      </c>
      <c r="B169" s="159" t="s">
        <v>2916</v>
      </c>
      <c r="C169" s="159" t="s">
        <v>2891</v>
      </c>
      <c r="D169" s="587">
        <v>2610001</v>
      </c>
      <c r="E169" s="159" t="s">
        <v>214</v>
      </c>
      <c r="F169" s="535">
        <v>-578276.28</v>
      </c>
      <c r="G169" s="535">
        <v>-654493.46</v>
      </c>
      <c r="H169" s="32">
        <f>VLOOKUP(D169,'מאזן בוחן צרפת'!$C:$E,3,0)-F169</f>
        <v>0</v>
      </c>
      <c r="I169" s="32">
        <f>VLOOKUP(D169,'מאזן בוחן צרפת'!$C:$M,11,0)-G169</f>
        <v>0</v>
      </c>
      <c r="K169" s="516"/>
      <c r="L169" s="159"/>
      <c r="M169" s="153"/>
      <c r="N169" s="153"/>
      <c r="O169" s="535"/>
      <c r="P169" s="535"/>
    </row>
    <row r="170" spans="1:16" s="380" customFormat="1">
      <c r="A170" s="153" t="s">
        <v>1275</v>
      </c>
      <c r="B170" s="159" t="s">
        <v>1276</v>
      </c>
      <c r="C170" s="159" t="s">
        <v>1963</v>
      </c>
      <c r="D170" s="587">
        <v>3000001</v>
      </c>
      <c r="E170" s="159" t="s">
        <v>1964</v>
      </c>
      <c r="F170" s="535">
        <v>-1000</v>
      </c>
      <c r="G170" s="535">
        <v>-1099.6600000000001</v>
      </c>
      <c r="H170" s="32">
        <f>VLOOKUP(D170,'מאזן בוחן צרפת'!$C:$E,3,0)-F170</f>
        <v>0</v>
      </c>
      <c r="I170" s="32">
        <f>VLOOKUP(D170,'מאזן בוחן צרפת'!$C:$M,11,0)-G170</f>
        <v>0</v>
      </c>
      <c r="K170" s="516"/>
      <c r="L170" s="159"/>
      <c r="M170" s="153"/>
      <c r="N170" s="153"/>
      <c r="O170" s="535"/>
      <c r="P170" s="535"/>
    </row>
    <row r="171" spans="1:16" s="380" customFormat="1">
      <c r="A171" s="153" t="s">
        <v>1275</v>
      </c>
      <c r="B171" s="159" t="s">
        <v>1276</v>
      </c>
      <c r="C171" s="159" t="s">
        <v>1050</v>
      </c>
      <c r="D171" s="587">
        <v>3030001</v>
      </c>
      <c r="E171" s="159" t="s">
        <v>1051</v>
      </c>
      <c r="F171" s="535">
        <v>454390.77</v>
      </c>
      <c r="G171" s="535">
        <v>528889.94999999995</v>
      </c>
      <c r="H171" s="32">
        <f>VLOOKUP(D171,'מאזן בוחן צרפת'!$C:$E,3,0)-F171</f>
        <v>0</v>
      </c>
      <c r="I171" s="32">
        <f>VLOOKUP(D171,'מאזן בוחן צרפת'!$C:$M,11,0)-G171</f>
        <v>0</v>
      </c>
      <c r="K171" s="516"/>
      <c r="L171" s="159"/>
      <c r="M171" s="153"/>
      <c r="N171" s="153"/>
      <c r="O171" s="535"/>
      <c r="P171" s="535"/>
    </row>
    <row r="172" spans="1:16" s="380" customFormat="1">
      <c r="A172" s="153" t="s">
        <v>1277</v>
      </c>
      <c r="B172" s="159" t="s">
        <v>1278</v>
      </c>
      <c r="C172" s="159" t="s">
        <v>1052</v>
      </c>
      <c r="D172" s="587">
        <v>80001</v>
      </c>
      <c r="E172" s="159" t="s">
        <v>2539</v>
      </c>
      <c r="F172" s="535">
        <v>-914376.57</v>
      </c>
      <c r="G172" s="535">
        <v>-1051647.8700000001</v>
      </c>
      <c r="H172" s="32">
        <f>VLOOKUP(D172,'מאזן בוחן צרפת'!$C:$E,3,0)-F172</f>
        <v>0</v>
      </c>
      <c r="I172" s="32">
        <f>VLOOKUP(D172,'מאזן בוחן צרפת'!$C:$M,11,0)-G172</f>
        <v>0</v>
      </c>
      <c r="K172" s="516"/>
      <c r="L172" s="159"/>
      <c r="M172" s="153"/>
      <c r="N172" s="153"/>
      <c r="O172" s="535"/>
      <c r="P172" s="535"/>
    </row>
    <row r="173" spans="1:16" s="380" customFormat="1">
      <c r="A173" s="153" t="s">
        <v>1277</v>
      </c>
      <c r="B173" s="159" t="s">
        <v>1278</v>
      </c>
      <c r="C173" s="159" t="s">
        <v>1057</v>
      </c>
      <c r="D173" s="587">
        <v>80060</v>
      </c>
      <c r="E173" s="159" t="s">
        <v>2535</v>
      </c>
      <c r="F173" s="535">
        <v>-1222008.1000000001</v>
      </c>
      <c r="G173" s="535">
        <v>-1473199.23</v>
      </c>
      <c r="H173" s="32">
        <f>VLOOKUP(D173,'מאזן בוחן צרפת'!$C:$E,3,0)-F173</f>
        <v>0</v>
      </c>
      <c r="I173" s="32">
        <f>VLOOKUP(D173,'מאזן בוחן צרפת'!$C:$M,11,0)-G173</f>
        <v>0</v>
      </c>
      <c r="K173" s="516"/>
      <c r="L173" s="159"/>
      <c r="M173" s="153"/>
      <c r="N173" s="153"/>
      <c r="O173" s="535"/>
      <c r="P173" s="535"/>
    </row>
    <row r="174" spans="1:16" s="380" customFormat="1">
      <c r="A174" s="153" t="s">
        <v>1277</v>
      </c>
      <c r="B174" s="159" t="s">
        <v>1278</v>
      </c>
      <c r="C174" s="159" t="s">
        <v>1057</v>
      </c>
      <c r="D174" s="587">
        <v>80065</v>
      </c>
      <c r="E174" s="159" t="s">
        <v>1591</v>
      </c>
      <c r="F174" s="535">
        <v>-18018.37</v>
      </c>
      <c r="G174" s="535">
        <v>-21869.47</v>
      </c>
      <c r="H174" s="32">
        <f>VLOOKUP(D174,'מאזן בוחן צרפת'!$C:$E,3,0)-F174</f>
        <v>0</v>
      </c>
      <c r="I174" s="32">
        <f>VLOOKUP(D174,'מאזן בוחן צרפת'!$C:$M,11,0)-G174</f>
        <v>0</v>
      </c>
      <c r="K174" s="516"/>
      <c r="L174" s="159"/>
      <c r="M174" s="153"/>
      <c r="N174" s="153"/>
      <c r="O174" s="535"/>
      <c r="P174" s="535"/>
    </row>
    <row r="175" spans="1:16" s="380" customFormat="1">
      <c r="A175" s="153" t="s">
        <v>1277</v>
      </c>
      <c r="B175" s="159" t="s">
        <v>1278</v>
      </c>
      <c r="C175" s="159" t="s">
        <v>1057</v>
      </c>
      <c r="D175" s="587" t="s">
        <v>459</v>
      </c>
      <c r="E175" s="159" t="s">
        <v>3461</v>
      </c>
      <c r="F175" s="535">
        <v>-8533.7800000000007</v>
      </c>
      <c r="G175" s="535">
        <v>-9658.5400000000009</v>
      </c>
      <c r="H175" s="32">
        <f>VLOOKUP(D175,'מאזן בוחן צרפת'!$C:$E,3,0)-F175</f>
        <v>0</v>
      </c>
      <c r="I175" s="32">
        <f>VLOOKUP(D175,'מאזן בוחן צרפת'!$C:$M,11,0)-G175</f>
        <v>0</v>
      </c>
      <c r="K175" s="516"/>
      <c r="L175" s="159"/>
      <c r="M175" s="153"/>
      <c r="N175" s="153"/>
      <c r="O175" s="535"/>
      <c r="P175" s="535"/>
    </row>
    <row r="176" spans="1:16" s="380" customFormat="1">
      <c r="A176" s="153" t="s">
        <v>1277</v>
      </c>
      <c r="B176" s="159" t="s">
        <v>1278</v>
      </c>
      <c r="C176" s="159" t="s">
        <v>1062</v>
      </c>
      <c r="D176" s="587">
        <v>80151</v>
      </c>
      <c r="E176" s="159" t="s">
        <v>1663</v>
      </c>
      <c r="F176" s="535">
        <v>-8005.5</v>
      </c>
      <c r="G176" s="535">
        <v>-9399.92</v>
      </c>
      <c r="H176" s="32">
        <f>VLOOKUP(D176,'מאזן בוחן צרפת'!$C:$E,3,0)-F176</f>
        <v>0</v>
      </c>
      <c r="I176" s="32">
        <f>VLOOKUP(D176,'מאזן בוחן צרפת'!$C:$M,11,0)-G176</f>
        <v>0</v>
      </c>
      <c r="K176" s="516"/>
      <c r="L176" s="159"/>
      <c r="M176" s="153"/>
      <c r="N176" s="153"/>
      <c r="O176" s="535"/>
      <c r="P176" s="535"/>
    </row>
    <row r="177" spans="1:16" s="380" customFormat="1">
      <c r="A177" s="153" t="s">
        <v>1277</v>
      </c>
      <c r="B177" s="159" t="s">
        <v>1278</v>
      </c>
      <c r="C177" s="159" t="s">
        <v>1062</v>
      </c>
      <c r="D177" s="587">
        <v>80153</v>
      </c>
      <c r="E177" s="159" t="s">
        <v>1627</v>
      </c>
      <c r="F177" s="535">
        <v>-44574</v>
      </c>
      <c r="G177" s="535">
        <v>-52304.93</v>
      </c>
      <c r="H177" s="32">
        <f>VLOOKUP(D177,'מאזן בוחן צרפת'!$C:$E,3,0)-F177</f>
        <v>0</v>
      </c>
      <c r="I177" s="32">
        <f>VLOOKUP(D177,'מאזן בוחן צרפת'!$C:$M,11,0)-G177</f>
        <v>0</v>
      </c>
      <c r="K177" s="516"/>
      <c r="L177" s="159"/>
      <c r="M177" s="153"/>
      <c r="N177" s="153"/>
      <c r="O177" s="535"/>
      <c r="P177" s="535"/>
    </row>
    <row r="178" spans="1:16" s="380" customFormat="1">
      <c r="A178" s="153" t="s">
        <v>1277</v>
      </c>
      <c r="B178" s="159" t="s">
        <v>1278</v>
      </c>
      <c r="C178" s="159" t="s">
        <v>1765</v>
      </c>
      <c r="D178" s="587">
        <v>80081</v>
      </c>
      <c r="E178" s="159" t="s">
        <v>2044</v>
      </c>
      <c r="F178" s="535">
        <v>-9323.82</v>
      </c>
      <c r="G178" s="535">
        <v>-10959.68</v>
      </c>
      <c r="H178" s="32">
        <f>VLOOKUP(D178,'מאזן בוחן צרפת'!$C:$E,3,0)-F178</f>
        <v>0</v>
      </c>
      <c r="I178" s="32">
        <f>VLOOKUP(D178,'מאזן בוחן צרפת'!$C:$M,11,0)-G178</f>
        <v>0</v>
      </c>
      <c r="K178" s="516"/>
      <c r="L178" s="159"/>
      <c r="M178" s="153"/>
      <c r="N178" s="153"/>
      <c r="O178" s="153"/>
      <c r="P178" s="153"/>
    </row>
    <row r="179" spans="1:16" s="380" customFormat="1">
      <c r="A179" s="153" t="s">
        <v>1277</v>
      </c>
      <c r="B179" s="159" t="s">
        <v>1278</v>
      </c>
      <c r="C179" s="159" t="s">
        <v>1766</v>
      </c>
      <c r="D179" s="587">
        <v>80071</v>
      </c>
      <c r="E179" s="159" t="s">
        <v>2123</v>
      </c>
      <c r="F179" s="535">
        <v>-181936.1</v>
      </c>
      <c r="G179" s="535">
        <v>-207711.4</v>
      </c>
      <c r="H179" s="32">
        <f>VLOOKUP(D179,'מאזן בוחן צרפת'!$C:$E,3,0)-F179</f>
        <v>0</v>
      </c>
      <c r="I179" s="32">
        <f>VLOOKUP(D179,'מאזן בוחן צרפת'!$C:$M,11,0)-G179</f>
        <v>0</v>
      </c>
      <c r="K179" s="32"/>
      <c r="L179" s="159"/>
      <c r="M179" s="153"/>
      <c r="N179" s="153"/>
      <c r="O179" s="535"/>
      <c r="P179" s="535"/>
    </row>
    <row r="180" spans="1:16" s="380" customFormat="1">
      <c r="A180" s="153" t="s">
        <v>1281</v>
      </c>
      <c r="B180" s="159" t="s">
        <v>1282</v>
      </c>
      <c r="C180" s="159" t="s">
        <v>1066</v>
      </c>
      <c r="D180" s="587">
        <v>5100012</v>
      </c>
      <c r="E180" s="159" t="s">
        <v>3523</v>
      </c>
      <c r="F180" s="535">
        <v>1583.57</v>
      </c>
      <c r="G180" s="535">
        <v>1832.63</v>
      </c>
      <c r="H180" s="32">
        <f>VLOOKUP(D180,'מאזן בוחן צרפת'!$C:$E,3,0)-F180</f>
        <v>0</v>
      </c>
      <c r="I180" s="32">
        <f>VLOOKUP(D180,'מאזן בוחן צרפת'!$C:$M,11,0)-G180</f>
        <v>0</v>
      </c>
      <c r="K180" s="32"/>
      <c r="L180" s="159"/>
      <c r="M180" s="153"/>
      <c r="N180" s="153"/>
      <c r="O180" s="535"/>
      <c r="P180" s="535"/>
    </row>
    <row r="181" spans="1:16" s="380" customFormat="1">
      <c r="A181" s="153" t="s">
        <v>1281</v>
      </c>
      <c r="B181" s="159" t="s">
        <v>1283</v>
      </c>
      <c r="C181" s="159" t="s">
        <v>1070</v>
      </c>
      <c r="D181" s="587">
        <v>5200001</v>
      </c>
      <c r="E181" s="159" t="s">
        <v>1637</v>
      </c>
      <c r="F181" s="153">
        <v>435716.11</v>
      </c>
      <c r="G181" s="153">
        <v>517091.74</v>
      </c>
      <c r="H181" s="32">
        <f>VLOOKUP(D181,'מאזן בוחן צרפת'!$C:$E,3,0)-F181</f>
        <v>0</v>
      </c>
      <c r="I181" s="32">
        <f>VLOOKUP(D181,'מאזן בוחן צרפת'!$C:$M,11,0)-G181</f>
        <v>0</v>
      </c>
      <c r="K181" s="32"/>
      <c r="L181" s="159"/>
      <c r="M181" s="153"/>
      <c r="N181" s="153"/>
      <c r="O181" s="535"/>
      <c r="P181" s="535"/>
    </row>
    <row r="182" spans="1:16" s="380" customFormat="1">
      <c r="A182" s="153" t="s">
        <v>1281</v>
      </c>
      <c r="B182" s="159" t="s">
        <v>1283</v>
      </c>
      <c r="C182" s="159" t="s">
        <v>1070</v>
      </c>
      <c r="D182" s="587">
        <v>5200002</v>
      </c>
      <c r="E182" s="159" t="s">
        <v>1736</v>
      </c>
      <c r="F182" s="153">
        <v>9839.94</v>
      </c>
      <c r="G182" s="153">
        <v>11411.09</v>
      </c>
      <c r="H182" s="32">
        <f>VLOOKUP(D182,'מאזן בוחן צרפת'!$C:$E,3,0)-F182</f>
        <v>0</v>
      </c>
      <c r="I182" s="32">
        <f>VLOOKUP(D182,'מאזן בוחן צרפת'!$C:$M,11,0)-G182</f>
        <v>0</v>
      </c>
      <c r="K182" s="32"/>
      <c r="L182" s="159"/>
      <c r="M182" s="153"/>
      <c r="N182" s="153"/>
      <c r="O182" s="535"/>
      <c r="P182" s="535"/>
    </row>
    <row r="183" spans="1:16" s="380" customFormat="1">
      <c r="A183" s="153" t="s">
        <v>1281</v>
      </c>
      <c r="B183" s="159" t="s">
        <v>1283</v>
      </c>
      <c r="C183" s="159" t="s">
        <v>1070</v>
      </c>
      <c r="D183" s="587">
        <v>5200003</v>
      </c>
      <c r="E183" s="159" t="s">
        <v>1734</v>
      </c>
      <c r="F183" s="153">
        <v>9063</v>
      </c>
      <c r="G183" s="153">
        <v>10257.51</v>
      </c>
      <c r="H183" s="32">
        <f>VLOOKUP(D183,'מאזן בוחן צרפת'!$C:$E,3,0)-F183</f>
        <v>0</v>
      </c>
      <c r="I183" s="32">
        <f>VLOOKUP(D183,'מאזן בוחן צרפת'!$C:$M,11,0)-G183</f>
        <v>0</v>
      </c>
      <c r="K183" s="32"/>
      <c r="L183" s="159"/>
      <c r="M183" s="153"/>
      <c r="N183" s="153"/>
      <c r="O183" s="535"/>
      <c r="P183" s="535"/>
    </row>
    <row r="184" spans="1:16" s="380" customFormat="1">
      <c r="A184" s="153" t="s">
        <v>1281</v>
      </c>
      <c r="B184" s="159" t="s">
        <v>1283</v>
      </c>
      <c r="C184" s="159" t="s">
        <v>1070</v>
      </c>
      <c r="D184" s="587">
        <v>5200011</v>
      </c>
      <c r="E184" s="159" t="s">
        <v>3317</v>
      </c>
      <c r="F184" s="535">
        <v>-42117.53</v>
      </c>
      <c r="G184" s="535">
        <v>-55270.87</v>
      </c>
      <c r="H184" s="32">
        <f>VLOOKUP(D184,'מאזן בוחן צרפת'!$C:$E,3,0)-F184</f>
        <v>0</v>
      </c>
      <c r="I184" s="32">
        <f>VLOOKUP(D184,'מאזן בוחן צרפת'!$C:$M,11,0)-G184</f>
        <v>0</v>
      </c>
      <c r="K184" s="32"/>
      <c r="L184" s="159"/>
      <c r="M184" s="153"/>
      <c r="N184" s="153"/>
      <c r="O184" s="535"/>
      <c r="P184" s="535"/>
    </row>
    <row r="185" spans="1:16" s="380" customFormat="1">
      <c r="A185" s="153" t="s">
        <v>1281</v>
      </c>
      <c r="B185" s="159" t="s">
        <v>1283</v>
      </c>
      <c r="C185" s="159" t="s">
        <v>1070</v>
      </c>
      <c r="D185" s="587">
        <v>5200014</v>
      </c>
      <c r="E185" s="159" t="s">
        <v>3941</v>
      </c>
      <c r="F185" s="535">
        <v>2068.16</v>
      </c>
      <c r="G185" s="535">
        <v>2462.2199999999998</v>
      </c>
      <c r="H185" s="32">
        <f>VLOOKUP(D185,'מאזן בוחן צרפת'!$C:$E,3,0)-F185</f>
        <v>0</v>
      </c>
      <c r="I185" s="32">
        <f>VLOOKUP(D185,'מאזן בוחן צרפת'!$C:$M,11,0)-G185</f>
        <v>0</v>
      </c>
      <c r="K185" s="32"/>
      <c r="L185" s="159"/>
      <c r="M185" s="153"/>
      <c r="N185" s="153"/>
      <c r="O185" s="535"/>
      <c r="P185" s="535"/>
    </row>
    <row r="186" spans="1:16" s="380" customFormat="1">
      <c r="A186" s="153" t="s">
        <v>1281</v>
      </c>
      <c r="B186" s="159" t="s">
        <v>1283</v>
      </c>
      <c r="C186" s="159" t="s">
        <v>1082</v>
      </c>
      <c r="D186" s="587">
        <v>5200029</v>
      </c>
      <c r="E186" s="159" t="s">
        <v>2249</v>
      </c>
      <c r="F186" s="153">
        <v>4158.13</v>
      </c>
      <c r="G186" s="535">
        <v>4842.5600000000004</v>
      </c>
      <c r="H186" s="32">
        <f>VLOOKUP(D186,'מאזן בוחן צרפת'!$C:$E,3,0)-F186</f>
        <v>0</v>
      </c>
      <c r="I186" s="32">
        <f>VLOOKUP(D186,'מאזן בוחן צרפת'!$C:$M,11,0)-G186</f>
        <v>0</v>
      </c>
      <c r="K186" s="32"/>
      <c r="L186" s="159"/>
      <c r="M186" s="153"/>
      <c r="N186" s="153"/>
      <c r="O186" s="535"/>
      <c r="P186" s="535"/>
    </row>
    <row r="187" spans="1:16" s="380" customFormat="1">
      <c r="A187" s="153" t="s">
        <v>1281</v>
      </c>
      <c r="B187" s="159" t="s">
        <v>1834</v>
      </c>
      <c r="C187" s="159" t="s">
        <v>1098</v>
      </c>
      <c r="D187" s="587">
        <v>5900001</v>
      </c>
      <c r="E187" s="159" t="s">
        <v>1099</v>
      </c>
      <c r="F187" s="535">
        <v>743197.79</v>
      </c>
      <c r="G187" s="535">
        <v>899576.43</v>
      </c>
      <c r="H187" s="32">
        <f>VLOOKUP(D187,'מאזן בוחן צרפת'!$C:$E,3,0)-F187</f>
        <v>0</v>
      </c>
      <c r="I187" s="32">
        <f>VLOOKUP(D187,'מאזן בוחן צרפת'!$C:$M,11,0)-G187</f>
        <v>0</v>
      </c>
      <c r="K187" s="32"/>
      <c r="L187" s="159"/>
      <c r="M187" s="153"/>
      <c r="N187" s="153"/>
      <c r="O187" s="535"/>
      <c r="P187" s="535"/>
    </row>
    <row r="188" spans="1:16" s="380" customFormat="1">
      <c r="A188" s="153" t="s">
        <v>1288</v>
      </c>
      <c r="B188" s="159" t="s">
        <v>1289</v>
      </c>
      <c r="C188" s="159" t="s">
        <v>558</v>
      </c>
      <c r="D188" s="587">
        <v>7020037</v>
      </c>
      <c r="E188" s="159" t="s">
        <v>739</v>
      </c>
      <c r="F188" s="535">
        <v>17166.25</v>
      </c>
      <c r="G188" s="535">
        <v>20236.240000000002</v>
      </c>
      <c r="H188" s="32">
        <f>VLOOKUP(D188,'מאזן בוחן צרפת'!$C:$E,3,0)-F188</f>
        <v>0</v>
      </c>
      <c r="I188" s="32">
        <f>VLOOKUP(D188,'מאזן בוחן צרפת'!$C:$M,11,0)-G188</f>
        <v>0</v>
      </c>
      <c r="K188" s="32"/>
      <c r="L188" s="159"/>
      <c r="M188" s="153"/>
      <c r="N188" s="153"/>
      <c r="O188" s="535"/>
      <c r="P188" s="535"/>
    </row>
    <row r="189" spans="1:16" s="380" customFormat="1">
      <c r="A189" s="153" t="s">
        <v>1288</v>
      </c>
      <c r="B189" s="159" t="s">
        <v>1289</v>
      </c>
      <c r="C189" s="159" t="s">
        <v>558</v>
      </c>
      <c r="D189" s="587">
        <v>7020038</v>
      </c>
      <c r="E189" s="159" t="s">
        <v>2163</v>
      </c>
      <c r="F189" s="535">
        <v>12000</v>
      </c>
      <c r="G189" s="535">
        <v>13702.46</v>
      </c>
      <c r="H189" s="32">
        <f>VLOOKUP(D189,'מאזן בוחן צרפת'!$C:$E,3,0)-F189</f>
        <v>0</v>
      </c>
      <c r="I189" s="32">
        <f>VLOOKUP(D189,'מאזן בוחן צרפת'!$C:$M,11,0)-G189</f>
        <v>0</v>
      </c>
      <c r="K189" s="32"/>
      <c r="L189" s="159"/>
      <c r="M189" s="153"/>
      <c r="N189" s="153"/>
      <c r="O189" s="535"/>
      <c r="P189" s="535"/>
    </row>
    <row r="190" spans="1:16" s="380" customFormat="1">
      <c r="A190" s="153" t="s">
        <v>1288</v>
      </c>
      <c r="B190" s="159" t="s">
        <v>1291</v>
      </c>
      <c r="C190" s="159" t="s">
        <v>1137</v>
      </c>
      <c r="D190" s="587">
        <v>7110001</v>
      </c>
      <c r="E190" s="159" t="s">
        <v>2536</v>
      </c>
      <c r="F190" s="535">
        <v>230299.74</v>
      </c>
      <c r="G190" s="535">
        <v>271183.40999999997</v>
      </c>
      <c r="H190" s="32">
        <f>VLOOKUP(D190,'מאזן בוחן צרפת'!$C:$E,3,0)-F190</f>
        <v>0</v>
      </c>
      <c r="I190" s="32">
        <f>VLOOKUP(D190,'מאזן בוחן צרפת'!$C:$M,11,0)-G190</f>
        <v>0</v>
      </c>
      <c r="K190" s="32"/>
      <c r="L190" s="159"/>
      <c r="M190" s="153"/>
      <c r="N190" s="153"/>
      <c r="O190" s="535"/>
      <c r="P190" s="535"/>
    </row>
    <row r="191" spans="1:16" s="380" customFormat="1">
      <c r="A191" s="153" t="s">
        <v>1288</v>
      </c>
      <c r="B191" s="159" t="s">
        <v>1291</v>
      </c>
      <c r="C191" s="159" t="s">
        <v>1137</v>
      </c>
      <c r="D191" s="587">
        <v>7110002</v>
      </c>
      <c r="E191" s="159" t="s">
        <v>2757</v>
      </c>
      <c r="F191" s="535">
        <v>12895.1</v>
      </c>
      <c r="G191" s="535">
        <v>14594.69</v>
      </c>
      <c r="H191" s="32">
        <f>VLOOKUP(D191,'מאזן בוחן צרפת'!$C:$E,3,0)-F191</f>
        <v>0</v>
      </c>
      <c r="I191" s="32">
        <f>VLOOKUP(D191,'מאזן בוחן צרפת'!$C:$M,11,0)-G191</f>
        <v>0</v>
      </c>
      <c r="K191" s="32"/>
      <c r="L191" s="159"/>
      <c r="M191" s="153"/>
      <c r="N191" s="153"/>
      <c r="O191" s="535"/>
      <c r="P191" s="535"/>
    </row>
    <row r="192" spans="1:16" s="380" customFormat="1">
      <c r="A192" s="153" t="s">
        <v>1288</v>
      </c>
      <c r="B192" s="159" t="s">
        <v>1291</v>
      </c>
      <c r="C192" s="159" t="s">
        <v>1137</v>
      </c>
      <c r="D192" s="587">
        <v>7110003</v>
      </c>
      <c r="E192" s="159" t="s">
        <v>3310</v>
      </c>
      <c r="F192" s="535">
        <v>53113.81</v>
      </c>
      <c r="G192" s="535">
        <v>54660.34</v>
      </c>
      <c r="H192" s="32">
        <f>VLOOKUP(D192,'מאזן בוחן צרפת'!$C:$E,3,0)-F192</f>
        <v>0</v>
      </c>
      <c r="I192" s="32">
        <f>VLOOKUP(D192,'מאזן בוחן צרפת'!$C:$M,11,0)-G192</f>
        <v>0</v>
      </c>
      <c r="K192" s="32"/>
      <c r="L192" s="159"/>
      <c r="M192" s="153"/>
      <c r="N192" s="153"/>
      <c r="O192" s="535"/>
      <c r="P192" s="535"/>
    </row>
    <row r="193" spans="1:16" s="380" customFormat="1">
      <c r="A193" s="153" t="s">
        <v>1288</v>
      </c>
      <c r="B193" s="159" t="s">
        <v>1291</v>
      </c>
      <c r="C193" s="159" t="s">
        <v>1137</v>
      </c>
      <c r="D193" s="587">
        <v>7110004</v>
      </c>
      <c r="E193" s="159" t="s">
        <v>2537</v>
      </c>
      <c r="F193" s="153">
        <v>105326</v>
      </c>
      <c r="G193" s="153">
        <v>126046.9</v>
      </c>
      <c r="H193" s="32">
        <f>VLOOKUP(D193,'מאזן בוחן צרפת'!$C:$E,3,0)-F193</f>
        <v>0</v>
      </c>
      <c r="I193" s="32">
        <f>VLOOKUP(D193,'מאזן בוחן צרפת'!$C:$M,11,0)-G193</f>
        <v>0</v>
      </c>
      <c r="K193" s="32"/>
      <c r="L193" s="159"/>
      <c r="M193" s="153"/>
      <c r="N193" s="153"/>
      <c r="O193" s="535"/>
      <c r="P193" s="535"/>
    </row>
    <row r="194" spans="1:16" s="380" customFormat="1">
      <c r="A194" s="153" t="s">
        <v>1288</v>
      </c>
      <c r="B194" s="159" t="s">
        <v>1291</v>
      </c>
      <c r="C194" s="159" t="s">
        <v>1137</v>
      </c>
      <c r="D194" s="587">
        <v>7110006</v>
      </c>
      <c r="E194" s="159" t="s">
        <v>1242</v>
      </c>
      <c r="F194" s="535">
        <v>19020.93</v>
      </c>
      <c r="G194" s="535">
        <v>22105.83</v>
      </c>
      <c r="H194" s="32">
        <f>VLOOKUP(D194,'מאזן בוחן צרפת'!$C:$E,3,0)-F194</f>
        <v>0</v>
      </c>
      <c r="I194" s="32">
        <f>VLOOKUP(D194,'מאזן בוחן צרפת'!$C:$M,11,0)-G194</f>
        <v>0</v>
      </c>
      <c r="K194" s="32"/>
      <c r="L194" s="159"/>
      <c r="M194" s="153"/>
      <c r="N194" s="153"/>
      <c r="O194" s="535"/>
      <c r="P194" s="535"/>
    </row>
    <row r="195" spans="1:16" s="380" customFormat="1">
      <c r="A195" s="153" t="s">
        <v>1288</v>
      </c>
      <c r="B195" s="159" t="s">
        <v>1291</v>
      </c>
      <c r="C195" s="159" t="s">
        <v>1137</v>
      </c>
      <c r="D195" s="587">
        <v>7110007</v>
      </c>
      <c r="E195" s="159" t="s">
        <v>2252</v>
      </c>
      <c r="F195" s="535">
        <v>280097.52</v>
      </c>
      <c r="G195" s="535">
        <v>331325.51</v>
      </c>
      <c r="H195" s="32">
        <f>VLOOKUP(D195,'מאזן בוחן צרפת'!$C:$E,3,0)-F195</f>
        <v>0</v>
      </c>
      <c r="I195" s="32">
        <f>VLOOKUP(D195,'מאזן בוחן צרפת'!$C:$M,11,0)-G195</f>
        <v>0</v>
      </c>
      <c r="K195" s="32"/>
      <c r="L195" s="159"/>
      <c r="M195" s="153"/>
      <c r="N195" s="153"/>
      <c r="O195" s="535"/>
      <c r="P195" s="535"/>
    </row>
    <row r="196" spans="1:16" s="380" customFormat="1">
      <c r="A196" s="153" t="s">
        <v>1288</v>
      </c>
      <c r="B196" s="159" t="s">
        <v>1291</v>
      </c>
      <c r="C196" s="159" t="s">
        <v>1137</v>
      </c>
      <c r="D196" s="587">
        <v>7110008</v>
      </c>
      <c r="E196" s="159" t="s">
        <v>3524</v>
      </c>
      <c r="F196" s="535">
        <v>11978.68</v>
      </c>
      <c r="G196" s="535">
        <v>13557.48</v>
      </c>
      <c r="H196" s="32">
        <f>VLOOKUP(D196,'מאזן בוחן צרפת'!$C:$E,3,0)-F196</f>
        <v>0</v>
      </c>
      <c r="I196" s="32">
        <f>VLOOKUP(D196,'מאזן בוחן צרפת'!$C:$M,11,0)-G196</f>
        <v>0</v>
      </c>
      <c r="K196" s="32"/>
      <c r="L196" s="159"/>
      <c r="M196" s="153"/>
      <c r="N196" s="153"/>
      <c r="O196" s="535"/>
      <c r="P196" s="535"/>
    </row>
    <row r="197" spans="1:16" s="380" customFormat="1">
      <c r="A197" s="153" t="s">
        <v>1288</v>
      </c>
      <c r="B197" s="159" t="s">
        <v>1291</v>
      </c>
      <c r="C197" s="159" t="s">
        <v>1137</v>
      </c>
      <c r="D197" s="587">
        <v>7110009</v>
      </c>
      <c r="E197" s="159" t="s">
        <v>2253</v>
      </c>
      <c r="F197" s="153">
        <v>80757</v>
      </c>
      <c r="G197" s="153">
        <v>94052.62</v>
      </c>
      <c r="H197" s="32">
        <f>VLOOKUP(D197,'מאזן בוחן צרפת'!$C:$E,3,0)-F197</f>
        <v>0</v>
      </c>
      <c r="I197" s="32">
        <f>VLOOKUP(D197,'מאזן בוחן צרפת'!$C:$M,11,0)-G197</f>
        <v>0</v>
      </c>
      <c r="K197" s="32"/>
      <c r="L197" s="159"/>
      <c r="M197" s="153"/>
      <c r="N197" s="153"/>
      <c r="O197" s="535"/>
      <c r="P197" s="535"/>
    </row>
    <row r="198" spans="1:16" s="380" customFormat="1">
      <c r="A198" s="153" t="s">
        <v>1288</v>
      </c>
      <c r="B198" s="159" t="s">
        <v>1291</v>
      </c>
      <c r="C198" s="159" t="s">
        <v>1137</v>
      </c>
      <c r="D198" s="587">
        <v>7110010</v>
      </c>
      <c r="E198" s="159" t="s">
        <v>3311</v>
      </c>
      <c r="F198" s="535">
        <v>10087.9</v>
      </c>
      <c r="G198" s="535">
        <v>11417.78</v>
      </c>
      <c r="H198" s="32">
        <f>VLOOKUP(D198,'מאזן בוחן צרפת'!$C:$E,3,0)-F198</f>
        <v>0</v>
      </c>
      <c r="I198" s="32">
        <f>VLOOKUP(D198,'מאזן בוחן צרפת'!$C:$M,11,0)-G198</f>
        <v>0</v>
      </c>
      <c r="K198" s="32"/>
      <c r="L198" s="159"/>
      <c r="M198" s="153"/>
      <c r="N198" s="153"/>
      <c r="O198" s="535"/>
      <c r="P198" s="535"/>
    </row>
    <row r="199" spans="1:16" s="380" customFormat="1">
      <c r="A199" s="153" t="s">
        <v>1288</v>
      </c>
      <c r="B199" s="159" t="s">
        <v>1291</v>
      </c>
      <c r="C199" s="159" t="s">
        <v>1137</v>
      </c>
      <c r="D199" s="587">
        <v>7110017</v>
      </c>
      <c r="E199" s="159" t="s">
        <v>3312</v>
      </c>
      <c r="F199" s="535">
        <v>37745.82</v>
      </c>
      <c r="G199" s="535">
        <v>38014.81</v>
      </c>
      <c r="H199" s="32">
        <f>VLOOKUP(D199,'מאזן בוחן צרפת'!$C:$E,3,0)-F199</f>
        <v>0</v>
      </c>
      <c r="I199" s="32">
        <f>VLOOKUP(D199,'מאזן בוחן צרפת'!$C:$M,11,0)-G199</f>
        <v>0</v>
      </c>
      <c r="K199" s="32"/>
      <c r="L199" s="159"/>
      <c r="M199" s="153"/>
      <c r="N199" s="153"/>
      <c r="O199" s="535"/>
      <c r="P199" s="535"/>
    </row>
    <row r="200" spans="1:16" s="380" customFormat="1">
      <c r="A200" s="153" t="s">
        <v>1288</v>
      </c>
      <c r="B200" s="159" t="s">
        <v>1291</v>
      </c>
      <c r="C200" s="159" t="s">
        <v>1137</v>
      </c>
      <c r="D200" s="587">
        <v>7110021</v>
      </c>
      <c r="E200" s="159" t="s">
        <v>3313</v>
      </c>
      <c r="F200" s="153">
        <v>48745.96</v>
      </c>
      <c r="G200" s="153">
        <v>51409.64</v>
      </c>
      <c r="H200" s="32">
        <f>VLOOKUP(D200,'מאזן בוחן צרפת'!$C:$E,3,0)-F200</f>
        <v>0</v>
      </c>
      <c r="I200" s="32">
        <f>VLOOKUP(D200,'מאזן בוחן צרפת'!$C:$M,11,0)-G200</f>
        <v>0</v>
      </c>
      <c r="K200" s="32"/>
      <c r="L200" s="159"/>
      <c r="M200" s="153"/>
      <c r="N200" s="153"/>
      <c r="O200" s="535"/>
      <c r="P200" s="535"/>
    </row>
    <row r="201" spans="1:16" s="380" customFormat="1">
      <c r="A201" s="153" t="s">
        <v>1288</v>
      </c>
      <c r="B201" s="159" t="s">
        <v>1291</v>
      </c>
      <c r="C201" s="159" t="s">
        <v>1137</v>
      </c>
      <c r="D201" s="587">
        <v>7110100</v>
      </c>
      <c r="E201" s="159" t="s">
        <v>3942</v>
      </c>
      <c r="F201" s="153">
        <v>1940.58</v>
      </c>
      <c r="G201" s="153">
        <v>2310.33</v>
      </c>
      <c r="H201" s="32">
        <f>VLOOKUP(D201,'מאזן בוחן צרפת'!$C:$E,3,0)-F201</f>
        <v>0</v>
      </c>
      <c r="I201" s="32">
        <f>VLOOKUP(D201,'מאזן בוחן צרפת'!$C:$M,11,0)-G201</f>
        <v>0</v>
      </c>
      <c r="K201" s="32"/>
      <c r="L201" s="159"/>
      <c r="M201" s="153"/>
      <c r="N201" s="153"/>
      <c r="O201" s="535"/>
      <c r="P201" s="535"/>
    </row>
    <row r="202" spans="1:16" s="380" customFormat="1">
      <c r="A202" s="153" t="s">
        <v>1288</v>
      </c>
      <c r="B202" s="159" t="s">
        <v>1291</v>
      </c>
      <c r="C202" s="159" t="s">
        <v>1137</v>
      </c>
      <c r="D202" s="587">
        <v>7110107</v>
      </c>
      <c r="E202" s="159" t="s">
        <v>3943</v>
      </c>
      <c r="F202" s="535">
        <v>2287.9299999999998</v>
      </c>
      <c r="G202" s="535">
        <v>2723.86</v>
      </c>
      <c r="H202" s="32">
        <f>VLOOKUP(D202,'מאזן בוחן צרפת'!$C:$E,3,0)-F202</f>
        <v>0</v>
      </c>
      <c r="I202" s="32">
        <f>VLOOKUP(D202,'מאזן בוחן צרפת'!$C:$M,11,0)-G202</f>
        <v>0</v>
      </c>
      <c r="K202" s="32"/>
      <c r="L202" s="159"/>
      <c r="M202" s="153"/>
      <c r="N202" s="153"/>
      <c r="O202" s="535"/>
      <c r="P202" s="535"/>
    </row>
    <row r="203" spans="1:16" s="380" customFormat="1">
      <c r="A203" s="153" t="s">
        <v>1288</v>
      </c>
      <c r="B203" s="159" t="s">
        <v>1291</v>
      </c>
      <c r="C203" s="159" t="s">
        <v>563</v>
      </c>
      <c r="D203" s="587">
        <v>7120020</v>
      </c>
      <c r="E203" s="159" t="s">
        <v>2278</v>
      </c>
      <c r="F203" s="535">
        <v>7309.3</v>
      </c>
      <c r="G203" s="535">
        <v>8272.67</v>
      </c>
      <c r="H203" s="32">
        <f>VLOOKUP(D203,'מאזן בוחן צרפת'!$C:$E,3,0)-F203</f>
        <v>0</v>
      </c>
      <c r="I203" s="32">
        <f>VLOOKUP(D203,'מאזן בוחן צרפת'!$C:$M,11,0)-G203</f>
        <v>0</v>
      </c>
      <c r="K203" s="32"/>
      <c r="L203" s="159"/>
      <c r="M203" s="153"/>
      <c r="N203" s="153"/>
      <c r="O203" s="535"/>
      <c r="P203" s="535"/>
    </row>
    <row r="204" spans="1:16" s="380" customFormat="1">
      <c r="A204" s="153" t="s">
        <v>1288</v>
      </c>
      <c r="B204" s="159" t="s">
        <v>1291</v>
      </c>
      <c r="C204" s="159" t="s">
        <v>563</v>
      </c>
      <c r="D204" s="587">
        <v>7120026</v>
      </c>
      <c r="E204" s="159" t="s">
        <v>2538</v>
      </c>
      <c r="F204" s="153">
        <v>5119.25</v>
      </c>
      <c r="G204" s="153">
        <v>5991.26</v>
      </c>
      <c r="H204" s="32">
        <f>VLOOKUP(D204,'מאזן בוחן צרפת'!$C:$E,3,0)-F204</f>
        <v>0</v>
      </c>
      <c r="I204" s="32">
        <f>VLOOKUP(D204,'מאזן בוחן צרפת'!$C:$M,11,0)-G204</f>
        <v>0</v>
      </c>
      <c r="K204" s="516"/>
      <c r="L204" s="159"/>
      <c r="M204" s="153"/>
      <c r="N204" s="153"/>
      <c r="O204" s="153"/>
      <c r="P204" s="535"/>
    </row>
    <row r="205" spans="1:16" s="380" customFormat="1">
      <c r="A205" s="153" t="s">
        <v>1288</v>
      </c>
      <c r="B205" s="159" t="s">
        <v>1291</v>
      </c>
      <c r="C205" s="159" t="s">
        <v>1156</v>
      </c>
      <c r="D205" s="587">
        <v>7140001</v>
      </c>
      <c r="E205" s="159" t="s">
        <v>1157</v>
      </c>
      <c r="F205" s="153">
        <v>180436.42</v>
      </c>
      <c r="G205" s="153">
        <v>214266.74</v>
      </c>
      <c r="H205" s="32">
        <f>VLOOKUP(D205,'מאזן בוחן צרפת'!$C:$E,3,0)-F205</f>
        <v>0</v>
      </c>
      <c r="I205" s="32">
        <f>VLOOKUP(D205,'מאזן בוחן צרפת'!$C:$M,11,0)-G205</f>
        <v>0</v>
      </c>
      <c r="K205" s="516"/>
      <c r="L205" s="159"/>
      <c r="M205" s="153"/>
      <c r="N205" s="153"/>
      <c r="O205" s="535"/>
      <c r="P205" s="535"/>
    </row>
    <row r="206" spans="1:16" s="380" customFormat="1">
      <c r="A206" s="153" t="s">
        <v>1288</v>
      </c>
      <c r="B206" s="159" t="s">
        <v>1291</v>
      </c>
      <c r="C206" s="159" t="s">
        <v>1156</v>
      </c>
      <c r="D206" s="587">
        <v>7140002</v>
      </c>
      <c r="E206" s="159" t="s">
        <v>1158</v>
      </c>
      <c r="F206" s="535">
        <v>1820.08</v>
      </c>
      <c r="G206" s="535">
        <v>2059.9699999999998</v>
      </c>
      <c r="H206" s="32">
        <f>VLOOKUP(D206,'מאזן בוחן צרפת'!$C:$E,3,0)-F206</f>
        <v>0</v>
      </c>
      <c r="I206" s="32">
        <f>VLOOKUP(D206,'מאזן בוחן צרפת'!$C:$M,11,0)-G206</f>
        <v>0</v>
      </c>
      <c r="K206" s="516"/>
      <c r="L206" s="159"/>
      <c r="M206" s="153"/>
      <c r="N206" s="153"/>
      <c r="O206" s="153"/>
      <c r="P206" s="535"/>
    </row>
    <row r="207" spans="1:16" s="380" customFormat="1">
      <c r="A207" s="153" t="s">
        <v>1288</v>
      </c>
      <c r="B207" s="159" t="s">
        <v>1291</v>
      </c>
      <c r="C207" s="159" t="s">
        <v>1156</v>
      </c>
      <c r="D207" s="587">
        <v>7140003</v>
      </c>
      <c r="E207" s="159" t="s">
        <v>915</v>
      </c>
      <c r="F207" s="535">
        <v>0</v>
      </c>
      <c r="G207" s="535">
        <v>-18.66</v>
      </c>
      <c r="H207" s="32">
        <f>VLOOKUP(D207,'מאזן בוחן צרפת'!$C:$E,3,0)-F207</f>
        <v>0</v>
      </c>
      <c r="I207" s="32">
        <f>VLOOKUP(D207,'מאזן בוחן צרפת'!$C:$M,11,0)-G207</f>
        <v>0</v>
      </c>
      <c r="K207" s="516"/>
      <c r="L207" s="159"/>
      <c r="M207" s="153"/>
      <c r="N207" s="153"/>
      <c r="O207" s="153"/>
      <c r="P207" s="153"/>
    </row>
    <row r="208" spans="1:16" s="380" customFormat="1">
      <c r="A208" s="153" t="s">
        <v>1288</v>
      </c>
      <c r="B208" s="159" t="s">
        <v>1291</v>
      </c>
      <c r="C208" s="159" t="s">
        <v>1156</v>
      </c>
      <c r="D208" s="587">
        <v>7140004</v>
      </c>
      <c r="E208" s="159" t="s">
        <v>2255</v>
      </c>
      <c r="F208" s="535">
        <v>62018</v>
      </c>
      <c r="G208" s="535">
        <v>74202.95</v>
      </c>
      <c r="H208" s="32">
        <f>VLOOKUP(D208,'מאזן בוחן צרפת'!$C:$E,3,0)-F208</f>
        <v>0</v>
      </c>
      <c r="I208" s="32">
        <f>VLOOKUP(D208,'מאזן בוחן צרפת'!$C:$M,11,0)-G208</f>
        <v>0</v>
      </c>
      <c r="K208" s="516"/>
      <c r="L208" s="159"/>
      <c r="M208" s="153"/>
      <c r="N208" s="153"/>
      <c r="O208" s="153"/>
      <c r="P208" s="535"/>
    </row>
    <row r="209" spans="1:16" s="380" customFormat="1">
      <c r="A209" s="153" t="s">
        <v>1288</v>
      </c>
      <c r="B209" s="159" t="s">
        <v>1291</v>
      </c>
      <c r="C209" s="159" t="s">
        <v>1156</v>
      </c>
      <c r="D209" s="587">
        <v>7140011</v>
      </c>
      <c r="E209" s="159" t="s">
        <v>3314</v>
      </c>
      <c r="F209" s="535">
        <v>-11746.5</v>
      </c>
      <c r="G209" s="535">
        <v>-15875.03</v>
      </c>
      <c r="H209" s="32">
        <f>VLOOKUP(D209,'מאזן בוחן צרפת'!$C:$E,3,0)-F209</f>
        <v>0</v>
      </c>
      <c r="I209" s="32">
        <f>VLOOKUP(D209,'מאזן בוחן צרפת'!$C:$M,11,0)-G209</f>
        <v>0</v>
      </c>
      <c r="K209" s="516"/>
      <c r="L209" s="159"/>
      <c r="M209" s="153"/>
      <c r="N209" s="153"/>
      <c r="O209" s="535"/>
      <c r="P209" s="535"/>
    </row>
    <row r="210" spans="1:16" s="380" customFormat="1">
      <c r="A210" s="153" t="s">
        <v>1288</v>
      </c>
      <c r="B210" s="159" t="s">
        <v>1291</v>
      </c>
      <c r="C210" s="159" t="s">
        <v>1156</v>
      </c>
      <c r="D210" s="587">
        <v>7140018</v>
      </c>
      <c r="E210" s="159" t="s">
        <v>3944</v>
      </c>
      <c r="F210" s="535">
        <v>1616.17</v>
      </c>
      <c r="G210" s="535">
        <v>1924.11</v>
      </c>
      <c r="H210" s="32">
        <f>VLOOKUP(D210,'מאזן בוחן צרפת'!$C:$E,3,0)-F210</f>
        <v>0</v>
      </c>
      <c r="I210" s="32">
        <f>VLOOKUP(D210,'מאזן בוחן צרפת'!$C:$M,11,0)-G210</f>
        <v>0</v>
      </c>
      <c r="K210" s="516"/>
      <c r="L210" s="159"/>
      <c r="M210" s="153"/>
      <c r="N210" s="153"/>
      <c r="O210" s="535"/>
      <c r="P210" s="535"/>
    </row>
    <row r="211" spans="1:16" s="380" customFormat="1">
      <c r="A211" s="153" t="s">
        <v>1293</v>
      </c>
      <c r="B211" s="159" t="s">
        <v>1294</v>
      </c>
      <c r="C211" s="159" t="s">
        <v>2250</v>
      </c>
      <c r="D211" s="587">
        <v>8020013</v>
      </c>
      <c r="E211" s="159" t="s">
        <v>370</v>
      </c>
      <c r="F211" s="535">
        <v>118.25</v>
      </c>
      <c r="G211" s="535">
        <v>139.19</v>
      </c>
      <c r="H211" s="32">
        <f>VLOOKUP(D211,'מאזן בוחן צרפת'!$C:$E,3,0)-F211</f>
        <v>0</v>
      </c>
      <c r="I211" s="32">
        <f>VLOOKUP(D211,'מאזן בוחן צרפת'!$C:$M,11,0)-G211</f>
        <v>0</v>
      </c>
      <c r="K211" s="516"/>
      <c r="L211" s="159"/>
      <c r="M211" s="153"/>
      <c r="N211" s="153"/>
      <c r="O211" s="535"/>
      <c r="P211" s="535"/>
    </row>
    <row r="212" spans="1:16" s="380" customFormat="1">
      <c r="A212" s="153" t="s">
        <v>1293</v>
      </c>
      <c r="B212" s="159" t="s">
        <v>1294</v>
      </c>
      <c r="C212" s="159" t="s">
        <v>1183</v>
      </c>
      <c r="D212" s="587">
        <v>8030006</v>
      </c>
      <c r="E212" s="159" t="s">
        <v>155</v>
      </c>
      <c r="F212" s="535">
        <v>541</v>
      </c>
      <c r="G212" s="535">
        <v>624.29</v>
      </c>
      <c r="H212" s="32">
        <f>VLOOKUP(D212,'מאזן בוחן צרפת'!$C:$E,3,0)-F212</f>
        <v>0</v>
      </c>
      <c r="I212" s="32">
        <f>VLOOKUP(D212,'מאזן בוחן צרפת'!$C:$M,11,0)-G212</f>
        <v>0</v>
      </c>
      <c r="K212" s="32"/>
      <c r="L212" s="1333"/>
      <c r="M212" s="153"/>
      <c r="N212" s="153"/>
      <c r="O212" s="535"/>
      <c r="P212" s="535"/>
    </row>
    <row r="213" spans="1:16" s="380" customFormat="1">
      <c r="A213" s="153" t="s">
        <v>1293</v>
      </c>
      <c r="B213" s="159" t="s">
        <v>1294</v>
      </c>
      <c r="C213" s="159" t="s">
        <v>1183</v>
      </c>
      <c r="D213" s="587">
        <v>8030011</v>
      </c>
      <c r="E213" s="159" t="s">
        <v>172</v>
      </c>
      <c r="F213" s="153">
        <v>80.790000000000006</v>
      </c>
      <c r="G213" s="153">
        <v>91.87</v>
      </c>
      <c r="H213" s="32">
        <f>VLOOKUP(D213,'מאזן בוחן צרפת'!$C:$E,3,0)-F213</f>
        <v>0</v>
      </c>
      <c r="I213" s="32">
        <f>VLOOKUP(D213,'מאזן בוחן צרפת'!$C:$M,11,0)-G213</f>
        <v>0</v>
      </c>
      <c r="K213" s="32"/>
      <c r="L213" s="1333"/>
      <c r="M213" s="153"/>
      <c r="N213" s="153"/>
      <c r="O213" s="535"/>
      <c r="P213" s="535"/>
    </row>
    <row r="214" spans="1:16" s="380" customFormat="1">
      <c r="A214" s="153" t="s">
        <v>1293</v>
      </c>
      <c r="B214" s="159" t="s">
        <v>1299</v>
      </c>
      <c r="C214" s="159" t="s">
        <v>1337</v>
      </c>
      <c r="D214" s="587">
        <v>8410066</v>
      </c>
      <c r="E214" s="159" t="s">
        <v>491</v>
      </c>
      <c r="F214" s="535">
        <v>1675.17</v>
      </c>
      <c r="G214" s="535">
        <v>1947.89</v>
      </c>
      <c r="H214" s="32">
        <f>VLOOKUP(D214,'מאזן בוחן צרפת'!$C:$E,3,0)-F214</f>
        <v>0</v>
      </c>
      <c r="I214" s="32">
        <f>VLOOKUP(D214,'מאזן בוחן צרפת'!$C:$M,11,0)-G214</f>
        <v>0</v>
      </c>
      <c r="K214" s="32"/>
      <c r="L214" s="1333"/>
      <c r="M214" s="153"/>
      <c r="N214" s="153"/>
      <c r="O214" s="535"/>
      <c r="P214" s="535"/>
    </row>
    <row r="215" spans="1:16" s="380" customFormat="1">
      <c r="A215" s="153" t="s">
        <v>1293</v>
      </c>
      <c r="B215" s="159" t="s">
        <v>1299</v>
      </c>
      <c r="C215" s="159" t="s">
        <v>1337</v>
      </c>
      <c r="D215" s="587">
        <v>8410069</v>
      </c>
      <c r="E215" s="159" t="s">
        <v>1338</v>
      </c>
      <c r="F215" s="535">
        <v>21500</v>
      </c>
      <c r="G215" s="535">
        <v>25071.43</v>
      </c>
      <c r="H215" s="32">
        <f>VLOOKUP(D215,'מאזן בוחן צרפת'!$C:$E,3,0)-F215</f>
        <v>0</v>
      </c>
      <c r="I215" s="32">
        <f>VLOOKUP(D215,'מאזן בוחן צרפת'!$C:$M,11,0)-G215</f>
        <v>0</v>
      </c>
      <c r="K215" s="32"/>
      <c r="L215" s="1333"/>
      <c r="M215" s="153"/>
      <c r="N215" s="153"/>
      <c r="O215" s="535"/>
      <c r="P215" s="535"/>
    </row>
    <row r="216" spans="1:16" s="380" customFormat="1">
      <c r="A216" s="153" t="s">
        <v>1293</v>
      </c>
      <c r="B216" s="159" t="s">
        <v>1299</v>
      </c>
      <c r="C216" s="159" t="s">
        <v>1337</v>
      </c>
      <c r="D216" s="587">
        <v>8410070</v>
      </c>
      <c r="E216" s="159" t="s">
        <v>98</v>
      </c>
      <c r="F216" s="535">
        <v>650</v>
      </c>
      <c r="G216" s="535">
        <v>796.48</v>
      </c>
      <c r="H216" s="32">
        <f>VLOOKUP(D216,'מאזן בוחן צרפת'!$C:$E,3,0)-F216</f>
        <v>0</v>
      </c>
      <c r="I216" s="32">
        <f>VLOOKUP(D216,'מאזן בוחן צרפת'!$C:$M,11,0)-G216</f>
        <v>0</v>
      </c>
      <c r="K216" s="32"/>
      <c r="L216" s="1333"/>
      <c r="M216" s="153"/>
      <c r="N216" s="153"/>
      <c r="O216" s="153"/>
      <c r="P216" s="153"/>
    </row>
    <row r="217" spans="1:16" s="380" customFormat="1">
      <c r="A217" s="153" t="s">
        <v>1301</v>
      </c>
      <c r="B217" s="159" t="s">
        <v>1302</v>
      </c>
      <c r="C217" s="159" t="s">
        <v>1216</v>
      </c>
      <c r="D217" s="587">
        <v>9010001</v>
      </c>
      <c r="E217" s="159" t="s">
        <v>1339</v>
      </c>
      <c r="F217" s="535">
        <v>9101</v>
      </c>
      <c r="G217" s="535">
        <v>10730.36</v>
      </c>
      <c r="H217" s="32">
        <f>VLOOKUP(D217,'מאזן בוחן צרפת'!$C:$E,3,0)-F217</f>
        <v>0</v>
      </c>
      <c r="I217" s="32">
        <f>VLOOKUP(D217,'מאזן בוחן צרפת'!$C:$M,11,0)-G217</f>
        <v>0</v>
      </c>
      <c r="K217" s="32"/>
      <c r="L217" s="1333"/>
      <c r="M217" s="153"/>
      <c r="N217" s="153"/>
      <c r="O217" s="153"/>
      <c r="P217" s="153"/>
    </row>
    <row r="218" spans="1:16" s="380" customFormat="1">
      <c r="A218" s="153" t="s">
        <v>1301</v>
      </c>
      <c r="B218" s="159" t="s">
        <v>1302</v>
      </c>
      <c r="C218" s="159" t="s">
        <v>1216</v>
      </c>
      <c r="D218" s="587">
        <v>9010002</v>
      </c>
      <c r="E218" s="159" t="s">
        <v>158</v>
      </c>
      <c r="F218" s="535">
        <v>1280.3699999999999</v>
      </c>
      <c r="G218" s="535">
        <v>-141794.06</v>
      </c>
      <c r="H218" s="32">
        <f>VLOOKUP(D218,'מאזן בוחן צרפת'!$C:$E,3,0)-F218</f>
        <v>0</v>
      </c>
      <c r="I218" s="32">
        <f>VLOOKUP(D218,'מאזן בוחן צרפת'!$C:$M,11,0)-G218</f>
        <v>0</v>
      </c>
      <c r="K218" s="32"/>
      <c r="L218" s="1333"/>
      <c r="M218" s="153"/>
      <c r="N218" s="153"/>
      <c r="O218" s="153"/>
      <c r="P218" s="153"/>
    </row>
    <row r="219" spans="1:16" s="380" customFormat="1">
      <c r="A219" s="153" t="s">
        <v>1301</v>
      </c>
      <c r="B219" s="159" t="s">
        <v>3448</v>
      </c>
      <c r="C219" s="159" t="s">
        <v>1218</v>
      </c>
      <c r="D219" s="587">
        <v>9100001</v>
      </c>
      <c r="E219" s="159" t="s">
        <v>2235</v>
      </c>
      <c r="F219" s="535">
        <v>6247</v>
      </c>
      <c r="G219" s="535">
        <v>7070.36</v>
      </c>
      <c r="H219" s="32">
        <f>VLOOKUP(D219,'מאזן בוחן צרפת'!$C:$E,3,0)-F219</f>
        <v>0</v>
      </c>
      <c r="I219" s="32">
        <f>VLOOKUP(D219,'מאזן בוחן צרפת'!$C:$M,11,0)-G219</f>
        <v>0</v>
      </c>
      <c r="K219" s="32"/>
      <c r="L219" s="1333"/>
      <c r="M219" s="153"/>
      <c r="N219" s="153"/>
      <c r="O219" s="153"/>
      <c r="P219" s="153"/>
    </row>
    <row r="220" spans="1:16" s="380" customFormat="1">
      <c r="A220" s="153"/>
      <c r="B220" s="159"/>
      <c r="C220" s="159"/>
      <c r="D220" s="587"/>
      <c r="E220" s="159"/>
      <c r="F220" s="535"/>
      <c r="G220" s="535"/>
      <c r="H220" s="32"/>
      <c r="I220" s="32"/>
      <c r="K220" s="32"/>
      <c r="L220" s="1333"/>
      <c r="M220" s="153"/>
      <c r="N220" s="153"/>
      <c r="O220" s="153"/>
      <c r="P220" s="153"/>
    </row>
    <row r="221" spans="1:16" s="380" customFormat="1">
      <c r="A221" s="153"/>
      <c r="B221" s="159"/>
      <c r="C221" s="159"/>
      <c r="D221" s="587"/>
      <c r="E221" s="159"/>
      <c r="F221" s="535"/>
      <c r="G221" s="535"/>
      <c r="H221" s="32"/>
      <c r="I221" s="32"/>
      <c r="K221" s="32"/>
      <c r="L221" s="1333"/>
      <c r="M221" s="153"/>
      <c r="N221" s="153"/>
      <c r="O221" s="153"/>
      <c r="P221" s="153"/>
    </row>
    <row r="222" spans="1:16" s="380" customFormat="1">
      <c r="A222" s="153"/>
      <c r="B222" s="159"/>
      <c r="C222" s="159"/>
      <c r="D222" s="587"/>
      <c r="E222" s="159"/>
      <c r="F222" s="535"/>
      <c r="G222" s="535"/>
      <c r="H222" s="32"/>
      <c r="I222" s="32"/>
      <c r="K222" s="32"/>
      <c r="L222" s="1333"/>
      <c r="M222" s="153"/>
      <c r="N222" s="153"/>
      <c r="O222" s="535"/>
      <c r="P222" s="535"/>
    </row>
    <row r="223" spans="1:16" s="380" customFormat="1">
      <c r="A223" s="153"/>
      <c r="B223" s="159"/>
      <c r="C223" s="159"/>
      <c r="D223" s="587"/>
      <c r="E223" s="159"/>
      <c r="F223" s="535"/>
      <c r="G223" s="535"/>
      <c r="H223" s="32"/>
      <c r="I223" s="32"/>
      <c r="K223" s="32"/>
      <c r="L223" s="1333"/>
      <c r="M223" s="153"/>
      <c r="N223" s="153"/>
      <c r="O223" s="535"/>
      <c r="P223" s="535"/>
    </row>
    <row r="224" spans="1:16" s="380" customFormat="1">
      <c r="A224" s="153"/>
      <c r="B224" s="159"/>
      <c r="C224" s="159"/>
      <c r="D224" s="587"/>
      <c r="E224" s="159"/>
      <c r="F224" s="535"/>
      <c r="G224" s="535"/>
      <c r="H224" s="32"/>
      <c r="I224" s="32"/>
      <c r="K224" s="32"/>
      <c r="L224" s="1333"/>
      <c r="M224" s="153"/>
      <c r="N224" s="153"/>
      <c r="O224" s="153"/>
      <c r="P224" s="153"/>
    </row>
    <row r="225" spans="1:16" s="380" customFormat="1">
      <c r="A225" s="153"/>
      <c r="B225" s="159"/>
      <c r="C225" s="159"/>
      <c r="D225" s="587"/>
      <c r="E225" s="159"/>
      <c r="F225" s="535"/>
      <c r="G225" s="535"/>
      <c r="H225" s="32"/>
      <c r="I225" s="32"/>
      <c r="K225" s="32"/>
      <c r="L225" s="1333"/>
      <c r="M225" s="153"/>
      <c r="N225" s="153"/>
      <c r="O225" s="153"/>
      <c r="P225" s="153"/>
    </row>
    <row r="226" spans="1:16" s="380" customFormat="1">
      <c r="A226" s="153"/>
      <c r="B226" s="159"/>
      <c r="C226" s="159"/>
      <c r="D226" s="587"/>
      <c r="E226" s="159"/>
      <c r="F226" s="535"/>
      <c r="G226" s="535"/>
      <c r="H226" s="32"/>
      <c r="I226" s="32"/>
      <c r="K226" s="32"/>
      <c r="L226" s="1333"/>
      <c r="M226" s="153"/>
      <c r="N226" s="153"/>
      <c r="O226" s="153"/>
      <c r="P226" s="153"/>
    </row>
    <row r="227" spans="1:16" s="380" customFormat="1">
      <c r="A227" s="153"/>
      <c r="B227" s="159"/>
      <c r="C227" s="159"/>
      <c r="D227" s="587"/>
      <c r="E227" s="159"/>
      <c r="F227" s="535"/>
      <c r="G227" s="535"/>
      <c r="H227" s="32"/>
      <c r="I227" s="32"/>
      <c r="K227" s="32"/>
      <c r="L227" s="1333"/>
      <c r="M227" s="153"/>
      <c r="N227" s="153"/>
      <c r="O227" s="535"/>
      <c r="P227" s="535"/>
    </row>
    <row r="228" spans="1:16" s="380" customFormat="1">
      <c r="A228" s="153"/>
      <c r="B228" s="159"/>
      <c r="C228" s="159"/>
      <c r="D228" s="587"/>
      <c r="E228" s="159"/>
      <c r="F228" s="535"/>
      <c r="G228" s="535"/>
      <c r="H228" s="32"/>
      <c r="I228" s="32"/>
      <c r="K228" s="32"/>
      <c r="L228" s="1333"/>
      <c r="M228" s="153"/>
      <c r="N228" s="153"/>
      <c r="O228" s="535"/>
      <c r="P228" s="535"/>
    </row>
    <row r="229" spans="1:16" s="380" customFormat="1">
      <c r="A229" s="153"/>
      <c r="B229" s="159"/>
      <c r="C229" s="159"/>
      <c r="D229" s="587"/>
      <c r="E229" s="159"/>
      <c r="F229" s="535"/>
      <c r="G229" s="535"/>
      <c r="H229" s="32"/>
      <c r="I229" s="32"/>
      <c r="K229" s="32"/>
      <c r="L229" s="1333"/>
      <c r="M229" s="153"/>
      <c r="N229" s="153"/>
      <c r="O229" s="153"/>
      <c r="P229" s="153"/>
    </row>
    <row r="230" spans="1:16" s="380" customFormat="1">
      <c r="A230" s="153"/>
      <c r="B230" s="159"/>
      <c r="C230" s="159"/>
      <c r="D230" s="587"/>
      <c r="E230" s="159"/>
      <c r="F230" s="535"/>
      <c r="G230" s="535"/>
      <c r="H230" s="32"/>
      <c r="I230" s="32"/>
      <c r="K230" s="516"/>
      <c r="L230" s="159"/>
      <c r="M230" s="153"/>
      <c r="N230" s="153"/>
      <c r="O230" s="535"/>
      <c r="P230" s="535"/>
    </row>
    <row r="231" spans="1:16" s="380" customFormat="1">
      <c r="A231" s="153"/>
      <c r="B231" s="159"/>
      <c r="C231" s="159"/>
      <c r="D231" s="587"/>
      <c r="E231" s="159"/>
      <c r="F231" s="535"/>
      <c r="G231" s="535"/>
      <c r="H231" s="32"/>
      <c r="I231" s="32"/>
      <c r="K231" s="516"/>
      <c r="L231" s="159"/>
      <c r="M231" s="153"/>
      <c r="N231" s="153"/>
      <c r="O231" s="535"/>
      <c r="P231" s="535"/>
    </row>
    <row r="232" spans="1:16" s="380" customFormat="1">
      <c r="A232" s="153"/>
      <c r="B232" s="159"/>
      <c r="C232" s="159"/>
      <c r="D232" s="587"/>
      <c r="E232" s="159"/>
      <c r="F232" s="535"/>
      <c r="G232" s="535"/>
      <c r="H232" s="32"/>
      <c r="I232" s="32"/>
      <c r="K232" s="516"/>
      <c r="L232" s="159"/>
      <c r="M232" s="153"/>
      <c r="N232" s="153"/>
      <c r="O232" s="535"/>
      <c r="P232" s="535"/>
    </row>
    <row r="233" spans="1:16" s="380" customFormat="1">
      <c r="A233" s="153"/>
      <c r="B233" s="159"/>
      <c r="C233" s="159"/>
      <c r="D233" s="587"/>
      <c r="E233" s="159"/>
      <c r="F233" s="535"/>
      <c r="G233" s="535"/>
      <c r="H233" s="32"/>
      <c r="I233" s="32"/>
      <c r="K233" s="516"/>
      <c r="L233" s="159"/>
      <c r="M233" s="153"/>
      <c r="N233" s="153"/>
      <c r="O233" s="535"/>
      <c r="P233" s="535"/>
    </row>
    <row r="234" spans="1:16" s="380" customFormat="1">
      <c r="A234" s="153"/>
      <c r="B234" s="159"/>
      <c r="C234" s="159"/>
      <c r="D234" s="587"/>
      <c r="E234" s="159"/>
      <c r="F234" s="535"/>
      <c r="G234" s="535"/>
      <c r="H234" s="32"/>
      <c r="I234" s="32"/>
      <c r="K234" s="516"/>
      <c r="L234" s="159"/>
      <c r="M234" s="153"/>
      <c r="N234" s="153"/>
      <c r="O234" s="535"/>
      <c r="P234" s="535"/>
    </row>
    <row r="235" spans="1:16" s="380" customFormat="1">
      <c r="A235" s="153"/>
      <c r="B235" s="159"/>
      <c r="C235" s="159"/>
      <c r="D235" s="587"/>
      <c r="E235" s="159"/>
      <c r="F235" s="535"/>
      <c r="G235" s="535"/>
      <c r="H235" s="32"/>
      <c r="I235" s="32"/>
      <c r="K235" s="516"/>
      <c r="L235" s="159"/>
      <c r="M235" s="153"/>
      <c r="N235" s="153"/>
      <c r="O235" s="535"/>
      <c r="P235" s="535"/>
    </row>
    <row r="236" spans="1:16" s="380" customFormat="1">
      <c r="A236" s="153"/>
      <c r="B236" s="159"/>
      <c r="C236" s="159"/>
      <c r="D236" s="587"/>
      <c r="E236" s="159"/>
      <c r="F236" s="535"/>
      <c r="G236" s="535"/>
      <c r="H236" s="32"/>
      <c r="I236" s="32"/>
      <c r="K236" s="516"/>
      <c r="L236" s="159"/>
      <c r="M236" s="153"/>
      <c r="N236" s="153"/>
      <c r="O236" s="535"/>
      <c r="P236" s="535"/>
    </row>
    <row r="237" spans="1:16" s="380" customFormat="1">
      <c r="A237" s="153"/>
      <c r="B237" s="159"/>
      <c r="C237" s="159"/>
      <c r="D237" s="587"/>
      <c r="E237" s="159"/>
      <c r="F237" s="535"/>
      <c r="G237" s="535"/>
      <c r="H237" s="32"/>
      <c r="I237" s="32"/>
      <c r="K237" s="516"/>
      <c r="L237" s="159"/>
      <c r="M237" s="153"/>
      <c r="N237" s="153"/>
      <c r="O237" s="535"/>
      <c r="P237" s="535"/>
    </row>
    <row r="238" spans="1:16" s="380" customFormat="1">
      <c r="A238" s="153"/>
      <c r="B238" s="159"/>
      <c r="C238" s="159"/>
      <c r="D238" s="587"/>
      <c r="E238" s="159"/>
      <c r="F238" s="535"/>
      <c r="G238" s="535"/>
      <c r="H238" s="32"/>
      <c r="I238" s="32"/>
      <c r="K238" s="516"/>
      <c r="L238" s="159"/>
      <c r="M238" s="153"/>
      <c r="N238" s="153"/>
      <c r="O238" s="535"/>
      <c r="P238" s="535"/>
    </row>
    <row r="239" spans="1:16" s="380" customFormat="1">
      <c r="A239" s="153"/>
      <c r="B239" s="159"/>
      <c r="C239" s="159"/>
      <c r="D239" s="587"/>
      <c r="E239" s="159"/>
      <c r="F239" s="535"/>
      <c r="G239" s="535"/>
      <c r="H239" s="32"/>
      <c r="I239" s="32"/>
      <c r="K239" s="516"/>
      <c r="L239" s="159"/>
      <c r="M239" s="153"/>
      <c r="N239" s="153"/>
      <c r="O239" s="535"/>
      <c r="P239" s="535"/>
    </row>
    <row r="240" spans="1:16" s="380" customFormat="1">
      <c r="A240" s="153"/>
      <c r="B240" s="159"/>
      <c r="C240" s="159"/>
      <c r="D240" s="587"/>
      <c r="E240" s="159"/>
      <c r="F240" s="535"/>
      <c r="G240" s="535"/>
      <c r="H240" s="32"/>
      <c r="I240" s="32"/>
      <c r="K240" s="516"/>
      <c r="L240" s="159"/>
      <c r="M240" s="153"/>
      <c r="N240" s="153"/>
      <c r="O240" s="535"/>
      <c r="P240" s="535"/>
    </row>
    <row r="241" spans="1:20" s="380" customFormat="1">
      <c r="A241" s="153"/>
      <c r="B241" s="159"/>
      <c r="C241" s="159"/>
      <c r="D241" s="587"/>
      <c r="E241" s="159"/>
      <c r="F241" s="535"/>
      <c r="G241" s="535"/>
      <c r="H241" s="32"/>
      <c r="I241" s="32"/>
      <c r="K241" s="516"/>
      <c r="L241" s="159"/>
      <c r="M241" s="153"/>
      <c r="N241" s="153"/>
      <c r="O241" s="535"/>
      <c r="P241" s="535"/>
    </row>
    <row r="242" spans="1:20" s="380" customFormat="1">
      <c r="A242" s="153"/>
      <c r="B242" s="159"/>
      <c r="C242" s="159"/>
      <c r="D242" s="587"/>
      <c r="E242" s="159"/>
      <c r="F242" s="535"/>
      <c r="G242" s="535"/>
      <c r="H242" s="32"/>
      <c r="I242" s="32"/>
      <c r="K242" s="516"/>
      <c r="L242" s="159"/>
      <c r="M242" s="153"/>
      <c r="N242" s="153"/>
      <c r="O242" s="535"/>
      <c r="P242" s="535"/>
    </row>
    <row r="243" spans="1:20" s="380" customFormat="1">
      <c r="A243" s="153"/>
      <c r="B243" s="159"/>
      <c r="C243" s="159"/>
      <c r="D243" s="587"/>
      <c r="E243" s="159"/>
      <c r="F243" s="535"/>
      <c r="G243" s="535"/>
      <c r="H243" s="32"/>
      <c r="I243" s="32"/>
      <c r="K243" s="516"/>
      <c r="L243" s="159"/>
      <c r="M243" s="153"/>
      <c r="N243" s="153"/>
      <c r="O243" s="535"/>
      <c r="P243" s="535"/>
    </row>
    <row r="244" spans="1:20" s="380" customFormat="1">
      <c r="A244" s="153"/>
      <c r="B244" s="159"/>
      <c r="C244" s="159"/>
      <c r="D244" s="587"/>
      <c r="E244" s="159"/>
      <c r="F244" s="535"/>
      <c r="G244" s="535"/>
      <c r="H244" s="32"/>
      <c r="I244" s="32"/>
      <c r="K244" s="516"/>
      <c r="L244" s="159"/>
      <c r="M244" s="153"/>
      <c r="N244" s="153"/>
      <c r="O244" s="535"/>
      <c r="P244" s="535"/>
    </row>
    <row r="245" spans="1:20" s="380" customFormat="1">
      <c r="A245" s="153"/>
      <c r="B245" s="159"/>
      <c r="C245" s="159"/>
      <c r="D245" s="587"/>
      <c r="E245" s="159"/>
      <c r="F245" s="535"/>
      <c r="G245" s="535"/>
      <c r="H245" s="32"/>
      <c r="I245" s="32"/>
      <c r="K245" s="516"/>
      <c r="L245" s="159"/>
      <c r="M245" s="153"/>
      <c r="N245" s="153"/>
      <c r="O245" s="535"/>
      <c r="P245" s="535"/>
    </row>
    <row r="246" spans="1:20" s="380" customFormat="1">
      <c r="A246" s="153"/>
      <c r="B246" s="159"/>
      <c r="C246" s="159"/>
      <c r="D246" s="587"/>
      <c r="E246" s="159"/>
      <c r="F246" s="153"/>
      <c r="G246" s="153"/>
      <c r="H246" s="32"/>
      <c r="I246" s="32"/>
      <c r="K246" s="516"/>
      <c r="L246" s="159"/>
      <c r="M246" s="153"/>
      <c r="N246" s="153"/>
      <c r="O246" s="535"/>
      <c r="P246" s="535"/>
    </row>
    <row r="247" spans="1:20" s="141" customFormat="1">
      <c r="A247" s="153"/>
      <c r="B247" s="159"/>
      <c r="C247" s="159"/>
      <c r="D247" s="587"/>
      <c r="E247" s="159"/>
      <c r="F247" s="535"/>
      <c r="G247" s="535"/>
      <c r="H247" s="32"/>
      <c r="I247" s="32"/>
      <c r="J247" s="380"/>
      <c r="K247" s="516"/>
      <c r="L247" s="159"/>
      <c r="M247" s="153"/>
      <c r="N247" s="153"/>
      <c r="O247" s="535"/>
      <c r="P247" s="535"/>
      <c r="Q247" s="380"/>
      <c r="R247" s="380"/>
      <c r="S247" s="380"/>
      <c r="T247" s="380"/>
    </row>
    <row r="248" spans="1:20" s="141" customFormat="1">
      <c r="A248" s="153"/>
      <c r="B248" s="159"/>
      <c r="C248" s="159"/>
      <c r="D248" s="587"/>
      <c r="E248" s="159"/>
      <c r="F248" s="535"/>
      <c r="G248" s="535"/>
      <c r="H248" s="32"/>
      <c r="I248" s="32"/>
      <c r="J248" s="380"/>
      <c r="K248" s="516"/>
      <c r="L248" s="159"/>
      <c r="M248" s="153"/>
      <c r="N248" s="153"/>
      <c r="O248" s="535"/>
      <c r="P248" s="535"/>
      <c r="Q248" s="380"/>
      <c r="R248" s="380"/>
      <c r="S248" s="380"/>
      <c r="T248" s="380"/>
    </row>
    <row r="249" spans="1:20" s="141" customFormat="1">
      <c r="A249" s="153"/>
      <c r="B249" s="159"/>
      <c r="C249" s="159"/>
      <c r="D249" s="587"/>
      <c r="E249" s="159"/>
      <c r="F249" s="535"/>
      <c r="G249" s="535"/>
      <c r="H249" s="32"/>
      <c r="I249" s="32"/>
      <c r="J249" s="380"/>
      <c r="K249" s="516"/>
      <c r="L249" s="159"/>
      <c r="M249" s="153"/>
      <c r="N249" s="153"/>
      <c r="O249" s="535"/>
      <c r="P249" s="535"/>
      <c r="Q249" s="380"/>
      <c r="R249" s="380"/>
      <c r="S249" s="380"/>
      <c r="T249" s="380"/>
    </row>
    <row r="250" spans="1:20" s="141" customFormat="1">
      <c r="A250" s="153"/>
      <c r="B250" s="159"/>
      <c r="C250" s="159"/>
      <c r="D250" s="587"/>
      <c r="E250" s="159"/>
      <c r="F250" s="535"/>
      <c r="G250" s="535"/>
      <c r="H250" s="32"/>
      <c r="I250" s="32"/>
      <c r="J250" s="380"/>
      <c r="K250" s="516"/>
      <c r="L250" s="159"/>
      <c r="M250" s="153"/>
      <c r="N250" s="153"/>
      <c r="O250" s="535"/>
      <c r="P250" s="535"/>
      <c r="Q250" s="380"/>
      <c r="R250" s="380"/>
      <c r="S250" s="380"/>
      <c r="T250" s="380"/>
    </row>
    <row r="251" spans="1:20" s="141" customFormat="1">
      <c r="A251" s="153"/>
      <c r="B251" s="159"/>
      <c r="C251" s="159"/>
      <c r="D251" s="587"/>
      <c r="E251" s="159"/>
      <c r="F251" s="535"/>
      <c r="G251" s="535"/>
      <c r="H251" s="32"/>
      <c r="I251" s="32"/>
      <c r="J251" s="380"/>
      <c r="K251" s="516"/>
      <c r="L251" s="159"/>
      <c r="M251" s="153"/>
      <c r="N251" s="153"/>
      <c r="O251" s="535"/>
      <c r="P251" s="535"/>
      <c r="Q251" s="380"/>
    </row>
    <row r="252" spans="1:20" s="141" customFormat="1">
      <c r="A252" s="153"/>
      <c r="B252" s="159"/>
      <c r="C252" s="159"/>
      <c r="D252" s="587"/>
      <c r="E252" s="159"/>
      <c r="F252" s="535"/>
      <c r="G252" s="535"/>
      <c r="H252" s="32"/>
      <c r="I252" s="32"/>
      <c r="J252" s="380"/>
      <c r="K252" s="516"/>
      <c r="L252" s="159"/>
      <c r="M252" s="153"/>
      <c r="N252" s="153"/>
      <c r="O252" s="535"/>
      <c r="P252" s="535"/>
      <c r="Q252" s="380"/>
    </row>
    <row r="253" spans="1:20" s="141" customFormat="1">
      <c r="A253" s="153"/>
      <c r="B253" s="159"/>
      <c r="C253" s="159"/>
      <c r="D253" s="587"/>
      <c r="E253" s="159"/>
      <c r="F253" s="535"/>
      <c r="G253" s="535"/>
      <c r="H253" s="32"/>
      <c r="I253" s="32"/>
      <c r="J253" s="380"/>
      <c r="K253" s="516"/>
      <c r="L253" s="159"/>
      <c r="M253" s="153"/>
      <c r="N253" s="153"/>
      <c r="O253" s="535"/>
      <c r="P253" s="535"/>
      <c r="Q253" s="380"/>
    </row>
    <row r="254" spans="1:20" s="141" customFormat="1">
      <c r="A254" s="153"/>
      <c r="B254" s="159"/>
      <c r="C254" s="159"/>
      <c r="D254" s="587"/>
      <c r="E254" s="159"/>
      <c r="F254" s="535"/>
      <c r="G254" s="535"/>
      <c r="H254" s="32"/>
      <c r="I254" s="32"/>
      <c r="J254" s="380"/>
      <c r="K254" s="516"/>
      <c r="L254" s="159"/>
      <c r="M254" s="153"/>
      <c r="N254" s="153"/>
      <c r="O254" s="535"/>
      <c r="P254" s="535"/>
      <c r="Q254" s="380"/>
    </row>
    <row r="255" spans="1:20" s="141" customFormat="1">
      <c r="A255" s="153"/>
      <c r="B255" s="159"/>
      <c r="C255" s="159"/>
      <c r="D255" s="587"/>
      <c r="E255" s="159"/>
      <c r="F255" s="535"/>
      <c r="G255" s="535"/>
      <c r="H255" s="32"/>
      <c r="I255" s="32"/>
      <c r="J255" s="380"/>
      <c r="K255" s="516"/>
      <c r="L255" s="159"/>
      <c r="M255" s="153"/>
      <c r="N255" s="153"/>
      <c r="O255" s="535"/>
      <c r="P255" s="535"/>
      <c r="Q255" s="380"/>
    </row>
    <row r="256" spans="1:20" s="141" customFormat="1">
      <c r="A256" s="153"/>
      <c r="B256" s="159"/>
      <c r="C256" s="159"/>
      <c r="D256" s="587"/>
      <c r="E256" s="159"/>
      <c r="F256" s="153"/>
      <c r="G256" s="153"/>
      <c r="H256" s="32"/>
      <c r="I256" s="32"/>
      <c r="J256" s="380"/>
      <c r="K256" s="516"/>
      <c r="L256" s="159"/>
      <c r="M256" s="153"/>
      <c r="N256" s="153"/>
      <c r="O256" s="535"/>
      <c r="P256" s="535"/>
      <c r="Q256" s="380"/>
    </row>
    <row r="257" spans="1:17" s="141" customFormat="1">
      <c r="A257" s="153"/>
      <c r="B257" s="159"/>
      <c r="C257" s="159"/>
      <c r="D257" s="587"/>
      <c r="E257" s="159"/>
      <c r="F257" s="535"/>
      <c r="G257" s="535"/>
      <c r="H257" s="32"/>
      <c r="I257" s="32"/>
      <c r="J257" s="380"/>
      <c r="K257" s="516"/>
      <c r="L257" s="159"/>
      <c r="M257" s="153"/>
      <c r="N257" s="153"/>
      <c r="O257" s="535"/>
      <c r="P257" s="535"/>
      <c r="Q257" s="380"/>
    </row>
    <row r="258" spans="1:17">
      <c r="A258" s="153"/>
      <c r="B258" s="159"/>
      <c r="C258" s="159"/>
      <c r="D258" s="587"/>
      <c r="E258" s="159"/>
      <c r="F258" s="535"/>
      <c r="G258" s="535"/>
      <c r="H258" s="32"/>
      <c r="I258" s="32"/>
      <c r="J258" s="380"/>
      <c r="K258" s="516"/>
      <c r="L258" s="159"/>
      <c r="M258" s="153"/>
      <c r="N258" s="153"/>
      <c r="O258" s="535"/>
      <c r="P258" s="535"/>
      <c r="Q258" s="380"/>
    </row>
    <row r="259" spans="1:17" s="141" customFormat="1">
      <c r="A259" s="153"/>
      <c r="B259" s="159"/>
      <c r="C259" s="159"/>
      <c r="D259" s="587"/>
      <c r="E259" s="159"/>
      <c r="F259" s="535"/>
      <c r="G259" s="535"/>
      <c r="H259" s="32"/>
      <c r="I259" s="32"/>
      <c r="J259" s="380"/>
      <c r="K259" s="516"/>
      <c r="L259" s="159"/>
      <c r="M259" s="153"/>
      <c r="N259" s="153"/>
      <c r="O259" s="535"/>
      <c r="P259" s="535"/>
      <c r="Q259" s="380"/>
    </row>
    <row r="260" spans="1:17" s="141" customFormat="1">
      <c r="A260" s="153"/>
      <c r="B260" s="159"/>
      <c r="C260" s="159"/>
      <c r="D260" s="587"/>
      <c r="E260" s="159"/>
      <c r="F260" s="535"/>
      <c r="G260" s="535"/>
      <c r="H260" s="32"/>
      <c r="I260" s="32"/>
      <c r="J260" s="380"/>
      <c r="K260" s="516"/>
      <c r="L260" s="159"/>
      <c r="M260" s="153"/>
      <c r="N260" s="153"/>
      <c r="O260" s="535"/>
      <c r="P260" s="535"/>
      <c r="Q260" s="380"/>
    </row>
    <row r="261" spans="1:17" s="141" customFormat="1">
      <c r="A261" s="153"/>
      <c r="B261" s="159"/>
      <c r="C261" s="159"/>
      <c r="D261" s="587"/>
      <c r="E261" s="159"/>
      <c r="F261" s="535"/>
      <c r="G261" s="535"/>
      <c r="H261" s="32"/>
      <c r="I261" s="32"/>
      <c r="J261" s="380"/>
      <c r="K261" s="516"/>
      <c r="L261" s="159"/>
      <c r="M261" s="153"/>
      <c r="N261" s="153"/>
      <c r="O261" s="535"/>
      <c r="P261" s="535"/>
      <c r="Q261" s="380"/>
    </row>
    <row r="262" spans="1:17" s="141" customFormat="1">
      <c r="A262" s="153"/>
      <c r="B262" s="159"/>
      <c r="C262" s="159"/>
      <c r="D262" s="587"/>
      <c r="E262" s="159"/>
      <c r="F262" s="535"/>
      <c r="G262" s="535"/>
      <c r="H262" s="32"/>
      <c r="I262" s="32"/>
      <c r="J262" s="380"/>
      <c r="K262" s="516"/>
      <c r="L262" s="159"/>
      <c r="M262" s="153"/>
      <c r="N262" s="153"/>
      <c r="O262" s="535"/>
      <c r="P262" s="535"/>
      <c r="Q262" s="380"/>
    </row>
    <row r="263" spans="1:17" s="141" customFormat="1">
      <c r="A263" s="153"/>
      <c r="B263" s="159"/>
      <c r="C263" s="159"/>
      <c r="D263" s="587"/>
      <c r="E263" s="159"/>
      <c r="F263" s="535"/>
      <c r="G263" s="535"/>
      <c r="H263" s="32"/>
      <c r="I263" s="32"/>
      <c r="J263" s="380"/>
      <c r="K263" s="516"/>
      <c r="L263" s="159"/>
      <c r="M263" s="153"/>
      <c r="N263" s="153"/>
      <c r="O263" s="535"/>
      <c r="P263" s="535"/>
      <c r="Q263" s="380"/>
    </row>
    <row r="264" spans="1:17" s="141" customFormat="1">
      <c r="A264" s="153"/>
      <c r="B264" s="159"/>
      <c r="C264" s="159"/>
      <c r="D264" s="587"/>
      <c r="E264" s="159"/>
      <c r="F264" s="535"/>
      <c r="G264" s="535"/>
      <c r="H264" s="32"/>
      <c r="I264" s="32"/>
      <c r="J264" s="380"/>
      <c r="K264" s="516"/>
      <c r="L264" s="159"/>
      <c r="M264" s="153"/>
      <c r="N264" s="153"/>
      <c r="O264" s="535"/>
      <c r="P264" s="535"/>
      <c r="Q264" s="380"/>
    </row>
    <row r="265" spans="1:17" s="141" customFormat="1">
      <c r="A265" s="153"/>
      <c r="B265" s="159"/>
      <c r="C265" s="159"/>
      <c r="D265" s="587"/>
      <c r="E265" s="159"/>
      <c r="F265" s="535"/>
      <c r="G265" s="535"/>
      <c r="H265" s="32"/>
      <c r="I265" s="32"/>
      <c r="J265" s="380"/>
      <c r="K265" s="516"/>
      <c r="L265" s="159"/>
      <c r="M265" s="153"/>
      <c r="N265" s="153"/>
      <c r="O265" s="535"/>
      <c r="P265" s="535"/>
      <c r="Q265" s="380"/>
    </row>
    <row r="266" spans="1:17" s="141" customFormat="1">
      <c r="A266" s="153"/>
      <c r="B266" s="159"/>
      <c r="C266" s="159"/>
      <c r="D266" s="587"/>
      <c r="E266" s="159"/>
      <c r="F266" s="535"/>
      <c r="G266" s="535"/>
      <c r="H266" s="32"/>
      <c r="I266" s="32"/>
      <c r="J266" s="380"/>
      <c r="K266" s="516"/>
      <c r="L266" s="159"/>
      <c r="M266" s="153"/>
      <c r="N266" s="153"/>
      <c r="O266" s="535"/>
      <c r="P266" s="535"/>
      <c r="Q266" s="380"/>
    </row>
    <row r="267" spans="1:17" s="141" customFormat="1">
      <c r="A267" s="153"/>
      <c r="B267" s="159"/>
      <c r="C267" s="159"/>
      <c r="D267" s="587"/>
      <c r="E267" s="159"/>
      <c r="F267" s="535"/>
      <c r="G267" s="535"/>
      <c r="H267" s="32"/>
      <c r="I267" s="32"/>
      <c r="J267" s="380"/>
      <c r="K267" s="516"/>
      <c r="L267" s="159"/>
      <c r="M267" s="153"/>
      <c r="N267" s="153"/>
      <c r="O267" s="535"/>
      <c r="P267" s="535"/>
      <c r="Q267" s="380"/>
    </row>
    <row r="268" spans="1:17" s="141" customFormat="1">
      <c r="A268" s="153"/>
      <c r="B268" s="159"/>
      <c r="C268" s="159"/>
      <c r="D268" s="587"/>
      <c r="E268" s="159"/>
      <c r="F268" s="535"/>
      <c r="G268" s="535"/>
      <c r="H268" s="32"/>
      <c r="I268" s="32"/>
      <c r="J268" s="380"/>
      <c r="K268" s="516"/>
      <c r="L268" s="159"/>
      <c r="M268" s="153"/>
      <c r="N268" s="153"/>
      <c r="O268" s="535"/>
      <c r="P268" s="535"/>
      <c r="Q268" s="380"/>
    </row>
    <row r="269" spans="1:17" s="141" customFormat="1">
      <c r="A269" s="153"/>
      <c r="B269" s="159"/>
      <c r="C269" s="159"/>
      <c r="D269" s="587"/>
      <c r="E269" s="159"/>
      <c r="F269" s="535"/>
      <c r="G269" s="535"/>
      <c r="H269" s="32"/>
      <c r="I269" s="32"/>
      <c r="J269" s="380"/>
      <c r="K269" s="516"/>
      <c r="L269" s="159"/>
      <c r="M269" s="153"/>
      <c r="N269" s="153"/>
      <c r="O269" s="535"/>
      <c r="P269" s="535"/>
      <c r="Q269" s="380"/>
    </row>
    <row r="270" spans="1:17" s="141" customFormat="1">
      <c r="A270" s="153"/>
      <c r="B270" s="159"/>
      <c r="C270" s="159"/>
      <c r="D270" s="587"/>
      <c r="E270" s="159"/>
      <c r="F270" s="535"/>
      <c r="G270" s="535"/>
      <c r="H270" s="32"/>
      <c r="I270" s="32"/>
      <c r="J270" s="380"/>
      <c r="K270" s="516"/>
      <c r="L270" s="159"/>
      <c r="M270" s="153"/>
      <c r="N270" s="153"/>
      <c r="O270" s="535"/>
      <c r="P270" s="535"/>
      <c r="Q270" s="380"/>
    </row>
    <row r="271" spans="1:17" s="141" customFormat="1">
      <c r="A271" s="153"/>
      <c r="B271" s="159"/>
      <c r="C271" s="159"/>
      <c r="D271" s="587"/>
      <c r="E271" s="159"/>
      <c r="F271" s="535"/>
      <c r="G271" s="535"/>
      <c r="H271" s="32"/>
      <c r="I271" s="32"/>
      <c r="J271" s="380"/>
      <c r="K271" s="516"/>
      <c r="L271" s="159"/>
      <c r="M271" s="153"/>
      <c r="N271" s="153"/>
      <c r="O271" s="535"/>
      <c r="P271" s="535"/>
      <c r="Q271" s="380"/>
    </row>
    <row r="272" spans="1:17" s="141" customFormat="1">
      <c r="A272" s="153"/>
      <c r="B272" s="159"/>
      <c r="C272" s="159"/>
      <c r="D272" s="587"/>
      <c r="E272" s="159"/>
      <c r="F272" s="535"/>
      <c r="G272" s="535"/>
      <c r="H272" s="32"/>
      <c r="I272" s="32"/>
      <c r="J272" s="380"/>
      <c r="K272" s="516"/>
      <c r="L272" s="159"/>
      <c r="M272" s="153"/>
      <c r="N272" s="153"/>
      <c r="O272" s="535"/>
      <c r="P272" s="535"/>
      <c r="Q272" s="380"/>
    </row>
    <row r="273" spans="1:17" s="141" customFormat="1">
      <c r="A273" s="153"/>
      <c r="B273" s="159"/>
      <c r="C273" s="159"/>
      <c r="D273" s="587"/>
      <c r="E273" s="159"/>
      <c r="F273" s="535"/>
      <c r="G273" s="535"/>
      <c r="H273" s="32"/>
      <c r="I273" s="32"/>
      <c r="J273" s="380"/>
      <c r="K273" s="516"/>
      <c r="L273" s="159"/>
      <c r="M273" s="153"/>
      <c r="N273" s="153"/>
      <c r="O273" s="535"/>
      <c r="P273" s="535"/>
      <c r="Q273" s="380"/>
    </row>
    <row r="274" spans="1:17" s="141" customFormat="1">
      <c r="A274" s="153"/>
      <c r="B274" s="159"/>
      <c r="C274" s="159"/>
      <c r="D274" s="587"/>
      <c r="E274" s="159"/>
      <c r="F274" s="535"/>
      <c r="G274" s="535"/>
      <c r="H274" s="32"/>
      <c r="I274" s="32"/>
      <c r="J274" s="380"/>
      <c r="K274" s="516"/>
      <c r="L274" s="159"/>
      <c r="M274" s="153"/>
      <c r="N274" s="153"/>
      <c r="O274" s="535"/>
      <c r="P274" s="535"/>
      <c r="Q274" s="380"/>
    </row>
    <row r="275" spans="1:17" s="141" customFormat="1">
      <c r="A275" s="153"/>
      <c r="B275" s="159"/>
      <c r="C275" s="159"/>
      <c r="D275" s="587"/>
      <c r="E275" s="159"/>
      <c r="F275" s="535"/>
      <c r="G275" s="535"/>
      <c r="H275" s="32"/>
      <c r="I275" s="32"/>
      <c r="J275" s="380"/>
      <c r="K275" s="516"/>
      <c r="L275" s="159"/>
      <c r="M275" s="153"/>
      <c r="N275" s="153"/>
      <c r="O275" s="535"/>
      <c r="P275" s="535"/>
      <c r="Q275" s="380"/>
    </row>
    <row r="276" spans="1:17" s="141" customFormat="1">
      <c r="A276" s="153"/>
      <c r="B276" s="159"/>
      <c r="C276" s="159"/>
      <c r="D276" s="587"/>
      <c r="E276" s="159"/>
      <c r="F276" s="535"/>
      <c r="G276" s="535"/>
      <c r="H276" s="32"/>
      <c r="I276" s="32"/>
      <c r="J276" s="380"/>
      <c r="K276" s="516"/>
      <c r="L276" s="159"/>
      <c r="M276" s="153"/>
      <c r="N276" s="153"/>
      <c r="O276" s="535"/>
      <c r="P276" s="535"/>
      <c r="Q276" s="380"/>
    </row>
    <row r="277" spans="1:17" s="141" customFormat="1">
      <c r="A277" s="153"/>
      <c r="B277" s="159"/>
      <c r="C277" s="159"/>
      <c r="D277" s="587"/>
      <c r="E277" s="159"/>
      <c r="F277" s="535"/>
      <c r="G277" s="535"/>
      <c r="H277" s="32"/>
      <c r="I277" s="32"/>
      <c r="J277" s="380"/>
      <c r="K277" s="516"/>
      <c r="L277" s="159"/>
      <c r="M277" s="153"/>
      <c r="N277" s="153"/>
      <c r="O277" s="535"/>
      <c r="P277" s="535"/>
      <c r="Q277" s="380"/>
    </row>
    <row r="278" spans="1:17" s="141" customFormat="1">
      <c r="A278" s="153"/>
      <c r="B278" s="159"/>
      <c r="C278" s="159"/>
      <c r="D278" s="587"/>
      <c r="E278" s="159"/>
      <c r="F278" s="535"/>
      <c r="G278" s="535"/>
      <c r="H278" s="32"/>
      <c r="I278" s="32"/>
      <c r="J278" s="380"/>
      <c r="K278" s="516"/>
      <c r="L278" s="159"/>
      <c r="M278" s="153"/>
      <c r="N278" s="153"/>
      <c r="O278" s="535"/>
      <c r="P278" s="535"/>
      <c r="Q278" s="380"/>
    </row>
    <row r="279" spans="1:17" s="141" customFormat="1">
      <c r="A279" s="153"/>
      <c r="B279" s="159"/>
      <c r="C279" s="159"/>
      <c r="D279" s="587"/>
      <c r="E279" s="159"/>
      <c r="F279" s="535"/>
      <c r="G279" s="535"/>
      <c r="H279" s="32"/>
      <c r="I279" s="32"/>
      <c r="J279" s="380"/>
      <c r="K279" s="516"/>
      <c r="L279" s="159"/>
      <c r="M279" s="153"/>
      <c r="N279" s="153"/>
      <c r="O279" s="535"/>
      <c r="P279" s="535"/>
      <c r="Q279" s="380"/>
    </row>
    <row r="280" spans="1:17" s="141" customFormat="1">
      <c r="A280" s="153"/>
      <c r="B280" s="159"/>
      <c r="C280" s="159"/>
      <c r="D280" s="587"/>
      <c r="E280" s="159"/>
      <c r="F280" s="535"/>
      <c r="G280" s="535"/>
      <c r="H280" s="32"/>
      <c r="I280" s="32"/>
      <c r="J280" s="380"/>
      <c r="K280" s="516"/>
      <c r="L280" s="159"/>
      <c r="M280" s="153"/>
      <c r="N280" s="153"/>
      <c r="O280" s="535"/>
      <c r="P280" s="535"/>
      <c r="Q280" s="380"/>
    </row>
    <row r="281" spans="1:17">
      <c r="A281" s="153"/>
      <c r="B281" s="159"/>
      <c r="C281" s="159"/>
      <c r="D281" s="587"/>
      <c r="E281" s="159"/>
      <c r="F281" s="153"/>
      <c r="G281" s="153"/>
      <c r="H281" s="32"/>
      <c r="I281" s="32"/>
      <c r="J281" s="380"/>
      <c r="K281" s="516"/>
      <c r="L281" s="1333"/>
      <c r="M281" s="32"/>
      <c r="N281" s="32"/>
      <c r="O281" s="32"/>
    </row>
    <row r="282" spans="1:17">
      <c r="A282" s="153"/>
      <c r="B282" s="159"/>
      <c r="C282" s="159"/>
      <c r="D282" s="587"/>
      <c r="E282" s="159"/>
      <c r="F282" s="535"/>
      <c r="G282" s="535"/>
      <c r="H282" s="32"/>
      <c r="I282" s="32"/>
      <c r="J282" s="380"/>
      <c r="K282" s="516"/>
      <c r="L282" s="1333"/>
      <c r="M282" s="32"/>
      <c r="N282" s="32"/>
      <c r="O282" s="32"/>
    </row>
    <row r="283" spans="1:17">
      <c r="A283" s="153"/>
      <c r="B283" s="159"/>
      <c r="C283" s="159"/>
      <c r="D283" s="587"/>
      <c r="E283" s="159"/>
      <c r="F283" s="535"/>
      <c r="G283" s="535"/>
      <c r="H283" s="32"/>
      <c r="I283" s="32"/>
      <c r="J283" s="380"/>
      <c r="K283" s="516"/>
      <c r="L283" s="1333"/>
      <c r="M283" s="32"/>
      <c r="N283" s="32"/>
      <c r="O283" s="32"/>
    </row>
    <row r="284" spans="1:17">
      <c r="A284" s="153"/>
      <c r="B284" s="159"/>
      <c r="C284" s="159"/>
      <c r="D284" s="587"/>
      <c r="E284" s="159"/>
      <c r="F284" s="535"/>
      <c r="G284" s="535"/>
      <c r="H284" s="32"/>
      <c r="I284" s="32"/>
      <c r="J284" s="380"/>
      <c r="K284" s="516"/>
      <c r="L284" s="1333"/>
      <c r="M284" s="32"/>
      <c r="N284" s="32"/>
      <c r="O284" s="32"/>
    </row>
    <row r="285" spans="1:17">
      <c r="A285" s="153"/>
      <c r="B285" s="159"/>
      <c r="C285" s="159"/>
      <c r="D285" s="587"/>
      <c r="E285" s="159"/>
      <c r="F285" s="535"/>
      <c r="G285" s="535"/>
      <c r="H285" s="32"/>
      <c r="I285" s="32"/>
      <c r="J285" s="380"/>
      <c r="K285" s="516"/>
      <c r="L285" s="1333"/>
      <c r="M285" s="32"/>
      <c r="N285" s="32"/>
      <c r="O285" s="32"/>
    </row>
    <row r="286" spans="1:17">
      <c r="A286" s="153"/>
      <c r="B286" s="159"/>
      <c r="C286" s="159"/>
      <c r="D286" s="587"/>
      <c r="E286" s="159"/>
      <c r="F286" s="535"/>
      <c r="G286" s="535"/>
      <c r="H286" s="32"/>
      <c r="I286" s="32"/>
      <c r="J286" s="380"/>
      <c r="K286" s="516"/>
      <c r="L286" s="1333"/>
      <c r="M286" s="32"/>
      <c r="N286" s="32"/>
      <c r="O286" s="32"/>
    </row>
    <row r="287" spans="1:17">
      <c r="A287" s="153"/>
      <c r="B287" s="159"/>
      <c r="C287" s="159"/>
      <c r="D287" s="587"/>
      <c r="E287" s="159"/>
      <c r="F287" s="535"/>
      <c r="G287" s="535"/>
      <c r="H287" s="32"/>
      <c r="I287" s="32"/>
      <c r="J287" s="380"/>
      <c r="K287" s="516"/>
      <c r="L287" s="1333"/>
      <c r="M287" s="32"/>
      <c r="N287" s="32"/>
      <c r="O287" s="32"/>
    </row>
    <row r="288" spans="1:17">
      <c r="A288" s="153"/>
      <c r="B288" s="159"/>
      <c r="C288" s="159"/>
      <c r="D288" s="587"/>
      <c r="E288" s="159"/>
      <c r="F288" s="535"/>
      <c r="G288" s="535"/>
      <c r="H288" s="32"/>
      <c r="I288" s="32"/>
      <c r="J288" s="380"/>
      <c r="K288" s="516"/>
      <c r="L288" s="1333"/>
      <c r="M288" s="32"/>
      <c r="N288" s="32"/>
      <c r="O288" s="32"/>
    </row>
    <row r="289" spans="1:15">
      <c r="A289" s="153"/>
      <c r="B289" s="159"/>
      <c r="C289" s="159"/>
      <c r="D289" s="587"/>
      <c r="E289" s="159"/>
      <c r="F289" s="535"/>
      <c r="G289" s="535"/>
      <c r="H289" s="32"/>
      <c r="I289" s="32"/>
      <c r="J289" s="380"/>
      <c r="K289" s="516"/>
      <c r="L289" s="1333"/>
      <c r="M289" s="32"/>
      <c r="N289" s="32"/>
      <c r="O289" s="32"/>
    </row>
    <row r="290" spans="1:15">
      <c r="A290" s="153"/>
      <c r="B290" s="159"/>
      <c r="C290" s="159"/>
      <c r="D290" s="587"/>
      <c r="E290" s="159"/>
      <c r="F290" s="153"/>
      <c r="G290" s="153"/>
      <c r="H290" s="32"/>
      <c r="I290" s="32"/>
      <c r="J290" s="380"/>
      <c r="K290" s="516"/>
      <c r="L290" s="1333"/>
      <c r="M290" s="32"/>
      <c r="N290" s="32"/>
      <c r="O290" s="32"/>
    </row>
    <row r="291" spans="1:15">
      <c r="A291" s="153"/>
      <c r="B291" s="159"/>
      <c r="C291" s="159"/>
      <c r="D291" s="587"/>
      <c r="E291" s="159"/>
      <c r="F291" s="535"/>
      <c r="G291" s="535"/>
      <c r="H291" s="32"/>
      <c r="I291" s="32"/>
      <c r="J291" s="380"/>
      <c r="K291" s="516"/>
      <c r="L291" s="1333"/>
      <c r="M291" s="32"/>
      <c r="N291" s="32"/>
      <c r="O291" s="32"/>
    </row>
    <row r="292" spans="1:15">
      <c r="A292" s="153"/>
      <c r="B292" s="159"/>
      <c r="C292" s="159"/>
      <c r="D292" s="587"/>
      <c r="E292" s="159"/>
      <c r="F292" s="535"/>
      <c r="G292" s="535"/>
      <c r="H292" s="32"/>
      <c r="I292" s="32"/>
      <c r="J292" s="380"/>
      <c r="K292" s="516"/>
      <c r="L292" s="1333"/>
      <c r="M292" s="32"/>
      <c r="N292" s="32"/>
      <c r="O292" s="32"/>
    </row>
    <row r="293" spans="1:15">
      <c r="A293" s="161"/>
      <c r="B293" s="161"/>
      <c r="C293" s="161"/>
      <c r="D293" s="196"/>
      <c r="E293" s="161"/>
      <c r="F293" s="160"/>
      <c r="G293" s="160"/>
      <c r="H293" s="32"/>
      <c r="I293" s="32"/>
      <c r="J293" s="380"/>
      <c r="K293" s="516"/>
      <c r="L293" s="1333"/>
      <c r="M293" s="32"/>
      <c r="N293" s="32"/>
      <c r="O293" s="32"/>
    </row>
    <row r="294" spans="1:15">
      <c r="A294" s="161"/>
      <c r="B294" s="161"/>
      <c r="C294" s="161"/>
      <c r="D294" s="196"/>
      <c r="E294" s="161"/>
      <c r="F294" s="160"/>
      <c r="G294" s="160"/>
      <c r="H294" s="32"/>
      <c r="I294" s="32"/>
      <c r="J294" s="380"/>
      <c r="K294" s="516"/>
      <c r="L294" s="1333"/>
      <c r="M294" s="32"/>
      <c r="N294" s="32"/>
      <c r="O294" s="32"/>
    </row>
    <row r="295" spans="1:15">
      <c r="A295" s="161"/>
      <c r="B295" s="161"/>
      <c r="C295" s="161"/>
      <c r="D295" s="196"/>
      <c r="E295" s="161"/>
      <c r="F295" s="160"/>
      <c r="G295" s="160"/>
      <c r="H295" s="32"/>
      <c r="I295" s="32"/>
      <c r="J295" s="380"/>
      <c r="K295" s="516"/>
      <c r="L295" s="1333"/>
      <c r="M295" s="32"/>
      <c r="N295" s="32"/>
      <c r="O295" s="32"/>
    </row>
    <row r="296" spans="1:15">
      <c r="A296" s="161"/>
      <c r="B296" s="161"/>
      <c r="C296" s="161"/>
      <c r="D296" s="196"/>
      <c r="E296" s="161"/>
      <c r="F296" s="160"/>
      <c r="G296" s="160"/>
      <c r="H296" s="32"/>
      <c r="I296" s="32"/>
      <c r="J296" s="380"/>
      <c r="K296" s="516"/>
      <c r="L296" s="1333"/>
      <c r="M296" s="32"/>
      <c r="N296" s="32"/>
      <c r="O296" s="32"/>
    </row>
    <row r="297" spans="1:15">
      <c r="A297" s="161"/>
      <c r="B297" s="161"/>
      <c r="C297" s="161"/>
      <c r="D297" s="196"/>
      <c r="E297" s="161"/>
      <c r="F297" s="160"/>
      <c r="G297" s="160"/>
      <c r="H297" s="32"/>
      <c r="I297" s="32"/>
      <c r="J297" s="380"/>
      <c r="K297" s="516"/>
      <c r="L297" s="1333"/>
      <c r="M297" s="32"/>
      <c r="N297" s="32"/>
      <c r="O297" s="32"/>
    </row>
    <row r="298" spans="1:15">
      <c r="A298" s="161"/>
      <c r="B298" s="161"/>
      <c r="C298" s="161"/>
      <c r="D298" s="196"/>
      <c r="E298" s="161"/>
      <c r="F298" s="160"/>
      <c r="G298" s="160"/>
      <c r="H298" s="32"/>
      <c r="I298" s="32"/>
      <c r="J298" s="380"/>
      <c r="K298" s="516"/>
      <c r="L298" s="1333"/>
      <c r="M298" s="32"/>
      <c r="N298" s="32"/>
      <c r="O298" s="32"/>
    </row>
    <row r="299" spans="1:15">
      <c r="A299" s="161"/>
      <c r="B299" s="161"/>
      <c r="C299" s="161"/>
      <c r="D299" s="196"/>
      <c r="E299" s="161"/>
      <c r="F299" s="160"/>
      <c r="G299" s="160"/>
      <c r="H299" s="32"/>
      <c r="I299" s="32"/>
      <c r="J299" s="380"/>
      <c r="K299" s="516"/>
      <c r="L299" s="1333"/>
      <c r="M299" s="32"/>
      <c r="N299" s="32"/>
      <c r="O299" s="32"/>
    </row>
    <row r="300" spans="1:15">
      <c r="A300" s="161"/>
      <c r="B300" s="161"/>
      <c r="C300" s="161"/>
      <c r="D300" s="196"/>
      <c r="E300" s="161"/>
      <c r="F300" s="160"/>
      <c r="G300" s="160"/>
      <c r="H300" s="32"/>
      <c r="I300" s="32"/>
      <c r="J300" s="380"/>
      <c r="K300" s="516"/>
      <c r="L300" s="1333"/>
      <c r="M300" s="32"/>
      <c r="N300" s="32"/>
      <c r="O300" s="32"/>
    </row>
    <row r="301" spans="1:15">
      <c r="A301" s="161"/>
      <c r="B301" s="161"/>
      <c r="C301" s="161"/>
      <c r="D301" s="196"/>
      <c r="E301" s="161"/>
      <c r="F301" s="160"/>
      <c r="G301" s="160"/>
      <c r="H301" s="32"/>
      <c r="I301" s="32"/>
      <c r="J301" s="380"/>
      <c r="K301" s="516"/>
    </row>
    <row r="302" spans="1:15">
      <c r="A302" s="161"/>
      <c r="B302" s="161"/>
      <c r="C302" s="161"/>
      <c r="D302" s="196"/>
      <c r="E302" s="161"/>
      <c r="F302" s="160"/>
      <c r="G302" s="160"/>
      <c r="H302" s="32"/>
      <c r="I302" s="32"/>
      <c r="J302" s="380"/>
      <c r="K302" s="516"/>
      <c r="L302" s="1333"/>
      <c r="M302" s="32"/>
      <c r="N302" s="32"/>
    </row>
    <row r="303" spans="1:15">
      <c r="A303" s="161"/>
      <c r="B303" s="161"/>
      <c r="C303" s="161"/>
      <c r="D303" s="196"/>
      <c r="E303" s="161"/>
      <c r="F303" s="160"/>
      <c r="G303" s="160"/>
      <c r="H303" s="32"/>
      <c r="I303" s="32"/>
      <c r="J303" s="380"/>
      <c r="K303" s="516"/>
      <c r="L303" s="1333"/>
      <c r="M303" s="32"/>
      <c r="N303" s="32"/>
    </row>
    <row r="304" spans="1:15">
      <c r="A304" s="161"/>
      <c r="B304" s="161"/>
      <c r="C304" s="161"/>
      <c r="D304" s="196"/>
      <c r="E304" s="161"/>
      <c r="F304" s="160"/>
      <c r="G304" s="160"/>
      <c r="H304" s="32"/>
      <c r="I304" s="32"/>
      <c r="J304" s="380"/>
      <c r="K304" s="516"/>
    </row>
    <row r="305" spans="1:12">
      <c r="A305" s="161"/>
      <c r="B305" s="161"/>
      <c r="C305" s="161"/>
      <c r="D305" s="196"/>
      <c r="E305" s="161"/>
      <c r="F305" s="160"/>
      <c r="G305" s="160"/>
      <c r="H305" s="32"/>
      <c r="I305" s="32"/>
      <c r="J305" s="380"/>
      <c r="K305" s="516"/>
    </row>
    <row r="306" spans="1:12">
      <c r="A306" s="161"/>
      <c r="B306" s="161"/>
      <c r="C306" s="161"/>
      <c r="D306" s="196"/>
      <c r="E306" s="161"/>
      <c r="F306" s="160"/>
      <c r="G306" s="160"/>
      <c r="H306" s="32"/>
      <c r="I306" s="32"/>
      <c r="J306" s="380"/>
      <c r="K306" s="516"/>
    </row>
    <row r="307" spans="1:12">
      <c r="A307" s="161"/>
      <c r="B307" s="161"/>
      <c r="C307" s="161"/>
      <c r="D307" s="196"/>
      <c r="E307" s="161"/>
      <c r="F307" s="160"/>
      <c r="G307" s="160"/>
      <c r="H307" s="32"/>
      <c r="I307" s="32"/>
      <c r="J307" s="380"/>
      <c r="K307" s="516"/>
    </row>
    <row r="308" spans="1:12">
      <c r="A308" s="161"/>
      <c r="B308" s="161"/>
      <c r="C308" s="161"/>
      <c r="D308" s="196"/>
      <c r="E308" s="161"/>
      <c r="F308" s="161"/>
      <c r="G308" s="161"/>
      <c r="H308" s="32"/>
      <c r="I308" s="32"/>
      <c r="J308" s="380"/>
      <c r="K308" s="516"/>
    </row>
    <row r="309" spans="1:12">
      <c r="A309" s="161"/>
      <c r="B309" s="161"/>
      <c r="C309" s="161"/>
      <c r="D309" s="196"/>
      <c r="E309" s="161"/>
      <c r="F309" s="161"/>
      <c r="G309" s="161"/>
      <c r="H309" s="32"/>
      <c r="I309" s="32"/>
      <c r="J309" s="380"/>
      <c r="K309" s="516"/>
    </row>
    <row r="310" spans="1:12" s="141" customFormat="1">
      <c r="A310" s="161"/>
      <c r="B310" s="161"/>
      <c r="C310" s="161"/>
      <c r="D310" s="196"/>
      <c r="E310" s="161"/>
      <c r="F310" s="161"/>
      <c r="G310" s="161"/>
      <c r="H310" s="32"/>
      <c r="I310" s="32"/>
      <c r="J310" s="380"/>
      <c r="K310" s="516"/>
      <c r="L310" s="461"/>
    </row>
    <row r="311" spans="1:12" s="141" customFormat="1">
      <c r="B311" s="161"/>
      <c r="C311" s="161"/>
      <c r="D311" s="196"/>
      <c r="E311" s="161"/>
      <c r="F311" s="161"/>
      <c r="G311" s="161"/>
      <c r="H311" s="32"/>
      <c r="I311" s="32"/>
      <c r="J311" s="380"/>
      <c r="K311" s="516"/>
      <c r="L311" s="461"/>
    </row>
    <row r="312" spans="1:12" s="141" customFormat="1">
      <c r="B312" s="161"/>
      <c r="C312" s="161"/>
      <c r="D312" s="196"/>
      <c r="E312" s="161"/>
      <c r="F312" s="161"/>
      <c r="G312" s="161"/>
      <c r="H312" s="32"/>
      <c r="I312" s="32"/>
      <c r="J312" s="380"/>
      <c r="K312" s="516"/>
      <c r="L312" s="461"/>
    </row>
    <row r="313" spans="1:12" s="141" customFormat="1">
      <c r="B313" s="461"/>
      <c r="C313" s="461"/>
      <c r="D313" s="588"/>
      <c r="E313" s="461"/>
      <c r="H313" s="32"/>
      <c r="I313" s="32"/>
      <c r="J313" s="380"/>
      <c r="K313" s="516"/>
      <c r="L313" s="461"/>
    </row>
    <row r="314" spans="1:12" s="141" customFormat="1">
      <c r="B314" s="461"/>
      <c r="C314" s="461"/>
      <c r="D314" s="588"/>
      <c r="E314" s="461"/>
      <c r="H314" s="32"/>
      <c r="I314" s="32"/>
      <c r="J314" s="380"/>
      <c r="K314" s="516"/>
      <c r="L314" s="461"/>
    </row>
    <row r="315" spans="1:12" s="141" customFormat="1">
      <c r="B315" s="461"/>
      <c r="C315" s="461"/>
      <c r="D315" s="588"/>
      <c r="E315" s="461"/>
      <c r="H315" s="32"/>
      <c r="I315" s="32"/>
      <c r="J315" s="380"/>
      <c r="K315" s="516"/>
      <c r="L315" s="461"/>
    </row>
    <row r="316" spans="1:12" s="141" customFormat="1">
      <c r="B316" s="461"/>
      <c r="C316" s="461"/>
      <c r="D316" s="588"/>
      <c r="E316" s="461"/>
      <c r="H316" s="32"/>
      <c r="I316" s="32"/>
      <c r="J316" s="380"/>
      <c r="K316" s="516"/>
      <c r="L316" s="461"/>
    </row>
    <row r="317" spans="1:12" s="141" customFormat="1">
      <c r="B317" s="461"/>
      <c r="C317" s="461"/>
      <c r="D317" s="588"/>
      <c r="E317" s="461"/>
      <c r="H317" s="32"/>
      <c r="I317" s="32"/>
      <c r="J317" s="380"/>
      <c r="K317" s="516"/>
      <c r="L317" s="461"/>
    </row>
    <row r="318" spans="1:12" s="141" customFormat="1">
      <c r="B318" s="461"/>
      <c r="C318" s="461"/>
      <c r="D318" s="588"/>
      <c r="E318" s="461"/>
      <c r="H318" s="32"/>
      <c r="I318" s="32"/>
      <c r="J318" s="380"/>
      <c r="K318" s="516"/>
      <c r="L318" s="461"/>
    </row>
    <row r="319" spans="1:12" s="141" customFormat="1">
      <c r="B319" s="461"/>
      <c r="C319" s="461"/>
      <c r="D319" s="588"/>
      <c r="E319" s="461"/>
      <c r="H319" s="32"/>
      <c r="I319" s="32"/>
      <c r="J319" s="380"/>
      <c r="K319" s="516"/>
      <c r="L319" s="461"/>
    </row>
    <row r="320" spans="1:12" s="141" customFormat="1">
      <c r="B320" s="461"/>
      <c r="C320" s="461"/>
      <c r="D320" s="588"/>
      <c r="E320" s="461"/>
      <c r="H320" s="32"/>
      <c r="I320" s="32"/>
      <c r="J320" s="380"/>
      <c r="K320" s="516"/>
      <c r="L320" s="461"/>
    </row>
    <row r="321" spans="2:12" s="141" customFormat="1">
      <c r="B321" s="461"/>
      <c r="C321" s="461"/>
      <c r="D321" s="588"/>
      <c r="E321" s="461"/>
      <c r="H321" s="32"/>
      <c r="I321" s="32"/>
      <c r="J321" s="380"/>
      <c r="K321" s="516"/>
      <c r="L321" s="461"/>
    </row>
    <row r="322" spans="2:12" s="141" customFormat="1">
      <c r="B322" s="461"/>
      <c r="C322" s="461"/>
      <c r="D322" s="588"/>
      <c r="E322" s="461"/>
      <c r="H322" s="32"/>
      <c r="I322" s="32"/>
      <c r="J322" s="380"/>
      <c r="K322" s="516"/>
      <c r="L322" s="461"/>
    </row>
    <row r="323" spans="2:12" s="141" customFormat="1">
      <c r="B323" s="461"/>
      <c r="C323" s="461"/>
      <c r="D323" s="588"/>
      <c r="E323" s="461"/>
      <c r="H323" s="32"/>
      <c r="I323" s="32"/>
      <c r="J323" s="380"/>
      <c r="K323" s="516"/>
      <c r="L323" s="461"/>
    </row>
    <row r="324" spans="2:12" s="141" customFormat="1">
      <c r="B324" s="461"/>
      <c r="C324" s="461"/>
      <c r="D324" s="461"/>
      <c r="E324" s="461"/>
      <c r="H324" s="32"/>
      <c r="I324" s="32"/>
      <c r="J324" s="380"/>
      <c r="K324" s="516"/>
      <c r="L324" s="461"/>
    </row>
    <row r="325" spans="2:12" s="141" customFormat="1">
      <c r="B325" s="461"/>
      <c r="C325" s="461"/>
      <c r="D325" s="588"/>
      <c r="E325" s="461"/>
      <c r="H325" s="32"/>
      <c r="I325" s="32"/>
      <c r="J325" s="380"/>
      <c r="K325" s="516"/>
      <c r="L325" s="461"/>
    </row>
    <row r="326" spans="2:12" s="141" customFormat="1">
      <c r="B326" s="461"/>
      <c r="C326" s="461"/>
      <c r="D326" s="588"/>
      <c r="E326" s="461"/>
      <c r="H326" s="32"/>
      <c r="I326" s="32"/>
      <c r="J326" s="380"/>
      <c r="K326" s="516"/>
      <c r="L326" s="461"/>
    </row>
    <row r="327" spans="2:12" s="141" customFormat="1">
      <c r="B327" s="461"/>
      <c r="C327" s="461"/>
      <c r="D327" s="588"/>
      <c r="E327" s="461"/>
      <c r="H327" s="32"/>
      <c r="I327" s="32"/>
      <c r="J327" s="380"/>
      <c r="K327" s="516"/>
      <c r="L327" s="461"/>
    </row>
  </sheetData>
  <autoFilter ref="A128:G128" xr:uid="{00000000-0009-0000-0000-000012000000}"/>
  <mergeCells count="58">
    <mergeCell ref="B120:B121"/>
    <mergeCell ref="G120:G121"/>
    <mergeCell ref="B91:B92"/>
    <mergeCell ref="B94:B95"/>
    <mergeCell ref="G84:G86"/>
    <mergeCell ref="B84:B86"/>
    <mergeCell ref="B88:B89"/>
    <mergeCell ref="G88:G89"/>
    <mergeCell ref="B115:B118"/>
    <mergeCell ref="G115:G118"/>
    <mergeCell ref="B97:B98"/>
    <mergeCell ref="G97:G98"/>
    <mergeCell ref="B106:B109"/>
    <mergeCell ref="G106:G109"/>
    <mergeCell ref="B100:B101"/>
    <mergeCell ref="G100:G101"/>
    <mergeCell ref="B6:B8"/>
    <mergeCell ref="B10:B12"/>
    <mergeCell ref="B14:B16"/>
    <mergeCell ref="B18:B20"/>
    <mergeCell ref="B22:B26"/>
    <mergeCell ref="B66:B70"/>
    <mergeCell ref="B72:B76"/>
    <mergeCell ref="G41:G43"/>
    <mergeCell ref="G44:G46"/>
    <mergeCell ref="B37:B40"/>
    <mergeCell ref="B111:B113"/>
    <mergeCell ref="G111:G113"/>
    <mergeCell ref="G5:G8"/>
    <mergeCell ref="G9:G12"/>
    <mergeCell ref="G13:G16"/>
    <mergeCell ref="G17:G20"/>
    <mergeCell ref="G34:G35"/>
    <mergeCell ref="G30:G32"/>
    <mergeCell ref="G21:G26"/>
    <mergeCell ref="B78:B79"/>
    <mergeCell ref="G78:G79"/>
    <mergeCell ref="B28:B29"/>
    <mergeCell ref="B31:B32"/>
    <mergeCell ref="B34:B35"/>
    <mergeCell ref="B42:B43"/>
    <mergeCell ref="B45:B46"/>
    <mergeCell ref="B103:B104"/>
    <mergeCell ref="G103:G104"/>
    <mergeCell ref="A126:G126"/>
    <mergeCell ref="G36:G40"/>
    <mergeCell ref="G47:G49"/>
    <mergeCell ref="G50:G53"/>
    <mergeCell ref="G54:G59"/>
    <mergeCell ref="G61:G64"/>
    <mergeCell ref="G66:G70"/>
    <mergeCell ref="G72:G76"/>
    <mergeCell ref="B48:B49"/>
    <mergeCell ref="B51:B53"/>
    <mergeCell ref="B55:B59"/>
    <mergeCell ref="B61:B64"/>
    <mergeCell ref="B81:B82"/>
    <mergeCell ref="G81:G82"/>
  </mergeCells>
  <conditionalFormatting sqref="C6:C7">
    <cfRule type="duplicateValues" dxfId="370" priority="214" stopIfTrue="1"/>
  </conditionalFormatting>
  <conditionalFormatting sqref="C6:C7">
    <cfRule type="duplicateValues" dxfId="369" priority="215" stopIfTrue="1"/>
    <cfRule type="duplicateValues" dxfId="368" priority="216" stopIfTrue="1"/>
  </conditionalFormatting>
  <conditionalFormatting sqref="C8">
    <cfRule type="duplicateValues" dxfId="367" priority="211" stopIfTrue="1"/>
  </conditionalFormatting>
  <conditionalFormatting sqref="C8">
    <cfRule type="duplicateValues" dxfId="366" priority="212" stopIfTrue="1"/>
    <cfRule type="duplicateValues" dxfId="365" priority="213" stopIfTrue="1"/>
  </conditionalFormatting>
  <conditionalFormatting sqref="C18">
    <cfRule type="duplicateValues" dxfId="364" priority="196" stopIfTrue="1"/>
  </conditionalFormatting>
  <conditionalFormatting sqref="C18">
    <cfRule type="duplicateValues" dxfId="363" priority="197" stopIfTrue="1"/>
    <cfRule type="duplicateValues" dxfId="362" priority="198" stopIfTrue="1"/>
  </conditionalFormatting>
  <conditionalFormatting sqref="C22:C23">
    <cfRule type="duplicateValues" dxfId="361" priority="193" stopIfTrue="1"/>
  </conditionalFormatting>
  <conditionalFormatting sqref="C22:C23">
    <cfRule type="duplicateValues" dxfId="360" priority="194" stopIfTrue="1"/>
    <cfRule type="duplicateValues" dxfId="359" priority="195" stopIfTrue="1"/>
  </conditionalFormatting>
  <conditionalFormatting sqref="C28">
    <cfRule type="duplicateValues" dxfId="358" priority="190" stopIfTrue="1"/>
  </conditionalFormatting>
  <conditionalFormatting sqref="C28">
    <cfRule type="duplicateValues" dxfId="357" priority="191" stopIfTrue="1"/>
    <cfRule type="duplicateValues" dxfId="356" priority="192" stopIfTrue="1"/>
  </conditionalFormatting>
  <conditionalFormatting sqref="C31">
    <cfRule type="duplicateValues" dxfId="355" priority="187" stopIfTrue="1"/>
  </conditionalFormatting>
  <conditionalFormatting sqref="C31">
    <cfRule type="duplicateValues" dxfId="354" priority="188" stopIfTrue="1"/>
    <cfRule type="duplicateValues" dxfId="353" priority="189" stopIfTrue="1"/>
  </conditionalFormatting>
  <conditionalFormatting sqref="C40">
    <cfRule type="duplicateValues" dxfId="352" priority="181" stopIfTrue="1"/>
  </conditionalFormatting>
  <conditionalFormatting sqref="C40">
    <cfRule type="duplicateValues" dxfId="351" priority="182" stopIfTrue="1"/>
    <cfRule type="duplicateValues" dxfId="350" priority="183" stopIfTrue="1"/>
  </conditionalFormatting>
  <conditionalFormatting sqref="K25">
    <cfRule type="duplicateValues" dxfId="349" priority="175" stopIfTrue="1"/>
  </conditionalFormatting>
  <conditionalFormatting sqref="K25">
    <cfRule type="duplicateValues" dxfId="348" priority="176" stopIfTrue="1"/>
    <cfRule type="duplicateValues" dxfId="347" priority="177" stopIfTrue="1"/>
  </conditionalFormatting>
  <conditionalFormatting sqref="K30">
    <cfRule type="duplicateValues" dxfId="346" priority="172" stopIfTrue="1"/>
  </conditionalFormatting>
  <conditionalFormatting sqref="K30">
    <cfRule type="duplicateValues" dxfId="345" priority="173" stopIfTrue="1"/>
    <cfRule type="duplicateValues" dxfId="344" priority="174" stopIfTrue="1"/>
  </conditionalFormatting>
  <conditionalFormatting sqref="K34">
    <cfRule type="duplicateValues" dxfId="343" priority="169" stopIfTrue="1"/>
  </conditionalFormatting>
  <conditionalFormatting sqref="K34">
    <cfRule type="duplicateValues" dxfId="342" priority="170" stopIfTrue="1"/>
    <cfRule type="duplicateValues" dxfId="341" priority="171" stopIfTrue="1"/>
  </conditionalFormatting>
  <conditionalFormatting sqref="K38">
    <cfRule type="duplicateValues" dxfId="340" priority="166" stopIfTrue="1"/>
  </conditionalFormatting>
  <conditionalFormatting sqref="K38">
    <cfRule type="duplicateValues" dxfId="339" priority="167" stopIfTrue="1"/>
    <cfRule type="duplicateValues" dxfId="338" priority="168" stopIfTrue="1"/>
  </conditionalFormatting>
  <conditionalFormatting sqref="K41">
    <cfRule type="duplicateValues" dxfId="337" priority="163" stopIfTrue="1"/>
  </conditionalFormatting>
  <conditionalFormatting sqref="K41">
    <cfRule type="duplicateValues" dxfId="336" priority="164" stopIfTrue="1"/>
    <cfRule type="duplicateValues" dxfId="335" priority="165" stopIfTrue="1"/>
  </conditionalFormatting>
  <conditionalFormatting sqref="K42">
    <cfRule type="duplicateValues" dxfId="334" priority="160" stopIfTrue="1"/>
  </conditionalFormatting>
  <conditionalFormatting sqref="K42">
    <cfRule type="duplicateValues" dxfId="333" priority="161" stopIfTrue="1"/>
    <cfRule type="duplicateValues" dxfId="332" priority="162" stopIfTrue="1"/>
  </conditionalFormatting>
  <conditionalFormatting sqref="C43">
    <cfRule type="duplicateValues" dxfId="331" priority="151" stopIfTrue="1"/>
  </conditionalFormatting>
  <conditionalFormatting sqref="C43">
    <cfRule type="duplicateValues" dxfId="330" priority="152" stopIfTrue="1"/>
    <cfRule type="duplicateValues" dxfId="329" priority="153" stopIfTrue="1"/>
  </conditionalFormatting>
  <conditionalFormatting sqref="C37:C39">
    <cfRule type="duplicateValues" dxfId="328" priority="20940" stopIfTrue="1"/>
  </conditionalFormatting>
  <conditionalFormatting sqref="C37:C39">
    <cfRule type="duplicateValues" dxfId="327" priority="20942" stopIfTrue="1"/>
    <cfRule type="duplicateValues" dxfId="326" priority="20943" stopIfTrue="1"/>
  </conditionalFormatting>
  <conditionalFormatting sqref="C49">
    <cfRule type="duplicateValues" dxfId="325" priority="145" stopIfTrue="1"/>
  </conditionalFormatting>
  <conditionalFormatting sqref="C49">
    <cfRule type="duplicateValues" dxfId="324" priority="146" stopIfTrue="1"/>
    <cfRule type="duplicateValues" dxfId="323" priority="147" stopIfTrue="1"/>
  </conditionalFormatting>
  <conditionalFormatting sqref="C48">
    <cfRule type="duplicateValues" dxfId="322" priority="142" stopIfTrue="1"/>
  </conditionalFormatting>
  <conditionalFormatting sqref="C48">
    <cfRule type="duplicateValues" dxfId="321" priority="143" stopIfTrue="1"/>
    <cfRule type="duplicateValues" dxfId="320" priority="144" stopIfTrue="1"/>
  </conditionalFormatting>
  <conditionalFormatting sqref="C53">
    <cfRule type="duplicateValues" dxfId="319" priority="136" stopIfTrue="1"/>
  </conditionalFormatting>
  <conditionalFormatting sqref="C53">
    <cfRule type="duplicateValues" dxfId="318" priority="137" stopIfTrue="1"/>
    <cfRule type="duplicateValues" dxfId="317" priority="138" stopIfTrue="1"/>
  </conditionalFormatting>
  <conditionalFormatting sqref="C51">
    <cfRule type="duplicateValues" dxfId="316" priority="133" stopIfTrue="1"/>
  </conditionalFormatting>
  <conditionalFormatting sqref="C51">
    <cfRule type="duplicateValues" dxfId="315" priority="134" stopIfTrue="1"/>
    <cfRule type="duplicateValues" dxfId="314" priority="135" stopIfTrue="1"/>
  </conditionalFormatting>
  <conditionalFormatting sqref="C52">
    <cfRule type="duplicateValues" dxfId="313" priority="139" stopIfTrue="1"/>
  </conditionalFormatting>
  <conditionalFormatting sqref="C52">
    <cfRule type="duplicateValues" dxfId="312" priority="140" stopIfTrue="1"/>
    <cfRule type="duplicateValues" dxfId="311" priority="141" stopIfTrue="1"/>
  </conditionalFormatting>
  <conditionalFormatting sqref="C59">
    <cfRule type="duplicateValues" dxfId="310" priority="127" stopIfTrue="1"/>
  </conditionalFormatting>
  <conditionalFormatting sqref="C59">
    <cfRule type="duplicateValues" dxfId="309" priority="128" stopIfTrue="1"/>
    <cfRule type="duplicateValues" dxfId="308" priority="129" stopIfTrue="1"/>
  </conditionalFormatting>
  <conditionalFormatting sqref="C55">
    <cfRule type="duplicateValues" dxfId="307" priority="124" stopIfTrue="1"/>
  </conditionalFormatting>
  <conditionalFormatting sqref="C55">
    <cfRule type="duplicateValues" dxfId="306" priority="125" stopIfTrue="1"/>
    <cfRule type="duplicateValues" dxfId="305" priority="126" stopIfTrue="1"/>
  </conditionalFormatting>
  <conditionalFormatting sqref="C56">
    <cfRule type="duplicateValues" dxfId="304" priority="118" stopIfTrue="1"/>
  </conditionalFormatting>
  <conditionalFormatting sqref="C56">
    <cfRule type="duplicateValues" dxfId="303" priority="119" stopIfTrue="1"/>
    <cfRule type="duplicateValues" dxfId="302" priority="120" stopIfTrue="1"/>
  </conditionalFormatting>
  <conditionalFormatting sqref="C57">
    <cfRule type="duplicateValues" dxfId="301" priority="115" stopIfTrue="1"/>
  </conditionalFormatting>
  <conditionalFormatting sqref="C57">
    <cfRule type="duplicateValues" dxfId="300" priority="116" stopIfTrue="1"/>
    <cfRule type="duplicateValues" dxfId="299" priority="117" stopIfTrue="1"/>
  </conditionalFormatting>
  <conditionalFormatting sqref="C58">
    <cfRule type="duplicateValues" dxfId="298" priority="112" stopIfTrue="1"/>
  </conditionalFormatting>
  <conditionalFormatting sqref="C58">
    <cfRule type="duplicateValues" dxfId="297" priority="113" stopIfTrue="1"/>
    <cfRule type="duplicateValues" dxfId="296" priority="114" stopIfTrue="1"/>
  </conditionalFormatting>
  <conditionalFormatting sqref="C64">
    <cfRule type="duplicateValues" dxfId="295" priority="109" stopIfTrue="1"/>
  </conditionalFormatting>
  <conditionalFormatting sqref="C64">
    <cfRule type="duplicateValues" dxfId="294" priority="110" stopIfTrue="1"/>
    <cfRule type="duplicateValues" dxfId="293" priority="111" stopIfTrue="1"/>
  </conditionalFormatting>
  <conditionalFormatting sqref="K46">
    <cfRule type="duplicateValues" dxfId="292" priority="106" stopIfTrue="1"/>
  </conditionalFormatting>
  <conditionalFormatting sqref="K46">
    <cfRule type="duplicateValues" dxfId="291" priority="107" stopIfTrue="1"/>
    <cfRule type="duplicateValues" dxfId="290" priority="108" stopIfTrue="1"/>
  </conditionalFormatting>
  <conditionalFormatting sqref="K47">
    <cfRule type="duplicateValues" dxfId="289" priority="103" stopIfTrue="1"/>
  </conditionalFormatting>
  <conditionalFormatting sqref="K47">
    <cfRule type="duplicateValues" dxfId="288" priority="104" stopIfTrue="1"/>
    <cfRule type="duplicateValues" dxfId="287" priority="105" stopIfTrue="1"/>
  </conditionalFormatting>
  <conditionalFormatting sqref="K48">
    <cfRule type="duplicateValues" dxfId="286" priority="100" stopIfTrue="1"/>
  </conditionalFormatting>
  <conditionalFormatting sqref="K48">
    <cfRule type="duplicateValues" dxfId="285" priority="101" stopIfTrue="1"/>
    <cfRule type="duplicateValues" dxfId="284" priority="102" stopIfTrue="1"/>
  </conditionalFormatting>
  <conditionalFormatting sqref="K49">
    <cfRule type="duplicateValues" dxfId="283" priority="97" stopIfTrue="1"/>
  </conditionalFormatting>
  <conditionalFormatting sqref="K49">
    <cfRule type="duplicateValues" dxfId="282" priority="98" stopIfTrue="1"/>
    <cfRule type="duplicateValues" dxfId="281" priority="99" stopIfTrue="1"/>
  </conditionalFormatting>
  <conditionalFormatting sqref="K52">
    <cfRule type="duplicateValues" dxfId="280" priority="94" stopIfTrue="1"/>
  </conditionalFormatting>
  <conditionalFormatting sqref="K52">
    <cfRule type="duplicateValues" dxfId="279" priority="95" stopIfTrue="1"/>
    <cfRule type="duplicateValues" dxfId="278" priority="96" stopIfTrue="1"/>
  </conditionalFormatting>
  <conditionalFormatting sqref="K56">
    <cfRule type="duplicateValues" dxfId="277" priority="91" stopIfTrue="1"/>
  </conditionalFormatting>
  <conditionalFormatting sqref="K56">
    <cfRule type="duplicateValues" dxfId="276" priority="92" stopIfTrue="1"/>
    <cfRule type="duplicateValues" dxfId="275" priority="93" stopIfTrue="1"/>
  </conditionalFormatting>
  <conditionalFormatting sqref="C70">
    <cfRule type="duplicateValues" dxfId="274" priority="88" stopIfTrue="1"/>
  </conditionalFormatting>
  <conditionalFormatting sqref="C70">
    <cfRule type="duplicateValues" dxfId="273" priority="89" stopIfTrue="1"/>
    <cfRule type="duplicateValues" dxfId="272" priority="90" stopIfTrue="1"/>
  </conditionalFormatting>
  <conditionalFormatting sqref="K63">
    <cfRule type="duplicateValues" dxfId="271" priority="85" stopIfTrue="1"/>
  </conditionalFormatting>
  <conditionalFormatting sqref="K63">
    <cfRule type="duplicateValues" dxfId="270" priority="86" stopIfTrue="1"/>
    <cfRule type="duplicateValues" dxfId="269" priority="87" stopIfTrue="1"/>
  </conditionalFormatting>
  <conditionalFormatting sqref="K67">
    <cfRule type="duplicateValues" dxfId="268" priority="76" stopIfTrue="1"/>
  </conditionalFormatting>
  <conditionalFormatting sqref="K67">
    <cfRule type="duplicateValues" dxfId="267" priority="77" stopIfTrue="1"/>
    <cfRule type="duplicateValues" dxfId="266" priority="78" stopIfTrue="1"/>
  </conditionalFormatting>
  <conditionalFormatting sqref="K71">
    <cfRule type="duplicateValues" dxfId="265" priority="73" stopIfTrue="1"/>
  </conditionalFormatting>
  <conditionalFormatting sqref="K71">
    <cfRule type="duplicateValues" dxfId="264" priority="74" stopIfTrue="1"/>
    <cfRule type="duplicateValues" dxfId="263" priority="75" stopIfTrue="1"/>
  </conditionalFormatting>
  <conditionalFormatting sqref="C76">
    <cfRule type="duplicateValues" dxfId="262" priority="70" stopIfTrue="1"/>
  </conditionalFormatting>
  <conditionalFormatting sqref="C76">
    <cfRule type="duplicateValues" dxfId="261" priority="71" stopIfTrue="1"/>
    <cfRule type="duplicateValues" dxfId="260" priority="72" stopIfTrue="1"/>
  </conditionalFormatting>
  <conditionalFormatting sqref="C72">
    <cfRule type="duplicateValues" dxfId="259" priority="67" stopIfTrue="1"/>
  </conditionalFormatting>
  <conditionalFormatting sqref="C72">
    <cfRule type="duplicateValues" dxfId="258" priority="68" stopIfTrue="1"/>
    <cfRule type="duplicateValues" dxfId="257" priority="69" stopIfTrue="1"/>
  </conditionalFormatting>
  <conditionalFormatting sqref="K74">
    <cfRule type="duplicateValues" dxfId="256" priority="61" stopIfTrue="1"/>
  </conditionalFormatting>
  <conditionalFormatting sqref="K74">
    <cfRule type="duplicateValues" dxfId="255" priority="62" stopIfTrue="1"/>
    <cfRule type="duplicateValues" dxfId="254" priority="63" stopIfTrue="1"/>
  </conditionalFormatting>
  <conditionalFormatting sqref="K75">
    <cfRule type="duplicateValues" dxfId="253" priority="58" stopIfTrue="1"/>
  </conditionalFormatting>
  <conditionalFormatting sqref="K75">
    <cfRule type="duplicateValues" dxfId="252" priority="59" stopIfTrue="1"/>
    <cfRule type="duplicateValues" dxfId="251" priority="60" stopIfTrue="1"/>
  </conditionalFormatting>
  <conditionalFormatting sqref="K76">
    <cfRule type="duplicateValues" dxfId="250" priority="55" stopIfTrue="1"/>
  </conditionalFormatting>
  <conditionalFormatting sqref="K76">
    <cfRule type="duplicateValues" dxfId="249" priority="56" stopIfTrue="1"/>
    <cfRule type="duplicateValues" dxfId="248" priority="57" stopIfTrue="1"/>
  </conditionalFormatting>
  <conditionalFormatting sqref="K77">
    <cfRule type="duplicateValues" dxfId="247" priority="52" stopIfTrue="1"/>
  </conditionalFormatting>
  <conditionalFormatting sqref="K77">
    <cfRule type="duplicateValues" dxfId="246" priority="53" stopIfTrue="1"/>
    <cfRule type="duplicateValues" dxfId="245" priority="54" stopIfTrue="1"/>
  </conditionalFormatting>
  <conditionalFormatting sqref="C79">
    <cfRule type="duplicateValues" dxfId="244" priority="49" stopIfTrue="1"/>
  </conditionalFormatting>
  <conditionalFormatting sqref="C79">
    <cfRule type="duplicateValues" dxfId="243" priority="50" stopIfTrue="1"/>
    <cfRule type="duplicateValues" dxfId="242" priority="51" stopIfTrue="1"/>
  </conditionalFormatting>
  <conditionalFormatting sqref="K26">
    <cfRule type="duplicateValues" dxfId="241" priority="40" stopIfTrue="1"/>
  </conditionalFormatting>
  <conditionalFormatting sqref="K26">
    <cfRule type="duplicateValues" dxfId="240" priority="41" stopIfTrue="1"/>
    <cfRule type="duplicateValues" dxfId="239" priority="42" stopIfTrue="1"/>
  </conditionalFormatting>
  <conditionalFormatting sqref="K82 K87">
    <cfRule type="duplicateValues" dxfId="238" priority="37" stopIfTrue="1"/>
  </conditionalFormatting>
  <conditionalFormatting sqref="K82 K87">
    <cfRule type="duplicateValues" dxfId="237" priority="38" stopIfTrue="1"/>
    <cfRule type="duplicateValues" dxfId="236" priority="39" stopIfTrue="1"/>
  </conditionalFormatting>
  <conditionalFormatting sqref="C82">
    <cfRule type="duplicateValues" dxfId="235" priority="34" stopIfTrue="1"/>
  </conditionalFormatting>
  <conditionalFormatting sqref="C82">
    <cfRule type="duplicateValues" dxfId="234" priority="35" stopIfTrue="1"/>
    <cfRule type="duplicateValues" dxfId="233" priority="36" stopIfTrue="1"/>
  </conditionalFormatting>
  <conditionalFormatting sqref="K86">
    <cfRule type="duplicateValues" dxfId="232" priority="31" stopIfTrue="1"/>
  </conditionalFormatting>
  <conditionalFormatting sqref="K86">
    <cfRule type="duplicateValues" dxfId="231" priority="32" stopIfTrue="1"/>
    <cfRule type="duplicateValues" dxfId="230" priority="33" stopIfTrue="1"/>
  </conditionalFormatting>
  <conditionalFormatting sqref="K91">
    <cfRule type="duplicateValues" dxfId="229" priority="28" stopIfTrue="1"/>
  </conditionalFormatting>
  <conditionalFormatting sqref="K91">
    <cfRule type="duplicateValues" dxfId="228" priority="29" stopIfTrue="1"/>
    <cfRule type="duplicateValues" dxfId="227" priority="30" stopIfTrue="1"/>
  </conditionalFormatting>
  <conditionalFormatting sqref="C89">
    <cfRule type="duplicateValues" dxfId="226" priority="25" stopIfTrue="1"/>
  </conditionalFormatting>
  <conditionalFormatting sqref="C89">
    <cfRule type="duplicateValues" dxfId="225" priority="26" stopIfTrue="1"/>
    <cfRule type="duplicateValues" dxfId="224" priority="27" stopIfTrue="1"/>
  </conditionalFormatting>
  <conditionalFormatting sqref="C91">
    <cfRule type="duplicateValues" dxfId="223" priority="22" stopIfTrue="1"/>
  </conditionalFormatting>
  <conditionalFormatting sqref="C91">
    <cfRule type="duplicateValues" dxfId="222" priority="23" stopIfTrue="1"/>
    <cfRule type="duplicateValues" dxfId="221" priority="24" stopIfTrue="1"/>
  </conditionalFormatting>
  <conditionalFormatting sqref="C94">
    <cfRule type="duplicateValues" dxfId="220" priority="19" stopIfTrue="1"/>
  </conditionalFormatting>
  <conditionalFormatting sqref="C94">
    <cfRule type="duplicateValues" dxfId="219" priority="20" stopIfTrue="1"/>
    <cfRule type="duplicateValues" dxfId="218" priority="21" stopIfTrue="1"/>
  </conditionalFormatting>
  <conditionalFormatting sqref="C98">
    <cfRule type="duplicateValues" dxfId="217" priority="16" stopIfTrue="1"/>
  </conditionalFormatting>
  <conditionalFormatting sqref="C98">
    <cfRule type="duplicateValues" dxfId="216" priority="17" stopIfTrue="1"/>
    <cfRule type="duplicateValues" dxfId="215" priority="18" stopIfTrue="1"/>
  </conditionalFormatting>
  <conditionalFormatting sqref="C109">
    <cfRule type="duplicateValues" dxfId="214" priority="13" stopIfTrue="1"/>
  </conditionalFormatting>
  <conditionalFormatting sqref="C109">
    <cfRule type="duplicateValues" dxfId="213" priority="14" stopIfTrue="1"/>
    <cfRule type="duplicateValues" dxfId="212" priority="15" stopIfTrue="1"/>
  </conditionalFormatting>
  <conditionalFormatting sqref="C101">
    <cfRule type="duplicateValues" dxfId="211" priority="10" stopIfTrue="1"/>
  </conditionalFormatting>
  <conditionalFormatting sqref="C101">
    <cfRule type="duplicateValues" dxfId="210" priority="11" stopIfTrue="1"/>
    <cfRule type="duplicateValues" dxfId="209" priority="12" stopIfTrue="1"/>
  </conditionalFormatting>
  <conditionalFormatting sqref="C104">
    <cfRule type="duplicateValues" dxfId="208" priority="7" stopIfTrue="1"/>
  </conditionalFormatting>
  <conditionalFormatting sqref="C104">
    <cfRule type="duplicateValues" dxfId="207" priority="8" stopIfTrue="1"/>
    <cfRule type="duplicateValues" dxfId="206" priority="9" stopIfTrue="1"/>
  </conditionalFormatting>
  <conditionalFormatting sqref="C118 C122:C124">
    <cfRule type="duplicateValues" dxfId="205" priority="4" stopIfTrue="1"/>
  </conditionalFormatting>
  <conditionalFormatting sqref="C118 C122:C124">
    <cfRule type="duplicateValues" dxfId="204" priority="5" stopIfTrue="1"/>
    <cfRule type="duplicateValues" dxfId="203" priority="6" stopIfTrue="1"/>
  </conditionalFormatting>
  <conditionalFormatting sqref="C121">
    <cfRule type="duplicateValues" dxfId="202" priority="1" stopIfTrue="1"/>
  </conditionalFormatting>
  <conditionalFormatting sqref="C121">
    <cfRule type="duplicateValues" dxfId="201" priority="2" stopIfTrue="1"/>
    <cfRule type="duplicateValues" dxfId="200" priority="3" stopIfTrue="1"/>
  </conditionalFormatting>
  <pageMargins left="0.74803149606299202" right="0.74803149606299202" top="0.98425196850393704" bottom="0.98425196850393704" header="0.511811023622047" footer="0.511811023622047"/>
  <pageSetup paperSize="9" scale="45" fitToHeight="100" orientation="portrait" r:id="rId1"/>
  <headerFooter alignWithMargins="0"/>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05AC-1F23-41F9-A22F-D7F2FE82A218}">
  <sheetPr codeName="Sheet31">
    <tabColor rgb="FF00B0F0"/>
  </sheetPr>
  <dimension ref="A1:F15"/>
  <sheetViews>
    <sheetView workbookViewId="0">
      <selection activeCell="H45" sqref="H45"/>
    </sheetView>
  </sheetViews>
  <sheetFormatPr defaultColWidth="9.33203125" defaultRowHeight="12.75"/>
  <cols>
    <col min="1" max="1" width="40.5" style="698" bestFit="1" customWidth="1"/>
    <col min="2" max="2" width="14.5" style="32" customWidth="1"/>
    <col min="3" max="3" width="14.33203125" style="32" customWidth="1"/>
    <col min="4" max="4" width="16.1640625" style="32" customWidth="1"/>
    <col min="5" max="5" width="13.83203125" style="32" bestFit="1" customWidth="1"/>
    <col min="6" max="6" width="86.33203125" style="32" customWidth="1"/>
    <col min="7" max="7" width="11.5" style="32" bestFit="1" customWidth="1"/>
    <col min="8" max="16384" width="9.33203125" style="32"/>
  </cols>
  <sheetData>
    <row r="1" spans="1:6" ht="13.5" thickBot="1"/>
    <row r="2" spans="1:6">
      <c r="A2" s="1815" t="s">
        <v>3605</v>
      </c>
      <c r="B2" s="717"/>
      <c r="C2" s="717"/>
      <c r="D2" s="1813">
        <v>2.5000000000000001E-2</v>
      </c>
    </row>
    <row r="3" spans="1:6">
      <c r="A3" s="1816" t="s">
        <v>1966</v>
      </c>
      <c r="B3" s="1460" t="s">
        <v>1225</v>
      </c>
      <c r="C3" s="1460" t="s">
        <v>294</v>
      </c>
      <c r="D3" s="530"/>
    </row>
    <row r="4" spans="1:6">
      <c r="A4" s="1817" t="s">
        <v>3606</v>
      </c>
      <c r="B4" s="4075">
        <f>[171]Main!$B$3</f>
        <v>3833718.6200000006</v>
      </c>
      <c r="C4" s="4075">
        <f>[171]Main!$C$3</f>
        <v>4571579.2100000009</v>
      </c>
      <c r="D4" s="2587">
        <f>IFERROR(B4/C4,0)</f>
        <v>0.83859831447610411</v>
      </c>
    </row>
    <row r="5" spans="1:6">
      <c r="A5" s="1817"/>
      <c r="B5" s="978">
        <f>SUM(B4:B4)</f>
        <v>3833718.6200000006</v>
      </c>
      <c r="C5" s="978">
        <f>SUM(C4:C4)</f>
        <v>4571579.2100000009</v>
      </c>
      <c r="D5" s="2588"/>
    </row>
    <row r="6" spans="1:6">
      <c r="A6" s="1817"/>
      <c r="B6" s="320"/>
      <c r="C6" s="320"/>
      <c r="D6" s="2588"/>
    </row>
    <row r="7" spans="1:6">
      <c r="A7" s="1373" t="s">
        <v>1967</v>
      </c>
      <c r="B7" s="978">
        <f>B5*(1-$D$2)</f>
        <v>3737875.6545000006</v>
      </c>
      <c r="C7" s="978">
        <f>C5*(1-$D$2)</f>
        <v>4457289.7297500009</v>
      </c>
      <c r="D7" s="2588"/>
    </row>
    <row r="8" spans="1:6">
      <c r="A8" s="1817"/>
      <c r="B8" s="320"/>
      <c r="C8" s="320"/>
      <c r="D8" s="2588"/>
    </row>
    <row r="9" spans="1:6">
      <c r="A9" s="1817"/>
      <c r="B9" s="978"/>
      <c r="C9" s="978"/>
      <c r="D9" s="2587"/>
      <c r="F9" s="153"/>
    </row>
    <row r="10" spans="1:6">
      <c r="A10" s="1818"/>
      <c r="B10" s="978"/>
      <c r="C10" s="978"/>
      <c r="D10" s="2587"/>
      <c r="F10" s="153"/>
    </row>
    <row r="11" spans="1:6">
      <c r="A11" s="1817"/>
      <c r="B11" s="1814"/>
      <c r="C11" s="1814"/>
      <c r="D11" s="2588"/>
    </row>
    <row r="12" spans="1:6">
      <c r="A12" s="1816"/>
      <c r="B12" s="978"/>
      <c r="C12" s="978"/>
      <c r="D12" s="2588"/>
    </row>
    <row r="13" spans="1:6" ht="13.5" thickBot="1">
      <c r="A13" s="1818" t="s">
        <v>1968</v>
      </c>
      <c r="B13" s="4076">
        <f>B7-B9-B10</f>
        <v>3737875.6545000006</v>
      </c>
      <c r="C13" s="4076">
        <f>C7-C9-C10</f>
        <v>4457289.7297500009</v>
      </c>
      <c r="D13" s="2587">
        <f>IFERROR(B13/C13,0)</f>
        <v>0.83859831447610422</v>
      </c>
    </row>
    <row r="14" spans="1:6" ht="13.5" thickBot="1">
      <c r="A14" s="1817"/>
      <c r="B14" s="956">
        <f>B13-'פ.נ. צרפת'!E10</f>
        <v>3737875.6545000006</v>
      </c>
      <c r="C14" s="956">
        <f>C13-'פ.נ. צרפת'!F10</f>
        <v>4457289.7297500009</v>
      </c>
      <c r="D14" s="530"/>
    </row>
    <row r="15" spans="1:6" ht="13.5" thickBot="1">
      <c r="A15" s="1819"/>
      <c r="B15" s="718"/>
      <c r="C15" s="718"/>
      <c r="D15" s="53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A78A-E702-4DEF-923D-2D416FA4FD79}">
  <sheetPr transitionEvaluation="1" transitionEntry="1" codeName="Sheet32">
    <tabColor rgb="FF00B0F0"/>
    <pageSetUpPr fitToPage="1"/>
  </sheetPr>
  <dimension ref="A1:R207"/>
  <sheetViews>
    <sheetView topLeftCell="A28" zoomScaleNormal="100" workbookViewId="0">
      <selection activeCell="C52" sqref="C52"/>
    </sheetView>
  </sheetViews>
  <sheetFormatPr defaultColWidth="9.83203125" defaultRowHeight="12.75"/>
  <cols>
    <col min="1" max="1" width="25.83203125" style="405" customWidth="1"/>
    <col min="2" max="2" width="49.5" style="491" bestFit="1" customWidth="1"/>
    <col min="3" max="3" width="16.1640625" style="141" bestFit="1" customWidth="1"/>
    <col min="4" max="4" width="14.83203125" style="141" customWidth="1"/>
    <col min="5" max="5" width="5.83203125" style="141" customWidth="1"/>
    <col min="6" max="7" width="16.1640625" style="137" bestFit="1" customWidth="1"/>
    <col min="8" max="8" width="5.83203125" style="52" customWidth="1"/>
    <col min="9" max="10" width="16.1640625" style="51" bestFit="1" customWidth="1"/>
    <col min="11" max="11" width="5.1640625" style="52" customWidth="1"/>
    <col min="12" max="13" width="16.1640625" style="51" bestFit="1" customWidth="1"/>
    <col min="14" max="14" width="6.5" style="52" bestFit="1" customWidth="1"/>
    <col min="15" max="16" width="16.1640625" style="51" bestFit="1" customWidth="1"/>
    <col min="17" max="17" width="10.6640625" style="51" bestFit="1" customWidth="1"/>
    <col min="18" max="16384" width="9.83203125" style="137"/>
  </cols>
  <sheetData>
    <row r="1" spans="1:16">
      <c r="A1" s="1333"/>
      <c r="B1" s="631" t="str">
        <f>'מאזן בוחן צרפת'!B2</f>
        <v xml:space="preserve">Algosec France SAS </v>
      </c>
    </row>
    <row r="2" spans="1:16">
      <c r="A2" s="1333"/>
      <c r="B2" s="619" t="s">
        <v>1499</v>
      </c>
    </row>
    <row r="3" spans="1:16" ht="38.25" customHeight="1">
      <c r="A3" s="1333"/>
      <c r="B3" s="620"/>
      <c r="C3" s="4608" t="str">
        <f>'נתונים לשינוי'!C4</f>
        <v>As at December 31, 2021</v>
      </c>
      <c r="D3" s="4608"/>
      <c r="E3" s="561"/>
      <c r="F3" s="4610" t="s">
        <v>4260</v>
      </c>
      <c r="G3" s="4610"/>
      <c r="H3" s="561"/>
      <c r="I3" s="4609"/>
      <c r="J3" s="4609"/>
      <c r="K3" s="561"/>
      <c r="L3" s="4609"/>
      <c r="M3" s="4609"/>
      <c r="N3" s="561"/>
      <c r="O3" s="4609"/>
      <c r="P3" s="4609"/>
    </row>
    <row r="4" spans="1:16">
      <c r="A4" s="1333"/>
      <c r="B4" s="21" t="s">
        <v>236</v>
      </c>
      <c r="C4" s="137"/>
      <c r="D4" s="137"/>
      <c r="E4" s="137"/>
      <c r="H4" s="51"/>
      <c r="K4" s="51"/>
      <c r="N4" s="51"/>
    </row>
    <row r="5" spans="1:16">
      <c r="A5" s="1333"/>
      <c r="B5" s="21"/>
      <c r="C5" s="621" t="s">
        <v>294</v>
      </c>
      <c r="D5" s="621" t="s">
        <v>1225</v>
      </c>
      <c r="E5" s="622"/>
      <c r="F5" s="3467" t="s">
        <v>294</v>
      </c>
      <c r="G5" s="3467" t="s">
        <v>1225</v>
      </c>
      <c r="H5" s="622"/>
      <c r="I5" s="622"/>
      <c r="J5" s="622"/>
      <c r="K5" s="622"/>
      <c r="L5" s="622"/>
      <c r="M5" s="622"/>
      <c r="N5" s="622"/>
      <c r="O5" s="622"/>
      <c r="P5" s="622"/>
    </row>
    <row r="6" spans="1:16">
      <c r="A6" s="4295"/>
      <c r="B6" s="3" t="s">
        <v>237</v>
      </c>
      <c r="C6" s="137"/>
      <c r="D6" s="137"/>
      <c r="E6" s="137"/>
      <c r="H6" s="51"/>
      <c r="K6" s="51"/>
      <c r="N6" s="51"/>
    </row>
    <row r="7" spans="1:16">
      <c r="A7" s="4295" t="s">
        <v>264</v>
      </c>
      <c r="B7" s="5" t="s">
        <v>238</v>
      </c>
      <c r="C7" s="137">
        <f>'מאזן בוחן צרפת'!K29</f>
        <v>1183805.56</v>
      </c>
      <c r="D7" s="137">
        <f>'מאזן בוחן צרפת'!J29</f>
        <v>1045948.83</v>
      </c>
      <c r="E7" s="137"/>
      <c r="F7" s="137">
        <v>329662.08000000002</v>
      </c>
      <c r="G7" s="137">
        <v>268721.28000000003</v>
      </c>
      <c r="H7" s="51"/>
      <c r="K7" s="51"/>
      <c r="N7" s="3466"/>
    </row>
    <row r="8" spans="1:16">
      <c r="A8" s="4295" t="s">
        <v>257</v>
      </c>
      <c r="B8" s="5" t="s">
        <v>257</v>
      </c>
      <c r="C8" s="137">
        <f>'מאזן בוחן צרפת'!K42+'מאזן בוחן צרפת'!K48</f>
        <v>1664700.7199999997</v>
      </c>
      <c r="D8" s="137">
        <f>'מאזן בוחן צרפת'!J42+'מאזן בוחן צרפת'!J48</f>
        <v>1470842.7100000002</v>
      </c>
      <c r="E8" s="137"/>
      <c r="F8" s="137">
        <v>1141129.6300000001</v>
      </c>
      <c r="G8" s="137">
        <v>930182.23</v>
      </c>
      <c r="H8" s="51"/>
      <c r="K8" s="51"/>
      <c r="L8" s="518"/>
      <c r="M8" s="518"/>
      <c r="N8" s="3466"/>
      <c r="O8" s="518"/>
      <c r="P8" s="518"/>
    </row>
    <row r="9" spans="1:16">
      <c r="A9" s="4295"/>
      <c r="B9" s="5" t="s">
        <v>258</v>
      </c>
      <c r="C9" s="490">
        <v>0</v>
      </c>
      <c r="D9" s="490">
        <v>0</v>
      </c>
      <c r="E9" s="490"/>
      <c r="F9" s="490">
        <v>0</v>
      </c>
      <c r="G9" s="490">
        <v>0</v>
      </c>
      <c r="H9" s="518"/>
      <c r="I9" s="518"/>
      <c r="J9" s="518"/>
      <c r="K9" s="518"/>
      <c r="L9" s="518"/>
      <c r="M9" s="518"/>
      <c r="N9" s="3466"/>
      <c r="O9" s="518"/>
      <c r="P9" s="518"/>
    </row>
    <row r="10" spans="1:16">
      <c r="A10" s="4295" t="s">
        <v>259</v>
      </c>
      <c r="B10" s="5" t="s">
        <v>259</v>
      </c>
      <c r="C10" s="716">
        <f>'מאזן בוחן צרפת'!K59</f>
        <v>1308.58</v>
      </c>
      <c r="D10" s="716">
        <f>'מאזן בוחן צרפת'!J59</f>
        <v>1117.3800000000001</v>
      </c>
      <c r="E10" s="716"/>
      <c r="F10" s="716">
        <v>1283.51</v>
      </c>
      <c r="G10" s="716">
        <v>1117.42</v>
      </c>
      <c r="H10" s="144"/>
      <c r="I10" s="144"/>
      <c r="J10" s="144"/>
      <c r="K10" s="144"/>
      <c r="L10" s="518"/>
      <c r="M10" s="518"/>
      <c r="N10" s="3466"/>
      <c r="O10" s="518"/>
      <c r="P10" s="518"/>
    </row>
    <row r="11" spans="1:16">
      <c r="A11" s="4295" t="s">
        <v>298</v>
      </c>
      <c r="B11" s="5" t="s">
        <v>331</v>
      </c>
      <c r="C11" s="137">
        <f>'מאזן בוחן צרפת'!K58</f>
        <v>2178645.4500000002</v>
      </c>
      <c r="D11" s="137">
        <f>'מאזן בוחן צרפת'!J58</f>
        <v>1833858.08</v>
      </c>
      <c r="E11" s="716"/>
      <c r="F11" s="137">
        <v>0</v>
      </c>
      <c r="G11" s="137">
        <v>0</v>
      </c>
      <c r="H11" s="144"/>
      <c r="I11" s="144"/>
      <c r="J11" s="144"/>
      <c r="K11" s="144"/>
      <c r="L11" s="518"/>
      <c r="M11" s="518"/>
      <c r="N11" s="3466"/>
      <c r="O11" s="518"/>
      <c r="P11" s="518"/>
    </row>
    <row r="12" spans="1:16">
      <c r="A12" s="4295"/>
      <c r="B12" s="14" t="s">
        <v>1500</v>
      </c>
      <c r="C12" s="91">
        <f>SUM(C7:C11)</f>
        <v>5028460.3100000005</v>
      </c>
      <c r="D12" s="91">
        <f>SUM(D7:D11)</f>
        <v>4351767</v>
      </c>
      <c r="E12" s="163"/>
      <c r="F12" s="3468">
        <v>1472075.2200000002</v>
      </c>
      <c r="G12" s="3468">
        <v>1200020.93</v>
      </c>
      <c r="H12" s="163"/>
      <c r="I12" s="163"/>
      <c r="J12" s="163"/>
      <c r="K12" s="163"/>
      <c r="L12" s="163"/>
      <c r="M12" s="163"/>
      <c r="N12" s="3466"/>
      <c r="O12" s="163"/>
      <c r="P12" s="163"/>
    </row>
    <row r="13" spans="1:16">
      <c r="A13" s="4295"/>
      <c r="B13" s="14"/>
      <c r="C13" s="163"/>
      <c r="D13" s="163"/>
      <c r="E13" s="163"/>
      <c r="F13" s="382"/>
      <c r="G13" s="382"/>
      <c r="H13" s="163"/>
      <c r="I13" s="163"/>
      <c r="J13" s="163"/>
      <c r="K13" s="163"/>
      <c r="L13" s="163"/>
      <c r="M13" s="163"/>
      <c r="N13" s="3466"/>
      <c r="O13" s="163"/>
      <c r="P13" s="163"/>
    </row>
    <row r="14" spans="1:16">
      <c r="A14" s="4295"/>
      <c r="B14" s="8" t="s">
        <v>809</v>
      </c>
      <c r="C14" s="137"/>
      <c r="D14" s="137"/>
      <c r="E14" s="137"/>
      <c r="H14" s="51"/>
      <c r="K14" s="51"/>
      <c r="N14" s="3466"/>
    </row>
    <row r="15" spans="1:16">
      <c r="A15" s="4295"/>
      <c r="B15" s="5" t="s">
        <v>1920</v>
      </c>
      <c r="C15" s="490">
        <v>0</v>
      </c>
      <c r="D15" s="490">
        <v>0</v>
      </c>
      <c r="E15" s="490"/>
      <c r="F15" s="490">
        <v>0</v>
      </c>
      <c r="G15" s="490">
        <v>0</v>
      </c>
      <c r="H15" s="518"/>
      <c r="I15" s="518"/>
      <c r="J15" s="518"/>
      <c r="K15" s="518"/>
      <c r="L15" s="518"/>
      <c r="M15" s="518"/>
      <c r="N15" s="3466"/>
      <c r="O15" s="518"/>
      <c r="P15" s="518"/>
    </row>
    <row r="16" spans="1:16">
      <c r="A16" s="4295"/>
      <c r="B16" s="5" t="s">
        <v>1921</v>
      </c>
      <c r="C16" s="716">
        <f>'מאזן בוחן צרפת'!$K$83</f>
        <v>1379067.85</v>
      </c>
      <c r="D16" s="716">
        <f>'מאזן בוחן צרפת'!$J$83</f>
        <v>1160819.78</v>
      </c>
      <c r="E16" s="716"/>
      <c r="F16" s="716">
        <v>0</v>
      </c>
      <c r="G16" s="716">
        <v>0</v>
      </c>
      <c r="H16" s="144"/>
      <c r="I16" s="144"/>
      <c r="J16" s="144"/>
      <c r="K16" s="144"/>
      <c r="L16" s="518"/>
      <c r="M16" s="518"/>
      <c r="N16" s="3466"/>
      <c r="O16" s="518"/>
      <c r="P16" s="518"/>
    </row>
    <row r="17" spans="1:16">
      <c r="A17" s="4295"/>
      <c r="B17" s="5" t="s">
        <v>303</v>
      </c>
      <c r="C17" s="490">
        <v>0</v>
      </c>
      <c r="D17" s="490">
        <v>0</v>
      </c>
      <c r="E17" s="490"/>
      <c r="F17" s="490">
        <v>0</v>
      </c>
      <c r="G17" s="490">
        <v>0</v>
      </c>
      <c r="H17" s="518"/>
      <c r="I17" s="518"/>
      <c r="J17" s="518"/>
      <c r="K17" s="518"/>
      <c r="L17" s="518"/>
      <c r="M17" s="518"/>
      <c r="N17" s="3466"/>
      <c r="O17" s="518"/>
      <c r="P17" s="518"/>
    </row>
    <row r="18" spans="1:16">
      <c r="A18" s="4295"/>
      <c r="B18" s="5" t="s">
        <v>258</v>
      </c>
      <c r="C18" s="490">
        <v>0</v>
      </c>
      <c r="D18" s="490">
        <v>0</v>
      </c>
      <c r="E18" s="490"/>
      <c r="F18" s="490">
        <v>0</v>
      </c>
      <c r="G18" s="490">
        <v>0</v>
      </c>
      <c r="H18" s="518"/>
      <c r="I18" s="518"/>
      <c r="J18" s="518"/>
      <c r="K18" s="518"/>
      <c r="L18" s="518"/>
      <c r="M18" s="518"/>
      <c r="N18" s="3466"/>
      <c r="O18" s="518"/>
      <c r="P18" s="518"/>
    </row>
    <row r="19" spans="1:16">
      <c r="A19" s="4295"/>
      <c r="B19" s="5"/>
      <c r="C19" s="137"/>
      <c r="D19" s="137"/>
      <c r="E19" s="137"/>
      <c r="H19" s="51"/>
      <c r="K19" s="51"/>
      <c r="N19" s="3466"/>
    </row>
    <row r="20" spans="1:16">
      <c r="A20" s="4295" t="s">
        <v>68</v>
      </c>
      <c r="B20" s="8" t="s">
        <v>141</v>
      </c>
      <c r="C20" s="490">
        <v>0</v>
      </c>
      <c r="D20" s="490">
        <v>0</v>
      </c>
      <c r="E20" s="490"/>
      <c r="F20" s="490">
        <v>0</v>
      </c>
      <c r="G20" s="490">
        <v>0</v>
      </c>
      <c r="H20" s="518"/>
      <c r="I20" s="518"/>
      <c r="J20" s="518"/>
      <c r="K20" s="518"/>
      <c r="L20" s="518"/>
      <c r="M20" s="518"/>
      <c r="N20" s="3466"/>
      <c r="O20" s="518"/>
      <c r="P20" s="518"/>
    </row>
    <row r="21" spans="1:16">
      <c r="A21" s="4295"/>
      <c r="B21" s="5"/>
      <c r="C21" s="137"/>
      <c r="D21" s="137"/>
      <c r="E21" s="137"/>
      <c r="H21" s="51"/>
      <c r="K21" s="51"/>
      <c r="N21" s="3466"/>
    </row>
    <row r="22" spans="1:16">
      <c r="A22" s="4295"/>
      <c r="B22" s="773"/>
      <c r="C22" s="137"/>
      <c r="D22" s="137"/>
      <c r="E22" s="137"/>
      <c r="H22" s="51"/>
      <c r="K22" s="51"/>
      <c r="N22" s="3466"/>
    </row>
    <row r="23" spans="1:16">
      <c r="A23" s="4295"/>
      <c r="B23" s="8" t="s">
        <v>239</v>
      </c>
      <c r="C23" s="91">
        <f>SUM(C12:C22)</f>
        <v>6407528.1600000001</v>
      </c>
      <c r="D23" s="91">
        <f>SUM(D12:D22)</f>
        <v>5512586.7800000003</v>
      </c>
      <c r="E23" s="163"/>
      <c r="F23" s="3468">
        <v>1472075.2200000002</v>
      </c>
      <c r="G23" s="3468">
        <v>1200020.93</v>
      </c>
      <c r="H23" s="163"/>
      <c r="I23" s="163"/>
      <c r="J23" s="163"/>
      <c r="K23" s="163"/>
      <c r="L23" s="163"/>
      <c r="M23" s="163"/>
      <c r="N23" s="3466"/>
      <c r="O23" s="163"/>
      <c r="P23" s="163"/>
    </row>
    <row r="24" spans="1:16">
      <c r="A24" s="4295"/>
      <c r="B24" s="773"/>
      <c r="C24" s="137"/>
      <c r="D24" s="137"/>
      <c r="E24" s="137"/>
      <c r="H24" s="51"/>
      <c r="K24" s="51"/>
      <c r="N24" s="3466"/>
    </row>
    <row r="25" spans="1:16">
      <c r="A25" s="4295"/>
      <c r="B25" s="773"/>
      <c r="C25" s="137"/>
      <c r="D25" s="137"/>
      <c r="E25" s="137"/>
      <c r="H25" s="51"/>
      <c r="K25" s="51"/>
      <c r="N25" s="3466"/>
    </row>
    <row r="26" spans="1:16">
      <c r="A26" s="4295"/>
      <c r="B26" s="15" t="s">
        <v>2699</v>
      </c>
      <c r="C26" s="137"/>
      <c r="D26" s="137"/>
      <c r="E26" s="137"/>
      <c r="H26" s="51"/>
      <c r="K26" s="51"/>
      <c r="N26" s="3466"/>
    </row>
    <row r="27" spans="1:16">
      <c r="A27" s="4295" t="s">
        <v>241</v>
      </c>
      <c r="B27" s="5" t="s">
        <v>241</v>
      </c>
      <c r="C27" s="137">
        <f>('מאזן בוחן צרפת'!K106)*-1</f>
        <v>10549.349999999999</v>
      </c>
      <c r="D27" s="137">
        <f>('מאזן בוחן צרפת'!J106)*-1</f>
        <v>9321.6</v>
      </c>
      <c r="E27" s="137"/>
      <c r="F27" s="137">
        <v>1361.72</v>
      </c>
      <c r="G27" s="137">
        <v>1110</v>
      </c>
      <c r="H27" s="51"/>
      <c r="K27" s="51"/>
      <c r="N27" s="3466"/>
    </row>
    <row r="28" spans="1:16">
      <c r="A28" s="4295" t="s">
        <v>260</v>
      </c>
      <c r="B28" s="5" t="s">
        <v>290</v>
      </c>
      <c r="C28" s="137">
        <f>('מאזן בוחן צרפת'!K143+'מאזן בוחן צרפת'!K117+'מאזן בוחן צרפת'!K146)*-1</f>
        <v>817783.51</v>
      </c>
      <c r="D28" s="137">
        <f>('מאזן בוחן צרפת'!J143+'מאזן בוחן צרפת'!J117+'מאזן בוחן צרפת'!J146)*-1</f>
        <v>728053.29</v>
      </c>
      <c r="E28" s="137"/>
      <c r="F28" s="137">
        <v>848534.6100000001</v>
      </c>
      <c r="G28" s="137">
        <v>691676.22</v>
      </c>
      <c r="H28" s="51"/>
      <c r="K28" s="51"/>
      <c r="N28" s="3466"/>
    </row>
    <row r="29" spans="1:16">
      <c r="A29" s="4295" t="s">
        <v>261</v>
      </c>
      <c r="B29" s="5" t="s">
        <v>261</v>
      </c>
      <c r="C29" s="137">
        <f>-'מאזן בוחן צרפת'!K155</f>
        <v>1033965.9199999999</v>
      </c>
      <c r="D29" s="137">
        <f>-'מאזן בוחן צרפת'!J155</f>
        <v>874853.78</v>
      </c>
      <c r="E29" s="137"/>
      <c r="F29" s="137">
        <v>784703.71</v>
      </c>
      <c r="G29" s="137">
        <v>662882.39000000013</v>
      </c>
      <c r="H29" s="51"/>
      <c r="K29" s="518"/>
      <c r="L29" s="518"/>
      <c r="M29" s="518"/>
      <c r="N29" s="3466"/>
      <c r="O29" s="518"/>
      <c r="P29" s="518"/>
    </row>
    <row r="30" spans="1:16">
      <c r="A30" s="4295" t="s">
        <v>298</v>
      </c>
      <c r="B30" s="5" t="s">
        <v>331</v>
      </c>
      <c r="C30" s="137">
        <f>('מאזן בוחן צרפת'!K167)*-1</f>
        <v>4236822.2</v>
      </c>
      <c r="D30" s="137">
        <f>('מאזן בוחן צרפת'!J167)*-1</f>
        <v>3743435.05</v>
      </c>
      <c r="E30" s="137"/>
      <c r="F30" s="137">
        <v>9944.6299999999992</v>
      </c>
      <c r="G30" s="137">
        <v>8106.29</v>
      </c>
      <c r="H30" s="51"/>
      <c r="K30" s="51"/>
      <c r="N30" s="3466"/>
    </row>
    <row r="31" spans="1:16">
      <c r="A31" s="4295"/>
      <c r="B31" s="14" t="s">
        <v>139</v>
      </c>
      <c r="C31" s="91">
        <f>SUM(C27:C30)</f>
        <v>6099120.9800000004</v>
      </c>
      <c r="D31" s="91">
        <f>SUM(D27:D30)</f>
        <v>5355663.72</v>
      </c>
      <c r="E31" s="163"/>
      <c r="F31" s="3468">
        <v>1644544.67</v>
      </c>
      <c r="G31" s="3468">
        <v>1363774.9000000001</v>
      </c>
      <c r="H31" s="163"/>
      <c r="I31" s="163"/>
      <c r="J31" s="163"/>
      <c r="K31" s="163"/>
      <c r="L31" s="163"/>
      <c r="M31" s="163"/>
      <c r="N31" s="3466"/>
      <c r="O31" s="163"/>
      <c r="P31" s="163"/>
    </row>
    <row r="32" spans="1:16">
      <c r="A32" s="4295"/>
      <c r="B32" s="14"/>
      <c r="C32" s="137"/>
      <c r="D32" s="137"/>
      <c r="E32" s="137"/>
      <c r="H32" s="51"/>
      <c r="K32" s="51"/>
      <c r="N32" s="3466"/>
    </row>
    <row r="33" spans="1:16">
      <c r="A33" s="4295"/>
      <c r="B33" s="15" t="s">
        <v>242</v>
      </c>
      <c r="C33" s="137"/>
      <c r="D33" s="137"/>
      <c r="E33" s="137"/>
      <c r="H33" s="51"/>
      <c r="K33" s="51"/>
      <c r="N33" s="3466"/>
    </row>
    <row r="34" spans="1:16">
      <c r="A34" s="4295" t="s">
        <v>266</v>
      </c>
      <c r="B34" s="5" t="s">
        <v>140</v>
      </c>
      <c r="C34" s="490">
        <v>0</v>
      </c>
      <c r="D34" s="490">
        <v>0</v>
      </c>
      <c r="E34" s="490"/>
      <c r="F34" s="490">
        <v>0</v>
      </c>
      <c r="G34" s="490">
        <v>0</v>
      </c>
      <c r="H34" s="518"/>
      <c r="I34" s="518"/>
      <c r="J34" s="518"/>
      <c r="K34" s="518"/>
      <c r="L34" s="518"/>
      <c r="M34" s="518"/>
      <c r="N34" s="3466"/>
      <c r="O34" s="518"/>
      <c r="P34" s="518"/>
    </row>
    <row r="35" spans="1:16">
      <c r="A35" s="4295" t="s">
        <v>265</v>
      </c>
      <c r="B35" s="5" t="s">
        <v>261</v>
      </c>
      <c r="C35" s="137">
        <f>-'מאזן בוחן צרפת'!K159</f>
        <v>654493.46</v>
      </c>
      <c r="D35" s="137">
        <f>-'מאזן בוחן צרפת'!J159</f>
        <v>578276.28</v>
      </c>
      <c r="E35" s="490"/>
      <c r="F35" s="137">
        <v>355320.84</v>
      </c>
      <c r="G35" s="137">
        <v>289636.8</v>
      </c>
      <c r="H35" s="518"/>
      <c r="I35" s="518"/>
      <c r="J35" s="518"/>
      <c r="K35" s="518"/>
      <c r="L35" s="518"/>
      <c r="M35" s="518"/>
      <c r="N35" s="3466"/>
      <c r="O35" s="518"/>
      <c r="P35" s="518"/>
    </row>
    <row r="36" spans="1:16">
      <c r="A36" s="4295"/>
      <c r="B36" s="141"/>
      <c r="C36" s="632">
        <f>SUM(C34:C35)</f>
        <v>654493.46</v>
      </c>
      <c r="D36" s="632">
        <f>SUM(D34:D35)</f>
        <v>578276.28</v>
      </c>
      <c r="E36" s="2141"/>
      <c r="F36" s="3469">
        <v>355320.84</v>
      </c>
      <c r="G36" s="3469">
        <v>289636.8</v>
      </c>
      <c r="H36" s="2141"/>
      <c r="I36" s="2141"/>
      <c r="J36" s="2141"/>
      <c r="K36" s="2141"/>
      <c r="L36" s="2141"/>
      <c r="M36" s="2141"/>
      <c r="N36" s="3466"/>
      <c r="O36" s="2141"/>
      <c r="P36" s="2141"/>
    </row>
    <row r="37" spans="1:16">
      <c r="A37" s="4295"/>
      <c r="B37" s="1812"/>
      <c r="C37" s="137"/>
      <c r="D37" s="137"/>
      <c r="E37" s="137"/>
      <c r="H37" s="51"/>
      <c r="K37" s="51"/>
      <c r="N37" s="3466"/>
    </row>
    <row r="38" spans="1:16">
      <c r="A38" s="4295"/>
      <c r="B38" s="14" t="s">
        <v>142</v>
      </c>
      <c r="C38" s="137"/>
      <c r="D38" s="137"/>
      <c r="E38" s="137"/>
      <c r="H38" s="51"/>
      <c r="K38" s="51"/>
      <c r="N38" s="3466"/>
    </row>
    <row r="39" spans="1:16">
      <c r="A39" s="4295" t="s">
        <v>267</v>
      </c>
      <c r="B39" s="5" t="s">
        <v>143</v>
      </c>
      <c r="C39" s="137">
        <f>-'מאזן בוחן צרפת'!K170</f>
        <v>1099.6600000000001</v>
      </c>
      <c r="D39" s="137">
        <f>-'מאזן בוחן צרפת'!J170</f>
        <v>1000</v>
      </c>
      <c r="E39" s="137"/>
      <c r="F39" s="137">
        <v>1099.6600000000001</v>
      </c>
      <c r="G39" s="137">
        <v>1000</v>
      </c>
      <c r="H39" s="51"/>
      <c r="K39" s="51"/>
      <c r="N39" s="3466"/>
    </row>
    <row r="40" spans="1:16">
      <c r="A40" s="4295"/>
      <c r="B40" s="5" t="s">
        <v>287</v>
      </c>
      <c r="C40" s="490">
        <v>0</v>
      </c>
      <c r="D40" s="490">
        <v>0</v>
      </c>
      <c r="E40" s="490"/>
      <c r="F40" s="490">
        <v>0</v>
      </c>
      <c r="G40" s="490">
        <v>0</v>
      </c>
      <c r="H40" s="518"/>
      <c r="I40" s="518"/>
      <c r="J40" s="518"/>
      <c r="K40" s="518"/>
      <c r="L40" s="518"/>
      <c r="M40" s="518"/>
      <c r="N40" s="3466"/>
      <c r="O40" s="518"/>
      <c r="P40" s="518"/>
    </row>
    <row r="41" spans="1:16">
      <c r="A41" s="4295" t="s">
        <v>269</v>
      </c>
      <c r="B41" s="5" t="s">
        <v>269</v>
      </c>
      <c r="C41" s="490">
        <v>0</v>
      </c>
      <c r="D41" s="490">
        <v>0</v>
      </c>
      <c r="E41" s="490"/>
      <c r="F41" s="490">
        <v>0</v>
      </c>
      <c r="G41" s="490">
        <v>0</v>
      </c>
      <c r="H41" s="518"/>
      <c r="I41" s="518"/>
      <c r="J41" s="518"/>
      <c r="K41" s="518"/>
      <c r="L41" s="518"/>
      <c r="M41" s="518"/>
      <c r="N41" s="3466"/>
      <c r="O41" s="518"/>
      <c r="P41" s="518"/>
    </row>
    <row r="42" spans="1:16">
      <c r="A42" s="4295" t="s">
        <v>262</v>
      </c>
      <c r="B42" s="5" t="s">
        <v>262</v>
      </c>
      <c r="C42" s="137">
        <f>-'מאזן בוחן צרפת'!K171</f>
        <v>-528889.94999999995</v>
      </c>
      <c r="D42" s="137">
        <f>-'מאזן בוחן צרפת'!J171</f>
        <v>-454390.77</v>
      </c>
      <c r="E42" s="490"/>
      <c r="F42" s="490">
        <v>0</v>
      </c>
      <c r="G42" s="490">
        <v>0</v>
      </c>
      <c r="H42" s="518"/>
      <c r="I42" s="518"/>
      <c r="J42" s="518"/>
      <c r="K42" s="518"/>
      <c r="L42" s="518"/>
      <c r="M42" s="518"/>
      <c r="N42" s="3466"/>
      <c r="O42" s="518"/>
      <c r="P42" s="518"/>
    </row>
    <row r="43" spans="1:16">
      <c r="A43" s="4295" t="s">
        <v>262</v>
      </c>
      <c r="B43" s="5" t="s">
        <v>1849</v>
      </c>
      <c r="C43" s="490">
        <v>0</v>
      </c>
      <c r="D43" s="490">
        <v>0</v>
      </c>
      <c r="E43" s="490"/>
      <c r="F43" s="490">
        <v>0</v>
      </c>
      <c r="G43" s="490">
        <v>0</v>
      </c>
      <c r="H43" s="518"/>
      <c r="I43" s="518"/>
      <c r="J43" s="518"/>
      <c r="K43" s="518"/>
      <c r="L43" s="518"/>
      <c r="M43" s="518"/>
      <c r="N43" s="3466"/>
      <c r="O43" s="518"/>
      <c r="P43" s="518"/>
    </row>
    <row r="44" spans="1:16">
      <c r="A44" s="4295"/>
      <c r="B44" s="5" t="s">
        <v>268</v>
      </c>
      <c r="C44" s="137">
        <f>(C67)</f>
        <v>181704.01000000065</v>
      </c>
      <c r="D44" s="137">
        <f>(D67)</f>
        <v>32037.54999999993</v>
      </c>
      <c r="E44" s="137"/>
      <c r="F44" s="137">
        <v>-528889.94999999995</v>
      </c>
      <c r="G44" s="137">
        <v>-454390.7699999999</v>
      </c>
      <c r="H44" s="51"/>
      <c r="K44" s="51"/>
      <c r="N44" s="3466"/>
    </row>
    <row r="45" spans="1:16">
      <c r="A45" s="4295"/>
      <c r="B45" s="14" t="s">
        <v>144</v>
      </c>
      <c r="C45" s="91">
        <f>SUM(C39:C44,)</f>
        <v>-346086.27999999927</v>
      </c>
      <c r="D45" s="91">
        <f>SUM(D39:D44,)</f>
        <v>-421353.22000000009</v>
      </c>
      <c r="E45" s="163"/>
      <c r="F45" s="3468">
        <v>-527790.28999999992</v>
      </c>
      <c r="G45" s="3468">
        <v>-453390.7699999999</v>
      </c>
      <c r="H45" s="163"/>
      <c r="I45" s="163"/>
      <c r="J45" s="163"/>
      <c r="K45" s="163"/>
      <c r="L45" s="163"/>
      <c r="M45" s="163"/>
      <c r="N45" s="3466"/>
      <c r="O45" s="163"/>
      <c r="P45" s="163"/>
    </row>
    <row r="46" spans="1:16">
      <c r="A46" s="4295"/>
      <c r="B46" s="773"/>
      <c r="C46" s="137"/>
      <c r="D46" s="137"/>
      <c r="E46" s="137"/>
      <c r="H46" s="51"/>
      <c r="K46" s="51"/>
      <c r="N46" s="51"/>
    </row>
    <row r="47" spans="1:16" ht="13.5" thickBot="1">
      <c r="A47" s="4295"/>
      <c r="B47" s="14" t="s">
        <v>243</v>
      </c>
      <c r="C47" s="1242">
        <f>SUM(C31,C45,C35)</f>
        <v>6407528.1600000011</v>
      </c>
      <c r="D47" s="1242">
        <f>SUM(D31,D45,D35)</f>
        <v>5512586.7800000003</v>
      </c>
      <c r="E47" s="163"/>
      <c r="F47" s="1242">
        <v>1472075.22</v>
      </c>
      <c r="G47" s="1242">
        <v>1200020.9300000002</v>
      </c>
      <c r="H47" s="163"/>
      <c r="K47" s="51"/>
      <c r="N47" s="51"/>
    </row>
    <row r="48" spans="1:16" ht="13.5" thickBot="1">
      <c r="A48" s="4295"/>
      <c r="B48" s="773"/>
      <c r="C48" s="1243">
        <f>C47-C23</f>
        <v>0</v>
      </c>
      <c r="D48" s="956">
        <f>D47-D23</f>
        <v>0</v>
      </c>
      <c r="E48" s="163"/>
      <c r="F48" s="1243">
        <v>0</v>
      </c>
      <c r="G48" s="956">
        <v>0</v>
      </c>
      <c r="H48" s="163"/>
      <c r="K48" s="51"/>
      <c r="N48" s="51"/>
    </row>
    <row r="49" spans="1:18">
      <c r="A49" s="4295"/>
      <c r="B49" s="21" t="s">
        <v>244</v>
      </c>
      <c r="C49" s="137"/>
      <c r="D49" s="137"/>
      <c r="E49" s="137"/>
      <c r="H49" s="51"/>
      <c r="K49" s="51"/>
      <c r="N49" s="51"/>
    </row>
    <row r="50" spans="1:18">
      <c r="A50" s="4295"/>
      <c r="B50" s="22"/>
      <c r="C50" s="137"/>
      <c r="D50" s="137"/>
      <c r="E50" s="137"/>
      <c r="H50" s="51"/>
      <c r="K50" s="51"/>
      <c r="N50" s="51"/>
    </row>
    <row r="51" spans="1:18">
      <c r="A51" s="4295"/>
      <c r="B51" s="22"/>
      <c r="C51" s="137"/>
      <c r="D51" s="137"/>
      <c r="E51" s="137"/>
      <c r="H51" s="51"/>
      <c r="K51" s="51"/>
      <c r="N51" s="51"/>
    </row>
    <row r="52" spans="1:18">
      <c r="A52" s="4295" t="s">
        <v>84</v>
      </c>
      <c r="B52" s="22" t="s">
        <v>145</v>
      </c>
      <c r="C52" s="137">
        <f>-'מאזן בוחן צרפת'!K198</f>
        <v>2836751.0400000005</v>
      </c>
      <c r="D52" s="137">
        <f>-'מאזן בוחן צרפת'!J198</f>
        <v>2406776.2399999998</v>
      </c>
      <c r="E52" s="137"/>
      <c r="F52" s="137">
        <v>684859.86</v>
      </c>
      <c r="G52" s="137">
        <v>574167.67000000016</v>
      </c>
      <c r="H52" s="51"/>
      <c r="K52" s="51"/>
      <c r="N52" s="51"/>
    </row>
    <row r="53" spans="1:18">
      <c r="A53" s="4295" t="s">
        <v>251</v>
      </c>
      <c r="B53" s="22" t="s">
        <v>251</v>
      </c>
      <c r="C53" s="630">
        <f>'מאזן בוחן צרפת'!K218</f>
        <v>1392203.31</v>
      </c>
      <c r="D53" s="630">
        <f>'מאזן בוחן צרפת'!J218</f>
        <v>1163509.17</v>
      </c>
      <c r="E53" s="51"/>
      <c r="F53" s="3470">
        <v>398733.46</v>
      </c>
      <c r="G53" s="3470">
        <v>331295.58</v>
      </c>
      <c r="H53" s="51"/>
      <c r="K53" s="51"/>
      <c r="N53" s="51"/>
    </row>
    <row r="54" spans="1:18" s="141" customFormat="1">
      <c r="A54" s="4295"/>
      <c r="B54" s="22" t="s">
        <v>263</v>
      </c>
      <c r="C54" s="382">
        <f>C52-C53</f>
        <v>1444547.7300000004</v>
      </c>
      <c r="D54" s="382">
        <f>D52-D53</f>
        <v>1243267.0699999998</v>
      </c>
      <c r="E54" s="382"/>
      <c r="F54" s="382">
        <v>286126.39999999997</v>
      </c>
      <c r="G54" s="382">
        <v>242872.09000000014</v>
      </c>
      <c r="H54" s="163"/>
      <c r="I54" s="51"/>
      <c r="J54" s="51"/>
      <c r="K54" s="51"/>
      <c r="L54" s="51"/>
      <c r="M54" s="51"/>
      <c r="N54" s="51"/>
      <c r="O54" s="51"/>
      <c r="P54" s="51"/>
      <c r="Q54" s="51"/>
      <c r="R54" s="137"/>
    </row>
    <row r="55" spans="1:18" s="141" customFormat="1">
      <c r="A55" s="4295"/>
      <c r="B55" s="22"/>
      <c r="C55" s="137"/>
      <c r="D55" s="137"/>
      <c r="E55" s="137"/>
      <c r="F55" s="137"/>
      <c r="G55" s="137"/>
      <c r="H55" s="51"/>
      <c r="I55" s="51"/>
      <c r="J55" s="51"/>
      <c r="K55" s="51"/>
      <c r="L55" s="51"/>
      <c r="M55" s="51"/>
      <c r="N55" s="51"/>
      <c r="O55" s="51"/>
      <c r="P55" s="51"/>
      <c r="Q55" s="51"/>
      <c r="R55" s="137"/>
    </row>
    <row r="56" spans="1:18" s="141" customFormat="1">
      <c r="A56" s="4295" t="s">
        <v>192</v>
      </c>
      <c r="B56" s="22" t="s">
        <v>245</v>
      </c>
      <c r="C56" s="490">
        <v>0</v>
      </c>
      <c r="D56" s="490">
        <v>0</v>
      </c>
      <c r="E56" s="490"/>
      <c r="F56" s="490">
        <v>0</v>
      </c>
      <c r="G56" s="490">
        <v>0</v>
      </c>
      <c r="H56" s="518"/>
      <c r="I56" s="518"/>
      <c r="J56" s="518"/>
      <c r="K56" s="518"/>
      <c r="L56" s="518"/>
      <c r="M56" s="518"/>
      <c r="N56" s="3466"/>
      <c r="O56" s="518"/>
      <c r="P56" s="518"/>
      <c r="Q56" s="51"/>
      <c r="R56" s="137"/>
    </row>
    <row r="57" spans="1:18" s="141" customFormat="1">
      <c r="A57" s="4295" t="s">
        <v>254</v>
      </c>
      <c r="B57" s="22" t="s">
        <v>247</v>
      </c>
      <c r="C57" s="137">
        <f>'מאזן בוחן צרפת'!K310</f>
        <v>1358165.91</v>
      </c>
      <c r="D57" s="137">
        <f>'מאזן בוחן צרפת'!J310</f>
        <v>1170035.94</v>
      </c>
      <c r="E57" s="137"/>
      <c r="F57" s="137">
        <v>825194.72</v>
      </c>
      <c r="G57" s="137">
        <v>686006.32000000007</v>
      </c>
      <c r="H57" s="51"/>
      <c r="I57" s="51"/>
      <c r="J57" s="51"/>
      <c r="K57" s="51"/>
      <c r="L57" s="51"/>
      <c r="M57" s="51"/>
      <c r="N57" s="3466"/>
      <c r="O57" s="51"/>
      <c r="P57" s="51"/>
      <c r="Q57" s="51"/>
      <c r="R57" s="137"/>
    </row>
    <row r="58" spans="1:18" s="141" customFormat="1">
      <c r="A58" s="4295" t="s">
        <v>193</v>
      </c>
      <c r="B58" s="22" t="s">
        <v>246</v>
      </c>
      <c r="C58" s="137">
        <f>'מאזן בוחן צרפת'!K233+'מאזן בוחן צרפת'!K240</f>
        <v>28671.149999999998</v>
      </c>
      <c r="D58" s="137">
        <f>'מאזן בוחן צרפת'!J233+'מאזן בוחן צרפת'!J240</f>
        <v>24565.21</v>
      </c>
      <c r="E58" s="137"/>
      <c r="F58" s="137">
        <v>11713.9</v>
      </c>
      <c r="G58" s="137">
        <v>9817.2000000000007</v>
      </c>
      <c r="H58" s="51"/>
      <c r="I58" s="51"/>
      <c r="J58" s="51"/>
      <c r="K58" s="51"/>
      <c r="L58" s="51"/>
      <c r="M58" s="51"/>
      <c r="N58" s="3466"/>
      <c r="O58" s="51"/>
      <c r="P58" s="51"/>
      <c r="Q58" s="51"/>
      <c r="R58" s="137"/>
    </row>
    <row r="59" spans="1:18" s="141" customFormat="1">
      <c r="A59" s="4295"/>
      <c r="B59" s="16"/>
      <c r="C59" s="630"/>
      <c r="D59" s="630"/>
      <c r="E59" s="51"/>
      <c r="F59" s="3470"/>
      <c r="G59" s="3470"/>
      <c r="H59" s="51"/>
      <c r="I59" s="51"/>
      <c r="J59" s="51"/>
      <c r="K59" s="51"/>
      <c r="L59" s="51"/>
      <c r="M59" s="51"/>
      <c r="N59" s="3466"/>
      <c r="O59" s="51"/>
      <c r="P59" s="51"/>
      <c r="Q59" s="51"/>
      <c r="R59" s="137"/>
    </row>
    <row r="60" spans="1:18" s="141" customFormat="1">
      <c r="A60" s="4295"/>
      <c r="B60" s="25" t="s">
        <v>426</v>
      </c>
      <c r="C60" s="382">
        <f>C54-SUM(C57:C59)</f>
        <v>57710.670000000624</v>
      </c>
      <c r="D60" s="382">
        <f>D54-SUM(D57:D59)</f>
        <v>48665.919999999925</v>
      </c>
      <c r="E60" s="382"/>
      <c r="F60" s="382">
        <v>-550782.22</v>
      </c>
      <c r="G60" s="382">
        <v>-452951.42999999988</v>
      </c>
      <c r="H60" s="163"/>
      <c r="I60" s="163"/>
      <c r="J60" s="163"/>
      <c r="K60" s="163"/>
      <c r="L60" s="163"/>
      <c r="M60" s="163"/>
      <c r="N60" s="3466"/>
      <c r="O60" s="163"/>
      <c r="P60" s="163"/>
      <c r="Q60" s="51"/>
      <c r="R60" s="137"/>
    </row>
    <row r="61" spans="1:18" s="141" customFormat="1">
      <c r="A61" s="4295"/>
      <c r="B61" s="25"/>
      <c r="C61" s="382"/>
      <c r="D61" s="382"/>
      <c r="E61" s="382"/>
      <c r="F61" s="382"/>
      <c r="G61" s="382"/>
      <c r="H61" s="163"/>
      <c r="I61" s="163"/>
      <c r="J61" s="163"/>
      <c r="K61" s="163"/>
      <c r="L61" s="163"/>
      <c r="M61" s="163"/>
      <c r="N61" s="3466"/>
      <c r="O61" s="163"/>
      <c r="P61" s="163"/>
      <c r="Q61" s="51"/>
      <c r="R61" s="137"/>
    </row>
    <row r="62" spans="1:18" s="141" customFormat="1">
      <c r="A62" s="4295" t="s">
        <v>255</v>
      </c>
      <c r="B62" s="22" t="s">
        <v>2258</v>
      </c>
      <c r="C62" s="630">
        <f>'מאזן בוחן צרפת'!K324</f>
        <v>-131063.7</v>
      </c>
      <c r="D62" s="630">
        <f>'מאזן בוחן צרפת'!J324</f>
        <v>10381.369999999999</v>
      </c>
      <c r="E62" s="51"/>
      <c r="F62" s="3470">
        <v>21892.27</v>
      </c>
      <c r="G62" s="3470">
        <v>-1439.3400000000001</v>
      </c>
      <c r="H62" s="51"/>
      <c r="I62" s="51"/>
      <c r="J62" s="51"/>
      <c r="K62" s="51"/>
      <c r="L62" s="51"/>
      <c r="M62" s="51"/>
      <c r="N62" s="3466"/>
      <c r="O62" s="51"/>
      <c r="P62" s="51"/>
      <c r="Q62" s="51"/>
      <c r="R62" s="137"/>
    </row>
    <row r="63" spans="1:18" s="141" customFormat="1">
      <c r="A63" s="4295"/>
      <c r="B63" s="26" t="s">
        <v>248</v>
      </c>
      <c r="C63" s="382">
        <f>C60-C62</f>
        <v>188774.37000000064</v>
      </c>
      <c r="D63" s="382">
        <f>D60-D62</f>
        <v>38284.54999999993</v>
      </c>
      <c r="E63" s="382"/>
      <c r="F63" s="382">
        <v>-528889.94999999995</v>
      </c>
      <c r="G63" s="382">
        <v>-454390.7699999999</v>
      </c>
      <c r="H63" s="163"/>
      <c r="I63" s="163"/>
      <c r="J63" s="163"/>
      <c r="K63" s="163"/>
      <c r="L63" s="163"/>
      <c r="M63" s="163"/>
      <c r="N63" s="3466"/>
      <c r="O63" s="163"/>
      <c r="P63" s="163"/>
      <c r="Q63" s="51"/>
      <c r="R63" s="137"/>
    </row>
    <row r="64" spans="1:18" s="141" customFormat="1">
      <c r="A64" s="4295"/>
      <c r="B64" s="26"/>
      <c r="C64" s="382"/>
      <c r="D64" s="382"/>
      <c r="E64" s="382"/>
      <c r="F64" s="382"/>
      <c r="G64" s="382"/>
      <c r="H64" s="163"/>
      <c r="I64" s="163"/>
      <c r="J64" s="163"/>
      <c r="K64" s="163"/>
      <c r="L64" s="163"/>
      <c r="M64" s="163"/>
      <c r="N64" s="3466"/>
      <c r="O64" s="163"/>
      <c r="P64" s="163"/>
      <c r="Q64" s="51"/>
      <c r="R64" s="137"/>
    </row>
    <row r="65" spans="1:18" s="141" customFormat="1">
      <c r="A65" s="4295" t="s">
        <v>256</v>
      </c>
      <c r="B65" s="22" t="s">
        <v>302</v>
      </c>
      <c r="C65" s="633">
        <f>'מאזן בוחן צרפת'!K317</f>
        <v>7070.36</v>
      </c>
      <c r="D65" s="633">
        <f>'מאזן בוחן צרפת'!J317</f>
        <v>6247</v>
      </c>
      <c r="E65" s="518"/>
      <c r="F65" s="3316">
        <v>0</v>
      </c>
      <c r="G65" s="3316">
        <v>0</v>
      </c>
      <c r="H65" s="518"/>
      <c r="I65" s="518"/>
      <c r="J65" s="518"/>
      <c r="K65" s="518"/>
      <c r="L65" s="518"/>
      <c r="M65" s="518"/>
      <c r="N65" s="3466"/>
      <c r="O65" s="518"/>
      <c r="P65" s="518"/>
      <c r="Q65" s="51"/>
      <c r="R65" s="137"/>
    </row>
    <row r="66" spans="1:18" s="141" customFormat="1">
      <c r="A66" s="4295"/>
      <c r="B66" s="22"/>
      <c r="C66" s="51"/>
      <c r="D66" s="51"/>
      <c r="E66" s="51"/>
      <c r="F66" s="137"/>
      <c r="G66" s="137"/>
      <c r="H66" s="51"/>
      <c r="I66" s="51"/>
      <c r="J66" s="51"/>
      <c r="K66" s="51"/>
      <c r="L66" s="51"/>
      <c r="M66" s="51"/>
      <c r="N66" s="3466"/>
      <c r="O66" s="51"/>
      <c r="P66" s="51"/>
      <c r="Q66" s="51"/>
      <c r="R66" s="137"/>
    </row>
    <row r="67" spans="1:18" s="141" customFormat="1">
      <c r="A67" s="4295"/>
      <c r="B67" s="25" t="s">
        <v>249</v>
      </c>
      <c r="C67" s="382">
        <f>C63-C65</f>
        <v>181704.01000000065</v>
      </c>
      <c r="D67" s="382">
        <f>D63-D65</f>
        <v>32037.54999999993</v>
      </c>
      <c r="E67" s="382"/>
      <c r="F67" s="382">
        <v>-528889.94999999995</v>
      </c>
      <c r="G67" s="382">
        <v>-454390.7699999999</v>
      </c>
      <c r="H67" s="163"/>
      <c r="I67" s="163"/>
      <c r="J67" s="163"/>
      <c r="K67" s="163"/>
      <c r="L67" s="163"/>
      <c r="M67" s="163"/>
      <c r="N67" s="3466"/>
      <c r="O67" s="163"/>
      <c r="P67" s="163"/>
      <c r="Q67" s="51"/>
      <c r="R67" s="137"/>
    </row>
    <row r="68" spans="1:18" s="141" customFormat="1">
      <c r="A68" s="405"/>
      <c r="B68" s="137"/>
      <c r="C68" s="137"/>
      <c r="D68" s="137"/>
      <c r="E68" s="137"/>
      <c r="F68" s="137"/>
      <c r="G68" s="137"/>
      <c r="H68" s="51"/>
      <c r="I68" s="51"/>
      <c r="J68" s="51"/>
      <c r="K68" s="51"/>
      <c r="L68" s="51"/>
      <c r="M68" s="51"/>
      <c r="N68" s="51"/>
      <c r="O68" s="51"/>
      <c r="P68" s="51"/>
      <c r="Q68" s="51"/>
      <c r="R68" s="137"/>
    </row>
    <row r="69" spans="1:18" s="141" customFormat="1" ht="17.100000000000001" customHeight="1">
      <c r="A69" s="405"/>
      <c r="B69" s="137"/>
      <c r="C69" s="137"/>
      <c r="D69" s="137"/>
      <c r="E69" s="137"/>
      <c r="F69" s="137"/>
      <c r="G69" s="137"/>
      <c r="H69" s="51"/>
      <c r="I69" s="51"/>
      <c r="J69" s="51"/>
      <c r="K69" s="51"/>
      <c r="L69" s="51"/>
      <c r="M69" s="51"/>
      <c r="N69" s="51"/>
      <c r="O69" s="51"/>
      <c r="P69" s="51"/>
      <c r="Q69" s="51"/>
      <c r="R69" s="137"/>
    </row>
    <row r="70" spans="1:18" s="141" customFormat="1" ht="17.100000000000001" customHeight="1">
      <c r="A70" s="405"/>
      <c r="B70" s="137"/>
      <c r="C70" s="137"/>
      <c r="D70" s="137"/>
      <c r="E70" s="137"/>
      <c r="F70" s="137"/>
      <c r="G70" s="137"/>
      <c r="H70" s="51"/>
      <c r="I70" s="51"/>
      <c r="J70" s="51"/>
      <c r="K70" s="51"/>
      <c r="L70" s="51"/>
      <c r="M70" s="51"/>
      <c r="N70" s="51"/>
      <c r="O70" s="51"/>
      <c r="P70" s="51"/>
      <c r="Q70" s="51"/>
      <c r="R70" s="137"/>
    </row>
    <row r="71" spans="1:18" s="141" customFormat="1" ht="17.100000000000001" customHeight="1">
      <c r="A71" s="405"/>
      <c r="B71" s="137"/>
      <c r="C71" s="137"/>
      <c r="D71" s="137"/>
      <c r="E71" s="137"/>
      <c r="F71" s="137"/>
      <c r="G71" s="137"/>
      <c r="H71" s="51"/>
      <c r="I71" s="51"/>
      <c r="J71" s="51"/>
      <c r="K71" s="51"/>
      <c r="L71" s="51"/>
      <c r="M71" s="51"/>
      <c r="N71" s="51"/>
      <c r="O71" s="51"/>
      <c r="P71" s="51"/>
      <c r="Q71" s="51"/>
      <c r="R71" s="137"/>
    </row>
    <row r="72" spans="1:18" s="141" customFormat="1" ht="17.100000000000001" customHeight="1">
      <c r="A72" s="405"/>
      <c r="B72" s="137"/>
      <c r="C72" s="137"/>
      <c r="D72" s="137"/>
      <c r="E72" s="137"/>
      <c r="F72" s="137"/>
      <c r="G72" s="137"/>
      <c r="H72" s="51"/>
      <c r="I72" s="51"/>
      <c r="J72" s="51"/>
      <c r="K72" s="51"/>
      <c r="L72" s="51"/>
      <c r="M72" s="51"/>
      <c r="N72" s="51"/>
      <c r="O72" s="51"/>
      <c r="P72" s="51"/>
      <c r="Q72" s="51"/>
      <c r="R72" s="137"/>
    </row>
    <row r="73" spans="1:18" s="141" customFormat="1" ht="17.100000000000001" customHeight="1">
      <c r="A73" s="405"/>
      <c r="B73" s="137"/>
      <c r="C73" s="137"/>
      <c r="D73" s="137"/>
      <c r="E73" s="137"/>
      <c r="F73" s="137"/>
      <c r="G73" s="137"/>
      <c r="H73" s="51"/>
      <c r="I73" s="51"/>
      <c r="J73" s="51"/>
      <c r="K73" s="51"/>
      <c r="L73" s="51"/>
      <c r="M73" s="51"/>
      <c r="N73" s="51"/>
      <c r="O73" s="51"/>
      <c r="P73" s="51"/>
      <c r="Q73" s="51"/>
      <c r="R73" s="137"/>
    </row>
    <row r="74" spans="1:18" s="141" customFormat="1" ht="17.100000000000001" customHeight="1">
      <c r="A74" s="405"/>
      <c r="B74" s="137"/>
      <c r="C74" s="137"/>
      <c r="D74" s="137"/>
      <c r="E74" s="137"/>
      <c r="F74" s="137"/>
      <c r="G74" s="137"/>
      <c r="H74" s="51"/>
      <c r="I74" s="51"/>
      <c r="J74" s="51"/>
      <c r="K74" s="51"/>
      <c r="L74" s="51"/>
      <c r="M74" s="51"/>
      <c r="N74" s="51"/>
      <c r="O74" s="51"/>
      <c r="P74" s="51"/>
      <c r="Q74" s="51"/>
      <c r="R74" s="137"/>
    </row>
    <row r="75" spans="1:18" s="141" customFormat="1" ht="17.100000000000001" customHeight="1">
      <c r="A75" s="405"/>
      <c r="B75" s="137"/>
      <c r="C75" s="137"/>
      <c r="D75" s="137"/>
      <c r="E75" s="137"/>
      <c r="F75" s="137"/>
      <c r="G75" s="137"/>
      <c r="H75" s="51"/>
      <c r="I75" s="51"/>
      <c r="J75" s="51"/>
      <c r="K75" s="51"/>
      <c r="L75" s="51"/>
      <c r="M75" s="51"/>
      <c r="N75" s="51"/>
      <c r="O75" s="51"/>
      <c r="P75" s="51"/>
      <c r="Q75" s="51"/>
      <c r="R75" s="137"/>
    </row>
    <row r="76" spans="1:18" s="141" customFormat="1" ht="17.100000000000001" customHeight="1">
      <c r="A76" s="405"/>
      <c r="B76" s="137"/>
      <c r="C76" s="137"/>
      <c r="D76" s="137"/>
      <c r="E76" s="137"/>
      <c r="F76" s="137"/>
      <c r="G76" s="137"/>
      <c r="H76" s="51"/>
      <c r="I76" s="51"/>
      <c r="J76" s="51"/>
      <c r="K76" s="51"/>
      <c r="L76" s="51"/>
      <c r="M76" s="51"/>
      <c r="N76" s="51"/>
      <c r="O76" s="51"/>
      <c r="P76" s="51"/>
      <c r="Q76" s="51"/>
      <c r="R76" s="137"/>
    </row>
    <row r="77" spans="1:18" s="141" customFormat="1" ht="17.100000000000001" customHeight="1">
      <c r="A77" s="405"/>
      <c r="B77" s="137"/>
      <c r="C77" s="137"/>
      <c r="D77" s="137"/>
      <c r="E77" s="137"/>
      <c r="F77" s="137"/>
      <c r="G77" s="137"/>
      <c r="H77" s="51"/>
      <c r="I77" s="51"/>
      <c r="J77" s="51"/>
      <c r="K77" s="51"/>
      <c r="L77" s="51"/>
      <c r="M77" s="51"/>
      <c r="N77" s="51"/>
      <c r="O77" s="51"/>
      <c r="P77" s="51"/>
      <c r="Q77" s="51"/>
      <c r="R77" s="137"/>
    </row>
    <row r="78" spans="1:18" s="141" customFormat="1" ht="17.100000000000001" customHeight="1">
      <c r="A78" s="405"/>
      <c r="B78" s="137"/>
      <c r="C78" s="137"/>
      <c r="D78" s="137"/>
      <c r="E78" s="137"/>
      <c r="F78" s="137"/>
      <c r="G78" s="137"/>
      <c r="H78" s="51"/>
      <c r="I78" s="51"/>
      <c r="J78" s="51"/>
      <c r="K78" s="51"/>
      <c r="L78" s="51"/>
      <c r="M78" s="51"/>
      <c r="N78" s="51"/>
      <c r="O78" s="51"/>
      <c r="P78" s="51"/>
      <c r="Q78" s="51"/>
      <c r="R78" s="137"/>
    </row>
    <row r="79" spans="1:18" s="141" customFormat="1" ht="17.100000000000001" customHeight="1">
      <c r="A79" s="405"/>
      <c r="B79" s="137"/>
      <c r="C79" s="137"/>
      <c r="D79" s="137"/>
      <c r="E79" s="137"/>
      <c r="F79" s="137"/>
      <c r="G79" s="137"/>
      <c r="H79" s="51"/>
      <c r="I79" s="51"/>
      <c r="J79" s="51"/>
      <c r="K79" s="51"/>
      <c r="L79" s="51"/>
      <c r="M79" s="51"/>
      <c r="N79" s="51"/>
      <c r="O79" s="51"/>
      <c r="P79" s="51"/>
      <c r="Q79" s="51"/>
      <c r="R79" s="137"/>
    </row>
    <row r="80" spans="1:18" s="141" customFormat="1" ht="17.100000000000001" customHeight="1">
      <c r="A80" s="405"/>
      <c r="B80" s="137"/>
      <c r="C80" s="137"/>
      <c r="D80" s="137"/>
      <c r="E80" s="137"/>
      <c r="F80" s="137"/>
      <c r="G80" s="137"/>
      <c r="H80" s="51"/>
      <c r="I80" s="51"/>
      <c r="J80" s="51"/>
      <c r="K80" s="51"/>
      <c r="L80" s="51"/>
      <c r="M80" s="51"/>
      <c r="N80" s="51"/>
      <c r="O80" s="51"/>
      <c r="P80" s="51"/>
      <c r="Q80" s="51"/>
      <c r="R80" s="137"/>
    </row>
    <row r="81" spans="1:18" s="141" customFormat="1" ht="17.100000000000001" customHeight="1">
      <c r="A81" s="405"/>
      <c r="B81" s="137"/>
      <c r="C81" s="137"/>
      <c r="D81" s="137"/>
      <c r="E81" s="137"/>
      <c r="F81" s="137"/>
      <c r="G81" s="137"/>
      <c r="H81" s="51"/>
      <c r="I81" s="51"/>
      <c r="J81" s="51"/>
      <c r="K81" s="51"/>
      <c r="L81" s="51"/>
      <c r="M81" s="51"/>
      <c r="N81" s="51"/>
      <c r="O81" s="51"/>
      <c r="P81" s="51"/>
      <c r="Q81" s="51"/>
      <c r="R81" s="137"/>
    </row>
    <row r="82" spans="1:18" s="141" customFormat="1" ht="17.100000000000001" customHeight="1">
      <c r="A82" s="405"/>
      <c r="B82" s="137"/>
      <c r="C82" s="137"/>
      <c r="D82" s="137"/>
      <c r="E82" s="137"/>
      <c r="F82" s="137"/>
      <c r="G82" s="137"/>
      <c r="H82" s="51"/>
      <c r="I82" s="51"/>
      <c r="J82" s="51"/>
      <c r="K82" s="51"/>
      <c r="L82" s="51"/>
      <c r="M82" s="51"/>
      <c r="N82" s="51"/>
      <c r="O82" s="51"/>
      <c r="P82" s="51"/>
      <c r="Q82" s="51"/>
      <c r="R82" s="137"/>
    </row>
    <row r="83" spans="1:18" s="141" customFormat="1" ht="17.100000000000001" customHeight="1">
      <c r="A83" s="405"/>
      <c r="B83" s="137"/>
      <c r="C83" s="137"/>
      <c r="D83" s="137"/>
      <c r="E83" s="137"/>
      <c r="F83" s="137"/>
      <c r="G83" s="137"/>
      <c r="H83" s="51"/>
      <c r="I83" s="51"/>
      <c r="J83" s="51"/>
      <c r="K83" s="51"/>
      <c r="L83" s="51"/>
      <c r="M83" s="51"/>
      <c r="N83" s="51"/>
      <c r="O83" s="51"/>
      <c r="P83" s="51"/>
      <c r="Q83" s="51"/>
      <c r="R83" s="137"/>
    </row>
    <row r="84" spans="1:18" s="141" customFormat="1" ht="17.100000000000001" customHeight="1">
      <c r="A84" s="405"/>
      <c r="B84" s="137"/>
      <c r="C84" s="137"/>
      <c r="D84" s="137"/>
      <c r="E84" s="137"/>
      <c r="F84" s="137"/>
      <c r="G84" s="137"/>
      <c r="H84" s="51"/>
      <c r="I84" s="51"/>
      <c r="J84" s="51"/>
      <c r="K84" s="51"/>
      <c r="L84" s="51"/>
      <c r="M84" s="51"/>
      <c r="N84" s="51"/>
      <c r="O84" s="51"/>
      <c r="P84" s="51"/>
      <c r="Q84" s="51"/>
      <c r="R84" s="137"/>
    </row>
    <row r="85" spans="1:18" s="141" customFormat="1" ht="17.100000000000001" customHeight="1">
      <c r="A85" s="405"/>
      <c r="B85" s="137"/>
      <c r="C85" s="137"/>
      <c r="D85" s="137"/>
      <c r="E85" s="137"/>
      <c r="F85" s="137"/>
      <c r="G85" s="137"/>
      <c r="H85" s="51"/>
      <c r="I85" s="51"/>
      <c r="J85" s="51"/>
      <c r="K85" s="51"/>
      <c r="L85" s="51"/>
      <c r="M85" s="51"/>
      <c r="N85" s="51"/>
      <c r="O85" s="51"/>
      <c r="P85" s="51"/>
      <c r="Q85" s="51"/>
      <c r="R85" s="137"/>
    </row>
    <row r="86" spans="1:18" s="141" customFormat="1" ht="17.100000000000001" customHeight="1">
      <c r="A86" s="405"/>
      <c r="B86" s="137"/>
      <c r="C86" s="137"/>
      <c r="D86" s="137"/>
      <c r="E86" s="137"/>
      <c r="F86" s="137"/>
      <c r="G86" s="137"/>
      <c r="H86" s="51"/>
      <c r="I86" s="51"/>
      <c r="J86" s="51"/>
      <c r="K86" s="51"/>
      <c r="L86" s="51"/>
      <c r="M86" s="51"/>
      <c r="N86" s="51"/>
      <c r="O86" s="51"/>
      <c r="P86" s="51"/>
      <c r="Q86" s="51"/>
      <c r="R86" s="137"/>
    </row>
    <row r="87" spans="1:18" s="141" customFormat="1" ht="17.100000000000001" customHeight="1">
      <c r="A87" s="405"/>
      <c r="B87" s="137"/>
      <c r="C87" s="137"/>
      <c r="D87" s="137"/>
      <c r="E87" s="137"/>
      <c r="F87" s="137"/>
      <c r="G87" s="137"/>
      <c r="H87" s="51"/>
      <c r="I87" s="51"/>
      <c r="J87" s="51"/>
      <c r="K87" s="51"/>
      <c r="L87" s="51"/>
      <c r="M87" s="51"/>
      <c r="N87" s="51"/>
      <c r="O87" s="51"/>
      <c r="P87" s="51"/>
      <c r="Q87" s="51"/>
      <c r="R87" s="137"/>
    </row>
    <row r="88" spans="1:18" ht="17.100000000000001" customHeight="1">
      <c r="B88" s="137"/>
      <c r="C88" s="137"/>
      <c r="D88" s="137"/>
      <c r="E88" s="137"/>
      <c r="H88" s="51"/>
      <c r="K88" s="51"/>
      <c r="N88" s="51"/>
    </row>
    <row r="89" spans="1:18" ht="17.100000000000001" customHeight="1">
      <c r="B89" s="137"/>
      <c r="C89" s="137"/>
      <c r="D89" s="137"/>
      <c r="E89" s="137"/>
      <c r="H89" s="51"/>
      <c r="K89" s="51"/>
      <c r="N89" s="51"/>
    </row>
    <row r="90" spans="1:18" ht="17.100000000000001" customHeight="1">
      <c r="B90" s="137"/>
      <c r="C90" s="137"/>
      <c r="D90" s="137"/>
      <c r="E90" s="137"/>
      <c r="H90" s="51"/>
      <c r="K90" s="51"/>
      <c r="N90" s="51"/>
    </row>
    <row r="91" spans="1:18" ht="17.100000000000001" customHeight="1">
      <c r="B91" s="137"/>
      <c r="C91" s="137"/>
      <c r="D91" s="137"/>
      <c r="E91" s="137"/>
      <c r="H91" s="51"/>
      <c r="K91" s="51"/>
      <c r="N91" s="51"/>
    </row>
    <row r="92" spans="1:18" ht="17.100000000000001" customHeight="1">
      <c r="B92" s="137"/>
      <c r="C92" s="137"/>
      <c r="D92" s="137"/>
      <c r="E92" s="137"/>
      <c r="H92" s="51"/>
      <c r="K92" s="51"/>
      <c r="N92" s="51"/>
    </row>
    <row r="93" spans="1:18" ht="17.100000000000001" customHeight="1">
      <c r="B93" s="137"/>
      <c r="C93" s="137"/>
      <c r="D93" s="137"/>
      <c r="E93" s="137"/>
      <c r="H93" s="51"/>
      <c r="K93" s="51"/>
      <c r="N93" s="51"/>
    </row>
    <row r="94" spans="1:18" ht="17.100000000000001" customHeight="1">
      <c r="B94" s="137"/>
      <c r="C94" s="137"/>
      <c r="D94" s="137"/>
      <c r="E94" s="137"/>
      <c r="H94" s="51"/>
      <c r="K94" s="51"/>
      <c r="N94" s="51"/>
    </row>
    <row r="95" spans="1:18" ht="17.100000000000001" customHeight="1">
      <c r="B95" s="137"/>
      <c r="C95" s="137"/>
      <c r="D95" s="137"/>
      <c r="E95" s="137"/>
      <c r="H95" s="51"/>
      <c r="K95" s="51"/>
      <c r="N95" s="51"/>
    </row>
    <row r="96" spans="1:18" ht="17.100000000000001" customHeight="1">
      <c r="B96" s="137"/>
      <c r="C96" s="137"/>
      <c r="D96" s="137"/>
      <c r="E96" s="137"/>
      <c r="H96" s="51"/>
      <c r="K96" s="51"/>
      <c r="N96" s="51"/>
    </row>
    <row r="97" spans="2:14" ht="17.100000000000001" customHeight="1">
      <c r="B97" s="137"/>
      <c r="C97" s="137"/>
      <c r="D97" s="137"/>
      <c r="E97" s="137"/>
      <c r="H97" s="51"/>
      <c r="K97" s="51"/>
      <c r="N97" s="51"/>
    </row>
    <row r="98" spans="2:14" ht="17.100000000000001" customHeight="1">
      <c r="B98" s="137"/>
      <c r="C98" s="137"/>
      <c r="D98" s="137"/>
      <c r="E98" s="137"/>
      <c r="H98" s="51"/>
      <c r="K98" s="51"/>
      <c r="N98" s="51"/>
    </row>
    <row r="99" spans="2:14" ht="17.100000000000001" customHeight="1">
      <c r="B99" s="137"/>
      <c r="C99" s="137"/>
      <c r="D99" s="137"/>
      <c r="E99" s="137"/>
      <c r="H99" s="51"/>
      <c r="K99" s="51"/>
      <c r="N99" s="51"/>
    </row>
    <row r="100" spans="2:14" ht="17.100000000000001" customHeight="1">
      <c r="B100" s="137"/>
      <c r="C100" s="137"/>
      <c r="D100" s="137"/>
      <c r="E100" s="137"/>
      <c r="H100" s="51"/>
      <c r="K100" s="51"/>
      <c r="N100" s="51"/>
    </row>
    <row r="101" spans="2:14" ht="17.100000000000001" customHeight="1">
      <c r="B101" s="137"/>
      <c r="C101" s="137"/>
      <c r="D101" s="137"/>
      <c r="E101" s="137"/>
      <c r="H101" s="51"/>
      <c r="K101" s="51"/>
      <c r="N101" s="51"/>
    </row>
    <row r="102" spans="2:14" ht="17.100000000000001" customHeight="1">
      <c r="B102" s="137"/>
      <c r="C102" s="137"/>
      <c r="D102" s="137"/>
      <c r="E102" s="137"/>
      <c r="H102" s="51"/>
      <c r="K102" s="51"/>
      <c r="N102" s="51"/>
    </row>
    <row r="103" spans="2:14" ht="17.100000000000001" customHeight="1">
      <c r="B103" s="137"/>
      <c r="C103" s="137"/>
      <c r="D103" s="137"/>
      <c r="E103" s="137"/>
      <c r="H103" s="51"/>
      <c r="K103" s="51"/>
      <c r="N103" s="51"/>
    </row>
    <row r="104" spans="2:14" ht="17.100000000000001" customHeight="1">
      <c r="B104" s="137"/>
      <c r="C104" s="137"/>
      <c r="D104" s="137"/>
      <c r="E104" s="137"/>
      <c r="H104" s="51"/>
      <c r="K104" s="51"/>
      <c r="N104" s="51"/>
    </row>
    <row r="105" spans="2:14" ht="17.100000000000001" customHeight="1">
      <c r="B105" s="137"/>
      <c r="C105" s="137"/>
      <c r="D105" s="137"/>
      <c r="E105" s="137"/>
      <c r="H105" s="51"/>
      <c r="K105" s="51"/>
      <c r="N105" s="51"/>
    </row>
    <row r="106" spans="2:14" ht="17.100000000000001" customHeight="1">
      <c r="B106" s="137"/>
      <c r="C106" s="137"/>
      <c r="D106" s="137"/>
      <c r="E106" s="137"/>
      <c r="H106" s="51"/>
      <c r="K106" s="51"/>
      <c r="N106" s="51"/>
    </row>
    <row r="107" spans="2:14" ht="17.100000000000001" customHeight="1">
      <c r="B107" s="137"/>
      <c r="C107" s="137"/>
      <c r="D107" s="137"/>
      <c r="E107" s="137"/>
      <c r="H107" s="51"/>
      <c r="K107" s="51"/>
      <c r="N107" s="51"/>
    </row>
    <row r="108" spans="2:14" ht="17.100000000000001" customHeight="1">
      <c r="B108" s="137"/>
      <c r="C108" s="137"/>
      <c r="D108" s="137"/>
      <c r="E108" s="137"/>
      <c r="H108" s="51"/>
      <c r="K108" s="51"/>
      <c r="N108" s="51"/>
    </row>
    <row r="109" spans="2:14" ht="17.100000000000001" customHeight="1">
      <c r="B109" s="137"/>
      <c r="C109" s="137"/>
      <c r="D109" s="137"/>
      <c r="E109" s="137"/>
      <c r="H109" s="51"/>
      <c r="K109" s="51"/>
      <c r="N109" s="51"/>
    </row>
    <row r="110" spans="2:14" ht="17.100000000000001" customHeight="1">
      <c r="B110" s="137"/>
      <c r="C110" s="137"/>
      <c r="D110" s="137"/>
      <c r="E110" s="137"/>
      <c r="H110" s="51"/>
      <c r="K110" s="51"/>
      <c r="N110" s="51"/>
    </row>
    <row r="111" spans="2:14" ht="17.100000000000001" customHeight="1">
      <c r="B111" s="137"/>
      <c r="C111" s="137"/>
      <c r="D111" s="137"/>
      <c r="E111" s="137"/>
      <c r="H111" s="51"/>
      <c r="K111" s="51"/>
      <c r="N111" s="51"/>
    </row>
    <row r="112" spans="2:14" ht="17.100000000000001" customHeight="1">
      <c r="B112" s="137"/>
      <c r="C112" s="137"/>
      <c r="D112" s="137"/>
      <c r="E112" s="137"/>
      <c r="H112" s="51"/>
      <c r="K112" s="51"/>
      <c r="N112" s="51"/>
    </row>
    <row r="113" spans="2:14" ht="17.100000000000001" customHeight="1">
      <c r="B113" s="137"/>
      <c r="C113" s="137"/>
      <c r="D113" s="137"/>
      <c r="E113" s="137"/>
      <c r="H113" s="51"/>
      <c r="K113" s="51"/>
      <c r="N113" s="51"/>
    </row>
    <row r="114" spans="2:14" ht="17.100000000000001" customHeight="1">
      <c r="B114" s="137"/>
      <c r="C114" s="137"/>
      <c r="D114" s="137"/>
      <c r="E114" s="137"/>
      <c r="H114" s="51"/>
      <c r="K114" s="51"/>
      <c r="N114" s="51"/>
    </row>
    <row r="115" spans="2:14" ht="17.100000000000001" customHeight="1">
      <c r="B115" s="137"/>
      <c r="C115" s="137"/>
      <c r="D115" s="137"/>
      <c r="E115" s="137"/>
      <c r="H115" s="51"/>
      <c r="K115" s="51"/>
      <c r="N115" s="51"/>
    </row>
    <row r="116" spans="2:14" ht="17.100000000000001" customHeight="1">
      <c r="B116" s="137"/>
      <c r="C116" s="137"/>
      <c r="D116" s="137"/>
      <c r="E116" s="137"/>
      <c r="H116" s="51"/>
      <c r="K116" s="51"/>
      <c r="N116" s="51"/>
    </row>
    <row r="117" spans="2:14" ht="17.100000000000001" customHeight="1">
      <c r="B117" s="137"/>
      <c r="C117" s="137"/>
      <c r="D117" s="137"/>
      <c r="E117" s="137"/>
      <c r="H117" s="51"/>
      <c r="K117" s="51"/>
      <c r="N117" s="51"/>
    </row>
    <row r="118" spans="2:14" ht="17.100000000000001" customHeight="1">
      <c r="B118" s="137"/>
      <c r="C118" s="137"/>
      <c r="D118" s="137"/>
      <c r="E118" s="137"/>
      <c r="H118" s="51"/>
      <c r="K118" s="51"/>
      <c r="N118" s="51"/>
    </row>
    <row r="119" spans="2:14" ht="17.100000000000001" customHeight="1">
      <c r="B119" s="137"/>
      <c r="C119" s="137"/>
      <c r="D119" s="137"/>
      <c r="E119" s="137"/>
      <c r="H119" s="51"/>
      <c r="K119" s="51"/>
      <c r="N119" s="51"/>
    </row>
    <row r="120" spans="2:14" ht="17.100000000000001" customHeight="1">
      <c r="B120" s="137"/>
      <c r="C120" s="137"/>
      <c r="D120" s="137"/>
      <c r="E120" s="137"/>
      <c r="H120" s="51"/>
      <c r="K120" s="51"/>
      <c r="N120" s="51"/>
    </row>
    <row r="121" spans="2:14" ht="17.100000000000001" customHeight="1">
      <c r="B121" s="137"/>
      <c r="C121" s="137"/>
      <c r="D121" s="137"/>
      <c r="E121" s="137"/>
      <c r="H121" s="51"/>
      <c r="K121" s="51"/>
      <c r="N121" s="51"/>
    </row>
    <row r="122" spans="2:14" ht="17.100000000000001" customHeight="1">
      <c r="B122" s="137"/>
      <c r="C122" s="137"/>
      <c r="D122" s="137"/>
      <c r="E122" s="137"/>
      <c r="H122" s="51"/>
      <c r="K122" s="51"/>
      <c r="N122" s="51"/>
    </row>
    <row r="123" spans="2:14" ht="17.100000000000001" customHeight="1">
      <c r="B123" s="137"/>
      <c r="C123" s="137"/>
      <c r="D123" s="137"/>
      <c r="E123" s="137"/>
      <c r="H123" s="51"/>
      <c r="K123" s="51"/>
      <c r="N123" s="51"/>
    </row>
    <row r="124" spans="2:14" ht="17.100000000000001" customHeight="1">
      <c r="B124" s="137"/>
      <c r="C124" s="137"/>
      <c r="D124" s="137"/>
      <c r="E124" s="137"/>
      <c r="H124" s="51"/>
      <c r="K124" s="51"/>
      <c r="N124" s="51"/>
    </row>
    <row r="125" spans="2:14" ht="17.100000000000001" customHeight="1">
      <c r="B125" s="137"/>
      <c r="C125" s="137"/>
      <c r="D125" s="137"/>
      <c r="E125" s="137"/>
      <c r="H125" s="51"/>
      <c r="K125" s="51"/>
      <c r="N125" s="51"/>
    </row>
    <row r="126" spans="2:14" ht="17.100000000000001" customHeight="1">
      <c r="B126" s="137"/>
      <c r="C126" s="137"/>
      <c r="D126" s="137"/>
      <c r="E126" s="137"/>
      <c r="H126" s="51"/>
      <c r="K126" s="51"/>
      <c r="N126" s="51"/>
    </row>
    <row r="127" spans="2:14" ht="17.100000000000001" customHeight="1">
      <c r="B127" s="137"/>
      <c r="C127" s="137"/>
      <c r="D127" s="137"/>
      <c r="E127" s="137"/>
      <c r="H127" s="51"/>
      <c r="K127" s="51"/>
      <c r="N127" s="51"/>
    </row>
    <row r="128" spans="2:14" ht="17.100000000000001" customHeight="1">
      <c r="B128" s="137"/>
      <c r="C128" s="137"/>
      <c r="D128" s="137"/>
      <c r="E128" s="137"/>
      <c r="H128" s="51"/>
      <c r="K128" s="51"/>
      <c r="N128" s="51"/>
    </row>
    <row r="129" spans="2:14" ht="17.100000000000001" customHeight="1">
      <c r="B129" s="137"/>
      <c r="C129" s="137"/>
      <c r="D129" s="137"/>
      <c r="E129" s="137"/>
      <c r="H129" s="51"/>
      <c r="K129" s="51"/>
      <c r="N129" s="51"/>
    </row>
    <row r="130" spans="2:14" ht="17.100000000000001" customHeight="1">
      <c r="B130" s="137"/>
      <c r="C130" s="137"/>
      <c r="D130" s="137"/>
      <c r="E130" s="137"/>
      <c r="H130" s="51"/>
      <c r="K130" s="51"/>
      <c r="N130" s="51"/>
    </row>
    <row r="131" spans="2:14" ht="17.100000000000001" customHeight="1">
      <c r="B131" s="137"/>
      <c r="C131" s="137"/>
      <c r="D131" s="137"/>
      <c r="E131" s="137"/>
      <c r="H131" s="51"/>
      <c r="K131" s="51"/>
      <c r="N131" s="51"/>
    </row>
    <row r="132" spans="2:14" ht="17.100000000000001" customHeight="1">
      <c r="B132" s="137"/>
      <c r="C132" s="137"/>
      <c r="D132" s="137"/>
      <c r="E132" s="137"/>
      <c r="H132" s="51"/>
      <c r="K132" s="51"/>
      <c r="N132" s="51"/>
    </row>
    <row r="133" spans="2:14" ht="17.100000000000001" customHeight="1">
      <c r="B133" s="137"/>
      <c r="C133" s="137"/>
      <c r="D133" s="137"/>
      <c r="E133" s="137"/>
      <c r="H133" s="51"/>
      <c r="K133" s="51"/>
      <c r="N133" s="51"/>
    </row>
    <row r="134" spans="2:14" ht="17.100000000000001" customHeight="1">
      <c r="B134" s="137"/>
      <c r="C134" s="137"/>
      <c r="D134" s="137"/>
      <c r="E134" s="137"/>
      <c r="H134" s="51"/>
      <c r="K134" s="51"/>
      <c r="N134" s="51"/>
    </row>
    <row r="135" spans="2:14" ht="17.100000000000001" customHeight="1">
      <c r="B135" s="137"/>
      <c r="C135" s="137"/>
      <c r="D135" s="137"/>
      <c r="E135" s="137"/>
      <c r="H135" s="51"/>
      <c r="K135" s="51"/>
      <c r="N135" s="51"/>
    </row>
    <row r="136" spans="2:14" ht="17.100000000000001" customHeight="1">
      <c r="B136" s="137"/>
      <c r="C136" s="137"/>
      <c r="D136" s="137"/>
      <c r="E136" s="137"/>
      <c r="H136" s="51"/>
      <c r="K136" s="51"/>
      <c r="N136" s="51"/>
    </row>
    <row r="137" spans="2:14" ht="17.100000000000001" customHeight="1">
      <c r="B137" s="137"/>
      <c r="C137" s="137"/>
      <c r="D137" s="137"/>
      <c r="E137" s="137"/>
      <c r="H137" s="51"/>
      <c r="K137" s="51"/>
      <c r="N137" s="51"/>
    </row>
    <row r="138" spans="2:14" ht="17.100000000000001" customHeight="1">
      <c r="B138" s="137"/>
      <c r="C138" s="137"/>
      <c r="D138" s="137"/>
      <c r="E138" s="137"/>
      <c r="H138" s="51"/>
      <c r="K138" s="51"/>
      <c r="N138" s="51"/>
    </row>
    <row r="139" spans="2:14" ht="17.100000000000001" customHeight="1">
      <c r="B139" s="137"/>
      <c r="C139" s="137"/>
      <c r="D139" s="137"/>
      <c r="E139" s="137"/>
      <c r="H139" s="51"/>
      <c r="K139" s="51"/>
      <c r="N139" s="51"/>
    </row>
    <row r="140" spans="2:14" ht="17.100000000000001" customHeight="1">
      <c r="B140" s="137"/>
      <c r="C140" s="137"/>
      <c r="D140" s="137"/>
      <c r="E140" s="137"/>
      <c r="H140" s="51"/>
      <c r="K140" s="51"/>
      <c r="N140" s="51"/>
    </row>
    <row r="141" spans="2:14" ht="17.100000000000001" customHeight="1">
      <c r="B141" s="137"/>
      <c r="C141" s="137"/>
      <c r="D141" s="137"/>
      <c r="E141" s="137"/>
      <c r="H141" s="51"/>
      <c r="K141" s="51"/>
      <c r="N141" s="51"/>
    </row>
    <row r="142" spans="2:14" ht="17.100000000000001" customHeight="1">
      <c r="B142" s="137"/>
      <c r="C142" s="137"/>
      <c r="D142" s="137"/>
      <c r="E142" s="137"/>
      <c r="H142" s="51"/>
      <c r="K142" s="51"/>
      <c r="N142" s="51"/>
    </row>
    <row r="143" spans="2:14" ht="17.100000000000001" customHeight="1">
      <c r="B143" s="137"/>
      <c r="C143" s="137"/>
      <c r="D143" s="137"/>
      <c r="E143" s="137"/>
      <c r="H143" s="51"/>
      <c r="K143" s="51"/>
      <c r="N143" s="51"/>
    </row>
    <row r="144" spans="2:14" ht="17.100000000000001" customHeight="1">
      <c r="B144" s="137"/>
      <c r="C144" s="137"/>
      <c r="D144" s="137"/>
      <c r="E144" s="137"/>
      <c r="H144" s="51"/>
      <c r="K144" s="51"/>
      <c r="N144" s="51"/>
    </row>
    <row r="145" spans="1:14" ht="17.100000000000001" customHeight="1">
      <c r="B145" s="137"/>
      <c r="C145" s="137"/>
      <c r="D145" s="137"/>
      <c r="E145" s="137"/>
      <c r="H145" s="51"/>
      <c r="K145" s="51"/>
      <c r="N145" s="51"/>
    </row>
    <row r="146" spans="1:14" ht="17.100000000000001" customHeight="1">
      <c r="B146" s="137"/>
      <c r="C146" s="137"/>
      <c r="D146" s="137"/>
      <c r="E146" s="137"/>
      <c r="H146" s="51"/>
      <c r="K146" s="51"/>
      <c r="N146" s="51"/>
    </row>
    <row r="147" spans="1:14" ht="17.100000000000001" customHeight="1">
      <c r="B147" s="137"/>
      <c r="C147" s="137"/>
      <c r="D147" s="137"/>
      <c r="E147" s="137"/>
      <c r="H147" s="51"/>
      <c r="K147" s="51"/>
      <c r="N147" s="51"/>
    </row>
    <row r="148" spans="1:14" ht="17.100000000000001" customHeight="1">
      <c r="B148" s="137"/>
      <c r="C148" s="137"/>
      <c r="D148" s="137"/>
      <c r="E148" s="137"/>
      <c r="H148" s="51"/>
      <c r="K148" s="51"/>
      <c r="N148" s="51"/>
    </row>
    <row r="149" spans="1:14" ht="17.100000000000001" customHeight="1">
      <c r="B149" s="137"/>
      <c r="C149" s="137"/>
      <c r="D149" s="137"/>
      <c r="E149" s="137"/>
      <c r="H149" s="51"/>
      <c r="K149" s="51"/>
      <c r="N149" s="51"/>
    </row>
    <row r="150" spans="1:14" ht="17.100000000000001" customHeight="1">
      <c r="B150" s="137"/>
      <c r="C150" s="137"/>
      <c r="D150" s="137"/>
      <c r="E150" s="137"/>
      <c r="H150" s="51"/>
      <c r="K150" s="51"/>
      <c r="N150" s="51"/>
    </row>
    <row r="151" spans="1:14" ht="17.100000000000001" customHeight="1">
      <c r="B151" s="137"/>
      <c r="C151" s="137"/>
      <c r="D151" s="137"/>
      <c r="E151" s="137"/>
      <c r="H151" s="51"/>
      <c r="K151" s="51"/>
      <c r="N151" s="51"/>
    </row>
    <row r="152" spans="1:14" ht="17.100000000000001" customHeight="1">
      <c r="B152" s="137"/>
      <c r="C152" s="137"/>
      <c r="D152" s="137"/>
      <c r="E152" s="137"/>
      <c r="H152" s="51"/>
      <c r="K152" s="51"/>
      <c r="N152" s="51"/>
    </row>
    <row r="153" spans="1:14" ht="17.100000000000001" customHeight="1">
      <c r="B153" s="137"/>
      <c r="C153" s="137"/>
      <c r="D153" s="137"/>
      <c r="E153" s="137"/>
      <c r="H153" s="51"/>
      <c r="K153" s="51"/>
      <c r="N153" s="51"/>
    </row>
    <row r="154" spans="1:14" ht="17.100000000000001" customHeight="1">
      <c r="B154" s="137"/>
      <c r="C154" s="137"/>
      <c r="D154" s="137"/>
      <c r="E154" s="137"/>
      <c r="H154" s="51"/>
      <c r="K154" s="51"/>
      <c r="N154" s="51"/>
    </row>
    <row r="155" spans="1:14" ht="17.100000000000001" customHeight="1">
      <c r="B155" s="137"/>
      <c r="C155" s="137"/>
      <c r="D155" s="137"/>
      <c r="E155" s="137"/>
      <c r="H155" s="51"/>
      <c r="K155" s="51"/>
      <c r="N155" s="51"/>
    </row>
    <row r="156" spans="1:14" ht="17.100000000000001" customHeight="1">
      <c r="A156" s="2095"/>
      <c r="B156" s="141"/>
    </row>
    <row r="157" spans="1:14" ht="17.100000000000001" customHeight="1">
      <c r="A157" s="2095"/>
      <c r="B157" s="141"/>
    </row>
    <row r="158" spans="1:14" ht="17.100000000000001" customHeight="1">
      <c r="A158" s="2095"/>
      <c r="B158" s="141"/>
    </row>
    <row r="159" spans="1:14" ht="17.100000000000001" customHeight="1">
      <c r="A159" s="2095"/>
      <c r="B159" s="141"/>
    </row>
    <row r="160" spans="1:14" ht="17.100000000000001" customHeight="1">
      <c r="A160" s="2095"/>
      <c r="B160" s="141"/>
    </row>
    <row r="161" spans="1:2" ht="17.100000000000001" customHeight="1">
      <c r="A161" s="2095"/>
      <c r="B161" s="141"/>
    </row>
    <row r="162" spans="1:2" ht="17.100000000000001" customHeight="1">
      <c r="A162" s="2095"/>
      <c r="B162" s="141"/>
    </row>
    <row r="163" spans="1:2" ht="17.100000000000001" customHeight="1">
      <c r="A163" s="2095"/>
      <c r="B163" s="141"/>
    </row>
    <row r="164" spans="1:2" ht="17.100000000000001" customHeight="1">
      <c r="A164" s="2095"/>
      <c r="B164" s="141"/>
    </row>
    <row r="165" spans="1:2" ht="17.100000000000001" customHeight="1">
      <c r="A165" s="2095"/>
      <c r="B165" s="141"/>
    </row>
    <row r="166" spans="1:2" ht="17.100000000000001" customHeight="1">
      <c r="A166" s="2095"/>
      <c r="B166" s="141"/>
    </row>
    <row r="167" spans="1:2" ht="17.100000000000001" customHeight="1">
      <c r="A167" s="2095"/>
      <c r="B167" s="141"/>
    </row>
    <row r="168" spans="1:2" ht="17.100000000000001" customHeight="1">
      <c r="A168" s="2095"/>
      <c r="B168" s="141"/>
    </row>
    <row r="169" spans="1:2" ht="17.100000000000001" customHeight="1">
      <c r="A169" s="2095"/>
      <c r="B169" s="141"/>
    </row>
    <row r="170" spans="1:2" ht="17.100000000000001" customHeight="1">
      <c r="A170" s="2095"/>
      <c r="B170" s="141"/>
    </row>
    <row r="171" spans="1:2" ht="17.100000000000001" customHeight="1">
      <c r="A171" s="2095"/>
      <c r="B171" s="141"/>
    </row>
    <row r="172" spans="1:2" ht="17.100000000000001" customHeight="1">
      <c r="A172" s="2095"/>
      <c r="B172" s="141"/>
    </row>
    <row r="173" spans="1:2" ht="17.100000000000001" customHeight="1">
      <c r="A173" s="2095"/>
      <c r="B173" s="141"/>
    </row>
    <row r="174" spans="1:2" ht="17.100000000000001" customHeight="1">
      <c r="A174" s="2095"/>
      <c r="B174" s="141"/>
    </row>
    <row r="175" spans="1:2" ht="17.100000000000001" customHeight="1">
      <c r="A175" s="2095"/>
      <c r="B175" s="141"/>
    </row>
    <row r="176" spans="1:2" ht="17.100000000000001" customHeight="1">
      <c r="A176" s="2095"/>
      <c r="B176" s="141"/>
    </row>
    <row r="177" spans="1:2" ht="17.100000000000001" customHeight="1">
      <c r="A177" s="2095"/>
      <c r="B177" s="141"/>
    </row>
    <row r="178" spans="1:2" ht="17.100000000000001" customHeight="1">
      <c r="A178" s="2095"/>
      <c r="B178" s="141"/>
    </row>
    <row r="179" spans="1:2" ht="17.100000000000001" customHeight="1">
      <c r="A179" s="2095"/>
      <c r="B179" s="141"/>
    </row>
    <row r="180" spans="1:2" ht="17.100000000000001" customHeight="1">
      <c r="A180" s="2095"/>
      <c r="B180" s="141"/>
    </row>
    <row r="181" spans="1:2" ht="17.100000000000001" customHeight="1">
      <c r="A181" s="2095"/>
      <c r="B181" s="141"/>
    </row>
    <row r="182" spans="1:2" ht="17.100000000000001" customHeight="1">
      <c r="A182" s="2095"/>
      <c r="B182" s="141"/>
    </row>
    <row r="183" spans="1:2" ht="17.100000000000001" customHeight="1">
      <c r="A183" s="2095"/>
      <c r="B183" s="141"/>
    </row>
    <row r="184" spans="1:2" ht="17.100000000000001" customHeight="1">
      <c r="A184" s="2095"/>
      <c r="B184" s="141"/>
    </row>
    <row r="185" spans="1:2" ht="17.100000000000001" customHeight="1">
      <c r="A185" s="2095"/>
      <c r="B185" s="141"/>
    </row>
    <row r="186" spans="1:2" ht="17.100000000000001" customHeight="1">
      <c r="A186" s="2095"/>
      <c r="B186" s="141"/>
    </row>
    <row r="187" spans="1:2" ht="17.100000000000001" customHeight="1">
      <c r="A187" s="2095"/>
      <c r="B187" s="141"/>
    </row>
    <row r="188" spans="1:2" ht="17.100000000000001" customHeight="1">
      <c r="A188" s="2095"/>
      <c r="B188" s="141"/>
    </row>
    <row r="189" spans="1:2" ht="17.100000000000001" customHeight="1">
      <c r="A189" s="2095"/>
      <c r="B189" s="141"/>
    </row>
    <row r="190" spans="1:2" ht="17.100000000000001" customHeight="1">
      <c r="A190" s="2095"/>
      <c r="B190" s="141"/>
    </row>
    <row r="191" spans="1:2" ht="17.100000000000001" customHeight="1">
      <c r="A191" s="2095"/>
      <c r="B191" s="141"/>
    </row>
    <row r="192" spans="1:2" ht="17.100000000000001" customHeight="1">
      <c r="A192" s="2095"/>
      <c r="B192" s="141"/>
    </row>
    <row r="193" spans="1:2" ht="17.100000000000001" customHeight="1">
      <c r="A193" s="2095"/>
      <c r="B193" s="141"/>
    </row>
    <row r="194" spans="1:2" ht="17.100000000000001" customHeight="1">
      <c r="A194" s="2095"/>
      <c r="B194" s="141"/>
    </row>
    <row r="195" spans="1:2" ht="17.100000000000001" customHeight="1">
      <c r="A195" s="2095"/>
      <c r="B195" s="141"/>
    </row>
    <row r="196" spans="1:2" ht="17.100000000000001" customHeight="1">
      <c r="A196" s="2095"/>
      <c r="B196" s="141"/>
    </row>
    <row r="197" spans="1:2" ht="17.100000000000001" customHeight="1">
      <c r="A197" s="2095"/>
      <c r="B197" s="141"/>
    </row>
    <row r="198" spans="1:2" ht="17.100000000000001" customHeight="1"/>
    <row r="199" spans="1:2" ht="17.100000000000001" customHeight="1"/>
    <row r="200" spans="1:2" ht="17.100000000000001" customHeight="1"/>
    <row r="201" spans="1:2" ht="17.100000000000001" customHeight="1"/>
    <row r="202" spans="1:2" ht="17.100000000000001" customHeight="1"/>
    <row r="203" spans="1:2" ht="17.100000000000001" customHeight="1"/>
    <row r="204" spans="1:2" ht="17.100000000000001" customHeight="1"/>
    <row r="205" spans="1:2" ht="17.100000000000001" customHeight="1"/>
    <row r="206" spans="1:2" ht="17.100000000000001" customHeight="1"/>
    <row r="207" spans="1:2" ht="17.100000000000001" customHeight="1"/>
  </sheetData>
  <mergeCells count="5">
    <mergeCell ref="C3:D3"/>
    <mergeCell ref="O3:P3"/>
    <mergeCell ref="L3:M3"/>
    <mergeCell ref="I3:J3"/>
    <mergeCell ref="F3:G3"/>
  </mergeCells>
  <printOptions horizontalCentered="1" verticalCentered="1" gridLines="1" gridLinesSet="0"/>
  <pageMargins left="1.2204724409448819" right="0.51181102362204722" top="0.51181102362204722" bottom="0.55118110236220474" header="0.51181102362204722" footer="0.51181102362204722"/>
  <pageSetup paperSize="9" scale="36" orientation="portrait" verticalDpi="300" r:id="rId1"/>
  <headerFooter alignWithMargins="0"/>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7CF7-E90F-42AA-BE2C-39705DC85A47}">
  <sheetPr transitionEvaluation="1" transitionEntry="1" codeName="Sheet38">
    <tabColor theme="9"/>
  </sheetPr>
  <dimension ref="A1:AU373"/>
  <sheetViews>
    <sheetView rightToLeft="1" view="pageBreakPreview" zoomScale="80" zoomScaleNormal="100" zoomScaleSheetLayoutView="80" workbookViewId="0">
      <pane xSplit="4" ySplit="7" topLeftCell="E319" activePane="bottomRight" state="frozen"/>
      <selection pane="topRight" activeCell="E1" sqref="E1"/>
      <selection pane="bottomLeft" activeCell="A8" sqref="A8"/>
      <selection pane="bottomRight" activeCell="K344" sqref="K344"/>
    </sheetView>
  </sheetViews>
  <sheetFormatPr defaultColWidth="9.83203125" defaultRowHeight="12.75" outlineLevelCol="2"/>
  <cols>
    <col min="1" max="1" width="1.1640625" style="406" bestFit="1" customWidth="1"/>
    <col min="2" max="2" width="31.1640625" style="63" bestFit="1" customWidth="1"/>
    <col min="3" max="3" width="14.6640625" style="2006" customWidth="1"/>
    <col min="4" max="4" width="61" style="61" customWidth="1"/>
    <col min="5" max="5" width="29" style="144" bestFit="1" customWidth="1" outlineLevel="1"/>
    <col min="6" max="6" width="23.1640625" style="51" customWidth="1" outlineLevel="2"/>
    <col min="7" max="9" width="8" style="51" bestFit="1" customWidth="1" outlineLevel="2"/>
    <col min="10" max="10" width="18.83203125" style="51" bestFit="1" customWidth="1"/>
    <col min="11" max="11" width="16.1640625" style="452" customWidth="1"/>
    <col min="12" max="12" width="14.6640625" style="51" customWidth="1"/>
    <col min="13" max="13" width="23" style="52" customWidth="1"/>
    <col min="14" max="14" width="15.33203125" style="4250" bestFit="1" customWidth="1"/>
    <col min="15" max="15" width="39.6640625" style="555" customWidth="1"/>
    <col min="16" max="16" width="91.1640625" style="1925" bestFit="1" customWidth="1"/>
    <col min="17" max="17" width="10.5" style="204" bestFit="1" customWidth="1"/>
    <col min="18" max="18" width="10.5" style="52" bestFit="1" customWidth="1"/>
    <col min="19" max="19" width="10.6640625" style="52" bestFit="1" customWidth="1"/>
    <col min="20" max="22" width="26" style="52" customWidth="1"/>
    <col min="23" max="23" width="12.33203125" bestFit="1" customWidth="1"/>
    <col min="24" max="28" width="12.33203125" customWidth="1"/>
    <col min="29" max="29" width="14" customWidth="1"/>
    <col min="30" max="30" width="13" bestFit="1" customWidth="1"/>
    <col min="31" max="40" width="13" customWidth="1"/>
    <col min="41" max="41" width="17.33203125" customWidth="1"/>
    <col min="42" max="43" width="12.33203125" customWidth="1"/>
    <col min="44" max="45" width="26" style="52" customWidth="1"/>
    <col min="46" max="46" width="66.5" style="52" customWidth="1"/>
    <col min="47" max="47" width="31.83203125" style="52" bestFit="1" customWidth="1"/>
    <col min="48" max="16384" width="9.83203125" style="51"/>
  </cols>
  <sheetData>
    <row r="1" spans="1:47" s="137" customFormat="1" ht="13.5" thickBot="1">
      <c r="A1" s="395"/>
      <c r="B1" s="583"/>
      <c r="C1" s="1982"/>
      <c r="D1" s="397"/>
      <c r="E1" s="170">
        <f>E350</f>
        <v>0</v>
      </c>
      <c r="F1" s="170">
        <f>F350</f>
        <v>0</v>
      </c>
      <c r="G1" s="170">
        <f>G350/2</f>
        <v>0</v>
      </c>
      <c r="H1" s="170">
        <f>H350/2</f>
        <v>0</v>
      </c>
      <c r="I1" s="170">
        <f>I350/2</f>
        <v>0</v>
      </c>
      <c r="J1" s="171">
        <f>J350/2</f>
        <v>0</v>
      </c>
      <c r="K1" s="171">
        <f>K350/2</f>
        <v>4.999999888241291E-3</v>
      </c>
      <c r="L1" s="439"/>
      <c r="M1" s="171">
        <f>M350/2</f>
        <v>0</v>
      </c>
      <c r="N1" s="3441"/>
      <c r="O1" s="140"/>
      <c r="P1" s="401"/>
      <c r="Q1" s="726"/>
      <c r="R1" s="141"/>
      <c r="S1" s="141"/>
      <c r="T1" s="141"/>
      <c r="U1" s="141"/>
      <c r="V1" s="141"/>
      <c r="AR1" s="141"/>
      <c r="AS1" s="141"/>
      <c r="AT1" s="141"/>
      <c r="AU1" s="141"/>
    </row>
    <row r="2" spans="1:47" s="137" customFormat="1" ht="13.5" thickBot="1">
      <c r="A2" s="402"/>
      <c r="B2" s="4613" t="s">
        <v>2487</v>
      </c>
      <c r="C2" s="1983"/>
      <c r="D2" s="572"/>
      <c r="E2" s="576"/>
      <c r="F2" s="577"/>
      <c r="G2" s="578"/>
      <c r="H2" s="577"/>
      <c r="I2" s="578"/>
      <c r="J2" s="577"/>
      <c r="K2" s="579"/>
      <c r="M2" s="579"/>
      <c r="N2" s="4239" t="s">
        <v>605</v>
      </c>
      <c r="O2" s="4238">
        <f>'נתונים לשינוי'!B17</f>
        <v>74.302500044591724</v>
      </c>
      <c r="P2" s="2186"/>
      <c r="Q2" s="2003"/>
      <c r="R2" s="403"/>
      <c r="S2" s="403"/>
      <c r="T2" s="403"/>
      <c r="U2" s="403"/>
      <c r="V2" s="403"/>
      <c r="AR2" s="403"/>
      <c r="AS2" s="403"/>
      <c r="AT2" s="403"/>
      <c r="AU2" s="403"/>
    </row>
    <row r="3" spans="1:47" s="137" customFormat="1" ht="13.5" thickBot="1">
      <c r="A3" s="402"/>
      <c r="B3" s="4614"/>
      <c r="C3" s="1984"/>
      <c r="D3" s="575"/>
      <c r="E3" s="4439">
        <f>'נתונים לשינוי'!$C$1</f>
        <v>44561</v>
      </c>
      <c r="F3" s="4440"/>
      <c r="G3" s="4440"/>
      <c r="H3" s="4440"/>
      <c r="I3" s="4440"/>
      <c r="J3" s="4440"/>
      <c r="K3" s="4440"/>
      <c r="L3" s="4440"/>
      <c r="M3" s="4443"/>
      <c r="N3" s="3441"/>
      <c r="O3" s="2189"/>
      <c r="P3" s="2187" t="s">
        <v>215</v>
      </c>
      <c r="Q3" s="726"/>
      <c r="R3" s="141"/>
      <c r="S3" s="141"/>
      <c r="T3" s="141"/>
      <c r="U3" s="141"/>
      <c r="V3" s="141"/>
      <c r="AR3" s="141"/>
      <c r="AS3" s="141"/>
      <c r="AT3" s="141"/>
      <c r="AU3" s="141"/>
    </row>
    <row r="4" spans="1:47" s="137" customFormat="1" ht="13.5" thickBot="1">
      <c r="A4" s="406"/>
      <c r="B4" s="3664"/>
      <c r="C4" s="1985"/>
      <c r="D4" s="386"/>
      <c r="E4" s="573" t="s">
        <v>2507</v>
      </c>
      <c r="F4" s="408"/>
      <c r="G4" s="409"/>
      <c r="H4" s="408"/>
      <c r="I4" s="409"/>
      <c r="J4" s="573" t="s">
        <v>2507</v>
      </c>
      <c r="K4" s="574" t="s">
        <v>294</v>
      </c>
      <c r="L4" s="410"/>
      <c r="M4" s="574" t="s">
        <v>294</v>
      </c>
      <c r="N4" s="3441"/>
      <c r="O4" s="2189"/>
      <c r="P4" s="2188"/>
      <c r="Q4" s="726"/>
      <c r="R4" s="141"/>
      <c r="S4" s="141"/>
      <c r="T4" s="141"/>
      <c r="U4" s="141"/>
      <c r="V4" s="141"/>
      <c r="AR4" s="141"/>
      <c r="AS4" s="141"/>
      <c r="AT4" s="141"/>
      <c r="AU4" s="141"/>
    </row>
    <row r="5" spans="1:47" s="137" customFormat="1">
      <c r="A5" s="406"/>
      <c r="B5" s="3664"/>
      <c r="C5" s="1986"/>
      <c r="D5" s="413"/>
      <c r="E5" s="414" t="s">
        <v>46</v>
      </c>
      <c r="F5" s="415" t="s">
        <v>47</v>
      </c>
      <c r="G5" s="416" t="s">
        <v>47</v>
      </c>
      <c r="H5" s="415" t="s">
        <v>47</v>
      </c>
      <c r="I5" s="416" t="s">
        <v>47</v>
      </c>
      <c r="J5" s="415" t="s">
        <v>48</v>
      </c>
      <c r="K5" s="417" t="s">
        <v>48</v>
      </c>
      <c r="L5" s="410"/>
      <c r="M5" s="414" t="s">
        <v>46</v>
      </c>
      <c r="N5" s="3441"/>
      <c r="O5" s="404"/>
      <c r="P5" s="210"/>
      <c r="Q5" s="726"/>
      <c r="R5" s="141"/>
      <c r="S5" s="141"/>
      <c r="T5" s="141"/>
      <c r="U5" s="141"/>
      <c r="V5" s="141"/>
      <c r="AR5" s="141"/>
      <c r="AS5" s="141"/>
      <c r="AT5" s="141"/>
      <c r="AU5" s="141"/>
    </row>
    <row r="6" spans="1:47" s="137" customFormat="1">
      <c r="A6" s="406"/>
      <c r="B6" s="3664"/>
      <c r="C6" s="1987"/>
      <c r="D6" s="72"/>
      <c r="E6" s="422" t="s">
        <v>51</v>
      </c>
      <c r="F6" s="72" t="s">
        <v>52</v>
      </c>
      <c r="G6" s="423" t="s">
        <v>52</v>
      </c>
      <c r="H6" s="72" t="s">
        <v>52</v>
      </c>
      <c r="I6" s="423" t="s">
        <v>52</v>
      </c>
      <c r="J6" s="72" t="s">
        <v>3</v>
      </c>
      <c r="K6" s="424" t="s">
        <v>53</v>
      </c>
      <c r="L6" s="410"/>
      <c r="M6" s="422" t="s">
        <v>51</v>
      </c>
      <c r="N6" s="3441"/>
      <c r="O6" s="404"/>
      <c r="P6" s="210"/>
      <c r="Q6" s="726"/>
      <c r="R6" s="141"/>
      <c r="S6" s="141"/>
      <c r="T6" s="141"/>
      <c r="U6" s="141"/>
      <c r="V6" s="141"/>
      <c r="AR6" s="141"/>
      <c r="AS6" s="141"/>
      <c r="AT6" s="141"/>
      <c r="AU6" s="141"/>
    </row>
    <row r="7" spans="1:47" s="137" customFormat="1" ht="13.5" thickBot="1">
      <c r="A7" s="402"/>
      <c r="B7" s="3665"/>
      <c r="C7" s="1988"/>
      <c r="D7" s="426"/>
      <c r="E7" s="762" t="s">
        <v>54</v>
      </c>
      <c r="F7" s="763" t="s">
        <v>177</v>
      </c>
      <c r="G7" s="764" t="s">
        <v>177</v>
      </c>
      <c r="H7" s="763" t="s">
        <v>55</v>
      </c>
      <c r="I7" s="764" t="s">
        <v>56</v>
      </c>
      <c r="J7" s="763" t="s">
        <v>177</v>
      </c>
      <c r="K7" s="764" t="s">
        <v>177</v>
      </c>
      <c r="L7" s="763"/>
      <c r="M7" s="762" t="s">
        <v>54</v>
      </c>
      <c r="N7" s="3441"/>
      <c r="O7" s="427"/>
      <c r="P7" s="432"/>
      <c r="Q7" s="726"/>
      <c r="R7" s="141"/>
      <c r="S7" s="141"/>
      <c r="T7" s="141"/>
      <c r="U7" s="500" t="s">
        <v>2966</v>
      </c>
      <c r="V7" s="500" t="s">
        <v>3034</v>
      </c>
      <c r="W7" s="500" t="s">
        <v>3566</v>
      </c>
      <c r="X7" s="500" t="s">
        <v>3567</v>
      </c>
      <c r="Y7" s="500" t="s">
        <v>3568</v>
      </c>
      <c r="Z7" s="500" t="s">
        <v>3565</v>
      </c>
      <c r="AA7" s="500" t="s">
        <v>3635</v>
      </c>
      <c r="AB7" s="500" t="s">
        <v>3719</v>
      </c>
      <c r="AC7" s="500" t="s">
        <v>3890</v>
      </c>
      <c r="AD7" s="500" t="s">
        <v>3986</v>
      </c>
      <c r="AE7" s="500" t="s">
        <v>4115</v>
      </c>
      <c r="AF7" s="500" t="s">
        <v>4263</v>
      </c>
      <c r="AG7" s="500" t="s">
        <v>4370</v>
      </c>
      <c r="AH7" s="500" t="s">
        <v>4569</v>
      </c>
      <c r="AR7" s="141"/>
      <c r="AS7" s="141"/>
      <c r="AT7" s="141"/>
      <c r="AU7" s="141"/>
    </row>
    <row r="8" spans="1:47" s="137" customFormat="1" ht="13.5" thickBot="1">
      <c r="A8" s="594"/>
      <c r="B8" s="3626"/>
      <c r="C8" s="1989"/>
      <c r="D8" s="58" t="s">
        <v>58</v>
      </c>
      <c r="E8" s="429"/>
      <c r="F8" s="51"/>
      <c r="G8" s="399"/>
      <c r="H8" s="51"/>
      <c r="I8" s="399"/>
      <c r="J8" s="1311"/>
      <c r="K8" s="1334"/>
      <c r="L8" s="72"/>
      <c r="M8" s="430"/>
      <c r="N8" s="4240"/>
      <c r="O8" s="431"/>
      <c r="P8" s="432"/>
      <c r="Q8" s="726"/>
      <c r="R8" s="32"/>
      <c r="S8" s="32"/>
      <c r="T8" s="32"/>
      <c r="U8" s="32"/>
      <c r="V8" s="32"/>
      <c r="AR8" s="32"/>
      <c r="AS8" s="32"/>
      <c r="AT8" s="32"/>
      <c r="AU8" s="141"/>
    </row>
    <row r="9" spans="1:47" s="137" customFormat="1">
      <c r="A9" s="594"/>
      <c r="B9" s="3666" t="str">
        <f>"100.בנקים ומזומנים"</f>
        <v>100.בנקים ומזומנים</v>
      </c>
      <c r="C9" s="1990">
        <v>1000001</v>
      </c>
      <c r="D9" s="48" t="s">
        <v>2489</v>
      </c>
      <c r="E9" s="79">
        <f>IFERROR(VLOOKUP(C9,'פ.נ. הודו'!$D$70:$G$1144,3,0),0)</f>
        <v>85351280.650000006</v>
      </c>
      <c r="F9" s="170">
        <f>SUMIF('פ.נ. הודו'!$C:$C,$C:$C,'פ.נ. הודו'!$E:$E)</f>
        <v>0</v>
      </c>
      <c r="G9" s="398"/>
      <c r="H9" s="204"/>
      <c r="I9" s="79"/>
      <c r="J9" s="1754">
        <f>SUM(E9:I9)</f>
        <v>85351280.650000006</v>
      </c>
      <c r="K9" s="1723">
        <f>M9+SUMIF('פ.נ. הודו'!$C:$C,$C:$C,'פ.נ. הודו'!$F:$F)</f>
        <v>1148699.99</v>
      </c>
      <c r="L9" s="52"/>
      <c r="M9" s="78">
        <f>IFERROR(VLOOKUP(C9,'פ.נ. הודו'!$D$70:$G$1144,4,0),0)</f>
        <v>1148699.99</v>
      </c>
      <c r="N9" s="4240">
        <f>IF(K9=0,"-",J9/K9)</f>
        <v>74.30249968923566</v>
      </c>
      <c r="O9" s="449"/>
      <c r="P9" s="1717"/>
      <c r="Q9" s="726"/>
      <c r="R9" s="32"/>
      <c r="S9" s="32"/>
      <c r="T9" s="32"/>
      <c r="U9" s="32"/>
      <c r="V9" s="32"/>
      <c r="AR9" s="32"/>
      <c r="AS9" s="32"/>
      <c r="AT9" s="32"/>
      <c r="AU9" s="32"/>
    </row>
    <row r="10" spans="1:47" s="137" customFormat="1" ht="13.5" thickBot="1">
      <c r="A10" s="594"/>
      <c r="B10" s="3664"/>
      <c r="C10" s="1991"/>
      <c r="D10" s="53" t="s">
        <v>2243</v>
      </c>
      <c r="E10" s="436">
        <f t="shared" ref="E10:K10" si="0">SUM(E9:E9)</f>
        <v>85351280.650000006</v>
      </c>
      <c r="F10" s="436">
        <f t="shared" si="0"/>
        <v>0</v>
      </c>
      <c r="G10" s="571">
        <f t="shared" si="0"/>
        <v>0</v>
      </c>
      <c r="H10" s="571">
        <f t="shared" si="0"/>
        <v>0</v>
      </c>
      <c r="I10" s="436">
        <f t="shared" si="0"/>
        <v>0</v>
      </c>
      <c r="J10" s="436">
        <f t="shared" si="0"/>
        <v>85351280.650000006</v>
      </c>
      <c r="K10" s="436">
        <f t="shared" si="0"/>
        <v>1148699.99</v>
      </c>
      <c r="L10" s="52"/>
      <c r="M10" s="571">
        <f>SUM(M9:M9)</f>
        <v>1148699.99</v>
      </c>
      <c r="N10" s="4240"/>
      <c r="O10" s="449"/>
      <c r="P10" s="432"/>
      <c r="Q10" s="726"/>
      <c r="R10" s="141"/>
      <c r="S10" s="141"/>
      <c r="T10" s="141"/>
      <c r="U10" s="141"/>
      <c r="V10" s="141"/>
      <c r="AR10" s="141"/>
      <c r="AS10" s="141"/>
      <c r="AT10" s="141"/>
      <c r="AU10" s="141"/>
    </row>
    <row r="11" spans="1:47" s="137" customFormat="1" ht="15" customHeight="1">
      <c r="A11" s="402"/>
      <c r="B11" s="3664"/>
      <c r="C11" s="1374"/>
      <c r="D11" s="45"/>
      <c r="E11" s="79"/>
      <c r="F11" s="433"/>
      <c r="G11" s="1385"/>
      <c r="H11" s="1205"/>
      <c r="I11" s="439"/>
      <c r="J11" s="170"/>
      <c r="K11" s="171"/>
      <c r="L11" s="52"/>
      <c r="M11" s="171"/>
      <c r="N11" s="4240"/>
      <c r="O11" s="449"/>
      <c r="P11" s="432"/>
      <c r="Q11" s="726"/>
      <c r="R11" s="141"/>
      <c r="S11" s="141"/>
      <c r="T11" s="141"/>
      <c r="U11" s="141"/>
      <c r="V11" s="141"/>
      <c r="AR11" s="141"/>
      <c r="AS11" s="141"/>
      <c r="AT11" s="141"/>
      <c r="AU11" s="141"/>
    </row>
    <row r="12" spans="1:47" s="137" customFormat="1" ht="15.75" customHeight="1">
      <c r="A12" s="402"/>
      <c r="B12" s="3664"/>
      <c r="C12" s="1992"/>
      <c r="D12" s="45"/>
      <c r="E12" s="79"/>
      <c r="F12" s="433"/>
      <c r="G12" s="1385"/>
      <c r="H12" s="1205"/>
      <c r="I12" s="439"/>
      <c r="J12" s="170"/>
      <c r="K12" s="171"/>
      <c r="L12" s="52"/>
      <c r="M12" s="171"/>
      <c r="N12" s="4240"/>
      <c r="O12" s="449"/>
      <c r="P12" s="432"/>
      <c r="Q12" s="726"/>
      <c r="R12" s="141"/>
      <c r="S12" s="141"/>
      <c r="T12" s="141"/>
      <c r="U12" s="141"/>
      <c r="V12" s="141"/>
      <c r="AR12" s="141"/>
      <c r="AS12" s="141"/>
      <c r="AT12" s="141"/>
      <c r="AU12" s="141"/>
    </row>
    <row r="13" spans="1:47" s="137" customFormat="1" ht="15" customHeight="1" thickBot="1">
      <c r="A13" s="402"/>
      <c r="B13" s="3664"/>
      <c r="C13" s="1991"/>
      <c r="D13" s="53" t="s">
        <v>63</v>
      </c>
      <c r="E13" s="436">
        <f t="shared" ref="E13:K13" si="1">SUM(E11:E12)</f>
        <v>0</v>
      </c>
      <c r="F13" s="53">
        <f t="shared" si="1"/>
        <v>0</v>
      </c>
      <c r="G13" s="571">
        <f t="shared" si="1"/>
        <v>0</v>
      </c>
      <c r="H13" s="1382">
        <f t="shared" si="1"/>
        <v>0</v>
      </c>
      <c r="I13" s="437">
        <f t="shared" si="1"/>
        <v>0</v>
      </c>
      <c r="J13" s="53">
        <f t="shared" si="1"/>
        <v>0</v>
      </c>
      <c r="K13" s="437">
        <f t="shared" si="1"/>
        <v>0</v>
      </c>
      <c r="L13" s="52"/>
      <c r="M13" s="437">
        <f>SUM(M11:M12)</f>
        <v>0</v>
      </c>
      <c r="N13" s="4240"/>
      <c r="O13" s="449"/>
      <c r="P13" s="432"/>
      <c r="Q13" s="726"/>
      <c r="R13" s="141"/>
      <c r="S13" s="141"/>
      <c r="T13" s="141"/>
      <c r="U13" s="141"/>
      <c r="V13" s="141"/>
      <c r="AR13" s="141"/>
      <c r="AS13" s="141"/>
      <c r="AT13" s="141"/>
      <c r="AU13" s="141"/>
    </row>
    <row r="14" spans="1:47" s="137" customFormat="1" ht="15" customHeight="1">
      <c r="A14" s="402"/>
      <c r="B14" s="3664"/>
      <c r="C14" s="1989"/>
      <c r="D14" s="54"/>
      <c r="E14" s="443"/>
      <c r="F14" s="54"/>
      <c r="G14" s="1387"/>
      <c r="H14" s="1386"/>
      <c r="I14" s="444"/>
      <c r="J14" s="54"/>
      <c r="K14" s="444"/>
      <c r="L14" s="52"/>
      <c r="M14" s="444"/>
      <c r="N14" s="4240"/>
      <c r="O14" s="449"/>
      <c r="P14" s="432"/>
      <c r="Q14" s="716"/>
      <c r="R14" s="141"/>
      <c r="S14" s="141"/>
      <c r="T14" s="141"/>
      <c r="U14" s="141"/>
      <c r="V14" s="141"/>
      <c r="AR14" s="141"/>
      <c r="AS14" s="141"/>
      <c r="AT14" s="141"/>
      <c r="AU14" s="141"/>
    </row>
    <row r="15" spans="1:47" s="137" customFormat="1">
      <c r="A15" s="402"/>
      <c r="B15" s="3664"/>
      <c r="C15" s="1993"/>
      <c r="D15" s="45"/>
      <c r="E15" s="398"/>
      <c r="F15" s="63"/>
      <c r="G15" s="517"/>
      <c r="H15" s="1205"/>
      <c r="I15" s="444"/>
      <c r="J15" s="63"/>
      <c r="K15" s="171"/>
      <c r="L15" s="52"/>
      <c r="M15" s="171"/>
      <c r="N15" s="4240"/>
      <c r="O15" s="520"/>
      <c r="P15" s="432"/>
      <c r="Q15" s="716"/>
      <c r="R15" s="141"/>
      <c r="S15" s="141"/>
      <c r="T15" s="141"/>
      <c r="U15" s="141"/>
      <c r="V15" s="141"/>
      <c r="AR15" s="141"/>
      <c r="AS15" s="141"/>
      <c r="AT15" s="141"/>
      <c r="AU15" s="141"/>
    </row>
    <row r="16" spans="1:47" s="137" customFormat="1">
      <c r="A16" s="402"/>
      <c r="B16" s="3664"/>
      <c r="C16" s="1993"/>
      <c r="D16" s="45"/>
      <c r="E16" s="398"/>
      <c r="F16" s="63"/>
      <c r="G16" s="517"/>
      <c r="H16" s="1205"/>
      <c r="I16" s="439"/>
      <c r="J16" s="170"/>
      <c r="K16" s="171"/>
      <c r="L16" s="52"/>
      <c r="M16" s="171"/>
      <c r="N16" s="4240"/>
      <c r="O16" s="449"/>
      <c r="P16" s="432"/>
      <c r="Q16" s="726"/>
      <c r="R16" s="141"/>
      <c r="S16" s="141"/>
      <c r="T16" s="141"/>
      <c r="U16" s="141"/>
      <c r="V16" s="141"/>
      <c r="AR16" s="141"/>
      <c r="AS16" s="141"/>
      <c r="AT16" s="141"/>
      <c r="AU16" s="141"/>
    </row>
    <row r="17" spans="1:47" s="137" customFormat="1" ht="15" customHeight="1" thickBot="1">
      <c r="A17" s="402"/>
      <c r="B17" s="3664"/>
      <c r="C17" s="1991"/>
      <c r="D17" s="53" t="s">
        <v>64</v>
      </c>
      <c r="E17" s="436">
        <f t="shared" ref="E17:K17" si="2">SUM(E15:E16)</f>
        <v>0</v>
      </c>
      <c r="F17" s="53">
        <f t="shared" si="2"/>
        <v>0</v>
      </c>
      <c r="G17" s="571">
        <f t="shared" si="2"/>
        <v>0</v>
      </c>
      <c r="H17" s="1382">
        <f t="shared" si="2"/>
        <v>0</v>
      </c>
      <c r="I17" s="437">
        <f t="shared" si="2"/>
        <v>0</v>
      </c>
      <c r="J17" s="53">
        <f t="shared" si="2"/>
        <v>0</v>
      </c>
      <c r="K17" s="437">
        <f t="shared" si="2"/>
        <v>0</v>
      </c>
      <c r="L17" s="52"/>
      <c r="M17" s="437">
        <f>SUM(M15:M16)</f>
        <v>0</v>
      </c>
      <c r="N17" s="4240"/>
      <c r="O17" s="449"/>
      <c r="P17" s="432"/>
      <c r="Q17" s="726"/>
      <c r="R17" s="32"/>
      <c r="S17" s="141"/>
      <c r="T17" s="141"/>
      <c r="U17" s="141"/>
      <c r="V17" s="141"/>
      <c r="AR17" s="141"/>
      <c r="AS17" s="141"/>
      <c r="AT17" s="141"/>
      <c r="AU17" s="32"/>
    </row>
    <row r="18" spans="1:47" s="137" customFormat="1" ht="15" customHeight="1">
      <c r="A18" s="402"/>
      <c r="B18" s="3664"/>
      <c r="C18" s="1989"/>
      <c r="D18" s="54"/>
      <c r="E18" s="443"/>
      <c r="F18" s="54"/>
      <c r="G18" s="1387"/>
      <c r="H18" s="1386"/>
      <c r="I18" s="444"/>
      <c r="J18" s="54"/>
      <c r="K18" s="444"/>
      <c r="L18" s="52"/>
      <c r="M18" s="444"/>
      <c r="N18" s="4240"/>
      <c r="O18" s="449"/>
      <c r="P18" s="432"/>
      <c r="Q18" s="716"/>
      <c r="R18" s="141"/>
      <c r="S18" s="141"/>
      <c r="T18" s="141"/>
      <c r="U18" s="141"/>
      <c r="V18" s="141"/>
      <c r="AR18" s="141"/>
      <c r="AS18" s="141"/>
      <c r="AT18" s="141"/>
      <c r="AU18" s="141"/>
    </row>
    <row r="19" spans="1:47" s="137" customFormat="1" ht="15" customHeight="1">
      <c r="A19" s="402"/>
      <c r="B19" s="3664"/>
      <c r="C19" s="1993"/>
      <c r="D19" s="45"/>
      <c r="E19" s="398"/>
      <c r="F19" s="63"/>
      <c r="G19" s="1387"/>
      <c r="H19" s="1205"/>
      <c r="I19" s="444"/>
      <c r="J19" s="63"/>
      <c r="K19" s="171"/>
      <c r="L19" s="51"/>
      <c r="M19" s="171"/>
      <c r="N19" s="4241"/>
      <c r="O19" s="434"/>
      <c r="P19" s="432"/>
      <c r="Q19" s="726"/>
      <c r="R19" s="32"/>
      <c r="S19" s="141"/>
      <c r="T19" s="141"/>
      <c r="U19" s="141"/>
      <c r="V19" s="141"/>
      <c r="AR19" s="141"/>
      <c r="AS19" s="141"/>
      <c r="AT19" s="141"/>
      <c r="AU19" s="141"/>
    </row>
    <row r="20" spans="1:47" s="137" customFormat="1" ht="15" customHeight="1" thickBot="1">
      <c r="A20" s="402"/>
      <c r="B20" s="3664"/>
      <c r="C20" s="1991"/>
      <c r="D20" s="53"/>
      <c r="E20" s="436">
        <f t="shared" ref="E20:K20" si="3">SUM(E18:E19)</f>
        <v>0</v>
      </c>
      <c r="F20" s="53">
        <f>SUM(F18:F19)</f>
        <v>0</v>
      </c>
      <c r="G20" s="571">
        <f t="shared" si="3"/>
        <v>0</v>
      </c>
      <c r="H20" s="1382">
        <f t="shared" si="3"/>
        <v>0</v>
      </c>
      <c r="I20" s="437">
        <f t="shared" si="3"/>
        <v>0</v>
      </c>
      <c r="J20" s="53">
        <f t="shared" si="3"/>
        <v>0</v>
      </c>
      <c r="K20" s="437">
        <f t="shared" si="3"/>
        <v>0</v>
      </c>
      <c r="L20" s="51"/>
      <c r="M20" s="437">
        <f>SUM(M18:M19)</f>
        <v>0</v>
      </c>
      <c r="N20" s="4241"/>
      <c r="O20" s="434"/>
      <c r="P20" s="432"/>
      <c r="Q20" s="726"/>
      <c r="R20" s="141"/>
      <c r="S20" s="141"/>
      <c r="T20" s="141"/>
      <c r="U20" s="141"/>
      <c r="V20" s="141"/>
      <c r="AR20" s="141"/>
      <c r="AS20" s="141"/>
      <c r="AT20" s="141"/>
      <c r="AU20" s="141"/>
    </row>
    <row r="21" spans="1:47" s="137" customFormat="1" ht="15" customHeight="1">
      <c r="A21" s="402"/>
      <c r="B21" s="3664"/>
      <c r="C21" s="1993"/>
      <c r="D21" s="45"/>
      <c r="E21" s="398"/>
      <c r="F21" s="51"/>
      <c r="G21" s="517"/>
      <c r="H21" s="518"/>
      <c r="I21" s="399"/>
      <c r="J21" s="440"/>
      <c r="K21" s="446"/>
      <c r="L21" s="51"/>
      <c r="M21" s="446"/>
      <c r="N21" s="4241"/>
      <c r="O21" s="434"/>
      <c r="P21" s="432"/>
      <c r="Q21" s="726"/>
      <c r="R21" s="141"/>
      <c r="S21" s="141"/>
      <c r="T21" s="141"/>
      <c r="U21" s="141"/>
      <c r="V21" s="141"/>
      <c r="AR21" s="141"/>
      <c r="AS21" s="141"/>
      <c r="AT21" s="141"/>
      <c r="AU21" s="141"/>
    </row>
    <row r="22" spans="1:47" s="137" customFormat="1" ht="15" customHeight="1">
      <c r="A22" s="402"/>
      <c r="B22" s="3664"/>
      <c r="C22" s="1993"/>
      <c r="D22" s="45"/>
      <c r="E22" s="398"/>
      <c r="F22" s="63"/>
      <c r="G22" s="1385"/>
      <c r="H22" s="1205"/>
      <c r="I22" s="169"/>
      <c r="J22" s="440"/>
      <c r="K22" s="446"/>
      <c r="L22" s="51"/>
      <c r="M22" s="446"/>
      <c r="N22" s="4241"/>
      <c r="O22" s="434"/>
      <c r="P22" s="432"/>
      <c r="Q22" s="726"/>
      <c r="R22" s="141"/>
      <c r="S22" s="141"/>
      <c r="T22" s="141"/>
      <c r="U22" s="141"/>
      <c r="V22" s="141"/>
      <c r="AR22" s="141"/>
      <c r="AS22" s="141"/>
      <c r="AT22" s="141"/>
      <c r="AU22" s="141"/>
    </row>
    <row r="23" spans="1:47" s="137" customFormat="1" ht="15" customHeight="1" thickBot="1">
      <c r="A23" s="402"/>
      <c r="B23" s="3664"/>
      <c r="C23" s="1991"/>
      <c r="D23" s="53" t="s">
        <v>165</v>
      </c>
      <c r="E23" s="436">
        <f t="shared" ref="E23:K23" si="4">SUM(E22:E22)</f>
        <v>0</v>
      </c>
      <c r="F23" s="53">
        <f t="shared" si="4"/>
        <v>0</v>
      </c>
      <c r="G23" s="571">
        <f t="shared" si="4"/>
        <v>0</v>
      </c>
      <c r="H23" s="1382">
        <f t="shared" si="4"/>
        <v>0</v>
      </c>
      <c r="I23" s="437">
        <f t="shared" si="4"/>
        <v>0</v>
      </c>
      <c r="J23" s="53">
        <f t="shared" si="4"/>
        <v>0</v>
      </c>
      <c r="K23" s="437">
        <f t="shared" si="4"/>
        <v>0</v>
      </c>
      <c r="L23" s="51"/>
      <c r="M23" s="437">
        <f>SUM(M22:M22)</f>
        <v>0</v>
      </c>
      <c r="N23" s="4241"/>
      <c r="O23" s="434"/>
      <c r="P23" s="432"/>
      <c r="Q23" s="726"/>
      <c r="R23" s="141"/>
      <c r="S23" s="141"/>
      <c r="T23" s="141"/>
      <c r="U23" s="141"/>
      <c r="V23" s="141"/>
      <c r="AR23" s="141"/>
      <c r="AS23" s="141"/>
      <c r="AT23" s="141"/>
      <c r="AU23" s="141"/>
    </row>
    <row r="24" spans="1:47" s="137" customFormat="1" ht="15" customHeight="1">
      <c r="A24" s="402"/>
      <c r="B24" s="3664"/>
      <c r="C24" s="1994"/>
      <c r="D24" s="54"/>
      <c r="E24" s="443"/>
      <c r="F24" s="54"/>
      <c r="G24" s="1387"/>
      <c r="H24" s="1386"/>
      <c r="I24" s="444"/>
      <c r="J24" s="440"/>
      <c r="K24" s="446"/>
      <c r="L24" s="51"/>
      <c r="M24" s="446"/>
      <c r="N24" s="4241"/>
      <c r="O24" s="434"/>
      <c r="P24" s="432"/>
      <c r="Q24" s="726"/>
      <c r="R24" s="141"/>
      <c r="S24" s="141"/>
      <c r="T24" s="141"/>
      <c r="U24" s="141"/>
      <c r="V24" s="141"/>
      <c r="AR24" s="141"/>
      <c r="AS24" s="141"/>
      <c r="AT24" s="141"/>
      <c r="AU24" s="141"/>
    </row>
    <row r="25" spans="1:47" s="137" customFormat="1" ht="15" customHeight="1" thickBot="1">
      <c r="A25" s="402"/>
      <c r="B25" s="3664"/>
      <c r="C25" s="748"/>
      <c r="D25" s="746" t="s">
        <v>692</v>
      </c>
      <c r="E25" s="447">
        <f>E23+E17+E13+E10+E20</f>
        <v>85351280.650000006</v>
      </c>
      <c r="F25" s="1975">
        <f t="shared" ref="F25:K25" si="5">F23+F17+F13+F10+F20</f>
        <v>0</v>
      </c>
      <c r="G25" s="1206">
        <f t="shared" si="5"/>
        <v>0</v>
      </c>
      <c r="H25" s="1206">
        <f t="shared" si="5"/>
        <v>0</v>
      </c>
      <c r="I25" s="447">
        <f t="shared" si="5"/>
        <v>0</v>
      </c>
      <c r="J25" s="447">
        <f t="shared" si="5"/>
        <v>85351280.650000006</v>
      </c>
      <c r="K25" s="447">
        <f t="shared" si="5"/>
        <v>1148699.99</v>
      </c>
      <c r="L25" s="336"/>
      <c r="M25" s="447">
        <f>M23+M17+M13+M10+M20</f>
        <v>1148699.99</v>
      </c>
      <c r="N25" s="4241"/>
      <c r="O25" s="434"/>
      <c r="P25" s="432"/>
      <c r="Q25" s="726"/>
      <c r="R25" s="141"/>
      <c r="S25" s="141"/>
      <c r="T25" s="141"/>
      <c r="U25" s="141"/>
      <c r="V25" s="141"/>
      <c r="AR25" s="141"/>
      <c r="AS25" s="141"/>
      <c r="AT25" s="141"/>
      <c r="AU25" s="141"/>
    </row>
    <row r="26" spans="1:47" s="137" customFormat="1" ht="15" customHeight="1" thickBot="1">
      <c r="A26" s="402"/>
      <c r="B26" s="3664"/>
      <c r="C26" s="749"/>
      <c r="D26" s="55"/>
      <c r="E26" s="448"/>
      <c r="F26" s="1976"/>
      <c r="G26" s="1385"/>
      <c r="H26" s="1205"/>
      <c r="I26" s="169"/>
      <c r="J26" s="63"/>
      <c r="K26" s="169"/>
      <c r="L26" s="51"/>
      <c r="M26" s="169"/>
      <c r="N26" s="4241"/>
      <c r="O26" s="434"/>
      <c r="P26" s="432"/>
      <c r="Q26" s="726"/>
      <c r="R26" s="141"/>
      <c r="S26" s="141"/>
      <c r="T26" s="141"/>
      <c r="U26" s="141"/>
      <c r="V26" s="141"/>
      <c r="AR26" s="141"/>
      <c r="AS26" s="141"/>
      <c r="AT26" s="141"/>
      <c r="AU26" s="141"/>
    </row>
    <row r="27" spans="1:47" s="137" customFormat="1" ht="15" customHeight="1" thickBot="1">
      <c r="A27" s="402"/>
      <c r="B27" s="3664"/>
      <c r="C27" s="749"/>
      <c r="D27" s="58" t="s">
        <v>149</v>
      </c>
      <c r="E27" s="448"/>
      <c r="F27" s="1976"/>
      <c r="G27" s="1385"/>
      <c r="H27" s="1205"/>
      <c r="I27" s="169"/>
      <c r="J27" s="63"/>
      <c r="K27" s="169"/>
      <c r="L27" s="51"/>
      <c r="M27" s="169"/>
      <c r="N27" s="4241"/>
      <c r="O27" s="434"/>
      <c r="P27" s="432"/>
      <c r="Q27" s="726"/>
      <c r="R27" s="141"/>
      <c r="S27" s="141"/>
      <c r="T27" s="141"/>
      <c r="U27" s="141"/>
      <c r="V27" s="141"/>
      <c r="AR27" s="141"/>
      <c r="AS27" s="141"/>
      <c r="AT27" s="141"/>
      <c r="AU27" s="141"/>
    </row>
    <row r="28" spans="1:47" s="137" customFormat="1" ht="15" customHeight="1">
      <c r="A28" s="402"/>
      <c r="B28" s="3664"/>
      <c r="C28" s="749"/>
      <c r="D28" s="87"/>
      <c r="E28" s="448"/>
      <c r="F28" s="1976"/>
      <c r="G28" s="1385"/>
      <c r="H28" s="1205"/>
      <c r="I28" s="169"/>
      <c r="J28" s="63"/>
      <c r="K28" s="169"/>
      <c r="L28" s="51"/>
      <c r="M28" s="169"/>
      <c r="N28" s="4241"/>
      <c r="O28" s="434"/>
      <c r="P28" s="432"/>
      <c r="Q28" s="726"/>
      <c r="R28" s="32"/>
      <c r="S28" s="141"/>
      <c r="T28" s="141"/>
      <c r="U28" s="141"/>
      <c r="V28" s="141"/>
      <c r="AR28" s="141"/>
      <c r="AS28" s="141"/>
      <c r="AT28" s="141"/>
      <c r="AU28" s="141"/>
    </row>
    <row r="29" spans="1:47" s="137" customFormat="1">
      <c r="A29" s="402"/>
      <c r="B29" s="3664"/>
      <c r="C29" s="759"/>
      <c r="D29" s="159"/>
      <c r="E29" s="79"/>
      <c r="F29" s="1976"/>
      <c r="G29" s="1385"/>
      <c r="H29" s="1205"/>
      <c r="I29" s="169"/>
      <c r="J29" s="170"/>
      <c r="K29" s="171"/>
      <c r="L29" s="51"/>
      <c r="M29" s="171"/>
      <c r="N29" s="4241"/>
      <c r="O29" s="434"/>
      <c r="P29" s="432"/>
      <c r="Q29" s="726"/>
      <c r="R29" s="141"/>
      <c r="S29" s="141"/>
      <c r="T29" s="141"/>
      <c r="U29" s="141"/>
      <c r="V29" s="141"/>
      <c r="AR29" s="141"/>
      <c r="AS29" s="141"/>
      <c r="AT29" s="141"/>
      <c r="AU29" s="141"/>
    </row>
    <row r="30" spans="1:47" s="137" customFormat="1">
      <c r="A30" s="402"/>
      <c r="B30" s="3664"/>
      <c r="C30" s="1995"/>
      <c r="D30" s="45"/>
      <c r="E30" s="398"/>
      <c r="F30" s="1976"/>
      <c r="G30" s="1385"/>
      <c r="H30" s="1205"/>
      <c r="I30" s="169"/>
      <c r="J30" s="440"/>
      <c r="K30" s="446"/>
      <c r="L30" s="51"/>
      <c r="M30" s="446"/>
      <c r="N30" s="4241"/>
      <c r="O30" s="434"/>
      <c r="P30" s="432"/>
      <c r="Q30" s="726"/>
      <c r="R30" s="141"/>
      <c r="S30" s="141"/>
      <c r="T30" s="141"/>
      <c r="U30" s="141"/>
      <c r="V30" s="141"/>
      <c r="AR30" s="141"/>
      <c r="AS30" s="141"/>
      <c r="AT30" s="141"/>
      <c r="AU30" s="141"/>
    </row>
    <row r="31" spans="1:47" s="137" customFormat="1">
      <c r="A31" s="402"/>
      <c r="B31" s="3664"/>
      <c r="C31" s="751"/>
      <c r="D31" s="746" t="s">
        <v>150</v>
      </c>
      <c r="E31" s="447">
        <f t="shared" ref="E31:K31" si="6">SUM(E29:E30)</f>
        <v>0</v>
      </c>
      <c r="F31" s="1975">
        <f t="shared" si="6"/>
        <v>0</v>
      </c>
      <c r="G31" s="1206">
        <f t="shared" si="6"/>
        <v>0</v>
      </c>
      <c r="H31" s="1206">
        <f t="shared" si="6"/>
        <v>0</v>
      </c>
      <c r="I31" s="447">
        <f t="shared" si="6"/>
        <v>0</v>
      </c>
      <c r="J31" s="447">
        <f t="shared" si="6"/>
        <v>0</v>
      </c>
      <c r="K31" s="447">
        <f t="shared" si="6"/>
        <v>0</v>
      </c>
      <c r="L31" s="336"/>
      <c r="M31" s="447">
        <f>SUM(M29:M30)</f>
        <v>0</v>
      </c>
      <c r="N31" s="4241"/>
      <c r="O31" s="434"/>
      <c r="P31" s="432"/>
      <c r="Q31" s="726"/>
      <c r="R31" s="141"/>
      <c r="S31" s="141"/>
      <c r="T31" s="141"/>
      <c r="U31" s="141"/>
      <c r="V31" s="141"/>
      <c r="AR31" s="141"/>
      <c r="AS31" s="141"/>
      <c r="AT31" s="141"/>
      <c r="AU31" s="141"/>
    </row>
    <row r="32" spans="1:47" s="137" customFormat="1" ht="13.5" thickBot="1">
      <c r="A32" s="402"/>
      <c r="B32" s="3664"/>
      <c r="C32" s="749"/>
      <c r="D32" s="55"/>
      <c r="E32" s="448"/>
      <c r="F32" s="1976"/>
      <c r="G32" s="1385"/>
      <c r="H32" s="1205"/>
      <c r="I32" s="169"/>
      <c r="J32" s="63"/>
      <c r="K32" s="169"/>
      <c r="L32" s="51"/>
      <c r="M32" s="169"/>
      <c r="N32" s="4241"/>
      <c r="O32" s="434"/>
      <c r="P32" s="432"/>
      <c r="Q32" s="726"/>
      <c r="R32" s="141"/>
      <c r="S32" s="141"/>
      <c r="T32" s="141"/>
      <c r="U32" s="141"/>
      <c r="V32" s="141"/>
      <c r="AR32" s="141"/>
      <c r="AS32" s="141"/>
      <c r="AT32" s="141"/>
      <c r="AU32" s="141"/>
    </row>
    <row r="33" spans="1:47" s="137" customFormat="1" ht="13.5" thickBot="1">
      <c r="A33" s="402"/>
      <c r="B33" s="3664"/>
      <c r="C33" s="749"/>
      <c r="D33" s="58" t="s">
        <v>65</v>
      </c>
      <c r="E33" s="448"/>
      <c r="F33" s="1976"/>
      <c r="G33" s="1385"/>
      <c r="H33" s="1205"/>
      <c r="I33" s="169"/>
      <c r="J33" s="63"/>
      <c r="K33" s="169"/>
      <c r="L33" s="51"/>
      <c r="M33" s="169"/>
      <c r="N33" s="4241"/>
      <c r="O33" s="434"/>
      <c r="P33" s="432"/>
      <c r="Q33" s="726"/>
      <c r="R33" s="141"/>
      <c r="S33" s="141"/>
      <c r="T33" s="141"/>
      <c r="U33" s="141"/>
      <c r="V33" s="141"/>
      <c r="AR33" s="141"/>
      <c r="AS33" s="141"/>
      <c r="AT33" s="141"/>
      <c r="AU33" s="141"/>
    </row>
    <row r="34" spans="1:47" s="137" customFormat="1">
      <c r="A34" s="402"/>
      <c r="B34" s="3664"/>
      <c r="C34" s="749"/>
      <c r="D34" s="59" t="s">
        <v>66</v>
      </c>
      <c r="E34" s="429"/>
      <c r="F34" s="1977"/>
      <c r="G34" s="517"/>
      <c r="H34" s="1207"/>
      <c r="I34" s="446"/>
      <c r="J34" s="1981"/>
      <c r="K34" s="399"/>
      <c r="L34" s="51"/>
      <c r="M34" s="399"/>
      <c r="N34" s="4241"/>
      <c r="O34" s="434"/>
      <c r="P34" s="432"/>
      <c r="Q34" s="726"/>
      <c r="R34" s="141"/>
      <c r="S34" s="141"/>
      <c r="T34" s="141"/>
      <c r="U34" s="141"/>
      <c r="V34" s="141"/>
      <c r="AR34" s="141"/>
      <c r="AS34" s="141"/>
      <c r="AT34" s="141"/>
      <c r="AU34" s="141"/>
    </row>
    <row r="35" spans="1:47" s="137" customFormat="1">
      <c r="A35" s="402"/>
      <c r="B35" s="3668" t="s">
        <v>1044</v>
      </c>
      <c r="C35" s="1996">
        <v>2500003</v>
      </c>
      <c r="D35" s="600" t="s">
        <v>2494</v>
      </c>
      <c r="E35" s="474">
        <f>IFERROR(VLOOKUP(C35,'פ.נ. הודו'!$D$70:$G$1144,3,0),0)</f>
        <v>4135496.7</v>
      </c>
      <c r="F35" s="1978">
        <f>SUMIF('פ.נ. הודו'!$C:$C,$C:$C,'פ.נ. הודו'!$E:$E)</f>
        <v>0</v>
      </c>
      <c r="G35" s="517"/>
      <c r="H35" s="976"/>
      <c r="I35" s="79"/>
      <c r="J35" s="474">
        <f>SUM(E35:I35)</f>
        <v>4135496.7</v>
      </c>
      <c r="K35" s="474">
        <f>M35+SUMIF('פ.נ. הודו'!$C:$C,$C:$C,'פ.נ. הודו'!$F:$F)</f>
        <v>55657.57</v>
      </c>
      <c r="L35" s="439"/>
      <c r="M35" s="474">
        <f>IFERROR(VLOOKUP(C35,'פ.נ. הודו'!$D$70:$G$1144,4,0),0)</f>
        <v>55657.57</v>
      </c>
      <c r="N35" s="4240">
        <f>IF(K35=0,"-",J35/K35)</f>
        <v>74.302501887883352</v>
      </c>
      <c r="O35" s="434"/>
      <c r="P35" s="4611" t="s">
        <v>4604</v>
      </c>
      <c r="Q35" s="726"/>
      <c r="R35" s="141"/>
      <c r="S35" s="141"/>
      <c r="T35" s="141"/>
      <c r="U35" s="141"/>
      <c r="V35" s="141"/>
      <c r="AR35" s="141"/>
      <c r="AS35" s="141"/>
      <c r="AT35" s="141"/>
      <c r="AU35" s="141"/>
    </row>
    <row r="36" spans="1:47" s="137" customFormat="1">
      <c r="A36" s="402"/>
      <c r="B36" s="3668" t="s">
        <v>1044</v>
      </c>
      <c r="C36" s="547">
        <v>2500004</v>
      </c>
      <c r="D36" s="600" t="s">
        <v>2495</v>
      </c>
      <c r="E36" s="474">
        <f>IFERROR(VLOOKUP(C36,'פ.נ. הודו'!$D$70:$G$1144,3,0),0)</f>
        <v>629454.82999999996</v>
      </c>
      <c r="F36" s="1978">
        <f>SUMIF('פ.נ. הודו'!$C:$C,$C:$C,'פ.נ. הודו'!$E:$E)</f>
        <v>0</v>
      </c>
      <c r="G36" s="517"/>
      <c r="H36" s="976"/>
      <c r="I36" s="79"/>
      <c r="J36" s="474">
        <f>SUM(E36:I36)</f>
        <v>629454.82999999996</v>
      </c>
      <c r="K36" s="474">
        <f>M36+SUMIF('פ.נ. הודו'!$C:$C,$C:$C,'פ.נ. הודו'!$F:$F)</f>
        <v>8471.52</v>
      </c>
      <c r="L36" s="439"/>
      <c r="M36" s="474">
        <f>IFERROR(VLOOKUP(C36,'פ.נ. הודו'!$D$70:$G$1144,4,0),0)</f>
        <v>8471.52</v>
      </c>
      <c r="N36" s="4240">
        <f>IF(K36=0,"-",J36/K36)</f>
        <v>74.30246638147581</v>
      </c>
      <c r="O36" s="434"/>
      <c r="P36" s="4612"/>
      <c r="Q36" s="726"/>
      <c r="R36" s="141"/>
      <c r="S36" s="141"/>
      <c r="T36" s="141"/>
      <c r="U36" s="141"/>
      <c r="V36" s="141"/>
      <c r="AR36" s="141"/>
      <c r="AS36" s="141"/>
      <c r="AT36" s="141"/>
      <c r="AU36" s="141"/>
    </row>
    <row r="37" spans="1:47" s="137" customFormat="1">
      <c r="A37" s="402"/>
      <c r="B37" s="3668" t="s">
        <v>1044</v>
      </c>
      <c r="C37" s="547">
        <v>2500005</v>
      </c>
      <c r="D37" s="600" t="s">
        <v>2496</v>
      </c>
      <c r="E37" s="474">
        <f>IFERROR(VLOOKUP(C37,'פ.נ. הודו'!$D$70:$G$1144,3,0),0)</f>
        <v>4135496.7</v>
      </c>
      <c r="F37" s="1978">
        <f>SUMIF('פ.נ. הודו'!$C:$C,$C:$C,'פ.נ. הודו'!$E:$E)</f>
        <v>0</v>
      </c>
      <c r="G37" s="517"/>
      <c r="H37" s="976"/>
      <c r="I37" s="79"/>
      <c r="J37" s="474">
        <f>SUM(E37:I37)</f>
        <v>4135496.7</v>
      </c>
      <c r="K37" s="474">
        <f>M37+SUMIF('פ.נ. הודו'!$C:$C,$C:$C,'פ.נ. הודו'!$F:$F)</f>
        <v>55657.57</v>
      </c>
      <c r="L37" s="439"/>
      <c r="M37" s="474">
        <f>IFERROR(VLOOKUP(C37,'פ.נ. הודו'!$D$70:$G$1144,4,0),0)</f>
        <v>55657.57</v>
      </c>
      <c r="N37" s="4240">
        <f>IF(K37=0,"-",J37/K37)</f>
        <v>74.302501887883352</v>
      </c>
      <c r="O37" s="434"/>
      <c r="P37" s="4612"/>
      <c r="Q37" s="726"/>
      <c r="R37" s="141"/>
      <c r="S37" s="141"/>
      <c r="T37" s="141"/>
      <c r="U37" s="141"/>
      <c r="V37" s="141"/>
      <c r="AR37" s="141"/>
      <c r="AS37" s="141"/>
      <c r="AT37" s="141"/>
      <c r="AU37" s="141"/>
    </row>
    <row r="38" spans="1:47" s="137" customFormat="1">
      <c r="A38" s="402"/>
      <c r="B38" s="3668" t="s">
        <v>1044</v>
      </c>
      <c r="C38" s="547">
        <v>2500006</v>
      </c>
      <c r="D38" s="600" t="s">
        <v>4432</v>
      </c>
      <c r="E38" s="474">
        <f>IFERROR(VLOOKUP(C38,'פ.נ. הודו'!$D$70:$G$1144,3,0),0)</f>
        <v>7020</v>
      </c>
      <c r="F38" s="1978">
        <f>SUMIF('פ.נ. הודו'!$C:$C,$C:$C,'פ.נ. הודו'!$E:$E)</f>
        <v>0</v>
      </c>
      <c r="G38" s="517"/>
      <c r="H38" s="976"/>
      <c r="I38" s="79"/>
      <c r="J38" s="474">
        <f>SUM(E38:I38)</f>
        <v>7020</v>
      </c>
      <c r="K38" s="474">
        <f>M38+SUMIF('פ.נ. הודו'!$C:$C,$C:$C,'פ.נ. הודו'!$F:$F)</f>
        <v>94.48</v>
      </c>
      <c r="L38" s="439"/>
      <c r="M38" s="474">
        <f>IFERROR(VLOOKUP(C38,'פ.נ. הודו'!$D$70:$G$1144,4,0),0)</f>
        <v>94.48</v>
      </c>
      <c r="N38" s="4240">
        <f>IF(K38=0,"-",J38/K38)</f>
        <v>74.301439458086364</v>
      </c>
      <c r="O38" s="434"/>
      <c r="P38" s="3072" t="s">
        <v>3602</v>
      </c>
      <c r="Q38" s="726"/>
      <c r="R38" s="141"/>
      <c r="S38" s="141"/>
      <c r="T38" s="141"/>
      <c r="U38" s="141"/>
      <c r="V38" s="141"/>
      <c r="AR38" s="141"/>
      <c r="AS38" s="141"/>
      <c r="AT38" s="141"/>
      <c r="AU38" s="141"/>
    </row>
    <row r="39" spans="1:47" s="137" customFormat="1">
      <c r="A39" s="402"/>
      <c r="B39" s="3668" t="s">
        <v>1044</v>
      </c>
      <c r="C39" s="547">
        <v>2500007</v>
      </c>
      <c r="D39" s="600" t="s">
        <v>4433</v>
      </c>
      <c r="E39" s="474">
        <f>IFERROR(VLOOKUP(C39,'פ.נ. הודו'!$D$70:$G$1144,3,0),0)</f>
        <v>0</v>
      </c>
      <c r="F39" s="1978">
        <f>SUMIF('פ.נ. הודו'!$C:$C,$C:$C,'פ.נ. הודו'!$E:$E)</f>
        <v>0</v>
      </c>
      <c r="G39" s="517"/>
      <c r="H39" s="976"/>
      <c r="I39" s="79"/>
      <c r="J39" s="474">
        <f>SUM(E39:I39)</f>
        <v>0</v>
      </c>
      <c r="K39" s="474">
        <f>M39+SUMIF('פ.נ. הודו'!$C:$C,$C:$C,'פ.נ. הודו'!$F:$F)</f>
        <v>0</v>
      </c>
      <c r="L39" s="439"/>
      <c r="M39" s="474">
        <f>IFERROR(VLOOKUP(C39,'פ.נ. הודו'!$D$70:$G$1144,4,0),0)</f>
        <v>0</v>
      </c>
      <c r="N39" s="4240" t="str">
        <f>IF(K39=0,"-",J39/K39)</f>
        <v>-</v>
      </c>
      <c r="O39" s="434"/>
      <c r="P39" s="3072" t="s">
        <v>3603</v>
      </c>
      <c r="Q39" s="726"/>
      <c r="R39" s="141"/>
      <c r="S39" s="141"/>
      <c r="T39" s="141"/>
      <c r="U39" s="141"/>
      <c r="V39" s="141"/>
      <c r="AR39" s="141"/>
      <c r="AS39" s="141"/>
      <c r="AT39" s="141"/>
      <c r="AU39" s="141"/>
    </row>
    <row r="40" spans="1:47" s="137" customFormat="1">
      <c r="A40" s="402"/>
      <c r="B40" s="3668" t="s">
        <v>1044</v>
      </c>
      <c r="C40" s="547" t="s">
        <v>4445</v>
      </c>
      <c r="D40" s="600" t="s">
        <v>4446</v>
      </c>
      <c r="E40" s="474">
        <f>IFERROR(VLOOKUP(C40,'פ.נ. הודו'!$D$70:$G$1144,3,0),0)</f>
        <v>230</v>
      </c>
      <c r="F40" s="1978">
        <f>SUMIF('פ.נ. הודו'!$C:$C,$C:$C,'פ.נ. הודו'!$E:$E)</f>
        <v>0</v>
      </c>
      <c r="G40" s="517"/>
      <c r="H40" s="976"/>
      <c r="I40" s="79"/>
      <c r="J40" s="474">
        <f t="shared" ref="J40:J41" si="7">SUM(E40:I40)</f>
        <v>230</v>
      </c>
      <c r="K40" s="474">
        <f>M40+SUMIF('פ.נ. הודו'!$C:$C,$C:$C,'פ.נ. הודו'!$F:$F)</f>
        <v>3.1</v>
      </c>
      <c r="L40" s="439"/>
      <c r="M40" s="474">
        <f>IFERROR(VLOOKUP(C40,'פ.נ. הודו'!$D$70:$G$1144,4,0),0)</f>
        <v>3.1</v>
      </c>
      <c r="N40" s="4240">
        <f t="shared" ref="N40:N41" si="8">IF(K40=0,"-",J40/K40)</f>
        <v>74.193548387096769</v>
      </c>
      <c r="O40" s="434"/>
      <c r="P40" s="3072"/>
      <c r="Q40" s="726"/>
      <c r="R40" s="141"/>
      <c r="S40" s="141"/>
      <c r="T40" s="141"/>
      <c r="U40" s="141"/>
      <c r="V40" s="141"/>
      <c r="AR40" s="141"/>
      <c r="AS40" s="141"/>
      <c r="AT40" s="141"/>
      <c r="AU40" s="141"/>
    </row>
    <row r="41" spans="1:47" s="137" customFormat="1">
      <c r="A41" s="402"/>
      <c r="B41" s="3668" t="s">
        <v>1044</v>
      </c>
      <c r="C41" s="547" t="s">
        <v>4447</v>
      </c>
      <c r="D41" s="600" t="s">
        <v>4448</v>
      </c>
      <c r="E41" s="474">
        <f>IFERROR(VLOOKUP(C41,'פ.נ. הודו'!$D$70:$G$1144,3,0),0)</f>
        <v>230</v>
      </c>
      <c r="F41" s="1978">
        <f>SUMIF('פ.נ. הודו'!$C:$C,$C:$C,'פ.נ. הודו'!$E:$E)</f>
        <v>0</v>
      </c>
      <c r="G41" s="517"/>
      <c r="H41" s="976"/>
      <c r="I41" s="79"/>
      <c r="J41" s="474">
        <f t="shared" si="7"/>
        <v>230</v>
      </c>
      <c r="K41" s="474">
        <f>M41+SUMIF('פ.נ. הודו'!$C:$C,$C:$C,'פ.נ. הודו'!$F:$F)</f>
        <v>3.1</v>
      </c>
      <c r="L41" s="439"/>
      <c r="M41" s="474">
        <f>IFERROR(VLOOKUP(C41,'פ.נ. הודו'!$D$70:$G$1144,4,0),0)</f>
        <v>3.1</v>
      </c>
      <c r="N41" s="4240">
        <f t="shared" si="8"/>
        <v>74.193548387096769</v>
      </c>
      <c r="O41" s="434"/>
      <c r="P41" s="3072"/>
      <c r="Q41" s="726"/>
      <c r="R41" s="141"/>
      <c r="S41" s="141"/>
      <c r="T41" s="141"/>
      <c r="U41" s="141"/>
      <c r="V41" s="141"/>
      <c r="AR41" s="141"/>
      <c r="AS41" s="141"/>
      <c r="AT41" s="141"/>
      <c r="AU41" s="141"/>
    </row>
    <row r="42" spans="1:47" s="137" customFormat="1">
      <c r="A42" s="402"/>
      <c r="B42" s="3668" t="s">
        <v>1044</v>
      </c>
      <c r="C42" s="547" t="s">
        <v>4436</v>
      </c>
      <c r="D42" s="600" t="s">
        <v>4434</v>
      </c>
      <c r="E42" s="474">
        <f>IFERROR(VLOOKUP(C42,'פ.נ. הודו'!$D$70:$G$1144,3,0),0)</f>
        <v>6746076</v>
      </c>
      <c r="F42" s="474">
        <f>SUMIF('פ.נ. הודו'!$C:$C,$C:$C,'פ.נ. הודו'!$E:$E)</f>
        <v>0</v>
      </c>
      <c r="G42" s="517"/>
      <c r="H42" s="976"/>
      <c r="I42" s="79"/>
      <c r="J42" s="474">
        <f t="shared" ref="J42:J43" si="9">SUM(E42:I42)</f>
        <v>6746076</v>
      </c>
      <c r="K42" s="474">
        <f>M42+SUMIF('פ.נ. הודו'!$C:$C,$C:$C,'פ.נ. הודו'!$F:$F)</f>
        <v>90792.05</v>
      </c>
      <c r="L42" s="439"/>
      <c r="M42" s="474">
        <f>IFERROR(VLOOKUP(C42,'פ.נ. הודו'!$D$70:$G$1144,4,0),0)</f>
        <v>90792.05</v>
      </c>
      <c r="N42" s="4240">
        <f t="shared" ref="N42:N43" si="10">IF(K42=0,"-",J42/K42)</f>
        <v>74.302496749440067</v>
      </c>
      <c r="O42" s="434"/>
      <c r="P42" s="3517" t="s">
        <v>4439</v>
      </c>
      <c r="Q42" s="726"/>
      <c r="R42" s="141"/>
      <c r="S42" s="141"/>
      <c r="T42" s="141"/>
      <c r="U42" s="141"/>
      <c r="V42" s="141"/>
      <c r="AR42" s="141"/>
      <c r="AS42" s="141"/>
      <c r="AT42" s="141"/>
      <c r="AU42" s="141"/>
    </row>
    <row r="43" spans="1:47" s="137" customFormat="1">
      <c r="A43" s="402"/>
      <c r="B43" s="3668" t="s">
        <v>1044</v>
      </c>
      <c r="C43" s="547" t="s">
        <v>4437</v>
      </c>
      <c r="D43" s="600" t="s">
        <v>4435</v>
      </c>
      <c r="E43" s="474">
        <f>IFERROR(VLOOKUP(C43,'פ.נ. הודו'!$D$70:$G$1144,3,0),0)</f>
        <v>-6746076</v>
      </c>
      <c r="F43" s="474">
        <f>SUMIF('פ.נ. הודו'!$C:$C,$C:$C,'פ.נ. הודו'!$E:$E)</f>
        <v>0</v>
      </c>
      <c r="G43" s="517"/>
      <c r="H43" s="976"/>
      <c r="I43" s="79"/>
      <c r="J43" s="474">
        <f t="shared" si="9"/>
        <v>-6746076</v>
      </c>
      <c r="K43" s="474">
        <f>M43+SUMIF('פ.נ. הודו'!$C:$C,$C:$C,'פ.נ. הודו'!$F:$F)</f>
        <v>-90792.05</v>
      </c>
      <c r="L43" s="439"/>
      <c r="M43" s="474">
        <f>IFERROR(VLOOKUP(C43,'פ.נ. הודו'!$D$70:$G$1144,4,0),0)</f>
        <v>-90792.05</v>
      </c>
      <c r="N43" s="4240">
        <f t="shared" si="10"/>
        <v>74.302496749440067</v>
      </c>
      <c r="O43" s="434"/>
      <c r="P43" s="3517" t="s">
        <v>4438</v>
      </c>
      <c r="Q43" s="726"/>
      <c r="R43" s="141"/>
      <c r="S43" s="141"/>
      <c r="T43" s="141"/>
      <c r="U43" s="141"/>
      <c r="V43" s="141"/>
      <c r="AR43" s="141"/>
      <c r="AS43" s="141"/>
      <c r="AT43" s="141"/>
      <c r="AU43" s="141"/>
    </row>
    <row r="44" spans="1:47" s="137" customFormat="1">
      <c r="A44" s="402"/>
      <c r="B44" s="3664"/>
      <c r="C44" s="759"/>
      <c r="D44" s="2845"/>
      <c r="E44" s="1202"/>
      <c r="F44" s="1976"/>
      <c r="G44" s="517"/>
      <c r="H44" s="518"/>
      <c r="I44" s="453"/>
      <c r="J44" s="170"/>
      <c r="K44" s="171"/>
      <c r="L44" s="51"/>
      <c r="M44" s="171"/>
      <c r="N44" s="4241"/>
      <c r="O44" s="434"/>
      <c r="P44" s="432"/>
      <c r="Q44" s="726"/>
      <c r="R44" s="141"/>
      <c r="S44" s="141"/>
      <c r="T44" s="141"/>
      <c r="U44" s="141"/>
      <c r="V44" s="141"/>
      <c r="AR44" s="141"/>
      <c r="AS44" s="141"/>
      <c r="AT44" s="141"/>
      <c r="AU44" s="141"/>
    </row>
    <row r="45" spans="1:47" s="137" customFormat="1">
      <c r="A45" s="402"/>
      <c r="B45" s="3664"/>
      <c r="C45" s="752"/>
      <c r="D45" s="746"/>
      <c r="E45" s="447">
        <f t="shared" ref="E45:K45" si="11">SUM(E35:E44)</f>
        <v>8907928.2300000004</v>
      </c>
      <c r="F45" s="1975">
        <f t="shared" si="11"/>
        <v>0</v>
      </c>
      <c r="G45" s="447">
        <f t="shared" si="11"/>
        <v>0</v>
      </c>
      <c r="H45" s="447">
        <f t="shared" si="11"/>
        <v>0</v>
      </c>
      <c r="I45" s="447">
        <f t="shared" si="11"/>
        <v>0</v>
      </c>
      <c r="J45" s="447">
        <f t="shared" si="11"/>
        <v>8907928.2300000004</v>
      </c>
      <c r="K45" s="447">
        <f t="shared" si="11"/>
        <v>119887.34000000001</v>
      </c>
      <c r="L45" s="336"/>
      <c r="M45" s="447">
        <f>SUM(M35:M44)</f>
        <v>119887.34000000001</v>
      </c>
      <c r="N45" s="4241"/>
      <c r="O45" s="434"/>
      <c r="P45" s="432"/>
      <c r="Q45" s="726"/>
      <c r="R45" s="141"/>
      <c r="S45" s="141"/>
      <c r="T45" s="141"/>
      <c r="U45" s="141"/>
      <c r="V45" s="141"/>
      <c r="AR45" s="141"/>
      <c r="AS45" s="141"/>
      <c r="AT45" s="141"/>
      <c r="AU45" s="141"/>
    </row>
    <row r="46" spans="1:47" s="137" customFormat="1" ht="15" customHeight="1" thickBot="1">
      <c r="A46" s="402"/>
      <c r="B46" s="3664"/>
      <c r="C46" s="1997"/>
      <c r="D46" s="59" t="s">
        <v>686</v>
      </c>
      <c r="E46" s="398"/>
      <c r="F46" s="1979"/>
      <c r="G46" s="456"/>
      <c r="H46" s="455"/>
      <c r="I46" s="456"/>
      <c r="J46" s="170"/>
      <c r="K46" s="171"/>
      <c r="L46" s="51"/>
      <c r="M46" s="171"/>
      <c r="N46" s="4241"/>
      <c r="O46" s="434"/>
      <c r="P46" s="432"/>
      <c r="Q46" s="726"/>
      <c r="R46" s="141"/>
      <c r="S46" s="141"/>
      <c r="T46" s="141"/>
      <c r="U46" s="141"/>
      <c r="V46" s="141"/>
      <c r="AR46" s="141"/>
      <c r="AS46" s="141"/>
      <c r="AT46" s="141"/>
      <c r="AU46" s="141"/>
    </row>
    <row r="47" spans="1:47" s="141" customFormat="1" ht="13.5" thickBot="1">
      <c r="A47" s="402"/>
      <c r="B47" s="3668" t="s">
        <v>687</v>
      </c>
      <c r="C47" s="1374">
        <v>1130009</v>
      </c>
      <c r="D47" s="747" t="s">
        <v>774</v>
      </c>
      <c r="E47" s="79">
        <f>IFERROR(VLOOKUP(C47,'פ.נ. הודו'!$D$70:$G$1144,3,0),0)</f>
        <v>0</v>
      </c>
      <c r="F47" s="170">
        <f>SUMIF('פ.נ. הודו'!$C:$C,$C:$C,'פ.נ. הודו'!$E:$E)</f>
        <v>0</v>
      </c>
      <c r="G47" s="398"/>
      <c r="H47" s="204"/>
      <c r="I47" s="79"/>
      <c r="J47" s="474">
        <f>SUM(E47:I47)</f>
        <v>0</v>
      </c>
      <c r="K47" s="474">
        <f>M47+SUMIF('פ.נ. הודו'!$C:$C,$C:$C,'פ.נ. הודו'!$F:$F)</f>
        <v>0</v>
      </c>
      <c r="L47" s="956">
        <f>+'מאזן בוחן'!K497+K47</f>
        <v>0</v>
      </c>
      <c r="M47" s="78">
        <f>IFERROR(VLOOKUP(C47,'פ.נ. הודו'!$D$70:$G$1144,4,0),0)</f>
        <v>-0.01</v>
      </c>
      <c r="N47" s="4240" t="str">
        <f>IF(K47=0,"-",J47/K47)</f>
        <v>-</v>
      </c>
      <c r="O47" s="449" t="s">
        <v>4877</v>
      </c>
      <c r="P47" s="432"/>
      <c r="Q47" s="726"/>
    </row>
    <row r="48" spans="1:47" s="137" customFormat="1">
      <c r="A48" s="402"/>
      <c r="B48" s="3668"/>
      <c r="C48" s="759"/>
      <c r="D48" s="747"/>
      <c r="F48" s="3382"/>
      <c r="G48" s="399"/>
      <c r="H48" s="51"/>
      <c r="I48" s="399"/>
      <c r="J48" s="170"/>
      <c r="K48" s="171"/>
      <c r="L48" s="51"/>
      <c r="M48" s="171"/>
      <c r="N48" s="4241"/>
      <c r="O48" s="434"/>
      <c r="P48" s="432"/>
      <c r="Q48" s="726"/>
      <c r="R48" s="141"/>
      <c r="S48" s="141"/>
      <c r="T48" s="141"/>
      <c r="U48" s="141"/>
      <c r="V48" s="141"/>
      <c r="AR48" s="141"/>
      <c r="AS48" s="141"/>
      <c r="AT48" s="141"/>
      <c r="AU48" s="141"/>
    </row>
    <row r="49" spans="1:47" s="137" customFormat="1">
      <c r="A49" s="402"/>
      <c r="B49" s="3668"/>
      <c r="C49" s="752"/>
      <c r="D49" s="706"/>
      <c r="E49" s="598">
        <f t="shared" ref="E49:K49" si="12">SUM(E47:E48)</f>
        <v>0</v>
      </c>
      <c r="F49" s="598">
        <f t="shared" si="12"/>
        <v>0</v>
      </c>
      <c r="G49" s="598">
        <f t="shared" si="12"/>
        <v>0</v>
      </c>
      <c r="H49" s="598">
        <f t="shared" si="12"/>
        <v>0</v>
      </c>
      <c r="I49" s="598">
        <f t="shared" si="12"/>
        <v>0</v>
      </c>
      <c r="J49" s="598">
        <f t="shared" si="12"/>
        <v>0</v>
      </c>
      <c r="K49" s="598">
        <f t="shared" si="12"/>
        <v>0</v>
      </c>
      <c r="L49" s="593"/>
      <c r="M49" s="598">
        <f>SUM(M47:M48)</f>
        <v>-0.01</v>
      </c>
      <c r="N49" s="4241"/>
      <c r="O49" s="434"/>
      <c r="P49" s="432"/>
      <c r="Q49" s="726"/>
      <c r="R49" s="141"/>
      <c r="S49" s="141"/>
      <c r="T49" s="141"/>
      <c r="U49" s="141"/>
      <c r="V49" s="141"/>
      <c r="AR49" s="141"/>
      <c r="AS49" s="141"/>
      <c r="AT49" s="141"/>
      <c r="AU49" s="141"/>
    </row>
    <row r="50" spans="1:47" s="137" customFormat="1">
      <c r="A50" s="402"/>
      <c r="B50" s="3668"/>
      <c r="C50" s="749"/>
      <c r="D50" s="59" t="s">
        <v>153</v>
      </c>
      <c r="E50" s="398"/>
      <c r="F50" s="51"/>
      <c r="G50" s="399"/>
      <c r="H50" s="51"/>
      <c r="I50" s="399"/>
      <c r="J50" s="52"/>
      <c r="K50" s="441"/>
      <c r="L50" s="51"/>
      <c r="M50" s="441"/>
      <c r="N50" s="4241"/>
      <c r="O50" s="434"/>
      <c r="P50" s="432"/>
      <c r="Q50" s="726"/>
      <c r="R50" s="141"/>
      <c r="S50" s="141"/>
      <c r="T50" s="141"/>
      <c r="U50" s="141"/>
      <c r="V50" s="141"/>
      <c r="AR50" s="141"/>
      <c r="AS50" s="141"/>
      <c r="AT50" s="141"/>
      <c r="AU50" s="141"/>
    </row>
    <row r="51" spans="1:47" s="141" customFormat="1">
      <c r="A51" s="402"/>
      <c r="B51" s="3668"/>
      <c r="C51" s="759"/>
      <c r="D51" s="45"/>
      <c r="E51" s="79"/>
      <c r="F51" s="52"/>
      <c r="G51" s="439"/>
      <c r="H51" s="52"/>
      <c r="I51" s="439"/>
      <c r="J51" s="170"/>
      <c r="K51" s="171"/>
      <c r="L51" s="52"/>
      <c r="M51" s="171"/>
      <c r="N51" s="4240"/>
      <c r="O51" s="449"/>
      <c r="P51" s="432"/>
      <c r="Q51" s="726"/>
    </row>
    <row r="52" spans="1:47" s="137" customFormat="1">
      <c r="A52" s="402"/>
      <c r="B52" s="3668"/>
      <c r="C52" s="752"/>
      <c r="D52" s="746"/>
      <c r="E52" s="447">
        <f t="shared" ref="E52:M52" si="13">SUM(E51:E51)</f>
        <v>0</v>
      </c>
      <c r="F52" s="447">
        <f t="shared" si="13"/>
        <v>0</v>
      </c>
      <c r="G52" s="447">
        <f t="shared" si="13"/>
        <v>0</v>
      </c>
      <c r="H52" s="447">
        <f t="shared" si="13"/>
        <v>0</v>
      </c>
      <c r="I52" s="447">
        <f t="shared" si="13"/>
        <v>0</v>
      </c>
      <c r="J52" s="447">
        <f t="shared" si="13"/>
        <v>0</v>
      </c>
      <c r="K52" s="447">
        <f t="shared" si="13"/>
        <v>0</v>
      </c>
      <c r="L52" s="336"/>
      <c r="M52" s="447">
        <f t="shared" si="13"/>
        <v>0</v>
      </c>
      <c r="N52" s="4241"/>
      <c r="O52" s="434"/>
      <c r="P52" s="432"/>
      <c r="Q52" s="726"/>
      <c r="R52" s="141"/>
      <c r="S52" s="141"/>
      <c r="T52" s="141"/>
      <c r="U52" s="141"/>
      <c r="V52" s="141"/>
      <c r="AR52" s="141"/>
      <c r="AS52" s="141"/>
      <c r="AT52" s="141"/>
      <c r="AU52" s="141"/>
    </row>
    <row r="53" spans="1:47" s="137" customFormat="1" ht="15" customHeight="1">
      <c r="A53" s="402"/>
      <c r="B53" s="3668"/>
      <c r="C53" s="749"/>
      <c r="D53" s="59" t="s">
        <v>280</v>
      </c>
      <c r="E53" s="429"/>
      <c r="F53" s="51"/>
      <c r="G53" s="399"/>
      <c r="H53" s="51"/>
      <c r="I53" s="399"/>
      <c r="J53" s="170"/>
      <c r="K53" s="441"/>
      <c r="L53" s="51"/>
      <c r="M53" s="441"/>
      <c r="N53" s="4241"/>
      <c r="O53" s="434"/>
      <c r="P53" s="432"/>
      <c r="Q53" s="726"/>
      <c r="R53" s="141"/>
      <c r="S53" s="141"/>
      <c r="T53" s="141"/>
      <c r="U53" s="141"/>
      <c r="V53" s="141"/>
      <c r="AR53" s="141"/>
      <c r="AS53" s="141"/>
      <c r="AT53" s="141"/>
      <c r="AU53" s="141"/>
    </row>
    <row r="54" spans="1:47" s="137" customFormat="1" ht="13.5" thickBot="1">
      <c r="A54" s="402"/>
      <c r="B54" s="3669"/>
      <c r="C54" s="759"/>
      <c r="D54" s="405"/>
      <c r="E54" s="460"/>
      <c r="F54" s="399"/>
      <c r="G54" s="399"/>
      <c r="H54" s="51"/>
      <c r="I54" s="399"/>
      <c r="J54" s="170"/>
      <c r="K54" s="171"/>
      <c r="L54" s="51"/>
      <c r="M54" s="171"/>
      <c r="N54" s="4241"/>
      <c r="O54" s="434"/>
      <c r="P54" s="2560"/>
      <c r="Q54" s="726"/>
      <c r="R54" s="52"/>
      <c r="S54" s="141"/>
      <c r="T54" s="141"/>
      <c r="U54" s="141"/>
      <c r="V54" s="141"/>
      <c r="AR54" s="141"/>
      <c r="AS54" s="141"/>
      <c r="AT54" s="141"/>
      <c r="AU54" s="141"/>
    </row>
    <row r="55" spans="1:47" s="137" customFormat="1" ht="13.5" thickBot="1">
      <c r="A55" s="594"/>
      <c r="B55" s="3666" t="s">
        <v>568</v>
      </c>
      <c r="C55" s="1374">
        <v>1100001</v>
      </c>
      <c r="D55" s="747" t="s">
        <v>25</v>
      </c>
      <c r="E55" s="1753">
        <f>IFERROR(VLOOKUP(C55,'פ.נ. הודו'!$D$70:$G$1144,3,0),0)</f>
        <v>1223620</v>
      </c>
      <c r="F55" s="170">
        <f>SUMIF('פ.נ. הודו'!$C:$C,$C:$C,'פ.נ. הודו'!$E:$E)</f>
        <v>0</v>
      </c>
      <c r="G55" s="398"/>
      <c r="H55" s="204"/>
      <c r="I55" s="79"/>
      <c r="J55" s="1753">
        <f>SUM(E55:I55)</f>
        <v>1223620</v>
      </c>
      <c r="K55" s="170">
        <f>M55+SUMIF('פ.נ. הודו'!$C:$C,$C:$C,'פ.נ. הודו'!$F:$F)</f>
        <v>16456.93</v>
      </c>
      <c r="L55" s="1243">
        <f>-'Prepaid expenses'!$C$152+J55</f>
        <v>0</v>
      </c>
      <c r="M55" s="1628">
        <f>IFERROR(VLOOKUP(C55,'פ.נ. הודו'!$D$70:$G$1144,4,0),0)</f>
        <v>16456.93</v>
      </c>
      <c r="N55" s="4240">
        <f>IF(K55=0,"-",J55/K55)</f>
        <v>74.352871404326322</v>
      </c>
      <c r="O55" s="2014" t="s">
        <v>2706</v>
      </c>
      <c r="P55" s="2560"/>
      <c r="Q55" s="726"/>
      <c r="R55" s="52"/>
      <c r="S55" s="141"/>
      <c r="T55" s="141"/>
      <c r="U55" s="141"/>
      <c r="V55" s="141"/>
      <c r="AR55" s="141"/>
      <c r="AS55" s="141"/>
      <c r="AT55" s="141"/>
      <c r="AU55" s="141"/>
    </row>
    <row r="56" spans="1:47" s="137" customFormat="1">
      <c r="A56" s="594"/>
      <c r="B56" s="3668"/>
      <c r="C56" s="759"/>
      <c r="D56" s="461"/>
      <c r="E56" s="3383"/>
      <c r="F56" s="52"/>
      <c r="G56" s="439"/>
      <c r="H56" s="52"/>
      <c r="I56" s="439"/>
      <c r="J56" s="170"/>
      <c r="K56" s="171"/>
      <c r="L56" s="52"/>
      <c r="M56" s="171"/>
      <c r="N56" s="4240"/>
      <c r="O56" s="449"/>
      <c r="P56" s="2560"/>
      <c r="Q56" s="2004"/>
      <c r="R56" s="272"/>
      <c r="S56" s="141"/>
      <c r="T56" s="141"/>
      <c r="U56" s="141"/>
      <c r="V56" s="141"/>
      <c r="AR56" s="141"/>
      <c r="AS56" s="141"/>
      <c r="AT56" s="141"/>
      <c r="AU56" s="141"/>
    </row>
    <row r="57" spans="1:47" s="137" customFormat="1">
      <c r="A57" s="594"/>
      <c r="B57" s="3668"/>
      <c r="C57" s="752"/>
      <c r="D57" s="62"/>
      <c r="E57" s="447">
        <f t="shared" ref="E57:K57" si="14">SUM(E54:E56)</f>
        <v>1223620</v>
      </c>
      <c r="F57" s="447">
        <f t="shared" si="14"/>
        <v>0</v>
      </c>
      <c r="G57" s="447">
        <f t="shared" si="14"/>
        <v>0</v>
      </c>
      <c r="H57" s="447">
        <f t="shared" si="14"/>
        <v>0</v>
      </c>
      <c r="I57" s="447">
        <f t="shared" si="14"/>
        <v>0</v>
      </c>
      <c r="J57" s="447">
        <f t="shared" si="14"/>
        <v>1223620</v>
      </c>
      <c r="K57" s="447">
        <f t="shared" si="14"/>
        <v>16456.93</v>
      </c>
      <c r="L57" s="336"/>
      <c r="M57" s="447">
        <f>SUM(M54:M56)</f>
        <v>16456.93</v>
      </c>
      <c r="N57" s="4241"/>
      <c r="O57" s="434"/>
      <c r="P57" s="2560"/>
      <c r="Q57" s="726"/>
      <c r="R57" s="52"/>
      <c r="S57" s="52"/>
      <c r="T57" s="52"/>
      <c r="U57" s="52"/>
      <c r="V57" s="52"/>
      <c r="AR57" s="52"/>
      <c r="AS57" s="52"/>
      <c r="AT57" s="52"/>
      <c r="AU57" s="52"/>
    </row>
    <row r="58" spans="1:47" s="141" customFormat="1">
      <c r="A58" s="594"/>
      <c r="B58" s="3668"/>
      <c r="C58" s="1989"/>
      <c r="D58" s="50" t="s">
        <v>301</v>
      </c>
      <c r="E58" s="463"/>
      <c r="F58" s="455"/>
      <c r="G58" s="456"/>
      <c r="H58" s="455"/>
      <c r="I58" s="456"/>
      <c r="J58" s="455"/>
      <c r="K58" s="456"/>
      <c r="L58" s="51"/>
      <c r="M58" s="456"/>
      <c r="N58" s="4241"/>
      <c r="O58" s="434"/>
      <c r="P58" s="2560"/>
      <c r="Q58" s="726"/>
      <c r="R58" s="52"/>
      <c r="S58" s="52"/>
      <c r="T58" s="52"/>
      <c r="U58" s="52"/>
      <c r="V58" s="52"/>
      <c r="AR58" s="52"/>
      <c r="AS58" s="52"/>
      <c r="AT58" s="52"/>
      <c r="AU58" s="52"/>
    </row>
    <row r="59" spans="1:47" s="141" customFormat="1">
      <c r="A59" s="594"/>
      <c r="B59" s="3668"/>
      <c r="C59" s="1990"/>
      <c r="D59" s="48"/>
      <c r="E59" s="79"/>
      <c r="F59" s="433"/>
      <c r="G59" s="456"/>
      <c r="H59" s="455"/>
      <c r="I59" s="456"/>
      <c r="J59" s="170"/>
      <c r="K59" s="171"/>
      <c r="L59" s="51"/>
      <c r="M59" s="171"/>
      <c r="N59" s="4241"/>
      <c r="O59" s="434"/>
      <c r="P59" s="2560"/>
      <c r="Q59" s="726"/>
      <c r="S59" s="63"/>
      <c r="T59" s="63"/>
      <c r="U59" s="63"/>
      <c r="V59" s="63"/>
      <c r="AR59" s="63"/>
      <c r="AS59" s="63"/>
      <c r="AT59" s="63"/>
      <c r="AU59" s="464"/>
    </row>
    <row r="60" spans="1:47" s="141" customFormat="1" ht="15" customHeight="1">
      <c r="A60" s="594"/>
      <c r="B60" s="3668"/>
      <c r="C60" s="1990"/>
      <c r="D60" s="48"/>
      <c r="E60" s="79"/>
      <c r="F60" s="433"/>
      <c r="G60" s="456"/>
      <c r="H60" s="455"/>
      <c r="I60" s="456"/>
      <c r="J60" s="170"/>
      <c r="K60" s="171"/>
      <c r="L60" s="51"/>
      <c r="M60" s="171"/>
      <c r="N60" s="4241"/>
      <c r="O60" s="433"/>
      <c r="P60" s="2560"/>
      <c r="Q60" s="726"/>
      <c r="S60" s="63"/>
      <c r="T60" s="63"/>
      <c r="U60" s="63"/>
      <c r="V60" s="63"/>
      <c r="AR60" s="63"/>
      <c r="AS60" s="63"/>
      <c r="AT60" s="63"/>
      <c r="AU60" s="464"/>
    </row>
    <row r="61" spans="1:47" s="141" customFormat="1">
      <c r="A61" s="594"/>
      <c r="B61" s="3668"/>
      <c r="C61" s="1993"/>
      <c r="D61" s="45"/>
      <c r="E61" s="79"/>
      <c r="F61" s="433"/>
      <c r="G61" s="456"/>
      <c r="H61" s="455"/>
      <c r="I61" s="456"/>
      <c r="J61" s="170"/>
      <c r="K61" s="171"/>
      <c r="L61" s="51"/>
      <c r="M61" s="171"/>
      <c r="N61" s="4241"/>
      <c r="O61" s="449"/>
      <c r="P61" s="2560"/>
      <c r="Q61" s="726"/>
    </row>
    <row r="62" spans="1:47" s="137" customFormat="1">
      <c r="A62" s="594"/>
      <c r="B62" s="3668"/>
      <c r="C62" s="752"/>
      <c r="D62" s="62"/>
      <c r="E62" s="447">
        <f t="shared" ref="E62:K62" si="15">SUM(E59:E61)</f>
        <v>0</v>
      </c>
      <c r="F62" s="447">
        <f t="shared" si="15"/>
        <v>0</v>
      </c>
      <c r="G62" s="447">
        <f t="shared" si="15"/>
        <v>0</v>
      </c>
      <c r="H62" s="447">
        <f t="shared" si="15"/>
        <v>0</v>
      </c>
      <c r="I62" s="447">
        <f t="shared" si="15"/>
        <v>0</v>
      </c>
      <c r="J62" s="447">
        <f t="shared" si="15"/>
        <v>0</v>
      </c>
      <c r="K62" s="447">
        <f t="shared" si="15"/>
        <v>0</v>
      </c>
      <c r="L62" s="336"/>
      <c r="M62" s="447">
        <f>SUM(M59:M61)</f>
        <v>0</v>
      </c>
      <c r="N62" s="4241"/>
      <c r="O62" s="434"/>
      <c r="P62" s="2560"/>
      <c r="Q62" s="726"/>
      <c r="R62" s="141"/>
      <c r="S62" s="141"/>
      <c r="T62" s="141"/>
      <c r="U62" s="141"/>
      <c r="V62" s="141"/>
      <c r="AR62" s="141"/>
      <c r="AS62" s="141"/>
      <c r="AT62" s="141"/>
      <c r="AU62" s="141"/>
    </row>
    <row r="63" spans="1:47" s="137" customFormat="1">
      <c r="A63" s="594"/>
      <c r="B63" s="3668"/>
      <c r="C63" s="749"/>
      <c r="D63" s="61"/>
      <c r="E63" s="429"/>
      <c r="F63" s="51"/>
      <c r="G63" s="399"/>
      <c r="H63" s="51"/>
      <c r="I63" s="446"/>
      <c r="J63" s="170"/>
      <c r="K63" s="441"/>
      <c r="L63" s="51"/>
      <c r="M63" s="441"/>
      <c r="N63" s="4241"/>
      <c r="O63" s="434"/>
      <c r="P63" s="2560"/>
      <c r="Q63" s="726"/>
      <c r="R63" s="141"/>
      <c r="S63" s="141"/>
      <c r="T63" s="141"/>
      <c r="U63" s="141"/>
      <c r="V63" s="141"/>
      <c r="AR63" s="141"/>
      <c r="AS63" s="141"/>
      <c r="AT63" s="141"/>
      <c r="AU63" s="141"/>
    </row>
    <row r="64" spans="1:47" s="137" customFormat="1">
      <c r="A64" s="594"/>
      <c r="B64" s="3668"/>
      <c r="C64" s="752"/>
      <c r="D64" s="57" t="s">
        <v>67</v>
      </c>
      <c r="E64" s="447">
        <f t="shared" ref="E64:K64" si="16">E57+E52+E45+E49+E31+E62</f>
        <v>10131548.23</v>
      </c>
      <c r="F64" s="447">
        <f t="shared" si="16"/>
        <v>0</v>
      </c>
      <c r="G64" s="447">
        <f t="shared" si="16"/>
        <v>0</v>
      </c>
      <c r="H64" s="447">
        <f t="shared" si="16"/>
        <v>0</v>
      </c>
      <c r="I64" s="447">
        <f t="shared" si="16"/>
        <v>0</v>
      </c>
      <c r="J64" s="447">
        <f t="shared" si="16"/>
        <v>10131548.23</v>
      </c>
      <c r="K64" s="447">
        <f t="shared" si="16"/>
        <v>136344.27000000002</v>
      </c>
      <c r="L64" s="336"/>
      <c r="M64" s="447">
        <f>M57+M52+M45+M49+M31+M62</f>
        <v>136344.26</v>
      </c>
      <c r="N64" s="4241"/>
      <c r="O64" s="434"/>
      <c r="P64" s="2560"/>
      <c r="Q64" s="726"/>
      <c r="R64" s="141"/>
      <c r="S64" s="141"/>
      <c r="T64" s="141"/>
      <c r="U64" s="141"/>
      <c r="V64" s="141"/>
      <c r="AR64" s="141"/>
      <c r="AS64" s="141"/>
      <c r="AT64" s="141"/>
      <c r="AU64" s="141"/>
    </row>
    <row r="65" spans="1:47" s="137" customFormat="1" ht="13.5" thickBot="1">
      <c r="A65" s="594"/>
      <c r="B65" s="3668"/>
      <c r="C65" s="749"/>
      <c r="D65" s="61"/>
      <c r="E65" s="429"/>
      <c r="F65" s="707"/>
      <c r="G65" s="446"/>
      <c r="H65" s="440"/>
      <c r="I65" s="446"/>
      <c r="J65" s="170"/>
      <c r="K65" s="171"/>
      <c r="L65" s="51"/>
      <c r="M65" s="171"/>
      <c r="N65" s="4241"/>
      <c r="O65" s="434"/>
      <c r="P65" s="2560"/>
      <c r="Q65" s="726"/>
      <c r="R65" s="141"/>
      <c r="S65" s="141"/>
      <c r="T65" s="141"/>
      <c r="U65" s="141"/>
      <c r="V65" s="141"/>
      <c r="AR65" s="141"/>
      <c r="AS65" s="141"/>
      <c r="AT65" s="141"/>
      <c r="AU65" s="141"/>
    </row>
    <row r="66" spans="1:47" s="137" customFormat="1" ht="15" customHeight="1" thickBot="1">
      <c r="A66" s="594"/>
      <c r="B66" s="3668"/>
      <c r="C66" s="749"/>
      <c r="D66" s="58" t="s">
        <v>68</v>
      </c>
      <c r="E66" s="429"/>
      <c r="F66" s="51"/>
      <c r="G66" s="399"/>
      <c r="H66" s="51"/>
      <c r="I66" s="399"/>
      <c r="J66" s="170"/>
      <c r="K66" s="441"/>
      <c r="L66" s="51"/>
      <c r="M66" s="441"/>
      <c r="N66" s="4241"/>
      <c r="O66" s="434"/>
      <c r="P66" s="2560"/>
      <c r="Q66" s="726"/>
      <c r="R66" s="141"/>
      <c r="S66" s="141"/>
      <c r="T66" s="141"/>
      <c r="U66" s="141"/>
      <c r="V66" s="141"/>
      <c r="AR66" s="141"/>
      <c r="AS66" s="141"/>
      <c r="AT66" s="141"/>
      <c r="AU66" s="141"/>
    </row>
    <row r="67" spans="1:47" s="137" customFormat="1" ht="15">
      <c r="A67" s="594"/>
      <c r="B67" s="3668"/>
      <c r="C67" s="749"/>
      <c r="D67" s="59" t="s">
        <v>69</v>
      </c>
      <c r="E67" s="429"/>
      <c r="F67" s="51"/>
      <c r="G67" s="399"/>
      <c r="H67" s="51"/>
      <c r="I67" s="399"/>
      <c r="J67" s="170"/>
      <c r="K67" s="441"/>
      <c r="L67" s="51"/>
      <c r="M67" s="441"/>
      <c r="N67" s="4241"/>
      <c r="O67" s="602"/>
      <c r="P67" s="2744"/>
      <c r="Q67" s="726"/>
      <c r="R67" s="141"/>
      <c r="S67" s="141"/>
      <c r="T67" s="141"/>
      <c r="U67" s="141"/>
      <c r="V67" s="141"/>
      <c r="AR67" s="141"/>
      <c r="AS67" s="141"/>
      <c r="AT67" s="141"/>
      <c r="AU67" s="141"/>
    </row>
    <row r="68" spans="1:47" s="137" customFormat="1">
      <c r="A68" s="594"/>
      <c r="B68" s="3666" t="s">
        <v>1001</v>
      </c>
      <c r="C68" s="1374">
        <v>1400001</v>
      </c>
      <c r="D68" s="747" t="s">
        <v>347</v>
      </c>
      <c r="E68" s="79">
        <f>IFERROR(VLOOKUP(C68,'פ.נ. הודו'!$D$70:$G$1144,3,0),0)</f>
        <v>5946000</v>
      </c>
      <c r="F68" s="170">
        <f>SUMIF('פ.נ. הודו'!$C:$C,$C:$C,'פ.נ. הודו'!$E:$E)</f>
        <v>0</v>
      </c>
      <c r="G68" s="398"/>
      <c r="H68" s="204"/>
      <c r="I68" s="79"/>
      <c r="J68" s="474">
        <f>SUM(E68:I68)</f>
        <v>5946000</v>
      </c>
      <c r="K68" s="474">
        <f>M68+SUMIF('פ.נ. הודו'!$C:$C,$C:$C,'פ.נ. הודו'!$F:$F)</f>
        <v>80154.740000000005</v>
      </c>
      <c r="L68" s="52"/>
      <c r="M68" s="78">
        <f>IFERROR(VLOOKUP(C68,'פ.נ. הודו'!$D$70:$G$1144,4,0),0)</f>
        <v>80154.740000000005</v>
      </c>
      <c r="N68" s="4240">
        <f>IF(K68=0,"-",J68/K68)</f>
        <v>74.181514405760652</v>
      </c>
      <c r="O68" s="2014" t="s">
        <v>1494</v>
      </c>
      <c r="P68" s="2560"/>
      <c r="Q68" s="726"/>
      <c r="R68" s="52"/>
      <c r="S68" s="141"/>
      <c r="T68" s="141"/>
      <c r="U68" s="141"/>
      <c r="V68" s="141"/>
      <c r="AR68" s="141"/>
      <c r="AS68" s="141"/>
      <c r="AT68" s="141"/>
      <c r="AU68" s="141"/>
    </row>
    <row r="69" spans="1:47" s="137" customFormat="1" ht="15" customHeight="1">
      <c r="A69" s="594"/>
      <c r="B69" s="3628"/>
      <c r="C69" s="1997"/>
      <c r="D69" s="48"/>
      <c r="E69" s="398"/>
      <c r="F69" s="51"/>
      <c r="G69" s="399"/>
      <c r="H69" s="51"/>
      <c r="I69" s="399"/>
      <c r="J69" s="170"/>
      <c r="K69" s="441"/>
      <c r="L69" s="51"/>
      <c r="M69" s="441"/>
      <c r="N69" s="4241"/>
      <c r="O69" s="434"/>
      <c r="P69" s="2560"/>
      <c r="Q69" s="726"/>
      <c r="R69" s="141"/>
      <c r="S69" s="141"/>
      <c r="T69" s="141"/>
      <c r="U69" s="141"/>
      <c r="V69" s="141"/>
      <c r="AR69" s="141"/>
      <c r="AS69" s="141"/>
      <c r="AT69" s="141"/>
      <c r="AU69" s="141"/>
    </row>
    <row r="70" spans="1:47" s="137" customFormat="1" ht="15" customHeight="1">
      <c r="A70" s="594"/>
      <c r="B70" s="3630"/>
      <c r="C70" s="752"/>
      <c r="D70" s="62" t="s">
        <v>70</v>
      </c>
      <c r="E70" s="447">
        <f t="shared" ref="E70:M70" si="17">SUM(E68:E69)</f>
        <v>5946000</v>
      </c>
      <c r="F70" s="447">
        <f t="shared" si="17"/>
        <v>0</v>
      </c>
      <c r="G70" s="447">
        <f t="shared" si="17"/>
        <v>0</v>
      </c>
      <c r="H70" s="447">
        <f t="shared" si="17"/>
        <v>0</v>
      </c>
      <c r="I70" s="447">
        <f t="shared" si="17"/>
        <v>0</v>
      </c>
      <c r="J70" s="447">
        <f t="shared" si="17"/>
        <v>5946000</v>
      </c>
      <c r="K70" s="447">
        <f t="shared" si="17"/>
        <v>80154.740000000005</v>
      </c>
      <c r="L70" s="1443"/>
      <c r="M70" s="1727">
        <f t="shared" si="17"/>
        <v>80154.740000000005</v>
      </c>
      <c r="N70" s="4241"/>
      <c r="O70" s="434"/>
      <c r="P70" s="2560"/>
      <c r="Q70" s="726"/>
      <c r="R70" s="141"/>
      <c r="S70" s="141"/>
      <c r="T70" s="141"/>
      <c r="U70" s="141"/>
      <c r="V70" s="141"/>
      <c r="AR70" s="141"/>
      <c r="AS70" s="141"/>
      <c r="AT70" s="141"/>
      <c r="AU70" s="141"/>
    </row>
    <row r="71" spans="1:47" s="137" customFormat="1">
      <c r="A71" s="594"/>
      <c r="B71" s="3630"/>
      <c r="C71" s="749"/>
      <c r="D71" s="1728" t="s">
        <v>71</v>
      </c>
      <c r="E71" s="919"/>
      <c r="F71" s="51"/>
      <c r="G71" s="399"/>
      <c r="H71" s="51"/>
      <c r="I71" s="465"/>
      <c r="J71" s="52"/>
      <c r="K71" s="441"/>
      <c r="L71" s="399"/>
      <c r="M71" s="1199"/>
      <c r="N71" s="4241"/>
      <c r="O71" s="434"/>
      <c r="P71" s="2560"/>
      <c r="Q71" s="726"/>
      <c r="R71" s="141"/>
      <c r="S71" s="141"/>
      <c r="T71" s="141"/>
      <c r="U71" s="141"/>
      <c r="V71" s="141"/>
      <c r="AR71" s="141"/>
      <c r="AS71" s="141"/>
      <c r="AT71" s="141"/>
      <c r="AU71" s="141"/>
    </row>
    <row r="72" spans="1:47" s="137" customFormat="1">
      <c r="A72" s="594"/>
      <c r="B72" s="3628" t="s">
        <v>1007</v>
      </c>
      <c r="C72" s="1374">
        <v>1490001</v>
      </c>
      <c r="D72" s="1649" t="s">
        <v>1008</v>
      </c>
      <c r="E72" s="474">
        <f>IFERROR(VLOOKUP(C72,'פ.נ. הודו'!$D$70:$G$1144,3,0),0)</f>
        <v>-1552791.74</v>
      </c>
      <c r="F72" s="170">
        <f>SUMIF('פ.נ. הודו'!$C:$C,$C:$C,'פ.נ. הודו'!$E:$E)</f>
        <v>0</v>
      </c>
      <c r="G72" s="1724"/>
      <c r="H72" s="1725"/>
      <c r="I72" s="1726"/>
      <c r="J72" s="474">
        <f>SUM(E72:I72)</f>
        <v>-1552791.74</v>
      </c>
      <c r="K72" s="474">
        <f>M72+SUMIF('פ.נ. הודו'!$C:$C,$C:$C,'פ.נ. הודו'!$F:$F)</f>
        <v>-21003.97</v>
      </c>
      <c r="L72" s="1443"/>
      <c r="M72" s="474">
        <f>IFERROR(VLOOKUP(C72,'פ.נ. הודו'!$D$70:$G$1144,4,0),0)</f>
        <v>-21003.97</v>
      </c>
      <c r="N72" s="4240">
        <f>IF(K72=0,"-",J72/K72)</f>
        <v>73.928487804924487</v>
      </c>
      <c r="O72" s="434"/>
      <c r="P72" s="2560"/>
      <c r="Q72" s="726"/>
      <c r="R72" s="141"/>
      <c r="S72" s="141"/>
      <c r="T72" s="141"/>
      <c r="U72" s="141"/>
      <c r="V72" s="141"/>
      <c r="AR72" s="141"/>
      <c r="AS72" s="141"/>
      <c r="AT72" s="141"/>
      <c r="AU72" s="141"/>
    </row>
    <row r="73" spans="1:47" s="137" customFormat="1">
      <c r="A73" s="594"/>
      <c r="B73" s="3628"/>
      <c r="C73" s="1997"/>
      <c r="D73" s="1729"/>
      <c r="E73" s="919"/>
      <c r="F73" s="51"/>
      <c r="G73" s="399"/>
      <c r="H73" s="51"/>
      <c r="I73" s="399"/>
      <c r="J73" s="170"/>
      <c r="K73" s="441"/>
      <c r="L73" s="1443"/>
      <c r="M73" s="1199"/>
      <c r="N73" s="4241"/>
      <c r="O73" s="434"/>
      <c r="P73" s="2560"/>
      <c r="Q73" s="726"/>
      <c r="R73" s="141"/>
      <c r="S73" s="141"/>
      <c r="T73" s="141"/>
      <c r="U73" s="141"/>
      <c r="V73" s="141"/>
      <c r="AR73" s="141"/>
      <c r="AS73" s="141"/>
      <c r="AT73" s="141"/>
      <c r="AU73" s="141"/>
    </row>
    <row r="74" spans="1:47" s="137" customFormat="1" ht="15" customHeight="1">
      <c r="A74" s="594"/>
      <c r="B74" s="3630"/>
      <c r="C74" s="752"/>
      <c r="D74" s="62" t="s">
        <v>72</v>
      </c>
      <c r="E74" s="1730">
        <f t="shared" ref="E74:M74" si="18">SUM(E72:E73)</f>
        <v>-1552791.74</v>
      </c>
      <c r="F74" s="1731">
        <f t="shared" si="18"/>
        <v>0</v>
      </c>
      <c r="G74" s="1732">
        <f t="shared" si="18"/>
        <v>0</v>
      </c>
      <c r="H74" s="1733">
        <f t="shared" si="18"/>
        <v>0</v>
      </c>
      <c r="I74" s="1732">
        <f t="shared" si="18"/>
        <v>0</v>
      </c>
      <c r="J74" s="1734">
        <f t="shared" si="18"/>
        <v>-1552791.74</v>
      </c>
      <c r="K74" s="1734">
        <f t="shared" si="18"/>
        <v>-21003.97</v>
      </c>
      <c r="L74" s="1443"/>
      <c r="M74" s="1734">
        <f t="shared" si="18"/>
        <v>-21003.97</v>
      </c>
      <c r="N74" s="4241"/>
      <c r="O74" s="434"/>
      <c r="P74" s="2560"/>
      <c r="Q74" s="726"/>
      <c r="R74" s="141"/>
      <c r="S74" s="141"/>
      <c r="T74" s="141"/>
      <c r="U74" s="141"/>
      <c r="V74" s="141"/>
      <c r="AR74" s="141"/>
      <c r="AS74" s="141"/>
      <c r="AT74" s="141"/>
      <c r="AU74" s="141"/>
    </row>
    <row r="75" spans="1:47" s="137" customFormat="1" ht="15" customHeight="1">
      <c r="A75" s="594"/>
      <c r="B75" s="3630"/>
      <c r="C75" s="749"/>
      <c r="D75" s="63"/>
      <c r="E75" s="429"/>
      <c r="F75" s="51"/>
      <c r="G75" s="399"/>
      <c r="H75" s="51"/>
      <c r="I75" s="399"/>
      <c r="J75" s="170"/>
      <c r="K75" s="441"/>
      <c r="L75" s="1443"/>
      <c r="M75" s="441"/>
      <c r="N75" s="4241"/>
      <c r="O75" s="434"/>
      <c r="P75" s="2560"/>
      <c r="Q75" s="726"/>
      <c r="R75" s="141"/>
      <c r="S75" s="141"/>
      <c r="T75" s="141"/>
      <c r="U75" s="141"/>
      <c r="V75" s="141"/>
      <c r="AR75" s="141"/>
      <c r="AS75" s="141"/>
      <c r="AT75" s="141"/>
      <c r="AU75" s="141"/>
    </row>
    <row r="76" spans="1:47" s="137" customFormat="1" ht="15" customHeight="1">
      <c r="A76" s="594"/>
      <c r="B76" s="3630"/>
      <c r="C76" s="752"/>
      <c r="D76" s="62" t="s">
        <v>73</v>
      </c>
      <c r="E76" s="447">
        <f t="shared" ref="E76:M76" si="19">E70+E74</f>
        <v>4393208.26</v>
      </c>
      <c r="F76" s="447">
        <f t="shared" si="19"/>
        <v>0</v>
      </c>
      <c r="G76" s="447">
        <f t="shared" si="19"/>
        <v>0</v>
      </c>
      <c r="H76" s="447">
        <f t="shared" si="19"/>
        <v>0</v>
      </c>
      <c r="I76" s="447">
        <f t="shared" si="19"/>
        <v>0</v>
      </c>
      <c r="J76" s="447">
        <f t="shared" si="19"/>
        <v>4393208.26</v>
      </c>
      <c r="K76" s="447">
        <f t="shared" si="19"/>
        <v>59150.770000000004</v>
      </c>
      <c r="L76" s="1443"/>
      <c r="M76" s="447">
        <f t="shared" si="19"/>
        <v>59150.770000000004</v>
      </c>
      <c r="N76" s="4241"/>
      <c r="O76" s="434"/>
      <c r="P76" s="2560"/>
      <c r="Q76" s="726"/>
      <c r="R76" s="141"/>
      <c r="S76" s="141"/>
      <c r="T76" s="141"/>
      <c r="U76" s="141"/>
      <c r="V76" s="141"/>
      <c r="AR76" s="141"/>
      <c r="AS76" s="141"/>
      <c r="AT76" s="141"/>
      <c r="AU76" s="141"/>
    </row>
    <row r="77" spans="1:47" s="137" customFormat="1" ht="15" customHeight="1" thickBot="1">
      <c r="A77" s="594"/>
      <c r="B77" s="3630"/>
      <c r="C77" s="1985"/>
      <c r="D77" s="64"/>
      <c r="E77" s="595"/>
      <c r="F77" s="596"/>
      <c r="G77" s="595"/>
      <c r="H77" s="518"/>
      <c r="I77" s="517"/>
      <c r="J77" s="597"/>
      <c r="K77" s="522"/>
      <c r="L77" s="518"/>
      <c r="M77" s="522"/>
      <c r="N77" s="4241"/>
      <c r="O77" s="434"/>
      <c r="P77" s="2560"/>
      <c r="Q77" s="726"/>
      <c r="R77" s="141"/>
      <c r="S77" s="141"/>
      <c r="T77" s="141"/>
      <c r="U77" s="141"/>
      <c r="V77" s="141"/>
      <c r="AR77" s="141"/>
      <c r="AS77" s="141"/>
      <c r="AT77" s="141"/>
      <c r="AU77" s="141"/>
    </row>
    <row r="78" spans="1:47" s="137" customFormat="1" ht="15" customHeight="1" thickBot="1">
      <c r="A78" s="594"/>
      <c r="B78" s="3630"/>
      <c r="C78" s="1985"/>
      <c r="D78" s="58" t="s">
        <v>38</v>
      </c>
      <c r="E78" s="429"/>
      <c r="F78" s="51"/>
      <c r="G78" s="399"/>
      <c r="H78" s="51"/>
      <c r="I78" s="399"/>
      <c r="J78" s="170"/>
      <c r="K78" s="171"/>
      <c r="L78" s="51"/>
      <c r="M78" s="171"/>
      <c r="N78" s="4241"/>
      <c r="O78" s="434"/>
      <c r="P78" s="432"/>
      <c r="Q78" s="726"/>
      <c r="R78" s="141"/>
      <c r="S78" s="141"/>
      <c r="T78" s="141"/>
      <c r="U78" s="141"/>
      <c r="V78" s="141"/>
      <c r="AR78" s="141"/>
      <c r="AS78" s="141"/>
      <c r="AT78" s="141"/>
      <c r="AU78" s="141"/>
    </row>
    <row r="79" spans="1:47" s="137" customFormat="1" ht="15" customHeight="1">
      <c r="A79" s="594"/>
      <c r="B79" s="3630"/>
      <c r="C79" s="1987"/>
      <c r="D79" s="61"/>
      <c r="E79" s="398"/>
      <c r="F79" s="51"/>
      <c r="G79" s="446"/>
      <c r="H79" s="51"/>
      <c r="I79" s="399"/>
      <c r="J79" s="170"/>
      <c r="K79" s="171"/>
      <c r="L79" s="51"/>
      <c r="M79" s="171"/>
      <c r="N79" s="4241"/>
      <c r="O79" s="434"/>
      <c r="P79" s="432"/>
      <c r="Q79" s="726"/>
      <c r="R79" s="141"/>
      <c r="S79" s="141"/>
      <c r="T79" s="141"/>
      <c r="U79" s="141"/>
      <c r="V79" s="141"/>
      <c r="AR79" s="141"/>
      <c r="AS79" s="141"/>
      <c r="AT79" s="141"/>
      <c r="AU79" s="141"/>
    </row>
    <row r="80" spans="1:47" s="137" customFormat="1">
      <c r="A80" s="594"/>
      <c r="B80" s="3630"/>
      <c r="C80" s="1374"/>
      <c r="D80" s="45"/>
      <c r="E80" s="79"/>
      <c r="F80" s="52"/>
      <c r="G80" s="439"/>
      <c r="H80" s="52"/>
      <c r="I80" s="439"/>
      <c r="J80" s="170"/>
      <c r="K80" s="171"/>
      <c r="L80" s="52"/>
      <c r="M80" s="171"/>
      <c r="N80" s="4240"/>
      <c r="O80" s="449"/>
      <c r="P80" s="432"/>
      <c r="Q80" s="726"/>
      <c r="R80" s="141"/>
      <c r="S80" s="141"/>
      <c r="T80" s="141"/>
      <c r="U80" s="141"/>
      <c r="V80" s="141"/>
      <c r="AR80" s="141"/>
      <c r="AS80" s="141"/>
      <c r="AT80" s="141"/>
      <c r="AU80" s="141"/>
    </row>
    <row r="81" spans="1:47" s="137" customFormat="1">
      <c r="A81" s="594"/>
      <c r="B81" s="3630"/>
      <c r="C81" s="752"/>
      <c r="D81" s="708" t="s">
        <v>74</v>
      </c>
      <c r="E81" s="447">
        <f>SUM(E79:E80)</f>
        <v>0</v>
      </c>
      <c r="F81" s="447">
        <f t="shared" ref="F81:M81" si="20">SUM(F79:F80)</f>
        <v>0</v>
      </c>
      <c r="G81" s="447">
        <f t="shared" si="20"/>
        <v>0</v>
      </c>
      <c r="H81" s="447">
        <f t="shared" si="20"/>
        <v>0</v>
      </c>
      <c r="I81" s="447">
        <f t="shared" si="20"/>
        <v>0</v>
      </c>
      <c r="J81" s="447">
        <f t="shared" si="20"/>
        <v>0</v>
      </c>
      <c r="K81" s="447">
        <f t="shared" si="20"/>
        <v>0</v>
      </c>
      <c r="L81" s="336"/>
      <c r="M81" s="447">
        <f t="shared" si="20"/>
        <v>0</v>
      </c>
      <c r="N81" s="4241"/>
      <c r="O81" s="434"/>
      <c r="P81" s="432"/>
      <c r="Q81" s="726"/>
      <c r="R81" s="141"/>
      <c r="S81" s="141"/>
      <c r="T81" s="141"/>
      <c r="U81" s="141"/>
      <c r="V81" s="141"/>
      <c r="AR81" s="141"/>
      <c r="AS81" s="141"/>
      <c r="AT81" s="141"/>
      <c r="AU81" s="141"/>
    </row>
    <row r="82" spans="1:47" s="137" customFormat="1">
      <c r="A82" s="594"/>
      <c r="B82" s="3630"/>
      <c r="C82" s="749"/>
      <c r="D82" s="61"/>
      <c r="E82" s="398"/>
      <c r="F82" s="51"/>
      <c r="G82" s="399"/>
      <c r="H82" s="51"/>
      <c r="I82" s="399"/>
      <c r="J82" s="52"/>
      <c r="K82" s="441"/>
      <c r="L82" s="51"/>
      <c r="M82" s="441"/>
      <c r="N82" s="4241"/>
      <c r="O82" s="434"/>
      <c r="P82" s="432"/>
      <c r="Q82" s="726"/>
      <c r="R82" s="141"/>
      <c r="S82" s="141"/>
      <c r="T82" s="141"/>
      <c r="U82" s="141"/>
      <c r="V82" s="141"/>
      <c r="AR82" s="141"/>
      <c r="AS82" s="141"/>
      <c r="AT82" s="141"/>
      <c r="AU82" s="141"/>
    </row>
    <row r="83" spans="1:47" s="137" customFormat="1">
      <c r="A83" s="594"/>
      <c r="B83" s="3630"/>
      <c r="C83" s="752"/>
      <c r="D83" s="62" t="s">
        <v>75</v>
      </c>
      <c r="E83" s="447">
        <f t="shared" ref="E83:K83" si="21">+E76+E64+E25+E81</f>
        <v>99876037.140000001</v>
      </c>
      <c r="F83" s="447">
        <f t="shared" si="21"/>
        <v>0</v>
      </c>
      <c r="G83" s="447">
        <f t="shared" si="21"/>
        <v>0</v>
      </c>
      <c r="H83" s="447">
        <f t="shared" si="21"/>
        <v>0</v>
      </c>
      <c r="I83" s="447">
        <f t="shared" si="21"/>
        <v>0</v>
      </c>
      <c r="J83" s="447">
        <f t="shared" si="21"/>
        <v>99876037.140000001</v>
      </c>
      <c r="K83" s="447">
        <f t="shared" si="21"/>
        <v>1344195.03</v>
      </c>
      <c r="L83" s="336"/>
      <c r="M83" s="447">
        <f>+M76+M64+M25+M81</f>
        <v>1344195.02</v>
      </c>
      <c r="N83" s="4241"/>
      <c r="O83" s="434"/>
      <c r="P83" s="432"/>
      <c r="Q83" s="726"/>
      <c r="R83" s="141"/>
      <c r="S83" s="141"/>
      <c r="T83" s="141"/>
      <c r="U83" s="141"/>
      <c r="V83" s="141"/>
      <c r="AR83" s="141"/>
      <c r="AS83" s="141"/>
      <c r="AT83" s="141"/>
      <c r="AU83" s="141"/>
    </row>
    <row r="84" spans="1:47" s="137" customFormat="1" ht="13.5" thickBot="1">
      <c r="A84" s="594"/>
      <c r="B84" s="3630"/>
      <c r="C84" s="749"/>
      <c r="D84" s="61"/>
      <c r="E84" s="429"/>
      <c r="F84" s="51"/>
      <c r="G84" s="399"/>
      <c r="H84" s="51"/>
      <c r="I84" s="399"/>
      <c r="J84" s="170"/>
      <c r="K84" s="171"/>
      <c r="L84" s="51"/>
      <c r="M84" s="171"/>
      <c r="N84" s="4241"/>
      <c r="O84" s="434"/>
      <c r="P84" s="432"/>
      <c r="Q84" s="726"/>
      <c r="R84" s="141"/>
      <c r="S84" s="141"/>
      <c r="T84" s="141"/>
      <c r="U84" s="141"/>
      <c r="V84" s="141"/>
      <c r="AR84" s="141"/>
      <c r="AS84" s="141"/>
      <c r="AT84" s="141"/>
      <c r="AU84" s="141"/>
    </row>
    <row r="85" spans="1:47" s="137" customFormat="1" ht="13.5" thickBot="1">
      <c r="A85" s="594"/>
      <c r="B85" s="3630"/>
      <c r="C85" s="749"/>
      <c r="D85" s="58" t="s">
        <v>8</v>
      </c>
      <c r="E85" s="429"/>
      <c r="F85" s="51"/>
      <c r="G85" s="399"/>
      <c r="H85" s="51"/>
      <c r="I85" s="399"/>
      <c r="J85" s="170"/>
      <c r="K85" s="468"/>
      <c r="L85" s="51"/>
      <c r="M85" s="468"/>
      <c r="N85" s="4241"/>
      <c r="O85" s="434"/>
      <c r="P85" s="432"/>
      <c r="Q85" s="726"/>
      <c r="R85" s="141"/>
      <c r="S85" s="141"/>
      <c r="T85" s="141"/>
      <c r="U85" s="141"/>
      <c r="V85" s="141"/>
      <c r="AR85" s="141"/>
      <c r="AS85" s="141"/>
      <c r="AT85" s="141"/>
      <c r="AU85" s="141"/>
    </row>
    <row r="86" spans="1:47" s="137" customFormat="1">
      <c r="A86" s="594"/>
      <c r="B86" s="3630"/>
      <c r="C86" s="749"/>
      <c r="D86" s="59" t="s">
        <v>11</v>
      </c>
      <c r="E86" s="429"/>
      <c r="F86" s="51"/>
      <c r="G86" s="399"/>
      <c r="H86" s="51"/>
      <c r="I86" s="399"/>
      <c r="J86" s="170"/>
      <c r="K86" s="468"/>
      <c r="L86" s="51"/>
      <c r="M86" s="468"/>
      <c r="N86" s="4241"/>
      <c r="O86" s="434"/>
      <c r="P86" s="432"/>
      <c r="Q86" s="726"/>
      <c r="R86" s="141"/>
      <c r="S86" s="141"/>
      <c r="T86" s="141"/>
      <c r="U86" s="141"/>
      <c r="V86" s="141"/>
      <c r="AR86" s="141"/>
      <c r="AS86" s="141"/>
      <c r="AT86" s="141"/>
      <c r="AU86" s="141"/>
    </row>
    <row r="87" spans="1:47" s="137" customFormat="1">
      <c r="A87" s="594"/>
      <c r="B87" s="3630"/>
      <c r="C87" s="754"/>
      <c r="D87" s="61"/>
      <c r="E87" s="429"/>
      <c r="F87" s="51"/>
      <c r="G87" s="399"/>
      <c r="H87" s="51"/>
      <c r="I87" s="399"/>
      <c r="J87" s="170"/>
      <c r="K87" s="171"/>
      <c r="L87" s="51"/>
      <c r="M87" s="171"/>
      <c r="N87" s="4241"/>
      <c r="O87" s="434"/>
      <c r="P87" s="432"/>
      <c r="Q87" s="726"/>
      <c r="R87" s="141"/>
      <c r="S87" s="141"/>
      <c r="T87" s="141"/>
      <c r="U87" s="141"/>
      <c r="V87" s="141"/>
      <c r="AR87" s="141"/>
      <c r="AS87" s="141"/>
      <c r="AT87" s="141"/>
      <c r="AU87" s="141"/>
    </row>
    <row r="88" spans="1:47" s="137" customFormat="1">
      <c r="A88" s="594"/>
      <c r="B88" s="3630"/>
      <c r="C88" s="752"/>
      <c r="D88" s="746" t="s">
        <v>76</v>
      </c>
      <c r="E88" s="447">
        <f t="shared" ref="E88:M88" si="22">SUM(E87:E87)</f>
        <v>0</v>
      </c>
      <c r="F88" s="447">
        <f t="shared" si="22"/>
        <v>0</v>
      </c>
      <c r="G88" s="447">
        <f t="shared" si="22"/>
        <v>0</v>
      </c>
      <c r="H88" s="447">
        <f t="shared" si="22"/>
        <v>0</v>
      </c>
      <c r="I88" s="447">
        <f t="shared" si="22"/>
        <v>0</v>
      </c>
      <c r="J88" s="447">
        <f t="shared" si="22"/>
        <v>0</v>
      </c>
      <c r="K88" s="447">
        <f t="shared" si="22"/>
        <v>0</v>
      </c>
      <c r="L88" s="336"/>
      <c r="M88" s="447">
        <f t="shared" si="22"/>
        <v>0</v>
      </c>
      <c r="N88" s="4241"/>
      <c r="O88" s="434"/>
      <c r="P88" s="432"/>
      <c r="Q88" s="726"/>
      <c r="R88" s="141"/>
      <c r="S88" s="141"/>
      <c r="T88" s="141"/>
      <c r="U88" s="141"/>
      <c r="V88" s="141"/>
      <c r="AR88" s="141"/>
      <c r="AS88" s="141"/>
      <c r="AT88" s="141"/>
      <c r="AU88" s="141"/>
    </row>
    <row r="89" spans="1:47" s="137" customFormat="1" ht="13.5" thickBot="1">
      <c r="A89" s="594"/>
      <c r="B89" s="3630"/>
      <c r="C89" s="749"/>
      <c r="D89" s="61"/>
      <c r="E89" s="398"/>
      <c r="F89" s="51"/>
      <c r="G89" s="399"/>
      <c r="H89" s="51"/>
      <c r="I89" s="399"/>
      <c r="J89" s="52"/>
      <c r="K89" s="439"/>
      <c r="L89" s="51"/>
      <c r="M89" s="439"/>
      <c r="N89" s="4241"/>
      <c r="O89" s="434"/>
      <c r="P89" s="432"/>
      <c r="Q89" s="726"/>
      <c r="R89" s="141"/>
      <c r="S89" s="141"/>
      <c r="T89" s="141"/>
      <c r="U89" s="141"/>
      <c r="V89" s="141"/>
      <c r="AR89" s="141"/>
      <c r="AS89" s="141"/>
      <c r="AT89" s="141"/>
      <c r="AU89" s="141"/>
    </row>
    <row r="90" spans="1:47" s="137" customFormat="1" ht="13.5" thickBot="1">
      <c r="A90" s="594"/>
      <c r="B90" s="3630"/>
      <c r="C90" s="1989"/>
      <c r="D90" s="58" t="s">
        <v>184</v>
      </c>
      <c r="E90" s="429"/>
      <c r="F90" s="51"/>
      <c r="G90" s="399"/>
      <c r="H90" s="51"/>
      <c r="I90" s="399"/>
      <c r="J90" s="170"/>
      <c r="K90" s="171"/>
      <c r="L90" s="51"/>
      <c r="M90" s="171"/>
      <c r="N90" s="4241"/>
      <c r="O90" s="434"/>
      <c r="P90" s="432"/>
      <c r="Q90" s="726"/>
      <c r="R90" s="141"/>
      <c r="S90" s="141"/>
      <c r="T90" s="141"/>
      <c r="U90" s="141"/>
      <c r="V90" s="141"/>
      <c r="AR90" s="141"/>
      <c r="AS90" s="141"/>
      <c r="AT90" s="141"/>
      <c r="AU90" s="141"/>
    </row>
    <row r="91" spans="1:47" s="137" customFormat="1">
      <c r="A91" s="594"/>
      <c r="B91" s="3628"/>
      <c r="C91" s="1993"/>
      <c r="D91" s="45"/>
      <c r="E91" s="398"/>
      <c r="F91" s="51"/>
      <c r="G91" s="439"/>
      <c r="H91" s="52"/>
      <c r="I91" s="439"/>
      <c r="J91" s="170"/>
      <c r="K91" s="171"/>
      <c r="L91" s="399"/>
      <c r="M91" s="474"/>
      <c r="N91" s="4241"/>
      <c r="O91" s="434"/>
      <c r="P91" s="432"/>
      <c r="Q91" s="726"/>
      <c r="R91" s="141"/>
      <c r="S91" s="141"/>
      <c r="T91" s="141"/>
      <c r="U91" s="141"/>
      <c r="V91" s="141"/>
      <c r="AR91" s="141"/>
      <c r="AS91" s="141"/>
      <c r="AT91" s="141"/>
      <c r="AU91" s="141"/>
    </row>
    <row r="92" spans="1:47" s="141" customFormat="1">
      <c r="A92" s="594"/>
      <c r="B92" s="3666" t="s">
        <v>1032</v>
      </c>
      <c r="C92" s="1374">
        <v>2100002</v>
      </c>
      <c r="D92" s="448" t="s">
        <v>2490</v>
      </c>
      <c r="E92" s="591">
        <f>IFERROR(VLOOKUP(C92,'פ.נ. הודו'!$D$70:$G$1144,3,0),0)</f>
        <v>0</v>
      </c>
      <c r="F92" s="170">
        <f>SUMIF('פ.נ. הודו'!$C:$C,$C:$C,'פ.נ. הודו'!$E:$E)</f>
        <v>0</v>
      </c>
      <c r="G92" s="398"/>
      <c r="H92" s="204"/>
      <c r="I92" s="79"/>
      <c r="J92" s="474">
        <f t="shared" ref="J92:J115" si="23">SUM(E92:I92)</f>
        <v>0</v>
      </c>
      <c r="K92" s="474">
        <f>M92+SUMIF('פ.נ. הודו'!$C:$C,$C:$C,'פ.נ. הודו'!$F:$F)</f>
        <v>0</v>
      </c>
      <c r="L92" s="439"/>
      <c r="M92" s="591">
        <f>IFERROR(VLOOKUP(C92,'פ.נ. הודו'!$D$70:$G$1144,4,0),0)</f>
        <v>0</v>
      </c>
      <c r="N92" s="4240" t="str">
        <f t="shared" ref="N92:N115" si="24">IF(K92=0,"-",J92/K92)</f>
        <v>-</v>
      </c>
      <c r="O92" s="964"/>
      <c r="P92" s="432"/>
      <c r="Q92" s="726"/>
    </row>
    <row r="93" spans="1:47" s="141" customFormat="1">
      <c r="A93" s="594"/>
      <c r="B93" s="3666" t="s">
        <v>2491</v>
      </c>
      <c r="C93" s="1374">
        <v>2100038</v>
      </c>
      <c r="D93" s="448" t="s">
        <v>4444</v>
      </c>
      <c r="E93" s="591">
        <f>IFERROR(VLOOKUP(C93,'פ.נ. הודו'!$D$70:$G$1144,3,0),0)</f>
        <v>0</v>
      </c>
      <c r="F93" s="170">
        <f>SUMIF('פ.נ. הודו'!$C:$C,$C:$C,'פ.נ. הודו'!$E:$E)</f>
        <v>0</v>
      </c>
      <c r="G93" s="398"/>
      <c r="H93" s="204"/>
      <c r="I93" s="79"/>
      <c r="J93" s="474">
        <f t="shared" ref="J93" si="25">SUM(E93:I93)</f>
        <v>0</v>
      </c>
      <c r="K93" s="474">
        <f>M93+SUMIF('פ.נ. הודו'!$C:$C,$C:$C,'פ.נ. הודו'!$F:$F)</f>
        <v>0</v>
      </c>
      <c r="L93" s="439"/>
      <c r="M93" s="591">
        <f>IFERROR(VLOOKUP(C93,'פ.נ. הודו'!$D$70:$G$1144,4,0),0)</f>
        <v>0</v>
      </c>
      <c r="N93" s="4240" t="str">
        <f t="shared" ref="N93" si="26">IF(K93=0,"-",J93/K93)</f>
        <v>-</v>
      </c>
      <c r="O93" s="1712"/>
      <c r="P93" s="432"/>
      <c r="Q93" s="726"/>
    </row>
    <row r="94" spans="1:47" s="141" customFormat="1">
      <c r="A94" s="594"/>
      <c r="B94" s="3666" t="s">
        <v>2491</v>
      </c>
      <c r="C94" s="1374">
        <v>2100019</v>
      </c>
      <c r="D94" s="448" t="s">
        <v>4431</v>
      </c>
      <c r="E94" s="591">
        <f>IFERROR(VLOOKUP(C94,'פ.נ. הודו'!$D$70:$G$1144,3,0),0)</f>
        <v>0</v>
      </c>
      <c r="F94" s="170">
        <f>SUMIF('פ.נ. הודו'!$C:$C,$C:$C,'פ.נ. הודו'!$E:$E)</f>
        <v>0</v>
      </c>
      <c r="G94" s="398"/>
      <c r="H94" s="204"/>
      <c r="I94" s="79"/>
      <c r="J94" s="474">
        <f t="shared" ref="J94" si="27">SUM(E94:I94)</f>
        <v>0</v>
      </c>
      <c r="K94" s="474">
        <f>M94+SUMIF('פ.נ. הודו'!$C:$C,$C:$C,'פ.נ. הודו'!$F:$F)</f>
        <v>0</v>
      </c>
      <c r="L94" s="439"/>
      <c r="M94" s="591">
        <f>IFERROR(VLOOKUP(C94,'פ.נ. הודו'!$D$70:$G$1144,4,0),0)</f>
        <v>0</v>
      </c>
      <c r="N94" s="4240" t="str">
        <f t="shared" ref="N94" si="28">IF(K94=0,"-",J94/K94)</f>
        <v>-</v>
      </c>
      <c r="O94" s="1712"/>
      <c r="P94" s="432"/>
      <c r="Q94" s="726"/>
    </row>
    <row r="95" spans="1:47" s="141" customFormat="1">
      <c r="A95" s="594"/>
      <c r="B95" s="3666" t="s">
        <v>2491</v>
      </c>
      <c r="C95" s="1374">
        <v>2100032</v>
      </c>
      <c r="D95" s="448" t="s">
        <v>4327</v>
      </c>
      <c r="E95" s="591">
        <f>IFERROR(VLOOKUP(C95,'פ.נ. הודו'!$D$70:$G$1144,3,0),0)</f>
        <v>0</v>
      </c>
      <c r="F95" s="170">
        <f>SUMIF('פ.נ. הודו'!$C:$C,$C:$C,'פ.נ. הודו'!$E:$E)</f>
        <v>0</v>
      </c>
      <c r="G95" s="398"/>
      <c r="H95" s="204"/>
      <c r="I95" s="79"/>
      <c r="J95" s="474">
        <f t="shared" si="23"/>
        <v>0</v>
      </c>
      <c r="K95" s="474">
        <f>M95+SUMIF('פ.נ. הודו'!$C:$C,$C:$C,'פ.נ. הודו'!$F:$F)</f>
        <v>0</v>
      </c>
      <c r="L95" s="439"/>
      <c r="M95" s="591">
        <f>IFERROR(VLOOKUP(C95,'פ.נ. הודו'!$D$70:$G$1144,4,0),0)</f>
        <v>0</v>
      </c>
      <c r="N95" s="4240" t="str">
        <f t="shared" si="24"/>
        <v>-</v>
      </c>
      <c r="O95" s="1712"/>
      <c r="P95" s="432"/>
      <c r="Q95" s="726"/>
    </row>
    <row r="96" spans="1:47" s="141" customFormat="1">
      <c r="A96" s="594"/>
      <c r="B96" s="3666" t="s">
        <v>2491</v>
      </c>
      <c r="C96" s="1374">
        <v>2100017</v>
      </c>
      <c r="D96" s="448" t="s">
        <v>4327</v>
      </c>
      <c r="E96" s="591">
        <f>IFERROR(VLOOKUP(C96,'פ.נ. הודו'!$D$70:$G$1144,3,0),0)</f>
        <v>0</v>
      </c>
      <c r="F96" s="170">
        <f>SUMIF('פ.נ. הודו'!$C:$C,$C:$C,'פ.נ. הודו'!$E:$E)</f>
        <v>0</v>
      </c>
      <c r="G96" s="398"/>
      <c r="H96" s="204"/>
      <c r="I96" s="79"/>
      <c r="J96" s="474">
        <f t="shared" ref="J96" si="29">SUM(E96:I96)</f>
        <v>0</v>
      </c>
      <c r="K96" s="474">
        <f>M96+SUMIF('פ.נ. הודו'!$C:$C,$C:$C,'פ.נ. הודו'!$F:$F)</f>
        <v>0</v>
      </c>
      <c r="L96" s="439"/>
      <c r="M96" s="591">
        <f>IFERROR(VLOOKUP(C96,'פ.נ. הודו'!$D$70:$G$1144,4,0),0)</f>
        <v>0</v>
      </c>
      <c r="N96" s="4240" t="str">
        <f t="shared" ref="N96" si="30">IF(K96=0,"-",J96/K96)</f>
        <v>-</v>
      </c>
      <c r="O96" s="1712"/>
      <c r="P96" s="432"/>
      <c r="Q96" s="726"/>
    </row>
    <row r="97" spans="1:17" s="141" customFormat="1">
      <c r="A97" s="594"/>
      <c r="B97" s="3666" t="s">
        <v>2491</v>
      </c>
      <c r="C97" s="1374">
        <v>2100018</v>
      </c>
      <c r="D97" s="448" t="s">
        <v>4124</v>
      </c>
      <c r="E97" s="591">
        <f>IFERROR(VLOOKUP(C97,'פ.נ. הודו'!$D$70:$G$1144,3,0),0)</f>
        <v>0</v>
      </c>
      <c r="F97" s="170">
        <f>SUMIF('פ.נ. הודו'!$C:$C,$C:$C,'פ.נ. הודו'!$E:$E)</f>
        <v>0</v>
      </c>
      <c r="G97" s="398"/>
      <c r="H97" s="204"/>
      <c r="I97" s="79"/>
      <c r="J97" s="474">
        <f>SUM(E97:I97)</f>
        <v>0</v>
      </c>
      <c r="K97" s="474">
        <f>M97+SUMIF('פ.נ. הודו'!$C:$C,$C:$C,'פ.נ. הודו'!$F:$F)</f>
        <v>0</v>
      </c>
      <c r="L97" s="439"/>
      <c r="M97" s="591">
        <f>IFERROR(VLOOKUP(C97,'פ.נ. הודו'!$D$70:$G$1144,4,0),0)</f>
        <v>0</v>
      </c>
      <c r="N97" s="4240" t="str">
        <f>IF(K97=0,"-",J97/K97)</f>
        <v>-</v>
      </c>
      <c r="O97" s="1712"/>
      <c r="P97" s="432"/>
      <c r="Q97" s="726"/>
    </row>
    <row r="98" spans="1:17" s="141" customFormat="1">
      <c r="A98" s="594"/>
      <c r="B98" s="3666" t="s">
        <v>2491</v>
      </c>
      <c r="C98" s="1374">
        <v>2100020</v>
      </c>
      <c r="D98" s="448" t="s">
        <v>4125</v>
      </c>
      <c r="E98" s="591">
        <f>IFERROR(VLOOKUP(C98,'פ.נ. הודו'!$D$70:$G$1144,3,0),0)</f>
        <v>0</v>
      </c>
      <c r="F98" s="170">
        <f>SUMIF('פ.נ. הודו'!$C:$C,$C:$C,'פ.נ. הודו'!$E:$E)</f>
        <v>0</v>
      </c>
      <c r="G98" s="398"/>
      <c r="H98" s="204"/>
      <c r="I98" s="79"/>
      <c r="J98" s="474">
        <f>SUM(E98:I98)</f>
        <v>0</v>
      </c>
      <c r="K98" s="474">
        <f>M98+SUMIF('פ.נ. הודו'!$C:$C,$C:$C,'פ.נ. הודו'!$F:$F)</f>
        <v>0</v>
      </c>
      <c r="L98" s="439"/>
      <c r="M98" s="591">
        <f>IFERROR(VLOOKUP(C98,'פ.נ. הודו'!$D$70:$G$1144,4,0),0)</f>
        <v>0</v>
      </c>
      <c r="N98" s="4240" t="str">
        <f>IF(K98=0,"-",J98/K98)</f>
        <v>-</v>
      </c>
      <c r="O98" s="1712"/>
      <c r="P98" s="432"/>
      <c r="Q98" s="726"/>
    </row>
    <row r="99" spans="1:17" s="141" customFormat="1">
      <c r="A99" s="594"/>
      <c r="B99" s="3666" t="s">
        <v>2491</v>
      </c>
      <c r="C99" s="1374">
        <v>2100003</v>
      </c>
      <c r="D99" s="448" t="s">
        <v>3904</v>
      </c>
      <c r="E99" s="591">
        <f>IFERROR(VLOOKUP(C99,'פ.נ. הודו'!$D$70:$G$1144,3,0),0)</f>
        <v>0</v>
      </c>
      <c r="F99" s="170">
        <f>SUMIF('פ.נ. הודו'!$C:$C,$C:$C,'פ.נ. הודו'!$E:$E)</f>
        <v>0</v>
      </c>
      <c r="G99" s="398"/>
      <c r="H99" s="204"/>
      <c r="I99" s="79"/>
      <c r="J99" s="474">
        <f>SUM(E99:I99)</f>
        <v>0</v>
      </c>
      <c r="K99" s="474">
        <f>M99+SUMIF('פ.נ. הודו'!$C:$C,$C:$C,'פ.נ. הודו'!$F:$F)</f>
        <v>0</v>
      </c>
      <c r="L99" s="439"/>
      <c r="M99" s="591">
        <f>IFERROR(VLOOKUP(C99,'פ.נ. הודו'!$D$70:$G$1144,4,0),0)</f>
        <v>0</v>
      </c>
      <c r="N99" s="4240" t="str">
        <f>IF(K99=0,"-",J99/K99)</f>
        <v>-</v>
      </c>
      <c r="O99" s="1712"/>
      <c r="P99" s="432"/>
      <c r="Q99" s="726"/>
    </row>
    <row r="100" spans="1:17" s="141" customFormat="1">
      <c r="A100" s="594"/>
      <c r="B100" s="3666" t="s">
        <v>2491</v>
      </c>
      <c r="C100" s="1374">
        <v>2100031</v>
      </c>
      <c r="D100" s="448" t="s">
        <v>3905</v>
      </c>
      <c r="E100" s="591">
        <f>IFERROR(VLOOKUP(C100,'פ.נ. הודו'!$D$70:$G$1144,3,0),0)</f>
        <v>0</v>
      </c>
      <c r="F100" s="170">
        <f>SUMIF('פ.נ. הודו'!$C:$C,$C:$C,'פ.נ. הודו'!$E:$E)</f>
        <v>0</v>
      </c>
      <c r="G100" s="398"/>
      <c r="H100" s="204"/>
      <c r="I100" s="79"/>
      <c r="J100" s="474">
        <f>SUM(E100:I100)</f>
        <v>0</v>
      </c>
      <c r="K100" s="474">
        <f>M100+SUMIF('פ.נ. הודו'!$C:$C,$C:$C,'פ.נ. הודו'!$F:$F)</f>
        <v>0</v>
      </c>
      <c r="L100" s="439"/>
      <c r="M100" s="591">
        <f>IFERROR(VLOOKUP(C100,'פ.נ. הודו'!$D$70:$G$1144,4,0),0)</f>
        <v>0</v>
      </c>
      <c r="N100" s="4240" t="str">
        <f>IF(K100=0,"-",J100/K100)</f>
        <v>-</v>
      </c>
      <c r="O100" s="1712"/>
      <c r="P100" s="432"/>
      <c r="Q100" s="726"/>
    </row>
    <row r="101" spans="1:17" s="141" customFormat="1">
      <c r="A101" s="594"/>
      <c r="B101" s="3666" t="s">
        <v>2491</v>
      </c>
      <c r="C101" s="1374">
        <v>2100004</v>
      </c>
      <c r="D101" s="448" t="s">
        <v>2492</v>
      </c>
      <c r="E101" s="591">
        <f>IFERROR(VLOOKUP(C101,'פ.נ. הודו'!$D$70:$G$1144,3,0),0)</f>
        <v>-85550</v>
      </c>
      <c r="F101" s="170">
        <f>SUMIF('פ.נ. הודו'!$C:$C,$C:$C,'פ.נ. הודו'!$E:$E)</f>
        <v>0</v>
      </c>
      <c r="G101" s="398"/>
      <c r="H101" s="204"/>
      <c r="I101" s="79"/>
      <c r="J101" s="474">
        <f t="shared" si="23"/>
        <v>-85550</v>
      </c>
      <c r="K101" s="474">
        <f>M101+SUMIF('פ.נ. הודו'!$C:$C,$C:$C,'פ.נ. הודו'!$F:$F)</f>
        <v>-1151.3699999999999</v>
      </c>
      <c r="L101" s="439"/>
      <c r="M101" s="591">
        <f>IFERROR(VLOOKUP(C101,'פ.נ. הודו'!$D$70:$G$1144,4,0),0)</f>
        <v>-1151.3699999999999</v>
      </c>
      <c r="N101" s="4240">
        <f t="shared" si="24"/>
        <v>74.302787114481021</v>
      </c>
      <c r="O101" s="1712"/>
      <c r="P101" s="432"/>
      <c r="Q101" s="726"/>
    </row>
    <row r="102" spans="1:17" s="141" customFormat="1">
      <c r="A102" s="594"/>
      <c r="B102" s="3666" t="s">
        <v>2491</v>
      </c>
      <c r="C102" s="1374">
        <v>2100030</v>
      </c>
      <c r="D102" s="448" t="s">
        <v>3771</v>
      </c>
      <c r="E102" s="591">
        <f>IFERROR(VLOOKUP(C102,'פ.נ. הודו'!$D$70:$G$1144,3,0),0)</f>
        <v>48324</v>
      </c>
      <c r="F102" s="170">
        <f>SUMIF('פ.נ. הודו'!$C:$C,$C:$C,'פ.נ. הודו'!$E:$E)</f>
        <v>0</v>
      </c>
      <c r="G102" s="398"/>
      <c r="H102" s="204"/>
      <c r="I102" s="79"/>
      <c r="J102" s="474">
        <f>SUM(E102:I102)</f>
        <v>48324</v>
      </c>
      <c r="K102" s="474">
        <f>M102+SUMIF('פ.נ. הודו'!$C:$C,$C:$C,'פ.נ. הודו'!$F:$F)</f>
        <v>650.37</v>
      </c>
      <c r="L102" s="439"/>
      <c r="M102" s="591">
        <f>IFERROR(VLOOKUP(C102,'פ.נ. הודו'!$D$70:$G$1144,4,0),0)</f>
        <v>650.37</v>
      </c>
      <c r="N102" s="4240">
        <f>IF(K102=0,"-",J102/K102)</f>
        <v>74.302320217722226</v>
      </c>
      <c r="O102" s="1712"/>
      <c r="P102" s="432"/>
      <c r="Q102" s="726"/>
    </row>
    <row r="103" spans="1:17" s="141" customFormat="1">
      <c r="A103" s="594"/>
      <c r="B103" s="3666" t="s">
        <v>2491</v>
      </c>
      <c r="C103" s="1374">
        <v>2100028</v>
      </c>
      <c r="D103" s="448" t="s">
        <v>3600</v>
      </c>
      <c r="E103" s="591">
        <f>IFERROR(VLOOKUP(C103,'פ.נ. הודו'!$D$70:$G$1144,3,0),0)</f>
        <v>0</v>
      </c>
      <c r="F103" s="170">
        <f>SUMIF('פ.נ. הודו'!$C:$C,$C:$C,'פ.נ. הודו'!$E:$E)</f>
        <v>0</v>
      </c>
      <c r="G103" s="398"/>
      <c r="H103" s="204"/>
      <c r="I103" s="79"/>
      <c r="J103" s="474">
        <f t="shared" si="23"/>
        <v>0</v>
      </c>
      <c r="K103" s="474">
        <f>M103+SUMIF('פ.נ. הודו'!$C:$C,$C:$C,'פ.נ. הודו'!$F:$F)</f>
        <v>0</v>
      </c>
      <c r="L103" s="439"/>
      <c r="M103" s="591">
        <f>IFERROR(VLOOKUP(C103,'פ.נ. הודו'!$D$70:$G$1144,4,0),0)</f>
        <v>0</v>
      </c>
      <c r="N103" s="4240" t="str">
        <f t="shared" si="24"/>
        <v>-</v>
      </c>
      <c r="O103" s="1712"/>
      <c r="P103" s="432"/>
      <c r="Q103" s="726"/>
    </row>
    <row r="104" spans="1:17" s="141" customFormat="1">
      <c r="A104" s="594"/>
      <c r="B104" s="3666" t="s">
        <v>2491</v>
      </c>
      <c r="C104" s="1374">
        <v>2100039</v>
      </c>
      <c r="D104" s="448" t="s">
        <v>4593</v>
      </c>
      <c r="E104" s="591">
        <f>IFERROR(VLOOKUP(C104,'פ.נ. הודו'!$D$70:$G$1144,3,0),0)</f>
        <v>64045</v>
      </c>
      <c r="F104" s="170">
        <f>SUMIF('פ.נ. הודו'!$C:$C,$C:$C,'פ.נ. הודו'!$E:$E)</f>
        <v>0</v>
      </c>
      <c r="G104" s="398"/>
      <c r="H104" s="204"/>
      <c r="I104" s="79"/>
      <c r="J104" s="474">
        <f t="shared" ref="J104" si="31">SUM(E104:I104)</f>
        <v>64045</v>
      </c>
      <c r="K104" s="474">
        <f>M104+SUMIF('פ.נ. הודו'!$C:$C,$C:$C,'פ.נ. הודו'!$F:$F)</f>
        <v>861.95</v>
      </c>
      <c r="L104" s="439"/>
      <c r="M104" s="591">
        <f>IFERROR(VLOOKUP(C104,'פ.נ. הודו'!$D$70:$G$1144,4,0),0)</f>
        <v>861.95</v>
      </c>
      <c r="N104" s="4240">
        <f t="shared" ref="N104" si="32">IF(K104=0,"-",J104/K104)</f>
        <v>74.302453738615924</v>
      </c>
      <c r="O104" s="1712"/>
      <c r="P104" s="432" t="s">
        <v>4605</v>
      </c>
      <c r="Q104" s="726"/>
    </row>
    <row r="105" spans="1:17" s="141" customFormat="1">
      <c r="A105" s="594"/>
      <c r="B105" s="3666" t="s">
        <v>2491</v>
      </c>
      <c r="C105" s="1374">
        <v>2100007</v>
      </c>
      <c r="D105" s="448" t="s">
        <v>3445</v>
      </c>
      <c r="E105" s="591">
        <f>IFERROR(VLOOKUP(C105,'פ.נ. הודו'!$D$70:$G$1144,3,0),0)</f>
        <v>0</v>
      </c>
      <c r="F105" s="170">
        <f>SUMIF('פ.נ. הודו'!$C:$C,$C:$C,'פ.נ. הודו'!$E:$E)</f>
        <v>0</v>
      </c>
      <c r="G105" s="398"/>
      <c r="H105" s="204"/>
      <c r="I105" s="79"/>
      <c r="J105" s="474">
        <f t="shared" si="23"/>
        <v>0</v>
      </c>
      <c r="K105" s="474">
        <f>M105+SUMIF('פ.נ. הודו'!$C:$C,$C:$C,'פ.נ. הודו'!$F:$F)</f>
        <v>0</v>
      </c>
      <c r="L105" s="439"/>
      <c r="M105" s="591">
        <f>IFERROR(VLOOKUP(C105,'פ.נ. הודו'!$D$70:$G$1144,4,0),0)</f>
        <v>0</v>
      </c>
      <c r="N105" s="4240" t="str">
        <f t="shared" si="24"/>
        <v>-</v>
      </c>
      <c r="O105" s="1712"/>
      <c r="P105" s="432"/>
      <c r="Q105" s="726"/>
    </row>
    <row r="106" spans="1:17" s="141" customFormat="1">
      <c r="A106" s="594"/>
      <c r="B106" s="3666" t="s">
        <v>2491</v>
      </c>
      <c r="C106" s="1374">
        <v>2100012</v>
      </c>
      <c r="D106" s="448" t="s">
        <v>3446</v>
      </c>
      <c r="E106" s="591">
        <f>IFERROR(VLOOKUP(C106,'פ.נ. הודו'!$D$70:$G$1144,3,0),0)</f>
        <v>0</v>
      </c>
      <c r="F106" s="170">
        <f>SUMIF('פ.נ. הודו'!$C:$C,$C:$C,'פ.נ. הודו'!$E:$E)</f>
        <v>0</v>
      </c>
      <c r="G106" s="398"/>
      <c r="H106" s="204"/>
      <c r="I106" s="79"/>
      <c r="J106" s="474">
        <f t="shared" si="23"/>
        <v>0</v>
      </c>
      <c r="K106" s="474">
        <f>M106+SUMIF('פ.נ. הודו'!$C:$C,$C:$C,'פ.נ. הודו'!$F:$F)</f>
        <v>0</v>
      </c>
      <c r="L106" s="439"/>
      <c r="M106" s="591">
        <f>IFERROR(VLOOKUP(C106,'פ.נ. הודו'!$D$70:$G$1144,4,0),0)</f>
        <v>0</v>
      </c>
      <c r="N106" s="4240" t="str">
        <f t="shared" si="24"/>
        <v>-</v>
      </c>
      <c r="O106" s="1712"/>
      <c r="P106" s="432"/>
      <c r="Q106" s="726"/>
    </row>
    <row r="107" spans="1:17" s="141" customFormat="1">
      <c r="A107" s="594"/>
      <c r="B107" s="3666" t="s">
        <v>2491</v>
      </c>
      <c r="C107" s="1374">
        <v>2100027</v>
      </c>
      <c r="D107" s="448" t="s">
        <v>3447</v>
      </c>
      <c r="E107" s="591">
        <f>IFERROR(VLOOKUP(C107,'פ.נ. הודו'!$D$70:$G$1144,3,0),0)</f>
        <v>0</v>
      </c>
      <c r="F107" s="170">
        <f>SUMIF('פ.נ. הודו'!$C:$C,$C:$C,'פ.נ. הודו'!$E:$E)</f>
        <v>0</v>
      </c>
      <c r="G107" s="398"/>
      <c r="H107" s="204"/>
      <c r="I107" s="79"/>
      <c r="J107" s="474">
        <f t="shared" si="23"/>
        <v>0</v>
      </c>
      <c r="K107" s="474">
        <f>M107+SUMIF('פ.נ. הודו'!$C:$C,$C:$C,'פ.נ. הודו'!$F:$F)</f>
        <v>0</v>
      </c>
      <c r="L107" s="439"/>
      <c r="M107" s="591">
        <f>IFERROR(VLOOKUP(C107,'פ.נ. הודו'!$D$70:$G$1144,4,0),0)</f>
        <v>0</v>
      </c>
      <c r="N107" s="4240" t="str">
        <f t="shared" si="24"/>
        <v>-</v>
      </c>
      <c r="O107" s="1712"/>
      <c r="P107" s="432"/>
      <c r="Q107" s="726"/>
    </row>
    <row r="108" spans="1:17" s="141" customFormat="1">
      <c r="A108" s="594"/>
      <c r="B108" s="3666" t="s">
        <v>2491</v>
      </c>
      <c r="C108" s="1374">
        <v>2100021</v>
      </c>
      <c r="D108" s="448" t="s">
        <v>3234</v>
      </c>
      <c r="E108" s="591">
        <f>IFERROR(VLOOKUP(C108,'פ.נ. הודו'!$D$70:$G$1144,3,0),0)</f>
        <v>0</v>
      </c>
      <c r="F108" s="170">
        <f>SUMIF('פ.נ. הודו'!$C:$C,$C:$C,'פ.נ. הודו'!$E:$E)</f>
        <v>0</v>
      </c>
      <c r="G108" s="398"/>
      <c r="H108" s="204"/>
      <c r="I108" s="79"/>
      <c r="J108" s="474">
        <f t="shared" si="23"/>
        <v>0</v>
      </c>
      <c r="K108" s="474">
        <f>M108+SUMIF('פ.נ. הודו'!$C:$C,$C:$C,'פ.נ. הודו'!$F:$F)</f>
        <v>0</v>
      </c>
      <c r="L108" s="439"/>
      <c r="M108" s="591">
        <f>IFERROR(VLOOKUP(C108,'פ.נ. הודו'!$D$70:$G$1144,4,0),0)</f>
        <v>0</v>
      </c>
      <c r="N108" s="4240" t="str">
        <f t="shared" si="24"/>
        <v>-</v>
      </c>
      <c r="O108" s="1712"/>
      <c r="P108" s="432"/>
      <c r="Q108" s="726"/>
    </row>
    <row r="109" spans="1:17" s="141" customFormat="1">
      <c r="A109" s="594"/>
      <c r="B109" s="3666" t="s">
        <v>2491</v>
      </c>
      <c r="C109" s="1374">
        <v>2100023</v>
      </c>
      <c r="D109" s="448" t="s">
        <v>3235</v>
      </c>
      <c r="E109" s="591">
        <f>IFERROR(VLOOKUP(C109,'פ.נ. הודו'!$D$70:$G$1144,3,0),0)</f>
        <v>0</v>
      </c>
      <c r="F109" s="170">
        <f>SUMIF('פ.נ. הודו'!$C:$C,$C:$C,'פ.נ. הודו'!$E:$E)</f>
        <v>0</v>
      </c>
      <c r="G109" s="398"/>
      <c r="H109" s="204"/>
      <c r="I109" s="79"/>
      <c r="J109" s="474">
        <f t="shared" si="23"/>
        <v>0</v>
      </c>
      <c r="K109" s="474">
        <f>M109+SUMIF('פ.נ. הודו'!$C:$C,$C:$C,'פ.נ. הודו'!$F:$F)</f>
        <v>0</v>
      </c>
      <c r="L109" s="439"/>
      <c r="M109" s="591">
        <f>IFERROR(VLOOKUP(C109,'פ.נ. הודו'!$D$70:$G$1144,4,0),0)</f>
        <v>0</v>
      </c>
      <c r="N109" s="4240" t="str">
        <f t="shared" si="24"/>
        <v>-</v>
      </c>
      <c r="O109" s="1712"/>
      <c r="P109" s="432"/>
      <c r="Q109" s="726"/>
    </row>
    <row r="110" spans="1:17" s="141" customFormat="1">
      <c r="A110" s="594"/>
      <c r="B110" s="3666" t="s">
        <v>2491</v>
      </c>
      <c r="C110" s="1374">
        <v>2100009</v>
      </c>
      <c r="D110" s="448" t="s">
        <v>2574</v>
      </c>
      <c r="E110" s="591">
        <f>IFERROR(VLOOKUP(C110,'פ.נ. הודו'!$D$70:$G$1144,3,0),0)</f>
        <v>0</v>
      </c>
      <c r="F110" s="170">
        <f>SUMIF('פ.נ. הודו'!$C:$C,$C:$C,'פ.נ. הודו'!$E:$E)</f>
        <v>0</v>
      </c>
      <c r="G110" s="398"/>
      <c r="H110" s="204"/>
      <c r="I110" s="79"/>
      <c r="J110" s="474">
        <f t="shared" si="23"/>
        <v>0</v>
      </c>
      <c r="K110" s="474">
        <f>M110+SUMIF('פ.נ. הודו'!$C:$C,$C:$C,'פ.נ. הודו'!$F:$F)</f>
        <v>0</v>
      </c>
      <c r="L110" s="439"/>
      <c r="M110" s="591">
        <f>IFERROR(VLOOKUP(C110,'פ.נ. הודו'!$D$70:$G$1144,4,0),0)</f>
        <v>0</v>
      </c>
      <c r="N110" s="4240" t="str">
        <f t="shared" si="24"/>
        <v>-</v>
      </c>
      <c r="O110" s="1712"/>
      <c r="P110" s="432"/>
      <c r="Q110" s="726"/>
    </row>
    <row r="111" spans="1:17" s="141" customFormat="1">
      <c r="A111" s="594"/>
      <c r="B111" s="3666" t="s">
        <v>2491</v>
      </c>
      <c r="C111" s="1374">
        <v>2100015</v>
      </c>
      <c r="D111" s="448" t="s">
        <v>2492</v>
      </c>
      <c r="E111" s="591">
        <f>IFERROR(VLOOKUP(C111,'פ.נ. הודו'!$D$70:$G$1144,3,0),0)</f>
        <v>0</v>
      </c>
      <c r="F111" s="170">
        <f>SUMIF('פ.נ. הודו'!$C:$C,$C:$C,'פ.נ. הודו'!$E:$E)</f>
        <v>0</v>
      </c>
      <c r="G111" s="398"/>
      <c r="H111" s="204"/>
      <c r="I111" s="79"/>
      <c r="J111" s="474">
        <f t="shared" si="23"/>
        <v>0</v>
      </c>
      <c r="K111" s="474">
        <f>M111+SUMIF('פ.נ. הודו'!$C:$C,$C:$C,'פ.נ. הודו'!$F:$F)</f>
        <v>0</v>
      </c>
      <c r="L111" s="439"/>
      <c r="M111" s="591">
        <f>IFERROR(VLOOKUP(C111,'פ.נ. הודו'!$D$70:$G$1144,4,0),0)</f>
        <v>0</v>
      </c>
      <c r="N111" s="4240" t="str">
        <f t="shared" si="24"/>
        <v>-</v>
      </c>
      <c r="O111" s="1712"/>
      <c r="P111" s="432"/>
      <c r="Q111" s="726"/>
    </row>
    <row r="112" spans="1:17" s="141" customFormat="1">
      <c r="A112" s="594"/>
      <c r="B112" s="3666" t="s">
        <v>2491</v>
      </c>
      <c r="C112" s="1374">
        <v>2100013</v>
      </c>
      <c r="D112" s="448" t="s">
        <v>2958</v>
      </c>
      <c r="E112" s="591">
        <f>IFERROR(VLOOKUP(C112,'פ.נ. הודו'!$D$70:$G$1144,3,0),0)</f>
        <v>0</v>
      </c>
      <c r="F112" s="170">
        <f>SUMIF('פ.נ. הודו'!$C:$C,$C:$C,'פ.נ. הודו'!$E:$E)</f>
        <v>0</v>
      </c>
      <c r="G112" s="398"/>
      <c r="H112" s="204"/>
      <c r="I112" s="79"/>
      <c r="J112" s="474">
        <f t="shared" si="23"/>
        <v>0</v>
      </c>
      <c r="K112" s="474">
        <f>M112+SUMIF('פ.נ. הודו'!$C:$C,$C:$C,'פ.נ. הודו'!$F:$F)</f>
        <v>0</v>
      </c>
      <c r="L112" s="439"/>
      <c r="M112" s="591">
        <f>IFERROR(VLOOKUP(C112,'פ.נ. הודו'!$D$70:$G$1144,4,0),0)</f>
        <v>0</v>
      </c>
      <c r="N112" s="4240" t="str">
        <f t="shared" si="24"/>
        <v>-</v>
      </c>
      <c r="O112" s="1712"/>
      <c r="P112" s="432"/>
      <c r="Q112" s="726"/>
    </row>
    <row r="113" spans="1:47" s="141" customFormat="1">
      <c r="A113" s="594"/>
      <c r="B113" s="3666" t="s">
        <v>2491</v>
      </c>
      <c r="C113" s="1374">
        <v>2100008</v>
      </c>
      <c r="D113" s="448" t="s">
        <v>2959</v>
      </c>
      <c r="E113" s="591">
        <f>IFERROR(VLOOKUP(C113,'פ.נ. הודו'!$D$70:$G$1144,3,0),0)</f>
        <v>0</v>
      </c>
      <c r="F113" s="170">
        <f>SUMIF('פ.נ. הודו'!$C:$C,$C:$C,'פ.נ. הודו'!$E:$E)</f>
        <v>0</v>
      </c>
      <c r="G113" s="398"/>
      <c r="H113" s="204"/>
      <c r="I113" s="79"/>
      <c r="J113" s="474">
        <f t="shared" si="23"/>
        <v>0</v>
      </c>
      <c r="K113" s="474">
        <f>M113+SUMIF('פ.נ. הודו'!$C:$C,$C:$C,'פ.נ. הודו'!$F:$F)</f>
        <v>0</v>
      </c>
      <c r="L113" s="439"/>
      <c r="M113" s="591">
        <f>IFERROR(VLOOKUP(C113,'פ.נ. הודו'!$D$70:$G$1144,4,0),0)</f>
        <v>0</v>
      </c>
      <c r="N113" s="4240" t="str">
        <f t="shared" si="24"/>
        <v>-</v>
      </c>
      <c r="O113" s="1712"/>
      <c r="P113" s="432"/>
      <c r="Q113" s="726"/>
    </row>
    <row r="114" spans="1:47" s="141" customFormat="1">
      <c r="A114" s="594"/>
      <c r="B114" s="3666" t="s">
        <v>2491</v>
      </c>
      <c r="C114" s="1374">
        <v>2100005</v>
      </c>
      <c r="D114" s="448" t="s">
        <v>2493</v>
      </c>
      <c r="E114" s="591">
        <f>IFERROR(VLOOKUP(C114,'פ.נ. הודו'!$D$70:$G$1144,3,0),0)</f>
        <v>6642.02</v>
      </c>
      <c r="F114" s="170">
        <f>SUMIF('פ.נ. הודו'!$C:$C,$C:$C,'פ.נ. הודו'!$E:$E)</f>
        <v>0</v>
      </c>
      <c r="G114" s="398"/>
      <c r="H114" s="204"/>
      <c r="I114" s="79"/>
      <c r="J114" s="474">
        <f t="shared" si="23"/>
        <v>6642.02</v>
      </c>
      <c r="K114" s="474">
        <f>M114+SUMIF('פ.נ. הודו'!$C:$C,$C:$C,'פ.נ. הודו'!$F:$F)</f>
        <v>89.39</v>
      </c>
      <c r="L114" s="439"/>
      <c r="M114" s="591">
        <f>IFERROR(VLOOKUP(C114,'פ.נ. הודו'!$D$70:$G$1144,4,0),0)</f>
        <v>89.39</v>
      </c>
      <c r="N114" s="4240">
        <f t="shared" si="24"/>
        <v>74.303837118245895</v>
      </c>
      <c r="O114" s="1712"/>
      <c r="P114" s="432"/>
      <c r="Q114" s="726"/>
    </row>
    <row r="115" spans="1:47" s="141" customFormat="1">
      <c r="A115" s="594"/>
      <c r="B115" s="3628" t="s">
        <v>2491</v>
      </c>
      <c r="C115" s="1374">
        <v>2100022</v>
      </c>
      <c r="D115" s="203" t="s">
        <v>3067</v>
      </c>
      <c r="E115" s="591">
        <f>IFERROR(VLOOKUP(C115,'פ.נ. הודו'!$D$70:$G$1144,3,0),0)</f>
        <v>2011.8</v>
      </c>
      <c r="F115" s="170">
        <f>SUMIF('פ.נ. הודו'!$C:$C,$C:$C,'פ.נ. הודו'!$E:$E)</f>
        <v>0</v>
      </c>
      <c r="G115" s="398"/>
      <c r="H115" s="204"/>
      <c r="I115" s="79"/>
      <c r="J115" s="474">
        <f t="shared" si="23"/>
        <v>2011.8</v>
      </c>
      <c r="K115" s="474">
        <f>M115+SUMIF('פ.נ. הודו'!$C:$C,$C:$C,'פ.נ. הודו'!$F:$F)</f>
        <v>27.08</v>
      </c>
      <c r="L115" s="439"/>
      <c r="M115" s="591">
        <f>IFERROR(VLOOKUP(C115,'פ.נ. הודו'!$D$70:$G$1144,4,0),0)</f>
        <v>27.08</v>
      </c>
      <c r="N115" s="4240">
        <f t="shared" si="24"/>
        <v>74.290989660265879</v>
      </c>
      <c r="O115" s="449"/>
      <c r="P115" s="432"/>
      <c r="Q115" s="726"/>
    </row>
    <row r="116" spans="1:47" s="137" customFormat="1">
      <c r="A116" s="594"/>
      <c r="B116" s="3624"/>
      <c r="C116" s="1998"/>
      <c r="D116" s="1645"/>
      <c r="E116" s="919"/>
      <c r="F116" s="51"/>
      <c r="G116" s="399"/>
      <c r="H116" s="51"/>
      <c r="I116" s="399"/>
      <c r="J116" s="170"/>
      <c r="K116" s="171"/>
      <c r="L116" s="51"/>
      <c r="M116" s="171"/>
      <c r="N116" s="4241"/>
      <c r="O116" s="434"/>
      <c r="P116" s="432"/>
      <c r="Q116" s="726"/>
      <c r="R116" s="141"/>
      <c r="S116" s="141"/>
      <c r="T116" s="141"/>
      <c r="U116" s="141"/>
      <c r="V116" s="141"/>
      <c r="AR116" s="141"/>
      <c r="AS116" s="141"/>
      <c r="AT116" s="141"/>
      <c r="AU116" s="141"/>
    </row>
    <row r="117" spans="1:47" s="137" customFormat="1" ht="13.5" thickBot="1">
      <c r="A117" s="406"/>
      <c r="B117" s="3664"/>
      <c r="C117" s="753"/>
      <c r="D117" s="755" t="s">
        <v>159</v>
      </c>
      <c r="E117" s="598">
        <f t="shared" ref="E117:K117" si="33">SUM(E92:E116)</f>
        <v>35472.820000000007</v>
      </c>
      <c r="F117" s="598">
        <f t="shared" si="33"/>
        <v>0</v>
      </c>
      <c r="G117" s="447">
        <f t="shared" si="33"/>
        <v>0</v>
      </c>
      <c r="H117" s="447">
        <f t="shared" si="33"/>
        <v>0</v>
      </c>
      <c r="I117" s="447">
        <f t="shared" si="33"/>
        <v>0</v>
      </c>
      <c r="J117" s="592">
        <f t="shared" si="33"/>
        <v>35472.820000000007</v>
      </c>
      <c r="K117" s="592">
        <f t="shared" si="33"/>
        <v>477.42000000000013</v>
      </c>
      <c r="L117" s="593"/>
      <c r="M117" s="598">
        <f>SUM(M92:M116)</f>
        <v>477.42000000000013</v>
      </c>
      <c r="N117" s="4241"/>
      <c r="O117" s="434"/>
      <c r="P117" s="432"/>
      <c r="Q117" s="716"/>
      <c r="R117" s="32"/>
      <c r="S117" s="478"/>
      <c r="T117" s="478"/>
      <c r="U117" s="478"/>
      <c r="V117" s="478"/>
      <c r="AR117" s="478"/>
      <c r="AS117" s="478"/>
      <c r="AT117" s="478"/>
      <c r="AU117" s="141"/>
    </row>
    <row r="118" spans="1:47" s="137" customFormat="1" ht="13.5" thickBot="1">
      <c r="A118" s="406"/>
      <c r="B118" s="3664"/>
      <c r="C118" s="1989"/>
      <c r="D118" s="58" t="s">
        <v>66</v>
      </c>
      <c r="E118" s="429"/>
      <c r="F118" s="51"/>
      <c r="G118" s="399"/>
      <c r="H118" s="51"/>
      <c r="I118" s="399"/>
      <c r="J118" s="440"/>
      <c r="K118" s="446"/>
      <c r="L118" s="51"/>
      <c r="M118" s="446"/>
      <c r="N118" s="4241"/>
      <c r="O118" s="434"/>
      <c r="P118" s="432"/>
      <c r="Q118" s="726"/>
      <c r="R118" s="141"/>
      <c r="S118" s="141"/>
      <c r="T118" s="141"/>
      <c r="U118" s="141"/>
      <c r="V118" s="141"/>
      <c r="AR118" s="141"/>
      <c r="AS118" s="141"/>
      <c r="AT118" s="141"/>
      <c r="AU118" s="141"/>
    </row>
    <row r="119" spans="1:47" s="137" customFormat="1">
      <c r="A119" s="402"/>
      <c r="B119" s="3671" t="s">
        <v>1044</v>
      </c>
      <c r="C119" s="1996">
        <v>2500009</v>
      </c>
      <c r="D119" s="600" t="s">
        <v>2497</v>
      </c>
      <c r="E119" s="591">
        <f>IFERROR(VLOOKUP(C119,'פ.נ. הודו'!$D$70:$G$1144,3,0),0)</f>
        <v>-39440</v>
      </c>
      <c r="F119" s="170">
        <f>SUMIF('פ.נ. הודו'!$C:$C,$C:$C,'פ.נ. הודו'!$E:$E)</f>
        <v>0</v>
      </c>
      <c r="G119" s="398"/>
      <c r="H119" s="204"/>
      <c r="I119" s="79"/>
      <c r="J119" s="474">
        <f t="shared" ref="J119:J124" si="34">SUM(E119:I119)</f>
        <v>-39440</v>
      </c>
      <c r="K119" s="474">
        <f>M119+SUMIF('פ.נ. הודו'!$C:$C,$C:$C,'פ.נ. הודו'!$F:$F)</f>
        <v>-530.79999999999995</v>
      </c>
      <c r="L119" s="439"/>
      <c r="M119" s="591">
        <f>IFERROR(VLOOKUP(C119,'פ.נ. הודו'!$D$70:$G$1144,4,0),0)</f>
        <v>-530.79999999999995</v>
      </c>
      <c r="N119" s="4240">
        <f t="shared" ref="N119:N126" si="35">IF(K119=0,"-",J119/K119)</f>
        <v>74.302938960060288</v>
      </c>
      <c r="O119" s="434"/>
      <c r="P119" s="2560" t="s">
        <v>2894</v>
      </c>
      <c r="Q119" s="726"/>
      <c r="R119" s="141"/>
      <c r="S119" s="141"/>
      <c r="T119" s="141"/>
      <c r="U119" s="141"/>
      <c r="V119" s="141"/>
      <c r="AR119" s="141"/>
      <c r="AS119" s="141"/>
      <c r="AT119" s="141"/>
      <c r="AU119" s="141"/>
    </row>
    <row r="120" spans="1:47" s="137" customFormat="1">
      <c r="A120" s="402"/>
      <c r="B120" s="3671" t="s">
        <v>1044</v>
      </c>
      <c r="C120" s="1996">
        <v>2500010</v>
      </c>
      <c r="D120" s="600" t="s">
        <v>2498</v>
      </c>
      <c r="E120" s="591">
        <f>IFERROR(VLOOKUP(C120,'פ.נ. הודו'!$D$70:$G$1144,3,0),0)</f>
        <v>-210252.79999999999</v>
      </c>
      <c r="F120" s="170">
        <f>SUMIF('פ.נ. הודו'!$C:$C,$C:$C,'פ.נ. הודו'!$E:$E)</f>
        <v>0</v>
      </c>
      <c r="G120" s="398"/>
      <c r="H120" s="204"/>
      <c r="I120" s="79"/>
      <c r="J120" s="474">
        <f t="shared" si="34"/>
        <v>-210252.79999999999</v>
      </c>
      <c r="K120" s="474">
        <f>M120+SUMIF('פ.נ. הודו'!$C:$C,$C:$C,'פ.נ. הודו'!$F:$F)</f>
        <v>-2829.69</v>
      </c>
      <c r="L120" s="439"/>
      <c r="M120" s="591">
        <f>IFERROR(VLOOKUP(C120,'פ.נ. הודו'!$D$70:$G$1144,4,0),0)</f>
        <v>-2829.69</v>
      </c>
      <c r="N120" s="4240">
        <f t="shared" si="35"/>
        <v>74.302414752145992</v>
      </c>
      <c r="O120" s="434"/>
      <c r="P120" s="2594" t="s">
        <v>2466</v>
      </c>
      <c r="Q120" s="726"/>
      <c r="R120" s="141"/>
      <c r="S120" s="141"/>
      <c r="T120" s="141"/>
      <c r="U120" s="141"/>
      <c r="V120" s="141"/>
      <c r="AR120" s="141"/>
      <c r="AS120" s="141"/>
      <c r="AT120" s="141"/>
      <c r="AU120" s="141"/>
    </row>
    <row r="121" spans="1:47" s="137" customFormat="1">
      <c r="A121" s="402"/>
      <c r="B121" s="3671" t="s">
        <v>1044</v>
      </c>
      <c r="C121" s="1996">
        <v>2500011</v>
      </c>
      <c r="D121" s="600" t="s">
        <v>2499</v>
      </c>
      <c r="E121" s="591">
        <f>IFERROR(VLOOKUP(C121,'פ.נ. הודו'!$D$70:$G$1144,3,0),0)</f>
        <v>-2336.13</v>
      </c>
      <c r="F121" s="170">
        <f>SUMIF('פ.נ. הודו'!$C:$C,$C:$C,'פ.נ. הודו'!$E:$E)</f>
        <v>0</v>
      </c>
      <c r="G121" s="398"/>
      <c r="H121" s="204"/>
      <c r="I121" s="79"/>
      <c r="J121" s="474">
        <f t="shared" si="34"/>
        <v>-2336.13</v>
      </c>
      <c r="K121" s="474">
        <f>M121+SUMIF('פ.נ. הודו'!$C:$C,$C:$C,'פ.נ. הודו'!$F:$F)</f>
        <v>-31.44</v>
      </c>
      <c r="L121" s="439"/>
      <c r="M121" s="591">
        <f>IFERROR(VLOOKUP(C121,'פ.נ. הודו'!$D$70:$G$1144,4,0),0)</f>
        <v>-31.44</v>
      </c>
      <c r="N121" s="4240">
        <f t="shared" si="35"/>
        <v>74.304389312977094</v>
      </c>
      <c r="O121" s="434"/>
      <c r="P121" s="2594" t="s">
        <v>2466</v>
      </c>
      <c r="Q121" s="726"/>
      <c r="R121" s="141"/>
      <c r="S121" s="141"/>
      <c r="T121" s="141"/>
      <c r="U121" s="141"/>
      <c r="V121" s="141"/>
      <c r="AR121" s="141"/>
      <c r="AS121" s="141"/>
      <c r="AT121" s="141"/>
      <c r="AU121" s="141"/>
    </row>
    <row r="122" spans="1:47" s="137" customFormat="1">
      <c r="A122" s="402"/>
      <c r="B122" s="3672" t="s">
        <v>1044</v>
      </c>
      <c r="C122" s="2595">
        <v>2500012</v>
      </c>
      <c r="D122" s="2596" t="s">
        <v>2575</v>
      </c>
      <c r="E122" s="2597">
        <f>IFERROR(VLOOKUP(C122,'פ.נ. הודו'!$D$70:$G$1144,3,0),0)</f>
        <v>0</v>
      </c>
      <c r="F122" s="2598">
        <f>SUMIF('פ.נ. הודו'!$C:$C,$C:$C,'פ.נ. הודו'!$E:$E)</f>
        <v>0</v>
      </c>
      <c r="G122" s="1135"/>
      <c r="H122" s="2599"/>
      <c r="I122" s="1502"/>
      <c r="J122" s="2600">
        <f t="shared" si="34"/>
        <v>0</v>
      </c>
      <c r="K122" s="2600">
        <f>M122+SUMIF('פ.נ. הודו'!$C:$C,$C:$C,'פ.נ. הודו'!$F:$F)</f>
        <v>0</v>
      </c>
      <c r="L122" s="750"/>
      <c r="M122" s="2597">
        <f>IFERROR(VLOOKUP(C122,'פ.נ. הודו'!$D$70:$G$1144,4,0),0)</f>
        <v>0</v>
      </c>
      <c r="N122" s="4242" t="str">
        <f t="shared" si="35"/>
        <v>-</v>
      </c>
      <c r="O122" s="434"/>
      <c r="P122" s="2560" t="s">
        <v>2895</v>
      </c>
      <c r="Q122" s="726"/>
      <c r="R122" s="141"/>
      <c r="S122" s="141"/>
      <c r="T122" s="141"/>
      <c r="U122" s="141"/>
      <c r="V122" s="141"/>
      <c r="AR122" s="141"/>
      <c r="AS122" s="141"/>
      <c r="AT122" s="141"/>
      <c r="AU122" s="141"/>
    </row>
    <row r="123" spans="1:47" s="137" customFormat="1">
      <c r="A123" s="402"/>
      <c r="B123" s="3671" t="s">
        <v>1044</v>
      </c>
      <c r="C123" s="1996">
        <v>2500051</v>
      </c>
      <c r="D123" s="600" t="s">
        <v>2702</v>
      </c>
      <c r="E123" s="591">
        <f>IFERROR(VLOOKUP(C123,'פ.נ. הודו'!$D$70:$G$1144,3,0),0)</f>
        <v>-6078537</v>
      </c>
      <c r="F123" s="170">
        <f>SUMIF('פ.נ. הודו'!$C:$C,$C:$C,'פ.נ. הודו'!$E:$E)</f>
        <v>0</v>
      </c>
      <c r="G123" s="398"/>
      <c r="H123" s="204"/>
      <c r="I123" s="79"/>
      <c r="J123" s="474">
        <f t="shared" si="34"/>
        <v>-6078537</v>
      </c>
      <c r="K123" s="474">
        <f>M123+SUMIF('פ.נ. הודו'!$C:$C,$C:$C,'פ.נ. הודו'!$F:$F)</f>
        <v>-81807.97</v>
      </c>
      <c r="L123" s="439"/>
      <c r="M123" s="591">
        <f>IFERROR(VLOOKUP(C123,'פ.נ. הודו'!$D$70:$G$1144,4,0),0)</f>
        <v>-81807.97</v>
      </c>
      <c r="N123" s="4243">
        <f t="shared" si="35"/>
        <v>74.30250377805487</v>
      </c>
      <c r="O123" s="434"/>
      <c r="P123" s="2560"/>
      <c r="Q123" s="726"/>
      <c r="R123" s="141"/>
      <c r="S123" s="141"/>
      <c r="T123" s="141"/>
      <c r="U123" s="141"/>
      <c r="V123" s="141"/>
      <c r="AR123" s="141"/>
      <c r="AS123" s="141"/>
      <c r="AT123" s="141"/>
      <c r="AU123" s="141"/>
    </row>
    <row r="124" spans="1:47" s="137" customFormat="1">
      <c r="A124" s="402"/>
      <c r="B124" s="3672" t="s">
        <v>1044</v>
      </c>
      <c r="C124" s="2595">
        <v>2500052</v>
      </c>
      <c r="D124" s="2596" t="s">
        <v>2703</v>
      </c>
      <c r="E124" s="2597">
        <f>IFERROR(VLOOKUP(C124,'פ.נ. הודו'!$D$70:$G$1144,3,0),0)</f>
        <v>6078537</v>
      </c>
      <c r="F124" s="2598">
        <f>SUMIF('פ.נ. הודו'!$C:$C,$C:$C,'פ.נ. הודו'!$E:$E)</f>
        <v>0</v>
      </c>
      <c r="G124" s="1135"/>
      <c r="H124" s="2599"/>
      <c r="I124" s="1502"/>
      <c r="J124" s="2600">
        <f t="shared" si="34"/>
        <v>6078537</v>
      </c>
      <c r="K124" s="2600">
        <f>M124+SUMIF('פ.נ. הודו'!$C:$C,$C:$C,'פ.נ. הודו'!$F:$F)</f>
        <v>81807.97</v>
      </c>
      <c r="L124" s="750"/>
      <c r="M124" s="2597">
        <f>IFERROR(VLOOKUP(C124,'פ.נ. הודו'!$D$70:$G$1144,4,0),0)</f>
        <v>81807.97</v>
      </c>
      <c r="N124" s="4244">
        <f t="shared" si="35"/>
        <v>74.30250377805487</v>
      </c>
      <c r="O124" s="434"/>
      <c r="P124" s="432"/>
      <c r="Q124" s="726"/>
      <c r="R124" s="141"/>
      <c r="S124" s="141"/>
      <c r="T124" s="141"/>
      <c r="U124" s="141"/>
      <c r="V124" s="141"/>
      <c r="AR124" s="141"/>
      <c r="AS124" s="141"/>
      <c r="AT124" s="141"/>
      <c r="AU124" s="141"/>
    </row>
    <row r="125" spans="1:47" s="137" customFormat="1">
      <c r="A125" s="402"/>
      <c r="B125" s="4161" t="s">
        <v>1044</v>
      </c>
      <c r="C125" s="3263">
        <v>2500053</v>
      </c>
      <c r="D125" s="3264" t="s">
        <v>3931</v>
      </c>
      <c r="E125" s="3265">
        <f>IFERROR(VLOOKUP(C125,'פ.נ. הודו'!$D$70:$G$1144,3,0),0)</f>
        <v>-8019897.7999999998</v>
      </c>
      <c r="F125" s="1310">
        <f>SUMIF('פ.נ. הודו'!$C:$C,$C:$C,'פ.נ. הודו'!$E:$E)</f>
        <v>1.0531032457947731E-3</v>
      </c>
      <c r="G125" s="3266"/>
      <c r="H125" s="3267"/>
      <c r="I125" s="3268"/>
      <c r="J125" s="3269">
        <f>SUM(E125:I125)</f>
        <v>-8019897.7989468966</v>
      </c>
      <c r="K125" s="3269">
        <f>M125+SUMIF('פ.נ. הודו'!$C:$C,$C:$C,'פ.נ. הודו'!$F:$F)</f>
        <v>-107935.77998582681</v>
      </c>
      <c r="L125" s="1580"/>
      <c r="M125" s="3265">
        <f>IFERROR(VLOOKUP(C125,'פ.נ. הודו'!$D$70:$G$1144,4,0),0)</f>
        <v>-107935.78</v>
      </c>
      <c r="N125" s="4243">
        <f>IF(K125=0,"-",J125/K125)</f>
        <v>74.302495428300048</v>
      </c>
      <c r="O125" s="434"/>
      <c r="P125" s="432"/>
      <c r="Q125" s="726"/>
      <c r="R125" s="141"/>
      <c r="S125" s="141"/>
      <c r="T125" s="141"/>
      <c r="U125" s="141"/>
      <c r="V125" s="141"/>
      <c r="AR125" s="141"/>
      <c r="AS125" s="141"/>
      <c r="AT125" s="141"/>
      <c r="AU125" s="141"/>
    </row>
    <row r="126" spans="1:47" s="137" customFormat="1">
      <c r="A126" s="402"/>
      <c r="B126" s="3671" t="s">
        <v>1044</v>
      </c>
      <c r="C126" s="1996">
        <v>2500054</v>
      </c>
      <c r="D126" s="61" t="s">
        <v>3988</v>
      </c>
      <c r="E126" s="591">
        <f>IFERROR(VLOOKUP(C126,'פ.נ. הודו'!$D$70:$G$1144,3,0),0)</f>
        <v>6825000</v>
      </c>
      <c r="F126" s="170">
        <f>SUMIF('פ.נ. הודו'!$C:$C,$C:$C,'פ.נ. הודו'!$E:$E)</f>
        <v>0</v>
      </c>
      <c r="G126" s="398"/>
      <c r="H126" s="204"/>
      <c r="I126" s="79"/>
      <c r="J126" s="474">
        <f>SUM(E126:I126)</f>
        <v>6825000</v>
      </c>
      <c r="K126" s="474">
        <f>M126+SUMIF('פ.נ. הודו'!$C:$C,$C:$C,'פ.נ. הודו'!$F:$F)</f>
        <v>91854.24</v>
      </c>
      <c r="L126" s="439"/>
      <c r="M126" s="591">
        <f>IFERROR(VLOOKUP(C126,'פ.נ. הודו'!$D$70:$G$1144,4,0),0)</f>
        <v>91854.24</v>
      </c>
      <c r="N126" s="4244">
        <f t="shared" si="35"/>
        <v>74.302503618776882</v>
      </c>
      <c r="O126" s="140"/>
      <c r="P126" s="432"/>
      <c r="Q126" s="726"/>
      <c r="R126" s="141"/>
      <c r="S126" s="141"/>
      <c r="T126" s="141"/>
      <c r="U126" s="141"/>
      <c r="V126" s="141"/>
      <c r="AR126" s="141"/>
      <c r="AS126" s="141"/>
      <c r="AT126" s="141"/>
      <c r="AU126" s="141"/>
    </row>
    <row r="127" spans="1:47" s="137" customFormat="1">
      <c r="A127" s="402"/>
      <c r="B127" s="3673"/>
      <c r="C127" s="3270"/>
      <c r="D127" s="3271"/>
      <c r="E127" s="3272"/>
      <c r="F127" s="3303"/>
      <c r="G127" s="3273"/>
      <c r="H127" s="3273"/>
      <c r="I127" s="3273"/>
      <c r="J127" s="3274"/>
      <c r="K127" s="3275"/>
      <c r="L127" s="3276"/>
      <c r="M127" s="1402"/>
      <c r="N127" s="4245"/>
      <c r="O127" s="602"/>
      <c r="P127" s="432"/>
      <c r="Q127" s="726"/>
      <c r="R127" s="141"/>
      <c r="S127" s="141"/>
      <c r="T127" s="141"/>
      <c r="U127" s="141"/>
      <c r="V127" s="141"/>
      <c r="AR127" s="141"/>
      <c r="AS127" s="141"/>
      <c r="AT127" s="141"/>
      <c r="AU127" s="141"/>
    </row>
    <row r="128" spans="1:47" s="137" customFormat="1">
      <c r="A128" s="406"/>
      <c r="B128" s="3664"/>
      <c r="C128" s="1987"/>
      <c r="D128" s="3261" t="s">
        <v>77</v>
      </c>
      <c r="E128" s="3262">
        <f t="shared" ref="E128:K128" si="36">SUM(E119:E127)</f>
        <v>-1446926.7299999995</v>
      </c>
      <c r="F128" s="3262">
        <f t="shared" si="36"/>
        <v>1.0531032457947731E-3</v>
      </c>
      <c r="G128" s="3262">
        <f t="shared" si="36"/>
        <v>0</v>
      </c>
      <c r="H128" s="3262">
        <f t="shared" si="36"/>
        <v>0</v>
      </c>
      <c r="I128" s="3262">
        <f t="shared" si="36"/>
        <v>0</v>
      </c>
      <c r="J128" s="3262">
        <f t="shared" si="36"/>
        <v>-1446926.7289468963</v>
      </c>
      <c r="K128" s="3262">
        <f t="shared" si="36"/>
        <v>-19473.4699858268</v>
      </c>
      <c r="L128" s="593"/>
      <c r="M128" s="3262">
        <f>SUM(M119:M127)</f>
        <v>-19473.469999999987</v>
      </c>
      <c r="N128" s="4241"/>
      <c r="O128" s="434"/>
      <c r="P128" s="432"/>
      <c r="Q128" s="716"/>
      <c r="R128" s="32"/>
      <c r="S128" s="478"/>
      <c r="T128" s="478"/>
      <c r="U128" s="478"/>
      <c r="V128" s="478"/>
      <c r="AR128" s="478"/>
      <c r="AS128" s="478"/>
      <c r="AT128" s="478"/>
      <c r="AU128" s="141"/>
    </row>
    <row r="129" spans="1:47" s="137" customFormat="1">
      <c r="A129" s="406"/>
      <c r="B129" s="3664"/>
      <c r="C129" s="1987"/>
      <c r="D129" s="63"/>
      <c r="E129" s="398"/>
      <c r="F129" s="51"/>
      <c r="G129" s="399"/>
      <c r="H129" s="51"/>
      <c r="I129" s="399"/>
      <c r="J129" s="51"/>
      <c r="K129" s="399"/>
      <c r="L129" s="51"/>
      <c r="M129" s="399"/>
      <c r="N129" s="4241"/>
      <c r="O129" s="434"/>
      <c r="P129" s="432"/>
      <c r="Q129" s="726"/>
      <c r="R129" s="141"/>
      <c r="S129" s="141"/>
      <c r="T129" s="141"/>
      <c r="U129" s="141"/>
      <c r="V129" s="141"/>
      <c r="AR129" s="141"/>
      <c r="AS129" s="141"/>
      <c r="AT129" s="141"/>
      <c r="AU129" s="141"/>
    </row>
    <row r="130" spans="1:47" s="137" customFormat="1">
      <c r="A130" s="406"/>
      <c r="B130" s="3664"/>
      <c r="C130" s="1987"/>
      <c r="D130" s="45"/>
      <c r="E130" s="398"/>
      <c r="F130" s="51"/>
      <c r="G130" s="399"/>
      <c r="H130" s="51"/>
      <c r="I130" s="399"/>
      <c r="J130" s="440"/>
      <c r="K130" s="446"/>
      <c r="L130" s="51"/>
      <c r="M130" s="446"/>
      <c r="N130" s="4241"/>
      <c r="O130" s="434"/>
      <c r="P130" s="432"/>
      <c r="Q130" s="726"/>
      <c r="R130" s="141"/>
      <c r="S130" s="141"/>
      <c r="T130" s="141"/>
      <c r="U130" s="141"/>
      <c r="V130" s="141"/>
      <c r="AR130" s="141"/>
      <c r="AS130" s="141"/>
      <c r="AT130" s="141"/>
      <c r="AU130" s="141"/>
    </row>
    <row r="131" spans="1:47" s="137" customFormat="1">
      <c r="A131" s="406"/>
      <c r="B131" s="3664"/>
      <c r="C131" s="1987"/>
      <c r="D131" s="45"/>
      <c r="E131" s="398"/>
      <c r="F131" s="51"/>
      <c r="G131" s="399"/>
      <c r="H131" s="51"/>
      <c r="I131" s="399"/>
      <c r="J131" s="440"/>
      <c r="K131" s="446"/>
      <c r="L131" s="51"/>
      <c r="M131" s="446"/>
      <c r="N131" s="4241"/>
      <c r="O131" s="434"/>
      <c r="P131" s="2560"/>
      <c r="Q131" s="726"/>
      <c r="R131" s="141"/>
      <c r="S131" s="141"/>
      <c r="T131" s="141"/>
      <c r="U131" s="141"/>
      <c r="V131" s="141"/>
      <c r="AR131" s="141"/>
      <c r="AS131" s="141"/>
      <c r="AT131" s="141"/>
      <c r="AU131" s="141"/>
    </row>
    <row r="132" spans="1:47" s="137" customFormat="1">
      <c r="A132" s="406"/>
      <c r="B132" s="3664"/>
      <c r="C132" s="1987"/>
      <c r="D132" s="755"/>
      <c r="E132" s="598">
        <f t="shared" ref="E132:K132" si="37">SUM(E130:E131)</f>
        <v>0</v>
      </c>
      <c r="F132" s="447">
        <f t="shared" si="37"/>
        <v>0</v>
      </c>
      <c r="G132" s="447">
        <f t="shared" si="37"/>
        <v>0</v>
      </c>
      <c r="H132" s="447">
        <f t="shared" si="37"/>
        <v>0</v>
      </c>
      <c r="I132" s="447">
        <f t="shared" si="37"/>
        <v>0</v>
      </c>
      <c r="J132" s="592">
        <f t="shared" si="37"/>
        <v>0</v>
      </c>
      <c r="K132" s="592">
        <f t="shared" si="37"/>
        <v>0</v>
      </c>
      <c r="L132" s="593"/>
      <c r="M132" s="598">
        <f>SUM(M130:M131)</f>
        <v>0</v>
      </c>
      <c r="N132" s="4241"/>
      <c r="O132" s="434"/>
      <c r="P132" s="2560"/>
      <c r="Q132" s="716"/>
      <c r="R132" s="32"/>
      <c r="S132" s="478"/>
      <c r="T132" s="478"/>
      <c r="U132" s="478"/>
      <c r="V132" s="478"/>
      <c r="AR132" s="478"/>
      <c r="AS132" s="478"/>
      <c r="AT132" s="478"/>
      <c r="AU132" s="141"/>
    </row>
    <row r="133" spans="1:47" s="137" customFormat="1">
      <c r="A133" s="406"/>
      <c r="B133" s="3664"/>
      <c r="C133" s="1987"/>
      <c r="D133" s="63"/>
      <c r="E133" s="398"/>
      <c r="F133" s="51"/>
      <c r="G133" s="399"/>
      <c r="H133" s="51"/>
      <c r="I133" s="399"/>
      <c r="J133" s="51"/>
      <c r="K133" s="399"/>
      <c r="L133" s="51"/>
      <c r="M133" s="399"/>
      <c r="N133" s="4241"/>
      <c r="O133" s="434"/>
      <c r="P133" s="2560"/>
      <c r="Q133" s="726"/>
      <c r="R133" s="141"/>
      <c r="S133" s="141"/>
      <c r="T133" s="141"/>
      <c r="U133" s="141"/>
      <c r="V133" s="141"/>
      <c r="AR133" s="141"/>
      <c r="AS133" s="141"/>
      <c r="AT133" s="141"/>
      <c r="AU133" s="141"/>
    </row>
    <row r="134" spans="1:47" s="137" customFormat="1">
      <c r="A134" s="406"/>
      <c r="B134" s="3664"/>
      <c r="C134" s="1987"/>
      <c r="D134" s="45"/>
      <c r="E134" s="398"/>
      <c r="F134" s="51"/>
      <c r="G134" s="399"/>
      <c r="H134" s="51"/>
      <c r="I134" s="399"/>
      <c r="J134" s="440"/>
      <c r="K134" s="446"/>
      <c r="L134" s="51"/>
      <c r="M134" s="446"/>
      <c r="N134" s="4241"/>
      <c r="O134" s="434"/>
      <c r="P134" s="2560"/>
      <c r="Q134" s="726"/>
      <c r="R134" s="141"/>
      <c r="S134" s="141"/>
      <c r="T134" s="141"/>
      <c r="U134" s="141"/>
      <c r="V134" s="141"/>
      <c r="AR134" s="141"/>
      <c r="AS134" s="141"/>
      <c r="AT134" s="141"/>
      <c r="AU134" s="141"/>
    </row>
    <row r="135" spans="1:47" s="137" customFormat="1">
      <c r="A135" s="406"/>
      <c r="B135" s="3664"/>
      <c r="C135" s="1987"/>
      <c r="D135" s="45"/>
      <c r="E135" s="398"/>
      <c r="F135" s="51"/>
      <c r="G135" s="399"/>
      <c r="H135" s="51"/>
      <c r="I135" s="399"/>
      <c r="J135" s="440"/>
      <c r="K135" s="446"/>
      <c r="L135" s="51"/>
      <c r="M135" s="446"/>
      <c r="N135" s="4241"/>
      <c r="O135" s="434"/>
      <c r="P135" s="2560"/>
      <c r="Q135" s="726"/>
      <c r="R135" s="141"/>
      <c r="S135" s="141"/>
      <c r="T135" s="141"/>
      <c r="U135" s="141"/>
      <c r="V135" s="141"/>
      <c r="AR135" s="141"/>
      <c r="AS135" s="141"/>
      <c r="AT135" s="141"/>
      <c r="AU135" s="141"/>
    </row>
    <row r="136" spans="1:47" s="137" customFormat="1" ht="13.5" thickBot="1">
      <c r="A136" s="406"/>
      <c r="B136" s="3664"/>
      <c r="C136" s="1987"/>
      <c r="D136" s="755"/>
      <c r="E136" s="598">
        <f t="shared" ref="E136:K136" si="38">SUM(E134:E134)</f>
        <v>0</v>
      </c>
      <c r="F136" s="447">
        <f t="shared" si="38"/>
        <v>0</v>
      </c>
      <c r="G136" s="447">
        <f t="shared" si="38"/>
        <v>0</v>
      </c>
      <c r="H136" s="447">
        <f t="shared" si="38"/>
        <v>0</v>
      </c>
      <c r="I136" s="447">
        <f t="shared" si="38"/>
        <v>0</v>
      </c>
      <c r="J136" s="592">
        <f t="shared" si="38"/>
        <v>0</v>
      </c>
      <c r="K136" s="592">
        <f t="shared" si="38"/>
        <v>0</v>
      </c>
      <c r="L136" s="593"/>
      <c r="M136" s="598">
        <f>SUM(M134:M134)</f>
        <v>0</v>
      </c>
      <c r="N136" s="4241"/>
      <c r="O136" s="434"/>
      <c r="P136" s="2560"/>
      <c r="Q136" s="716"/>
      <c r="R136" s="32"/>
      <c r="S136" s="478"/>
      <c r="T136" s="478"/>
      <c r="U136" s="478"/>
      <c r="V136" s="478"/>
      <c r="AR136" s="478"/>
      <c r="AS136" s="478"/>
      <c r="AT136" s="478"/>
      <c r="AU136" s="141"/>
    </row>
    <row r="137" spans="1:47" s="137" customFormat="1" ht="13.5" thickBot="1">
      <c r="A137" s="406"/>
      <c r="B137" s="3664"/>
      <c r="C137" s="749"/>
      <c r="D137" s="58" t="s">
        <v>2508</v>
      </c>
      <c r="E137" s="398"/>
      <c r="F137" s="51"/>
      <c r="G137" s="399"/>
      <c r="H137" s="51"/>
      <c r="I137" s="399"/>
      <c r="J137" s="52"/>
      <c r="K137" s="399"/>
      <c r="L137" s="399"/>
      <c r="M137" s="967"/>
      <c r="N137" s="4241"/>
      <c r="O137" s="434"/>
      <c r="P137" s="2560"/>
      <c r="Q137" s="726"/>
      <c r="R137" s="141"/>
      <c r="S137" s="141"/>
      <c r="T137" s="141"/>
      <c r="U137" s="141"/>
      <c r="V137" s="141"/>
      <c r="AR137" s="141"/>
      <c r="AS137" s="141"/>
      <c r="AT137" s="141"/>
      <c r="AU137" s="141"/>
    </row>
    <row r="138" spans="1:47" s="137" customFormat="1">
      <c r="A138" s="402"/>
      <c r="B138" s="3671" t="s">
        <v>1044</v>
      </c>
      <c r="C138" s="1996">
        <v>2500017</v>
      </c>
      <c r="D138" s="600" t="s">
        <v>2576</v>
      </c>
      <c r="E138" s="591">
        <f>IFERROR(VLOOKUP(C138,'פ.נ. הודו'!$D$70:$G$1144,3,0),0)</f>
        <v>-222294</v>
      </c>
      <c r="F138" s="170">
        <f>SUMIF('פ.נ. הודו'!$C:$C,$C:$C,'פ.נ. הודו'!$E:$E)</f>
        <v>0</v>
      </c>
      <c r="G138" s="398"/>
      <c r="H138" s="204"/>
      <c r="I138" s="79"/>
      <c r="J138" s="591">
        <f>SUM(E138:I138)</f>
        <v>-222294</v>
      </c>
      <c r="K138" s="591">
        <f>M138+SUMIF('פ.נ. הודו'!$C:$C,$C:$C,'פ.נ. הודו'!$F:$F)</f>
        <v>-2991.74</v>
      </c>
      <c r="L138" s="439"/>
      <c r="M138" s="591">
        <f>IFERROR(VLOOKUP(C138,'פ.נ. הודו'!$D$70:$G$1144,4,0),0)</f>
        <v>-2991.74</v>
      </c>
      <c r="N138" s="4240">
        <f>IF(K138=0,"-",J138/K138)</f>
        <v>74.302579769632388</v>
      </c>
      <c r="O138" s="434"/>
      <c r="P138" s="2560" t="s">
        <v>2466</v>
      </c>
      <c r="Q138" s="726"/>
      <c r="R138" s="141"/>
      <c r="S138" s="141"/>
      <c r="T138" s="141"/>
      <c r="U138" s="141"/>
      <c r="V138" s="141"/>
      <c r="AR138" s="141"/>
      <c r="AS138" s="141"/>
      <c r="AT138" s="141"/>
      <c r="AU138" s="141"/>
    </row>
    <row r="139" spans="1:47" s="137" customFormat="1">
      <c r="A139" s="406"/>
      <c r="B139" s="3671" t="s">
        <v>1044</v>
      </c>
      <c r="C139" s="1996">
        <v>2500016</v>
      </c>
      <c r="D139" s="600" t="s">
        <v>2500</v>
      </c>
      <c r="E139" s="591">
        <f>IFERROR(VLOOKUP(C139,'פ.נ. הודו'!$D$70:$G$1144,3,0),0)</f>
        <v>-235010</v>
      </c>
      <c r="F139" s="170">
        <f>SUMIF('פ.נ. הודו'!$C:$C,$C:$C,'פ.נ. הודו'!$E:$E)</f>
        <v>0</v>
      </c>
      <c r="G139" s="398"/>
      <c r="H139" s="204"/>
      <c r="I139" s="79"/>
      <c r="J139" s="591">
        <f>SUM(E139:I139)</f>
        <v>-235010</v>
      </c>
      <c r="K139" s="591">
        <f>M139+SUMIF('פ.נ. הודו'!$C:$C,$C:$C,'פ.נ. הודו'!$F:$F)</f>
        <v>-3162.88</v>
      </c>
      <c r="L139" s="439"/>
      <c r="M139" s="591">
        <f>IFERROR(VLOOKUP(C139,'פ.נ. הודו'!$D$70:$G$1144,4,0),0)</f>
        <v>-3162.88</v>
      </c>
      <c r="N139" s="4240">
        <f>IF(K139=0,"-",J139/K139)</f>
        <v>74.30253439902873</v>
      </c>
      <c r="O139" s="434"/>
      <c r="P139" s="2560" t="s">
        <v>2466</v>
      </c>
      <c r="Q139" s="726"/>
      <c r="R139" s="141"/>
      <c r="S139" s="141"/>
      <c r="T139" s="141"/>
      <c r="U139" s="141"/>
      <c r="V139" s="141"/>
      <c r="AR139" s="141"/>
      <c r="AS139" s="141"/>
      <c r="AT139" s="141"/>
      <c r="AU139" s="141"/>
    </row>
    <row r="140" spans="1:47" s="137" customFormat="1" ht="13.5" thickBot="1">
      <c r="A140" s="406"/>
      <c r="B140" s="3674" t="s">
        <v>1040</v>
      </c>
      <c r="C140" s="1996">
        <v>2400002</v>
      </c>
      <c r="D140" s="600" t="s">
        <v>1041</v>
      </c>
      <c r="E140" s="591">
        <f>IFERROR(VLOOKUP(C140,'פ.נ. הודו'!$D$70:$G$1144,3,0),0)</f>
        <v>36500</v>
      </c>
      <c r="F140" s="170">
        <f>SUMIF('פ.נ. הודו'!$C:$C,$C:$C,'פ.נ. הודו'!$E:$E)</f>
        <v>0</v>
      </c>
      <c r="G140" s="398"/>
      <c r="H140" s="204"/>
      <c r="I140" s="79"/>
      <c r="J140" s="591">
        <f>SUM(E140:I140)</f>
        <v>36500</v>
      </c>
      <c r="K140" s="591">
        <f>M140+SUMIF('פ.נ. הודו'!$C:$C,$C:$C,'פ.נ. הודו'!$F:$F)</f>
        <v>491.24</v>
      </c>
      <c r="L140" s="439"/>
      <c r="M140" s="591">
        <f>IFERROR(VLOOKUP(C140,'פ.נ. הודו'!$D$70:$G$1144,4,0),0)</f>
        <v>491.24</v>
      </c>
      <c r="N140" s="4240">
        <f>IF(K140=0,"-",J140/K140)</f>
        <v>74.301766957088191</v>
      </c>
      <c r="O140" s="434"/>
      <c r="P140" s="3474" t="s">
        <v>4328</v>
      </c>
      <c r="Q140" s="726"/>
      <c r="R140" s="141"/>
      <c r="S140" s="141"/>
      <c r="T140" s="141"/>
      <c r="U140" s="141"/>
      <c r="V140" s="141"/>
      <c r="AR140" s="141"/>
      <c r="AS140" s="141"/>
      <c r="AT140" s="141"/>
      <c r="AU140" s="141"/>
    </row>
    <row r="141" spans="1:47" s="137" customFormat="1" ht="13.5" thickBot="1">
      <c r="A141" s="406"/>
      <c r="B141" s="3659" t="s">
        <v>1040</v>
      </c>
      <c r="C141" s="1374">
        <v>2400001</v>
      </c>
      <c r="D141" s="1649" t="s">
        <v>519</v>
      </c>
      <c r="E141" s="474">
        <f>IFERROR(VLOOKUP(C141,'פ.נ. הודו'!$D$70:$G$1144,3,0),0)</f>
        <v>-16898057.780000001</v>
      </c>
      <c r="F141" s="474">
        <f>SUMIF('פ.נ. הודו'!$C:$C,$C:$C,'פ.נ. הודו'!$E:$E)</f>
        <v>0</v>
      </c>
      <c r="G141" s="398"/>
      <c r="H141" s="204"/>
      <c r="I141" s="79"/>
      <c r="J141" s="474">
        <f>SUM(E141:I141)</f>
        <v>-16898057.780000001</v>
      </c>
      <c r="K141" s="474">
        <f>M141+SUMIF('פ.נ. הודו'!$C:$C,$C:$C,'פ.נ. הודו'!$F:$F)</f>
        <v>-227776.02</v>
      </c>
      <c r="L141" s="956">
        <f>+'Accrued expenses'!$O$224+J141</f>
        <v>-3.2279975712299347E-3</v>
      </c>
      <c r="M141" s="474">
        <f>IFERROR(VLOOKUP(C141,'פ.נ. הודו'!$D$70:$G$1144,4,0),0)</f>
        <v>-227776.02</v>
      </c>
      <c r="N141" s="4240">
        <f>IF(K141=0,"-",J141/K141)</f>
        <v>74.187167639508331</v>
      </c>
      <c r="O141" s="434"/>
      <c r="P141" s="863" t="s">
        <v>2707</v>
      </c>
      <c r="Q141" s="726"/>
      <c r="R141" s="141"/>
      <c r="S141" s="141"/>
      <c r="T141" s="141"/>
      <c r="U141" s="141"/>
      <c r="V141" s="141"/>
      <c r="AR141" s="141"/>
      <c r="AS141" s="141"/>
      <c r="AT141" s="141"/>
      <c r="AU141" s="141"/>
    </row>
    <row r="142" spans="1:47" s="137" customFormat="1">
      <c r="A142" s="406"/>
      <c r="B142" s="3664"/>
      <c r="C142" s="1993"/>
      <c r="D142" s="45"/>
      <c r="E142" s="448"/>
      <c r="F142" s="51"/>
      <c r="G142" s="399"/>
      <c r="H142" s="51"/>
      <c r="I142" s="399"/>
      <c r="J142" s="440"/>
      <c r="K142" s="446"/>
      <c r="L142" s="51"/>
      <c r="M142" s="446"/>
      <c r="N142" s="4241"/>
      <c r="O142" s="434"/>
      <c r="P142" s="445"/>
      <c r="Q142" s="726"/>
      <c r="R142" s="141"/>
      <c r="S142" s="141"/>
      <c r="T142" s="141"/>
      <c r="U142" s="141"/>
      <c r="V142" s="141"/>
      <c r="AR142" s="141"/>
      <c r="AS142" s="141"/>
      <c r="AT142" s="141"/>
      <c r="AU142" s="141"/>
    </row>
    <row r="143" spans="1:47" s="137" customFormat="1" ht="13.5" thickBot="1">
      <c r="A143" s="406"/>
      <c r="B143" s="3664"/>
      <c r="C143" s="1987"/>
      <c r="D143" s="756" t="s">
        <v>2509</v>
      </c>
      <c r="E143" s="598">
        <f t="shared" ref="E143:K143" si="39">SUM(E138:E142)</f>
        <v>-17318861.780000001</v>
      </c>
      <c r="F143" s="598">
        <f t="shared" si="39"/>
        <v>0</v>
      </c>
      <c r="G143" s="447">
        <f t="shared" si="39"/>
        <v>0</v>
      </c>
      <c r="H143" s="447">
        <f t="shared" si="39"/>
        <v>0</v>
      </c>
      <c r="I143" s="447">
        <f t="shared" si="39"/>
        <v>0</v>
      </c>
      <c r="J143" s="592">
        <f t="shared" si="39"/>
        <v>-17318861.780000001</v>
      </c>
      <c r="K143" s="592">
        <f t="shared" si="39"/>
        <v>-233439.4</v>
      </c>
      <c r="L143" s="593"/>
      <c r="M143" s="592">
        <f>SUM(M138:M142)</f>
        <v>-233439.4</v>
      </c>
      <c r="N143" s="4241"/>
      <c r="O143" s="434"/>
      <c r="P143" s="445"/>
      <c r="Q143" s="726"/>
      <c r="R143" s="141"/>
      <c r="S143" s="141"/>
      <c r="T143" s="141"/>
      <c r="U143" s="141"/>
      <c r="V143" s="141"/>
      <c r="AR143" s="141"/>
      <c r="AS143" s="141"/>
      <c r="AT143" s="141"/>
      <c r="AU143" s="141"/>
    </row>
    <row r="144" spans="1:47" s="137" customFormat="1" ht="13.5" thickBot="1">
      <c r="A144" s="406"/>
      <c r="B144" s="3664"/>
      <c r="C144" s="749"/>
      <c r="D144" s="58" t="s">
        <v>194</v>
      </c>
      <c r="E144" s="429"/>
      <c r="F144" s="466"/>
      <c r="G144" s="399"/>
      <c r="H144" s="51"/>
      <c r="I144" s="467"/>
      <c r="J144" s="51"/>
      <c r="K144" s="473"/>
      <c r="L144" s="399"/>
      <c r="M144" s="1735"/>
      <c r="N144" s="4241"/>
      <c r="O144" s="434"/>
      <c r="P144" s="445"/>
      <c r="Q144" s="726"/>
      <c r="R144" s="141"/>
      <c r="S144" s="141"/>
      <c r="T144" s="141"/>
      <c r="U144" s="141"/>
      <c r="V144" s="141"/>
      <c r="AR144" s="141"/>
      <c r="AS144" s="141"/>
      <c r="AT144" s="141"/>
      <c r="AU144" s="141"/>
    </row>
    <row r="145" spans="1:47" s="137" customFormat="1" ht="13.5" thickBot="1">
      <c r="A145" s="406"/>
      <c r="B145" s="3664"/>
      <c r="C145" s="749"/>
      <c r="D145" s="45"/>
      <c r="E145" s="429"/>
      <c r="F145" s="51"/>
      <c r="G145" s="399"/>
      <c r="H145" s="51"/>
      <c r="I145" s="399"/>
      <c r="J145" s="399"/>
      <c r="K145" s="589"/>
      <c r="L145" s="51"/>
      <c r="M145" s="446"/>
      <c r="N145" s="4241"/>
      <c r="O145" s="434"/>
      <c r="P145" s="445"/>
      <c r="Q145" s="726"/>
      <c r="R145" s="141"/>
      <c r="S145" s="141"/>
      <c r="T145" s="141"/>
      <c r="U145" s="141"/>
      <c r="V145" s="141"/>
      <c r="AR145" s="141"/>
      <c r="AS145" s="141"/>
      <c r="AT145" s="141"/>
      <c r="AU145" s="141"/>
    </row>
    <row r="146" spans="1:47" s="137" customFormat="1" ht="13.5" thickBot="1">
      <c r="A146" s="406"/>
      <c r="B146" s="3659" t="s">
        <v>1037</v>
      </c>
      <c r="C146" s="1374">
        <v>2200001</v>
      </c>
      <c r="D146" s="1238" t="s">
        <v>151</v>
      </c>
      <c r="E146" s="171">
        <f>IFERROR(VLOOKUP(C146,'פ.נ. הודו'!$D$70:$G$1144,3,0),0)</f>
        <v>-678495</v>
      </c>
      <c r="F146" s="474">
        <f>SUMIF('פ.נ. הודו'!$C:$C,$C:$C,'פ.נ. הודו'!$E:$E)</f>
        <v>0</v>
      </c>
      <c r="G146" s="398"/>
      <c r="H146" s="204"/>
      <c r="I146" s="79"/>
      <c r="J146" s="474">
        <f>SUM(E146:I146)</f>
        <v>-678495</v>
      </c>
      <c r="K146" s="170">
        <f>M146+SUMIF('פ.נ. הודו'!$C:$C,$C:$C,'פ.נ. הודו'!$F:$F)</f>
        <v>-9131.52</v>
      </c>
      <c r="L146" s="956">
        <f>+'Accrued expenses'!$O$212+J146</f>
        <v>0</v>
      </c>
      <c r="M146" s="474">
        <f>IFERROR(VLOOKUP(C146,'פ.נ. הודו'!$D$70:$G$1144,4,0),0)</f>
        <v>-9131.52</v>
      </c>
      <c r="N146" s="4240">
        <f>IF(K146=0,"-",J146/K146)</f>
        <v>74.302525756938607</v>
      </c>
      <c r="O146" s="434"/>
      <c r="P146" s="863" t="s">
        <v>2707</v>
      </c>
      <c r="Q146" s="726"/>
      <c r="R146" s="141"/>
      <c r="S146" s="141"/>
      <c r="T146" s="141"/>
      <c r="U146" s="141"/>
      <c r="V146" s="141"/>
      <c r="AR146" s="141"/>
      <c r="AS146" s="141"/>
      <c r="AT146" s="141"/>
      <c r="AU146" s="141"/>
    </row>
    <row r="147" spans="1:47" s="137" customFormat="1">
      <c r="A147" s="406"/>
      <c r="B147" s="3664"/>
      <c r="C147" s="1987"/>
      <c r="D147" s="45"/>
      <c r="E147" s="3304"/>
      <c r="F147" s="49"/>
      <c r="G147" s="49"/>
      <c r="H147" s="47"/>
      <c r="I147" s="49"/>
      <c r="J147" s="474"/>
      <c r="K147" s="474"/>
      <c r="L147" s="439"/>
      <c r="M147" s="474"/>
      <c r="N147" s="4241"/>
      <c r="O147" s="434"/>
      <c r="P147" s="445"/>
      <c r="Q147" s="726"/>
      <c r="R147" s="141"/>
      <c r="S147" s="141"/>
      <c r="T147" s="141"/>
      <c r="U147" s="141"/>
      <c r="V147" s="141"/>
      <c r="AR147" s="141"/>
      <c r="AS147" s="141"/>
      <c r="AT147" s="141"/>
      <c r="AU147" s="141"/>
    </row>
    <row r="148" spans="1:47" s="137" customFormat="1">
      <c r="A148" s="406"/>
      <c r="B148" s="3664"/>
      <c r="C148" s="1987"/>
      <c r="D148" s="757"/>
      <c r="E148" s="598">
        <f>SUM(E146:E147)</f>
        <v>-678495</v>
      </c>
      <c r="F148" s="598">
        <f>SUM(F146:F147)</f>
        <v>0</v>
      </c>
      <c r="G148" s="447">
        <f>SUM(G141:G147)</f>
        <v>0</v>
      </c>
      <c r="H148" s="447">
        <f>SUM(H141:H147)</f>
        <v>0</v>
      </c>
      <c r="I148" s="447">
        <f>SUM(I141:I147)</f>
        <v>0</v>
      </c>
      <c r="J148" s="592">
        <f>SUM(J146:J147)</f>
        <v>-678495</v>
      </c>
      <c r="K148" s="592">
        <f>SUM(K146:K147)</f>
        <v>-9131.52</v>
      </c>
      <c r="L148" s="1721"/>
      <c r="M148" s="1736">
        <f>SUM(M146:M147)</f>
        <v>-9131.52</v>
      </c>
      <c r="N148" s="4241"/>
      <c r="O148" s="434"/>
      <c r="P148" s="445"/>
      <c r="Q148" s="726"/>
      <c r="R148" s="141"/>
      <c r="S148" s="141"/>
      <c r="T148" s="141"/>
      <c r="U148" s="141"/>
      <c r="V148" s="141"/>
      <c r="AR148" s="141"/>
      <c r="AS148" s="141"/>
      <c r="AT148" s="141"/>
      <c r="AU148" s="141"/>
    </row>
    <row r="149" spans="1:47" s="137" customFormat="1" ht="13.5" thickBot="1">
      <c r="A149" s="406"/>
      <c r="B149" s="3664"/>
      <c r="C149" s="1987"/>
      <c r="D149" s="50"/>
      <c r="E149" s="429"/>
      <c r="F149" s="51"/>
      <c r="G149" s="399"/>
      <c r="H149" s="51"/>
      <c r="I149" s="399"/>
      <c r="J149" s="440"/>
      <c r="K149" s="430"/>
      <c r="L149" s="399"/>
      <c r="M149" s="1334"/>
      <c r="N149" s="4241"/>
      <c r="O149" s="434"/>
      <c r="P149" s="445"/>
      <c r="Q149" s="726"/>
      <c r="R149" s="141"/>
      <c r="S149" s="141"/>
      <c r="T149" s="141"/>
      <c r="U149" s="141"/>
      <c r="V149" s="141"/>
      <c r="AR149" s="141"/>
      <c r="AS149" s="141"/>
      <c r="AT149" s="141"/>
      <c r="AU149" s="141"/>
    </row>
    <row r="150" spans="1:47" s="137" customFormat="1" ht="13.5" thickBot="1">
      <c r="A150" s="594"/>
      <c r="B150" s="3630" t="s">
        <v>1018</v>
      </c>
      <c r="C150" s="1374">
        <v>1620001</v>
      </c>
      <c r="D150" s="45" t="s">
        <v>345</v>
      </c>
      <c r="E150" s="171">
        <f>IFERROR(VLOOKUP(C150,'פ.נ. הודו'!$D$70:$G$1144,3,0),0)</f>
        <v>-35668.92</v>
      </c>
      <c r="F150" s="170">
        <f>SUMIF('פ.נ. הודו'!$C:$C,$C:$C,'פ.נ. הודו'!$E:$E)</f>
        <v>-3.7631997620337643E-3</v>
      </c>
      <c r="G150" s="1724"/>
      <c r="H150" s="1725"/>
      <c r="I150" s="1726"/>
      <c r="J150" s="474">
        <f>SUM(E150:I150)</f>
        <v>-35668.92376319976</v>
      </c>
      <c r="K150" s="474">
        <f>M150+SUMIF('פ.נ. הודו'!$C:$C,$C:$C,'פ.נ. הודו'!$F:$F)</f>
        <v>-480.05005064701402</v>
      </c>
      <c r="L150" s="956">
        <f>Tax!D40-'מאזן בוחן הודו'!J150</f>
        <v>0</v>
      </c>
      <c r="M150" s="474">
        <f>IFERROR(VLOOKUP(C150,'פ.נ. הודו'!$D$70:$G$1144,4,0),0)</f>
        <v>-480.05</v>
      </c>
      <c r="N150" s="4240">
        <f>IF(K150=0,"-",J150/K150)</f>
        <v>74.302510155191101</v>
      </c>
      <c r="O150" s="449"/>
      <c r="P150" s="2560" t="s">
        <v>2831</v>
      </c>
      <c r="Q150" s="726"/>
      <c r="R150" s="141"/>
      <c r="S150" s="141"/>
      <c r="T150" s="141"/>
      <c r="U150" s="141"/>
      <c r="V150" s="141"/>
      <c r="AR150" s="141"/>
      <c r="AS150" s="141"/>
      <c r="AT150" s="141"/>
      <c r="AU150" s="141"/>
    </row>
    <row r="151" spans="1:47" s="137" customFormat="1">
      <c r="A151" s="406"/>
      <c r="B151" s="3664"/>
      <c r="C151" s="1987"/>
      <c r="D151" s="757"/>
      <c r="E151" s="598">
        <f>SUM(E150)</f>
        <v>-35668.92</v>
      </c>
      <c r="F151" s="598">
        <f t="shared" ref="F151:M151" si="40">SUM(F150)</f>
        <v>-3.7631997620337643E-3</v>
      </c>
      <c r="G151" s="598">
        <f t="shared" si="40"/>
        <v>0</v>
      </c>
      <c r="H151" s="598">
        <f t="shared" si="40"/>
        <v>0</v>
      </c>
      <c r="I151" s="598">
        <f t="shared" si="40"/>
        <v>0</v>
      </c>
      <c r="J151" s="598">
        <f t="shared" si="40"/>
        <v>-35668.92376319976</v>
      </c>
      <c r="K151" s="598">
        <f t="shared" si="40"/>
        <v>-480.05005064701402</v>
      </c>
      <c r="L151" s="593"/>
      <c r="M151" s="598">
        <f t="shared" si="40"/>
        <v>-480.05</v>
      </c>
      <c r="N151" s="4241"/>
      <c r="O151" s="434"/>
      <c r="P151" s="445"/>
      <c r="Q151" s="726"/>
      <c r="R151" s="141"/>
      <c r="S151" s="141"/>
      <c r="T151" s="141"/>
      <c r="U151" s="141"/>
      <c r="V151" s="141"/>
      <c r="AR151" s="141"/>
      <c r="AS151" s="141"/>
      <c r="AT151" s="141"/>
      <c r="AU151" s="141"/>
    </row>
    <row r="152" spans="1:47" s="137" customFormat="1">
      <c r="A152" s="406"/>
      <c r="B152" s="3664"/>
      <c r="C152" s="1987"/>
      <c r="D152" s="50"/>
      <c r="E152" s="429"/>
      <c r="F152" s="51"/>
      <c r="G152" s="399"/>
      <c r="H152" s="51"/>
      <c r="I152" s="399"/>
      <c r="J152" s="440"/>
      <c r="K152" s="430"/>
      <c r="L152" s="51"/>
      <c r="M152" s="430"/>
      <c r="N152" s="4241"/>
      <c r="O152" s="434"/>
      <c r="P152" s="445"/>
      <c r="Q152" s="726"/>
      <c r="R152" s="141"/>
      <c r="S152" s="141"/>
      <c r="T152" s="141"/>
      <c r="U152" s="141"/>
      <c r="V152" s="141"/>
      <c r="AR152" s="141"/>
      <c r="AS152" s="141"/>
      <c r="AT152" s="141"/>
      <c r="AU152" s="141"/>
    </row>
    <row r="153" spans="1:47" s="137" customFormat="1">
      <c r="A153" s="406"/>
      <c r="B153" s="3664"/>
      <c r="C153" s="1987"/>
      <c r="D153" s="758" t="s">
        <v>79</v>
      </c>
      <c r="E153" s="598">
        <f t="shared" ref="E153:K153" si="41">E148+E143+E136+E128+E151+E117+E132</f>
        <v>-19444479.610000003</v>
      </c>
      <c r="F153" s="598">
        <f t="shared" si="41"/>
        <v>-2.7100965162389912E-3</v>
      </c>
      <c r="G153" s="447">
        <f t="shared" si="41"/>
        <v>0</v>
      </c>
      <c r="H153" s="447">
        <f t="shared" si="41"/>
        <v>0</v>
      </c>
      <c r="I153" s="447">
        <f t="shared" si="41"/>
        <v>0</v>
      </c>
      <c r="J153" s="592">
        <f t="shared" si="41"/>
        <v>-19444479.612710096</v>
      </c>
      <c r="K153" s="592">
        <f t="shared" si="41"/>
        <v>-262047.02003647378</v>
      </c>
      <c r="L153" s="593"/>
      <c r="M153" s="592">
        <f>M148+M143+M136+M128+M151+M117+M132</f>
        <v>-262047.01999999993</v>
      </c>
      <c r="N153" s="4241"/>
      <c r="O153" s="434"/>
      <c r="P153" s="445"/>
      <c r="Q153" s="726"/>
      <c r="R153" s="141"/>
      <c r="S153" s="141"/>
      <c r="T153" s="141"/>
      <c r="U153" s="141"/>
      <c r="V153" s="141"/>
      <c r="AR153" s="141"/>
      <c r="AS153" s="141"/>
      <c r="AT153" s="141"/>
      <c r="AU153" s="141"/>
    </row>
    <row r="154" spans="1:47" s="137" customFormat="1" ht="13.5" thickBot="1">
      <c r="A154" s="406"/>
      <c r="B154" s="3664"/>
      <c r="C154" s="1987"/>
      <c r="D154" s="2185"/>
      <c r="E154" s="429"/>
      <c r="F154" s="475"/>
      <c r="G154" s="476"/>
      <c r="H154" s="475"/>
      <c r="I154" s="476"/>
      <c r="J154" s="440"/>
      <c r="K154" s="446"/>
      <c r="L154" s="51"/>
      <c r="M154" s="446"/>
      <c r="N154" s="4241"/>
      <c r="O154" s="434"/>
      <c r="P154" s="445"/>
      <c r="Q154" s="726"/>
      <c r="R154" s="141"/>
      <c r="S154" s="141"/>
      <c r="T154" s="141"/>
      <c r="U154" s="141"/>
      <c r="V154" s="141"/>
      <c r="AR154" s="141"/>
      <c r="AS154" s="141"/>
      <c r="AT154" s="141"/>
      <c r="AU154" s="141"/>
    </row>
    <row r="155" spans="1:47" s="137" customFormat="1" ht="13.5" thickBot="1">
      <c r="A155" s="406"/>
      <c r="B155" s="3659" t="s">
        <v>1019</v>
      </c>
      <c r="C155" s="1374">
        <v>53599</v>
      </c>
      <c r="D155" s="1649" t="s">
        <v>1952</v>
      </c>
      <c r="E155" s="474">
        <f>IFERROR(VLOOKUP(C155,'פ.נ. הודו'!$D$70:$G$1144,3,0),0)</f>
        <v>-52147781.200000003</v>
      </c>
      <c r="F155" s="474">
        <f>SUMIF('פ.נ. הודו'!$C:$C,$C:$C,'פ.נ. הודו'!$E:$E)</f>
        <v>-1.7270743846893311E-3</v>
      </c>
      <c r="G155" s="398"/>
      <c r="H155" s="204"/>
      <c r="I155" s="79"/>
      <c r="J155" s="474">
        <f>SUM(E155:I155)</f>
        <v>-52147781.201727077</v>
      </c>
      <c r="K155" s="474">
        <f>M155+SUMIF('פ.נ. הודו'!$C:$C,$C:$C,'פ.נ. הודו'!$F:$F)</f>
        <v>-701835.51304549701</v>
      </c>
      <c r="L155" s="956">
        <f>+'מאזן בוחן'!$K$496+K155</f>
        <v>-0.30304549704305828</v>
      </c>
      <c r="M155" s="474">
        <f>IFERROR(VLOOKUP(C155,'פ.נ. הודו'!$D$70:$G$1144,4,0),0)</f>
        <v>-701835.51</v>
      </c>
      <c r="N155" s="4240">
        <f>IF(K155=0,"-",J155/K155)</f>
        <v>74.301998448953611</v>
      </c>
      <c r="O155" s="449" t="s">
        <v>4330</v>
      </c>
      <c r="P155" s="2015"/>
      <c r="Q155" s="726"/>
      <c r="R155" s="141"/>
      <c r="S155" s="141"/>
      <c r="T155" s="141"/>
      <c r="U155" s="141"/>
      <c r="V155" s="141"/>
      <c r="AR155" s="141"/>
      <c r="AS155" s="141"/>
      <c r="AT155" s="141"/>
      <c r="AU155" s="141"/>
    </row>
    <row r="156" spans="1:47" s="137" customFormat="1">
      <c r="A156" s="406"/>
      <c r="B156" s="3664"/>
      <c r="C156" s="759"/>
      <c r="D156" s="48"/>
      <c r="E156" s="458"/>
      <c r="F156" s="475"/>
      <c r="G156" s="476"/>
      <c r="H156" s="475"/>
      <c r="I156" s="476"/>
      <c r="J156" s="440"/>
      <c r="K156" s="446"/>
      <c r="L156" s="51"/>
      <c r="M156" s="446"/>
      <c r="N156" s="4241"/>
      <c r="O156" s="434"/>
      <c r="P156" s="445"/>
      <c r="Q156" s="726"/>
      <c r="R156" s="141"/>
      <c r="S156" s="141"/>
      <c r="T156" s="141"/>
      <c r="U156" s="141"/>
      <c r="V156" s="141"/>
      <c r="AR156" s="141"/>
      <c r="AS156" s="141"/>
      <c r="AT156" s="141"/>
      <c r="AU156" s="141"/>
    </row>
    <row r="157" spans="1:47" s="137" customFormat="1" ht="13.5" thickBot="1">
      <c r="A157" s="406"/>
      <c r="B157" s="3664"/>
      <c r="C157" s="1987"/>
      <c r="D157" s="755"/>
      <c r="E157" s="598">
        <f t="shared" ref="E157:K157" si="42">SUM(E155:E156)</f>
        <v>-52147781.200000003</v>
      </c>
      <c r="F157" s="598">
        <f t="shared" si="42"/>
        <v>-1.7270743846893311E-3</v>
      </c>
      <c r="G157" s="447">
        <f t="shared" si="42"/>
        <v>0</v>
      </c>
      <c r="H157" s="447">
        <f t="shared" si="42"/>
        <v>0</v>
      </c>
      <c r="I157" s="447">
        <f t="shared" si="42"/>
        <v>0</v>
      </c>
      <c r="J157" s="592">
        <f t="shared" si="42"/>
        <v>-52147781.201727077</v>
      </c>
      <c r="K157" s="592">
        <f t="shared" si="42"/>
        <v>-701835.51304549701</v>
      </c>
      <c r="L157" s="593"/>
      <c r="M157" s="592">
        <f>SUM(M155:M156)</f>
        <v>-701835.51</v>
      </c>
      <c r="N157" s="4241"/>
      <c r="O157" s="434"/>
      <c r="P157" s="445"/>
      <c r="Q157" s="726"/>
      <c r="R157" s="141"/>
      <c r="S157" s="141"/>
      <c r="T157" s="141"/>
      <c r="U157" s="141"/>
      <c r="V157" s="141"/>
      <c r="AR157" s="141"/>
      <c r="AS157" s="141"/>
      <c r="AT157" s="141"/>
      <c r="AU157" s="141"/>
    </row>
    <row r="158" spans="1:47" s="137" customFormat="1" ht="13.5" customHeight="1" thickBot="1">
      <c r="A158" s="406"/>
      <c r="B158" s="3664"/>
      <c r="C158" s="1987"/>
      <c r="D158" s="58" t="s">
        <v>686</v>
      </c>
      <c r="E158" s="429"/>
      <c r="F158" s="475"/>
      <c r="G158" s="476"/>
      <c r="H158" s="475"/>
      <c r="I158" s="476"/>
      <c r="J158" s="440"/>
      <c r="K158" s="446"/>
      <c r="L158" s="399"/>
      <c r="M158" s="446"/>
      <c r="N158" s="4241"/>
      <c r="O158" s="434"/>
      <c r="P158" s="445"/>
      <c r="Q158" s="726"/>
      <c r="R158" s="477"/>
      <c r="AU158" s="141"/>
    </row>
    <row r="159" spans="1:47" s="137" customFormat="1" ht="13.5" thickBot="1">
      <c r="A159" s="406"/>
      <c r="B159" s="3659" t="s">
        <v>687</v>
      </c>
      <c r="C159" s="1374">
        <v>1130012</v>
      </c>
      <c r="D159" s="1649" t="s">
        <v>250</v>
      </c>
      <c r="E159" s="474">
        <f>IFERROR(VLOOKUP(C159,'פ.נ. הודו'!$D$70:$G$1144,3,0),0)</f>
        <v>-3040968.76</v>
      </c>
      <c r="F159" s="474">
        <f>SUMIF('פ.נ. הודו'!$C:$C,$C:$C,'פ.נ. הודו'!$E:$E)</f>
        <v>0</v>
      </c>
      <c r="G159" s="398"/>
      <c r="H159" s="204"/>
      <c r="I159" s="79"/>
      <c r="J159" s="474">
        <f>SUM(E159:I159)</f>
        <v>-3040968.76</v>
      </c>
      <c r="K159" s="474">
        <f>M159+SUMIF('פ.נ. הודו'!$C:$C,$C:$C,'פ.נ. הודו'!$F:$F)</f>
        <v>-40926.870000000003</v>
      </c>
      <c r="L159" s="956">
        <f>+'New TB INC'!J273+K159</f>
        <v>4.0000000000873115E-2</v>
      </c>
      <c r="M159" s="474">
        <f>IFERROR(VLOOKUP(C159,'פ.נ. הודו'!$D$70:$G$1144,4,0),0)</f>
        <v>-40926.870000000003</v>
      </c>
      <c r="N159" s="4240">
        <f>IF(K159=0,"-",J159/K159)</f>
        <v>74.302500044591724</v>
      </c>
      <c r="O159" s="434"/>
      <c r="P159" s="2015"/>
      <c r="Q159" s="726"/>
      <c r="R159" s="141"/>
      <c r="S159" s="141"/>
      <c r="T159" s="141"/>
      <c r="U159" s="141"/>
      <c r="V159" s="141"/>
      <c r="AR159" s="141"/>
      <c r="AS159" s="141"/>
      <c r="AT159" s="141"/>
      <c r="AU159" s="141"/>
    </row>
    <row r="160" spans="1:47" s="137" customFormat="1" ht="15" customHeight="1">
      <c r="A160" s="594"/>
      <c r="B160" s="3664"/>
      <c r="C160" s="1987"/>
      <c r="D160" s="63"/>
      <c r="E160" s="398"/>
      <c r="F160" s="51"/>
      <c r="G160" s="399"/>
      <c r="H160" s="63"/>
      <c r="I160" s="399"/>
      <c r="J160" s="440"/>
      <c r="K160" s="446"/>
      <c r="L160" s="51"/>
      <c r="M160" s="446"/>
      <c r="N160" s="4241"/>
      <c r="O160" s="434"/>
      <c r="P160" s="445"/>
      <c r="Q160" s="716"/>
      <c r="R160" s="32"/>
      <c r="S160" s="32"/>
      <c r="T160" s="32"/>
      <c r="U160" s="32"/>
      <c r="V160" s="32"/>
      <c r="AR160" s="32"/>
      <c r="AS160" s="32"/>
      <c r="AT160" s="32"/>
      <c r="AU160" s="141"/>
    </row>
    <row r="161" spans="1:47" s="137" customFormat="1" ht="15" customHeight="1" thickBot="1">
      <c r="A161" s="406"/>
      <c r="B161" s="3664"/>
      <c r="C161" s="1987"/>
      <c r="D161" s="755"/>
      <c r="E161" s="592">
        <f t="shared" ref="E161:M161" si="43">SUM(E159:E160)</f>
        <v>-3040968.76</v>
      </c>
      <c r="F161" s="592">
        <f t="shared" si="43"/>
        <v>0</v>
      </c>
      <c r="G161" s="592">
        <f t="shared" si="43"/>
        <v>0</v>
      </c>
      <c r="H161" s="592">
        <f t="shared" si="43"/>
        <v>0</v>
      </c>
      <c r="I161" s="592">
        <f t="shared" si="43"/>
        <v>0</v>
      </c>
      <c r="J161" s="592">
        <f t="shared" si="43"/>
        <v>-3040968.76</v>
      </c>
      <c r="K161" s="592">
        <f t="shared" si="43"/>
        <v>-40926.870000000003</v>
      </c>
      <c r="L161" s="593"/>
      <c r="M161" s="592">
        <f t="shared" si="43"/>
        <v>-40926.870000000003</v>
      </c>
      <c r="N161" s="4241"/>
      <c r="O161" s="434"/>
      <c r="P161" s="445"/>
      <c r="Q161" s="716"/>
      <c r="R161" s="32"/>
      <c r="S161" s="478"/>
      <c r="T161" s="478"/>
      <c r="U161" s="478"/>
      <c r="V161" s="478"/>
      <c r="AR161" s="478"/>
      <c r="AS161" s="478"/>
      <c r="AT161" s="478"/>
      <c r="AU161" s="141"/>
    </row>
    <row r="162" spans="1:47" s="137" customFormat="1" ht="13.5" thickBot="1">
      <c r="A162" s="406"/>
      <c r="B162" s="3664"/>
      <c r="C162" s="759"/>
      <c r="D162" s="58" t="s">
        <v>81</v>
      </c>
      <c r="E162" s="458"/>
      <c r="F162" s="458"/>
      <c r="G162" s="399"/>
      <c r="H162" s="51"/>
      <c r="I162" s="399"/>
      <c r="J162" s="440"/>
      <c r="K162" s="446"/>
      <c r="L162" s="51"/>
      <c r="M162" s="458"/>
      <c r="N162" s="4241"/>
      <c r="O162" s="602"/>
      <c r="P162" s="2039"/>
      <c r="Q162" s="726"/>
      <c r="R162" s="32"/>
      <c r="S162" s="478"/>
      <c r="T162" s="478"/>
      <c r="U162" s="478"/>
      <c r="V162" s="478"/>
      <c r="AR162" s="478"/>
      <c r="AS162" s="478"/>
      <c r="AT162" s="478"/>
      <c r="AU162" s="141"/>
    </row>
    <row r="163" spans="1:47" s="137" customFormat="1">
      <c r="A163" s="594"/>
      <c r="B163" s="3628"/>
      <c r="C163" s="1997"/>
      <c r="D163" s="48"/>
      <c r="E163" s="79"/>
      <c r="F163" s="79"/>
      <c r="G163" s="399"/>
      <c r="H163" s="52"/>
      <c r="I163" s="439"/>
      <c r="J163" s="170"/>
      <c r="K163" s="171"/>
      <c r="L163" s="51"/>
      <c r="M163" s="79"/>
      <c r="N163" s="4241"/>
      <c r="O163" s="602"/>
      <c r="P163" s="2039"/>
      <c r="Q163" s="726"/>
      <c r="R163" s="32"/>
      <c r="S163" s="478"/>
      <c r="T163" s="478"/>
      <c r="U163" s="478"/>
      <c r="V163" s="478"/>
      <c r="AR163" s="478"/>
      <c r="AS163" s="478"/>
      <c r="AT163" s="478"/>
      <c r="AU163" s="141"/>
    </row>
    <row r="164" spans="1:47" s="2022" customFormat="1" ht="13.5" thickBot="1">
      <c r="A164" s="2016"/>
      <c r="B164" s="3678" t="s">
        <v>1963</v>
      </c>
      <c r="C164" s="2017">
        <v>3000001</v>
      </c>
      <c r="D164" s="2018" t="s">
        <v>1964</v>
      </c>
      <c r="E164" s="1641">
        <f>IFERROR(VLOOKUP(C164,'פ.נ. הודו'!$D$70:$G$1144,3,0),0)</f>
        <v>-100000</v>
      </c>
      <c r="F164" s="1641">
        <f>SUMIF('פ.נ. הודו'!$C:$C,$C:$C,'פ.נ. הודו'!$E:$E)</f>
        <v>0</v>
      </c>
      <c r="G164" s="2019"/>
      <c r="H164" s="1667"/>
      <c r="I164" s="2020"/>
      <c r="J164" s="1641">
        <f>SUM(E164:I164)</f>
        <v>-100000</v>
      </c>
      <c r="K164" s="1641">
        <f>M164+SUMIF('פ.נ. הודו'!$C:$C,$C:$C,'פ.נ. הודו'!$F:$F)</f>
        <v>-1513.67</v>
      </c>
      <c r="L164" s="1416"/>
      <c r="M164" s="1641">
        <f>IFERROR(VLOOKUP(C164,'פ.נ. הודו'!$D$70:$G$1144,4,0),0)</f>
        <v>-1513.67</v>
      </c>
      <c r="N164" s="4246">
        <f>IF(K164=0,"-",J164/K164)</f>
        <v>66.064597963889085</v>
      </c>
      <c r="O164" s="2286" t="s">
        <v>3069</v>
      </c>
      <c r="P164" s="2039"/>
      <c r="Q164" s="2021"/>
      <c r="R164" s="1595"/>
      <c r="S164" s="1595"/>
      <c r="T164" s="1595"/>
      <c r="U164" s="1595"/>
      <c r="V164" s="1595"/>
      <c r="W164" s="137"/>
      <c r="X164" s="137"/>
      <c r="Y164" s="137"/>
      <c r="Z164" s="137"/>
      <c r="AA164" s="137"/>
      <c r="AB164" s="137"/>
      <c r="AC164" s="137"/>
      <c r="AD164" s="137"/>
      <c r="AE164" s="137"/>
      <c r="AF164" s="137"/>
      <c r="AG164" s="137"/>
      <c r="AH164" s="137"/>
      <c r="AI164" s="137"/>
      <c r="AJ164" s="137"/>
      <c r="AK164" s="137"/>
      <c r="AL164" s="137"/>
      <c r="AM164" s="137"/>
      <c r="AN164" s="137"/>
      <c r="AO164" s="137"/>
      <c r="AP164" s="137"/>
      <c r="AQ164" s="137"/>
      <c r="AR164" s="1595"/>
      <c r="AS164" s="1595"/>
      <c r="AT164" s="1595"/>
      <c r="AU164" s="1595"/>
    </row>
    <row r="165" spans="1:47" s="137" customFormat="1" ht="13.5" thickBot="1">
      <c r="A165" s="594"/>
      <c r="B165" s="3630" t="s">
        <v>1050</v>
      </c>
      <c r="C165" s="2017">
        <v>3030001</v>
      </c>
      <c r="D165" s="2845" t="s">
        <v>1051</v>
      </c>
      <c r="E165" s="1641">
        <f>IFERROR(VLOOKUP(C165,'פ.נ. הודו'!$D$70:$G$1144,3,0),0)</f>
        <v>-6790810.5099999998</v>
      </c>
      <c r="F165" s="1641">
        <f>SUMIF('פ.נ. הודו'!$C:$C,$C:$C,'פ.נ. הודו'!$E:$E)</f>
        <v>0</v>
      </c>
      <c r="G165" s="2019"/>
      <c r="H165" s="1667"/>
      <c r="I165" s="2020"/>
      <c r="J165" s="1641">
        <f>SUM(E165:I165)</f>
        <v>-6790810.5099999998</v>
      </c>
      <c r="K165" s="1641">
        <f>M165+SUMIF('פ.נ. הודו'!$C:$C,$C:$C,'פ.נ. הודו'!$F:$F)</f>
        <v>-102989.66</v>
      </c>
      <c r="L165" s="2190">
        <f>'[32]FS India'!$C$44+J165</f>
        <v>0</v>
      </c>
      <c r="M165" s="1641">
        <f>IFERROR(VLOOKUP(C165,'פ.נ. הודו'!$D$70:$G$1144,4,0),0)</f>
        <v>-102989.66</v>
      </c>
      <c r="N165" s="4246">
        <f>IF(K165=0,"-",J165/K165)</f>
        <v>65.936818414586469</v>
      </c>
      <c r="O165" s="434"/>
      <c r="P165" s="445"/>
      <c r="Q165" s="726"/>
      <c r="R165" s="204">
        <f>'[22]מאזן בוחן הודו'!$R$151</f>
        <v>0</v>
      </c>
      <c r="S165" s="52">
        <f>'[23]מאזן בוחן הודו'!S156</f>
        <v>0</v>
      </c>
      <c r="T165" s="52">
        <f>'[24]מאזן בוחן הודו'!T159</f>
        <v>0</v>
      </c>
      <c r="U165" s="52">
        <f>'[25]מאזן בוחן הודו'!U162</f>
        <v>0</v>
      </c>
      <c r="V165" s="52">
        <f>'[172]מאזן בוחן הודו'!V161</f>
        <v>0</v>
      </c>
      <c r="W165" s="137">
        <f>K165</f>
        <v>-102989.66</v>
      </c>
      <c r="AR165" s="52"/>
      <c r="AS165" s="52"/>
      <c r="AT165" s="52"/>
      <c r="AU165" s="52"/>
    </row>
    <row r="166" spans="1:47" s="137" customFormat="1">
      <c r="A166" s="406"/>
      <c r="B166" s="3664"/>
      <c r="C166" s="1987"/>
      <c r="D166" s="755"/>
      <c r="E166" s="592">
        <f t="shared" ref="E166:K166" si="44">SUM(E163:E165)</f>
        <v>-6890810.5099999998</v>
      </c>
      <c r="F166" s="592">
        <f t="shared" si="44"/>
        <v>0</v>
      </c>
      <c r="G166" s="447">
        <f t="shared" si="44"/>
        <v>0</v>
      </c>
      <c r="H166" s="447">
        <f t="shared" si="44"/>
        <v>0</v>
      </c>
      <c r="I166" s="447">
        <f t="shared" si="44"/>
        <v>0</v>
      </c>
      <c r="J166" s="592">
        <f t="shared" si="44"/>
        <v>-6890810.5099999998</v>
      </c>
      <c r="K166" s="592">
        <f t="shared" si="44"/>
        <v>-104503.33</v>
      </c>
      <c r="L166" s="593"/>
      <c r="M166" s="592">
        <f>SUM(M163:M165)</f>
        <v>-104503.33</v>
      </c>
      <c r="N166" s="4241"/>
      <c r="O166" s="602"/>
      <c r="P166" s="2039"/>
      <c r="Q166" s="716"/>
      <c r="R166" s="32"/>
      <c r="S166" s="32"/>
      <c r="T166" s="32"/>
      <c r="U166" s="32"/>
      <c r="V166" s="32"/>
      <c r="AR166" s="32"/>
      <c r="AS166" s="32"/>
      <c r="AT166" s="32"/>
      <c r="AU166" s="32"/>
    </row>
    <row r="167" spans="1:47" s="137" customFormat="1">
      <c r="A167" s="406"/>
      <c r="B167" s="3664"/>
      <c r="C167" s="1987"/>
      <c r="D167" s="54"/>
      <c r="E167" s="398"/>
      <c r="F167" s="51"/>
      <c r="G167" s="399"/>
      <c r="H167" s="51"/>
      <c r="I167" s="399"/>
      <c r="J167" s="51"/>
      <c r="K167" s="399"/>
      <c r="L167" s="51"/>
      <c r="M167" s="399"/>
      <c r="N167" s="4241"/>
      <c r="O167" s="434"/>
      <c r="P167" s="445"/>
      <c r="Q167" s="716"/>
      <c r="R167" s="32"/>
      <c r="S167" s="32"/>
      <c r="T167" s="32"/>
      <c r="U167" s="32"/>
      <c r="V167" s="32"/>
      <c r="AR167" s="32"/>
      <c r="AS167" s="32"/>
      <c r="AT167" s="32"/>
      <c r="AU167" s="32"/>
    </row>
    <row r="168" spans="1:47" s="137" customFormat="1" ht="15" customHeight="1">
      <c r="A168" s="406"/>
      <c r="B168" s="3664"/>
      <c r="C168" s="1987"/>
      <c r="D168" s="756" t="s">
        <v>709</v>
      </c>
      <c r="E168" s="592">
        <f t="shared" ref="E168:K168" si="45">E166+E153+E88+E161+E157</f>
        <v>-81524040.080000013</v>
      </c>
      <c r="F168" s="447">
        <f t="shared" si="45"/>
        <v>-4.4371709009283222E-3</v>
      </c>
      <c r="G168" s="447">
        <f t="shared" si="45"/>
        <v>0</v>
      </c>
      <c r="H168" s="447">
        <f t="shared" si="45"/>
        <v>0</v>
      </c>
      <c r="I168" s="447">
        <f t="shared" si="45"/>
        <v>0</v>
      </c>
      <c r="J168" s="592">
        <f t="shared" si="45"/>
        <v>-81524040.084437162</v>
      </c>
      <c r="K168" s="592">
        <f t="shared" si="45"/>
        <v>-1109312.7330819708</v>
      </c>
      <c r="L168" s="593"/>
      <c r="M168" s="592">
        <f>M166+M153+M88+M161+M157</f>
        <v>-1109312.73</v>
      </c>
      <c r="N168" s="4241"/>
      <c r="O168" s="434"/>
      <c r="P168" s="445"/>
      <c r="Q168" s="716"/>
      <c r="R168" s="32"/>
      <c r="S168" s="32"/>
      <c r="T168" s="32"/>
      <c r="U168" s="32"/>
      <c r="V168" s="32"/>
      <c r="AR168" s="32"/>
      <c r="AS168" s="32"/>
      <c r="AT168" s="32"/>
      <c r="AU168" s="32"/>
    </row>
    <row r="169" spans="1:47" s="137" customFormat="1" ht="15" customHeight="1">
      <c r="A169" s="594"/>
      <c r="B169" s="3624"/>
      <c r="C169" s="1987"/>
      <c r="D169" s="709"/>
      <c r="E169" s="710"/>
      <c r="F169" s="711"/>
      <c r="G169" s="463"/>
      <c r="H169" s="711"/>
      <c r="I169" s="463"/>
      <c r="J169" s="712"/>
      <c r="K169" s="710"/>
      <c r="L169" s="713"/>
      <c r="M169" s="710"/>
      <c r="N169" s="4241"/>
      <c r="O169" s="434"/>
      <c r="P169" s="445"/>
      <c r="Q169" s="716"/>
      <c r="R169" s="32"/>
      <c r="S169" s="32"/>
      <c r="T169" s="32"/>
      <c r="U169" s="32"/>
      <c r="V169" s="32"/>
      <c r="AR169" s="32"/>
      <c r="AS169" s="32"/>
      <c r="AT169" s="32"/>
      <c r="AU169" s="32"/>
    </row>
    <row r="170" spans="1:47" s="137" customFormat="1" ht="15" customHeight="1">
      <c r="A170" s="594"/>
      <c r="B170" s="3624"/>
      <c r="C170" s="1987"/>
      <c r="D170" s="709"/>
      <c r="E170" s="710"/>
      <c r="F170" s="711"/>
      <c r="G170" s="463"/>
      <c r="H170" s="711"/>
      <c r="I170" s="463"/>
      <c r="J170" s="712"/>
      <c r="K170" s="710"/>
      <c r="L170" s="713"/>
      <c r="M170" s="710"/>
      <c r="N170" s="4241"/>
      <c r="O170" s="434"/>
      <c r="P170" s="445"/>
      <c r="Q170" s="716"/>
      <c r="R170" s="32"/>
      <c r="S170" s="32"/>
      <c r="T170" s="32"/>
      <c r="U170" s="32"/>
      <c r="V170" s="32"/>
      <c r="AR170" s="32"/>
      <c r="AS170" s="32"/>
      <c r="AT170" s="32"/>
      <c r="AU170" s="32"/>
    </row>
    <row r="171" spans="1:47" s="137" customFormat="1">
      <c r="A171" s="4166"/>
      <c r="B171" s="3624"/>
      <c r="C171" s="1987"/>
      <c r="D171" s="54"/>
      <c r="E171" s="398"/>
      <c r="F171" s="51"/>
      <c r="G171" s="399"/>
      <c r="H171" s="51"/>
      <c r="I171" s="399"/>
      <c r="J171" s="51"/>
      <c r="K171" s="399"/>
      <c r="L171" s="51"/>
      <c r="M171" s="399"/>
      <c r="N171" s="4241"/>
      <c r="O171" s="434"/>
      <c r="P171" s="445"/>
      <c r="Q171" s="726"/>
      <c r="R171" s="141"/>
      <c r="S171" s="141"/>
      <c r="T171" s="141"/>
      <c r="U171" s="141"/>
      <c r="V171" s="141"/>
      <c r="AR171" s="141"/>
      <c r="AS171" s="141"/>
      <c r="AT171" s="141"/>
      <c r="AU171" s="141"/>
    </row>
    <row r="172" spans="1:47" s="137" customFormat="1">
      <c r="A172" s="4166"/>
      <c r="B172" s="3624"/>
      <c r="C172" s="749"/>
      <c r="D172" s="50" t="s">
        <v>83</v>
      </c>
      <c r="E172" s="429"/>
      <c r="F172" s="51"/>
      <c r="G172" s="399"/>
      <c r="H172" s="51"/>
      <c r="I172" s="399"/>
      <c r="J172" s="51"/>
      <c r="K172" s="399"/>
      <c r="L172" s="51"/>
      <c r="M172" s="399"/>
      <c r="N172" s="4241"/>
      <c r="O172" s="434"/>
      <c r="P172" s="445"/>
      <c r="Q172" s="726"/>
      <c r="R172" s="141"/>
      <c r="S172" s="141"/>
      <c r="T172" s="141"/>
      <c r="U172" s="141"/>
      <c r="V172" s="141"/>
      <c r="AR172" s="141"/>
      <c r="AS172" s="141"/>
      <c r="AT172" s="141"/>
      <c r="AU172" s="141"/>
    </row>
    <row r="173" spans="1:47" s="137" customFormat="1">
      <c r="A173" s="4166"/>
      <c r="B173" s="3624"/>
      <c r="C173" s="749"/>
      <c r="D173" s="70" t="s">
        <v>84</v>
      </c>
      <c r="E173" s="429"/>
      <c r="F173" s="51"/>
      <c r="G173" s="399"/>
      <c r="H173" s="51"/>
      <c r="I173" s="399"/>
      <c r="J173" s="51"/>
      <c r="K173" s="399"/>
      <c r="L173" s="51"/>
      <c r="M173" s="399"/>
      <c r="N173" s="4241"/>
      <c r="O173" s="434"/>
      <c r="P173" s="445"/>
      <c r="Q173" s="726"/>
      <c r="R173" s="141"/>
      <c r="S173" s="141"/>
      <c r="T173" s="141"/>
      <c r="U173" s="141"/>
      <c r="V173" s="141"/>
      <c r="AD173" s="500"/>
      <c r="AE173" s="500"/>
      <c r="AF173" s="500"/>
      <c r="AG173" s="500"/>
      <c r="AH173" s="500"/>
      <c r="AI173" s="500"/>
      <c r="AJ173" s="500"/>
      <c r="AK173" s="500"/>
      <c r="AL173" s="500"/>
      <c r="AM173" s="500"/>
      <c r="AN173" s="500"/>
      <c r="AO173" s="500"/>
      <c r="AR173" s="141"/>
      <c r="AS173" s="141"/>
      <c r="AT173" s="141"/>
      <c r="AU173" s="141"/>
    </row>
    <row r="174" spans="1:47" s="32" customFormat="1" ht="13.5" thickBot="1">
      <c r="A174" s="4167"/>
      <c r="B174" s="3624"/>
      <c r="C174" s="1999"/>
      <c r="E174" s="469"/>
      <c r="G174" s="469"/>
      <c r="I174" s="469"/>
      <c r="K174" s="469"/>
      <c r="L174" s="51"/>
      <c r="M174" s="469"/>
      <c r="N174" s="4241"/>
      <c r="P174" s="1635"/>
      <c r="Q174" s="2493" t="s">
        <v>2540</v>
      </c>
      <c r="R174" s="500" t="s">
        <v>2541</v>
      </c>
      <c r="S174" s="500" t="s">
        <v>2642</v>
      </c>
      <c r="T174" s="500" t="s">
        <v>2835</v>
      </c>
      <c r="U174" s="500" t="s">
        <v>2966</v>
      </c>
      <c r="V174" s="500" t="s">
        <v>3034</v>
      </c>
      <c r="W174" s="500" t="s">
        <v>3566</v>
      </c>
      <c r="X174" s="500" t="s">
        <v>3567</v>
      </c>
      <c r="Y174" s="500" t="s">
        <v>3568</v>
      </c>
      <c r="Z174" s="500" t="s">
        <v>3565</v>
      </c>
      <c r="AA174" s="500" t="s">
        <v>3635</v>
      </c>
      <c r="AB174" s="500" t="s">
        <v>3719</v>
      </c>
      <c r="AC174" s="500" t="s">
        <v>3890</v>
      </c>
      <c r="AD174" s="500" t="s">
        <v>3986</v>
      </c>
      <c r="AE174" s="500" t="s">
        <v>4115</v>
      </c>
      <c r="AF174" s="500" t="s">
        <v>4263</v>
      </c>
      <c r="AG174" s="500" t="s">
        <v>4370</v>
      </c>
      <c r="AH174" s="500" t="s">
        <v>4569</v>
      </c>
      <c r="AI174" s="500"/>
      <c r="AJ174" s="500"/>
      <c r="AK174" s="500"/>
      <c r="AL174" s="500"/>
      <c r="AM174" s="500"/>
      <c r="AN174" s="500"/>
      <c r="AO174" s="500"/>
      <c r="AQ174" s="500"/>
      <c r="AR174" s="500"/>
      <c r="AS174" s="500"/>
      <c r="AT174" s="500"/>
      <c r="AU174" s="714"/>
    </row>
    <row r="175" spans="1:47" s="137" customFormat="1" ht="13.5" thickBot="1">
      <c r="A175" s="4166"/>
      <c r="B175" s="3659" t="s">
        <v>1065</v>
      </c>
      <c r="C175" s="1374">
        <v>80094</v>
      </c>
      <c r="D175" s="601" t="s">
        <v>2501</v>
      </c>
      <c r="E175" s="474">
        <f>IFERROR(VLOOKUP(C175,'פ.נ. הודו'!$D$70:$G$1144,3,0),0)</f>
        <v>-212692416.68000001</v>
      </c>
      <c r="F175" s="474">
        <f>SUMIF('פ.נ. הודו'!$C:$C,$C:$C,'פ.נ. הודו'!$E:$E)</f>
        <v>1.7270743846893311E-3</v>
      </c>
      <c r="G175" s="398"/>
      <c r="H175" s="204"/>
      <c r="I175" s="79"/>
      <c r="J175" s="439">
        <f>SUM(E175:I175)</f>
        <v>-212692416.67827293</v>
      </c>
      <c r="K175" s="474">
        <f>M175+SUMIF('פ.נ. הודו'!$C:$C,$C:$C,'פ.נ. הודו'!$F:$F)</f>
        <v>-2876820.1369545031</v>
      </c>
      <c r="L175" s="956">
        <f>K175+'מאזן בוחן'!$K$706</f>
        <v>1.7030454967170954</v>
      </c>
      <c r="M175" s="474">
        <f>IFERROR(VLOOKUP(C175,'פ.נ. הודו'!$D$70:$G$1144,4,0),0)</f>
        <v>-2876820.14</v>
      </c>
      <c r="N175" s="4240">
        <f>IF(K175=0,"-",J175/K175)</f>
        <v>73.93316458895346</v>
      </c>
      <c r="O175" s="434"/>
      <c r="P175" s="445"/>
      <c r="Q175" s="726">
        <v>-340914.53</v>
      </c>
      <c r="R175" s="204">
        <v>0</v>
      </c>
      <c r="S175" s="52">
        <v>-198982.24</v>
      </c>
      <c r="T175" s="52">
        <v>-157247.31308899319</v>
      </c>
      <c r="U175" s="52">
        <v>-146936.76327126671</v>
      </c>
      <c r="V175" s="52">
        <v>-240963.81512372661</v>
      </c>
      <c r="W175" s="137">
        <f>'[26]מאזן בוחן הודו'!W161</f>
        <v>-165419.17363045498</v>
      </c>
      <c r="X175" s="137">
        <f>'[27]מאזן בוחן הודו'!X160</f>
        <v>-183381.03528319404</v>
      </c>
      <c r="Y175" s="137">
        <f>'[28]מאזן בוחן הודו'!Y162</f>
        <v>-281082.40108635096</v>
      </c>
      <c r="Z175" s="137">
        <f>'[29]מאזן בוחן הודו'!Z166</f>
        <v>-180265.50977715896</v>
      </c>
      <c r="AA175" s="137">
        <f>'[30]מאזן בוחן הודו'!AA166</f>
        <v>-200661.23491179198</v>
      </c>
      <c r="AB175" s="137">
        <f>'[31]מאזן בוחן הודו'!AB161</f>
        <v>-281358.80531104899</v>
      </c>
      <c r="AC175" s="137">
        <v>-197659.16126276692</v>
      </c>
      <c r="AD175" s="137">
        <v>-215677.61142061325</v>
      </c>
      <c r="AE175" s="137">
        <v>-282992.93175487383</v>
      </c>
      <c r="AF175" s="137">
        <v>-210263.38207985181</v>
      </c>
      <c r="AG175" s="137">
        <v>-204137.73212627647</v>
      </c>
      <c r="AH175" s="137">
        <f>$K175-SUM($W175:AG175)</f>
        <v>-473921.15831012093</v>
      </c>
      <c r="AR175" s="52"/>
      <c r="AS175" s="52"/>
      <c r="AT175" s="52"/>
      <c r="AU175" s="52"/>
    </row>
    <row r="176" spans="1:47" s="137" customFormat="1">
      <c r="A176" s="4166"/>
      <c r="B176" s="3624"/>
      <c r="C176" s="1987"/>
      <c r="D176" s="757" t="s">
        <v>454</v>
      </c>
      <c r="E176" s="598">
        <f t="shared" ref="E176:K176" si="46">SUM(E175:E175)</f>
        <v>-212692416.68000001</v>
      </c>
      <c r="F176" s="598">
        <f t="shared" si="46"/>
        <v>1.7270743846893311E-3</v>
      </c>
      <c r="G176" s="447">
        <f t="shared" si="46"/>
        <v>0</v>
      </c>
      <c r="H176" s="447">
        <f t="shared" si="46"/>
        <v>0</v>
      </c>
      <c r="I176" s="447">
        <f t="shared" si="46"/>
        <v>0</v>
      </c>
      <c r="J176" s="592">
        <f t="shared" si="46"/>
        <v>-212692416.67827293</v>
      </c>
      <c r="K176" s="592">
        <f t="shared" si="46"/>
        <v>-2876820.1369545031</v>
      </c>
      <c r="L176" s="1721"/>
      <c r="M176" s="1718">
        <f>SUM(M175:M175)</f>
        <v>-2876820.14</v>
      </c>
      <c r="N176" s="4241"/>
      <c r="O176" s="434"/>
      <c r="P176" s="445"/>
      <c r="Q176" s="726"/>
      <c r="R176" s="204">
        <v>0</v>
      </c>
      <c r="S176" s="52">
        <v>-539896.77</v>
      </c>
      <c r="T176" s="52">
        <v>-157247.31308899319</v>
      </c>
      <c r="U176" s="52">
        <v>-146936.76327126671</v>
      </c>
      <c r="V176" s="52">
        <v>-240963.81512372661</v>
      </c>
      <c r="W176" s="137">
        <f>'[26]מאזן בוחן הודו'!W162</f>
        <v>-165419.17363045498</v>
      </c>
      <c r="X176" s="137">
        <f>'[27]מאזן בוחן הודו'!X161</f>
        <v>-183381.03528319404</v>
      </c>
      <c r="Y176" s="137">
        <f>'[28]מאזן בוחן הודו'!Y163</f>
        <v>-281082.40108635096</v>
      </c>
      <c r="Z176" s="137">
        <f>'[29]מאזן בוחן הודו'!Z167</f>
        <v>-180265.50977715896</v>
      </c>
      <c r="AA176" s="137">
        <f>'[30]מאזן בוחן הודו'!AA167</f>
        <v>-200661.23491179198</v>
      </c>
      <c r="AB176" s="137">
        <f>'[31]מאזן בוחן הודו'!AB162</f>
        <v>-281358.80531104899</v>
      </c>
      <c r="AC176" s="137">
        <v>-197659.16126276692</v>
      </c>
      <c r="AD176" s="137">
        <v>-215677.61142061325</v>
      </c>
      <c r="AE176" s="137">
        <v>-282992.93175487383</v>
      </c>
      <c r="AF176" s="137">
        <v>-210263.38207985181</v>
      </c>
      <c r="AG176" s="137">
        <v>-204137.73212627647</v>
      </c>
      <c r="AH176" s="137">
        <f>$K176-SUM($W176:AG176)</f>
        <v>-473921.15831012093</v>
      </c>
      <c r="AR176" s="52"/>
      <c r="AS176" s="52"/>
      <c r="AT176" s="52"/>
      <c r="AU176" s="52"/>
    </row>
    <row r="177" spans="1:47" s="137" customFormat="1">
      <c r="A177" s="4166"/>
      <c r="B177" s="3624"/>
      <c r="C177" s="1987"/>
      <c r="D177" s="50"/>
      <c r="E177" s="429"/>
      <c r="F177" s="51"/>
      <c r="G177" s="399"/>
      <c r="H177" s="51"/>
      <c r="I177" s="399"/>
      <c r="J177" s="51"/>
      <c r="K177" s="399"/>
      <c r="L177" s="399"/>
      <c r="M177" s="967"/>
      <c r="N177" s="4241"/>
      <c r="O177" s="434"/>
      <c r="P177" s="445"/>
      <c r="Q177" s="726"/>
      <c r="R177" s="204">
        <v>0</v>
      </c>
      <c r="S177" s="52">
        <v>0</v>
      </c>
      <c r="T177" s="52">
        <v>0</v>
      </c>
      <c r="U177" s="52">
        <v>0</v>
      </c>
      <c r="V177" s="52">
        <v>0</v>
      </c>
      <c r="W177" s="137">
        <f>'[26]מאזן בוחן הודו'!W163</f>
        <v>0</v>
      </c>
      <c r="X177" s="137">
        <f>'[27]מאזן בוחן הודו'!X162</f>
        <v>0</v>
      </c>
      <c r="Y177" s="137">
        <f>'[28]מאזן בוחן הודו'!Y164</f>
        <v>0</v>
      </c>
      <c r="Z177" s="137">
        <f>'[29]מאזן בוחן הודו'!Z168</f>
        <v>0</v>
      </c>
      <c r="AA177" s="137">
        <f>'[30]מאזן בוחן הודו'!AA168</f>
        <v>0</v>
      </c>
      <c r="AB177" s="137">
        <f>'[31]מאזן בוחן הודו'!AB163</f>
        <v>0</v>
      </c>
      <c r="AC177" s="137">
        <v>0</v>
      </c>
      <c r="AD177" s="137">
        <v>0</v>
      </c>
      <c r="AE177" s="137">
        <v>0</v>
      </c>
      <c r="AF177" s="137">
        <v>0</v>
      </c>
      <c r="AG177" s="137">
        <v>0</v>
      </c>
      <c r="AH177" s="137">
        <f>$K177-SUM($W177:AG177)</f>
        <v>0</v>
      </c>
      <c r="AR177" s="52"/>
      <c r="AS177" s="52"/>
      <c r="AT177" s="52"/>
      <c r="AU177" s="141"/>
    </row>
    <row r="178" spans="1:47" s="137" customFormat="1">
      <c r="A178" s="4166"/>
      <c r="B178" s="3624"/>
      <c r="C178" s="749"/>
      <c r="D178" s="70" t="s">
        <v>251</v>
      </c>
      <c r="E178" s="398"/>
      <c r="F178" s="51"/>
      <c r="G178" s="399"/>
      <c r="H178" s="51"/>
      <c r="I178" s="399"/>
      <c r="J178" s="52"/>
      <c r="K178" s="399"/>
      <c r="L178" s="399"/>
      <c r="M178" s="967"/>
      <c r="N178" s="4241"/>
      <c r="O178" s="434"/>
      <c r="P178" s="445"/>
      <c r="Q178" s="726"/>
      <c r="R178" s="204">
        <v>0</v>
      </c>
      <c r="S178" s="52">
        <v>0</v>
      </c>
      <c r="T178" s="52">
        <v>0</v>
      </c>
      <c r="U178" s="52">
        <v>0</v>
      </c>
      <c r="V178" s="52">
        <v>0</v>
      </c>
      <c r="W178" s="137">
        <f>'[26]מאזן בוחן הודו'!W164</f>
        <v>0</v>
      </c>
      <c r="X178" s="137">
        <f>'[27]מאזן בוחן הודו'!X163</f>
        <v>0</v>
      </c>
      <c r="Y178" s="137">
        <f>'[28]מאזן בוחן הודו'!Y165</f>
        <v>0</v>
      </c>
      <c r="Z178" s="137">
        <f>'[29]מאזן בוחן הודו'!Z169</f>
        <v>0</v>
      </c>
      <c r="AA178" s="137">
        <f>'[30]מאזן בוחן הודו'!AA169</f>
        <v>0</v>
      </c>
      <c r="AB178" s="137">
        <f>'[31]מאזן בוחן הודו'!AB164</f>
        <v>0</v>
      </c>
      <c r="AC178" s="137">
        <v>0</v>
      </c>
      <c r="AD178" s="137">
        <v>0</v>
      </c>
      <c r="AE178" s="137">
        <v>0</v>
      </c>
      <c r="AF178" s="137">
        <v>0</v>
      </c>
      <c r="AG178" s="137">
        <v>0</v>
      </c>
      <c r="AH178" s="137">
        <f>$K178-SUM($W178:AG178)</f>
        <v>0</v>
      </c>
      <c r="AR178" s="52"/>
      <c r="AS178" s="52"/>
      <c r="AT178" s="52"/>
      <c r="AU178" s="141"/>
    </row>
    <row r="179" spans="1:47" s="137" customFormat="1">
      <c r="A179" s="4166"/>
      <c r="B179" s="3624"/>
      <c r="C179" s="1985"/>
      <c r="D179" s="760"/>
      <c r="E179" s="398"/>
      <c r="F179" s="51"/>
      <c r="G179" s="399"/>
      <c r="H179" s="51"/>
      <c r="I179" s="399"/>
      <c r="J179" s="439"/>
      <c r="K179" s="967"/>
      <c r="L179" s="399"/>
      <c r="M179" s="967"/>
      <c r="N179" s="4241"/>
      <c r="O179" s="434"/>
      <c r="P179" s="445"/>
      <c r="Q179" s="1152"/>
      <c r="R179" s="204">
        <v>0</v>
      </c>
      <c r="S179" s="52">
        <v>0</v>
      </c>
      <c r="T179" s="52">
        <v>0</v>
      </c>
      <c r="U179" s="52">
        <v>0</v>
      </c>
      <c r="V179" s="52">
        <v>0</v>
      </c>
      <c r="W179" s="137">
        <f>'[26]מאזן בוחן הודו'!W165</f>
        <v>0</v>
      </c>
      <c r="X179" s="137">
        <f>'[27]מאזן בוחן הודו'!X164</f>
        <v>0</v>
      </c>
      <c r="Y179" s="137">
        <f>'[28]מאזן בוחן הודו'!Y166</f>
        <v>0</v>
      </c>
      <c r="Z179" s="137">
        <f>'[29]מאזן בוחן הודו'!Z170</f>
        <v>0</v>
      </c>
      <c r="AA179" s="137">
        <f>'[30]מאזן בוחן הודו'!AA170</f>
        <v>0</v>
      </c>
      <c r="AB179" s="137">
        <f>'[31]מאזן בוחן הודו'!AB165</f>
        <v>0</v>
      </c>
      <c r="AC179" s="137">
        <v>0</v>
      </c>
      <c r="AD179" s="137">
        <v>0</v>
      </c>
      <c r="AE179" s="137">
        <v>0</v>
      </c>
      <c r="AF179" s="137">
        <v>0</v>
      </c>
      <c r="AG179" s="137">
        <v>0</v>
      </c>
      <c r="AH179" s="137">
        <f>$K179-SUM($W179:AG179)</f>
        <v>0</v>
      </c>
      <c r="AR179" s="52"/>
      <c r="AS179" s="52"/>
      <c r="AT179" s="52"/>
      <c r="AU179" s="141"/>
    </row>
    <row r="180" spans="1:47" s="137" customFormat="1">
      <c r="A180" s="594"/>
      <c r="B180" s="3630"/>
      <c r="C180" s="1985"/>
      <c r="D180" s="607" t="s">
        <v>2514</v>
      </c>
      <c r="E180" s="398"/>
      <c r="F180" s="51"/>
      <c r="G180" s="399"/>
      <c r="H180" s="51"/>
      <c r="I180" s="399"/>
      <c r="J180" s="439"/>
      <c r="K180" s="967"/>
      <c r="L180" s="399"/>
      <c r="M180" s="967"/>
      <c r="N180" s="4241"/>
      <c r="O180" s="434"/>
      <c r="P180" s="445"/>
      <c r="Q180" s="1152"/>
      <c r="R180" s="204">
        <v>0</v>
      </c>
      <c r="S180" s="52">
        <v>0</v>
      </c>
      <c r="T180" s="52">
        <v>0</v>
      </c>
      <c r="U180" s="52">
        <v>0</v>
      </c>
      <c r="V180" s="52">
        <v>0</v>
      </c>
      <c r="W180" s="137">
        <f>'[26]מאזן בוחן הודו'!W166</f>
        <v>0</v>
      </c>
      <c r="X180" s="137">
        <f>'[27]מאזן בוחן הודו'!X165</f>
        <v>0</v>
      </c>
      <c r="Y180" s="137">
        <f>'[28]מאזן בוחן הודו'!Y167</f>
        <v>0</v>
      </c>
      <c r="Z180" s="137">
        <f>'[29]מאזן בוחן הודו'!Z171</f>
        <v>0</v>
      </c>
      <c r="AA180" s="137">
        <f>'[30]מאזן בוחן הודו'!AA171</f>
        <v>0</v>
      </c>
      <c r="AB180" s="137">
        <f>'[31]מאזן בוחן הודו'!AB166</f>
        <v>0</v>
      </c>
      <c r="AC180" s="137">
        <v>0</v>
      </c>
      <c r="AD180" s="137">
        <v>0</v>
      </c>
      <c r="AE180" s="137">
        <v>0</v>
      </c>
      <c r="AF180" s="137">
        <v>0</v>
      </c>
      <c r="AG180" s="137">
        <v>0</v>
      </c>
      <c r="AH180" s="137">
        <f>$K180-SUM($W180:AG180)</f>
        <v>0</v>
      </c>
      <c r="AR180" s="52"/>
      <c r="AS180" s="52"/>
      <c r="AT180" s="52"/>
      <c r="AU180" s="141"/>
    </row>
    <row r="181" spans="1:47" s="137" customFormat="1">
      <c r="A181" s="594"/>
      <c r="B181" s="3630"/>
      <c r="C181" s="1985"/>
      <c r="D181" s="34"/>
      <c r="E181" s="398"/>
      <c r="F181" s="51"/>
      <c r="G181" s="399"/>
      <c r="H181" s="51"/>
      <c r="I181" s="399"/>
      <c r="J181" s="439"/>
      <c r="K181" s="967"/>
      <c r="L181" s="399"/>
      <c r="M181" s="967"/>
      <c r="N181" s="4241"/>
      <c r="O181" s="434"/>
      <c r="P181" s="445"/>
      <c r="Q181" s="1152"/>
      <c r="R181" s="204">
        <v>0</v>
      </c>
      <c r="S181" s="52">
        <v>0</v>
      </c>
      <c r="T181" s="52">
        <v>0</v>
      </c>
      <c r="U181" s="52">
        <v>0</v>
      </c>
      <c r="V181" s="52">
        <v>0</v>
      </c>
      <c r="W181" s="137">
        <f>'[26]מאזן בוחן הודו'!W167</f>
        <v>0</v>
      </c>
      <c r="X181" s="137">
        <f>'[27]מאזן בוחן הודו'!X166</f>
        <v>0</v>
      </c>
      <c r="Y181" s="137">
        <f>'[28]מאזן בוחן הודו'!Y168</f>
        <v>0</v>
      </c>
      <c r="Z181" s="137">
        <f>'[29]מאזן בוחן הודו'!Z172</f>
        <v>0</v>
      </c>
      <c r="AA181" s="137">
        <f>'[30]מאזן בוחן הודו'!AA172</f>
        <v>0</v>
      </c>
      <c r="AB181" s="137">
        <f>'[31]מאזן בוחן הודו'!AB167</f>
        <v>0</v>
      </c>
      <c r="AC181" s="137">
        <v>0</v>
      </c>
      <c r="AD181" s="137">
        <v>0</v>
      </c>
      <c r="AE181" s="137">
        <v>0</v>
      </c>
      <c r="AF181" s="137">
        <v>0</v>
      </c>
      <c r="AG181" s="137">
        <v>0</v>
      </c>
      <c r="AH181" s="137">
        <f>$K181-SUM($W181:AG181)</f>
        <v>0</v>
      </c>
      <c r="AR181" s="52"/>
      <c r="AS181" s="52"/>
      <c r="AT181" s="52"/>
      <c r="AU181" s="141"/>
    </row>
    <row r="182" spans="1:47" s="137" customFormat="1">
      <c r="A182" s="594"/>
      <c r="B182" s="3630"/>
      <c r="C182" s="1985"/>
      <c r="D182" s="34" t="s">
        <v>2515</v>
      </c>
      <c r="E182" s="398"/>
      <c r="F182" s="51"/>
      <c r="G182" s="399"/>
      <c r="H182" s="51"/>
      <c r="I182" s="399"/>
      <c r="J182" s="439"/>
      <c r="K182" s="967"/>
      <c r="L182" s="399"/>
      <c r="M182" s="967"/>
      <c r="N182" s="4241"/>
      <c r="O182" s="434"/>
      <c r="P182" s="445"/>
      <c r="Q182" s="1152"/>
      <c r="R182" s="204">
        <v>0</v>
      </c>
      <c r="S182" s="52">
        <v>0</v>
      </c>
      <c r="T182" s="52">
        <v>0</v>
      </c>
      <c r="U182" s="52">
        <v>0</v>
      </c>
      <c r="V182" s="52">
        <v>0</v>
      </c>
      <c r="W182" s="137">
        <f>'[26]מאזן בוחן הודו'!W168</f>
        <v>0</v>
      </c>
      <c r="X182" s="137">
        <f>'[27]מאזן בוחן הודו'!X167</f>
        <v>0</v>
      </c>
      <c r="Y182" s="137">
        <f>'[28]מאזן בוחן הודו'!Y169</f>
        <v>0</v>
      </c>
      <c r="Z182" s="137">
        <f>'[29]מאזן בוחן הודו'!Z173</f>
        <v>0</v>
      </c>
      <c r="AA182" s="137">
        <f>'[30]מאזן בוחן הודו'!AA173</f>
        <v>0</v>
      </c>
      <c r="AB182" s="137">
        <f>'[31]מאזן בוחן הודו'!AB168</f>
        <v>0</v>
      </c>
      <c r="AC182" s="137">
        <v>0</v>
      </c>
      <c r="AD182" s="137">
        <v>0</v>
      </c>
      <c r="AE182" s="137">
        <v>0</v>
      </c>
      <c r="AF182" s="137">
        <v>0</v>
      </c>
      <c r="AG182" s="137">
        <v>0</v>
      </c>
      <c r="AH182" s="137">
        <f>$K182-SUM($W182:AG182)</f>
        <v>0</v>
      </c>
      <c r="AR182" s="52"/>
      <c r="AS182" s="52"/>
      <c r="AT182" s="52"/>
      <c r="AU182" s="141"/>
    </row>
    <row r="183" spans="1:47" s="137" customFormat="1">
      <c r="A183" s="594"/>
      <c r="B183" s="3679" t="s">
        <v>1066</v>
      </c>
      <c r="C183" s="1374">
        <v>5100001</v>
      </c>
      <c r="D183" s="40" t="s">
        <v>2502</v>
      </c>
      <c r="E183" s="79">
        <f>IFERROR(VLOOKUP(C183,'פ.נ. הודו'!$D$70:$G$1144,3,0),0)</f>
        <v>49539728</v>
      </c>
      <c r="F183" s="170">
        <f>SUMIF('פ.נ. הודו'!$C:$C,$C:$C,'פ.נ. הודו'!$E:$E)</f>
        <v>0</v>
      </c>
      <c r="G183" s="398"/>
      <c r="H183" s="204"/>
      <c r="I183" s="79"/>
      <c r="J183" s="78">
        <f t="shared" ref="J183:J188" si="47">SUM(E183:I183)</f>
        <v>49539728</v>
      </c>
      <c r="K183" s="474">
        <f>M183+SUMIF('פ.נ. הודו'!$C:$C,$C:$C,'פ.נ. הודו'!$F:$F)</f>
        <v>670834.93999999994</v>
      </c>
      <c r="L183" s="439"/>
      <c r="M183" s="1628">
        <f>IFERROR(VLOOKUP(C183,'פ.נ. הודו'!$D$70:$G$1144,4,0),0)</f>
        <v>670834.93999999994</v>
      </c>
      <c r="N183" s="4240">
        <f t="shared" ref="N183:N188" si="48">IF(K183=0,"-",J183/K183)</f>
        <v>73.847864871200656</v>
      </c>
      <c r="O183" s="434"/>
      <c r="P183" s="445"/>
      <c r="Q183" s="204">
        <v>43090.25</v>
      </c>
      <c r="R183" s="204">
        <v>44492.539999999994</v>
      </c>
      <c r="S183" s="52">
        <v>46104.509999999995</v>
      </c>
      <c r="T183" s="52">
        <v>43921.97</v>
      </c>
      <c r="U183" s="52">
        <v>46738.960000000021</v>
      </c>
      <c r="V183" s="52">
        <v>46105.360000000015</v>
      </c>
      <c r="W183" s="137">
        <f>'[26]מאזן בוחן הודו'!W169</f>
        <v>49484.05</v>
      </c>
      <c r="X183" s="137">
        <f>'[27]מאזן בוחן הודו'!X168</f>
        <v>53608.399999999994</v>
      </c>
      <c r="Y183" s="137">
        <f>'[28]מאזן בוחן הודו'!Y170</f>
        <v>52242.37999999999</v>
      </c>
      <c r="Z183" s="137">
        <f>'[29]מאזן בוחן הודו'!Z174</f>
        <v>55140.66</v>
      </c>
      <c r="AA183" s="137">
        <f>'[30]מאזן בוחן הודו'!AA174</f>
        <v>60387.81</v>
      </c>
      <c r="AB183" s="137">
        <f>'[31]מאזן בוחן הודו'!AB169</f>
        <v>58300.919999999984</v>
      </c>
      <c r="AC183" s="137">
        <v>57985.890000000014</v>
      </c>
      <c r="AD183" s="137">
        <v>58048.090000000026</v>
      </c>
      <c r="AE183" s="137">
        <v>53199.31</v>
      </c>
      <c r="AF183" s="137">
        <v>56871.760000000009</v>
      </c>
      <c r="AG183" s="137">
        <v>55590</v>
      </c>
      <c r="AH183" s="137">
        <f>$K183-SUM($W183:AG183)</f>
        <v>59975.669999999925</v>
      </c>
      <c r="AN183" s="137" t="s">
        <v>4131</v>
      </c>
      <c r="AR183" s="137" t="s">
        <v>3675</v>
      </c>
      <c r="AS183" s="52"/>
      <c r="AT183" s="52"/>
      <c r="AU183" s="141"/>
    </row>
    <row r="184" spans="1:47" s="137" customFormat="1">
      <c r="A184" s="406"/>
      <c r="B184" s="3659" t="s">
        <v>1066</v>
      </c>
      <c r="C184" s="1374">
        <v>5100003</v>
      </c>
      <c r="D184" s="40" t="s">
        <v>2761</v>
      </c>
      <c r="E184" s="79">
        <f>IFERROR(VLOOKUP(C184,'פ.נ. הודו'!$D$70:$G$1144,3,0),0)</f>
        <v>861207.99</v>
      </c>
      <c r="F184" s="170">
        <f>SUMIF('פ.נ. הודו'!$C:$C,$C:$C,'פ.נ. הודו'!$E:$E)</f>
        <v>0</v>
      </c>
      <c r="G184" s="398"/>
      <c r="H184" s="204"/>
      <c r="I184" s="79"/>
      <c r="J184" s="78">
        <f>SUM(E184:I184)</f>
        <v>861207.99</v>
      </c>
      <c r="K184" s="474">
        <f>M184+SUMIF('פ.נ. הודו'!$C:$C,$C:$C,'פ.נ. הודו'!$F:$F)</f>
        <v>11643.16</v>
      </c>
      <c r="L184" s="439"/>
      <c r="M184" s="1628">
        <f>IFERROR(VLOOKUP(C184,'פ.נ. הודו'!$D$70:$G$1144,4,0),0)</f>
        <v>11643.16</v>
      </c>
      <c r="N184" s="4240">
        <f>IF(K184=0,"-",J184/K184)</f>
        <v>73.96686037123942</v>
      </c>
      <c r="O184" s="434"/>
      <c r="P184" s="445"/>
      <c r="Q184" s="726"/>
      <c r="R184" s="204"/>
      <c r="S184" s="52">
        <v>1982.36</v>
      </c>
      <c r="T184" s="52">
        <v>0</v>
      </c>
      <c r="U184" s="52">
        <v>0</v>
      </c>
      <c r="V184" s="52">
        <v>607.64532581983781</v>
      </c>
      <c r="W184" s="137">
        <f>'[26]מאזן בוחן הודו'!W173</f>
        <v>0</v>
      </c>
      <c r="X184" s="137">
        <f>'[27]מאזן בוחן הודו'!X169</f>
        <v>2624.82</v>
      </c>
      <c r="Y184" s="137">
        <f>'[28]מאזן בוחן הודו'!Y171</f>
        <v>2915.2599999999998</v>
      </c>
      <c r="Z184" s="137">
        <f>'[29]מאזן בוחן הודו'!Z175</f>
        <v>0</v>
      </c>
      <c r="AA184" s="137">
        <f>'[30]מאזן בוחן הודו'!AA175</f>
        <v>0</v>
      </c>
      <c r="AB184" s="137">
        <f>'[31]מאזן בוחן הודו'!AB170</f>
        <v>2950.2700000000004</v>
      </c>
      <c r="AC184" s="137">
        <v>0</v>
      </c>
      <c r="AD184" s="137">
        <v>0</v>
      </c>
      <c r="AE184" s="137">
        <v>2915.25</v>
      </c>
      <c r="AF184" s="137">
        <v>0</v>
      </c>
      <c r="AG184" s="137">
        <v>0</v>
      </c>
      <c r="AH184" s="137">
        <f>$K184-SUM($W184:AG184)</f>
        <v>237.55999999999949</v>
      </c>
      <c r="AR184" s="52"/>
      <c r="AS184" s="52"/>
      <c r="AT184" s="52"/>
      <c r="AU184" s="141"/>
    </row>
    <row r="185" spans="1:47" s="137" customFormat="1">
      <c r="A185" s="406"/>
      <c r="B185" s="3659" t="s">
        <v>1066</v>
      </c>
      <c r="C185" s="1374">
        <v>5100002</v>
      </c>
      <c r="D185" s="40" t="s">
        <v>2503</v>
      </c>
      <c r="E185" s="79">
        <f>IFERROR(VLOOKUP(C185,'פ.נ. הודו'!$D$70:$G$1144,3,0),0)</f>
        <v>4937424.95</v>
      </c>
      <c r="F185" s="170">
        <f>SUMIF('פ.נ. הודו'!$C:$C,$C:$C,'פ.נ. הודו'!$E:$E)</f>
        <v>0</v>
      </c>
      <c r="G185" s="398"/>
      <c r="H185" s="204"/>
      <c r="I185" s="79"/>
      <c r="J185" s="78">
        <f t="shared" si="47"/>
        <v>4937424.95</v>
      </c>
      <c r="K185" s="474">
        <f>M185+SUMIF('פ.נ. הודו'!$C:$C,$C:$C,'פ.נ. הודו'!$F:$F)</f>
        <v>66533.55</v>
      </c>
      <c r="L185" s="439"/>
      <c r="M185" s="1628">
        <f>IFERROR(VLOOKUP(C185,'פ.נ. הודו'!$D$70:$G$1144,4,0),0)</f>
        <v>66533.55</v>
      </c>
      <c r="N185" s="4240">
        <f t="shared" si="48"/>
        <v>74.209552173302043</v>
      </c>
      <c r="O185" s="434"/>
      <c r="P185" s="445"/>
      <c r="Q185" s="204">
        <v>35</v>
      </c>
      <c r="R185" s="204">
        <v>513.47</v>
      </c>
      <c r="S185" s="52">
        <v>0</v>
      </c>
      <c r="T185" s="52">
        <v>1607.0600000000002</v>
      </c>
      <c r="U185" s="52">
        <v>428.30999999999995</v>
      </c>
      <c r="V185" s="52">
        <v>136.36999999999989</v>
      </c>
      <c r="W185" s="137">
        <f>'[26]מאזן בוחן הודו'!W170</f>
        <v>0</v>
      </c>
      <c r="X185" s="137">
        <f>'[27]מאזן בוחן הודו'!X170</f>
        <v>0</v>
      </c>
      <c r="Y185" s="137">
        <f>'[28]מאזן בוחן הודו'!Y172</f>
        <v>2359.15</v>
      </c>
      <c r="Z185" s="137">
        <f>'[29]מאזן בוחן הודו'!Z176</f>
        <v>517.56999999999971</v>
      </c>
      <c r="AA185" s="137">
        <f>'[30]מאזן בוחן הודו'!AA176</f>
        <v>491.98</v>
      </c>
      <c r="AB185" s="137">
        <f>'[31]מאזן בוחן הודו'!AB171</f>
        <v>633.7800000000002</v>
      </c>
      <c r="AC185" s="137">
        <v>49.949999999999818</v>
      </c>
      <c r="AD185" s="137">
        <v>3075.2100000000005</v>
      </c>
      <c r="AE185" s="137">
        <v>1597.87</v>
      </c>
      <c r="AF185" s="137">
        <v>1941.1299999999992</v>
      </c>
      <c r="AG185" s="137">
        <v>34.8700000000008</v>
      </c>
      <c r="AH185" s="137">
        <f>$K185-SUM($W185:AG185)</f>
        <v>55832.04</v>
      </c>
      <c r="AR185" s="52"/>
      <c r="AS185" s="52"/>
      <c r="AT185" s="52"/>
      <c r="AU185" s="141"/>
    </row>
    <row r="186" spans="1:47" s="137" customFormat="1">
      <c r="A186" s="406"/>
      <c r="B186" s="3659" t="s">
        <v>1066</v>
      </c>
      <c r="C186" s="1374">
        <v>5100014</v>
      </c>
      <c r="D186" s="40" t="s">
        <v>2578</v>
      </c>
      <c r="E186" s="79">
        <f>IFERROR(VLOOKUP(C186,'פ.נ. הודו'!$D$70:$G$1144,3,0),0)</f>
        <v>196558</v>
      </c>
      <c r="F186" s="170">
        <f>SUMIF('פ.נ. הודו'!$C:$C,$C:$C,'פ.נ. הודו'!$E:$E)</f>
        <v>0</v>
      </c>
      <c r="G186" s="398"/>
      <c r="H186" s="204"/>
      <c r="I186" s="79"/>
      <c r="J186" s="78">
        <f t="shared" si="47"/>
        <v>196558</v>
      </c>
      <c r="K186" s="474">
        <f>M186+SUMIF('פ.נ. הודו'!$C:$C,$C:$C,'פ.נ. הודו'!$F:$F)</f>
        <v>2687.6</v>
      </c>
      <c r="L186" s="439"/>
      <c r="M186" s="1628">
        <f>IFERROR(VLOOKUP(C186,'פ.נ. הודו'!$D$70:$G$1144,4,0),0)</f>
        <v>2687.6</v>
      </c>
      <c r="N186" s="4240">
        <f t="shared" si="48"/>
        <v>73.135139157612741</v>
      </c>
      <c r="O186" s="434"/>
      <c r="P186" s="445"/>
      <c r="Q186" s="726">
        <v>0</v>
      </c>
      <c r="R186" s="204">
        <v>247.19</v>
      </c>
      <c r="S186" s="52">
        <v>54.28000000000003</v>
      </c>
      <c r="T186" s="52">
        <v>0</v>
      </c>
      <c r="U186" s="52">
        <v>597.85</v>
      </c>
      <c r="V186" s="52">
        <v>428.7299999999999</v>
      </c>
      <c r="W186" s="137">
        <f>'[26]מאזן בוחן הודו'!W171</f>
        <v>0</v>
      </c>
      <c r="X186" s="137">
        <f>'[27]מאזן בוחן הודו'!X171</f>
        <v>0</v>
      </c>
      <c r="Y186" s="137">
        <f>'[28]מאזן בוחן הודו'!Y173</f>
        <v>0</v>
      </c>
      <c r="Z186" s="137">
        <f>'[29]מאזן בוחן הודו'!Z177</f>
        <v>0</v>
      </c>
      <c r="AA186" s="137">
        <f>'[30]מאזן בוחן הודו'!AA177</f>
        <v>1497.09</v>
      </c>
      <c r="AB186" s="137">
        <f>'[31]מאזן בוחן הודו'!AB172</f>
        <v>13.490000000000009</v>
      </c>
      <c r="AC186" s="137">
        <v>176.91000000000008</v>
      </c>
      <c r="AD186" s="137">
        <v>122.92000000000007</v>
      </c>
      <c r="AE186" s="137">
        <v>762.66000000000008</v>
      </c>
      <c r="AF186" s="137">
        <v>0</v>
      </c>
      <c r="AG186" s="137">
        <v>114.52999999999975</v>
      </c>
      <c r="AH186" s="137">
        <f>$K186-SUM($W186:AG186)</f>
        <v>0</v>
      </c>
      <c r="AR186" s="52"/>
      <c r="AS186" s="52"/>
      <c r="AT186" s="52"/>
      <c r="AU186" s="141"/>
    </row>
    <row r="187" spans="1:47" s="137" customFormat="1">
      <c r="A187" s="406"/>
      <c r="B187" s="3659" t="s">
        <v>1066</v>
      </c>
      <c r="C187" s="585" t="s">
        <v>1238</v>
      </c>
      <c r="D187" s="40" t="s">
        <v>1432</v>
      </c>
      <c r="E187" s="79">
        <f>IFERROR(VLOOKUP(C187,'פ.נ. הודו'!$D$70:$G$1144,3,0),0)</f>
        <v>1600470.54</v>
      </c>
      <c r="F187" s="170">
        <f>SUMIF('פ.נ. הודו'!$C:$C,$C:$C,'פ.נ. הודו'!$E:$E)</f>
        <v>0</v>
      </c>
      <c r="G187" s="398"/>
      <c r="H187" s="204"/>
      <c r="I187" s="79"/>
      <c r="J187" s="78">
        <f t="shared" si="47"/>
        <v>1600470.54</v>
      </c>
      <c r="K187" s="474">
        <f>M187+SUMIF('פ.נ. הודו'!$C:$C,$C:$C,'פ.נ. הודו'!$F:$F)</f>
        <v>21624.49</v>
      </c>
      <c r="L187" s="439"/>
      <c r="M187" s="1628">
        <f>IFERROR(VLOOKUP(C187,'פ.נ. הודו'!$D$70:$G$1144,4,0),0)</f>
        <v>21624.49</v>
      </c>
      <c r="N187" s="4240">
        <f t="shared" si="48"/>
        <v>74.011943865496946</v>
      </c>
      <c r="O187" s="434"/>
      <c r="P187" s="445"/>
      <c r="Q187" s="726">
        <v>0</v>
      </c>
      <c r="R187" s="204">
        <v>0</v>
      </c>
      <c r="S187" s="52">
        <v>2596.15</v>
      </c>
      <c r="T187" s="52">
        <v>0</v>
      </c>
      <c r="U187" s="52">
        <v>0</v>
      </c>
      <c r="V187" s="52">
        <v>3928.6600000000003</v>
      </c>
      <c r="W187" s="137">
        <f>'[26]מאזן בוחן הודו'!W172</f>
        <v>0</v>
      </c>
      <c r="X187" s="137">
        <f>'[27]מאזן בוחן הודו'!X172</f>
        <v>0</v>
      </c>
      <c r="Y187" s="137">
        <f>'[28]מאזן בוחן הודו'!Y174</f>
        <v>4660.28</v>
      </c>
      <c r="Z187" s="137">
        <f>'[29]מאזן בוחן הודו'!Z178</f>
        <v>0</v>
      </c>
      <c r="AA187" s="137">
        <f>'[30]מאזן בוחן הודו'!AA178</f>
        <v>0</v>
      </c>
      <c r="AB187" s="137">
        <f>'[31]מאזן בוחן הודו'!AB173</f>
        <v>5994.94</v>
      </c>
      <c r="AC187" s="137">
        <v>0</v>
      </c>
      <c r="AD187" s="137">
        <v>0</v>
      </c>
      <c r="AE187" s="137">
        <v>5493.0500000000011</v>
      </c>
      <c r="AF187" s="137">
        <v>0</v>
      </c>
      <c r="AG187" s="137">
        <v>0</v>
      </c>
      <c r="AH187" s="137">
        <f>$K187-SUM($W187:AG187)</f>
        <v>5476.2200000000012</v>
      </c>
      <c r="AR187" s="52"/>
      <c r="AS187" s="52"/>
      <c r="AT187" s="52"/>
      <c r="AU187" s="141"/>
    </row>
    <row r="188" spans="1:47" s="137" customFormat="1">
      <c r="A188" s="406"/>
      <c r="B188" s="3659" t="s">
        <v>1066</v>
      </c>
      <c r="C188" s="1374">
        <v>5110006</v>
      </c>
      <c r="D188" s="40" t="s">
        <v>2824</v>
      </c>
      <c r="E188" s="79">
        <f>IFERROR(VLOOKUP(C188,'פ.נ. הודו'!$D$70:$G$1144,3,0),0)</f>
        <v>11374418</v>
      </c>
      <c r="F188" s="170">
        <f>SUMIF('פ.נ. הודו'!$C:$C,$C:$C,'פ.נ. הודו'!$E:$E)</f>
        <v>0</v>
      </c>
      <c r="G188" s="398"/>
      <c r="H188" s="204"/>
      <c r="I188" s="79"/>
      <c r="J188" s="78">
        <f t="shared" si="47"/>
        <v>11374418</v>
      </c>
      <c r="K188" s="474">
        <f>M188+SUMIF('פ.נ. הודו'!$C:$C,$C:$C,'פ.נ. הודו'!$F:$F)</f>
        <v>154031.63</v>
      </c>
      <c r="L188" s="439"/>
      <c r="M188" s="1628">
        <f>IFERROR(VLOOKUP(C188,'פ.נ. הודו'!$D$70:$G$1144,4,0),0)</f>
        <v>154031.63</v>
      </c>
      <c r="N188" s="4240">
        <f t="shared" si="48"/>
        <v>73.844690210705423</v>
      </c>
      <c r="O188" s="434"/>
      <c r="P188" s="445"/>
      <c r="Q188" s="726"/>
      <c r="R188" s="204"/>
      <c r="S188" s="52">
        <v>8480.33</v>
      </c>
      <c r="T188" s="52">
        <v>42031.299999999996</v>
      </c>
      <c r="U188" s="52">
        <v>13071.240000000005</v>
      </c>
      <c r="V188" s="52">
        <v>12944.189999999995</v>
      </c>
      <c r="W188" s="137">
        <f>'[26]מאזן בוחן הודו'!W174</f>
        <v>12101.8</v>
      </c>
      <c r="X188" s="137">
        <f>'[27]מאזן בוחן הודו'!X173</f>
        <v>11942.95</v>
      </c>
      <c r="Y188" s="137">
        <f>'[28]מאזן בוחן הודו'!Y175</f>
        <v>12016.160000000003</v>
      </c>
      <c r="Z188" s="137">
        <f>'[29]מאזן בוחן הודו'!Z179</f>
        <v>13028.739999999998</v>
      </c>
      <c r="AA188" s="137">
        <f>'[30]מאזן בוחן הודו'!AA179</f>
        <v>13720.589999999997</v>
      </c>
      <c r="AB188" s="137">
        <f>'[31]מאזן בוחן הודו'!AB174</f>
        <v>13561.32</v>
      </c>
      <c r="AC188" s="137">
        <v>13779.619999999995</v>
      </c>
      <c r="AD188" s="137">
        <v>13116.990000000005</v>
      </c>
      <c r="AE188" s="137">
        <v>12279.990000000005</v>
      </c>
      <c r="AF188" s="137">
        <v>12441.099999999991</v>
      </c>
      <c r="AG188" s="137">
        <v>13156.150000000009</v>
      </c>
      <c r="AH188" s="137">
        <f>$K188-SUM($W188:AG188)</f>
        <v>12886.220000000001</v>
      </c>
      <c r="AR188" s="52"/>
      <c r="AS188" s="52"/>
      <c r="AT188" s="52"/>
      <c r="AU188" s="141"/>
    </row>
    <row r="189" spans="1:47" s="137" customFormat="1">
      <c r="A189" s="406"/>
      <c r="B189" s="3659"/>
      <c r="C189" s="1374"/>
      <c r="D189" s="40"/>
      <c r="E189" s="79"/>
      <c r="F189" s="170"/>
      <c r="G189" s="398"/>
      <c r="H189" s="204"/>
      <c r="I189" s="79"/>
      <c r="J189" s="78"/>
      <c r="K189" s="474"/>
      <c r="L189" s="439"/>
      <c r="M189" s="1628"/>
      <c r="N189" s="4240"/>
      <c r="O189" s="434"/>
      <c r="P189" s="445"/>
      <c r="Q189" s="726"/>
      <c r="R189" s="204"/>
      <c r="S189" s="52">
        <v>0</v>
      </c>
      <c r="T189" s="52">
        <v>0</v>
      </c>
      <c r="U189" s="52">
        <v>0</v>
      </c>
      <c r="V189" s="52">
        <v>0</v>
      </c>
      <c r="W189" s="137">
        <f>'[26]מאזן בוחן הודו'!W175</f>
        <v>0</v>
      </c>
      <c r="X189" s="137">
        <f>'[27]מאזן בוחן הודו'!X174</f>
        <v>0</v>
      </c>
      <c r="Y189" s="137">
        <f>'[28]מאזן בוחן הודו'!Y176</f>
        <v>0</v>
      </c>
      <c r="Z189" s="137">
        <f>'[29]מאזן בוחן הודו'!Z180</f>
        <v>0</v>
      </c>
      <c r="AA189" s="137">
        <f>'[30]מאזן בוחן הודו'!AA180</f>
        <v>0</v>
      </c>
      <c r="AB189" s="137">
        <f>'[31]מאזן בוחן הודו'!AB175</f>
        <v>0</v>
      </c>
      <c r="AC189" s="137">
        <v>0</v>
      </c>
      <c r="AD189" s="137">
        <v>0</v>
      </c>
      <c r="AE189" s="137">
        <v>0</v>
      </c>
      <c r="AF189" s="137">
        <v>0</v>
      </c>
      <c r="AG189" s="137">
        <v>0</v>
      </c>
      <c r="AH189" s="137">
        <f>$K189-SUM($W189:AG189)</f>
        <v>0</v>
      </c>
      <c r="AR189" s="52"/>
      <c r="AS189" s="52"/>
      <c r="AT189" s="52"/>
      <c r="AU189" s="141"/>
    </row>
    <row r="190" spans="1:47" s="137" customFormat="1">
      <c r="A190" s="406"/>
      <c r="B190" s="3680" t="s">
        <v>1076</v>
      </c>
      <c r="C190" s="1374">
        <v>5110031</v>
      </c>
      <c r="D190" s="40" t="s">
        <v>2704</v>
      </c>
      <c r="E190" s="79">
        <f>IFERROR(VLOOKUP(C190,'פ.נ. הודו'!$D$70:$G$1144,3,0),0)</f>
        <v>1214887.98</v>
      </c>
      <c r="F190" s="170">
        <f>SUMIF('פ.נ. הודו'!$C:$C,$C:$C,'פ.נ. הודו'!$E:$E)</f>
        <v>0</v>
      </c>
      <c r="G190" s="398"/>
      <c r="H190" s="204"/>
      <c r="I190" s="79"/>
      <c r="J190" s="78">
        <f>SUM(E190:I190)</f>
        <v>1214887.98</v>
      </c>
      <c r="K190" s="474">
        <f>M190+SUMIF('פ.נ. הודו'!$C:$C,$C:$C,'פ.נ. הודו'!$F:$F)</f>
        <v>16429.310000000001</v>
      </c>
      <c r="L190" s="439"/>
      <c r="M190" s="1628">
        <f>IFERROR(VLOOKUP(C190,'פ.נ. הודו'!$D$70:$G$1144,4,0),0)</f>
        <v>16429.310000000001</v>
      </c>
      <c r="N190" s="4240">
        <f>IF(K190=0,"-",J190/K190)</f>
        <v>73.946378758450592</v>
      </c>
      <c r="O190" s="434"/>
      <c r="P190" s="445"/>
      <c r="Q190" s="726"/>
      <c r="R190" s="204">
        <v>0</v>
      </c>
      <c r="S190" s="52">
        <v>64.510000000000005</v>
      </c>
      <c r="T190" s="52">
        <v>679.05</v>
      </c>
      <c r="U190" s="52">
        <v>17.080000000000041</v>
      </c>
      <c r="V190" s="52">
        <v>2941.44</v>
      </c>
      <c r="W190" s="137">
        <f>'[26]מאזן בוחן הודו'!W176</f>
        <v>872.47</v>
      </c>
      <c r="X190" s="137">
        <f>'[27]מאזן בוחן הודו'!X175</f>
        <v>1089.24</v>
      </c>
      <c r="Y190" s="137">
        <f>'[28]מאזן בוחן הודו'!Y177</f>
        <v>929.81</v>
      </c>
      <c r="Z190" s="137">
        <f>'[29]מאזן בוחן הודו'!Z181</f>
        <v>866.57000000000016</v>
      </c>
      <c r="AA190" s="137">
        <f>'[30]מאזן בוחן הודו'!AA181</f>
        <v>1940.62</v>
      </c>
      <c r="AB190" s="137">
        <f>'[31]מאזן בוחן הודו'!AB176</f>
        <v>2268.62</v>
      </c>
      <c r="AC190" s="137">
        <v>19.8100000000004</v>
      </c>
      <c r="AD190" s="137">
        <v>175.86999999999989</v>
      </c>
      <c r="AE190" s="137">
        <v>237.5</v>
      </c>
      <c r="AF190" s="137">
        <v>1320.7099999999991</v>
      </c>
      <c r="AG190" s="137">
        <v>1461.1599999999999</v>
      </c>
      <c r="AH190" s="137">
        <f>$K190-SUM($W190:AG190)</f>
        <v>5246.9300000000021</v>
      </c>
      <c r="AR190" s="52"/>
      <c r="AS190" s="52"/>
      <c r="AT190" s="52"/>
      <c r="AU190" s="141"/>
    </row>
    <row r="191" spans="1:47" s="137" customFormat="1">
      <c r="A191" s="406"/>
      <c r="B191" s="3680"/>
      <c r="C191" s="1374"/>
      <c r="D191" s="40"/>
      <c r="E191" s="79"/>
      <c r="F191" s="170"/>
      <c r="G191" s="398"/>
      <c r="H191" s="204"/>
      <c r="I191" s="79"/>
      <c r="J191" s="78"/>
      <c r="K191" s="474"/>
      <c r="L191" s="439"/>
      <c r="M191" s="1628"/>
      <c r="N191" s="4240"/>
      <c r="O191" s="434"/>
      <c r="P191" s="445"/>
      <c r="Q191" s="726"/>
      <c r="R191" s="204"/>
      <c r="S191" s="52">
        <v>0</v>
      </c>
      <c r="T191" s="52">
        <v>0</v>
      </c>
      <c r="U191" s="52">
        <v>0</v>
      </c>
      <c r="V191" s="52">
        <v>0</v>
      </c>
      <c r="W191" s="137">
        <f>'[26]מאזן בוחן הודו'!W177</f>
        <v>0</v>
      </c>
      <c r="X191" s="137">
        <f>'[27]מאזן בוחן הודו'!X176</f>
        <v>0</v>
      </c>
      <c r="Y191" s="137">
        <f>'[28]מאזן בוחן הודו'!Y178</f>
        <v>0</v>
      </c>
      <c r="Z191" s="137">
        <f>'[29]מאזן בוחן הודו'!Z182</f>
        <v>0</v>
      </c>
      <c r="AA191" s="137">
        <f>'[30]מאזן בוחן הודו'!AA182</f>
        <v>0</v>
      </c>
      <c r="AB191" s="137">
        <f>'[31]מאזן בוחן הודו'!AB177</f>
        <v>0</v>
      </c>
      <c r="AC191" s="137">
        <v>0</v>
      </c>
      <c r="AD191" s="137">
        <v>0</v>
      </c>
      <c r="AE191" s="137">
        <v>0</v>
      </c>
      <c r="AF191" s="137">
        <v>0</v>
      </c>
      <c r="AG191" s="137">
        <v>0</v>
      </c>
      <c r="AH191" s="137">
        <f>$K191-SUM($W191:AG191)</f>
        <v>0</v>
      </c>
      <c r="AR191" s="52"/>
      <c r="AS191" s="52"/>
      <c r="AT191" s="52"/>
      <c r="AU191" s="141"/>
    </row>
    <row r="192" spans="1:47" s="137" customFormat="1">
      <c r="A192" s="406"/>
      <c r="B192" s="3659" t="s">
        <v>1447</v>
      </c>
      <c r="C192" s="1374">
        <v>5120001</v>
      </c>
      <c r="D192" s="40" t="s">
        <v>2719</v>
      </c>
      <c r="E192" s="79">
        <f>IFERROR(VLOOKUP(C192,'פ.נ. הודו'!$D$70:$G$1144,3,0),0)</f>
        <v>6545606.6299999999</v>
      </c>
      <c r="F192" s="170">
        <f>SUMIF('פ.נ. הודו'!$C:$C,$C:$C,'פ.נ. הודו'!$E:$E)</f>
        <v>0</v>
      </c>
      <c r="G192" s="398"/>
      <c r="H192" s="204"/>
      <c r="I192" s="79"/>
      <c r="J192" s="78">
        <f>SUM(E192:I192)</f>
        <v>6545606.6299999999</v>
      </c>
      <c r="K192" s="474">
        <f>M192+SUMIF('פ.נ. הודו'!$C:$C,$C:$C,'פ.נ. הודו'!$F:$F)</f>
        <v>88720.54</v>
      </c>
      <c r="L192" s="439"/>
      <c r="M192" s="1628">
        <f>IFERROR(VLOOKUP(C192,'פ.נ. הודו'!$D$70:$G$1144,4,0),0)</f>
        <v>88720.54</v>
      </c>
      <c r="N192" s="4240">
        <f>IF(K192=0,"-",J192/K192)</f>
        <v>73.777804215348553</v>
      </c>
      <c r="O192" s="434"/>
      <c r="P192" s="445"/>
      <c r="Q192" s="726">
        <v>0</v>
      </c>
      <c r="R192" s="204">
        <v>513.47</v>
      </c>
      <c r="S192" s="52">
        <v>16643.419999999998</v>
      </c>
      <c r="T192" s="52">
        <v>23081.964246126445</v>
      </c>
      <c r="U192" s="52">
        <v>-9125.5169733991715</v>
      </c>
      <c r="V192" s="52">
        <v>6258.8427272727276</v>
      </c>
      <c r="W192" s="137">
        <f>'[26]מאזן בוחן הודו'!W178</f>
        <v>6180.4749999999985</v>
      </c>
      <c r="X192" s="137">
        <f>'[27]מאזן בוחן הודו'!X177</f>
        <v>6814.0011538461549</v>
      </c>
      <c r="Y192" s="137">
        <f>'[28]מאזן בוחן הודו'!Y179</f>
        <v>15689.133846153847</v>
      </c>
      <c r="Z192" s="137">
        <f>'[29]מאזן בוחן הודו'!Z183</f>
        <v>7752.4440000000031</v>
      </c>
      <c r="AA192" s="137">
        <f>'[30]מאזן בוחן הודו'!AA183</f>
        <v>7110.1907368421016</v>
      </c>
      <c r="AB192" s="137">
        <f>'[31]מאזן בוחן הודו'!AB178</f>
        <v>7380.0052631578947</v>
      </c>
      <c r="AC192" s="137">
        <v>6364.4625000000015</v>
      </c>
      <c r="AD192" s="137">
        <v>6517.3247881356001</v>
      </c>
      <c r="AE192" s="137">
        <v>5497.5427118644002</v>
      </c>
      <c r="AF192" s="137">
        <v>6991.3059999999969</v>
      </c>
      <c r="AG192" s="137">
        <v>6718.9727301587263</v>
      </c>
      <c r="AH192" s="137">
        <f>$K192-SUM($W192:AG192)</f>
        <v>5704.6812698412687</v>
      </c>
      <c r="AR192" s="52"/>
      <c r="AS192" s="52"/>
      <c r="AT192" s="52"/>
      <c r="AU192" s="141"/>
    </row>
    <row r="193" spans="1:47" s="137" customFormat="1">
      <c r="A193" s="406"/>
      <c r="B193" s="3680"/>
      <c r="C193" s="1374"/>
      <c r="D193" s="40"/>
      <c r="E193" s="79"/>
      <c r="F193" s="170"/>
      <c r="G193" s="398"/>
      <c r="H193" s="204"/>
      <c r="I193" s="79"/>
      <c r="J193" s="78"/>
      <c r="K193" s="474"/>
      <c r="L193" s="439"/>
      <c r="M193" s="1628"/>
      <c r="N193" s="4240"/>
      <c r="O193" s="434"/>
      <c r="P193" s="445"/>
      <c r="Q193" s="726"/>
      <c r="R193" s="204"/>
      <c r="S193" s="52">
        <v>0</v>
      </c>
      <c r="T193" s="52">
        <v>0</v>
      </c>
      <c r="U193" s="52">
        <v>0</v>
      </c>
      <c r="V193" s="52">
        <v>0</v>
      </c>
      <c r="W193" s="137">
        <f>'[26]מאזן בוחן הודו'!W179</f>
        <v>0</v>
      </c>
      <c r="X193" s="137">
        <f>'[27]מאזן בוחן הודו'!X178</f>
        <v>0</v>
      </c>
      <c r="Y193" s="137">
        <f>'[28]מאזן בוחן הודו'!Y180</f>
        <v>0</v>
      </c>
      <c r="Z193" s="137">
        <f>'[29]מאזן בוחן הודו'!Z184</f>
        <v>0</v>
      </c>
      <c r="AA193" s="137">
        <f>'[30]מאזן בוחן הודו'!AA184</f>
        <v>0</v>
      </c>
      <c r="AB193" s="137">
        <f>'[31]מאזן בוחן הודו'!AB179</f>
        <v>0</v>
      </c>
      <c r="AC193" s="137">
        <v>0</v>
      </c>
      <c r="AD193" s="137">
        <v>0</v>
      </c>
      <c r="AE193" s="137">
        <v>0</v>
      </c>
      <c r="AF193" s="137">
        <v>0</v>
      </c>
      <c r="AG193" s="137">
        <v>0</v>
      </c>
      <c r="AH193" s="137">
        <f>$K193-SUM($W193:AG193)</f>
        <v>0</v>
      </c>
      <c r="AR193" s="52"/>
      <c r="AS193" s="52"/>
      <c r="AT193" s="52"/>
      <c r="AU193" s="141"/>
    </row>
    <row r="194" spans="1:47" s="137" customFormat="1">
      <c r="A194" s="406"/>
      <c r="B194" s="3680"/>
      <c r="C194" s="1374"/>
      <c r="D194" s="34" t="s">
        <v>2516</v>
      </c>
      <c r="E194" s="79"/>
      <c r="F194" s="170"/>
      <c r="G194" s="398"/>
      <c r="H194" s="204"/>
      <c r="I194" s="79"/>
      <c r="J194" s="78"/>
      <c r="K194" s="474"/>
      <c r="L194" s="439"/>
      <c r="M194" s="1628"/>
      <c r="N194" s="4240"/>
      <c r="O194" s="434"/>
      <c r="P194" s="445"/>
      <c r="Q194" s="204"/>
      <c r="R194" s="204">
        <v>0</v>
      </c>
      <c r="S194" s="52">
        <v>0</v>
      </c>
      <c r="T194" s="52">
        <v>0</v>
      </c>
      <c r="U194" s="52">
        <v>0</v>
      </c>
      <c r="V194" s="52">
        <v>0</v>
      </c>
      <c r="W194" s="137">
        <f>'[26]מאזן בוחן הודו'!W180</f>
        <v>0</v>
      </c>
      <c r="X194" s="137">
        <f>'[27]מאזן בוחן הודו'!X179</f>
        <v>0</v>
      </c>
      <c r="Y194" s="137">
        <f>'[28]מאזן בוחן הודו'!Y181</f>
        <v>0</v>
      </c>
      <c r="Z194" s="137">
        <f>'[29]מאזן בוחן הודו'!Z185</f>
        <v>0</v>
      </c>
      <c r="AA194" s="137">
        <f>'[30]מאזן בוחן הודו'!AA185</f>
        <v>0</v>
      </c>
      <c r="AB194" s="137">
        <f>'[31]מאזן בוחן הודו'!AB180</f>
        <v>0</v>
      </c>
      <c r="AC194" s="137">
        <v>0</v>
      </c>
      <c r="AD194" s="137">
        <v>0</v>
      </c>
      <c r="AE194" s="137">
        <v>0</v>
      </c>
      <c r="AF194" s="137">
        <v>0</v>
      </c>
      <c r="AG194" s="137">
        <v>0</v>
      </c>
      <c r="AH194" s="137">
        <f>$K194-SUM($W194:AG194)</f>
        <v>0</v>
      </c>
      <c r="AR194" s="52"/>
      <c r="AS194" s="52"/>
      <c r="AT194" s="52"/>
      <c r="AU194" s="141"/>
    </row>
    <row r="195" spans="1:47" s="137" customFormat="1">
      <c r="A195" s="406"/>
      <c r="B195" s="3680" t="s">
        <v>1070</v>
      </c>
      <c r="C195" s="1374">
        <v>5200001</v>
      </c>
      <c r="D195" s="40" t="s">
        <v>1637</v>
      </c>
      <c r="E195" s="79">
        <f>IFERROR(VLOOKUP(C195,'פ.נ. הודו'!$D$70:$G$1144,3,0),0)</f>
        <v>16403136</v>
      </c>
      <c r="F195" s="170">
        <f>SUMIF('פ.נ. הודו'!$C:$C,$C:$C,'פ.נ. הודו'!$E:$E)</f>
        <v>0</v>
      </c>
      <c r="G195" s="398"/>
      <c r="H195" s="204"/>
      <c r="I195" s="79"/>
      <c r="J195" s="78">
        <f t="shared" ref="J195:J200" si="49">SUM(E195:I195)</f>
        <v>16403136</v>
      </c>
      <c r="K195" s="474">
        <f>M195+SUMIF('פ.נ. הודו'!$C:$C,$C:$C,'פ.נ. הודו'!$F:$F)</f>
        <v>222081.63</v>
      </c>
      <c r="L195" s="439"/>
      <c r="M195" s="1628">
        <f>IFERROR(VLOOKUP(C195,'פ.נ. הודו'!$D$70:$G$1144,4,0),0)</f>
        <v>222081.63</v>
      </c>
      <c r="N195" s="4240">
        <f t="shared" ref="N195:N200" si="50">IF(K195=0,"-",J195/K195)</f>
        <v>73.860841169078228</v>
      </c>
      <c r="O195" s="434"/>
      <c r="P195" s="445"/>
      <c r="Q195" s="204">
        <v>24167.49</v>
      </c>
      <c r="R195" s="204">
        <v>14329.039999999997</v>
      </c>
      <c r="S195" s="52">
        <v>14191.830000000005</v>
      </c>
      <c r="T195" s="52">
        <v>14058.819999999992</v>
      </c>
      <c r="U195" s="52">
        <v>14516.410000000003</v>
      </c>
      <c r="V195" s="52">
        <v>14808.630000000005</v>
      </c>
      <c r="W195" s="137">
        <f>'[26]מאזן בוחן הודו'!W181</f>
        <v>15614.38</v>
      </c>
      <c r="X195" s="137">
        <f>'[27]מאזן בוחן הודו'!X180</f>
        <v>17326.020000000004</v>
      </c>
      <c r="Y195" s="137">
        <f>'[28]מאזן בוחן הודו'!Y182</f>
        <v>18400.589999999997</v>
      </c>
      <c r="Z195" s="137">
        <f>'[29]מאזן בוחן הודו'!Z186</f>
        <v>17694.560000000005</v>
      </c>
      <c r="AA195" s="137">
        <f>'[30]מאזן בוחן הודו'!AA186</f>
        <v>18856.369999999995</v>
      </c>
      <c r="AB195" s="137">
        <f>'[31]מאזן בוחן הודו'!AB181</f>
        <v>19275.460000000006</v>
      </c>
      <c r="AC195" s="137">
        <v>19176.679999999993</v>
      </c>
      <c r="AD195" s="137">
        <v>19409.190000000002</v>
      </c>
      <c r="AE195" s="137">
        <v>19138.630000000005</v>
      </c>
      <c r="AF195" s="137">
        <v>19002.820000000007</v>
      </c>
      <c r="AG195" s="137">
        <v>19002.299999999988</v>
      </c>
      <c r="AH195" s="137">
        <f>$K195-SUM($W195:AG195)</f>
        <v>19184.630000000005</v>
      </c>
      <c r="AR195" s="52"/>
      <c r="AS195" s="52"/>
      <c r="AT195" s="52"/>
      <c r="AU195" s="141"/>
    </row>
    <row r="196" spans="1:47" s="137" customFormat="1">
      <c r="A196" s="406"/>
      <c r="B196" s="3680" t="s">
        <v>1070</v>
      </c>
      <c r="C196" s="1374">
        <v>5200002</v>
      </c>
      <c r="D196" s="40" t="s">
        <v>1736</v>
      </c>
      <c r="E196" s="79">
        <f>IFERROR(VLOOKUP(C196,'פ.נ. הודו'!$D$70:$G$1144,3,0),0)</f>
        <v>1261126.1399999999</v>
      </c>
      <c r="F196" s="170">
        <f>SUMIF('פ.נ. הודו'!$C:$C,$C:$C,'פ.נ. הודו'!$E:$E)</f>
        <v>0</v>
      </c>
      <c r="G196" s="398"/>
      <c r="H196" s="204"/>
      <c r="I196" s="79"/>
      <c r="J196" s="78">
        <f t="shared" si="49"/>
        <v>1261126.1399999999</v>
      </c>
      <c r="K196" s="474">
        <f>M196+SUMIF('פ.נ. הודו'!$C:$C,$C:$C,'פ.נ. הודו'!$F:$F)</f>
        <v>17000.150000000001</v>
      </c>
      <c r="L196" s="439"/>
      <c r="M196" s="1628">
        <f>IFERROR(VLOOKUP(C196,'פ.נ. הודו'!$D$70:$G$1144,4,0),0)</f>
        <v>17000.150000000001</v>
      </c>
      <c r="N196" s="4240">
        <f t="shared" si="50"/>
        <v>74.183236030270308</v>
      </c>
      <c r="O196" s="434"/>
      <c r="P196" s="445"/>
      <c r="Q196" s="204">
        <v>600.1</v>
      </c>
      <c r="R196" s="204">
        <v>0</v>
      </c>
      <c r="S196" s="52">
        <v>0</v>
      </c>
      <c r="T196" s="52">
        <v>0</v>
      </c>
      <c r="U196" s="52">
        <v>0</v>
      </c>
      <c r="V196" s="52">
        <v>136.37</v>
      </c>
      <c r="W196" s="137">
        <f>'[26]מאזן בוחן הודו'!W182</f>
        <v>0</v>
      </c>
      <c r="X196" s="137">
        <f>'[27]מאזן בוחן הודו'!X181</f>
        <v>1483.53</v>
      </c>
      <c r="Y196" s="137">
        <f>'[28]מאזן בוחן הודו'!Y183</f>
        <v>811.85000000000014</v>
      </c>
      <c r="Z196" s="137">
        <f>'[29]מאזן בוחן הודו'!Z187</f>
        <v>168.05999999999995</v>
      </c>
      <c r="AA196" s="137">
        <f>'[30]מאזן בוחן הודו'!AA187</f>
        <v>47.150000000000091</v>
      </c>
      <c r="AB196" s="137">
        <f>'[31]מאזן בוחן הודו'!AB182</f>
        <v>585.00999999999976</v>
      </c>
      <c r="AC196" s="137">
        <v>80.930000000000291</v>
      </c>
      <c r="AD196" s="137">
        <v>0</v>
      </c>
      <c r="AE196" s="137">
        <v>117.34999999999991</v>
      </c>
      <c r="AF196" s="137">
        <v>9.9400000000000546</v>
      </c>
      <c r="AG196" s="137">
        <v>0</v>
      </c>
      <c r="AH196" s="137">
        <f>$K196-SUM($W196:AG196)</f>
        <v>13696.330000000002</v>
      </c>
      <c r="AR196" s="52"/>
      <c r="AS196" s="52"/>
      <c r="AT196" s="52"/>
      <c r="AU196" s="141"/>
    </row>
    <row r="197" spans="1:47" s="137" customFormat="1">
      <c r="A197" s="406"/>
      <c r="B197" s="3680" t="s">
        <v>1070</v>
      </c>
      <c r="C197" s="1374">
        <v>5200003</v>
      </c>
      <c r="D197" s="40" t="s">
        <v>1734</v>
      </c>
      <c r="E197" s="79">
        <f>IFERROR(VLOOKUP(C197,'פ.נ. הודו'!$D$70:$G$1144,3,0),0)</f>
        <v>443191.96</v>
      </c>
      <c r="F197" s="170">
        <f>SUMIF('פ.נ. הודו'!$C:$C,$C:$C,'פ.נ. הודו'!$E:$E)</f>
        <v>0</v>
      </c>
      <c r="G197" s="398"/>
      <c r="H197" s="204"/>
      <c r="I197" s="79"/>
      <c r="J197" s="78">
        <f t="shared" si="49"/>
        <v>443191.96</v>
      </c>
      <c r="K197" s="474">
        <f>M197+SUMIF('פ.נ. הודו'!$C:$C,$C:$C,'פ.נ. הודו'!$F:$F)</f>
        <v>5983.21</v>
      </c>
      <c r="L197" s="439"/>
      <c r="M197" s="1628">
        <f>IFERROR(VLOOKUP(C197,'פ.נ. הודו'!$D$70:$G$1144,4,0),0)</f>
        <v>5983.21</v>
      </c>
      <c r="N197" s="4240">
        <f t="shared" si="50"/>
        <v>74.072606510552035</v>
      </c>
      <c r="O197" s="434"/>
      <c r="P197" s="445"/>
      <c r="Q197" s="204"/>
      <c r="R197" s="204"/>
      <c r="S197" s="52"/>
      <c r="T197" s="52"/>
      <c r="U197" s="52"/>
      <c r="V197" s="52"/>
      <c r="X197" s="137">
        <f>'[27]מאזן בוחן הודו'!X182</f>
        <v>0</v>
      </c>
      <c r="Y197" s="137">
        <f>'[28]מאזן בוחן הודו'!Y184</f>
        <v>1540</v>
      </c>
      <c r="Z197" s="137">
        <f>'[29]מאזן בוחן הודו'!Z188</f>
        <v>0</v>
      </c>
      <c r="AA197" s="137">
        <f>'[30]מאזן בוחן הודו'!AA188</f>
        <v>0</v>
      </c>
      <c r="AB197" s="137">
        <f>'[31]מאזן בוחן הודו'!AB183</f>
        <v>1558.5</v>
      </c>
      <c r="AC197" s="137">
        <v>0</v>
      </c>
      <c r="AD197" s="137">
        <v>0</v>
      </c>
      <c r="AE197" s="137">
        <v>1539.9899999999998</v>
      </c>
      <c r="AF197" s="137">
        <v>0</v>
      </c>
      <c r="AG197" s="137">
        <v>0</v>
      </c>
      <c r="AH197" s="137">
        <f>$K197-SUM($W197:AG197)</f>
        <v>1344.7200000000003</v>
      </c>
      <c r="AR197" s="52"/>
      <c r="AS197" s="52"/>
      <c r="AT197" s="52"/>
      <c r="AU197" s="141"/>
    </row>
    <row r="198" spans="1:47" s="137" customFormat="1">
      <c r="A198" s="406"/>
      <c r="B198" s="3659" t="s">
        <v>1070</v>
      </c>
      <c r="C198" s="1374">
        <v>5200014</v>
      </c>
      <c r="D198" s="40" t="s">
        <v>2579</v>
      </c>
      <c r="E198" s="79">
        <f>IFERROR(VLOOKUP(C198,'פ.נ. הודו'!$D$70:$G$1144,3,0),0)</f>
        <v>81693</v>
      </c>
      <c r="F198" s="170">
        <f>SUMIF('פ.נ. הודו'!$C:$C,$C:$C,'פ.נ. הודו'!$E:$E)</f>
        <v>0</v>
      </c>
      <c r="G198" s="398"/>
      <c r="H198" s="204"/>
      <c r="I198" s="79"/>
      <c r="J198" s="78">
        <f t="shared" si="49"/>
        <v>81693</v>
      </c>
      <c r="K198" s="474">
        <f>M198+SUMIF('פ.נ. הודו'!$C:$C,$C:$C,'פ.נ. הודו'!$F:$F)</f>
        <v>1130.31</v>
      </c>
      <c r="L198" s="439"/>
      <c r="M198" s="1628">
        <f>IFERROR(VLOOKUP(C198,'פ.נ. הודו'!$D$70:$G$1144,4,0),0)</f>
        <v>1130.31</v>
      </c>
      <c r="N198" s="4240">
        <f t="shared" si="50"/>
        <v>72.274862648300029</v>
      </c>
      <c r="O198" s="434"/>
      <c r="P198" s="445"/>
      <c r="Q198" s="726">
        <v>1130.31</v>
      </c>
      <c r="R198" s="204">
        <v>0</v>
      </c>
      <c r="S198" s="52">
        <v>0</v>
      </c>
      <c r="T198" s="52">
        <v>0</v>
      </c>
      <c r="U198" s="52">
        <v>0</v>
      </c>
      <c r="V198" s="52">
        <v>0</v>
      </c>
      <c r="W198" s="137">
        <f>'[26]מאזן בוחן הודו'!W183</f>
        <v>0</v>
      </c>
      <c r="X198" s="137">
        <f>'[27]מאזן בוחן הודו'!X183</f>
        <v>0</v>
      </c>
      <c r="Y198" s="137">
        <f>'[28]מאזן בוחן הודו'!Y185</f>
        <v>0</v>
      </c>
      <c r="Z198" s="137">
        <f>'[29]מאזן בוחן הודו'!Z189</f>
        <v>0</v>
      </c>
      <c r="AA198" s="137">
        <f>'[30]מאזן בוחן הודו'!AA189</f>
        <v>1130.31</v>
      </c>
      <c r="AB198" s="137">
        <f>'[31]מאזן בוחן הודו'!AB184</f>
        <v>0</v>
      </c>
      <c r="AC198" s="137">
        <v>0</v>
      </c>
      <c r="AD198" s="137">
        <v>0</v>
      </c>
      <c r="AE198" s="137">
        <v>0</v>
      </c>
      <c r="AF198" s="137">
        <v>0</v>
      </c>
      <c r="AG198" s="137">
        <v>0</v>
      </c>
      <c r="AH198" s="137">
        <f>$K198-SUM($W198:AG198)</f>
        <v>0</v>
      </c>
      <c r="AR198" s="52"/>
      <c r="AS198" s="52"/>
      <c r="AT198" s="52"/>
      <c r="AU198" s="141"/>
    </row>
    <row r="199" spans="1:47" s="137" customFormat="1">
      <c r="A199" s="406"/>
      <c r="B199" s="3659" t="s">
        <v>1070</v>
      </c>
      <c r="C199" s="1374">
        <v>5200021</v>
      </c>
      <c r="D199" s="45" t="s">
        <v>2825</v>
      </c>
      <c r="E199" s="79">
        <f>IFERROR(VLOOKUP(C199,'פ.נ. הודו'!$D$70:$G$1144,3,0),0)</f>
        <v>2809208</v>
      </c>
      <c r="F199" s="170">
        <f>SUMIF('פ.נ. הודו'!$C:$C,$C:$C,'פ.נ. הודו'!$E:$E)</f>
        <v>0</v>
      </c>
      <c r="G199" s="398"/>
      <c r="H199" s="204"/>
      <c r="I199" s="79"/>
      <c r="J199" s="78">
        <f t="shared" si="49"/>
        <v>2809208</v>
      </c>
      <c r="K199" s="474">
        <f>M199+SUMIF('פ.נ. הודו'!$C:$C,$C:$C,'פ.נ. הודו'!$F:$F)</f>
        <v>38030.43</v>
      </c>
      <c r="L199" s="439"/>
      <c r="M199" s="1628">
        <f>IFERROR(VLOOKUP(C199,'פ.נ. הודו'!$D$70:$G$1144,4,0),0)</f>
        <v>38030.43</v>
      </c>
      <c r="N199" s="4240">
        <f t="shared" si="50"/>
        <v>73.867374100161371</v>
      </c>
      <c r="O199" s="434"/>
      <c r="P199" s="445"/>
      <c r="Q199" s="726"/>
      <c r="R199" s="204"/>
      <c r="S199" s="52">
        <v>7066.93</v>
      </c>
      <c r="T199" s="52">
        <v>2744.4799999999996</v>
      </c>
      <c r="U199" s="52">
        <v>2614.25</v>
      </c>
      <c r="V199" s="52">
        <v>2588.84</v>
      </c>
      <c r="W199" s="137">
        <f>'[26]מאזן בוחן הודו'!W184</f>
        <v>2503.81</v>
      </c>
      <c r="X199" s="137">
        <f>'[27]מאזן בוחן הודו'!X184</f>
        <v>2882.78</v>
      </c>
      <c r="Y199" s="137">
        <f>'[28]מאזן בוחן הודו'!Y186</f>
        <v>2900.4500000000007</v>
      </c>
      <c r="Z199" s="137">
        <f>'[29]מאזן בוחן הודו'!Z190</f>
        <v>2850.0399999999991</v>
      </c>
      <c r="AA199" s="137">
        <f>'[30]מאזן בוחן הודו'!AA190</f>
        <v>3326.2000000000007</v>
      </c>
      <c r="AB199" s="137">
        <f>'[31]מאזן בוחן הודו'!AB185</f>
        <v>3287.5899999999983</v>
      </c>
      <c r="AC199" s="137">
        <v>3444.91</v>
      </c>
      <c r="AD199" s="137">
        <v>3497.8600000000006</v>
      </c>
      <c r="AE199" s="137">
        <v>3508.5699999999997</v>
      </c>
      <c r="AF199" s="137">
        <v>3317.6200000000026</v>
      </c>
      <c r="AG199" s="137">
        <v>3289.0400000000009</v>
      </c>
      <c r="AH199" s="137">
        <f>$K199-SUM($W199:AG199)</f>
        <v>3221.5599999999977</v>
      </c>
      <c r="AR199" s="52"/>
      <c r="AS199" s="52"/>
      <c r="AT199" s="52"/>
      <c r="AU199" s="141"/>
    </row>
    <row r="200" spans="1:47" s="137" customFormat="1">
      <c r="A200" s="406"/>
      <c r="B200" s="3659" t="s">
        <v>1082</v>
      </c>
      <c r="C200" s="1374">
        <v>5210031</v>
      </c>
      <c r="D200" s="45" t="s">
        <v>3068</v>
      </c>
      <c r="E200" s="79">
        <f>IFERROR(VLOOKUP(C200,'פ.נ. הודו'!$D$70:$G$1144,3,0),0)</f>
        <v>258709.74</v>
      </c>
      <c r="F200" s="170">
        <f>SUMIF('פ.נ. הודו'!$C:$C,$C:$C,'פ.נ. הודו'!$E:$E)</f>
        <v>0</v>
      </c>
      <c r="G200" s="398"/>
      <c r="H200" s="204"/>
      <c r="I200" s="79"/>
      <c r="J200" s="522">
        <f t="shared" si="49"/>
        <v>258709.74</v>
      </c>
      <c r="K200" s="474">
        <f>M200+SUMIF('פ.נ. הודו'!$C:$C,$C:$C,'פ.נ. הודו'!$F:$F)</f>
        <v>3496.1</v>
      </c>
      <c r="L200" s="439"/>
      <c r="M200" s="1628">
        <f>IFERROR(VLOOKUP(C200,'פ.נ. הודו'!$D$70:$G$1144,4,0),0)</f>
        <v>3496.1</v>
      </c>
      <c r="N200" s="4240">
        <f t="shared" si="50"/>
        <v>73.999525185206366</v>
      </c>
      <c r="O200" s="434"/>
      <c r="P200" s="445"/>
      <c r="Q200" s="726"/>
      <c r="R200" s="204"/>
      <c r="S200" s="52">
        <v>0</v>
      </c>
      <c r="T200" s="52">
        <v>0</v>
      </c>
      <c r="U200" s="52">
        <v>0</v>
      </c>
      <c r="V200" s="52">
        <v>4.92</v>
      </c>
      <c r="W200" s="137">
        <f>'[26]מאזן בוחן הודו'!W185</f>
        <v>246.75</v>
      </c>
      <c r="X200" s="137">
        <f>'[27]מאזן בוחן הודו'!X185</f>
        <v>291.41999999999996</v>
      </c>
      <c r="Y200" s="137">
        <f>'[28]מאזן בוחן הודו'!Y187</f>
        <v>7.1700000000000728</v>
      </c>
      <c r="Z200" s="137">
        <f>'[29]מאזן בוחן הודו'!Z191</f>
        <v>0</v>
      </c>
      <c r="AA200" s="137">
        <f>'[30]מאזן בוחן הודו'!AA191</f>
        <v>0</v>
      </c>
      <c r="AB200" s="137">
        <f>'[31]מאזן בוחן הודו'!AB186</f>
        <v>342.16999999999996</v>
      </c>
      <c r="AC200" s="137">
        <v>0</v>
      </c>
      <c r="AD200" s="137">
        <v>541.51</v>
      </c>
      <c r="AE200" s="137">
        <v>323.22000000000003</v>
      </c>
      <c r="AF200" s="137">
        <v>294.18000000000006</v>
      </c>
      <c r="AG200" s="137">
        <v>0</v>
      </c>
      <c r="AH200" s="137">
        <f>$K200-SUM($W200:AG200)</f>
        <v>1449.6799999999998</v>
      </c>
      <c r="AR200" s="52"/>
      <c r="AS200" s="52"/>
      <c r="AT200" s="52"/>
      <c r="AU200" s="141"/>
    </row>
    <row r="201" spans="1:47" s="137" customFormat="1">
      <c r="A201" s="406"/>
      <c r="B201" s="3659"/>
      <c r="C201" s="1374"/>
      <c r="D201" s="45"/>
      <c r="E201" s="79"/>
      <c r="F201" s="170"/>
      <c r="G201" s="398"/>
      <c r="H201" s="204"/>
      <c r="I201" s="79"/>
      <c r="J201" s="522"/>
      <c r="K201" s="474"/>
      <c r="L201" s="439"/>
      <c r="M201" s="1628"/>
      <c r="N201" s="4240"/>
      <c r="O201" s="434"/>
      <c r="P201" s="445"/>
      <c r="Q201" s="726"/>
      <c r="R201" s="204"/>
      <c r="S201" s="52"/>
      <c r="T201" s="52"/>
      <c r="U201" s="52"/>
      <c r="V201" s="52">
        <v>0</v>
      </c>
      <c r="W201" s="137">
        <f>'[26]מאזן בוחן הודו'!W186</f>
        <v>0</v>
      </c>
      <c r="X201" s="137">
        <f>'[27]מאזן בוחן הודו'!X186</f>
        <v>0</v>
      </c>
      <c r="Y201" s="137">
        <f>'[28]מאזן בוחן הודו'!Y188</f>
        <v>0</v>
      </c>
      <c r="Z201" s="137">
        <f>'[29]מאזן בוחן הודו'!Z192</f>
        <v>0</v>
      </c>
      <c r="AA201" s="137">
        <f>'[30]מאזן בוחן הודו'!AA192</f>
        <v>0</v>
      </c>
      <c r="AB201" s="137">
        <f>'[31]מאזן בוחן הודו'!AB187</f>
        <v>0</v>
      </c>
      <c r="AC201" s="137">
        <v>0</v>
      </c>
      <c r="AD201" s="137">
        <v>0</v>
      </c>
      <c r="AE201" s="137">
        <v>0</v>
      </c>
      <c r="AF201" s="137">
        <v>0</v>
      </c>
      <c r="AG201" s="137">
        <v>0</v>
      </c>
      <c r="AH201" s="137">
        <f>$K201-SUM($W201:AG201)</f>
        <v>0</v>
      </c>
      <c r="AR201" s="52"/>
      <c r="AS201" s="52"/>
      <c r="AT201" s="52"/>
      <c r="AU201" s="141"/>
    </row>
    <row r="202" spans="1:47" s="137" customFormat="1">
      <c r="A202" s="406"/>
      <c r="B202" s="3659" t="s">
        <v>787</v>
      </c>
      <c r="C202" s="1374">
        <v>5209999</v>
      </c>
      <c r="D202" s="40" t="s">
        <v>1801</v>
      </c>
      <c r="E202" s="79">
        <f>IFERROR(VLOOKUP(C202,'פ.נ. הודו'!$D$70:$G$1144,3,0),0)</f>
        <v>1612428.63</v>
      </c>
      <c r="F202" s="170">
        <f>SUMIF('פ.נ. הודו'!$C:$C,$C:$C,'פ.נ. הודו'!$E:$E)</f>
        <v>0</v>
      </c>
      <c r="G202" s="398"/>
      <c r="H202" s="204"/>
      <c r="I202" s="79"/>
      <c r="J202" s="522">
        <f>SUM(E202:I202)</f>
        <v>1612428.63</v>
      </c>
      <c r="K202" s="474">
        <f>M202+SUMIF('פ.נ. הודו'!$C:$C,$C:$C,'פ.נ. הודו'!$F:$F)</f>
        <v>21850.31</v>
      </c>
      <c r="L202" s="439"/>
      <c r="M202" s="1628">
        <f>IFERROR(VLOOKUP(C202,'פ.נ. הודו'!$D$70:$G$1144,4,0),0)</f>
        <v>21850.31</v>
      </c>
      <c r="N202" s="4240">
        <f>IF(K202=0,"-",J202/K202)</f>
        <v>73.794313673352903</v>
      </c>
      <c r="O202" s="434"/>
      <c r="P202" s="445"/>
      <c r="Q202" s="726">
        <v>0</v>
      </c>
      <c r="R202" s="204">
        <v>0</v>
      </c>
      <c r="S202" s="52">
        <v>3812.64</v>
      </c>
      <c r="T202" s="52">
        <v>5129.325388028099</v>
      </c>
      <c r="U202" s="52">
        <v>-2027.8926607553713</v>
      </c>
      <c r="V202" s="52">
        <v>941.62727272727261</v>
      </c>
      <c r="W202" s="137">
        <f>'[26]מאזן בוחן הודו'!W187</f>
        <v>1236.0949999999998</v>
      </c>
      <c r="X202" s="137">
        <f>'[27]מאזן בוחן הודו'!X187</f>
        <v>1900.502692307693</v>
      </c>
      <c r="Y202" s="137">
        <f>'[28]מאזן בוחן הודו'!Y189</f>
        <v>3556.2523076923076</v>
      </c>
      <c r="Z202" s="137">
        <f>'[29]מאזן בוחן הודו'!Z193</f>
        <v>1644.4578181818197</v>
      </c>
      <c r="AA202" s="137">
        <f>'[30]מאזן בוחן הודו'!AA193</f>
        <v>1852.6327081339696</v>
      </c>
      <c r="AB202" s="137">
        <f>'[31]מאזן בוחן הודו'!AB188</f>
        <v>1736.4694736842102</v>
      </c>
      <c r="AC202" s="137">
        <v>1542.8999999999996</v>
      </c>
      <c r="AD202" s="137">
        <v>1781.4322033898334</v>
      </c>
      <c r="AE202" s="137">
        <v>1745.8277966101668</v>
      </c>
      <c r="AF202" s="137">
        <v>1804.2079999999987</v>
      </c>
      <c r="AG202" s="137">
        <v>1421.7399365079364</v>
      </c>
      <c r="AH202" s="137">
        <f>$K202-SUM($W202:AG202)</f>
        <v>1627.7920634920665</v>
      </c>
      <c r="AR202" s="52"/>
      <c r="AS202" s="52"/>
      <c r="AT202" s="52"/>
      <c r="AU202" s="141"/>
    </row>
    <row r="203" spans="1:47" s="137" customFormat="1">
      <c r="A203" s="406"/>
      <c r="B203" s="3659"/>
      <c r="C203" s="1987"/>
      <c r="D203" s="45"/>
      <c r="E203" s="79"/>
      <c r="F203" s="170"/>
      <c r="G203" s="398"/>
      <c r="H203" s="204"/>
      <c r="I203" s="79"/>
      <c r="J203" s="522"/>
      <c r="K203" s="591"/>
      <c r="L203" s="439"/>
      <c r="M203" s="1628"/>
      <c r="N203" s="4240"/>
      <c r="O203" s="434"/>
      <c r="P203" s="445"/>
      <c r="Q203" s="726"/>
      <c r="R203" s="204"/>
      <c r="S203" s="52">
        <v>0</v>
      </c>
      <c r="T203" s="52">
        <v>0</v>
      </c>
      <c r="U203" s="52">
        <v>0</v>
      </c>
      <c r="V203" s="52">
        <v>0</v>
      </c>
      <c r="W203" s="137">
        <f>'[26]מאזן בוחן הודו'!W188</f>
        <v>0</v>
      </c>
      <c r="X203" s="137">
        <f>'[27]מאזן בוחן הודו'!X188</f>
        <v>0</v>
      </c>
      <c r="Y203" s="137">
        <f>'[28]מאזן בוחן הודו'!Y190</f>
        <v>0</v>
      </c>
      <c r="Z203" s="137">
        <f>'[29]מאזן בוחן הודו'!Z194</f>
        <v>0</v>
      </c>
      <c r="AA203" s="137">
        <f>'[30]מאזן בוחן הודו'!AA194</f>
        <v>0</v>
      </c>
      <c r="AB203" s="137">
        <f>'[31]מאזן בוחן הודו'!AB189</f>
        <v>0</v>
      </c>
      <c r="AC203" s="137">
        <v>0</v>
      </c>
      <c r="AD203" s="137">
        <v>0</v>
      </c>
      <c r="AE203" s="137">
        <v>0</v>
      </c>
      <c r="AF203" s="137">
        <v>0</v>
      </c>
      <c r="AG203" s="137">
        <v>0</v>
      </c>
      <c r="AH203" s="137">
        <f>$K203-SUM($W203:AG203)</f>
        <v>0</v>
      </c>
      <c r="AR203" s="52"/>
      <c r="AS203" s="52"/>
      <c r="AT203" s="52"/>
      <c r="AU203" s="141"/>
    </row>
    <row r="204" spans="1:47" s="137" customFormat="1">
      <c r="A204" s="402"/>
      <c r="B204" s="3664"/>
      <c r="C204" s="1987"/>
      <c r="D204" s="757" t="s">
        <v>548</v>
      </c>
      <c r="E204" s="598">
        <f t="shared" ref="E204:K204" si="51">SUM(E183:E203)</f>
        <v>99139795.559999987</v>
      </c>
      <c r="F204" s="598">
        <f t="shared" si="51"/>
        <v>0</v>
      </c>
      <c r="G204" s="598">
        <f t="shared" si="51"/>
        <v>0</v>
      </c>
      <c r="H204" s="598">
        <f t="shared" si="51"/>
        <v>0</v>
      </c>
      <c r="I204" s="598">
        <f t="shared" si="51"/>
        <v>0</v>
      </c>
      <c r="J204" s="598">
        <f t="shared" si="51"/>
        <v>99139795.559999987</v>
      </c>
      <c r="K204" s="598">
        <f t="shared" si="51"/>
        <v>1342077.3600000001</v>
      </c>
      <c r="L204" s="1721"/>
      <c r="M204" s="598">
        <f>SUM(M183:M203)</f>
        <v>1342077.3600000001</v>
      </c>
      <c r="N204" s="4241"/>
      <c r="O204" s="434"/>
      <c r="P204" s="445"/>
      <c r="Q204" s="726"/>
      <c r="R204" s="204">
        <v>129808.29000000001</v>
      </c>
      <c r="S204" s="52">
        <v>101510.42999999996</v>
      </c>
      <c r="T204" s="52">
        <v>133253.96963415452</v>
      </c>
      <c r="U204" s="52">
        <v>66830.690365845512</v>
      </c>
      <c r="V204" s="52">
        <v>91831.625325819885</v>
      </c>
      <c r="W204" s="137">
        <f>'[26]מאזן בוחן הודו'!W189</f>
        <v>88239.830000000016</v>
      </c>
      <c r="X204" s="137">
        <f>'[27]מאזן בוחן הודו'!X189</f>
        <v>99963.663846153853</v>
      </c>
      <c r="Y204" s="137">
        <f>'[28]מאזן בוחן הודו'!Y191</f>
        <v>118028.48615384605</v>
      </c>
      <c r="Z204" s="137">
        <f>'[29]מאזן בוחן הודו'!Z195</f>
        <v>99663.101818181924</v>
      </c>
      <c r="AA204" s="137">
        <f>'[30]מאזן בוחן הודו'!AA195</f>
        <v>110360.94344497618</v>
      </c>
      <c r="AB204" s="137">
        <f>'[31]מאזן בוחן הודו'!AB190</f>
        <v>117888.54473684193</v>
      </c>
      <c r="AC204" s="137">
        <v>102622.06250000012</v>
      </c>
      <c r="AD204" s="137">
        <v>106286.39699152554</v>
      </c>
      <c r="AE204" s="137">
        <v>108356.76050847431</v>
      </c>
      <c r="AF204" s="137">
        <v>103994.77400000009</v>
      </c>
      <c r="AG204" s="137">
        <v>100788.76266666688</v>
      </c>
      <c r="AH204" s="137">
        <f>$K204-SUM($W204:AG204)</f>
        <v>185884.03333333321</v>
      </c>
      <c r="AR204" s="52"/>
      <c r="AS204" s="52"/>
      <c r="AT204" s="52"/>
      <c r="AU204" s="141"/>
    </row>
    <row r="205" spans="1:47" s="137" customFormat="1">
      <c r="A205" s="402"/>
      <c r="B205" s="3664"/>
      <c r="C205" s="1987"/>
      <c r="D205" s="54"/>
      <c r="E205" s="398"/>
      <c r="F205" s="51"/>
      <c r="G205" s="399"/>
      <c r="H205" s="51"/>
      <c r="I205" s="399"/>
      <c r="J205" s="51"/>
      <c r="K205" s="399"/>
      <c r="L205" s="399"/>
      <c r="M205" s="967"/>
      <c r="N205" s="4241"/>
      <c r="O205" s="434"/>
      <c r="P205" s="445"/>
      <c r="Q205" s="726"/>
      <c r="R205" s="204">
        <v>0</v>
      </c>
      <c r="S205" s="52">
        <v>0</v>
      </c>
      <c r="T205" s="52">
        <v>0</v>
      </c>
      <c r="U205" s="52">
        <v>0</v>
      </c>
      <c r="V205" s="52">
        <v>0</v>
      </c>
      <c r="W205" s="137">
        <f>'[26]מאזן בוחן הודו'!W190</f>
        <v>0</v>
      </c>
      <c r="X205" s="137">
        <f>'[27]מאזן בוחן הודו'!X190</f>
        <v>0</v>
      </c>
      <c r="Y205" s="137">
        <f>'[28]מאזן בוחן הודו'!Y192</f>
        <v>0</v>
      </c>
      <c r="Z205" s="137">
        <f>'[29]מאזן בוחן הודו'!Z196</f>
        <v>0</v>
      </c>
      <c r="AA205" s="137">
        <f>'[30]מאזן בוחן הודו'!AA196</f>
        <v>0</v>
      </c>
      <c r="AB205" s="137">
        <f>'[31]מאזן בוחן הודו'!AB191</f>
        <v>0</v>
      </c>
      <c r="AC205" s="137">
        <v>0</v>
      </c>
      <c r="AD205" s="137">
        <v>0</v>
      </c>
      <c r="AE205" s="137">
        <v>0</v>
      </c>
      <c r="AF205" s="137">
        <v>0</v>
      </c>
      <c r="AG205" s="137">
        <v>0</v>
      </c>
      <c r="AH205" s="137">
        <f>$K205-SUM($W205:AG205)</f>
        <v>0</v>
      </c>
      <c r="AR205" s="52"/>
      <c r="AS205" s="52"/>
      <c r="AT205" s="52"/>
      <c r="AU205" s="141"/>
    </row>
    <row r="206" spans="1:47" s="137" customFormat="1">
      <c r="A206" s="402"/>
      <c r="B206" s="3664"/>
      <c r="C206" s="1987"/>
      <c r="D206" s="70" t="s">
        <v>91</v>
      </c>
      <c r="E206" s="429"/>
      <c r="F206" s="51"/>
      <c r="G206" s="399"/>
      <c r="H206" s="51"/>
      <c r="I206" s="399"/>
      <c r="J206" s="440"/>
      <c r="K206" s="446"/>
      <c r="L206" s="399"/>
      <c r="M206" s="589"/>
      <c r="N206" s="4241"/>
      <c r="O206" s="434"/>
      <c r="P206" s="445"/>
      <c r="Q206" s="726"/>
      <c r="R206" s="204">
        <v>0</v>
      </c>
      <c r="S206" s="52">
        <v>0</v>
      </c>
      <c r="T206" s="52">
        <v>0</v>
      </c>
      <c r="U206" s="52">
        <v>0</v>
      </c>
      <c r="V206" s="52">
        <v>0</v>
      </c>
      <c r="W206" s="137">
        <f>'[26]מאזן בוחן הודו'!W191</f>
        <v>0</v>
      </c>
      <c r="X206" s="137">
        <f>'[27]מאזן בוחן הודו'!X191</f>
        <v>0</v>
      </c>
      <c r="Y206" s="137">
        <f>'[28]מאזן בוחן הודו'!Y193</f>
        <v>0</v>
      </c>
      <c r="Z206" s="137">
        <f>'[29]מאזן בוחן הודו'!Z197</f>
        <v>0</v>
      </c>
      <c r="AA206" s="137">
        <f>'[30]מאזן בוחן הודו'!AA197</f>
        <v>0</v>
      </c>
      <c r="AB206" s="137">
        <f>'[31]מאזן בוחן הודו'!AB192</f>
        <v>0</v>
      </c>
      <c r="AC206" s="137">
        <v>0</v>
      </c>
      <c r="AD206" s="137">
        <v>0</v>
      </c>
      <c r="AE206" s="137">
        <v>0</v>
      </c>
      <c r="AF206" s="137">
        <v>0</v>
      </c>
      <c r="AG206" s="137">
        <v>0</v>
      </c>
      <c r="AH206" s="137">
        <f>$K206-SUM($W206:AG206)</f>
        <v>0</v>
      </c>
      <c r="AR206" s="52"/>
      <c r="AS206" s="52"/>
      <c r="AT206" s="52"/>
      <c r="AU206" s="141"/>
    </row>
    <row r="207" spans="1:47" s="137" customFormat="1">
      <c r="A207" s="402"/>
      <c r="B207" s="3664"/>
      <c r="C207" s="749"/>
      <c r="D207" s="50" t="s">
        <v>86</v>
      </c>
      <c r="E207" s="429"/>
      <c r="F207" s="51"/>
      <c r="G207" s="399"/>
      <c r="H207" s="51"/>
      <c r="I207" s="399"/>
      <c r="J207" s="440"/>
      <c r="K207" s="446"/>
      <c r="L207" s="399"/>
      <c r="M207" s="589"/>
      <c r="N207" s="4241"/>
      <c r="O207" s="434"/>
      <c r="P207" s="445"/>
      <c r="Q207" s="726"/>
      <c r="R207" s="204">
        <v>0</v>
      </c>
      <c r="S207" s="52">
        <v>0</v>
      </c>
      <c r="T207" s="52">
        <v>0</v>
      </c>
      <c r="U207" s="52">
        <v>0</v>
      </c>
      <c r="V207" s="52">
        <v>0</v>
      </c>
      <c r="W207" s="137">
        <f>'[26]מאזן בוחן הודו'!W192</f>
        <v>0</v>
      </c>
      <c r="X207" s="137">
        <f>'[27]מאזן בוחן הודו'!X192</f>
        <v>0</v>
      </c>
      <c r="Y207" s="137">
        <f>'[28]מאזן בוחן הודו'!Y194</f>
        <v>0</v>
      </c>
      <c r="Z207" s="137">
        <f>'[29]מאזן בוחן הודו'!Z198</f>
        <v>0</v>
      </c>
      <c r="AA207" s="137">
        <f>'[30]מאזן בוחן הודו'!AA198</f>
        <v>0</v>
      </c>
      <c r="AB207" s="137">
        <f>'[31]מאזן בוחן הודו'!AB193</f>
        <v>0</v>
      </c>
      <c r="AC207" s="137">
        <v>0</v>
      </c>
      <c r="AD207" s="137">
        <v>0</v>
      </c>
      <c r="AE207" s="137">
        <v>0</v>
      </c>
      <c r="AF207" s="137">
        <v>0</v>
      </c>
      <c r="AG207" s="137">
        <v>0</v>
      </c>
      <c r="AH207" s="137">
        <f>$K207-SUM($W207:AG207)</f>
        <v>0</v>
      </c>
      <c r="AR207" s="52"/>
      <c r="AS207" s="52"/>
      <c r="AT207" s="52"/>
      <c r="AU207" s="141"/>
    </row>
    <row r="208" spans="1:47" s="137" customFormat="1">
      <c r="A208" s="402"/>
      <c r="B208" s="3664"/>
      <c r="C208" s="749"/>
      <c r="D208" s="50"/>
      <c r="E208" s="429"/>
      <c r="F208" s="51"/>
      <c r="G208" s="399"/>
      <c r="H208" s="51"/>
      <c r="I208" s="399"/>
      <c r="J208" s="440"/>
      <c r="K208" s="446"/>
      <c r="L208" s="399"/>
      <c r="M208" s="589"/>
      <c r="N208" s="4241"/>
      <c r="O208" s="434"/>
      <c r="P208" s="445"/>
      <c r="Q208" s="726"/>
      <c r="R208" s="204">
        <v>0</v>
      </c>
      <c r="S208" s="52">
        <v>0</v>
      </c>
      <c r="T208" s="52">
        <v>0</v>
      </c>
      <c r="U208" s="52">
        <v>0</v>
      </c>
      <c r="V208" s="52">
        <v>0</v>
      </c>
      <c r="W208" s="137">
        <f>'[26]מאזן בוחן הודו'!W193</f>
        <v>0</v>
      </c>
      <c r="X208" s="137">
        <f>'[27]מאזן בוחן הודו'!X193</f>
        <v>0</v>
      </c>
      <c r="Y208" s="137">
        <f>'[28]מאזן בוחן הודו'!Y195</f>
        <v>0</v>
      </c>
      <c r="Z208" s="137">
        <f>'[29]מאזן בוחן הודו'!Z199</f>
        <v>0</v>
      </c>
      <c r="AA208" s="137">
        <f>'[30]מאזן בוחן הודו'!AA199</f>
        <v>0</v>
      </c>
      <c r="AB208" s="137">
        <f>'[31]מאזן בוחן הודו'!AB194</f>
        <v>0</v>
      </c>
      <c r="AC208" s="137">
        <v>0</v>
      </c>
      <c r="AD208" s="137">
        <v>0</v>
      </c>
      <c r="AE208" s="137">
        <v>0</v>
      </c>
      <c r="AF208" s="137">
        <v>0</v>
      </c>
      <c r="AG208" s="137">
        <v>0</v>
      </c>
      <c r="AH208" s="137">
        <f>$K208-SUM($W208:AG208)</f>
        <v>0</v>
      </c>
      <c r="AR208" s="52"/>
      <c r="AS208" s="52"/>
      <c r="AT208" s="52"/>
      <c r="AU208" s="141"/>
    </row>
    <row r="209" spans="1:47" s="137" customFormat="1">
      <c r="A209" s="402"/>
      <c r="B209" s="3664"/>
      <c r="C209" s="1997"/>
      <c r="D209" s="48"/>
      <c r="E209" s="398"/>
      <c r="F209" s="51"/>
      <c r="G209" s="399"/>
      <c r="H209" s="51"/>
      <c r="I209" s="399"/>
      <c r="J209" s="170"/>
      <c r="K209" s="97"/>
      <c r="L209" s="399"/>
      <c r="M209" s="1719"/>
      <c r="N209" s="4241"/>
      <c r="O209" s="434"/>
      <c r="P209" s="445"/>
      <c r="Q209" s="726"/>
      <c r="R209" s="204">
        <v>0</v>
      </c>
      <c r="S209" s="52">
        <v>0</v>
      </c>
      <c r="T209" s="52">
        <v>0</v>
      </c>
      <c r="U209" s="52">
        <v>0</v>
      </c>
      <c r="V209" s="52">
        <v>0</v>
      </c>
      <c r="W209" s="137">
        <f>'[26]מאזן בוחן הודו'!W194</f>
        <v>0</v>
      </c>
      <c r="X209" s="137">
        <f>'[27]מאזן בוחן הודו'!X194</f>
        <v>0</v>
      </c>
      <c r="Y209" s="137">
        <f>'[28]מאזן בוחן הודו'!Y196</f>
        <v>0</v>
      </c>
      <c r="Z209" s="137">
        <f>'[29]מאזן בוחן הודו'!Z200</f>
        <v>0</v>
      </c>
      <c r="AA209" s="137">
        <f>'[30]מאזן בוחן הודו'!AA200</f>
        <v>0</v>
      </c>
      <c r="AB209" s="137">
        <f>'[31]מאזן בוחן הודו'!AB195</f>
        <v>0</v>
      </c>
      <c r="AC209" s="137">
        <v>0</v>
      </c>
      <c r="AD209" s="137">
        <v>0</v>
      </c>
      <c r="AE209" s="137">
        <v>0</v>
      </c>
      <c r="AF209" s="137">
        <v>0</v>
      </c>
      <c r="AG209" s="137">
        <v>0</v>
      </c>
      <c r="AH209" s="137">
        <f>$K209-SUM($W209:AG209)</f>
        <v>0</v>
      </c>
      <c r="AR209" s="52"/>
      <c r="AS209" s="52"/>
      <c r="AT209" s="52"/>
      <c r="AU209" s="141"/>
    </row>
    <row r="210" spans="1:47" s="141" customFormat="1">
      <c r="A210" s="402"/>
      <c r="B210" s="3664"/>
      <c r="C210" s="759"/>
      <c r="D210" s="45"/>
      <c r="E210" s="398"/>
      <c r="F210" s="51"/>
      <c r="G210" s="399"/>
      <c r="H210" s="51"/>
      <c r="I210" s="399"/>
      <c r="J210" s="170"/>
      <c r="K210" s="98"/>
      <c r="L210" s="399"/>
      <c r="M210" s="1720"/>
      <c r="N210" s="4241"/>
      <c r="O210" s="449"/>
      <c r="P210" s="445"/>
      <c r="Q210" s="726"/>
      <c r="R210" s="204">
        <v>0</v>
      </c>
      <c r="S210" s="52">
        <v>0</v>
      </c>
      <c r="T210" s="52">
        <v>0</v>
      </c>
      <c r="U210" s="52">
        <v>0</v>
      </c>
      <c r="V210" s="52">
        <v>0</v>
      </c>
      <c r="W210" s="137">
        <f>'[26]מאזן בוחן הודו'!W195</f>
        <v>0</v>
      </c>
      <c r="X210" s="137">
        <f>'[27]מאזן בוחן הודו'!X195</f>
        <v>0</v>
      </c>
      <c r="Y210" s="137">
        <f>'[28]מאזן בוחן הודו'!Y197</f>
        <v>0</v>
      </c>
      <c r="Z210" s="137">
        <f>'[29]מאזן בוחן הודו'!Z201</f>
        <v>0</v>
      </c>
      <c r="AA210" s="137">
        <f>'[30]מאזן בוחן הודו'!AA201</f>
        <v>0</v>
      </c>
      <c r="AB210" s="137">
        <f>'[31]מאזן בוחן הודו'!AB196</f>
        <v>0</v>
      </c>
      <c r="AC210" s="137">
        <v>0</v>
      </c>
      <c r="AD210" s="137">
        <v>0</v>
      </c>
      <c r="AE210" s="137">
        <v>0</v>
      </c>
      <c r="AF210" s="137">
        <v>0</v>
      </c>
      <c r="AG210" s="137">
        <v>0</v>
      </c>
      <c r="AH210" s="137">
        <f>$K210-SUM($W210:AG210)</f>
        <v>0</v>
      </c>
      <c r="AI210" s="137"/>
      <c r="AJ210" s="137"/>
      <c r="AK210" s="137"/>
      <c r="AL210" s="137"/>
      <c r="AM210" s="137"/>
      <c r="AN210" s="137"/>
      <c r="AO210" s="137"/>
      <c r="AP210" s="137"/>
      <c r="AQ210" s="137"/>
      <c r="AR210" s="52"/>
      <c r="AS210" s="52"/>
      <c r="AT210" s="52"/>
    </row>
    <row r="211" spans="1:47" s="137" customFormat="1">
      <c r="A211" s="402"/>
      <c r="B211" s="3664"/>
      <c r="C211" s="761"/>
      <c r="D211" s="757"/>
      <c r="E211" s="598">
        <f t="shared" ref="E211:K211" si="52">SUM(E209:E210)</f>
        <v>0</v>
      </c>
      <c r="F211" s="447">
        <f t="shared" si="52"/>
        <v>0</v>
      </c>
      <c r="G211" s="447">
        <f t="shared" si="52"/>
        <v>0</v>
      </c>
      <c r="H211" s="447">
        <f t="shared" si="52"/>
        <v>0</v>
      </c>
      <c r="I211" s="447">
        <f t="shared" si="52"/>
        <v>0</v>
      </c>
      <c r="J211" s="592">
        <f t="shared" si="52"/>
        <v>0</v>
      </c>
      <c r="K211" s="592">
        <f t="shared" si="52"/>
        <v>0</v>
      </c>
      <c r="L211" s="1721"/>
      <c r="M211" s="1718">
        <f>SUM(M209:M210)</f>
        <v>0</v>
      </c>
      <c r="N211" s="4241"/>
      <c r="O211" s="449"/>
      <c r="P211" s="445"/>
      <c r="Q211" s="726"/>
      <c r="R211" s="204">
        <v>0</v>
      </c>
      <c r="S211" s="52">
        <v>0</v>
      </c>
      <c r="T211" s="52">
        <v>0</v>
      </c>
      <c r="U211" s="52">
        <v>0</v>
      </c>
      <c r="V211" s="52">
        <v>0</v>
      </c>
      <c r="W211" s="137">
        <f>'[26]מאזן בוחן הודו'!W196</f>
        <v>0</v>
      </c>
      <c r="X211" s="137">
        <f>'[27]מאזן בוחן הודו'!X196</f>
        <v>0</v>
      </c>
      <c r="Y211" s="137">
        <f>'[28]מאזן בוחן הודו'!Y198</f>
        <v>0</v>
      </c>
      <c r="Z211" s="137">
        <f>'[29]מאזן בוחן הודו'!Z202</f>
        <v>0</v>
      </c>
      <c r="AA211" s="137">
        <f>'[30]מאזן בוחן הודו'!AA202</f>
        <v>0</v>
      </c>
      <c r="AB211" s="137">
        <f>'[31]מאזן בוחן הודו'!AB197</f>
        <v>0</v>
      </c>
      <c r="AC211" s="137">
        <v>0</v>
      </c>
      <c r="AD211" s="137">
        <v>0</v>
      </c>
      <c r="AE211" s="137">
        <v>0</v>
      </c>
      <c r="AF211" s="137">
        <v>0</v>
      </c>
      <c r="AG211" s="137">
        <v>0</v>
      </c>
      <c r="AH211" s="137">
        <f>$K211-SUM($W211:AG211)</f>
        <v>0</v>
      </c>
      <c r="AR211" s="52"/>
      <c r="AS211" s="52"/>
      <c r="AT211" s="52"/>
      <c r="AU211" s="141"/>
    </row>
    <row r="212" spans="1:47" s="137" customFormat="1">
      <c r="A212" s="402"/>
      <c r="B212" s="3664"/>
      <c r="C212" s="761"/>
      <c r="D212" s="50" t="s">
        <v>87</v>
      </c>
      <c r="E212" s="78"/>
      <c r="F212" s="483"/>
      <c r="G212" s="484"/>
      <c r="H212" s="483"/>
      <c r="I212" s="484"/>
      <c r="J212" s="170"/>
      <c r="K212" s="171"/>
      <c r="L212" s="51"/>
      <c r="M212" s="171"/>
      <c r="N212" s="4241"/>
      <c r="O212" s="449"/>
      <c r="P212" s="445"/>
      <c r="Q212" s="726"/>
      <c r="R212" s="204">
        <v>0</v>
      </c>
      <c r="S212" s="52">
        <v>0</v>
      </c>
      <c r="T212" s="52">
        <v>0</v>
      </c>
      <c r="U212" s="52">
        <v>0</v>
      </c>
      <c r="V212" s="52">
        <v>0</v>
      </c>
      <c r="W212" s="137">
        <f>'[26]מאזן בוחן הודו'!W197</f>
        <v>0</v>
      </c>
      <c r="X212" s="137">
        <f>'[27]מאזן בוחן הודו'!X197</f>
        <v>0</v>
      </c>
      <c r="Y212" s="137">
        <f>'[28]מאזן בוחן הודו'!Y199</f>
        <v>0</v>
      </c>
      <c r="Z212" s="137">
        <f>'[29]מאזן בוחן הודו'!Z203</f>
        <v>0</v>
      </c>
      <c r="AA212" s="137">
        <f>'[30]מאזן בוחן הודו'!AA203</f>
        <v>0</v>
      </c>
      <c r="AB212" s="137">
        <f>'[31]מאזן בוחן הודו'!AB198</f>
        <v>0</v>
      </c>
      <c r="AC212" s="137">
        <v>0</v>
      </c>
      <c r="AD212" s="137">
        <v>0</v>
      </c>
      <c r="AE212" s="137">
        <v>0</v>
      </c>
      <c r="AF212" s="137">
        <v>0</v>
      </c>
      <c r="AG212" s="137">
        <v>0</v>
      </c>
      <c r="AH212" s="137">
        <f>$K212-SUM($W212:AG212)</f>
        <v>0</v>
      </c>
      <c r="AR212" s="52"/>
      <c r="AS212" s="52"/>
      <c r="AT212" s="52"/>
      <c r="AU212" s="141"/>
    </row>
    <row r="213" spans="1:47" s="137" customFormat="1">
      <c r="A213" s="402"/>
      <c r="B213" s="3659"/>
      <c r="C213" s="759"/>
      <c r="D213" s="45"/>
      <c r="E213" s="398"/>
      <c r="F213" s="51"/>
      <c r="G213" s="484"/>
      <c r="H213" s="483"/>
      <c r="I213" s="484"/>
      <c r="J213" s="170"/>
      <c r="K213" s="98"/>
      <c r="L213" s="51"/>
      <c r="M213" s="605"/>
      <c r="N213" s="4241"/>
      <c r="O213" s="449"/>
      <c r="P213" s="445"/>
      <c r="Q213" s="726"/>
      <c r="R213" s="204">
        <v>0</v>
      </c>
      <c r="S213" s="52">
        <v>0</v>
      </c>
      <c r="T213" s="52">
        <v>0</v>
      </c>
      <c r="U213" s="52">
        <v>0</v>
      </c>
      <c r="V213" s="52">
        <v>0</v>
      </c>
      <c r="W213" s="137">
        <f>'[26]מאזן בוחן הודו'!W198</f>
        <v>0</v>
      </c>
      <c r="X213" s="137">
        <f>'[27]מאזן בוחן הודו'!X198</f>
        <v>0</v>
      </c>
      <c r="Y213" s="137">
        <f>'[28]מאזן בוחן הודו'!Y200</f>
        <v>0</v>
      </c>
      <c r="Z213" s="137">
        <f>'[29]מאזן בוחן הודו'!Z204</f>
        <v>0</v>
      </c>
      <c r="AA213" s="137">
        <f>'[30]מאזן בוחן הודו'!AA204</f>
        <v>0</v>
      </c>
      <c r="AB213" s="137">
        <f>'[31]מאזן בוחן הודו'!AB199</f>
        <v>0</v>
      </c>
      <c r="AC213" s="137">
        <v>0</v>
      </c>
      <c r="AD213" s="137">
        <v>0</v>
      </c>
      <c r="AE213" s="137">
        <v>0</v>
      </c>
      <c r="AF213" s="137">
        <v>0</v>
      </c>
      <c r="AG213" s="137">
        <v>0</v>
      </c>
      <c r="AH213" s="137">
        <f>$K213-SUM($W213:AG213)</f>
        <v>0</v>
      </c>
      <c r="AR213" s="52"/>
      <c r="AS213" s="52"/>
      <c r="AT213" s="52"/>
      <c r="AU213" s="141"/>
    </row>
    <row r="214" spans="1:47" s="137" customFormat="1">
      <c r="A214" s="402"/>
      <c r="B214" s="3668"/>
      <c r="C214" s="749"/>
      <c r="D214" s="757"/>
      <c r="E214" s="598">
        <f t="shared" ref="E214:M214" si="53">SUM(E213:E213)</f>
        <v>0</v>
      </c>
      <c r="F214" s="447">
        <f t="shared" si="53"/>
        <v>0</v>
      </c>
      <c r="G214" s="447">
        <f t="shared" si="53"/>
        <v>0</v>
      </c>
      <c r="H214" s="447">
        <f t="shared" si="53"/>
        <v>0</v>
      </c>
      <c r="I214" s="447">
        <f t="shared" si="53"/>
        <v>0</v>
      </c>
      <c r="J214" s="592">
        <f t="shared" si="53"/>
        <v>0</v>
      </c>
      <c r="K214" s="592">
        <f t="shared" si="53"/>
        <v>0</v>
      </c>
      <c r="L214" s="593"/>
      <c r="M214" s="592">
        <f t="shared" si="53"/>
        <v>0</v>
      </c>
      <c r="N214" s="4241"/>
      <c r="O214" s="449"/>
      <c r="P214" s="445"/>
      <c r="Q214" s="726"/>
      <c r="R214" s="204">
        <v>0</v>
      </c>
      <c r="S214" s="52">
        <v>0</v>
      </c>
      <c r="T214" s="52">
        <v>0</v>
      </c>
      <c r="U214" s="52">
        <v>0</v>
      </c>
      <c r="V214" s="52">
        <v>0</v>
      </c>
      <c r="W214" s="137">
        <f>'[26]מאזן בוחן הודו'!W199</f>
        <v>0</v>
      </c>
      <c r="X214" s="137">
        <f>'[27]מאזן בוחן הודו'!X199</f>
        <v>0</v>
      </c>
      <c r="Y214" s="137">
        <f>'[28]מאזן בוחן הודו'!Y201</f>
        <v>0</v>
      </c>
      <c r="Z214" s="137">
        <f>'[29]מאזן בוחן הודו'!Z205</f>
        <v>0</v>
      </c>
      <c r="AA214" s="137">
        <f>'[30]מאזן בוחן הודו'!AA205</f>
        <v>0</v>
      </c>
      <c r="AB214" s="137">
        <f>'[31]מאזן בוחן הודו'!AB200</f>
        <v>0</v>
      </c>
      <c r="AC214" s="137">
        <v>0</v>
      </c>
      <c r="AD214" s="137">
        <v>0</v>
      </c>
      <c r="AE214" s="137">
        <v>0</v>
      </c>
      <c r="AF214" s="137">
        <v>0</v>
      </c>
      <c r="AG214" s="137">
        <v>0</v>
      </c>
      <c r="AH214" s="137">
        <f>$K214-SUM($W214:AG214)</f>
        <v>0</v>
      </c>
      <c r="AR214" s="52"/>
      <c r="AS214" s="52"/>
      <c r="AT214" s="52"/>
      <c r="AU214" s="141"/>
    </row>
    <row r="215" spans="1:47" s="137" customFormat="1">
      <c r="A215" s="402"/>
      <c r="B215" s="3668"/>
      <c r="C215" s="1987"/>
      <c r="D215" s="50" t="s">
        <v>92</v>
      </c>
      <c r="E215" s="398"/>
      <c r="F215" s="51"/>
      <c r="G215" s="399"/>
      <c r="H215" s="51"/>
      <c r="I215" s="399"/>
      <c r="J215" s="170"/>
      <c r="K215" s="439"/>
      <c r="L215" s="51"/>
      <c r="M215" s="439"/>
      <c r="N215" s="4241"/>
      <c r="O215" s="449"/>
      <c r="P215" s="2561"/>
      <c r="Q215" s="726"/>
      <c r="R215" s="204">
        <v>0</v>
      </c>
      <c r="S215" s="52">
        <v>0</v>
      </c>
      <c r="T215" s="52">
        <v>0</v>
      </c>
      <c r="U215" s="52">
        <v>0</v>
      </c>
      <c r="V215" s="52">
        <v>0</v>
      </c>
      <c r="W215" s="137">
        <f>'[26]מאזן בוחן הודו'!W200</f>
        <v>0</v>
      </c>
      <c r="X215" s="137">
        <f>'[27]מאזן בוחן הודו'!X200</f>
        <v>0</v>
      </c>
      <c r="Y215" s="137">
        <f>'[28]מאזן בוחן הודו'!Y202</f>
        <v>0</v>
      </c>
      <c r="Z215" s="137">
        <f>'[29]מאזן בוחן הודו'!Z206</f>
        <v>0</v>
      </c>
      <c r="AA215" s="137">
        <f>'[30]מאזן בוחן הודו'!AA206</f>
        <v>0</v>
      </c>
      <c r="AB215" s="137">
        <f>'[31]מאזן בוחן הודו'!AB201</f>
        <v>0</v>
      </c>
      <c r="AC215" s="137">
        <v>0</v>
      </c>
      <c r="AD215" s="137">
        <v>0</v>
      </c>
      <c r="AE215" s="137">
        <v>0</v>
      </c>
      <c r="AF215" s="137">
        <v>0</v>
      </c>
      <c r="AG215" s="137">
        <v>0</v>
      </c>
      <c r="AH215" s="137">
        <f>$K215-SUM($W215:AG215)</f>
        <v>0</v>
      </c>
      <c r="AR215" s="52"/>
      <c r="AS215" s="52"/>
      <c r="AT215" s="52"/>
      <c r="AU215" s="141"/>
    </row>
    <row r="216" spans="1:47" s="137" customFormat="1">
      <c r="A216" s="406"/>
      <c r="B216" s="3659" t="s">
        <v>1337</v>
      </c>
      <c r="C216" s="1374">
        <v>8410080</v>
      </c>
      <c r="D216" s="585" t="s">
        <v>2589</v>
      </c>
      <c r="E216" s="79">
        <f>IFERROR(VLOOKUP(C216,'פ.נ. הודו'!$D$70:$G$1144,3,0),0)</f>
        <v>776001.3</v>
      </c>
      <c r="F216" s="170">
        <f>SUMIF('פ.נ. הודו'!$C:$C,$C:$C,'פ.נ. הודו'!$E:$E)</f>
        <v>0</v>
      </c>
      <c r="G216" s="398"/>
      <c r="H216" s="204"/>
      <c r="I216" s="79"/>
      <c r="J216" s="474">
        <f>SUM(E216:I216)</f>
        <v>776001.3</v>
      </c>
      <c r="K216" s="474">
        <f>M216+SUMIF('פ.נ. הודו'!$C:$C,$C:$C,'פ.נ. הודו'!$F:$F)</f>
        <v>10523.15</v>
      </c>
      <c r="L216" s="52"/>
      <c r="M216" s="78">
        <f>IFERROR(VLOOKUP(C216,'פ.נ. הודו'!$D$70:$G$1144,4,0),0)</f>
        <v>10523.15</v>
      </c>
      <c r="N216" s="4240">
        <f>IF(K216=0,"-",J216/K216)</f>
        <v>73.742301497175276</v>
      </c>
      <c r="O216" s="434"/>
      <c r="P216" s="2561" t="s">
        <v>2896</v>
      </c>
      <c r="Q216" s="726">
        <v>21145.11</v>
      </c>
      <c r="R216" s="204">
        <v>411.20999999999913</v>
      </c>
      <c r="S216" s="52">
        <v>-19538.759999999998</v>
      </c>
      <c r="T216" s="52">
        <v>3226.3899999999985</v>
      </c>
      <c r="U216" s="52">
        <v>440.59000000000015</v>
      </c>
      <c r="V216" s="52">
        <v>546.80000000000018</v>
      </c>
      <c r="W216" s="137">
        <f>'[26]מאזן בוחן הודו'!W201</f>
        <v>1166.3699999999999</v>
      </c>
      <c r="X216" s="137">
        <f>'[27]מאזן בוחן הודו'!X201</f>
        <v>407.15000000000009</v>
      </c>
      <c r="Y216" s="137">
        <f>'[28]מאזן בוחן הודו'!Y203</f>
        <v>1991.52</v>
      </c>
      <c r="Z216" s="137">
        <f>'[29]מאזן בוחן הודו'!Z207</f>
        <v>566.94999999999982</v>
      </c>
      <c r="AA216" s="137">
        <f>'[30]מאזן בוחן הודו'!AA207</f>
        <v>691.80000000000018</v>
      </c>
      <c r="AB216" s="137">
        <f>'[31]מאזן בוחן הודו'!AB202</f>
        <v>947.69999999999982</v>
      </c>
      <c r="AC216" s="137">
        <v>424.59000000000015</v>
      </c>
      <c r="AD216" s="137">
        <v>632.35999999999967</v>
      </c>
      <c r="AE216" s="137">
        <v>1050.46</v>
      </c>
      <c r="AF216" s="137">
        <v>427.89000000000124</v>
      </c>
      <c r="AG216" s="137">
        <v>534.04999999999927</v>
      </c>
      <c r="AH216" s="137">
        <f>$K216-SUM($W216:AG216)</f>
        <v>1682.3099999999995</v>
      </c>
      <c r="AR216" s="52"/>
      <c r="AS216" s="52"/>
      <c r="AT216" s="52"/>
      <c r="AU216" s="2562" t="s">
        <v>2609</v>
      </c>
    </row>
    <row r="217" spans="1:47" s="137" customFormat="1">
      <c r="A217" s="406"/>
      <c r="B217" s="3659" t="s">
        <v>1337</v>
      </c>
      <c r="C217" s="1374">
        <v>8410069</v>
      </c>
      <c r="D217" s="585" t="s">
        <v>1338</v>
      </c>
      <c r="E217" s="79">
        <f>IFERROR(VLOOKUP(C217,'פ.נ. הודו'!$D$70:$G$1144,3,0),0)</f>
        <v>242500</v>
      </c>
      <c r="F217" s="170">
        <f>SUMIF('פ.נ. הודו'!$C:$C,$C:$C,'פ.נ. הודו'!$E:$E)</f>
        <v>0</v>
      </c>
      <c r="G217" s="398"/>
      <c r="H217" s="204"/>
      <c r="I217" s="79"/>
      <c r="J217" s="474">
        <f>SUM(E217:I217)</f>
        <v>242500</v>
      </c>
      <c r="K217" s="474">
        <f>M217+SUMIF('פ.נ. הודו'!$C:$C,$C:$C,'פ.נ. הודו'!$F:$F)</f>
        <v>3274.29</v>
      </c>
      <c r="L217" s="52"/>
      <c r="M217" s="78">
        <f>IFERROR(VLOOKUP(C217,'פ.נ. הודו'!$D$70:$G$1144,4,0),0)</f>
        <v>3274.29</v>
      </c>
      <c r="N217" s="4240">
        <f>IF(K217=0,"-",J217/K217)</f>
        <v>74.061857685177557</v>
      </c>
      <c r="O217" s="434"/>
      <c r="P217" s="2844" t="s">
        <v>3242</v>
      </c>
      <c r="Q217" s="726"/>
      <c r="R217" s="204"/>
      <c r="S217" s="52"/>
      <c r="T217" s="52"/>
      <c r="U217" s="52"/>
      <c r="V217" s="52">
        <v>1589.15</v>
      </c>
      <c r="W217" s="137">
        <f>'[26]מאזן בוחן הודו'!W202</f>
        <v>177.24</v>
      </c>
      <c r="X217" s="137">
        <f>'[27]מאזן בוחן הודו'!X202</f>
        <v>175.3</v>
      </c>
      <c r="Y217" s="137">
        <f>'[28]מאזן בוחן הודו'!Y204</f>
        <v>176.35999999999996</v>
      </c>
      <c r="Z217" s="137">
        <f>'[29]מאזן בוחן הודו'!Z208</f>
        <v>0</v>
      </c>
      <c r="AA217" s="137">
        <f>'[30]מאזן בוחן הודו'!AA208</f>
        <v>0</v>
      </c>
      <c r="AB217" s="137">
        <f>'[31]מאזן בוחן הודו'!AB203</f>
        <v>1365.9</v>
      </c>
      <c r="AC217" s="137">
        <v>230.25999999999976</v>
      </c>
      <c r="AD217" s="137">
        <v>233.30999999999995</v>
      </c>
      <c r="AE217" s="137">
        <v>230.07000000000016</v>
      </c>
      <c r="AF217" s="137">
        <v>228.42999999999984</v>
      </c>
      <c r="AG217" s="137">
        <v>227.5</v>
      </c>
      <c r="AH217" s="137">
        <f>$K217-SUM($W217:AG217)</f>
        <v>229.92000000000007</v>
      </c>
      <c r="AR217" s="52"/>
      <c r="AS217" s="52"/>
      <c r="AT217" s="52"/>
      <c r="AU217" s="2562"/>
    </row>
    <row r="218" spans="1:47" s="137" customFormat="1">
      <c r="A218" s="406"/>
      <c r="B218" s="3659" t="s">
        <v>1337</v>
      </c>
      <c r="C218" s="1374">
        <v>8410066</v>
      </c>
      <c r="D218" s="203" t="s">
        <v>491</v>
      </c>
      <c r="E218" s="79">
        <f>IFERROR(VLOOKUP(C218,'פ.נ. הודו'!$D$70:$G$1144,3,0),0)</f>
        <v>1261116.6000000001</v>
      </c>
      <c r="F218" s="170">
        <f>SUMIF('פ.נ. הודו'!$C:$C,$C:$C,'פ.נ. הודו'!$E:$E)</f>
        <v>0</v>
      </c>
      <c r="G218" s="398"/>
      <c r="H218" s="204"/>
      <c r="I218" s="79"/>
      <c r="J218" s="474">
        <f>SUM(E218:I218)</f>
        <v>1261116.6000000001</v>
      </c>
      <c r="K218" s="474">
        <f>M218+SUMIF('פ.נ. הודו'!$C:$C,$C:$C,'פ.נ. הודו'!$F:$F)</f>
        <v>16999.939999999999</v>
      </c>
      <c r="L218" s="52"/>
      <c r="M218" s="78">
        <f>IFERROR(VLOOKUP(C218,'פ.נ. הודו'!$D$70:$G$1144,4,0),0)</f>
        <v>16999.939999999999</v>
      </c>
      <c r="N218" s="4240">
        <f>IF(K218=0,"-",J218/K218)</f>
        <v>74.183591236204379</v>
      </c>
      <c r="O218" s="434"/>
      <c r="P218" s="2561"/>
      <c r="Q218" s="726">
        <v>4.8899999999999997</v>
      </c>
      <c r="R218" s="204">
        <v>22.34</v>
      </c>
      <c r="S218" s="52">
        <v>3962.35</v>
      </c>
      <c r="T218" s="52">
        <v>263.15999999999985</v>
      </c>
      <c r="U218" s="52">
        <v>313.34000000000015</v>
      </c>
      <c r="V218" s="52">
        <v>473</v>
      </c>
      <c r="W218" s="137">
        <f>'[26]מאזן בוחן הודו'!W203</f>
        <v>352.62</v>
      </c>
      <c r="X218" s="137">
        <f>'[27]מאזן בוחן הודו'!X203</f>
        <v>315</v>
      </c>
      <c r="Y218" s="137">
        <f>'[28]מאזן בוחן הודו'!Y205</f>
        <v>398.05000000000007</v>
      </c>
      <c r="Z218" s="137">
        <f>'[29]מאזן בוחן הודו'!Z209</f>
        <v>335.69999999999982</v>
      </c>
      <c r="AA218" s="137">
        <f>'[30]מאזן בוחן הודו'!AA209</f>
        <v>448.5300000000002</v>
      </c>
      <c r="AB218" s="137">
        <f>'[31]מאזן בוחן הודו'!AB204</f>
        <v>424.65999999999985</v>
      </c>
      <c r="AC218" s="137">
        <v>2482.02</v>
      </c>
      <c r="AD218" s="137">
        <v>2493.8999999999996</v>
      </c>
      <c r="AE218" s="137">
        <v>2379.8199999999997</v>
      </c>
      <c r="AF218" s="137">
        <v>2212.16</v>
      </c>
      <c r="AG218" s="137">
        <v>2772.1800000000003</v>
      </c>
      <c r="AH218" s="137">
        <f>$K218-SUM($W218:AG218)</f>
        <v>2385.2999999999993</v>
      </c>
      <c r="AR218" s="52"/>
      <c r="AS218" s="52"/>
      <c r="AT218" s="52"/>
      <c r="AU218" s="141"/>
    </row>
    <row r="219" spans="1:47" s="137" customFormat="1">
      <c r="A219" s="402"/>
      <c r="B219" s="3659" t="s">
        <v>2250</v>
      </c>
      <c r="C219" s="1374">
        <v>8020013</v>
      </c>
      <c r="D219" s="61" t="s">
        <v>2590</v>
      </c>
      <c r="E219" s="79">
        <f>IFERROR(VLOOKUP(C219,'פ.נ. הודו'!$D$70:$G$1144,3,0),0)</f>
        <v>549003</v>
      </c>
      <c r="F219" s="170">
        <f>SUMIF('פ.נ. הודו'!$C:$C,$C:$C,'פ.נ. הודו'!$E:$E)</f>
        <v>0</v>
      </c>
      <c r="G219" s="398"/>
      <c r="H219" s="204"/>
      <c r="I219" s="79"/>
      <c r="J219" s="78">
        <f>SUM(E219:I219)</f>
        <v>549003</v>
      </c>
      <c r="K219" s="591">
        <f>M219+SUMIF('פ.נ. הודו'!$C:$C,$C:$C,'פ.נ. הודו'!$F:$F)</f>
        <v>7477.88</v>
      </c>
      <c r="L219" s="52"/>
      <c r="M219" s="78">
        <f>IFERROR(VLOOKUP(C219,'פ.נ. הודו'!$D$70:$G$1144,4,0),0)</f>
        <v>7477.88</v>
      </c>
      <c r="N219" s="4240">
        <f>IF(K219=0,"-",J219/K219)</f>
        <v>73.41693100183474</v>
      </c>
      <c r="O219" s="449"/>
      <c r="P219" s="2561" t="s">
        <v>2591</v>
      </c>
      <c r="Q219" s="726">
        <v>0</v>
      </c>
      <c r="R219" s="204">
        <v>26.04</v>
      </c>
      <c r="S219" s="52">
        <v>0</v>
      </c>
      <c r="T219" s="52">
        <v>1789.06</v>
      </c>
      <c r="U219" s="52">
        <v>12.880000000000109</v>
      </c>
      <c r="V219" s="52">
        <v>1076.2199999999998</v>
      </c>
      <c r="W219" s="137">
        <f>'[26]מאזן בוחן הודו'!W204</f>
        <v>3469.6</v>
      </c>
      <c r="X219" s="137">
        <f>'[27]מאזן בוחן הודו'!X204</f>
        <v>25.789999999999964</v>
      </c>
      <c r="Y219" s="137">
        <f>'[28]מאזן בוחן הודו'!Y206</f>
        <v>1100.1700000000005</v>
      </c>
      <c r="Z219" s="137">
        <f>'[29]מאזן בוחן הודו'!Z210</f>
        <v>6.8899999999994179</v>
      </c>
      <c r="AA219" s="137">
        <f>'[30]מאזן בוחן הודו'!AA210</f>
        <v>52.579999999999927</v>
      </c>
      <c r="AB219" s="137">
        <f>'[31]מאזן בוחן הודו'!AB205</f>
        <v>1099.6500000000005</v>
      </c>
      <c r="AC219" s="137">
        <v>0</v>
      </c>
      <c r="AD219" s="137">
        <v>148.35999999999967</v>
      </c>
      <c r="AE219" s="137">
        <v>1085.46</v>
      </c>
      <c r="AF219" s="137">
        <v>47.390000000000327</v>
      </c>
      <c r="AG219" s="137">
        <v>12.649999999999636</v>
      </c>
      <c r="AH219" s="137">
        <f>$K219-SUM($W219:AG219)</f>
        <v>429.34000000000015</v>
      </c>
      <c r="AR219" s="52"/>
      <c r="AS219" s="52"/>
      <c r="AT219" s="52"/>
      <c r="AU219" s="141"/>
    </row>
    <row r="220" spans="1:47" s="137" customFormat="1">
      <c r="A220" s="402"/>
      <c r="B220" s="3668"/>
      <c r="C220" s="749"/>
      <c r="D220" s="757"/>
      <c r="E220" s="598">
        <f t="shared" ref="E220:K220" si="54">SUM(E216:E219)</f>
        <v>2828620.9000000004</v>
      </c>
      <c r="F220" s="606">
        <f t="shared" si="54"/>
        <v>0</v>
      </c>
      <c r="G220" s="447">
        <f t="shared" si="54"/>
        <v>0</v>
      </c>
      <c r="H220" s="447">
        <f t="shared" si="54"/>
        <v>0</v>
      </c>
      <c r="I220" s="447">
        <f t="shared" si="54"/>
        <v>0</v>
      </c>
      <c r="J220" s="592">
        <f t="shared" si="54"/>
        <v>2828620.9000000004</v>
      </c>
      <c r="K220" s="592">
        <f t="shared" si="54"/>
        <v>38275.259999999995</v>
      </c>
      <c r="L220" s="593"/>
      <c r="M220" s="592">
        <f>SUM(M216:M219)</f>
        <v>38275.259999999995</v>
      </c>
      <c r="N220" s="4241"/>
      <c r="O220" s="449"/>
      <c r="P220" s="2561"/>
      <c r="Q220" s="726"/>
      <c r="R220" s="204">
        <v>21609.59</v>
      </c>
      <c r="S220" s="52">
        <v>-15576.41</v>
      </c>
      <c r="T220" s="52">
        <v>5278.6099999999988</v>
      </c>
      <c r="U220" s="52">
        <v>766.80999999999949</v>
      </c>
      <c r="V220" s="52">
        <v>1076.2199999999998</v>
      </c>
      <c r="W220" s="137">
        <f>'[26]מאזן בוחן הודו'!W205</f>
        <v>5165.83</v>
      </c>
      <c r="X220" s="137">
        <f>'[27]מאזן בוחן הודו'!X205</f>
        <v>923.23999999999978</v>
      </c>
      <c r="Y220" s="137">
        <f>'[28]מאזן בוחן הודו'!Y207</f>
        <v>3666.1000000000022</v>
      </c>
      <c r="Z220" s="137">
        <f>'[29]מאזן בוחן הודו'!Z211</f>
        <v>909.53999999999724</v>
      </c>
      <c r="AA220" s="137">
        <f>'[30]מאזן בוחן הודו'!AA211</f>
        <v>1192.9099999999999</v>
      </c>
      <c r="AB220" s="137">
        <f>'[31]מאזן בוחן הודו'!AB206</f>
        <v>3837.9100000000017</v>
      </c>
      <c r="AC220" s="137">
        <v>3136.8700000000008</v>
      </c>
      <c r="AD220" s="137">
        <v>3507.9300000000003</v>
      </c>
      <c r="AE220" s="137">
        <v>4745.8099999999977</v>
      </c>
      <c r="AF220" s="137">
        <v>2915.869999999999</v>
      </c>
      <c r="AG220" s="137">
        <v>3546.380000000001</v>
      </c>
      <c r="AH220" s="137">
        <f>$K220-SUM($W220:AG220)</f>
        <v>4726.8699999999953</v>
      </c>
      <c r="AR220" s="52"/>
      <c r="AS220" s="52"/>
      <c r="AT220" s="52"/>
      <c r="AU220" s="141"/>
    </row>
    <row r="221" spans="1:47" s="137" customFormat="1" ht="15" customHeight="1">
      <c r="A221" s="402"/>
      <c r="B221" s="3668"/>
      <c r="C221" s="749"/>
      <c r="D221" s="50" t="s">
        <v>93</v>
      </c>
      <c r="E221" s="429"/>
      <c r="F221" s="52"/>
      <c r="G221" s="399"/>
      <c r="H221" s="51"/>
      <c r="I221" s="399"/>
      <c r="J221" s="440"/>
      <c r="K221" s="439"/>
      <c r="L221" s="51"/>
      <c r="M221" s="439"/>
      <c r="N221" s="4241"/>
      <c r="O221" s="434"/>
      <c r="P221" s="2561"/>
      <c r="Q221" s="726"/>
      <c r="R221" s="204">
        <v>0</v>
      </c>
      <c r="S221" s="52">
        <v>0</v>
      </c>
      <c r="T221" s="52">
        <v>0</v>
      </c>
      <c r="U221" s="52">
        <v>0</v>
      </c>
      <c r="V221" s="52">
        <v>3685.1659622022489</v>
      </c>
      <c r="W221" s="137">
        <f>'[26]מאזן בוחן הודו'!W206</f>
        <v>0</v>
      </c>
      <c r="X221" s="137">
        <f>'[27]מאזן בוחן הודו'!X206</f>
        <v>0</v>
      </c>
      <c r="Y221" s="137">
        <f>'[28]מאזן בוחן הודו'!Y208</f>
        <v>0</v>
      </c>
      <c r="Z221" s="137">
        <f>'[29]מאזן בוחן הודו'!Z212</f>
        <v>0</v>
      </c>
      <c r="AA221" s="137">
        <f>'[30]מאזן בוחן הודו'!AA212</f>
        <v>0</v>
      </c>
      <c r="AB221" s="137">
        <f>'[31]מאזן בוחן הודו'!AB207</f>
        <v>0</v>
      </c>
      <c r="AC221" s="137">
        <v>0</v>
      </c>
      <c r="AD221" s="137">
        <v>0</v>
      </c>
      <c r="AE221" s="137">
        <v>0</v>
      </c>
      <c r="AF221" s="137">
        <v>0</v>
      </c>
      <c r="AG221" s="137">
        <v>0</v>
      </c>
      <c r="AH221" s="137">
        <f>$K221-SUM($W221:AG221)</f>
        <v>0</v>
      </c>
      <c r="AR221" s="52"/>
      <c r="AS221" s="52"/>
      <c r="AT221" s="52"/>
      <c r="AU221" s="141"/>
    </row>
    <row r="222" spans="1:47" s="137" customFormat="1" ht="15" customHeight="1">
      <c r="A222" s="402"/>
      <c r="B222" s="3668"/>
      <c r="C222" s="749"/>
      <c r="D222" s="50"/>
      <c r="E222" s="429"/>
      <c r="F222" s="52"/>
      <c r="G222" s="399"/>
      <c r="H222" s="51"/>
      <c r="I222" s="399"/>
      <c r="J222" s="440"/>
      <c r="K222" s="439"/>
      <c r="L222" s="51"/>
      <c r="M222" s="439"/>
      <c r="N222" s="4241"/>
      <c r="O222" s="434"/>
      <c r="P222" s="2561"/>
      <c r="Q222" s="726"/>
      <c r="R222" s="204">
        <v>0</v>
      </c>
      <c r="S222" s="52">
        <v>0</v>
      </c>
      <c r="T222" s="52">
        <v>0</v>
      </c>
      <c r="U222" s="52">
        <v>0</v>
      </c>
      <c r="V222" s="52">
        <v>0</v>
      </c>
      <c r="W222" s="137">
        <f>'[26]מאזן בוחן הודו'!W207</f>
        <v>0</v>
      </c>
      <c r="X222" s="137">
        <f>'[27]מאזן בוחן הודו'!X207</f>
        <v>0</v>
      </c>
      <c r="Y222" s="137">
        <f>'[28]מאזן בוחן הודו'!Y209</f>
        <v>0</v>
      </c>
      <c r="Z222" s="137">
        <f>'[29]מאזן בוחן הודו'!Z213</f>
        <v>0</v>
      </c>
      <c r="AA222" s="137">
        <f>'[30]מאזן בוחן הודו'!AA213</f>
        <v>0</v>
      </c>
      <c r="AB222" s="137">
        <f>'[31]מאזן בוחן הודו'!AB208</f>
        <v>0</v>
      </c>
      <c r="AC222" s="137">
        <v>0</v>
      </c>
      <c r="AD222" s="137">
        <v>0</v>
      </c>
      <c r="AE222" s="137">
        <v>0</v>
      </c>
      <c r="AF222" s="137">
        <v>0</v>
      </c>
      <c r="AG222" s="137">
        <v>0</v>
      </c>
      <c r="AH222" s="137">
        <f>$K222-SUM($W222:AG222)</f>
        <v>0</v>
      </c>
      <c r="AR222" s="52"/>
      <c r="AS222" s="52"/>
      <c r="AT222" s="52"/>
      <c r="AU222" s="141"/>
    </row>
    <row r="223" spans="1:47" s="137" customFormat="1">
      <c r="A223" s="406"/>
      <c r="B223" s="3659" t="s">
        <v>1183</v>
      </c>
      <c r="C223" s="1374">
        <v>8030001</v>
      </c>
      <c r="D223" s="203" t="s">
        <v>394</v>
      </c>
      <c r="E223" s="79">
        <f>IFERROR(VLOOKUP(C223,'פ.נ. הודו'!$D$70:$G$1144,3,0),0)</f>
        <v>4732800</v>
      </c>
      <c r="F223" s="170">
        <f>SUMIF('פ.נ. הודו'!$C:$C,$C:$C,'פ.נ. הודו'!$E:$E)</f>
        <v>0</v>
      </c>
      <c r="G223" s="398"/>
      <c r="H223" s="204"/>
      <c r="I223" s="79"/>
      <c r="J223" s="522">
        <f t="shared" ref="J223:J236" si="55">SUM(E223:I223)</f>
        <v>4732800</v>
      </c>
      <c r="K223" s="591">
        <f>M223+SUMIF('פ.נ. הודו'!$C:$C,$C:$C,'פ.נ. הודו'!$F:$F)</f>
        <v>64099.48</v>
      </c>
      <c r="L223" s="52"/>
      <c r="M223" s="78">
        <f>IFERROR(VLOOKUP(C223,'פ.נ. הודו'!$D$70:$G$1144,4,0),0)</f>
        <v>64099.48</v>
      </c>
      <c r="N223" s="4240">
        <f t="shared" ref="N223:N236" si="56">IF(K223=0,"-",J223/K223)</f>
        <v>73.835232360699337</v>
      </c>
      <c r="O223" s="434"/>
      <c r="P223" s="2561"/>
      <c r="Q223" s="726">
        <v>5876</v>
      </c>
      <c r="R223" s="204">
        <v>6058.2800000000007</v>
      </c>
      <c r="S223" s="52">
        <v>5998.15</v>
      </c>
      <c r="T223" s="52">
        <v>5941.93</v>
      </c>
      <c r="U223" s="52">
        <v>5992.0799999999981</v>
      </c>
      <c r="V223" s="52">
        <v>5391.48</v>
      </c>
      <c r="W223" s="137">
        <f>'[26]מאזן בוחן הודו'!W208</f>
        <v>5411.94</v>
      </c>
      <c r="X223" s="137">
        <f>'[27]מאזן בוחן הודו'!X208</f>
        <v>5352.5100000000011</v>
      </c>
      <c r="Y223" s="137">
        <f>'[28]מאזן בוחן הודו'!Y210</f>
        <v>5385.32</v>
      </c>
      <c r="Z223" s="137">
        <f>'[29]מאזן בוחן הודו'!Z214</f>
        <v>5323.93</v>
      </c>
      <c r="AA223" s="137">
        <f>'[30]מאזן בוחן הודו'!AA214</f>
        <v>5456.9399999999987</v>
      </c>
      <c r="AB223" s="137">
        <f>'[31]מאזן בוחן הודו'!AB209</f>
        <v>5320.6100000000006</v>
      </c>
      <c r="AC223" s="137">
        <v>5316.0599999999977</v>
      </c>
      <c r="AD223" s="137">
        <v>5386.510000000002</v>
      </c>
      <c r="AE223" s="137">
        <v>5311.4199999999983</v>
      </c>
      <c r="AF223" s="137">
        <v>5273.7300000000032</v>
      </c>
      <c r="AG223" s="137">
        <v>5252.4799999999959</v>
      </c>
      <c r="AH223" s="137">
        <f>$K223-SUM($W223:AG223)</f>
        <v>5308.0300000000061</v>
      </c>
      <c r="AR223" s="52"/>
      <c r="AS223" s="52"/>
      <c r="AT223" s="52"/>
      <c r="AU223" s="141"/>
    </row>
    <row r="224" spans="1:47" s="137" customFormat="1">
      <c r="A224" s="406"/>
      <c r="B224" s="3659" t="s">
        <v>1183</v>
      </c>
      <c r="C224" s="1374">
        <v>8030012</v>
      </c>
      <c r="D224" s="203" t="s">
        <v>4449</v>
      </c>
      <c r="E224" s="79">
        <f>IFERROR(VLOOKUP(C224,'פ.נ. הודו'!$D$70:$G$1144,3,0),0)</f>
        <v>4878</v>
      </c>
      <c r="F224" s="170">
        <f>SUMIF('פ.נ. הודו'!$C:$C,$C:$C,'פ.נ. הודו'!$E:$E)</f>
        <v>0</v>
      </c>
      <c r="G224" s="398"/>
      <c r="H224" s="204"/>
      <c r="I224" s="79"/>
      <c r="J224" s="522">
        <f t="shared" ref="J224" si="57">SUM(E224:I224)</f>
        <v>4878</v>
      </c>
      <c r="K224" s="591">
        <f>M224+SUMIF('פ.נ. הודו'!$C:$C,$C:$C,'פ.נ. הודו'!$F:$F)</f>
        <v>64.959999999999994</v>
      </c>
      <c r="L224" s="52"/>
      <c r="M224" s="78">
        <f>IFERROR(VLOOKUP(C224,'פ.נ. הודו'!$D$70:$G$1144,4,0),0)</f>
        <v>64.959999999999994</v>
      </c>
      <c r="N224" s="4240">
        <f t="shared" ref="N224" si="58">IF(K224=0,"-",J224/K224)</f>
        <v>75.092364532019715</v>
      </c>
      <c r="O224" s="434"/>
      <c r="P224" s="2561"/>
      <c r="Q224" s="726"/>
      <c r="R224" s="204"/>
      <c r="S224" s="52"/>
      <c r="T224" s="52"/>
      <c r="U224" s="52"/>
      <c r="V224" s="52"/>
      <c r="AG224" s="137">
        <v>64.959999999999994</v>
      </c>
      <c r="AH224" s="137">
        <f>$K224-SUM($W224:AG224)</f>
        <v>0</v>
      </c>
      <c r="AR224" s="52"/>
      <c r="AS224" s="52"/>
      <c r="AT224" s="52"/>
      <c r="AU224" s="141"/>
    </row>
    <row r="225" spans="1:47" s="137" customFormat="1">
      <c r="A225" s="406"/>
      <c r="B225" s="3659" t="s">
        <v>1183</v>
      </c>
      <c r="C225" s="1374">
        <v>8030006</v>
      </c>
      <c r="D225" s="203" t="s">
        <v>155</v>
      </c>
      <c r="E225" s="79">
        <f>IFERROR(VLOOKUP(C225,'פ.נ. הודו'!$D$70:$G$1144,3,0),0)</f>
        <v>6367</v>
      </c>
      <c r="F225" s="170">
        <f>SUMIF('פ.נ. הודו'!$C:$C,$C:$C,'פ.נ. הודו'!$E:$E)</f>
        <v>0</v>
      </c>
      <c r="G225" s="398"/>
      <c r="H225" s="204"/>
      <c r="I225" s="79"/>
      <c r="J225" s="522">
        <f>SUM(E225:I225)</f>
        <v>6367</v>
      </c>
      <c r="K225" s="591">
        <f>M225+SUMIF('פ.נ. הודו'!$C:$C,$C:$C,'פ.נ. הודו'!$F:$F)</f>
        <v>87.21</v>
      </c>
      <c r="L225" s="52"/>
      <c r="M225" s="78">
        <f>IFERROR(VLOOKUP(C225,'פ.נ. הודו'!$D$70:$G$1144,4,0),0)</f>
        <v>87.21</v>
      </c>
      <c r="N225" s="4240">
        <f>IF(K225=0,"-",J225/K225)</f>
        <v>73.007682605205829</v>
      </c>
      <c r="O225" s="434"/>
      <c r="P225" s="2561"/>
      <c r="Q225" s="726"/>
      <c r="R225" s="204"/>
      <c r="S225" s="52"/>
      <c r="T225" s="52"/>
      <c r="U225" s="52"/>
      <c r="V225" s="52">
        <v>1534.21</v>
      </c>
      <c r="W225" s="137">
        <f>'[26]מאזן בוחן הודו'!W209</f>
        <v>63.67</v>
      </c>
      <c r="X225" s="137">
        <f>'[27]מאזן בוחן הודו'!X209</f>
        <v>6.789999999999992</v>
      </c>
      <c r="Y225" s="137">
        <f>'[28]מאזן בוחן הודו'!Y211</f>
        <v>16.75</v>
      </c>
      <c r="Z225" s="137">
        <f>'[29]מאזן בוחן הודו'!Z215</f>
        <v>0</v>
      </c>
      <c r="AA225" s="137">
        <f>'[30]מאזן בוחן הודו'!AA215</f>
        <v>0</v>
      </c>
      <c r="AB225" s="137">
        <f>'[31]מאזן בוחן הודו'!AB210</f>
        <v>0</v>
      </c>
      <c r="AC225" s="137">
        <v>0</v>
      </c>
      <c r="AD225" s="137">
        <v>0</v>
      </c>
      <c r="AE225" s="137">
        <v>0</v>
      </c>
      <c r="AF225" s="137">
        <v>0</v>
      </c>
      <c r="AG225" s="137">
        <v>0</v>
      </c>
      <c r="AH225" s="137">
        <f>$K225-SUM($W225:AG225)</f>
        <v>0</v>
      </c>
      <c r="AR225" s="52"/>
      <c r="AS225" s="52"/>
      <c r="AT225" s="52"/>
      <c r="AU225" s="141"/>
    </row>
    <row r="226" spans="1:47" s="137" customFormat="1">
      <c r="A226" s="406"/>
      <c r="B226" s="3659" t="s">
        <v>1183</v>
      </c>
      <c r="C226" s="1374">
        <v>8030009</v>
      </c>
      <c r="D226" s="203" t="s">
        <v>1186</v>
      </c>
      <c r="E226" s="79">
        <f>IFERROR(VLOOKUP(C226,'פ.נ. הודו'!$D$70:$G$1144,3,0),0)</f>
        <v>1344089</v>
      </c>
      <c r="F226" s="170">
        <f>SUMIF('פ.נ. הודו'!$C:$C,$C:$C,'פ.נ. הודו'!$E:$E)</f>
        <v>0</v>
      </c>
      <c r="G226" s="398"/>
      <c r="H226" s="204"/>
      <c r="I226" s="79"/>
      <c r="J226" s="522">
        <f t="shared" si="55"/>
        <v>1344089</v>
      </c>
      <c r="K226" s="591">
        <f>M226+SUMIF('פ.נ. הודו'!$C:$C,$C:$C,'פ.נ. הודו'!$F:$F)</f>
        <v>18204.349999999999</v>
      </c>
      <c r="L226" s="52"/>
      <c r="M226" s="78">
        <f>IFERROR(VLOOKUP(C226,'פ.נ. הודו'!$D$70:$G$1144,4,0),0)</f>
        <v>18204.349999999999</v>
      </c>
      <c r="N226" s="4240">
        <f t="shared" si="56"/>
        <v>73.833396962813836</v>
      </c>
      <c r="O226" s="434"/>
      <c r="P226" s="2561" t="s">
        <v>2529</v>
      </c>
      <c r="Q226" s="726">
        <v>1519.19</v>
      </c>
      <c r="R226" s="204">
        <v>1567.9299999999998</v>
      </c>
      <c r="S226" s="52">
        <v>1496.9499999999998</v>
      </c>
      <c r="T226" s="52">
        <v>1469.2800000000007</v>
      </c>
      <c r="U226" s="52">
        <v>1516.8399999999992</v>
      </c>
      <c r="V226" s="52">
        <v>1534.21</v>
      </c>
      <c r="W226" s="137">
        <f>'[26]מאזן בוחן הודו'!W210</f>
        <v>1534.54</v>
      </c>
      <c r="X226" s="137">
        <f>'[27]מאזן בוחן הודו'!X210</f>
        <v>1533.58</v>
      </c>
      <c r="Y226" s="137">
        <f>'[28]מאזן בוחן הודו'!Y212</f>
        <v>1539.8900000000003</v>
      </c>
      <c r="Z226" s="137">
        <f>'[29]מאזן בוחן הודו'!Z216</f>
        <v>1502.25</v>
      </c>
      <c r="AA226" s="137">
        <f>'[30]מאזן בוחן הודו'!AA216</f>
        <v>1541.8899999999994</v>
      </c>
      <c r="AB226" s="137">
        <f>'[31]מאזן בוחן הודו'!AB211</f>
        <v>1508.7800000000007</v>
      </c>
      <c r="AC226" s="137">
        <v>1518.2799999999988</v>
      </c>
      <c r="AD226" s="137">
        <v>1554.1100000000006</v>
      </c>
      <c r="AE226" s="137">
        <v>1498.9799999999996</v>
      </c>
      <c r="AF226" s="137">
        <v>1508.3400000000001</v>
      </c>
      <c r="AG226" s="137">
        <v>1478.0600000000013</v>
      </c>
      <c r="AH226" s="137">
        <f>$K226-SUM($W226:AG226)</f>
        <v>1485.6499999999978</v>
      </c>
      <c r="AR226" s="52"/>
      <c r="AS226" s="52"/>
      <c r="AT226" s="52"/>
      <c r="AU226" s="141"/>
    </row>
    <row r="227" spans="1:47" s="137" customFormat="1">
      <c r="A227" s="406"/>
      <c r="B227" s="3659" t="s">
        <v>1183</v>
      </c>
      <c r="C227" s="1374">
        <v>8030015</v>
      </c>
      <c r="D227" s="203" t="s">
        <v>156</v>
      </c>
      <c r="E227" s="79">
        <f>IFERROR(VLOOKUP(C227,'פ.נ. הודו'!$D$70:$G$1144,3,0),0)</f>
        <v>602658.07999999996</v>
      </c>
      <c r="F227" s="170">
        <f>SUMIF('פ.נ. הודו'!$C:$C,$C:$C,'פ.נ. הודו'!$E:$E)</f>
        <v>0</v>
      </c>
      <c r="G227" s="398"/>
      <c r="H227" s="204"/>
      <c r="I227" s="79"/>
      <c r="J227" s="522">
        <f t="shared" si="55"/>
        <v>602658.07999999996</v>
      </c>
      <c r="K227" s="591">
        <f>M227+SUMIF('פ.נ. הודו'!$C:$C,$C:$C,'פ.נ. הודו'!$F:$F)</f>
        <v>8137.11</v>
      </c>
      <c r="L227" s="52"/>
      <c r="M227" s="78">
        <f>IFERROR(VLOOKUP(C227,'פ.נ. הודו'!$D$70:$G$1144,4,0),0)</f>
        <v>8137.11</v>
      </c>
      <c r="N227" s="4240">
        <f t="shared" si="56"/>
        <v>74.062914228761812</v>
      </c>
      <c r="O227" s="434"/>
      <c r="P227" s="2561">
        <f>J227+'[173]מאזן בוחן הודו'!$J$210</f>
        <v>682095.23</v>
      </c>
      <c r="Q227" s="726">
        <v>180.8</v>
      </c>
      <c r="R227" s="204">
        <v>397.11999999999995</v>
      </c>
      <c r="S227" s="52">
        <v>0</v>
      </c>
      <c r="T227" s="52">
        <v>165.20000000000005</v>
      </c>
      <c r="U227" s="52">
        <v>166.59000000000003</v>
      </c>
      <c r="V227" s="52">
        <v>167.98000000000002</v>
      </c>
      <c r="W227" s="137">
        <f>'[26]מאזן בוחן הודו'!W211</f>
        <v>40.479999999999997</v>
      </c>
      <c r="X227" s="137">
        <f>'[27]מאזן בוחן הודו'!X211</f>
        <v>1388.52</v>
      </c>
      <c r="Y227" s="137">
        <f>'[28]מאזן בוחן הודו'!Y213</f>
        <v>556.59999999999991</v>
      </c>
      <c r="Z227" s="137">
        <f>'[29]מאזן בוחן הודו'!Z217</f>
        <v>1025.8000000000002</v>
      </c>
      <c r="AA227" s="137">
        <f>'[30]מאזן בוחן הודו'!AA217</f>
        <v>-132.82999999999993</v>
      </c>
      <c r="AB227" s="137">
        <f>'[31]מאזן בוחן הודו'!AB212</f>
        <v>2248.7800000000002</v>
      </c>
      <c r="AC227" s="137">
        <v>245.98999999999978</v>
      </c>
      <c r="AD227" s="137">
        <v>83.309999999999491</v>
      </c>
      <c r="AE227" s="137">
        <v>1069.29</v>
      </c>
      <c r="AF227" s="137">
        <v>334.28999999999996</v>
      </c>
      <c r="AG227" s="137">
        <v>-101.8799999999992</v>
      </c>
      <c r="AH227" s="137">
        <f>$K227-SUM($W227:AG227)</f>
        <v>1378.7599999999993</v>
      </c>
      <c r="AR227" s="52"/>
      <c r="AS227" s="52"/>
      <c r="AT227" s="52"/>
      <c r="AU227" s="141"/>
    </row>
    <row r="228" spans="1:47" s="137" customFormat="1">
      <c r="A228" s="406"/>
      <c r="B228" s="3659" t="s">
        <v>1183</v>
      </c>
      <c r="C228" s="1374">
        <v>8030002</v>
      </c>
      <c r="D228" s="203" t="s">
        <v>2585</v>
      </c>
      <c r="E228" s="79">
        <f>IFERROR(VLOOKUP(C228,'פ.נ. הודו'!$D$70:$G$1144,3,0),0)</f>
        <v>268129</v>
      </c>
      <c r="F228" s="170">
        <f>SUMIF('פ.נ. הודו'!$C:$C,$C:$C,'פ.נ. הודו'!$E:$E)</f>
        <v>0</v>
      </c>
      <c r="G228" s="398"/>
      <c r="H228" s="204"/>
      <c r="I228" s="79"/>
      <c r="J228" s="522">
        <f t="shared" si="55"/>
        <v>268129</v>
      </c>
      <c r="K228" s="591">
        <f>M228+SUMIF('פ.נ. הודו'!$C:$C,$C:$C,'פ.נ. הודו'!$F:$F)</f>
        <v>3630.69</v>
      </c>
      <c r="L228" s="52"/>
      <c r="M228" s="78">
        <f>IFERROR(VLOOKUP(C228,'פ.נ. הודו'!$D$70:$G$1144,4,0),0)</f>
        <v>3630.69</v>
      </c>
      <c r="N228" s="4240">
        <f t="shared" si="56"/>
        <v>73.850700555541778</v>
      </c>
      <c r="O228" s="434"/>
      <c r="P228" s="2561">
        <f>P227-'[174]Tax computation'!$C$25</f>
        <v>466475.9</v>
      </c>
      <c r="Q228" s="726">
        <v>0</v>
      </c>
      <c r="R228" s="204">
        <v>564.04999999999995</v>
      </c>
      <c r="S228" s="52">
        <v>271.41000000000008</v>
      </c>
      <c r="T228" s="52">
        <v>291.49</v>
      </c>
      <c r="U228" s="52">
        <v>258.21000000000004</v>
      </c>
      <c r="V228" s="52">
        <v>239.59999999999991</v>
      </c>
      <c r="W228" s="137">
        <f>'[26]מאזן בוחן הודו'!W212</f>
        <v>276.14</v>
      </c>
      <c r="X228" s="137">
        <f>'[27]מאזן בוחן הודו'!X212</f>
        <v>242.89999999999998</v>
      </c>
      <c r="Y228" s="137">
        <f>'[28]מאזן בוחן הודו'!Y214</f>
        <v>307.43000000000006</v>
      </c>
      <c r="Z228" s="137">
        <f>'[29]מאזן בוחן הודו'!Z218</f>
        <v>269.98</v>
      </c>
      <c r="AA228" s="137">
        <f>'[30]מאזן בוחן הודו'!AA218</f>
        <v>320.29999999999995</v>
      </c>
      <c r="AB228" s="137">
        <f>'[31]מאזן בוחן הודו'!AB213</f>
        <v>355.76</v>
      </c>
      <c r="AC228" s="137">
        <v>326.81999999999994</v>
      </c>
      <c r="AD228" s="137">
        <v>311.13999999999987</v>
      </c>
      <c r="AE228" s="137">
        <v>324.68000000000029</v>
      </c>
      <c r="AF228" s="137">
        <v>291.9699999999998</v>
      </c>
      <c r="AG228" s="137">
        <v>319.72000000000025</v>
      </c>
      <c r="AH228" s="137">
        <f>$K228-SUM($W228:AG228)</f>
        <v>283.84999999999991</v>
      </c>
      <c r="AR228" s="52"/>
      <c r="AS228" s="52"/>
      <c r="AT228" s="52"/>
      <c r="AU228" s="141"/>
    </row>
    <row r="229" spans="1:47" s="137" customFormat="1">
      <c r="A229" s="406"/>
      <c r="B229" s="3659" t="s">
        <v>1183</v>
      </c>
      <c r="C229" s="1374">
        <v>8030017</v>
      </c>
      <c r="D229" s="203" t="s">
        <v>1573</v>
      </c>
      <c r="E229" s="79">
        <f>IFERROR(VLOOKUP(C229,'פ.נ. הודו'!$D$70:$G$1144,3,0),0)</f>
        <v>196595</v>
      </c>
      <c r="F229" s="170">
        <f>SUMIF('פ.נ. הודו'!$C:$C,$C:$C,'פ.נ. הודו'!$E:$E)</f>
        <v>0</v>
      </c>
      <c r="G229" s="398"/>
      <c r="H229" s="204"/>
      <c r="I229" s="79"/>
      <c r="J229" s="522">
        <f t="shared" si="55"/>
        <v>196595</v>
      </c>
      <c r="K229" s="591">
        <f>M229+SUMIF('פ.נ. הודו'!$C:$C,$C:$C,'פ.נ. הודו'!$F:$F)</f>
        <v>2645.43</v>
      </c>
      <c r="L229" s="52"/>
      <c r="M229" s="78">
        <f>IFERROR(VLOOKUP(C229,'פ.נ. הודו'!$D$70:$G$1144,4,0),0)</f>
        <v>2645.43</v>
      </c>
      <c r="N229" s="4240">
        <f t="shared" si="56"/>
        <v>74.314950688545906</v>
      </c>
      <c r="O229" s="434"/>
      <c r="P229" s="445"/>
      <c r="Q229" s="726">
        <v>0</v>
      </c>
      <c r="R229" s="204">
        <v>137.06</v>
      </c>
      <c r="S229" s="52">
        <v>0</v>
      </c>
      <c r="T229" s="52">
        <v>0</v>
      </c>
      <c r="U229" s="52">
        <v>0</v>
      </c>
      <c r="V229" s="52">
        <v>0</v>
      </c>
      <c r="W229" s="137">
        <f>'[26]מאזן בוחן הודו'!W213</f>
        <v>0</v>
      </c>
      <c r="X229" s="137">
        <f>'[27]מאזן בוחן הודו'!X213</f>
        <v>0</v>
      </c>
      <c r="Y229" s="137">
        <f>'[28]מאזן בוחן הודו'!Y215</f>
        <v>0</v>
      </c>
      <c r="Z229" s="137">
        <f>'[29]מאזן בוחן הודו'!Z219</f>
        <v>364.47</v>
      </c>
      <c r="AA229" s="137">
        <f>'[30]מאזן בוחן הודו'!AA219</f>
        <v>0</v>
      </c>
      <c r="AB229" s="137">
        <f>'[31]מאזן בוחן הודו'!AB214</f>
        <v>0</v>
      </c>
      <c r="AC229" s="137">
        <v>161.75</v>
      </c>
      <c r="AD229" s="137">
        <v>819.45</v>
      </c>
      <c r="AE229" s="137">
        <v>0</v>
      </c>
      <c r="AF229" s="137">
        <v>0</v>
      </c>
      <c r="AG229" s="137">
        <v>1299.7599999999998</v>
      </c>
      <c r="AH229" s="137">
        <f>$K229-SUM($W229:AG229)</f>
        <v>0</v>
      </c>
      <c r="AR229" s="52"/>
      <c r="AS229" s="52"/>
      <c r="AT229" s="52"/>
      <c r="AU229" s="141"/>
    </row>
    <row r="230" spans="1:47" s="137" customFormat="1">
      <c r="A230" s="406"/>
      <c r="B230" s="3659" t="s">
        <v>1183</v>
      </c>
      <c r="C230" s="1374">
        <v>8030004</v>
      </c>
      <c r="D230" s="203" t="s">
        <v>369</v>
      </c>
      <c r="E230" s="79">
        <f>IFERROR(VLOOKUP(C230,'פ.נ. הודו'!$D$70:$G$1144,3,0),0)</f>
        <v>755988.2</v>
      </c>
      <c r="F230" s="170">
        <f>SUMIF('פ.נ. הודו'!$C:$C,$C:$C,'פ.נ. הודו'!$E:$E)</f>
        <v>0</v>
      </c>
      <c r="G230" s="398"/>
      <c r="H230" s="204"/>
      <c r="I230" s="79"/>
      <c r="J230" s="522">
        <f t="shared" si="55"/>
        <v>755988.2</v>
      </c>
      <c r="K230" s="591">
        <f>M230+SUMIF('פ.נ. הודו'!$C:$C,$C:$C,'פ.נ. הודו'!$F:$F)</f>
        <v>10240.280000000001</v>
      </c>
      <c r="L230" s="52"/>
      <c r="M230" s="78">
        <f>IFERROR(VLOOKUP(C230,'פ.נ. הודו'!$D$70:$G$1144,4,0),0)</f>
        <v>10240.280000000001</v>
      </c>
      <c r="N230" s="4240">
        <f t="shared" si="56"/>
        <v>73.824954005163917</v>
      </c>
      <c r="O230" s="434"/>
      <c r="P230" s="445"/>
      <c r="Q230" s="726"/>
      <c r="R230" s="204">
        <v>0</v>
      </c>
      <c r="S230" s="52">
        <v>2786.29</v>
      </c>
      <c r="T230" s="52">
        <v>983.51000000000022</v>
      </c>
      <c r="U230" s="52">
        <v>869.80000000000018</v>
      </c>
      <c r="V230" s="52">
        <v>788.48999999999978</v>
      </c>
      <c r="W230" s="137">
        <f>'[26]מאזן בוחן הודו'!W214</f>
        <v>850.76</v>
      </c>
      <c r="X230" s="137">
        <f>'[27]מאזן בוחן הודו'!X214</f>
        <v>841.42000000000007</v>
      </c>
      <c r="Y230" s="137">
        <f>'[28]מאזן בוחן הודו'!Y216</f>
        <v>1010.4199999999998</v>
      </c>
      <c r="Z230" s="137">
        <f>'[29]מאזן בוחן הודו'!Z220</f>
        <v>836.93000000000029</v>
      </c>
      <c r="AA230" s="137">
        <f>'[30]מאזן בוחן הודו'!AA220</f>
        <v>861.75999999999976</v>
      </c>
      <c r="AB230" s="137">
        <f>'[31]מאזן בוחן הודו'!AB215</f>
        <v>832.42000000000007</v>
      </c>
      <c r="AC230" s="137">
        <v>835.6899999999996</v>
      </c>
      <c r="AD230" s="137">
        <v>846.76000000000022</v>
      </c>
      <c r="AE230" s="137">
        <v>834.96</v>
      </c>
      <c r="AF230" s="137">
        <v>829.04</v>
      </c>
      <c r="AG230" s="137">
        <v>825.70000000000073</v>
      </c>
      <c r="AH230" s="137">
        <f>$K230-SUM($W230:AG230)</f>
        <v>834.42000000000007</v>
      </c>
      <c r="AR230" s="52"/>
      <c r="AS230" s="52"/>
      <c r="AT230" s="52"/>
      <c r="AU230" s="141"/>
    </row>
    <row r="231" spans="1:47" s="137" customFormat="1">
      <c r="A231" s="406"/>
      <c r="B231" s="3659" t="s">
        <v>1183</v>
      </c>
      <c r="C231" s="1374">
        <v>8030011</v>
      </c>
      <c r="D231" s="203" t="s">
        <v>172</v>
      </c>
      <c r="E231" s="79">
        <f>IFERROR(VLOOKUP(C231,'פ.נ. הודו'!$D$70:$G$1144,3,0),0)</f>
        <v>9500</v>
      </c>
      <c r="F231" s="170">
        <f>SUMIF('פ.נ. הודו'!$C:$C,$C:$C,'פ.נ. הודו'!$E:$E)</f>
        <v>0</v>
      </c>
      <c r="G231" s="398"/>
      <c r="H231" s="204"/>
      <c r="I231" s="79"/>
      <c r="J231" s="522">
        <f t="shared" si="55"/>
        <v>9500</v>
      </c>
      <c r="K231" s="591">
        <f>M231+SUMIF('פ.נ. הודו'!$C:$C,$C:$C,'פ.נ. הודו'!$F:$F)</f>
        <v>128.24</v>
      </c>
      <c r="L231" s="52"/>
      <c r="M231" s="78">
        <f>IFERROR(VLOOKUP(C231,'פ.נ. הודו'!$D$70:$G$1144,4,0),0)</f>
        <v>128.24</v>
      </c>
      <c r="N231" s="4240">
        <f t="shared" si="56"/>
        <v>74.079850280723633</v>
      </c>
      <c r="O231" s="434"/>
      <c r="P231" s="445"/>
      <c r="Q231" s="726"/>
      <c r="R231" s="204">
        <v>0</v>
      </c>
      <c r="S231" s="52">
        <v>6.88</v>
      </c>
      <c r="T231" s="52">
        <v>0</v>
      </c>
      <c r="U231" s="52">
        <v>0</v>
      </c>
      <c r="V231" s="52">
        <v>0</v>
      </c>
      <c r="W231" s="137">
        <f>'[26]מאזן בוחן הודו'!W215</f>
        <v>0</v>
      </c>
      <c r="X231" s="137">
        <f>'[27]מאזן בוחן הודו'!X215</f>
        <v>0</v>
      </c>
      <c r="Y231" s="137">
        <f>'[28]מאזן בוחן הודו'!Y217</f>
        <v>0</v>
      </c>
      <c r="Z231" s="137">
        <f>'[29]מאזן בוחן הודו'!Z221</f>
        <v>128.24</v>
      </c>
      <c r="AA231" s="137">
        <f>'[30]מאזן בוחן הודו'!AA221</f>
        <v>0</v>
      </c>
      <c r="AB231" s="137">
        <f>'[31]מאזן בוחן הודו'!AB216</f>
        <v>0</v>
      </c>
      <c r="AC231" s="137">
        <v>0</v>
      </c>
      <c r="AD231" s="137">
        <v>0</v>
      </c>
      <c r="AE231" s="137">
        <v>0</v>
      </c>
      <c r="AF231" s="137">
        <v>0</v>
      </c>
      <c r="AG231" s="137">
        <v>0</v>
      </c>
      <c r="AH231" s="137">
        <f>$K231-SUM($W231:AG231)</f>
        <v>0</v>
      </c>
      <c r="AR231" s="52"/>
      <c r="AS231" s="52"/>
      <c r="AT231" s="52"/>
      <c r="AU231" s="141"/>
    </row>
    <row r="232" spans="1:47" s="137" customFormat="1">
      <c r="A232" s="406"/>
      <c r="B232" s="3659" t="s">
        <v>1183</v>
      </c>
      <c r="C232" s="1374">
        <v>8030020</v>
      </c>
      <c r="D232" s="203" t="s">
        <v>19</v>
      </c>
      <c r="E232" s="79">
        <f>IFERROR(VLOOKUP(C232,'פ.נ. הודו'!$D$70:$G$1144,3,0),0)</f>
        <v>1391844.74</v>
      </c>
      <c r="F232" s="170">
        <f>SUMIF('פ.נ. הודו'!$C:$C,$C:$C,'פ.נ. הודו'!$E:$E)</f>
        <v>0</v>
      </c>
      <c r="G232" s="398"/>
      <c r="H232" s="204"/>
      <c r="I232" s="79"/>
      <c r="J232" s="522">
        <f t="shared" si="55"/>
        <v>1391844.74</v>
      </c>
      <c r="K232" s="591">
        <f>M232+SUMIF('פ.נ. הודו'!$C:$C,$C:$C,'פ.נ. הודו'!$F:$F)</f>
        <v>18819.53</v>
      </c>
      <c r="L232" s="52"/>
      <c r="M232" s="78">
        <f>IFERROR(VLOOKUP(C232,'פ.נ. הודו'!$D$70:$G$1144,4,0),0)</f>
        <v>18819.53</v>
      </c>
      <c r="N232" s="4240">
        <f t="shared" si="56"/>
        <v>73.957465462740046</v>
      </c>
      <c r="O232" s="434"/>
      <c r="P232" s="445">
        <f>J232+'[173]מאזן בוחן הודו'!$J$215</f>
        <v>1552791.74</v>
      </c>
      <c r="Q232" s="726"/>
      <c r="R232" s="204">
        <v>0</v>
      </c>
      <c r="S232" s="52">
        <v>177.37</v>
      </c>
      <c r="T232" s="52">
        <v>505.95000000000005</v>
      </c>
      <c r="U232" s="52">
        <v>681.35</v>
      </c>
      <c r="V232" s="52">
        <v>819.96</v>
      </c>
      <c r="W232" s="137">
        <f>'[26]מאזן בוחן הודו'!W216</f>
        <v>750.15</v>
      </c>
      <c r="X232" s="137">
        <f>'[27]מאזן בוחן הודו'!X216</f>
        <v>928.30000000000007</v>
      </c>
      <c r="Y232" s="137">
        <f>'[28]מאזן בוחן הודו'!Y218</f>
        <v>959.81999999999994</v>
      </c>
      <c r="Z232" s="137">
        <f>'[29]מאזן בוחן הודו'!Z222</f>
        <v>1278.0700000000002</v>
      </c>
      <c r="AA232" s="137">
        <f>'[30]מאזן בוחן הודו'!AA222</f>
        <v>1660.8400000000001</v>
      </c>
      <c r="AB232" s="137">
        <f>'[31]מאזן בוחן הודו'!AB217</f>
        <v>1765.7599999999993</v>
      </c>
      <c r="AC232" s="137">
        <v>1823.0600000000004</v>
      </c>
      <c r="AD232" s="137">
        <v>1847.2099999999991</v>
      </c>
      <c r="AE232" s="137">
        <v>1762.7100000000009</v>
      </c>
      <c r="AF232" s="137">
        <v>1808.5399999999991</v>
      </c>
      <c r="AG232" s="137">
        <v>1969.5499999999993</v>
      </c>
      <c r="AH232" s="137">
        <f>$K232-SUM($W232:AG232)</f>
        <v>2265.5200000000004</v>
      </c>
      <c r="AR232" s="52"/>
      <c r="AS232" s="52"/>
      <c r="AT232" s="52"/>
      <c r="AU232" s="141"/>
    </row>
    <row r="233" spans="1:47" s="137" customFormat="1" ht="13.5" customHeight="1">
      <c r="A233" s="406"/>
      <c r="B233" s="3659" t="s">
        <v>1183</v>
      </c>
      <c r="C233" s="1374">
        <v>8030023</v>
      </c>
      <c r="D233" s="203" t="s">
        <v>95</v>
      </c>
      <c r="E233" s="79">
        <f>IFERROR(VLOOKUP(C233,'פ.נ. הודו'!$D$70:$G$1144,3,0),0)</f>
        <v>0</v>
      </c>
      <c r="F233" s="170">
        <f>SUMIF('פ.נ. הודו'!$C:$C,$C:$C,'פ.נ. הודו'!$E:$E)</f>
        <v>0</v>
      </c>
      <c r="G233" s="398"/>
      <c r="H233" s="204"/>
      <c r="I233" s="79"/>
      <c r="J233" s="522">
        <f t="shared" si="55"/>
        <v>0</v>
      </c>
      <c r="K233" s="591">
        <f>M233+SUMIF('פ.נ. הודו'!$C:$C,$C:$C,'פ.נ. הודו'!$F:$F)</f>
        <v>0</v>
      </c>
      <c r="L233" s="52"/>
      <c r="M233" s="78">
        <f>IFERROR(VLOOKUP(C233,'פ.נ. הודו'!$D$70:$G$1144,4,0),0)</f>
        <v>0</v>
      </c>
      <c r="N233" s="4240" t="str">
        <f t="shared" si="56"/>
        <v>-</v>
      </c>
      <c r="O233" s="434"/>
      <c r="P233" s="445"/>
      <c r="Q233" s="726"/>
      <c r="R233" s="204">
        <v>0</v>
      </c>
      <c r="S233" s="52">
        <v>186.44</v>
      </c>
      <c r="T233" s="52">
        <v>0</v>
      </c>
      <c r="U233" s="52">
        <v>0</v>
      </c>
      <c r="V233" s="52">
        <v>0</v>
      </c>
      <c r="W233" s="137">
        <f>'[26]מאזן בוחן הודו'!W217</f>
        <v>0</v>
      </c>
      <c r="X233" s="137">
        <f>'[27]מאזן בוחן הודו'!X217</f>
        <v>0</v>
      </c>
      <c r="Y233" s="137">
        <f>'[28]מאזן בוחן הודו'!Y219</f>
        <v>0</v>
      </c>
      <c r="Z233" s="137">
        <f>'[29]מאזן בוחן הודו'!Z223</f>
        <v>0</v>
      </c>
      <c r="AA233" s="137">
        <f>'[30]מאזן בוחן הודו'!AA223</f>
        <v>0</v>
      </c>
      <c r="AB233" s="137">
        <f>'[31]מאזן בוחן הודו'!AB218</f>
        <v>0</v>
      </c>
      <c r="AC233" s="137">
        <v>0</v>
      </c>
      <c r="AD233" s="137">
        <v>0</v>
      </c>
      <c r="AE233" s="137">
        <v>0</v>
      </c>
      <c r="AF233" s="137">
        <v>0</v>
      </c>
      <c r="AG233" s="137">
        <v>0</v>
      </c>
      <c r="AH233" s="137">
        <f>$K233-SUM($W233:AG233)</f>
        <v>0</v>
      </c>
      <c r="AR233" s="52"/>
      <c r="AS233" s="52"/>
      <c r="AT233" s="52"/>
      <c r="AU233" s="141"/>
    </row>
    <row r="234" spans="1:47" s="137" customFormat="1" ht="13.5" customHeight="1">
      <c r="A234" s="406"/>
      <c r="B234" s="3659" t="s">
        <v>1183</v>
      </c>
      <c r="C234" s="1374">
        <v>8030018</v>
      </c>
      <c r="D234" s="203" t="s">
        <v>978</v>
      </c>
      <c r="E234" s="79">
        <f>IFERROR(VLOOKUP(C234,'פ.נ. הודו'!$D$70:$G$1144,3,0),0)</f>
        <v>962835.91</v>
      </c>
      <c r="F234" s="170">
        <f>SUMIF('פ.נ. הודו'!$C:$C,$C:$C,'פ.נ. הודו'!$E:$E)</f>
        <v>0</v>
      </c>
      <c r="G234" s="398"/>
      <c r="H234" s="204"/>
      <c r="I234" s="79"/>
      <c r="J234" s="522">
        <f>SUM(E234:I234)</f>
        <v>962835.91</v>
      </c>
      <c r="K234" s="591">
        <f>M234+SUMIF('פ.נ. הודו'!$C:$C,$C:$C,'פ.נ. הודו'!$F:$F)</f>
        <v>13071.56</v>
      </c>
      <c r="L234" s="52"/>
      <c r="M234" s="78">
        <f>IFERROR(VLOOKUP(C234,'פ.נ. הודו'!$D$70:$G$1144,4,0),0)</f>
        <v>13071.56</v>
      </c>
      <c r="N234" s="4240">
        <f>IF(K234=0,"-",J234/K234)</f>
        <v>73.658837200762576</v>
      </c>
      <c r="O234" s="434"/>
      <c r="P234" s="445"/>
      <c r="Q234" s="726"/>
      <c r="R234" s="204"/>
      <c r="S234" s="52"/>
      <c r="T234" s="52">
        <v>1088.1600000000001</v>
      </c>
      <c r="U234" s="52">
        <v>274.32999999999993</v>
      </c>
      <c r="V234" s="52">
        <v>0</v>
      </c>
      <c r="W234" s="137">
        <f>'[26]מאזן בוחן הודו'!W218</f>
        <v>293.8</v>
      </c>
      <c r="X234" s="137">
        <f>'[27]מאזן בוחן הודו'!X218</f>
        <v>2730.2599999999998</v>
      </c>
      <c r="Y234" s="137">
        <f>'[28]מאזן בוחן הודו'!Y220</f>
        <v>1066</v>
      </c>
      <c r="Z234" s="137">
        <f>'[29]מאזן בוחן הודו'!Z224</f>
        <v>396.08000000000038</v>
      </c>
      <c r="AA234" s="137">
        <f>'[30]מאזן בוחן הודו'!AA224</f>
        <v>1946.7399999999998</v>
      </c>
      <c r="AB234" s="137">
        <f>'[31]מאזן בוחן הודו'!AB219</f>
        <v>395.84000000000015</v>
      </c>
      <c r="AC234" s="137">
        <v>943.9399999999996</v>
      </c>
      <c r="AD234" s="137">
        <v>1540.1900000000005</v>
      </c>
      <c r="AE234" s="137">
        <v>390.60000000000036</v>
      </c>
      <c r="AF234" s="137">
        <v>1499.4899999999998</v>
      </c>
      <c r="AG234" s="137">
        <v>0</v>
      </c>
      <c r="AH234" s="137">
        <f>$K234-SUM($W234:AG234)</f>
        <v>1868.619999999999</v>
      </c>
      <c r="AR234" s="52"/>
      <c r="AS234" s="52"/>
      <c r="AT234" s="52"/>
      <c r="AU234" s="141"/>
    </row>
    <row r="235" spans="1:47" s="137" customFormat="1" ht="13.5" customHeight="1">
      <c r="A235" s="406"/>
      <c r="B235" s="3659" t="s">
        <v>1183</v>
      </c>
      <c r="C235" s="1374">
        <v>8030022</v>
      </c>
      <c r="D235" s="203" t="s">
        <v>2975</v>
      </c>
      <c r="E235" s="79">
        <f>IFERROR(VLOOKUP(C235,'פ.נ. הודו'!$D$70:$G$1144,3,0),0)</f>
        <v>1639389.97</v>
      </c>
      <c r="F235" s="170">
        <f>SUMIF('פ.נ. הודו'!$C:$C,$C:$C,'פ.נ. הודו'!$E:$E)</f>
        <v>0</v>
      </c>
      <c r="G235" s="398"/>
      <c r="H235" s="204"/>
      <c r="I235" s="79"/>
      <c r="J235" s="522">
        <f>SUM(E235:I235)</f>
        <v>1639389.97</v>
      </c>
      <c r="K235" s="591">
        <f>M235+SUMIF('פ.נ. הודו'!$C:$C,$C:$C,'פ.נ. הודו'!$F:$F)</f>
        <v>22283.81</v>
      </c>
      <c r="L235" s="52"/>
      <c r="M235" s="78">
        <f>IFERROR(VLOOKUP(C235,'פ.נ. הודו'!$D$70:$G$1144,4,0),0)</f>
        <v>22283.81</v>
      </c>
      <c r="N235" s="4240">
        <f>IF(K235=0,"-",J235/K235)</f>
        <v>73.568656796122383</v>
      </c>
      <c r="O235" s="434"/>
      <c r="P235" s="445"/>
      <c r="Q235" s="726"/>
      <c r="R235" s="204"/>
      <c r="S235" s="52"/>
      <c r="T235" s="52">
        <v>0</v>
      </c>
      <c r="U235" s="52">
        <v>2444.5500000000002</v>
      </c>
      <c r="V235" s="52">
        <v>653.73999999999978</v>
      </c>
      <c r="W235" s="137">
        <f>'[26]מאזן בוחן הודו'!W219</f>
        <v>508.31</v>
      </c>
      <c r="X235" s="137">
        <f>'[27]מאזן בוחן הודו'!X219</f>
        <v>268.66000000000003</v>
      </c>
      <c r="Y235" s="137">
        <f>'[28]מאזן בוחן הודו'!Y221</f>
        <v>15131.35</v>
      </c>
      <c r="Z235" s="137">
        <f>'[29]מאזן בוחן הודו'!Z225</f>
        <v>1869.2299999999996</v>
      </c>
      <c r="AA235" s="137">
        <f>'[30]מאזן בוחן הודו'!AA225</f>
        <v>0</v>
      </c>
      <c r="AB235" s="137">
        <f>'[31]מאזן בוחן הודו'!AB220</f>
        <v>503.11000000000058</v>
      </c>
      <c r="AC235" s="137">
        <v>0</v>
      </c>
      <c r="AD235" s="137">
        <v>204.77999999999884</v>
      </c>
      <c r="AE235" s="137">
        <v>881.10000000000218</v>
      </c>
      <c r="AF235" s="137">
        <v>1737.3799999999974</v>
      </c>
      <c r="AG235" s="137">
        <v>764.43000000000029</v>
      </c>
      <c r="AH235" s="137">
        <f>$K235-SUM($W235:AG235)</f>
        <v>415.46000000000276</v>
      </c>
      <c r="AR235" s="52"/>
      <c r="AS235" s="52"/>
      <c r="AT235" s="52"/>
      <c r="AU235" s="141"/>
    </row>
    <row r="236" spans="1:47" s="137" customFormat="1">
      <c r="A236" s="406"/>
      <c r="B236" s="3659" t="s">
        <v>1183</v>
      </c>
      <c r="C236" s="1374">
        <v>8030010</v>
      </c>
      <c r="D236" s="203" t="s">
        <v>2586</v>
      </c>
      <c r="E236" s="79">
        <f>IFERROR(VLOOKUP(C236,'פ.נ. הודו'!$D$70:$G$1144,3,0),0)</f>
        <v>179893</v>
      </c>
      <c r="F236" s="170">
        <f>SUMIF('פ.נ. הודו'!$C:$C,$C:$C,'פ.נ. הודו'!$E:$E)</f>
        <v>0</v>
      </c>
      <c r="G236" s="398"/>
      <c r="H236" s="204"/>
      <c r="I236" s="79"/>
      <c r="J236" s="522">
        <f t="shared" si="55"/>
        <v>179893</v>
      </c>
      <c r="K236" s="591">
        <f>M236+SUMIF('פ.נ. הודו'!$C:$C,$C:$C,'פ.נ. הודו'!$F:$F)</f>
        <v>2444.23</v>
      </c>
      <c r="L236" s="52"/>
      <c r="M236" s="78">
        <f>IFERROR(VLOOKUP(C236,'פ.נ. הודו'!$D$70:$G$1144,4,0),0)</f>
        <v>2444.23</v>
      </c>
      <c r="N236" s="4240">
        <f t="shared" si="56"/>
        <v>73.599047552808045</v>
      </c>
      <c r="O236" s="434"/>
      <c r="P236" s="445"/>
      <c r="Q236" s="726">
        <v>0</v>
      </c>
      <c r="R236" s="204">
        <v>21.93</v>
      </c>
      <c r="S236" s="52">
        <v>78.080000000000013</v>
      </c>
      <c r="T236" s="52">
        <v>4.6099999999999852</v>
      </c>
      <c r="U236" s="52">
        <v>89.960000000000008</v>
      </c>
      <c r="V236" s="52">
        <v>5.1699999999999875</v>
      </c>
      <c r="W236" s="137">
        <f>'[26]מאזן בוחן הודו'!W220</f>
        <v>158.97</v>
      </c>
      <c r="X236" s="137">
        <f>'[27]מאזן בוחן הודו'!X220</f>
        <v>118.73999999999998</v>
      </c>
      <c r="Y236" s="137">
        <f>'[28]מאזן בוחן הודו'!Y222</f>
        <v>370.00000000000006</v>
      </c>
      <c r="Z236" s="137">
        <f>'[29]מאזן בוחן הודו'!Z226</f>
        <v>0</v>
      </c>
      <c r="AA236" s="137">
        <f>'[30]מאזן בוחן הודו'!AA226</f>
        <v>340.39</v>
      </c>
      <c r="AB236" s="137">
        <f>'[31]מאזן בוחן הודו'!AB221</f>
        <v>95.489999999999895</v>
      </c>
      <c r="AC236" s="137">
        <v>400.16000000000008</v>
      </c>
      <c r="AD236" s="137">
        <v>351.74</v>
      </c>
      <c r="AE236" s="137">
        <v>167.97000000000003</v>
      </c>
      <c r="AF236" s="137">
        <v>248.77999999999975</v>
      </c>
      <c r="AG236" s="137">
        <v>0</v>
      </c>
      <c r="AH236" s="137">
        <f>$K236-SUM($W236:AG236)</f>
        <v>191.99000000000024</v>
      </c>
      <c r="AR236" s="52"/>
      <c r="AS236" s="52"/>
      <c r="AT236" s="52"/>
      <c r="AU236" s="141"/>
    </row>
    <row r="237" spans="1:47" s="137" customFormat="1">
      <c r="A237" s="406"/>
      <c r="B237" s="3659"/>
      <c r="C237" s="1374"/>
      <c r="D237" s="45"/>
      <c r="E237" s="79"/>
      <c r="F237" s="170"/>
      <c r="G237" s="398"/>
      <c r="H237" s="204"/>
      <c r="I237" s="79"/>
      <c r="J237" s="1577"/>
      <c r="K237" s="591"/>
      <c r="L237" s="52"/>
      <c r="M237" s="78"/>
      <c r="N237" s="4240"/>
      <c r="O237" s="434"/>
      <c r="P237" s="445"/>
      <c r="Q237" s="726"/>
      <c r="R237" s="204"/>
      <c r="S237" s="52">
        <v>0</v>
      </c>
      <c r="T237" s="52">
        <v>0</v>
      </c>
      <c r="U237" s="52">
        <v>0</v>
      </c>
      <c r="V237" s="52">
        <v>5.1699999999999875</v>
      </c>
      <c r="W237" s="137">
        <f>'[26]מאזן בוחן הודו'!W221</f>
        <v>0</v>
      </c>
      <c r="X237" s="137">
        <f>'[27]מאזן בוחן הודו'!X221</f>
        <v>0</v>
      </c>
      <c r="Y237" s="137">
        <f>'[28]מאזן בוחן הודו'!Y223</f>
        <v>0</v>
      </c>
      <c r="Z237" s="137">
        <f>'[29]מאזן בוחן הודו'!Z227</f>
        <v>0</v>
      </c>
      <c r="AA237" s="137">
        <f>'[30]מאזן בוחן הודו'!AA227</f>
        <v>0</v>
      </c>
      <c r="AB237" s="137">
        <f>'[31]מאזן בוחן הודו'!AB222</f>
        <v>0</v>
      </c>
      <c r="AC237" s="137">
        <v>0</v>
      </c>
      <c r="AD237" s="137">
        <v>0</v>
      </c>
      <c r="AE237" s="137">
        <v>0</v>
      </c>
      <c r="AF237" s="137">
        <v>0</v>
      </c>
      <c r="AG237" s="137">
        <v>0</v>
      </c>
      <c r="AH237" s="137">
        <f>$K237-SUM($W237:AG237)</f>
        <v>0</v>
      </c>
      <c r="AR237" s="52"/>
      <c r="AS237" s="52"/>
      <c r="AT237" s="52"/>
      <c r="AU237" s="141"/>
    </row>
    <row r="238" spans="1:47" s="137" customFormat="1">
      <c r="A238" s="406"/>
      <c r="B238" s="3668" t="s">
        <v>1183</v>
      </c>
      <c r="C238" s="1374">
        <v>93100</v>
      </c>
      <c r="D238" s="2224" t="s">
        <v>2717</v>
      </c>
      <c r="E238" s="591">
        <f>IFERROR(VLOOKUP(C238,'פ.נ. הודו'!$D$70:$G$1144,3,0),0)</f>
        <v>-11958993.710000001</v>
      </c>
      <c r="F238" s="170">
        <f>SUMIF('פ.נ. הודו'!$C:$C,$C:$C,'פ.נ. הודו'!$E:$E)</f>
        <v>0</v>
      </c>
      <c r="G238" s="398"/>
      <c r="H238" s="204"/>
      <c r="I238" s="79"/>
      <c r="J238" s="474">
        <f>SUM(E238:I238)</f>
        <v>-11958993.710000001</v>
      </c>
      <c r="K238" s="474">
        <f>M238+SUMIF('פ.נ. הודו'!$C:$C,$C:$C,'פ.נ. הודו'!$F:$F)</f>
        <v>-162036.73000000001</v>
      </c>
      <c r="L238" s="439"/>
      <c r="M238" s="591">
        <f>IFERROR(VLOOKUP(C238,'פ.נ. הודו'!$D$70:$G$1144,4,0),0)</f>
        <v>-162036.73000000001</v>
      </c>
      <c r="N238" s="4240">
        <f>IF(K238=0,"-",J238/K238)</f>
        <v>73.804215315873137</v>
      </c>
      <c r="O238" s="434"/>
      <c r="P238" s="445"/>
      <c r="Q238" s="726">
        <v>0</v>
      </c>
      <c r="R238" s="204">
        <v>16322.36</v>
      </c>
      <c r="S238" s="52">
        <v>-43646.29</v>
      </c>
      <c r="T238" s="52">
        <v>-37615.052845539387</v>
      </c>
      <c r="U238" s="52">
        <v>14871.21284553939</v>
      </c>
      <c r="V238" s="52">
        <v>-9600.6300000000047</v>
      </c>
      <c r="W238" s="137">
        <f>'[26]מאזן בוחן הודו'!W222</f>
        <v>-9888.7599999999984</v>
      </c>
      <c r="X238" s="137">
        <f>'[27]מאזן בוחן הודו'!X222</f>
        <v>-12963.59461538462</v>
      </c>
      <c r="Y238" s="137">
        <f>'[28]מאזן בוחן הודו'!Y224</f>
        <v>-26865.905384615384</v>
      </c>
      <c r="Z238" s="137">
        <f>'[29]מאזן בוחן הודו'!Z228</f>
        <v>-12920.740000000005</v>
      </c>
      <c r="AA238" s="137">
        <f>'[30]מאזן בוחן הודו'!AA228</f>
        <v>-11996.029999999992</v>
      </c>
      <c r="AB238" s="137">
        <f>'[31]מאזן בוחן הודו'!AB223</f>
        <v>-13026.550000000003</v>
      </c>
      <c r="AC238" s="137">
        <v>-11571.75</v>
      </c>
      <c r="AD238" s="137">
        <v>-12945.200000000012</v>
      </c>
      <c r="AE238" s="137">
        <v>-12241.709999999992</v>
      </c>
      <c r="AF238" s="137">
        <v>-13531.559999999983</v>
      </c>
      <c r="AG238" s="137">
        <v>-11872.779999999999</v>
      </c>
      <c r="AH238" s="137">
        <f>$K238-SUM($W238:AG238)</f>
        <v>-12212.150000000023</v>
      </c>
      <c r="AR238" s="52"/>
      <c r="AS238" s="52"/>
      <c r="AT238" s="52"/>
      <c r="AU238" s="141"/>
    </row>
    <row r="239" spans="1:47" s="137" customFormat="1">
      <c r="A239" s="406"/>
      <c r="B239" s="3659"/>
      <c r="C239" s="1374"/>
      <c r="D239" s="2539"/>
      <c r="E239" s="1202"/>
      <c r="F239" s="170"/>
      <c r="G239" s="398"/>
      <c r="H239" s="204"/>
      <c r="I239" s="79"/>
      <c r="J239" s="522"/>
      <c r="K239" s="591"/>
      <c r="L239" s="52"/>
      <c r="M239" s="78"/>
      <c r="N239" s="4240"/>
      <c r="O239" s="434"/>
      <c r="P239" s="445"/>
      <c r="Q239" s="726"/>
      <c r="R239" s="204"/>
      <c r="S239" s="52">
        <v>0</v>
      </c>
      <c r="T239" s="52">
        <v>0</v>
      </c>
      <c r="U239" s="52">
        <v>0</v>
      </c>
      <c r="V239" s="52">
        <v>0</v>
      </c>
      <c r="W239" s="137">
        <f>'[26]מאזן בוחן הודו'!W223</f>
        <v>0</v>
      </c>
      <c r="X239" s="137">
        <f>'[27]מאזן בוחן הודו'!X223</f>
        <v>0</v>
      </c>
      <c r="Y239" s="137">
        <f>'[28]מאזן בוחן הודו'!Y225</f>
        <v>0</v>
      </c>
      <c r="Z239" s="137">
        <f>'[29]מאזן בוחן הודו'!Z229</f>
        <v>0</v>
      </c>
      <c r="AA239" s="137">
        <f>'[30]מאזן בוחן הודו'!AA229</f>
        <v>0</v>
      </c>
      <c r="AB239" s="137">
        <f>'[31]מאזן בוחן הודו'!AB224</f>
        <v>0</v>
      </c>
      <c r="AC239" s="137">
        <v>0</v>
      </c>
      <c r="AD239" s="137">
        <v>0</v>
      </c>
      <c r="AE239" s="137">
        <v>0</v>
      </c>
      <c r="AF239" s="137">
        <v>0</v>
      </c>
      <c r="AG239" s="137">
        <v>0</v>
      </c>
      <c r="AH239" s="137">
        <f>$K239-SUM($W239:AG239)</f>
        <v>0</v>
      </c>
      <c r="AR239" s="52"/>
      <c r="AS239" s="52"/>
      <c r="AT239" s="52"/>
      <c r="AU239" s="141"/>
    </row>
    <row r="240" spans="1:47" s="137" customFormat="1" ht="15" customHeight="1">
      <c r="A240" s="402"/>
      <c r="B240" s="3668"/>
      <c r="C240" s="749"/>
      <c r="D240" s="757" t="s">
        <v>319</v>
      </c>
      <c r="E240" s="598">
        <f t="shared" ref="E240:K240" si="59">SUM(E223:E239)</f>
        <v>135974.18999999948</v>
      </c>
      <c r="F240" s="598">
        <f t="shared" si="59"/>
        <v>0</v>
      </c>
      <c r="G240" s="598">
        <f t="shared" si="59"/>
        <v>0</v>
      </c>
      <c r="H240" s="598">
        <f t="shared" si="59"/>
        <v>0</v>
      </c>
      <c r="I240" s="598">
        <f t="shared" si="59"/>
        <v>0</v>
      </c>
      <c r="J240" s="598">
        <f t="shared" si="59"/>
        <v>135974.18999999948</v>
      </c>
      <c r="K240" s="598">
        <f t="shared" si="59"/>
        <v>1820.1499999999942</v>
      </c>
      <c r="L240" s="593"/>
      <c r="M240" s="598">
        <f>SUM(M223:M239)</f>
        <v>1820.1499999999942</v>
      </c>
      <c r="N240" s="4240">
        <f>IF(K240=0,"-",J240/K240)</f>
        <v>74.704936406340096</v>
      </c>
      <c r="O240" s="449"/>
      <c r="P240" s="445"/>
      <c r="Q240" s="726"/>
      <c r="R240" s="204">
        <v>16322.36</v>
      </c>
      <c r="S240" s="52">
        <v>-16322.36</v>
      </c>
      <c r="T240" s="52">
        <v>-27164.922845539382</v>
      </c>
      <c r="U240" s="52">
        <v>27164.922845539382</v>
      </c>
      <c r="V240" s="52">
        <v>0</v>
      </c>
      <c r="W240" s="137">
        <f>'[26]מאזן בוחן הודו'!W224</f>
        <v>0</v>
      </c>
      <c r="X240" s="137">
        <f>'[27]מאזן בוחן הודו'!X224</f>
        <v>448.0853846153841</v>
      </c>
      <c r="Y240" s="137">
        <f>'[28]מאזן בוחן הודו'!Y226</f>
        <v>-522.32538461538934</v>
      </c>
      <c r="Z240" s="137">
        <f>'[29]מאזן בוחן הודו'!Z230</f>
        <v>74.240000000005239</v>
      </c>
      <c r="AA240" s="137">
        <f>'[30]מאזן בוחן הודו'!AA230</f>
        <v>0</v>
      </c>
      <c r="AB240" s="137">
        <f>'[31]מאזן בוחן הודו'!AB225</f>
        <v>0</v>
      </c>
      <c r="AC240" s="137">
        <v>0</v>
      </c>
      <c r="AD240" s="137">
        <v>0</v>
      </c>
      <c r="AE240" s="137">
        <v>0</v>
      </c>
      <c r="AF240" s="137">
        <v>0</v>
      </c>
      <c r="AG240" s="137">
        <v>0</v>
      </c>
      <c r="AH240" s="137">
        <f>$K240-SUM($W240:AG240)</f>
        <v>1820.1499999999942</v>
      </c>
      <c r="AR240" s="52"/>
      <c r="AS240" s="52"/>
      <c r="AT240" s="52"/>
      <c r="AU240" s="141"/>
    </row>
    <row r="241" spans="1:47" s="137" customFormat="1">
      <c r="A241" s="402"/>
      <c r="B241" s="3664"/>
      <c r="C241" s="1993"/>
      <c r="D241" s="45"/>
      <c r="E241" s="448"/>
      <c r="F241" s="51"/>
      <c r="G241" s="399"/>
      <c r="H241" s="51"/>
      <c r="I241" s="399"/>
      <c r="J241" s="170"/>
      <c r="K241" s="97"/>
      <c r="L241" s="51"/>
      <c r="M241" s="604"/>
      <c r="N241" s="4241"/>
      <c r="O241" s="434"/>
      <c r="P241" s="445"/>
      <c r="Q241" s="726"/>
      <c r="R241" s="204">
        <v>0</v>
      </c>
      <c r="S241" s="52">
        <v>0</v>
      </c>
      <c r="T241" s="52">
        <v>0</v>
      </c>
      <c r="U241" s="52">
        <v>0</v>
      </c>
      <c r="V241" s="52">
        <v>0</v>
      </c>
      <c r="W241" s="137">
        <f>'[26]מאזן בוחן הודו'!W225</f>
        <v>0</v>
      </c>
      <c r="X241" s="137">
        <f>'[27]מאזן בוחן הודו'!X225</f>
        <v>0</v>
      </c>
      <c r="Y241" s="137">
        <f>'[28]מאזן בוחן הודו'!Y227</f>
        <v>0</v>
      </c>
      <c r="Z241" s="137">
        <f>'[29]מאזן בוחן הודו'!Z231</f>
        <v>0</v>
      </c>
      <c r="AA241" s="137">
        <f>'[30]מאזן בוחן הודו'!AA231</f>
        <v>0</v>
      </c>
      <c r="AB241" s="137">
        <f>'[31]מאזן בוחן הודו'!AB226</f>
        <v>0</v>
      </c>
      <c r="AC241" s="137">
        <v>0</v>
      </c>
      <c r="AD241" s="137">
        <v>0</v>
      </c>
      <c r="AE241" s="137">
        <v>0</v>
      </c>
      <c r="AF241" s="137">
        <v>0</v>
      </c>
      <c r="AG241" s="137">
        <v>0</v>
      </c>
      <c r="AH241" s="137">
        <f>$K241-SUM($W241:AG241)</f>
        <v>0</v>
      </c>
      <c r="AR241" s="52"/>
      <c r="AS241" s="52"/>
      <c r="AT241" s="52"/>
      <c r="AU241" s="141"/>
    </row>
    <row r="242" spans="1:47" s="137" customFormat="1">
      <c r="A242" s="402"/>
      <c r="B242" s="3664"/>
      <c r="C242" s="2000"/>
      <c r="D242" s="72"/>
      <c r="E242" s="485"/>
      <c r="F242" s="163"/>
      <c r="G242" s="164"/>
      <c r="H242" s="163"/>
      <c r="I242" s="164"/>
      <c r="J242" s="163"/>
      <c r="K242" s="164"/>
      <c r="L242" s="51"/>
      <c r="M242" s="164"/>
      <c r="N242" s="4241"/>
      <c r="O242" s="434"/>
      <c r="P242" s="445"/>
      <c r="Q242" s="726"/>
      <c r="R242" s="204">
        <v>0</v>
      </c>
      <c r="S242" s="52">
        <v>0</v>
      </c>
      <c r="T242" s="52">
        <v>0</v>
      </c>
      <c r="U242" s="52">
        <v>0</v>
      </c>
      <c r="V242" s="52">
        <v>0</v>
      </c>
      <c r="W242" s="137">
        <f>'[26]מאזן בוחן הודו'!W226</f>
        <v>0</v>
      </c>
      <c r="X242" s="137">
        <f>'[27]מאזן בוחן הודו'!X226</f>
        <v>0</v>
      </c>
      <c r="Y242" s="137">
        <f>'[28]מאזן בוחן הודו'!Y228</f>
        <v>0</v>
      </c>
      <c r="Z242" s="137">
        <f>'[29]מאזן בוחן הודו'!Z232</f>
        <v>0</v>
      </c>
      <c r="AA242" s="137">
        <f>'[30]מאזן בוחן הודו'!AA232</f>
        <v>0</v>
      </c>
      <c r="AB242" s="137">
        <f>'[31]מאזן בוחן הודו'!AB227</f>
        <v>0</v>
      </c>
      <c r="AC242" s="137">
        <v>0</v>
      </c>
      <c r="AD242" s="137">
        <v>0</v>
      </c>
      <c r="AE242" s="137">
        <v>0</v>
      </c>
      <c r="AF242" s="137">
        <v>0</v>
      </c>
      <c r="AG242" s="137">
        <v>0</v>
      </c>
      <c r="AH242" s="137">
        <f>$K242-SUM($W242:AG242)</f>
        <v>0</v>
      </c>
      <c r="AR242" s="52"/>
      <c r="AS242" s="52"/>
      <c r="AT242" s="52"/>
      <c r="AU242" s="141"/>
    </row>
    <row r="243" spans="1:47" s="137" customFormat="1">
      <c r="A243" s="402"/>
      <c r="B243" s="3664"/>
      <c r="C243" s="2001"/>
      <c r="D243" s="757" t="s">
        <v>179</v>
      </c>
      <c r="E243" s="598">
        <f t="shared" ref="E243:K243" si="60">E211+E214+E220+E240</f>
        <v>2964595.09</v>
      </c>
      <c r="F243" s="606">
        <f t="shared" si="60"/>
        <v>0</v>
      </c>
      <c r="G243" s="447">
        <f t="shared" si="60"/>
        <v>0</v>
      </c>
      <c r="H243" s="447">
        <f t="shared" si="60"/>
        <v>0</v>
      </c>
      <c r="I243" s="447">
        <f t="shared" si="60"/>
        <v>0</v>
      </c>
      <c r="J243" s="592">
        <f t="shared" si="60"/>
        <v>2964595.09</v>
      </c>
      <c r="K243" s="592">
        <f t="shared" si="60"/>
        <v>40095.409999999989</v>
      </c>
      <c r="L243" s="593"/>
      <c r="M243" s="598">
        <f>M211+M214+M220+M240</f>
        <v>40095.409999999989</v>
      </c>
      <c r="N243" s="4241"/>
      <c r="O243" s="434"/>
      <c r="P243" s="445"/>
      <c r="Q243" s="726"/>
      <c r="R243" s="204">
        <v>37931.949999999997</v>
      </c>
      <c r="S243" s="52">
        <v>-31898.769999999997</v>
      </c>
      <c r="T243" s="52">
        <v>-21886.312845539382</v>
      </c>
      <c r="U243" s="52">
        <v>27931.73284553938</v>
      </c>
      <c r="V243" s="52">
        <v>3685.1700000000019</v>
      </c>
      <c r="W243" s="137">
        <f>'[26]מאזן בוחן הודו'!W227</f>
        <v>5165.83</v>
      </c>
      <c r="X243" s="137">
        <f>'[27]מאזן בוחן הודו'!X227</f>
        <v>1371.3253846153839</v>
      </c>
      <c r="Y243" s="137">
        <f>'[28]מאזן בוחן הודו'!Y229</f>
        <v>3143.7746153846128</v>
      </c>
      <c r="Z243" s="137">
        <f>'[29]מאזן בוחן הודו'!Z233</f>
        <v>983.78000000000247</v>
      </c>
      <c r="AA243" s="137">
        <f>'[30]מאזן בוחן הודו'!AA233</f>
        <v>1192.9099999999999</v>
      </c>
      <c r="AB243" s="137">
        <f>'[31]מאזן בוחן הודו'!AB228</f>
        <v>3837.9100000000017</v>
      </c>
      <c r="AC243" s="137">
        <v>3136.8700000000008</v>
      </c>
      <c r="AD243" s="137">
        <v>3507.9300000000003</v>
      </c>
      <c r="AE243" s="137">
        <v>4745.8099999999977</v>
      </c>
      <c r="AF243" s="137">
        <v>2915.869999999999</v>
      </c>
      <c r="AG243" s="137">
        <v>3546.380000000001</v>
      </c>
      <c r="AH243" s="137">
        <f>$K243-SUM($W243:AG243)</f>
        <v>6547.0199999999895</v>
      </c>
      <c r="AR243" s="52"/>
      <c r="AS243" s="52"/>
      <c r="AT243" s="52"/>
      <c r="AU243" s="141"/>
    </row>
    <row r="244" spans="1:47" s="137" customFormat="1">
      <c r="A244" s="402"/>
      <c r="B244" s="3664"/>
      <c r="C244" s="2000"/>
      <c r="D244" s="72"/>
      <c r="E244" s="485"/>
      <c r="F244" s="163"/>
      <c r="G244" s="164"/>
      <c r="H244" s="163"/>
      <c r="I244" s="164"/>
      <c r="J244" s="163"/>
      <c r="K244" s="164"/>
      <c r="L244" s="51"/>
      <c r="M244" s="164"/>
      <c r="N244" s="4241"/>
      <c r="O244" s="434"/>
      <c r="P244" s="445"/>
      <c r="Q244" s="726"/>
      <c r="R244" s="204">
        <v>0</v>
      </c>
      <c r="S244" s="52">
        <v>0</v>
      </c>
      <c r="T244" s="52">
        <v>0</v>
      </c>
      <c r="U244" s="52">
        <v>0</v>
      </c>
      <c r="V244" s="52">
        <v>0</v>
      </c>
      <c r="W244" s="137">
        <f>'[26]מאזן בוחן הודו'!W228</f>
        <v>0</v>
      </c>
      <c r="X244" s="137">
        <f>'[27]מאזן בוחן הודו'!X228</f>
        <v>0</v>
      </c>
      <c r="Y244" s="137">
        <f>'[28]מאזן בוחן הודו'!Y230</f>
        <v>0</v>
      </c>
      <c r="Z244" s="137">
        <f>'[29]מאזן בוחן הודו'!Z234</f>
        <v>0</v>
      </c>
      <c r="AA244" s="137">
        <f>'[30]מאזן בוחן הודו'!AA234</f>
        <v>0</v>
      </c>
      <c r="AB244" s="137">
        <f>'[31]מאזן בוחן הודו'!AB229</f>
        <v>0</v>
      </c>
      <c r="AC244" s="137">
        <v>0</v>
      </c>
      <c r="AD244" s="137">
        <v>0</v>
      </c>
      <c r="AE244" s="137">
        <v>0</v>
      </c>
      <c r="AF244" s="137">
        <v>0</v>
      </c>
      <c r="AG244" s="137">
        <v>0</v>
      </c>
      <c r="AH244" s="137">
        <f>$K244-SUM($W244:AG244)</f>
        <v>0</v>
      </c>
      <c r="AR244" s="52"/>
      <c r="AS244" s="52"/>
      <c r="AT244" s="52"/>
      <c r="AU244" s="141"/>
    </row>
    <row r="245" spans="1:47" s="137" customFormat="1">
      <c r="A245" s="402"/>
      <c r="B245" s="3664"/>
      <c r="C245" s="1987"/>
      <c r="D245" s="70" t="s">
        <v>192</v>
      </c>
      <c r="E245" s="398"/>
      <c r="F245" s="51"/>
      <c r="G245" s="399"/>
      <c r="H245" s="51"/>
      <c r="I245" s="399"/>
      <c r="J245" s="440"/>
      <c r="K245" s="446"/>
      <c r="L245" s="51"/>
      <c r="M245" s="446"/>
      <c r="N245" s="4241"/>
      <c r="O245" s="434"/>
      <c r="P245" s="445"/>
      <c r="Q245" s="726"/>
      <c r="R245" s="204">
        <v>0</v>
      </c>
      <c r="S245" s="52">
        <v>0</v>
      </c>
      <c r="T245" s="52">
        <v>0</v>
      </c>
      <c r="U245" s="52">
        <v>0</v>
      </c>
      <c r="V245" s="52">
        <v>0</v>
      </c>
      <c r="W245" s="137">
        <f>'[26]מאזן בוחן הודו'!W229</f>
        <v>0</v>
      </c>
      <c r="X245" s="137">
        <f>'[27]מאזן בוחן הודו'!X229</f>
        <v>0</v>
      </c>
      <c r="Y245" s="137">
        <f>'[28]מאזן בוחן הודו'!Y231</f>
        <v>0</v>
      </c>
      <c r="Z245" s="137">
        <f>'[29]מאזן בוחן הודו'!Z235</f>
        <v>0</v>
      </c>
      <c r="AA245" s="137">
        <f>'[30]מאזן בוחן הודו'!AA235</f>
        <v>0</v>
      </c>
      <c r="AB245" s="137">
        <f>'[31]מאזן בוחן הודו'!AB230</f>
        <v>0</v>
      </c>
      <c r="AC245" s="137">
        <v>0</v>
      </c>
      <c r="AD245" s="137">
        <v>0</v>
      </c>
      <c r="AE245" s="137">
        <v>0</v>
      </c>
      <c r="AF245" s="137">
        <v>0</v>
      </c>
      <c r="AG245" s="137">
        <v>0</v>
      </c>
      <c r="AH245" s="137">
        <f>$K245-SUM($W245:AG245)</f>
        <v>0</v>
      </c>
      <c r="AR245" s="52"/>
      <c r="AS245" s="52"/>
      <c r="AT245" s="52"/>
      <c r="AU245" s="141"/>
    </row>
    <row r="246" spans="1:47" s="137" customFormat="1">
      <c r="A246" s="402"/>
      <c r="B246" s="3681"/>
      <c r="C246" s="1987"/>
      <c r="D246" s="34"/>
      <c r="E246" s="398"/>
      <c r="F246" s="51"/>
      <c r="G246" s="399"/>
      <c r="H246" s="51"/>
      <c r="I246" s="399"/>
      <c r="J246" s="440"/>
      <c r="K246" s="446"/>
      <c r="L246" s="399"/>
      <c r="M246" s="589"/>
      <c r="N246" s="4241"/>
      <c r="O246" s="434"/>
      <c r="P246" s="445"/>
      <c r="Q246" s="726"/>
      <c r="R246" s="204">
        <v>0</v>
      </c>
      <c r="S246" s="52">
        <v>0</v>
      </c>
      <c r="T246" s="52">
        <v>0</v>
      </c>
      <c r="U246" s="52">
        <v>0</v>
      </c>
      <c r="V246" s="52">
        <v>0</v>
      </c>
      <c r="W246" s="137">
        <f>'[26]מאזן בוחן הודו'!W230</f>
        <v>0</v>
      </c>
      <c r="X246" s="137">
        <f>'[27]מאזן בוחן הודו'!X230</f>
        <v>0</v>
      </c>
      <c r="Y246" s="137">
        <f>'[28]מאזן בוחן הודו'!Y232</f>
        <v>0</v>
      </c>
      <c r="Z246" s="137">
        <f>'[29]מאזן בוחן הודו'!Z236</f>
        <v>0</v>
      </c>
      <c r="AA246" s="137">
        <f>'[30]מאזן בוחן הודו'!AA236</f>
        <v>0</v>
      </c>
      <c r="AB246" s="137">
        <f>'[31]מאזן בוחן הודו'!AB231</f>
        <v>0</v>
      </c>
      <c r="AC246" s="137">
        <v>0</v>
      </c>
      <c r="AD246" s="137">
        <v>0</v>
      </c>
      <c r="AE246" s="137">
        <v>0</v>
      </c>
      <c r="AF246" s="137">
        <v>0</v>
      </c>
      <c r="AG246" s="137">
        <v>0</v>
      </c>
      <c r="AH246" s="137">
        <f>$K246-SUM($W246:AG246)</f>
        <v>0</v>
      </c>
      <c r="AR246" s="52"/>
      <c r="AS246" s="52"/>
      <c r="AT246" s="52"/>
      <c r="AU246" s="141"/>
    </row>
    <row r="247" spans="1:47" s="137" customFormat="1">
      <c r="A247" s="402"/>
      <c r="B247" s="3681"/>
      <c r="C247" s="1985"/>
      <c r="D247" s="34"/>
      <c r="E247" s="398"/>
      <c r="F247" s="51"/>
      <c r="G247" s="399"/>
      <c r="H247" s="51"/>
      <c r="I247" s="399"/>
      <c r="J247" s="171"/>
      <c r="K247" s="474"/>
      <c r="L247" s="399"/>
      <c r="M247" s="474"/>
      <c r="N247" s="4241"/>
      <c r="O247" s="434"/>
      <c r="P247" s="445"/>
      <c r="Q247" s="726"/>
      <c r="R247" s="204">
        <v>0</v>
      </c>
      <c r="S247" s="52">
        <v>0</v>
      </c>
      <c r="T247" s="52">
        <v>0</v>
      </c>
      <c r="U247" s="52">
        <v>0</v>
      </c>
      <c r="V247" s="52">
        <v>0</v>
      </c>
      <c r="W247" s="137">
        <f>'[26]מאזן בוחן הודו'!W231</f>
        <v>0</v>
      </c>
      <c r="X247" s="137">
        <f>'[27]מאזן בוחן הודו'!X231</f>
        <v>0</v>
      </c>
      <c r="Y247" s="137">
        <f>'[28]מאזן בוחן הודו'!Y233</f>
        <v>0</v>
      </c>
      <c r="Z247" s="137">
        <f>'[29]מאזן בוחן הודו'!Z237</f>
        <v>0</v>
      </c>
      <c r="AA247" s="137">
        <f>'[30]מאזן בוחן הודו'!AA237</f>
        <v>0</v>
      </c>
      <c r="AB247" s="137">
        <f>'[31]מאזן בוחן הודו'!AB232</f>
        <v>0</v>
      </c>
      <c r="AC247" s="137">
        <v>0</v>
      </c>
      <c r="AD247" s="137">
        <v>0</v>
      </c>
      <c r="AE247" s="137">
        <v>0</v>
      </c>
      <c r="AF247" s="137">
        <v>0</v>
      </c>
      <c r="AG247" s="137">
        <v>0</v>
      </c>
      <c r="AH247" s="137">
        <f>$K247-SUM($W247:AG247)</f>
        <v>0</v>
      </c>
      <c r="AR247" s="52"/>
      <c r="AS247" s="52"/>
      <c r="AT247" s="52"/>
      <c r="AU247" s="141"/>
    </row>
    <row r="248" spans="1:47" s="137" customFormat="1">
      <c r="A248" s="402"/>
      <c r="B248" s="3681"/>
      <c r="C248" s="1985"/>
      <c r="D248" s="607"/>
      <c r="E248" s="398"/>
      <c r="F248" s="51"/>
      <c r="G248" s="399"/>
      <c r="H248" s="51"/>
      <c r="I248" s="399"/>
      <c r="J248" s="171"/>
      <c r="K248" s="474"/>
      <c r="L248" s="399"/>
      <c r="M248" s="474"/>
      <c r="N248" s="4241"/>
      <c r="O248" s="434"/>
      <c r="P248" s="445"/>
      <c r="Q248" s="726"/>
      <c r="R248" s="204">
        <v>0</v>
      </c>
      <c r="S248" s="52">
        <v>0</v>
      </c>
      <c r="T248" s="52">
        <v>0</v>
      </c>
      <c r="U248" s="52">
        <v>0</v>
      </c>
      <c r="V248" s="52">
        <v>0</v>
      </c>
      <c r="W248" s="137">
        <f>'[26]מאזן בוחן הודו'!W232</f>
        <v>0</v>
      </c>
      <c r="X248" s="137">
        <f>'[27]מאזן בוחן הודו'!X232</f>
        <v>0</v>
      </c>
      <c r="Y248" s="137">
        <f>'[28]מאזן בוחן הודו'!Y234</f>
        <v>0</v>
      </c>
      <c r="Z248" s="137">
        <f>'[29]מאזן בוחן הודו'!Z238</f>
        <v>0</v>
      </c>
      <c r="AA248" s="137">
        <f>'[30]מאזן בוחן הודו'!AA238</f>
        <v>0</v>
      </c>
      <c r="AB248" s="137">
        <f>'[31]מאזן בוחן הודו'!AB233</f>
        <v>0</v>
      </c>
      <c r="AC248" s="137">
        <v>0</v>
      </c>
      <c r="AD248" s="137">
        <v>0</v>
      </c>
      <c r="AE248" s="137">
        <v>0</v>
      </c>
      <c r="AF248" s="137">
        <v>0</v>
      </c>
      <c r="AG248" s="137">
        <v>0</v>
      </c>
      <c r="AH248" s="137">
        <f>$K248-SUM($W248:AG248)</f>
        <v>0</v>
      </c>
      <c r="AR248" s="52"/>
      <c r="AS248" s="52"/>
      <c r="AT248" s="52"/>
      <c r="AU248" s="141"/>
    </row>
    <row r="249" spans="1:47" s="137" customFormat="1">
      <c r="A249" s="402"/>
      <c r="B249" s="3681"/>
      <c r="C249" s="1985"/>
      <c r="D249" s="607" t="s">
        <v>219</v>
      </c>
      <c r="E249" s="398"/>
      <c r="F249" s="51"/>
      <c r="G249" s="399"/>
      <c r="H249" s="51"/>
      <c r="I249" s="399"/>
      <c r="J249" s="171"/>
      <c r="K249" s="474"/>
      <c r="L249" s="399"/>
      <c r="M249" s="474"/>
      <c r="N249" s="4241"/>
      <c r="O249" s="434"/>
      <c r="P249" s="445"/>
      <c r="Q249" s="726"/>
      <c r="R249" s="204">
        <v>0</v>
      </c>
      <c r="S249" s="52">
        <v>0</v>
      </c>
      <c r="T249" s="52">
        <v>0</v>
      </c>
      <c r="U249" s="52">
        <v>0</v>
      </c>
      <c r="V249" s="52">
        <v>0</v>
      </c>
      <c r="W249" s="137">
        <f>'[26]מאזן בוחן הודו'!W233</f>
        <v>0</v>
      </c>
      <c r="X249" s="137">
        <f>'[27]מאזן בוחן הודו'!X233</f>
        <v>0</v>
      </c>
      <c r="Y249" s="137">
        <f>'[28]מאזן בוחן הודו'!Y235</f>
        <v>0</v>
      </c>
      <c r="Z249" s="137">
        <f>'[29]מאזן בוחן הודו'!Z239</f>
        <v>0</v>
      </c>
      <c r="AA249" s="137">
        <f>'[30]מאזן בוחן הודו'!AA239</f>
        <v>0</v>
      </c>
      <c r="AB249" s="137">
        <f>'[31]מאזן בוחן הודו'!AB234</f>
        <v>0</v>
      </c>
      <c r="AC249" s="137">
        <v>0</v>
      </c>
      <c r="AD249" s="137">
        <v>0</v>
      </c>
      <c r="AE249" s="137">
        <v>0</v>
      </c>
      <c r="AF249" s="137">
        <v>0</v>
      </c>
      <c r="AG249" s="137">
        <v>0</v>
      </c>
      <c r="AH249" s="137">
        <f>$K249-SUM($W249:AG249)</f>
        <v>0</v>
      </c>
      <c r="AR249" s="52"/>
      <c r="AS249" s="52"/>
      <c r="AT249" s="52"/>
      <c r="AU249" s="141"/>
    </row>
    <row r="250" spans="1:47" s="137" customFormat="1">
      <c r="A250" s="402"/>
      <c r="B250" s="3681"/>
      <c r="C250" s="1985"/>
      <c r="D250" s="608"/>
      <c r="E250" s="398"/>
      <c r="F250" s="51"/>
      <c r="G250" s="399"/>
      <c r="H250" s="51"/>
      <c r="I250" s="399"/>
      <c r="J250" s="171"/>
      <c r="K250" s="474"/>
      <c r="L250" s="399"/>
      <c r="M250" s="474"/>
      <c r="N250" s="4241"/>
      <c r="O250" s="434"/>
      <c r="P250" s="445"/>
      <c r="Q250" s="726"/>
      <c r="R250" s="204">
        <v>0</v>
      </c>
      <c r="S250" s="52">
        <v>0</v>
      </c>
      <c r="T250" s="52">
        <v>0</v>
      </c>
      <c r="U250" s="52">
        <v>0</v>
      </c>
      <c r="V250" s="52">
        <v>0</v>
      </c>
      <c r="W250" s="137">
        <f>'[26]מאזן בוחן הודו'!W234</f>
        <v>0</v>
      </c>
      <c r="X250" s="137">
        <f>'[27]מאזן בוחן הודו'!X234</f>
        <v>0</v>
      </c>
      <c r="Y250" s="137">
        <f>'[28]מאזן בוחן הודו'!Y236</f>
        <v>0</v>
      </c>
      <c r="Z250" s="137">
        <f>'[29]מאזן בוחן הודו'!Z240</f>
        <v>0</v>
      </c>
      <c r="AA250" s="137">
        <f>'[30]מאזן בוחן הודו'!AA240</f>
        <v>0</v>
      </c>
      <c r="AB250" s="137">
        <f>'[31]מאזן בוחן הודו'!AB235</f>
        <v>0</v>
      </c>
      <c r="AC250" s="137">
        <v>0</v>
      </c>
      <c r="AD250" s="137">
        <v>0</v>
      </c>
      <c r="AE250" s="137">
        <v>0</v>
      </c>
      <c r="AF250" s="137">
        <v>0</v>
      </c>
      <c r="AG250" s="137">
        <v>0</v>
      </c>
      <c r="AH250" s="137">
        <f>$K250-SUM($W250:AG250)</f>
        <v>0</v>
      </c>
      <c r="AR250" s="52"/>
      <c r="AS250" s="52"/>
      <c r="AT250" s="52"/>
      <c r="AU250" s="141"/>
    </row>
    <row r="251" spans="1:47" s="137" customFormat="1">
      <c r="A251" s="406"/>
      <c r="B251" s="3659" t="s">
        <v>1100</v>
      </c>
      <c r="C251" s="1374">
        <v>6011001</v>
      </c>
      <c r="D251" s="203" t="s">
        <v>2580</v>
      </c>
      <c r="E251" s="79">
        <f>IFERROR(VLOOKUP(C251,'פ.נ. הודו'!$D$70:$G$1144,3,0),0)</f>
        <v>26335877</v>
      </c>
      <c r="F251" s="170">
        <f>SUMIF('פ.נ. הודו'!$C:$C,$C:$C,'פ.נ. הודו'!$E:$E)</f>
        <v>0</v>
      </c>
      <c r="G251" s="398"/>
      <c r="H251" s="204"/>
      <c r="I251" s="79"/>
      <c r="J251" s="522">
        <f>SUM(E251:I251)</f>
        <v>26335877</v>
      </c>
      <c r="K251" s="591">
        <f>M251+SUMIF('פ.נ. הודו'!$C:$C,$C:$C,'פ.נ. הודו'!$F:$F)</f>
        <v>356177.28</v>
      </c>
      <c r="L251" s="52"/>
      <c r="M251" s="78">
        <f>IFERROR(VLOOKUP(C251,'פ.נ. הודו'!$D$70:$G$1144,4,0),0)</f>
        <v>356177.28</v>
      </c>
      <c r="N251" s="4240">
        <f>IF(K251=0,"-",J251/K251)</f>
        <v>73.940361945601921</v>
      </c>
      <c r="O251" s="434"/>
      <c r="P251" s="445"/>
      <c r="Q251" s="726">
        <v>13244.78</v>
      </c>
      <c r="R251" s="204">
        <v>14066.49</v>
      </c>
      <c r="S251" s="52">
        <v>13249.030000000004</v>
      </c>
      <c r="T251" s="52">
        <v>13013.219999999994</v>
      </c>
      <c r="U251" s="52">
        <v>13506.420000000006</v>
      </c>
      <c r="V251" s="52">
        <v>15249.669999999998</v>
      </c>
      <c r="W251" s="137">
        <f>'[26]מאזן בוחן הודו'!W235</f>
        <v>19724.189999999999</v>
      </c>
      <c r="X251" s="137">
        <f>'[27]מאזן בוחן הודו'!X235</f>
        <v>25087.01</v>
      </c>
      <c r="Y251" s="137">
        <f>'[28]מאזן בוחן הודו'!Y237</f>
        <v>25346.100000000006</v>
      </c>
      <c r="Z251" s="137">
        <f>'[29]מאזן בוחן הודו'!Z241</f>
        <v>24879.599999999991</v>
      </c>
      <c r="AA251" s="137">
        <f>'[30]מאזן בוחן הודו'!AA241</f>
        <v>25501.200000000012</v>
      </c>
      <c r="AB251" s="137">
        <f>'[31]מאזן בוחן הודו'!AB236</f>
        <v>25054.399999999994</v>
      </c>
      <c r="AC251" s="137">
        <v>29213.489999999991</v>
      </c>
      <c r="AD251" s="137">
        <v>34393.960000000021</v>
      </c>
      <c r="AE251" s="137">
        <v>34504.659999999974</v>
      </c>
      <c r="AF251" s="137">
        <v>35466.06</v>
      </c>
      <c r="AG251" s="137">
        <v>36005.73000000004</v>
      </c>
      <c r="AH251" s="137">
        <f>$K251-SUM($W251:AG251)</f>
        <v>41000.880000000005</v>
      </c>
      <c r="AO251" s="137" t="s">
        <v>3993</v>
      </c>
      <c r="AR251" s="52"/>
      <c r="AS251" s="52"/>
      <c r="AT251" s="52"/>
      <c r="AU251" s="141"/>
    </row>
    <row r="252" spans="1:47" s="137" customFormat="1">
      <c r="A252" s="406"/>
      <c r="B252" s="3659" t="s">
        <v>1100</v>
      </c>
      <c r="C252" s="1374">
        <v>6011002</v>
      </c>
      <c r="D252" s="203" t="s">
        <v>2581</v>
      </c>
      <c r="E252" s="79">
        <f>IFERROR(VLOOKUP(C252,'פ.נ. הודו'!$D$70:$G$1144,3,0),0)</f>
        <v>1523935.26</v>
      </c>
      <c r="F252" s="170">
        <f>SUMIF('פ.נ. הודו'!$C:$C,$C:$C,'פ.נ. הודו'!$E:$E)</f>
        <v>0</v>
      </c>
      <c r="G252" s="398"/>
      <c r="H252" s="204"/>
      <c r="I252" s="79"/>
      <c r="J252" s="522">
        <f>SUM(E252:I252)</f>
        <v>1523935.26</v>
      </c>
      <c r="K252" s="591">
        <f>M252+SUMIF('פ.נ. הודו'!$C:$C,$C:$C,'פ.נ. הודו'!$F:$F)</f>
        <v>20572.490000000002</v>
      </c>
      <c r="L252" s="52"/>
      <c r="M252" s="78">
        <f>IFERROR(VLOOKUP(C252,'פ.נ. הודו'!$D$70:$G$1144,4,0),0)</f>
        <v>20572.490000000002</v>
      </c>
      <c r="N252" s="4240">
        <f>IF(K252=0,"-",J252/K252)</f>
        <v>74.07636411537932</v>
      </c>
      <c r="O252" s="434"/>
      <c r="P252" s="445"/>
      <c r="Q252" s="726">
        <v>0</v>
      </c>
      <c r="R252" s="204">
        <v>102.28</v>
      </c>
      <c r="S252" s="52">
        <v>0</v>
      </c>
      <c r="T252" s="52">
        <v>0</v>
      </c>
      <c r="U252" s="52">
        <v>241.86999999999998</v>
      </c>
      <c r="V252" s="52">
        <v>101.01000000000005</v>
      </c>
      <c r="W252" s="137">
        <f>'[26]מאזן בוחן הודו'!W236</f>
        <v>0</v>
      </c>
      <c r="X252" s="137">
        <f>'[27]מאזן בוחן הודו'!X236</f>
        <v>0</v>
      </c>
      <c r="Y252" s="137">
        <f>'[28]מאזן בוחן הודו'!Y238</f>
        <v>873.09</v>
      </c>
      <c r="Z252" s="137">
        <f>'[29]מאזן בוחן הודו'!Z242</f>
        <v>322.31000000000006</v>
      </c>
      <c r="AA252" s="137">
        <f>'[30]מאזן בוחן הודו'!AA242</f>
        <v>1727.0299999999997</v>
      </c>
      <c r="AB252" s="137">
        <f>'[31]מאזן בוחן הודו'!AB237</f>
        <v>0</v>
      </c>
      <c r="AC252" s="137">
        <v>2795.69</v>
      </c>
      <c r="AD252" s="137">
        <v>0</v>
      </c>
      <c r="AE252" s="137">
        <v>103.55000000000018</v>
      </c>
      <c r="AF252" s="137">
        <v>148.93000000000029</v>
      </c>
      <c r="AG252" s="137">
        <v>124.48999999999978</v>
      </c>
      <c r="AH252" s="137">
        <f>$K252-SUM($W252:AG252)</f>
        <v>14477.400000000001</v>
      </c>
      <c r="AR252" s="52"/>
      <c r="AS252" s="52"/>
      <c r="AT252" s="52"/>
      <c r="AU252" s="141"/>
    </row>
    <row r="253" spans="1:47" s="137" customFormat="1">
      <c r="A253" s="406"/>
      <c r="B253" s="3659" t="s">
        <v>1100</v>
      </c>
      <c r="C253" s="1374">
        <v>6011004</v>
      </c>
      <c r="D253" s="203" t="s">
        <v>2826</v>
      </c>
      <c r="E253" s="79">
        <f>IFERROR(VLOOKUP(C253,'פ.נ. הודו'!$D$70:$G$1144,3,0),0)</f>
        <v>4486262</v>
      </c>
      <c r="F253" s="170">
        <f>SUMIF('פ.נ. הודו'!$C:$C,$C:$C,'פ.נ. הודו'!$E:$E)</f>
        <v>0</v>
      </c>
      <c r="G253" s="398"/>
      <c r="H253" s="204"/>
      <c r="I253" s="79"/>
      <c r="J253" s="522">
        <f>SUM(E253:I253)</f>
        <v>4486262</v>
      </c>
      <c r="K253" s="591">
        <f>M253+SUMIF('פ.נ. הודו'!$C:$C,$C:$C,'פ.נ. הודו'!$F:$F)</f>
        <v>60649.3</v>
      </c>
      <c r="L253" s="52"/>
      <c r="M253" s="78">
        <f>IFERROR(VLOOKUP(C253,'פ.נ. הודו'!$D$70:$G$1144,4,0),0)</f>
        <v>60649.3</v>
      </c>
      <c r="N253" s="4240">
        <f>IF(K253=0,"-",J253/K253)</f>
        <v>73.970548712021412</v>
      </c>
      <c r="O253" s="434"/>
      <c r="P253" s="445"/>
      <c r="Q253" s="726"/>
      <c r="R253" s="204"/>
      <c r="S253" s="52">
        <v>7066.93</v>
      </c>
      <c r="T253" s="52">
        <v>2287.0699999999997</v>
      </c>
      <c r="U253" s="52">
        <v>2178.5400000000009</v>
      </c>
      <c r="V253" s="52">
        <v>2588.8399999999983</v>
      </c>
      <c r="W253" s="137">
        <f>'[26]מאזן בוחן הודו'!W237</f>
        <v>3755.72</v>
      </c>
      <c r="X253" s="137">
        <f>'[27]מאזן בוחן הודו'!X237</f>
        <v>3706.43</v>
      </c>
      <c r="Y253" s="137">
        <f>'[28]מאזן בוחן הודו'!Y239</f>
        <v>3729.1400000000012</v>
      </c>
      <c r="Z253" s="137">
        <f>'[29]מאזן בוחן הודו'!Z243</f>
        <v>3664.33</v>
      </c>
      <c r="AA253" s="137">
        <f>'[30]מאזן בוחן הודו'!AA243</f>
        <v>3741.99</v>
      </c>
      <c r="AB253" s="137">
        <f>'[31]מאזן בוחן הודו'!AB238</f>
        <v>4109.489999999998</v>
      </c>
      <c r="AC253" s="137">
        <v>5597.9700000000012</v>
      </c>
      <c r="AD253" s="137">
        <v>6121.260000000002</v>
      </c>
      <c r="AE253" s="137">
        <v>6578.5599999999977</v>
      </c>
      <c r="AF253" s="137">
        <v>6220.5500000000029</v>
      </c>
      <c r="AG253" s="137">
        <v>6578.0599999999977</v>
      </c>
      <c r="AH253" s="137">
        <f>$K253-SUM($W253:AG253)</f>
        <v>6845.8000000000029</v>
      </c>
      <c r="AR253" s="52"/>
      <c r="AS253" s="52"/>
      <c r="AT253" s="52"/>
      <c r="AU253" s="141"/>
    </row>
    <row r="254" spans="1:47" s="137" customFormat="1">
      <c r="A254" s="406"/>
      <c r="B254" s="3659" t="s">
        <v>1100</v>
      </c>
      <c r="C254" s="1374">
        <v>6011020</v>
      </c>
      <c r="D254" s="40" t="s">
        <v>3666</v>
      </c>
      <c r="E254" s="79">
        <f>IFERROR(VLOOKUP(C254,'פ.נ. הודו'!$D$70:$G$1144,3,0),0)</f>
        <v>52667</v>
      </c>
      <c r="F254" s="170">
        <f>SUMIF('פ.נ. הודו'!$C:$C,$C:$C,'פ.נ. הודו'!$E:$E)</f>
        <v>0</v>
      </c>
      <c r="G254" s="398"/>
      <c r="H254" s="204"/>
      <c r="I254" s="79"/>
      <c r="J254" s="522">
        <f>SUM(E254:I254)</f>
        <v>52667</v>
      </c>
      <c r="K254" s="591">
        <f>M254+SUMIF('פ.נ. הודו'!$C:$C,$C:$C,'פ.נ. הודו'!$F:$F)</f>
        <v>717.63</v>
      </c>
      <c r="L254" s="52"/>
      <c r="M254" s="78">
        <f>IFERROR(VLOOKUP(C254,'פ.נ. הודו'!$D$70:$G$1144,4,0),0)</f>
        <v>717.63</v>
      </c>
      <c r="N254" s="4240">
        <f>IF(K254=0,"-",J254/K254)</f>
        <v>73.390187143792758</v>
      </c>
      <c r="O254" s="434"/>
      <c r="P254" s="445"/>
      <c r="Q254" s="726"/>
      <c r="R254" s="204"/>
      <c r="S254" s="52"/>
      <c r="T254" s="52"/>
      <c r="U254" s="52"/>
      <c r="V254" s="52"/>
      <c r="AA254" s="137">
        <f>'[30]מאזן בוחן הודו'!AA244</f>
        <v>0</v>
      </c>
      <c r="AB254" s="137">
        <f>'[31]מאזן בוחן הודו'!AB239</f>
        <v>313.62</v>
      </c>
      <c r="AC254" s="137">
        <v>0</v>
      </c>
      <c r="AD254" s="137">
        <v>0</v>
      </c>
      <c r="AE254" s="137">
        <v>404.01</v>
      </c>
      <c r="AF254" s="137">
        <v>0</v>
      </c>
      <c r="AG254" s="137">
        <v>0</v>
      </c>
      <c r="AH254" s="137">
        <f>$K254-SUM($W254:AG254)</f>
        <v>0</v>
      </c>
      <c r="AR254" s="52"/>
      <c r="AS254" s="52"/>
      <c r="AT254" s="52"/>
      <c r="AU254" s="141"/>
    </row>
    <row r="255" spans="1:47" s="137" customFormat="1">
      <c r="A255" s="406"/>
      <c r="B255" s="3659"/>
      <c r="C255" s="1374"/>
      <c r="D255" s="40"/>
      <c r="E255" s="79"/>
      <c r="F255" s="170"/>
      <c r="G255" s="398"/>
      <c r="H255" s="204"/>
      <c r="I255" s="79"/>
      <c r="J255" s="522"/>
      <c r="K255" s="591"/>
      <c r="L255" s="52"/>
      <c r="M255" s="78"/>
      <c r="N255" s="4240"/>
      <c r="O255" s="434"/>
      <c r="P255" s="445"/>
      <c r="Q255" s="726"/>
      <c r="R255" s="204"/>
      <c r="S255" s="52">
        <v>0</v>
      </c>
      <c r="T255" s="52">
        <v>0</v>
      </c>
      <c r="U255" s="52">
        <v>0</v>
      </c>
      <c r="V255" s="52">
        <v>-207.54</v>
      </c>
      <c r="W255" s="137">
        <f>'[26]מאזן בוחן הודו'!W238</f>
        <v>0</v>
      </c>
      <c r="X255" s="137">
        <f>'[27]מאזן בוחן הודו'!X238</f>
        <v>0</v>
      </c>
      <c r="Y255" s="137">
        <f>'[28]מאזן בוחן הודו'!Y240</f>
        <v>0</v>
      </c>
      <c r="Z255" s="137">
        <f>'[29]מאזן בוחן הודו'!Z244</f>
        <v>0</v>
      </c>
      <c r="AA255" s="137">
        <f>'[30]מאזן בוחן הודו'!AA245</f>
        <v>0</v>
      </c>
      <c r="AB255" s="137">
        <f>'[31]מאזן בוחן הודו'!AB240</f>
        <v>0</v>
      </c>
      <c r="AC255" s="137">
        <v>0</v>
      </c>
      <c r="AD255" s="137">
        <v>0</v>
      </c>
      <c r="AE255" s="137">
        <v>0</v>
      </c>
      <c r="AF255" s="137">
        <v>0</v>
      </c>
      <c r="AG255" s="137">
        <v>0</v>
      </c>
      <c r="AH255" s="137">
        <f>$K255-SUM($W255:AG255)</f>
        <v>0</v>
      </c>
      <c r="AR255" s="52"/>
      <c r="AS255" s="52"/>
      <c r="AT255" s="52"/>
      <c r="AU255" s="141"/>
    </row>
    <row r="256" spans="1:47" s="137" customFormat="1">
      <c r="A256" s="406"/>
      <c r="B256" s="3659" t="s">
        <v>1100</v>
      </c>
      <c r="C256" s="1374">
        <v>6011003</v>
      </c>
      <c r="D256" s="2215" t="s">
        <v>2721</v>
      </c>
      <c r="E256" s="79">
        <f>IFERROR(VLOOKUP(C256,'פ.נ. הודו'!$D$70:$G$1144,3,0),0)</f>
        <v>174161.16</v>
      </c>
      <c r="F256" s="170">
        <f>SUMIF('פ.נ. הודו'!$C:$C,$C:$C,'פ.נ. הודו'!$E:$E)</f>
        <v>0</v>
      </c>
      <c r="G256" s="398"/>
      <c r="H256" s="204"/>
      <c r="I256" s="79"/>
      <c r="J256" s="522">
        <f>SUM(E256:I256)</f>
        <v>174161.16</v>
      </c>
      <c r="K256" s="591">
        <f>M256+SUMIF('פ.נ. הודו'!$C:$C,$C:$C,'פ.נ. הודו'!$F:$F)</f>
        <v>2350.9</v>
      </c>
      <c r="L256" s="52"/>
      <c r="M256" s="78">
        <f>IFERROR(VLOOKUP(C256,'פ.נ. הודו'!$D$70:$G$1144,4,0),0)</f>
        <v>2350.9</v>
      </c>
      <c r="N256" s="4240">
        <f>IF(K256=0,"-",J256/K256)</f>
        <v>74.082759794121401</v>
      </c>
      <c r="O256" s="434"/>
      <c r="P256" s="445"/>
      <c r="Q256" s="726">
        <v>0</v>
      </c>
      <c r="R256" s="204">
        <v>0</v>
      </c>
      <c r="S256" s="52">
        <v>207.54</v>
      </c>
      <c r="T256" s="52">
        <v>0</v>
      </c>
      <c r="U256" s="52">
        <v>0</v>
      </c>
      <c r="V256" s="52">
        <v>0</v>
      </c>
      <c r="W256" s="137">
        <f>'[26]מאזן בוחן הודו'!W239</f>
        <v>0</v>
      </c>
      <c r="X256" s="137">
        <f>'[27]מאזן בוחן הודו'!X239</f>
        <v>0</v>
      </c>
      <c r="Y256" s="137">
        <f>'[28]מאזן בוחן הודו'!Y241</f>
        <v>375.81</v>
      </c>
      <c r="Z256" s="137">
        <f>'[29]מאזן בוחן הודו'!Z245</f>
        <v>0</v>
      </c>
      <c r="AA256" s="137">
        <f>'[30]מאזן בוחן הודו'!AA246</f>
        <v>0</v>
      </c>
      <c r="AB256" s="137">
        <f>'[31]מאזן בוחן הודו'!AB241</f>
        <v>520.53</v>
      </c>
      <c r="AC256" s="137">
        <v>0</v>
      </c>
      <c r="AD256" s="137">
        <v>0</v>
      </c>
      <c r="AE256" s="137">
        <v>535.01</v>
      </c>
      <c r="AF256" s="137">
        <v>0</v>
      </c>
      <c r="AG256" s="137">
        <v>0</v>
      </c>
      <c r="AH256" s="137">
        <f>$K256-SUM($W256:AG256)</f>
        <v>919.55000000000018</v>
      </c>
      <c r="AR256" s="52"/>
      <c r="AS256" s="52"/>
      <c r="AT256" s="52"/>
      <c r="AU256" s="141"/>
    </row>
    <row r="257" spans="1:47" s="137" customFormat="1">
      <c r="A257" s="406"/>
      <c r="B257" s="3659"/>
      <c r="C257" s="1374"/>
      <c r="D257" s="203"/>
      <c r="E257" s="79"/>
      <c r="F257" s="170"/>
      <c r="G257" s="398"/>
      <c r="H257" s="204"/>
      <c r="I257" s="79"/>
      <c r="J257" s="522"/>
      <c r="K257" s="591"/>
      <c r="L257" s="52"/>
      <c r="M257" s="78"/>
      <c r="N257" s="4240"/>
      <c r="O257" s="434"/>
      <c r="P257" s="445"/>
      <c r="Q257" s="726"/>
      <c r="R257" s="204"/>
      <c r="S257" s="52">
        <v>0</v>
      </c>
      <c r="T257" s="52">
        <v>0</v>
      </c>
      <c r="U257" s="52">
        <v>0</v>
      </c>
      <c r="V257" s="52">
        <v>0</v>
      </c>
      <c r="W257" s="137">
        <f>'[26]מאזן בוחן הודו'!W240</f>
        <v>0</v>
      </c>
      <c r="X257" s="137">
        <f>'[27]מאזן בוחן הודו'!X240</f>
        <v>0</v>
      </c>
      <c r="Y257" s="137">
        <f>'[28]מאזן בוחן הודו'!Y242</f>
        <v>0</v>
      </c>
      <c r="Z257" s="137">
        <f>'[29]מאזן בוחן הודו'!Z246</f>
        <v>0</v>
      </c>
      <c r="AA257" s="137">
        <f>'[30]מאזן בוחן הודו'!AA247</f>
        <v>0</v>
      </c>
      <c r="AB257" s="137">
        <f>'[31]מאזן בוחן הודו'!AB242</f>
        <v>0</v>
      </c>
      <c r="AC257" s="137">
        <v>0</v>
      </c>
      <c r="AD257" s="137">
        <v>0</v>
      </c>
      <c r="AE257" s="137">
        <v>0</v>
      </c>
      <c r="AF257" s="137">
        <v>0</v>
      </c>
      <c r="AG257" s="137">
        <v>0</v>
      </c>
      <c r="AH257" s="137">
        <f>$K257-SUM($W257:AG257)</f>
        <v>0</v>
      </c>
      <c r="AR257" s="52"/>
      <c r="AS257" s="52"/>
      <c r="AT257" s="52"/>
      <c r="AU257" s="141"/>
    </row>
    <row r="258" spans="1:47" s="137" customFormat="1">
      <c r="A258" s="406"/>
      <c r="B258" s="3668" t="s">
        <v>1450</v>
      </c>
      <c r="C258" s="1374">
        <v>6030001</v>
      </c>
      <c r="D258" s="203" t="s">
        <v>2716</v>
      </c>
      <c r="E258" s="79">
        <f>IFERROR(VLOOKUP(C258,'פ.נ. הודו'!$D$70:$G$1144,3,0),0)</f>
        <v>2584409.36</v>
      </c>
      <c r="F258" s="170">
        <f>SUMIF('פ.נ. הודו'!$C:$C,$C:$C,'פ.נ. הודו'!$E:$E)</f>
        <v>0</v>
      </c>
      <c r="G258" s="398"/>
      <c r="H258" s="204"/>
      <c r="I258" s="79"/>
      <c r="J258" s="522">
        <f>SUM(E258:I258)</f>
        <v>2584409.36</v>
      </c>
      <c r="K258" s="591">
        <f>M258+SUMIF('פ.נ. הודו'!$C:$C,$C:$C,'פ.נ. הודו'!$F:$F)</f>
        <v>34967.78</v>
      </c>
      <c r="L258" s="52"/>
      <c r="M258" s="78">
        <f>IFERROR(VLOOKUP(C258,'פ.נ. הודו'!$D$70:$G$1144,4,0),0)</f>
        <v>34967.78</v>
      </c>
      <c r="N258" s="4240">
        <f>IF(K258=0,"-",J258/K258)</f>
        <v>73.908305302767289</v>
      </c>
      <c r="O258" s="434"/>
      <c r="P258" s="445"/>
      <c r="Q258" s="726"/>
      <c r="R258" s="204">
        <v>0</v>
      </c>
      <c r="S258" s="52">
        <v>3177.2</v>
      </c>
      <c r="T258" s="52">
        <v>4274.4378233567486</v>
      </c>
      <c r="U258" s="52">
        <v>-1689.9105506294763</v>
      </c>
      <c r="V258" s="52">
        <v>1458.5327272727282</v>
      </c>
      <c r="W258" s="137">
        <f>'[26]מאזן בוחן הודו'!W241</f>
        <v>1236.0949999999998</v>
      </c>
      <c r="X258" s="137">
        <f>'[27]מאזן בוחן הודו'!X241</f>
        <v>2796.6734615384621</v>
      </c>
      <c r="Y258" s="137">
        <f>'[28]מאזן בוחן הודו'!Y243</f>
        <v>4572.3115384615376</v>
      </c>
      <c r="Z258" s="137">
        <f>'[29]מאזן בוחן הודו'!Z247</f>
        <v>2114.3029090909095</v>
      </c>
      <c r="AA258" s="137">
        <f>'[30]מאזן בוחן הודו'!AA248</f>
        <v>1819.9239330143537</v>
      </c>
      <c r="AB258" s="137">
        <f>'[31]מאזן בוחן הודו'!AB243</f>
        <v>2607.7231578947376</v>
      </c>
      <c r="AC258" s="137">
        <v>2507.2124999999996</v>
      </c>
      <c r="AD258" s="137">
        <v>3310.3688559322072</v>
      </c>
      <c r="AE258" s="137">
        <v>3688.9686440677942</v>
      </c>
      <c r="AF258" s="137">
        <v>3382.8899999999958</v>
      </c>
      <c r="AG258" s="137">
        <v>3069.0058730158744</v>
      </c>
      <c r="AH258" s="137">
        <f>$K258-SUM($W258:AG258)</f>
        <v>3862.3041269841269</v>
      </c>
      <c r="AR258" s="52"/>
      <c r="AS258" s="52"/>
      <c r="AT258" s="52"/>
      <c r="AU258" s="141"/>
    </row>
    <row r="259" spans="1:47" s="137" customFormat="1">
      <c r="A259" s="406"/>
      <c r="B259" s="3668"/>
      <c r="C259" s="1374"/>
      <c r="D259" s="40"/>
      <c r="E259" s="79"/>
      <c r="F259" s="170"/>
      <c r="G259" s="398"/>
      <c r="H259" s="204"/>
      <c r="I259" s="79"/>
      <c r="J259" s="522"/>
      <c r="K259" s="591"/>
      <c r="L259" s="52"/>
      <c r="M259" s="78"/>
      <c r="N259" s="4240"/>
      <c r="O259" s="434"/>
      <c r="P259" s="445"/>
      <c r="Q259" s="726"/>
      <c r="R259" s="204"/>
      <c r="S259" s="52"/>
      <c r="T259" s="52"/>
      <c r="U259" s="52"/>
      <c r="V259" s="52"/>
      <c r="W259" s="137">
        <f>'[26]מאזן בוחן הודו'!W242</f>
        <v>0</v>
      </c>
      <c r="X259" s="137">
        <f>'[27]מאזן בוחן הודו'!X242</f>
        <v>0</v>
      </c>
      <c r="Y259" s="137">
        <f>'[28]מאזן בוחן הודו'!Y244</f>
        <v>0</v>
      </c>
      <c r="Z259" s="137">
        <f>'[29]מאזן בוחן הודו'!Z248</f>
        <v>0</v>
      </c>
      <c r="AA259" s="137">
        <f>'[30]מאזן בוחן הודו'!AA249</f>
        <v>0</v>
      </c>
      <c r="AB259" s="137">
        <f>'[31]מאזן בוחן הודו'!AB244</f>
        <v>0</v>
      </c>
      <c r="AC259" s="137">
        <v>0</v>
      </c>
      <c r="AD259" s="137">
        <v>0</v>
      </c>
      <c r="AE259" s="137">
        <v>0</v>
      </c>
      <c r="AF259" s="137">
        <v>0</v>
      </c>
      <c r="AG259" s="137">
        <v>0</v>
      </c>
      <c r="AH259" s="137">
        <f>$K259-SUM($W259:AG259)</f>
        <v>0</v>
      </c>
      <c r="AR259" s="52"/>
      <c r="AS259" s="52"/>
      <c r="AT259" s="52"/>
      <c r="AU259" s="141"/>
    </row>
    <row r="260" spans="1:47" s="137" customFormat="1">
      <c r="A260" s="406"/>
      <c r="B260" s="3668"/>
      <c r="C260" s="1374"/>
      <c r="D260" s="1672" t="s">
        <v>2517</v>
      </c>
      <c r="E260" s="79"/>
      <c r="F260" s="170"/>
      <c r="G260" s="398"/>
      <c r="H260" s="204"/>
      <c r="I260" s="79"/>
      <c r="J260" s="522"/>
      <c r="K260" s="591"/>
      <c r="L260" s="52"/>
      <c r="M260" s="78"/>
      <c r="N260" s="4240"/>
      <c r="O260" s="434"/>
      <c r="P260" s="445"/>
      <c r="Q260" s="726"/>
      <c r="R260" s="204"/>
      <c r="S260" s="52"/>
      <c r="T260" s="52"/>
      <c r="U260" s="52"/>
      <c r="V260" s="52"/>
      <c r="W260" s="137">
        <f>'[26]מאזן בוחן הודו'!W243</f>
        <v>0</v>
      </c>
      <c r="X260" s="137">
        <f>'[27]מאזן בוחן הודו'!X243</f>
        <v>0</v>
      </c>
      <c r="Y260" s="137">
        <f>'[28]מאזן בוחן הודו'!Y245</f>
        <v>0</v>
      </c>
      <c r="Z260" s="137">
        <f>'[29]מאזן בוחן הודו'!Z249</f>
        <v>0</v>
      </c>
      <c r="AA260" s="137">
        <f>'[30]מאזן בוחן הודו'!AA250</f>
        <v>0</v>
      </c>
      <c r="AB260" s="137">
        <f>'[31]מאזן בוחן הודו'!AB245</f>
        <v>0</v>
      </c>
      <c r="AC260" s="137">
        <v>0</v>
      </c>
      <c r="AD260" s="137">
        <v>0</v>
      </c>
      <c r="AE260" s="137">
        <v>0</v>
      </c>
      <c r="AF260" s="137">
        <v>0</v>
      </c>
      <c r="AG260" s="137">
        <v>0</v>
      </c>
      <c r="AH260" s="137">
        <f>$K260-SUM($W260:AG260)</f>
        <v>0</v>
      </c>
      <c r="AR260" s="52"/>
      <c r="AS260" s="52"/>
      <c r="AT260" s="52"/>
      <c r="AU260" s="141"/>
    </row>
    <row r="261" spans="1:47" s="137" customFormat="1">
      <c r="A261" s="406"/>
      <c r="B261" s="3668" t="s">
        <v>1105</v>
      </c>
      <c r="C261" s="1374">
        <v>6021031</v>
      </c>
      <c r="D261" s="203" t="s">
        <v>3236</v>
      </c>
      <c r="E261" s="1202">
        <f>IFERROR(VLOOKUP(C261,'פ.נ. הודו'!$D$70:$G$1144,3,0),0)</f>
        <v>387555.48</v>
      </c>
      <c r="F261" s="170">
        <f>SUMIF('פ.נ. הודו'!$C:$C,$C:$C,'פ.נ. הודו'!$E:$E)</f>
        <v>0</v>
      </c>
      <c r="G261" s="398"/>
      <c r="H261" s="204"/>
      <c r="I261" s="79"/>
      <c r="J261" s="522">
        <f>SUM(E261:I261)</f>
        <v>387555.48</v>
      </c>
      <c r="K261" s="591">
        <f>M261+SUMIF('פ.נ. הודו'!$C:$C,$C:$C,'פ.נ. הודו'!$F:$F)</f>
        <v>5251.84</v>
      </c>
      <c r="L261" s="52"/>
      <c r="M261" s="78">
        <f>IFERROR(VLOOKUP(C261,'פ.נ. הודו'!$D$70:$G$1144,4,0),0)</f>
        <v>5251.84</v>
      </c>
      <c r="N261" s="4240">
        <f>IF(K261=0,"-",J261/K261)</f>
        <v>73.794228308554707</v>
      </c>
      <c r="O261" s="434"/>
      <c r="P261" s="445"/>
      <c r="Q261" s="726"/>
      <c r="R261" s="204"/>
      <c r="S261" s="52"/>
      <c r="T261" s="52"/>
      <c r="U261" s="52"/>
      <c r="V261" s="52"/>
      <c r="W261" s="137">
        <f>'[26]מאזן בוחן הודו'!W244</f>
        <v>301.88</v>
      </c>
      <c r="X261" s="137">
        <f>'[27]מאזן בוחן הודו'!X244</f>
        <v>777.62</v>
      </c>
      <c r="Y261" s="137">
        <f>'[28]מאזן בוחן הודו'!Y246</f>
        <v>300.40000000000009</v>
      </c>
      <c r="Z261" s="137">
        <f>'[29]מאזן בוחן הודו'!Z250</f>
        <v>0</v>
      </c>
      <c r="AA261" s="137">
        <f>'[30]מאזן בוחן הודו'!AA251</f>
        <v>677.9699999999998</v>
      </c>
      <c r="AB261" s="137">
        <f>'[31]מאזן בוחן הודו'!AB246</f>
        <v>915.47000000000025</v>
      </c>
      <c r="AC261" s="137">
        <v>194.03999999999996</v>
      </c>
      <c r="AD261" s="137">
        <v>102.42000000000007</v>
      </c>
      <c r="AE261" s="137">
        <v>231.48000000000002</v>
      </c>
      <c r="AF261" s="137">
        <v>259.06999999999971</v>
      </c>
      <c r="AG261" s="137">
        <v>147.67000000000007</v>
      </c>
      <c r="AH261" s="137">
        <f>$K261-SUM($W261:AG261)</f>
        <v>1343.8200000000002</v>
      </c>
      <c r="AR261" s="52"/>
      <c r="AS261" s="52"/>
      <c r="AT261" s="52"/>
      <c r="AU261" s="141"/>
    </row>
    <row r="262" spans="1:47" s="137" customFormat="1">
      <c r="A262" s="402"/>
      <c r="B262" s="3664"/>
      <c r="C262" s="1993"/>
      <c r="D262" s="1801"/>
      <c r="E262" s="170"/>
      <c r="F262" s="51"/>
      <c r="G262" s="399"/>
      <c r="H262" s="51"/>
      <c r="I262" s="399"/>
      <c r="J262" s="170"/>
      <c r="K262" s="98"/>
      <c r="L262" s="51"/>
      <c r="M262" s="98"/>
      <c r="N262" s="4241"/>
      <c r="O262" s="434"/>
      <c r="P262" s="445"/>
      <c r="Q262" s="726"/>
      <c r="R262" s="204">
        <v>0</v>
      </c>
      <c r="S262" s="52">
        <v>0</v>
      </c>
      <c r="T262" s="52">
        <v>0</v>
      </c>
      <c r="U262" s="52">
        <v>0</v>
      </c>
      <c r="V262" s="52">
        <v>1458.5327272727282</v>
      </c>
      <c r="W262" s="137">
        <f>'[26]מאזן בוחן הודו'!W245</f>
        <v>0</v>
      </c>
      <c r="X262" s="137">
        <f>'[27]מאזן בוחן הודו'!X245</f>
        <v>0</v>
      </c>
      <c r="Y262" s="137">
        <f>'[28]מאזן בוחן הודו'!Y247</f>
        <v>0</v>
      </c>
      <c r="Z262" s="137">
        <f>'[29]מאזן בוחן הודו'!Z251</f>
        <v>0</v>
      </c>
      <c r="AA262" s="137">
        <f>'[30]מאזן בוחן הודו'!AA252</f>
        <v>0</v>
      </c>
      <c r="AB262" s="137">
        <f>'[31]מאזן בוחן הודו'!AB247</f>
        <v>0</v>
      </c>
      <c r="AC262" s="137">
        <v>0</v>
      </c>
      <c r="AD262" s="137">
        <v>0</v>
      </c>
      <c r="AE262" s="137">
        <v>0</v>
      </c>
      <c r="AF262" s="137">
        <v>0</v>
      </c>
      <c r="AG262" s="137">
        <v>0</v>
      </c>
      <c r="AH262" s="137">
        <f>$K262-SUM($W262:AG262)</f>
        <v>0</v>
      </c>
      <c r="AR262" s="52"/>
      <c r="AS262" s="52"/>
      <c r="AT262" s="52"/>
      <c r="AU262" s="141"/>
    </row>
    <row r="263" spans="1:47" s="137" customFormat="1">
      <c r="A263" s="402"/>
      <c r="B263" s="3664"/>
      <c r="C263" s="1803"/>
      <c r="D263" s="757"/>
      <c r="E263" s="598">
        <f t="shared" ref="E263:K263" si="61">SUM(E251:E262)</f>
        <v>35544867.259999998</v>
      </c>
      <c r="F263" s="606">
        <f t="shared" si="61"/>
        <v>0</v>
      </c>
      <c r="G263" s="447">
        <f t="shared" si="61"/>
        <v>0</v>
      </c>
      <c r="H263" s="447">
        <f t="shared" si="61"/>
        <v>0</v>
      </c>
      <c r="I263" s="447">
        <f t="shared" si="61"/>
        <v>0</v>
      </c>
      <c r="J263" s="592">
        <f t="shared" si="61"/>
        <v>35544867.259999998</v>
      </c>
      <c r="K263" s="592">
        <f t="shared" si="61"/>
        <v>480687.22000000003</v>
      </c>
      <c r="L263" s="593"/>
      <c r="M263" s="598">
        <f>SUM(M251:M262)</f>
        <v>480687.22000000003</v>
      </c>
      <c r="N263" s="4241"/>
      <c r="O263" s="434"/>
      <c r="P263" s="445"/>
      <c r="Q263" s="726"/>
      <c r="R263" s="204">
        <v>27413.55</v>
      </c>
      <c r="S263" s="52">
        <v>23700.7</v>
      </c>
      <c r="T263" s="52">
        <v>19574.727823356749</v>
      </c>
      <c r="U263" s="52">
        <v>14236.919449370529</v>
      </c>
      <c r="V263" s="52">
        <v>0</v>
      </c>
      <c r="W263" s="137">
        <f>'[26]מאזן בוחן הודו'!W246</f>
        <v>25017.885000000002</v>
      </c>
      <c r="X263" s="137">
        <f>'[27]מאזן בוחן הודו'!X246</f>
        <v>32367.733461538461</v>
      </c>
      <c r="Y263" s="137">
        <f>'[28]מאזן בוחן הודו'!Y248</f>
        <v>35196.851538461524</v>
      </c>
      <c r="Z263" s="137">
        <f>'[29]מאזן בוחן הודו'!Z252</f>
        <v>30980.542909090902</v>
      </c>
      <c r="AA263" s="137">
        <f>'[30]מאזן בוחן הודו'!AA253</f>
        <v>33781.733933014373</v>
      </c>
      <c r="AB263" s="137">
        <f>'[31]מאזן בוחן הודו'!AB248</f>
        <v>33207.613157894724</v>
      </c>
      <c r="AC263" s="137">
        <v>40308.402499999997</v>
      </c>
      <c r="AD263" s="137">
        <v>43928.008855932247</v>
      </c>
      <c r="AE263" s="137">
        <v>46046.23864406778</v>
      </c>
      <c r="AF263" s="137">
        <v>45477.499999999884</v>
      </c>
      <c r="AG263" s="137">
        <v>45924.955873016035</v>
      </c>
      <c r="AH263" s="137">
        <f>$K263-SUM($W263:AG263)</f>
        <v>68449.754126984102</v>
      </c>
      <c r="AR263" s="52"/>
      <c r="AS263" s="52"/>
      <c r="AT263" s="52"/>
      <c r="AU263" s="141"/>
    </row>
    <row r="264" spans="1:47" s="137" customFormat="1">
      <c r="A264" s="402"/>
      <c r="B264" s="3664"/>
      <c r="C264" s="1998"/>
      <c r="D264" s="48"/>
      <c r="E264" s="398"/>
      <c r="F264" s="487"/>
      <c r="G264" s="97"/>
      <c r="H264" s="487"/>
      <c r="I264" s="97"/>
      <c r="J264" s="168"/>
      <c r="K264" s="97"/>
      <c r="L264" s="51"/>
      <c r="M264" s="604"/>
      <c r="N264" s="4241"/>
      <c r="O264" s="434"/>
      <c r="P264" s="445"/>
      <c r="Q264" s="726"/>
      <c r="R264" s="204">
        <v>0</v>
      </c>
      <c r="S264" s="52">
        <v>0</v>
      </c>
      <c r="T264" s="52">
        <v>0</v>
      </c>
      <c r="U264" s="52">
        <v>0</v>
      </c>
      <c r="V264" s="52">
        <v>19746.602727272722</v>
      </c>
      <c r="W264" s="137">
        <f>'[26]מאזן בוחן הודו'!W247</f>
        <v>0</v>
      </c>
      <c r="X264" s="137">
        <f>'[27]מאזן בוחן הודו'!X247</f>
        <v>0</v>
      </c>
      <c r="Y264" s="137">
        <f>'[28]מאזן בוחן הודו'!Y249</f>
        <v>0</v>
      </c>
      <c r="Z264" s="137">
        <f>'[29]מאזן בוחן הודו'!Z253</f>
        <v>0</v>
      </c>
      <c r="AA264" s="137">
        <f>'[30]מאזן בוחן הודו'!AA254</f>
        <v>0</v>
      </c>
      <c r="AB264" s="137">
        <f>'[31]מאזן בוחן הודו'!AB249</f>
        <v>0</v>
      </c>
      <c r="AC264" s="137">
        <v>0</v>
      </c>
      <c r="AD264" s="137">
        <v>0</v>
      </c>
      <c r="AE264" s="137">
        <v>0</v>
      </c>
      <c r="AF264" s="137">
        <v>0</v>
      </c>
      <c r="AG264" s="137">
        <v>0</v>
      </c>
      <c r="AH264" s="137">
        <f>$K264-SUM($W264:AG264)</f>
        <v>0</v>
      </c>
      <c r="AR264" s="52"/>
      <c r="AS264" s="52"/>
      <c r="AT264" s="52"/>
      <c r="AU264" s="141"/>
    </row>
    <row r="265" spans="1:47" s="137" customFormat="1">
      <c r="A265" s="402"/>
      <c r="B265" s="3664"/>
      <c r="C265" s="1998"/>
      <c r="D265" s="70" t="s">
        <v>254</v>
      </c>
      <c r="E265" s="398"/>
      <c r="F265" s="487"/>
      <c r="G265" s="97"/>
      <c r="H265" s="487"/>
      <c r="I265" s="97"/>
      <c r="J265" s="168"/>
      <c r="K265" s="97"/>
      <c r="L265" s="51"/>
      <c r="M265" s="604"/>
      <c r="N265" s="4241"/>
      <c r="O265" s="434"/>
      <c r="P265" s="445"/>
      <c r="Q265" s="726"/>
      <c r="R265" s="204">
        <v>0</v>
      </c>
      <c r="S265" s="52">
        <v>0</v>
      </c>
      <c r="T265" s="52">
        <v>0</v>
      </c>
      <c r="U265" s="52">
        <v>0</v>
      </c>
      <c r="V265" s="52">
        <v>0</v>
      </c>
      <c r="W265" s="137">
        <f>'[26]מאזן בוחן הודו'!W248</f>
        <v>0</v>
      </c>
      <c r="X265" s="137">
        <f>'[27]מאזן בוחן הודו'!X248</f>
        <v>0</v>
      </c>
      <c r="Y265" s="137">
        <f>'[28]מאזן בוחן הודו'!Y250</f>
        <v>0</v>
      </c>
      <c r="Z265" s="137">
        <f>'[29]מאזן בוחן הודו'!Z254</f>
        <v>0</v>
      </c>
      <c r="AA265" s="137">
        <f>'[30]מאזן בוחן הודו'!AA255</f>
        <v>0</v>
      </c>
      <c r="AB265" s="137">
        <f>'[31]מאזן בוחן הודו'!AB250</f>
        <v>0</v>
      </c>
      <c r="AC265" s="137">
        <v>0</v>
      </c>
      <c r="AD265" s="137">
        <v>0</v>
      </c>
      <c r="AE265" s="137">
        <v>0</v>
      </c>
      <c r="AF265" s="137">
        <v>0</v>
      </c>
      <c r="AG265" s="137">
        <v>0</v>
      </c>
      <c r="AH265" s="137">
        <f>$K265-SUM($W265:AG265)</f>
        <v>0</v>
      </c>
      <c r="AR265" s="52"/>
      <c r="AS265" s="52"/>
      <c r="AT265" s="52"/>
      <c r="AU265" s="141"/>
    </row>
    <row r="266" spans="1:47" s="137" customFormat="1">
      <c r="A266" s="402"/>
      <c r="B266" s="3659"/>
      <c r="C266" s="1998"/>
      <c r="D266" s="48"/>
      <c r="E266" s="398"/>
      <c r="F266" s="487"/>
      <c r="G266" s="97"/>
      <c r="H266" s="487"/>
      <c r="I266" s="97"/>
      <c r="J266" s="98"/>
      <c r="K266" s="809"/>
      <c r="L266" s="51"/>
      <c r="M266" s="604"/>
      <c r="N266" s="4241"/>
      <c r="O266" s="434"/>
      <c r="P266" s="445"/>
      <c r="Q266" s="726"/>
      <c r="R266" s="204">
        <v>0</v>
      </c>
      <c r="S266" s="52">
        <v>0</v>
      </c>
      <c r="T266" s="52">
        <v>0</v>
      </c>
      <c r="U266" s="52">
        <v>0</v>
      </c>
      <c r="V266" s="52">
        <v>0</v>
      </c>
      <c r="W266" s="137">
        <f>'[26]מאזן בוחן הודו'!W249</f>
        <v>0</v>
      </c>
      <c r="X266" s="137">
        <f>'[27]מאזן בוחן הודו'!X249</f>
        <v>0</v>
      </c>
      <c r="Y266" s="137">
        <f>'[28]מאזן בוחן הודו'!Y251</f>
        <v>0</v>
      </c>
      <c r="Z266" s="137">
        <f>'[29]מאזן בוחן הודו'!Z255</f>
        <v>0</v>
      </c>
      <c r="AA266" s="137">
        <f>'[30]מאזן בוחן הודו'!AA256</f>
        <v>0</v>
      </c>
      <c r="AB266" s="137">
        <f>'[31]מאזן בוחן הודו'!AB251</f>
        <v>0</v>
      </c>
      <c r="AC266" s="137">
        <v>0</v>
      </c>
      <c r="AD266" s="137">
        <v>0</v>
      </c>
      <c r="AE266" s="137">
        <v>0</v>
      </c>
      <c r="AF266" s="137">
        <v>0</v>
      </c>
      <c r="AG266" s="137">
        <v>0</v>
      </c>
      <c r="AH266" s="137">
        <f>$K266-SUM($W266:AG266)</f>
        <v>0</v>
      </c>
      <c r="AR266" s="52"/>
      <c r="AS266" s="52"/>
      <c r="AT266" s="52"/>
      <c r="AU266" s="141"/>
    </row>
    <row r="267" spans="1:47" s="137" customFormat="1">
      <c r="A267" s="402"/>
      <c r="B267" s="3659"/>
      <c r="C267" s="1998"/>
      <c r="D267" s="68" t="s">
        <v>578</v>
      </c>
      <c r="E267" s="398"/>
      <c r="F267" s="487"/>
      <c r="G267" s="97"/>
      <c r="H267" s="487"/>
      <c r="I267" s="97"/>
      <c r="J267" s="98"/>
      <c r="K267" s="809"/>
      <c r="L267" s="51"/>
      <c r="M267" s="604"/>
      <c r="N267" s="4241"/>
      <c r="O267" s="434"/>
      <c r="P267" s="445"/>
      <c r="Q267" s="726"/>
      <c r="R267" s="204">
        <v>0</v>
      </c>
      <c r="S267" s="52">
        <v>0</v>
      </c>
      <c r="T267" s="52">
        <v>0</v>
      </c>
      <c r="U267" s="52">
        <v>0</v>
      </c>
      <c r="V267" s="52">
        <v>0</v>
      </c>
      <c r="W267" s="137">
        <f>'[26]מאזן בוחן הודו'!W250</f>
        <v>0</v>
      </c>
      <c r="X267" s="137">
        <f>'[27]מאזן בוחן הודו'!X250</f>
        <v>0</v>
      </c>
      <c r="Y267" s="137">
        <f>'[28]מאזן בוחן הודו'!Y252</f>
        <v>0</v>
      </c>
      <c r="Z267" s="137">
        <f>'[29]מאזן בוחן הודו'!Z256</f>
        <v>0</v>
      </c>
      <c r="AA267" s="137">
        <f>'[30]מאזן בוחן הודו'!AA257</f>
        <v>0</v>
      </c>
      <c r="AB267" s="137">
        <f>'[31]מאזן בוחן הודו'!AB252</f>
        <v>0</v>
      </c>
      <c r="AC267" s="137">
        <v>0</v>
      </c>
      <c r="AD267" s="137">
        <v>0</v>
      </c>
      <c r="AE267" s="137">
        <v>0</v>
      </c>
      <c r="AF267" s="137">
        <v>0</v>
      </c>
      <c r="AG267" s="137">
        <v>0</v>
      </c>
      <c r="AH267" s="137">
        <f>$K267-SUM($W267:AG267)</f>
        <v>0</v>
      </c>
      <c r="AR267" s="52"/>
      <c r="AS267" s="52"/>
      <c r="AT267" s="52"/>
      <c r="AU267" s="141"/>
    </row>
    <row r="268" spans="1:47" s="137" customFormat="1">
      <c r="A268" s="402"/>
      <c r="B268" s="3659"/>
      <c r="C268" s="1998"/>
      <c r="D268" s="48"/>
      <c r="E268" s="398"/>
      <c r="F268" s="487"/>
      <c r="G268" s="97"/>
      <c r="H268" s="487"/>
      <c r="I268" s="97"/>
      <c r="J268" s="605"/>
      <c r="K268" s="1719"/>
      <c r="L268" s="51"/>
      <c r="M268" s="604"/>
      <c r="N268" s="4241"/>
      <c r="O268" s="434"/>
      <c r="P268" s="445"/>
      <c r="Q268" s="726"/>
      <c r="R268" s="204">
        <v>0</v>
      </c>
      <c r="S268" s="52">
        <v>0</v>
      </c>
      <c r="T268" s="52">
        <v>0</v>
      </c>
      <c r="U268" s="52">
        <v>0</v>
      </c>
      <c r="V268" s="52">
        <v>0</v>
      </c>
      <c r="W268" s="137">
        <f>'[26]מאזן בוחן הודו'!W251</f>
        <v>0</v>
      </c>
      <c r="X268" s="137">
        <f>'[27]מאזן בוחן הודו'!X251</f>
        <v>0</v>
      </c>
      <c r="Y268" s="137">
        <f>'[28]מאזן בוחן הודו'!Y253</f>
        <v>0</v>
      </c>
      <c r="Z268" s="137">
        <f>'[29]מאזן בוחן הודו'!Z257</f>
        <v>0</v>
      </c>
      <c r="AA268" s="137">
        <f>'[30]מאזן בוחן הודו'!AA258</f>
        <v>0</v>
      </c>
      <c r="AB268" s="137">
        <f>'[31]מאזן בוחן הודו'!AB253</f>
        <v>0</v>
      </c>
      <c r="AC268" s="137">
        <v>0</v>
      </c>
      <c r="AD268" s="137">
        <v>0</v>
      </c>
      <c r="AE268" s="137">
        <v>0</v>
      </c>
      <c r="AF268" s="137">
        <v>0</v>
      </c>
      <c r="AG268" s="137">
        <v>0</v>
      </c>
      <c r="AH268" s="137">
        <f>$K268-SUM($W268:AG268)</f>
        <v>0</v>
      </c>
      <c r="AR268" s="52"/>
      <c r="AS268" s="52"/>
      <c r="AT268" s="52"/>
      <c r="AU268" s="141"/>
    </row>
    <row r="269" spans="1:47" s="137" customFormat="1">
      <c r="A269" s="402"/>
      <c r="B269" s="3659"/>
      <c r="C269" s="1998"/>
      <c r="D269" s="68" t="s">
        <v>219</v>
      </c>
      <c r="E269" s="398"/>
      <c r="F269" s="487"/>
      <c r="G269" s="97"/>
      <c r="H269" s="487"/>
      <c r="I269" s="97"/>
      <c r="J269" s="605"/>
      <c r="K269" s="1719"/>
      <c r="L269" s="51"/>
      <c r="M269" s="604"/>
      <c r="N269" s="4241"/>
      <c r="O269" s="434"/>
      <c r="P269" s="445"/>
      <c r="Q269" s="726"/>
      <c r="R269" s="204">
        <v>0</v>
      </c>
      <c r="S269" s="52">
        <v>0</v>
      </c>
      <c r="T269" s="52">
        <v>0</v>
      </c>
      <c r="U269" s="52">
        <v>0</v>
      </c>
      <c r="V269" s="52">
        <v>0</v>
      </c>
      <c r="W269" s="137">
        <f>'[26]מאזן בוחן הודו'!W252</f>
        <v>0</v>
      </c>
      <c r="X269" s="137">
        <f>'[27]מאזן בוחן הודו'!X252</f>
        <v>0</v>
      </c>
      <c r="Y269" s="137">
        <f>'[28]מאזן בוחן הודו'!Y254</f>
        <v>0</v>
      </c>
      <c r="Z269" s="137">
        <f>'[29]מאזן בוחן הודו'!Z258</f>
        <v>0</v>
      </c>
      <c r="AA269" s="137">
        <f>'[30]מאזן בוחן הודו'!AA259</f>
        <v>0</v>
      </c>
      <c r="AB269" s="137">
        <f>'[31]מאזן בוחן הודו'!AB254</f>
        <v>0</v>
      </c>
      <c r="AC269" s="137">
        <v>0</v>
      </c>
      <c r="AD269" s="137">
        <v>0</v>
      </c>
      <c r="AE269" s="137">
        <v>0</v>
      </c>
      <c r="AF269" s="137">
        <v>0</v>
      </c>
      <c r="AG269" s="137">
        <v>0</v>
      </c>
      <c r="AH269" s="137">
        <f>$K269-SUM($W269:AG269)</f>
        <v>0</v>
      </c>
      <c r="AR269" s="52"/>
      <c r="AS269" s="52"/>
      <c r="AT269" s="52"/>
      <c r="AU269" s="141"/>
    </row>
    <row r="270" spans="1:47" s="137" customFormat="1">
      <c r="A270" s="406"/>
      <c r="B270" s="3659" t="s">
        <v>1137</v>
      </c>
      <c r="C270" s="1374">
        <v>7110001</v>
      </c>
      <c r="D270" s="203" t="s">
        <v>2582</v>
      </c>
      <c r="E270" s="79">
        <f>IFERROR(VLOOKUP(C270,'פ.נ. הודו'!$D$70:$G$1144,3,0),0)</f>
        <v>11394195</v>
      </c>
      <c r="F270" s="170">
        <f>SUMIF('פ.נ. הודו'!$C:$C,$C:$C,'פ.נ. הודו'!$E:$E)</f>
        <v>0</v>
      </c>
      <c r="G270" s="398"/>
      <c r="H270" s="204"/>
      <c r="I270" s="79"/>
      <c r="J270" s="1753">
        <f t="shared" ref="J270:J275" si="62">SUM(E270:I270)</f>
        <v>11394195</v>
      </c>
      <c r="K270" s="474">
        <f>M270+SUMIF('פ.נ. הודו'!$C:$C,$C:$C,'פ.נ. הודו'!$F:$F)</f>
        <v>154333.59</v>
      </c>
      <c r="L270" s="52"/>
      <c r="M270" s="78">
        <f>IFERROR(VLOOKUP(C270,'פ.נ. הודו'!$D$70:$G$1144,4,0),0)</f>
        <v>154333.59</v>
      </c>
      <c r="N270" s="4240">
        <f t="shared" ref="N270:N275" si="63">IF(K270=0,"-",J270/K270)</f>
        <v>73.828354540317505</v>
      </c>
      <c r="O270" s="434"/>
      <c r="P270" s="445"/>
      <c r="Q270" s="726">
        <v>10608.86</v>
      </c>
      <c r="R270" s="204">
        <v>10937.95</v>
      </c>
      <c r="S270" s="52">
        <v>10699.119999999999</v>
      </c>
      <c r="T270" s="52">
        <v>11754.440000000002</v>
      </c>
      <c r="U270" s="52">
        <v>12706.169999999998</v>
      </c>
      <c r="V270" s="52">
        <v>12812.379999999997</v>
      </c>
      <c r="W270" s="137">
        <f>'[26]מאזן בוחן הודו'!W253</f>
        <v>12861</v>
      </c>
      <c r="X270" s="137">
        <f>'[27]מאזן בוחן הודו'!X253</f>
        <v>13110.740000000002</v>
      </c>
      <c r="Y270" s="137">
        <f>'[28]מאזן בוחן הודו'!Y255</f>
        <v>13524.709999999995</v>
      </c>
      <c r="Z270" s="137">
        <f>'[29]מאזן בוחן הודו'!Z259</f>
        <v>13043.150000000001</v>
      </c>
      <c r="AA270" s="137">
        <f>'[30]מאזן בוחן הודו'!AA260</f>
        <v>13369.010000000002</v>
      </c>
      <c r="AB270" s="137">
        <f>'[31]מאזן בוחן הודו'!AB255</f>
        <v>13034.990000000005</v>
      </c>
      <c r="AC270" s="137">
        <v>13052.069999999992</v>
      </c>
      <c r="AD270" s="137">
        <v>13225.029999999999</v>
      </c>
      <c r="AE270" s="137">
        <v>13040.680000000008</v>
      </c>
      <c r="AF270" s="137">
        <v>12948.139999999985</v>
      </c>
      <c r="AG270" s="137">
        <v>12869.970000000001</v>
      </c>
      <c r="AH270" s="137">
        <f>$K270-SUM($W270:AG270)</f>
        <v>10254.100000000006</v>
      </c>
      <c r="AR270" s="52"/>
      <c r="AS270" s="52"/>
      <c r="AT270" s="52"/>
      <c r="AU270" s="141"/>
    </row>
    <row r="271" spans="1:47" s="137" customFormat="1">
      <c r="A271" s="406"/>
      <c r="B271" s="3659" t="s">
        <v>1137</v>
      </c>
      <c r="C271" s="1374">
        <v>7110004</v>
      </c>
      <c r="D271" s="203" t="s">
        <v>2583</v>
      </c>
      <c r="E271" s="79">
        <f>IFERROR(VLOOKUP(C271,'פ.נ. הודו'!$D$70:$G$1144,3,0),0)</f>
        <v>13484120</v>
      </c>
      <c r="F271" s="170">
        <f>SUMIF('פ.נ. הודו'!$C:$C,$C:$C,'פ.נ. הודו'!$E:$E)</f>
        <v>0</v>
      </c>
      <c r="G271" s="398"/>
      <c r="H271" s="204"/>
      <c r="I271" s="79"/>
      <c r="J271" s="1753">
        <f t="shared" si="62"/>
        <v>13484120</v>
      </c>
      <c r="K271" s="474">
        <f>M271+SUMIF('פ.נ. הודו'!$C:$C,$C:$C,'פ.נ. הודו'!$F:$F)</f>
        <v>182459.98</v>
      </c>
      <c r="L271" s="52"/>
      <c r="M271" s="78">
        <f>IFERROR(VLOOKUP(C271,'פ.נ. הודו'!$D$70:$G$1144,4,0),0)</f>
        <v>182459.98</v>
      </c>
      <c r="N271" s="4240">
        <f t="shared" si="63"/>
        <v>73.901794793576101</v>
      </c>
      <c r="O271" s="434"/>
      <c r="P271" s="445"/>
      <c r="Q271" s="2540">
        <v>21462.01</v>
      </c>
      <c r="R271" s="2541">
        <v>1216.9300000000003</v>
      </c>
      <c r="S271" s="2542">
        <v>0</v>
      </c>
      <c r="T271" s="2542">
        <v>37602.149999999994</v>
      </c>
      <c r="U271" s="2542">
        <v>0</v>
      </c>
      <c r="V271" s="2542">
        <v>0</v>
      </c>
      <c r="W271" s="2549">
        <f>'[26]מאזן בוחן הודו'!W254</f>
        <v>56863.93</v>
      </c>
      <c r="X271" s="2549">
        <f>'[27]מאזן בוחן הודו'!X254</f>
        <v>0</v>
      </c>
      <c r="Y271" s="2549">
        <f>'[28]מאזן בוחן הודו'!Y256</f>
        <v>0</v>
      </c>
      <c r="Z271" s="2549">
        <f>'[29]מאזן בוחן הודו'!Z260</f>
        <v>42583.63</v>
      </c>
      <c r="AA271" s="2549">
        <f>'[30]מאזן בוחן הודו'!AA261</f>
        <v>0</v>
      </c>
      <c r="AB271" s="2549">
        <f>'[31]מאזן בוחן הודו'!AB256</f>
        <v>0</v>
      </c>
      <c r="AC271" s="2549">
        <v>39916.420000000013</v>
      </c>
      <c r="AD271" s="2549">
        <v>0</v>
      </c>
      <c r="AE271" s="2549">
        <v>0</v>
      </c>
      <c r="AF271" s="2549">
        <v>39462.549999999988</v>
      </c>
      <c r="AG271" s="2549">
        <v>3633.4500000000116</v>
      </c>
      <c r="AH271" s="2549">
        <f>$K271-SUM($W271:AG271)</f>
        <v>0</v>
      </c>
      <c r="AI271" s="2549"/>
      <c r="AJ271" s="2549"/>
      <c r="AK271" s="2549"/>
      <c r="AL271" s="2549"/>
      <c r="AM271" s="2549"/>
      <c r="AN271" s="2549"/>
      <c r="AO271" s="2549"/>
      <c r="AP271" s="2549"/>
      <c r="AQ271" s="2549"/>
      <c r="AR271" s="52"/>
      <c r="AS271" s="52"/>
      <c r="AT271" s="52"/>
      <c r="AU271" s="141"/>
    </row>
    <row r="272" spans="1:47" s="137" customFormat="1">
      <c r="A272" s="406"/>
      <c r="B272" s="3659" t="s">
        <v>1137</v>
      </c>
      <c r="C272" s="1374">
        <v>7110005</v>
      </c>
      <c r="D272" s="203" t="s">
        <v>2584</v>
      </c>
      <c r="E272" s="79">
        <f>IFERROR(VLOOKUP(C272,'פ.נ. הודו'!$D$70:$G$1144,3,0),0)</f>
        <v>606221</v>
      </c>
      <c r="F272" s="170">
        <f>SUMIF('פ.נ. הודו'!$C:$C,$C:$C,'פ.נ. הודו'!$E:$E)</f>
        <v>0</v>
      </c>
      <c r="G272" s="398"/>
      <c r="H272" s="204"/>
      <c r="I272" s="79"/>
      <c r="J272" s="1753">
        <f t="shared" si="62"/>
        <v>606221</v>
      </c>
      <c r="K272" s="474">
        <f>M272+SUMIF('פ.נ. הודו'!$C:$C,$C:$C,'פ.נ. הודו'!$F:$F)</f>
        <v>8278.57</v>
      </c>
      <c r="L272" s="52"/>
      <c r="M272" s="78">
        <f>IFERROR(VLOOKUP(C272,'פ.נ. הודו'!$D$70:$G$1144,4,0),0)</f>
        <v>8278.57</v>
      </c>
      <c r="N272" s="4240">
        <f t="shared" si="63"/>
        <v>73.227743438782298</v>
      </c>
      <c r="O272" s="434"/>
      <c r="P272" s="445"/>
      <c r="Q272" s="726">
        <v>100</v>
      </c>
      <c r="R272" s="204">
        <v>51.139999999999986</v>
      </c>
      <c r="S272" s="52">
        <v>0</v>
      </c>
      <c r="T272" s="52">
        <v>34.620000000000005</v>
      </c>
      <c r="U272" s="52">
        <v>1410.89</v>
      </c>
      <c r="V272" s="52">
        <v>0</v>
      </c>
      <c r="W272" s="137">
        <f>'[26]מאזן בוחן הודו'!W255</f>
        <v>0</v>
      </c>
      <c r="X272" s="137">
        <f>'[27]מאזן בוחן הודו'!X255</f>
        <v>0</v>
      </c>
      <c r="Y272" s="137">
        <f>'[28]מאזן בוחן הודו'!Y257</f>
        <v>616.12</v>
      </c>
      <c r="Z272" s="137">
        <f>'[29]מאזן בוחן הודו'!Z261</f>
        <v>0</v>
      </c>
      <c r="AA272" s="137">
        <f>'[30]מאזן בוחן הודו'!AA262</f>
        <v>0</v>
      </c>
      <c r="AB272" s="137">
        <f>'[31]מאזן בוחן הודו'!AB257</f>
        <v>0</v>
      </c>
      <c r="AC272" s="137">
        <v>0</v>
      </c>
      <c r="AD272" s="137">
        <v>7627.7</v>
      </c>
      <c r="AE272" s="137">
        <v>0</v>
      </c>
      <c r="AF272" s="137">
        <v>34.75</v>
      </c>
      <c r="AG272" s="137">
        <v>0</v>
      </c>
      <c r="AH272" s="137">
        <f>$K272-SUM($W272:AG272)</f>
        <v>0</v>
      </c>
      <c r="AR272" s="52"/>
      <c r="AS272" s="52"/>
      <c r="AT272" s="52"/>
      <c r="AU272" s="141"/>
    </row>
    <row r="273" spans="1:47" s="137" customFormat="1" ht="13.5" thickBot="1">
      <c r="A273" s="406"/>
      <c r="B273" s="3659" t="s">
        <v>1137</v>
      </c>
      <c r="C273" s="1374">
        <v>7110002</v>
      </c>
      <c r="D273" s="203" t="s">
        <v>2762</v>
      </c>
      <c r="E273" s="79">
        <f>IFERROR(VLOOKUP(C273,'פ.נ. הודו'!$D$70:$G$1144,3,0),0)</f>
        <v>697774.78</v>
      </c>
      <c r="F273" s="170">
        <f>SUMIF('פ.נ. הודו'!$C:$C,$C:$C,'פ.נ. הודו'!$E:$E)</f>
        <v>0</v>
      </c>
      <c r="G273" s="398"/>
      <c r="H273" s="204"/>
      <c r="I273" s="79"/>
      <c r="J273" s="1753">
        <f t="shared" si="62"/>
        <v>697774.78</v>
      </c>
      <c r="K273" s="474">
        <f>M273+SUMIF('פ.נ. הודו'!$C:$C,$C:$C,'פ.נ. הודו'!$F:$F)</f>
        <v>9436.49</v>
      </c>
      <c r="L273" s="52"/>
      <c r="M273" s="78">
        <f>IFERROR(VLOOKUP(C273,'פ.נ. הודו'!$D$70:$G$1144,4,0),0)</f>
        <v>9436.49</v>
      </c>
      <c r="N273" s="4240">
        <f t="shared" si="63"/>
        <v>73.944314040495996</v>
      </c>
      <c r="O273" s="434"/>
      <c r="P273" s="2844" t="s">
        <v>2831</v>
      </c>
      <c r="Q273" s="726"/>
      <c r="R273" s="204"/>
      <c r="S273" s="52">
        <v>10019.15</v>
      </c>
      <c r="T273" s="52">
        <v>0</v>
      </c>
      <c r="U273" s="52">
        <v>0</v>
      </c>
      <c r="V273" s="52">
        <v>-543.44000000000051</v>
      </c>
      <c r="W273" s="137">
        <f>'[26]מאזן בוחן הודו'!W256</f>
        <v>0</v>
      </c>
      <c r="X273" s="137">
        <f>'[27]מאזן בוחן הודו'!X256</f>
        <v>4.47</v>
      </c>
      <c r="Y273" s="137">
        <f>'[28]מאזן בוחן הודו'!Y258</f>
        <v>3412.8500000000004</v>
      </c>
      <c r="Z273" s="137">
        <f>'[29]מאזן בוחן הודו'!Z262</f>
        <v>0</v>
      </c>
      <c r="AA273" s="137">
        <f>'[30]מאזן בוחן הודו'!AA263</f>
        <v>0</v>
      </c>
      <c r="AB273" s="137">
        <f>'[31]מאזן בוחן הודו'!AB258</f>
        <v>3453.8299999999995</v>
      </c>
      <c r="AC273" s="137">
        <v>0</v>
      </c>
      <c r="AD273" s="137">
        <v>0</v>
      </c>
      <c r="AE273" s="137">
        <v>3412.83</v>
      </c>
      <c r="AF273" s="137">
        <v>0</v>
      </c>
      <c r="AG273" s="137">
        <v>0</v>
      </c>
      <c r="AH273" s="137">
        <f>$K273-SUM($W273:AG273)</f>
        <v>-847.48999999999978</v>
      </c>
      <c r="AR273" s="52"/>
      <c r="AS273" s="52"/>
      <c r="AT273" s="52"/>
      <c r="AU273" s="141"/>
    </row>
    <row r="274" spans="1:47" s="137" customFormat="1" ht="13.5" thickBot="1">
      <c r="A274" s="406"/>
      <c r="B274" s="3659" t="s">
        <v>1137</v>
      </c>
      <c r="C274" s="1374">
        <v>7110003</v>
      </c>
      <c r="D274" s="203" t="s">
        <v>744</v>
      </c>
      <c r="E274" s="1753">
        <f>IFERROR(VLOOKUP(C274,'פ.נ. הודו'!$D$70:$G$1144,3,0),0)</f>
        <v>4806764.58</v>
      </c>
      <c r="F274" s="170">
        <f>SUMIF('פ.נ. הודו'!$C:$C,$C:$C,'פ.נ. הודו'!$E:$E)</f>
        <v>0</v>
      </c>
      <c r="G274" s="398"/>
      <c r="H274" s="204"/>
      <c r="I274" s="79"/>
      <c r="J274" s="1753">
        <f t="shared" si="62"/>
        <v>4806764.58</v>
      </c>
      <c r="K274" s="474">
        <f>M274+SUMIF('פ.נ. הודו'!$C:$C,$C:$C,'פ.נ. הודו'!$F:$F)</f>
        <v>63510.35</v>
      </c>
      <c r="L274" s="956">
        <f>AP274</f>
        <v>-41.849999999980355</v>
      </c>
      <c r="M274" s="78">
        <f>IFERROR(VLOOKUP(C274,'פ.נ. הודו'!$D$70:$G$1144,4,0),0)</f>
        <v>63510.35</v>
      </c>
      <c r="N274" s="4240">
        <f t="shared" si="63"/>
        <v>75.684743982673695</v>
      </c>
      <c r="O274" s="434"/>
      <c r="P274" s="445"/>
      <c r="Q274" s="2540"/>
      <c r="R274" s="2541"/>
      <c r="S274" s="2542">
        <v>45812.42</v>
      </c>
      <c r="T274" s="2542">
        <v>-45383.03</v>
      </c>
      <c r="U274" s="2542">
        <v>5.6843418860808015E-13</v>
      </c>
      <c r="V274" s="2542">
        <v>64090.78</v>
      </c>
      <c r="W274" s="2549">
        <f>'[26]מאזן בוחן הודו'!W257</f>
        <v>-64333.95</v>
      </c>
      <c r="X274" s="2549">
        <f>'[27]מאזן בוחן הודו'!X257</f>
        <v>0</v>
      </c>
      <c r="Y274" s="2549">
        <f>'[28]מאזן בוחן הודו'!Y259</f>
        <v>51366.009999999995</v>
      </c>
      <c r="Z274" s="2549">
        <f>'[29]מאזן בוחן הודו'!Z263</f>
        <v>-51366.009999999995</v>
      </c>
      <c r="AA274" s="2549">
        <f>'[30]מאזן בוחן הודו'!AA264</f>
        <v>0</v>
      </c>
      <c r="AB274" s="2549">
        <f>'[31]מאזן בוחן הודו'!AB259</f>
        <v>55171.429999999993</v>
      </c>
      <c r="AC274" s="2549">
        <v>-48751.429999999993</v>
      </c>
      <c r="AD274" s="2549">
        <v>0</v>
      </c>
      <c r="AE274" s="2549">
        <v>49679.799999999996</v>
      </c>
      <c r="AF274" s="2549">
        <v>-49679.799999999996</v>
      </c>
      <c r="AG274" s="2549">
        <v>-3633.4500000000044</v>
      </c>
      <c r="AH274" s="2549">
        <f>$K274-SUM($W274:AG274)</f>
        <v>125057.75</v>
      </c>
      <c r="AI274" s="2549"/>
      <c r="AJ274" s="2549"/>
      <c r="AK274" s="2549"/>
      <c r="AL274" s="2549"/>
      <c r="AM274" s="2549"/>
      <c r="AN274" s="2549"/>
      <c r="AO274" s="2549"/>
      <c r="AP274" s="956">
        <f>AC271+AC274+AC288</f>
        <v>-41.849999999980355</v>
      </c>
      <c r="AQ274" s="2549"/>
      <c r="AS274" s="52"/>
      <c r="AT274" s="52"/>
      <c r="AU274" s="141"/>
    </row>
    <row r="275" spans="1:47" s="137" customFormat="1">
      <c r="A275" s="406"/>
      <c r="B275" s="3659" t="s">
        <v>1137</v>
      </c>
      <c r="C275" s="1374">
        <v>7110007</v>
      </c>
      <c r="D275" s="203" t="s">
        <v>2827</v>
      </c>
      <c r="E275" s="79">
        <f>IFERROR(VLOOKUP(C275,'פ.נ. הודו'!$D$70:$G$1144,3,0),0)</f>
        <v>2159872</v>
      </c>
      <c r="F275" s="170">
        <f>SUMIF('פ.נ. הודו'!$C:$C,$C:$C,'פ.נ. הודו'!$E:$E)</f>
        <v>0</v>
      </c>
      <c r="G275" s="398"/>
      <c r="H275" s="204"/>
      <c r="I275" s="79"/>
      <c r="J275" s="1753">
        <f t="shared" si="62"/>
        <v>2159872</v>
      </c>
      <c r="K275" s="474">
        <f>M275+SUMIF('פ.נ. הודו'!$C:$C,$C:$C,'פ.נ. הודו'!$F:$F)</f>
        <v>29259.97</v>
      </c>
      <c r="L275" s="52"/>
      <c r="M275" s="78">
        <f>IFERROR(VLOOKUP(C275,'פ.נ. הודו'!$D$70:$G$1144,4,0),0)</f>
        <v>29259.97</v>
      </c>
      <c r="N275" s="4240">
        <f t="shared" si="63"/>
        <v>73.816617036859569</v>
      </c>
      <c r="O275" s="434"/>
      <c r="P275" s="445"/>
      <c r="Q275" s="726"/>
      <c r="R275" s="204"/>
      <c r="S275" s="52">
        <v>38161.440000000002</v>
      </c>
      <c r="T275" s="52">
        <v>-26936.640000000003</v>
      </c>
      <c r="U275" s="52">
        <v>2614.25</v>
      </c>
      <c r="V275" s="52">
        <v>2588.84</v>
      </c>
      <c r="W275" s="137">
        <f>'[26]מאזן בוחן הודו'!W258</f>
        <v>2503.81</v>
      </c>
      <c r="X275" s="137">
        <f>'[27]מאזן בוחן הודו'!X258</f>
        <v>2470.9600000000005</v>
      </c>
      <c r="Y275" s="137">
        <f>'[28]מאזן בוחן הודו'!Y260</f>
        <v>2486.1099999999997</v>
      </c>
      <c r="Z275" s="137">
        <f>'[29]מאזן בוחן הודו'!Z264</f>
        <v>2442.8900000000003</v>
      </c>
      <c r="AA275" s="137">
        <f>'[30]מאזן בוחן הודו'!AA265</f>
        <v>2494.6499999999996</v>
      </c>
      <c r="AB275" s="137">
        <f>'[31]מאזן בוחן הודו'!AB260</f>
        <v>2465.7000000000007</v>
      </c>
      <c r="AC275" s="137">
        <v>2583.6799999999985</v>
      </c>
      <c r="AD275" s="137">
        <v>2623.4000000000015</v>
      </c>
      <c r="AE275" s="137">
        <v>2631.4300000000003</v>
      </c>
      <c r="AF275" s="137">
        <v>2488.2299999999996</v>
      </c>
      <c r="AG275" s="137">
        <v>2055.6399999999994</v>
      </c>
      <c r="AH275" s="137">
        <f>$K275-SUM($W275:AG275)</f>
        <v>2013.4700000000012</v>
      </c>
      <c r="AR275" s="52"/>
      <c r="AS275" s="52"/>
      <c r="AT275" s="52"/>
      <c r="AU275" s="141"/>
    </row>
    <row r="276" spans="1:47" s="137" customFormat="1">
      <c r="A276" s="406"/>
      <c r="B276" s="3659" t="s">
        <v>1137</v>
      </c>
      <c r="C276" s="1374">
        <v>7111007</v>
      </c>
      <c r="D276" s="203" t="s">
        <v>3667</v>
      </c>
      <c r="E276" s="79">
        <f>IFERROR(VLOOKUP(C276,'פ.נ. הודו'!$D$70:$G$1144,3,0),0)</f>
        <v>141100</v>
      </c>
      <c r="F276" s="170">
        <f>SUMIF('פ.נ. הודו'!$C:$C,$C:$C,'פ.נ. הודו'!$E:$E)</f>
        <v>0</v>
      </c>
      <c r="G276" s="398"/>
      <c r="H276" s="204"/>
      <c r="I276" s="79"/>
      <c r="J276" s="1753">
        <f>SUM(E276:I276)</f>
        <v>141100</v>
      </c>
      <c r="K276" s="474">
        <f>M276+SUMIF('פ.נ. הודו'!$C:$C,$C:$C,'פ.נ. הודו'!$F:$F)</f>
        <v>1920.3</v>
      </c>
      <c r="L276" s="52"/>
      <c r="M276" s="78">
        <f>IFERROR(VLOOKUP(C276,'פ.נ. הודו'!$D$70:$G$1144,4,0),0)</f>
        <v>1920.3</v>
      </c>
      <c r="N276" s="4240">
        <f>IF(K276=0,"-",J276/K276)</f>
        <v>73.478102379836486</v>
      </c>
      <c r="O276" s="434"/>
      <c r="P276" s="445"/>
      <c r="Q276" s="726"/>
      <c r="R276" s="204"/>
      <c r="S276" s="52"/>
      <c r="T276" s="52"/>
      <c r="U276" s="52"/>
      <c r="V276" s="52"/>
      <c r="AA276" s="137">
        <f>'[30]מאזן בוחן הודו'!AA266</f>
        <v>0</v>
      </c>
      <c r="AB276" s="137">
        <f>'[31]מאזן בוחן הודו'!AB261</f>
        <v>1099.04</v>
      </c>
      <c r="AC276" s="137">
        <v>0</v>
      </c>
      <c r="AD276" s="137">
        <v>0</v>
      </c>
      <c r="AE276" s="137">
        <v>0</v>
      </c>
      <c r="AF276" s="137">
        <v>0</v>
      </c>
      <c r="AG276" s="137">
        <v>821.26</v>
      </c>
      <c r="AH276" s="137">
        <f>$K276-SUM($W276:AG276)</f>
        <v>0</v>
      </c>
      <c r="AR276" s="52"/>
      <c r="AS276" s="52"/>
      <c r="AT276" s="52"/>
      <c r="AU276" s="141"/>
    </row>
    <row r="277" spans="1:47" s="137" customFormat="1">
      <c r="A277" s="406"/>
      <c r="B277" s="3659"/>
      <c r="C277" s="1374"/>
      <c r="D277" s="203"/>
      <c r="E277" s="79"/>
      <c r="F277" s="170"/>
      <c r="G277" s="398"/>
      <c r="H277" s="204"/>
      <c r="I277" s="79"/>
      <c r="J277" s="1753"/>
      <c r="K277" s="474"/>
      <c r="L277" s="52"/>
      <c r="M277" s="78"/>
      <c r="N277" s="4240"/>
      <c r="O277" s="434"/>
      <c r="P277" s="445"/>
      <c r="Q277" s="726"/>
      <c r="R277" s="204"/>
      <c r="S277" s="52">
        <v>0</v>
      </c>
      <c r="T277" s="52">
        <v>0</v>
      </c>
      <c r="U277" s="52">
        <v>0</v>
      </c>
      <c r="V277" s="52">
        <v>0</v>
      </c>
      <c r="W277" s="137">
        <f>'[26]מאזן בוחן הודו'!W259</f>
        <v>0</v>
      </c>
      <c r="X277" s="137">
        <f>'[27]מאזן בוחן הודו'!X259</f>
        <v>0</v>
      </c>
      <c r="Y277" s="137">
        <f>'[28]מאזן בוחן הודו'!Y261</f>
        <v>0</v>
      </c>
      <c r="Z277" s="137">
        <f>'[29]מאזן בוחן הודו'!Z265</f>
        <v>0</v>
      </c>
      <c r="AA277" s="137">
        <f>'[30]מאזן בוחן הודו'!AA267</f>
        <v>0</v>
      </c>
      <c r="AB277" s="137">
        <f>'[31]מאזן בוחן הודו'!AB262</f>
        <v>0</v>
      </c>
      <c r="AC277" s="137">
        <v>0</v>
      </c>
      <c r="AD277" s="137">
        <v>0</v>
      </c>
      <c r="AE277" s="137">
        <v>0</v>
      </c>
      <c r="AF277" s="137">
        <v>0</v>
      </c>
      <c r="AG277" s="137">
        <v>0</v>
      </c>
      <c r="AH277" s="137">
        <f>$K277-SUM($W277:AG277)</f>
        <v>0</v>
      </c>
      <c r="AR277" s="52"/>
      <c r="AS277" s="52"/>
      <c r="AT277" s="52"/>
      <c r="AU277" s="141"/>
    </row>
    <row r="278" spans="1:47" s="137" customFormat="1">
      <c r="A278" s="406"/>
      <c r="B278" s="3659"/>
      <c r="C278" s="1374"/>
      <c r="D278" s="203"/>
      <c r="E278" s="79"/>
      <c r="F278" s="170"/>
      <c r="G278" s="398"/>
      <c r="H278" s="204"/>
      <c r="I278" s="79"/>
      <c r="J278" s="1753"/>
      <c r="K278" s="474"/>
      <c r="L278" s="52"/>
      <c r="M278" s="78"/>
      <c r="N278" s="4240"/>
      <c r="O278" s="434"/>
      <c r="P278" s="445"/>
      <c r="Q278" s="726"/>
      <c r="R278" s="204"/>
      <c r="S278" s="52">
        <v>0</v>
      </c>
      <c r="T278" s="52">
        <v>0</v>
      </c>
      <c r="U278" s="52">
        <v>0</v>
      </c>
      <c r="V278" s="52">
        <v>0</v>
      </c>
      <c r="W278" s="137">
        <f>'[26]מאזן בוחן הודו'!W260</f>
        <v>0</v>
      </c>
      <c r="X278" s="137">
        <f>'[27]מאזן בוחן הודו'!X260</f>
        <v>0</v>
      </c>
      <c r="Y278" s="137">
        <f>'[28]מאזן בוחן הודו'!Y262</f>
        <v>0</v>
      </c>
      <c r="Z278" s="137">
        <f>'[29]מאזן בוחן הודו'!Z266</f>
        <v>0</v>
      </c>
      <c r="AA278" s="137">
        <f>'[30]מאזן בוחן הודו'!AA268</f>
        <v>0</v>
      </c>
      <c r="AB278" s="137">
        <f>'[31]מאזן בוחן הודו'!AB263</f>
        <v>0</v>
      </c>
      <c r="AC278" s="137">
        <v>0</v>
      </c>
      <c r="AD278" s="137">
        <v>0</v>
      </c>
      <c r="AE278" s="137">
        <v>0</v>
      </c>
      <c r="AF278" s="137">
        <v>0</v>
      </c>
      <c r="AG278" s="137">
        <v>0</v>
      </c>
      <c r="AH278" s="137">
        <f>$K278-SUM($W278:AG278)</f>
        <v>0</v>
      </c>
      <c r="AR278" s="52"/>
      <c r="AS278" s="52"/>
      <c r="AT278" s="52"/>
      <c r="AU278" s="141"/>
    </row>
    <row r="279" spans="1:47" s="137" customFormat="1">
      <c r="A279" s="406"/>
      <c r="B279" s="3659" t="s">
        <v>1137</v>
      </c>
      <c r="C279" s="1374">
        <v>7110006</v>
      </c>
      <c r="D279" s="203" t="s">
        <v>1433</v>
      </c>
      <c r="E279" s="79">
        <f>IFERROR(VLOOKUP(C279,'פ.נ. הודו'!$D$70:$G$1144,3,0),0)</f>
        <v>571334.56000000006</v>
      </c>
      <c r="F279" s="170">
        <f>SUMIF('פ.נ. הודו'!$C:$C,$C:$C,'פ.נ. הודו'!$E:$E)</f>
        <v>0</v>
      </c>
      <c r="G279" s="398"/>
      <c r="H279" s="204"/>
      <c r="I279" s="79"/>
      <c r="J279" s="1753">
        <f>SUM(E279:I279)</f>
        <v>571334.56000000006</v>
      </c>
      <c r="K279" s="474">
        <f>M279+SUMIF('פ.נ. הודו'!$C:$C,$C:$C,'פ.נ. הודו'!$F:$F)</f>
        <v>7716.36</v>
      </c>
      <c r="L279" s="52"/>
      <c r="M279" s="78">
        <f>IFERROR(VLOOKUP(C279,'פ.נ. הודו'!$D$70:$G$1144,4,0),0)</f>
        <v>7716.36</v>
      </c>
      <c r="N279" s="4240">
        <f>IF(K279=0,"-",J279/K279)</f>
        <v>74.041978342119876</v>
      </c>
      <c r="O279" s="434"/>
      <c r="P279" s="445"/>
      <c r="Q279" s="726">
        <v>0</v>
      </c>
      <c r="R279" s="204">
        <v>0</v>
      </c>
      <c r="S279" s="52">
        <v>906.21</v>
      </c>
      <c r="T279" s="52">
        <v>0</v>
      </c>
      <c r="U279" s="52">
        <v>0</v>
      </c>
      <c r="V279" s="52">
        <v>1087.71</v>
      </c>
      <c r="W279" s="137">
        <f>'[26]מאזן בוחן הודו'!W261</f>
        <v>0</v>
      </c>
      <c r="X279" s="137">
        <f>'[27]מאזן בוחן הודו'!X261</f>
        <v>0</v>
      </c>
      <c r="Y279" s="137">
        <f>'[28]מאזן בוחן הודו'!Y263</f>
        <v>1466.3</v>
      </c>
      <c r="Z279" s="137">
        <f>'[29]מאזן בוחן הודו'!Z267</f>
        <v>0</v>
      </c>
      <c r="AA279" s="137">
        <f>'[30]מאזן בוחן הודו'!AA269</f>
        <v>0</v>
      </c>
      <c r="AB279" s="137">
        <f>'[31]מאזן בוחן הודו'!AB264</f>
        <v>1934.14</v>
      </c>
      <c r="AC279" s="137">
        <v>0</v>
      </c>
      <c r="AD279" s="137">
        <v>0</v>
      </c>
      <c r="AE279" s="137">
        <v>2254.5300000000002</v>
      </c>
      <c r="AF279" s="137">
        <v>0</v>
      </c>
      <c r="AG279" s="137">
        <v>0</v>
      </c>
      <c r="AH279" s="137">
        <f>$K279-SUM($W279:AG279)</f>
        <v>2061.3899999999994</v>
      </c>
      <c r="AR279" s="52"/>
      <c r="AS279" s="52"/>
      <c r="AT279" s="52"/>
      <c r="AU279" s="141"/>
    </row>
    <row r="280" spans="1:47" s="137" customFormat="1">
      <c r="A280" s="406"/>
      <c r="B280" s="3659"/>
      <c r="C280" s="1374"/>
      <c r="D280" s="203"/>
      <c r="E280" s="79"/>
      <c r="F280" s="170"/>
      <c r="G280" s="398"/>
      <c r="H280" s="204"/>
      <c r="I280" s="79"/>
      <c r="J280" s="1753"/>
      <c r="K280" s="474"/>
      <c r="L280" s="52"/>
      <c r="M280" s="78"/>
      <c r="N280" s="4240"/>
      <c r="O280" s="434"/>
      <c r="P280" s="445"/>
      <c r="Q280" s="726"/>
      <c r="R280" s="204">
        <v>0</v>
      </c>
      <c r="S280" s="52">
        <v>0</v>
      </c>
      <c r="T280" s="52">
        <v>0</v>
      </c>
      <c r="U280" s="52">
        <v>0</v>
      </c>
      <c r="V280" s="52">
        <v>0</v>
      </c>
      <c r="W280" s="137">
        <f>'[26]מאזן בוחן הודו'!W262</f>
        <v>0</v>
      </c>
      <c r="X280" s="137">
        <f>'[27]מאזן בוחן הודו'!X262</f>
        <v>0</v>
      </c>
      <c r="Y280" s="137">
        <f>'[28]מאזן בוחן הודו'!Y264</f>
        <v>0</v>
      </c>
      <c r="Z280" s="137">
        <f>'[29]מאזן בוחן הודו'!Z268</f>
        <v>0</v>
      </c>
      <c r="AA280" s="137">
        <f>'[30]מאזן בוחן הודו'!AA270</f>
        <v>0</v>
      </c>
      <c r="AB280" s="137">
        <f>'[31]מאזן בוחן הודו'!AB265</f>
        <v>0</v>
      </c>
      <c r="AC280" s="137">
        <v>0</v>
      </c>
      <c r="AD280" s="137">
        <v>0</v>
      </c>
      <c r="AE280" s="137">
        <v>0</v>
      </c>
      <c r="AF280" s="137">
        <v>0</v>
      </c>
      <c r="AG280" s="137">
        <v>0</v>
      </c>
      <c r="AH280" s="137">
        <f>$K280-SUM($W280:AG280)</f>
        <v>0</v>
      </c>
      <c r="AR280" s="52"/>
      <c r="AS280" s="52"/>
      <c r="AT280" s="52"/>
      <c r="AU280" s="141"/>
    </row>
    <row r="281" spans="1:47" s="137" customFormat="1">
      <c r="A281" s="406"/>
      <c r="B281" s="3659"/>
      <c r="C281" s="1374"/>
      <c r="D281" s="68" t="s">
        <v>2517</v>
      </c>
      <c r="E281" s="79"/>
      <c r="F281" s="170"/>
      <c r="G281" s="398"/>
      <c r="H281" s="204"/>
      <c r="I281" s="79"/>
      <c r="J281" s="1753"/>
      <c r="K281" s="474"/>
      <c r="L281" s="52"/>
      <c r="M281" s="78"/>
      <c r="N281" s="4240"/>
      <c r="O281" s="434"/>
      <c r="P281" s="445"/>
      <c r="Q281" s="726"/>
      <c r="R281" s="204">
        <v>0</v>
      </c>
      <c r="S281" s="52">
        <v>0</v>
      </c>
      <c r="T281" s="52">
        <v>0</v>
      </c>
      <c r="U281" s="52">
        <v>0</v>
      </c>
      <c r="V281" s="52">
        <v>0</v>
      </c>
      <c r="W281" s="137">
        <f>'[26]מאזן בוחן הודו'!W263</f>
        <v>0</v>
      </c>
      <c r="X281" s="137">
        <f>'[27]מאזן בוחן הודו'!X263</f>
        <v>0</v>
      </c>
      <c r="Y281" s="137">
        <f>'[28]מאזן בוחן הודו'!Y265</f>
        <v>0</v>
      </c>
      <c r="Z281" s="137">
        <f>'[29]מאזן בוחן הודו'!Z269</f>
        <v>0</v>
      </c>
      <c r="AA281" s="137">
        <f>'[30]מאזן בוחן הודו'!AA271</f>
        <v>0</v>
      </c>
      <c r="AB281" s="137">
        <f>'[31]מאזן בוחן הודו'!AB266</f>
        <v>0</v>
      </c>
      <c r="AC281" s="137">
        <v>0</v>
      </c>
      <c r="AD281" s="137">
        <v>0</v>
      </c>
      <c r="AE281" s="137">
        <v>0</v>
      </c>
      <c r="AF281" s="137">
        <v>0</v>
      </c>
      <c r="AG281" s="137">
        <v>0</v>
      </c>
      <c r="AH281" s="137">
        <f>$K281-SUM($W281:AG281)</f>
        <v>0</v>
      </c>
      <c r="AR281" s="52"/>
      <c r="AS281" s="52"/>
      <c r="AT281" s="52"/>
      <c r="AU281" s="141"/>
    </row>
    <row r="282" spans="1:47" s="137" customFormat="1">
      <c r="A282" s="406"/>
      <c r="B282" s="3659" t="s">
        <v>563</v>
      </c>
      <c r="C282" s="1374">
        <v>7120030</v>
      </c>
      <c r="D282" s="203" t="s">
        <v>1153</v>
      </c>
      <c r="E282" s="79">
        <f>IFERROR(VLOOKUP(C282,'פ.נ. הודו'!$D$70:$G$1144,3,0),0)</f>
        <v>574891.93000000005</v>
      </c>
      <c r="F282" s="170">
        <f>SUMIF('פ.נ. הודו'!$C:$C,$C:$C,'פ.נ. הודו'!$E:$E)</f>
        <v>0</v>
      </c>
      <c r="G282" s="398"/>
      <c r="H282" s="204"/>
      <c r="I282" s="79"/>
      <c r="J282" s="1753">
        <f>SUM(E282:I282)</f>
        <v>574891.93000000005</v>
      </c>
      <c r="K282" s="474">
        <f>M282+SUMIF('פ.נ. הודו'!$C:$C,$C:$C,'פ.נ. הודו'!$F:$F)</f>
        <v>7752.75</v>
      </c>
      <c r="L282" s="439"/>
      <c r="M282" s="1628">
        <f>IFERROR(VLOOKUP(C282,'פ.נ. הודו'!$D$70:$G$1144,4,0),0)</f>
        <v>7752.75</v>
      </c>
      <c r="N282" s="4240">
        <f>IF(K282=0,"-",J282/K282)</f>
        <v>74.153291412724528</v>
      </c>
      <c r="O282" s="434"/>
      <c r="P282" s="2561"/>
      <c r="Q282" s="726">
        <v>570.59</v>
      </c>
      <c r="R282" s="204">
        <v>279.53999999999996</v>
      </c>
      <c r="S282" s="52">
        <v>-750.1</v>
      </c>
      <c r="T282" s="52">
        <v>1529.2</v>
      </c>
      <c r="U282" s="52">
        <v>0</v>
      </c>
      <c r="V282" s="52">
        <v>201.88999999999987</v>
      </c>
      <c r="W282" s="137">
        <f>'[26]מאזן בוחן הודו'!W264</f>
        <v>427.88</v>
      </c>
      <c r="X282" s="137">
        <f>'[27]מאזן בוחן הודו'!X264</f>
        <v>0</v>
      </c>
      <c r="Y282" s="137">
        <f>'[28]מאזן בוחן הודו'!Y266</f>
        <v>262.71000000000004</v>
      </c>
      <c r="Z282" s="137">
        <f>'[29]מאזן בוחן הודו'!Z270</f>
        <v>125.32999999999993</v>
      </c>
      <c r="AA282" s="137">
        <f>'[30]מאזן בוחן הודו'!AA272</f>
        <v>397.22000000000014</v>
      </c>
      <c r="AB282" s="137">
        <f>'[31]מאזן בוחן הודו'!AB267</f>
        <v>1008.97</v>
      </c>
      <c r="AC282" s="137">
        <v>191.75999999999976</v>
      </c>
      <c r="AD282" s="137">
        <v>0</v>
      </c>
      <c r="AE282" s="137">
        <v>104.07000000000016</v>
      </c>
      <c r="AF282" s="137">
        <v>1593.8799999999997</v>
      </c>
      <c r="AG282" s="137">
        <v>0</v>
      </c>
      <c r="AH282" s="137">
        <f>$K282-SUM($W282:AG282)</f>
        <v>3640.9300000000003</v>
      </c>
      <c r="AR282" s="52"/>
      <c r="AS282" s="52"/>
      <c r="AT282" s="52"/>
      <c r="AU282" s="141"/>
    </row>
    <row r="283" spans="1:47" s="137" customFormat="1">
      <c r="A283" s="406"/>
      <c r="B283" s="3659"/>
      <c r="C283" s="1374"/>
      <c r="D283" s="45"/>
      <c r="E283" s="79"/>
      <c r="F283" s="170"/>
      <c r="G283" s="398"/>
      <c r="H283" s="204"/>
      <c r="I283" s="79"/>
      <c r="J283" s="1753"/>
      <c r="K283" s="474"/>
      <c r="L283" s="52"/>
      <c r="M283" s="78"/>
      <c r="N283" s="4240"/>
      <c r="O283" s="434"/>
      <c r="P283" s="445"/>
      <c r="Q283" s="726"/>
      <c r="R283" s="204">
        <v>0</v>
      </c>
      <c r="S283" s="52">
        <v>0</v>
      </c>
      <c r="T283" s="52">
        <v>0</v>
      </c>
      <c r="U283" s="52">
        <v>0</v>
      </c>
      <c r="V283" s="52">
        <v>0</v>
      </c>
      <c r="W283" s="137">
        <f>'[26]מאזן בוחן הודו'!W265</f>
        <v>0</v>
      </c>
      <c r="X283" s="137">
        <f>'[27]מאזן בוחן הודו'!X265</f>
        <v>0</v>
      </c>
      <c r="Y283" s="137">
        <f>'[28]מאזן בוחן הודו'!Y267</f>
        <v>0</v>
      </c>
      <c r="Z283" s="137">
        <f>'[29]מאזן בוחן הודו'!Z271</f>
        <v>0</v>
      </c>
      <c r="AA283" s="137">
        <f>'[30]מאזן בוחן הודו'!AA273</f>
        <v>0</v>
      </c>
      <c r="AB283" s="137">
        <f>'[31]מאזן בוחן הודו'!AB268</f>
        <v>0</v>
      </c>
      <c r="AC283" s="137">
        <v>0</v>
      </c>
      <c r="AD283" s="137">
        <v>0</v>
      </c>
      <c r="AE283" s="137">
        <v>0</v>
      </c>
      <c r="AF283" s="137">
        <v>0</v>
      </c>
      <c r="AG283" s="137">
        <v>0</v>
      </c>
      <c r="AH283" s="137">
        <f>$K283-SUM($W283:AG283)</f>
        <v>0</v>
      </c>
      <c r="AR283" s="52"/>
      <c r="AS283" s="52"/>
      <c r="AT283" s="52"/>
      <c r="AU283" s="141"/>
    </row>
    <row r="284" spans="1:47" s="137" customFormat="1">
      <c r="A284" s="406"/>
      <c r="B284" s="3659"/>
      <c r="C284" s="1374"/>
      <c r="D284" s="68" t="s">
        <v>1827</v>
      </c>
      <c r="E284" s="79"/>
      <c r="F284" s="170"/>
      <c r="G284" s="398"/>
      <c r="H284" s="204"/>
      <c r="I284" s="79"/>
      <c r="J284" s="1753"/>
      <c r="K284" s="474"/>
      <c r="L284" s="52"/>
      <c r="M284" s="78"/>
      <c r="N284" s="4240"/>
      <c r="O284" s="434"/>
      <c r="P284" s="445"/>
      <c r="Q284" s="726"/>
      <c r="R284" s="204">
        <v>0</v>
      </c>
      <c r="S284" s="52">
        <v>0</v>
      </c>
      <c r="T284" s="52">
        <v>0</v>
      </c>
      <c r="U284" s="52">
        <v>0</v>
      </c>
      <c r="V284" s="52">
        <v>0</v>
      </c>
      <c r="W284" s="137">
        <f>'[26]מאזן בוחן הודו'!W266</f>
        <v>0</v>
      </c>
      <c r="X284" s="137">
        <f>'[27]מאזן בוחן הודו'!X266</f>
        <v>0</v>
      </c>
      <c r="Y284" s="137">
        <f>'[28]מאזן בוחן הודו'!Y268</f>
        <v>0</v>
      </c>
      <c r="Z284" s="137">
        <f>'[29]מאזן בוחן הודו'!Z272</f>
        <v>0</v>
      </c>
      <c r="AA284" s="137">
        <f>'[30]מאזן בוחן הודו'!AA274</f>
        <v>0</v>
      </c>
      <c r="AB284" s="137">
        <f>'[31]מאזן בוחן הודו'!AB269</f>
        <v>0</v>
      </c>
      <c r="AC284" s="137">
        <v>0</v>
      </c>
      <c r="AD284" s="137">
        <v>0</v>
      </c>
      <c r="AE284" s="137">
        <v>0</v>
      </c>
      <c r="AF284" s="137">
        <v>0</v>
      </c>
      <c r="AG284" s="137">
        <v>0</v>
      </c>
      <c r="AH284" s="137">
        <f>$K284-SUM($W284:AG284)</f>
        <v>0</v>
      </c>
      <c r="AR284" s="52"/>
      <c r="AS284" s="52"/>
      <c r="AT284" s="52"/>
      <c r="AU284" s="141"/>
    </row>
    <row r="285" spans="1:47" s="137" customFormat="1">
      <c r="A285" s="406"/>
      <c r="B285" s="3659"/>
      <c r="C285" s="1374"/>
      <c r="D285" s="68"/>
      <c r="E285" s="79"/>
      <c r="F285" s="170"/>
      <c r="G285" s="398"/>
      <c r="H285" s="204"/>
      <c r="I285" s="79"/>
      <c r="J285" s="1753"/>
      <c r="K285" s="474"/>
      <c r="L285" s="52"/>
      <c r="M285" s="78"/>
      <c r="N285" s="4240"/>
      <c r="O285" s="434"/>
      <c r="P285" s="445"/>
      <c r="Q285" s="726"/>
      <c r="R285" s="204">
        <v>0</v>
      </c>
      <c r="S285" s="52">
        <v>0</v>
      </c>
      <c r="T285" s="52">
        <v>0</v>
      </c>
      <c r="U285" s="52">
        <v>0</v>
      </c>
      <c r="V285" s="52">
        <v>0</v>
      </c>
      <c r="W285" s="137">
        <f>'[26]מאזן בוחן הודו'!W267</f>
        <v>0</v>
      </c>
      <c r="X285" s="137">
        <f>'[27]מאזן בוחן הודו'!X267</f>
        <v>0</v>
      </c>
      <c r="Y285" s="137">
        <f>'[28]מאזן בוחן הודו'!Y269</f>
        <v>0</v>
      </c>
      <c r="Z285" s="137">
        <f>'[29]מאזן בוחן הודו'!Z273</f>
        <v>0</v>
      </c>
      <c r="AA285" s="137">
        <f>'[30]מאזן בוחן הודו'!AA275</f>
        <v>0</v>
      </c>
      <c r="AB285" s="137">
        <f>'[31]מאזן בוחן הודו'!AB270</f>
        <v>0</v>
      </c>
      <c r="AC285" s="137">
        <v>0</v>
      </c>
      <c r="AD285" s="137">
        <v>0</v>
      </c>
      <c r="AE285" s="137">
        <v>0</v>
      </c>
      <c r="AF285" s="137">
        <v>0</v>
      </c>
      <c r="AG285" s="137">
        <v>0</v>
      </c>
      <c r="AH285" s="137">
        <f>$K285-SUM($W285:AG285)</f>
        <v>0</v>
      </c>
      <c r="AR285" s="52"/>
      <c r="AS285" s="52"/>
      <c r="AT285" s="52"/>
      <c r="AU285" s="141"/>
    </row>
    <row r="286" spans="1:47" s="137" customFormat="1">
      <c r="A286" s="406"/>
      <c r="B286" s="3659"/>
      <c r="C286" s="1374"/>
      <c r="E286" s="79"/>
      <c r="F286" s="170"/>
      <c r="G286" s="398"/>
      <c r="H286" s="204"/>
      <c r="I286" s="79"/>
      <c r="J286" s="1753"/>
      <c r="K286" s="474"/>
      <c r="L286" s="52"/>
      <c r="M286" s="78"/>
      <c r="N286" s="4240"/>
      <c r="O286" s="434"/>
      <c r="P286" s="445"/>
      <c r="Q286" s="726"/>
      <c r="R286" s="204">
        <v>0</v>
      </c>
      <c r="S286" s="52">
        <v>0</v>
      </c>
      <c r="T286" s="52">
        <v>0</v>
      </c>
      <c r="U286" s="52">
        <v>0</v>
      </c>
      <c r="V286" s="52">
        <v>0</v>
      </c>
      <c r="W286" s="137">
        <f>'[26]מאזן בוחן הודו'!W268</f>
        <v>0</v>
      </c>
      <c r="X286" s="137">
        <f>'[27]מאזן בוחן הודו'!X268</f>
        <v>0</v>
      </c>
      <c r="Y286" s="137">
        <f>'[28]מאזן בוחן הודו'!Y270</f>
        <v>0</v>
      </c>
      <c r="Z286" s="137">
        <f>'[29]מאזן בוחן הודו'!Z274</f>
        <v>0</v>
      </c>
      <c r="AA286" s="137">
        <f>'[30]מאזן בוחן הודו'!AA276</f>
        <v>0</v>
      </c>
      <c r="AB286" s="137">
        <f>'[31]מאזן בוחן הודו'!AB271</f>
        <v>0</v>
      </c>
      <c r="AC286" s="137">
        <v>0</v>
      </c>
      <c r="AD286" s="137">
        <v>0</v>
      </c>
      <c r="AE286" s="137">
        <v>0</v>
      </c>
      <c r="AF286" s="137">
        <v>0</v>
      </c>
      <c r="AG286" s="137">
        <v>0</v>
      </c>
      <c r="AH286" s="137">
        <f>$K286-SUM($W286:AG286)</f>
        <v>0</v>
      </c>
      <c r="AR286" s="52"/>
      <c r="AS286" s="52"/>
      <c r="AT286" s="52"/>
      <c r="AU286" s="141"/>
    </row>
    <row r="287" spans="1:47" s="137" customFormat="1">
      <c r="A287" s="406"/>
      <c r="B287" s="3659" t="s">
        <v>1156</v>
      </c>
      <c r="C287" s="1374">
        <v>7140001</v>
      </c>
      <c r="D287" s="203" t="s">
        <v>1157</v>
      </c>
      <c r="E287" s="79">
        <f>IFERROR(VLOOKUP(C287,'פ.נ. הודו'!$D$70:$G$1144,3,0),0)</f>
        <v>5563231</v>
      </c>
      <c r="F287" s="170">
        <f>SUMIF('פ.נ. הודו'!$C:$C,$C:$C,'פ.נ. הודו'!$E:$E)</f>
        <v>0</v>
      </c>
      <c r="G287" s="398"/>
      <c r="H287" s="204"/>
      <c r="I287" s="79"/>
      <c r="J287" s="1753">
        <f>SUM(E287:I287)</f>
        <v>5563231</v>
      </c>
      <c r="K287" s="474">
        <f>M287+SUMIF('פ.נ. הודו'!$C:$C,$C:$C,'פ.נ. הודו'!$F:$F)</f>
        <v>75342.38</v>
      </c>
      <c r="L287" s="52"/>
      <c r="M287" s="78">
        <f>IFERROR(VLOOKUP(C287,'פ.נ. הודו'!$D$70:$G$1144,4,0),0)</f>
        <v>75342.38</v>
      </c>
      <c r="N287" s="4240">
        <f>IF(K287=0,"-",J287/K287)</f>
        <v>73.839331860766805</v>
      </c>
      <c r="O287" s="434"/>
      <c r="P287" s="445"/>
      <c r="Q287" s="726">
        <v>5934.29</v>
      </c>
      <c r="R287" s="204">
        <v>6118.37</v>
      </c>
      <c r="S287" s="52">
        <v>6057.64</v>
      </c>
      <c r="T287" s="52">
        <v>6000.869999999999</v>
      </c>
      <c r="U287" s="52">
        <v>6051.52</v>
      </c>
      <c r="V287" s="52">
        <v>6102.1100000000042</v>
      </c>
      <c r="W287" s="137">
        <f>'[26]מאזן בוחן הודו'!W269</f>
        <v>6125.26</v>
      </c>
      <c r="X287" s="137">
        <f>'[27]מאזן בוחן הודו'!X269</f>
        <v>6281.76</v>
      </c>
      <c r="Y287" s="137">
        <f>'[28]מאזן בוחן הודו'!Y271</f>
        <v>6321.489999999998</v>
      </c>
      <c r="Z287" s="137">
        <f>'[29]מאזן בוחן הודו'!Z275</f>
        <v>6276.5400000000009</v>
      </c>
      <c r="AA287" s="137">
        <f>'[30]מאזן בוחן הודו'!AA277</f>
        <v>6433.3600000000006</v>
      </c>
      <c r="AB287" s="137">
        <f>'[31]מאזן בוחן הודו'!AB272</f>
        <v>6272.630000000001</v>
      </c>
      <c r="AC287" s="137">
        <v>6281.3700000000026</v>
      </c>
      <c r="AD287" s="137">
        <v>6364.6099999999933</v>
      </c>
      <c r="AE287" s="137">
        <v>6275.8900000000067</v>
      </c>
      <c r="AF287" s="137">
        <v>6231.3499999999985</v>
      </c>
      <c r="AG287" s="137">
        <v>6206.239999999998</v>
      </c>
      <c r="AH287" s="137">
        <f>$K287-SUM($W287:AG287)</f>
        <v>6271.8800000000047</v>
      </c>
      <c r="AR287" s="52"/>
      <c r="AS287" s="52"/>
      <c r="AT287" s="52"/>
      <c r="AU287" s="141"/>
    </row>
    <row r="288" spans="1:47" s="137" customFormat="1">
      <c r="A288" s="406"/>
      <c r="B288" s="3659" t="s">
        <v>1156</v>
      </c>
      <c r="C288" s="1374">
        <v>7140004</v>
      </c>
      <c r="D288" s="203" t="s">
        <v>2504</v>
      </c>
      <c r="E288" s="79">
        <f>IFERROR(VLOOKUP(C288,'פ.נ. הודו'!$D$70:$G$1144,3,0),0)</f>
        <v>2541731</v>
      </c>
      <c r="F288" s="170">
        <f>SUMIF('פ.נ. הודו'!$C:$C,$C:$C,'פ.נ. הודו'!$E:$E)</f>
        <v>0</v>
      </c>
      <c r="G288" s="398"/>
      <c r="H288" s="204"/>
      <c r="I288" s="79"/>
      <c r="J288" s="1753">
        <f>SUM(E288:I288)</f>
        <v>2541731</v>
      </c>
      <c r="K288" s="474">
        <f>M288+SUMIF('פ.נ. הודו'!$C:$C,$C:$C,'פ.נ. הודו'!$F:$F)</f>
        <v>34324.879999999997</v>
      </c>
      <c r="L288" s="52"/>
      <c r="M288" s="78">
        <f>IFERROR(VLOOKUP(C288,'פ.נ. הודו'!$D$70:$G$1144,4,0),0)</f>
        <v>34324.879999999997</v>
      </c>
      <c r="N288" s="4240">
        <f>IF(K288=0,"-",J288/K288)</f>
        <v>74.049231927394942</v>
      </c>
      <c r="O288" s="434"/>
      <c r="P288" s="445"/>
      <c r="Q288" s="2540">
        <v>6586</v>
      </c>
      <c r="R288" s="2541">
        <v>0</v>
      </c>
      <c r="S288" s="2542">
        <v>0</v>
      </c>
      <c r="T288" s="2542">
        <v>7704.98</v>
      </c>
      <c r="U288" s="2542">
        <v>0</v>
      </c>
      <c r="V288" s="2542">
        <v>0</v>
      </c>
      <c r="W288" s="2549">
        <f>'[26]מאזן בוחן הודו'!W270</f>
        <v>7470.24</v>
      </c>
      <c r="X288" s="2549">
        <f>'[27]מאזן בוחן הודו'!X270</f>
        <v>0</v>
      </c>
      <c r="Y288" s="2549">
        <f>'[28]מאזן בוחן הודו'!Y272</f>
        <v>0</v>
      </c>
      <c r="Z288" s="2549">
        <f>'[29]מאזן בוחן הודו'!Z276</f>
        <v>8196.76</v>
      </c>
      <c r="AA288" s="2549">
        <f>'[30]מאזן בוחן הודו'!AA278</f>
        <v>0</v>
      </c>
      <c r="AB288" s="2549">
        <f>'[31]מאזן בוחן הודו'!AB273</f>
        <v>0</v>
      </c>
      <c r="AC288" s="2549">
        <v>8793.16</v>
      </c>
      <c r="AD288" s="2549">
        <v>0</v>
      </c>
      <c r="AE288" s="2549">
        <v>0</v>
      </c>
      <c r="AF288" s="2549">
        <v>9864.7199999999975</v>
      </c>
      <c r="AG288" s="2549">
        <v>0</v>
      </c>
      <c r="AH288" s="2549">
        <f>$K288-SUM($W288:AG288)</f>
        <v>0</v>
      </c>
      <c r="AI288" s="2549"/>
      <c r="AJ288" s="2549"/>
      <c r="AK288" s="2549"/>
      <c r="AL288" s="2549"/>
      <c r="AM288" s="2549"/>
      <c r="AN288" s="2549"/>
      <c r="AO288" s="2549"/>
      <c r="AP288" s="2549"/>
      <c r="AQ288" s="2549"/>
      <c r="AR288" s="52"/>
      <c r="AS288" s="52"/>
      <c r="AT288" s="52"/>
      <c r="AU288" s="141"/>
    </row>
    <row r="289" spans="1:47" s="137" customFormat="1">
      <c r="A289" s="406"/>
      <c r="B289" s="3659" t="s">
        <v>1156</v>
      </c>
      <c r="C289" s="1374">
        <v>7140002</v>
      </c>
      <c r="D289" s="45" t="s">
        <v>1158</v>
      </c>
      <c r="E289" s="79">
        <f>IFERROR(VLOOKUP(C289,'פ.נ. הודו'!$D$70:$G$1144,3,0),0)</f>
        <v>-0.6</v>
      </c>
      <c r="F289" s="170">
        <f>SUMIF('פ.נ. הודו'!$C:$C,$C:$C,'פ.נ. הודו'!$E:$E)</f>
        <v>0</v>
      </c>
      <c r="G289" s="398"/>
      <c r="H289" s="204"/>
      <c r="I289" s="79"/>
      <c r="J289" s="1753">
        <f>SUM(E289:I289)</f>
        <v>-0.6</v>
      </c>
      <c r="K289" s="474">
        <f>M289+SUMIF('פ.נ. הודו'!$C:$C,$C:$C,'פ.נ. הודו'!$F:$F)</f>
        <v>17.3</v>
      </c>
      <c r="L289" s="52"/>
      <c r="M289" s="78">
        <f>IFERROR(VLOOKUP(C289,'פ.נ. הודו'!$D$70:$G$1144,4,0),0)</f>
        <v>17.3</v>
      </c>
      <c r="N289" s="4240">
        <f>IF(K289=0,"-",J289/K289)</f>
        <v>-3.4682080924855488E-2</v>
      </c>
      <c r="O289" s="434"/>
      <c r="P289" s="445"/>
      <c r="Q289" s="726"/>
      <c r="R289" s="204"/>
      <c r="S289" s="52">
        <v>5189.8999999999996</v>
      </c>
      <c r="T289" s="52">
        <v>0</v>
      </c>
      <c r="U289" s="52">
        <v>0</v>
      </c>
      <c r="V289" s="52">
        <v>585.38000000000011</v>
      </c>
      <c r="W289" s="137">
        <f>'[26]מאזן בוחן הודו'!W271</f>
        <v>0</v>
      </c>
      <c r="X289" s="137">
        <f>'[27]מאזן בוחן הודו'!X271</f>
        <v>-3.95</v>
      </c>
      <c r="Y289" s="137">
        <f>'[28]מאזן בוחן הודו'!Y273</f>
        <v>1767.8500000000001</v>
      </c>
      <c r="Z289" s="137">
        <f>'[29]מאזן בוחן הודו'!Z277</f>
        <v>0</v>
      </c>
      <c r="AA289" s="137">
        <f>'[30]מאזן בוחן הודו'!AA279</f>
        <v>0</v>
      </c>
      <c r="AB289" s="137">
        <f>'[31]מאזן בוחן הודו'!AB274</f>
        <v>1789.08</v>
      </c>
      <c r="AC289" s="137">
        <v>0</v>
      </c>
      <c r="AD289" s="137">
        <v>0</v>
      </c>
      <c r="AE289" s="137">
        <v>1767.8399999999997</v>
      </c>
      <c r="AF289" s="137">
        <v>0</v>
      </c>
      <c r="AG289" s="137">
        <v>0</v>
      </c>
      <c r="AH289" s="137">
        <f>$K289-SUM($W289:AG289)</f>
        <v>-5303.5199999999995</v>
      </c>
      <c r="AR289" s="52"/>
      <c r="AS289" s="52"/>
      <c r="AT289" s="52"/>
      <c r="AU289" s="141"/>
    </row>
    <row r="290" spans="1:47" s="137" customFormat="1">
      <c r="A290" s="406"/>
      <c r="B290" s="3659" t="s">
        <v>1156</v>
      </c>
      <c r="C290" s="1374">
        <v>7140003</v>
      </c>
      <c r="D290" s="45" t="s">
        <v>915</v>
      </c>
      <c r="E290" s="79">
        <f>IFERROR(VLOOKUP(C290,'פ.נ. הודו'!$D$70:$G$1144,3,0),0)</f>
        <v>22937</v>
      </c>
      <c r="F290" s="170">
        <f>SUMIF('פ.נ. הודו'!$C:$C,$C:$C,'פ.נ. הודו'!$E:$E)</f>
        <v>0</v>
      </c>
      <c r="G290" s="398"/>
      <c r="H290" s="204"/>
      <c r="I290" s="79"/>
      <c r="J290" s="1753">
        <f>SUM(E290:I290)</f>
        <v>22937</v>
      </c>
      <c r="K290" s="474">
        <f>M290+SUMIF('פ.נ. הודו'!$C:$C,$C:$C,'פ.נ. הודו'!$F:$F)</f>
        <v>313.19</v>
      </c>
      <c r="L290" s="52"/>
      <c r="M290" s="78">
        <f>IFERROR(VLOOKUP(C290,'פ.נ. הודו'!$D$70:$G$1144,4,0),0)</f>
        <v>313.19</v>
      </c>
      <c r="N290" s="4240">
        <f>IF(K290=0,"-",J290/K290)</f>
        <v>73.236693381014717</v>
      </c>
      <c r="O290" s="434"/>
      <c r="P290" s="445"/>
      <c r="Q290" s="726"/>
      <c r="R290" s="204"/>
      <c r="S290" s="52">
        <v>0</v>
      </c>
      <c r="T290" s="52">
        <v>0</v>
      </c>
      <c r="U290" s="52">
        <v>0</v>
      </c>
      <c r="V290" s="52">
        <v>0</v>
      </c>
      <c r="W290" s="137">
        <f>'[26]מאזן בוחן הודו'!W272</f>
        <v>0</v>
      </c>
      <c r="X290" s="137">
        <f>'[27]מאזן בוחן הודו'!X272</f>
        <v>0</v>
      </c>
      <c r="Y290" s="137">
        <f>'[28]מאזן בוחן הודו'!Y274</f>
        <v>313.19</v>
      </c>
      <c r="Z290" s="137">
        <f>'[29]מאזן בוחן הודו'!Z278</f>
        <v>0</v>
      </c>
      <c r="AA290" s="137">
        <f>'[30]מאזן בוחן הודו'!AA280</f>
        <v>0</v>
      </c>
      <c r="AB290" s="137">
        <f>'[31]מאזן בוחן הודו'!AB275</f>
        <v>0</v>
      </c>
      <c r="AC290" s="137">
        <v>0</v>
      </c>
      <c r="AD290" s="137">
        <v>0</v>
      </c>
      <c r="AE290" s="137">
        <v>0</v>
      </c>
      <c r="AF290" s="137">
        <v>0</v>
      </c>
      <c r="AG290" s="137">
        <v>0</v>
      </c>
      <c r="AH290" s="137">
        <f>$K290-SUM($W290:AG290)</f>
        <v>0</v>
      </c>
      <c r="AR290" s="52"/>
      <c r="AS290" s="52"/>
      <c r="AT290" s="52"/>
      <c r="AU290" s="141"/>
    </row>
    <row r="291" spans="1:47" s="137" customFormat="1">
      <c r="A291" s="406"/>
      <c r="B291" s="3659" t="s">
        <v>1156</v>
      </c>
      <c r="C291" s="1374">
        <v>7140018</v>
      </c>
      <c r="D291" s="45" t="s">
        <v>3668</v>
      </c>
      <c r="E291" s="79">
        <f>IFERROR(VLOOKUP(C291,'פ.נ. הודו'!$D$70:$G$1144,3,0),0)</f>
        <v>31500</v>
      </c>
      <c r="F291" s="170">
        <f>SUMIF('פ.נ. הודו'!$C:$C,$C:$C,'פ.נ. הודו'!$E:$E)</f>
        <v>0</v>
      </c>
      <c r="G291" s="398"/>
      <c r="H291" s="204"/>
      <c r="I291" s="79"/>
      <c r="J291" s="1753">
        <f>SUM(E291:I291)</f>
        <v>31500</v>
      </c>
      <c r="K291" s="474">
        <f>M291+SUMIF('פ.נ. הודו'!$C:$C,$C:$C,'פ.נ. הודו'!$F:$F)</f>
        <v>435.84</v>
      </c>
      <c r="L291" s="52"/>
      <c r="M291" s="78">
        <f>IFERROR(VLOOKUP(C291,'פ.נ. הודו'!$D$70:$G$1144,4,0),0)</f>
        <v>435.84</v>
      </c>
      <c r="N291" s="4240">
        <f>IF(K291=0,"-",J291/K291)</f>
        <v>72.274229074889874</v>
      </c>
      <c r="O291" s="434"/>
      <c r="P291" s="445"/>
      <c r="Q291" s="726"/>
      <c r="R291" s="204"/>
      <c r="S291" s="52"/>
      <c r="T291" s="52"/>
      <c r="U291" s="52"/>
      <c r="V291" s="52"/>
      <c r="AA291" s="137">
        <f>'[30]מאזן בוחן הודו'!AA281</f>
        <v>0</v>
      </c>
      <c r="AB291" s="137">
        <f>'[31]מאזן בוחן הודו'!AB276</f>
        <v>435.84</v>
      </c>
      <c r="AC291" s="137">
        <v>0</v>
      </c>
      <c r="AD291" s="137">
        <v>0</v>
      </c>
      <c r="AE291" s="137">
        <v>0</v>
      </c>
      <c r="AF291" s="137">
        <v>0</v>
      </c>
      <c r="AG291" s="137">
        <v>0</v>
      </c>
      <c r="AH291" s="137">
        <f>$K291-SUM($W291:AG291)</f>
        <v>0</v>
      </c>
      <c r="AR291" s="52"/>
      <c r="AS291" s="52"/>
      <c r="AT291" s="52"/>
      <c r="AU291" s="141"/>
    </row>
    <row r="292" spans="1:47" s="137" customFormat="1">
      <c r="A292" s="406"/>
      <c r="B292" s="3659"/>
      <c r="C292" s="1374"/>
      <c r="D292" s="45"/>
      <c r="E292" s="79"/>
      <c r="F292" s="170"/>
      <c r="G292" s="398"/>
      <c r="H292" s="204"/>
      <c r="I292" s="79"/>
      <c r="J292" s="1753"/>
      <c r="K292" s="474"/>
      <c r="L292" s="52"/>
      <c r="M292" s="78"/>
      <c r="N292" s="4240"/>
      <c r="O292" s="434"/>
      <c r="P292" s="445"/>
      <c r="Q292" s="726"/>
      <c r="R292" s="204">
        <v>0</v>
      </c>
      <c r="S292" s="52">
        <v>0</v>
      </c>
      <c r="T292" s="52">
        <v>0</v>
      </c>
      <c r="U292" s="52">
        <v>0</v>
      </c>
      <c r="V292" s="52">
        <v>0</v>
      </c>
      <c r="W292" s="137">
        <f>'[26]מאזן בוחן הודו'!W273</f>
        <v>0</v>
      </c>
      <c r="X292" s="137">
        <f>'[27]מאזן בוחן הודו'!X273</f>
        <v>0</v>
      </c>
      <c r="Y292" s="137">
        <f>'[28]מאזן בוחן הודו'!Y275</f>
        <v>0</v>
      </c>
      <c r="Z292" s="137">
        <f>'[29]מאזן בוחן הודו'!Z279</f>
        <v>0</v>
      </c>
      <c r="AA292" s="137">
        <f>'[30]מאזן בוחן הודו'!AA282</f>
        <v>0</v>
      </c>
      <c r="AB292" s="137">
        <f>'[31]מאזן בוחן הודו'!AB277</f>
        <v>0</v>
      </c>
      <c r="AC292" s="137">
        <v>0</v>
      </c>
      <c r="AD292" s="137">
        <v>0</v>
      </c>
      <c r="AE292" s="137">
        <v>0</v>
      </c>
      <c r="AF292" s="137">
        <v>0</v>
      </c>
      <c r="AG292" s="137">
        <v>0</v>
      </c>
      <c r="AH292" s="137">
        <f>$K292-SUM($W292:AG292)</f>
        <v>0</v>
      </c>
      <c r="AR292" s="52"/>
      <c r="AS292" s="52"/>
      <c r="AT292" s="52"/>
      <c r="AU292" s="141"/>
    </row>
    <row r="293" spans="1:47" s="137" customFormat="1">
      <c r="A293" s="406"/>
      <c r="B293" s="3659"/>
      <c r="C293" s="1374"/>
      <c r="D293" s="68" t="s">
        <v>2517</v>
      </c>
      <c r="E293" s="79"/>
      <c r="F293" s="170"/>
      <c r="G293" s="398"/>
      <c r="H293" s="204"/>
      <c r="I293" s="79"/>
      <c r="J293" s="1753"/>
      <c r="K293" s="474"/>
      <c r="L293" s="52"/>
      <c r="M293" s="78"/>
      <c r="N293" s="4240"/>
      <c r="O293" s="434"/>
      <c r="P293" s="445"/>
      <c r="Q293" s="726"/>
      <c r="R293" s="204">
        <v>0</v>
      </c>
      <c r="S293" s="52">
        <v>0</v>
      </c>
      <c r="T293" s="52">
        <v>0</v>
      </c>
      <c r="U293" s="52">
        <v>0</v>
      </c>
      <c r="V293" s="52">
        <v>0</v>
      </c>
      <c r="W293" s="137">
        <f>'[26]מאזן בוחן הודו'!W274</f>
        <v>0</v>
      </c>
      <c r="X293" s="137">
        <f>'[27]מאזן בוחן הודו'!X274</f>
        <v>0</v>
      </c>
      <c r="Y293" s="137">
        <f>'[28]מאזן בוחן הודו'!Y276</f>
        <v>0</v>
      </c>
      <c r="Z293" s="137">
        <f>'[29]מאזן בוחן הודו'!Z280</f>
        <v>0</v>
      </c>
      <c r="AA293" s="137">
        <f>'[30]מאזן בוחן הודו'!AA283</f>
        <v>0</v>
      </c>
      <c r="AB293" s="137">
        <f>'[31]מאזן בוחן הודו'!AB278</f>
        <v>0</v>
      </c>
      <c r="AC293" s="137">
        <v>0</v>
      </c>
      <c r="AD293" s="137">
        <v>0</v>
      </c>
      <c r="AE293" s="137">
        <v>0</v>
      </c>
      <c r="AF293" s="137">
        <v>0</v>
      </c>
      <c r="AG293" s="137">
        <v>0</v>
      </c>
      <c r="AH293" s="137">
        <f>$K293-SUM($W293:AG293)</f>
        <v>0</v>
      </c>
      <c r="AR293" s="52"/>
      <c r="AS293" s="52"/>
      <c r="AT293" s="52"/>
      <c r="AU293" s="141"/>
    </row>
    <row r="294" spans="1:47" s="137" customFormat="1">
      <c r="A294" s="406"/>
      <c r="B294" s="3659" t="s">
        <v>1161</v>
      </c>
      <c r="C294" s="1374">
        <v>7150031</v>
      </c>
      <c r="D294" s="203" t="s">
        <v>2705</v>
      </c>
      <c r="E294" s="79">
        <f>IFERROR(VLOOKUP(C294,'פ.נ. הודו'!$D$70:$G$1144,3,0),0)</f>
        <v>625708.66</v>
      </c>
      <c r="F294" s="170">
        <f>SUMIF('פ.נ. הודו'!$C:$C,$C:$C,'פ.נ. הודו'!$E:$E)</f>
        <v>0</v>
      </c>
      <c r="G294" s="398"/>
      <c r="H294" s="204"/>
      <c r="I294" s="79"/>
      <c r="J294" s="1753">
        <f>SUM(E294:I294)</f>
        <v>625708.66</v>
      </c>
      <c r="K294" s="474">
        <f>M294+SUMIF('פ.נ. הודו'!$C:$C,$C:$C,'פ.נ. הודו'!$F:$F)</f>
        <v>8419.0499999999993</v>
      </c>
      <c r="L294" s="52"/>
      <c r="M294" s="78">
        <f>IFERROR(VLOOKUP(C294,'פ.נ. הודו'!$D$70:$G$1144,4,0),0)</f>
        <v>8419.0499999999993</v>
      </c>
      <c r="N294" s="4240">
        <f>IF(K294=0,"-",J294/K294)</f>
        <v>74.32057773739318</v>
      </c>
      <c r="O294" s="434"/>
      <c r="P294" s="445"/>
      <c r="Q294" s="726"/>
      <c r="R294" s="204">
        <v>0</v>
      </c>
      <c r="S294" s="52">
        <v>814.23</v>
      </c>
      <c r="T294" s="52">
        <v>118.18999999999994</v>
      </c>
      <c r="U294" s="52">
        <v>119.18999999999994</v>
      </c>
      <c r="V294" s="52">
        <v>785.24</v>
      </c>
      <c r="W294" s="137">
        <f>'[26]מאזן בוחן הודו'!W275</f>
        <v>123.76</v>
      </c>
      <c r="X294" s="137">
        <f>'[27]מאזן בוחן הודו'!X275</f>
        <v>126.46</v>
      </c>
      <c r="Y294" s="137">
        <f>'[28]מאזן בוחן הודו'!Y277</f>
        <v>127.25000000000003</v>
      </c>
      <c r="Z294" s="137">
        <f>'[29]מאזן בוחן הודו'!Z281</f>
        <v>128.5</v>
      </c>
      <c r="AA294" s="137">
        <f>'[30]מאזן בוחן הודו'!AA284</f>
        <v>1093.5999999999999</v>
      </c>
      <c r="AB294" s="137">
        <f>'[31]מאזן בוחן הודו'!AB279</f>
        <v>132.79999999999995</v>
      </c>
      <c r="AC294" s="137">
        <v>132.69000000000005</v>
      </c>
      <c r="AD294" s="137">
        <v>0</v>
      </c>
      <c r="AE294" s="137">
        <v>267.84000000000015</v>
      </c>
      <c r="AF294" s="137">
        <v>3618.44</v>
      </c>
      <c r="AG294" s="137">
        <v>1390.0500000000002</v>
      </c>
      <c r="AH294" s="137">
        <f>$K294-SUM($W294:AG294)</f>
        <v>1277.6599999999989</v>
      </c>
      <c r="AR294" s="52"/>
      <c r="AS294" s="52"/>
      <c r="AT294" s="52"/>
      <c r="AU294" s="141"/>
    </row>
    <row r="295" spans="1:47" s="137" customFormat="1">
      <c r="A295" s="402"/>
      <c r="B295" s="3668"/>
      <c r="C295" s="1987"/>
      <c r="D295" s="61"/>
      <c r="E295" s="398"/>
      <c r="F295" s="51"/>
      <c r="G295" s="399"/>
      <c r="H295" s="51"/>
      <c r="I295" s="399"/>
      <c r="J295" s="51"/>
      <c r="K295" s="430"/>
      <c r="L295" s="399"/>
      <c r="M295" s="49"/>
      <c r="N295" s="3441"/>
      <c r="O295" s="140"/>
      <c r="P295" s="432"/>
      <c r="Q295" s="726"/>
      <c r="R295" s="204">
        <v>0</v>
      </c>
      <c r="S295" s="52">
        <v>0</v>
      </c>
      <c r="T295" s="52">
        <v>0</v>
      </c>
      <c r="U295" s="52">
        <v>0</v>
      </c>
      <c r="V295" s="52">
        <v>0</v>
      </c>
      <c r="W295" s="137">
        <f>'[26]מאזן בוחן הודו'!W276</f>
        <v>0</v>
      </c>
      <c r="X295" s="137">
        <f>'[27]מאזן בוחן הודו'!X276</f>
        <v>0</v>
      </c>
      <c r="Y295" s="137">
        <f>'[28]מאזן בוחן הודו'!Y278</f>
        <v>0</v>
      </c>
      <c r="Z295" s="137">
        <f>'[29]מאזן בוחן הודו'!Z282</f>
        <v>0</v>
      </c>
      <c r="AA295" s="137">
        <f>'[30]מאזן בוחן הודו'!AA285</f>
        <v>0</v>
      </c>
      <c r="AB295" s="137">
        <f>'[31]מאזן בוחן הודו'!AB280</f>
        <v>0</v>
      </c>
      <c r="AC295" s="137">
        <v>0</v>
      </c>
      <c r="AD295" s="137">
        <v>0</v>
      </c>
      <c r="AE295" s="137">
        <v>0</v>
      </c>
      <c r="AF295" s="137">
        <v>0</v>
      </c>
      <c r="AG295" s="137">
        <v>0</v>
      </c>
      <c r="AH295" s="137">
        <f>$K295-SUM($W295:AG295)</f>
        <v>0</v>
      </c>
      <c r="AR295" s="52"/>
      <c r="AS295" s="52"/>
      <c r="AT295" s="52"/>
      <c r="AU295" s="141"/>
    </row>
    <row r="296" spans="1:47" s="137" customFormat="1">
      <c r="A296" s="402"/>
      <c r="B296" s="3668"/>
      <c r="C296" s="1987"/>
      <c r="D296" s="61"/>
      <c r="E296" s="398"/>
      <c r="F296" s="51"/>
      <c r="G296" s="399"/>
      <c r="H296" s="51"/>
      <c r="I296" s="399"/>
      <c r="J296" s="51"/>
      <c r="K296" s="430"/>
      <c r="L296" s="399"/>
      <c r="M296" s="49"/>
      <c r="N296" s="3441"/>
      <c r="O296" s="140"/>
      <c r="P296" s="432"/>
      <c r="Q296" s="726"/>
      <c r="R296" s="204"/>
      <c r="S296" s="52">
        <v>0</v>
      </c>
      <c r="T296" s="52">
        <v>0</v>
      </c>
      <c r="U296" s="52">
        <v>0</v>
      </c>
      <c r="V296" s="52">
        <v>0</v>
      </c>
      <c r="W296" s="137">
        <f>'[26]מאזן בוחן הודו'!W277</f>
        <v>0</v>
      </c>
      <c r="X296" s="137">
        <f>'[27]מאזן בוחן הודו'!X277</f>
        <v>0</v>
      </c>
      <c r="Y296" s="137">
        <f>'[28]מאזן בוחן הודו'!Y279</f>
        <v>0</v>
      </c>
      <c r="Z296" s="137">
        <f>'[29]מאזן בוחן הודו'!Z283</f>
        <v>0</v>
      </c>
      <c r="AA296" s="137">
        <f>'[30]מאזן בוחן הודו'!AA286</f>
        <v>0</v>
      </c>
      <c r="AB296" s="137">
        <f>'[31]מאזן בוחן הודו'!AB281</f>
        <v>0</v>
      </c>
      <c r="AC296" s="137">
        <v>0</v>
      </c>
      <c r="AD296" s="137">
        <v>0</v>
      </c>
      <c r="AE296" s="137">
        <v>0</v>
      </c>
      <c r="AF296" s="137">
        <v>0</v>
      </c>
      <c r="AG296" s="137">
        <v>0</v>
      </c>
      <c r="AH296" s="137">
        <f>$K296-SUM($W296:AG296)</f>
        <v>0</v>
      </c>
      <c r="AR296" s="52"/>
      <c r="AS296" s="52"/>
      <c r="AT296" s="52"/>
      <c r="AU296" s="141"/>
    </row>
    <row r="297" spans="1:47" s="137" customFormat="1">
      <c r="A297" s="402"/>
      <c r="B297" s="3668"/>
      <c r="C297" s="1987"/>
      <c r="D297" s="61"/>
      <c r="E297" s="398"/>
      <c r="F297" s="51"/>
      <c r="G297" s="399"/>
      <c r="H297" s="51"/>
      <c r="I297" s="399"/>
      <c r="J297" s="51"/>
      <c r="K297" s="430"/>
      <c r="L297" s="399"/>
      <c r="M297" s="49"/>
      <c r="N297" s="3441"/>
      <c r="O297" s="140"/>
      <c r="P297" s="432"/>
      <c r="Q297" s="726"/>
      <c r="R297" s="204"/>
      <c r="S297" s="52">
        <v>0</v>
      </c>
      <c r="T297" s="52">
        <v>0</v>
      </c>
      <c r="U297" s="52">
        <v>0</v>
      </c>
      <c r="V297" s="52">
        <v>0</v>
      </c>
      <c r="W297" s="137">
        <f>'[26]מאזן בוחן הודו'!W278</f>
        <v>0</v>
      </c>
      <c r="X297" s="137">
        <f>'[27]מאזן בוחן הודו'!X278</f>
        <v>0</v>
      </c>
      <c r="Y297" s="137">
        <f>'[28]מאזן בוחן הודו'!Y280</f>
        <v>0</v>
      </c>
      <c r="Z297" s="137">
        <f>'[29]מאזן בוחן הודו'!Z284</f>
        <v>0</v>
      </c>
      <c r="AA297" s="137">
        <f>'[30]מאזן בוחן הודו'!AA287</f>
        <v>0</v>
      </c>
      <c r="AB297" s="137">
        <f>'[31]מאזן בוחן הודו'!AB282</f>
        <v>0</v>
      </c>
      <c r="AC297" s="137">
        <v>0</v>
      </c>
      <c r="AD297" s="137">
        <v>0</v>
      </c>
      <c r="AE297" s="137">
        <v>0</v>
      </c>
      <c r="AF297" s="137">
        <v>0</v>
      </c>
      <c r="AG297" s="137">
        <v>0</v>
      </c>
      <c r="AH297" s="137">
        <f>$K297-SUM($W297:AG297)</f>
        <v>0</v>
      </c>
      <c r="AR297" s="52"/>
      <c r="AS297" s="52"/>
      <c r="AT297" s="52"/>
      <c r="AU297" s="141"/>
    </row>
    <row r="298" spans="1:47" s="137" customFormat="1">
      <c r="A298" s="406"/>
      <c r="B298" s="3668" t="s">
        <v>758</v>
      </c>
      <c r="C298" s="1374">
        <v>7129999</v>
      </c>
      <c r="D298" s="203" t="s">
        <v>2720</v>
      </c>
      <c r="E298" s="79">
        <f>IFERROR(VLOOKUP(C298,'פ.נ. הודו'!$D$70:$G$1144,3,0),0)</f>
        <v>1216549.0900000001</v>
      </c>
      <c r="F298" s="170">
        <f>SUMIF('פ.נ. הודו'!$C:$C,$C:$C,'פ.נ. הודו'!$E:$E)</f>
        <v>0</v>
      </c>
      <c r="G298" s="398"/>
      <c r="H298" s="204"/>
      <c r="I298" s="79"/>
      <c r="J298" s="1753">
        <f>SUM(E298:I298)</f>
        <v>1216549.0900000001</v>
      </c>
      <c r="K298" s="474">
        <f>M298+SUMIF('פ.נ. הודו'!$C:$C,$C:$C,'פ.נ. הודו'!$F:$F)</f>
        <v>16498.099999999999</v>
      </c>
      <c r="L298" s="52"/>
      <c r="M298" s="78">
        <f>IFERROR(VLOOKUP(C298,'פ.נ. הודו'!$D$70:$G$1144,4,0),0)</f>
        <v>16498.099999999999</v>
      </c>
      <c r="N298" s="4240">
        <f>IF(K298=0,"-",J298/K298)</f>
        <v>73.738739006309828</v>
      </c>
      <c r="O298" s="434"/>
      <c r="P298" s="445"/>
      <c r="Q298" s="726"/>
      <c r="R298" s="204">
        <v>0</v>
      </c>
      <c r="S298" s="52">
        <v>3177.2</v>
      </c>
      <c r="T298" s="52">
        <v>5129.3253880280981</v>
      </c>
      <c r="U298" s="52">
        <v>-2027.8926607553713</v>
      </c>
      <c r="V298" s="52">
        <v>941.62727272727352</v>
      </c>
      <c r="W298" s="137">
        <f>'[26]מאזן בוחן הודו'!W279</f>
        <v>1236.0949999999998</v>
      </c>
      <c r="X298" s="137">
        <f>'[27]מאזן בוחן הודו'!X279</f>
        <v>1452.417307692308</v>
      </c>
      <c r="Y298" s="137">
        <f>'[28]מאזן בוחן הודו'!Y281</f>
        <v>3048.2076923076925</v>
      </c>
      <c r="Z298" s="137">
        <f>'[29]מאזן בוחן הודו'!Z285</f>
        <v>1409.535272727273</v>
      </c>
      <c r="AA298" s="137">
        <f>'[30]מאזן בוחן הודו'!AA288</f>
        <v>1213.2826220095694</v>
      </c>
      <c r="AB298" s="137">
        <f>'[31]מאזן בוחן הודו'!AB283</f>
        <v>1302.3521052631568</v>
      </c>
      <c r="AC298" s="137">
        <v>1157.1749999999993</v>
      </c>
      <c r="AD298" s="137">
        <v>1336.0741525423746</v>
      </c>
      <c r="AE298" s="137">
        <v>1309.370847457627</v>
      </c>
      <c r="AF298" s="137">
        <v>1353.155999999999</v>
      </c>
      <c r="AG298" s="137">
        <v>663.06146031745993</v>
      </c>
      <c r="AH298" s="137">
        <f>$K298-SUM($W298:AG298)</f>
        <v>1017.3725396825394</v>
      </c>
      <c r="AR298" s="52"/>
      <c r="AS298" s="52"/>
      <c r="AT298" s="52"/>
      <c r="AU298" s="141"/>
    </row>
    <row r="299" spans="1:47" s="137" customFormat="1">
      <c r="A299" s="402"/>
      <c r="B299" s="3664"/>
      <c r="C299" s="1987"/>
      <c r="D299" s="61"/>
      <c r="E299" s="398"/>
      <c r="F299" s="51"/>
      <c r="G299" s="399"/>
      <c r="H299" s="51"/>
      <c r="I299" s="399"/>
      <c r="J299" s="51"/>
      <c r="K299" s="430"/>
      <c r="L299" s="399"/>
      <c r="M299" s="49"/>
      <c r="N299" s="3441"/>
      <c r="O299" s="140"/>
      <c r="P299" s="432"/>
      <c r="Q299" s="726"/>
      <c r="R299" s="204">
        <v>0</v>
      </c>
      <c r="S299" s="52">
        <v>0</v>
      </c>
      <c r="T299" s="52">
        <v>0</v>
      </c>
      <c r="U299" s="52">
        <v>0</v>
      </c>
      <c r="V299" s="52">
        <v>0</v>
      </c>
      <c r="W299" s="137">
        <f>'[26]מאזן בוחן הודו'!W280</f>
        <v>0</v>
      </c>
      <c r="X299" s="137">
        <f>'[27]מאזן בוחן הודו'!X280</f>
        <v>0</v>
      </c>
      <c r="Y299" s="137">
        <f>'[28]מאזן בוחן הודו'!Y282</f>
        <v>0</v>
      </c>
      <c r="Z299" s="137">
        <f>'[29]מאזן בוחן הודו'!Z286</f>
        <v>0</v>
      </c>
      <c r="AA299" s="137">
        <f>'[30]מאזן בוחן הודו'!AA289</f>
        <v>0</v>
      </c>
      <c r="AB299" s="137">
        <f>'[31]מאזן בוחן הודו'!AB284</f>
        <v>0</v>
      </c>
      <c r="AC299" s="137">
        <v>0</v>
      </c>
      <c r="AD299" s="137">
        <v>0</v>
      </c>
      <c r="AE299" s="137">
        <v>0</v>
      </c>
      <c r="AF299" s="137">
        <v>0</v>
      </c>
      <c r="AG299" s="137">
        <v>0</v>
      </c>
      <c r="AH299" s="137">
        <f>$K299-SUM($W299:AG299)</f>
        <v>0</v>
      </c>
      <c r="AR299" s="52"/>
      <c r="AS299" s="52"/>
      <c r="AT299" s="52"/>
      <c r="AU299" s="141"/>
    </row>
    <row r="300" spans="1:47" s="137" customFormat="1">
      <c r="A300" s="402"/>
      <c r="B300" s="3664"/>
      <c r="C300" s="1802"/>
      <c r="D300" s="69"/>
      <c r="E300" s="598">
        <f>SUM(E270:E299)</f>
        <v>44437930</v>
      </c>
      <c r="F300" s="598">
        <f t="shared" ref="F300:K300" si="64">SUM(F270:F299)</f>
        <v>0</v>
      </c>
      <c r="G300" s="598">
        <f t="shared" si="64"/>
        <v>0</v>
      </c>
      <c r="H300" s="598">
        <f t="shared" si="64"/>
        <v>0</v>
      </c>
      <c r="I300" s="598">
        <f t="shared" si="64"/>
        <v>0</v>
      </c>
      <c r="J300" s="598">
        <f t="shared" si="64"/>
        <v>44437930</v>
      </c>
      <c r="K300" s="598">
        <f t="shared" si="64"/>
        <v>600019.1</v>
      </c>
      <c r="L300" s="1721"/>
      <c r="M300" s="598">
        <f>SUM(M270:M299)</f>
        <v>600019.1</v>
      </c>
      <c r="N300" s="4241"/>
      <c r="O300" s="434"/>
      <c r="P300" s="445"/>
      <c r="Q300" s="726"/>
      <c r="R300" s="204">
        <v>63865.68</v>
      </c>
      <c r="S300" s="52">
        <v>120087.20999999999</v>
      </c>
      <c r="T300" s="52">
        <v>-2445.8946119718894</v>
      </c>
      <c r="U300" s="52">
        <v>20874.127339244616</v>
      </c>
      <c r="V300" s="52">
        <v>88652.517272727302</v>
      </c>
      <c r="W300" s="137">
        <f>'[26]מאזן בוחן הודו'!W281</f>
        <v>23278.024999999994</v>
      </c>
      <c r="X300" s="137">
        <f>'[27]מאזן בוחן הודו'!X281</f>
        <v>23442.857307692313</v>
      </c>
      <c r="Y300" s="137">
        <f>'[28]מאזן בוחן הודו'!Y283</f>
        <v>84712.797692307679</v>
      </c>
      <c r="Z300" s="137">
        <f>'[29]מאזן בוחן הודו'!Z287</f>
        <v>22840.325272727292</v>
      </c>
      <c r="AA300" s="137">
        <f>'[30]מאזן בוחן הודו'!AA290</f>
        <v>26536.002622009517</v>
      </c>
      <c r="AB300" s="137">
        <f>'[31]מאזן בוחן הודו'!AB285</f>
        <v>86565.922105263191</v>
      </c>
      <c r="AC300" s="137">
        <v>23356.895000000019</v>
      </c>
      <c r="AD300" s="137">
        <v>31176.814152542385</v>
      </c>
      <c r="AE300" s="137">
        <v>80744.280847457529</v>
      </c>
      <c r="AF300" s="137">
        <v>27915.416000000085</v>
      </c>
      <c r="AG300" s="137">
        <v>24006.221460317378</v>
      </c>
      <c r="AH300" s="137">
        <f>$K300-SUM($W300:AG300)</f>
        <v>145443.54253968259</v>
      </c>
      <c r="AR300" s="52"/>
      <c r="AS300" s="52"/>
      <c r="AT300" s="52"/>
      <c r="AU300" s="141"/>
    </row>
    <row r="301" spans="1:47" s="137" customFormat="1">
      <c r="A301" s="402"/>
      <c r="B301" s="3664"/>
      <c r="C301" s="2002"/>
      <c r="D301" s="48"/>
      <c r="E301" s="398"/>
      <c r="F301" s="51"/>
      <c r="G301" s="399"/>
      <c r="H301" s="51"/>
      <c r="I301" s="399"/>
      <c r="J301" s="440"/>
      <c r="K301" s="446"/>
      <c r="L301" s="399"/>
      <c r="M301" s="1804"/>
      <c r="N301" s="4241"/>
      <c r="O301" s="434"/>
      <c r="P301" s="445"/>
      <c r="Q301" s="726"/>
      <c r="R301" s="204">
        <v>0</v>
      </c>
      <c r="S301" s="52">
        <v>0</v>
      </c>
      <c r="T301" s="52">
        <v>0</v>
      </c>
      <c r="U301" s="52">
        <v>0</v>
      </c>
      <c r="V301" s="52">
        <v>0</v>
      </c>
      <c r="W301" s="137">
        <f>'[26]מאזן בוחן הודו'!W282</f>
        <v>0</v>
      </c>
      <c r="X301" s="137">
        <f>'[27]מאזן בוחן הודו'!X282</f>
        <v>0</v>
      </c>
      <c r="Y301" s="137">
        <f>'[28]מאזן בוחן הודו'!Y284</f>
        <v>0</v>
      </c>
      <c r="Z301" s="137">
        <f>'[29]מאזן בוחן הודו'!Z288</f>
        <v>0</v>
      </c>
      <c r="AA301" s="137">
        <f>'[30]מאזן בוחן הודו'!AA291</f>
        <v>0</v>
      </c>
      <c r="AB301" s="137">
        <f>'[31]מאזן בוחן הודו'!AB286</f>
        <v>0</v>
      </c>
      <c r="AC301" s="137">
        <v>0</v>
      </c>
      <c r="AD301" s="137">
        <v>0</v>
      </c>
      <c r="AE301" s="137">
        <v>0</v>
      </c>
      <c r="AF301" s="137">
        <v>0</v>
      </c>
      <c r="AG301" s="137">
        <v>0</v>
      </c>
      <c r="AH301" s="137">
        <f>$K301-SUM($W301:AG301)</f>
        <v>0</v>
      </c>
      <c r="AR301" s="52"/>
      <c r="AS301" s="52"/>
      <c r="AT301" s="52"/>
      <c r="AU301" s="141"/>
    </row>
    <row r="302" spans="1:47" s="137" customFormat="1">
      <c r="A302" s="402"/>
      <c r="B302" s="3668"/>
      <c r="C302" s="1987"/>
      <c r="D302" s="1204" t="s">
        <v>577</v>
      </c>
      <c r="E302" s="398"/>
      <c r="F302" s="51"/>
      <c r="G302" s="399"/>
      <c r="H302" s="51"/>
      <c r="I302" s="399"/>
      <c r="J302" s="51"/>
      <c r="K302" s="430"/>
      <c r="L302" s="399"/>
      <c r="M302" s="49"/>
      <c r="N302" s="3441"/>
      <c r="O302" s="434"/>
      <c r="P302" s="445"/>
      <c r="Q302" s="726"/>
      <c r="R302" s="204"/>
      <c r="S302" s="52"/>
      <c r="T302" s="52"/>
      <c r="U302" s="52"/>
      <c r="V302" s="52"/>
      <c r="AD302" s="137">
        <v>0</v>
      </c>
      <c r="AE302" s="137">
        <v>0</v>
      </c>
      <c r="AF302" s="137">
        <v>0</v>
      </c>
      <c r="AG302" s="137">
        <v>0</v>
      </c>
      <c r="AH302" s="137">
        <f>$K302-SUM($W302:AG302)</f>
        <v>0</v>
      </c>
      <c r="AR302" s="52"/>
      <c r="AS302" s="52"/>
      <c r="AT302" s="52"/>
      <c r="AU302" s="141"/>
    </row>
    <row r="303" spans="1:47" s="137" customFormat="1">
      <c r="A303" s="402"/>
      <c r="B303" s="3668"/>
      <c r="C303" s="1987"/>
      <c r="D303" s="1204"/>
      <c r="E303" s="398"/>
      <c r="F303" s="51"/>
      <c r="G303" s="399"/>
      <c r="H303" s="51"/>
      <c r="I303" s="399"/>
      <c r="J303" s="51"/>
      <c r="K303" s="430"/>
      <c r="L303" s="399"/>
      <c r="M303" s="49"/>
      <c r="N303" s="3441"/>
      <c r="O303" s="434"/>
      <c r="P303" s="445"/>
      <c r="Q303" s="726"/>
      <c r="R303" s="204"/>
      <c r="S303" s="52"/>
      <c r="T303" s="52"/>
      <c r="U303" s="52"/>
      <c r="V303" s="52"/>
      <c r="AD303" s="137">
        <v>0</v>
      </c>
      <c r="AE303" s="137">
        <v>0</v>
      </c>
      <c r="AF303" s="137">
        <v>0</v>
      </c>
      <c r="AG303" s="137">
        <v>0</v>
      </c>
      <c r="AH303" s="137">
        <f>$K303-SUM($W303:AG303)</f>
        <v>0</v>
      </c>
      <c r="AR303" s="52"/>
      <c r="AS303" s="52"/>
      <c r="AT303" s="52"/>
      <c r="AU303" s="141"/>
    </row>
    <row r="304" spans="1:47" s="137" customFormat="1">
      <c r="A304" s="402"/>
      <c r="B304" s="3659" t="s">
        <v>558</v>
      </c>
      <c r="C304" s="1374">
        <v>7020039</v>
      </c>
      <c r="D304" s="203" t="s">
        <v>1949</v>
      </c>
      <c r="E304" s="79">
        <f>IFERROR(VLOOKUP(C304,'פ.נ. הודו'!$D$70:$G$1144,3,0),0)</f>
        <v>101776</v>
      </c>
      <c r="F304" s="170">
        <f>SUMIF('פ.נ. הודו'!$C:$C,$C:$C,'פ.נ. הודו'!$E:$E)</f>
        <v>0</v>
      </c>
      <c r="G304" s="398"/>
      <c r="H304" s="204"/>
      <c r="I304" s="79"/>
      <c r="J304" s="1753">
        <f>SUM(E304:I304)</f>
        <v>101776</v>
      </c>
      <c r="K304" s="474">
        <f>M304+SUMIF('פ.נ. הודו'!$C:$C,$C:$C,'פ.נ. הודו'!$F:$F)</f>
        <v>1370.63</v>
      </c>
      <c r="L304" s="52"/>
      <c r="M304" s="78">
        <f>IFERROR(VLOOKUP(C304,'פ.נ. הודו'!$D$70:$G$1144,4,0),0)</f>
        <v>1370.63</v>
      </c>
      <c r="N304" s="4240">
        <f>IF(K304=0,"-",J304/K304)</f>
        <v>74.25490467887029</v>
      </c>
      <c r="O304" s="434"/>
      <c r="P304" s="445"/>
      <c r="Q304" s="726"/>
      <c r="R304" s="204"/>
      <c r="S304" s="52"/>
      <c r="T304" s="52"/>
      <c r="U304" s="52"/>
      <c r="V304" s="52"/>
      <c r="AD304" s="137">
        <v>0</v>
      </c>
      <c r="AE304" s="137">
        <v>1370.63</v>
      </c>
      <c r="AF304" s="137">
        <v>0</v>
      </c>
      <c r="AG304" s="137">
        <v>0</v>
      </c>
      <c r="AH304" s="137">
        <f>$K304-SUM($W304:AG304)</f>
        <v>0</v>
      </c>
      <c r="AR304" s="52"/>
      <c r="AS304" s="52"/>
      <c r="AT304" s="52"/>
      <c r="AU304" s="141"/>
    </row>
    <row r="305" spans="1:47" s="137" customFormat="1">
      <c r="A305" s="402"/>
      <c r="B305" s="3659"/>
      <c r="C305" s="1374"/>
      <c r="D305" s="203"/>
      <c r="E305" s="79"/>
      <c r="F305" s="170"/>
      <c r="G305" s="398"/>
      <c r="H305" s="204"/>
      <c r="I305" s="79"/>
      <c r="J305" s="1753"/>
      <c r="K305" s="474"/>
      <c r="L305" s="52"/>
      <c r="M305" s="78"/>
      <c r="N305" s="4240"/>
      <c r="O305" s="434"/>
      <c r="P305" s="445"/>
      <c r="Q305" s="726"/>
      <c r="R305" s="204"/>
      <c r="S305" s="52"/>
      <c r="T305" s="52"/>
      <c r="U305" s="52"/>
      <c r="V305" s="52"/>
      <c r="AE305" s="137">
        <v>0</v>
      </c>
      <c r="AF305" s="137">
        <v>0</v>
      </c>
      <c r="AG305" s="137">
        <v>0</v>
      </c>
      <c r="AH305" s="137">
        <f>$K305-SUM($W305:AG305)</f>
        <v>0</v>
      </c>
      <c r="AR305" s="52"/>
      <c r="AS305" s="52"/>
      <c r="AT305" s="52"/>
      <c r="AU305" s="141"/>
    </row>
    <row r="306" spans="1:47" s="137" customFormat="1">
      <c r="A306" s="402"/>
      <c r="B306" s="3659"/>
      <c r="C306" s="1998"/>
      <c r="D306" s="48"/>
      <c r="E306" s="398"/>
      <c r="F306" s="487"/>
      <c r="G306" s="97"/>
      <c r="H306" s="488"/>
      <c r="I306" s="97"/>
      <c r="J306" s="168"/>
      <c r="K306" s="97"/>
      <c r="L306" s="399"/>
      <c r="M306" s="1805"/>
      <c r="N306" s="4241"/>
      <c r="O306" s="434"/>
      <c r="P306" s="445"/>
      <c r="Q306" s="726"/>
      <c r="R306" s="204"/>
      <c r="S306" s="52"/>
      <c r="T306" s="52"/>
      <c r="U306" s="52"/>
      <c r="V306" s="52"/>
      <c r="AE306" s="137">
        <v>0</v>
      </c>
      <c r="AF306" s="137">
        <v>0</v>
      </c>
      <c r="AG306" s="137">
        <v>0</v>
      </c>
      <c r="AH306" s="137">
        <f>$K306-SUM($W306:AG306)</f>
        <v>0</v>
      </c>
      <c r="AR306" s="52"/>
      <c r="AS306" s="52"/>
      <c r="AT306" s="52"/>
      <c r="AU306" s="141"/>
    </row>
    <row r="307" spans="1:47" s="137" customFormat="1">
      <c r="A307" s="402"/>
      <c r="B307" s="3664"/>
      <c r="C307" s="1803"/>
      <c r="D307" s="757"/>
      <c r="E307" s="598">
        <f t="shared" ref="E307:K307" si="65">SUM(E303:E306)</f>
        <v>101776</v>
      </c>
      <c r="F307" s="598">
        <f t="shared" si="65"/>
        <v>0</v>
      </c>
      <c r="G307" s="598">
        <f t="shared" si="65"/>
        <v>0</v>
      </c>
      <c r="H307" s="598">
        <f t="shared" si="65"/>
        <v>0</v>
      </c>
      <c r="I307" s="598">
        <f t="shared" si="65"/>
        <v>0</v>
      </c>
      <c r="J307" s="598">
        <f t="shared" si="65"/>
        <v>101776</v>
      </c>
      <c r="K307" s="598">
        <f t="shared" si="65"/>
        <v>1370.63</v>
      </c>
      <c r="L307" s="593"/>
      <c r="M307" s="598">
        <f>SUM(M303:M306)</f>
        <v>1370.63</v>
      </c>
      <c r="N307" s="4241"/>
      <c r="O307" s="434"/>
      <c r="P307" s="445"/>
      <c r="Q307" s="726"/>
      <c r="R307" s="204"/>
      <c r="S307" s="52"/>
      <c r="T307" s="52"/>
      <c r="U307" s="52"/>
      <c r="V307" s="52"/>
      <c r="AE307" s="137">
        <v>1370.63</v>
      </c>
      <c r="AF307" s="137">
        <v>0</v>
      </c>
      <c r="AG307" s="137">
        <v>0</v>
      </c>
      <c r="AH307" s="137">
        <f>$K307-SUM($W307:AG307)</f>
        <v>0</v>
      </c>
      <c r="AR307" s="52"/>
      <c r="AS307" s="52"/>
      <c r="AT307" s="52"/>
      <c r="AU307" s="141"/>
    </row>
    <row r="308" spans="1:47" s="137" customFormat="1">
      <c r="A308" s="402"/>
      <c r="B308" s="3664"/>
      <c r="C308" s="761"/>
      <c r="D308" s="72"/>
      <c r="E308" s="485"/>
      <c r="F308" s="163"/>
      <c r="G308" s="399"/>
      <c r="H308" s="163"/>
      <c r="I308" s="164"/>
      <c r="J308" s="163"/>
      <c r="K308" s="164"/>
      <c r="L308" s="51"/>
      <c r="M308" s="164"/>
      <c r="N308" s="4241"/>
      <c r="O308" s="434"/>
      <c r="P308" s="445"/>
      <c r="Q308" s="726"/>
      <c r="R308" s="204"/>
      <c r="S308" s="52"/>
      <c r="T308" s="52"/>
      <c r="U308" s="52"/>
      <c r="V308" s="52"/>
      <c r="AE308" s="137">
        <v>0</v>
      </c>
      <c r="AF308" s="137">
        <v>0</v>
      </c>
      <c r="AG308" s="137">
        <v>0</v>
      </c>
      <c r="AH308" s="137">
        <f>$K308-SUM($W308:AG308)</f>
        <v>0</v>
      </c>
      <c r="AR308" s="52"/>
      <c r="AS308" s="52"/>
      <c r="AT308" s="52"/>
      <c r="AU308" s="141"/>
    </row>
    <row r="309" spans="1:47" s="137" customFormat="1">
      <c r="A309" s="402"/>
      <c r="B309" s="3668"/>
      <c r="C309" s="1987"/>
      <c r="D309" s="50"/>
      <c r="E309" s="398"/>
      <c r="F309" s="51"/>
      <c r="G309" s="399"/>
      <c r="H309" s="51"/>
      <c r="I309" s="399"/>
      <c r="J309" s="51"/>
      <c r="K309" s="430"/>
      <c r="L309" s="399"/>
      <c r="M309" s="49"/>
      <c r="N309" s="3441"/>
      <c r="O309" s="140"/>
      <c r="P309" s="432"/>
      <c r="Q309" s="726"/>
      <c r="R309" s="204">
        <v>0</v>
      </c>
      <c r="S309" s="52">
        <v>0</v>
      </c>
      <c r="T309" s="52">
        <v>0</v>
      </c>
      <c r="U309" s="52">
        <v>0</v>
      </c>
      <c r="V309" s="52">
        <v>0</v>
      </c>
      <c r="W309" s="137">
        <f>'[26]מאזן בוחן הודו'!W282</f>
        <v>0</v>
      </c>
      <c r="X309" s="137">
        <f>'[27]מאזן בוחן הודו'!X282</f>
        <v>0</v>
      </c>
      <c r="Y309" s="137">
        <f>'[28]מאזן בוחן הודו'!Y284</f>
        <v>0</v>
      </c>
      <c r="Z309" s="137">
        <f>'[29]מאזן בוחן הודו'!Z288</f>
        <v>0</v>
      </c>
      <c r="AA309" s="137">
        <f>'[30]מאזן בוחן הודו'!AA291</f>
        <v>0</v>
      </c>
      <c r="AB309" s="137">
        <f>'[31]מאזן בוחן הודו'!AB286</f>
        <v>0</v>
      </c>
      <c r="AC309" s="137">
        <v>0</v>
      </c>
      <c r="AE309" s="137">
        <v>0</v>
      </c>
      <c r="AF309" s="137">
        <v>0</v>
      </c>
      <c r="AG309" s="137">
        <v>0</v>
      </c>
      <c r="AH309" s="137">
        <f>$K309-SUM($W309:AG309)</f>
        <v>0</v>
      </c>
      <c r="AR309" s="52"/>
      <c r="AS309" s="52"/>
      <c r="AT309" s="52"/>
      <c r="AU309" s="141"/>
    </row>
    <row r="310" spans="1:47" s="137" customFormat="1">
      <c r="A310" s="402"/>
      <c r="B310" s="3668"/>
      <c r="C310" s="1987"/>
      <c r="D310" s="50"/>
      <c r="E310" s="398"/>
      <c r="F310" s="51"/>
      <c r="G310" s="399"/>
      <c r="H310" s="51"/>
      <c r="I310" s="399"/>
      <c r="J310" s="51"/>
      <c r="K310" s="430"/>
      <c r="L310" s="399"/>
      <c r="M310" s="49"/>
      <c r="N310" s="3441"/>
      <c r="O310" s="140"/>
      <c r="P310" s="432"/>
      <c r="Q310" s="726"/>
      <c r="R310" s="204">
        <v>0</v>
      </c>
      <c r="S310" s="52">
        <v>0</v>
      </c>
      <c r="T310" s="52">
        <v>0</v>
      </c>
      <c r="U310" s="52">
        <v>0</v>
      </c>
      <c r="V310" s="52">
        <v>0</v>
      </c>
      <c r="W310" s="137">
        <f>'[26]מאזן בוחן הודו'!W283</f>
        <v>0</v>
      </c>
      <c r="X310" s="137">
        <f>'[27]מאזן בוחן הודו'!X283</f>
        <v>0</v>
      </c>
      <c r="Y310" s="137">
        <f>'[28]מאזן בוחן הודו'!Y285</f>
        <v>0</v>
      </c>
      <c r="Z310" s="137">
        <f>'[29]מאזן בוחן הודו'!Z289</f>
        <v>0</v>
      </c>
      <c r="AA310" s="137">
        <f>'[30]מאזן בוחן הודו'!AA292</f>
        <v>0</v>
      </c>
      <c r="AB310" s="137">
        <f>'[31]מאזן בוחן הודו'!AB287</f>
        <v>0</v>
      </c>
      <c r="AC310" s="137">
        <v>0</v>
      </c>
      <c r="AE310" s="137">
        <v>0</v>
      </c>
      <c r="AF310" s="137">
        <v>0</v>
      </c>
      <c r="AG310" s="137">
        <v>0</v>
      </c>
      <c r="AH310" s="137">
        <f>$K310-SUM($W310:AG310)</f>
        <v>0</v>
      </c>
      <c r="AR310" s="52"/>
      <c r="AS310" s="52"/>
      <c r="AT310" s="52"/>
      <c r="AU310" s="141"/>
    </row>
    <row r="311" spans="1:47" s="137" customFormat="1">
      <c r="A311" s="402"/>
      <c r="B311" s="3668"/>
      <c r="C311" s="1987"/>
      <c r="D311" s="50"/>
      <c r="E311" s="398"/>
      <c r="F311" s="51"/>
      <c r="G311" s="399"/>
      <c r="H311" s="51"/>
      <c r="I311" s="399"/>
      <c r="J311" s="51"/>
      <c r="K311" s="430"/>
      <c r="L311" s="399"/>
      <c r="M311" s="49"/>
      <c r="N311" s="3441"/>
      <c r="O311" s="140"/>
      <c r="P311" s="432"/>
      <c r="Q311" s="726"/>
      <c r="R311" s="204"/>
      <c r="S311" s="52"/>
      <c r="T311" s="52"/>
      <c r="U311" s="52"/>
      <c r="V311" s="52"/>
      <c r="W311" s="137">
        <f>'[26]מאזן בוחן הודו'!W284</f>
        <v>0</v>
      </c>
      <c r="X311" s="137">
        <f>'[27]מאזן בוחן הודו'!X284</f>
        <v>0</v>
      </c>
      <c r="Y311" s="137">
        <f>'[28]מאזן בוחן הודו'!Y286</f>
        <v>0</v>
      </c>
      <c r="Z311" s="137">
        <f>'[29]מאזן בוחן הודו'!Z290</f>
        <v>0</v>
      </c>
      <c r="AA311" s="137">
        <f>'[30]מאזן בוחן הודו'!AA293</f>
        <v>0</v>
      </c>
      <c r="AB311" s="137">
        <f>'[31]מאזן בוחן הודו'!AB288</f>
        <v>0</v>
      </c>
      <c r="AC311" s="137">
        <v>0</v>
      </c>
      <c r="AE311" s="137">
        <v>0</v>
      </c>
      <c r="AF311" s="137">
        <v>0</v>
      </c>
      <c r="AG311" s="137">
        <v>0</v>
      </c>
      <c r="AH311" s="137">
        <f>$K311-SUM($W311:AG311)</f>
        <v>0</v>
      </c>
      <c r="AR311" s="52"/>
      <c r="AS311" s="52"/>
      <c r="AT311" s="52"/>
      <c r="AU311" s="141"/>
    </row>
    <row r="312" spans="1:47" s="137" customFormat="1">
      <c r="A312" s="402"/>
      <c r="B312" s="3668"/>
      <c r="C312" s="1987"/>
      <c r="D312" s="1204" t="s">
        <v>3239</v>
      </c>
      <c r="E312" s="398"/>
      <c r="F312" s="51"/>
      <c r="G312" s="399"/>
      <c r="H312" s="51"/>
      <c r="I312" s="399"/>
      <c r="J312" s="51"/>
      <c r="K312" s="430"/>
      <c r="L312" s="399"/>
      <c r="M312" s="49"/>
      <c r="N312" s="3441"/>
      <c r="O312" s="140"/>
      <c r="P312" s="432"/>
      <c r="Q312" s="726"/>
      <c r="R312" s="204"/>
      <c r="S312" s="52"/>
      <c r="T312" s="52"/>
      <c r="U312" s="52"/>
      <c r="V312" s="52"/>
      <c r="W312" s="137">
        <f>'[26]מאזן בוחן הודו'!W285</f>
        <v>0</v>
      </c>
      <c r="X312" s="137">
        <f>'[27]מאזן בוחן הודו'!X285</f>
        <v>0</v>
      </c>
      <c r="Y312" s="137">
        <f>'[28]מאזן בוחן הודו'!Y287</f>
        <v>0</v>
      </c>
      <c r="Z312" s="137">
        <f>'[29]מאזן בוחן הודו'!Z291</f>
        <v>0</v>
      </c>
      <c r="AA312" s="137">
        <f>'[30]מאזן בוחן הודו'!AA294</f>
        <v>0</v>
      </c>
      <c r="AB312" s="137">
        <f>'[31]מאזן בוחן הודו'!AB289</f>
        <v>0</v>
      </c>
      <c r="AC312" s="137">
        <v>0</v>
      </c>
      <c r="AE312" s="137">
        <v>0</v>
      </c>
      <c r="AF312" s="137">
        <v>0</v>
      </c>
      <c r="AG312" s="137">
        <v>0</v>
      </c>
      <c r="AH312" s="137">
        <f>$K312-SUM($W312:AG312)</f>
        <v>0</v>
      </c>
      <c r="AR312" s="52"/>
      <c r="AS312" s="52"/>
      <c r="AT312" s="52"/>
      <c r="AU312" s="141"/>
    </row>
    <row r="313" spans="1:47" s="137" customFormat="1">
      <c r="A313" s="402"/>
      <c r="B313" s="3668"/>
      <c r="C313" s="1987"/>
      <c r="D313" s="1204"/>
      <c r="E313" s="398"/>
      <c r="F313" s="51"/>
      <c r="G313" s="399"/>
      <c r="H313" s="51"/>
      <c r="I313" s="399"/>
      <c r="J313" s="51"/>
      <c r="K313" s="430"/>
      <c r="L313" s="399"/>
      <c r="M313" s="49"/>
      <c r="N313" s="3441"/>
      <c r="O313" s="140"/>
      <c r="P313" s="432"/>
      <c r="Q313" s="726"/>
      <c r="R313" s="204"/>
      <c r="S313" s="52"/>
      <c r="T313" s="52"/>
      <c r="U313" s="52"/>
      <c r="V313" s="52"/>
      <c r="W313" s="137">
        <f>'[26]מאזן בוחן הודו'!W286</f>
        <v>0</v>
      </c>
      <c r="X313" s="137">
        <f>'[27]מאזן בוחן הודו'!X286</f>
        <v>0</v>
      </c>
      <c r="Y313" s="137">
        <f>'[28]מאזן בוחן הודו'!Y288</f>
        <v>0</v>
      </c>
      <c r="Z313" s="137">
        <f>'[29]מאזן בוחן הודו'!Z292</f>
        <v>0</v>
      </c>
      <c r="AA313" s="137">
        <f>'[30]מאזן בוחן הודו'!AA295</f>
        <v>0</v>
      </c>
      <c r="AB313" s="137">
        <f>'[31]מאזן בוחן הודו'!AB290</f>
        <v>0</v>
      </c>
      <c r="AC313" s="137">
        <v>0</v>
      </c>
      <c r="AE313" s="137">
        <v>0</v>
      </c>
      <c r="AF313" s="137">
        <v>0</v>
      </c>
      <c r="AG313" s="137">
        <v>0</v>
      </c>
      <c r="AH313" s="137">
        <f>$K313-SUM($W313:AG313)</f>
        <v>0</v>
      </c>
      <c r="AR313" s="52"/>
      <c r="AS313" s="52"/>
      <c r="AT313" s="52"/>
      <c r="AU313" s="141"/>
    </row>
    <row r="314" spans="1:47" s="137" customFormat="1">
      <c r="A314" s="402"/>
      <c r="B314" s="3668"/>
      <c r="C314" s="1987"/>
      <c r="D314" s="68" t="s">
        <v>219</v>
      </c>
      <c r="E314" s="398"/>
      <c r="F314" s="51"/>
      <c r="G314" s="399"/>
      <c r="H314" s="51"/>
      <c r="I314" s="399"/>
      <c r="J314" s="51"/>
      <c r="K314" s="430"/>
      <c r="L314" s="399"/>
      <c r="M314" s="49"/>
      <c r="N314" s="3441"/>
      <c r="O314" s="140"/>
      <c r="P314" s="432"/>
      <c r="Q314" s="726"/>
      <c r="R314" s="204"/>
      <c r="S314" s="52"/>
      <c r="T314" s="52"/>
      <c r="U314" s="52"/>
      <c r="V314" s="52"/>
      <c r="W314" s="137">
        <f>'[26]מאזן בוחן הודו'!W287</f>
        <v>0</v>
      </c>
      <c r="X314" s="137">
        <f>'[27]מאזן בוחן הודו'!X287</f>
        <v>0</v>
      </c>
      <c r="Y314" s="137">
        <f>'[28]מאזן בוחן הודו'!Y289</f>
        <v>0</v>
      </c>
      <c r="Z314" s="137">
        <f>'[29]מאזן בוחן הודו'!Z293</f>
        <v>0</v>
      </c>
      <c r="AA314" s="137">
        <f>'[30]מאזן בוחן הודו'!AA296</f>
        <v>0</v>
      </c>
      <c r="AB314" s="137">
        <f>'[31]מאזן בוחן הודו'!AB291</f>
        <v>0</v>
      </c>
      <c r="AC314" s="137">
        <v>0</v>
      </c>
      <c r="AE314" s="137">
        <v>0</v>
      </c>
      <c r="AF314" s="137">
        <v>0</v>
      </c>
      <c r="AG314" s="137">
        <v>0</v>
      </c>
      <c r="AH314" s="137">
        <f>$K314-SUM($W314:AG314)</f>
        <v>0</v>
      </c>
      <c r="AR314" s="52"/>
      <c r="AS314" s="52"/>
      <c r="AT314" s="52"/>
      <c r="AU314" s="141"/>
    </row>
    <row r="315" spans="1:47" s="137" customFormat="1">
      <c r="A315" s="406"/>
      <c r="B315" s="3659" t="s">
        <v>3237</v>
      </c>
      <c r="C315" s="1374">
        <v>8210001</v>
      </c>
      <c r="D315" s="203" t="s">
        <v>1177</v>
      </c>
      <c r="E315" s="79">
        <f>IFERROR(VLOOKUP(C315,'פ.נ. הודו'!$D$70:$G$1144,3,0),0)</f>
        <v>454047</v>
      </c>
      <c r="F315" s="170">
        <f>SUMIF('פ.נ. הודו'!$C:$C,$C:$C,'פ.נ. הודו'!$E:$E)</f>
        <v>0</v>
      </c>
      <c r="G315" s="398"/>
      <c r="H315" s="204"/>
      <c r="I315" s="79"/>
      <c r="J315" s="1753">
        <f>SUM(E315:I315)</f>
        <v>454047</v>
      </c>
      <c r="K315" s="474">
        <f>M315+SUMIF('פ.נ. הודו'!$C:$C,$C:$C,'פ.נ. הודו'!$F:$F)</f>
        <v>6140.33</v>
      </c>
      <c r="L315" s="52"/>
      <c r="M315" s="78">
        <f>IFERROR(VLOOKUP(C315,'פ.נ. הודו'!$D$70:$G$1144,4,0),0)</f>
        <v>6140.33</v>
      </c>
      <c r="N315" s="4240">
        <f>IF(K315=0,"-",J315/K315)</f>
        <v>73.945048556022229</v>
      </c>
      <c r="O315" s="434"/>
      <c r="P315" s="445"/>
      <c r="Q315" s="726"/>
      <c r="R315" s="204"/>
      <c r="S315" s="52"/>
      <c r="T315" s="52"/>
      <c r="U315" s="52"/>
      <c r="V315" s="52"/>
      <c r="W315" s="137">
        <f>'[26]מאזן בוחן הודו'!W288</f>
        <v>29608</v>
      </c>
      <c r="X315" s="137">
        <f>'[27]מאזן בוחן הודו'!X288</f>
        <v>-28758.02</v>
      </c>
      <c r="Y315" s="137">
        <f>'[28]מאזן בוחן הודו'!Y290</f>
        <v>446.98000000000047</v>
      </c>
      <c r="Z315" s="137">
        <f>'[29]מאזן בוחן הודו'!Z294</f>
        <v>441.87999999999988</v>
      </c>
      <c r="AA315" s="137">
        <f>'[30]מאזן בוחן הודו'!AA297</f>
        <v>452.9200000000003</v>
      </c>
      <c r="AB315" s="137">
        <f>'[31]מאזן בוחן הודו'!AB292</f>
        <v>441.60999999999967</v>
      </c>
      <c r="AC315" s="137">
        <v>448.2800000000002</v>
      </c>
      <c r="AD315" s="137">
        <v>488.38000000000011</v>
      </c>
      <c r="AE315" s="137">
        <v>447.88999999999987</v>
      </c>
      <c r="AF315" s="137">
        <v>444.71000000000004</v>
      </c>
      <c r="AG315" s="137">
        <v>782.48999999999978</v>
      </c>
      <c r="AH315" s="137">
        <f>$K315-SUM($W315:AG315)</f>
        <v>895.21</v>
      </c>
      <c r="AR315" s="52"/>
      <c r="AS315" s="52"/>
      <c r="AT315" s="52"/>
      <c r="AU315" s="141"/>
    </row>
    <row r="316" spans="1:47" s="137" customFormat="1">
      <c r="A316" s="406"/>
      <c r="B316" s="3659" t="s">
        <v>3237</v>
      </c>
      <c r="C316" s="1374">
        <v>8210007</v>
      </c>
      <c r="D316" s="203" t="s">
        <v>3238</v>
      </c>
      <c r="E316" s="79">
        <f>IFERROR(VLOOKUP(C316,'פ.נ. הודו'!$D$70:$G$1144,3,0),0)</f>
        <v>430901</v>
      </c>
      <c r="F316" s="170">
        <f>SUMIF('פ.נ. הודו'!$C:$C,$C:$C,'פ.נ. הודו'!$E:$E)</f>
        <v>0</v>
      </c>
      <c r="G316" s="398"/>
      <c r="H316" s="204"/>
      <c r="I316" s="79"/>
      <c r="J316" s="1753">
        <f>SUM(E316:I316)</f>
        <v>430901</v>
      </c>
      <c r="K316" s="474">
        <f>M316+SUMIF('פ.נ. הודו'!$C:$C,$C:$C,'פ.נ. הודו'!$F:$F)</f>
        <v>5826.08</v>
      </c>
      <c r="L316" s="52"/>
      <c r="M316" s="78">
        <f>IFERROR(VLOOKUP(C316,'פ.נ. הודו'!$D$70:$G$1144,4,0),0)</f>
        <v>5826.08</v>
      </c>
      <c r="N316" s="4240">
        <f>IF(K316=0,"-",J316/K316)</f>
        <v>73.960707714277873</v>
      </c>
      <c r="O316" s="434"/>
      <c r="P316" s="445"/>
      <c r="Q316" s="726"/>
      <c r="R316" s="204"/>
      <c r="S316" s="52"/>
      <c r="T316" s="52"/>
      <c r="U316" s="52"/>
      <c r="V316" s="52"/>
      <c r="W316" s="137">
        <f>'[26]מאזן בוחן הודו'!W289</f>
        <v>0</v>
      </c>
      <c r="X316" s="137">
        <f>'[27]מאזן בוחן הודו'!X289</f>
        <v>829.13</v>
      </c>
      <c r="Y316" s="137">
        <f>'[28]מאזן בוחן הודו'!Y291</f>
        <v>414.34000000000003</v>
      </c>
      <c r="Z316" s="137">
        <f>'[29]מאזן בוחן הודו'!Z295</f>
        <v>407.14999999999986</v>
      </c>
      <c r="AA316" s="137">
        <f>'[30]מאזן בוחן הודו'!AA298</f>
        <v>415.77</v>
      </c>
      <c r="AB316" s="137">
        <f>'[31]מאזן בוחן הודו'!AB293</f>
        <v>410.94000000000005</v>
      </c>
      <c r="AC316" s="137">
        <v>430.61000000000013</v>
      </c>
      <c r="AD316" s="137">
        <v>437.23</v>
      </c>
      <c r="AE316" s="137">
        <v>438.56999999999971</v>
      </c>
      <c r="AF316" s="137">
        <v>414.69999999999982</v>
      </c>
      <c r="AG316" s="137">
        <v>822.26000000000022</v>
      </c>
      <c r="AH316" s="137">
        <f>$K316-SUM($W316:AG316)</f>
        <v>805.38000000000011</v>
      </c>
      <c r="AR316" s="52"/>
      <c r="AS316" s="52"/>
      <c r="AT316" s="52"/>
      <c r="AU316" s="141"/>
    </row>
    <row r="317" spans="1:47" s="137" customFormat="1">
      <c r="A317" s="594"/>
      <c r="B317" s="3659" t="s">
        <v>3237</v>
      </c>
      <c r="C317" s="1374">
        <v>90102</v>
      </c>
      <c r="D317" s="48" t="s">
        <v>4130</v>
      </c>
      <c r="E317" s="79">
        <f>IFERROR(VLOOKUP(C317,'פ.נ. הודו'!$D$70:$G$1144,3,0),0)</f>
        <v>11907.26</v>
      </c>
      <c r="F317" s="170">
        <f>SUMIF('פ.נ. הודו'!$C:$C,$C:$C,'פ.נ. הודו'!$E:$E)</f>
        <v>0</v>
      </c>
      <c r="G317" s="398"/>
      <c r="H317" s="204"/>
      <c r="I317" s="79"/>
      <c r="J317" s="1753">
        <f>SUM(E317:I317)</f>
        <v>11907.26</v>
      </c>
      <c r="K317" s="474">
        <f>M317+SUMIF('פ.נ. הודו'!$C:$C,$C:$C,'פ.נ. הודו'!$F:$F)</f>
        <v>160.30000000000001</v>
      </c>
      <c r="L317" s="439"/>
      <c r="M317" s="1628">
        <f>IFERROR(VLOOKUP(C317,'פ.נ. הודו'!$D$70:$G$1144,4,0),0)</f>
        <v>160.30000000000001</v>
      </c>
      <c r="N317" s="4240">
        <f>IF(K317=0,"-",J317/K317)</f>
        <v>74.281097941359945</v>
      </c>
      <c r="O317" s="434"/>
      <c r="P317" s="445"/>
      <c r="Q317" s="726"/>
      <c r="R317" s="204">
        <v>0</v>
      </c>
      <c r="S317" s="52">
        <v>0</v>
      </c>
      <c r="T317" s="52">
        <v>0</v>
      </c>
      <c r="U317" s="52">
        <v>0</v>
      </c>
      <c r="V317" s="52">
        <v>0</v>
      </c>
      <c r="W317" s="137">
        <f>'[26]מאזן בוחן הודו'!W291</f>
        <v>0</v>
      </c>
      <c r="X317" s="137">
        <f>'[27]מאזן בוחן הודו'!X291</f>
        <v>0</v>
      </c>
      <c r="Y317" s="137">
        <f>'[28]מאזן בוחן הודו'!Y293</f>
        <v>0</v>
      </c>
      <c r="Z317" s="137">
        <f>'[29]מאזן בוחן הודו'!Z297</f>
        <v>0</v>
      </c>
      <c r="AA317" s="137">
        <f>'[30]מאזן בוחן הודו'!AA300</f>
        <v>0</v>
      </c>
      <c r="AB317" s="137">
        <f>'[31]מאזן בוחן הודו'!AB295</f>
        <v>0</v>
      </c>
      <c r="AC317" s="137">
        <v>0</v>
      </c>
      <c r="AD317" s="137">
        <v>0</v>
      </c>
      <c r="AE317" s="137">
        <v>80.150000000000006</v>
      </c>
      <c r="AF317" s="137">
        <v>0</v>
      </c>
      <c r="AG317" s="137">
        <v>0</v>
      </c>
      <c r="AH317" s="137">
        <f>$K317-SUM($W317:AG317)</f>
        <v>80.150000000000006</v>
      </c>
      <c r="AR317" s="52"/>
      <c r="AS317" s="52"/>
      <c r="AT317" s="52"/>
      <c r="AU317" s="141"/>
    </row>
    <row r="318" spans="1:47" s="137" customFormat="1">
      <c r="A318" s="406"/>
      <c r="B318" s="3659"/>
      <c r="C318" s="1374"/>
      <c r="D318" s="48"/>
      <c r="E318" s="79"/>
      <c r="F318" s="170"/>
      <c r="G318" s="398"/>
      <c r="H318" s="204"/>
      <c r="I318" s="79"/>
      <c r="J318" s="1753"/>
      <c r="K318" s="474"/>
      <c r="L318" s="439"/>
      <c r="M318" s="1628"/>
      <c r="N318" s="4240"/>
      <c r="O318" s="434"/>
      <c r="P318" s="445"/>
      <c r="Q318" s="726"/>
      <c r="R318" s="204"/>
      <c r="S318" s="52"/>
      <c r="T318" s="52"/>
      <c r="U318" s="52"/>
      <c r="V318" s="52"/>
      <c r="AR318" s="52"/>
      <c r="AS318" s="52"/>
      <c r="AT318" s="52"/>
      <c r="AU318" s="141"/>
    </row>
    <row r="319" spans="1:47" s="137" customFormat="1">
      <c r="A319" s="594"/>
      <c r="B319" s="3659" t="s">
        <v>3350</v>
      </c>
      <c r="C319" s="1374">
        <v>8220001</v>
      </c>
      <c r="D319" s="48" t="s">
        <v>3772</v>
      </c>
      <c r="E319" s="79">
        <f>IFERROR(VLOOKUP(C319,'פ.נ. הודו'!$D$70:$G$1144,3,0),0)</f>
        <v>23703</v>
      </c>
      <c r="F319" s="170">
        <f>SUMIF('פ.נ. הודו'!$C:$C,$C:$C,'פ.נ. הודו'!$E:$E)</f>
        <v>0</v>
      </c>
      <c r="G319" s="398"/>
      <c r="H319" s="204"/>
      <c r="I319" s="79"/>
      <c r="J319" s="1753">
        <f>SUM(E319:I319)</f>
        <v>23703</v>
      </c>
      <c r="K319" s="474">
        <f>M319+SUMIF('פ.נ. הודו'!$C:$C,$C:$C,'פ.נ. הודו'!$F:$F)</f>
        <v>319.02</v>
      </c>
      <c r="L319" s="439"/>
      <c r="M319" s="1628">
        <f>IFERROR(VLOOKUP(C319,'פ.נ. הודו'!$D$70:$G$1144,4,0),0)</f>
        <v>319.02</v>
      </c>
      <c r="N319" s="4240">
        <f>IF(K319=0,"-",J319/K319)</f>
        <v>74.299416964453641</v>
      </c>
      <c r="O319" s="434"/>
      <c r="P319" s="445"/>
      <c r="Q319" s="726"/>
      <c r="R319" s="204"/>
      <c r="S319" s="52"/>
      <c r="T319" s="52"/>
      <c r="U319" s="52"/>
      <c r="V319" s="52"/>
      <c r="AR319" s="52"/>
      <c r="AS319" s="52"/>
      <c r="AT319" s="52"/>
      <c r="AU319" s="141"/>
    </row>
    <row r="320" spans="1:47" s="137" customFormat="1">
      <c r="A320" s="406"/>
      <c r="B320" s="3659"/>
      <c r="C320" s="1998"/>
      <c r="D320" s="48"/>
      <c r="E320" s="398"/>
      <c r="F320" s="487"/>
      <c r="G320" s="97"/>
      <c r="H320" s="487"/>
      <c r="I320" s="97"/>
      <c r="J320" s="168"/>
      <c r="K320" s="97"/>
      <c r="L320" s="399"/>
      <c r="M320" s="3686"/>
      <c r="N320" s="4241"/>
      <c r="O320" s="434"/>
      <c r="P320" s="445"/>
      <c r="Q320" s="726"/>
      <c r="R320" s="204"/>
      <c r="S320" s="52"/>
      <c r="T320" s="52"/>
      <c r="U320" s="52"/>
      <c r="V320" s="52"/>
      <c r="AG320" s="137">
        <v>0</v>
      </c>
      <c r="AH320" s="137">
        <f>$K320-SUM($W320:AG320)</f>
        <v>0</v>
      </c>
      <c r="AR320" s="52"/>
      <c r="AS320" s="52"/>
      <c r="AT320" s="52"/>
      <c r="AU320" s="141"/>
    </row>
    <row r="321" spans="1:47" s="137" customFormat="1">
      <c r="A321" s="402"/>
      <c r="B321" s="3664"/>
      <c r="C321" s="1803"/>
      <c r="D321" s="757"/>
      <c r="E321" s="3661">
        <f t="shared" ref="E321:K321" si="66">SUM(E314:E319)</f>
        <v>920558.26</v>
      </c>
      <c r="F321" s="3661">
        <f t="shared" si="66"/>
        <v>0</v>
      </c>
      <c r="G321" s="3661">
        <f t="shared" si="66"/>
        <v>0</v>
      </c>
      <c r="H321" s="3661">
        <f t="shared" si="66"/>
        <v>0</v>
      </c>
      <c r="I321" s="3661">
        <f t="shared" si="66"/>
        <v>0</v>
      </c>
      <c r="J321" s="3661">
        <f t="shared" si="66"/>
        <v>920558.26</v>
      </c>
      <c r="K321" s="3661">
        <f t="shared" si="66"/>
        <v>12445.73</v>
      </c>
      <c r="L321" s="3662"/>
      <c r="M321" s="3661">
        <f>SUM(M314:M319)</f>
        <v>12445.73</v>
      </c>
      <c r="N321" s="4241"/>
      <c r="O321" s="434"/>
      <c r="P321" s="445"/>
      <c r="Q321" s="726"/>
      <c r="R321" s="204">
        <v>0</v>
      </c>
      <c r="S321" s="52">
        <v>0</v>
      </c>
      <c r="T321" s="52">
        <v>0</v>
      </c>
      <c r="U321" s="52">
        <v>0</v>
      </c>
      <c r="V321" s="52">
        <v>0</v>
      </c>
      <c r="W321" s="137">
        <f>'[26]מאזן בוחן הודו'!W292</f>
        <v>823.58999999999992</v>
      </c>
      <c r="X321" s="137">
        <f>'[27]מאזן בוחן הודו'!X292</f>
        <v>855.52000000000021</v>
      </c>
      <c r="Y321" s="137">
        <f>'[28]מאזן בוחן הודו'!Y294</f>
        <v>861.32000000000016</v>
      </c>
      <c r="Z321" s="137">
        <f>'[29]מאזן בוחן הודו'!Z298</f>
        <v>849.02999999999975</v>
      </c>
      <c r="AA321" s="137">
        <f>'[30]מאזן בוחן הודו'!AA301</f>
        <v>868.6899999999996</v>
      </c>
      <c r="AB321" s="137">
        <f>'[31]מאזן בוחן הודו'!AB296</f>
        <v>918.75</v>
      </c>
      <c r="AC321" s="137">
        <v>878.89000000000033</v>
      </c>
      <c r="AD321" s="137">
        <v>925.61000000000058</v>
      </c>
      <c r="AE321" s="137">
        <v>966.60999999999876</v>
      </c>
      <c r="AF321" s="137">
        <v>859.41000000000076</v>
      </c>
      <c r="AG321" s="137">
        <v>1618.75</v>
      </c>
      <c r="AH321" s="137">
        <f>$K321-SUM($W321:AG321)</f>
        <v>2019.5599999999995</v>
      </c>
      <c r="AR321" s="52"/>
      <c r="AS321" s="52"/>
      <c r="AT321" s="52"/>
      <c r="AU321" s="141"/>
    </row>
    <row r="322" spans="1:47" s="137" customFormat="1">
      <c r="A322" s="402"/>
      <c r="B322" s="3664"/>
      <c r="C322" s="759"/>
      <c r="D322" s="278"/>
      <c r="E322" s="179"/>
      <c r="F322" s="711"/>
      <c r="G322" s="463"/>
      <c r="H322" s="711"/>
      <c r="I322" s="463"/>
      <c r="J322" s="712"/>
      <c r="K322" s="710"/>
      <c r="L322" s="3662"/>
      <c r="M322" s="181"/>
      <c r="N322" s="4241"/>
      <c r="O322" s="434"/>
      <c r="P322" s="445"/>
      <c r="Q322" s="726"/>
      <c r="R322" s="204"/>
      <c r="S322" s="52"/>
      <c r="T322" s="52"/>
      <c r="U322" s="52"/>
      <c r="V322" s="52"/>
      <c r="AH322" s="137">
        <f>$K322-SUM($W322:AG322)</f>
        <v>0</v>
      </c>
      <c r="AR322" s="52"/>
      <c r="AS322" s="52"/>
      <c r="AT322" s="52"/>
      <c r="AU322" s="141"/>
    </row>
    <row r="323" spans="1:47" s="137" customFormat="1">
      <c r="A323" s="402"/>
      <c r="B323" s="3664"/>
      <c r="C323" s="759"/>
      <c r="D323" s="1204" t="s">
        <v>4597</v>
      </c>
      <c r="E323" s="179"/>
      <c r="F323" s="711"/>
      <c r="G323" s="463"/>
      <c r="H323" s="711"/>
      <c r="I323" s="463"/>
      <c r="J323" s="712"/>
      <c r="K323" s="710"/>
      <c r="L323" s="3662"/>
      <c r="M323" s="181"/>
      <c r="N323" s="4241"/>
      <c r="O323" s="434"/>
      <c r="P323" s="445"/>
      <c r="Q323" s="726"/>
      <c r="R323" s="204"/>
      <c r="S323" s="52"/>
      <c r="T323" s="52"/>
      <c r="U323" s="52"/>
      <c r="V323" s="52"/>
      <c r="AH323" s="137">
        <f>$K323-SUM($W323:AG323)</f>
        <v>0</v>
      </c>
      <c r="AR323" s="52"/>
      <c r="AS323" s="52"/>
      <c r="AT323" s="52"/>
      <c r="AU323" s="141"/>
    </row>
    <row r="324" spans="1:47" s="137" customFormat="1">
      <c r="A324" s="402"/>
      <c r="B324" s="3664"/>
      <c r="C324" s="759"/>
      <c r="D324" s="278"/>
      <c r="E324" s="179"/>
      <c r="F324" s="711"/>
      <c r="G324" s="463"/>
      <c r="H324" s="711"/>
      <c r="I324" s="463"/>
      <c r="J324" s="712"/>
      <c r="K324" s="710"/>
      <c r="L324" s="3662"/>
      <c r="M324" s="181"/>
      <c r="N324" s="4241"/>
      <c r="O324" s="434"/>
      <c r="P324" s="445"/>
      <c r="Q324" s="726"/>
      <c r="R324" s="204"/>
      <c r="S324" s="52"/>
      <c r="T324" s="52"/>
      <c r="U324" s="52"/>
      <c r="V324" s="52"/>
      <c r="AH324" s="137">
        <f>$K324-SUM($W324:AG324)</f>
        <v>0</v>
      </c>
      <c r="AR324" s="52"/>
      <c r="AS324" s="52"/>
      <c r="AT324" s="52"/>
      <c r="AU324" s="141"/>
    </row>
    <row r="325" spans="1:47" s="137" customFormat="1">
      <c r="A325" s="402"/>
      <c r="B325" s="3664"/>
      <c r="C325" s="759"/>
      <c r="D325" s="1204" t="s">
        <v>219</v>
      </c>
      <c r="E325" s="179"/>
      <c r="F325" s="711"/>
      <c r="G325" s="463"/>
      <c r="H325" s="711"/>
      <c r="I325" s="463"/>
      <c r="J325" s="712"/>
      <c r="K325" s="710"/>
      <c r="L325" s="3662"/>
      <c r="M325" s="181"/>
      <c r="N325" s="4241"/>
      <c r="O325" s="434"/>
      <c r="P325" s="445"/>
      <c r="Q325" s="726"/>
      <c r="R325" s="204"/>
      <c r="S325" s="52"/>
      <c r="T325" s="52"/>
      <c r="U325" s="52"/>
      <c r="V325" s="52"/>
      <c r="AH325" s="137">
        <f>$K325-SUM($W325:AG325)</f>
        <v>0</v>
      </c>
      <c r="AR325" s="52"/>
      <c r="AS325" s="52"/>
      <c r="AT325" s="52"/>
      <c r="AU325" s="141"/>
    </row>
    <row r="326" spans="1:47" s="137" customFormat="1">
      <c r="A326" s="402"/>
      <c r="B326" s="3664"/>
      <c r="C326" s="759"/>
      <c r="D326" s="278"/>
      <c r="E326" s="179"/>
      <c r="F326" s="711"/>
      <c r="G326" s="463"/>
      <c r="H326" s="711"/>
      <c r="I326" s="463"/>
      <c r="J326" s="712"/>
      <c r="K326" s="710"/>
      <c r="L326" s="3662"/>
      <c r="M326" s="181"/>
      <c r="N326" s="4241"/>
      <c r="O326" s="434"/>
      <c r="P326" s="445"/>
      <c r="Q326" s="726"/>
      <c r="R326" s="204"/>
      <c r="S326" s="52"/>
      <c r="T326" s="52"/>
      <c r="U326" s="52"/>
      <c r="V326" s="52"/>
      <c r="AH326" s="137">
        <f>$K326-SUM($W326:AG326)</f>
        <v>0</v>
      </c>
      <c r="AR326" s="52"/>
      <c r="AS326" s="52"/>
      <c r="AT326" s="52"/>
      <c r="AU326" s="141"/>
    </row>
    <row r="327" spans="1:47" s="137" customFormat="1">
      <c r="A327" s="402"/>
      <c r="B327" s="3668" t="s">
        <v>1173</v>
      </c>
      <c r="C327" s="1374">
        <v>8110001</v>
      </c>
      <c r="D327" s="3660" t="s">
        <v>4594</v>
      </c>
      <c r="E327" s="79">
        <f>IFERROR(VLOOKUP(C327,'פ.נ. הודו'!$D$70:$G$1144,3,0),0)</f>
        <v>77361</v>
      </c>
      <c r="F327" s="170">
        <f>SUMIF('פ.נ. הודו'!$C:$C,$C:$C,'פ.נ. הודו'!$E:$E)</f>
        <v>0</v>
      </c>
      <c r="G327" s="79"/>
      <c r="H327" s="204"/>
      <c r="I327" s="79"/>
      <c r="J327" s="1753">
        <f>SUM(E327:I327)</f>
        <v>77361</v>
      </c>
      <c r="K327" s="474">
        <f>M327+SUMIF('פ.נ. הודו'!$C:$C,$C:$C,'פ.נ. הודו'!$F:$F)</f>
        <v>1041.17</v>
      </c>
      <c r="L327" s="52"/>
      <c r="M327" s="78">
        <f>IFERROR(VLOOKUP(C327,'פ.נ. הודו'!$D$70:$G$1144,4,0),0)</f>
        <v>1041.17</v>
      </c>
      <c r="N327" s="4240">
        <f>IF(K327=0,"-",J327/K327)</f>
        <v>74.301987187490994</v>
      </c>
      <c r="O327" s="434"/>
      <c r="P327" s="445"/>
      <c r="Q327" s="726"/>
      <c r="R327" s="204"/>
      <c r="S327" s="52"/>
      <c r="T327" s="52"/>
      <c r="U327" s="52"/>
      <c r="V327" s="52"/>
      <c r="AH327" s="137">
        <f>$K327-SUM($W327:AG327)</f>
        <v>1041.17</v>
      </c>
      <c r="AR327" s="52"/>
      <c r="AS327" s="52"/>
      <c r="AT327" s="52"/>
      <c r="AU327" s="141"/>
    </row>
    <row r="328" spans="1:47" s="137" customFormat="1">
      <c r="A328" s="402"/>
      <c r="B328" s="3668" t="s">
        <v>1173</v>
      </c>
      <c r="C328" s="1374">
        <v>8110006</v>
      </c>
      <c r="D328" s="3660" t="s">
        <v>4595</v>
      </c>
      <c r="E328" s="79">
        <f>IFERROR(VLOOKUP(C328,'פ.נ. הודו'!$D$70:$G$1144,3,0),0)</f>
        <v>29922</v>
      </c>
      <c r="F328" s="170">
        <f>SUMIF('פ.נ. הודו'!$C:$C,$C:$C,'פ.נ. הודו'!$E:$E)</f>
        <v>0</v>
      </c>
      <c r="G328" s="79"/>
      <c r="H328" s="204"/>
      <c r="I328" s="79"/>
      <c r="J328" s="1753">
        <f>SUM(E328:I328)</f>
        <v>29922</v>
      </c>
      <c r="K328" s="474">
        <f>M328+SUMIF('פ.נ. הודו'!$C:$C,$C:$C,'פ.נ. הודו'!$F:$F)</f>
        <v>402.71</v>
      </c>
      <c r="L328" s="52"/>
      <c r="M328" s="78">
        <f>IFERROR(VLOOKUP(C328,'פ.נ. הודו'!$D$70:$G$1144,4,0),0)</f>
        <v>402.71</v>
      </c>
      <c r="N328" s="4240">
        <f>IF(K328=0,"-",J328/K328)</f>
        <v>74.301606615182138</v>
      </c>
      <c r="O328" s="434"/>
      <c r="P328" s="445"/>
      <c r="Q328" s="726"/>
      <c r="R328" s="204"/>
      <c r="S328" s="52"/>
      <c r="T328" s="52"/>
      <c r="U328" s="52"/>
      <c r="V328" s="52"/>
      <c r="AH328" s="137">
        <f>$K328-SUM($W328:AG328)</f>
        <v>402.71</v>
      </c>
      <c r="AR328" s="52"/>
      <c r="AS328" s="52"/>
      <c r="AT328" s="52"/>
      <c r="AU328" s="141"/>
    </row>
    <row r="329" spans="1:47" s="137" customFormat="1">
      <c r="A329" s="402"/>
      <c r="B329" s="3664"/>
      <c r="C329" s="759"/>
      <c r="D329" s="278"/>
      <c r="E329" s="179"/>
      <c r="F329" s="711"/>
      <c r="G329" s="463"/>
      <c r="H329" s="711"/>
      <c r="I329" s="463"/>
      <c r="J329" s="712"/>
      <c r="K329" s="710"/>
      <c r="L329" s="3662"/>
      <c r="M329" s="181"/>
      <c r="N329" s="4241"/>
      <c r="O329" s="434"/>
      <c r="P329" s="445"/>
      <c r="Q329" s="726"/>
      <c r="R329" s="204"/>
      <c r="S329" s="52"/>
      <c r="T329" s="52"/>
      <c r="U329" s="52"/>
      <c r="V329" s="52"/>
      <c r="AH329" s="137">
        <f>$K329-SUM($W329:AG329)</f>
        <v>0</v>
      </c>
      <c r="AR329" s="52"/>
      <c r="AS329" s="52"/>
      <c r="AT329" s="52"/>
      <c r="AU329" s="141"/>
    </row>
    <row r="330" spans="1:47" s="137" customFormat="1">
      <c r="A330" s="402"/>
      <c r="B330" s="3664"/>
      <c r="C330" s="1803"/>
      <c r="D330" s="757"/>
      <c r="E330" s="3661">
        <f>SUM(E327:E329)</f>
        <v>107283</v>
      </c>
      <c r="F330" s="3661">
        <f t="shared" ref="F330:M330" si="67">SUM(F327:F329)</f>
        <v>0</v>
      </c>
      <c r="G330" s="3661">
        <f t="shared" si="67"/>
        <v>0</v>
      </c>
      <c r="H330" s="3661">
        <f t="shared" si="67"/>
        <v>0</v>
      </c>
      <c r="I330" s="3661">
        <f t="shared" si="67"/>
        <v>0</v>
      </c>
      <c r="J330" s="3661">
        <f t="shared" si="67"/>
        <v>107283</v>
      </c>
      <c r="K330" s="3661">
        <f t="shared" si="67"/>
        <v>1443.88</v>
      </c>
      <c r="L330" s="3662"/>
      <c r="M330" s="3661">
        <f t="shared" si="67"/>
        <v>1443.88</v>
      </c>
      <c r="N330" s="4241"/>
      <c r="O330" s="434"/>
      <c r="P330" s="445"/>
      <c r="Q330" s="726"/>
      <c r="R330" s="204">
        <v>0</v>
      </c>
      <c r="S330" s="52">
        <v>0</v>
      </c>
      <c r="T330" s="52">
        <v>0</v>
      </c>
      <c r="U330" s="52">
        <v>0</v>
      </c>
      <c r="V330" s="52">
        <v>0</v>
      </c>
      <c r="W330" s="137">
        <f>'[26]מאזן בוחן הודו'!W301</f>
        <v>0</v>
      </c>
      <c r="X330" s="137">
        <f>'[27]מאזן בוחן הודו'!X301</f>
        <v>0</v>
      </c>
      <c r="Y330" s="137">
        <f>'[28]מאזן בוחן הודו'!Y303</f>
        <v>30569.5</v>
      </c>
      <c r="Z330" s="137">
        <f>'[29]מאזן בוחן הודו'!Z307</f>
        <v>0</v>
      </c>
      <c r="AA330" s="137">
        <f>'[30]מאזן בוחן הודו'!AA310</f>
        <v>0</v>
      </c>
      <c r="AB330" s="137">
        <f>'[31]מאזן בוחן הודו'!AB305</f>
        <v>29770.669992100004</v>
      </c>
      <c r="AC330" s="137">
        <v>878.89000000000033</v>
      </c>
      <c r="AD330" s="137">
        <v>925.61000000000058</v>
      </c>
      <c r="AE330" s="137">
        <v>966.60999999999876</v>
      </c>
      <c r="AF330" s="137">
        <v>859.41000000000076</v>
      </c>
      <c r="AG330" s="137">
        <v>1618.75</v>
      </c>
      <c r="AH330" s="137">
        <f>$K330-SUM($W330:AG330)</f>
        <v>-64145.559992100003</v>
      </c>
      <c r="AR330" s="52"/>
      <c r="AS330" s="52"/>
      <c r="AT330" s="52"/>
      <c r="AU330" s="141"/>
    </row>
    <row r="331" spans="1:47" s="137" customFormat="1">
      <c r="A331" s="402"/>
      <c r="B331" s="3664"/>
      <c r="C331" s="761"/>
      <c r="D331" s="54"/>
      <c r="E331" s="1521"/>
      <c r="F331" s="272"/>
      <c r="G331" s="3663"/>
      <c r="H331" s="272"/>
      <c r="I331" s="1938"/>
      <c r="J331" s="272"/>
      <c r="K331" s="1938"/>
      <c r="L331" s="439"/>
      <c r="M331" s="180"/>
      <c r="N331" s="4241"/>
      <c r="O331" s="434"/>
      <c r="P331" s="445"/>
      <c r="Q331" s="726"/>
      <c r="R331" s="204">
        <v>0</v>
      </c>
      <c r="S331" s="52">
        <v>0</v>
      </c>
      <c r="T331" s="52">
        <v>0</v>
      </c>
      <c r="U331" s="52">
        <v>0</v>
      </c>
      <c r="V331" s="52">
        <v>0</v>
      </c>
      <c r="W331" s="137">
        <f>'[26]מאזן בוחן הודו'!W293</f>
        <v>0</v>
      </c>
      <c r="X331" s="137">
        <f>'[27]מאזן בוחן הודו'!X293</f>
        <v>0</v>
      </c>
      <c r="Y331" s="137">
        <f>'[28]מאזן בוחן הודו'!Y295</f>
        <v>0</v>
      </c>
      <c r="Z331" s="137">
        <f>'[29]מאזן בוחן הודו'!Z299</f>
        <v>0</v>
      </c>
      <c r="AA331" s="137">
        <f>'[30]מאזן בוחן הודו'!AA302</f>
        <v>0</v>
      </c>
      <c r="AB331" s="137">
        <f>'[31]מאזן בוחן הודו'!AB297</f>
        <v>0</v>
      </c>
      <c r="AC331" s="137">
        <v>0</v>
      </c>
      <c r="AD331" s="137">
        <v>0</v>
      </c>
      <c r="AE331" s="137">
        <v>0</v>
      </c>
      <c r="AF331" s="137">
        <v>0</v>
      </c>
      <c r="AG331" s="137">
        <v>0</v>
      </c>
      <c r="AH331" s="137">
        <f>$K331-SUM($W331:AG331)</f>
        <v>0</v>
      </c>
      <c r="AR331" s="52"/>
      <c r="AS331" s="52"/>
      <c r="AT331" s="52"/>
      <c r="AU331" s="141"/>
    </row>
    <row r="332" spans="1:47" s="137" customFormat="1">
      <c r="A332" s="402"/>
      <c r="B332" s="3664"/>
      <c r="C332" s="752"/>
      <c r="D332" s="757" t="s">
        <v>2519</v>
      </c>
      <c r="E332" s="598">
        <f t="shared" ref="E332:K332" si="68">E263+E300+E321+E307+E330</f>
        <v>81112414.519999996</v>
      </c>
      <c r="F332" s="598">
        <f t="shared" si="68"/>
        <v>0</v>
      </c>
      <c r="G332" s="598">
        <f t="shared" si="68"/>
        <v>0</v>
      </c>
      <c r="H332" s="598">
        <f t="shared" si="68"/>
        <v>0</v>
      </c>
      <c r="I332" s="598">
        <f t="shared" si="68"/>
        <v>0</v>
      </c>
      <c r="J332" s="598">
        <f t="shared" si="68"/>
        <v>81112414.519999996</v>
      </c>
      <c r="K332" s="598">
        <f t="shared" si="68"/>
        <v>1095966.5599999998</v>
      </c>
      <c r="L332" s="1721"/>
      <c r="M332" s="598">
        <f>M263+M300+M321+M307+M330</f>
        <v>1095966.5599999998</v>
      </c>
      <c r="N332" s="4241"/>
      <c r="O332" s="434"/>
      <c r="P332" s="445"/>
      <c r="Q332" s="726"/>
      <c r="R332" s="204">
        <v>91279.23</v>
      </c>
      <c r="S332" s="52">
        <v>143787.90999999997</v>
      </c>
      <c r="T332" s="52">
        <v>17128.833211384888</v>
      </c>
      <c r="U332" s="52">
        <v>35111.046788615175</v>
      </c>
      <c r="V332" s="52">
        <v>0</v>
      </c>
      <c r="W332" s="137">
        <f>'[26]מאזן בוחן הודו'!W294</f>
        <v>49119.499999999993</v>
      </c>
      <c r="X332" s="137">
        <f>'[27]מאזן בוחן הודו'!X294</f>
        <v>56666.110769230778</v>
      </c>
      <c r="Y332" s="137">
        <f>'[28]מאזן בוחן הודו'!Y296</f>
        <v>120770.96923076919</v>
      </c>
      <c r="Z332" s="137">
        <f>'[29]מאזן בוחן הודו'!Z300</f>
        <v>54669.898181818251</v>
      </c>
      <c r="AA332" s="137">
        <f>'[30]מאזן בוחן הודו'!AA303</f>
        <v>61186.426555023878</v>
      </c>
      <c r="AB332" s="137">
        <f>'[31]מאזן בוחן הודו'!AB298</f>
        <v>120692.28526315792</v>
      </c>
      <c r="AC332" s="137">
        <v>64544.187500000058</v>
      </c>
      <c r="AD332" s="137">
        <v>76030.433008474531</v>
      </c>
      <c r="AE332" s="137">
        <v>129127.75949152536</v>
      </c>
      <c r="AF332" s="137">
        <v>74252.326000000001</v>
      </c>
      <c r="AG332" s="137">
        <v>71549.927333333413</v>
      </c>
      <c r="AH332" s="137">
        <f>$K332-SUM($W332:AG332)</f>
        <v>217356.73666666646</v>
      </c>
      <c r="AR332" s="52"/>
      <c r="AS332" s="52"/>
      <c r="AT332" s="52"/>
      <c r="AU332" s="141"/>
    </row>
    <row r="333" spans="1:47" s="137" customFormat="1">
      <c r="A333" s="402"/>
      <c r="B333" s="3664"/>
      <c r="C333" s="749"/>
      <c r="D333" s="61"/>
      <c r="E333" s="489"/>
      <c r="F333" s="51"/>
      <c r="G333" s="399"/>
      <c r="H333" s="51"/>
      <c r="I333" s="399"/>
      <c r="J333" s="51"/>
      <c r="K333" s="399"/>
      <c r="L333" s="399"/>
      <c r="M333" s="967"/>
      <c r="N333" s="4241"/>
      <c r="O333" s="434"/>
      <c r="P333" s="445"/>
      <c r="Q333" s="726"/>
      <c r="R333" s="204">
        <v>0</v>
      </c>
      <c r="S333" s="52">
        <v>0</v>
      </c>
      <c r="T333" s="52">
        <v>0</v>
      </c>
      <c r="U333" s="52">
        <v>0</v>
      </c>
      <c r="V333" s="52">
        <v>108399.11904658074</v>
      </c>
      <c r="W333" s="137">
        <f>'[26]מאזן בוחן הודו'!W295</f>
        <v>0</v>
      </c>
      <c r="X333" s="137">
        <f>'[27]מאזן בוחן הודו'!X295</f>
        <v>0</v>
      </c>
      <c r="Y333" s="137">
        <f>'[28]מאזן בוחן הודו'!Y297</f>
        <v>0</v>
      </c>
      <c r="Z333" s="137">
        <f>'[29]מאזן בוחן הודו'!Z301</f>
        <v>0</v>
      </c>
      <c r="AA333" s="137">
        <f>'[30]מאזן בוחן הודו'!AA304</f>
        <v>0</v>
      </c>
      <c r="AB333" s="137">
        <f>'[31]מאזן בוחן הודו'!AB299</f>
        <v>0</v>
      </c>
      <c r="AC333" s="137">
        <v>0</v>
      </c>
      <c r="AD333" s="137">
        <v>0</v>
      </c>
      <c r="AE333" s="137">
        <v>0</v>
      </c>
      <c r="AF333" s="137">
        <v>0</v>
      </c>
      <c r="AG333" s="137">
        <v>0</v>
      </c>
      <c r="AH333" s="137">
        <f>$K333-SUM($W333:AG333)</f>
        <v>0</v>
      </c>
      <c r="AR333" s="52"/>
      <c r="AS333" s="52"/>
      <c r="AT333" s="52"/>
      <c r="AU333" s="141"/>
    </row>
    <row r="334" spans="1:47" s="137" customFormat="1">
      <c r="A334" s="402"/>
      <c r="B334" s="3664"/>
      <c r="C334" s="749"/>
      <c r="D334" s="70" t="s">
        <v>2593</v>
      </c>
      <c r="E334" s="398"/>
      <c r="F334" s="51"/>
      <c r="G334" s="399"/>
      <c r="H334" s="51"/>
      <c r="I334" s="399"/>
      <c r="J334" s="51"/>
      <c r="K334" s="399"/>
      <c r="L334" s="399"/>
      <c r="M334" s="967"/>
      <c r="N334" s="4241"/>
      <c r="O334" s="434"/>
      <c r="P334" s="445"/>
      <c r="Q334" s="726"/>
      <c r="R334" s="204">
        <v>0</v>
      </c>
      <c r="S334" s="52">
        <v>0</v>
      </c>
      <c r="T334" s="52">
        <v>0</v>
      </c>
      <c r="U334" s="52">
        <v>0</v>
      </c>
      <c r="V334" s="52">
        <v>0</v>
      </c>
      <c r="W334" s="137">
        <f>'[26]מאזן בוחן הודו'!W296</f>
        <v>0</v>
      </c>
      <c r="X334" s="137">
        <f>'[27]מאזן בוחן הודו'!X296</f>
        <v>0</v>
      </c>
      <c r="Y334" s="137">
        <f>'[28]מאזן בוחן הודו'!Y298</f>
        <v>0</v>
      </c>
      <c r="Z334" s="137">
        <f>'[29]מאזן בוחן הודו'!Z302</f>
        <v>0</v>
      </c>
      <c r="AA334" s="137">
        <f>'[30]מאזן בוחן הודו'!AA305</f>
        <v>0</v>
      </c>
      <c r="AB334" s="137">
        <f>'[31]מאזן בוחן הודו'!AB300</f>
        <v>0</v>
      </c>
      <c r="AC334" s="137">
        <v>0</v>
      </c>
      <c r="AD334" s="137">
        <v>0</v>
      </c>
      <c r="AE334" s="137">
        <v>0</v>
      </c>
      <c r="AF334" s="137">
        <v>0</v>
      </c>
      <c r="AG334" s="137">
        <v>0</v>
      </c>
      <c r="AH334" s="137">
        <f>$K334-SUM($W334:AG334)</f>
        <v>0</v>
      </c>
      <c r="AR334" s="52"/>
      <c r="AS334" s="52"/>
      <c r="AT334" s="52"/>
      <c r="AU334" s="141"/>
    </row>
    <row r="335" spans="1:47" s="137" customFormat="1">
      <c r="A335" s="402"/>
      <c r="B335" s="3664"/>
      <c r="C335" s="749"/>
      <c r="D335" s="61"/>
      <c r="E335" s="398"/>
      <c r="F335" s="51"/>
      <c r="G335" s="399"/>
      <c r="H335" s="51"/>
      <c r="I335" s="399"/>
      <c r="J335" s="51"/>
      <c r="K335" s="399"/>
      <c r="L335" s="399"/>
      <c r="M335" s="967"/>
      <c r="N335" s="4241"/>
      <c r="O335" s="434"/>
      <c r="P335" s="445"/>
      <c r="Q335" s="726"/>
      <c r="R335" s="204">
        <v>0</v>
      </c>
      <c r="S335" s="52">
        <v>0</v>
      </c>
      <c r="T335" s="52">
        <v>0</v>
      </c>
      <c r="U335" s="52">
        <v>0</v>
      </c>
      <c r="V335" s="52">
        <v>0</v>
      </c>
      <c r="W335" s="137">
        <f>'[26]מאזן בוחן הודו'!W297</f>
        <v>0</v>
      </c>
      <c r="X335" s="137">
        <f>'[27]מאזן בוחן הודו'!X297</f>
        <v>0</v>
      </c>
      <c r="Y335" s="137">
        <f>'[28]מאזן בוחן הודו'!Y299</f>
        <v>0</v>
      </c>
      <c r="Z335" s="137">
        <f>'[29]מאזן בוחן הודו'!Z303</f>
        <v>0</v>
      </c>
      <c r="AA335" s="137">
        <f>'[30]מאזן בוחן הודו'!AA306</f>
        <v>0</v>
      </c>
      <c r="AB335" s="137">
        <f>'[31]מאזן בוחן הודו'!AB301</f>
        <v>0</v>
      </c>
      <c r="AC335" s="137">
        <v>0</v>
      </c>
      <c r="AD335" s="137">
        <v>0</v>
      </c>
      <c r="AE335" s="137">
        <v>0</v>
      </c>
      <c r="AF335" s="137">
        <v>0</v>
      </c>
      <c r="AG335" s="137">
        <v>0</v>
      </c>
      <c r="AH335" s="137">
        <f>$K335-SUM($W335:AG335)</f>
        <v>0</v>
      </c>
      <c r="AR335" s="52"/>
      <c r="AS335" s="52"/>
      <c r="AT335" s="52"/>
      <c r="AU335" s="141"/>
    </row>
    <row r="336" spans="1:47" s="137" customFormat="1">
      <c r="A336" s="402"/>
      <c r="B336" s="3659" t="s">
        <v>1218</v>
      </c>
      <c r="C336" s="1374">
        <v>9100001</v>
      </c>
      <c r="D336" s="61" t="s">
        <v>2235</v>
      </c>
      <c r="E336" s="79">
        <f>IFERROR(VLOOKUP(C336,'פ.נ. הודו'!$D$70:$G$1144,3,0),0)</f>
        <v>10510159.800000001</v>
      </c>
      <c r="F336" s="170">
        <f>SUMIF('פ.נ. הודו'!$C:$C,$C:$C,'פ.נ. הודו'!$E:$E)</f>
        <v>-1.0531032457947731E-3</v>
      </c>
      <c r="G336" s="398"/>
      <c r="H336" s="204"/>
      <c r="I336" s="79"/>
      <c r="J336" s="591">
        <f>SUM(E336:I336)</f>
        <v>10510159.798946898</v>
      </c>
      <c r="K336" s="591">
        <f>M336+SUMIF('פ.נ. הודו'!$C:$C,$C:$C,'פ.נ. הודו'!$F:$F)</f>
        <v>141985.61998582681</v>
      </c>
      <c r="L336" s="439"/>
      <c r="M336" s="1628">
        <f>IFERROR(VLOOKUP(C336,'פ.נ. הודו'!$D$70:$G$1144,4,0),0)</f>
        <v>141985.62</v>
      </c>
      <c r="N336" s="4240">
        <f>IF(K336=0,"-",J336/K336)</f>
        <v>74.022705961322259</v>
      </c>
      <c r="O336" s="434"/>
      <c r="P336" s="445"/>
      <c r="Q336" s="726"/>
      <c r="R336" s="204">
        <v>0</v>
      </c>
      <c r="S336" s="52">
        <v>20127.73</v>
      </c>
      <c r="T336" s="52">
        <v>0</v>
      </c>
      <c r="U336" s="52">
        <v>0</v>
      </c>
      <c r="V336" s="52">
        <v>0</v>
      </c>
      <c r="W336" s="137">
        <f>'[26]מאזן בוחן הודו'!W298</f>
        <v>0</v>
      </c>
      <c r="X336" s="137">
        <f>'[27]מאזן בוחן הודו'!X298</f>
        <v>0</v>
      </c>
      <c r="Y336" s="137">
        <f>'[28]מאזן בוחן הודו'!Y300</f>
        <v>30655.91</v>
      </c>
      <c r="Z336" s="137">
        <f>'[29]מאזן בוחן הודו'!Z304</f>
        <v>0</v>
      </c>
      <c r="AA336" s="137">
        <f>'[30]מאזן בוחן הודו'!AA307</f>
        <v>0</v>
      </c>
      <c r="AB336" s="137">
        <f>'[31]מאזן בוחן הודו'!AB302</f>
        <v>30414.030000000002</v>
      </c>
      <c r="AC336" s="137">
        <v>9734.7201446567924</v>
      </c>
      <c r="AD336" s="137">
        <v>8795.6297619773832</v>
      </c>
      <c r="AE336" s="137">
        <v>17023.460150673302</v>
      </c>
      <c r="AF336" s="137">
        <v>10142.551354263691</v>
      </c>
      <c r="AG336" s="137">
        <v>9418.742901885591</v>
      </c>
      <c r="AH336" s="137">
        <f>$K336-SUM($W336:AG336)</f>
        <v>25800.575672370047</v>
      </c>
      <c r="AR336" s="52"/>
      <c r="AS336" s="52"/>
      <c r="AT336" s="52"/>
      <c r="AU336" s="141"/>
    </row>
    <row r="337" spans="1:47" s="137" customFormat="1">
      <c r="A337" s="402"/>
      <c r="B337" s="3668" t="s">
        <v>1218</v>
      </c>
      <c r="C337" s="1374">
        <v>9100003</v>
      </c>
      <c r="D337" s="45" t="s">
        <v>222</v>
      </c>
      <c r="E337" s="1753">
        <f>IFERROR(VLOOKUP(C337,'פ.נ. הודו'!$D$70:$G$1144,3,0),0)</f>
        <v>-22274.080000000002</v>
      </c>
      <c r="F337" s="170">
        <f>SUMIF('פ.נ. הודו'!$C:$C,$C:$C,'פ.נ. הודו'!$E:$E)</f>
        <v>3.7631997620337643E-3</v>
      </c>
      <c r="G337" s="398"/>
      <c r="H337" s="204"/>
      <c r="I337" s="79"/>
      <c r="J337" s="591">
        <f>SUM(E337:I337)</f>
        <v>-22274.07623680024</v>
      </c>
      <c r="K337" s="591">
        <f>M337+SUMIF('פ.נ. הודו'!$C:$C,$C:$C,'פ.נ. הודו'!$F:$F)</f>
        <v>-302.43994935298599</v>
      </c>
      <c r="L337" s="439"/>
      <c r="M337" s="591">
        <f>IFERROR(VLOOKUP(C337,'פ.נ. הודו'!$D$70:$G$1144,4,0),0)</f>
        <v>-302.44</v>
      </c>
      <c r="N337" s="4240">
        <f>IF(K337=0,"-",J337/K337)</f>
        <v>73.647930058352017</v>
      </c>
      <c r="O337" s="434"/>
      <c r="P337" s="445"/>
      <c r="Q337" s="726"/>
      <c r="R337" s="204">
        <v>0</v>
      </c>
      <c r="S337" s="52">
        <v>0</v>
      </c>
      <c r="T337" s="52">
        <v>0</v>
      </c>
      <c r="U337" s="52">
        <v>0</v>
      </c>
      <c r="V337" s="52">
        <v>21454.084040190017</v>
      </c>
      <c r="W337" s="137">
        <f>'[26]מאזן בוחן הודו'!W299</f>
        <v>0</v>
      </c>
      <c r="X337" s="137">
        <f>'[27]מאזן בוחן הודו'!X299</f>
        <v>0</v>
      </c>
      <c r="Y337" s="137">
        <f>'[28]מאזן בוחן הודו'!Y301</f>
        <v>-86.41</v>
      </c>
      <c r="Z337" s="137">
        <f>'[29]מאזן בוחן הודו'!Z305</f>
        <v>0</v>
      </c>
      <c r="AA337" s="137">
        <f>'[30]מאזן בוחן הודו'!AA308</f>
        <v>0</v>
      </c>
      <c r="AB337" s="137">
        <f>'[31]מאזן בוחן הודו'!AB303</f>
        <v>-643.36000789999923</v>
      </c>
      <c r="AC337" s="137">
        <v>-180.24212113304247</v>
      </c>
      <c r="AD337" s="137">
        <v>230.66283531070553</v>
      </c>
      <c r="AE337" s="137">
        <v>95.189227658185928</v>
      </c>
      <c r="AF337" s="137">
        <v>-14.742286016592743</v>
      </c>
      <c r="AG337" s="137">
        <v>367.41729950198447</v>
      </c>
      <c r="AH337" s="137">
        <f>$K337-SUM($W337:AG337)</f>
        <v>-70.954896774227507</v>
      </c>
      <c r="AR337" s="52"/>
      <c r="AS337" s="52"/>
      <c r="AT337" s="52"/>
      <c r="AU337" s="141"/>
    </row>
    <row r="338" spans="1:47" s="137" customFormat="1">
      <c r="A338" s="402"/>
      <c r="B338" s="3664"/>
      <c r="C338" s="759"/>
      <c r="D338" s="63"/>
      <c r="E338" s="398"/>
      <c r="F338" s="51"/>
      <c r="G338" s="399"/>
      <c r="H338" s="51"/>
      <c r="I338" s="399"/>
      <c r="J338" s="51"/>
      <c r="K338" s="97"/>
      <c r="L338" s="399"/>
      <c r="M338" s="809"/>
      <c r="N338" s="4241"/>
      <c r="O338" s="434"/>
      <c r="P338" s="445"/>
      <c r="Q338" s="726"/>
      <c r="R338" s="204">
        <v>0</v>
      </c>
      <c r="S338" s="52">
        <v>0</v>
      </c>
      <c r="T338" s="52">
        <v>0</v>
      </c>
      <c r="U338" s="52">
        <v>0</v>
      </c>
      <c r="V338" s="52">
        <v>792.09</v>
      </c>
      <c r="W338" s="137">
        <f>'[26]מאזן בוחן הודו'!W300</f>
        <v>0</v>
      </c>
      <c r="X338" s="137">
        <f>'[27]מאזן בוחן הודו'!X300</f>
        <v>0</v>
      </c>
      <c r="Y338" s="137">
        <f>'[28]מאזן בוחן הודו'!Y302</f>
        <v>0</v>
      </c>
      <c r="Z338" s="137">
        <f>'[29]מאזן בוחן הודו'!Z306</f>
        <v>0</v>
      </c>
      <c r="AA338" s="137">
        <f>'[30]מאזן בוחן הודו'!AA309</f>
        <v>0</v>
      </c>
      <c r="AB338" s="137">
        <f>'[31]מאזן בוחן הודו'!AB304</f>
        <v>0</v>
      </c>
      <c r="AC338" s="137">
        <v>0</v>
      </c>
      <c r="AD338" s="137">
        <v>0</v>
      </c>
      <c r="AE338" s="137">
        <v>0</v>
      </c>
      <c r="AF338" s="137">
        <v>0</v>
      </c>
      <c r="AG338" s="137">
        <v>0</v>
      </c>
      <c r="AH338" s="137">
        <f>$K338-SUM($W338:AG338)</f>
        <v>0</v>
      </c>
      <c r="AR338" s="52"/>
      <c r="AS338" s="52"/>
      <c r="AT338" s="52"/>
      <c r="AU338" s="141"/>
    </row>
    <row r="339" spans="1:47" s="137" customFormat="1">
      <c r="A339" s="402"/>
      <c r="B339" s="3664"/>
      <c r="C339" s="1722"/>
      <c r="D339" s="757"/>
      <c r="E339" s="598">
        <f>SUM(E336:E338)</f>
        <v>10487885.720000001</v>
      </c>
      <c r="F339" s="598">
        <f t="shared" ref="F339:M339" si="69">SUM(F336:F338)</f>
        <v>2.7100965162389912E-3</v>
      </c>
      <c r="G339" s="598">
        <f t="shared" si="69"/>
        <v>0</v>
      </c>
      <c r="H339" s="598">
        <f t="shared" si="69"/>
        <v>0</v>
      </c>
      <c r="I339" s="598">
        <f t="shared" si="69"/>
        <v>0</v>
      </c>
      <c r="J339" s="598">
        <f t="shared" si="69"/>
        <v>10487885.722710099</v>
      </c>
      <c r="K339" s="598">
        <f t="shared" si="69"/>
        <v>141683.18003647382</v>
      </c>
      <c r="L339" s="1721"/>
      <c r="M339" s="3389">
        <f t="shared" si="69"/>
        <v>141683.18</v>
      </c>
      <c r="N339" s="4241"/>
      <c r="O339" s="434"/>
      <c r="P339" s="445"/>
      <c r="Q339" s="726"/>
      <c r="R339" s="204">
        <v>0</v>
      </c>
      <c r="S339" s="52">
        <v>20127.73</v>
      </c>
      <c r="T339" s="52">
        <v>0</v>
      </c>
      <c r="U339" s="52">
        <v>0</v>
      </c>
      <c r="V339" s="52">
        <v>0</v>
      </c>
      <c r="W339" s="137">
        <f>'[26]מאזן בוחן הודו'!W301</f>
        <v>0</v>
      </c>
      <c r="X339" s="137">
        <f>'[27]מאזן בוחן הודו'!X301</f>
        <v>0</v>
      </c>
      <c r="Y339" s="137">
        <f>'[28]מאזן בוחן הודו'!Y303</f>
        <v>30569.5</v>
      </c>
      <c r="Z339" s="137">
        <f>'[29]מאזן בוחן הודו'!Z307</f>
        <v>0</v>
      </c>
      <c r="AA339" s="137">
        <f>'[30]מאזן בוחן הודו'!AA310</f>
        <v>0</v>
      </c>
      <c r="AB339" s="137">
        <f>'[31]מאזן בוחן הודו'!AB305</f>
        <v>29770.669992100004</v>
      </c>
      <c r="AC339" s="137">
        <v>9554.4780235237486</v>
      </c>
      <c r="AD339" s="137">
        <v>9026.2925972880912</v>
      </c>
      <c r="AE339" s="137">
        <v>17118.64937833148</v>
      </c>
      <c r="AF339" s="137">
        <v>10127.809068247108</v>
      </c>
      <c r="AG339" s="137">
        <v>9786.1602013875672</v>
      </c>
      <c r="AH339" s="137">
        <f>$K339-SUM($W339:AG339)</f>
        <v>25729.620775595817</v>
      </c>
      <c r="AR339" s="52"/>
      <c r="AS339" s="52"/>
      <c r="AT339" s="52"/>
      <c r="AU339" s="141"/>
    </row>
    <row r="340" spans="1:47" s="137" customFormat="1">
      <c r="A340" s="402"/>
      <c r="B340" s="3668"/>
      <c r="C340" s="1722"/>
      <c r="D340" s="61"/>
      <c r="E340" s="398"/>
      <c r="F340" s="51"/>
      <c r="G340" s="399"/>
      <c r="H340" s="51"/>
      <c r="I340" s="399"/>
      <c r="J340" s="51"/>
      <c r="K340" s="399"/>
      <c r="L340" s="51"/>
      <c r="M340" s="399"/>
      <c r="N340" s="4241"/>
      <c r="O340" s="434"/>
      <c r="P340" s="445"/>
      <c r="Q340" s="726"/>
      <c r="R340" s="204">
        <v>0</v>
      </c>
      <c r="S340" s="52">
        <v>0</v>
      </c>
      <c r="T340" s="52">
        <v>0</v>
      </c>
      <c r="U340" s="52">
        <v>0</v>
      </c>
      <c r="V340" s="52">
        <v>22246.174040190013</v>
      </c>
      <c r="W340" s="137">
        <f>'[26]מאזן בוחן הודו'!W302</f>
        <v>0</v>
      </c>
      <c r="X340" s="137">
        <f>'[27]מאזן בוחן הודו'!X302</f>
        <v>0</v>
      </c>
      <c r="Y340" s="137">
        <f>'[28]מאזן בוחן הודו'!Y304</f>
        <v>0</v>
      </c>
      <c r="Z340" s="137">
        <f>'[29]מאזן בוחן הודו'!Z308</f>
        <v>0</v>
      </c>
      <c r="AA340" s="137">
        <f>'[30]מאזן בוחן הודו'!AA311</f>
        <v>0</v>
      </c>
      <c r="AB340" s="137">
        <f>'[31]מאזן בוחן הודו'!AB306</f>
        <v>0</v>
      </c>
      <c r="AC340" s="137">
        <v>0</v>
      </c>
      <c r="AD340" s="137">
        <v>0</v>
      </c>
      <c r="AE340" s="137">
        <v>0</v>
      </c>
      <c r="AF340" s="137">
        <v>0</v>
      </c>
      <c r="AG340" s="137">
        <v>0</v>
      </c>
      <c r="AH340" s="137">
        <f>$K340-SUM($W340:AG340)</f>
        <v>0</v>
      </c>
      <c r="AR340" s="52"/>
      <c r="AS340" s="52"/>
      <c r="AT340" s="52"/>
      <c r="AU340" s="141"/>
    </row>
    <row r="341" spans="1:47" s="137" customFormat="1">
      <c r="A341" s="402"/>
      <c r="B341" s="3668"/>
      <c r="C341" s="749"/>
      <c r="D341" s="70" t="s">
        <v>99</v>
      </c>
      <c r="E341" s="429"/>
      <c r="F341" s="51"/>
      <c r="G341" s="399"/>
      <c r="H341" s="51"/>
      <c r="I341" s="399"/>
      <c r="J341" s="440"/>
      <c r="K341" s="441"/>
      <c r="L341" s="51"/>
      <c r="M341" s="441"/>
      <c r="N341" s="4241"/>
      <c r="O341" s="434"/>
      <c r="P341" s="445"/>
      <c r="Q341" s="726"/>
      <c r="R341" s="204">
        <v>0</v>
      </c>
      <c r="S341" s="52">
        <v>0</v>
      </c>
      <c r="T341" s="52">
        <v>0</v>
      </c>
      <c r="U341" s="52">
        <v>0</v>
      </c>
      <c r="V341" s="52">
        <v>0</v>
      </c>
      <c r="W341" s="137">
        <f>'[26]מאזן בוחן הודו'!W303</f>
        <v>0</v>
      </c>
      <c r="X341" s="137">
        <f>'[27]מאזן בוחן הודו'!X303</f>
        <v>0</v>
      </c>
      <c r="Y341" s="137">
        <f>'[28]מאזן בוחן הודו'!Y305</f>
        <v>0</v>
      </c>
      <c r="Z341" s="137">
        <f>'[29]מאזן בוחן הודו'!Z309</f>
        <v>0</v>
      </c>
      <c r="AA341" s="137">
        <f>'[30]מאזן בוחן הודו'!AA312</f>
        <v>0</v>
      </c>
      <c r="AB341" s="137">
        <f>'[31]מאזן בוחן הודו'!AB307</f>
        <v>0</v>
      </c>
      <c r="AC341" s="137">
        <v>0</v>
      </c>
      <c r="AD341" s="137">
        <v>0</v>
      </c>
      <c r="AE341" s="137">
        <v>0</v>
      </c>
      <c r="AF341" s="137">
        <v>0</v>
      </c>
      <c r="AG341" s="137">
        <v>0</v>
      </c>
      <c r="AH341" s="137">
        <f>$K341-SUM($W341:AG341)</f>
        <v>0</v>
      </c>
      <c r="AR341" s="52"/>
      <c r="AS341" s="52"/>
      <c r="AT341" s="52"/>
      <c r="AU341" s="141"/>
    </row>
    <row r="342" spans="1:47" s="137" customFormat="1">
      <c r="A342" s="402"/>
      <c r="B342" s="3668"/>
      <c r="C342" s="1987"/>
      <c r="D342" s="61"/>
      <c r="E342" s="398"/>
      <c r="F342" s="51"/>
      <c r="G342" s="399"/>
      <c r="H342" s="51"/>
      <c r="I342" s="399"/>
      <c r="J342" s="51"/>
      <c r="K342" s="430"/>
      <c r="M342" s="430"/>
      <c r="N342" s="3441"/>
      <c r="O342" s="140"/>
      <c r="P342" s="445"/>
      <c r="Q342" s="726"/>
      <c r="R342" s="204">
        <v>0</v>
      </c>
      <c r="S342" s="52">
        <v>0</v>
      </c>
      <c r="T342" s="52">
        <v>0</v>
      </c>
      <c r="U342" s="52">
        <v>0</v>
      </c>
      <c r="V342" s="52">
        <v>0</v>
      </c>
      <c r="W342" s="137">
        <f>'[26]מאזן בוחן הודו'!W304</f>
        <v>0</v>
      </c>
      <c r="X342" s="137">
        <f>'[27]מאזן בוחן הודו'!X304</f>
        <v>0</v>
      </c>
      <c r="Y342" s="137">
        <f>'[28]מאזן בוחן הודו'!Y306</f>
        <v>0</v>
      </c>
      <c r="Z342" s="137">
        <f>'[29]מאזן בוחן הודו'!Z310</f>
        <v>0</v>
      </c>
      <c r="AA342" s="137">
        <f>'[30]מאזן בוחן הודו'!AA313</f>
        <v>0</v>
      </c>
      <c r="AB342" s="137">
        <f>'[31]מאזן בוחן הודו'!AB308</f>
        <v>0</v>
      </c>
      <c r="AC342" s="137">
        <v>0</v>
      </c>
      <c r="AD342" s="137">
        <v>0</v>
      </c>
      <c r="AE342" s="137">
        <v>0</v>
      </c>
      <c r="AF342" s="137">
        <v>0</v>
      </c>
      <c r="AG342" s="137">
        <v>0</v>
      </c>
      <c r="AH342" s="137">
        <f>$K342-SUM($W342:AG342)</f>
        <v>0</v>
      </c>
      <c r="AR342" s="52"/>
      <c r="AS342" s="52"/>
      <c r="AT342" s="52"/>
      <c r="AU342" s="141"/>
    </row>
    <row r="343" spans="1:47" s="137" customFormat="1">
      <c r="A343" s="406"/>
      <c r="B343" s="3659" t="s">
        <v>1216</v>
      </c>
      <c r="C343" s="1374">
        <v>9010001</v>
      </c>
      <c r="D343" s="203" t="s">
        <v>1339</v>
      </c>
      <c r="E343" s="79">
        <f>IFERROR(VLOOKUP(C343,'פ.נ. הודו'!$D$70:$G$1144,3,0),0)</f>
        <v>21600.28</v>
      </c>
      <c r="F343" s="170">
        <f>SUMIF('פ.נ. הודו'!$C:$C,$C:$C,'פ.נ. הודו'!$E:$E)</f>
        <v>0</v>
      </c>
      <c r="G343" s="398"/>
      <c r="H343" s="204"/>
      <c r="I343" s="79"/>
      <c r="J343" s="522">
        <f>SUM(E343:I343)</f>
        <v>21600.28</v>
      </c>
      <c r="K343" s="1577">
        <f>M343+SUMIF('פ.נ. הודו'!$C:$C,$C:$C,'פ.נ. הודו'!$F:$F)</f>
        <v>294.87</v>
      </c>
      <c r="L343" s="439"/>
      <c r="M343" s="591">
        <f>IFERROR(VLOOKUP(C343,'פ.נ. הודו'!$D$70:$G$1144,4,0),0)</f>
        <v>294.87</v>
      </c>
      <c r="N343" s="4240">
        <f>IF(K343=0,"-",J343/K343)</f>
        <v>73.253569369552679</v>
      </c>
      <c r="O343" s="434"/>
      <c r="P343" s="445"/>
      <c r="Q343" s="726">
        <v>298.02999999999997</v>
      </c>
      <c r="R343" s="204">
        <v>74.32000000000005</v>
      </c>
      <c r="S343" s="52">
        <v>-304.22000000000003</v>
      </c>
      <c r="T343" s="52">
        <v>99.02000000000001</v>
      </c>
      <c r="U343" s="52">
        <v>2.4199999999999875</v>
      </c>
      <c r="V343" s="52">
        <v>0</v>
      </c>
      <c r="W343" s="137">
        <f>'[26]מאזן בוחן הודו'!W305</f>
        <v>0</v>
      </c>
      <c r="X343" s="137">
        <f>'[27]מאזן בוחן הודו'!X305</f>
        <v>0</v>
      </c>
      <c r="Y343" s="137">
        <f>'[28]מאזן בוחן הודו'!Y307</f>
        <v>0</v>
      </c>
      <c r="Z343" s="137">
        <f>'[29]מאזן בוחן הודו'!Z311</f>
        <v>0</v>
      </c>
      <c r="AA343" s="137">
        <f>'[30]מאזן בוחן הודו'!AA314</f>
        <v>149.43</v>
      </c>
      <c r="AB343" s="137">
        <f>'[31]מאזן בוחן הודו'!AB309</f>
        <v>0</v>
      </c>
      <c r="AC343" s="137">
        <v>0</v>
      </c>
      <c r="AD343" s="137">
        <v>0</v>
      </c>
      <c r="AE343" s="137">
        <v>145.44</v>
      </c>
      <c r="AF343" s="137">
        <v>0</v>
      </c>
      <c r="AG343" s="137">
        <v>0</v>
      </c>
      <c r="AH343" s="137">
        <f>$K343-SUM($W343:AG343)</f>
        <v>0</v>
      </c>
      <c r="AR343" s="52"/>
      <c r="AS343" s="52"/>
      <c r="AT343" s="52"/>
      <c r="AU343" s="141"/>
    </row>
    <row r="344" spans="1:47" s="137" customFormat="1">
      <c r="A344" s="406"/>
      <c r="B344" s="3659" t="s">
        <v>1216</v>
      </c>
      <c r="C344" s="1374">
        <v>9010004</v>
      </c>
      <c r="D344" s="203" t="s">
        <v>2938</v>
      </c>
      <c r="E344" s="79">
        <f>IFERROR(VLOOKUP(C344,'פ.נ. הודו'!$D$70:$G$1144,3,0),0)</f>
        <v>107978</v>
      </c>
      <c r="F344" s="170">
        <f>SUMIF('פ.נ. הודו'!$C:$C,$C:$C,'פ.נ. הודו'!$E:$E)</f>
        <v>0</v>
      </c>
      <c r="G344" s="398"/>
      <c r="H344" s="204"/>
      <c r="I344" s="79"/>
      <c r="J344" s="522">
        <f>SUM(E344:I344)</f>
        <v>107978</v>
      </c>
      <c r="K344" s="591">
        <f>M344+SUMIF('פ.נ. הודו'!$C:$C,$C:$C,'פ.נ. הודו'!$F:$F)</f>
        <v>1457.32</v>
      </c>
      <c r="L344" s="439"/>
      <c r="M344" s="591">
        <f>IFERROR(VLOOKUP(C344,'פ.נ. הודו'!$D$70:$G$1144,4,0),0)</f>
        <v>1457.32</v>
      </c>
      <c r="N344" s="4240">
        <f>IF(K344=0,"-",J344/K344)</f>
        <v>74.093541569456264</v>
      </c>
      <c r="O344" s="434"/>
      <c r="P344" s="445"/>
      <c r="Q344" s="726"/>
      <c r="R344" s="204"/>
      <c r="S344" s="52"/>
      <c r="T344" s="52"/>
      <c r="U344" s="52"/>
      <c r="V344" s="52"/>
      <c r="Y344" s="137">
        <f>'[28]מאזן בוחן הודו'!Y308</f>
        <v>237.31</v>
      </c>
      <c r="Z344" s="137">
        <f>'[29]מאזן בוחן הודו'!Z312</f>
        <v>0</v>
      </c>
      <c r="AA344" s="137">
        <f>'[30]מאזן בוחן הודו'!AA315</f>
        <v>0</v>
      </c>
      <c r="AB344" s="137">
        <f>'[31]מאזן בוחן הודו'!AB310</f>
        <v>0</v>
      </c>
      <c r="AC344" s="137">
        <v>0</v>
      </c>
      <c r="AD344" s="137">
        <v>3.0699999999999932</v>
      </c>
      <c r="AE344" s="137">
        <v>1216.94</v>
      </c>
      <c r="AF344" s="137">
        <v>0</v>
      </c>
      <c r="AG344" s="137">
        <v>0</v>
      </c>
      <c r="AH344" s="137">
        <f>$K344-SUM($W344:AG344)</f>
        <v>0</v>
      </c>
      <c r="AR344" s="52"/>
      <c r="AS344" s="52"/>
      <c r="AT344" s="52"/>
      <c r="AU344" s="141"/>
    </row>
    <row r="345" spans="1:47" s="137" customFormat="1">
      <c r="A345" s="406"/>
      <c r="B345" s="3659" t="s">
        <v>1216</v>
      </c>
      <c r="C345" s="1374">
        <v>9010002</v>
      </c>
      <c r="D345" s="203" t="s">
        <v>3882</v>
      </c>
      <c r="E345" s="79">
        <f>IFERROR(VLOOKUP(C345,'פ.נ. הודו'!$D$70:$G$1144,3,0),0)</f>
        <v>506149.69</v>
      </c>
      <c r="F345" s="170">
        <f>SUMIF('פ.נ. הודו'!$C:$C,$C:$C,'פ.נ. הודו'!$E:$E)</f>
        <v>0</v>
      </c>
      <c r="G345" s="398"/>
      <c r="H345" s="204"/>
      <c r="I345" s="79"/>
      <c r="J345" s="522">
        <f>SUM(E345:I345)</f>
        <v>506149.69</v>
      </c>
      <c r="K345" s="591">
        <f>M345+SUMIF('פ.נ. הודו'!$C:$C,$C:$C,'פ.נ. הודו'!$F:$F)</f>
        <v>20363.12</v>
      </c>
      <c r="L345" s="439"/>
      <c r="M345" s="591">
        <f>IFERROR(VLOOKUP(C345,'פ.נ. הודו'!$D$70:$G$1144,4,0),0)</f>
        <v>20363.12</v>
      </c>
      <c r="N345" s="4240">
        <f>IF(K345=0,"-",J345/K345)</f>
        <v>24.856195416026623</v>
      </c>
      <c r="O345" s="434"/>
      <c r="P345" s="445"/>
      <c r="Q345" s="726">
        <v>0</v>
      </c>
      <c r="R345" s="52">
        <v>-6139.67</v>
      </c>
      <c r="S345" s="52">
        <v>7246.16</v>
      </c>
      <c r="T345" s="52">
        <v>4390.62</v>
      </c>
      <c r="U345" s="52">
        <v>-409.13000000000011</v>
      </c>
      <c r="V345" s="52">
        <v>0</v>
      </c>
      <c r="W345" s="137">
        <f>'[26]מאזן בוחן הודו'!W306</f>
        <v>-2783.71</v>
      </c>
      <c r="X345" s="137">
        <f>K345-W345</f>
        <v>23146.829999999998</v>
      </c>
      <c r="Y345" s="137">
        <f>'[28]מאזן בוחן הודו'!Y309</f>
        <v>0</v>
      </c>
      <c r="Z345" s="137">
        <f>'[29]מאזן בוחן הודו'!Z313</f>
        <v>0</v>
      </c>
      <c r="AA345" s="137">
        <f>'[30]מאזן בוחן הודו'!AA316</f>
        <v>0</v>
      </c>
      <c r="AB345" s="137">
        <f>'[31]מאזן בוחן הודו'!AB311</f>
        <v>0</v>
      </c>
      <c r="AC345" s="137">
        <v>0</v>
      </c>
      <c r="AD345" s="137">
        <v>0</v>
      </c>
      <c r="AE345" s="137">
        <v>0</v>
      </c>
      <c r="AF345" s="137">
        <v>0</v>
      </c>
      <c r="AG345" s="137">
        <v>0</v>
      </c>
      <c r="AH345" s="137">
        <f>$K345-SUM($W345:AG345)</f>
        <v>0</v>
      </c>
      <c r="AR345" s="52"/>
      <c r="AS345" s="52"/>
      <c r="AT345" s="52"/>
      <c r="AU345" s="141"/>
    </row>
    <row r="346" spans="1:47" s="137" customFormat="1">
      <c r="A346" s="402"/>
      <c r="B346" s="3659" t="s">
        <v>1216</v>
      </c>
      <c r="C346" s="1374">
        <v>9010003</v>
      </c>
      <c r="D346" s="45" t="s">
        <v>2587</v>
      </c>
      <c r="E346" s="79">
        <f>IFERROR(VLOOKUP(C346,'פ.נ. הודו'!$D$70:$G$1144,3,0),0)</f>
        <v>0.76</v>
      </c>
      <c r="F346" s="170">
        <f>SUMIF('פ.נ. הודו'!$C:$C,$C:$C,'פ.נ. הודו'!$E:$E)</f>
        <v>0</v>
      </c>
      <c r="G346" s="398"/>
      <c r="H346" s="204"/>
      <c r="I346" s="79"/>
      <c r="J346" s="522">
        <f>SUM(E346:I346)</f>
        <v>0.76</v>
      </c>
      <c r="K346" s="591">
        <f>M346+SUMIF('פ.נ. הודו'!$C:$C,$C:$C,'פ.נ. הודו'!$F:$F)</f>
        <v>0.03</v>
      </c>
      <c r="L346" s="439"/>
      <c r="M346" s="591">
        <f>IFERROR(VLOOKUP(C346,'פ.נ. הודו'!$D$70:$G$1144,4,0),0)</f>
        <v>0.03</v>
      </c>
      <c r="N346" s="4240">
        <f>IF(K346=0,"-",J346/K346)</f>
        <v>25.333333333333336</v>
      </c>
      <c r="O346" s="434"/>
      <c r="P346" s="445"/>
      <c r="Q346" s="726">
        <v>0</v>
      </c>
      <c r="R346" s="204">
        <v>0</v>
      </c>
      <c r="S346" s="52">
        <v>0</v>
      </c>
      <c r="T346" s="52">
        <v>-0.01</v>
      </c>
      <c r="U346" s="52">
        <v>-0.01</v>
      </c>
      <c r="V346" s="52">
        <v>-7603.78</v>
      </c>
      <c r="W346" s="137">
        <f>'[26]מאזן בוחן הודו'!W307</f>
        <v>0.01</v>
      </c>
      <c r="X346" s="137">
        <f>K346-W346</f>
        <v>1.9999999999999997E-2</v>
      </c>
      <c r="Y346" s="137">
        <f>'[28]מאזן בוחן הודו'!Y310</f>
        <v>0</v>
      </c>
      <c r="Z346" s="137">
        <f>'[29]מאזן בוחן הודו'!Z314</f>
        <v>0</v>
      </c>
      <c r="AA346" s="137">
        <f>'[30]מאזן בוחן הודו'!AA317</f>
        <v>0</v>
      </c>
      <c r="AB346" s="137">
        <f>'[31]מאזן בוחן הודו'!AB312</f>
        <v>0</v>
      </c>
      <c r="AC346" s="137">
        <v>0</v>
      </c>
      <c r="AD346" s="137">
        <v>0</v>
      </c>
      <c r="AE346" s="137">
        <v>0</v>
      </c>
      <c r="AF346" s="137">
        <v>0</v>
      </c>
      <c r="AG346" s="137">
        <v>0</v>
      </c>
      <c r="AH346" s="137">
        <f>$K346-SUM($W346:AG346)</f>
        <v>0</v>
      </c>
      <c r="AR346" s="52"/>
      <c r="AS346" s="52"/>
      <c r="AT346" s="52"/>
      <c r="AU346" s="141"/>
    </row>
    <row r="347" spans="1:47" s="137" customFormat="1">
      <c r="A347" s="402"/>
      <c r="B347" s="2005"/>
      <c r="C347" s="752"/>
      <c r="D347" s="757" t="s">
        <v>100</v>
      </c>
      <c r="E347" s="598">
        <f t="shared" ref="E347:K347" si="70">SUM(E341:E346)</f>
        <v>635728.73</v>
      </c>
      <c r="F347" s="606">
        <f t="shared" si="70"/>
        <v>0</v>
      </c>
      <c r="G347" s="447">
        <f t="shared" si="70"/>
        <v>0</v>
      </c>
      <c r="H347" s="447">
        <f t="shared" si="70"/>
        <v>0</v>
      </c>
      <c r="I347" s="447">
        <f t="shared" si="70"/>
        <v>0</v>
      </c>
      <c r="J347" s="592">
        <f t="shared" si="70"/>
        <v>635728.73</v>
      </c>
      <c r="K347" s="592">
        <f t="shared" si="70"/>
        <v>22115.339999999997</v>
      </c>
      <c r="L347" s="1721"/>
      <c r="M347" s="1736">
        <f>SUM(M341:M346)</f>
        <v>22115.339999999997</v>
      </c>
      <c r="N347" s="4241"/>
      <c r="O347" s="434"/>
      <c r="P347" s="445"/>
      <c r="Q347" s="726"/>
      <c r="R347" s="141"/>
      <c r="S347" s="141"/>
      <c r="T347" s="141"/>
      <c r="U347" s="141"/>
      <c r="V347" s="141"/>
      <c r="AR347" s="141"/>
      <c r="AS347" s="141"/>
      <c r="AT347" s="141"/>
      <c r="AU347" s="141"/>
    </row>
    <row r="348" spans="1:47" s="137" customFormat="1">
      <c r="A348" s="402"/>
      <c r="B348" s="2466"/>
      <c r="C348" s="2464"/>
      <c r="D348" s="61"/>
      <c r="E348" s="489"/>
      <c r="F348" s="470"/>
      <c r="G348" s="471"/>
      <c r="H348" s="470"/>
      <c r="I348" s="471"/>
      <c r="J348" s="470"/>
      <c r="K348" s="471"/>
      <c r="L348" s="51"/>
      <c r="M348" s="52"/>
      <c r="N348" s="4241"/>
      <c r="O348" s="472"/>
      <c r="P348" s="2039"/>
      <c r="Q348" s="726"/>
      <c r="R348" s="141"/>
      <c r="S348" s="141"/>
      <c r="T348" s="141"/>
      <c r="U348" s="141"/>
      <c r="V348" s="141"/>
      <c r="AR348" s="141"/>
      <c r="AS348" s="141"/>
      <c r="AT348" s="141"/>
      <c r="AU348" s="141"/>
    </row>
    <row r="349" spans="1:47" s="137" customFormat="1" ht="13.5" thickBot="1">
      <c r="A349" s="402"/>
      <c r="B349" s="583"/>
      <c r="C349" s="2464"/>
      <c r="D349" s="61"/>
      <c r="E349" s="398"/>
      <c r="F349" s="475"/>
      <c r="G349" s="476"/>
      <c r="H349" s="475"/>
      <c r="I349" s="476"/>
      <c r="J349" s="51"/>
      <c r="K349" s="476"/>
      <c r="L349" s="51"/>
      <c r="M349" s="52"/>
      <c r="N349" s="4241"/>
      <c r="O349" s="472"/>
      <c r="P349" s="2039"/>
      <c r="Q349" s="726"/>
      <c r="R349" s="141"/>
      <c r="S349" s="141"/>
      <c r="T349" s="141"/>
      <c r="U349" s="141"/>
      <c r="V349" s="141"/>
      <c r="AR349" s="141"/>
      <c r="AS349" s="141"/>
      <c r="AT349" s="141"/>
      <c r="AU349" s="141"/>
    </row>
    <row r="350" spans="1:47" s="137" customFormat="1">
      <c r="A350" s="402"/>
      <c r="B350" s="583"/>
      <c r="C350" s="2007"/>
      <c r="D350" s="609" t="s">
        <v>101</v>
      </c>
      <c r="E350" s="89">
        <f t="shared" ref="E350:K350" si="71">E352+E168+E83</f>
        <v>0</v>
      </c>
      <c r="F350" s="89">
        <f t="shared" si="71"/>
        <v>0</v>
      </c>
      <c r="G350" s="89">
        <f t="shared" si="71"/>
        <v>0</v>
      </c>
      <c r="H350" s="89">
        <f t="shared" si="71"/>
        <v>0</v>
      </c>
      <c r="I350" s="89">
        <f t="shared" si="71"/>
        <v>0</v>
      </c>
      <c r="J350" s="89">
        <f t="shared" si="71"/>
        <v>0</v>
      </c>
      <c r="K350" s="89">
        <f t="shared" si="71"/>
        <v>9.9999997764825821E-3</v>
      </c>
      <c r="L350" s="552"/>
      <c r="M350" s="610">
        <f>M352+M168+M83</f>
        <v>0</v>
      </c>
      <c r="N350" s="4241"/>
      <c r="O350" s="472"/>
      <c r="P350" s="2039"/>
      <c r="Q350" s="726"/>
      <c r="R350" s="141"/>
      <c r="S350" s="141"/>
      <c r="T350" s="141"/>
      <c r="U350" s="141"/>
      <c r="V350" s="141"/>
      <c r="AR350" s="141"/>
      <c r="AS350" s="141"/>
      <c r="AT350" s="141"/>
      <c r="AU350" s="141"/>
    </row>
    <row r="351" spans="1:47" s="137" customFormat="1" ht="13.5" thickBot="1">
      <c r="A351" s="402"/>
      <c r="B351" s="583"/>
      <c r="C351" s="2007"/>
      <c r="D351" s="611"/>
      <c r="E351" s="90">
        <f>E350/2</f>
        <v>0</v>
      </c>
      <c r="F351" s="90">
        <f t="shared" ref="F351:K351" si="72">F350/2</f>
        <v>0</v>
      </c>
      <c r="G351" s="90">
        <f t="shared" si="72"/>
        <v>0</v>
      </c>
      <c r="H351" s="90">
        <f t="shared" si="72"/>
        <v>0</v>
      </c>
      <c r="I351" s="90">
        <f t="shared" si="72"/>
        <v>0</v>
      </c>
      <c r="J351" s="90">
        <f t="shared" si="72"/>
        <v>0</v>
      </c>
      <c r="K351" s="90">
        <f t="shared" si="72"/>
        <v>4.999999888241291E-3</v>
      </c>
      <c r="L351" s="151"/>
      <c r="M351" s="612">
        <f>M350/2</f>
        <v>0</v>
      </c>
      <c r="N351" s="4241"/>
      <c r="O351" s="472"/>
      <c r="P351" s="2039"/>
      <c r="Q351" s="726"/>
      <c r="R351" s="141"/>
      <c r="S351" s="141"/>
      <c r="T351" s="141"/>
      <c r="U351" s="141"/>
      <c r="V351" s="141"/>
      <c r="AR351" s="141"/>
      <c r="AS351" s="141"/>
      <c r="AT351" s="141"/>
      <c r="AU351" s="141"/>
    </row>
    <row r="352" spans="1:47" s="137" customFormat="1" ht="13.5" thickBot="1">
      <c r="A352" s="402" t="s">
        <v>169</v>
      </c>
      <c r="B352" s="583"/>
      <c r="C352" s="2006"/>
      <c r="D352" s="1716" t="s">
        <v>610</v>
      </c>
      <c r="E352" s="1713">
        <f t="shared" ref="E352:K352" si="73">E176+E204+E243+E332+E339+E347</f>
        <v>-18351997.060000021</v>
      </c>
      <c r="F352" s="1714">
        <f t="shared" si="73"/>
        <v>4.4371709009283222E-3</v>
      </c>
      <c r="G352" s="1714">
        <f t="shared" si="73"/>
        <v>0</v>
      </c>
      <c r="H352" s="1714">
        <f t="shared" si="73"/>
        <v>0</v>
      </c>
      <c r="I352" s="1714">
        <f t="shared" si="73"/>
        <v>0</v>
      </c>
      <c r="J352" s="1714">
        <f t="shared" si="73"/>
        <v>-18351997.055562846</v>
      </c>
      <c r="K352" s="1714">
        <f t="shared" si="73"/>
        <v>-234882.28691802948</v>
      </c>
      <c r="L352" s="1714"/>
      <c r="M352" s="1715">
        <f>M176+M204+M243+M332+M339+M347</f>
        <v>-234882.2900000003</v>
      </c>
      <c r="N352" s="4241"/>
      <c r="O352" s="472"/>
      <c r="P352" s="2039"/>
      <c r="Q352" s="726"/>
      <c r="R352" s="141"/>
      <c r="S352" s="141"/>
      <c r="T352" s="141"/>
      <c r="U352" s="141"/>
      <c r="V352" s="141"/>
      <c r="AR352" s="141"/>
      <c r="AS352" s="141"/>
      <c r="AT352" s="141"/>
      <c r="AU352" s="141"/>
    </row>
    <row r="353" spans="1:47" s="137" customFormat="1">
      <c r="A353" s="402"/>
      <c r="B353" s="583"/>
      <c r="C353" s="2465"/>
      <c r="D353" s="61"/>
      <c r="E353" s="398"/>
      <c r="F353" s="51"/>
      <c r="G353" s="399"/>
      <c r="H353" s="51"/>
      <c r="I353" s="399"/>
      <c r="J353" s="51"/>
      <c r="K353" s="399"/>
      <c r="L353" s="51"/>
      <c r="M353" s="52"/>
      <c r="N353" s="4241"/>
      <c r="O353" s="472"/>
      <c r="P353" s="2039"/>
      <c r="Q353" s="726"/>
      <c r="R353" s="141"/>
      <c r="S353" s="141"/>
      <c r="T353" s="141"/>
      <c r="U353" s="141"/>
      <c r="V353" s="141"/>
      <c r="AR353" s="141"/>
      <c r="AS353" s="141"/>
      <c r="AT353" s="141"/>
      <c r="AU353" s="141"/>
    </row>
    <row r="354" spans="1:47" s="137" customFormat="1" ht="13.5" thickBot="1">
      <c r="A354" s="402"/>
      <c r="B354" s="583"/>
      <c r="C354" s="2465"/>
      <c r="D354" s="61"/>
      <c r="E354" s="398"/>
      <c r="F354" s="51"/>
      <c r="G354" s="399"/>
      <c r="H354" s="51"/>
      <c r="I354" s="399"/>
      <c r="J354" s="207" t="s">
        <v>2507</v>
      </c>
      <c r="K354" s="335" t="s">
        <v>294</v>
      </c>
      <c r="L354" s="3416" t="s">
        <v>4234</v>
      </c>
      <c r="M354" s="3416" t="s">
        <v>4235</v>
      </c>
      <c r="N354" s="4241"/>
      <c r="O354" s="472"/>
      <c r="P354" s="2039"/>
      <c r="Q354" s="726"/>
      <c r="R354" s="141"/>
      <c r="S354" s="141"/>
      <c r="T354" s="141"/>
      <c r="U354" s="141"/>
      <c r="V354" s="141"/>
      <c r="AR354" s="141"/>
      <c r="AS354" s="141"/>
      <c r="AT354" s="141"/>
      <c r="AU354" s="141"/>
    </row>
    <row r="355" spans="1:47" ht="13.5" thickBot="1">
      <c r="C355" s="2563"/>
      <c r="D355" s="2564" t="s">
        <v>84</v>
      </c>
      <c r="E355" s="2565"/>
      <c r="F355" s="2566"/>
      <c r="G355" s="2567"/>
      <c r="H355" s="2566"/>
      <c r="I355" s="2567"/>
      <c r="J355" s="3048">
        <f>'FS India'!C52</f>
        <v>212692416.67827293</v>
      </c>
      <c r="K355" s="3049">
        <f>'FS India'!D52</f>
        <v>2876820.1369545031</v>
      </c>
      <c r="L355" s="3423">
        <f>'[175]מאזן בוחן הודו'!$J$319</f>
        <v>46153210.880000003</v>
      </c>
      <c r="M355" s="3419">
        <f>J355-L355</f>
        <v>166539205.79827294</v>
      </c>
      <c r="N355" s="4247"/>
      <c r="O355" s="472"/>
      <c r="P355" s="1507"/>
    </row>
    <row r="356" spans="1:47" ht="13.5" thickBot="1">
      <c r="C356" s="2563"/>
      <c r="D356" s="2569"/>
      <c r="E356" s="2570"/>
      <c r="F356" s="2568"/>
      <c r="G356" s="2571"/>
      <c r="H356" s="2568"/>
      <c r="I356" s="3047"/>
      <c r="J356" s="3050"/>
      <c r="K356" s="3053"/>
      <c r="L356" s="3424"/>
      <c r="M356" s="3418"/>
      <c r="N356" s="4247"/>
      <c r="O356" s="472"/>
      <c r="P356" s="1507"/>
    </row>
    <row r="357" spans="1:47">
      <c r="C357" s="2563"/>
      <c r="D357" s="2569" t="s">
        <v>576</v>
      </c>
      <c r="E357" s="2570"/>
      <c r="F357" s="2568"/>
      <c r="G357" s="2571"/>
      <c r="H357" s="2568"/>
      <c r="I357" s="3047"/>
      <c r="J357" s="3051">
        <f>'FS India'!C53</f>
        <v>99139795.559999987</v>
      </c>
      <c r="K357" s="3054">
        <f>'FS India'!D53</f>
        <v>1342077.3600000001</v>
      </c>
      <c r="L357" s="3417">
        <f>'[175]מאזן בוחן הודו'!$J$321</f>
        <v>22441156.16</v>
      </c>
      <c r="M357" s="3420">
        <f t="shared" ref="M357:M362" si="74">J357-L357</f>
        <v>76698639.399999991</v>
      </c>
      <c r="N357" s="4247"/>
      <c r="O357" s="472"/>
      <c r="P357" s="1507"/>
    </row>
    <row r="358" spans="1:47">
      <c r="C358" s="2563"/>
      <c r="D358" s="2569" t="s">
        <v>192</v>
      </c>
      <c r="E358" s="2570"/>
      <c r="F358" s="2568"/>
      <c r="G358" s="2571"/>
      <c r="H358" s="2568"/>
      <c r="I358" s="3047"/>
      <c r="J358" s="3051">
        <f>'FS India'!C56</f>
        <v>35544867.259999998</v>
      </c>
      <c r="K358" s="3054">
        <f>'FS India'!D56</f>
        <v>480687.22000000003</v>
      </c>
      <c r="L358" s="3054">
        <f>'[175]מאזן בוחן הודו'!$J$322</f>
        <v>6785515.2700000005</v>
      </c>
      <c r="M358" s="3421">
        <f t="shared" si="74"/>
        <v>28759351.989999998</v>
      </c>
      <c r="N358" s="4247"/>
      <c r="O358" s="472"/>
      <c r="P358" s="1507"/>
    </row>
    <row r="359" spans="1:47">
      <c r="C359" s="2563"/>
      <c r="D359" s="2569" t="s">
        <v>254</v>
      </c>
      <c r="E359" s="2570"/>
      <c r="F359" s="2568"/>
      <c r="G359" s="2571"/>
      <c r="H359" s="2568"/>
      <c r="I359" s="3047"/>
      <c r="J359" s="3051">
        <f>'FS India'!C57</f>
        <v>44539706</v>
      </c>
      <c r="K359" s="3054">
        <f>'FS India'!D57</f>
        <v>601389.73</v>
      </c>
      <c r="L359" s="3054">
        <f>'[175]מאזן בוחן הודו'!$J$323</f>
        <v>9627867.3300000001</v>
      </c>
      <c r="M359" s="3421">
        <f t="shared" si="74"/>
        <v>34911838.670000002</v>
      </c>
      <c r="N359" s="4247"/>
      <c r="O359" s="472"/>
      <c r="P359" s="1507"/>
    </row>
    <row r="360" spans="1:47">
      <c r="C360" s="2563"/>
      <c r="D360" s="2569" t="s">
        <v>193</v>
      </c>
      <c r="E360" s="2570"/>
      <c r="F360" s="2568"/>
      <c r="G360" s="2571"/>
      <c r="H360" s="2568"/>
      <c r="I360" s="3047"/>
      <c r="J360" s="3051">
        <f>'FS India'!C58</f>
        <v>3992436.3499999996</v>
      </c>
      <c r="K360" s="3054">
        <f>'FS India'!D58</f>
        <v>53985.019999999982</v>
      </c>
      <c r="L360" s="3054">
        <f>'[175]מאזן בוחן הודו'!$J$324</f>
        <v>893684.70000000007</v>
      </c>
      <c r="M360" s="3421">
        <f t="shared" si="74"/>
        <v>3098751.6499999994</v>
      </c>
      <c r="N360" s="4247"/>
      <c r="O360" s="472"/>
      <c r="P360" s="1507"/>
    </row>
    <row r="361" spans="1:47">
      <c r="C361" s="2563"/>
      <c r="D361" s="2624" t="s">
        <v>99</v>
      </c>
      <c r="E361" s="2570"/>
      <c r="F361" s="2568"/>
      <c r="G361" s="2571"/>
      <c r="H361" s="2568"/>
      <c r="I361" s="3047"/>
      <c r="J361" s="3425">
        <f>-'FS India'!C62+17380</f>
        <v>653108.73</v>
      </c>
      <c r="K361" s="3426">
        <f>-'FS India'!D62+234</f>
        <v>22349.339999999997</v>
      </c>
      <c r="L361" s="3054">
        <f>'[175]מאזן בוחן הודו'!$J$325</f>
        <v>18140.23</v>
      </c>
      <c r="M361" s="3421">
        <f t="shared" si="74"/>
        <v>634968.5</v>
      </c>
      <c r="N361" s="4247"/>
      <c r="O361" s="472"/>
      <c r="P361" s="1507"/>
    </row>
    <row r="362" spans="1:47" ht="13.5" thickBot="1">
      <c r="C362" s="2563"/>
      <c r="D362" s="4233" t="s">
        <v>4956</v>
      </c>
      <c r="E362" s="2570"/>
      <c r="F362" s="2568"/>
      <c r="G362" s="2571"/>
      <c r="H362" s="2568"/>
      <c r="I362" s="3047"/>
      <c r="J362" s="3052">
        <f>-$J$345-J344</f>
        <v>-614127.68999999994</v>
      </c>
      <c r="K362" s="3055">
        <f>-$K$345-K344</f>
        <v>-21820.44</v>
      </c>
      <c r="L362" s="3055">
        <f>'[175]מאזן בוחן הודו'!$J$326</f>
        <v>-758.88</v>
      </c>
      <c r="M362" s="3422">
        <f t="shared" si="74"/>
        <v>-613368.80999999994</v>
      </c>
      <c r="N362" s="4247"/>
      <c r="O362" s="472"/>
      <c r="P362" s="1507"/>
    </row>
    <row r="363" spans="1:47" ht="13.5" thickBot="1">
      <c r="C363" s="2563"/>
      <c r="D363" s="2624" t="s">
        <v>2977</v>
      </c>
      <c r="E363" s="2570"/>
      <c r="F363" s="2568"/>
      <c r="G363" s="2571"/>
      <c r="H363" s="2568"/>
      <c r="I363" s="2571"/>
      <c r="J363" s="2571">
        <f>J355-SUM(J357:J362)</f>
        <v>29436630.468272954</v>
      </c>
      <c r="K363" s="2571">
        <f>K355-SUM(K357:K362)</f>
        <v>398151.90695450315</v>
      </c>
      <c r="L363" s="3415"/>
      <c r="M363" s="2571">
        <f>M355-SUM(M357:M362)</f>
        <v>23049024.398272932</v>
      </c>
      <c r="N363" s="4247"/>
      <c r="O363" s="472"/>
      <c r="P363" s="1507"/>
    </row>
    <row r="364" spans="1:47" ht="13.5" thickBot="1">
      <c r="C364" s="2563"/>
      <c r="D364" s="2625" t="s">
        <v>2830</v>
      </c>
      <c r="E364" s="2573"/>
      <c r="F364" s="2574"/>
      <c r="G364" s="2575"/>
      <c r="H364" s="2574"/>
      <c r="I364" s="2576"/>
      <c r="J364" s="2626">
        <f>J363/J355</f>
        <v>0.13839999999999991</v>
      </c>
      <c r="K364" s="2626">
        <f>K363/K355</f>
        <v>0.13839999999999997</v>
      </c>
      <c r="M364" s="2626">
        <f>M363/M355</f>
        <v>0.13839998988701768</v>
      </c>
      <c r="N364" s="4248"/>
      <c r="O364" s="472"/>
    </row>
    <row r="365" spans="1:47">
      <c r="C365" s="2563"/>
      <c r="D365" s="1832"/>
      <c r="E365" s="2577"/>
      <c r="F365" s="2568"/>
      <c r="G365" s="2566"/>
      <c r="H365" s="2566"/>
      <c r="I365" s="2568"/>
      <c r="J365" s="2463"/>
      <c r="K365" s="1916"/>
      <c r="L365" s="2568"/>
      <c r="M365" s="2572"/>
      <c r="N365" s="4248"/>
      <c r="O365" s="472"/>
    </row>
    <row r="366" spans="1:47" ht="13.5" thickBot="1">
      <c r="D366" s="61" t="s">
        <v>2946</v>
      </c>
      <c r="L366" s="144"/>
      <c r="M366" s="144"/>
      <c r="N366" s="4249"/>
      <c r="O366" s="144"/>
    </row>
    <row r="367" spans="1:47">
      <c r="D367" s="2558" t="s">
        <v>2978</v>
      </c>
      <c r="E367" s="2467"/>
      <c r="F367" s="2467"/>
      <c r="G367" s="2467"/>
      <c r="H367" s="2467"/>
      <c r="I367" s="2467"/>
      <c r="J367" s="3300">
        <f>-$E$175</f>
        <v>212692416.68000001</v>
      </c>
      <c r="K367" s="3300">
        <f>-M175</f>
        <v>2876820.14</v>
      </c>
      <c r="L367" s="144"/>
      <c r="M367" s="3300">
        <f>J367-'[175]מאזן בוחן הודו'!$J$331</f>
        <v>166539205.80000001</v>
      </c>
      <c r="N367" s="4249"/>
      <c r="O367" s="144"/>
    </row>
    <row r="368" spans="1:47">
      <c r="D368" s="2468" t="s">
        <v>2947</v>
      </c>
      <c r="E368" s="51"/>
      <c r="F368" s="144"/>
      <c r="G368" s="144"/>
      <c r="H368" s="144"/>
      <c r="I368" s="144"/>
      <c r="J368" s="2579">
        <f>SUM(J357:J362)</f>
        <v>183255786.20999998</v>
      </c>
      <c r="K368" s="2579">
        <f>SUM(K357:K362)</f>
        <v>2478668.23</v>
      </c>
      <c r="L368" s="2578"/>
      <c r="M368" s="2579">
        <f>SUM(M357:M362)</f>
        <v>143490181.40000001</v>
      </c>
      <c r="N368" s="1078"/>
      <c r="O368" s="472"/>
    </row>
    <row r="369" spans="4:13" ht="13.5" thickBot="1">
      <c r="D369" s="1466" t="s">
        <v>2976</v>
      </c>
      <c r="E369" s="2578">
        <v>0.1384</v>
      </c>
      <c r="F369" s="144"/>
      <c r="G369" s="144"/>
      <c r="H369" s="144"/>
      <c r="I369" s="144"/>
      <c r="J369" s="2579">
        <f>J368/(1-$E$369)</f>
        <v>212692416.67827293</v>
      </c>
      <c r="K369" s="2579">
        <f>K368/(1-$E$369)</f>
        <v>2876820.1369545031</v>
      </c>
      <c r="L369" s="2578"/>
      <c r="M369" s="2579">
        <f>M368/(1-$E$369)</f>
        <v>166539207.75301763</v>
      </c>
    </row>
    <row r="370" spans="4:13" ht="13.5" thickBot="1">
      <c r="D370" s="2559" t="s">
        <v>284</v>
      </c>
      <c r="E370" s="151"/>
      <c r="F370" s="1018"/>
      <c r="G370" s="1018"/>
      <c r="H370" s="1018"/>
      <c r="I370" s="1018"/>
      <c r="J370" s="2627">
        <f>J369-J367</f>
        <v>-1.7270743846893311E-3</v>
      </c>
      <c r="K370" s="2627">
        <f>K369-K367</f>
        <v>-3.0454969964921474E-3</v>
      </c>
      <c r="M370" s="2627">
        <f>M369-M367</f>
        <v>1.9530176222324371</v>
      </c>
    </row>
    <row r="371" spans="4:13">
      <c r="K371" s="51"/>
    </row>
    <row r="372" spans="4:13">
      <c r="K372" s="51"/>
    </row>
    <row r="373" spans="4:13">
      <c r="K373" s="51"/>
    </row>
  </sheetData>
  <autoFilter ref="K1:K365" xr:uid="{00000000-0009-0000-0000-00000F000000}"/>
  <mergeCells count="3">
    <mergeCell ref="E3:M3"/>
    <mergeCell ref="P35:P37"/>
    <mergeCell ref="B2:B3"/>
  </mergeCells>
  <conditionalFormatting sqref="C346">
    <cfRule type="duplicateValues" dxfId="199" priority="158" stopIfTrue="1"/>
  </conditionalFormatting>
  <conditionalFormatting sqref="C142">
    <cfRule type="duplicateValues" dxfId="198" priority="159" stopIfTrue="1"/>
  </conditionalFormatting>
  <conditionalFormatting sqref="C241">
    <cfRule type="duplicateValues" dxfId="197" priority="160" stopIfTrue="1"/>
  </conditionalFormatting>
  <conditionalFormatting sqref="C22">
    <cfRule type="duplicateValues" dxfId="196" priority="156" stopIfTrue="1"/>
    <cfRule type="duplicateValues" dxfId="195" priority="157" stopIfTrue="1"/>
  </conditionalFormatting>
  <conditionalFormatting sqref="D179">
    <cfRule type="duplicateValues" dxfId="194" priority="154" stopIfTrue="1"/>
    <cfRule type="duplicateValues" dxfId="193" priority="155" stopIfTrue="1"/>
  </conditionalFormatting>
  <conditionalFormatting sqref="C243">
    <cfRule type="duplicateValues" dxfId="192" priority="152" stopIfTrue="1"/>
    <cfRule type="duplicateValues" dxfId="191" priority="153" stopIfTrue="1"/>
  </conditionalFormatting>
  <conditionalFormatting sqref="C193:C197 C183 C185 C190:C191">
    <cfRule type="duplicateValues" dxfId="190" priority="147" stopIfTrue="1"/>
  </conditionalFormatting>
  <conditionalFormatting sqref="C193:C197 C183 C185 C190:C191">
    <cfRule type="duplicateValues" dxfId="189" priority="148" stopIfTrue="1"/>
    <cfRule type="duplicateValues" dxfId="188" priority="149" stopIfTrue="1"/>
  </conditionalFormatting>
  <conditionalFormatting sqref="C343:C345">
    <cfRule type="duplicateValues" dxfId="187" priority="141" stopIfTrue="1"/>
  </conditionalFormatting>
  <conditionalFormatting sqref="C343:C345">
    <cfRule type="duplicateValues" dxfId="186" priority="142" stopIfTrue="1"/>
    <cfRule type="duplicateValues" dxfId="185" priority="143" stopIfTrue="1"/>
  </conditionalFormatting>
  <conditionalFormatting sqref="C223:C226">
    <cfRule type="duplicateValues" dxfId="184" priority="135" stopIfTrue="1"/>
  </conditionalFormatting>
  <conditionalFormatting sqref="C223:C226">
    <cfRule type="duplicateValues" dxfId="183" priority="136" stopIfTrue="1"/>
    <cfRule type="duplicateValues" dxfId="182" priority="137" stopIfTrue="1"/>
  </conditionalFormatting>
  <conditionalFormatting sqref="C258:C261">
    <cfRule type="duplicateValues" dxfId="181" priority="170" stopIfTrue="1"/>
  </conditionalFormatting>
  <conditionalFormatting sqref="C258:C261">
    <cfRule type="duplicateValues" dxfId="180" priority="171" stopIfTrue="1"/>
    <cfRule type="duplicateValues" dxfId="179" priority="172" stopIfTrue="1"/>
  </conditionalFormatting>
  <conditionalFormatting sqref="C146">
    <cfRule type="duplicateValues" dxfId="178" priority="129" stopIfTrue="1"/>
  </conditionalFormatting>
  <conditionalFormatting sqref="C146">
    <cfRule type="duplicateValues" dxfId="177" priority="130" stopIfTrue="1"/>
    <cfRule type="duplicateValues" dxfId="176" priority="131" stopIfTrue="1"/>
  </conditionalFormatting>
  <conditionalFormatting sqref="C198">
    <cfRule type="duplicateValues" dxfId="175" priority="126" stopIfTrue="1"/>
  </conditionalFormatting>
  <conditionalFormatting sqref="C198">
    <cfRule type="duplicateValues" dxfId="174" priority="127" stopIfTrue="1"/>
    <cfRule type="duplicateValues" dxfId="173" priority="128" stopIfTrue="1"/>
  </conditionalFormatting>
  <conditionalFormatting sqref="C216:C218">
    <cfRule type="duplicateValues" dxfId="172" priority="120" stopIfTrue="1"/>
  </conditionalFormatting>
  <conditionalFormatting sqref="C216:C218">
    <cfRule type="duplicateValues" dxfId="171" priority="121" stopIfTrue="1"/>
    <cfRule type="duplicateValues" dxfId="170" priority="122" stopIfTrue="1"/>
  </conditionalFormatting>
  <conditionalFormatting sqref="C251:C255 C257">
    <cfRule type="duplicateValues" dxfId="169" priority="17119" stopIfTrue="1"/>
  </conditionalFormatting>
  <conditionalFormatting sqref="C251:C255 C257">
    <cfRule type="duplicateValues" dxfId="168" priority="17120" stopIfTrue="1"/>
    <cfRule type="duplicateValues" dxfId="167" priority="17121" stopIfTrue="1"/>
  </conditionalFormatting>
  <conditionalFormatting sqref="C141">
    <cfRule type="duplicateValues" dxfId="166" priority="115" stopIfTrue="1"/>
  </conditionalFormatting>
  <conditionalFormatting sqref="C141">
    <cfRule type="duplicateValues" dxfId="165" priority="116" stopIfTrue="1"/>
    <cfRule type="duplicateValues" dxfId="164" priority="117" stopIfTrue="1"/>
  </conditionalFormatting>
  <conditionalFormatting sqref="C141">
    <cfRule type="duplicateValues" dxfId="163" priority="118"/>
  </conditionalFormatting>
  <conditionalFormatting sqref="C228:C235">
    <cfRule type="duplicateValues" dxfId="162" priority="107" stopIfTrue="1"/>
  </conditionalFormatting>
  <conditionalFormatting sqref="C228:C235">
    <cfRule type="duplicateValues" dxfId="161" priority="108" stopIfTrue="1"/>
    <cfRule type="duplicateValues" dxfId="160" priority="109" stopIfTrue="1"/>
  </conditionalFormatting>
  <conditionalFormatting sqref="C228:C235">
    <cfRule type="duplicateValues" dxfId="159" priority="110"/>
  </conditionalFormatting>
  <conditionalFormatting sqref="C236:C237 C239">
    <cfRule type="duplicateValues" dxfId="158" priority="103" stopIfTrue="1"/>
  </conditionalFormatting>
  <conditionalFormatting sqref="C236:C237 C239">
    <cfRule type="duplicateValues" dxfId="157" priority="104" stopIfTrue="1"/>
    <cfRule type="duplicateValues" dxfId="156" priority="105" stopIfTrue="1"/>
  </conditionalFormatting>
  <conditionalFormatting sqref="C236:C237 C239">
    <cfRule type="duplicateValues" dxfId="155" priority="106"/>
  </conditionalFormatting>
  <conditionalFormatting sqref="C219">
    <cfRule type="duplicateValues" dxfId="154" priority="99" stopIfTrue="1"/>
  </conditionalFormatting>
  <conditionalFormatting sqref="C219">
    <cfRule type="duplicateValues" dxfId="153" priority="100" stopIfTrue="1"/>
    <cfRule type="duplicateValues" dxfId="152" priority="101" stopIfTrue="1"/>
  </conditionalFormatting>
  <conditionalFormatting sqref="D216:D217">
    <cfRule type="duplicateValues" dxfId="151" priority="95" stopIfTrue="1"/>
  </conditionalFormatting>
  <conditionalFormatting sqref="D216:D217">
    <cfRule type="duplicateValues" dxfId="150" priority="96" stopIfTrue="1"/>
    <cfRule type="duplicateValues" dxfId="149" priority="97" stopIfTrue="1"/>
  </conditionalFormatting>
  <conditionalFormatting sqref="D216:D217">
    <cfRule type="duplicateValues" dxfId="148" priority="98"/>
  </conditionalFormatting>
  <conditionalFormatting sqref="C346">
    <cfRule type="duplicateValues" dxfId="147" priority="92" stopIfTrue="1"/>
  </conditionalFormatting>
  <conditionalFormatting sqref="C346">
    <cfRule type="duplicateValues" dxfId="146" priority="93" stopIfTrue="1"/>
    <cfRule type="duplicateValues" dxfId="145" priority="94" stopIfTrue="1"/>
  </conditionalFormatting>
  <conditionalFormatting sqref="C138:C140">
    <cfRule type="duplicateValues" dxfId="144" priority="18486"/>
  </conditionalFormatting>
  <conditionalFormatting sqref="C155">
    <cfRule type="duplicateValues" dxfId="143" priority="88" stopIfTrue="1"/>
  </conditionalFormatting>
  <conditionalFormatting sqref="C155">
    <cfRule type="duplicateValues" dxfId="142" priority="89" stopIfTrue="1"/>
    <cfRule type="duplicateValues" dxfId="141" priority="90" stopIfTrue="1"/>
  </conditionalFormatting>
  <conditionalFormatting sqref="C155">
    <cfRule type="duplicateValues" dxfId="140" priority="91"/>
  </conditionalFormatting>
  <conditionalFormatting sqref="C122">
    <cfRule type="duplicateValues" dxfId="139" priority="87"/>
  </conditionalFormatting>
  <conditionalFormatting sqref="C123">
    <cfRule type="duplicateValues" dxfId="138" priority="86"/>
  </conditionalFormatting>
  <conditionalFormatting sqref="C124">
    <cfRule type="duplicateValues" dxfId="137" priority="85"/>
  </conditionalFormatting>
  <conditionalFormatting sqref="C125">
    <cfRule type="duplicateValues" dxfId="136" priority="84"/>
  </conditionalFormatting>
  <conditionalFormatting sqref="C336">
    <cfRule type="duplicateValues" dxfId="135" priority="81" stopIfTrue="1"/>
  </conditionalFormatting>
  <conditionalFormatting sqref="C336">
    <cfRule type="duplicateValues" dxfId="134" priority="82" stopIfTrue="1"/>
    <cfRule type="duplicateValues" dxfId="133" priority="83" stopIfTrue="1"/>
  </conditionalFormatting>
  <conditionalFormatting sqref="C280:C294 C270:C278">
    <cfRule type="duplicateValues" dxfId="132" priority="18617" stopIfTrue="1"/>
  </conditionalFormatting>
  <conditionalFormatting sqref="C280:C294 C270:C278">
    <cfRule type="duplicateValues" dxfId="131" priority="18619" stopIfTrue="1"/>
    <cfRule type="duplicateValues" dxfId="130" priority="18620" stopIfTrue="1"/>
  </conditionalFormatting>
  <conditionalFormatting sqref="C238">
    <cfRule type="duplicateValues" dxfId="129" priority="77" stopIfTrue="1"/>
  </conditionalFormatting>
  <conditionalFormatting sqref="C238">
    <cfRule type="duplicateValues" dxfId="128" priority="78" stopIfTrue="1"/>
    <cfRule type="duplicateValues" dxfId="127" priority="79" stopIfTrue="1"/>
  </conditionalFormatting>
  <conditionalFormatting sqref="C238">
    <cfRule type="duplicateValues" dxfId="126" priority="80"/>
  </conditionalFormatting>
  <conditionalFormatting sqref="C202">
    <cfRule type="duplicateValues" dxfId="125" priority="73" stopIfTrue="1"/>
  </conditionalFormatting>
  <conditionalFormatting sqref="C202">
    <cfRule type="duplicateValues" dxfId="124" priority="74" stopIfTrue="1"/>
    <cfRule type="duplicateValues" dxfId="123" priority="75" stopIfTrue="1"/>
  </conditionalFormatting>
  <conditionalFormatting sqref="C202">
    <cfRule type="duplicateValues" dxfId="122" priority="76"/>
  </conditionalFormatting>
  <conditionalFormatting sqref="C298">
    <cfRule type="duplicateValues" dxfId="121" priority="69" stopIfTrue="1"/>
  </conditionalFormatting>
  <conditionalFormatting sqref="C298">
    <cfRule type="duplicateValues" dxfId="120" priority="70" stopIfTrue="1"/>
    <cfRule type="duplicateValues" dxfId="119" priority="71" stopIfTrue="1"/>
  </conditionalFormatting>
  <conditionalFormatting sqref="C298">
    <cfRule type="duplicateValues" dxfId="118" priority="72"/>
  </conditionalFormatting>
  <conditionalFormatting sqref="C192">
    <cfRule type="duplicateValues" dxfId="117" priority="65" stopIfTrue="1"/>
  </conditionalFormatting>
  <conditionalFormatting sqref="C192">
    <cfRule type="duplicateValues" dxfId="116" priority="66" stopIfTrue="1"/>
    <cfRule type="duplicateValues" dxfId="115" priority="67" stopIfTrue="1"/>
  </conditionalFormatting>
  <conditionalFormatting sqref="C192">
    <cfRule type="duplicateValues" dxfId="114" priority="68"/>
  </conditionalFormatting>
  <conditionalFormatting sqref="C279">
    <cfRule type="duplicateValues" dxfId="113" priority="57" stopIfTrue="1"/>
  </conditionalFormatting>
  <conditionalFormatting sqref="C279">
    <cfRule type="duplicateValues" dxfId="112" priority="58" stopIfTrue="1"/>
    <cfRule type="duplicateValues" dxfId="111" priority="59" stopIfTrue="1"/>
  </conditionalFormatting>
  <conditionalFormatting sqref="C279">
    <cfRule type="duplicateValues" dxfId="110" priority="60"/>
  </conditionalFormatting>
  <conditionalFormatting sqref="C256">
    <cfRule type="duplicateValues" dxfId="109" priority="53" stopIfTrue="1"/>
  </conditionalFormatting>
  <conditionalFormatting sqref="C256">
    <cfRule type="duplicateValues" dxfId="108" priority="54" stopIfTrue="1"/>
    <cfRule type="duplicateValues" dxfId="107" priority="55" stopIfTrue="1"/>
  </conditionalFormatting>
  <conditionalFormatting sqref="C256">
    <cfRule type="duplicateValues" dxfId="106" priority="56"/>
  </conditionalFormatting>
  <conditionalFormatting sqref="C159">
    <cfRule type="duplicateValues" dxfId="105" priority="49" stopIfTrue="1"/>
  </conditionalFormatting>
  <conditionalFormatting sqref="C159">
    <cfRule type="duplicateValues" dxfId="104" priority="50" stopIfTrue="1"/>
    <cfRule type="duplicateValues" dxfId="103" priority="51" stopIfTrue="1"/>
  </conditionalFormatting>
  <conditionalFormatting sqref="C159">
    <cfRule type="duplicateValues" dxfId="102" priority="52"/>
  </conditionalFormatting>
  <conditionalFormatting sqref="C184 C187:C189">
    <cfRule type="duplicateValues" dxfId="101" priority="40"/>
  </conditionalFormatting>
  <conditionalFormatting sqref="C184 C187:C189">
    <cfRule type="duplicateValues" dxfId="100" priority="41" stopIfTrue="1"/>
  </conditionalFormatting>
  <conditionalFormatting sqref="C184 C187:C189">
    <cfRule type="duplicateValues" dxfId="99" priority="42" stopIfTrue="1"/>
    <cfRule type="duplicateValues" dxfId="98" priority="43" stopIfTrue="1"/>
  </conditionalFormatting>
  <conditionalFormatting sqref="C186">
    <cfRule type="duplicateValues" dxfId="97" priority="19529" stopIfTrue="1"/>
  </conditionalFormatting>
  <conditionalFormatting sqref="C186">
    <cfRule type="duplicateValues" dxfId="96" priority="19531" stopIfTrue="1"/>
    <cfRule type="duplicateValues" dxfId="95" priority="19532" stopIfTrue="1"/>
  </conditionalFormatting>
  <conditionalFormatting sqref="C199:C201">
    <cfRule type="duplicateValues" dxfId="94" priority="37" stopIfTrue="1"/>
  </conditionalFormatting>
  <conditionalFormatting sqref="C199:C201">
    <cfRule type="duplicateValues" dxfId="93" priority="38" stopIfTrue="1"/>
    <cfRule type="duplicateValues" dxfId="92" priority="39" stopIfTrue="1"/>
  </conditionalFormatting>
  <conditionalFormatting sqref="C366:C1048576 C299:C301 C137 C240:C255 C142 C207:C226 C156 C190:C191 C280:C294 C193:C201 C257:C278 C144:C146 C172:C175 C178:C183 C185:C186 C150 C162:C165 C320:C326 C1:C121 C331:C354 C329">
    <cfRule type="duplicateValues" dxfId="91" priority="19897"/>
  </conditionalFormatting>
  <conditionalFormatting sqref="C366:C65193 C348:C354 C346 C1:C21 C23:C24 C241:C242 C264:C269 C58:C61 C179:C182 C219 C115:C116 C142 C244:C250 C77:C80 C150 C118 C215 C262 C301 C90:C91">
    <cfRule type="duplicateValues" dxfId="90" priority="20190" stopIfTrue="1"/>
    <cfRule type="duplicateValues" dxfId="89" priority="20191" stopIfTrue="1"/>
  </conditionalFormatting>
  <conditionalFormatting sqref="C355:C365">
    <cfRule type="duplicateValues" dxfId="88" priority="20262" stopIfTrue="1"/>
    <cfRule type="duplicateValues" dxfId="87" priority="20263" stopIfTrue="1"/>
  </conditionalFormatting>
  <conditionalFormatting sqref="C337">
    <cfRule type="duplicateValues" dxfId="86" priority="30" stopIfTrue="1"/>
  </conditionalFormatting>
  <conditionalFormatting sqref="C337">
    <cfRule type="duplicateValues" dxfId="85" priority="31" stopIfTrue="1"/>
    <cfRule type="duplicateValues" dxfId="84" priority="32" stopIfTrue="1"/>
  </conditionalFormatting>
  <conditionalFormatting sqref="C126">
    <cfRule type="duplicateValues" dxfId="83" priority="29"/>
  </conditionalFormatting>
  <conditionalFormatting sqref="C306">
    <cfRule type="duplicateValues" dxfId="82" priority="26" stopIfTrue="1"/>
    <cfRule type="duplicateValues" dxfId="81" priority="27" stopIfTrue="1"/>
  </conditionalFormatting>
  <conditionalFormatting sqref="C306:C308">
    <cfRule type="duplicateValues" dxfId="80" priority="28"/>
  </conditionalFormatting>
  <conditionalFormatting sqref="C304:C305">
    <cfRule type="duplicateValues" dxfId="79" priority="21493" stopIfTrue="1"/>
  </conditionalFormatting>
  <conditionalFormatting sqref="C304:C305">
    <cfRule type="duplicateValues" dxfId="78" priority="21494" stopIfTrue="1"/>
    <cfRule type="duplicateValues" dxfId="77" priority="21495" stopIfTrue="1"/>
  </conditionalFormatting>
  <conditionalFormatting sqref="C304:C305">
    <cfRule type="duplicateValues" dxfId="76" priority="21496"/>
  </conditionalFormatting>
  <conditionalFormatting sqref="C227">
    <cfRule type="duplicateValues" dxfId="75" priority="14" stopIfTrue="1"/>
  </conditionalFormatting>
  <conditionalFormatting sqref="C227">
    <cfRule type="duplicateValues" dxfId="74" priority="15" stopIfTrue="1"/>
    <cfRule type="duplicateValues" dxfId="73" priority="16" stopIfTrue="1"/>
  </conditionalFormatting>
  <conditionalFormatting sqref="C227">
    <cfRule type="duplicateValues" dxfId="72" priority="17"/>
  </conditionalFormatting>
  <conditionalFormatting sqref="C330">
    <cfRule type="duplicateValues" dxfId="71" priority="9"/>
  </conditionalFormatting>
  <conditionalFormatting sqref="C327:C328">
    <cfRule type="duplicateValues" dxfId="70" priority="5" stopIfTrue="1"/>
  </conditionalFormatting>
  <conditionalFormatting sqref="C327:C328">
    <cfRule type="duplicateValues" dxfId="69" priority="6" stopIfTrue="1"/>
    <cfRule type="duplicateValues" dxfId="68" priority="7" stopIfTrue="1"/>
  </conditionalFormatting>
  <conditionalFormatting sqref="C327:C328">
    <cfRule type="duplicateValues" dxfId="67" priority="8"/>
  </conditionalFormatting>
  <conditionalFormatting sqref="C315:C316">
    <cfRule type="duplicateValues" dxfId="66" priority="22078" stopIfTrue="1"/>
  </conditionalFormatting>
  <conditionalFormatting sqref="C315:C316">
    <cfRule type="duplicateValues" dxfId="65" priority="22080" stopIfTrue="1"/>
    <cfRule type="duplicateValues" dxfId="64" priority="22081" stopIfTrue="1"/>
  </conditionalFormatting>
  <conditionalFormatting sqref="C315:C316">
    <cfRule type="duplicateValues" dxfId="63" priority="22084"/>
  </conditionalFormatting>
  <conditionalFormatting sqref="C319">
    <cfRule type="duplicateValues" dxfId="62" priority="1" stopIfTrue="1"/>
  </conditionalFormatting>
  <conditionalFormatting sqref="C319">
    <cfRule type="duplicateValues" dxfId="61" priority="2" stopIfTrue="1"/>
    <cfRule type="duplicateValues" dxfId="60" priority="3" stopIfTrue="1"/>
  </conditionalFormatting>
  <conditionalFormatting sqref="C319">
    <cfRule type="duplicateValues" dxfId="59" priority="4"/>
  </conditionalFormatting>
  <conditionalFormatting sqref="C317:C318">
    <cfRule type="duplicateValues" dxfId="58" priority="22143" stopIfTrue="1"/>
  </conditionalFormatting>
  <conditionalFormatting sqref="C317:C318">
    <cfRule type="duplicateValues" dxfId="57" priority="22145" stopIfTrue="1"/>
    <cfRule type="duplicateValues" dxfId="56" priority="22146" stopIfTrue="1"/>
  </conditionalFormatting>
  <conditionalFormatting sqref="C317:C318">
    <cfRule type="duplicateValues" dxfId="55" priority="22149"/>
  </conditionalFormatting>
  <conditionalFormatting sqref="C320">
    <cfRule type="duplicateValues" dxfId="54" priority="22150" stopIfTrue="1"/>
    <cfRule type="duplicateValues" dxfId="53" priority="22151" stopIfTrue="1"/>
  </conditionalFormatting>
  <hyperlinks>
    <hyperlink ref="O55" location="'Prepaid expenses'!A130" display="'Prepaid expenses'!A130" xr:uid="{2FE1BF68-1FC4-4C07-B15B-1E4C36B9FD43}"/>
    <hyperlink ref="P146" location="'Accrued expenses'!A150" display="'Accrued expenses'!A150" xr:uid="{F041B4E7-4F98-4468-AA9B-73E6491890FB}"/>
    <hyperlink ref="O68" location="FA!A1" display="FA!A1" xr:uid="{22E705BB-8691-40A2-92CE-A213AE530028}"/>
    <hyperlink ref="P141" location="'Accrued expenses'!A150" display="'Accrued expenses'!A150" xr:uid="{7D0567C0-2709-40C9-896B-023344FD4BCB}"/>
  </hyperlinks>
  <printOptions horizontalCentered="1" gridLines="1" gridLinesSet="0"/>
  <pageMargins left="0.51181102362204722" right="0.11811023622047245" top="0.51181102362204722" bottom="0.55118110236220474" header="0.51181102362204722" footer="0.51181102362204722"/>
  <pageSetup paperSize="9" scale="13" fitToHeight="6" orientation="landscape" blackAndWhite="1" cellComments="asDisplayed" horizontalDpi="300" verticalDpi="300" r:id="rId1"/>
  <headerFooter alignWithMargins="0"/>
  <rowBreaks count="2" manualBreakCount="2">
    <brk id="296" min="1" max="26" man="1"/>
    <brk id="347" min="1" max="26" man="1"/>
  </rowBreaks>
  <ignoredErrors>
    <ignoredError sqref="Q174:R174 S174:T174 U174:AA174" numberStoredAsText="1"/>
  </ignoredErrors>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BE140-7B75-42D0-93E1-90ABC88CDDCE}">
  <sheetPr codeName="Sheet39">
    <tabColor theme="9"/>
  </sheetPr>
  <dimension ref="A1:Y276"/>
  <sheetViews>
    <sheetView rightToLeft="1" zoomScale="85" zoomScaleNormal="85" workbookViewId="0">
      <selection activeCell="I17" sqref="I17:I22"/>
    </sheetView>
  </sheetViews>
  <sheetFormatPr defaultColWidth="9.33203125" defaultRowHeight="12.75"/>
  <cols>
    <col min="1" max="1" width="38" style="1757" customWidth="1"/>
    <col min="2" max="2" width="24.83203125" style="1773" customWidth="1"/>
    <col min="3" max="3" width="37.5" style="1773" customWidth="1"/>
    <col min="4" max="4" width="48.1640625" style="1773" customWidth="1"/>
    <col min="5" max="5" width="29.33203125" style="1773" customWidth="1"/>
    <col min="6" max="6" width="24.83203125" style="1757" customWidth="1"/>
    <col min="7" max="7" width="30.5" style="1757" customWidth="1"/>
    <col min="8" max="8" width="18.83203125" style="1757" customWidth="1"/>
    <col min="9" max="9" width="14.1640625" style="1757" customWidth="1"/>
    <col min="10" max="10" width="36" style="1757" customWidth="1"/>
    <col min="11" max="11" width="50.1640625" style="1757" bestFit="1" customWidth="1"/>
    <col min="12" max="12" width="20.33203125" style="1761" customWidth="1"/>
    <col min="13" max="13" width="23.1640625" style="1757" customWidth="1"/>
    <col min="14" max="15" width="12.83203125" style="1762" bestFit="1" customWidth="1"/>
    <col min="16" max="16" width="15.5" style="1762" bestFit="1" customWidth="1"/>
    <col min="17" max="17" width="16.83203125" style="1762" bestFit="1" customWidth="1"/>
    <col min="18" max="18" width="9.6640625" style="1762" bestFit="1" customWidth="1"/>
    <col min="19" max="19" width="11.5" style="1762" bestFit="1" customWidth="1"/>
    <col min="20" max="16384" width="9.33203125" style="1762"/>
  </cols>
  <sheetData>
    <row r="1" spans="1:13" ht="13.5" thickBot="1">
      <c r="B1" s="1758" t="s">
        <v>2487</v>
      </c>
      <c r="C1" s="1758"/>
      <c r="D1" s="1759"/>
      <c r="E1" s="1759"/>
      <c r="F1" s="1760"/>
    </row>
    <row r="2" spans="1:13" ht="13.5" thickBot="1">
      <c r="B2" s="1763" t="s">
        <v>57</v>
      </c>
      <c r="C2" s="1763" t="s">
        <v>178</v>
      </c>
      <c r="D2" s="1764" t="s">
        <v>59</v>
      </c>
      <c r="E2" s="2427"/>
      <c r="F2" s="2425"/>
      <c r="G2" s="1765"/>
      <c r="H2" s="1765"/>
      <c r="I2" s="2581" t="s">
        <v>2955</v>
      </c>
      <c r="K2" s="2581"/>
      <c r="L2" s="1766"/>
      <c r="M2" s="1765"/>
    </row>
    <row r="3" spans="1:13" ht="13.5" thickBot="1">
      <c r="A3" s="1767"/>
      <c r="B3" s="1767"/>
      <c r="C3" s="1767"/>
      <c r="D3" s="1767"/>
      <c r="E3" s="1768">
        <f>SUM(E4:E32)</f>
        <v>0</v>
      </c>
      <c r="F3" s="2426">
        <f>SUM(F4:F32)</f>
        <v>0</v>
      </c>
      <c r="G3" s="1762"/>
      <c r="H3" s="1765"/>
      <c r="I3" s="1765"/>
      <c r="K3" s="1765"/>
      <c r="L3" s="1766"/>
      <c r="M3" s="1765"/>
    </row>
    <row r="4" spans="1:13" ht="13.5" thickBot="1">
      <c r="B4" s="2421">
        <v>1</v>
      </c>
      <c r="C4" s="2284" t="s">
        <v>4471</v>
      </c>
      <c r="D4" s="2422"/>
      <c r="E4" s="2150" t="s">
        <v>2507</v>
      </c>
      <c r="F4" s="2273" t="s">
        <v>294</v>
      </c>
      <c r="G4" s="4620" t="s">
        <v>2427</v>
      </c>
      <c r="H4" s="1765"/>
      <c r="I4" s="2582"/>
    </row>
    <row r="5" spans="1:13" ht="13.5" thickBot="1">
      <c r="B5" s="4623"/>
      <c r="C5" s="2647">
        <v>7110003</v>
      </c>
      <c r="D5" s="3245" t="str">
        <f>VLOOKUP(C5,'מאזן בוחן הודו'!$C:$D,2,0)</f>
        <v>Commission - Sales from provision only</v>
      </c>
      <c r="E5" s="2279"/>
      <c r="F5" s="1769">
        <f>E5/'מאזן בוחן הודו'!$O$2</f>
        <v>0</v>
      </c>
      <c r="G5" s="4621"/>
      <c r="H5" s="1765"/>
      <c r="I5" s="2285">
        <f>J1+1</f>
        <v>1</v>
      </c>
      <c r="J5" s="2206" t="s">
        <v>2956</v>
      </c>
      <c r="K5" s="2208"/>
      <c r="L5" s="2150" t="s">
        <v>2507</v>
      </c>
    </row>
    <row r="6" spans="1:13" ht="13.5" thickBot="1">
      <c r="B6" s="4625"/>
      <c r="C6" s="2424">
        <v>2400001</v>
      </c>
      <c r="D6" s="3245" t="str">
        <f>VLOOKUP(C6,'מאזן בוחן הודו'!$C:$D,2,0)</f>
        <v>הוצ`לשלם עובדים זכאים</v>
      </c>
      <c r="E6" s="2280">
        <f>-E5</f>
        <v>0</v>
      </c>
      <c r="F6" s="2272">
        <f>-F5</f>
        <v>0</v>
      </c>
      <c r="G6" s="4621"/>
      <c r="H6" s="1765"/>
      <c r="I6" s="4623"/>
      <c r="J6" s="2271">
        <v>1130012</v>
      </c>
      <c r="K6" s="2205" t="str">
        <f>VLOOKUP(J6,'מאזן בוחן הודו'!$C:$D,2,0)</f>
        <v>Algosec Inc</v>
      </c>
      <c r="L6" s="2281"/>
    </row>
    <row r="7" spans="1:13" ht="13.5" thickBot="1">
      <c r="B7" s="2421">
        <f>B4+1</f>
        <v>2</v>
      </c>
      <c r="C7" s="2284" t="s">
        <v>2784</v>
      </c>
      <c r="D7" s="2422"/>
      <c r="E7" s="2150" t="s">
        <v>2507</v>
      </c>
      <c r="F7" s="2274" t="s">
        <v>294</v>
      </c>
      <c r="G7" s="4617" t="s">
        <v>2718</v>
      </c>
      <c r="H7" s="1765"/>
      <c r="I7" s="4625"/>
      <c r="J7" s="2252">
        <v>9010002</v>
      </c>
      <c r="K7" s="2209" t="str">
        <f>VLOOKUP(J7,'מאזן בוחן הודו'!$C:$D,2,0)</f>
        <v>Forex Fluctuation</v>
      </c>
      <c r="L7" s="2804"/>
    </row>
    <row r="8" spans="1:13" ht="13.5" thickBot="1">
      <c r="B8" s="4635"/>
      <c r="C8" s="2423">
        <v>5209999</v>
      </c>
      <c r="D8" s="3245" t="str">
        <f>VLOOKUP(C8,'מאזן בוחן הודו'!$C:$D,2,0)</f>
        <v>Allocation of G&amp;A to PS</v>
      </c>
      <c r="E8" s="3075"/>
      <c r="F8" s="3075"/>
      <c r="G8" s="4618"/>
      <c r="H8" s="2478" t="e">
        <f>E8/F8</f>
        <v>#DIV/0!</v>
      </c>
      <c r="I8" s="1765"/>
      <c r="K8" s="1765"/>
      <c r="L8" s="1766"/>
      <c r="M8" s="1765"/>
    </row>
    <row r="9" spans="1:13" ht="13.5" thickBot="1">
      <c r="B9" s="4636"/>
      <c r="C9" s="2423">
        <v>6030001</v>
      </c>
      <c r="D9" s="3245" t="s">
        <v>2716</v>
      </c>
      <c r="E9" s="3075"/>
      <c r="F9" s="3075"/>
      <c r="G9" s="4618"/>
      <c r="H9" s="2478" t="e">
        <f>E9/F9</f>
        <v>#DIV/0!</v>
      </c>
      <c r="I9" s="2285">
        <f>I5+1</f>
        <v>2</v>
      </c>
      <c r="J9" s="2206" t="s">
        <v>2784</v>
      </c>
      <c r="K9" s="2673"/>
      <c r="L9" s="2150" t="s">
        <v>2507</v>
      </c>
      <c r="M9" s="1765"/>
    </row>
    <row r="10" spans="1:13">
      <c r="B10" s="4636"/>
      <c r="C10" s="2423">
        <v>7129999</v>
      </c>
      <c r="D10" s="3245" t="str">
        <f>VLOOKUP(C10,'מאזן בוחן הודו'!$C:$D,2,0)</f>
        <v>Allocation of G&amp;A to Sales</v>
      </c>
      <c r="E10" s="3075"/>
      <c r="F10" s="3075"/>
      <c r="G10" s="4618"/>
      <c r="H10" s="2478" t="e">
        <f>E10/F10</f>
        <v>#DIV/0!</v>
      </c>
      <c r="I10" s="4635"/>
      <c r="J10" s="2211">
        <v>5209999</v>
      </c>
      <c r="K10" s="2674" t="s">
        <v>3455</v>
      </c>
      <c r="L10" s="2672">
        <f>E8</f>
        <v>0</v>
      </c>
      <c r="M10" s="1765"/>
    </row>
    <row r="11" spans="1:13">
      <c r="B11" s="4636"/>
      <c r="C11" s="2423">
        <v>5120001</v>
      </c>
      <c r="D11" s="3245" t="str">
        <f>VLOOKUP(C11,'מאזן בוחן הודו'!$C:$D,2,0)</f>
        <v>Sort G&amp;A to Cost of sales</v>
      </c>
      <c r="E11" s="3075"/>
      <c r="F11" s="3075"/>
      <c r="G11" s="4618"/>
      <c r="H11" s="2478" t="e">
        <f>E11/F11</f>
        <v>#DIV/0!</v>
      </c>
      <c r="I11" s="4636"/>
      <c r="J11" s="2211">
        <v>6030001</v>
      </c>
      <c r="K11" s="2674" t="s">
        <v>3456</v>
      </c>
      <c r="L11" s="2672">
        <f>E9</f>
        <v>0</v>
      </c>
      <c r="M11" s="1765"/>
    </row>
    <row r="12" spans="1:13" ht="13.5" thickBot="1">
      <c r="A12" s="2204"/>
      <c r="B12" s="4637"/>
      <c r="C12" s="2424">
        <v>93100</v>
      </c>
      <c r="D12" s="3245" t="str">
        <f>VLOOKUP(C12,'מאזן בוחן הודו'!$C:$D,2,0)</f>
        <v>Allocation of G&amp;A to Other Departments</v>
      </c>
      <c r="E12" s="3075"/>
      <c r="F12" s="3075"/>
      <c r="G12" s="4619"/>
      <c r="H12" s="2478" t="e">
        <f>E12/F12</f>
        <v>#DIV/0!</v>
      </c>
      <c r="I12" s="4636"/>
      <c r="J12" s="2211">
        <v>7129999</v>
      </c>
      <c r="K12" s="2674" t="s">
        <v>3457</v>
      </c>
      <c r="L12" s="2672">
        <f>E10</f>
        <v>0</v>
      </c>
      <c r="M12" s="1765"/>
    </row>
    <row r="13" spans="1:13" ht="13.5" thickBot="1">
      <c r="B13" s="2421">
        <f>B7+1</f>
        <v>3</v>
      </c>
      <c r="C13" s="2284" t="s">
        <v>4602</v>
      </c>
      <c r="D13" s="2422"/>
      <c r="E13" s="2283" t="s">
        <v>2507</v>
      </c>
      <c r="F13" s="2276" t="s">
        <v>294</v>
      </c>
      <c r="G13" s="4617" t="s">
        <v>2718</v>
      </c>
      <c r="H13" s="1770"/>
      <c r="I13" s="4636"/>
      <c r="J13" s="2211">
        <v>5120001</v>
      </c>
      <c r="K13" s="2674" t="s">
        <v>3458</v>
      </c>
      <c r="L13" s="2672">
        <f>E11</f>
        <v>0</v>
      </c>
      <c r="M13" s="1765"/>
    </row>
    <row r="14" spans="1:13" ht="13.5" thickBot="1">
      <c r="B14" s="4615"/>
      <c r="C14" s="2423" t="s">
        <v>1238</v>
      </c>
      <c r="D14" s="3245" t="str">
        <f>VLOOKUP(C14,'מאזן בוחן הודו'!$C:$D,2,0)</f>
        <v>Share-Based Payment FAS123 - TS</v>
      </c>
      <c r="E14" s="2281"/>
      <c r="F14" s="2277"/>
      <c r="G14" s="4618"/>
      <c r="H14" s="2478" t="e">
        <f>E14/F14</f>
        <v>#DIV/0!</v>
      </c>
      <c r="I14" s="4637"/>
      <c r="J14" s="2420">
        <v>93100</v>
      </c>
      <c r="K14" s="2675" t="s">
        <v>3459</v>
      </c>
      <c r="L14" s="2282">
        <f>-SUM(L10:L13)</f>
        <v>0</v>
      </c>
      <c r="M14" s="1765"/>
    </row>
    <row r="15" spans="1:13" ht="13.5" thickBot="1">
      <c r="B15" s="4634"/>
      <c r="C15" s="2423">
        <v>7110006</v>
      </c>
      <c r="D15" s="3245" t="str">
        <f>VLOOKUP(C15,'מאזן בוחן הודו'!$C:$D,2,0)</f>
        <v>Share-Based Payment FAS123 - Sales</v>
      </c>
      <c r="E15" s="2281"/>
      <c r="F15" s="2277"/>
      <c r="G15" s="4618"/>
      <c r="H15" s="2478" t="e">
        <f>E15/F15</f>
        <v>#DIV/0!</v>
      </c>
      <c r="I15" s="1765"/>
      <c r="J15" s="1765"/>
      <c r="K15" s="1765"/>
      <c r="L15" s="1766"/>
      <c r="M15" s="1765"/>
    </row>
    <row r="16" spans="1:13" ht="13.5" thickBot="1">
      <c r="B16" s="4634"/>
      <c r="C16" s="2423">
        <v>6011003</v>
      </c>
      <c r="D16" s="3245" t="str">
        <f>VLOOKUP(C16,'מאזן בוחן הודו'!$C:$D,2,0)</f>
        <v>Share-Based Payment FAS123 - Customer focus</v>
      </c>
      <c r="E16" s="2281"/>
      <c r="F16" s="2277"/>
      <c r="G16" s="4618"/>
      <c r="H16" s="2478" t="e">
        <f>E16/F16</f>
        <v>#DIV/0!</v>
      </c>
      <c r="I16" s="2421">
        <f>I9+1</f>
        <v>3</v>
      </c>
      <c r="J16" s="2284" t="s">
        <v>4608</v>
      </c>
      <c r="K16" s="3386"/>
      <c r="L16" s="2150" t="s">
        <v>2507</v>
      </c>
      <c r="M16" s="1765"/>
    </row>
    <row r="17" spans="1:13">
      <c r="B17" s="4634"/>
      <c r="C17" s="2423">
        <v>90102</v>
      </c>
      <c r="D17" s="3245" t="str">
        <f>VLOOKUP(C17,'מאזן בוחן הודו'!$C:$D,2,0)</f>
        <v>Share-Based Payment FAS123 - G&amp;A</v>
      </c>
      <c r="E17" s="2281"/>
      <c r="F17" s="2277"/>
      <c r="G17" s="4618"/>
      <c r="H17" s="2478"/>
      <c r="I17" s="4626"/>
      <c r="J17" s="3384"/>
      <c r="K17" s="1765"/>
      <c r="L17" s="3385"/>
      <c r="M17" s="1765"/>
    </row>
    <row r="18" spans="1:13" ht="13.5" thickBot="1">
      <c r="B18" s="4616"/>
      <c r="C18" s="2424">
        <v>1130012</v>
      </c>
      <c r="D18" s="3246" t="str">
        <f>VLOOKUP(C18,'מאזן בוחן הודו'!$C:$D,2,0)</f>
        <v>Algosec Inc</v>
      </c>
      <c r="E18" s="2281"/>
      <c r="F18" s="2278"/>
      <c r="G18" s="4619"/>
      <c r="H18" s="2478" t="e">
        <f>E18/F18</f>
        <v>#DIV/0!</v>
      </c>
      <c r="I18" s="4627"/>
      <c r="J18" s="2423" t="s">
        <v>1238</v>
      </c>
      <c r="K18" s="2694" t="s">
        <v>1432</v>
      </c>
      <c r="L18" s="3390">
        <f>E14</f>
        <v>0</v>
      </c>
      <c r="M18" s="1765" t="s">
        <v>4191</v>
      </c>
    </row>
    <row r="19" spans="1:13" ht="13.5" thickBot="1">
      <c r="B19" s="2421">
        <f>B13+1</f>
        <v>4</v>
      </c>
      <c r="C19" s="2284" t="s">
        <v>4609</v>
      </c>
      <c r="D19" s="2422"/>
      <c r="E19" s="2283" t="s">
        <v>2507</v>
      </c>
      <c r="F19" s="2276" t="s">
        <v>294</v>
      </c>
      <c r="G19" s="2974" t="s">
        <v>3478</v>
      </c>
      <c r="H19" s="1765"/>
      <c r="I19" s="4627"/>
      <c r="J19" s="2423">
        <v>7110006</v>
      </c>
      <c r="K19" s="2694" t="s">
        <v>1433</v>
      </c>
      <c r="L19" s="3390">
        <f>E15</f>
        <v>0</v>
      </c>
      <c r="M19" s="1765"/>
    </row>
    <row r="20" spans="1:13">
      <c r="B20" s="4615"/>
      <c r="C20" s="2423">
        <v>2400001</v>
      </c>
      <c r="D20" s="3245" t="str">
        <f>VLOOKUP(C20,'מאזן בוחן הודו'!$C:$D,2,0)</f>
        <v>הוצ`לשלם עובדים זכאים</v>
      </c>
      <c r="E20" s="2281">
        <f>-SUM(E21:E24)</f>
        <v>0</v>
      </c>
      <c r="F20" s="2277">
        <f>-SUM(F21:F24)</f>
        <v>0</v>
      </c>
      <c r="G20" s="4618" t="s">
        <v>1387</v>
      </c>
      <c r="H20" s="2478" t="e">
        <f>E20/F20</f>
        <v>#DIV/0!</v>
      </c>
      <c r="I20" s="4627"/>
      <c r="J20" s="2423">
        <v>6011003</v>
      </c>
      <c r="K20" s="2694" t="s">
        <v>2721</v>
      </c>
      <c r="L20" s="3390">
        <f>E16</f>
        <v>0</v>
      </c>
      <c r="M20" s="1765"/>
    </row>
    <row r="21" spans="1:13">
      <c r="B21" s="4634"/>
      <c r="C21" s="2423">
        <v>5200003</v>
      </c>
      <c r="D21" s="3245" t="str">
        <f>VLOOKUP(C21,'מאזן בוחן הודו'!$C:$D,2,0)</f>
        <v>בונוס Delivery MBO</v>
      </c>
      <c r="E21" s="2281"/>
      <c r="F21" s="2277"/>
      <c r="G21" s="4618"/>
      <c r="H21" s="2478" t="e">
        <f>E21/F21</f>
        <v>#DIV/0!</v>
      </c>
      <c r="I21" s="4627"/>
      <c r="J21" s="3388">
        <v>90102</v>
      </c>
      <c r="K21" s="1773" t="s">
        <v>4130</v>
      </c>
      <c r="L21" s="2672">
        <f>E17</f>
        <v>0</v>
      </c>
      <c r="M21" s="1765"/>
    </row>
    <row r="22" spans="1:13" ht="13.5" thickBot="1">
      <c r="B22" s="4634"/>
      <c r="C22" s="2423">
        <v>5100003</v>
      </c>
      <c r="D22" s="3245" t="str">
        <f>VLOOKUP(C22,'מאזן בוחן הודו'!$C:$D,2,0)</f>
        <v>בונוס SUPPORT MBO - חדש</v>
      </c>
      <c r="E22" s="2281"/>
      <c r="F22" s="2277"/>
      <c r="G22" s="4618"/>
      <c r="H22" s="2478" t="e">
        <f>E22/F22</f>
        <v>#DIV/0!</v>
      </c>
      <c r="I22" s="4628"/>
      <c r="J22" s="2424">
        <v>1130012</v>
      </c>
      <c r="K22" s="3387" t="s">
        <v>250</v>
      </c>
      <c r="L22" s="2282">
        <f>-SUM(L18:L21)</f>
        <v>0</v>
      </c>
      <c r="M22" s="1765"/>
    </row>
    <row r="23" spans="1:13" ht="13.5" thickBot="1">
      <c r="B23" s="4634"/>
      <c r="C23" s="2423">
        <v>7110002</v>
      </c>
      <c r="D23" s="3245" t="str">
        <f>VLOOKUP(C23,'מאזן בוחן הודו'!$C:$D,2,0)</f>
        <v>שכר הודו מכירות-בונוס MBO</v>
      </c>
      <c r="E23" s="2281"/>
      <c r="F23" s="2277"/>
      <c r="G23" s="4618"/>
      <c r="H23" s="2478" t="e">
        <f>E23/F23</f>
        <v>#DIV/0!</v>
      </c>
      <c r="M23" s="1765"/>
    </row>
    <row r="24" spans="1:13" ht="13.5" thickBot="1">
      <c r="B24" s="4616"/>
      <c r="C24" s="2424">
        <v>7140002</v>
      </c>
      <c r="D24" s="3246" t="str">
        <f>VLOOKUP(C24,'מאזן בוחן הודו'!$C:$D,2,0)</f>
        <v>בונוס SE MBO</v>
      </c>
      <c r="E24" s="2281"/>
      <c r="F24" s="2278"/>
      <c r="G24" s="4619"/>
      <c r="H24" s="2478" t="e">
        <f>E24/F24</f>
        <v>#DIV/0!</v>
      </c>
      <c r="I24" s="2285">
        <f>I16+1</f>
        <v>4</v>
      </c>
      <c r="J24" s="2206" t="s">
        <v>4128</v>
      </c>
      <c r="K24" s="2208"/>
      <c r="L24" s="2283" t="s">
        <v>2507</v>
      </c>
      <c r="M24" s="1765"/>
    </row>
    <row r="25" spans="1:13" ht="13.5" thickBot="1">
      <c r="B25" s="2421">
        <f>B19+1</f>
        <v>5</v>
      </c>
      <c r="C25" s="2284" t="s">
        <v>3792</v>
      </c>
      <c r="D25" s="2422"/>
      <c r="E25" s="2150" t="s">
        <v>2507</v>
      </c>
      <c r="F25" s="2273" t="s">
        <v>294</v>
      </c>
      <c r="G25" s="4620" t="s">
        <v>2427</v>
      </c>
      <c r="H25" s="1765"/>
      <c r="I25" s="4162"/>
      <c r="J25" s="2207">
        <v>2400001</v>
      </c>
      <c r="K25" s="2205" t="s">
        <v>3450</v>
      </c>
      <c r="L25" s="2281">
        <f>-SUM(L26:L29)</f>
        <v>0</v>
      </c>
      <c r="M25" s="1765"/>
    </row>
    <row r="26" spans="1:13">
      <c r="B26" s="4626"/>
      <c r="C26" s="2423">
        <v>8410069</v>
      </c>
      <c r="D26" s="3245" t="str">
        <f>VLOOKUP(C26,'מאזן בוחן הודו'!$C:$D,2,0)</f>
        <v>יעוץ הנה"כ , שירותי הנה"ח</v>
      </c>
      <c r="E26" s="2281"/>
      <c r="F26" s="2275">
        <f>-F28</f>
        <v>0</v>
      </c>
      <c r="G26" s="4621"/>
      <c r="H26" s="2478" t="e">
        <f>E26/F26</f>
        <v>#DIV/0!</v>
      </c>
      <c r="I26" s="4162"/>
      <c r="J26" s="2207">
        <v>5200003</v>
      </c>
      <c r="K26" s="2205" t="s">
        <v>3451</v>
      </c>
      <c r="L26" s="2281">
        <f>E21</f>
        <v>0</v>
      </c>
      <c r="M26" s="1765"/>
    </row>
    <row r="27" spans="1:13">
      <c r="B27" s="4627"/>
      <c r="C27" s="2423">
        <v>2500010</v>
      </c>
      <c r="D27" s="3245" t="str">
        <f>VLOOKUP(C27,'מאזן בוחן הודו'!$C:$D,2,0)</f>
        <v>TDS U/s 194J (Professional)</v>
      </c>
      <c r="E27" s="2281"/>
      <c r="F27" s="2275"/>
      <c r="G27" s="4621"/>
      <c r="H27" s="2478" t="e">
        <f>E27/F27</f>
        <v>#DIV/0!</v>
      </c>
      <c r="I27" s="4163"/>
      <c r="J27" s="2207">
        <v>5100003</v>
      </c>
      <c r="K27" s="2205" t="s">
        <v>3452</v>
      </c>
      <c r="L27" s="2281">
        <f>E22</f>
        <v>0</v>
      </c>
      <c r="M27" s="1765"/>
    </row>
    <row r="28" spans="1:13" ht="13.5" thickBot="1">
      <c r="B28" s="4628"/>
      <c r="C28" s="2423">
        <v>2200001</v>
      </c>
      <c r="D28" s="3245" t="str">
        <f>VLOOKUP(C28,'מאזן בוחן הודו'!$C:$D,2,0)</f>
        <v>הוצאות לשלם</v>
      </c>
      <c r="E28" s="2281">
        <f>-E26</f>
        <v>0</v>
      </c>
      <c r="F28" s="2275">
        <f>E28/'מאזן בוחן הודו'!$O$2</f>
        <v>0</v>
      </c>
      <c r="G28" s="4622"/>
      <c r="H28" s="2478" t="e">
        <f>E28/F28</f>
        <v>#DIV/0!</v>
      </c>
      <c r="I28" s="4164"/>
      <c r="J28" s="2207">
        <v>7110002</v>
      </c>
      <c r="K28" s="2205" t="s">
        <v>3453</v>
      </c>
      <c r="L28" s="2281">
        <f>E23</f>
        <v>0</v>
      </c>
      <c r="M28" s="1765"/>
    </row>
    <row r="29" spans="1:13" ht="13.5" thickBot="1">
      <c r="B29" s="2421">
        <f>B25+1</f>
        <v>6</v>
      </c>
      <c r="C29" s="2284" t="s">
        <v>3871</v>
      </c>
      <c r="D29" s="2422"/>
      <c r="E29" s="2150" t="s">
        <v>2507</v>
      </c>
      <c r="F29" s="2273" t="s">
        <v>294</v>
      </c>
      <c r="G29" s="3835" t="s">
        <v>3478</v>
      </c>
      <c r="H29" s="1765"/>
      <c r="I29" s="4165"/>
      <c r="J29" s="2252">
        <v>7140002</v>
      </c>
      <c r="K29" s="2209" t="s">
        <v>3454</v>
      </c>
      <c r="L29" s="2282">
        <f>E24</f>
        <v>0</v>
      </c>
      <c r="M29" s="1765"/>
    </row>
    <row r="30" spans="1:13" ht="12.95" customHeight="1" thickBot="1">
      <c r="B30" s="4623"/>
      <c r="C30" s="2423">
        <v>7110003</v>
      </c>
      <c r="D30" s="3245" t="str">
        <f>VLOOKUP(C30,'מאזן בוחן הודו'!$C:$D,2,0)</f>
        <v>Commission - Sales from provision only</v>
      </c>
      <c r="E30" s="2479"/>
      <c r="F30" s="2480">
        <f>E30/'מאזן בוחן הודו'!$O$2</f>
        <v>0</v>
      </c>
      <c r="G30" s="3836" t="s">
        <v>1387</v>
      </c>
      <c r="H30" s="2478" t="e">
        <f>E30/F30</f>
        <v>#DIV/0!</v>
      </c>
      <c r="M30" s="1765"/>
    </row>
    <row r="31" spans="1:13" ht="13.5" customHeight="1" thickBot="1">
      <c r="B31" s="4625"/>
      <c r="C31" s="2424">
        <v>2400001</v>
      </c>
      <c r="D31" s="3246" t="str">
        <f>VLOOKUP(C31,'מאזן בוחן הודו'!$C:$D,2,0)</f>
        <v>הוצ`לשלם עובדים זכאים</v>
      </c>
      <c r="E31" s="2481">
        <f>-E30</f>
        <v>0</v>
      </c>
      <c r="F31" s="3240">
        <f>E31/'מאזן בוחן הודו'!$O$2</f>
        <v>0</v>
      </c>
      <c r="G31" s="3832" t="s">
        <v>2427</v>
      </c>
      <c r="H31" s="2478" t="e">
        <f>E31/F31</f>
        <v>#DIV/0!</v>
      </c>
      <c r="I31" s="2285">
        <f>I24+1</f>
        <v>5</v>
      </c>
      <c r="J31" s="2206" t="s">
        <v>3776</v>
      </c>
      <c r="K31" s="2208"/>
      <c r="L31" s="2150" t="s">
        <v>2507</v>
      </c>
      <c r="M31" s="1765"/>
    </row>
    <row r="32" spans="1:13" ht="13.5" thickBot="1">
      <c r="A32" s="1765"/>
      <c r="B32" s="2421">
        <f>B29+1</f>
        <v>7</v>
      </c>
      <c r="C32" s="2284" t="s">
        <v>4832</v>
      </c>
      <c r="D32" s="2422"/>
      <c r="E32" s="2150" t="s">
        <v>2507</v>
      </c>
      <c r="F32" s="2273" t="s">
        <v>294</v>
      </c>
      <c r="G32" s="3182" t="s">
        <v>3478</v>
      </c>
      <c r="H32" s="1771"/>
      <c r="I32" s="4145"/>
      <c r="J32" s="2271">
        <v>7110003</v>
      </c>
      <c r="K32" s="2205" t="str">
        <f>VLOOKUP(J32,'מאזן בוחן הודו'!$C:$D,2,0)</f>
        <v>Commission - Sales from provision only</v>
      </c>
      <c r="L32" s="2281">
        <f>E33</f>
        <v>0</v>
      </c>
      <c r="M32" s="1765"/>
    </row>
    <row r="33" spans="1:13" ht="12.6" customHeight="1" thickBot="1">
      <c r="A33" s="1765"/>
      <c r="B33" s="4623"/>
      <c r="C33" s="2647">
        <v>7110003</v>
      </c>
      <c r="D33" s="3245" t="str">
        <f>VLOOKUP(C33,'מאזן בוחן הודו'!$C:$D,2,0)</f>
        <v>Commission - Sales from provision only</v>
      </c>
      <c r="E33" s="2281"/>
      <c r="F33" s="2277">
        <f>E33/'מאזן בוחן הודו'!$O$2</f>
        <v>0</v>
      </c>
      <c r="G33" s="4621" t="s">
        <v>3870</v>
      </c>
      <c r="H33" s="2478" t="e">
        <f>E33/F33</f>
        <v>#DIV/0!</v>
      </c>
      <c r="I33" s="4147"/>
      <c r="J33" s="2252">
        <v>2400001</v>
      </c>
      <c r="K33" s="2209" t="str">
        <f>VLOOKUP(J33,'מאזן בוחן הודו'!$C:$D,2,0)</f>
        <v>הוצ`לשלם עובדים זכאים</v>
      </c>
      <c r="L33" s="2804">
        <f>-L32</f>
        <v>0</v>
      </c>
      <c r="M33" s="1765"/>
    </row>
    <row r="34" spans="1:13" ht="12.95" customHeight="1" thickBot="1">
      <c r="A34" s="1765"/>
      <c r="B34" s="4625"/>
      <c r="C34" s="2424">
        <v>2400001</v>
      </c>
      <c r="D34" s="3246" t="str">
        <f>VLOOKUP(C34,'מאזן בוחן הודו'!$C:$D,2,0)</f>
        <v>הוצ`לשלם עובדים זכאים</v>
      </c>
      <c r="E34" s="2457">
        <f>-E33</f>
        <v>0</v>
      </c>
      <c r="F34" s="2458">
        <f>-F33</f>
        <v>0</v>
      </c>
      <c r="G34" s="4622"/>
      <c r="H34" s="2478" t="e">
        <f>E34/F34</f>
        <v>#DIV/0!</v>
      </c>
      <c r="I34" s="1771"/>
      <c r="L34" s="1766"/>
      <c r="M34" s="1765"/>
    </row>
    <row r="35" spans="1:13" ht="13.5" thickBot="1">
      <c r="A35" s="1765"/>
      <c r="B35" s="2421">
        <f>B32+1</f>
        <v>8</v>
      </c>
      <c r="C35" s="2284" t="s">
        <v>3846</v>
      </c>
      <c r="D35" s="2422"/>
      <c r="E35" s="2150" t="s">
        <v>2507</v>
      </c>
      <c r="F35" s="2273" t="s">
        <v>294</v>
      </c>
      <c r="G35" s="4620" t="s">
        <v>2718</v>
      </c>
      <c r="H35" s="1771"/>
      <c r="I35" s="2285">
        <f>I31+1</f>
        <v>6</v>
      </c>
      <c r="J35" s="2206" t="s">
        <v>3873</v>
      </c>
      <c r="K35" s="2208"/>
      <c r="L35" s="2150" t="s">
        <v>2507</v>
      </c>
      <c r="M35" s="1765"/>
    </row>
    <row r="36" spans="1:13">
      <c r="A36" s="1765"/>
      <c r="B36" s="4629"/>
      <c r="C36" s="2647">
        <v>1130009</v>
      </c>
      <c r="D36" s="3245" t="str">
        <f>VLOOKUP(C36,'מאזן בוחן הודו'!$C:$D,2,0)</f>
        <v>אלגוסק ישראל</v>
      </c>
      <c r="E36" s="2281"/>
      <c r="F36" s="2281"/>
      <c r="G36" s="4621"/>
      <c r="H36" s="2478" t="e">
        <f>E36/F36</f>
        <v>#DIV/0!</v>
      </c>
      <c r="I36" s="4145"/>
      <c r="J36" s="2271">
        <v>7110003</v>
      </c>
      <c r="K36" s="2205" t="str">
        <f>VLOOKUP(J36,'מאזן בוחן הודו'!$C:$D,2,0)</f>
        <v>Commission - Sales from provision only</v>
      </c>
      <c r="L36" s="2281">
        <f>E30</f>
        <v>0</v>
      </c>
      <c r="M36" s="1765"/>
    </row>
    <row r="37" spans="1:13" ht="13.5" thickBot="1">
      <c r="A37" s="1765"/>
      <c r="B37" s="4630"/>
      <c r="C37" s="2424">
        <v>80094</v>
      </c>
      <c r="D37" s="3245" t="str">
        <f>VLOOKUP(C37,'מאזן בוחן הודו'!$C:$D,2,0)</f>
        <v>הכנסות בין חברתיות הודו IND TRANSFER PRICING</v>
      </c>
      <c r="E37" s="2457"/>
      <c r="F37" s="2457"/>
      <c r="G37" s="4622"/>
      <c r="H37" s="2478" t="e">
        <f>E37/F37</f>
        <v>#DIV/0!</v>
      </c>
      <c r="I37" s="4147"/>
      <c r="J37" s="2252">
        <v>2400001</v>
      </c>
      <c r="K37" s="2209" t="str">
        <f>VLOOKUP(J37,'מאזן בוחן הודו'!$C:$D,2,0)</f>
        <v>הוצ`לשלם עובדים זכאים</v>
      </c>
      <c r="L37" s="2804">
        <f>-L36</f>
        <v>0</v>
      </c>
      <c r="M37" s="1765"/>
    </row>
    <row r="38" spans="1:13" ht="13.5" thickBot="1">
      <c r="A38" s="1765"/>
      <c r="B38" s="2421">
        <f>B35+1</f>
        <v>9</v>
      </c>
      <c r="C38" s="2284" t="s">
        <v>3536</v>
      </c>
      <c r="D38" s="2422"/>
      <c r="E38" s="2150" t="s">
        <v>2507</v>
      </c>
      <c r="F38" s="2273" t="s">
        <v>294</v>
      </c>
      <c r="G38" s="4620" t="s">
        <v>2718</v>
      </c>
      <c r="H38" s="1771"/>
      <c r="M38" s="1765"/>
    </row>
    <row r="39" spans="1:13" ht="13.5" thickBot="1">
      <c r="A39" s="1765"/>
      <c r="B39" s="4629"/>
      <c r="C39" s="3247">
        <v>53599</v>
      </c>
      <c r="D39" s="3245" t="str">
        <f>VLOOKUP(C39,'מאזן בוחן הודו'!$C:$D,2,0)</f>
        <v>מיון מהכנסות מראש</v>
      </c>
      <c r="E39" s="2281">
        <f>-E40</f>
        <v>-1.7270743846893311E-3</v>
      </c>
      <c r="F39" s="2281">
        <f>-F40</f>
        <v>-3.0454969964921474E-3</v>
      </c>
      <c r="G39" s="4621"/>
      <c r="H39" s="2478">
        <f>E39/F39</f>
        <v>0.56709114692235885</v>
      </c>
      <c r="I39" s="2285">
        <v>7</v>
      </c>
      <c r="J39" s="2206" t="s">
        <v>3991</v>
      </c>
      <c r="K39" s="2208"/>
      <c r="L39" s="2150" t="s">
        <v>2507</v>
      </c>
      <c r="M39" s="1765"/>
    </row>
    <row r="40" spans="1:13" ht="13.5" thickBot="1">
      <c r="A40" s="1765"/>
      <c r="B40" s="4630"/>
      <c r="C40" s="2424">
        <v>80094</v>
      </c>
      <c r="D40" s="3246" t="str">
        <f>VLOOKUP(C40,'מאזן בוחן הודו'!$C:$D,2,0)</f>
        <v>הכנסות בין חברתיות הודו IND TRANSFER PRICING</v>
      </c>
      <c r="E40" s="2457">
        <f>-'מאזן בוחן הודו'!J370</f>
        <v>1.7270743846893311E-3</v>
      </c>
      <c r="F40" s="2457">
        <f>-'מאזן בוחן הודו'!K370</f>
        <v>3.0454969964921474E-3</v>
      </c>
      <c r="G40" s="4622"/>
      <c r="H40" s="2478">
        <f>E40/F40</f>
        <v>0.56709114692235885</v>
      </c>
      <c r="I40" s="4623"/>
      <c r="J40" s="2271">
        <v>2500052</v>
      </c>
      <c r="K40" s="2205" t="s">
        <v>3989</v>
      </c>
      <c r="L40" s="2281"/>
      <c r="M40" s="1765"/>
    </row>
    <row r="41" spans="1:13" ht="13.5" thickBot="1">
      <c r="A41" s="1765"/>
      <c r="B41" s="2421">
        <f>B38+1</f>
        <v>10</v>
      </c>
      <c r="C41" s="2284" t="s">
        <v>2450</v>
      </c>
      <c r="D41" s="2422"/>
      <c r="E41" s="2150" t="s">
        <v>2507</v>
      </c>
      <c r="F41" s="2273" t="s">
        <v>294</v>
      </c>
      <c r="G41" s="4620" t="s">
        <v>2718</v>
      </c>
      <c r="H41" s="1771"/>
      <c r="I41" s="4625"/>
      <c r="J41" s="2252">
        <v>2500054</v>
      </c>
      <c r="K41" s="2209" t="s">
        <v>3990</v>
      </c>
      <c r="L41" s="2804"/>
      <c r="M41" s="1765"/>
    </row>
    <row r="42" spans="1:13" ht="13.5" thickBot="1">
      <c r="A42" s="1765"/>
      <c r="B42" s="4623"/>
      <c r="C42" s="2647">
        <v>9100001</v>
      </c>
      <c r="D42" s="3245" t="str">
        <f>VLOOKUP(C42,'מאזן בוחן הודו'!$C:$D,2,0)</f>
        <v>מיסים על הכנסה</v>
      </c>
      <c r="E42" s="2281">
        <f>Tax!D25</f>
        <v>-1.0531032457947731E-3</v>
      </c>
      <c r="F42" s="2281">
        <f>E42/'מאזן בוחן הודו'!$O$2</f>
        <v>-1.4173187243535092E-5</v>
      </c>
      <c r="G42" s="4621"/>
      <c r="H42" s="2478">
        <f>E42/F42</f>
        <v>74.302500044591724</v>
      </c>
      <c r="I42" s="1771"/>
      <c r="J42" s="1772"/>
      <c r="L42" s="1766"/>
      <c r="M42" s="1765"/>
    </row>
    <row r="43" spans="1:13" ht="13.5" thickBot="1">
      <c r="A43" s="1765"/>
      <c r="B43" s="4625"/>
      <c r="C43" s="2424">
        <v>2500053</v>
      </c>
      <c r="D43" s="3246" t="str">
        <f>VLOOKUP(C43,'מאזן בוחן הודו'!$C:$D,2,0)</f>
        <v>הפרשה למס הודו 2022-22</v>
      </c>
      <c r="E43" s="2457">
        <f>-E42</f>
        <v>1.0531032457947731E-3</v>
      </c>
      <c r="F43" s="2457">
        <f>-F42</f>
        <v>1.4173187243535092E-5</v>
      </c>
      <c r="G43" s="4622"/>
      <c r="H43" s="2478">
        <f>E43/F43</f>
        <v>74.302500044591724</v>
      </c>
      <c r="I43" s="2285">
        <v>8</v>
      </c>
      <c r="J43" s="2206" t="s">
        <v>4607</v>
      </c>
      <c r="K43" s="2208"/>
      <c r="L43" s="2150" t="s">
        <v>2507</v>
      </c>
      <c r="M43" s="1765"/>
    </row>
    <row r="44" spans="1:13" ht="13.5" thickBot="1">
      <c r="A44" s="1765"/>
      <c r="B44" s="2421">
        <f>B41+1</f>
        <v>11</v>
      </c>
      <c r="C44" s="2284" t="s">
        <v>4126</v>
      </c>
      <c r="D44" s="2422"/>
      <c r="E44" s="2150" t="s">
        <v>2507</v>
      </c>
      <c r="F44" s="2273" t="s">
        <v>294</v>
      </c>
      <c r="G44" s="4620" t="s">
        <v>2427</v>
      </c>
      <c r="H44" s="2478"/>
      <c r="I44" s="4623"/>
      <c r="J44" s="2271">
        <v>8210007</v>
      </c>
      <c r="K44" s="2205" t="s">
        <v>3238</v>
      </c>
      <c r="L44" s="2281">
        <f>E51</f>
        <v>0</v>
      </c>
      <c r="M44" s="1765"/>
    </row>
    <row r="45" spans="1:13" ht="13.5" thickBot="1">
      <c r="A45" s="1765"/>
      <c r="B45" s="4623"/>
      <c r="C45" s="2647">
        <v>2500052</v>
      </c>
      <c r="D45" s="3245" t="str">
        <f>VLOOKUP(C45,'מאזן בוחן הודו'!$C:$D,2,0)</f>
        <v>מקדמות מס הודו</v>
      </c>
      <c r="E45" s="2281"/>
      <c r="F45" s="2281"/>
      <c r="G45" s="4621"/>
      <c r="H45" s="2478" t="e">
        <f>E45/F45</f>
        <v>#DIV/0!</v>
      </c>
      <c r="I45" s="4625"/>
      <c r="J45" s="2252">
        <v>8410080</v>
      </c>
      <c r="K45" s="2209" t="s">
        <v>2589</v>
      </c>
      <c r="L45" s="2804">
        <f>E52</f>
        <v>0</v>
      </c>
      <c r="M45" s="1765"/>
    </row>
    <row r="46" spans="1:13" ht="13.5" thickBot="1">
      <c r="A46" s="1765"/>
      <c r="B46" s="4625"/>
      <c r="C46" s="2424">
        <v>2500054</v>
      </c>
      <c r="D46" s="3246" t="str">
        <f>VLOOKUP(C46,'מאזן בוחן הודו'!$C:$D,2,0)</f>
        <v>מקדמות מס הודו 2021-2022</v>
      </c>
      <c r="E46" s="2457"/>
      <c r="F46" s="2457"/>
      <c r="G46" s="4622"/>
      <c r="H46" s="2478" t="e">
        <f>E46/F46</f>
        <v>#DIV/0!</v>
      </c>
      <c r="L46" s="1766"/>
      <c r="M46" s="1765"/>
    </row>
    <row r="47" spans="1:13" ht="13.5" thickBot="1">
      <c r="A47" s="1765"/>
      <c r="B47" s="2421">
        <f>B44+1</f>
        <v>12</v>
      </c>
      <c r="C47" s="2284" t="s">
        <v>3071</v>
      </c>
      <c r="D47" s="2422"/>
      <c r="E47" s="2150" t="s">
        <v>2507</v>
      </c>
      <c r="F47" s="2273" t="s">
        <v>294</v>
      </c>
      <c r="G47" s="4620" t="s">
        <v>2718</v>
      </c>
      <c r="H47" s="2478"/>
      <c r="I47" s="2421">
        <f>I43+1</f>
        <v>9</v>
      </c>
      <c r="J47" s="2284" t="s">
        <v>4610</v>
      </c>
      <c r="K47" s="3690"/>
      <c r="L47" s="3691"/>
      <c r="M47" s="1765"/>
    </row>
    <row r="48" spans="1:13">
      <c r="A48" s="1765"/>
      <c r="B48" s="4623"/>
      <c r="C48" s="2647">
        <v>9100003</v>
      </c>
      <c r="D48" s="3245" t="str">
        <f>VLOOKUP(C48,'מאזן בוחן הודו'!$C:$D,2,0)</f>
        <v>שינוי במיסים נדחים</v>
      </c>
      <c r="E48" s="2281">
        <f>-E49</f>
        <v>3.7631997620337643E-3</v>
      </c>
      <c r="F48" s="2281">
        <f>E48/'מאזן בוחן הודו'!$O$2</f>
        <v>5.0647014027459727E-5</v>
      </c>
      <c r="G48" s="4621"/>
      <c r="H48" s="2478">
        <f>E48/F48</f>
        <v>74.302500044591724</v>
      </c>
      <c r="I48" s="3675"/>
      <c r="J48" s="2423">
        <v>2400001</v>
      </c>
      <c r="K48" s="2205" t="s">
        <v>704</v>
      </c>
      <c r="L48" s="2281">
        <f>E58</f>
        <v>0</v>
      </c>
      <c r="M48" s="1765"/>
    </row>
    <row r="49" spans="1:22" ht="13.5" thickBot="1">
      <c r="A49" s="1765"/>
      <c r="B49" s="4625"/>
      <c r="C49" s="2424">
        <v>1620001</v>
      </c>
      <c r="D49" s="3246" t="str">
        <f>VLOOKUP(C49,'מאזן בוחן הודו'!$C:$D,2,0)</f>
        <v>מיסים נדחים זמן ארוך</v>
      </c>
      <c r="E49" s="2457">
        <f>Tax!D42</f>
        <v>-3.7631997620337643E-3</v>
      </c>
      <c r="F49" s="2457">
        <f>-F48</f>
        <v>-5.0647014027459727E-5</v>
      </c>
      <c r="G49" s="4622"/>
      <c r="H49" s="2478">
        <f>E49/F49</f>
        <v>74.302500044591724</v>
      </c>
      <c r="I49" s="3676"/>
      <c r="J49" s="2423">
        <v>5100002</v>
      </c>
      <c r="K49" s="2205" t="s">
        <v>833</v>
      </c>
      <c r="L49" s="2281">
        <f>E59</f>
        <v>0</v>
      </c>
      <c r="M49" s="1776"/>
      <c r="N49" s="1776"/>
      <c r="O49" s="1776"/>
      <c r="P49" s="1776"/>
    </row>
    <row r="50" spans="1:22" ht="13.5" thickBot="1">
      <c r="A50" s="1765"/>
      <c r="B50" s="2421">
        <f>B47+1</f>
        <v>13</v>
      </c>
      <c r="C50" s="2284" t="s">
        <v>4606</v>
      </c>
      <c r="D50" s="2422"/>
      <c r="E50" s="2150" t="s">
        <v>2507</v>
      </c>
      <c r="F50" s="2273" t="s">
        <v>294</v>
      </c>
      <c r="G50" s="4620" t="s">
        <v>2427</v>
      </c>
      <c r="H50" s="2478"/>
      <c r="I50" s="3676"/>
      <c r="J50" s="2423">
        <v>5200002</v>
      </c>
      <c r="K50" s="2205" t="s">
        <v>3414</v>
      </c>
      <c r="L50" s="2281">
        <f>E60</f>
        <v>0</v>
      </c>
      <c r="M50" s="1776"/>
      <c r="N50" s="1776"/>
      <c r="O50" s="1776"/>
      <c r="P50" s="1776"/>
    </row>
    <row r="51" spans="1:22" s="1776" customFormat="1" ht="13.5" thickBot="1">
      <c r="A51" s="1757"/>
      <c r="B51" s="4623"/>
      <c r="C51" s="4170">
        <v>8210007</v>
      </c>
      <c r="D51" s="3245" t="str">
        <f>VLOOKUP(C51,'מאזן בוחן הודו'!$C:$D,2,0)</f>
        <v>Consulting HR India</v>
      </c>
      <c r="E51" s="2281"/>
      <c r="F51" s="2281"/>
      <c r="G51" s="4621"/>
      <c r="H51" s="2478" t="e">
        <f>E51/F51</f>
        <v>#DIV/0!</v>
      </c>
      <c r="I51" s="3677"/>
      <c r="J51" s="2424">
        <v>6011002</v>
      </c>
      <c r="K51" s="2209" t="s">
        <v>2581</v>
      </c>
      <c r="L51" s="2282">
        <f>E61</f>
        <v>0</v>
      </c>
      <c r="Q51" s="1765"/>
      <c r="R51" s="1765"/>
      <c r="S51" s="1765"/>
      <c r="T51" s="1765"/>
      <c r="U51" s="1765"/>
      <c r="V51" s="1765"/>
    </row>
    <row r="52" spans="1:22" s="1776" customFormat="1" ht="13.5" thickBot="1">
      <c r="A52" s="1757"/>
      <c r="B52" s="4625"/>
      <c r="C52" s="2424">
        <v>8410080</v>
      </c>
      <c r="D52" s="3687" t="str">
        <f>VLOOKUP(C52,'מאזן בוחן הודו'!$C:$D,2,0)</f>
        <v>Consulting- Bookkeeping</v>
      </c>
      <c r="E52" s="2457"/>
      <c r="F52" s="2282"/>
      <c r="G52" s="4622"/>
      <c r="H52" s="2478" t="e">
        <f>E52/F52</f>
        <v>#DIV/0!</v>
      </c>
      <c r="Q52" s="1765"/>
      <c r="R52" s="1765"/>
      <c r="S52" s="1765"/>
      <c r="T52" s="1765"/>
      <c r="U52" s="1765"/>
      <c r="V52" s="1765"/>
    </row>
    <row r="53" spans="1:22" s="1776" customFormat="1" ht="13.5" thickBot="1">
      <c r="A53" s="1757"/>
      <c r="B53" s="2421">
        <f>B50+1</f>
        <v>14</v>
      </c>
      <c r="C53" s="2284" t="s">
        <v>4469</v>
      </c>
      <c r="D53" s="2422"/>
      <c r="E53" s="2150" t="s">
        <v>2507</v>
      </c>
      <c r="F53" s="2273" t="s">
        <v>294</v>
      </c>
      <c r="G53" s="4620" t="s">
        <v>2718</v>
      </c>
      <c r="H53" s="2478"/>
      <c r="J53" s="4234"/>
      <c r="K53" s="4234"/>
      <c r="Q53" s="1765"/>
      <c r="R53" s="1765"/>
      <c r="S53" s="1765"/>
      <c r="T53" s="1765"/>
      <c r="U53" s="1765"/>
      <c r="V53" s="1765"/>
    </row>
    <row r="54" spans="1:22" s="1776" customFormat="1">
      <c r="A54" s="1757"/>
      <c r="B54" s="4623"/>
      <c r="C54" s="2647">
        <v>1130009</v>
      </c>
      <c r="D54" s="3245" t="str">
        <f>VLOOKUP(C54,'מאזן בוחן הודו'!$C:$D,2,0)</f>
        <v>אלגוסק ישראל</v>
      </c>
      <c r="E54" s="2281">
        <f>-'מאזן בוחן הודו'!E47</f>
        <v>0</v>
      </c>
      <c r="F54" s="2281">
        <f>-'מאזן בוחן הודו'!M47</f>
        <v>0.01</v>
      </c>
      <c r="G54" s="4621"/>
      <c r="H54" s="2478">
        <f>E54/F54</f>
        <v>0</v>
      </c>
      <c r="J54" s="4235"/>
      <c r="K54" s="4235"/>
      <c r="Q54" s="1765"/>
      <c r="R54" s="1765"/>
      <c r="S54" s="1765"/>
      <c r="T54" s="1765"/>
      <c r="U54" s="1765"/>
      <c r="V54" s="1765"/>
    </row>
    <row r="55" spans="1:22" s="1776" customFormat="1">
      <c r="A55" s="1757"/>
      <c r="B55" s="4624"/>
      <c r="C55" s="2647">
        <v>9010002</v>
      </c>
      <c r="D55" s="3245" t="str">
        <f>VLOOKUP(C55,'מאזן בוחן הודו'!$C:$D,2,0)</f>
        <v>Forex Fluctuation</v>
      </c>
      <c r="E55" s="2281">
        <v>0</v>
      </c>
      <c r="F55" s="2281"/>
      <c r="G55" s="4621"/>
      <c r="H55" s="2478" t="e">
        <f>E55/F55</f>
        <v>#DIV/0!</v>
      </c>
      <c r="J55" s="4234"/>
      <c r="K55" s="4234"/>
      <c r="Q55" s="1765"/>
      <c r="R55" s="1765"/>
      <c r="S55" s="1765"/>
      <c r="T55" s="1765"/>
      <c r="U55" s="1765"/>
      <c r="V55" s="1765"/>
    </row>
    <row r="56" spans="1:22" s="1776" customFormat="1" ht="13.5" thickBot="1">
      <c r="A56" s="1757"/>
      <c r="B56" s="4625"/>
      <c r="C56" s="2424">
        <v>53599</v>
      </c>
      <c r="D56" s="3246" t="str">
        <f>VLOOKUP(C56,'מאזן בוחן הודו'!$C:$D,2,0)</f>
        <v>מיון מהכנסות מראש</v>
      </c>
      <c r="E56" s="2457">
        <f>-E54</f>
        <v>0</v>
      </c>
      <c r="F56" s="2282">
        <f>E56/'מאזן בוחן הודו'!$O$2-F55</f>
        <v>0</v>
      </c>
      <c r="G56" s="4622"/>
      <c r="H56" s="2478" t="e">
        <f>E56/F56</f>
        <v>#DIV/0!</v>
      </c>
      <c r="Q56" s="1765"/>
      <c r="R56" s="1765"/>
      <c r="S56" s="1765"/>
      <c r="T56" s="1765"/>
      <c r="U56" s="1765"/>
      <c r="V56" s="1765"/>
    </row>
    <row r="57" spans="1:22" s="1776" customFormat="1" ht="13.5" thickBot="1">
      <c r="A57" s="1757"/>
      <c r="B57" s="2421">
        <f>B53+1</f>
        <v>15</v>
      </c>
      <c r="C57" s="2284" t="s">
        <v>4610</v>
      </c>
      <c r="D57" s="2422"/>
      <c r="E57" s="2283" t="s">
        <v>2507</v>
      </c>
      <c r="F57" s="2276" t="s">
        <v>294</v>
      </c>
      <c r="G57" s="3670" t="s">
        <v>3478</v>
      </c>
      <c r="H57" s="1765"/>
      <c r="Q57" s="1765"/>
      <c r="R57" s="1765"/>
      <c r="S57" s="1765"/>
      <c r="T57" s="1765"/>
      <c r="U57" s="1765"/>
      <c r="V57" s="1765"/>
    </row>
    <row r="58" spans="1:22" s="1776" customFormat="1">
      <c r="A58" s="1757"/>
      <c r="B58" s="4615"/>
      <c r="C58" s="2423">
        <v>2400001</v>
      </c>
      <c r="D58" s="3245" t="str">
        <f>VLOOKUP(C58,'מאזן בוחן הודו'!$C:$D,2,0)</f>
        <v>הוצ`לשלם עובדים זכאים</v>
      </c>
      <c r="E58" s="2281">
        <f>F58*'מאזן בוחן הודו'!$O$2</f>
        <v>0</v>
      </c>
      <c r="F58" s="2277">
        <f>-SUM(F59:F61)</f>
        <v>0</v>
      </c>
      <c r="G58" s="4618" t="s">
        <v>1387</v>
      </c>
      <c r="H58" s="2478" t="e">
        <f>E58/F58</f>
        <v>#DIV/0!</v>
      </c>
      <c r="R58" s="1765"/>
      <c r="S58" s="1765"/>
      <c r="T58" s="1765"/>
      <c r="U58" s="1765"/>
      <c r="V58" s="1765"/>
    </row>
    <row r="59" spans="1:22" s="1776" customFormat="1">
      <c r="A59" s="1757"/>
      <c r="B59" s="4634"/>
      <c r="C59" s="2423">
        <v>5100002</v>
      </c>
      <c r="D59" s="3245" t="str">
        <f>VLOOKUP(C59,'מאזן בוחן הודו'!$C:$D,2,0)</f>
        <v>בונוס תמיכה הודו</v>
      </c>
      <c r="E59" s="2281">
        <f>F59*'מאזן בוחן הודו'!$O$2</f>
        <v>0</v>
      </c>
      <c r="F59" s="2277"/>
      <c r="G59" s="4618"/>
      <c r="H59" s="2478" t="e">
        <f>E59/F59</f>
        <v>#DIV/0!</v>
      </c>
      <c r="R59" s="1765"/>
      <c r="S59" s="1765"/>
      <c r="T59" s="1765"/>
      <c r="U59" s="1765"/>
      <c r="V59" s="1765"/>
    </row>
    <row r="60" spans="1:22" s="1776" customFormat="1">
      <c r="A60" s="1757"/>
      <c r="B60" s="4634"/>
      <c r="C60" s="2423">
        <v>5200002</v>
      </c>
      <c r="D60" s="3245" t="str">
        <f>VLOOKUP(C60,'מאזן בוחן הודו'!$C:$D,2,0)</f>
        <v>בונוס Delivery</v>
      </c>
      <c r="E60" s="2281">
        <f>F60*'מאזן בוחן הודו'!$O$2</f>
        <v>0</v>
      </c>
      <c r="F60" s="2277"/>
      <c r="G60" s="4618"/>
      <c r="H60" s="2478" t="e">
        <f>E60/F60</f>
        <v>#DIV/0!</v>
      </c>
      <c r="R60" s="1765"/>
      <c r="S60" s="1765"/>
      <c r="T60" s="1765"/>
      <c r="U60" s="1765"/>
      <c r="V60" s="1765"/>
    </row>
    <row r="61" spans="1:22" s="1776" customFormat="1" ht="13.5" thickBot="1">
      <c r="A61" s="1757"/>
      <c r="B61" s="4616"/>
      <c r="C61" s="2424">
        <v>6011002</v>
      </c>
      <c r="D61" s="3687" t="str">
        <f>VLOOKUP(C61,'מאזן בוחן הודו'!$C:$D,2,0)</f>
        <v>Bonus Customer Focus</v>
      </c>
      <c r="E61" s="2282">
        <f>F61*'מאזן בוחן הודו'!$O$2</f>
        <v>0</v>
      </c>
      <c r="F61" s="3688"/>
      <c r="G61" s="4619"/>
      <c r="H61" s="2478" t="e">
        <f>E61/F61</f>
        <v>#DIV/0!</v>
      </c>
      <c r="R61" s="1765"/>
      <c r="S61" s="1765"/>
      <c r="T61" s="1765"/>
      <c r="U61" s="1765"/>
      <c r="V61" s="1765"/>
    </row>
    <row r="62" spans="1:22" s="1776" customFormat="1" ht="13.5" thickBot="1">
      <c r="A62" s="1757"/>
      <c r="B62" s="2421">
        <f>B57+1</f>
        <v>16</v>
      </c>
      <c r="C62" s="2284" t="s">
        <v>4958</v>
      </c>
      <c r="D62" s="2422"/>
      <c r="E62" s="2283" t="s">
        <v>2507</v>
      </c>
      <c r="F62" s="2276" t="s">
        <v>294</v>
      </c>
      <c r="G62" s="4617" t="s">
        <v>2427</v>
      </c>
      <c r="H62" s="1765"/>
      <c r="R62" s="1765"/>
      <c r="S62" s="1765"/>
      <c r="T62" s="1765"/>
      <c r="U62" s="1765"/>
      <c r="V62" s="1765"/>
    </row>
    <row r="63" spans="1:22" s="1776" customFormat="1">
      <c r="A63" s="1757"/>
      <c r="B63" s="4615"/>
      <c r="C63" s="2423">
        <v>53599</v>
      </c>
      <c r="D63" s="3245" t="str">
        <f>VLOOKUP(C63,'מאזן בוחן הודו'!$C:$D,2,0)</f>
        <v>מיון מהכנסות מראש</v>
      </c>
      <c r="E63" s="2281">
        <v>0</v>
      </c>
      <c r="F63" s="2277">
        <f>P77</f>
        <v>0</v>
      </c>
      <c r="G63" s="4618"/>
      <c r="H63" s="2478" t="e">
        <f>E63/F63</f>
        <v>#DIV/0!</v>
      </c>
      <c r="R63" s="1765"/>
      <c r="S63" s="1765"/>
      <c r="T63" s="1765"/>
      <c r="U63" s="1765"/>
      <c r="V63" s="1765"/>
    </row>
    <row r="64" spans="1:22" s="1776" customFormat="1" ht="13.5" thickBot="1">
      <c r="A64" s="1757"/>
      <c r="B64" s="4616"/>
      <c r="C64" s="2424">
        <v>9010002</v>
      </c>
      <c r="D64" s="3687" t="str">
        <f>VLOOKUP(C64,'מאזן בוחן הודו'!$C:$D,2,0)</f>
        <v>Forex Fluctuation</v>
      </c>
      <c r="E64" s="2282">
        <v>0</v>
      </c>
      <c r="F64" s="3688">
        <f>-F63</f>
        <v>0</v>
      </c>
      <c r="G64" s="4619"/>
      <c r="H64" s="2478" t="e">
        <f>E64/F64</f>
        <v>#DIV/0!</v>
      </c>
      <c r="R64" s="1765"/>
      <c r="S64" s="1765"/>
      <c r="T64" s="1765"/>
      <c r="U64" s="1765"/>
      <c r="V64" s="1765"/>
    </row>
    <row r="65" spans="1:25" s="1776" customFormat="1">
      <c r="A65" s="1757"/>
      <c r="B65" s="1765"/>
      <c r="C65" s="1765"/>
      <c r="D65" s="1765"/>
      <c r="E65" s="1765"/>
      <c r="F65" s="1757"/>
      <c r="G65" s="1757"/>
      <c r="H65" s="1774"/>
      <c r="I65" s="1774"/>
      <c r="J65" s="1774"/>
      <c r="R65" s="1765"/>
      <c r="S65" s="1765"/>
      <c r="T65" s="1765"/>
      <c r="U65" s="1765"/>
      <c r="V65" s="1765"/>
    </row>
    <row r="66" spans="1:25" s="1776" customFormat="1" ht="13.5" thickBot="1">
      <c r="A66" s="1757"/>
      <c r="B66" s="2210"/>
      <c r="C66" s="1773"/>
      <c r="D66" s="1773"/>
      <c r="E66" s="2210"/>
      <c r="F66" s="1757"/>
      <c r="G66" s="1757"/>
      <c r="H66" s="1774"/>
      <c r="I66" s="1774"/>
      <c r="J66" s="1774"/>
      <c r="R66" s="1765"/>
      <c r="S66" s="1765"/>
      <c r="T66" s="1765"/>
      <c r="U66" s="1765"/>
      <c r="V66" s="1765"/>
    </row>
    <row r="67" spans="1:25" s="359" customFormat="1" ht="13.5" thickBot="1">
      <c r="A67" s="4631" t="s">
        <v>4596</v>
      </c>
      <c r="B67" s="4632"/>
      <c r="C67" s="4632"/>
      <c r="D67" s="4632"/>
      <c r="E67" s="4632"/>
      <c r="F67" s="4632"/>
      <c r="G67" s="4633"/>
      <c r="H67" s="1757"/>
      <c r="I67" s="1757"/>
      <c r="J67" s="1757"/>
      <c r="K67" s="1776"/>
      <c r="L67" s="1776"/>
      <c r="M67" s="1776"/>
      <c r="N67" s="1776"/>
      <c r="O67" s="1776"/>
      <c r="P67" s="1776"/>
      <c r="Q67" s="1765"/>
      <c r="R67" s="1765"/>
      <c r="S67" s="1765"/>
      <c r="T67" s="1765"/>
      <c r="U67" s="1765"/>
      <c r="V67" s="1765"/>
    </row>
    <row r="68" spans="1:25" s="359" customFormat="1">
      <c r="A68" s="1757"/>
      <c r="B68" s="1773"/>
      <c r="C68" s="1773"/>
      <c r="D68" s="1773"/>
      <c r="E68" s="1773"/>
      <c r="F68" s="1757"/>
      <c r="G68" s="1757"/>
      <c r="H68" s="1774"/>
      <c r="I68" s="1774"/>
      <c r="J68" s="1774"/>
      <c r="K68" s="1776"/>
      <c r="L68" s="1776"/>
      <c r="M68" s="1776"/>
      <c r="N68" s="1776"/>
      <c r="O68" s="1776"/>
      <c r="P68" s="1776"/>
      <c r="Q68" s="1765"/>
      <c r="R68" s="1765"/>
      <c r="S68" s="1765"/>
      <c r="T68" s="1765"/>
      <c r="U68" s="1765"/>
      <c r="V68" s="1765"/>
    </row>
    <row r="69" spans="1:25" s="359" customFormat="1">
      <c r="A69" s="1777" t="s">
        <v>427</v>
      </c>
      <c r="B69" s="1778" t="s">
        <v>428</v>
      </c>
      <c r="C69" s="1778" t="s">
        <v>429</v>
      </c>
      <c r="D69" s="1778" t="s">
        <v>430</v>
      </c>
      <c r="E69" s="1778" t="s">
        <v>1255</v>
      </c>
      <c r="F69" s="3258" t="s">
        <v>2488</v>
      </c>
      <c r="G69" s="3258" t="s">
        <v>1257</v>
      </c>
      <c r="H69" s="1779" t="s">
        <v>2505</v>
      </c>
      <c r="I69" s="1780" t="s">
        <v>2506</v>
      </c>
      <c r="J69" s="213"/>
      <c r="K69" s="1776"/>
      <c r="L69" s="1776"/>
      <c r="M69" s="1776"/>
      <c r="N69" s="1776"/>
      <c r="O69" s="1776"/>
      <c r="P69" s="1776"/>
      <c r="Q69" s="1765"/>
      <c r="R69" s="1765"/>
      <c r="S69" s="1765"/>
      <c r="T69" s="1765"/>
      <c r="U69" s="1765"/>
      <c r="V69" s="1765"/>
    </row>
    <row r="70" spans="1:25" s="359" customFormat="1">
      <c r="A70" s="212" t="s">
        <v>1258</v>
      </c>
      <c r="B70" s="212" t="s">
        <v>1259</v>
      </c>
      <c r="C70" s="212" t="s">
        <v>340</v>
      </c>
      <c r="D70" s="1786">
        <v>1000001</v>
      </c>
      <c r="E70" s="212" t="s">
        <v>2489</v>
      </c>
      <c r="F70" s="3259">
        <v>85351280.650000006</v>
      </c>
      <c r="G70" s="3260">
        <v>1148699.99</v>
      </c>
      <c r="H70" s="1782">
        <f>VLOOKUP(D70,'מאזן בוחן הודו'!$C:$E,3,0)-F70</f>
        <v>0</v>
      </c>
      <c r="I70" s="1782">
        <f>VLOOKUP(D70,'מאזן בוחן הודו'!$C:$M,11,0)-G70</f>
        <v>0</v>
      </c>
      <c r="J70" s="3667"/>
      <c r="K70" s="1776"/>
      <c r="L70" s="1776"/>
      <c r="M70" s="1776"/>
      <c r="N70" s="1776"/>
      <c r="O70" s="1776"/>
      <c r="P70" s="1776"/>
      <c r="Q70" s="1765"/>
      <c r="R70" s="1765"/>
      <c r="S70" s="1765"/>
      <c r="T70" s="1765"/>
      <c r="U70" s="1765"/>
      <c r="V70" s="1765"/>
    </row>
    <row r="71" spans="1:25" s="359" customFormat="1">
      <c r="A71" s="212" t="s">
        <v>1258</v>
      </c>
      <c r="B71" s="212" t="s">
        <v>1260</v>
      </c>
      <c r="C71" s="212" t="s">
        <v>568</v>
      </c>
      <c r="D71" s="1786">
        <v>1100001</v>
      </c>
      <c r="E71" s="212" t="s">
        <v>25</v>
      </c>
      <c r="F71" s="3259">
        <v>1223620</v>
      </c>
      <c r="G71" s="3260">
        <v>16456.93</v>
      </c>
      <c r="H71" s="1782">
        <f>VLOOKUP(D71,'מאזן בוחן הודו'!$C:$E,3,0)-F71</f>
        <v>0</v>
      </c>
      <c r="I71" s="1782">
        <f>VLOOKUP(D71,'מאזן בוחן הודו'!$C:$M,11,0)-G71</f>
        <v>0</v>
      </c>
      <c r="J71" s="3667"/>
      <c r="K71" s="1776"/>
      <c r="L71" s="1776"/>
      <c r="M71" s="1776"/>
      <c r="N71" s="1776"/>
      <c r="O71" s="1776"/>
      <c r="P71" s="1776"/>
      <c r="Q71" s="1765"/>
      <c r="R71" s="1765"/>
      <c r="S71" s="1765"/>
      <c r="T71" s="1765"/>
      <c r="U71" s="1765"/>
      <c r="V71" s="1765"/>
    </row>
    <row r="72" spans="1:25" s="359" customFormat="1">
      <c r="A72" s="212" t="s">
        <v>1258</v>
      </c>
      <c r="B72" s="212" t="s">
        <v>1260</v>
      </c>
      <c r="C72" s="212" t="s">
        <v>570</v>
      </c>
      <c r="D72" s="1786">
        <v>1130009</v>
      </c>
      <c r="E72" s="212" t="s">
        <v>774</v>
      </c>
      <c r="F72" s="3259">
        <v>0</v>
      </c>
      <c r="G72" s="3260">
        <v>-0.01</v>
      </c>
      <c r="H72" s="1782">
        <f>VLOOKUP(D72,'מאזן בוחן הודו'!$C:$E,3,0)-F72</f>
        <v>0</v>
      </c>
      <c r="I72" s="1782">
        <f>VLOOKUP(D72,'מאזן בוחן הודו'!$C:$M,11,0)-G72</f>
        <v>0</v>
      </c>
      <c r="J72" s="3667"/>
      <c r="K72" s="1776"/>
      <c r="L72" s="1776"/>
      <c r="M72" s="1776"/>
      <c r="N72" s="1776"/>
      <c r="O72" s="1776"/>
      <c r="P72" s="1776"/>
      <c r="Q72" s="1765"/>
    </row>
    <row r="73" spans="1:25" s="359" customFormat="1">
      <c r="A73" s="212" t="s">
        <v>1258</v>
      </c>
      <c r="B73" s="212" t="s">
        <v>1260</v>
      </c>
      <c r="C73" s="212" t="s">
        <v>570</v>
      </c>
      <c r="D73" s="1786">
        <v>1130012</v>
      </c>
      <c r="E73" s="212" t="s">
        <v>1304</v>
      </c>
      <c r="F73" s="3259">
        <v>-3040968.76</v>
      </c>
      <c r="G73" s="3260">
        <v>-40926.870000000003</v>
      </c>
      <c r="H73" s="1782">
        <f>VLOOKUP(D73,'מאזן בוחן הודו'!$C:$E,3,0)-F73</f>
        <v>0</v>
      </c>
      <c r="I73" s="1782">
        <f>VLOOKUP(D73,'מאזן בוחן הודו'!$C:$M,11,0)-G73</f>
        <v>0</v>
      </c>
      <c r="J73" s="3667"/>
      <c r="K73" s="1776"/>
      <c r="L73" s="1776"/>
      <c r="M73" s="1776"/>
      <c r="N73" s="1776"/>
      <c r="O73" s="1776"/>
      <c r="P73" s="1776"/>
      <c r="Q73" s="1765"/>
      <c r="R73" s="1781"/>
      <c r="S73" s="1781"/>
      <c r="T73" s="1781"/>
      <c r="U73" s="1781"/>
      <c r="V73" s="1781"/>
      <c r="W73" s="1781"/>
      <c r="X73" s="1781"/>
      <c r="Y73" s="1781"/>
    </row>
    <row r="74" spans="1:25" s="359" customFormat="1">
      <c r="A74" s="212" t="s">
        <v>1258</v>
      </c>
      <c r="B74" s="212" t="s">
        <v>1263</v>
      </c>
      <c r="C74" s="212" t="s">
        <v>1001</v>
      </c>
      <c r="D74" s="1786">
        <v>1400001</v>
      </c>
      <c r="E74" s="212" t="s">
        <v>347</v>
      </c>
      <c r="F74" s="3259">
        <v>5946000</v>
      </c>
      <c r="G74" s="3260">
        <v>80154.740000000005</v>
      </c>
      <c r="H74" s="1782">
        <f>VLOOKUP(D74,'מאזן בוחן הודו'!$C:$E,3,0)-F74</f>
        <v>0</v>
      </c>
      <c r="I74" s="1782">
        <f>VLOOKUP(D74,'מאזן בוחן הודו'!$C:$M,11,0)-G74</f>
        <v>0</v>
      </c>
      <c r="J74" s="3667"/>
      <c r="K74" s="1776"/>
      <c r="L74" s="1776"/>
      <c r="M74" s="1776"/>
      <c r="N74" s="1776"/>
      <c r="O74" s="1776"/>
      <c r="P74" s="1776"/>
      <c r="Q74" s="1765"/>
      <c r="R74" s="1781"/>
      <c r="S74" s="1781"/>
      <c r="T74" s="1781"/>
      <c r="U74" s="1781"/>
      <c r="V74" s="1781"/>
      <c r="W74" s="1781"/>
      <c r="X74" s="1781"/>
      <c r="Y74" s="1781"/>
    </row>
    <row r="75" spans="1:25" s="359" customFormat="1">
      <c r="A75" s="212" t="s">
        <v>1258</v>
      </c>
      <c r="B75" s="212" t="s">
        <v>1263</v>
      </c>
      <c r="C75" s="212" t="s">
        <v>1007</v>
      </c>
      <c r="D75" s="1786">
        <v>1490001</v>
      </c>
      <c r="E75" s="212" t="s">
        <v>1008</v>
      </c>
      <c r="F75" s="3259">
        <v>-1552791.74</v>
      </c>
      <c r="G75" s="3260">
        <v>-21003.97</v>
      </c>
      <c r="H75" s="1782">
        <f>VLOOKUP(D75,'מאזן בוחן הודו'!$C:$E,3,0)-F75</f>
        <v>0</v>
      </c>
      <c r="I75" s="1782">
        <f>VLOOKUP(D75,'מאזן בוחן הודו'!$C:$M,11,0)-G75</f>
        <v>0</v>
      </c>
      <c r="J75" s="3667"/>
      <c r="K75" s="1776"/>
      <c r="L75" s="1776"/>
      <c r="M75" s="1776"/>
      <c r="N75" s="1776"/>
      <c r="O75" s="1776"/>
      <c r="P75" s="1776"/>
      <c r="Q75" s="1765"/>
      <c r="R75" s="1781"/>
      <c r="S75" s="1781"/>
      <c r="T75" s="1781"/>
      <c r="U75" s="1781"/>
      <c r="V75" s="1781"/>
      <c r="W75" s="1781"/>
      <c r="X75" s="1781"/>
      <c r="Y75" s="1781"/>
    </row>
    <row r="76" spans="1:25" s="359" customFormat="1">
      <c r="A76" s="212" t="s">
        <v>1258</v>
      </c>
      <c r="B76" s="212" t="s">
        <v>1265</v>
      </c>
      <c r="C76" s="212" t="s">
        <v>1018</v>
      </c>
      <c r="D76" s="1786">
        <v>1620001</v>
      </c>
      <c r="E76" s="212" t="s">
        <v>345</v>
      </c>
      <c r="F76" s="3259">
        <v>-35668.92</v>
      </c>
      <c r="G76" s="3260">
        <v>-480.05</v>
      </c>
      <c r="H76" s="1782">
        <f>VLOOKUP(D76,'מאזן בוחן הודו'!$C:$E,3,0)-F76</f>
        <v>0</v>
      </c>
      <c r="I76" s="1782">
        <f>VLOOKUP(D76,'מאזן בוחן הודו'!$C:$M,11,0)-G76</f>
        <v>0</v>
      </c>
      <c r="J76" s="3667"/>
      <c r="K76" s="1776"/>
      <c r="L76" s="1776"/>
      <c r="M76" s="1776"/>
      <c r="N76" s="1776"/>
      <c r="O76" s="1776"/>
      <c r="P76" s="1776"/>
      <c r="Q76" s="1765"/>
      <c r="R76" s="1781"/>
      <c r="S76" s="1781"/>
      <c r="T76" s="1781"/>
      <c r="U76" s="1781"/>
      <c r="V76" s="1781"/>
      <c r="W76" s="1781"/>
      <c r="X76" s="1781"/>
      <c r="Y76" s="1781"/>
    </row>
    <row r="77" spans="1:25" s="359" customFormat="1">
      <c r="A77" s="212" t="s">
        <v>1266</v>
      </c>
      <c r="B77" s="212" t="s">
        <v>1267</v>
      </c>
      <c r="C77" s="212" t="s">
        <v>1019</v>
      </c>
      <c r="D77" s="1786">
        <v>53599</v>
      </c>
      <c r="E77" s="212" t="s">
        <v>1952</v>
      </c>
      <c r="F77" s="3259">
        <v>-52147781.200000003</v>
      </c>
      <c r="G77" s="3260">
        <v>-701835.51</v>
      </c>
      <c r="H77" s="1782">
        <f>VLOOKUP(D77,'מאזן בוחן הודו'!$C:$E,3,0)-F77</f>
        <v>0</v>
      </c>
      <c r="I77" s="1782">
        <f>VLOOKUP(D77,'מאזן בוחן הודו'!$C:$M,11,0)-G77</f>
        <v>0</v>
      </c>
      <c r="J77" s="3667"/>
      <c r="K77" s="1776"/>
      <c r="L77" s="1776"/>
      <c r="M77" s="1776"/>
      <c r="N77" s="1776"/>
      <c r="O77" s="1776"/>
      <c r="P77" s="1776"/>
      <c r="Q77" s="1765"/>
    </row>
    <row r="78" spans="1:25" s="359" customFormat="1">
      <c r="A78" s="212" t="s">
        <v>1266</v>
      </c>
      <c r="B78" s="212" t="s">
        <v>1268</v>
      </c>
      <c r="C78" s="212" t="s">
        <v>2491</v>
      </c>
      <c r="D78" s="1786">
        <v>2100004</v>
      </c>
      <c r="E78" s="212" t="s">
        <v>2492</v>
      </c>
      <c r="F78" s="3259">
        <v>-85550</v>
      </c>
      <c r="G78" s="3260">
        <v>-1151.3699999999999</v>
      </c>
      <c r="H78" s="1782">
        <f>VLOOKUP(D78,'מאזן בוחן הודו'!$C:$E,3,0)-F78</f>
        <v>0</v>
      </c>
      <c r="I78" s="1782">
        <f>VLOOKUP(D78,'מאזן בוחן הודו'!$C:$M,11,0)-G78</f>
        <v>0</v>
      </c>
      <c r="J78" s="3667"/>
      <c r="K78" s="1776"/>
      <c r="L78" s="1776"/>
      <c r="M78" s="1776"/>
      <c r="N78" s="1776"/>
      <c r="O78" s="1776"/>
      <c r="P78" s="1776"/>
      <c r="Q78" s="1765"/>
    </row>
    <row r="79" spans="1:25" s="359" customFormat="1">
      <c r="A79" s="212" t="s">
        <v>1266</v>
      </c>
      <c r="B79" s="212" t="s">
        <v>1268</v>
      </c>
      <c r="C79" s="212" t="s">
        <v>2491</v>
      </c>
      <c r="D79" s="1786">
        <v>2100005</v>
      </c>
      <c r="E79" s="212" t="s">
        <v>2493</v>
      </c>
      <c r="F79" s="3259">
        <v>6642.02</v>
      </c>
      <c r="G79" s="3260">
        <v>89.39</v>
      </c>
      <c r="H79" s="1782">
        <f>VLOOKUP(D79,'מאזן בוחן הודו'!$C:$E,3,0)-F79</f>
        <v>0</v>
      </c>
      <c r="I79" s="1782">
        <f>VLOOKUP(D79,'מאזן בוחן הודו'!$C:$M,11,0)-G79</f>
        <v>0</v>
      </c>
      <c r="J79" s="3667"/>
      <c r="K79" s="1776"/>
      <c r="L79" s="1776"/>
      <c r="M79" s="1776"/>
      <c r="N79" s="1776"/>
      <c r="O79" s="1776"/>
      <c r="P79" s="1776"/>
    </row>
    <row r="80" spans="1:25" s="359" customFormat="1">
      <c r="A80" s="212" t="s">
        <v>1266</v>
      </c>
      <c r="B80" s="212" t="s">
        <v>1268</v>
      </c>
      <c r="C80" s="212" t="s">
        <v>2491</v>
      </c>
      <c r="D80" s="1786">
        <v>2100022</v>
      </c>
      <c r="E80" s="212" t="s">
        <v>3067</v>
      </c>
      <c r="F80" s="3259">
        <v>2011.8</v>
      </c>
      <c r="G80" s="3260">
        <v>27.08</v>
      </c>
      <c r="H80" s="1782">
        <f>VLOOKUP(D80,'מאזן בוחן הודו'!$C:$E,3,0)-F80</f>
        <v>0</v>
      </c>
      <c r="I80" s="1782">
        <f>VLOOKUP(D80,'מאזן בוחן הודו'!$C:$M,11,0)-G80</f>
        <v>0</v>
      </c>
      <c r="J80" s="3667"/>
      <c r="K80" s="1782"/>
      <c r="L80" s="1775"/>
      <c r="M80" s="212"/>
      <c r="N80" s="1781"/>
    </row>
    <row r="81" spans="1:14" s="359" customFormat="1">
      <c r="A81" s="212" t="s">
        <v>1266</v>
      </c>
      <c r="B81" s="212" t="s">
        <v>1268</v>
      </c>
      <c r="C81" s="212" t="s">
        <v>2491</v>
      </c>
      <c r="D81" s="1786">
        <v>2100030</v>
      </c>
      <c r="E81" s="212" t="s">
        <v>3771</v>
      </c>
      <c r="F81" s="3259">
        <v>48324</v>
      </c>
      <c r="G81" s="3260">
        <v>650.37</v>
      </c>
      <c r="H81" s="1782">
        <f>VLOOKUP(D81,'מאזן בוחן הודו'!$C:$E,3,0)-F81</f>
        <v>0</v>
      </c>
      <c r="I81" s="1782">
        <f>VLOOKUP(D81,'מאזן בוחן הודו'!$C:$M,11,0)-G81</f>
        <v>0</v>
      </c>
      <c r="J81" s="3667"/>
      <c r="K81" s="1782"/>
      <c r="L81" s="1775"/>
      <c r="M81" s="212"/>
      <c r="N81" s="1781"/>
    </row>
    <row r="82" spans="1:14" s="359" customFormat="1">
      <c r="A82" s="212" t="s">
        <v>1266</v>
      </c>
      <c r="B82" s="212" t="s">
        <v>1268</v>
      </c>
      <c r="C82" s="212" t="s">
        <v>2491</v>
      </c>
      <c r="D82" s="1786">
        <v>2100039</v>
      </c>
      <c r="E82" s="212" t="s">
        <v>4593</v>
      </c>
      <c r="F82" s="3259">
        <v>64045</v>
      </c>
      <c r="G82" s="3260">
        <v>861.95</v>
      </c>
      <c r="H82" s="1782">
        <f>VLOOKUP(D82,'מאזן בוחן הודו'!$C:$E,3,0)-F82</f>
        <v>0</v>
      </c>
      <c r="I82" s="1782">
        <f>VLOOKUP(D82,'מאזן בוחן הודו'!$C:$M,11,0)-G82</f>
        <v>0</v>
      </c>
      <c r="J82" s="3667"/>
      <c r="K82" s="1782"/>
      <c r="L82" s="1775"/>
      <c r="M82" s="212"/>
      <c r="N82" s="1781"/>
    </row>
    <row r="83" spans="1:14" s="359" customFormat="1">
      <c r="A83" s="212" t="s">
        <v>1266</v>
      </c>
      <c r="B83" s="212" t="s">
        <v>1270</v>
      </c>
      <c r="C83" s="212" t="s">
        <v>1037</v>
      </c>
      <c r="D83" s="1786">
        <v>2200001</v>
      </c>
      <c r="E83" s="212" t="s">
        <v>151</v>
      </c>
      <c r="F83" s="3259">
        <v>-678495</v>
      </c>
      <c r="G83" s="3260">
        <v>-9131.52</v>
      </c>
      <c r="H83" s="1782">
        <f>VLOOKUP(D83,'מאזן בוחן הודו'!$C:$E,3,0)-F83</f>
        <v>0</v>
      </c>
      <c r="I83" s="1782">
        <f>VLOOKUP(D83,'מאזן בוחן הודו'!$C:$M,11,0)-G83</f>
        <v>0</v>
      </c>
      <c r="J83" s="3667"/>
      <c r="K83" s="1782"/>
      <c r="L83" s="1783"/>
      <c r="M83" s="212"/>
      <c r="N83" s="1781"/>
    </row>
    <row r="84" spans="1:14" s="359" customFormat="1">
      <c r="A84" s="212" t="s">
        <v>1266</v>
      </c>
      <c r="B84" s="212" t="s">
        <v>1271</v>
      </c>
      <c r="C84" s="212" t="s">
        <v>1040</v>
      </c>
      <c r="D84" s="1786">
        <v>2400001</v>
      </c>
      <c r="E84" s="212" t="s">
        <v>519</v>
      </c>
      <c r="F84" s="3259">
        <v>-16898057.780000001</v>
      </c>
      <c r="G84" s="3260">
        <v>-227776.02</v>
      </c>
      <c r="H84" s="1782">
        <f>VLOOKUP(D84,'מאזן בוחן הודו'!$C:$E,3,0)-F84</f>
        <v>0</v>
      </c>
      <c r="I84" s="1782">
        <f>VLOOKUP(D84,'מאזן בוחן הודו'!$C:$M,11,0)-G84</f>
        <v>0</v>
      </c>
      <c r="K84" s="1782"/>
      <c r="L84" s="1783"/>
      <c r="M84" s="212"/>
      <c r="N84" s="1781"/>
    </row>
    <row r="85" spans="1:14" s="359" customFormat="1">
      <c r="A85" s="212" t="s">
        <v>1266</v>
      </c>
      <c r="B85" s="212" t="s">
        <v>1271</v>
      </c>
      <c r="C85" s="212" t="s">
        <v>1040</v>
      </c>
      <c r="D85" s="1786">
        <v>2400002</v>
      </c>
      <c r="E85" s="212" t="s">
        <v>1041</v>
      </c>
      <c r="F85" s="3259">
        <v>36500</v>
      </c>
      <c r="G85" s="3260">
        <v>491.24</v>
      </c>
      <c r="H85" s="1782">
        <f>VLOOKUP(D85,'מאזן בוחן הודו'!$C:$E,3,0)-F85</f>
        <v>0</v>
      </c>
      <c r="I85" s="1782">
        <f>VLOOKUP(D85,'מאזן בוחן הודו'!$C:$M,11,0)-G85</f>
        <v>0</v>
      </c>
      <c r="K85" s="1782"/>
      <c r="L85" s="1783"/>
      <c r="M85" s="212"/>
      <c r="N85" s="1781"/>
    </row>
    <row r="86" spans="1:14" s="359" customFormat="1">
      <c r="A86" s="212" t="s">
        <v>1266</v>
      </c>
      <c r="B86" s="212" t="s">
        <v>1272</v>
      </c>
      <c r="C86" s="212" t="s">
        <v>1044</v>
      </c>
      <c r="D86" s="1786">
        <v>2500003</v>
      </c>
      <c r="E86" s="212" t="s">
        <v>2494</v>
      </c>
      <c r="F86" s="3259">
        <v>4135496.7</v>
      </c>
      <c r="G86" s="3260">
        <v>55657.57</v>
      </c>
      <c r="H86" s="1782">
        <f>VLOOKUP(D86,'מאזן בוחן הודו'!$C:$E,3,0)-F86</f>
        <v>0</v>
      </c>
      <c r="I86" s="1782">
        <f>VLOOKUP(D86,'מאזן בוחן הודו'!$C:$M,11,0)-G86</f>
        <v>0</v>
      </c>
      <c r="K86" s="1782"/>
      <c r="L86" s="1783"/>
      <c r="M86" s="212"/>
      <c r="N86" s="1781"/>
    </row>
    <row r="87" spans="1:14" s="359" customFormat="1">
      <c r="A87" s="212" t="s">
        <v>1266</v>
      </c>
      <c r="B87" s="212" t="s">
        <v>1272</v>
      </c>
      <c r="C87" s="212" t="s">
        <v>1044</v>
      </c>
      <c r="D87" s="1786" t="s">
        <v>4445</v>
      </c>
      <c r="E87" s="212" t="s">
        <v>4446</v>
      </c>
      <c r="F87" s="3259">
        <v>230</v>
      </c>
      <c r="G87" s="3260">
        <v>3.1</v>
      </c>
      <c r="H87" s="1782">
        <f>VLOOKUP(D87,'מאזן בוחן הודו'!$C:$E,3,0)-F87</f>
        <v>0</v>
      </c>
      <c r="I87" s="1782">
        <f>VLOOKUP(D87,'מאזן בוחן הודו'!$C:$M,11,0)-G87</f>
        <v>0</v>
      </c>
      <c r="K87" s="1782"/>
      <c r="L87" s="1783"/>
      <c r="M87" s="212"/>
      <c r="N87" s="1781"/>
    </row>
    <row r="88" spans="1:14" s="359" customFormat="1">
      <c r="A88" s="212" t="s">
        <v>1266</v>
      </c>
      <c r="B88" s="212" t="s">
        <v>1272</v>
      </c>
      <c r="C88" s="212" t="s">
        <v>1044</v>
      </c>
      <c r="D88" s="1786">
        <v>2500004</v>
      </c>
      <c r="E88" s="212" t="s">
        <v>2495</v>
      </c>
      <c r="F88" s="3259">
        <v>629454.82999999996</v>
      </c>
      <c r="G88" s="3260">
        <v>8471.52</v>
      </c>
      <c r="H88" s="1782">
        <f>VLOOKUP(D88,'מאזן בוחן הודו'!$C:$E,3,0)-F88</f>
        <v>0</v>
      </c>
      <c r="I88" s="1782">
        <f>VLOOKUP(D88,'מאזן בוחן הודו'!$C:$M,11,0)-G88</f>
        <v>0</v>
      </c>
      <c r="K88" s="1782"/>
      <c r="L88" s="1783"/>
      <c r="M88" s="212"/>
      <c r="N88" s="212"/>
    </row>
    <row r="89" spans="1:14" s="359" customFormat="1">
      <c r="A89" s="212" t="s">
        <v>1266</v>
      </c>
      <c r="B89" s="212" t="s">
        <v>1272</v>
      </c>
      <c r="C89" s="212" t="s">
        <v>1044</v>
      </c>
      <c r="D89" s="1786">
        <v>2500005</v>
      </c>
      <c r="E89" s="212" t="s">
        <v>2496</v>
      </c>
      <c r="F89" s="3259">
        <v>4135496.7</v>
      </c>
      <c r="G89" s="3260">
        <v>55657.57</v>
      </c>
      <c r="H89" s="1782">
        <f>VLOOKUP(D89,'מאזן בוחן הודו'!$C:$E,3,0)-F89</f>
        <v>0</v>
      </c>
      <c r="I89" s="1782">
        <f>VLOOKUP(D89,'מאזן בוחן הודו'!$C:$M,11,0)-G89</f>
        <v>0</v>
      </c>
      <c r="K89" s="1782"/>
      <c r="L89" s="1783"/>
      <c r="M89" s="212"/>
      <c r="N89" s="1781"/>
    </row>
    <row r="90" spans="1:14" s="359" customFormat="1">
      <c r="A90" s="212" t="s">
        <v>1266</v>
      </c>
      <c r="B90" s="212" t="s">
        <v>1272</v>
      </c>
      <c r="C90" s="212" t="s">
        <v>1044</v>
      </c>
      <c r="D90" s="1786" t="s">
        <v>4447</v>
      </c>
      <c r="E90" s="212" t="s">
        <v>4448</v>
      </c>
      <c r="F90" s="3259">
        <v>230</v>
      </c>
      <c r="G90" s="3260">
        <v>3.1</v>
      </c>
      <c r="H90" s="1782">
        <f>VLOOKUP(D90,'מאזן בוחן הודו'!$C:$E,3,0)-F90</f>
        <v>0</v>
      </c>
      <c r="I90" s="1782">
        <f>VLOOKUP(D90,'מאזן בוחן הודו'!$C:$M,11,0)-G90</f>
        <v>0</v>
      </c>
      <c r="K90" s="1782"/>
      <c r="L90" s="1783"/>
      <c r="M90" s="212"/>
      <c r="N90" s="212"/>
    </row>
    <row r="91" spans="1:14" s="359" customFormat="1">
      <c r="A91" s="212" t="s">
        <v>1266</v>
      </c>
      <c r="B91" s="212" t="s">
        <v>1272</v>
      </c>
      <c r="C91" s="212" t="s">
        <v>1044</v>
      </c>
      <c r="D91" s="1786">
        <v>2500006</v>
      </c>
      <c r="E91" s="212" t="s">
        <v>3601</v>
      </c>
      <c r="F91" s="3259">
        <v>7020</v>
      </c>
      <c r="G91" s="3260">
        <v>94.48</v>
      </c>
      <c r="H91" s="1782">
        <f>VLOOKUP(D91,'מאזן בוחן הודו'!$C:$E,3,0)-F91</f>
        <v>0</v>
      </c>
      <c r="I91" s="1782">
        <f>VLOOKUP(D91,'מאזן בוחן הודו'!$C:$M,11,0)-G91</f>
        <v>0</v>
      </c>
      <c r="K91" s="1782"/>
      <c r="L91" s="1783"/>
      <c r="M91" s="212"/>
      <c r="N91" s="1781"/>
    </row>
    <row r="92" spans="1:14" s="359" customFormat="1">
      <c r="A92" s="212" t="s">
        <v>1266</v>
      </c>
      <c r="B92" s="212" t="s">
        <v>1272</v>
      </c>
      <c r="C92" s="212" t="s">
        <v>1044</v>
      </c>
      <c r="D92" s="1786" t="s">
        <v>4436</v>
      </c>
      <c r="E92" s="212" t="s">
        <v>4434</v>
      </c>
      <c r="F92" s="3259">
        <v>6746076</v>
      </c>
      <c r="G92" s="3260">
        <v>90792.05</v>
      </c>
      <c r="H92" s="1782">
        <f>VLOOKUP(D92,'מאזן בוחן הודו'!$C:$E,3,0)-F92</f>
        <v>0</v>
      </c>
      <c r="I92" s="1782">
        <f>VLOOKUP(D92,'מאזן בוחן הודו'!$C:$M,11,0)-G92</f>
        <v>0</v>
      </c>
      <c r="K92" s="1782"/>
      <c r="L92" s="1783"/>
      <c r="M92" s="212"/>
      <c r="N92" s="212"/>
    </row>
    <row r="93" spans="1:14" s="359" customFormat="1">
      <c r="A93" s="212" t="s">
        <v>1266</v>
      </c>
      <c r="B93" s="212" t="s">
        <v>1272</v>
      </c>
      <c r="C93" s="212" t="s">
        <v>1044</v>
      </c>
      <c r="D93" s="1786" t="s">
        <v>4437</v>
      </c>
      <c r="E93" s="212" t="s">
        <v>4435</v>
      </c>
      <c r="F93" s="3259">
        <v>-6746076</v>
      </c>
      <c r="G93" s="3260">
        <v>-90792.05</v>
      </c>
      <c r="H93" s="1782">
        <f>VLOOKUP(D93,'מאזן בוחן הודו'!$C:$E,3,0)-F93</f>
        <v>0</v>
      </c>
      <c r="I93" s="1782">
        <f>VLOOKUP(D93,'מאזן בוחן הודו'!$C:$M,11,0)-G93</f>
        <v>0</v>
      </c>
      <c r="K93" s="1782"/>
      <c r="L93" s="1783"/>
      <c r="M93" s="212"/>
      <c r="N93" s="1781"/>
    </row>
    <row r="94" spans="1:14" s="359" customFormat="1">
      <c r="A94" s="212" t="s">
        <v>1266</v>
      </c>
      <c r="B94" s="212" t="s">
        <v>1272</v>
      </c>
      <c r="C94" s="212" t="s">
        <v>1044</v>
      </c>
      <c r="D94" s="1786">
        <v>2500009</v>
      </c>
      <c r="E94" s="212" t="s">
        <v>2497</v>
      </c>
      <c r="F94" s="3259">
        <v>-39440</v>
      </c>
      <c r="G94" s="3260">
        <v>-530.79999999999995</v>
      </c>
      <c r="H94" s="1782">
        <f>VLOOKUP(D94,'מאזן בוחן הודו'!$C:$E,3,0)-F94</f>
        <v>0</v>
      </c>
      <c r="I94" s="1782">
        <f>VLOOKUP(D94,'מאזן בוחן הודו'!$C:$M,11,0)-G94</f>
        <v>0</v>
      </c>
      <c r="K94" s="1782"/>
      <c r="L94" s="1783"/>
      <c r="M94" s="212"/>
      <c r="N94" s="1781"/>
    </row>
    <row r="95" spans="1:14" s="359" customFormat="1">
      <c r="A95" s="212" t="s">
        <v>1266</v>
      </c>
      <c r="B95" s="212" t="s">
        <v>1272</v>
      </c>
      <c r="C95" s="212" t="s">
        <v>1044</v>
      </c>
      <c r="D95" s="1786">
        <v>2500010</v>
      </c>
      <c r="E95" s="212" t="s">
        <v>2498</v>
      </c>
      <c r="F95" s="3259">
        <v>-210252.79999999999</v>
      </c>
      <c r="G95" s="3260">
        <v>-2829.69</v>
      </c>
      <c r="H95" s="1782">
        <f>VLOOKUP(D95,'מאזן בוחן הודו'!$C:$E,3,0)-F95</f>
        <v>0</v>
      </c>
      <c r="I95" s="1782">
        <f>VLOOKUP(D95,'מאזן בוחן הודו'!$C:$M,11,0)-G95</f>
        <v>0</v>
      </c>
      <c r="K95" s="1782"/>
      <c r="L95" s="1783"/>
      <c r="M95" s="212"/>
      <c r="N95" s="1781"/>
    </row>
    <row r="96" spans="1:14" s="359" customFormat="1">
      <c r="A96" s="212" t="s">
        <v>1266</v>
      </c>
      <c r="B96" s="212" t="s">
        <v>1272</v>
      </c>
      <c r="C96" s="212" t="s">
        <v>1044</v>
      </c>
      <c r="D96" s="1786">
        <v>2500011</v>
      </c>
      <c r="E96" s="212" t="s">
        <v>2499</v>
      </c>
      <c r="F96" s="3259">
        <v>-2336.13</v>
      </c>
      <c r="G96" s="3260">
        <v>-31.44</v>
      </c>
      <c r="H96" s="1782">
        <f>VLOOKUP(D96,'מאזן בוחן הודו'!$C:$E,3,0)-F96</f>
        <v>0</v>
      </c>
      <c r="I96" s="1782">
        <f>VLOOKUP(D96,'מאזן בוחן הודו'!$C:$M,11,0)-G96</f>
        <v>0</v>
      </c>
      <c r="K96" s="1782"/>
      <c r="L96" s="1783"/>
      <c r="M96" s="212"/>
      <c r="N96" s="1781"/>
    </row>
    <row r="97" spans="1:14" s="359" customFormat="1">
      <c r="A97" s="212" t="s">
        <v>1266</v>
      </c>
      <c r="B97" s="212" t="s">
        <v>1272</v>
      </c>
      <c r="C97" s="212" t="s">
        <v>1044</v>
      </c>
      <c r="D97" s="1786">
        <v>2500016</v>
      </c>
      <c r="E97" s="212" t="s">
        <v>2576</v>
      </c>
      <c r="F97" s="3260">
        <v>-235010</v>
      </c>
      <c r="G97" s="3260">
        <v>-3162.88</v>
      </c>
      <c r="H97" s="1782">
        <f>VLOOKUP(D97,'מאזן בוחן הודו'!$C:$E,3,0)-F97</f>
        <v>0</v>
      </c>
      <c r="I97" s="1782">
        <f>VLOOKUP(D97,'מאזן בוחן הודו'!$C:$M,11,0)-G97</f>
        <v>0</v>
      </c>
      <c r="K97" s="1782"/>
      <c r="L97" s="1783"/>
      <c r="M97" s="212"/>
      <c r="N97" s="212"/>
    </row>
    <row r="98" spans="1:14" s="359" customFormat="1">
      <c r="A98" s="212" t="s">
        <v>1266</v>
      </c>
      <c r="B98" s="212" t="s">
        <v>1272</v>
      </c>
      <c r="C98" s="212" t="s">
        <v>1044</v>
      </c>
      <c r="D98" s="1786">
        <v>2500017</v>
      </c>
      <c r="E98" s="212" t="s">
        <v>2576</v>
      </c>
      <c r="F98" s="3260">
        <v>-222294</v>
      </c>
      <c r="G98" s="3260">
        <v>-2991.74</v>
      </c>
      <c r="H98" s="1782">
        <f>VLOOKUP(D98,'מאזן בוחן הודו'!$C:$E,3,0)-F98</f>
        <v>0</v>
      </c>
      <c r="I98" s="1782">
        <f>VLOOKUP(D98,'מאזן בוחן הודו'!$C:$M,11,0)-G98</f>
        <v>0</v>
      </c>
      <c r="K98" s="1784"/>
      <c r="L98" s="1783"/>
      <c r="M98" s="212"/>
      <c r="N98" s="1781"/>
    </row>
    <row r="99" spans="1:14" s="359" customFormat="1">
      <c r="A99" s="212" t="s">
        <v>1266</v>
      </c>
      <c r="B99" s="212" t="s">
        <v>1272</v>
      </c>
      <c r="C99" s="212" t="s">
        <v>1044</v>
      </c>
      <c r="D99" s="1786">
        <v>2500051</v>
      </c>
      <c r="E99" s="212" t="s">
        <v>2702</v>
      </c>
      <c r="F99" s="3260">
        <v>-6078537</v>
      </c>
      <c r="G99" s="3260">
        <v>-81807.97</v>
      </c>
      <c r="H99" s="1782">
        <f>VLOOKUP(D99,'מאזן בוחן הודו'!$C:$E,3,0)-F99</f>
        <v>0</v>
      </c>
      <c r="I99" s="1782">
        <f>VLOOKUP(D99,'מאזן בוחן הודו'!$C:$M,11,0)-G99</f>
        <v>0</v>
      </c>
      <c r="K99" s="1784"/>
      <c r="L99" s="1783"/>
      <c r="M99" s="212"/>
      <c r="N99" s="1781"/>
    </row>
    <row r="100" spans="1:14" s="359" customFormat="1">
      <c r="A100" s="212" t="s">
        <v>1266</v>
      </c>
      <c r="B100" s="212" t="s">
        <v>1272</v>
      </c>
      <c r="C100" s="212" t="s">
        <v>1044</v>
      </c>
      <c r="D100" s="1786">
        <v>2500052</v>
      </c>
      <c r="E100" s="212" t="s">
        <v>2703</v>
      </c>
      <c r="F100" s="3260">
        <v>6078537</v>
      </c>
      <c r="G100" s="3260">
        <v>81807.97</v>
      </c>
      <c r="H100" s="1782">
        <f>VLOOKUP(D100,'מאזן בוחן הודו'!$C:$E,3,0)-F100</f>
        <v>0</v>
      </c>
      <c r="I100" s="1782">
        <f>VLOOKUP(D100,'מאזן בוחן הודו'!$C:$M,11,0)-G100</f>
        <v>0</v>
      </c>
      <c r="K100" s="1784"/>
      <c r="L100" s="1783"/>
      <c r="M100" s="212"/>
      <c r="N100" s="1781"/>
    </row>
    <row r="101" spans="1:14" s="359" customFormat="1">
      <c r="A101" s="212" t="s">
        <v>1266</v>
      </c>
      <c r="B101" s="212" t="s">
        <v>1272</v>
      </c>
      <c r="C101" s="212" t="s">
        <v>1044</v>
      </c>
      <c r="D101" s="1786">
        <v>2500053</v>
      </c>
      <c r="E101" s="212" t="s">
        <v>3931</v>
      </c>
      <c r="F101" s="3260">
        <v>-8019897.7999999998</v>
      </c>
      <c r="G101" s="3260">
        <v>-107935.78</v>
      </c>
      <c r="H101" s="1782">
        <f>VLOOKUP(D101,'מאזן בוחן הודו'!$C:$E,3,0)-F101</f>
        <v>0</v>
      </c>
      <c r="I101" s="1782">
        <f>VLOOKUP(D101,'מאזן בוחן הודו'!$C:$M,11,0)-G101</f>
        <v>0</v>
      </c>
      <c r="K101" s="1784"/>
      <c r="L101" s="1783"/>
      <c r="M101" s="212"/>
      <c r="N101" s="1781"/>
    </row>
    <row r="102" spans="1:14" s="359" customFormat="1">
      <c r="A102" s="212" t="s">
        <v>1266</v>
      </c>
      <c r="B102" s="212" t="s">
        <v>1272</v>
      </c>
      <c r="C102" s="212" t="s">
        <v>1044</v>
      </c>
      <c r="D102" s="1786">
        <v>2500054</v>
      </c>
      <c r="E102" s="212" t="s">
        <v>3988</v>
      </c>
      <c r="F102" s="3260">
        <v>6825000</v>
      </c>
      <c r="G102" s="3260">
        <v>91854.24</v>
      </c>
      <c r="H102" s="1782">
        <f>VLOOKUP(D102,'מאזן בוחן הודו'!$C:$E,3,0)-F102</f>
        <v>0</v>
      </c>
      <c r="I102" s="1782">
        <f>VLOOKUP(D102,'מאזן בוחן הודו'!$C:$M,11,0)-G102</f>
        <v>0</v>
      </c>
      <c r="K102" s="1784"/>
      <c r="L102" s="1783"/>
      <c r="M102" s="212"/>
      <c r="N102" s="1781"/>
    </row>
    <row r="103" spans="1:14" s="359" customFormat="1">
      <c r="A103" s="212" t="s">
        <v>1275</v>
      </c>
      <c r="B103" s="212" t="s">
        <v>1276</v>
      </c>
      <c r="C103" s="212" t="s">
        <v>1963</v>
      </c>
      <c r="D103" s="1786">
        <v>3000001</v>
      </c>
      <c r="E103" s="212" t="s">
        <v>1964</v>
      </c>
      <c r="F103" s="3260">
        <v>-100000</v>
      </c>
      <c r="G103" s="3260">
        <v>-1513.67</v>
      </c>
      <c r="H103" s="1782">
        <f>VLOOKUP(D103,'מאזן בוחן הודו'!$C:$E,3,0)-F103</f>
        <v>0</v>
      </c>
      <c r="I103" s="1782">
        <f>VLOOKUP(D103,'מאזן בוחן הודו'!$C:$M,11,0)-G103</f>
        <v>0</v>
      </c>
      <c r="K103" s="1784"/>
      <c r="L103" s="1783"/>
      <c r="M103" s="212"/>
      <c r="N103" s="1781"/>
    </row>
    <row r="104" spans="1:14" s="359" customFormat="1">
      <c r="A104" s="212" t="s">
        <v>1275</v>
      </c>
      <c r="B104" s="212" t="s">
        <v>1276</v>
      </c>
      <c r="C104" s="212" t="s">
        <v>1050</v>
      </c>
      <c r="D104" s="1786">
        <v>3030001</v>
      </c>
      <c r="E104" s="212" t="s">
        <v>1051</v>
      </c>
      <c r="F104" s="3260">
        <v>-6790810.5099999998</v>
      </c>
      <c r="G104" s="3260">
        <v>-102989.66</v>
      </c>
      <c r="H104" s="1782">
        <f>VLOOKUP(D104,'מאזן בוחן הודו'!$C:$E,3,0)-F104</f>
        <v>0</v>
      </c>
      <c r="I104" s="1782">
        <f>VLOOKUP(D104,'מאזן בוחן הודו'!$C:$M,11,0)-G104</f>
        <v>0</v>
      </c>
      <c r="K104" s="1784"/>
      <c r="L104" s="1783"/>
      <c r="M104" s="212"/>
      <c r="N104" s="1781"/>
    </row>
    <row r="105" spans="1:14" s="359" customFormat="1">
      <c r="A105" s="212" t="s">
        <v>1277</v>
      </c>
      <c r="B105" s="212" t="s">
        <v>1278</v>
      </c>
      <c r="C105" s="212" t="s">
        <v>1065</v>
      </c>
      <c r="D105" s="1786">
        <v>80094</v>
      </c>
      <c r="E105" s="212" t="s">
        <v>2501</v>
      </c>
      <c r="F105" s="3260">
        <v>-212692416.68000001</v>
      </c>
      <c r="G105" s="3260">
        <v>-2876820.14</v>
      </c>
      <c r="H105" s="1782">
        <f>VLOOKUP(D105,'מאזן בוחן הודו'!$C:$E,3,0)-F105</f>
        <v>0</v>
      </c>
      <c r="I105" s="1782">
        <f>VLOOKUP(D105,'מאזן בוחן הודו'!$C:$M,11,0)-G105</f>
        <v>0</v>
      </c>
      <c r="K105" s="1784"/>
      <c r="L105" s="1783"/>
      <c r="M105" s="212"/>
      <c r="N105" s="1781"/>
    </row>
    <row r="106" spans="1:14" s="359" customFormat="1">
      <c r="A106" s="212" t="s">
        <v>1281</v>
      </c>
      <c r="B106" s="212" t="s">
        <v>1282</v>
      </c>
      <c r="C106" s="212" t="s">
        <v>1066</v>
      </c>
      <c r="D106" s="1786">
        <v>5100001</v>
      </c>
      <c r="E106" s="212" t="s">
        <v>2577</v>
      </c>
      <c r="F106" s="3260">
        <v>49539728</v>
      </c>
      <c r="G106" s="3260">
        <v>670834.93999999994</v>
      </c>
      <c r="H106" s="1782">
        <f>VLOOKUP(D106,'מאזן בוחן הודו'!$C:$E,3,0)-F106</f>
        <v>0</v>
      </c>
      <c r="I106" s="1782">
        <f>VLOOKUP(D106,'מאזן בוחן הודו'!$C:$M,11,0)-G106</f>
        <v>0</v>
      </c>
      <c r="K106" s="1784"/>
      <c r="L106" s="1783"/>
      <c r="M106" s="212"/>
      <c r="N106" s="1781"/>
    </row>
    <row r="107" spans="1:14" s="359" customFormat="1">
      <c r="A107" s="212" t="s">
        <v>1281</v>
      </c>
      <c r="B107" s="212" t="s">
        <v>1282</v>
      </c>
      <c r="C107" s="212" t="s">
        <v>1066</v>
      </c>
      <c r="D107" s="1786">
        <v>5100002</v>
      </c>
      <c r="E107" s="212" t="s">
        <v>2503</v>
      </c>
      <c r="F107" s="3260">
        <v>4937424.95</v>
      </c>
      <c r="G107" s="3260">
        <v>66533.55</v>
      </c>
      <c r="H107" s="1782">
        <f>VLOOKUP(D107,'מאזן בוחן הודו'!$C:$E,3,0)-F107</f>
        <v>0</v>
      </c>
      <c r="I107" s="1782">
        <f>VLOOKUP(D107,'מאזן בוחן הודו'!$C:$M,11,0)-G107</f>
        <v>0</v>
      </c>
      <c r="K107" s="1784"/>
      <c r="L107" s="1783"/>
      <c r="M107" s="212"/>
      <c r="N107" s="1781"/>
    </row>
    <row r="108" spans="1:14" s="359" customFormat="1">
      <c r="A108" s="212" t="s">
        <v>1281</v>
      </c>
      <c r="B108" s="1785" t="s">
        <v>1282</v>
      </c>
      <c r="C108" s="1785" t="s">
        <v>1066</v>
      </c>
      <c r="D108" s="1786">
        <v>5100003</v>
      </c>
      <c r="E108" s="1785" t="s">
        <v>1068</v>
      </c>
      <c r="F108" s="3260">
        <v>861207.99</v>
      </c>
      <c r="G108" s="3260">
        <v>11643.16</v>
      </c>
      <c r="H108" s="1782">
        <f>VLOOKUP(D108,'מאזן בוחן הודו'!$C:$E,3,0)-F108</f>
        <v>0</v>
      </c>
      <c r="I108" s="1782">
        <f>VLOOKUP(D108,'מאזן בוחן הודו'!$C:$M,11,0)-G108</f>
        <v>0</v>
      </c>
      <c r="J108" s="213"/>
      <c r="K108" s="1784"/>
      <c r="L108" s="1783"/>
      <c r="M108" s="212"/>
      <c r="N108" s="1781"/>
    </row>
    <row r="109" spans="1:14" s="359" customFormat="1">
      <c r="A109" s="212" t="s">
        <v>1281</v>
      </c>
      <c r="B109" s="1785" t="s">
        <v>1282</v>
      </c>
      <c r="C109" s="1785" t="s">
        <v>1066</v>
      </c>
      <c r="D109" s="1786" t="s">
        <v>1238</v>
      </c>
      <c r="E109" s="1785" t="s">
        <v>1239</v>
      </c>
      <c r="F109" s="3260">
        <v>1600470.54</v>
      </c>
      <c r="G109" s="3260">
        <v>21624.49</v>
      </c>
      <c r="H109" s="1782">
        <f>VLOOKUP(D109,'מאזן בוחן הודו'!$C:$E,3,0)-F109</f>
        <v>0</v>
      </c>
      <c r="I109" s="1782">
        <f>VLOOKUP(D109,'מאזן בוחן הודו'!$C:$M,11,0)-G109</f>
        <v>0</v>
      </c>
      <c r="J109" s="213"/>
      <c r="K109" s="1784"/>
      <c r="L109" s="1783"/>
      <c r="M109" s="212"/>
      <c r="N109" s="1781"/>
    </row>
    <row r="110" spans="1:14" s="359" customFormat="1">
      <c r="A110" s="212" t="s">
        <v>1281</v>
      </c>
      <c r="B110" s="1785" t="s">
        <v>1282</v>
      </c>
      <c r="C110" s="1785" t="s">
        <v>1066</v>
      </c>
      <c r="D110" s="1786">
        <v>5100014</v>
      </c>
      <c r="E110" s="1785" t="s">
        <v>2578</v>
      </c>
      <c r="F110" s="3260">
        <v>196558</v>
      </c>
      <c r="G110" s="3260">
        <v>2687.6</v>
      </c>
      <c r="H110" s="1782">
        <f>VLOOKUP(D110,'מאזן בוחן הודו'!$C:$E,3,0)-F110</f>
        <v>0</v>
      </c>
      <c r="I110" s="1782">
        <f>VLOOKUP(D110,'מאזן בוחן הודו'!$C:$M,11,0)-G110</f>
        <v>0</v>
      </c>
      <c r="J110" s="213"/>
      <c r="K110" s="1784"/>
      <c r="L110" s="1783"/>
      <c r="M110" s="212"/>
      <c r="N110" s="1781"/>
    </row>
    <row r="111" spans="1:14" s="359" customFormat="1">
      <c r="A111" s="212" t="s">
        <v>1281</v>
      </c>
      <c r="B111" s="1785" t="s">
        <v>1282</v>
      </c>
      <c r="C111" s="1785" t="s">
        <v>1066</v>
      </c>
      <c r="D111" s="1786">
        <v>5110006</v>
      </c>
      <c r="E111" s="1785" t="s">
        <v>1069</v>
      </c>
      <c r="F111" s="3260">
        <v>11374418</v>
      </c>
      <c r="G111" s="3260">
        <v>154031.63</v>
      </c>
      <c r="H111" s="1782">
        <f>VLOOKUP(D111,'מאזן בוחן הודו'!$C:$E,3,0)-F111</f>
        <v>0</v>
      </c>
      <c r="I111" s="1782">
        <f>VLOOKUP(D111,'מאזן בוחן הודו'!$C:$M,11,0)-G111</f>
        <v>0</v>
      </c>
      <c r="J111" s="213"/>
      <c r="K111" s="1784"/>
      <c r="L111" s="1783"/>
      <c r="M111" s="212"/>
      <c r="N111" s="1781"/>
    </row>
    <row r="112" spans="1:14" s="359" customFormat="1">
      <c r="A112" s="212" t="s">
        <v>1281</v>
      </c>
      <c r="B112" s="1785" t="s">
        <v>1282</v>
      </c>
      <c r="C112" s="1785" t="s">
        <v>1076</v>
      </c>
      <c r="D112" s="1786">
        <v>5110031</v>
      </c>
      <c r="E112" s="1785" t="s">
        <v>2704</v>
      </c>
      <c r="F112" s="3260">
        <v>1214887.98</v>
      </c>
      <c r="G112" s="3260">
        <v>16429.310000000001</v>
      </c>
      <c r="H112" s="1782">
        <f>VLOOKUP(D112,'מאזן בוחן הודו'!$C:$E,3,0)-F112</f>
        <v>0</v>
      </c>
      <c r="I112" s="1782">
        <f>VLOOKUP(D112,'מאזן בוחן הודו'!$C:$M,11,0)-G112</f>
        <v>0</v>
      </c>
      <c r="J112" s="213"/>
      <c r="K112" s="1784"/>
      <c r="L112" s="1783"/>
      <c r="M112" s="212"/>
      <c r="N112" s="1781"/>
    </row>
    <row r="113" spans="1:14" s="359" customFormat="1">
      <c r="A113" s="212" t="s">
        <v>1281</v>
      </c>
      <c r="B113" s="1785" t="s">
        <v>1282</v>
      </c>
      <c r="C113" s="1785" t="s">
        <v>1447</v>
      </c>
      <c r="D113" s="1786">
        <v>5120001</v>
      </c>
      <c r="E113" s="1785" t="s">
        <v>1448</v>
      </c>
      <c r="F113" s="3260">
        <v>6545606.6299999999</v>
      </c>
      <c r="G113" s="3260">
        <v>88720.54</v>
      </c>
      <c r="H113" s="1782">
        <f>VLOOKUP(D113,'מאזן בוחן הודו'!$C:$E,3,0)-F113</f>
        <v>0</v>
      </c>
      <c r="I113" s="1782">
        <f>VLOOKUP(D113,'מאזן בוחן הודו'!$C:$M,11,0)-G113</f>
        <v>0</v>
      </c>
      <c r="J113" s="213"/>
      <c r="K113" s="1784"/>
      <c r="L113" s="1783"/>
      <c r="M113" s="212"/>
      <c r="N113" s="1781"/>
    </row>
    <row r="114" spans="1:14" s="359" customFormat="1">
      <c r="A114" s="212" t="s">
        <v>1281</v>
      </c>
      <c r="B114" s="1785" t="s">
        <v>1283</v>
      </c>
      <c r="C114" s="1785" t="s">
        <v>1070</v>
      </c>
      <c r="D114" s="1786">
        <v>5200001</v>
      </c>
      <c r="E114" s="1785" t="s">
        <v>1637</v>
      </c>
      <c r="F114" s="3260">
        <v>16403136</v>
      </c>
      <c r="G114" s="3260">
        <v>222081.63</v>
      </c>
      <c r="H114" s="1782">
        <f>VLOOKUP(D114,'מאזן בוחן הודו'!$C:$E,3,0)-F114</f>
        <v>0</v>
      </c>
      <c r="I114" s="1782">
        <f>VLOOKUP(D114,'מאזן בוחן הודו'!$C:$M,11,0)-G114</f>
        <v>0</v>
      </c>
      <c r="J114" s="213"/>
      <c r="K114" s="1784"/>
      <c r="L114" s="1783"/>
      <c r="M114" s="212"/>
      <c r="N114" s="1781"/>
    </row>
    <row r="115" spans="1:14" s="359" customFormat="1">
      <c r="A115" s="212" t="s">
        <v>1281</v>
      </c>
      <c r="B115" s="1785" t="s">
        <v>1283</v>
      </c>
      <c r="C115" s="1785" t="s">
        <v>1070</v>
      </c>
      <c r="D115" s="1786">
        <v>5200002</v>
      </c>
      <c r="E115" s="1785" t="s">
        <v>1736</v>
      </c>
      <c r="F115" s="3260">
        <v>1261126.1399999999</v>
      </c>
      <c r="G115" s="3260">
        <v>17000.150000000001</v>
      </c>
      <c r="H115" s="1782">
        <f>VLOOKUP(D115,'מאזן בוחן הודו'!$C:$E,3,0)-F115</f>
        <v>0</v>
      </c>
      <c r="I115" s="1782">
        <f>VLOOKUP(D115,'מאזן בוחן הודו'!$C:$M,11,0)-G115</f>
        <v>0</v>
      </c>
      <c r="J115" s="213"/>
      <c r="K115" s="1784"/>
      <c r="L115" s="1783"/>
      <c r="M115" s="212"/>
      <c r="N115" s="1781"/>
    </row>
    <row r="116" spans="1:14" s="359" customFormat="1">
      <c r="A116" s="212" t="s">
        <v>1281</v>
      </c>
      <c r="B116" s="1785" t="s">
        <v>1283</v>
      </c>
      <c r="C116" s="1785" t="s">
        <v>1070</v>
      </c>
      <c r="D116" s="1786">
        <v>5200003</v>
      </c>
      <c r="E116" s="1785" t="s">
        <v>1734</v>
      </c>
      <c r="F116" s="3260">
        <v>443191.96</v>
      </c>
      <c r="G116" s="3260">
        <v>5983.21</v>
      </c>
      <c r="H116" s="1782">
        <f>VLOOKUP(D116,'מאזן בוחן הודו'!$C:$E,3,0)-F116</f>
        <v>0</v>
      </c>
      <c r="I116" s="1782">
        <f>VLOOKUP(D116,'מאזן בוחן הודו'!$C:$M,11,0)-G116</f>
        <v>0</v>
      </c>
      <c r="J116" s="213"/>
      <c r="K116" s="1784"/>
      <c r="L116" s="1783"/>
      <c r="M116" s="212"/>
      <c r="N116" s="1781"/>
    </row>
    <row r="117" spans="1:14" s="359" customFormat="1">
      <c r="A117" s="212" t="s">
        <v>1281</v>
      </c>
      <c r="B117" s="1785" t="s">
        <v>1283</v>
      </c>
      <c r="C117" s="1785" t="s">
        <v>1070</v>
      </c>
      <c r="D117" s="1786">
        <v>5200014</v>
      </c>
      <c r="E117" s="1785" t="s">
        <v>2579</v>
      </c>
      <c r="F117" s="3260">
        <v>81693</v>
      </c>
      <c r="G117" s="3260">
        <v>1130.31</v>
      </c>
      <c r="H117" s="1782">
        <f>VLOOKUP(D117,'מאזן בוחן הודו'!$C:$E,3,0)-F117</f>
        <v>0</v>
      </c>
      <c r="I117" s="1782">
        <f>VLOOKUP(D117,'מאזן בוחן הודו'!$C:$M,11,0)-G117</f>
        <v>0</v>
      </c>
      <c r="J117" s="213"/>
      <c r="K117" s="1784"/>
      <c r="L117" s="1783"/>
      <c r="M117" s="212"/>
      <c r="N117" s="1781"/>
    </row>
    <row r="118" spans="1:14" s="359" customFormat="1">
      <c r="A118" s="212" t="s">
        <v>1281</v>
      </c>
      <c r="B118" s="1785" t="s">
        <v>1283</v>
      </c>
      <c r="C118" s="1785" t="s">
        <v>1070</v>
      </c>
      <c r="D118" s="1786">
        <v>5200021</v>
      </c>
      <c r="E118" s="1785" t="s">
        <v>1645</v>
      </c>
      <c r="F118" s="3260">
        <v>2809208</v>
      </c>
      <c r="G118" s="3260">
        <v>38030.43</v>
      </c>
      <c r="H118" s="1782">
        <f>VLOOKUP(D118,'מאזן בוחן הודו'!$C:$E,3,0)-F118</f>
        <v>0</v>
      </c>
      <c r="I118" s="1782">
        <f>VLOOKUP(D118,'מאזן בוחן הודו'!$C:$M,11,0)-G118</f>
        <v>0</v>
      </c>
      <c r="J118" s="213"/>
      <c r="K118" s="1784"/>
      <c r="L118" s="1783"/>
      <c r="M118" s="212"/>
      <c r="N118" s="212"/>
    </row>
    <row r="119" spans="1:14" s="359" customFormat="1">
      <c r="A119" s="212" t="s">
        <v>1281</v>
      </c>
      <c r="B119" s="1785" t="s">
        <v>1283</v>
      </c>
      <c r="C119" s="1785" t="s">
        <v>1082</v>
      </c>
      <c r="D119" s="1786">
        <v>5209999</v>
      </c>
      <c r="E119" s="1785" t="s">
        <v>1448</v>
      </c>
      <c r="F119" s="3260">
        <v>1612428.63</v>
      </c>
      <c r="G119" s="3260">
        <v>21850.31</v>
      </c>
      <c r="H119" s="1782">
        <f>VLOOKUP(D119,'מאזן בוחן הודו'!$C:$E,3,0)-F119</f>
        <v>0</v>
      </c>
      <c r="I119" s="1782">
        <f>VLOOKUP(D119,'מאזן בוחן הודו'!$C:$M,11,0)-G119</f>
        <v>0</v>
      </c>
      <c r="J119" s="213"/>
      <c r="K119" s="1784"/>
      <c r="L119" s="1783"/>
      <c r="M119" s="212"/>
      <c r="N119" s="1781"/>
    </row>
    <row r="120" spans="1:14" s="359" customFormat="1">
      <c r="A120" s="212" t="s">
        <v>1281</v>
      </c>
      <c r="B120" s="1785" t="s">
        <v>1283</v>
      </c>
      <c r="C120" s="1785" t="s">
        <v>1082</v>
      </c>
      <c r="D120" s="1786">
        <v>5210031</v>
      </c>
      <c r="E120" s="1785" t="s">
        <v>3068</v>
      </c>
      <c r="F120" s="3260">
        <v>258709.74</v>
      </c>
      <c r="G120" s="3260">
        <v>3496.1</v>
      </c>
      <c r="H120" s="1782">
        <f>VLOOKUP(D120,'מאזן בוחן הודו'!$C:$E,3,0)-F120</f>
        <v>0</v>
      </c>
      <c r="I120" s="1782">
        <f>VLOOKUP(D120,'מאזן בוחן הודו'!$C:$M,11,0)-G120</f>
        <v>0</v>
      </c>
      <c r="J120" s="213"/>
      <c r="K120" s="1784"/>
      <c r="L120" s="1783"/>
      <c r="M120" s="212"/>
      <c r="N120" s="1781"/>
    </row>
    <row r="121" spans="1:14" s="359" customFormat="1">
      <c r="A121" s="212" t="s">
        <v>1285</v>
      </c>
      <c r="B121" s="1785" t="s">
        <v>1286</v>
      </c>
      <c r="C121" s="1785" t="s">
        <v>1100</v>
      </c>
      <c r="D121" s="1786">
        <v>6011001</v>
      </c>
      <c r="E121" s="1785" t="s">
        <v>2580</v>
      </c>
      <c r="F121" s="3260">
        <v>26335877</v>
      </c>
      <c r="G121" s="3260">
        <v>356177.28</v>
      </c>
      <c r="H121" s="1782">
        <f>VLOOKUP(D121,'מאזן בוחן הודו'!$C:$E,3,0)-F121</f>
        <v>0</v>
      </c>
      <c r="I121" s="1782">
        <f>VLOOKUP(D121,'מאזן בוחן הודו'!$C:$M,11,0)-G121</f>
        <v>0</v>
      </c>
      <c r="J121" s="213"/>
      <c r="K121" s="1784"/>
      <c r="L121" s="1783"/>
      <c r="M121" s="212"/>
      <c r="N121" s="1781"/>
    </row>
    <row r="122" spans="1:14" s="359" customFormat="1">
      <c r="A122" s="212" t="s">
        <v>1285</v>
      </c>
      <c r="B122" s="1785" t="s">
        <v>1286</v>
      </c>
      <c r="C122" s="1785" t="s">
        <v>1100</v>
      </c>
      <c r="D122" s="1786">
        <v>6011002</v>
      </c>
      <c r="E122" s="1785" t="s">
        <v>2581</v>
      </c>
      <c r="F122" s="3260">
        <v>1523935.26</v>
      </c>
      <c r="G122" s="3260">
        <v>20572.490000000002</v>
      </c>
      <c r="H122" s="1782">
        <f>VLOOKUP(D122,'מאזן בוחן הודו'!$C:$E,3,0)-F122</f>
        <v>0</v>
      </c>
      <c r="I122" s="1782">
        <f>VLOOKUP(D122,'מאזן בוחן הודו'!$C:$M,11,0)-G122</f>
        <v>0</v>
      </c>
      <c r="J122" s="213"/>
      <c r="K122" s="1784"/>
      <c r="L122" s="1783"/>
      <c r="M122" s="212"/>
      <c r="N122" s="1781"/>
    </row>
    <row r="123" spans="1:14" s="359" customFormat="1">
      <c r="A123" s="212" t="s">
        <v>1285</v>
      </c>
      <c r="B123" s="1785" t="s">
        <v>1286</v>
      </c>
      <c r="C123" s="1785" t="s">
        <v>1100</v>
      </c>
      <c r="D123" s="1786">
        <v>6011003</v>
      </c>
      <c r="E123" s="1785" t="s">
        <v>873</v>
      </c>
      <c r="F123" s="3260">
        <v>174161.16</v>
      </c>
      <c r="G123" s="3260">
        <v>2350.9</v>
      </c>
      <c r="H123" s="1782">
        <f>VLOOKUP(D123,'מאזן בוחן הודו'!$C:$E,3,0)-F123</f>
        <v>0</v>
      </c>
      <c r="I123" s="1782">
        <f>VLOOKUP(D123,'מאזן בוחן הודו'!$C:$M,11,0)-G123</f>
        <v>0</v>
      </c>
      <c r="J123" s="213"/>
      <c r="K123" s="1784"/>
      <c r="L123" s="1783"/>
      <c r="M123" s="212"/>
      <c r="N123" s="1781"/>
    </row>
    <row r="124" spans="1:14" s="359" customFormat="1">
      <c r="A124" s="212" t="s">
        <v>1285</v>
      </c>
      <c r="B124" s="1785" t="s">
        <v>1286</v>
      </c>
      <c r="C124" s="1785" t="s">
        <v>1100</v>
      </c>
      <c r="D124" s="1786">
        <v>6011004</v>
      </c>
      <c r="E124" s="1785" t="s">
        <v>1947</v>
      </c>
      <c r="F124" s="3260">
        <v>4486262</v>
      </c>
      <c r="G124" s="3260">
        <v>60649.3</v>
      </c>
      <c r="H124" s="1782">
        <f>VLOOKUP(D124,'מאזן בוחן הודו'!$C:$E,3,0)-F124</f>
        <v>0</v>
      </c>
      <c r="I124" s="1782">
        <f>VLOOKUP(D124,'מאזן בוחן הודו'!$C:$M,11,0)-G124</f>
        <v>0</v>
      </c>
      <c r="J124" s="213"/>
      <c r="K124" s="1784"/>
      <c r="L124" s="1783"/>
      <c r="M124" s="212"/>
      <c r="N124" s="1781"/>
    </row>
    <row r="125" spans="1:14" s="359" customFormat="1">
      <c r="A125" s="212" t="s">
        <v>1285</v>
      </c>
      <c r="B125" s="1785" t="s">
        <v>1286</v>
      </c>
      <c r="C125" s="1785" t="s">
        <v>1100</v>
      </c>
      <c r="D125" s="1786">
        <v>6011020</v>
      </c>
      <c r="E125" s="1785" t="s">
        <v>1902</v>
      </c>
      <c r="F125" s="3260">
        <v>52667</v>
      </c>
      <c r="G125" s="3260">
        <v>717.63</v>
      </c>
      <c r="H125" s="1782">
        <f>VLOOKUP(D125,'מאזן בוחן הודו'!$C:$E,3,0)-F125</f>
        <v>0</v>
      </c>
      <c r="I125" s="1782">
        <f>VLOOKUP(D125,'מאזן בוחן הודו'!$C:$M,11,0)-G125</f>
        <v>0</v>
      </c>
      <c r="J125" s="213"/>
      <c r="K125" s="1784"/>
      <c r="L125" s="1783"/>
      <c r="M125" s="212"/>
      <c r="N125" s="1781"/>
    </row>
    <row r="126" spans="1:14" s="359" customFormat="1">
      <c r="A126" s="212" t="s">
        <v>1285</v>
      </c>
      <c r="B126" s="1785" t="s">
        <v>1286</v>
      </c>
      <c r="C126" s="1785" t="s">
        <v>1105</v>
      </c>
      <c r="D126" s="1786">
        <v>6021031</v>
      </c>
      <c r="E126" s="1785" t="s">
        <v>3236</v>
      </c>
      <c r="F126" s="3260">
        <v>387555.48</v>
      </c>
      <c r="G126" s="3260">
        <v>5251.84</v>
      </c>
      <c r="H126" s="1782">
        <f>VLOOKUP(D126,'מאזן בוחן הודו'!$C:$E,3,0)-F126</f>
        <v>0</v>
      </c>
      <c r="I126" s="1782">
        <f>VLOOKUP(D126,'מאזן בוחן הודו'!$C:$M,11,0)-G126</f>
        <v>0</v>
      </c>
      <c r="J126" s="213"/>
      <c r="K126" s="1784"/>
      <c r="L126" s="1783"/>
      <c r="M126" s="212"/>
      <c r="N126" s="1781"/>
    </row>
    <row r="127" spans="1:14" s="359" customFormat="1">
      <c r="A127" s="212" t="s">
        <v>1285</v>
      </c>
      <c r="B127" s="1785" t="s">
        <v>1286</v>
      </c>
      <c r="C127" s="1785" t="s">
        <v>1450</v>
      </c>
      <c r="D127" s="1786">
        <v>6030001</v>
      </c>
      <c r="E127" s="1785" t="s">
        <v>1451</v>
      </c>
      <c r="F127" s="3260">
        <v>2584409.36</v>
      </c>
      <c r="G127" s="3260">
        <v>34967.78</v>
      </c>
      <c r="H127" s="1782">
        <f>VLOOKUP(D127,'מאזן בוחן הודו'!$C:$E,3,0)-F127</f>
        <v>0</v>
      </c>
      <c r="I127" s="1782">
        <f>VLOOKUP(D127,'מאזן בוחן הודו'!$C:$M,11,0)-G127</f>
        <v>0</v>
      </c>
      <c r="J127" s="213"/>
      <c r="K127" s="1784"/>
      <c r="L127" s="1783"/>
      <c r="M127" s="212"/>
      <c r="N127" s="1781"/>
    </row>
    <row r="128" spans="1:14" s="359" customFormat="1">
      <c r="A128" s="212" t="s">
        <v>1288</v>
      </c>
      <c r="B128" s="1785" t="s">
        <v>1289</v>
      </c>
      <c r="C128" s="1785" t="s">
        <v>558</v>
      </c>
      <c r="D128" s="1786">
        <v>7020039</v>
      </c>
      <c r="E128" s="1785" t="s">
        <v>1949</v>
      </c>
      <c r="F128" s="3260">
        <v>101776</v>
      </c>
      <c r="G128" s="3260">
        <v>1370.63</v>
      </c>
      <c r="H128" s="1782">
        <f>VLOOKUP(D128,'מאזן בוחן הודו'!$C:$E,3,0)-F128</f>
        <v>0</v>
      </c>
      <c r="I128" s="1782">
        <f>VLOOKUP(D128,'מאזן בוחן הודו'!$C:$M,11,0)-G128</f>
        <v>0</v>
      </c>
      <c r="J128" s="213"/>
      <c r="K128" s="213"/>
      <c r="L128" s="213"/>
      <c r="M128" s="212"/>
      <c r="N128" s="1781"/>
    </row>
    <row r="129" spans="1:14" s="359" customFormat="1">
      <c r="A129" s="212" t="s">
        <v>1288</v>
      </c>
      <c r="B129" s="1785" t="s">
        <v>1291</v>
      </c>
      <c r="C129" s="1785" t="s">
        <v>1137</v>
      </c>
      <c r="D129" s="1786">
        <v>7110001</v>
      </c>
      <c r="E129" s="1785" t="s">
        <v>2582</v>
      </c>
      <c r="F129" s="3260">
        <v>11394195</v>
      </c>
      <c r="G129" s="3260">
        <v>154333.59</v>
      </c>
      <c r="H129" s="1782">
        <f>VLOOKUP(D129,'מאזן בוחן הודו'!$C:$E,3,0)-F129</f>
        <v>0</v>
      </c>
      <c r="I129" s="1782">
        <f>VLOOKUP(D129,'מאזן בוחן הודו'!$C:$M,11,0)-G129</f>
        <v>0</v>
      </c>
      <c r="J129" s="213"/>
      <c r="K129" s="213"/>
      <c r="L129" s="213"/>
      <c r="M129" s="212"/>
      <c r="N129" s="1781"/>
    </row>
    <row r="130" spans="1:14" s="359" customFormat="1">
      <c r="A130" s="212" t="s">
        <v>1288</v>
      </c>
      <c r="B130" s="1785" t="s">
        <v>1291</v>
      </c>
      <c r="C130" s="1785" t="s">
        <v>1137</v>
      </c>
      <c r="D130" s="1786">
        <v>7110002</v>
      </c>
      <c r="E130" s="1785" t="s">
        <v>2762</v>
      </c>
      <c r="F130" s="3260">
        <v>697774.78</v>
      </c>
      <c r="G130" s="3260">
        <v>9436.49</v>
      </c>
      <c r="H130" s="1782">
        <f>VLOOKUP(D130,'מאזן בוחן הודו'!$C:$E,3,0)-F130</f>
        <v>0</v>
      </c>
      <c r="I130" s="1782">
        <f>VLOOKUP(D130,'מאזן בוחן הודו'!$C:$M,11,0)-G130</f>
        <v>0</v>
      </c>
      <c r="J130" s="213"/>
      <c r="K130" s="213"/>
      <c r="L130" s="213"/>
      <c r="M130" s="212"/>
      <c r="N130" s="1781"/>
    </row>
    <row r="131" spans="1:14" s="359" customFormat="1">
      <c r="A131" s="212" t="s">
        <v>1288</v>
      </c>
      <c r="B131" s="1785" t="s">
        <v>1291</v>
      </c>
      <c r="C131" s="1785" t="s">
        <v>1137</v>
      </c>
      <c r="D131" s="1786">
        <v>7110003</v>
      </c>
      <c r="E131" s="1785" t="s">
        <v>2820</v>
      </c>
      <c r="F131" s="3260">
        <v>4806764.58</v>
      </c>
      <c r="G131" s="3260">
        <v>63510.35</v>
      </c>
      <c r="H131" s="1782">
        <f>VLOOKUP(D131,'מאזן בוחן הודו'!$C:$E,3,0)-F131</f>
        <v>0</v>
      </c>
      <c r="I131" s="1782">
        <f>VLOOKUP(D131,'מאזן בוחן הודו'!$C:$M,11,0)-G131</f>
        <v>0</v>
      </c>
      <c r="J131" s="213"/>
      <c r="K131" s="213"/>
      <c r="L131" s="213"/>
      <c r="M131" s="212"/>
      <c r="N131" s="1781"/>
    </row>
    <row r="132" spans="1:14" s="359" customFormat="1">
      <c r="A132" s="212" t="s">
        <v>1288</v>
      </c>
      <c r="B132" s="1785" t="s">
        <v>1291</v>
      </c>
      <c r="C132" s="1785" t="s">
        <v>1137</v>
      </c>
      <c r="D132" s="1786">
        <v>7110004</v>
      </c>
      <c r="E132" s="1785" t="s">
        <v>2583</v>
      </c>
      <c r="F132" s="3260">
        <v>13484120</v>
      </c>
      <c r="G132" s="3260">
        <v>182459.98</v>
      </c>
      <c r="H132" s="1782">
        <f>VLOOKUP(D132,'מאזן בוחן הודו'!$C:$E,3,0)-F132</f>
        <v>0</v>
      </c>
      <c r="I132" s="1782">
        <f>VLOOKUP(D132,'מאזן בוחן הודו'!$C:$M,11,0)-G132</f>
        <v>0</v>
      </c>
      <c r="J132" s="213"/>
      <c r="K132" s="213"/>
      <c r="L132" s="213"/>
      <c r="M132" s="212"/>
      <c r="N132" s="1781"/>
    </row>
    <row r="133" spans="1:14" s="359" customFormat="1">
      <c r="A133" s="212" t="s">
        <v>1288</v>
      </c>
      <c r="B133" s="1785" t="s">
        <v>1291</v>
      </c>
      <c r="C133" s="1785" t="s">
        <v>1137</v>
      </c>
      <c r="D133" s="1786">
        <v>7110005</v>
      </c>
      <c r="E133" s="1785" t="s">
        <v>2584</v>
      </c>
      <c r="F133" s="3260">
        <v>606221</v>
      </c>
      <c r="G133" s="3260">
        <v>8278.57</v>
      </c>
      <c r="H133" s="1782">
        <f>VLOOKUP(D133,'מאזן בוחן הודו'!$C:$E,3,0)-F133</f>
        <v>0</v>
      </c>
      <c r="I133" s="1782">
        <f>VLOOKUP(D133,'מאזן בוחן הודו'!$C:$M,11,0)-G133</f>
        <v>0</v>
      </c>
      <c r="J133" s="213"/>
      <c r="K133" s="213"/>
      <c r="L133" s="213"/>
      <c r="M133" s="212"/>
      <c r="N133" s="1781"/>
    </row>
    <row r="134" spans="1:14" s="359" customFormat="1">
      <c r="A134" s="212" t="s">
        <v>1288</v>
      </c>
      <c r="B134" s="1785" t="s">
        <v>1291</v>
      </c>
      <c r="C134" s="1785" t="s">
        <v>1137</v>
      </c>
      <c r="D134" s="1786">
        <v>7110006</v>
      </c>
      <c r="E134" s="1785" t="s">
        <v>1242</v>
      </c>
      <c r="F134" s="3260">
        <v>571334.56000000006</v>
      </c>
      <c r="G134" s="3260">
        <v>7716.36</v>
      </c>
      <c r="H134" s="1782">
        <f>VLOOKUP(D134,'מאזן בוחן הודו'!$C:$E,3,0)-F134</f>
        <v>0</v>
      </c>
      <c r="I134" s="1782">
        <f>VLOOKUP(D134,'מאזן בוחן הודו'!$C:$M,11,0)-G134</f>
        <v>0</v>
      </c>
      <c r="J134" s="213"/>
      <c r="K134" s="213"/>
      <c r="L134" s="213"/>
      <c r="M134" s="212"/>
      <c r="N134" s="1781"/>
    </row>
    <row r="135" spans="1:14" s="359" customFormat="1">
      <c r="A135" s="212" t="s">
        <v>1288</v>
      </c>
      <c r="B135" s="1785" t="s">
        <v>1291</v>
      </c>
      <c r="C135" s="1785" t="s">
        <v>1137</v>
      </c>
      <c r="D135" s="1786">
        <v>7110007</v>
      </c>
      <c r="E135" s="1785" t="s">
        <v>2892</v>
      </c>
      <c r="F135" s="3260">
        <v>2159872</v>
      </c>
      <c r="G135" s="3260">
        <v>29259.97</v>
      </c>
      <c r="H135" s="1782">
        <f>VLOOKUP(D135,'מאזן בוחן הודו'!$C:$E,3,0)-F135</f>
        <v>0</v>
      </c>
      <c r="I135" s="1782">
        <f>VLOOKUP(D135,'מאזן בוחן הודו'!$C:$M,11,0)-G135</f>
        <v>0</v>
      </c>
      <c r="J135" s="213"/>
      <c r="K135" s="213"/>
      <c r="L135" s="213"/>
      <c r="M135" s="212"/>
      <c r="N135" s="1781"/>
    </row>
    <row r="136" spans="1:14" s="359" customFormat="1">
      <c r="A136" s="212" t="s">
        <v>1288</v>
      </c>
      <c r="B136" s="1785" t="s">
        <v>1291</v>
      </c>
      <c r="C136" s="1785" t="s">
        <v>1137</v>
      </c>
      <c r="D136" s="1786">
        <v>7111007</v>
      </c>
      <c r="E136" s="1785" t="s">
        <v>1370</v>
      </c>
      <c r="F136" s="3260">
        <v>141100</v>
      </c>
      <c r="G136" s="3260">
        <v>1920.3</v>
      </c>
      <c r="H136" s="1782">
        <f>VLOOKUP(D136,'מאזן בוחן הודו'!$C:$E,3,0)-F136</f>
        <v>0</v>
      </c>
      <c r="I136" s="1782">
        <f>VLOOKUP(D136,'מאזן בוחן הודו'!$C:$M,11,0)-G136</f>
        <v>0</v>
      </c>
      <c r="J136" s="213"/>
      <c r="K136" s="213"/>
      <c r="L136" s="213"/>
      <c r="M136" s="212"/>
      <c r="N136" s="1781"/>
    </row>
    <row r="137" spans="1:14" s="359" customFormat="1">
      <c r="A137" s="212" t="s">
        <v>1288</v>
      </c>
      <c r="B137" s="1785" t="s">
        <v>1291</v>
      </c>
      <c r="C137" s="1785" t="s">
        <v>563</v>
      </c>
      <c r="D137" s="1786">
        <v>7120030</v>
      </c>
      <c r="E137" s="1785" t="s">
        <v>1153</v>
      </c>
      <c r="F137" s="3260">
        <v>574891.93000000005</v>
      </c>
      <c r="G137" s="3260">
        <v>7752.75</v>
      </c>
      <c r="H137" s="1782">
        <f>VLOOKUP(D137,'מאזן בוחן הודו'!$C:$E,3,0)-F137</f>
        <v>0</v>
      </c>
      <c r="I137" s="1782">
        <f>VLOOKUP(D137,'מאזן בוחן הודו'!$C:$M,11,0)-G137</f>
        <v>0</v>
      </c>
      <c r="J137" s="213"/>
      <c r="K137" s="213"/>
      <c r="L137" s="213"/>
      <c r="M137" s="212"/>
      <c r="N137" s="1781"/>
    </row>
    <row r="138" spans="1:14" s="359" customFormat="1">
      <c r="A138" s="212" t="s">
        <v>1288</v>
      </c>
      <c r="B138" s="1785" t="s">
        <v>1291</v>
      </c>
      <c r="C138" s="1785" t="s">
        <v>563</v>
      </c>
      <c r="D138" s="1786">
        <v>7129999</v>
      </c>
      <c r="E138" s="1785" t="s">
        <v>3525</v>
      </c>
      <c r="F138" s="3260">
        <v>1216549.0900000001</v>
      </c>
      <c r="G138" s="3260">
        <v>16498.099999999999</v>
      </c>
      <c r="H138" s="1782">
        <f>VLOOKUP(D138,'מאזן בוחן הודו'!$C:$E,3,0)-F138</f>
        <v>0</v>
      </c>
      <c r="I138" s="1782">
        <f>VLOOKUP(D138,'מאזן בוחן הודו'!$C:$M,11,0)-G138</f>
        <v>0</v>
      </c>
      <c r="J138" s="213"/>
      <c r="K138" s="213"/>
      <c r="L138" s="213"/>
      <c r="M138" s="212"/>
      <c r="N138" s="1781"/>
    </row>
    <row r="139" spans="1:14" s="359" customFormat="1">
      <c r="A139" s="212" t="s">
        <v>1288</v>
      </c>
      <c r="B139" s="1785" t="s">
        <v>1291</v>
      </c>
      <c r="C139" s="1785" t="s">
        <v>1156</v>
      </c>
      <c r="D139" s="1786">
        <v>7140001</v>
      </c>
      <c r="E139" s="1785" t="s">
        <v>1157</v>
      </c>
      <c r="F139" s="3260">
        <v>5563231</v>
      </c>
      <c r="G139" s="3260">
        <v>75342.38</v>
      </c>
      <c r="H139" s="1782">
        <f>VLOOKUP(D139,'מאזן בוחן הודו'!$C:$E,3,0)-F139</f>
        <v>0</v>
      </c>
      <c r="I139" s="1782">
        <f>VLOOKUP(D139,'מאזן בוחן הודו'!$C:$M,11,0)-G139</f>
        <v>0</v>
      </c>
      <c r="J139" s="213"/>
      <c r="K139" s="213"/>
      <c r="L139" s="213"/>
      <c r="M139" s="212"/>
      <c r="N139" s="1781"/>
    </row>
    <row r="140" spans="1:14" s="359" customFormat="1">
      <c r="A140" s="212" t="s">
        <v>1288</v>
      </c>
      <c r="B140" s="1785" t="s">
        <v>1291</v>
      </c>
      <c r="C140" s="1785" t="s">
        <v>1156</v>
      </c>
      <c r="D140" s="1786">
        <v>7140002</v>
      </c>
      <c r="E140" s="1785" t="s">
        <v>1158</v>
      </c>
      <c r="F140" s="3260">
        <v>-0.6</v>
      </c>
      <c r="G140" s="3260">
        <v>17.3</v>
      </c>
      <c r="H140" s="1782">
        <f>VLOOKUP(D140,'מאזן בוחן הודו'!$C:$E,3,0)-F140</f>
        <v>0</v>
      </c>
      <c r="I140" s="1782">
        <f>VLOOKUP(D140,'מאזן בוחן הודו'!$C:$M,11,0)-G140</f>
        <v>0</v>
      </c>
      <c r="J140" s="213"/>
      <c r="K140" s="1784"/>
      <c r="L140" s="1783"/>
      <c r="M140" s="212"/>
      <c r="N140" s="1781"/>
    </row>
    <row r="141" spans="1:14" s="359" customFormat="1">
      <c r="A141" s="212" t="s">
        <v>1288</v>
      </c>
      <c r="B141" s="1785" t="s">
        <v>1291</v>
      </c>
      <c r="C141" s="1785" t="s">
        <v>1156</v>
      </c>
      <c r="D141" s="1786">
        <v>7140003</v>
      </c>
      <c r="E141" s="1785" t="s">
        <v>915</v>
      </c>
      <c r="F141" s="3260">
        <v>22937</v>
      </c>
      <c r="G141" s="3260">
        <v>313.19</v>
      </c>
      <c r="H141" s="1782">
        <f>VLOOKUP(D141,'מאזן בוחן הודו'!$C:$E,3,0)-F141</f>
        <v>0</v>
      </c>
      <c r="I141" s="1782">
        <f>VLOOKUP(D141,'מאזן בוחן הודו'!$C:$M,11,0)-G141</f>
        <v>0</v>
      </c>
      <c r="J141" s="213"/>
      <c r="K141" s="1784"/>
      <c r="L141" s="1783"/>
      <c r="M141" s="212"/>
      <c r="N141" s="1781"/>
    </row>
    <row r="142" spans="1:14" s="359" customFormat="1">
      <c r="A142" s="212" t="s">
        <v>1288</v>
      </c>
      <c r="B142" s="1785" t="s">
        <v>1291</v>
      </c>
      <c r="C142" s="1785" t="s">
        <v>1156</v>
      </c>
      <c r="D142" s="1786">
        <v>7140004</v>
      </c>
      <c r="E142" s="1785" t="s">
        <v>2504</v>
      </c>
      <c r="F142" s="3260">
        <v>2541731</v>
      </c>
      <c r="G142" s="3260">
        <v>34324.879999999997</v>
      </c>
      <c r="H142" s="1782">
        <f>VLOOKUP(D142,'מאזן בוחן הודו'!$C:$E,3,0)-F142</f>
        <v>0</v>
      </c>
      <c r="I142" s="1782">
        <f>VLOOKUP(D142,'מאזן בוחן הודו'!$C:$M,11,0)-G142</f>
        <v>0</v>
      </c>
      <c r="J142" s="213"/>
      <c r="K142" s="1784"/>
      <c r="L142" s="1783"/>
      <c r="M142" s="212"/>
      <c r="N142" s="1781"/>
    </row>
    <row r="143" spans="1:14" s="359" customFormat="1">
      <c r="A143" s="212" t="s">
        <v>1288</v>
      </c>
      <c r="B143" s="1785" t="s">
        <v>1291</v>
      </c>
      <c r="C143" s="1785" t="s">
        <v>1156</v>
      </c>
      <c r="D143" s="1786">
        <v>7140018</v>
      </c>
      <c r="E143" s="1785" t="s">
        <v>3674</v>
      </c>
      <c r="F143" s="3260">
        <v>31500</v>
      </c>
      <c r="G143" s="3260">
        <v>435.84</v>
      </c>
      <c r="H143" s="1782">
        <f>VLOOKUP(D143,'מאזן בוחן הודו'!$C:$E,3,0)-F143</f>
        <v>0</v>
      </c>
      <c r="I143" s="1782">
        <f>VLOOKUP(D143,'מאזן בוחן הודו'!$C:$M,11,0)-G143</f>
        <v>0</v>
      </c>
      <c r="J143" s="213"/>
      <c r="K143" s="1784"/>
      <c r="L143" s="1783"/>
      <c r="M143" s="212"/>
      <c r="N143" s="1781"/>
    </row>
    <row r="144" spans="1:14" s="359" customFormat="1">
      <c r="A144" s="212" t="s">
        <v>1288</v>
      </c>
      <c r="B144" s="1785" t="s">
        <v>1291</v>
      </c>
      <c r="C144" s="1785" t="s">
        <v>1161</v>
      </c>
      <c r="D144" s="1786">
        <v>7150031</v>
      </c>
      <c r="E144" s="1785" t="s">
        <v>2705</v>
      </c>
      <c r="F144" s="3260">
        <v>625708.66</v>
      </c>
      <c r="G144" s="3260">
        <v>8419.0499999999993</v>
      </c>
      <c r="H144" s="1782">
        <f>VLOOKUP(D144,'מאזן בוחן הודו'!$C:$E,3,0)-F144</f>
        <v>0</v>
      </c>
      <c r="I144" s="1782">
        <f>VLOOKUP(D144,'מאזן בוחן הודו'!$C:$M,11,0)-G144</f>
        <v>0</v>
      </c>
      <c r="J144" s="213"/>
      <c r="K144" s="1784"/>
      <c r="L144" s="1783"/>
      <c r="M144" s="212"/>
      <c r="N144" s="1781"/>
    </row>
    <row r="145" spans="1:14" s="359" customFormat="1">
      <c r="A145" s="212" t="s">
        <v>1293</v>
      </c>
      <c r="B145" s="1785" t="s">
        <v>1294</v>
      </c>
      <c r="C145" s="1785" t="s">
        <v>4228</v>
      </c>
      <c r="D145" s="1786">
        <v>90102</v>
      </c>
      <c r="E145" s="1785" t="s">
        <v>1243</v>
      </c>
      <c r="F145" s="3260">
        <v>11907.26</v>
      </c>
      <c r="G145" s="3260">
        <v>160.30000000000001</v>
      </c>
      <c r="H145" s="1782">
        <f>VLOOKUP(D145,'מאזן בוחן הודו'!$C:$E,3,0)-F145</f>
        <v>0</v>
      </c>
      <c r="I145" s="1782">
        <f>VLOOKUP(D145,'מאזן בוחן הודו'!$C:$M,11,0)-G145</f>
        <v>0</v>
      </c>
      <c r="J145" s="213"/>
      <c r="K145" s="1784"/>
      <c r="L145" s="1783"/>
      <c r="M145" s="212"/>
      <c r="N145" s="1781"/>
    </row>
    <row r="146" spans="1:14" s="359" customFormat="1" ht="10.5" customHeight="1">
      <c r="A146" s="212" t="s">
        <v>1293</v>
      </c>
      <c r="B146" s="1785" t="s">
        <v>1294</v>
      </c>
      <c r="C146" s="1785" t="s">
        <v>2250</v>
      </c>
      <c r="D146" s="1786">
        <v>8020013</v>
      </c>
      <c r="E146" s="1785" t="s">
        <v>370</v>
      </c>
      <c r="F146" s="3260">
        <v>549003</v>
      </c>
      <c r="G146" s="3260">
        <v>7477.88</v>
      </c>
      <c r="H146" s="1782">
        <f>VLOOKUP(D146,'מאזן בוחן הודו'!$C:$E,3,0)-F146</f>
        <v>0</v>
      </c>
      <c r="I146" s="1782">
        <f>VLOOKUP(D146,'מאזן בוחן הודו'!$C:$M,11,0)-G146</f>
        <v>0</v>
      </c>
      <c r="J146" s="213"/>
      <c r="K146" s="213"/>
      <c r="L146" s="213"/>
      <c r="M146" s="212"/>
      <c r="N146" s="1781"/>
    </row>
    <row r="147" spans="1:14" s="359" customFormat="1">
      <c r="A147" s="212" t="s">
        <v>1293</v>
      </c>
      <c r="B147" s="1785" t="s">
        <v>1294</v>
      </c>
      <c r="C147" s="1785" t="s">
        <v>1183</v>
      </c>
      <c r="D147" s="1786">
        <v>8030001</v>
      </c>
      <c r="E147" s="1785" t="s">
        <v>394</v>
      </c>
      <c r="F147" s="3260">
        <v>4732800</v>
      </c>
      <c r="G147" s="3260">
        <v>64099.48</v>
      </c>
      <c r="H147" s="1782">
        <f>VLOOKUP(D147,'מאזן בוחן הודו'!$C:$E,3,0)-F147</f>
        <v>0</v>
      </c>
      <c r="I147" s="1782">
        <f>VLOOKUP(D147,'מאזן בוחן הודו'!$C:$M,11,0)-G147</f>
        <v>0</v>
      </c>
      <c r="J147" s="213"/>
      <c r="K147" s="213"/>
      <c r="L147" s="213"/>
      <c r="M147" s="212"/>
      <c r="N147" s="1781"/>
    </row>
    <row r="148" spans="1:14" s="359" customFormat="1">
      <c r="A148" s="212" t="s">
        <v>1293</v>
      </c>
      <c r="B148" s="1785" t="s">
        <v>1294</v>
      </c>
      <c r="C148" s="1785" t="s">
        <v>1183</v>
      </c>
      <c r="D148" s="1786">
        <v>8030002</v>
      </c>
      <c r="E148" s="1785" t="s">
        <v>2585</v>
      </c>
      <c r="F148" s="3260">
        <v>268129</v>
      </c>
      <c r="G148" s="3260">
        <v>3630.69</v>
      </c>
      <c r="H148" s="1782">
        <f>VLOOKUP(D148,'מאזן בוחן הודו'!$C:$E,3,0)-F148</f>
        <v>0</v>
      </c>
      <c r="I148" s="1782">
        <f>VLOOKUP(D148,'מאזן בוחן הודו'!$C:$M,11,0)-G148</f>
        <v>0</v>
      </c>
      <c r="J148" s="213"/>
      <c r="K148" s="213"/>
      <c r="L148" s="213"/>
      <c r="M148" s="212"/>
      <c r="N148" s="1781"/>
    </row>
    <row r="149" spans="1:14" s="359" customFormat="1">
      <c r="A149" s="212" t="s">
        <v>1293</v>
      </c>
      <c r="B149" s="1785" t="s">
        <v>1294</v>
      </c>
      <c r="C149" s="1785" t="s">
        <v>1183</v>
      </c>
      <c r="D149" s="1786">
        <v>8030004</v>
      </c>
      <c r="E149" s="1785" t="s">
        <v>369</v>
      </c>
      <c r="F149" s="3260">
        <v>755988.2</v>
      </c>
      <c r="G149" s="3260">
        <v>10240.280000000001</v>
      </c>
      <c r="H149" s="1782">
        <f>VLOOKUP(D149,'מאזן בוחן הודו'!$C:$E,3,0)-F149</f>
        <v>0</v>
      </c>
      <c r="I149" s="1782">
        <f>VLOOKUP(D149,'מאזן בוחן הודו'!$C:$M,11,0)-G149</f>
        <v>0</v>
      </c>
      <c r="J149" s="213"/>
      <c r="K149" s="213"/>
      <c r="L149" s="213"/>
      <c r="M149" s="212"/>
      <c r="N149" s="1781"/>
    </row>
    <row r="150" spans="1:14" s="359" customFormat="1">
      <c r="A150" s="212" t="s">
        <v>1293</v>
      </c>
      <c r="B150" s="1785" t="s">
        <v>1294</v>
      </c>
      <c r="C150" s="1785" t="s">
        <v>1183</v>
      </c>
      <c r="D150" s="1786">
        <v>8030006</v>
      </c>
      <c r="E150" s="1785" t="s">
        <v>155</v>
      </c>
      <c r="F150" s="3260">
        <v>6367</v>
      </c>
      <c r="G150" s="3260">
        <v>87.21</v>
      </c>
      <c r="H150" s="1782">
        <f>VLOOKUP(D150,'מאזן בוחן הודו'!$C:$E,3,0)-F150</f>
        <v>0</v>
      </c>
      <c r="I150" s="1782">
        <f>VLOOKUP(D150,'מאזן בוחן הודו'!$C:$M,11,0)-G150</f>
        <v>0</v>
      </c>
      <c r="J150" s="213"/>
      <c r="K150" s="213"/>
      <c r="L150" s="213"/>
      <c r="M150" s="212"/>
      <c r="N150" s="1781"/>
    </row>
    <row r="151" spans="1:14" s="359" customFormat="1">
      <c r="A151" s="212" t="s">
        <v>1293</v>
      </c>
      <c r="B151" s="1785" t="s">
        <v>1294</v>
      </c>
      <c r="C151" s="1785" t="s">
        <v>1183</v>
      </c>
      <c r="D151" s="1786">
        <v>8030009</v>
      </c>
      <c r="E151" s="1785" t="s">
        <v>1186</v>
      </c>
      <c r="F151" s="3260">
        <v>1344089</v>
      </c>
      <c r="G151" s="3260">
        <v>18204.349999999999</v>
      </c>
      <c r="H151" s="1782">
        <f>VLOOKUP(D151,'מאזן בוחן הודו'!$C:$E,3,0)-F151</f>
        <v>0</v>
      </c>
      <c r="I151" s="1782">
        <f>VLOOKUP(D151,'מאזן בוחן הודו'!$C:$M,11,0)-G151</f>
        <v>0</v>
      </c>
      <c r="J151" s="213"/>
      <c r="K151" s="213"/>
      <c r="L151" s="213"/>
      <c r="M151" s="212"/>
      <c r="N151" s="1781"/>
    </row>
    <row r="152" spans="1:14" s="359" customFormat="1">
      <c r="A152" s="212" t="s">
        <v>1293</v>
      </c>
      <c r="B152" s="1785" t="s">
        <v>1294</v>
      </c>
      <c r="C152" s="1785" t="s">
        <v>1183</v>
      </c>
      <c r="D152" s="1786">
        <v>8030010</v>
      </c>
      <c r="E152" s="1785" t="s">
        <v>2586</v>
      </c>
      <c r="F152" s="3260">
        <v>179893</v>
      </c>
      <c r="G152" s="3260">
        <v>2444.23</v>
      </c>
      <c r="H152" s="1782">
        <f>VLOOKUP(D152,'מאזן בוחן הודו'!$C:$E,3,0)-F152</f>
        <v>0</v>
      </c>
      <c r="I152" s="1782">
        <f>VLOOKUP(D152,'מאזן בוחן הודו'!$C:$M,11,0)-G152</f>
        <v>0</v>
      </c>
      <c r="J152" s="213"/>
      <c r="K152" s="1784"/>
      <c r="L152" s="1783"/>
      <c r="M152" s="212"/>
      <c r="N152" s="1781"/>
    </row>
    <row r="153" spans="1:14" s="359" customFormat="1">
      <c r="A153" s="212" t="s">
        <v>1293</v>
      </c>
      <c r="B153" s="1785" t="s">
        <v>1294</v>
      </c>
      <c r="C153" s="1785" t="s">
        <v>1183</v>
      </c>
      <c r="D153" s="1786">
        <v>8030011</v>
      </c>
      <c r="E153" s="1785" t="s">
        <v>172</v>
      </c>
      <c r="F153" s="3260">
        <v>9500</v>
      </c>
      <c r="G153" s="3260">
        <v>128.24</v>
      </c>
      <c r="H153" s="1782">
        <f>VLOOKUP(D153,'מאזן בוחן הודו'!$C:$E,3,0)-F153</f>
        <v>0</v>
      </c>
      <c r="I153" s="1782">
        <f>VLOOKUP(D153,'מאזן בוחן הודו'!$C:$M,11,0)-G153</f>
        <v>0</v>
      </c>
      <c r="J153" s="213"/>
      <c r="K153" s="1784"/>
      <c r="L153" s="1783"/>
      <c r="M153" s="212"/>
      <c r="N153" s="1781"/>
    </row>
    <row r="154" spans="1:14" s="359" customFormat="1">
      <c r="A154" s="212" t="s">
        <v>1293</v>
      </c>
      <c r="B154" s="1785" t="s">
        <v>1294</v>
      </c>
      <c r="C154" s="1785" t="s">
        <v>1183</v>
      </c>
      <c r="D154" s="1786">
        <v>8030012</v>
      </c>
      <c r="E154" s="1785" t="s">
        <v>4449</v>
      </c>
      <c r="F154" s="3260">
        <v>4878</v>
      </c>
      <c r="G154" s="3260">
        <v>64.959999999999994</v>
      </c>
      <c r="H154" s="1782">
        <f>VLOOKUP(D154,'מאזן בוחן הודו'!$C:$E,3,0)-F154</f>
        <v>0</v>
      </c>
      <c r="I154" s="1782">
        <f>VLOOKUP(D154,'מאזן בוחן הודו'!$C:$M,11,0)-G154</f>
        <v>0</v>
      </c>
      <c r="J154" s="213"/>
      <c r="K154" s="1784"/>
      <c r="L154" s="1783"/>
      <c r="M154" s="212"/>
      <c r="N154" s="1781"/>
    </row>
    <row r="155" spans="1:14" s="359" customFormat="1">
      <c r="A155" s="212" t="s">
        <v>1293</v>
      </c>
      <c r="B155" s="1785" t="s">
        <v>1294</v>
      </c>
      <c r="C155" s="1785" t="s">
        <v>1183</v>
      </c>
      <c r="D155" s="1786">
        <v>8030015</v>
      </c>
      <c r="E155" s="1785" t="s">
        <v>156</v>
      </c>
      <c r="F155" s="3260">
        <v>602658.07999999996</v>
      </c>
      <c r="G155" s="3260">
        <v>8137.11</v>
      </c>
      <c r="H155" s="1782">
        <f>VLOOKUP(D155,'מאזן בוחן הודו'!$C:$E,3,0)-F155</f>
        <v>0</v>
      </c>
      <c r="I155" s="1782">
        <f>VLOOKUP(D155,'מאזן בוחן הודו'!$C:$M,11,0)-G155</f>
        <v>0</v>
      </c>
      <c r="J155" s="213"/>
      <c r="K155" s="1784"/>
      <c r="L155" s="1783"/>
      <c r="M155" s="212"/>
      <c r="N155" s="1781"/>
    </row>
    <row r="156" spans="1:14" s="359" customFormat="1">
      <c r="A156" s="212" t="s">
        <v>1293</v>
      </c>
      <c r="B156" s="1785" t="s">
        <v>1294</v>
      </c>
      <c r="C156" s="1785" t="s">
        <v>1183</v>
      </c>
      <c r="D156" s="1786">
        <v>8030017</v>
      </c>
      <c r="E156" s="1785" t="s">
        <v>1573</v>
      </c>
      <c r="F156" s="3260">
        <v>196595</v>
      </c>
      <c r="G156" s="3260">
        <v>2645.43</v>
      </c>
      <c r="H156" s="1782">
        <f>VLOOKUP(D156,'מאזן בוחן הודו'!$C:$E,3,0)-F156</f>
        <v>0</v>
      </c>
      <c r="I156" s="1782">
        <f>VLOOKUP(D156,'מאזן בוחן הודו'!$C:$M,11,0)-G156</f>
        <v>0</v>
      </c>
      <c r="J156" s="213"/>
      <c r="K156" s="1787"/>
      <c r="L156" s="1783"/>
      <c r="M156" s="212"/>
      <c r="N156" s="212"/>
    </row>
    <row r="157" spans="1:14" s="359" customFormat="1">
      <c r="A157" s="212" t="s">
        <v>1293</v>
      </c>
      <c r="B157" s="1785" t="s">
        <v>1294</v>
      </c>
      <c r="C157" s="1785" t="s">
        <v>1183</v>
      </c>
      <c r="D157" s="1786">
        <v>8030018</v>
      </c>
      <c r="E157" s="1785" t="s">
        <v>978</v>
      </c>
      <c r="F157" s="3260">
        <v>962835.91</v>
      </c>
      <c r="G157" s="3260">
        <v>13071.56</v>
      </c>
      <c r="H157" s="1782">
        <f>VLOOKUP(D157,'מאזן בוחן הודו'!$C:$E,3,0)-F157</f>
        <v>0</v>
      </c>
      <c r="I157" s="1782">
        <f>VLOOKUP(D157,'מאזן בוחן הודו'!$C:$M,11,0)-G157</f>
        <v>0</v>
      </c>
      <c r="J157" s="213"/>
      <c r="K157" s="1784"/>
      <c r="L157" s="1783"/>
      <c r="M157" s="212"/>
      <c r="N157" s="1781"/>
    </row>
    <row r="158" spans="1:14" s="359" customFormat="1">
      <c r="A158" s="212" t="s">
        <v>1293</v>
      </c>
      <c r="B158" s="1785" t="s">
        <v>1294</v>
      </c>
      <c r="C158" s="1785" t="s">
        <v>1183</v>
      </c>
      <c r="D158" s="1786">
        <v>8030020</v>
      </c>
      <c r="E158" s="1785" t="s">
        <v>19</v>
      </c>
      <c r="F158" s="3260">
        <v>1391844.74</v>
      </c>
      <c r="G158" s="3260">
        <v>18819.53</v>
      </c>
      <c r="H158" s="1782">
        <f>VLOOKUP(D158,'מאזן בוחן הודו'!$C:$E,3,0)-F158</f>
        <v>0</v>
      </c>
      <c r="I158" s="1782">
        <f>VLOOKUP(D158,'מאזן בוחן הודו'!$C:$M,11,0)-G158</f>
        <v>0</v>
      </c>
      <c r="J158" s="213"/>
      <c r="K158" s="1784"/>
      <c r="L158" s="1783"/>
      <c r="M158" s="212"/>
      <c r="N158" s="1781"/>
    </row>
    <row r="159" spans="1:14" s="359" customFormat="1">
      <c r="A159" s="212" t="s">
        <v>1293</v>
      </c>
      <c r="B159" s="1785" t="s">
        <v>1294</v>
      </c>
      <c r="C159" s="1785" t="s">
        <v>1183</v>
      </c>
      <c r="D159" s="1786">
        <v>8030022</v>
      </c>
      <c r="E159" s="1785" t="s">
        <v>2975</v>
      </c>
      <c r="F159" s="3260">
        <v>1639389.97</v>
      </c>
      <c r="G159" s="3260">
        <v>22283.81</v>
      </c>
      <c r="H159" s="1782">
        <f>VLOOKUP(D159,'מאזן בוחן הודו'!$C:$E,3,0)-F159</f>
        <v>0</v>
      </c>
      <c r="I159" s="1782">
        <f>VLOOKUP(D159,'מאזן בוחן הודו'!$C:$M,11,0)-G159</f>
        <v>0</v>
      </c>
      <c r="J159" s="213"/>
      <c r="K159" s="1784"/>
      <c r="L159" s="1783"/>
      <c r="M159" s="212"/>
      <c r="N159" s="1781"/>
    </row>
    <row r="160" spans="1:14" s="359" customFormat="1">
      <c r="A160" s="212" t="s">
        <v>1293</v>
      </c>
      <c r="B160" s="1785" t="s">
        <v>1294</v>
      </c>
      <c r="C160" s="1785" t="s">
        <v>1183</v>
      </c>
      <c r="D160" s="1786">
        <v>93100</v>
      </c>
      <c r="E160" s="1785" t="s">
        <v>186</v>
      </c>
      <c r="F160" s="3260">
        <v>-11958993.710000001</v>
      </c>
      <c r="G160" s="3260">
        <v>-162036.73000000001</v>
      </c>
      <c r="H160" s="1782">
        <f>VLOOKUP(D160,'מאזן בוחן הודו'!$C:$E,3,0)-F160</f>
        <v>0</v>
      </c>
      <c r="I160" s="1782">
        <f>VLOOKUP(D160,'מאזן בוחן הודו'!$C:$M,11,0)-G160</f>
        <v>0</v>
      </c>
      <c r="J160" s="213"/>
      <c r="K160" s="1784"/>
      <c r="L160" s="1783"/>
      <c r="M160" s="212"/>
      <c r="N160" s="1781"/>
    </row>
    <row r="161" spans="1:15" s="359" customFormat="1">
      <c r="A161" s="212" t="s">
        <v>1293</v>
      </c>
      <c r="B161" s="1785" t="s">
        <v>2932</v>
      </c>
      <c r="C161" s="1785" t="s">
        <v>1173</v>
      </c>
      <c r="D161" s="1786">
        <v>8110001</v>
      </c>
      <c r="E161" s="1785" t="s">
        <v>4594</v>
      </c>
      <c r="F161" s="3260">
        <v>77361</v>
      </c>
      <c r="G161" s="3260">
        <v>1041.17</v>
      </c>
      <c r="H161" s="1782">
        <f>VLOOKUP(D161,'מאזן בוחן הודו'!$C:$E,3,0)-F161</f>
        <v>0</v>
      </c>
      <c r="I161" s="1782">
        <f>VLOOKUP(D161,'מאזן בוחן הודו'!$C:$M,11,0)-G161</f>
        <v>0</v>
      </c>
      <c r="J161" s="213"/>
      <c r="K161" s="1784"/>
      <c r="L161" s="1783"/>
      <c r="M161" s="212"/>
      <c r="N161" s="1781"/>
    </row>
    <row r="162" spans="1:15" s="359" customFormat="1">
      <c r="A162" s="212" t="s">
        <v>1293</v>
      </c>
      <c r="B162" s="1785" t="s">
        <v>2932</v>
      </c>
      <c r="C162" s="1785" t="s">
        <v>1173</v>
      </c>
      <c r="D162" s="1786">
        <v>8110006</v>
      </c>
      <c r="E162" s="1785" t="s">
        <v>4595</v>
      </c>
      <c r="F162" s="3260">
        <v>29922</v>
      </c>
      <c r="G162" s="3260">
        <v>402.71</v>
      </c>
      <c r="H162" s="1782">
        <f>VLOOKUP(D162,'מאזן בוחן הודו'!$C:$E,3,0)-F162</f>
        <v>0</v>
      </c>
      <c r="I162" s="1782">
        <f>VLOOKUP(D162,'מאזן בוחן הודו'!$C:$M,11,0)-G162</f>
        <v>0</v>
      </c>
      <c r="J162" s="213"/>
      <c r="K162" s="1784"/>
      <c r="L162" s="1783"/>
      <c r="M162" s="212"/>
      <c r="N162" s="1781"/>
    </row>
    <row r="163" spans="1:15" s="359" customFormat="1">
      <c r="A163" s="212" t="s">
        <v>1293</v>
      </c>
      <c r="B163" s="1785" t="s">
        <v>1296</v>
      </c>
      <c r="C163" s="1785" t="s">
        <v>3237</v>
      </c>
      <c r="D163" s="1786">
        <v>8210001</v>
      </c>
      <c r="E163" s="1785" t="s">
        <v>1177</v>
      </c>
      <c r="F163" s="3260">
        <v>454047</v>
      </c>
      <c r="G163" s="3260">
        <v>6140.33</v>
      </c>
      <c r="H163" s="1782">
        <f>VLOOKUP(D163,'מאזן בוחן הודו'!$C:$E,3,0)-F163</f>
        <v>0</v>
      </c>
      <c r="I163" s="1782">
        <f>VLOOKUP(D163,'מאזן בוחן הודו'!$C:$M,11,0)-G163</f>
        <v>0</v>
      </c>
      <c r="J163" s="213"/>
      <c r="K163" s="1784"/>
      <c r="L163" s="1783"/>
      <c r="M163" s="212"/>
      <c r="N163" s="1781"/>
    </row>
    <row r="164" spans="1:15" s="359" customFormat="1">
      <c r="A164" s="212" t="s">
        <v>1293</v>
      </c>
      <c r="B164" s="1785" t="s">
        <v>1296</v>
      </c>
      <c r="C164" s="1785" t="s">
        <v>3237</v>
      </c>
      <c r="D164" s="1786">
        <v>8210007</v>
      </c>
      <c r="E164" s="1785" t="s">
        <v>3238</v>
      </c>
      <c r="F164" s="1781">
        <v>430901</v>
      </c>
      <c r="G164" s="1781">
        <v>5826.08</v>
      </c>
      <c r="H164" s="1782">
        <f>VLOOKUP(D164,'מאזן בוחן הודו'!$C:$E,3,0)-F164</f>
        <v>0</v>
      </c>
      <c r="I164" s="1782">
        <f>VLOOKUP(D164,'מאזן בוחן הודו'!$C:$M,11,0)-G164</f>
        <v>0</v>
      </c>
      <c r="J164" s="213"/>
      <c r="K164" s="1784"/>
      <c r="L164" s="1783"/>
      <c r="M164" s="212"/>
      <c r="N164" s="1781"/>
    </row>
    <row r="165" spans="1:15" s="359" customFormat="1">
      <c r="A165" s="212" t="s">
        <v>1293</v>
      </c>
      <c r="B165" s="1785" t="s">
        <v>1296</v>
      </c>
      <c r="C165" s="1785" t="s">
        <v>3350</v>
      </c>
      <c r="D165" s="1786">
        <v>8220001</v>
      </c>
      <c r="E165" s="1785" t="s">
        <v>3772</v>
      </c>
      <c r="F165" s="1781">
        <v>23703</v>
      </c>
      <c r="G165" s="1781">
        <v>319.02</v>
      </c>
      <c r="H165" s="1782">
        <f>VLOOKUP(D165,'מאזן בוחן הודו'!$C:$E,3,0)-F165</f>
        <v>0</v>
      </c>
      <c r="I165" s="1782">
        <f>VLOOKUP(D165,'מאזן בוחן הודו'!$C:$M,11,0)-G165</f>
        <v>0</v>
      </c>
      <c r="J165" s="213"/>
      <c r="K165" s="1784"/>
      <c r="L165" s="1783"/>
      <c r="M165" s="212"/>
      <c r="N165" s="212"/>
    </row>
    <row r="166" spans="1:15" s="359" customFormat="1">
      <c r="A166" s="212" t="s">
        <v>1293</v>
      </c>
      <c r="B166" s="1785" t="s">
        <v>1299</v>
      </c>
      <c r="C166" s="1785" t="s">
        <v>1337</v>
      </c>
      <c r="D166" s="1786">
        <v>8410066</v>
      </c>
      <c r="E166" s="1785" t="s">
        <v>491</v>
      </c>
      <c r="F166" s="1781">
        <v>1261116.6000000001</v>
      </c>
      <c r="G166" s="1781">
        <v>16999.939999999999</v>
      </c>
      <c r="H166" s="1782">
        <f>VLOOKUP(D166,'מאזן בוחן הודו'!$C:$E,3,0)-F166</f>
        <v>0</v>
      </c>
      <c r="I166" s="1782">
        <f>VLOOKUP(D166,'מאזן בוחן הודו'!$C:$M,11,0)-G166</f>
        <v>0</v>
      </c>
      <c r="J166" s="213"/>
      <c r="K166" s="1784"/>
      <c r="L166" s="1783"/>
      <c r="M166" s="212"/>
      <c r="N166" s="212"/>
    </row>
    <row r="167" spans="1:15" s="359" customFormat="1">
      <c r="A167" s="212" t="s">
        <v>1293</v>
      </c>
      <c r="B167" s="1785" t="s">
        <v>1299</v>
      </c>
      <c r="C167" s="1785" t="s">
        <v>1337</v>
      </c>
      <c r="D167" s="1786">
        <v>8410069</v>
      </c>
      <c r="E167" s="1785" t="s">
        <v>1338</v>
      </c>
      <c r="F167" s="1781">
        <v>242500</v>
      </c>
      <c r="G167" s="1781">
        <v>3274.29</v>
      </c>
      <c r="H167" s="1782">
        <f>VLOOKUP(D167,'מאזן בוחן הודו'!$C:$E,3,0)-F167</f>
        <v>0</v>
      </c>
      <c r="I167" s="1782">
        <f>VLOOKUP(D167,'מאזן בוחן הודו'!$C:$M,11,0)-G167</f>
        <v>0</v>
      </c>
      <c r="J167" s="213"/>
      <c r="K167" s="1784"/>
      <c r="L167" s="1783"/>
      <c r="M167" s="212"/>
      <c r="N167" s="212"/>
    </row>
    <row r="168" spans="1:15" s="359" customFormat="1">
      <c r="A168" s="212" t="s">
        <v>1293</v>
      </c>
      <c r="B168" s="1785" t="s">
        <v>1299</v>
      </c>
      <c r="C168" s="1785" t="s">
        <v>1337</v>
      </c>
      <c r="D168" s="1786">
        <v>8410080</v>
      </c>
      <c r="E168" s="1785" t="s">
        <v>370</v>
      </c>
      <c r="F168" s="1781">
        <v>776001.3</v>
      </c>
      <c r="G168" s="1781">
        <v>10523.15</v>
      </c>
      <c r="H168" s="1782">
        <f>VLOOKUP(D168,'מאזן בוחן הודו'!$C:$E,3,0)-F168</f>
        <v>0</v>
      </c>
      <c r="I168" s="1782">
        <f>VLOOKUP(D168,'מאזן בוחן הודו'!$C:$M,11,0)-G168</f>
        <v>0</v>
      </c>
      <c r="J168" s="213"/>
      <c r="K168" s="1784"/>
      <c r="L168" s="1783"/>
      <c r="M168" s="212"/>
      <c r="N168" s="212"/>
    </row>
    <row r="169" spans="1:15" s="359" customFormat="1">
      <c r="A169" s="212" t="s">
        <v>1301</v>
      </c>
      <c r="B169" s="1785" t="s">
        <v>1302</v>
      </c>
      <c r="C169" s="1785" t="s">
        <v>1216</v>
      </c>
      <c r="D169" s="1786">
        <v>9010001</v>
      </c>
      <c r="E169" s="1785" t="s">
        <v>1339</v>
      </c>
      <c r="F169" s="1781">
        <v>21600.28</v>
      </c>
      <c r="G169" s="1781">
        <v>294.87</v>
      </c>
      <c r="H169" s="1782">
        <f>VLOOKUP(D169,'מאזן בוחן הודו'!$C:$E,3,0)-F169</f>
        <v>0</v>
      </c>
      <c r="I169" s="1782">
        <f>VLOOKUP(D169,'מאזן בוחן הודו'!$C:$M,11,0)-G169</f>
        <v>0</v>
      </c>
      <c r="J169" s="212"/>
      <c r="K169" s="212"/>
      <c r="L169" s="212"/>
      <c r="M169" s="212"/>
      <c r="N169" s="212"/>
      <c r="O169" s="212"/>
    </row>
    <row r="170" spans="1:15" s="359" customFormat="1">
      <c r="A170" s="212" t="s">
        <v>1301</v>
      </c>
      <c r="B170" s="1785" t="s">
        <v>1302</v>
      </c>
      <c r="C170" s="1785" t="s">
        <v>1216</v>
      </c>
      <c r="D170" s="1786">
        <v>9010002</v>
      </c>
      <c r="E170" s="1785" t="s">
        <v>158</v>
      </c>
      <c r="F170" s="1781">
        <v>506149.69</v>
      </c>
      <c r="G170" s="1781">
        <v>20363.12</v>
      </c>
      <c r="H170" s="1782">
        <f>VLOOKUP(D170,'מאזן בוחן הודו'!$C:$E,3,0)-F170</f>
        <v>0</v>
      </c>
      <c r="I170" s="1782">
        <f>VLOOKUP(D170,'מאזן בוחן הודו'!$C:$M,11,0)-G170</f>
        <v>0</v>
      </c>
      <c r="J170" s="212"/>
      <c r="K170" s="212"/>
      <c r="L170" s="212"/>
      <c r="M170" s="212"/>
      <c r="N170" s="212"/>
      <c r="O170" s="212"/>
    </row>
    <row r="171" spans="1:15" s="359" customFormat="1" ht="15">
      <c r="A171" s="212" t="s">
        <v>1301</v>
      </c>
      <c r="B171" s="1785" t="s">
        <v>1302</v>
      </c>
      <c r="C171" s="1785" t="s">
        <v>1216</v>
      </c>
      <c r="D171" s="3518">
        <v>9010003</v>
      </c>
      <c r="E171" s="1785" t="s">
        <v>2587</v>
      </c>
      <c r="F171" s="1781">
        <v>0.76</v>
      </c>
      <c r="G171" s="1781">
        <v>0.03</v>
      </c>
      <c r="H171" s="1782">
        <f>VLOOKUP(D171,'מאזן בוחן הודו'!$C:$E,3,0)-F171</f>
        <v>0</v>
      </c>
      <c r="I171" s="1782">
        <f>VLOOKUP(D171,'מאזן בוחן הודו'!$C:$M,11,0)-G171</f>
        <v>0</v>
      </c>
      <c r="J171" s="212"/>
      <c r="K171" s="212"/>
      <c r="L171" s="212"/>
      <c r="M171" s="212"/>
      <c r="N171" s="212"/>
      <c r="O171" s="212"/>
    </row>
    <row r="172" spans="1:15" s="359" customFormat="1">
      <c r="A172" s="212" t="s">
        <v>1301</v>
      </c>
      <c r="B172" s="1785" t="s">
        <v>1302</v>
      </c>
      <c r="C172" s="1785" t="s">
        <v>1216</v>
      </c>
      <c r="D172" s="1786">
        <v>9010004</v>
      </c>
      <c r="E172" s="1785" t="s">
        <v>2938</v>
      </c>
      <c r="F172" s="1781">
        <v>107978</v>
      </c>
      <c r="G172" s="1781">
        <v>1457.32</v>
      </c>
      <c r="H172" s="1782">
        <f>VLOOKUP(D172,'מאזן בוחן הודו'!$C:$E,3,0)-F172</f>
        <v>0</v>
      </c>
      <c r="I172" s="1782">
        <f>VLOOKUP(D172,'מאזן בוחן הודו'!$C:$M,11,0)-G172</f>
        <v>0</v>
      </c>
      <c r="J172" s="212"/>
      <c r="K172" s="212"/>
      <c r="L172" s="212"/>
      <c r="M172" s="212"/>
      <c r="N172" s="212"/>
      <c r="O172" s="212"/>
    </row>
    <row r="173" spans="1:15" s="359" customFormat="1">
      <c r="A173" s="212" t="s">
        <v>1301</v>
      </c>
      <c r="B173" s="1785" t="s">
        <v>3448</v>
      </c>
      <c r="C173" s="1785" t="s">
        <v>1218</v>
      </c>
      <c r="D173" s="1786">
        <v>9100001</v>
      </c>
      <c r="E173" s="1785" t="s">
        <v>2235</v>
      </c>
      <c r="F173" s="1781">
        <v>10510159.800000001</v>
      </c>
      <c r="G173" s="1781">
        <v>141985.62</v>
      </c>
      <c r="H173" s="1782">
        <f>VLOOKUP(D173,'מאזן בוחן הודו'!$C:$E,3,0)-F173</f>
        <v>0</v>
      </c>
      <c r="I173" s="1782">
        <f>VLOOKUP(D173,'מאזן בוחן הודו'!$C:$M,11,0)-G173</f>
        <v>0</v>
      </c>
      <c r="J173" s="212"/>
      <c r="K173" s="212"/>
      <c r="L173" s="212"/>
      <c r="M173" s="212"/>
      <c r="N173" s="212"/>
      <c r="O173" s="212"/>
    </row>
    <row r="174" spans="1:15" s="359" customFormat="1">
      <c r="A174" s="212" t="s">
        <v>1301</v>
      </c>
      <c r="B174" s="1785" t="s">
        <v>3448</v>
      </c>
      <c r="C174" s="1785" t="s">
        <v>1218</v>
      </c>
      <c r="D174" s="1786">
        <v>9100003</v>
      </c>
      <c r="E174" s="1785" t="s">
        <v>222</v>
      </c>
      <c r="F174" s="1781">
        <v>-22274.080000000002</v>
      </c>
      <c r="G174" s="1781">
        <v>-302.44</v>
      </c>
      <c r="H174" s="1782">
        <f>VLOOKUP(D174,'מאזן בוחן הודו'!$C:$E,3,0)-F174</f>
        <v>0</v>
      </c>
      <c r="I174" s="1782">
        <f>VLOOKUP(D174,'מאזן בוחן הודו'!$C:$M,11,0)-G174</f>
        <v>0</v>
      </c>
      <c r="J174" s="212"/>
      <c r="K174" s="212"/>
      <c r="L174" s="212"/>
      <c r="M174" s="212"/>
      <c r="N174" s="212"/>
      <c r="O174" s="212"/>
    </row>
    <row r="175" spans="1:15" s="359" customFormat="1">
      <c r="A175" s="212"/>
      <c r="B175" s="1785"/>
      <c r="C175" s="1785"/>
      <c r="D175" s="1786"/>
      <c r="E175" s="1785"/>
      <c r="F175" s="1781"/>
      <c r="G175" s="1781"/>
      <c r="H175" s="213"/>
      <c r="I175" s="213"/>
      <c r="J175" s="212"/>
      <c r="K175" s="212"/>
      <c r="L175" s="212"/>
      <c r="M175" s="212"/>
      <c r="N175" s="212"/>
      <c r="O175" s="212"/>
    </row>
    <row r="176" spans="1:15" s="359" customFormat="1">
      <c r="A176" s="212"/>
      <c r="B176" s="1785"/>
      <c r="C176" s="1785"/>
      <c r="D176" s="1786"/>
      <c r="E176" s="1785"/>
      <c r="F176" s="1781"/>
      <c r="G176" s="1781"/>
      <c r="H176" s="213"/>
      <c r="I176" s="213"/>
      <c r="J176" s="212"/>
      <c r="K176" s="212"/>
      <c r="L176" s="212"/>
      <c r="M176" s="212"/>
      <c r="N176" s="212"/>
      <c r="O176" s="212"/>
    </row>
    <row r="177" spans="1:15" s="359" customFormat="1">
      <c r="A177" s="212"/>
      <c r="B177" s="1785"/>
      <c r="C177" s="1785"/>
      <c r="D177" s="1786"/>
      <c r="E177" s="1785"/>
      <c r="F177" s="1781"/>
      <c r="G177" s="1781"/>
      <c r="H177" s="213"/>
      <c r="I177" s="213"/>
      <c r="J177" s="212"/>
      <c r="K177" s="212"/>
      <c r="L177" s="212"/>
      <c r="M177" s="212"/>
      <c r="N177" s="212"/>
      <c r="O177" s="212"/>
    </row>
    <row r="178" spans="1:15" s="359" customFormat="1">
      <c r="A178" s="212"/>
      <c r="B178" s="1785"/>
      <c r="C178" s="1785"/>
      <c r="D178" s="1786"/>
      <c r="E178" s="1785"/>
      <c r="F178" s="1781"/>
      <c r="G178" s="1781"/>
      <c r="H178" s="213"/>
      <c r="I178" s="213"/>
      <c r="J178" s="212"/>
      <c r="K178" s="212"/>
      <c r="L178" s="212"/>
      <c r="M178" s="212"/>
      <c r="N178" s="212"/>
      <c r="O178" s="212"/>
    </row>
    <row r="179" spans="1:15" s="359" customFormat="1">
      <c r="A179" s="212"/>
      <c r="B179" s="1785"/>
      <c r="C179" s="1785"/>
      <c r="D179" s="1786"/>
      <c r="E179" s="1785"/>
      <c r="F179" s="1781"/>
      <c r="G179" s="1781"/>
      <c r="H179" s="213"/>
      <c r="I179" s="213"/>
      <c r="J179" s="213"/>
      <c r="K179" s="1784"/>
      <c r="L179" s="1783"/>
      <c r="M179" s="212"/>
      <c r="N179" s="1781"/>
    </row>
    <row r="180" spans="1:15" s="359" customFormat="1">
      <c r="A180" s="212"/>
      <c r="B180" s="1785"/>
      <c r="C180" s="1785"/>
      <c r="D180" s="1786"/>
      <c r="E180" s="1785"/>
      <c r="F180" s="1781"/>
      <c r="G180" s="1781"/>
      <c r="H180" s="213"/>
      <c r="I180" s="213"/>
      <c r="J180" s="213"/>
      <c r="K180" s="1784"/>
      <c r="L180" s="1783"/>
      <c r="M180" s="212"/>
      <c r="N180" s="1781"/>
    </row>
    <row r="181" spans="1:15" s="359" customFormat="1">
      <c r="A181" s="212"/>
      <c r="B181" s="1785"/>
      <c r="C181" s="1785"/>
      <c r="D181" s="1786"/>
      <c r="E181" s="1785"/>
      <c r="F181" s="1781"/>
      <c r="G181" s="1781"/>
      <c r="H181" s="213"/>
      <c r="I181" s="213"/>
      <c r="J181" s="213"/>
      <c r="K181" s="1784"/>
      <c r="L181" s="1783"/>
      <c r="M181" s="212"/>
      <c r="N181" s="1781"/>
    </row>
    <row r="182" spans="1:15" s="359" customFormat="1">
      <c r="A182" s="212"/>
      <c r="B182" s="1785"/>
      <c r="C182" s="1785"/>
      <c r="D182" s="1786"/>
      <c r="E182" s="1785"/>
      <c r="F182" s="1781"/>
      <c r="G182" s="1781"/>
      <c r="H182" s="213"/>
      <c r="I182" s="213"/>
      <c r="J182" s="213"/>
      <c r="K182" s="1784"/>
      <c r="L182" s="1783"/>
      <c r="M182" s="212"/>
      <c r="N182" s="1781"/>
    </row>
    <row r="183" spans="1:15" s="359" customFormat="1">
      <c r="A183" s="212"/>
      <c r="B183" s="1785"/>
      <c r="C183" s="1785"/>
      <c r="D183" s="1786"/>
      <c r="E183" s="1785"/>
      <c r="F183" s="1781"/>
      <c r="G183" s="1781"/>
      <c r="H183" s="213"/>
      <c r="I183" s="213"/>
      <c r="J183" s="213"/>
      <c r="K183" s="1784"/>
      <c r="L183" s="1783"/>
      <c r="M183" s="212"/>
      <c r="N183" s="1781"/>
    </row>
    <row r="184" spans="1:15" s="359" customFormat="1">
      <c r="A184" s="212"/>
      <c r="B184" s="1785"/>
      <c r="C184" s="1785"/>
      <c r="D184" s="1786"/>
      <c r="E184" s="1785"/>
      <c r="F184" s="1781"/>
      <c r="G184" s="1781"/>
      <c r="H184" s="213"/>
      <c r="I184" s="213"/>
      <c r="J184" s="213"/>
      <c r="K184" s="1784"/>
      <c r="L184" s="1783"/>
      <c r="M184" s="212"/>
      <c r="N184" s="1781"/>
    </row>
    <row r="185" spans="1:15" s="359" customFormat="1">
      <c r="A185" s="212"/>
      <c r="B185" s="1785"/>
      <c r="C185" s="1785"/>
      <c r="D185" s="1786"/>
      <c r="E185" s="1785"/>
      <c r="F185" s="1781"/>
      <c r="G185" s="1781"/>
      <c r="H185" s="213"/>
      <c r="I185" s="213"/>
      <c r="J185" s="213"/>
      <c r="K185" s="1784"/>
      <c r="L185" s="1783"/>
      <c r="M185" s="212"/>
      <c r="N185" s="1781"/>
    </row>
    <row r="186" spans="1:15" s="359" customFormat="1">
      <c r="A186" s="212"/>
      <c r="B186" s="1785"/>
      <c r="C186" s="1785"/>
      <c r="D186" s="1786"/>
      <c r="E186" s="1785"/>
      <c r="F186" s="1781"/>
      <c r="G186" s="1781"/>
      <c r="H186" s="213"/>
      <c r="I186" s="213"/>
      <c r="J186" s="213"/>
      <c r="K186" s="1784"/>
      <c r="L186" s="1783"/>
      <c r="M186" s="212"/>
      <c r="N186" s="1781"/>
    </row>
    <row r="187" spans="1:15" s="359" customFormat="1">
      <c r="A187" s="212"/>
      <c r="B187" s="1785"/>
      <c r="C187" s="1785"/>
      <c r="D187" s="1786"/>
      <c r="E187" s="1785"/>
      <c r="F187" s="1781"/>
      <c r="G187" s="1781"/>
      <c r="H187" s="213"/>
      <c r="I187" s="213"/>
      <c r="J187" s="213"/>
      <c r="K187" s="1784"/>
      <c r="L187" s="1783"/>
      <c r="M187" s="212"/>
      <c r="N187" s="1781"/>
    </row>
    <row r="188" spans="1:15" s="359" customFormat="1">
      <c r="A188" s="212"/>
      <c r="B188" s="1785"/>
      <c r="C188" s="1785"/>
      <c r="D188" s="1786"/>
      <c r="E188" s="1785"/>
      <c r="F188" s="1781"/>
      <c r="G188" s="1781"/>
      <c r="H188" s="213"/>
      <c r="I188" s="213"/>
      <c r="J188" s="213"/>
      <c r="K188" s="1784"/>
      <c r="L188" s="1783"/>
      <c r="M188" s="212"/>
      <c r="N188" s="1781"/>
    </row>
    <row r="189" spans="1:15" s="359" customFormat="1">
      <c r="A189" s="212"/>
      <c r="B189" s="1785"/>
      <c r="C189" s="1785"/>
      <c r="D189" s="1786"/>
      <c r="E189" s="1785"/>
      <c r="F189" s="1781"/>
      <c r="G189" s="1781"/>
      <c r="H189" s="213"/>
      <c r="I189" s="213"/>
      <c r="J189" s="213"/>
      <c r="K189" s="1784"/>
      <c r="L189" s="1783"/>
      <c r="M189" s="212"/>
      <c r="N189" s="1781"/>
    </row>
    <row r="190" spans="1:15" s="359" customFormat="1">
      <c r="A190" s="212"/>
      <c r="B190" s="1785"/>
      <c r="C190" s="1785"/>
      <c r="D190" s="1786"/>
      <c r="E190" s="1785"/>
      <c r="F190" s="1781"/>
      <c r="G190" s="1781"/>
      <c r="H190" s="213"/>
      <c r="I190" s="213"/>
      <c r="J190" s="213"/>
      <c r="K190" s="1784"/>
      <c r="L190" s="1783"/>
      <c r="M190" s="212"/>
      <c r="N190" s="1781"/>
    </row>
    <row r="191" spans="1:15" s="359" customFormat="1">
      <c r="A191" s="212"/>
      <c r="B191" s="1785"/>
      <c r="C191" s="1785"/>
      <c r="D191" s="1786"/>
      <c r="E191" s="1785"/>
      <c r="F191" s="1781"/>
      <c r="G191" s="1781"/>
      <c r="H191" s="213"/>
      <c r="I191" s="213"/>
      <c r="J191" s="213"/>
      <c r="K191" s="1784"/>
      <c r="L191" s="1783"/>
      <c r="M191" s="212"/>
      <c r="N191" s="1781"/>
    </row>
    <row r="192" spans="1:15" s="359" customFormat="1">
      <c r="A192" s="212"/>
      <c r="B192" s="1785"/>
      <c r="C192" s="1785"/>
      <c r="D192" s="1786"/>
      <c r="E192" s="1785"/>
      <c r="F192" s="1781"/>
      <c r="G192" s="1781"/>
      <c r="H192" s="213"/>
      <c r="I192" s="213"/>
      <c r="J192" s="213"/>
      <c r="K192" s="1784"/>
      <c r="L192" s="1783"/>
      <c r="M192" s="212"/>
      <c r="N192" s="1781"/>
    </row>
    <row r="193" spans="1:18" s="359" customFormat="1">
      <c r="A193" s="212"/>
      <c r="B193" s="1785"/>
      <c r="C193" s="1785"/>
      <c r="D193" s="1786"/>
      <c r="E193" s="1785"/>
      <c r="F193" s="1781"/>
      <c r="G193" s="1781"/>
      <c r="H193" s="213"/>
      <c r="I193" s="213"/>
      <c r="J193" s="213"/>
      <c r="K193" s="1784"/>
      <c r="L193" s="1783"/>
      <c r="M193" s="212"/>
      <c r="N193" s="1781"/>
    </row>
    <row r="194" spans="1:18" s="359" customFormat="1">
      <c r="A194" s="212"/>
      <c r="B194" s="1785"/>
      <c r="C194" s="1785"/>
      <c r="D194" s="1786"/>
      <c r="E194" s="1785"/>
      <c r="F194" s="1781"/>
      <c r="G194" s="1781"/>
      <c r="H194" s="213"/>
      <c r="I194" s="213"/>
      <c r="J194" s="213"/>
      <c r="K194" s="1784"/>
      <c r="L194" s="1783"/>
      <c r="M194" s="212"/>
      <c r="N194" s="1781"/>
    </row>
    <row r="195" spans="1:18" s="359" customFormat="1">
      <c r="A195" s="212"/>
      <c r="B195" s="1785"/>
      <c r="C195" s="1785"/>
      <c r="D195" s="1786"/>
      <c r="E195" s="1785"/>
      <c r="F195" s="212"/>
      <c r="G195" s="212"/>
      <c r="H195" s="213"/>
      <c r="I195" s="213"/>
      <c r="J195" s="213"/>
      <c r="K195" s="1784"/>
      <c r="L195" s="1783"/>
      <c r="M195" s="212"/>
      <c r="N195" s="1781"/>
    </row>
    <row r="196" spans="1:18" s="1757" customFormat="1">
      <c r="A196" s="212"/>
      <c r="B196" s="1785"/>
      <c r="C196" s="1785"/>
      <c r="D196" s="1786"/>
      <c r="E196" s="1785"/>
      <c r="F196" s="1781"/>
      <c r="G196" s="1781"/>
      <c r="H196" s="213"/>
      <c r="I196" s="213"/>
      <c r="J196" s="213"/>
      <c r="K196" s="1784"/>
      <c r="L196" s="1783"/>
      <c r="M196" s="212"/>
      <c r="N196" s="1781"/>
      <c r="O196" s="359"/>
      <c r="P196" s="359"/>
      <c r="Q196" s="359"/>
      <c r="R196" s="359"/>
    </row>
    <row r="197" spans="1:18" s="1757" customFormat="1">
      <c r="A197" s="212"/>
      <c r="B197" s="1785"/>
      <c r="C197" s="1785"/>
      <c r="D197" s="1786"/>
      <c r="E197" s="1785"/>
      <c r="F197" s="1781"/>
      <c r="G197" s="1781"/>
      <c r="H197" s="213"/>
      <c r="I197" s="213"/>
      <c r="J197" s="213"/>
      <c r="K197" s="1784"/>
      <c r="L197" s="1783"/>
      <c r="M197" s="212"/>
      <c r="N197" s="1781"/>
      <c r="O197" s="359"/>
      <c r="P197" s="359"/>
      <c r="Q197" s="359"/>
      <c r="R197" s="359"/>
    </row>
    <row r="198" spans="1:18" s="1757" customFormat="1">
      <c r="A198" s="212"/>
      <c r="B198" s="1785"/>
      <c r="C198" s="1785"/>
      <c r="D198" s="1786"/>
      <c r="E198" s="1785"/>
      <c r="F198" s="1781"/>
      <c r="G198" s="1781"/>
      <c r="H198" s="213"/>
      <c r="I198" s="213"/>
      <c r="J198" s="213"/>
      <c r="K198" s="1784"/>
      <c r="L198" s="1783"/>
      <c r="M198" s="212"/>
      <c r="N198" s="1781"/>
      <c r="O198" s="359"/>
      <c r="P198" s="359"/>
      <c r="Q198" s="359"/>
      <c r="R198" s="359"/>
    </row>
    <row r="199" spans="1:18" s="1757" customFormat="1">
      <c r="A199" s="212"/>
      <c r="B199" s="1785"/>
      <c r="C199" s="1785"/>
      <c r="D199" s="1786"/>
      <c r="E199" s="1785"/>
      <c r="F199" s="1781"/>
      <c r="G199" s="1781"/>
      <c r="H199" s="213"/>
      <c r="I199" s="213"/>
      <c r="J199" s="213"/>
      <c r="K199" s="1784"/>
      <c r="L199" s="1783"/>
      <c r="M199" s="212"/>
      <c r="N199" s="1781"/>
      <c r="O199" s="359"/>
      <c r="P199" s="359"/>
      <c r="Q199" s="359"/>
      <c r="R199" s="359"/>
    </row>
    <row r="200" spans="1:18" s="1757" customFormat="1">
      <c r="A200" s="212"/>
      <c r="B200" s="1785"/>
      <c r="C200" s="1785"/>
      <c r="D200" s="1786"/>
      <c r="E200" s="1785"/>
      <c r="F200" s="1781"/>
      <c r="G200" s="1781"/>
      <c r="H200" s="213"/>
      <c r="I200" s="213"/>
      <c r="J200" s="213"/>
      <c r="K200" s="1784"/>
      <c r="L200" s="1783"/>
      <c r="M200" s="212"/>
      <c r="N200" s="1781"/>
      <c r="O200" s="359"/>
    </row>
    <row r="201" spans="1:18" s="1757" customFormat="1">
      <c r="A201" s="212"/>
      <c r="B201" s="1785"/>
      <c r="C201" s="1785"/>
      <c r="D201" s="1786"/>
      <c r="E201" s="1785"/>
      <c r="F201" s="1781"/>
      <c r="G201" s="1781"/>
      <c r="H201" s="213"/>
      <c r="I201" s="213"/>
      <c r="J201" s="213"/>
      <c r="K201" s="1784"/>
      <c r="L201" s="1783"/>
      <c r="M201" s="212"/>
      <c r="N201" s="1781"/>
      <c r="O201" s="359"/>
    </row>
    <row r="202" spans="1:18" s="1757" customFormat="1">
      <c r="A202" s="212"/>
      <c r="B202" s="1785"/>
      <c r="C202" s="1785"/>
      <c r="D202" s="1786"/>
      <c r="E202" s="1785"/>
      <c r="F202" s="1781"/>
      <c r="G202" s="1781"/>
      <c r="H202" s="213"/>
      <c r="I202" s="213"/>
      <c r="J202" s="213"/>
      <c r="K202" s="1784"/>
      <c r="L202" s="1783"/>
      <c r="M202" s="212"/>
      <c r="N202" s="1781"/>
      <c r="O202" s="359"/>
    </row>
    <row r="203" spans="1:18" s="1757" customFormat="1">
      <c r="A203" s="212"/>
      <c r="B203" s="1785"/>
      <c r="C203" s="1785"/>
      <c r="D203" s="1786"/>
      <c r="E203" s="1785"/>
      <c r="F203" s="1781"/>
      <c r="G203" s="1781"/>
      <c r="H203" s="213"/>
      <c r="I203" s="213"/>
      <c r="J203" s="213"/>
      <c r="K203" s="1784"/>
      <c r="L203" s="1783"/>
      <c r="M203" s="212"/>
      <c r="N203" s="1781"/>
      <c r="O203" s="359"/>
    </row>
    <row r="204" spans="1:18" s="1757" customFormat="1">
      <c r="A204" s="212"/>
      <c r="B204" s="1785"/>
      <c r="C204" s="1785"/>
      <c r="D204" s="1786"/>
      <c r="E204" s="1785"/>
      <c r="F204" s="1781"/>
      <c r="G204" s="1781"/>
      <c r="H204" s="213"/>
      <c r="I204" s="213"/>
      <c r="J204" s="213"/>
      <c r="K204" s="1784"/>
      <c r="L204" s="1783"/>
      <c r="M204" s="212"/>
      <c r="N204" s="1781"/>
      <c r="O204" s="359"/>
    </row>
    <row r="205" spans="1:18" s="1757" customFormat="1">
      <c r="A205" s="212"/>
      <c r="B205" s="1785"/>
      <c r="C205" s="1785"/>
      <c r="D205" s="1786"/>
      <c r="E205" s="1785"/>
      <c r="F205" s="212"/>
      <c r="G205" s="212"/>
      <c r="H205" s="213"/>
      <c r="I205" s="213"/>
      <c r="J205" s="213"/>
      <c r="K205" s="1784"/>
      <c r="L205" s="1783"/>
      <c r="M205" s="212"/>
      <c r="N205" s="1781"/>
      <c r="O205" s="359"/>
    </row>
    <row r="206" spans="1:18" s="1757" customFormat="1">
      <c r="A206" s="212"/>
      <c r="B206" s="1785"/>
      <c r="C206" s="1785"/>
      <c r="D206" s="1786"/>
      <c r="E206" s="1785"/>
      <c r="F206" s="1781"/>
      <c r="G206" s="1781"/>
      <c r="H206" s="213"/>
      <c r="I206" s="213"/>
      <c r="J206" s="213"/>
      <c r="K206" s="1784"/>
      <c r="L206" s="1783"/>
      <c r="M206" s="212"/>
      <c r="N206" s="1781"/>
      <c r="O206" s="359"/>
    </row>
    <row r="207" spans="1:18">
      <c r="A207" s="212"/>
      <c r="B207" s="1785"/>
      <c r="C207" s="1785"/>
      <c r="D207" s="1786"/>
      <c r="E207" s="1785"/>
      <c r="F207" s="1781"/>
      <c r="G207" s="1781"/>
      <c r="H207" s="213"/>
      <c r="I207" s="213"/>
      <c r="J207" s="213"/>
      <c r="K207" s="1784"/>
      <c r="L207" s="1783"/>
      <c r="M207" s="212"/>
      <c r="N207" s="1781"/>
      <c r="O207" s="359"/>
    </row>
    <row r="208" spans="1:18" s="1757" customFormat="1">
      <c r="A208" s="212"/>
      <c r="B208" s="1785"/>
      <c r="C208" s="1785"/>
      <c r="D208" s="1786"/>
      <c r="E208" s="1785"/>
      <c r="F208" s="1781"/>
      <c r="G208" s="1781"/>
      <c r="H208" s="213"/>
      <c r="I208" s="213"/>
      <c r="J208" s="213"/>
      <c r="K208" s="1784"/>
      <c r="L208" s="1783"/>
      <c r="M208" s="212"/>
      <c r="N208" s="1781"/>
      <c r="O208" s="359"/>
    </row>
    <row r="209" spans="1:15" s="1757" customFormat="1">
      <c r="A209" s="212"/>
      <c r="B209" s="1785"/>
      <c r="C209" s="1785"/>
      <c r="D209" s="1786"/>
      <c r="E209" s="1785"/>
      <c r="F209" s="1781"/>
      <c r="G209" s="1781"/>
      <c r="H209" s="213"/>
      <c r="I209" s="213"/>
      <c r="J209" s="213"/>
      <c r="K209" s="1784"/>
      <c r="L209" s="1783"/>
      <c r="M209" s="212"/>
      <c r="N209" s="1781"/>
      <c r="O209" s="359"/>
    </row>
    <row r="210" spans="1:15" s="1757" customFormat="1">
      <c r="A210" s="212"/>
      <c r="B210" s="1785"/>
      <c r="C210" s="1785"/>
      <c r="D210" s="1786"/>
      <c r="E210" s="1785"/>
      <c r="F210" s="1781"/>
      <c r="G210" s="1781"/>
      <c r="H210" s="213"/>
      <c r="I210" s="213"/>
      <c r="J210" s="213"/>
      <c r="K210" s="1784"/>
      <c r="L210" s="1783"/>
      <c r="M210" s="212"/>
      <c r="N210" s="1781"/>
      <c r="O210" s="359"/>
    </row>
    <row r="211" spans="1:15" s="1757" customFormat="1">
      <c r="A211" s="212"/>
      <c r="B211" s="1785"/>
      <c r="C211" s="1785"/>
      <c r="D211" s="1786"/>
      <c r="E211" s="1785"/>
      <c r="F211" s="1781"/>
      <c r="G211" s="1781"/>
      <c r="H211" s="213"/>
      <c r="I211" s="213"/>
      <c r="J211" s="213"/>
      <c r="K211" s="1784"/>
      <c r="L211" s="1783"/>
      <c r="M211" s="212"/>
      <c r="N211" s="1781"/>
      <c r="O211" s="359"/>
    </row>
    <row r="212" spans="1:15" s="1757" customFormat="1">
      <c r="A212" s="212"/>
      <c r="B212" s="1785"/>
      <c r="C212" s="1785"/>
      <c r="D212" s="1786"/>
      <c r="E212" s="1785"/>
      <c r="F212" s="1781"/>
      <c r="G212" s="1781"/>
      <c r="H212" s="213"/>
      <c r="I212" s="213"/>
      <c r="J212" s="213"/>
      <c r="K212" s="1784"/>
      <c r="L212" s="1783"/>
      <c r="M212" s="212"/>
      <c r="N212" s="1781"/>
      <c r="O212" s="359"/>
    </row>
    <row r="213" spans="1:15" s="1757" customFormat="1">
      <c r="A213" s="212"/>
      <c r="B213" s="1785"/>
      <c r="C213" s="1785"/>
      <c r="D213" s="1786"/>
      <c r="E213" s="1785"/>
      <c r="F213" s="1781"/>
      <c r="G213" s="1781"/>
      <c r="H213" s="213"/>
      <c r="I213" s="213"/>
      <c r="J213" s="213"/>
      <c r="K213" s="1784"/>
      <c r="L213" s="1783"/>
      <c r="M213" s="212"/>
      <c r="N213" s="1781"/>
      <c r="O213" s="359"/>
    </row>
    <row r="214" spans="1:15" s="1757" customFormat="1">
      <c r="A214" s="212"/>
      <c r="B214" s="1785"/>
      <c r="C214" s="1785"/>
      <c r="D214" s="1786"/>
      <c r="E214" s="1785"/>
      <c r="F214" s="1781"/>
      <c r="G214" s="1781"/>
      <c r="H214" s="213"/>
      <c r="I214" s="213"/>
      <c r="J214" s="213"/>
      <c r="K214" s="1784"/>
      <c r="L214" s="1783"/>
      <c r="M214" s="212"/>
      <c r="N214" s="1781"/>
      <c r="O214" s="359"/>
    </row>
    <row r="215" spans="1:15" s="1757" customFormat="1">
      <c r="A215" s="212"/>
      <c r="B215" s="1785"/>
      <c r="C215" s="1785"/>
      <c r="D215" s="1786"/>
      <c r="E215" s="1785"/>
      <c r="F215" s="1781"/>
      <c r="G215" s="1781"/>
      <c r="H215" s="213"/>
      <c r="I215" s="213"/>
      <c r="J215" s="213"/>
      <c r="K215" s="1784"/>
      <c r="L215" s="1783"/>
      <c r="M215" s="212"/>
      <c r="N215" s="1781"/>
      <c r="O215" s="359"/>
    </row>
    <row r="216" spans="1:15" s="1757" customFormat="1">
      <c r="A216" s="212"/>
      <c r="B216" s="1785"/>
      <c r="C216" s="1785"/>
      <c r="D216" s="1786"/>
      <c r="E216" s="1785"/>
      <c r="F216" s="1781"/>
      <c r="G216" s="1781"/>
      <c r="H216" s="213"/>
      <c r="I216" s="213"/>
      <c r="J216" s="213"/>
      <c r="K216" s="1784"/>
      <c r="L216" s="1783"/>
      <c r="M216" s="212"/>
      <c r="N216" s="1781"/>
      <c r="O216" s="359"/>
    </row>
    <row r="217" spans="1:15" s="1757" customFormat="1">
      <c r="A217" s="212"/>
      <c r="B217" s="1785"/>
      <c r="C217" s="1785"/>
      <c r="D217" s="1786"/>
      <c r="E217" s="1785"/>
      <c r="F217" s="1781"/>
      <c r="G217" s="1781"/>
      <c r="H217" s="213"/>
      <c r="I217" s="213"/>
      <c r="J217" s="213"/>
      <c r="K217" s="1784"/>
      <c r="L217" s="1783"/>
      <c r="M217" s="212"/>
      <c r="N217" s="1781"/>
      <c r="O217" s="359"/>
    </row>
    <row r="218" spans="1:15" s="1757" customFormat="1">
      <c r="A218" s="212"/>
      <c r="B218" s="1785"/>
      <c r="C218" s="1785"/>
      <c r="D218" s="1786"/>
      <c r="E218" s="1785"/>
      <c r="F218" s="1781"/>
      <c r="G218" s="1781"/>
      <c r="H218" s="213"/>
      <c r="I218" s="213"/>
      <c r="J218" s="213"/>
      <c r="K218" s="1784"/>
      <c r="L218" s="1783"/>
      <c r="M218" s="212"/>
      <c r="N218" s="1781"/>
      <c r="O218" s="359"/>
    </row>
    <row r="219" spans="1:15" s="1757" customFormat="1">
      <c r="A219" s="212"/>
      <c r="B219" s="1785"/>
      <c r="C219" s="1785"/>
      <c r="D219" s="1786"/>
      <c r="E219" s="1785"/>
      <c r="F219" s="1781"/>
      <c r="G219" s="1781"/>
      <c r="H219" s="213"/>
      <c r="I219" s="213"/>
      <c r="J219" s="213"/>
      <c r="K219" s="1784"/>
      <c r="L219" s="1783"/>
      <c r="M219" s="212"/>
      <c r="N219" s="1781"/>
      <c r="O219" s="359"/>
    </row>
    <row r="220" spans="1:15" s="1757" customFormat="1">
      <c r="A220" s="212"/>
      <c r="B220" s="1785"/>
      <c r="C220" s="1785"/>
      <c r="D220" s="1786"/>
      <c r="E220" s="1785"/>
      <c r="F220" s="1781"/>
      <c r="G220" s="1781"/>
      <c r="H220" s="213"/>
      <c r="I220" s="213"/>
      <c r="J220" s="213"/>
      <c r="K220" s="1784"/>
      <c r="L220" s="1783"/>
      <c r="M220" s="212"/>
      <c r="N220" s="1781"/>
      <c r="O220" s="359"/>
    </row>
    <row r="221" spans="1:15" s="1757" customFormat="1">
      <c r="A221" s="212"/>
      <c r="B221" s="1785"/>
      <c r="C221" s="1785"/>
      <c r="D221" s="1786"/>
      <c r="E221" s="1785"/>
      <c r="F221" s="1781"/>
      <c r="G221" s="1781"/>
      <c r="H221" s="213"/>
      <c r="I221" s="213"/>
      <c r="J221" s="213"/>
      <c r="K221" s="1784"/>
      <c r="L221" s="1783"/>
      <c r="M221" s="212"/>
      <c r="N221" s="1781"/>
      <c r="O221" s="359"/>
    </row>
    <row r="222" spans="1:15" s="1757" customFormat="1">
      <c r="A222" s="212"/>
      <c r="B222" s="1785"/>
      <c r="C222" s="1785"/>
      <c r="D222" s="1786"/>
      <c r="E222" s="1785"/>
      <c r="F222" s="1781"/>
      <c r="G222" s="1781"/>
      <c r="H222" s="213"/>
      <c r="I222" s="213"/>
      <c r="J222" s="213"/>
      <c r="K222" s="1784"/>
      <c r="L222" s="1783"/>
      <c r="M222" s="212"/>
      <c r="N222" s="1781"/>
      <c r="O222" s="359"/>
    </row>
    <row r="223" spans="1:15" s="1757" customFormat="1">
      <c r="A223" s="212"/>
      <c r="B223" s="1785"/>
      <c r="C223" s="1785"/>
      <c r="D223" s="1786"/>
      <c r="E223" s="1785"/>
      <c r="F223" s="1781"/>
      <c r="G223" s="1781"/>
      <c r="H223" s="213"/>
      <c r="I223" s="213"/>
      <c r="J223" s="213"/>
      <c r="K223" s="1784"/>
      <c r="L223" s="1783"/>
      <c r="M223" s="212"/>
      <c r="N223" s="1781"/>
      <c r="O223" s="359"/>
    </row>
    <row r="224" spans="1:15" s="1757" customFormat="1">
      <c r="A224" s="212"/>
      <c r="B224" s="1785"/>
      <c r="C224" s="1785"/>
      <c r="D224" s="1786"/>
      <c r="E224" s="1785"/>
      <c r="F224" s="1781"/>
      <c r="G224" s="1781"/>
      <c r="H224" s="213"/>
      <c r="I224" s="213"/>
      <c r="J224" s="213"/>
      <c r="K224" s="1784"/>
      <c r="L224" s="1783"/>
      <c r="M224" s="212"/>
      <c r="N224" s="1781"/>
      <c r="O224" s="359"/>
    </row>
    <row r="225" spans="1:15" s="1757" customFormat="1">
      <c r="A225" s="212"/>
      <c r="B225" s="1785"/>
      <c r="C225" s="1785"/>
      <c r="D225" s="1786"/>
      <c r="E225" s="1785"/>
      <c r="F225" s="1781"/>
      <c r="G225" s="1781"/>
      <c r="H225" s="213"/>
      <c r="I225" s="213"/>
      <c r="J225" s="213"/>
      <c r="K225" s="1784"/>
      <c r="L225" s="1783"/>
      <c r="M225" s="212"/>
      <c r="N225" s="1781"/>
      <c r="O225" s="359"/>
    </row>
    <row r="226" spans="1:15" s="1757" customFormat="1">
      <c r="A226" s="212"/>
      <c r="B226" s="1785"/>
      <c r="C226" s="1785"/>
      <c r="D226" s="1786"/>
      <c r="E226" s="1785"/>
      <c r="F226" s="1781"/>
      <c r="G226" s="1781"/>
      <c r="H226" s="213"/>
      <c r="I226" s="213"/>
      <c r="J226" s="213"/>
      <c r="K226" s="1784"/>
      <c r="L226" s="1783"/>
      <c r="M226" s="212"/>
      <c r="N226" s="1781"/>
      <c r="O226" s="359"/>
    </row>
    <row r="227" spans="1:15" s="1757" customFormat="1">
      <c r="A227" s="212"/>
      <c r="B227" s="1785"/>
      <c r="C227" s="1785"/>
      <c r="D227" s="1786"/>
      <c r="E227" s="1785"/>
      <c r="F227" s="1781"/>
      <c r="G227" s="1781"/>
      <c r="H227" s="213"/>
      <c r="I227" s="213"/>
      <c r="J227" s="213"/>
      <c r="K227" s="1784"/>
      <c r="L227" s="1783"/>
      <c r="M227" s="212"/>
      <c r="N227" s="1781"/>
      <c r="O227" s="359"/>
    </row>
    <row r="228" spans="1:15" s="1757" customFormat="1">
      <c r="A228" s="212"/>
      <c r="B228" s="1785"/>
      <c r="C228" s="1785"/>
      <c r="D228" s="1786"/>
      <c r="E228" s="1785"/>
      <c r="F228" s="1781"/>
      <c r="G228" s="1781"/>
      <c r="H228" s="213"/>
      <c r="I228" s="213"/>
      <c r="J228" s="213"/>
      <c r="K228" s="1784"/>
      <c r="L228" s="1783"/>
      <c r="M228" s="212"/>
      <c r="N228" s="1781"/>
      <c r="O228" s="359"/>
    </row>
    <row r="229" spans="1:15" s="1757" customFormat="1">
      <c r="A229" s="212"/>
      <c r="B229" s="1785"/>
      <c r="C229" s="1785"/>
      <c r="D229" s="1786"/>
      <c r="E229" s="1785"/>
      <c r="F229" s="1781"/>
      <c r="G229" s="1781"/>
      <c r="H229" s="213"/>
      <c r="I229" s="213"/>
      <c r="J229" s="213"/>
      <c r="K229" s="1784"/>
      <c r="L229" s="1783"/>
      <c r="M229" s="212"/>
      <c r="N229" s="1781"/>
      <c r="O229" s="359"/>
    </row>
    <row r="230" spans="1:15">
      <c r="A230" s="212"/>
      <c r="B230" s="1785"/>
      <c r="C230" s="1785"/>
      <c r="D230" s="1786"/>
      <c r="E230" s="1785"/>
      <c r="F230" s="212"/>
      <c r="G230" s="212"/>
      <c r="H230" s="213"/>
      <c r="I230" s="213"/>
      <c r="J230" s="213"/>
      <c r="K230" s="1784"/>
      <c r="L230" s="1783"/>
      <c r="M230" s="213"/>
    </row>
    <row r="231" spans="1:15">
      <c r="A231" s="212"/>
      <c r="B231" s="1785"/>
      <c r="C231" s="1785"/>
      <c r="D231" s="1786"/>
      <c r="E231" s="1785"/>
      <c r="F231" s="1781"/>
      <c r="G231" s="1781"/>
      <c r="H231" s="213"/>
      <c r="I231" s="213"/>
      <c r="J231" s="213"/>
      <c r="K231" s="1784"/>
      <c r="L231" s="1783"/>
      <c r="M231" s="213"/>
    </row>
    <row r="232" spans="1:15">
      <c r="A232" s="212"/>
      <c r="B232" s="1785"/>
      <c r="C232" s="1785"/>
      <c r="D232" s="1786"/>
      <c r="E232" s="1785"/>
      <c r="F232" s="1781"/>
      <c r="G232" s="1781"/>
      <c r="H232" s="213"/>
      <c r="I232" s="213"/>
      <c r="J232" s="213"/>
      <c r="K232" s="1784"/>
      <c r="L232" s="1783"/>
      <c r="M232" s="213"/>
    </row>
    <row r="233" spans="1:15">
      <c r="A233" s="212"/>
      <c r="B233" s="1785"/>
      <c r="C233" s="1785"/>
      <c r="D233" s="1786"/>
      <c r="E233" s="1785"/>
      <c r="F233" s="1781"/>
      <c r="G233" s="1781"/>
      <c r="H233" s="213"/>
      <c r="I233" s="213"/>
      <c r="J233" s="213"/>
      <c r="K233" s="1784"/>
      <c r="L233" s="1783"/>
      <c r="M233" s="213"/>
    </row>
    <row r="234" spans="1:15">
      <c r="A234" s="212"/>
      <c r="B234" s="1785"/>
      <c r="C234" s="1785"/>
      <c r="D234" s="1786"/>
      <c r="E234" s="1785"/>
      <c r="F234" s="1781"/>
      <c r="G234" s="1781"/>
      <c r="H234" s="213"/>
      <c r="I234" s="213"/>
      <c r="J234" s="213"/>
      <c r="K234" s="1784"/>
      <c r="L234" s="1783"/>
      <c r="M234" s="213"/>
    </row>
    <row r="235" spans="1:15">
      <c r="A235" s="212"/>
      <c r="B235" s="1785"/>
      <c r="C235" s="1785"/>
      <c r="D235" s="1786"/>
      <c r="E235" s="1785"/>
      <c r="F235" s="1781"/>
      <c r="G235" s="1781"/>
      <c r="H235" s="213"/>
      <c r="I235" s="213"/>
      <c r="J235" s="213"/>
      <c r="K235" s="1784"/>
      <c r="L235" s="1783"/>
      <c r="M235" s="213"/>
    </row>
    <row r="236" spans="1:15">
      <c r="A236" s="212"/>
      <c r="B236" s="1785"/>
      <c r="C236" s="1785"/>
      <c r="D236" s="1786"/>
      <c r="E236" s="1785"/>
      <c r="F236" s="1781"/>
      <c r="G236" s="1781"/>
      <c r="H236" s="213"/>
      <c r="I236" s="213"/>
      <c r="J236" s="213"/>
      <c r="K236" s="1784"/>
      <c r="L236" s="1783"/>
      <c r="M236" s="213"/>
    </row>
    <row r="237" spans="1:15">
      <c r="A237" s="212"/>
      <c r="B237" s="1785"/>
      <c r="C237" s="1785"/>
      <c r="D237" s="1786"/>
      <c r="E237" s="1785"/>
      <c r="F237" s="1781"/>
      <c r="G237" s="1781"/>
      <c r="H237" s="213"/>
      <c r="I237" s="213"/>
      <c r="J237" s="213"/>
      <c r="K237" s="1784"/>
      <c r="L237" s="1783"/>
      <c r="M237" s="213"/>
    </row>
    <row r="238" spans="1:15">
      <c r="A238" s="212"/>
      <c r="B238" s="1785"/>
      <c r="C238" s="1785"/>
      <c r="D238" s="1786"/>
      <c r="E238" s="1785"/>
      <c r="F238" s="1781"/>
      <c r="G238" s="1781"/>
      <c r="H238" s="213"/>
      <c r="I238" s="213"/>
      <c r="J238" s="213"/>
      <c r="K238" s="1784"/>
      <c r="L238" s="1783"/>
      <c r="M238" s="213"/>
    </row>
    <row r="239" spans="1:15">
      <c r="A239" s="212"/>
      <c r="B239" s="1785"/>
      <c r="C239" s="1785"/>
      <c r="D239" s="1786"/>
      <c r="E239" s="1785"/>
      <c r="F239" s="212"/>
      <c r="G239" s="212"/>
      <c r="H239" s="213"/>
      <c r="I239" s="213"/>
      <c r="J239" s="213"/>
      <c r="K239" s="1784"/>
      <c r="L239" s="1783"/>
      <c r="M239" s="213"/>
    </row>
    <row r="240" spans="1:15">
      <c r="A240" s="212"/>
      <c r="B240" s="1785"/>
      <c r="C240" s="1785"/>
      <c r="D240" s="1786"/>
      <c r="E240" s="1785"/>
      <c r="F240" s="1781"/>
      <c r="G240" s="1781"/>
      <c r="H240" s="213"/>
      <c r="I240" s="213"/>
      <c r="J240" s="213"/>
      <c r="K240" s="1784"/>
      <c r="L240" s="1783"/>
      <c r="M240" s="213"/>
    </row>
    <row r="241" spans="1:13">
      <c r="A241" s="212"/>
      <c r="B241" s="1785"/>
      <c r="C241" s="1785"/>
      <c r="D241" s="1786"/>
      <c r="E241" s="1785"/>
      <c r="F241" s="1781"/>
      <c r="G241" s="1781"/>
      <c r="H241" s="213"/>
      <c r="I241" s="213"/>
      <c r="J241" s="213"/>
      <c r="K241" s="1784"/>
      <c r="L241" s="1783"/>
      <c r="M241" s="213"/>
    </row>
    <row r="242" spans="1:13">
      <c r="A242" s="1788"/>
      <c r="B242" s="1788"/>
      <c r="C242" s="1788"/>
      <c r="D242" s="1789"/>
      <c r="E242" s="1788"/>
      <c r="F242" s="1790"/>
      <c r="G242" s="1790"/>
      <c r="H242" s="213"/>
      <c r="I242" s="213"/>
      <c r="J242" s="213"/>
      <c r="K242" s="1784"/>
      <c r="L242" s="1783"/>
      <c r="M242" s="213"/>
    </row>
    <row r="243" spans="1:13">
      <c r="A243" s="1788"/>
      <c r="B243" s="1788"/>
      <c r="C243" s="1788"/>
      <c r="D243" s="1789"/>
      <c r="E243" s="1788"/>
      <c r="F243" s="1790"/>
      <c r="G243" s="1790"/>
      <c r="H243" s="213"/>
      <c r="I243" s="213"/>
      <c r="J243" s="213"/>
      <c r="K243" s="1784"/>
      <c r="L243" s="1783"/>
      <c r="M243" s="213"/>
    </row>
    <row r="244" spans="1:13">
      <c r="A244" s="1788"/>
      <c r="B244" s="1788"/>
      <c r="C244" s="1788"/>
      <c r="D244" s="1789"/>
      <c r="E244" s="1788"/>
      <c r="F244" s="1790"/>
      <c r="G244" s="1790"/>
      <c r="H244" s="213"/>
      <c r="I244" s="213"/>
      <c r="J244" s="213"/>
      <c r="K244" s="1784"/>
      <c r="L244" s="1783"/>
      <c r="M244" s="213"/>
    </row>
    <row r="245" spans="1:13">
      <c r="A245" s="1788"/>
      <c r="B245" s="1788"/>
      <c r="C245" s="1788"/>
      <c r="D245" s="1789"/>
      <c r="E245" s="1788"/>
      <c r="F245" s="1790"/>
      <c r="G245" s="1790"/>
      <c r="H245" s="213"/>
      <c r="I245" s="213"/>
      <c r="J245" s="213"/>
      <c r="K245" s="1784"/>
      <c r="L245" s="1783"/>
      <c r="M245" s="213"/>
    </row>
    <row r="246" spans="1:13">
      <c r="A246" s="1788"/>
      <c r="B246" s="1788"/>
      <c r="C246" s="1788"/>
      <c r="D246" s="1789"/>
      <c r="E246" s="1788"/>
      <c r="F246" s="1790"/>
      <c r="G246" s="1790"/>
      <c r="H246" s="213"/>
      <c r="I246" s="213"/>
      <c r="J246" s="213"/>
      <c r="K246" s="1784"/>
      <c r="L246" s="1783"/>
      <c r="M246" s="213"/>
    </row>
    <row r="247" spans="1:13">
      <c r="A247" s="1788"/>
      <c r="B247" s="1788"/>
      <c r="C247" s="1788"/>
      <c r="D247" s="1789"/>
      <c r="E247" s="1788"/>
      <c r="F247" s="1790"/>
      <c r="G247" s="1790"/>
      <c r="H247" s="213"/>
      <c r="I247" s="213"/>
      <c r="J247" s="213"/>
      <c r="K247" s="1784"/>
      <c r="L247" s="1783"/>
      <c r="M247" s="213"/>
    </row>
    <row r="248" spans="1:13">
      <c r="A248" s="1788"/>
      <c r="B248" s="1788"/>
      <c r="C248" s="1788"/>
      <c r="D248" s="1789"/>
      <c r="E248" s="1788"/>
      <c r="F248" s="1790"/>
      <c r="G248" s="1790"/>
      <c r="H248" s="213"/>
      <c r="I248" s="213"/>
      <c r="J248" s="213"/>
      <c r="K248" s="1784"/>
      <c r="L248" s="1783"/>
      <c r="M248" s="213"/>
    </row>
    <row r="249" spans="1:13">
      <c r="A249" s="1788"/>
      <c r="B249" s="1788"/>
      <c r="C249" s="1788"/>
      <c r="D249" s="1789"/>
      <c r="E249" s="1788"/>
      <c r="F249" s="1790"/>
      <c r="G249" s="1790"/>
      <c r="H249" s="213"/>
      <c r="I249" s="213"/>
      <c r="J249" s="213"/>
      <c r="K249" s="1784"/>
      <c r="L249" s="1783"/>
      <c r="M249" s="213"/>
    </row>
    <row r="250" spans="1:13">
      <c r="A250" s="1788"/>
      <c r="B250" s="1788"/>
      <c r="C250" s="1788"/>
      <c r="D250" s="1789"/>
      <c r="E250" s="1788"/>
      <c r="F250" s="1790"/>
      <c r="G250" s="1790"/>
      <c r="H250" s="213"/>
      <c r="I250" s="213"/>
      <c r="J250" s="213"/>
      <c r="K250" s="1784"/>
      <c r="L250" s="1783"/>
    </row>
    <row r="251" spans="1:13">
      <c r="A251" s="1788"/>
      <c r="B251" s="1788"/>
      <c r="C251" s="1788"/>
      <c r="D251" s="1789"/>
      <c r="E251" s="1788"/>
      <c r="F251" s="1790"/>
      <c r="G251" s="1790"/>
      <c r="H251" s="213"/>
      <c r="I251" s="213"/>
      <c r="J251" s="213"/>
      <c r="K251" s="1784"/>
      <c r="L251" s="1783"/>
      <c r="M251" s="213"/>
    </row>
    <row r="252" spans="1:13">
      <c r="A252" s="1788"/>
      <c r="B252" s="1788"/>
      <c r="C252" s="1788"/>
      <c r="D252" s="1789"/>
      <c r="E252" s="1788"/>
      <c r="F252" s="1790"/>
      <c r="G252" s="1790"/>
      <c r="H252" s="213"/>
      <c r="I252" s="213"/>
      <c r="J252" s="213"/>
      <c r="K252" s="1784"/>
      <c r="L252" s="1783"/>
      <c r="M252" s="213"/>
    </row>
    <row r="253" spans="1:13">
      <c r="A253" s="1788"/>
      <c r="B253" s="1788"/>
      <c r="C253" s="1788"/>
      <c r="D253" s="1789"/>
      <c r="E253" s="1788"/>
      <c r="F253" s="1790"/>
      <c r="G253" s="1790"/>
      <c r="H253" s="213"/>
      <c r="I253" s="213"/>
      <c r="J253" s="213"/>
      <c r="K253" s="1784"/>
      <c r="L253" s="1783"/>
    </row>
    <row r="254" spans="1:13">
      <c r="A254" s="1788"/>
      <c r="B254" s="1788"/>
      <c r="C254" s="1788"/>
      <c r="D254" s="1789"/>
      <c r="E254" s="1788"/>
      <c r="F254" s="1790"/>
      <c r="G254" s="1790"/>
      <c r="H254" s="213"/>
      <c r="I254" s="213"/>
      <c r="J254" s="213"/>
      <c r="K254" s="1784"/>
      <c r="L254" s="1783"/>
    </row>
    <row r="255" spans="1:13">
      <c r="A255" s="1788"/>
      <c r="B255" s="1788"/>
      <c r="C255" s="1788"/>
      <c r="D255" s="1789"/>
      <c r="E255" s="1788"/>
      <c r="F255" s="1790"/>
      <c r="G255" s="1790"/>
      <c r="H255" s="213"/>
      <c r="I255" s="213"/>
      <c r="J255" s="213"/>
      <c r="K255" s="1784"/>
      <c r="L255" s="1783"/>
    </row>
    <row r="256" spans="1:13">
      <c r="A256" s="1788"/>
      <c r="B256" s="1788"/>
      <c r="C256" s="1788"/>
      <c r="D256" s="1789"/>
      <c r="E256" s="1788"/>
      <c r="F256" s="1790"/>
      <c r="G256" s="1790"/>
      <c r="H256" s="213"/>
      <c r="I256" s="213"/>
      <c r="J256" s="213"/>
      <c r="K256" s="1784"/>
      <c r="L256" s="1783"/>
    </row>
    <row r="257" spans="1:12">
      <c r="A257" s="1788"/>
      <c r="B257" s="1788"/>
      <c r="C257" s="1788"/>
      <c r="D257" s="1789"/>
      <c r="E257" s="1788"/>
      <c r="F257" s="1788"/>
      <c r="G257" s="1788"/>
      <c r="H257" s="213"/>
      <c r="I257" s="213"/>
      <c r="J257" s="213"/>
      <c r="K257" s="1784"/>
      <c r="L257" s="1783"/>
    </row>
    <row r="258" spans="1:12">
      <c r="A258" s="1788"/>
      <c r="B258" s="1788"/>
      <c r="C258" s="1788"/>
      <c r="D258" s="1789"/>
      <c r="E258" s="1788"/>
      <c r="F258" s="1788"/>
      <c r="G258" s="1788"/>
      <c r="H258" s="213"/>
      <c r="I258" s="213"/>
      <c r="J258" s="213"/>
      <c r="K258" s="1784"/>
      <c r="L258" s="1783"/>
    </row>
    <row r="259" spans="1:12" s="1757" customFormat="1">
      <c r="A259" s="1788"/>
      <c r="B259" s="1788"/>
      <c r="C259" s="1788"/>
      <c r="D259" s="1789"/>
      <c r="E259" s="1788"/>
      <c r="F259" s="1788"/>
      <c r="G259" s="1788"/>
      <c r="H259" s="213"/>
      <c r="I259" s="213"/>
      <c r="J259" s="213"/>
      <c r="K259" s="1784"/>
      <c r="L259" s="1783"/>
    </row>
    <row r="260" spans="1:12" s="1757" customFormat="1">
      <c r="B260" s="1788"/>
      <c r="C260" s="1788"/>
      <c r="D260" s="1789"/>
      <c r="E260" s="1788"/>
      <c r="F260" s="1788"/>
      <c r="G260" s="1788"/>
      <c r="H260" s="213"/>
      <c r="I260" s="213"/>
      <c r="J260" s="213"/>
      <c r="K260" s="1784"/>
      <c r="L260" s="1783"/>
    </row>
    <row r="261" spans="1:12" s="1757" customFormat="1">
      <c r="B261" s="1788"/>
      <c r="C261" s="1788"/>
      <c r="D261" s="1789"/>
      <c r="E261" s="1788"/>
      <c r="F261" s="1788"/>
      <c r="G261" s="1788"/>
      <c r="H261" s="213"/>
      <c r="I261" s="213"/>
      <c r="J261" s="213"/>
      <c r="K261" s="1784"/>
      <c r="L261" s="1783"/>
    </row>
    <row r="262" spans="1:12" s="1757" customFormat="1">
      <c r="B262" s="1773"/>
      <c r="C262" s="1773"/>
      <c r="D262" s="1791"/>
      <c r="E262" s="1773"/>
      <c r="H262" s="213"/>
      <c r="I262" s="213"/>
      <c r="J262" s="213"/>
      <c r="K262" s="1784"/>
      <c r="L262" s="1783"/>
    </row>
    <row r="263" spans="1:12" s="1757" customFormat="1">
      <c r="B263" s="1773"/>
      <c r="C263" s="1773"/>
      <c r="D263" s="1791"/>
      <c r="E263" s="1773"/>
      <c r="H263" s="213"/>
      <c r="I263" s="213"/>
      <c r="J263" s="213"/>
      <c r="K263" s="1784"/>
      <c r="L263" s="1783"/>
    </row>
    <row r="264" spans="1:12" s="1757" customFormat="1">
      <c r="B264" s="1773"/>
      <c r="C264" s="1773"/>
      <c r="D264" s="1791"/>
      <c r="E264" s="1773"/>
      <c r="H264" s="213"/>
      <c r="I264" s="213"/>
      <c r="J264" s="213"/>
      <c r="K264" s="1784"/>
      <c r="L264" s="1783"/>
    </row>
    <row r="265" spans="1:12" s="1757" customFormat="1">
      <c r="B265" s="1773"/>
      <c r="C265" s="1773"/>
      <c r="D265" s="1791"/>
      <c r="E265" s="1773"/>
      <c r="H265" s="213"/>
      <c r="I265" s="213"/>
      <c r="J265" s="213"/>
      <c r="K265" s="1784"/>
      <c r="L265" s="1783"/>
    </row>
    <row r="266" spans="1:12" s="1757" customFormat="1">
      <c r="B266" s="1773"/>
      <c r="C266" s="1773"/>
      <c r="D266" s="1791"/>
      <c r="E266" s="1773"/>
      <c r="H266" s="213"/>
      <c r="I266" s="213"/>
      <c r="J266" s="213"/>
      <c r="K266" s="1784"/>
      <c r="L266" s="1783"/>
    </row>
    <row r="267" spans="1:12" s="1757" customFormat="1">
      <c r="B267" s="1773"/>
      <c r="C267" s="1773"/>
      <c r="D267" s="1791"/>
      <c r="E267" s="1773"/>
      <c r="H267" s="213"/>
      <c r="I267" s="213"/>
      <c r="J267" s="213"/>
      <c r="K267" s="1784"/>
      <c r="L267" s="1783"/>
    </row>
    <row r="268" spans="1:12" s="1757" customFormat="1">
      <c r="B268" s="1773"/>
      <c r="C268" s="1773"/>
      <c r="D268" s="1791"/>
      <c r="E268" s="1773"/>
      <c r="H268" s="213"/>
      <c r="I268" s="213"/>
      <c r="J268" s="213"/>
      <c r="K268" s="1784"/>
      <c r="L268" s="1783"/>
    </row>
    <row r="269" spans="1:12" s="1757" customFormat="1">
      <c r="B269" s="1773"/>
      <c r="C269" s="1773"/>
      <c r="D269" s="1791"/>
      <c r="E269" s="1773"/>
      <c r="H269" s="213"/>
      <c r="I269" s="213"/>
      <c r="J269" s="213"/>
      <c r="K269" s="1784"/>
      <c r="L269" s="1783"/>
    </row>
    <row r="270" spans="1:12" s="1757" customFormat="1">
      <c r="B270" s="1773"/>
      <c r="C270" s="1773"/>
      <c r="D270" s="1791"/>
      <c r="E270" s="1773"/>
      <c r="H270" s="213"/>
      <c r="I270" s="213"/>
      <c r="J270" s="213"/>
      <c r="K270" s="1784"/>
      <c r="L270" s="1783"/>
    </row>
    <row r="271" spans="1:12" s="1757" customFormat="1">
      <c r="B271" s="1773"/>
      <c r="C271" s="1773"/>
      <c r="D271" s="1791"/>
      <c r="E271" s="1773"/>
      <c r="H271" s="213"/>
      <c r="I271" s="213"/>
      <c r="J271" s="213"/>
      <c r="K271" s="1784"/>
      <c r="L271" s="1783"/>
    </row>
    <row r="272" spans="1:12" s="1757" customFormat="1">
      <c r="B272" s="1773"/>
      <c r="C272" s="1773"/>
      <c r="D272" s="1791"/>
      <c r="E272" s="1773"/>
      <c r="H272" s="213"/>
      <c r="I272" s="213"/>
      <c r="J272" s="213"/>
      <c r="K272" s="1784"/>
      <c r="L272" s="1783"/>
    </row>
    <row r="273" spans="2:12" s="1757" customFormat="1">
      <c r="B273" s="1773"/>
      <c r="C273" s="1773"/>
      <c r="D273" s="1773"/>
      <c r="E273" s="1773"/>
      <c r="H273" s="213"/>
      <c r="I273" s="213"/>
      <c r="J273" s="213"/>
      <c r="K273" s="1784"/>
      <c r="L273" s="1783"/>
    </row>
    <row r="274" spans="2:12" s="1757" customFormat="1">
      <c r="B274" s="1773"/>
      <c r="C274" s="1773"/>
      <c r="D274" s="1791"/>
      <c r="E274" s="1773"/>
      <c r="H274" s="213"/>
      <c r="I274" s="213"/>
      <c r="J274" s="213"/>
      <c r="K274" s="1784"/>
      <c r="L274" s="1783"/>
    </row>
    <row r="275" spans="2:12" s="1757" customFormat="1">
      <c r="B275" s="1773"/>
      <c r="C275" s="1773"/>
      <c r="D275" s="1791"/>
      <c r="E275" s="1773"/>
      <c r="H275" s="213"/>
      <c r="I275" s="213"/>
      <c r="J275" s="213"/>
      <c r="K275" s="1784"/>
      <c r="L275" s="1783"/>
    </row>
    <row r="276" spans="2:12" s="1757" customFormat="1">
      <c r="B276" s="1773"/>
      <c r="C276" s="1773"/>
      <c r="D276" s="1791"/>
      <c r="E276" s="1773"/>
      <c r="H276" s="213"/>
      <c r="I276" s="213"/>
      <c r="J276" s="213"/>
      <c r="K276" s="1784"/>
      <c r="L276" s="1783"/>
    </row>
  </sheetData>
  <autoFilter ref="A69:G69" xr:uid="{00000000-0009-0000-0000-000012000000}"/>
  <mergeCells count="37">
    <mergeCell ref="I6:I7"/>
    <mergeCell ref="I10:I14"/>
    <mergeCell ref="I40:I41"/>
    <mergeCell ref="I44:I45"/>
    <mergeCell ref="G50:G52"/>
    <mergeCell ref="G4:G6"/>
    <mergeCell ref="B5:B6"/>
    <mergeCell ref="B8:B12"/>
    <mergeCell ref="B14:B18"/>
    <mergeCell ref="B20:B24"/>
    <mergeCell ref="B26:B28"/>
    <mergeCell ref="A67:G67"/>
    <mergeCell ref="G7:G12"/>
    <mergeCell ref="G13:G18"/>
    <mergeCell ref="G35:G37"/>
    <mergeCell ref="G38:G40"/>
    <mergeCell ref="G33:G34"/>
    <mergeCell ref="G20:G24"/>
    <mergeCell ref="G41:G43"/>
    <mergeCell ref="G44:G46"/>
    <mergeCell ref="G25:G28"/>
    <mergeCell ref="G47:G49"/>
    <mergeCell ref="B30:B31"/>
    <mergeCell ref="B33:B34"/>
    <mergeCell ref="B45:B46"/>
    <mergeCell ref="B58:B61"/>
    <mergeCell ref="G58:G61"/>
    <mergeCell ref="B63:B64"/>
    <mergeCell ref="G62:G64"/>
    <mergeCell ref="G53:G56"/>
    <mergeCell ref="B54:B56"/>
    <mergeCell ref="I17:I22"/>
    <mergeCell ref="B51:B52"/>
    <mergeCell ref="B48:B49"/>
    <mergeCell ref="B42:B43"/>
    <mergeCell ref="B36:B37"/>
    <mergeCell ref="B39:B40"/>
  </mergeCells>
  <phoneticPr fontId="75" type="noConversion"/>
  <conditionalFormatting sqref="C5">
    <cfRule type="duplicateValues" dxfId="52" priority="91" stopIfTrue="1"/>
  </conditionalFormatting>
  <conditionalFormatting sqref="C5">
    <cfRule type="duplicateValues" dxfId="51" priority="92" stopIfTrue="1"/>
    <cfRule type="duplicateValues" dxfId="50" priority="93" stopIfTrue="1"/>
  </conditionalFormatting>
  <conditionalFormatting sqref="C33">
    <cfRule type="duplicateValues" dxfId="49" priority="77" stopIfTrue="1"/>
  </conditionalFormatting>
  <conditionalFormatting sqref="C33">
    <cfRule type="duplicateValues" dxfId="48" priority="78" stopIfTrue="1"/>
    <cfRule type="duplicateValues" dxfId="47" priority="79" stopIfTrue="1"/>
  </conditionalFormatting>
  <conditionalFormatting sqref="J6">
    <cfRule type="duplicateValues" dxfId="46" priority="59" stopIfTrue="1"/>
  </conditionalFormatting>
  <conditionalFormatting sqref="J6">
    <cfRule type="duplicateValues" dxfId="45" priority="60" stopIfTrue="1"/>
    <cfRule type="duplicateValues" dxfId="44" priority="61" stopIfTrue="1"/>
  </conditionalFormatting>
  <conditionalFormatting sqref="J32">
    <cfRule type="duplicateValues" dxfId="43" priority="52" stopIfTrue="1"/>
  </conditionalFormatting>
  <conditionalFormatting sqref="J32">
    <cfRule type="duplicateValues" dxfId="42" priority="53" stopIfTrue="1"/>
    <cfRule type="duplicateValues" dxfId="41" priority="54" stopIfTrue="1"/>
  </conditionalFormatting>
  <conditionalFormatting sqref="C36">
    <cfRule type="duplicateValues" dxfId="40" priority="21029" stopIfTrue="1"/>
  </conditionalFormatting>
  <conditionalFormatting sqref="C36">
    <cfRule type="duplicateValues" dxfId="39" priority="21030" stopIfTrue="1"/>
    <cfRule type="duplicateValues" dxfId="38" priority="21031" stopIfTrue="1"/>
  </conditionalFormatting>
  <conditionalFormatting sqref="C42">
    <cfRule type="duplicateValues" dxfId="37" priority="49" stopIfTrue="1"/>
  </conditionalFormatting>
  <conditionalFormatting sqref="C42">
    <cfRule type="duplicateValues" dxfId="36" priority="50" stopIfTrue="1"/>
    <cfRule type="duplicateValues" dxfId="35" priority="51" stopIfTrue="1"/>
  </conditionalFormatting>
  <conditionalFormatting sqref="C45">
    <cfRule type="duplicateValues" dxfId="34" priority="39" stopIfTrue="1"/>
  </conditionalFormatting>
  <conditionalFormatting sqref="C45">
    <cfRule type="duplicateValues" dxfId="33" priority="40" stopIfTrue="1"/>
    <cfRule type="duplicateValues" dxfId="32" priority="41" stopIfTrue="1"/>
  </conditionalFormatting>
  <conditionalFormatting sqref="C39">
    <cfRule type="duplicateValues" dxfId="31" priority="35" stopIfTrue="1"/>
  </conditionalFormatting>
  <conditionalFormatting sqref="C39">
    <cfRule type="duplicateValues" dxfId="30" priority="36" stopIfTrue="1"/>
    <cfRule type="duplicateValues" dxfId="29" priority="37" stopIfTrue="1"/>
  </conditionalFormatting>
  <conditionalFormatting sqref="C39">
    <cfRule type="duplicateValues" dxfId="28" priority="38"/>
  </conditionalFormatting>
  <conditionalFormatting sqref="C48">
    <cfRule type="duplicateValues" dxfId="27" priority="32" stopIfTrue="1"/>
  </conditionalFormatting>
  <conditionalFormatting sqref="C48">
    <cfRule type="duplicateValues" dxfId="26" priority="33" stopIfTrue="1"/>
    <cfRule type="duplicateValues" dxfId="25" priority="34" stopIfTrue="1"/>
  </conditionalFormatting>
  <conditionalFormatting sqref="J36">
    <cfRule type="duplicateValues" dxfId="24" priority="29" stopIfTrue="1"/>
  </conditionalFormatting>
  <conditionalFormatting sqref="J36">
    <cfRule type="duplicateValues" dxfId="23" priority="30" stopIfTrue="1"/>
    <cfRule type="duplicateValues" dxfId="22" priority="31" stopIfTrue="1"/>
  </conditionalFormatting>
  <conditionalFormatting sqref="J40">
    <cfRule type="duplicateValues" dxfId="21" priority="23" stopIfTrue="1"/>
  </conditionalFormatting>
  <conditionalFormatting sqref="J40">
    <cfRule type="duplicateValues" dxfId="20" priority="24" stopIfTrue="1"/>
    <cfRule type="duplicateValues" dxfId="19" priority="25" stopIfTrue="1"/>
  </conditionalFormatting>
  <conditionalFormatting sqref="J57">
    <cfRule type="duplicateValues" dxfId="18" priority="20" stopIfTrue="1"/>
  </conditionalFormatting>
  <conditionalFormatting sqref="J57">
    <cfRule type="duplicateValues" dxfId="17" priority="21" stopIfTrue="1"/>
    <cfRule type="duplicateValues" dxfId="16" priority="22" stopIfTrue="1"/>
  </conditionalFormatting>
  <conditionalFormatting sqref="J59">
    <cfRule type="duplicateValues" dxfId="15" priority="17" stopIfTrue="1"/>
  </conditionalFormatting>
  <conditionalFormatting sqref="J59">
    <cfRule type="duplicateValues" dxfId="14" priority="18" stopIfTrue="1"/>
    <cfRule type="duplicateValues" dxfId="13" priority="19" stopIfTrue="1"/>
  </conditionalFormatting>
  <conditionalFormatting sqref="J62">
    <cfRule type="duplicateValues" dxfId="12" priority="14" stopIfTrue="1"/>
  </conditionalFormatting>
  <conditionalFormatting sqref="J62">
    <cfRule type="duplicateValues" dxfId="11" priority="15" stopIfTrue="1"/>
    <cfRule type="duplicateValues" dxfId="10" priority="16" stopIfTrue="1"/>
  </conditionalFormatting>
  <conditionalFormatting sqref="C54:C55">
    <cfRule type="duplicateValues" dxfId="9" priority="8" stopIfTrue="1"/>
  </conditionalFormatting>
  <conditionalFormatting sqref="C54:C55">
    <cfRule type="duplicateValues" dxfId="8" priority="9" stopIfTrue="1"/>
    <cfRule type="duplicateValues" dxfId="7" priority="10" stopIfTrue="1"/>
  </conditionalFormatting>
  <conditionalFormatting sqref="C51">
    <cfRule type="duplicateValues" dxfId="6" priority="4" stopIfTrue="1"/>
  </conditionalFormatting>
  <conditionalFormatting sqref="C51">
    <cfRule type="duplicateValues" dxfId="5" priority="5" stopIfTrue="1"/>
    <cfRule type="duplicateValues" dxfId="4" priority="6" stopIfTrue="1"/>
  </conditionalFormatting>
  <conditionalFormatting sqref="C51">
    <cfRule type="duplicateValues" dxfId="3" priority="7"/>
  </conditionalFormatting>
  <conditionalFormatting sqref="J44">
    <cfRule type="duplicateValues" dxfId="2" priority="1" stopIfTrue="1"/>
  </conditionalFormatting>
  <conditionalFormatting sqref="J44">
    <cfRule type="duplicateValues" dxfId="1" priority="2" stopIfTrue="1"/>
    <cfRule type="duplicateValues" dxfId="0" priority="3" stopIfTrue="1"/>
  </conditionalFormatting>
  <pageMargins left="0.74803149606299202" right="0.74803149606299202" top="0.98425196850393704" bottom="0.98425196850393704" header="0.511811023622047" footer="0.511811023622047"/>
  <pageSetup paperSize="9" scale="45" fitToHeight="100" orientation="portrait" r:id="rId1"/>
  <headerFooter alignWithMargins="0"/>
  <ignoredErrors>
    <ignoredError sqref="H70:I77 H129:I135 H152:I174" evalError="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5E97-993F-4C4C-82F5-78F05EADFE0A}">
  <sheetPr transitionEvaluation="1" transitionEntry="1" codeName="Sheet42">
    <tabColor theme="9"/>
    <pageSetUpPr fitToPage="1"/>
  </sheetPr>
  <dimension ref="A1:V207"/>
  <sheetViews>
    <sheetView topLeftCell="A23" zoomScale="80" zoomScaleNormal="80" workbookViewId="0">
      <selection activeCell="D65" sqref="D65"/>
    </sheetView>
  </sheetViews>
  <sheetFormatPr defaultColWidth="9.83203125" defaultRowHeight="12.75"/>
  <cols>
    <col min="1" max="1" width="25.83203125" style="137" customWidth="1"/>
    <col min="2" max="2" width="49.5" style="491" bestFit="1" customWidth="1"/>
    <col min="3" max="3" width="15.1640625" style="2601" customWidth="1"/>
    <col min="4" max="4" width="18.5" style="141" bestFit="1" customWidth="1"/>
    <col min="5" max="5" width="9" style="141" customWidth="1"/>
    <col min="6" max="6" width="15.1640625" style="2602" customWidth="1"/>
    <col min="7" max="7" width="18.5" style="2602" bestFit="1" customWidth="1"/>
    <col min="8" max="8" width="9" style="2601" customWidth="1"/>
    <col min="9" max="9" width="15.1640625" style="2602" customWidth="1"/>
    <col min="10" max="10" width="18.5" style="137" bestFit="1" customWidth="1"/>
    <col min="11" max="11" width="6.6640625" style="141" customWidth="1"/>
    <col min="12" max="12" width="15.1640625" style="137" customWidth="1"/>
    <col min="13" max="13" width="18.5" style="137" bestFit="1" customWidth="1"/>
    <col min="14" max="14" width="5.5" style="141" customWidth="1"/>
    <col min="15" max="15" width="15.1640625" style="137" customWidth="1"/>
    <col min="16" max="16" width="18.5" style="137" bestFit="1" customWidth="1"/>
    <col min="17" max="17" width="28.1640625" style="141" customWidth="1"/>
    <col min="18" max="18" width="13.5" style="141" bestFit="1" customWidth="1"/>
    <col min="19" max="19" width="17.6640625" style="141" bestFit="1" customWidth="1"/>
    <col min="20" max="20" width="11.83203125" style="137" bestFit="1" customWidth="1"/>
    <col min="21" max="21" width="10.6640625" style="137" bestFit="1" customWidth="1"/>
    <col min="22" max="16384" width="9.83203125" style="137"/>
  </cols>
  <sheetData>
    <row r="1" spans="1:19">
      <c r="A1" s="631" t="s">
        <v>2487</v>
      </c>
      <c r="Q1" s="137"/>
      <c r="R1" s="137"/>
      <c r="S1" s="137"/>
    </row>
    <row r="2" spans="1:19">
      <c r="A2" s="32"/>
      <c r="B2" s="619" t="s">
        <v>1499</v>
      </c>
      <c r="Q2" s="137"/>
      <c r="R2" s="137"/>
      <c r="S2" s="137"/>
    </row>
    <row r="3" spans="1:19" ht="26.1" customHeight="1">
      <c r="A3" s="32"/>
      <c r="B3" s="620"/>
      <c r="C3" s="4477" t="str">
        <f>'נתונים לשינוי'!C4</f>
        <v>As at December 31, 2021</v>
      </c>
      <c r="D3" s="4477"/>
      <c r="E3" s="561"/>
      <c r="F3" s="4638" t="s">
        <v>2948</v>
      </c>
      <c r="G3" s="4638"/>
      <c r="H3" s="2613"/>
      <c r="I3" s="4480" t="s">
        <v>2638</v>
      </c>
      <c r="J3" s="4480"/>
      <c r="K3" s="561"/>
      <c r="L3" s="4480" t="s">
        <v>2551</v>
      </c>
      <c r="M3" s="4480"/>
      <c r="N3" s="561"/>
      <c r="O3" s="4480" t="s">
        <v>2436</v>
      </c>
      <c r="P3" s="4480"/>
      <c r="Q3" s="137"/>
      <c r="R3" s="137"/>
      <c r="S3" s="137"/>
    </row>
    <row r="4" spans="1:19">
      <c r="A4" s="32"/>
      <c r="B4" s="21" t="s">
        <v>236</v>
      </c>
      <c r="C4" s="2602"/>
      <c r="D4" s="137"/>
      <c r="K4" s="137"/>
      <c r="N4" s="137"/>
      <c r="Q4" s="137"/>
      <c r="R4" s="137"/>
      <c r="S4" s="137"/>
    </row>
    <row r="5" spans="1:19">
      <c r="A5" s="32"/>
      <c r="B5" s="21"/>
      <c r="C5" s="2603" t="s">
        <v>2507</v>
      </c>
      <c r="D5" s="621" t="s">
        <v>294</v>
      </c>
      <c r="E5" s="714"/>
      <c r="F5" s="2614" t="s">
        <v>2507</v>
      </c>
      <c r="G5" s="2614" t="s">
        <v>294</v>
      </c>
      <c r="H5" s="2615"/>
      <c r="I5" s="2614" t="s">
        <v>2507</v>
      </c>
      <c r="J5" s="2031" t="s">
        <v>294</v>
      </c>
      <c r="K5" s="622"/>
      <c r="L5" s="2031" t="s">
        <v>2507</v>
      </c>
      <c r="M5" s="2031" t="s">
        <v>294</v>
      </c>
      <c r="O5" s="2031" t="s">
        <v>2507</v>
      </c>
      <c r="P5" s="2031" t="s">
        <v>294</v>
      </c>
      <c r="Q5" s="137"/>
      <c r="R5" s="137"/>
      <c r="S5" s="137"/>
    </row>
    <row r="6" spans="1:19">
      <c r="A6" s="623"/>
      <c r="B6" s="624" t="s">
        <v>237</v>
      </c>
      <c r="C6" s="2602"/>
      <c r="D6" s="137"/>
      <c r="K6" s="137"/>
      <c r="Q6" s="137"/>
      <c r="R6" s="137"/>
      <c r="S6" s="137"/>
    </row>
    <row r="7" spans="1:19">
      <c r="A7" s="623" t="s">
        <v>264</v>
      </c>
      <c r="B7" s="5" t="s">
        <v>238</v>
      </c>
      <c r="C7" s="2602">
        <f>'מאזן בוחן הודו'!J9</f>
        <v>85351280.650000006</v>
      </c>
      <c r="D7" s="137">
        <f>'מאזן בוחן הודו'!K9</f>
        <v>1148699.99</v>
      </c>
      <c r="F7" s="2602">
        <v>16916751.170000002</v>
      </c>
      <c r="G7" s="2602">
        <v>227416.65</v>
      </c>
      <c r="I7" s="2602">
        <v>32464095.77</v>
      </c>
      <c r="J7" s="137">
        <v>440553.13</v>
      </c>
      <c r="K7" s="137"/>
      <c r="L7" s="137">
        <v>7301871.7699999996</v>
      </c>
      <c r="M7" s="137">
        <v>100083.22</v>
      </c>
      <c r="O7" s="137">
        <v>18636531.649999999</v>
      </c>
      <c r="P7" s="137">
        <v>247756.37</v>
      </c>
      <c r="Q7" s="137"/>
      <c r="R7" s="137"/>
      <c r="S7" s="137"/>
    </row>
    <row r="8" spans="1:19">
      <c r="A8" s="623" t="s">
        <v>257</v>
      </c>
      <c r="B8" s="5" t="s">
        <v>2518</v>
      </c>
      <c r="C8" s="2604">
        <v>0</v>
      </c>
      <c r="D8" s="490">
        <v>0</v>
      </c>
      <c r="E8" s="2028"/>
      <c r="F8" s="2604">
        <v>0</v>
      </c>
      <c r="G8" s="2604">
        <v>0</v>
      </c>
      <c r="H8" s="2616"/>
      <c r="I8" s="2604">
        <v>0</v>
      </c>
      <c r="J8" s="490">
        <v>0</v>
      </c>
      <c r="K8" s="490"/>
      <c r="L8" s="490">
        <v>0</v>
      </c>
      <c r="M8" s="490">
        <v>0</v>
      </c>
      <c r="O8" s="490">
        <v>0</v>
      </c>
      <c r="P8" s="490">
        <v>0</v>
      </c>
      <c r="Q8" s="137"/>
      <c r="R8" s="137"/>
      <c r="S8" s="716"/>
    </row>
    <row r="9" spans="1:19">
      <c r="A9" s="623"/>
      <c r="B9" s="5" t="s">
        <v>258</v>
      </c>
      <c r="C9" s="2604">
        <v>0</v>
      </c>
      <c r="D9" s="490">
        <v>0</v>
      </c>
      <c r="E9" s="2028"/>
      <c r="F9" s="2604">
        <v>0</v>
      </c>
      <c r="G9" s="2604">
        <v>0</v>
      </c>
      <c r="H9" s="2616"/>
      <c r="I9" s="2604">
        <v>0</v>
      </c>
      <c r="J9" s="490">
        <v>0</v>
      </c>
      <c r="K9" s="490"/>
      <c r="L9" s="490">
        <v>0</v>
      </c>
      <c r="M9" s="490">
        <v>0</v>
      </c>
      <c r="O9" s="490">
        <v>0</v>
      </c>
      <c r="P9" s="490">
        <v>0</v>
      </c>
      <c r="Q9" s="137"/>
      <c r="R9" s="137"/>
      <c r="S9" s="137"/>
    </row>
    <row r="10" spans="1:19">
      <c r="A10" s="623" t="s">
        <v>259</v>
      </c>
      <c r="B10" s="5" t="s">
        <v>259</v>
      </c>
      <c r="C10" s="2605">
        <f>'מאזן בוחן הודו'!J45+'מאזן בוחן הודו'!J57</f>
        <v>10131548.23</v>
      </c>
      <c r="D10" s="716">
        <f>'מאזן בוחן הודו'!K45+'מאזן בוחן הודו'!K57</f>
        <v>136344.27000000002</v>
      </c>
      <c r="E10" s="726"/>
      <c r="F10" s="2605">
        <v>2218664.6</v>
      </c>
      <c r="G10" s="2605">
        <v>29831.010000000002</v>
      </c>
      <c r="H10" s="2617"/>
      <c r="I10" s="2605">
        <v>1298280.67</v>
      </c>
      <c r="J10" s="716">
        <v>17618.28</v>
      </c>
      <c r="K10" s="716"/>
      <c r="L10" s="716">
        <v>544265.73</v>
      </c>
      <c r="M10" s="716">
        <v>7459.99</v>
      </c>
      <c r="O10" s="716">
        <v>1078893.6000000001</v>
      </c>
      <c r="P10" s="716">
        <v>14342.96</v>
      </c>
      <c r="Q10" s="137"/>
      <c r="R10" s="137"/>
      <c r="S10" s="137"/>
    </row>
    <row r="11" spans="1:19">
      <c r="A11" s="623" t="s">
        <v>298</v>
      </c>
      <c r="B11" s="5" t="s">
        <v>331</v>
      </c>
      <c r="C11" s="2605">
        <f>'מאזן בוחן הודו'!J47</f>
        <v>0</v>
      </c>
      <c r="D11" s="716">
        <f>'מאזן בוחן הודו'!K47</f>
        <v>0</v>
      </c>
      <c r="E11" s="2028"/>
      <c r="F11" s="2604">
        <v>0</v>
      </c>
      <c r="G11" s="2604">
        <v>0</v>
      </c>
      <c r="H11" s="2616"/>
      <c r="I11" s="2604">
        <v>0</v>
      </c>
      <c r="J11" s="490">
        <v>0</v>
      </c>
      <c r="K11" s="490"/>
      <c r="L11" s="490">
        <v>0</v>
      </c>
      <c r="M11" s="490">
        <v>0</v>
      </c>
      <c r="O11" s="490">
        <v>0</v>
      </c>
      <c r="P11" s="490">
        <v>0</v>
      </c>
      <c r="Q11" s="137"/>
      <c r="R11" s="137"/>
      <c r="S11" s="137"/>
    </row>
    <row r="12" spans="1:19">
      <c r="A12" s="623"/>
      <c r="B12" s="14" t="s">
        <v>1500</v>
      </c>
      <c r="C12" s="2606">
        <f>SUM(C7:C11)</f>
        <v>95482828.88000001</v>
      </c>
      <c r="D12" s="91">
        <f>SUM(D7:D11)</f>
        <v>1285044.26</v>
      </c>
      <c r="E12" s="272"/>
      <c r="F12" s="2606">
        <v>19135415.770000003</v>
      </c>
      <c r="G12" s="2606">
        <v>257247.66</v>
      </c>
      <c r="H12" s="1846"/>
      <c r="I12" s="2606">
        <v>33762376.439999998</v>
      </c>
      <c r="J12" s="91">
        <v>458171.41000000003</v>
      </c>
      <c r="K12" s="163"/>
      <c r="L12" s="91">
        <v>7846137.5</v>
      </c>
      <c r="M12" s="91">
        <v>107543.21</v>
      </c>
      <c r="O12" s="91">
        <v>19715425.25</v>
      </c>
      <c r="P12" s="91">
        <v>262099.33</v>
      </c>
      <c r="Q12" s="137"/>
      <c r="R12" s="137"/>
      <c r="S12" s="137"/>
    </row>
    <row r="13" spans="1:19">
      <c r="A13" s="623"/>
      <c r="B13" s="14"/>
      <c r="C13" s="1903"/>
      <c r="D13" s="163"/>
      <c r="E13" s="272"/>
      <c r="F13" s="2610"/>
      <c r="G13" s="2610"/>
      <c r="H13" s="1846"/>
      <c r="I13" s="2610"/>
      <c r="J13" s="382"/>
      <c r="K13" s="163"/>
      <c r="L13" s="382"/>
      <c r="M13" s="382"/>
      <c r="O13" s="382"/>
      <c r="P13" s="382"/>
      <c r="Q13" s="137"/>
      <c r="R13" s="137"/>
      <c r="S13" s="137"/>
    </row>
    <row r="14" spans="1:19">
      <c r="A14" s="623"/>
      <c r="B14" s="8" t="s">
        <v>809</v>
      </c>
      <c r="C14" s="2602"/>
      <c r="D14" s="137"/>
      <c r="K14" s="137"/>
      <c r="Q14" s="137"/>
      <c r="R14" s="137"/>
      <c r="S14" s="137"/>
    </row>
    <row r="15" spans="1:19">
      <c r="A15" s="623"/>
      <c r="B15" s="5" t="s">
        <v>1920</v>
      </c>
      <c r="C15" s="2604">
        <v>0</v>
      </c>
      <c r="D15" s="490">
        <v>0</v>
      </c>
      <c r="E15" s="2028"/>
      <c r="F15" s="2604">
        <v>0</v>
      </c>
      <c r="G15" s="2604">
        <v>0</v>
      </c>
      <c r="H15" s="2616"/>
      <c r="I15" s="2604">
        <v>0</v>
      </c>
      <c r="J15" s="490">
        <v>0</v>
      </c>
      <c r="K15" s="490"/>
      <c r="L15" s="490">
        <v>0</v>
      </c>
      <c r="M15" s="490">
        <v>0</v>
      </c>
      <c r="O15" s="490">
        <v>0</v>
      </c>
      <c r="P15" s="490">
        <v>0</v>
      </c>
      <c r="Q15" s="137"/>
      <c r="R15" s="137"/>
      <c r="S15" s="137"/>
    </row>
    <row r="16" spans="1:19">
      <c r="A16" s="623"/>
      <c r="B16" s="5" t="s">
        <v>1921</v>
      </c>
      <c r="C16" s="2604">
        <v>0</v>
      </c>
      <c r="D16" s="490">
        <v>0</v>
      </c>
      <c r="E16" s="2028"/>
      <c r="F16" s="2604">
        <v>0</v>
      </c>
      <c r="G16" s="2604">
        <v>0</v>
      </c>
      <c r="H16" s="2616"/>
      <c r="I16" s="2604">
        <v>0</v>
      </c>
      <c r="J16" s="490">
        <v>0</v>
      </c>
      <c r="K16" s="490"/>
      <c r="L16" s="490">
        <v>0</v>
      </c>
      <c r="M16" s="490">
        <v>0</v>
      </c>
      <c r="O16" s="490">
        <v>0</v>
      </c>
      <c r="P16" s="490">
        <v>0</v>
      </c>
      <c r="Q16" s="137"/>
      <c r="R16" s="137"/>
      <c r="S16" s="137"/>
    </row>
    <row r="17" spans="1:19">
      <c r="A17" s="623"/>
      <c r="B17" s="5" t="s">
        <v>303</v>
      </c>
      <c r="C17" s="2604">
        <v>0</v>
      </c>
      <c r="D17" s="490">
        <v>0</v>
      </c>
      <c r="E17" s="2028"/>
      <c r="F17" s="2604">
        <v>0</v>
      </c>
      <c r="G17" s="2604">
        <v>0</v>
      </c>
      <c r="H17" s="2616"/>
      <c r="I17" s="2604">
        <v>0</v>
      </c>
      <c r="J17" s="490">
        <v>0</v>
      </c>
      <c r="K17" s="490"/>
      <c r="L17" s="490">
        <v>0</v>
      </c>
      <c r="M17" s="490">
        <v>0</v>
      </c>
      <c r="O17" s="490">
        <v>0</v>
      </c>
      <c r="P17" s="490">
        <v>0</v>
      </c>
      <c r="Q17" s="137"/>
      <c r="R17" s="137"/>
      <c r="S17" s="137"/>
    </row>
    <row r="18" spans="1:19">
      <c r="A18" s="623"/>
      <c r="B18" s="5" t="s">
        <v>258</v>
      </c>
      <c r="C18" s="2604">
        <v>0</v>
      </c>
      <c r="D18" s="490">
        <v>0</v>
      </c>
      <c r="E18" s="2028"/>
      <c r="F18" s="2604">
        <v>0</v>
      </c>
      <c r="G18" s="2604">
        <v>0</v>
      </c>
      <c r="H18" s="2616"/>
      <c r="I18" s="2604">
        <v>0</v>
      </c>
      <c r="J18" s="490">
        <v>0</v>
      </c>
      <c r="K18" s="490"/>
      <c r="L18" s="490">
        <v>0</v>
      </c>
      <c r="M18" s="490">
        <v>0</v>
      </c>
      <c r="O18" s="490">
        <v>0</v>
      </c>
      <c r="P18" s="490">
        <v>0</v>
      </c>
      <c r="Q18" s="137"/>
      <c r="R18" s="137"/>
      <c r="S18" s="137"/>
    </row>
    <row r="19" spans="1:19">
      <c r="A19" s="623"/>
      <c r="B19" s="5"/>
      <c r="C19" s="2602"/>
      <c r="D19" s="137"/>
      <c r="K19" s="137"/>
      <c r="Q19" s="137"/>
      <c r="R19" s="137"/>
      <c r="S19" s="137"/>
    </row>
    <row r="20" spans="1:19">
      <c r="A20" s="623" t="s">
        <v>68</v>
      </c>
      <c r="B20" s="8" t="s">
        <v>141</v>
      </c>
      <c r="C20" s="2605">
        <f>'מאזן בוחן הודו'!J76</f>
        <v>4393208.26</v>
      </c>
      <c r="D20" s="716">
        <f>'מאזן בוחן הודו'!K76</f>
        <v>59150.770000000004</v>
      </c>
      <c r="E20" s="726"/>
      <c r="F20" s="2605">
        <v>1880294</v>
      </c>
      <c r="G20" s="2605">
        <v>25358.97</v>
      </c>
      <c r="H20" s="2617"/>
      <c r="I20" s="2605">
        <v>641930</v>
      </c>
      <c r="J20" s="716">
        <v>8711.2899999999991</v>
      </c>
      <c r="K20" s="716"/>
      <c r="L20" s="490">
        <v>0</v>
      </c>
      <c r="M20" s="490">
        <v>0</v>
      </c>
      <c r="O20" s="490">
        <v>0</v>
      </c>
      <c r="P20" s="490">
        <v>0</v>
      </c>
      <c r="Q20" s="137"/>
      <c r="R20" s="137"/>
      <c r="S20" s="137"/>
    </row>
    <row r="21" spans="1:19">
      <c r="A21" s="623"/>
      <c r="B21" s="5"/>
      <c r="C21" s="2602"/>
      <c r="D21" s="137"/>
      <c r="K21" s="137"/>
      <c r="Q21" s="137"/>
      <c r="R21" s="137"/>
      <c r="S21" s="137"/>
    </row>
    <row r="22" spans="1:19">
      <c r="A22" s="623"/>
      <c r="B22" s="11"/>
      <c r="C22" s="2602"/>
      <c r="D22" s="137"/>
      <c r="K22" s="137"/>
      <c r="Q22" s="137"/>
      <c r="R22" s="137"/>
      <c r="S22" s="137"/>
    </row>
    <row r="23" spans="1:19">
      <c r="A23" s="623"/>
      <c r="B23" s="8" t="s">
        <v>239</v>
      </c>
      <c r="C23" s="2606">
        <f>SUM(C12:C22)</f>
        <v>99876037.140000015</v>
      </c>
      <c r="D23" s="91">
        <f>SUM(D12:D22)</f>
        <v>1344195.03</v>
      </c>
      <c r="E23" s="272"/>
      <c r="F23" s="2606">
        <v>21015709.770000003</v>
      </c>
      <c r="G23" s="2606">
        <v>282606.63</v>
      </c>
      <c r="H23" s="1846"/>
      <c r="I23" s="2606">
        <v>34404306.439999998</v>
      </c>
      <c r="J23" s="91">
        <v>466882.7</v>
      </c>
      <c r="K23" s="163"/>
      <c r="L23" s="91">
        <v>7846137.5</v>
      </c>
      <c r="M23" s="91">
        <v>107543.21</v>
      </c>
      <c r="O23" s="91">
        <v>19715425.25</v>
      </c>
      <c r="P23" s="91">
        <v>262099.33</v>
      </c>
      <c r="Q23" s="137"/>
      <c r="R23" s="137"/>
      <c r="S23" s="137"/>
    </row>
    <row r="24" spans="1:19">
      <c r="A24" s="623"/>
      <c r="B24" s="11"/>
      <c r="C24" s="2602"/>
      <c r="D24" s="137"/>
      <c r="K24" s="137"/>
      <c r="Q24" s="137"/>
      <c r="R24" s="137"/>
      <c r="S24" s="137"/>
    </row>
    <row r="25" spans="1:19">
      <c r="A25" s="623"/>
      <c r="B25" s="11"/>
      <c r="C25" s="2602"/>
      <c r="D25" s="137"/>
      <c r="K25" s="137"/>
      <c r="Q25" s="137"/>
      <c r="R25" s="137"/>
      <c r="S25" s="137"/>
    </row>
    <row r="26" spans="1:19">
      <c r="A26" s="623"/>
      <c r="B26" s="626" t="s">
        <v>240</v>
      </c>
      <c r="C26" s="2602"/>
      <c r="D26" s="137"/>
      <c r="K26" s="137"/>
      <c r="Q26" s="137"/>
      <c r="R26" s="137"/>
      <c r="S26" s="137"/>
    </row>
    <row r="27" spans="1:19">
      <c r="A27" s="623" t="s">
        <v>241</v>
      </c>
      <c r="B27" s="5" t="s">
        <v>241</v>
      </c>
      <c r="C27" s="2602">
        <f>-'מאזן בוחן הודו'!J117</f>
        <v>-35472.820000000007</v>
      </c>
      <c r="D27" s="2602">
        <f>-'מאזן בוחן הודו'!K117</f>
        <v>-477.42000000000013</v>
      </c>
      <c r="E27" s="726"/>
      <c r="F27" s="2602">
        <v>732623.6</v>
      </c>
      <c r="G27" s="2605">
        <v>9848.869999999999</v>
      </c>
      <c r="H27" s="2617"/>
      <c r="I27" s="2602">
        <v>2408883</v>
      </c>
      <c r="J27" s="716">
        <v>32689.69</v>
      </c>
      <c r="K27" s="137"/>
      <c r="L27" s="137">
        <v>85078</v>
      </c>
      <c r="M27" s="137">
        <v>1166.1300000000003</v>
      </c>
      <c r="O27" s="137">
        <v>2915540.8</v>
      </c>
      <c r="P27" s="137">
        <v>38759.590000000004</v>
      </c>
      <c r="Q27" s="137"/>
      <c r="R27" s="137"/>
      <c r="S27" s="137"/>
    </row>
    <row r="28" spans="1:19">
      <c r="A28" s="623" t="s">
        <v>260</v>
      </c>
      <c r="B28" s="5" t="s">
        <v>290</v>
      </c>
      <c r="C28" s="2602">
        <f>-('מאזן בוחן הודו'!J128+'מאזן בוחן הודו'!J143+'מאזן בוחן הודו'!J148+'מאזן בוחן הודו'!J151)</f>
        <v>19479952.432710096</v>
      </c>
      <c r="D28" s="2602">
        <f>-('מאזן בוחן הודו'!K128+'מאזן בוחן הודו'!K143+'מאזן בוחן הודו'!K148+'מאזן בוחן הודו'!K151)</f>
        <v>262524.4400364738</v>
      </c>
      <c r="E28" s="726"/>
      <c r="F28" s="2602">
        <v>3923000.8100000005</v>
      </c>
      <c r="G28" s="2605">
        <v>53340.73</v>
      </c>
      <c r="H28" s="2617"/>
      <c r="I28" s="2602">
        <v>6137083.5899999999</v>
      </c>
      <c r="J28" s="716">
        <v>83289.86</v>
      </c>
      <c r="K28" s="137"/>
      <c r="L28" s="137">
        <v>1365387</v>
      </c>
      <c r="M28" s="137">
        <v>18714.7</v>
      </c>
      <c r="O28" s="137">
        <v>3022524</v>
      </c>
      <c r="P28" s="137">
        <v>40181.819999999992</v>
      </c>
      <c r="Q28" s="137"/>
      <c r="R28" s="137"/>
      <c r="S28" s="137"/>
    </row>
    <row r="29" spans="1:19">
      <c r="A29" s="623" t="s">
        <v>261</v>
      </c>
      <c r="B29" s="5" t="s">
        <v>261</v>
      </c>
      <c r="C29" s="2868">
        <v>0</v>
      </c>
      <c r="D29" s="716">
        <v>0</v>
      </c>
      <c r="E29" s="726"/>
      <c r="F29" s="2605">
        <v>10623096.767662521</v>
      </c>
      <c r="G29" s="2605">
        <v>143770.5569110068</v>
      </c>
      <c r="H29" s="2617"/>
      <c r="I29" s="2605">
        <v>22135394.092199989</v>
      </c>
      <c r="J29" s="716">
        <v>301017.8676</v>
      </c>
      <c r="K29" s="716"/>
      <c r="L29" s="490">
        <v>0</v>
      </c>
      <c r="M29" s="490">
        <v>0</v>
      </c>
      <c r="O29" s="490">
        <v>0</v>
      </c>
      <c r="P29" s="490">
        <v>0</v>
      </c>
      <c r="Q29" s="137"/>
      <c r="R29" s="137"/>
      <c r="S29" s="137"/>
    </row>
    <row r="30" spans="1:19">
      <c r="A30" s="623" t="s">
        <v>298</v>
      </c>
      <c r="B30" s="5" t="s">
        <v>331</v>
      </c>
      <c r="C30" s="2602">
        <f>-'מאזן בוחן הודו'!J159-'מאזן בוחן הודו'!J157</f>
        <v>55188749.961727075</v>
      </c>
      <c r="D30" s="716">
        <f>-'מאזן בוחן הודו'!K159-'מאזן בוחן הודו'!K157</f>
        <v>742762.383045497</v>
      </c>
      <c r="E30" s="726"/>
      <c r="F30" s="2602">
        <v>275966.84999999998</v>
      </c>
      <c r="G30" s="2605">
        <v>3709.9</v>
      </c>
      <c r="H30" s="2617"/>
      <c r="I30" s="2602">
        <v>273380.12</v>
      </c>
      <c r="J30" s="716">
        <v>3709.9</v>
      </c>
      <c r="K30" s="137"/>
      <c r="Q30" s="137"/>
      <c r="R30" s="137"/>
      <c r="S30" s="137"/>
    </row>
    <row r="31" spans="1:19">
      <c r="A31" s="623"/>
      <c r="B31" s="14" t="s">
        <v>139</v>
      </c>
      <c r="C31" s="2606">
        <f>SUM(C27:C30)</f>
        <v>74633229.574437171</v>
      </c>
      <c r="D31" s="91">
        <f>SUM(D27:D30)</f>
        <v>1004809.4030819708</v>
      </c>
      <c r="E31" s="272"/>
      <c r="F31" s="2606">
        <v>15554688.027662521</v>
      </c>
      <c r="G31" s="2606">
        <v>210670.0569110068</v>
      </c>
      <c r="H31" s="1846"/>
      <c r="I31" s="2606">
        <v>30954740.80219999</v>
      </c>
      <c r="J31" s="91">
        <v>420707.31760000001</v>
      </c>
      <c r="K31" s="163"/>
      <c r="L31" s="91">
        <v>1450465</v>
      </c>
      <c r="M31" s="91">
        <v>19880.830000000002</v>
      </c>
      <c r="O31" s="91">
        <v>5938064.7999999998</v>
      </c>
      <c r="P31" s="91">
        <v>78941.41</v>
      </c>
      <c r="Q31" s="137"/>
      <c r="R31" s="137"/>
      <c r="S31" s="137"/>
    </row>
    <row r="32" spans="1:19">
      <c r="A32" s="623"/>
      <c r="B32" s="14"/>
      <c r="C32" s="2602"/>
      <c r="D32" s="137"/>
      <c r="K32" s="137"/>
      <c r="Q32" s="137"/>
      <c r="R32" s="137"/>
      <c r="S32" s="137"/>
    </row>
    <row r="33" spans="1:19">
      <c r="A33" s="623"/>
      <c r="B33" s="15" t="s">
        <v>242</v>
      </c>
      <c r="C33" s="2602"/>
      <c r="D33" s="137"/>
      <c r="K33" s="137"/>
      <c r="Q33" s="137"/>
      <c r="R33" s="137"/>
      <c r="S33" s="137"/>
    </row>
    <row r="34" spans="1:19">
      <c r="A34" s="623" t="s">
        <v>266</v>
      </c>
      <c r="B34" s="5" t="s">
        <v>140</v>
      </c>
      <c r="C34" s="2604">
        <v>0</v>
      </c>
      <c r="D34" s="490">
        <v>0</v>
      </c>
      <c r="E34" s="2028"/>
      <c r="F34" s="2604">
        <v>0</v>
      </c>
      <c r="G34" s="2604">
        <v>0</v>
      </c>
      <c r="H34" s="2616"/>
      <c r="I34" s="2604">
        <v>0</v>
      </c>
      <c r="J34" s="490">
        <v>0</v>
      </c>
      <c r="K34" s="490"/>
      <c r="L34" s="490">
        <v>0</v>
      </c>
      <c r="M34" s="490">
        <v>0</v>
      </c>
      <c r="O34" s="490">
        <v>0</v>
      </c>
      <c r="P34" s="490">
        <v>0</v>
      </c>
      <c r="Q34" s="137"/>
      <c r="R34" s="137"/>
      <c r="S34" s="137"/>
    </row>
    <row r="35" spans="1:19">
      <c r="A35" s="623" t="s">
        <v>265</v>
      </c>
      <c r="B35" s="5" t="s">
        <v>261</v>
      </c>
      <c r="C35" s="2604">
        <v>0</v>
      </c>
      <c r="D35" s="490">
        <v>0</v>
      </c>
      <c r="E35" s="2028"/>
      <c r="F35" s="2604">
        <v>0</v>
      </c>
      <c r="G35" s="2604">
        <v>0</v>
      </c>
      <c r="H35" s="2616"/>
      <c r="I35" s="2604">
        <v>0</v>
      </c>
      <c r="J35" s="490">
        <v>0</v>
      </c>
      <c r="K35" s="490"/>
      <c r="L35" s="490">
        <v>0</v>
      </c>
      <c r="M35" s="490">
        <v>0</v>
      </c>
      <c r="O35" s="490">
        <v>0</v>
      </c>
      <c r="P35" s="490">
        <v>0</v>
      </c>
      <c r="Q35" s="137"/>
      <c r="R35" s="137"/>
      <c r="S35" s="137"/>
    </row>
    <row r="36" spans="1:19">
      <c r="A36" s="623"/>
      <c r="B36" s="137"/>
      <c r="C36" s="2607">
        <f>SUM(C34:C35)</f>
        <v>0</v>
      </c>
      <c r="D36" s="632">
        <f>SUM(D34:D35)</f>
        <v>0</v>
      </c>
      <c r="E36" s="2494"/>
      <c r="F36" s="2607">
        <v>0</v>
      </c>
      <c r="G36" s="2607">
        <v>0</v>
      </c>
      <c r="H36" s="2618"/>
      <c r="I36" s="2607">
        <v>0</v>
      </c>
      <c r="J36" s="632">
        <v>0</v>
      </c>
      <c r="K36" s="2141"/>
      <c r="L36" s="632">
        <v>0</v>
      </c>
      <c r="M36" s="632">
        <v>0</v>
      </c>
      <c r="O36" s="632">
        <v>0</v>
      </c>
      <c r="P36" s="632">
        <v>0</v>
      </c>
      <c r="Q36" s="137"/>
      <c r="R36" s="137"/>
      <c r="S36" s="137"/>
    </row>
    <row r="37" spans="1:19">
      <c r="A37" s="623"/>
      <c r="B37" s="17"/>
      <c r="C37" s="2602"/>
      <c r="D37" s="137"/>
      <c r="K37" s="137"/>
      <c r="Q37" s="137"/>
      <c r="R37" s="137"/>
      <c r="S37" s="137"/>
    </row>
    <row r="38" spans="1:19">
      <c r="A38" s="623"/>
      <c r="B38" s="628" t="s">
        <v>142</v>
      </c>
      <c r="C38" s="2602"/>
      <c r="D38" s="137"/>
      <c r="K38" s="137"/>
      <c r="Q38" s="137"/>
      <c r="R38" s="137"/>
      <c r="S38" s="137"/>
    </row>
    <row r="39" spans="1:19">
      <c r="A39" s="623" t="s">
        <v>267</v>
      </c>
      <c r="B39" s="5" t="s">
        <v>143</v>
      </c>
      <c r="C39" s="2605">
        <f>-'מאזן בוחן הודו'!J164</f>
        <v>100000</v>
      </c>
      <c r="D39" s="716">
        <f>-'מאזן בוחן הודו'!K164</f>
        <v>1513.67</v>
      </c>
      <c r="E39" s="2028"/>
      <c r="F39" s="2604">
        <v>99000</v>
      </c>
      <c r="G39" s="2604">
        <v>1500</v>
      </c>
      <c r="H39" s="2616"/>
      <c r="I39" s="2604">
        <v>0</v>
      </c>
      <c r="J39" s="490">
        <v>0</v>
      </c>
      <c r="K39" s="490"/>
      <c r="L39" s="490">
        <v>0</v>
      </c>
      <c r="M39" s="490">
        <v>0</v>
      </c>
      <c r="O39" s="490">
        <v>0</v>
      </c>
      <c r="P39" s="490">
        <v>0</v>
      </c>
      <c r="Q39" s="137"/>
      <c r="R39" s="137"/>
      <c r="S39" s="137"/>
    </row>
    <row r="40" spans="1:19">
      <c r="A40" s="623"/>
      <c r="B40" s="5" t="s">
        <v>287</v>
      </c>
      <c r="C40" s="2604">
        <v>0</v>
      </c>
      <c r="D40" s="490">
        <v>0</v>
      </c>
      <c r="E40" s="2028"/>
      <c r="F40" s="2604">
        <v>0</v>
      </c>
      <c r="G40" s="2604">
        <v>0</v>
      </c>
      <c r="H40" s="2616"/>
      <c r="I40" s="2604">
        <v>0</v>
      </c>
      <c r="J40" s="490">
        <v>0</v>
      </c>
      <c r="K40" s="490"/>
      <c r="L40" s="490">
        <v>0</v>
      </c>
      <c r="M40" s="490">
        <v>0</v>
      </c>
      <c r="O40" s="490">
        <v>0</v>
      </c>
      <c r="P40" s="490">
        <v>0</v>
      </c>
      <c r="Q40" s="137"/>
      <c r="R40" s="137"/>
      <c r="S40" s="137"/>
    </row>
    <row r="41" spans="1:19">
      <c r="A41" s="623" t="s">
        <v>269</v>
      </c>
      <c r="B41" s="5" t="s">
        <v>269</v>
      </c>
      <c r="C41" s="2604">
        <v>0</v>
      </c>
      <c r="D41" s="490">
        <v>0</v>
      </c>
      <c r="E41" s="2028"/>
      <c r="F41" s="2604">
        <v>0</v>
      </c>
      <c r="G41" s="2604">
        <v>0</v>
      </c>
      <c r="H41" s="2616"/>
      <c r="I41" s="2604">
        <v>0</v>
      </c>
      <c r="J41" s="490">
        <v>0</v>
      </c>
      <c r="K41" s="490"/>
      <c r="L41" s="490">
        <v>0</v>
      </c>
      <c r="M41" s="490">
        <v>0</v>
      </c>
      <c r="O41" s="490">
        <v>0</v>
      </c>
      <c r="P41" s="490">
        <v>0</v>
      </c>
      <c r="Q41" s="137"/>
      <c r="R41" s="137"/>
      <c r="S41" s="137"/>
    </row>
    <row r="42" spans="1:19">
      <c r="A42" s="623" t="s">
        <v>262</v>
      </c>
      <c r="B42" s="5" t="s">
        <v>262</v>
      </c>
      <c r="C42" s="2605">
        <f>-'מאזן בוחן הודו'!J165</f>
        <v>6790810.5099999998</v>
      </c>
      <c r="D42" s="2605">
        <f>-'מאזן בוחן הודו'!K165</f>
        <v>102989.66</v>
      </c>
      <c r="E42" s="2028"/>
      <c r="F42" s="2604">
        <v>0</v>
      </c>
      <c r="G42" s="2604">
        <v>0</v>
      </c>
      <c r="H42" s="2616"/>
      <c r="I42" s="2604">
        <v>0</v>
      </c>
      <c r="J42" s="490">
        <v>0</v>
      </c>
      <c r="K42" s="490"/>
      <c r="L42" s="490">
        <v>0</v>
      </c>
      <c r="M42" s="490">
        <v>0</v>
      </c>
      <c r="O42" s="490">
        <v>0</v>
      </c>
      <c r="P42" s="490">
        <v>0</v>
      </c>
      <c r="Q42" s="137"/>
      <c r="R42" s="137"/>
      <c r="S42" s="137"/>
    </row>
    <row r="43" spans="1:19">
      <c r="A43" s="623" t="s">
        <v>262</v>
      </c>
      <c r="B43" s="5" t="s">
        <v>1849</v>
      </c>
      <c r="C43" s="2604">
        <v>0</v>
      </c>
      <c r="D43" s="490">
        <v>0</v>
      </c>
      <c r="E43" s="2028"/>
      <c r="F43" s="2604">
        <v>0</v>
      </c>
      <c r="G43" s="2604">
        <v>0</v>
      </c>
      <c r="H43" s="2616"/>
      <c r="I43" s="2604">
        <v>0</v>
      </c>
      <c r="J43" s="490">
        <v>0</v>
      </c>
      <c r="K43" s="490"/>
      <c r="L43" s="490">
        <v>0</v>
      </c>
      <c r="M43" s="490">
        <v>0</v>
      </c>
      <c r="O43" s="490">
        <v>0</v>
      </c>
      <c r="P43" s="490">
        <v>0</v>
      </c>
      <c r="Q43" s="137"/>
      <c r="R43" s="137"/>
      <c r="S43" s="137"/>
    </row>
    <row r="44" spans="1:19">
      <c r="A44" s="623"/>
      <c r="B44" s="5" t="s">
        <v>268</v>
      </c>
      <c r="C44" s="2602">
        <f>(C67)</f>
        <v>18351997.055562861</v>
      </c>
      <c r="D44" s="137">
        <f>(D67)</f>
        <v>234882.28691802928</v>
      </c>
      <c r="F44" s="2602">
        <v>5362021.7423374709</v>
      </c>
      <c r="G44" s="2602">
        <v>70436.573088993275</v>
      </c>
      <c r="I44" s="2602">
        <v>3449565.6378000099</v>
      </c>
      <c r="J44" s="137">
        <v>46175.382399999988</v>
      </c>
      <c r="K44" s="137"/>
      <c r="L44" s="137">
        <v>6395672.4999999991</v>
      </c>
      <c r="M44" s="137">
        <v>87662.380000000034</v>
      </c>
      <c r="O44" s="137">
        <v>13777360.450000001</v>
      </c>
      <c r="P44" s="137">
        <v>183157.93</v>
      </c>
      <c r="Q44" s="137"/>
      <c r="R44" s="137"/>
      <c r="S44" s="137"/>
    </row>
    <row r="45" spans="1:19">
      <c r="A45" s="623"/>
      <c r="B45" s="14" t="s">
        <v>144</v>
      </c>
      <c r="C45" s="2606">
        <f>SUM(C39:C44,)</f>
        <v>25242807.565562859</v>
      </c>
      <c r="D45" s="91">
        <f>SUM(D39:D44,)</f>
        <v>339385.61691802926</v>
      </c>
      <c r="E45" s="272"/>
      <c r="F45" s="2606">
        <v>5461021.7423374709</v>
      </c>
      <c r="G45" s="2606">
        <v>71936.573088993275</v>
      </c>
      <c r="H45" s="1846"/>
      <c r="I45" s="2606">
        <v>3449565.6378000099</v>
      </c>
      <c r="J45" s="91">
        <v>46175.382399999988</v>
      </c>
      <c r="K45" s="163"/>
      <c r="L45" s="91">
        <v>6395672.4999999991</v>
      </c>
      <c r="M45" s="91">
        <v>87662.380000000034</v>
      </c>
      <c r="O45" s="91">
        <v>13777360.450000001</v>
      </c>
      <c r="P45" s="91">
        <v>183157.93</v>
      </c>
      <c r="Q45" s="137"/>
      <c r="R45" s="137"/>
      <c r="S45" s="137"/>
    </row>
    <row r="46" spans="1:19">
      <c r="A46" s="623"/>
      <c r="B46" s="11"/>
      <c r="C46" s="2602"/>
      <c r="D46" s="137"/>
      <c r="K46" s="137"/>
      <c r="Q46" s="137"/>
      <c r="R46" s="137"/>
      <c r="S46" s="137"/>
    </row>
    <row r="47" spans="1:19" ht="13.5" thickBot="1">
      <c r="A47" s="623"/>
      <c r="B47" s="14" t="s">
        <v>243</v>
      </c>
      <c r="C47" s="2608">
        <f>SUM(C31,C45,C35)</f>
        <v>99876037.14000003</v>
      </c>
      <c r="D47" s="1242">
        <f>SUM(D31,D45,D35)</f>
        <v>1344195.02</v>
      </c>
      <c r="E47" s="272"/>
      <c r="F47" s="2608">
        <v>21015709.769999992</v>
      </c>
      <c r="G47" s="2608">
        <v>282606.63000000006</v>
      </c>
      <c r="H47" s="1846"/>
      <c r="I47" s="2608">
        <v>34404306.439999998</v>
      </c>
      <c r="J47" s="1242">
        <v>466882.7</v>
      </c>
      <c r="K47" s="163"/>
      <c r="L47" s="1242">
        <v>7846137.4999999991</v>
      </c>
      <c r="M47" s="1242">
        <v>107543.21000000004</v>
      </c>
      <c r="O47" s="1242">
        <v>19715425.25</v>
      </c>
      <c r="P47" s="1242">
        <v>262099.34</v>
      </c>
      <c r="Q47" s="137"/>
      <c r="R47" s="137"/>
      <c r="S47" s="137"/>
    </row>
    <row r="48" spans="1:19" ht="13.5" thickBot="1">
      <c r="A48" s="623"/>
      <c r="B48" s="11"/>
      <c r="C48" s="956">
        <f>C47-C23</f>
        <v>0</v>
      </c>
      <c r="D48" s="956">
        <f>D47-D23</f>
        <v>-1.0000000009313226E-2</v>
      </c>
      <c r="E48" s="2142"/>
      <c r="F48" s="956">
        <v>0</v>
      </c>
      <c r="G48" s="956">
        <v>0</v>
      </c>
      <c r="H48" s="2142"/>
      <c r="I48" s="956">
        <v>0</v>
      </c>
      <c r="J48" s="956">
        <v>0</v>
      </c>
      <c r="K48" s="137"/>
      <c r="L48" s="956">
        <v>0</v>
      </c>
      <c r="M48" s="956">
        <v>0</v>
      </c>
      <c r="O48" s="956">
        <v>0</v>
      </c>
      <c r="P48" s="956">
        <v>1.0000000009313226E-2</v>
      </c>
      <c r="Q48" s="137"/>
      <c r="R48" s="137"/>
      <c r="S48" s="137"/>
    </row>
    <row r="49" spans="1:22">
      <c r="A49" s="623"/>
      <c r="C49" s="2602"/>
      <c r="D49" s="137"/>
      <c r="K49" s="137"/>
      <c r="Q49" s="137"/>
      <c r="R49" s="137"/>
      <c r="S49" s="137"/>
    </row>
    <row r="50" spans="1:22">
      <c r="A50" s="623"/>
      <c r="B50" s="629" t="s">
        <v>244</v>
      </c>
      <c r="C50" s="2602"/>
      <c r="D50" s="137"/>
      <c r="K50" s="137"/>
      <c r="Q50" s="137"/>
      <c r="R50" s="137"/>
      <c r="S50" s="137"/>
    </row>
    <row r="51" spans="1:22">
      <c r="A51" s="623"/>
      <c r="B51" s="22"/>
      <c r="C51" s="2602"/>
      <c r="D51" s="137"/>
      <c r="K51" s="137"/>
      <c r="Q51" s="137"/>
      <c r="R51" s="137"/>
      <c r="S51" s="137"/>
    </row>
    <row r="52" spans="1:22">
      <c r="A52" s="623" t="s">
        <v>84</v>
      </c>
      <c r="B52" s="22" t="s">
        <v>145</v>
      </c>
      <c r="C52" s="2602">
        <f>-'מאזן בוחן הודו'!J176</f>
        <v>212692416.67827293</v>
      </c>
      <c r="D52" s="137">
        <f>-'מאזן בוחן הודו'!K176</f>
        <v>2876820.1369545031</v>
      </c>
      <c r="F52" s="2602">
        <v>51679103.232337475</v>
      </c>
      <c r="G52" s="2602">
        <v>697144.08308899321</v>
      </c>
      <c r="I52" s="2602">
        <v>40166805.907800011</v>
      </c>
      <c r="J52" s="137">
        <v>539896.77240000002</v>
      </c>
      <c r="K52" s="137"/>
      <c r="L52" s="137">
        <v>25644000</v>
      </c>
      <c r="M52" s="137">
        <v>340914.53</v>
      </c>
      <c r="O52" s="137">
        <v>25644000</v>
      </c>
      <c r="P52" s="137">
        <v>340914.53</v>
      </c>
      <c r="Q52" s="137"/>
      <c r="R52" s="137"/>
      <c r="S52" s="137"/>
    </row>
    <row r="53" spans="1:22">
      <c r="A53" s="623" t="s">
        <v>251</v>
      </c>
      <c r="B53" s="22" t="s">
        <v>251</v>
      </c>
      <c r="C53" s="2609">
        <f>'מאזן בוחן הודו'!J204</f>
        <v>99139795.559999987</v>
      </c>
      <c r="D53" s="630">
        <f>'מאזן בוחן הודו'!K204</f>
        <v>1342077.3600000001</v>
      </c>
      <c r="E53" s="52"/>
      <c r="F53" s="2619">
        <v>27027328.037500001</v>
      </c>
      <c r="G53" s="2619">
        <v>364572.68963415449</v>
      </c>
      <c r="H53" s="2620"/>
      <c r="I53" s="2619">
        <v>17120689.614186049</v>
      </c>
      <c r="J53" s="2032">
        <v>231318.71418604648</v>
      </c>
      <c r="K53" s="51"/>
      <c r="L53" s="2032">
        <v>9629488</v>
      </c>
      <c r="M53" s="2032">
        <v>129808.29000000001</v>
      </c>
      <c r="O53" s="2032">
        <v>5282488</v>
      </c>
      <c r="P53" s="2032">
        <v>70226.050000000017</v>
      </c>
      <c r="Q53" s="137"/>
      <c r="R53" s="137"/>
      <c r="S53" s="137"/>
    </row>
    <row r="54" spans="1:22" s="141" customFormat="1">
      <c r="A54" s="623"/>
      <c r="B54" s="22" t="s">
        <v>263</v>
      </c>
      <c r="C54" s="2610">
        <f>C52-C53</f>
        <v>113552621.11827295</v>
      </c>
      <c r="D54" s="382">
        <f>D52-D53</f>
        <v>1534742.776954503</v>
      </c>
      <c r="E54" s="251"/>
      <c r="F54" s="2610">
        <v>24651775.194837473</v>
      </c>
      <c r="G54" s="2610">
        <v>332571.39345483872</v>
      </c>
      <c r="H54" s="2621"/>
      <c r="I54" s="2610">
        <v>23046116.293613963</v>
      </c>
      <c r="J54" s="382">
        <v>308578.05821395351</v>
      </c>
      <c r="K54" s="382"/>
      <c r="L54" s="382">
        <v>16014512</v>
      </c>
      <c r="M54" s="382">
        <v>211106.24000000002</v>
      </c>
      <c r="O54" s="382">
        <v>20361512</v>
      </c>
      <c r="P54" s="382">
        <v>270688.48</v>
      </c>
      <c r="Q54" s="137"/>
      <c r="R54" s="137"/>
      <c r="S54" s="137"/>
      <c r="T54" s="137"/>
      <c r="U54" s="137"/>
      <c r="V54" s="137"/>
    </row>
    <row r="55" spans="1:22" s="141" customFormat="1">
      <c r="A55" s="623"/>
      <c r="B55" s="22"/>
      <c r="C55" s="2602"/>
      <c r="D55" s="137"/>
      <c r="F55" s="2602"/>
      <c r="G55" s="2602"/>
      <c r="H55" s="2601"/>
      <c r="I55" s="2602"/>
      <c r="J55" s="137"/>
      <c r="K55" s="137"/>
      <c r="L55" s="137"/>
      <c r="M55" s="137"/>
      <c r="O55" s="137"/>
      <c r="P55" s="137"/>
      <c r="Q55" s="137"/>
      <c r="R55" s="137"/>
      <c r="S55" s="137"/>
      <c r="T55" s="137"/>
      <c r="U55" s="137"/>
      <c r="V55" s="137"/>
    </row>
    <row r="56" spans="1:22" s="141" customFormat="1">
      <c r="A56" s="623" t="s">
        <v>192</v>
      </c>
      <c r="B56" s="22" t="s">
        <v>245</v>
      </c>
      <c r="C56" s="2602">
        <f>'מאזן בוחן הודו'!J263</f>
        <v>35544867.259999998</v>
      </c>
      <c r="D56" s="137">
        <f>'מאזן בוחן הודו'!K263</f>
        <v>480687.22000000003</v>
      </c>
      <c r="F56" s="2602">
        <v>5254925.0865909103</v>
      </c>
      <c r="G56" s="2602">
        <v>70688.977823356749</v>
      </c>
      <c r="H56" s="2601"/>
      <c r="I56" s="2602">
        <v>3747223.9237209302</v>
      </c>
      <c r="J56" s="137">
        <v>50797.723720930218</v>
      </c>
      <c r="K56" s="716"/>
      <c r="L56" s="716">
        <v>2000038</v>
      </c>
      <c r="M56" s="716">
        <v>27413.55</v>
      </c>
      <c r="O56" s="716">
        <v>996288</v>
      </c>
      <c r="P56" s="716">
        <v>13244.78</v>
      </c>
      <c r="Q56" s="137"/>
      <c r="R56" s="137"/>
      <c r="S56" s="137"/>
      <c r="T56" s="137"/>
      <c r="U56" s="137"/>
      <c r="V56" s="137"/>
    </row>
    <row r="57" spans="1:22" s="141" customFormat="1">
      <c r="A57" s="623" t="s">
        <v>254</v>
      </c>
      <c r="B57" s="22" t="s">
        <v>247</v>
      </c>
      <c r="C57" s="2602">
        <f>'מאזן בוחן הודו'!J300+'מאזן בוחן הודו'!J307</f>
        <v>44539706</v>
      </c>
      <c r="D57" s="137">
        <f>'מאזן בוחן הודו'!K300+'מאזן בוחן הודו'!K307</f>
        <v>601389.73</v>
      </c>
      <c r="F57" s="2602">
        <v>13454609.065909091</v>
      </c>
      <c r="G57" s="2602">
        <v>181506.9953880281</v>
      </c>
      <c r="H57" s="2601"/>
      <c r="I57" s="2602">
        <v>13654205.302093023</v>
      </c>
      <c r="J57" s="137">
        <v>184269.42209302326</v>
      </c>
      <c r="K57" s="137"/>
      <c r="L57" s="137">
        <v>4761948.54</v>
      </c>
      <c r="M57" s="137">
        <v>63865.68</v>
      </c>
      <c r="O57" s="137">
        <v>3404642.54</v>
      </c>
      <c r="P57" s="137">
        <v>45261.749999999993</v>
      </c>
      <c r="Q57" s="137"/>
      <c r="R57" s="137"/>
      <c r="S57" s="137"/>
      <c r="T57" s="137"/>
      <c r="U57" s="137"/>
      <c r="V57" s="137"/>
    </row>
    <row r="58" spans="1:22" s="141" customFormat="1">
      <c r="A58" s="623" t="s">
        <v>193</v>
      </c>
      <c r="B58" s="22" t="s">
        <v>246</v>
      </c>
      <c r="C58" s="2602">
        <f>'מאזן בוחן הודו'!J243+'מאזן בוחן הודו'!J321+'מאזן בוחן הודו'!J330</f>
        <v>3992436.3499999996</v>
      </c>
      <c r="D58" s="2602">
        <f>'מאזן בוחן הודו'!K243+'מאזן בוחן הודו'!K321+'מאזן בוחן הודו'!K330</f>
        <v>53985.019999999982</v>
      </c>
      <c r="F58" s="2602">
        <v>-1178973.7999999998</v>
      </c>
      <c r="G58" s="2602">
        <v>-15853.132845539383</v>
      </c>
      <c r="H58" s="2601"/>
      <c r="I58" s="2602">
        <v>445880.99</v>
      </c>
      <c r="J58" s="137">
        <v>6033.1800000000412</v>
      </c>
      <c r="K58" s="137"/>
      <c r="L58" s="137">
        <v>2829012.83</v>
      </c>
      <c r="M58" s="137">
        <v>37931.949999999997</v>
      </c>
      <c r="O58" s="137">
        <v>2160803</v>
      </c>
      <c r="P58" s="137">
        <v>28725.99</v>
      </c>
      <c r="Q58" s="137"/>
      <c r="R58" s="137"/>
      <c r="S58" s="137"/>
      <c r="T58" s="137"/>
      <c r="U58" s="137"/>
      <c r="V58" s="137"/>
    </row>
    <row r="59" spans="1:22" s="141" customFormat="1">
      <c r="A59" s="623"/>
      <c r="B59" s="16"/>
      <c r="C59" s="2609"/>
      <c r="D59" s="630"/>
      <c r="E59" s="52"/>
      <c r="F59" s="2619"/>
      <c r="G59" s="2619"/>
      <c r="H59" s="2620"/>
      <c r="I59" s="2619"/>
      <c r="J59" s="2032"/>
      <c r="K59" s="51"/>
      <c r="L59" s="2032"/>
      <c r="M59" s="2032"/>
      <c r="O59" s="2032"/>
      <c r="P59" s="2032"/>
      <c r="Q59" s="137"/>
      <c r="R59" s="137"/>
      <c r="S59" s="137"/>
      <c r="T59" s="137"/>
      <c r="U59" s="137"/>
      <c r="V59" s="137"/>
    </row>
    <row r="60" spans="1:22" s="141" customFormat="1">
      <c r="A60" s="623"/>
      <c r="B60" s="25" t="s">
        <v>426</v>
      </c>
      <c r="C60" s="2610">
        <f>C54-SUM(C56:C59)</f>
        <v>29475611.508272961</v>
      </c>
      <c r="D60" s="382">
        <f>D54-SUM(D56:D59)</f>
        <v>398680.80695450306</v>
      </c>
      <c r="E60" s="251"/>
      <c r="F60" s="2610">
        <v>7121214.8423374705</v>
      </c>
      <c r="G60" s="2610">
        <v>96228.553088993271</v>
      </c>
      <c r="H60" s="2621"/>
      <c r="I60" s="2610">
        <v>5198806.0778000094</v>
      </c>
      <c r="J60" s="382">
        <v>67477.732399999979</v>
      </c>
      <c r="K60" s="382"/>
      <c r="L60" s="382">
        <v>6423512.629999999</v>
      </c>
      <c r="M60" s="382">
        <v>81895.060000000027</v>
      </c>
      <c r="O60" s="382">
        <v>13799778.460000001</v>
      </c>
      <c r="P60" s="382">
        <v>183455.96</v>
      </c>
      <c r="Q60" s="137"/>
      <c r="R60" s="137"/>
      <c r="S60" s="137"/>
      <c r="T60" s="137"/>
      <c r="U60" s="137"/>
      <c r="V60" s="137"/>
    </row>
    <row r="61" spans="1:22" s="141" customFormat="1">
      <c r="A61" s="623"/>
      <c r="B61" s="25"/>
      <c r="C61" s="2610"/>
      <c r="D61" s="382"/>
      <c r="E61" s="251"/>
      <c r="F61" s="2610"/>
      <c r="G61" s="2610"/>
      <c r="H61" s="2621"/>
      <c r="I61" s="2610"/>
      <c r="J61" s="382"/>
      <c r="K61" s="382"/>
      <c r="L61" s="382"/>
      <c r="M61" s="382"/>
      <c r="O61" s="382"/>
      <c r="P61" s="382"/>
      <c r="Q61" s="137"/>
      <c r="R61" s="137"/>
      <c r="S61" s="137"/>
      <c r="T61" s="137"/>
      <c r="U61" s="137"/>
      <c r="V61" s="137"/>
    </row>
    <row r="62" spans="1:22" s="141" customFormat="1">
      <c r="A62" s="623" t="s">
        <v>255</v>
      </c>
      <c r="B62" s="22" t="s">
        <v>2258</v>
      </c>
      <c r="C62" s="2609">
        <f>-'מאזן בוחן הודו'!J347</f>
        <v>-635728.73</v>
      </c>
      <c r="D62" s="630">
        <f>-'מאזן בוחן הודו'!K347</f>
        <v>-22115.339999999997</v>
      </c>
      <c r="E62" s="52"/>
      <c r="F62" s="2619">
        <v>-275993.09999999998</v>
      </c>
      <c r="G62" s="2619">
        <v>-5664.2499999999991</v>
      </c>
      <c r="H62" s="2620"/>
      <c r="I62" s="2619">
        <v>-266040.43999999994</v>
      </c>
      <c r="J62" s="2032">
        <v>-1174.6199999999999</v>
      </c>
      <c r="K62" s="51"/>
      <c r="L62" s="2032">
        <v>-27840.13</v>
      </c>
      <c r="M62" s="2032">
        <v>5767.32</v>
      </c>
      <c r="O62" s="2032">
        <v>-22418.010000000002</v>
      </c>
      <c r="P62" s="2032">
        <v>-298.02999999999997</v>
      </c>
      <c r="Q62" s="137"/>
      <c r="R62" s="137"/>
      <c r="S62" s="137"/>
      <c r="T62" s="137"/>
      <c r="U62" s="137"/>
      <c r="V62" s="137"/>
    </row>
    <row r="63" spans="1:22" s="141" customFormat="1">
      <c r="A63" s="623"/>
      <c r="B63" s="26" t="s">
        <v>248</v>
      </c>
      <c r="C63" s="2610">
        <f>SUM(C60:C62)</f>
        <v>28839882.77827296</v>
      </c>
      <c r="D63" s="382">
        <f>SUM(D60:D62)</f>
        <v>376565.46695450309</v>
      </c>
      <c r="E63" s="251"/>
      <c r="F63" s="2610">
        <v>6845221.7423374709</v>
      </c>
      <c r="G63" s="2610">
        <v>90564.303088993271</v>
      </c>
      <c r="H63" s="2621"/>
      <c r="I63" s="2610">
        <v>4932765.6378000099</v>
      </c>
      <c r="J63" s="382">
        <v>66303.112399999984</v>
      </c>
      <c r="K63" s="382"/>
      <c r="L63" s="382">
        <v>6395672.4999999991</v>
      </c>
      <c r="M63" s="382">
        <v>87662.380000000034</v>
      </c>
      <c r="O63" s="382">
        <v>13777360.450000001</v>
      </c>
      <c r="P63" s="382">
        <v>183157.93</v>
      </c>
      <c r="Q63" s="137"/>
      <c r="R63" s="137"/>
      <c r="S63" s="137"/>
      <c r="T63" s="137"/>
      <c r="U63" s="137"/>
      <c r="V63" s="137"/>
    </row>
    <row r="64" spans="1:22" s="141" customFormat="1">
      <c r="A64" s="623"/>
      <c r="B64" s="26"/>
      <c r="C64" s="2610"/>
      <c r="D64" s="382"/>
      <c r="E64" s="251"/>
      <c r="F64" s="2610"/>
      <c r="G64" s="2610"/>
      <c r="H64" s="2621"/>
      <c r="I64" s="2610"/>
      <c r="J64" s="382"/>
      <c r="K64" s="382"/>
      <c r="L64" s="382"/>
      <c r="M64" s="382"/>
      <c r="O64" s="382"/>
      <c r="P64" s="382"/>
      <c r="Q64" s="137"/>
      <c r="R64" s="137"/>
      <c r="S64" s="137"/>
      <c r="T64" s="137"/>
      <c r="U64" s="137"/>
      <c r="V64" s="137"/>
    </row>
    <row r="65" spans="1:22" s="141" customFormat="1">
      <c r="A65" s="623" t="s">
        <v>256</v>
      </c>
      <c r="B65" s="22" t="s">
        <v>302</v>
      </c>
      <c r="C65" s="2611">
        <f>'מאזן בוחן הודו'!J339</f>
        <v>10487885.722710099</v>
      </c>
      <c r="D65" s="2611">
        <f>'מאזן בוחן הודו'!K339</f>
        <v>141683.18003647382</v>
      </c>
      <c r="E65" s="204"/>
      <c r="F65" s="2622">
        <v>1483200</v>
      </c>
      <c r="G65" s="2622">
        <v>20127.73</v>
      </c>
      <c r="H65" s="2623"/>
      <c r="I65" s="2622">
        <v>1483200</v>
      </c>
      <c r="J65" s="2495">
        <v>20127.73</v>
      </c>
      <c r="K65" s="518"/>
      <c r="L65" s="2033">
        <v>0</v>
      </c>
      <c r="M65" s="2033">
        <v>0</v>
      </c>
      <c r="O65" s="2033">
        <v>0</v>
      </c>
      <c r="P65" s="2033">
        <v>0</v>
      </c>
      <c r="Q65" s="137"/>
      <c r="R65" s="137"/>
      <c r="S65" s="137"/>
      <c r="T65" s="137"/>
      <c r="U65" s="137"/>
      <c r="V65" s="137"/>
    </row>
    <row r="66" spans="1:22" s="141" customFormat="1">
      <c r="A66" s="623"/>
      <c r="B66" s="22"/>
      <c r="C66" s="2612"/>
      <c r="D66" s="51"/>
      <c r="E66" s="52"/>
      <c r="F66" s="2602"/>
      <c r="G66" s="2602"/>
      <c r="H66" s="2620"/>
      <c r="I66" s="2602"/>
      <c r="J66" s="137"/>
      <c r="K66" s="51"/>
      <c r="L66" s="137"/>
      <c r="M66" s="137"/>
      <c r="O66" s="137"/>
      <c r="P66" s="137"/>
      <c r="Q66" s="137"/>
      <c r="R66" s="137"/>
      <c r="S66" s="137"/>
      <c r="T66" s="137"/>
      <c r="U66" s="137"/>
      <c r="V66" s="137"/>
    </row>
    <row r="67" spans="1:22" s="141" customFormat="1">
      <c r="A67" s="623"/>
      <c r="B67" s="25" t="s">
        <v>249</v>
      </c>
      <c r="C67" s="2610">
        <f>C63-C65</f>
        <v>18351997.055562861</v>
      </c>
      <c r="D67" s="382">
        <f>D63-D65</f>
        <v>234882.28691802928</v>
      </c>
      <c r="E67" s="251"/>
      <c r="F67" s="2610">
        <v>5362021.7423374709</v>
      </c>
      <c r="G67" s="2610">
        <v>70436.573088993275</v>
      </c>
      <c r="H67" s="2621"/>
      <c r="I67" s="2610">
        <v>3449565.6378000099</v>
      </c>
      <c r="J67" s="382">
        <v>46175.382399999988</v>
      </c>
      <c r="K67" s="382"/>
      <c r="L67" s="382">
        <v>6395672.4999999991</v>
      </c>
      <c r="M67" s="382">
        <v>87662.380000000034</v>
      </c>
      <c r="O67" s="382">
        <v>13777360.450000001</v>
      </c>
      <c r="P67" s="382">
        <v>183157.93</v>
      </c>
      <c r="Q67" s="137"/>
      <c r="R67" s="137"/>
      <c r="S67" s="137"/>
      <c r="T67" s="137"/>
      <c r="U67" s="137"/>
      <c r="V67" s="137"/>
    </row>
    <row r="68" spans="1:22" s="141" customFormat="1">
      <c r="A68" s="137"/>
      <c r="B68" s="137"/>
      <c r="C68" s="2602"/>
      <c r="F68" s="2602"/>
      <c r="G68" s="2602"/>
      <c r="H68" s="2601"/>
      <c r="I68" s="2602"/>
      <c r="J68" s="137"/>
      <c r="L68" s="137"/>
      <c r="M68" s="137"/>
      <c r="N68" s="137"/>
      <c r="O68" s="137"/>
      <c r="P68" s="137"/>
      <c r="Q68" s="137"/>
      <c r="R68" s="137"/>
      <c r="S68" s="137"/>
      <c r="T68" s="137"/>
      <c r="U68" s="137"/>
      <c r="V68" s="137"/>
    </row>
    <row r="69" spans="1:22" s="141" customFormat="1" ht="17.100000000000001" customHeight="1">
      <c r="A69" s="137"/>
      <c r="B69" s="137"/>
      <c r="C69" s="2602"/>
      <c r="F69" s="2602"/>
      <c r="G69" s="2602"/>
      <c r="H69" s="2601"/>
      <c r="I69" s="2602"/>
      <c r="J69" s="137"/>
      <c r="L69" s="137"/>
      <c r="M69" s="137"/>
      <c r="N69" s="137"/>
      <c r="O69" s="137"/>
      <c r="P69" s="137"/>
      <c r="Q69" s="137"/>
      <c r="R69" s="137"/>
      <c r="S69" s="137"/>
      <c r="T69" s="137"/>
      <c r="U69" s="137"/>
      <c r="V69" s="137"/>
    </row>
    <row r="70" spans="1:22" s="141" customFormat="1" ht="17.100000000000001" customHeight="1">
      <c r="A70" s="137"/>
      <c r="B70" s="137"/>
      <c r="C70" s="2602"/>
      <c r="D70" s="2602"/>
      <c r="E70" s="2602"/>
      <c r="F70" s="2602"/>
      <c r="G70" s="2602"/>
      <c r="H70" s="2602"/>
      <c r="I70" s="2602"/>
      <c r="J70" s="2602"/>
      <c r="K70" s="2602"/>
      <c r="L70" s="2602"/>
      <c r="M70" s="137"/>
      <c r="N70" s="137"/>
      <c r="O70" s="137"/>
      <c r="P70" s="137"/>
      <c r="Q70" s="137"/>
      <c r="R70" s="137"/>
      <c r="S70" s="137"/>
      <c r="T70" s="137"/>
      <c r="U70" s="137"/>
      <c r="V70" s="137"/>
    </row>
    <row r="71" spans="1:22" s="141" customFormat="1" ht="17.100000000000001" customHeight="1">
      <c r="A71" s="137"/>
      <c r="B71" s="137"/>
      <c r="C71" s="2602"/>
      <c r="D71" s="2602"/>
      <c r="E71" s="2602"/>
      <c r="F71" s="2602"/>
      <c r="G71" s="2602"/>
      <c r="H71" s="2602"/>
      <c r="I71" s="2602"/>
      <c r="J71" s="2602"/>
      <c r="K71" s="2602"/>
      <c r="L71" s="2602"/>
      <c r="M71" s="137"/>
      <c r="N71" s="137"/>
      <c r="O71" s="137"/>
      <c r="P71" s="137"/>
      <c r="Q71" s="137"/>
      <c r="R71" s="137"/>
      <c r="S71" s="137"/>
      <c r="T71" s="137"/>
      <c r="U71" s="137"/>
      <c r="V71" s="137"/>
    </row>
    <row r="72" spans="1:22" s="141" customFormat="1" ht="17.100000000000001" customHeight="1">
      <c r="A72" s="137"/>
      <c r="B72" s="137"/>
      <c r="C72" s="2602"/>
      <c r="D72" s="2602"/>
      <c r="E72" s="2602"/>
      <c r="F72" s="2602"/>
      <c r="G72" s="2602"/>
      <c r="H72" s="2602"/>
      <c r="I72" s="2602"/>
      <c r="J72" s="2602"/>
      <c r="K72" s="2602"/>
      <c r="L72" s="2602"/>
      <c r="M72" s="137"/>
      <c r="N72" s="137"/>
      <c r="O72" s="137"/>
      <c r="P72" s="137"/>
      <c r="Q72" s="137"/>
      <c r="R72" s="137"/>
      <c r="S72" s="137"/>
      <c r="T72" s="137"/>
      <c r="U72" s="137"/>
      <c r="V72" s="137"/>
    </row>
    <row r="73" spans="1:22" s="141" customFormat="1" ht="17.100000000000001" customHeight="1">
      <c r="A73" s="137"/>
      <c r="B73" s="137"/>
      <c r="C73" s="2602"/>
      <c r="F73" s="2602"/>
      <c r="G73" s="2602"/>
      <c r="H73" s="2601"/>
      <c r="I73" s="2602"/>
      <c r="J73" s="137"/>
      <c r="L73" s="137"/>
      <c r="M73" s="137"/>
      <c r="N73" s="137"/>
      <c r="O73" s="137"/>
      <c r="P73" s="137"/>
      <c r="Q73" s="137"/>
      <c r="R73" s="137"/>
      <c r="S73" s="137"/>
      <c r="T73" s="137"/>
      <c r="U73" s="137"/>
      <c r="V73" s="137"/>
    </row>
    <row r="74" spans="1:22" s="141" customFormat="1" ht="17.100000000000001" customHeight="1">
      <c r="A74" s="137"/>
      <c r="B74" s="137"/>
      <c r="C74" s="2602"/>
      <c r="F74" s="2602"/>
      <c r="G74" s="2602"/>
      <c r="H74" s="2601"/>
      <c r="I74" s="2602"/>
      <c r="J74" s="137"/>
      <c r="L74" s="137"/>
      <c r="M74" s="137"/>
      <c r="N74" s="137"/>
      <c r="O74" s="137"/>
      <c r="P74" s="137"/>
      <c r="Q74" s="137"/>
      <c r="R74" s="137"/>
      <c r="S74" s="137"/>
      <c r="T74" s="137"/>
      <c r="U74" s="137"/>
      <c r="V74" s="137"/>
    </row>
    <row r="75" spans="1:22" s="141" customFormat="1" ht="17.100000000000001" customHeight="1">
      <c r="A75" s="137"/>
      <c r="B75" s="137"/>
      <c r="C75" s="2602"/>
      <c r="F75" s="2602"/>
      <c r="G75" s="2602"/>
      <c r="H75" s="2601"/>
      <c r="I75" s="2602"/>
      <c r="J75" s="137"/>
      <c r="L75" s="137"/>
      <c r="M75" s="137"/>
      <c r="N75" s="137"/>
      <c r="O75" s="137"/>
      <c r="P75" s="137"/>
      <c r="Q75" s="137"/>
      <c r="R75" s="137"/>
      <c r="S75" s="137"/>
      <c r="T75" s="137"/>
      <c r="U75" s="137"/>
      <c r="V75" s="137"/>
    </row>
    <row r="76" spans="1:22" s="141" customFormat="1" ht="17.100000000000001" customHeight="1">
      <c r="A76" s="137"/>
      <c r="B76" s="137"/>
      <c r="C76" s="2602"/>
      <c r="F76" s="2602"/>
      <c r="G76" s="2602"/>
      <c r="H76" s="2601"/>
      <c r="I76" s="2602"/>
      <c r="J76" s="137"/>
      <c r="L76" s="137"/>
      <c r="M76" s="137"/>
      <c r="N76" s="137"/>
      <c r="O76" s="137"/>
      <c r="P76" s="137"/>
      <c r="Q76" s="137"/>
      <c r="R76" s="137"/>
      <c r="S76" s="137"/>
      <c r="T76" s="137"/>
      <c r="U76" s="137"/>
      <c r="V76" s="137"/>
    </row>
    <row r="77" spans="1:22" s="141" customFormat="1" ht="17.100000000000001" customHeight="1">
      <c r="A77" s="137"/>
      <c r="B77" s="137"/>
      <c r="C77" s="2602"/>
      <c r="F77" s="2602"/>
      <c r="G77" s="2602"/>
      <c r="H77" s="2601"/>
      <c r="I77" s="2602"/>
      <c r="J77" s="137"/>
      <c r="L77" s="137"/>
      <c r="M77" s="137"/>
      <c r="N77" s="137"/>
      <c r="O77" s="137"/>
      <c r="P77" s="137"/>
      <c r="Q77" s="137"/>
      <c r="R77" s="137"/>
      <c r="S77" s="137"/>
      <c r="T77" s="137"/>
      <c r="U77" s="137"/>
      <c r="V77" s="137"/>
    </row>
    <row r="78" spans="1:22" s="141" customFormat="1" ht="17.100000000000001" customHeight="1">
      <c r="A78" s="137"/>
      <c r="B78" s="137"/>
      <c r="C78" s="2602"/>
      <c r="F78" s="2602"/>
      <c r="G78" s="2602"/>
      <c r="H78" s="2601"/>
      <c r="I78" s="2602"/>
      <c r="J78" s="137"/>
      <c r="L78" s="137"/>
      <c r="M78" s="137"/>
      <c r="N78" s="137"/>
      <c r="O78" s="137"/>
      <c r="P78" s="137"/>
      <c r="Q78" s="137"/>
      <c r="R78" s="137"/>
      <c r="S78" s="137"/>
      <c r="T78" s="137"/>
      <c r="U78" s="137"/>
      <c r="V78" s="137"/>
    </row>
    <row r="79" spans="1:22" s="141" customFormat="1" ht="17.100000000000001" customHeight="1">
      <c r="A79" s="137"/>
      <c r="B79" s="137"/>
      <c r="C79" s="2602"/>
      <c r="F79" s="2602"/>
      <c r="G79" s="2602"/>
      <c r="H79" s="2601"/>
      <c r="I79" s="2602"/>
      <c r="J79" s="137"/>
      <c r="L79" s="137"/>
      <c r="M79" s="137"/>
      <c r="N79" s="137"/>
      <c r="O79" s="137"/>
      <c r="P79" s="137"/>
      <c r="Q79" s="137"/>
      <c r="R79" s="137"/>
      <c r="S79" s="137"/>
      <c r="T79" s="137"/>
      <c r="U79" s="137"/>
      <c r="V79" s="137"/>
    </row>
    <row r="80" spans="1:22" s="141" customFormat="1" ht="17.100000000000001" customHeight="1">
      <c r="A80" s="137"/>
      <c r="B80" s="137"/>
      <c r="C80" s="2602"/>
      <c r="F80" s="2602"/>
      <c r="G80" s="2602"/>
      <c r="H80" s="2601"/>
      <c r="I80" s="2602"/>
      <c r="J80" s="137"/>
      <c r="L80" s="137"/>
      <c r="M80" s="137"/>
      <c r="N80" s="137"/>
      <c r="O80" s="137"/>
      <c r="P80" s="137"/>
      <c r="Q80" s="137"/>
      <c r="R80" s="137"/>
      <c r="S80" s="137"/>
      <c r="T80" s="137"/>
      <c r="U80" s="137"/>
      <c r="V80" s="137"/>
    </row>
    <row r="81" spans="1:22" s="141" customFormat="1" ht="17.100000000000001" customHeight="1">
      <c r="A81" s="137"/>
      <c r="B81" s="137"/>
      <c r="C81" s="2602"/>
      <c r="F81" s="2602"/>
      <c r="G81" s="2602"/>
      <c r="H81" s="2601"/>
      <c r="I81" s="2602"/>
      <c r="J81" s="137"/>
      <c r="L81" s="137"/>
      <c r="M81" s="137"/>
      <c r="N81" s="137"/>
      <c r="O81" s="137"/>
      <c r="P81" s="137"/>
      <c r="Q81" s="137"/>
      <c r="R81" s="137"/>
      <c r="S81" s="137"/>
      <c r="T81" s="137"/>
      <c r="U81" s="137"/>
      <c r="V81" s="137"/>
    </row>
    <row r="82" spans="1:22" s="141" customFormat="1" ht="17.100000000000001" customHeight="1">
      <c r="A82" s="137"/>
      <c r="B82" s="137"/>
      <c r="C82" s="2602"/>
      <c r="F82" s="2602"/>
      <c r="G82" s="2602"/>
      <c r="H82" s="2601"/>
      <c r="I82" s="2602"/>
      <c r="J82" s="137"/>
      <c r="L82" s="137"/>
      <c r="M82" s="137"/>
      <c r="N82" s="137"/>
      <c r="O82" s="137"/>
      <c r="P82" s="137"/>
      <c r="Q82" s="137"/>
      <c r="R82" s="137"/>
      <c r="S82" s="137"/>
      <c r="T82" s="137"/>
      <c r="U82" s="137"/>
      <c r="V82" s="137"/>
    </row>
    <row r="83" spans="1:22" s="141" customFormat="1" ht="17.100000000000001" customHeight="1">
      <c r="A83" s="137"/>
      <c r="B83" s="137"/>
      <c r="C83" s="2602"/>
      <c r="F83" s="2602"/>
      <c r="G83" s="2602"/>
      <c r="H83" s="2601"/>
      <c r="I83" s="2602"/>
      <c r="J83" s="137"/>
      <c r="L83" s="137"/>
      <c r="M83" s="137"/>
      <c r="N83" s="137"/>
      <c r="O83" s="137"/>
      <c r="P83" s="137"/>
      <c r="Q83" s="137"/>
      <c r="R83" s="137"/>
      <c r="S83" s="137"/>
      <c r="T83" s="137"/>
      <c r="U83" s="137"/>
      <c r="V83" s="137"/>
    </row>
    <row r="84" spans="1:22" s="141" customFormat="1" ht="17.100000000000001" customHeight="1">
      <c r="A84" s="137"/>
      <c r="B84" s="137"/>
      <c r="C84" s="2602"/>
      <c r="F84" s="2602"/>
      <c r="G84" s="2602"/>
      <c r="H84" s="2601"/>
      <c r="I84" s="2602"/>
      <c r="J84" s="137"/>
      <c r="L84" s="137"/>
      <c r="M84" s="137"/>
      <c r="N84" s="137"/>
      <c r="O84" s="137"/>
      <c r="P84" s="137"/>
      <c r="Q84" s="137"/>
      <c r="R84" s="137"/>
      <c r="S84" s="137"/>
      <c r="T84" s="137"/>
      <c r="U84" s="137"/>
      <c r="V84" s="137"/>
    </row>
    <row r="85" spans="1:22" s="141" customFormat="1" ht="17.100000000000001" customHeight="1">
      <c r="A85" s="137"/>
      <c r="B85" s="137"/>
      <c r="C85" s="2602"/>
      <c r="F85" s="2602"/>
      <c r="G85" s="2602"/>
      <c r="H85" s="2601"/>
      <c r="I85" s="2602"/>
      <c r="J85" s="137"/>
      <c r="L85" s="137"/>
      <c r="M85" s="137"/>
      <c r="N85" s="137"/>
      <c r="O85" s="137"/>
      <c r="P85" s="137"/>
      <c r="Q85" s="137"/>
      <c r="R85" s="137"/>
      <c r="S85" s="137"/>
      <c r="T85" s="137"/>
      <c r="U85" s="137"/>
      <c r="V85" s="137"/>
    </row>
    <row r="86" spans="1:22" s="141" customFormat="1" ht="17.100000000000001" customHeight="1">
      <c r="A86" s="137"/>
      <c r="B86" s="137"/>
      <c r="C86" s="2602"/>
      <c r="F86" s="2602"/>
      <c r="G86" s="2602"/>
      <c r="H86" s="2601"/>
      <c r="I86" s="2602"/>
      <c r="J86" s="137"/>
      <c r="L86" s="137"/>
      <c r="M86" s="137"/>
      <c r="N86" s="137"/>
      <c r="O86" s="137"/>
      <c r="P86" s="137"/>
      <c r="Q86" s="137"/>
      <c r="R86" s="137"/>
      <c r="S86" s="137"/>
      <c r="T86" s="137"/>
      <c r="U86" s="137"/>
      <c r="V86" s="137"/>
    </row>
    <row r="87" spans="1:22" s="141" customFormat="1" ht="17.100000000000001" customHeight="1">
      <c r="A87" s="137"/>
      <c r="B87" s="137"/>
      <c r="C87" s="2602"/>
      <c r="F87" s="2602"/>
      <c r="G87" s="2602"/>
      <c r="H87" s="2601"/>
      <c r="I87" s="2602"/>
      <c r="J87" s="137"/>
      <c r="L87" s="137"/>
      <c r="M87" s="137"/>
      <c r="N87" s="137"/>
      <c r="O87" s="137"/>
      <c r="P87" s="137"/>
      <c r="Q87" s="137"/>
      <c r="R87" s="137"/>
      <c r="S87" s="137"/>
      <c r="T87" s="137"/>
      <c r="U87" s="137"/>
      <c r="V87" s="137"/>
    </row>
    <row r="88" spans="1:22" ht="17.100000000000001" customHeight="1">
      <c r="B88" s="137"/>
      <c r="C88" s="2602"/>
      <c r="N88" s="137"/>
      <c r="Q88" s="137"/>
      <c r="R88" s="137"/>
      <c r="S88" s="137"/>
    </row>
    <row r="89" spans="1:22" ht="17.100000000000001" customHeight="1">
      <c r="B89" s="137"/>
      <c r="C89" s="2602"/>
      <c r="N89" s="137"/>
      <c r="Q89" s="137"/>
      <c r="R89" s="137"/>
      <c r="S89" s="137"/>
    </row>
    <row r="90" spans="1:22" ht="17.100000000000001" customHeight="1">
      <c r="B90" s="137"/>
      <c r="C90" s="2602"/>
      <c r="N90" s="137"/>
      <c r="Q90" s="137"/>
      <c r="R90" s="137"/>
      <c r="S90" s="137"/>
    </row>
    <row r="91" spans="1:22" ht="17.100000000000001" customHeight="1">
      <c r="B91" s="137"/>
      <c r="C91" s="2602"/>
      <c r="N91" s="137"/>
      <c r="Q91" s="137"/>
      <c r="R91" s="137"/>
      <c r="S91" s="137"/>
    </row>
    <row r="92" spans="1:22" ht="17.100000000000001" customHeight="1">
      <c r="B92" s="137"/>
      <c r="C92" s="2602"/>
      <c r="N92" s="137"/>
      <c r="Q92" s="137"/>
      <c r="R92" s="137"/>
      <c r="S92" s="137"/>
    </row>
    <row r="93" spans="1:22" ht="17.100000000000001" customHeight="1">
      <c r="B93" s="137"/>
      <c r="C93" s="2602"/>
      <c r="N93" s="137"/>
      <c r="Q93" s="137"/>
      <c r="R93" s="137"/>
      <c r="S93" s="137"/>
    </row>
    <row r="94" spans="1:22" ht="17.100000000000001" customHeight="1">
      <c r="B94" s="137"/>
      <c r="C94" s="2602"/>
      <c r="N94" s="137"/>
      <c r="Q94" s="137"/>
      <c r="R94" s="137"/>
      <c r="S94" s="137"/>
    </row>
    <row r="95" spans="1:22" ht="17.100000000000001" customHeight="1">
      <c r="B95" s="137"/>
      <c r="C95" s="2602"/>
      <c r="N95" s="137"/>
      <c r="Q95" s="137"/>
      <c r="R95" s="137"/>
      <c r="S95" s="137"/>
    </row>
    <row r="96" spans="1:22" ht="17.100000000000001" customHeight="1">
      <c r="B96" s="137"/>
      <c r="C96" s="2602"/>
      <c r="N96" s="137"/>
      <c r="Q96" s="137"/>
      <c r="R96" s="137"/>
      <c r="S96" s="137"/>
    </row>
    <row r="97" spans="3:11" s="137" customFormat="1" ht="17.100000000000001" customHeight="1">
      <c r="C97" s="2602"/>
      <c r="D97" s="141"/>
      <c r="E97" s="141"/>
      <c r="F97" s="2602"/>
      <c r="G97" s="2602"/>
      <c r="H97" s="2601"/>
      <c r="I97" s="2602"/>
      <c r="K97" s="141"/>
    </row>
    <row r="98" spans="3:11" s="137" customFormat="1" ht="17.100000000000001" customHeight="1">
      <c r="C98" s="2602"/>
      <c r="D98" s="141"/>
      <c r="E98" s="141"/>
      <c r="F98" s="2602"/>
      <c r="G98" s="2602"/>
      <c r="H98" s="2601"/>
      <c r="I98" s="2602"/>
      <c r="K98" s="141"/>
    </row>
    <row r="99" spans="3:11" s="137" customFormat="1" ht="17.100000000000001" customHeight="1">
      <c r="C99" s="2602"/>
      <c r="D99" s="141"/>
      <c r="E99" s="141"/>
      <c r="F99" s="2602"/>
      <c r="G99" s="2602"/>
      <c r="H99" s="2601"/>
      <c r="I99" s="2602"/>
      <c r="K99" s="141"/>
    </row>
    <row r="100" spans="3:11" s="137" customFormat="1" ht="17.100000000000001" customHeight="1">
      <c r="C100" s="2602"/>
      <c r="D100" s="141"/>
      <c r="E100" s="141"/>
      <c r="F100" s="2602"/>
      <c r="G100" s="2602"/>
      <c r="H100" s="2601"/>
      <c r="I100" s="2602"/>
      <c r="K100" s="141"/>
    </row>
    <row r="101" spans="3:11" s="137" customFormat="1" ht="17.100000000000001" customHeight="1">
      <c r="C101" s="2602"/>
      <c r="D101" s="141"/>
      <c r="E101" s="141"/>
      <c r="F101" s="2602"/>
      <c r="G101" s="2602"/>
      <c r="H101" s="2601"/>
      <c r="I101" s="2602"/>
      <c r="K101" s="141"/>
    </row>
    <row r="102" spans="3:11" s="137" customFormat="1" ht="17.100000000000001" customHeight="1">
      <c r="C102" s="2602"/>
      <c r="D102" s="141"/>
      <c r="E102" s="141"/>
      <c r="F102" s="2602"/>
      <c r="G102" s="2602"/>
      <c r="H102" s="2601"/>
      <c r="I102" s="2602"/>
      <c r="K102" s="141"/>
    </row>
    <row r="103" spans="3:11" s="137" customFormat="1" ht="17.100000000000001" customHeight="1">
      <c r="C103" s="2602"/>
      <c r="D103" s="141"/>
      <c r="E103" s="141"/>
      <c r="F103" s="2602"/>
      <c r="G103" s="2602"/>
      <c r="H103" s="2601"/>
      <c r="I103" s="2602"/>
      <c r="K103" s="141"/>
    </row>
    <row r="104" spans="3:11" s="137" customFormat="1" ht="17.100000000000001" customHeight="1">
      <c r="C104" s="2602"/>
      <c r="D104" s="141"/>
      <c r="E104" s="141"/>
      <c r="F104" s="2602"/>
      <c r="G104" s="2602"/>
      <c r="H104" s="2601"/>
      <c r="I104" s="2602"/>
      <c r="K104" s="141"/>
    </row>
    <row r="105" spans="3:11" s="137" customFormat="1" ht="17.100000000000001" customHeight="1">
      <c r="C105" s="2602"/>
      <c r="D105" s="141"/>
      <c r="E105" s="141"/>
      <c r="F105" s="2602"/>
      <c r="G105" s="2602"/>
      <c r="H105" s="2601"/>
      <c r="I105" s="2602"/>
      <c r="K105" s="141"/>
    </row>
    <row r="106" spans="3:11" s="137" customFormat="1" ht="17.100000000000001" customHeight="1">
      <c r="C106" s="2602"/>
      <c r="D106" s="141"/>
      <c r="E106" s="141"/>
      <c r="F106" s="2602"/>
      <c r="G106" s="2602"/>
      <c r="H106" s="2601"/>
      <c r="I106" s="2602"/>
      <c r="K106" s="141"/>
    </row>
    <row r="107" spans="3:11" s="137" customFormat="1" ht="17.100000000000001" customHeight="1">
      <c r="C107" s="2602"/>
      <c r="D107" s="141"/>
      <c r="E107" s="141"/>
      <c r="F107" s="2602"/>
      <c r="G107" s="2602"/>
      <c r="H107" s="2601"/>
      <c r="I107" s="2602"/>
      <c r="K107" s="141"/>
    </row>
    <row r="108" spans="3:11" s="137" customFormat="1" ht="17.100000000000001" customHeight="1">
      <c r="C108" s="2602"/>
      <c r="D108" s="141"/>
      <c r="E108" s="141"/>
      <c r="F108" s="2602"/>
      <c r="G108" s="2602"/>
      <c r="H108" s="2601"/>
      <c r="I108" s="2602"/>
      <c r="K108" s="141"/>
    </row>
    <row r="109" spans="3:11" s="137" customFormat="1" ht="17.100000000000001" customHeight="1">
      <c r="C109" s="2602"/>
      <c r="D109" s="141"/>
      <c r="E109" s="141"/>
      <c r="F109" s="2602"/>
      <c r="G109" s="2602"/>
      <c r="H109" s="2601"/>
      <c r="I109" s="2602"/>
      <c r="K109" s="141"/>
    </row>
    <row r="110" spans="3:11" s="137" customFormat="1" ht="17.100000000000001" customHeight="1">
      <c r="C110" s="2602"/>
      <c r="D110" s="141"/>
      <c r="E110" s="141"/>
      <c r="F110" s="2602"/>
      <c r="G110" s="2602"/>
      <c r="H110" s="2601"/>
      <c r="I110" s="2602"/>
      <c r="K110" s="141"/>
    </row>
    <row r="111" spans="3:11" s="137" customFormat="1" ht="17.100000000000001" customHeight="1">
      <c r="C111" s="2602"/>
      <c r="D111" s="141"/>
      <c r="E111" s="141"/>
      <c r="F111" s="2602"/>
      <c r="G111" s="2602"/>
      <c r="H111" s="2601"/>
      <c r="I111" s="2602"/>
      <c r="K111" s="141"/>
    </row>
    <row r="112" spans="3:11" s="137" customFormat="1" ht="17.100000000000001" customHeight="1">
      <c r="C112" s="2602"/>
      <c r="D112" s="141"/>
      <c r="E112" s="141"/>
      <c r="F112" s="2602"/>
      <c r="G112" s="2602"/>
      <c r="H112" s="2601"/>
      <c r="I112" s="2602"/>
      <c r="K112" s="141"/>
    </row>
    <row r="113" spans="3:11" s="137" customFormat="1" ht="17.100000000000001" customHeight="1">
      <c r="C113" s="2602"/>
      <c r="D113" s="141"/>
      <c r="E113" s="141"/>
      <c r="F113" s="2602"/>
      <c r="G113" s="2602"/>
      <c r="H113" s="2601"/>
      <c r="I113" s="2602"/>
      <c r="K113" s="141"/>
    </row>
    <row r="114" spans="3:11" s="137" customFormat="1" ht="17.100000000000001" customHeight="1">
      <c r="C114" s="2602"/>
      <c r="D114" s="141"/>
      <c r="E114" s="141"/>
      <c r="F114" s="2602"/>
      <c r="G114" s="2602"/>
      <c r="H114" s="2601"/>
      <c r="I114" s="2602"/>
      <c r="K114" s="141"/>
    </row>
    <row r="115" spans="3:11" s="137" customFormat="1" ht="17.100000000000001" customHeight="1">
      <c r="C115" s="2602"/>
      <c r="D115" s="141"/>
      <c r="E115" s="141"/>
      <c r="F115" s="2602"/>
      <c r="G115" s="2602"/>
      <c r="H115" s="2601"/>
      <c r="I115" s="2602"/>
      <c r="K115" s="141"/>
    </row>
    <row r="116" spans="3:11" s="137" customFormat="1" ht="17.100000000000001" customHeight="1">
      <c r="C116" s="2602"/>
      <c r="D116" s="141"/>
      <c r="E116" s="141"/>
      <c r="F116" s="2602"/>
      <c r="G116" s="2602"/>
      <c r="H116" s="2601"/>
      <c r="I116" s="2602"/>
      <c r="K116" s="141"/>
    </row>
    <row r="117" spans="3:11" s="137" customFormat="1" ht="17.100000000000001" customHeight="1">
      <c r="C117" s="2602"/>
      <c r="D117" s="141"/>
      <c r="E117" s="141"/>
      <c r="F117" s="2602"/>
      <c r="G117" s="2602"/>
      <c r="H117" s="2601"/>
      <c r="I117" s="2602"/>
      <c r="K117" s="141"/>
    </row>
    <row r="118" spans="3:11" s="137" customFormat="1" ht="17.100000000000001" customHeight="1">
      <c r="C118" s="2602"/>
      <c r="D118" s="141"/>
      <c r="E118" s="141"/>
      <c r="F118" s="2602"/>
      <c r="G118" s="2602"/>
      <c r="H118" s="2601"/>
      <c r="I118" s="2602"/>
      <c r="K118" s="141"/>
    </row>
    <row r="119" spans="3:11" s="137" customFormat="1" ht="17.100000000000001" customHeight="1">
      <c r="C119" s="2602"/>
      <c r="D119" s="141"/>
      <c r="E119" s="141"/>
      <c r="F119" s="2602"/>
      <c r="G119" s="2602"/>
      <c r="H119" s="2601"/>
      <c r="I119" s="2602"/>
      <c r="K119" s="141"/>
    </row>
    <row r="120" spans="3:11" s="137" customFormat="1" ht="17.100000000000001" customHeight="1">
      <c r="C120" s="2602"/>
      <c r="D120" s="141"/>
      <c r="E120" s="141"/>
      <c r="F120" s="2602"/>
      <c r="G120" s="2602"/>
      <c r="H120" s="2601"/>
      <c r="I120" s="2602"/>
      <c r="K120" s="141"/>
    </row>
    <row r="121" spans="3:11" s="137" customFormat="1" ht="17.100000000000001" customHeight="1">
      <c r="C121" s="2602"/>
      <c r="D121" s="141"/>
      <c r="E121" s="141"/>
      <c r="F121" s="2602"/>
      <c r="G121" s="2602"/>
      <c r="H121" s="2601"/>
      <c r="I121" s="2602"/>
      <c r="K121" s="141"/>
    </row>
    <row r="122" spans="3:11" s="137" customFormat="1" ht="17.100000000000001" customHeight="1">
      <c r="C122" s="2602"/>
      <c r="D122" s="141"/>
      <c r="E122" s="141"/>
      <c r="F122" s="2602"/>
      <c r="G122" s="2602"/>
      <c r="H122" s="2601"/>
      <c r="I122" s="2602"/>
      <c r="K122" s="141"/>
    </row>
    <row r="123" spans="3:11" s="137" customFormat="1" ht="17.100000000000001" customHeight="1">
      <c r="C123" s="2602"/>
      <c r="D123" s="141"/>
      <c r="E123" s="141"/>
      <c r="F123" s="2602"/>
      <c r="G123" s="2602"/>
      <c r="H123" s="2601"/>
      <c r="I123" s="2602"/>
      <c r="K123" s="141"/>
    </row>
    <row r="124" spans="3:11" s="137" customFormat="1" ht="17.100000000000001" customHeight="1">
      <c r="C124" s="2602"/>
      <c r="D124" s="141"/>
      <c r="E124" s="141"/>
      <c r="F124" s="2602"/>
      <c r="G124" s="2602"/>
      <c r="H124" s="2601"/>
      <c r="I124" s="2602"/>
      <c r="K124" s="141"/>
    </row>
    <row r="125" spans="3:11" s="137" customFormat="1" ht="17.100000000000001" customHeight="1">
      <c r="C125" s="2602"/>
      <c r="D125" s="141"/>
      <c r="E125" s="141"/>
      <c r="F125" s="2602"/>
      <c r="G125" s="2602"/>
      <c r="H125" s="2601"/>
      <c r="I125" s="2602"/>
      <c r="K125" s="141"/>
    </row>
    <row r="126" spans="3:11" s="137" customFormat="1" ht="17.100000000000001" customHeight="1">
      <c r="C126" s="2602"/>
      <c r="D126" s="141"/>
      <c r="E126" s="141"/>
      <c r="F126" s="2602"/>
      <c r="G126" s="2602"/>
      <c r="H126" s="2601"/>
      <c r="I126" s="2602"/>
      <c r="K126" s="141"/>
    </row>
    <row r="127" spans="3:11" s="137" customFormat="1" ht="17.100000000000001" customHeight="1">
      <c r="C127" s="2602"/>
      <c r="D127" s="141"/>
      <c r="E127" s="141"/>
      <c r="F127" s="2602"/>
      <c r="G127" s="2602"/>
      <c r="H127" s="2601"/>
      <c r="I127" s="2602"/>
      <c r="K127" s="141"/>
    </row>
    <row r="128" spans="3:11" s="137" customFormat="1" ht="17.100000000000001" customHeight="1">
      <c r="C128" s="2602"/>
      <c r="D128" s="141"/>
      <c r="E128" s="141"/>
      <c r="F128" s="2602"/>
      <c r="G128" s="2602"/>
      <c r="H128" s="2601"/>
      <c r="I128" s="2602"/>
      <c r="K128" s="141"/>
    </row>
    <row r="129" spans="3:9" s="137" customFormat="1" ht="17.100000000000001" customHeight="1">
      <c r="C129" s="2601"/>
      <c r="E129" s="141"/>
      <c r="F129" s="2602"/>
      <c r="G129" s="2602"/>
      <c r="H129" s="2601"/>
      <c r="I129" s="2602"/>
    </row>
    <row r="130" spans="3:9" s="137" customFormat="1" ht="17.100000000000001" customHeight="1">
      <c r="C130" s="2601"/>
      <c r="E130" s="141"/>
      <c r="F130" s="2602"/>
      <c r="G130" s="2602"/>
      <c r="H130" s="2601"/>
      <c r="I130" s="2602"/>
    </row>
    <row r="131" spans="3:9" s="137" customFormat="1" ht="17.100000000000001" customHeight="1">
      <c r="C131" s="2601"/>
      <c r="E131" s="141"/>
      <c r="F131" s="2602"/>
      <c r="G131" s="2602"/>
      <c r="H131" s="2601"/>
      <c r="I131" s="2602"/>
    </row>
    <row r="132" spans="3:9" s="137" customFormat="1" ht="17.100000000000001" customHeight="1">
      <c r="C132" s="2601"/>
      <c r="E132" s="141"/>
      <c r="F132" s="2602"/>
      <c r="G132" s="2602"/>
      <c r="H132" s="2601"/>
      <c r="I132" s="2602"/>
    </row>
    <row r="133" spans="3:9" s="137" customFormat="1" ht="17.100000000000001" customHeight="1">
      <c r="C133" s="2602"/>
      <c r="E133" s="141"/>
      <c r="F133" s="2602"/>
      <c r="G133" s="2602"/>
      <c r="H133" s="2601"/>
      <c r="I133" s="2602"/>
    </row>
    <row r="134" spans="3:9" s="137" customFormat="1" ht="17.100000000000001" customHeight="1">
      <c r="C134" s="2602"/>
      <c r="E134" s="141"/>
      <c r="F134" s="2602"/>
      <c r="G134" s="2602"/>
      <c r="H134" s="2601"/>
      <c r="I134" s="2602"/>
    </row>
    <row r="135" spans="3:9" s="137" customFormat="1" ht="17.100000000000001" customHeight="1">
      <c r="C135" s="2602"/>
      <c r="E135" s="141"/>
      <c r="F135" s="2602"/>
      <c r="G135" s="2602"/>
      <c r="H135" s="2601"/>
      <c r="I135" s="2602"/>
    </row>
    <row r="136" spans="3:9" s="137" customFormat="1" ht="17.100000000000001" customHeight="1">
      <c r="C136" s="2602"/>
      <c r="E136" s="141"/>
      <c r="F136" s="2602"/>
      <c r="G136" s="2602"/>
      <c r="H136" s="2601"/>
      <c r="I136" s="2602"/>
    </row>
    <row r="137" spans="3:9" s="137" customFormat="1" ht="17.100000000000001" customHeight="1">
      <c r="C137" s="2602"/>
      <c r="E137" s="141"/>
      <c r="F137" s="2602"/>
      <c r="G137" s="2602"/>
      <c r="H137" s="2601"/>
      <c r="I137" s="2602"/>
    </row>
    <row r="138" spans="3:9" s="137" customFormat="1" ht="17.100000000000001" customHeight="1">
      <c r="C138" s="2602"/>
      <c r="E138" s="141"/>
      <c r="F138" s="2602"/>
      <c r="G138" s="2602"/>
      <c r="H138" s="2601"/>
      <c r="I138" s="2602"/>
    </row>
    <row r="139" spans="3:9" s="137" customFormat="1" ht="17.100000000000001" customHeight="1">
      <c r="C139" s="2602"/>
      <c r="E139" s="141"/>
      <c r="F139" s="2602"/>
      <c r="G139" s="2602"/>
      <c r="H139" s="2601"/>
      <c r="I139" s="2602"/>
    </row>
    <row r="140" spans="3:9" s="137" customFormat="1" ht="17.100000000000001" customHeight="1">
      <c r="C140" s="2602"/>
      <c r="E140" s="141"/>
      <c r="F140" s="2602"/>
      <c r="G140" s="2602"/>
      <c r="H140" s="2601"/>
      <c r="I140" s="2602"/>
    </row>
    <row r="141" spans="3:9" s="137" customFormat="1" ht="17.100000000000001" customHeight="1">
      <c r="C141" s="2602"/>
      <c r="E141" s="141"/>
      <c r="F141" s="2602"/>
      <c r="G141" s="2602"/>
      <c r="H141" s="2601"/>
      <c r="I141" s="2602"/>
    </row>
    <row r="142" spans="3:9" s="137" customFormat="1" ht="17.100000000000001" customHeight="1">
      <c r="C142" s="2602"/>
      <c r="E142" s="141"/>
      <c r="F142" s="2602"/>
      <c r="G142" s="2602"/>
      <c r="H142" s="2601"/>
      <c r="I142" s="2602"/>
    </row>
    <row r="143" spans="3:9" s="137" customFormat="1" ht="17.100000000000001" customHeight="1">
      <c r="C143" s="2602"/>
      <c r="E143" s="141"/>
      <c r="F143" s="2602"/>
      <c r="G143" s="2602"/>
      <c r="H143" s="2601"/>
      <c r="I143" s="2602"/>
    </row>
    <row r="144" spans="3:9" s="137" customFormat="1" ht="17.100000000000001" customHeight="1">
      <c r="C144" s="2602"/>
      <c r="E144" s="141"/>
      <c r="F144" s="2602"/>
      <c r="G144" s="2602"/>
      <c r="H144" s="2601"/>
      <c r="I144" s="2602"/>
    </row>
    <row r="145" spans="1:19" ht="17.100000000000001" customHeight="1">
      <c r="B145" s="137"/>
      <c r="C145" s="2602"/>
      <c r="D145" s="137"/>
      <c r="K145" s="137"/>
      <c r="N145" s="137"/>
      <c r="Q145" s="137"/>
      <c r="R145" s="137"/>
      <c r="S145" s="137"/>
    </row>
    <row r="146" spans="1:19" ht="17.100000000000001" customHeight="1">
      <c r="B146" s="137"/>
      <c r="C146" s="2602"/>
      <c r="D146" s="137"/>
      <c r="K146" s="137"/>
      <c r="N146" s="137"/>
      <c r="Q146" s="137"/>
      <c r="R146" s="137"/>
      <c r="S146" s="137"/>
    </row>
    <row r="147" spans="1:19" ht="17.100000000000001" customHeight="1">
      <c r="B147" s="137"/>
      <c r="C147" s="2602"/>
      <c r="D147" s="137"/>
      <c r="K147" s="137"/>
      <c r="N147" s="137"/>
      <c r="Q147" s="137"/>
      <c r="R147" s="137"/>
      <c r="S147" s="137"/>
    </row>
    <row r="148" spans="1:19" ht="17.100000000000001" customHeight="1">
      <c r="B148" s="137"/>
      <c r="C148" s="2602"/>
      <c r="D148" s="137"/>
      <c r="K148" s="137"/>
      <c r="N148" s="137"/>
      <c r="Q148" s="137"/>
      <c r="R148" s="137"/>
      <c r="S148" s="137"/>
    </row>
    <row r="149" spans="1:19" ht="17.100000000000001" customHeight="1">
      <c r="B149" s="137"/>
      <c r="C149" s="2602"/>
      <c r="D149" s="137"/>
      <c r="K149" s="137"/>
      <c r="N149" s="137"/>
      <c r="Q149" s="137"/>
      <c r="R149" s="137"/>
      <c r="S149" s="137"/>
    </row>
    <row r="150" spans="1:19" ht="17.100000000000001" customHeight="1">
      <c r="B150" s="137"/>
      <c r="C150" s="2602"/>
      <c r="D150" s="137"/>
      <c r="K150" s="137"/>
      <c r="N150" s="137"/>
      <c r="Q150" s="137"/>
      <c r="R150" s="137"/>
      <c r="S150" s="137"/>
    </row>
    <row r="151" spans="1:19" ht="17.100000000000001" customHeight="1">
      <c r="B151" s="137"/>
      <c r="C151" s="2602"/>
      <c r="D151" s="137"/>
      <c r="K151" s="137"/>
      <c r="N151" s="137"/>
      <c r="Q151" s="137"/>
      <c r="R151" s="137"/>
      <c r="S151" s="137"/>
    </row>
    <row r="152" spans="1:19" ht="17.100000000000001" customHeight="1">
      <c r="B152" s="137"/>
      <c r="C152" s="2602"/>
      <c r="D152" s="137"/>
      <c r="K152" s="137"/>
      <c r="N152" s="137"/>
      <c r="Q152" s="137"/>
      <c r="R152" s="137"/>
      <c r="S152" s="137"/>
    </row>
    <row r="153" spans="1:19" ht="17.100000000000001" customHeight="1">
      <c r="B153" s="137"/>
      <c r="C153" s="2602"/>
      <c r="D153" s="137"/>
      <c r="K153" s="137"/>
      <c r="N153" s="137"/>
      <c r="Q153" s="137"/>
      <c r="R153" s="137"/>
      <c r="S153" s="137"/>
    </row>
    <row r="154" spans="1:19" ht="17.100000000000001" customHeight="1">
      <c r="B154" s="137"/>
      <c r="C154" s="2602"/>
      <c r="D154" s="137"/>
      <c r="K154" s="137"/>
      <c r="N154" s="137"/>
      <c r="Q154" s="137"/>
      <c r="R154" s="137"/>
      <c r="S154" s="137"/>
    </row>
    <row r="155" spans="1:19" ht="17.100000000000001" customHeight="1">
      <c r="B155" s="137"/>
      <c r="C155" s="2602"/>
      <c r="D155" s="137"/>
      <c r="K155" s="137"/>
      <c r="N155" s="137"/>
      <c r="Q155" s="137"/>
      <c r="R155" s="137"/>
      <c r="S155" s="137"/>
    </row>
    <row r="156" spans="1:19" ht="17.100000000000001" customHeight="1">
      <c r="A156" s="493"/>
      <c r="B156" s="141"/>
      <c r="Q156" s="137"/>
      <c r="R156" s="137"/>
      <c r="S156" s="137"/>
    </row>
    <row r="157" spans="1:19" ht="17.100000000000001" customHeight="1">
      <c r="A157" s="493"/>
      <c r="B157" s="141"/>
      <c r="Q157" s="137"/>
      <c r="R157" s="137"/>
      <c r="S157" s="137"/>
    </row>
    <row r="158" spans="1:19" ht="17.100000000000001" customHeight="1">
      <c r="A158" s="493"/>
      <c r="B158" s="141"/>
      <c r="Q158" s="137"/>
      <c r="R158" s="137"/>
      <c r="S158" s="137"/>
    </row>
    <row r="159" spans="1:19" ht="17.100000000000001" customHeight="1">
      <c r="A159" s="493"/>
      <c r="B159" s="141"/>
      <c r="Q159" s="137"/>
      <c r="R159" s="137"/>
      <c r="S159" s="137"/>
    </row>
    <row r="160" spans="1:19" ht="17.100000000000001" customHeight="1">
      <c r="A160" s="493"/>
      <c r="B160" s="141"/>
      <c r="Q160" s="137"/>
      <c r="R160" s="137"/>
      <c r="S160" s="137"/>
    </row>
    <row r="161" spans="1:19" ht="17.100000000000001" customHeight="1">
      <c r="A161" s="493"/>
      <c r="B161" s="141"/>
      <c r="Q161" s="137"/>
      <c r="R161" s="137"/>
      <c r="S161" s="137"/>
    </row>
    <row r="162" spans="1:19" ht="17.100000000000001" customHeight="1">
      <c r="A162" s="493"/>
      <c r="B162" s="141"/>
      <c r="Q162" s="137"/>
      <c r="R162" s="137"/>
      <c r="S162" s="137"/>
    </row>
    <row r="163" spans="1:19" ht="17.100000000000001" customHeight="1">
      <c r="A163" s="493"/>
      <c r="B163" s="141"/>
      <c r="Q163" s="137"/>
      <c r="R163" s="137"/>
      <c r="S163" s="137"/>
    </row>
    <row r="164" spans="1:19" ht="17.100000000000001" customHeight="1">
      <c r="A164" s="493"/>
      <c r="B164" s="141"/>
      <c r="Q164" s="137"/>
      <c r="R164" s="137"/>
      <c r="S164" s="137"/>
    </row>
    <row r="165" spans="1:19" ht="17.100000000000001" customHeight="1">
      <c r="A165" s="493"/>
      <c r="B165" s="141"/>
      <c r="Q165" s="137"/>
      <c r="R165" s="137"/>
      <c r="S165" s="137"/>
    </row>
    <row r="166" spans="1:19" ht="17.100000000000001" customHeight="1">
      <c r="A166" s="493"/>
      <c r="B166" s="141"/>
      <c r="Q166" s="137"/>
      <c r="R166" s="137"/>
      <c r="S166" s="137"/>
    </row>
    <row r="167" spans="1:19" ht="17.100000000000001" customHeight="1">
      <c r="A167" s="493"/>
      <c r="B167" s="141"/>
      <c r="Q167" s="137"/>
      <c r="R167" s="137"/>
      <c r="S167" s="137"/>
    </row>
    <row r="168" spans="1:19" ht="17.100000000000001" customHeight="1">
      <c r="A168" s="493"/>
      <c r="B168" s="141"/>
      <c r="Q168" s="137"/>
      <c r="R168" s="137"/>
      <c r="S168" s="137"/>
    </row>
    <row r="169" spans="1:19" ht="17.100000000000001" customHeight="1">
      <c r="A169" s="493"/>
      <c r="B169" s="141"/>
      <c r="Q169" s="137"/>
      <c r="R169" s="137"/>
      <c r="S169" s="137"/>
    </row>
    <row r="170" spans="1:19" ht="17.100000000000001" customHeight="1">
      <c r="A170" s="493"/>
      <c r="B170" s="141"/>
      <c r="Q170" s="137"/>
      <c r="R170" s="137"/>
      <c r="S170" s="137"/>
    </row>
    <row r="171" spans="1:19" ht="17.100000000000001" customHeight="1">
      <c r="A171" s="493"/>
      <c r="B171" s="141"/>
      <c r="Q171" s="137"/>
      <c r="R171" s="137"/>
      <c r="S171" s="137"/>
    </row>
    <row r="172" spans="1:19" ht="17.100000000000001" customHeight="1">
      <c r="A172" s="493"/>
      <c r="B172" s="141"/>
      <c r="Q172" s="137"/>
      <c r="R172" s="137"/>
      <c r="S172" s="137"/>
    </row>
    <row r="173" spans="1:19" ht="17.100000000000001" customHeight="1">
      <c r="A173" s="493"/>
      <c r="B173" s="141"/>
      <c r="Q173" s="137"/>
      <c r="R173" s="137"/>
      <c r="S173" s="137"/>
    </row>
    <row r="174" spans="1:19" ht="17.100000000000001" customHeight="1">
      <c r="A174" s="493"/>
      <c r="B174" s="141"/>
      <c r="Q174" s="137"/>
      <c r="R174" s="137"/>
      <c r="S174" s="137"/>
    </row>
    <row r="175" spans="1:19" ht="17.100000000000001" customHeight="1">
      <c r="A175" s="493"/>
      <c r="B175" s="141"/>
      <c r="Q175" s="137"/>
      <c r="R175" s="137"/>
      <c r="S175" s="137"/>
    </row>
    <row r="176" spans="1:19" ht="17.100000000000001" customHeight="1">
      <c r="A176" s="493"/>
      <c r="B176" s="141"/>
      <c r="Q176" s="137"/>
      <c r="R176" s="137"/>
      <c r="S176" s="137"/>
    </row>
    <row r="177" spans="1:19" ht="17.100000000000001" customHeight="1">
      <c r="A177" s="493"/>
      <c r="B177" s="141"/>
      <c r="Q177" s="137"/>
      <c r="R177" s="137"/>
      <c r="S177" s="137"/>
    </row>
    <row r="178" spans="1:19" ht="17.100000000000001" customHeight="1">
      <c r="A178" s="493"/>
      <c r="B178" s="141"/>
      <c r="Q178" s="137"/>
      <c r="R178" s="137"/>
      <c r="S178" s="137"/>
    </row>
    <row r="179" spans="1:19" ht="17.100000000000001" customHeight="1">
      <c r="A179" s="493"/>
      <c r="B179" s="141"/>
      <c r="Q179" s="137"/>
      <c r="R179" s="137"/>
      <c r="S179" s="137"/>
    </row>
    <row r="180" spans="1:19" ht="17.100000000000001" customHeight="1">
      <c r="A180" s="493"/>
      <c r="B180" s="141"/>
      <c r="Q180" s="137"/>
      <c r="R180" s="137"/>
      <c r="S180" s="137"/>
    </row>
    <row r="181" spans="1:19" ht="17.100000000000001" customHeight="1">
      <c r="A181" s="493"/>
      <c r="B181" s="141"/>
      <c r="Q181" s="137"/>
      <c r="R181" s="137"/>
      <c r="S181" s="137"/>
    </row>
    <row r="182" spans="1:19" ht="17.100000000000001" customHeight="1">
      <c r="A182" s="493"/>
      <c r="B182" s="141"/>
      <c r="Q182" s="137"/>
      <c r="R182" s="137"/>
      <c r="S182" s="137"/>
    </row>
    <row r="183" spans="1:19" ht="17.100000000000001" customHeight="1">
      <c r="A183" s="493"/>
      <c r="B183" s="141"/>
      <c r="Q183" s="137"/>
      <c r="R183" s="137"/>
      <c r="S183" s="137"/>
    </row>
    <row r="184" spans="1:19" ht="17.100000000000001" customHeight="1">
      <c r="A184" s="493"/>
      <c r="B184" s="141"/>
      <c r="Q184" s="137"/>
      <c r="R184" s="137"/>
      <c r="S184" s="137"/>
    </row>
    <row r="185" spans="1:19" ht="17.100000000000001" customHeight="1">
      <c r="A185" s="493"/>
      <c r="B185" s="141"/>
      <c r="Q185" s="137"/>
      <c r="R185" s="137"/>
      <c r="S185" s="137"/>
    </row>
    <row r="186" spans="1:19" ht="17.100000000000001" customHeight="1">
      <c r="A186" s="493"/>
      <c r="B186" s="141"/>
      <c r="Q186" s="137"/>
      <c r="R186" s="137"/>
      <c r="S186" s="137"/>
    </row>
    <row r="187" spans="1:19" ht="17.100000000000001" customHeight="1">
      <c r="A187" s="493"/>
      <c r="B187" s="141"/>
      <c r="Q187" s="137"/>
      <c r="R187" s="137"/>
      <c r="S187" s="137"/>
    </row>
    <row r="188" spans="1:19" ht="17.100000000000001" customHeight="1">
      <c r="A188" s="493"/>
      <c r="B188" s="141"/>
      <c r="Q188" s="137"/>
      <c r="R188" s="137"/>
      <c r="S188" s="137"/>
    </row>
    <row r="189" spans="1:19" ht="17.100000000000001" customHeight="1">
      <c r="A189" s="493"/>
      <c r="B189" s="141"/>
      <c r="Q189" s="137"/>
      <c r="R189" s="137"/>
      <c r="S189" s="137"/>
    </row>
    <row r="190" spans="1:19" ht="17.100000000000001" customHeight="1">
      <c r="A190" s="493"/>
      <c r="B190" s="141"/>
      <c r="Q190" s="137"/>
      <c r="R190" s="137"/>
      <c r="S190" s="137"/>
    </row>
    <row r="191" spans="1:19" ht="17.100000000000001" customHeight="1">
      <c r="A191" s="493"/>
      <c r="B191" s="141"/>
      <c r="Q191" s="137"/>
      <c r="R191" s="137"/>
      <c r="S191" s="137"/>
    </row>
    <row r="192" spans="1:19" ht="17.100000000000001" customHeight="1">
      <c r="A192" s="493"/>
      <c r="B192" s="141"/>
      <c r="Q192" s="137"/>
      <c r="R192" s="137"/>
      <c r="S192" s="137"/>
    </row>
    <row r="193" spans="1:19" ht="17.100000000000001" customHeight="1">
      <c r="A193" s="493"/>
      <c r="B193" s="141"/>
      <c r="Q193" s="137"/>
      <c r="R193" s="137"/>
      <c r="S193" s="137"/>
    </row>
    <row r="194" spans="1:19" ht="17.100000000000001" customHeight="1">
      <c r="A194" s="493"/>
      <c r="B194" s="141"/>
      <c r="Q194" s="137"/>
      <c r="R194" s="137"/>
      <c r="S194" s="137"/>
    </row>
    <row r="195" spans="1:19" ht="17.100000000000001" customHeight="1">
      <c r="A195" s="493"/>
      <c r="B195" s="141"/>
      <c r="Q195" s="137"/>
      <c r="R195" s="137"/>
      <c r="S195" s="137"/>
    </row>
    <row r="196" spans="1:19" ht="17.100000000000001" customHeight="1">
      <c r="A196" s="493"/>
      <c r="B196" s="141"/>
      <c r="Q196" s="137"/>
      <c r="R196" s="137"/>
      <c r="S196" s="137"/>
    </row>
    <row r="197" spans="1:19" ht="17.100000000000001" customHeight="1">
      <c r="A197" s="493"/>
      <c r="B197" s="141"/>
      <c r="Q197" s="137"/>
      <c r="R197" s="137"/>
      <c r="S197" s="137"/>
    </row>
    <row r="198" spans="1:19" ht="17.100000000000001" customHeight="1"/>
    <row r="199" spans="1:19" ht="17.100000000000001" customHeight="1"/>
    <row r="200" spans="1:19" ht="17.100000000000001" customHeight="1"/>
    <row r="201" spans="1:19" ht="17.100000000000001" customHeight="1"/>
    <row r="202" spans="1:19" ht="17.100000000000001" customHeight="1"/>
    <row r="203" spans="1:19" ht="17.100000000000001" customHeight="1"/>
    <row r="204" spans="1:19" ht="17.100000000000001" customHeight="1"/>
    <row r="205" spans="1:19" ht="17.100000000000001" customHeight="1"/>
    <row r="206" spans="1:19" ht="17.100000000000001" customHeight="1"/>
    <row r="207" spans="1:19" ht="17.100000000000001" customHeight="1"/>
  </sheetData>
  <mergeCells count="5">
    <mergeCell ref="C3:D3"/>
    <mergeCell ref="O3:P3"/>
    <mergeCell ref="L3:M3"/>
    <mergeCell ref="I3:J3"/>
    <mergeCell ref="F3:G3"/>
  </mergeCells>
  <printOptions horizontalCentered="1" verticalCentered="1" gridLines="1" gridLinesSet="0"/>
  <pageMargins left="1.2204724409448819" right="0.51181102362204722" top="0.51181102362204722" bottom="0.55118110236220474" header="0.51181102362204722" footer="0.51181102362204722"/>
  <pageSetup paperSize="9" scale="34" orientation="portrait" verticalDpi="300" r:id="rId1"/>
  <headerFooter alignWithMargins="0"/>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2E97-3466-4941-8CF7-E1AE836F82DF}">
  <sheetPr codeName="Sheet43">
    <tabColor theme="9"/>
  </sheetPr>
  <dimension ref="A2:M105"/>
  <sheetViews>
    <sheetView showGridLines="0" zoomScale="130" zoomScaleNormal="130" workbookViewId="0">
      <pane ySplit="2" topLeftCell="A51" activePane="bottomLeft" state="frozen"/>
      <selection pane="bottomLeft" activeCell="D13" activeCellId="2" sqref="D7:D9 D12 D13"/>
    </sheetView>
  </sheetViews>
  <sheetFormatPr defaultColWidth="0" defaultRowHeight="12.75"/>
  <cols>
    <col min="1" max="1" width="9.1640625" style="2011" customWidth="1"/>
    <col min="2" max="2" width="39.1640625" style="2011" customWidth="1"/>
    <col min="3" max="3" width="7.83203125" style="2011" customWidth="1"/>
    <col min="4" max="4" width="17.1640625" style="2011" customWidth="1"/>
    <col min="5" max="5" width="20.83203125" style="2011" customWidth="1"/>
    <col min="6" max="6" width="31.6640625" style="2011" customWidth="1"/>
    <col min="7" max="7" width="15.6640625" style="2011" customWidth="1"/>
    <col min="8" max="8" width="15" style="2011" customWidth="1"/>
    <col min="9" max="9" width="17.5" style="2011" customWidth="1"/>
    <col min="10" max="10" width="16.5" style="2011" customWidth="1"/>
    <col min="11" max="11" width="16" style="2011" customWidth="1"/>
    <col min="12" max="12" width="15" style="2011" customWidth="1"/>
    <col min="13" max="13" width="10.6640625" style="2011" hidden="1" customWidth="1"/>
    <col min="14" max="16384" width="0" style="2011" hidden="1"/>
  </cols>
  <sheetData>
    <row r="2" spans="1:12" ht="13.5" thickBot="1">
      <c r="A2" s="2658" t="s">
        <v>3079</v>
      </c>
      <c r="B2" s="2654" t="s">
        <v>3078</v>
      </c>
      <c r="C2" s="2654"/>
    </row>
    <row r="3" spans="1:12">
      <c r="B3" s="2671"/>
      <c r="C3" s="2671"/>
      <c r="D3" s="2661" t="s">
        <v>2594</v>
      </c>
      <c r="F3" s="3158"/>
      <c r="G3" s="3158"/>
      <c r="H3" s="3158"/>
      <c r="I3" s="3158"/>
      <c r="J3" s="3158"/>
      <c r="K3" s="2660"/>
      <c r="L3" s="2660"/>
    </row>
    <row r="4" spans="1:12">
      <c r="B4" s="2655"/>
      <c r="C4" s="2655"/>
      <c r="D4" s="2662"/>
      <c r="F4" s="3159"/>
      <c r="G4" s="3159"/>
      <c r="H4" s="3159"/>
      <c r="I4" s="3159"/>
      <c r="J4" s="3159"/>
    </row>
    <row r="5" spans="1:12" ht="12.75" customHeight="1">
      <c r="B5" s="3156" t="s">
        <v>2710</v>
      </c>
      <c r="C5" s="3156"/>
      <c r="D5" s="4155">
        <f>'FS India'!C63-'[28]FS India'!$C$63-13211</f>
        <v>22439824.588272959</v>
      </c>
      <c r="F5" s="3167"/>
      <c r="G5" s="3167"/>
      <c r="H5" s="3167"/>
      <c r="I5" s="3167"/>
      <c r="J5" s="3167"/>
      <c r="K5" s="2012"/>
      <c r="L5" s="2012"/>
    </row>
    <row r="6" spans="1:12">
      <c r="B6" s="3157" t="s">
        <v>1580</v>
      </c>
      <c r="C6" s="3157"/>
      <c r="D6" s="2663"/>
      <c r="F6" s="3167"/>
      <c r="G6" s="3167"/>
      <c r="H6" s="3167"/>
      <c r="I6" s="3167"/>
      <c r="J6" s="3167"/>
      <c r="K6" s="2012"/>
      <c r="L6" s="2012"/>
    </row>
    <row r="7" spans="1:12" ht="12.75" customHeight="1">
      <c r="B7" s="3156" t="s">
        <v>3537</v>
      </c>
      <c r="C7" s="3156"/>
      <c r="D7" s="4155">
        <f>'מאזן בוחן הודו'!J344</f>
        <v>107978</v>
      </c>
      <c r="F7" s="3167"/>
      <c r="G7" s="3167"/>
      <c r="H7" s="3167"/>
      <c r="I7" s="3167"/>
      <c r="J7" s="3167"/>
      <c r="K7" s="2012"/>
      <c r="L7" s="2012"/>
    </row>
    <row r="8" spans="1:12" ht="12.75" customHeight="1">
      <c r="B8" s="3156" t="s">
        <v>4127</v>
      </c>
      <c r="C8" s="3156"/>
      <c r="D8" s="4155">
        <f>G15</f>
        <v>357277.74271068675</v>
      </c>
      <c r="E8" s="2011" t="s">
        <v>4230</v>
      </c>
      <c r="F8" s="3167"/>
      <c r="G8" s="3167"/>
      <c r="H8" s="3167"/>
      <c r="I8" s="3167"/>
      <c r="J8" s="3167"/>
      <c r="K8" s="2012"/>
      <c r="L8" s="2012"/>
    </row>
    <row r="9" spans="1:12" ht="12.75" customHeight="1">
      <c r="B9" s="3156" t="s">
        <v>2595</v>
      </c>
      <c r="C9" s="3156"/>
      <c r="D9" s="4155">
        <f>SUM([176]Sheet1!$F$31)</f>
        <v>406031.9</v>
      </c>
      <c r="F9" s="3167"/>
      <c r="G9" s="3167"/>
      <c r="H9" s="3167"/>
      <c r="I9" s="3167"/>
      <c r="J9" s="3167"/>
      <c r="K9" s="2012"/>
      <c r="L9" s="2012"/>
    </row>
    <row r="10" spans="1:12" ht="15">
      <c r="B10" s="3157"/>
      <c r="C10" s="3157"/>
      <c r="D10" s="2664">
        <f>SUM(D5:D9)</f>
        <v>23311112.230983645</v>
      </c>
      <c r="F10" s="4156" t="s">
        <v>4876</v>
      </c>
      <c r="G10" s="3167"/>
      <c r="H10" s="3167"/>
      <c r="I10" s="3167"/>
      <c r="J10" s="3167"/>
      <c r="K10" s="2012"/>
      <c r="L10" s="2012"/>
    </row>
    <row r="11" spans="1:12">
      <c r="B11" s="3157" t="s">
        <v>2596</v>
      </c>
      <c r="C11" s="3157"/>
      <c r="D11" s="2663"/>
      <c r="F11" s="3167" t="s">
        <v>4873</v>
      </c>
      <c r="G11" s="4157">
        <f>SUM('[177]YTD Comm. Report '!$P$183:$P$184,'[177]YTD Comm. Report '!$P$186)</f>
        <v>3826.2103733333324</v>
      </c>
      <c r="H11" s="3167"/>
      <c r="I11" s="3167"/>
      <c r="J11" s="3167"/>
      <c r="K11" s="2012"/>
      <c r="L11" s="2012"/>
    </row>
    <row r="12" spans="1:12" ht="12.75" customHeight="1">
      <c r="B12" s="3156" t="s">
        <v>2979</v>
      </c>
      <c r="C12" s="3156"/>
      <c r="D12" s="4155">
        <f>'מאזן בוחן הודו'!J232-'[28]מאזן בוחן הודו'!$J$218</f>
        <v>1198481.24</v>
      </c>
      <c r="F12" s="3167" t="s">
        <v>4874</v>
      </c>
      <c r="G12" s="4157">
        <f>SUM('[178]YTD Comm. Report '!$P$314:$P$315,'[178]YTD Comm. Report '!$P$319)</f>
        <v>510.84158040000102</v>
      </c>
      <c r="H12" s="3167"/>
      <c r="I12" s="3167"/>
      <c r="J12" s="3167"/>
      <c r="K12" s="2012"/>
      <c r="L12" s="2012"/>
    </row>
    <row r="13" spans="1:12" ht="12.75" customHeight="1">
      <c r="B13" s="3156" t="s">
        <v>2597</v>
      </c>
      <c r="C13" s="3156"/>
      <c r="D13" s="3298">
        <f>-J54</f>
        <v>-1558879.5</v>
      </c>
      <c r="F13" s="3167" t="s">
        <v>4875</v>
      </c>
      <c r="G13" s="4158">
        <f>SUM('[179]YTD Comm. Report '!$P$104,'[179]YTD Comm. Report '!$Q$105)</f>
        <v>471.36959999999999</v>
      </c>
      <c r="H13" s="3167"/>
      <c r="I13" s="3167"/>
      <c r="J13" s="3167"/>
      <c r="K13" s="2932"/>
      <c r="L13" s="2932"/>
    </row>
    <row r="14" spans="1:12" ht="13.5" thickBot="1">
      <c r="B14" s="3157"/>
      <c r="C14" s="3157"/>
      <c r="D14" s="2663">
        <f>SUM(D10:D13)</f>
        <v>22950713.970983643</v>
      </c>
      <c r="F14" s="3160"/>
      <c r="G14" s="4159">
        <f>SUM(G11:G13)</f>
        <v>4808.421553733333</v>
      </c>
      <c r="H14" s="3160"/>
      <c r="I14" s="3160"/>
      <c r="J14" s="3160"/>
      <c r="K14" s="2012"/>
      <c r="L14" s="2012"/>
    </row>
    <row r="15" spans="1:12">
      <c r="B15" s="2659"/>
      <c r="C15" s="2659"/>
      <c r="D15" s="2666"/>
      <c r="F15" s="3161"/>
      <c r="G15" s="4160">
        <f>G14*'מאזן בוחן הודו'!$O$2</f>
        <v>357277.74271068675</v>
      </c>
      <c r="H15" s="3161"/>
      <c r="I15" s="3161"/>
      <c r="J15" s="3161"/>
    </row>
    <row r="16" spans="1:12" ht="12.75" customHeight="1">
      <c r="B16" s="3157" t="s">
        <v>2711</v>
      </c>
      <c r="C16" s="3157"/>
      <c r="D16" s="2667">
        <f>SUM(D14:D15)</f>
        <v>22950713.970983643</v>
      </c>
      <c r="F16" s="3161"/>
      <c r="G16" s="3161"/>
      <c r="H16" s="3161"/>
      <c r="I16" s="3161"/>
      <c r="J16" s="3161"/>
    </row>
    <row r="17" spans="2:12">
      <c r="B17" s="3156"/>
      <c r="C17" s="3156"/>
      <c r="D17" s="2663"/>
      <c r="F17" s="3160"/>
      <c r="G17" s="3160"/>
      <c r="H17" s="3160"/>
      <c r="I17" s="3160"/>
      <c r="J17" s="3160"/>
    </row>
    <row r="18" spans="2:12" ht="12.75" customHeight="1">
      <c r="B18" s="3156" t="s">
        <v>2598</v>
      </c>
      <c r="C18" s="3156"/>
      <c r="D18" s="2668">
        <f>IF(D16*30%&lt;0,"NIL",D16*30%)</f>
        <v>6885214.1912950929</v>
      </c>
      <c r="F18" s="3162"/>
      <c r="G18" s="3162"/>
      <c r="H18" s="3162"/>
      <c r="I18" s="3162"/>
      <c r="J18" s="3162"/>
    </row>
    <row r="19" spans="2:12">
      <c r="B19" s="3152"/>
      <c r="C19" s="3152"/>
      <c r="D19" s="2668"/>
      <c r="F19" s="3162"/>
      <c r="G19" s="3162"/>
      <c r="H19" s="3162"/>
      <c r="I19" s="3162"/>
      <c r="J19" s="3162"/>
    </row>
    <row r="20" spans="2:12" ht="12.75" customHeight="1">
      <c r="B20" s="3156" t="s">
        <v>2599</v>
      </c>
      <c r="C20" s="3156"/>
      <c r="D20" s="2668">
        <f>D18</f>
        <v>6885214.1912950929</v>
      </c>
      <c r="F20" s="3162"/>
      <c r="G20" s="3162"/>
      <c r="H20" s="3162"/>
      <c r="I20" s="3162"/>
      <c r="J20" s="3162"/>
    </row>
    <row r="21" spans="2:12" ht="12.75" customHeight="1">
      <c r="B21" s="3156" t="s">
        <v>2600</v>
      </c>
      <c r="C21" s="3156"/>
      <c r="D21" s="2669">
        <f>ROUND(D20*12%,0)</f>
        <v>826226</v>
      </c>
      <c r="F21" s="3163"/>
      <c r="G21" s="3163"/>
      <c r="H21" s="3163"/>
      <c r="I21" s="3163"/>
      <c r="J21" s="3163"/>
    </row>
    <row r="22" spans="2:12" ht="12.75" customHeight="1">
      <c r="B22" s="3156" t="s">
        <v>2601</v>
      </c>
      <c r="C22" s="3156"/>
      <c r="D22" s="2665">
        <f>(D20+D21)*4%</f>
        <v>308457.6076518037</v>
      </c>
      <c r="F22" s="3160"/>
      <c r="G22" s="3160"/>
      <c r="H22" s="3160"/>
      <c r="I22" s="3160"/>
      <c r="J22" s="3160"/>
    </row>
    <row r="23" spans="2:12" ht="12.75" customHeight="1">
      <c r="B23" s="3157" t="s">
        <v>2602</v>
      </c>
      <c r="C23" s="3157"/>
      <c r="D23" s="2664">
        <f>SUM(D20:D22)</f>
        <v>8019897.7989468966</v>
      </c>
      <c r="F23" s="3160"/>
      <c r="G23" s="3160"/>
      <c r="H23" s="3160"/>
      <c r="I23" s="3160"/>
      <c r="J23" s="3160"/>
    </row>
    <row r="24" spans="2:12">
      <c r="B24" s="2656" t="s">
        <v>3080</v>
      </c>
      <c r="C24" s="2656"/>
      <c r="D24" s="3299">
        <f>-'מאזן בוחן הודו'!E125</f>
        <v>8019897.7999999998</v>
      </c>
      <c r="F24" s="3162"/>
      <c r="G24" s="3162"/>
      <c r="H24" s="3162"/>
      <c r="I24" s="3162"/>
      <c r="J24" s="3162"/>
    </row>
    <row r="25" spans="2:12" ht="13.5" thickBot="1">
      <c r="B25" s="2656" t="s">
        <v>3076</v>
      </c>
      <c r="C25" s="2655"/>
      <c r="D25" s="2670">
        <f>D23-D24</f>
        <v>-1.0531032457947731E-3</v>
      </c>
      <c r="F25" s="3164"/>
      <c r="G25" s="3164"/>
      <c r="H25" s="3164"/>
      <c r="I25" s="3164"/>
      <c r="J25" s="3164"/>
      <c r="K25" s="3076"/>
      <c r="L25" s="3076"/>
    </row>
    <row r="27" spans="2:12">
      <c r="B27" s="2013" t="s">
        <v>2603</v>
      </c>
      <c r="C27" s="2013"/>
    </row>
    <row r="28" spans="2:12" s="3166" customFormat="1" ht="12.75" customHeight="1">
      <c r="B28" s="3165" t="s">
        <v>2604</v>
      </c>
      <c r="C28" s="3165"/>
      <c r="D28" s="3165"/>
      <c r="E28" s="3165"/>
      <c r="F28" s="3165"/>
      <c r="G28" s="3165"/>
      <c r="H28" s="3165"/>
      <c r="I28" s="3165"/>
      <c r="J28" s="3165"/>
    </row>
    <row r="29" spans="2:12" s="3166" customFormat="1" ht="12.75" customHeight="1">
      <c r="B29" s="3165" t="s">
        <v>2605</v>
      </c>
      <c r="C29" s="3165"/>
      <c r="D29" s="3165"/>
      <c r="E29" s="3165"/>
      <c r="F29" s="3165"/>
      <c r="G29" s="3165"/>
      <c r="H29" s="3165"/>
      <c r="I29" s="3165"/>
      <c r="J29" s="3165"/>
    </row>
    <row r="30" spans="2:12" s="3166" customFormat="1" ht="12.75" customHeight="1">
      <c r="B30" s="3165" t="s">
        <v>2606</v>
      </c>
      <c r="C30" s="3165"/>
      <c r="D30" s="3165"/>
      <c r="E30" s="3165"/>
      <c r="F30" s="3165"/>
      <c r="G30" s="3165"/>
      <c r="H30" s="3165"/>
      <c r="I30" s="3165"/>
      <c r="J30" s="3165"/>
    </row>
    <row r="31" spans="2:12" s="3166" customFormat="1" ht="12.75" customHeight="1">
      <c r="B31" s="3165" t="s">
        <v>2607</v>
      </c>
      <c r="C31" s="3165"/>
      <c r="D31" s="3165"/>
      <c r="E31" s="3165"/>
      <c r="F31" s="3165"/>
      <c r="G31" s="3165"/>
      <c r="H31" s="3165"/>
      <c r="I31" s="3165"/>
      <c r="J31" s="3165"/>
    </row>
    <row r="32" spans="2:12" s="3166" customFormat="1" ht="12.75" customHeight="1">
      <c r="B32" s="3165" t="s">
        <v>2608</v>
      </c>
      <c r="C32" s="3165"/>
      <c r="D32" s="3165"/>
      <c r="E32" s="3165"/>
      <c r="F32" s="3165"/>
      <c r="G32" s="3165"/>
      <c r="H32" s="3165"/>
      <c r="I32" s="3165"/>
      <c r="J32" s="3165"/>
    </row>
    <row r="34" spans="1:12">
      <c r="A34" s="2658" t="s">
        <v>3077</v>
      </c>
      <c r="B34" s="2654" t="s">
        <v>3071</v>
      </c>
      <c r="C34" s="2654"/>
    </row>
    <row r="36" spans="1:12">
      <c r="B36" s="2655" t="s">
        <v>3073</v>
      </c>
      <c r="D36" s="170">
        <f>K57</f>
        <v>4291133.7300000004</v>
      </c>
    </row>
    <row r="37" spans="1:12">
      <c r="B37" s="2655" t="s">
        <v>3072</v>
      </c>
      <c r="D37" s="3056">
        <f>'מאזן בוחן הודו'!$J$76</f>
        <v>4393208.26</v>
      </c>
    </row>
    <row r="38" spans="1:12">
      <c r="D38" s="170">
        <f>D36-D37</f>
        <v>-102074.52999999933</v>
      </c>
    </row>
    <row r="39" spans="1:12">
      <c r="B39" s="2011" t="s">
        <v>3074</v>
      </c>
      <c r="D39" s="2657">
        <v>0.34943999999999997</v>
      </c>
    </row>
    <row r="40" spans="1:12">
      <c r="B40" s="2011" t="s">
        <v>3071</v>
      </c>
      <c r="D40" s="170">
        <f>D38*D39</f>
        <v>-35668.92376319976</v>
      </c>
    </row>
    <row r="41" spans="1:12">
      <c r="B41" s="2011" t="s">
        <v>3075</v>
      </c>
      <c r="D41" s="2598">
        <f>'מאזן בוחן הודו'!E150</f>
        <v>-35668.92</v>
      </c>
    </row>
    <row r="42" spans="1:12">
      <c r="B42" s="2011" t="s">
        <v>3076</v>
      </c>
      <c r="D42" s="170">
        <f>D40-D41</f>
        <v>-3.7631997620337643E-3</v>
      </c>
    </row>
    <row r="46" spans="1:12" ht="12.75" customHeight="1">
      <c r="A46" s="2931">
        <v>1</v>
      </c>
      <c r="B46" s="3165" t="s">
        <v>3360</v>
      </c>
      <c r="C46" s="3153"/>
      <c r="D46" s="3153"/>
      <c r="E46" s="3153"/>
      <c r="F46" s="3153"/>
      <c r="G46" s="3153"/>
      <c r="H46" s="3153"/>
      <c r="I46" s="3153"/>
      <c r="J46" s="3153"/>
      <c r="K46" s="3153"/>
      <c r="L46" s="3153"/>
    </row>
    <row r="47" spans="1:12">
      <c r="B47" s="3153"/>
      <c r="C47" s="3153"/>
      <c r="D47" s="3153"/>
      <c r="E47" s="3153"/>
      <c r="F47" s="3153"/>
      <c r="G47" s="3153"/>
      <c r="H47" s="3153"/>
      <c r="I47" s="3153"/>
      <c r="J47" s="3153"/>
      <c r="K47" s="3153"/>
      <c r="L47" s="3153"/>
    </row>
    <row r="48" spans="1:12">
      <c r="B48" s="3153"/>
      <c r="C48" s="3153"/>
      <c r="D48" s="3153"/>
      <c r="E48" s="3153"/>
      <c r="F48" s="3153"/>
      <c r="G48" s="3153"/>
      <c r="H48" s="3153"/>
      <c r="I48" s="3153"/>
      <c r="J48" s="3153"/>
      <c r="K48" s="3153"/>
      <c r="L48" s="3153"/>
    </row>
    <row r="49" spans="1:12">
      <c r="B49" s="3168" t="s">
        <v>3777</v>
      </c>
      <c r="C49" s="3168" t="s">
        <v>3495</v>
      </c>
      <c r="D49" s="3168" t="s">
        <v>3465</v>
      </c>
      <c r="E49" s="3180" t="s">
        <v>3778</v>
      </c>
      <c r="F49" s="3168" t="s">
        <v>3779</v>
      </c>
      <c r="G49" s="3168" t="s">
        <v>3780</v>
      </c>
      <c r="H49" s="3168" t="s">
        <v>3781</v>
      </c>
      <c r="I49" s="3168" t="s">
        <v>3782</v>
      </c>
      <c r="J49" s="3168" t="s">
        <v>87</v>
      </c>
      <c r="K49" s="3169" t="s">
        <v>3783</v>
      </c>
      <c r="L49" s="3153"/>
    </row>
    <row r="50" spans="1:12">
      <c r="B50" s="3170"/>
      <c r="C50" s="3170"/>
      <c r="D50" s="3170" t="s">
        <v>3784</v>
      </c>
      <c r="E50" s="3181">
        <v>44104</v>
      </c>
      <c r="F50" s="3181">
        <v>44104</v>
      </c>
      <c r="G50" s="3171" t="s">
        <v>3785</v>
      </c>
      <c r="H50" s="3171" t="s">
        <v>3785</v>
      </c>
      <c r="I50" s="3170" t="s">
        <v>3786</v>
      </c>
      <c r="J50" s="3170" t="s">
        <v>3787</v>
      </c>
      <c r="K50" s="3172" t="s">
        <v>3786</v>
      </c>
      <c r="L50" s="3153"/>
    </row>
    <row r="51" spans="1:12">
      <c r="B51" s="3173"/>
      <c r="C51" s="3173"/>
      <c r="D51" s="3173"/>
      <c r="E51" s="3173"/>
      <c r="F51" s="3173"/>
      <c r="G51" s="3173"/>
      <c r="H51" s="3173"/>
      <c r="I51" s="3173"/>
      <c r="J51" s="3173"/>
      <c r="K51" s="3174"/>
      <c r="L51" s="3153"/>
    </row>
    <row r="52" spans="1:12">
      <c r="B52" s="3173" t="s">
        <v>3788</v>
      </c>
      <c r="C52" s="3175">
        <v>0.1</v>
      </c>
      <c r="D52" s="3176"/>
      <c r="E52" s="3176"/>
      <c r="F52" s="3177"/>
      <c r="G52" s="3176"/>
      <c r="H52" s="3176"/>
      <c r="I52" s="3176">
        <f>D52+E52+F52-G52-H52</f>
        <v>0</v>
      </c>
      <c r="J52" s="3176">
        <f>ROUND((D52+E52-G52)*C52,0)+ROUND(F52*C52/2,0)</f>
        <v>0</v>
      </c>
      <c r="K52" s="3176">
        <f>I52-J52</f>
        <v>0</v>
      </c>
    </row>
    <row r="53" spans="1:12">
      <c r="B53" s="3173" t="s">
        <v>3789</v>
      </c>
      <c r="C53" s="3175">
        <v>0.25</v>
      </c>
      <c r="D53" s="3176"/>
      <c r="E53" s="3176"/>
      <c r="F53" s="3177"/>
      <c r="G53" s="3176"/>
      <c r="H53" s="3176"/>
      <c r="I53" s="3176">
        <f>D53+E53+F53-G53-H53</f>
        <v>0</v>
      </c>
      <c r="J53" s="3176">
        <f>ROUND((D53+E53-G53)*C53,0)+ROUND(F53*C53/2,0)</f>
        <v>0</v>
      </c>
      <c r="K53" s="3176">
        <f>I53-J53</f>
        <v>0</v>
      </c>
    </row>
    <row r="54" spans="1:12">
      <c r="B54" s="3173" t="s">
        <v>3790</v>
      </c>
      <c r="C54" s="3175">
        <v>0.4</v>
      </c>
      <c r="D54" s="3414">
        <f>'[180]Deferred tax'!$J$15</f>
        <v>2172981.33</v>
      </c>
      <c r="E54" s="4153">
        <f>[181]Sheet1!$F$55+[176]Sheet1!$F$12+[176]Sheet1!$F$14+[176]Sheet1!$F$17+[176]Sheet1!$F$18</f>
        <v>2369537</v>
      </c>
      <c r="F54" s="4154">
        <f>SUM([182]Sheet1!$L$5:$L$6,[182]Sheet1!$L$9)+[176]Sheet1!$F$21+[176]Sheet1!$F$23+[176]Sheet1!$F$24+[176]Sheet1!$F$25+[176]Sheet1!$F$26</f>
        <v>1307494.8999999999</v>
      </c>
      <c r="G54" s="3176"/>
      <c r="H54" s="3176"/>
      <c r="I54" s="3176">
        <f>D54+E54+F54-G54-H54</f>
        <v>5850013.2300000004</v>
      </c>
      <c r="J54" s="4153">
        <f>(ROUND((D54+E54-G54)*C54,0)+ROUND(F54*C54/2,0))/4*3</f>
        <v>1558879.5</v>
      </c>
      <c r="K54" s="3176">
        <f>I54-J54</f>
        <v>4291133.7300000004</v>
      </c>
    </row>
    <row r="55" spans="1:12">
      <c r="B55" s="3173" t="s">
        <v>3791</v>
      </c>
      <c r="C55" s="3175">
        <v>0.15</v>
      </c>
      <c r="D55" s="3176"/>
      <c r="E55" s="3176"/>
      <c r="F55" s="3176"/>
      <c r="G55" s="3176"/>
      <c r="H55" s="3176"/>
      <c r="I55" s="3176">
        <f>D55+E55+F55-G55-H55</f>
        <v>0</v>
      </c>
      <c r="J55" s="3176">
        <f>ROUND((D55+E55-G55)*C55,0)+ROUND(F55*C55/2,0)</f>
        <v>0</v>
      </c>
      <c r="K55" s="3176">
        <f>I55-J55</f>
        <v>0</v>
      </c>
    </row>
    <row r="56" spans="1:12">
      <c r="B56" s="3173"/>
      <c r="C56" s="3173"/>
      <c r="D56" s="3173"/>
      <c r="E56" s="3173"/>
      <c r="F56" s="3173"/>
      <c r="G56" s="3173"/>
      <c r="H56" s="3173"/>
      <c r="I56" s="3173"/>
      <c r="J56" s="3173"/>
      <c r="K56" s="3173"/>
    </row>
    <row r="57" spans="1:12">
      <c r="B57" s="3178" t="s">
        <v>233</v>
      </c>
      <c r="C57" s="3178"/>
      <c r="D57" s="3179">
        <f t="shared" ref="D57:K57" si="0">SUM(D52:D55)</f>
        <v>2172981.33</v>
      </c>
      <c r="E57" s="3179">
        <f t="shared" si="0"/>
        <v>2369537</v>
      </c>
      <c r="F57" s="3179">
        <f t="shared" si="0"/>
        <v>1307494.8999999999</v>
      </c>
      <c r="G57" s="3179">
        <f t="shared" si="0"/>
        <v>0</v>
      </c>
      <c r="H57" s="3179">
        <f t="shared" si="0"/>
        <v>0</v>
      </c>
      <c r="I57" s="3179">
        <f t="shared" si="0"/>
        <v>5850013.2300000004</v>
      </c>
      <c r="J57" s="3179">
        <f t="shared" si="0"/>
        <v>1558879.5</v>
      </c>
      <c r="K57" s="3179">
        <f t="shared" si="0"/>
        <v>4291133.7300000004</v>
      </c>
    </row>
    <row r="59" spans="1:12">
      <c r="A59" s="3332" t="s">
        <v>4056</v>
      </c>
      <c r="B59" s="2654" t="s">
        <v>4057</v>
      </c>
    </row>
    <row r="60" spans="1:12" ht="13.5" thickBot="1">
      <c r="E60" s="3224"/>
    </row>
    <row r="61" spans="1:12">
      <c r="B61" s="3354"/>
      <c r="C61" s="3358"/>
      <c r="D61" s="3358"/>
      <c r="E61" s="3348"/>
      <c r="F61" s="3358"/>
      <c r="G61" s="3358"/>
      <c r="H61" s="3358"/>
      <c r="I61" s="3358"/>
      <c r="J61" s="3358"/>
      <c r="K61" s="3352"/>
    </row>
    <row r="62" spans="1:12">
      <c r="B62" s="3360"/>
      <c r="C62" s="2655"/>
      <c r="D62" s="3353" t="s">
        <v>4062</v>
      </c>
      <c r="E62" s="3349" t="s">
        <v>4069</v>
      </c>
      <c r="F62" s="3349" t="s">
        <v>4070</v>
      </c>
      <c r="G62" s="3349" t="s">
        <v>4071</v>
      </c>
      <c r="H62" s="3349" t="s">
        <v>4084</v>
      </c>
      <c r="I62" s="3356" t="s">
        <v>264</v>
      </c>
      <c r="J62" s="3351">
        <f>'נתונים לשינוי'!C1</f>
        <v>44561</v>
      </c>
      <c r="K62" s="3336"/>
    </row>
    <row r="63" spans="1:12">
      <c r="B63" s="3357" t="s">
        <v>58</v>
      </c>
      <c r="C63" s="2655"/>
      <c r="D63" s="170" t="e">
        <f>#REF!</f>
        <v>#REF!</v>
      </c>
      <c r="E63" s="2655"/>
      <c r="F63" s="2655"/>
      <c r="G63" s="2655"/>
      <c r="H63" s="2655"/>
      <c r="I63" s="3355" t="e">
        <f>J63-D63</f>
        <v>#REF!</v>
      </c>
      <c r="J63" s="170">
        <f>'FS India'!C7</f>
        <v>85351280.650000006</v>
      </c>
      <c r="K63" s="3014" t="e">
        <f>J63-SUM(D63:I63)</f>
        <v>#REF!</v>
      </c>
    </row>
    <row r="64" spans="1:12">
      <c r="B64" s="3357" t="s">
        <v>4060</v>
      </c>
      <c r="C64" s="2655"/>
      <c r="D64" s="170" t="e">
        <f>#REF!</f>
        <v>#REF!</v>
      </c>
      <c r="E64" s="3355" t="e">
        <f>J64-D64</f>
        <v>#REF!</v>
      </c>
      <c r="F64" s="2655"/>
      <c r="G64" s="2655"/>
      <c r="H64" s="2655"/>
      <c r="I64" s="2655"/>
      <c r="J64" s="170">
        <f>'מאזן בוחן הודו'!J45+'מאזן בוחן הודו'!J57</f>
        <v>10131548.23</v>
      </c>
      <c r="K64" s="3014" t="e">
        <f t="shared" ref="K64:K73" si="1">J64-SUM(D64:I64)</f>
        <v>#REF!</v>
      </c>
    </row>
    <row r="65" spans="2:11">
      <c r="B65" s="3334" t="s">
        <v>4061</v>
      </c>
      <c r="C65" s="2655"/>
      <c r="D65" s="170" t="e">
        <f>#REF!</f>
        <v>#REF!</v>
      </c>
      <c r="E65" s="3355" t="e">
        <f>J65-D65</f>
        <v>#REF!</v>
      </c>
      <c r="F65" s="2655"/>
      <c r="G65" s="2655"/>
      <c r="H65" s="2655"/>
      <c r="I65" s="2655"/>
      <c r="J65" s="170">
        <f>'מאזן בוחן הודו'!J49</f>
        <v>0</v>
      </c>
      <c r="K65" s="3014" t="e">
        <f t="shared" si="1"/>
        <v>#REF!</v>
      </c>
    </row>
    <row r="66" spans="2:11">
      <c r="B66" s="3360" t="s">
        <v>4063</v>
      </c>
      <c r="C66" s="2655"/>
      <c r="D66" s="170">
        <v>2320689.4977168948</v>
      </c>
      <c r="E66" s="3164">
        <f>-$D$12</f>
        <v>-1198481.24</v>
      </c>
      <c r="F66" s="3164">
        <f>J66-E66-D66</f>
        <v>3271000.0022831052</v>
      </c>
      <c r="G66" s="2655"/>
      <c r="H66" s="2655"/>
      <c r="I66" s="2655"/>
      <c r="J66" s="170">
        <f>'מאזן בוחן הודו'!J76</f>
        <v>4393208.26</v>
      </c>
      <c r="K66" s="3014">
        <f t="shared" si="1"/>
        <v>0</v>
      </c>
    </row>
    <row r="67" spans="2:11">
      <c r="B67" s="3360" t="s">
        <v>4064</v>
      </c>
      <c r="C67" s="2655"/>
      <c r="D67" s="170">
        <v>-314312</v>
      </c>
      <c r="E67" s="3355">
        <f>J67-D67</f>
        <v>349784.82</v>
      </c>
      <c r="F67" s="2655"/>
      <c r="G67" s="2655"/>
      <c r="H67" s="2655"/>
      <c r="I67" s="2655"/>
      <c r="J67" s="170">
        <f>'מאזן בוחן הודו'!J117</f>
        <v>35472.820000000007</v>
      </c>
      <c r="K67" s="3014">
        <f t="shared" si="1"/>
        <v>0</v>
      </c>
    </row>
    <row r="68" spans="2:11">
      <c r="B68" s="3360" t="s">
        <v>4065</v>
      </c>
      <c r="C68" s="2655"/>
      <c r="D68" s="170">
        <v>-5344315.45</v>
      </c>
      <c r="E68" s="3355">
        <f>J68-D68</f>
        <v>-12905070.260000002</v>
      </c>
      <c r="F68" s="2655"/>
      <c r="G68" s="2655"/>
      <c r="H68" s="2655"/>
      <c r="I68" s="2655"/>
      <c r="J68" s="170">
        <f>'מאזן בוחן הודו'!J143+'מאזן בוחן הודו'!J148+'מאזן בוחן הודו'!J119+'מאזן בוחן הודו'!J120+'מאזן בוחן הודו'!J121+'מאזן בוחן הודו'!J122</f>
        <v>-18249385.710000001</v>
      </c>
      <c r="K68" s="3014">
        <f t="shared" si="1"/>
        <v>0</v>
      </c>
    </row>
    <row r="69" spans="2:11">
      <c r="B69" s="3360" t="s">
        <v>4077</v>
      </c>
      <c r="C69" s="2655"/>
      <c r="D69" s="170">
        <v>-1144983</v>
      </c>
      <c r="E69" s="3355">
        <f>J69-D69</f>
        <v>-54043766.961727075</v>
      </c>
      <c r="F69" s="2655"/>
      <c r="G69" s="2655"/>
      <c r="H69" s="2655"/>
      <c r="I69" s="2655"/>
      <c r="J69" s="170">
        <f>'מאזן בוחן הודו'!J157+'מאזן בוחן הודו'!J161</f>
        <v>-55188749.961727075</v>
      </c>
      <c r="K69" s="3014">
        <f t="shared" si="1"/>
        <v>0</v>
      </c>
    </row>
    <row r="70" spans="2:11">
      <c r="B70" s="3360" t="s">
        <v>4078</v>
      </c>
      <c r="C70" s="2655"/>
      <c r="D70" s="170">
        <v>-330014</v>
      </c>
      <c r="E70" s="3346">
        <f>J70-H70-D70</f>
        <v>-7689883.7989468966</v>
      </c>
      <c r="F70" s="2655"/>
      <c r="G70" s="2655"/>
      <c r="H70" s="1980">
        <f>'מאזן בוחן הודו'!J126</f>
        <v>6825000</v>
      </c>
      <c r="I70" s="2655"/>
      <c r="J70" s="170">
        <f>'מאזן בוחן הודו'!J123+'מאזן בוחן הודו'!J124+'מאזן בוחן הודו'!J125+'מאזן בוחן הודו'!J126</f>
        <v>-1194897.7989468966</v>
      </c>
      <c r="K70" s="3014">
        <f t="shared" si="1"/>
        <v>0</v>
      </c>
    </row>
    <row r="71" spans="2:11">
      <c r="B71" s="3360" t="s">
        <v>4066</v>
      </c>
      <c r="C71" s="2655"/>
      <c r="D71" s="170">
        <v>-51615</v>
      </c>
      <c r="E71" s="3355">
        <f>J71-D71</f>
        <v>15946.07623680024</v>
      </c>
      <c r="F71" s="2655"/>
      <c r="G71" s="2655"/>
      <c r="H71" s="2655"/>
      <c r="I71" s="2655"/>
      <c r="J71" s="170">
        <f>'מאזן בוחן הודו'!J150</f>
        <v>-35668.92376319976</v>
      </c>
      <c r="K71" s="3014">
        <f t="shared" si="1"/>
        <v>0</v>
      </c>
    </row>
    <row r="72" spans="2:11">
      <c r="B72" s="3360" t="s">
        <v>4067</v>
      </c>
      <c r="C72" s="2655"/>
      <c r="D72" s="170">
        <v>-100000</v>
      </c>
      <c r="E72" s="2655"/>
      <c r="F72" s="2655"/>
      <c r="G72" s="2655"/>
      <c r="H72" s="2655"/>
      <c r="I72" s="2655"/>
      <c r="J72" s="170">
        <f>'מאזן בוחן הודו'!J164</f>
        <v>-100000</v>
      </c>
      <c r="K72" s="3014">
        <f t="shared" si="1"/>
        <v>0</v>
      </c>
    </row>
    <row r="73" spans="2:11">
      <c r="B73" s="3360" t="s">
        <v>4068</v>
      </c>
      <c r="C73" s="2655"/>
      <c r="D73" s="3056">
        <v>-10952075.297716901</v>
      </c>
      <c r="E73" s="3056">
        <f>J73-D73</f>
        <v>-14190732.267845958</v>
      </c>
      <c r="F73" s="3056"/>
      <c r="G73" s="3056"/>
      <c r="H73" s="3056"/>
      <c r="I73" s="3345"/>
      <c r="J73" s="3056">
        <f>-'FS India'!C44-'FS India'!C42</f>
        <v>-25142807.565562859</v>
      </c>
      <c r="K73" s="3014">
        <f t="shared" si="1"/>
        <v>0</v>
      </c>
    </row>
    <row r="74" spans="2:11" ht="13.5" thickBot="1">
      <c r="B74" s="3342"/>
      <c r="C74" s="3361"/>
      <c r="D74" s="3363" t="e">
        <f>SUM(D63:D73)</f>
        <v>#REF!</v>
      </c>
      <c r="E74" s="3361"/>
      <c r="F74" s="3361"/>
      <c r="G74" s="3361">
        <f>SUM(G63:G73)</f>
        <v>0</v>
      </c>
      <c r="H74" s="3361"/>
      <c r="I74" s="3361"/>
      <c r="J74" s="3363">
        <f>SUM(J63:J73)</f>
        <v>-2.9802322387695313E-8</v>
      </c>
      <c r="K74" s="3340"/>
    </row>
    <row r="75" spans="2:11">
      <c r="D75" s="716"/>
    </row>
    <row r="76" spans="2:11">
      <c r="B76" s="2654" t="s">
        <v>4076</v>
      </c>
      <c r="D76" s="716"/>
    </row>
    <row r="77" spans="2:11" ht="13.5" thickBot="1">
      <c r="D77" s="716"/>
    </row>
    <row r="78" spans="2:11">
      <c r="B78" s="3333" t="s">
        <v>4058</v>
      </c>
      <c r="C78" s="3358"/>
      <c r="D78" s="3362">
        <f>-E73-E70-E71</f>
        <v>21864669.990556054</v>
      </c>
    </row>
    <row r="79" spans="2:11">
      <c r="B79" s="3360"/>
      <c r="C79" s="2655"/>
      <c r="D79" s="1463"/>
    </row>
    <row r="80" spans="2:11">
      <c r="B80" s="3344" t="s">
        <v>4059</v>
      </c>
      <c r="C80" s="2655"/>
      <c r="D80" s="1463"/>
    </row>
    <row r="81" spans="1:4">
      <c r="B81" s="3360" t="s">
        <v>87</v>
      </c>
      <c r="C81" s="2655"/>
      <c r="D81" s="3341">
        <f>-E66</f>
        <v>1198481.24</v>
      </c>
    </row>
    <row r="82" spans="1:4">
      <c r="B82" s="3360"/>
      <c r="C82" s="2655"/>
      <c r="D82" s="3336"/>
    </row>
    <row r="83" spans="1:4">
      <c r="A83" s="2655"/>
      <c r="B83" s="3335" t="s">
        <v>4072</v>
      </c>
      <c r="C83" s="2655"/>
      <c r="D83" s="3336"/>
    </row>
    <row r="84" spans="1:4">
      <c r="A84" s="2655"/>
      <c r="B84" s="3359" t="s">
        <v>4073</v>
      </c>
      <c r="C84" s="2655"/>
      <c r="D84" s="3336"/>
    </row>
    <row r="85" spans="1:4">
      <c r="A85" s="2655"/>
      <c r="B85" s="3350" t="s">
        <v>241</v>
      </c>
      <c r="C85" s="2655"/>
      <c r="D85" s="3337">
        <f>-E67</f>
        <v>-349784.82</v>
      </c>
    </row>
    <row r="86" spans="1:4">
      <c r="A86" s="2655"/>
      <c r="B86" s="3350" t="s">
        <v>4074</v>
      </c>
      <c r="C86" s="2655"/>
      <c r="D86" s="3337">
        <f>-E68</f>
        <v>12905070.260000002</v>
      </c>
    </row>
    <row r="87" spans="1:4">
      <c r="A87" s="2655"/>
      <c r="B87" s="3350" t="s">
        <v>4075</v>
      </c>
      <c r="C87" s="2655"/>
      <c r="D87" s="3337">
        <f>-E69</f>
        <v>54043766.961727075</v>
      </c>
    </row>
    <row r="88" spans="1:4">
      <c r="A88" s="2655"/>
      <c r="B88" s="3350" t="s">
        <v>4079</v>
      </c>
      <c r="C88" s="2655"/>
      <c r="D88" s="3337" t="e">
        <f>-E64</f>
        <v>#REF!</v>
      </c>
    </row>
    <row r="89" spans="1:4">
      <c r="B89" s="3350" t="s">
        <v>4080</v>
      </c>
      <c r="C89" s="2655"/>
      <c r="D89" s="3337" t="e">
        <f>-E65</f>
        <v>#REF!</v>
      </c>
    </row>
    <row r="90" spans="1:4">
      <c r="B90" s="3360"/>
      <c r="C90" s="2655"/>
      <c r="D90" s="3336"/>
    </row>
    <row r="91" spans="1:4">
      <c r="B91" s="3350" t="s">
        <v>4081</v>
      </c>
      <c r="C91" s="2655"/>
      <c r="D91" s="3337" t="e">
        <f>SUM(D78:D89)</f>
        <v>#REF!</v>
      </c>
    </row>
    <row r="92" spans="1:4">
      <c r="B92" s="3360"/>
      <c r="C92" s="2655"/>
      <c r="D92" s="3336"/>
    </row>
    <row r="93" spans="1:4">
      <c r="B93" s="3350" t="s">
        <v>4082</v>
      </c>
      <c r="C93" s="2655"/>
      <c r="D93" s="3336"/>
    </row>
    <row r="94" spans="1:4">
      <c r="B94" s="3350" t="s">
        <v>4083</v>
      </c>
      <c r="C94" s="2655"/>
      <c r="D94" s="3337">
        <f>-H70</f>
        <v>-6825000</v>
      </c>
    </row>
    <row r="95" spans="1:4">
      <c r="B95" s="3360"/>
      <c r="C95" s="2655"/>
      <c r="D95" s="3336"/>
    </row>
    <row r="96" spans="1:4">
      <c r="B96" s="3360" t="s">
        <v>4085</v>
      </c>
      <c r="C96" s="2655"/>
      <c r="D96" s="3339" t="e">
        <f>D91+D94</f>
        <v>#REF!</v>
      </c>
    </row>
    <row r="97" spans="2:4">
      <c r="B97" s="3360"/>
      <c r="C97" s="2655"/>
      <c r="D97" s="3336"/>
    </row>
    <row r="98" spans="2:4">
      <c r="B98" s="3360" t="s">
        <v>4087</v>
      </c>
      <c r="C98" s="2655"/>
      <c r="D98" s="3338">
        <f>G74</f>
        <v>0</v>
      </c>
    </row>
    <row r="99" spans="2:4">
      <c r="B99" s="3360"/>
      <c r="C99" s="2655"/>
      <c r="D99" s="3336"/>
    </row>
    <row r="100" spans="2:4">
      <c r="B100" s="3360" t="s">
        <v>4086</v>
      </c>
      <c r="C100" s="2655"/>
      <c r="D100" s="3347">
        <f>-F66</f>
        <v>-3271000.0022831052</v>
      </c>
    </row>
    <row r="101" spans="2:4">
      <c r="B101" s="3360"/>
      <c r="C101" s="2655"/>
      <c r="D101" s="3336"/>
    </row>
    <row r="102" spans="2:4" ht="13.5" thickBot="1">
      <c r="B102" s="3360" t="s">
        <v>4088</v>
      </c>
      <c r="C102" s="2655"/>
      <c r="D102" s="3343" t="e">
        <f>D96+D98+D100</f>
        <v>#REF!</v>
      </c>
    </row>
    <row r="103" spans="2:4" ht="13.5" thickTop="1">
      <c r="B103" s="3360" t="s">
        <v>648</v>
      </c>
      <c r="C103" s="2655"/>
      <c r="D103" s="3337" t="e">
        <f>D63</f>
        <v>#REF!</v>
      </c>
    </row>
    <row r="104" spans="2:4" ht="13.5" thickBot="1">
      <c r="B104" s="3360" t="s">
        <v>4089</v>
      </c>
      <c r="C104" s="2655"/>
      <c r="D104" s="3337">
        <f>J63</f>
        <v>85351280.650000006</v>
      </c>
    </row>
    <row r="105" spans="2:4" ht="13.5" thickBot="1">
      <c r="B105" s="3342"/>
      <c r="C105" s="3361"/>
      <c r="D105" s="956" t="e">
        <f>D104-D103-D102</f>
        <v>#REF!</v>
      </c>
    </row>
  </sheetData>
  <pageMargins left="0.75" right="0.75" top="1" bottom="0.88" header="0.5" footer="0.5"/>
  <pageSetup paperSize="9" scale="90" fitToHeight="3" orientation="portrait" cellComments="asDisplayed" r:id="rId1"/>
  <headerFooter alignWithMargins="0"/>
  <rowBreaks count="1" manualBreakCount="1">
    <brk id="14" min="1" max="5" man="1"/>
  </rowBreaks>
  <ignoredErrors>
    <ignoredError sqref="E66 E70" formula="1"/>
  </ignoredErrors>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58BF-CCAF-418A-B27A-6444BD2E693B}">
  <sheetPr codeName="Sheet45">
    <tabColor theme="9"/>
  </sheetPr>
  <dimension ref="A1:I32"/>
  <sheetViews>
    <sheetView workbookViewId="0">
      <selection activeCell="J18" sqref="J18"/>
    </sheetView>
  </sheetViews>
  <sheetFormatPr defaultColWidth="8.83203125" defaultRowHeight="12.75"/>
  <cols>
    <col min="1" max="1" width="9.6640625" style="32" bestFit="1" customWidth="1"/>
    <col min="2" max="2" width="41" style="32" bestFit="1" customWidth="1"/>
    <col min="3" max="3" width="23.33203125" style="32" customWidth="1"/>
    <col min="4" max="4" width="13.5" style="32" customWidth="1"/>
    <col min="5" max="5" width="11.1640625" style="32" bestFit="1" customWidth="1"/>
    <col min="6" max="6" width="8.33203125" style="32" bestFit="1" customWidth="1"/>
    <col min="7" max="7" width="14.33203125" style="32" customWidth="1"/>
    <col min="8" max="8" width="8.83203125" style="32"/>
    <col min="9" max="9" width="12" style="32" bestFit="1" customWidth="1"/>
    <col min="10" max="10" width="12.83203125" style="32" customWidth="1"/>
    <col min="11" max="16384" width="8.83203125" style="32"/>
  </cols>
  <sheetData>
    <row r="1" spans="1:5">
      <c r="A1" s="33" t="s">
        <v>2713</v>
      </c>
    </row>
    <row r="4" spans="1:5">
      <c r="B4" s="477"/>
      <c r="C4" s="2846" t="s">
        <v>3632</v>
      </c>
    </row>
    <row r="6" spans="1:5" ht="13.5" thickBot="1">
      <c r="B6" s="637" t="s">
        <v>1384</v>
      </c>
      <c r="C6" s="637" t="s">
        <v>3081</v>
      </c>
    </row>
    <row r="7" spans="1:5">
      <c r="B7" s="2192" t="s">
        <v>2714</v>
      </c>
      <c r="C7" s="3683">
        <v>8</v>
      </c>
    </row>
    <row r="8" spans="1:5">
      <c r="B8" s="2193" t="s">
        <v>2822</v>
      </c>
      <c r="C8" s="3682">
        <v>17</v>
      </c>
    </row>
    <row r="9" spans="1:5">
      <c r="B9" s="2193" t="s">
        <v>578</v>
      </c>
      <c r="C9" s="3682">
        <v>5</v>
      </c>
    </row>
    <row r="10" spans="1:5">
      <c r="B10" s="2193" t="s">
        <v>3239</v>
      </c>
      <c r="C10" s="3682">
        <v>2</v>
      </c>
    </row>
    <row r="11" spans="1:5">
      <c r="B11" s="2193" t="s">
        <v>4597</v>
      </c>
      <c r="C11" s="3682">
        <v>1</v>
      </c>
    </row>
    <row r="12" spans="1:5" ht="13.5" thickBot="1">
      <c r="B12" s="2193" t="s">
        <v>1385</v>
      </c>
      <c r="C12" s="3682">
        <v>32</v>
      </c>
    </row>
    <row r="13" spans="1:5" ht="13.5" thickBot="1">
      <c r="B13" s="2194" t="s">
        <v>2715</v>
      </c>
      <c r="C13" s="2195">
        <f>SUM(C7:C12)</f>
        <v>65</v>
      </c>
    </row>
    <row r="15" spans="1:5">
      <c r="B15" s="961" t="s">
        <v>2784</v>
      </c>
      <c r="D15" s="637" t="s">
        <v>2507</v>
      </c>
      <c r="E15" s="637" t="s">
        <v>294</v>
      </c>
    </row>
    <row r="16" spans="1:5">
      <c r="B16" s="2676" t="s">
        <v>1801</v>
      </c>
      <c r="C16" s="2485">
        <v>5219999</v>
      </c>
      <c r="D16" s="32">
        <f>SUM('מאזן בוחן הודו'!$E$223:$E$238)*C7/$C$13</f>
        <v>16735.284923076859</v>
      </c>
      <c r="E16" s="32">
        <f>SUM('מאזן בוחן הודו'!$M$223:$M$238)*C7/$C$13</f>
        <v>224.01846153846083</v>
      </c>
    </row>
    <row r="17" spans="1:9">
      <c r="B17" s="2676" t="s">
        <v>2716</v>
      </c>
      <c r="C17" s="2485">
        <v>6030001</v>
      </c>
      <c r="D17" s="32">
        <f>SUM('מאזן בוחן הודו'!$E$223:$E$238)*C8/$C$13</f>
        <v>35562.480461538325</v>
      </c>
      <c r="E17" s="32">
        <f>SUM('מאזן בוחן הודו'!$M$223:$M$238)*C8/$C$13</f>
        <v>476.03923076922922</v>
      </c>
    </row>
    <row r="18" spans="1:9">
      <c r="B18" s="2677" t="s">
        <v>2720</v>
      </c>
      <c r="C18" s="2196">
        <v>7129999</v>
      </c>
      <c r="D18" s="32">
        <f>SUM('מאזן בוחן הודו'!$E$223:$E$238)*C9/$C$13</f>
        <v>10459.553076923037</v>
      </c>
      <c r="E18" s="32">
        <f>SUM('מאזן בוחן הודו'!$M$223:$M$238)*C9/$C$13</f>
        <v>140.01153846153801</v>
      </c>
    </row>
    <row r="19" spans="1:9">
      <c r="B19" s="2676" t="s">
        <v>2719</v>
      </c>
      <c r="C19" s="2196">
        <v>5120001</v>
      </c>
      <c r="D19" s="32">
        <f>SUM('מאזן בוחן הודו'!$E$223:$E$238)*C12/$C$13</f>
        <v>66941.139692307435</v>
      </c>
      <c r="E19" s="32">
        <f>SUM('מאזן בוחן הודו'!$M$223:$M$238)*C12/$C$13</f>
        <v>896.07384615384331</v>
      </c>
    </row>
    <row r="20" spans="1:9" ht="13.5" thickBot="1">
      <c r="A20" s="320"/>
      <c r="B20" s="2677" t="s">
        <v>2717</v>
      </c>
      <c r="C20" s="2196">
        <v>93100</v>
      </c>
      <c r="D20" s="32">
        <f>-SUM('מאזן בוחן הודו'!$E$223:$E$238)*(C13-C11-C10)/$C$13</f>
        <v>-129698.45815384566</v>
      </c>
      <c r="E20" s="32">
        <f>-SUM('מאזן בוחן הודו'!$M$223:$M$238)*(C13-C11-C10)/$C$13</f>
        <v>-1736.1430769230715</v>
      </c>
    </row>
    <row r="21" spans="1:9" ht="13.5" thickBot="1">
      <c r="D21" s="2484">
        <f>SUM(D16:D20)</f>
        <v>0</v>
      </c>
      <c r="E21" s="2484">
        <f>SUM(E16:E20)</f>
        <v>0</v>
      </c>
    </row>
    <row r="22" spans="1:9">
      <c r="B22" s="961" t="s">
        <v>2823</v>
      </c>
    </row>
    <row r="23" spans="1:9" ht="13.5" thickBot="1">
      <c r="D23" s="637" t="s">
        <v>2507</v>
      </c>
      <c r="E23" s="637" t="s">
        <v>294</v>
      </c>
      <c r="G23" s="961" t="s">
        <v>2897</v>
      </c>
      <c r="I23" s="961" t="s">
        <v>135</v>
      </c>
    </row>
    <row r="24" spans="1:9" ht="13.5" thickBot="1">
      <c r="B24" s="698" t="s">
        <v>2825</v>
      </c>
      <c r="C24" s="2196">
        <v>5200021</v>
      </c>
      <c r="D24" s="32">
        <f t="shared" ref="D24:D29" si="0">$D$31*C7/$C$13</f>
        <v>239369.57538461537</v>
      </c>
      <c r="E24" s="32">
        <f t="shared" ref="E24:E29" si="1">$E$31*C7/$C$13</f>
        <v>3221.5556923076924</v>
      </c>
      <c r="G24" s="3607">
        <v>239370</v>
      </c>
      <c r="I24" s="2930">
        <f t="shared" ref="I24:I29" si="2">D24-G24</f>
        <v>-0.42461538463248871</v>
      </c>
    </row>
    <row r="25" spans="1:9" ht="13.5" thickBot="1">
      <c r="B25" s="698" t="s">
        <v>3240</v>
      </c>
      <c r="C25" s="2196">
        <v>6011001</v>
      </c>
      <c r="D25" s="32">
        <f t="shared" si="0"/>
        <v>508660.34769230767</v>
      </c>
      <c r="E25" s="32">
        <f t="shared" si="1"/>
        <v>6845.8058461538458</v>
      </c>
      <c r="G25" s="3607">
        <v>508660</v>
      </c>
      <c r="I25" s="2930">
        <f t="shared" si="2"/>
        <v>0.34769230766687542</v>
      </c>
    </row>
    <row r="26" spans="1:9" ht="13.5" thickBot="1">
      <c r="B26" s="698" t="s">
        <v>3241</v>
      </c>
      <c r="C26" s="2196">
        <v>7110007</v>
      </c>
      <c r="D26" s="32">
        <f t="shared" si="0"/>
        <v>149605.9846153846</v>
      </c>
      <c r="E26" s="32">
        <f t="shared" si="1"/>
        <v>2013.4723076923076</v>
      </c>
      <c r="G26" s="3607">
        <v>149606</v>
      </c>
      <c r="I26" s="2930">
        <f t="shared" si="2"/>
        <v>-1.5384615398943424E-2</v>
      </c>
    </row>
    <row r="27" spans="1:9" ht="13.5" thickBot="1">
      <c r="B27" s="698" t="s">
        <v>3238</v>
      </c>
      <c r="C27" s="2196">
        <v>8210007</v>
      </c>
      <c r="D27" s="32">
        <f t="shared" si="0"/>
        <v>59842.393846153842</v>
      </c>
      <c r="E27" s="32">
        <f t="shared" si="1"/>
        <v>805.38892307692311</v>
      </c>
      <c r="G27" s="3607">
        <v>59842</v>
      </c>
      <c r="I27" s="2930">
        <f t="shared" si="2"/>
        <v>0.39384615384187782</v>
      </c>
    </row>
    <row r="28" spans="1:9" ht="13.5" thickBot="1">
      <c r="B28" s="2196" t="s">
        <v>4595</v>
      </c>
      <c r="C28" s="2196">
        <v>8110006</v>
      </c>
      <c r="D28" s="32">
        <f t="shared" si="0"/>
        <v>29921.196923076921</v>
      </c>
      <c r="E28" s="32">
        <f t="shared" si="1"/>
        <v>402.69446153846155</v>
      </c>
      <c r="G28" s="3607">
        <v>29922</v>
      </c>
      <c r="I28" s="2930">
        <f t="shared" si="2"/>
        <v>-0.80307692307906109</v>
      </c>
    </row>
    <row r="29" spans="1:9" ht="13.5" thickBot="1">
      <c r="B29" s="698" t="s">
        <v>2824</v>
      </c>
      <c r="C29" s="2196">
        <v>5110006</v>
      </c>
      <c r="D29" s="32">
        <f t="shared" si="0"/>
        <v>957478.30153846147</v>
      </c>
      <c r="E29" s="32">
        <f t="shared" si="1"/>
        <v>12886.22276923077</v>
      </c>
      <c r="G29" s="3607">
        <v>957478</v>
      </c>
      <c r="I29" s="2930">
        <f t="shared" si="2"/>
        <v>0.30153846147004515</v>
      </c>
    </row>
    <row r="31" spans="1:9" ht="13.5" thickBot="1">
      <c r="B31" s="32" t="s">
        <v>3992</v>
      </c>
      <c r="D31" s="3607">
        <v>1944877.7999999998</v>
      </c>
      <c r="E31" s="3607">
        <v>26175.14</v>
      </c>
    </row>
    <row r="32" spans="1:9" ht="13.5" thickBot="1">
      <c r="D32" s="2930">
        <f>D31-SUM(D24:D29)</f>
        <v>0</v>
      </c>
      <c r="E32" s="2484">
        <f>E31-SUM(E24:E29)</f>
        <v>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4CBC73139CE340A8A775820E65AFC9" ma:contentTypeVersion="15" ma:contentTypeDescription="Create a new document." ma:contentTypeScope="" ma:versionID="7e31f463fca3a0b8c43ea84146c5897d">
  <xsd:schema xmlns:xsd="http://www.w3.org/2001/XMLSchema" xmlns:xs="http://www.w3.org/2001/XMLSchema" xmlns:p="http://schemas.microsoft.com/office/2006/metadata/properties" xmlns:ns2="7d06723a-5385-47dc-a9aa-5283738f3a92" xmlns:ns3="f3551168-7625-438d-b1c6-775724c69cae" targetNamespace="http://schemas.microsoft.com/office/2006/metadata/properties" ma:root="true" ma:fieldsID="249032996a5e06973f636b7d6a2eb61d" ns2:_="" ns3:_="">
    <xsd:import namespace="7d06723a-5385-47dc-a9aa-5283738f3a92"/>
    <xsd:import namespace="f3551168-7625-438d-b1c6-775724c69c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06723a-5385-47dc-a9aa-5283738f3a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551168-7625-438d-b1c6-775724c69ca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d2fbabb-d07a-43f5-9864-c00c40247140}" ma:internalName="TaxCatchAll" ma:showField="CatchAllData" ma:web="f3551168-7625-438d-b1c6-775724c69c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06723a-5385-47dc-a9aa-5283738f3a92">
      <Terms xmlns="http://schemas.microsoft.com/office/infopath/2007/PartnerControls"/>
    </lcf76f155ced4ddcb4097134ff3c332f>
    <TaxCatchAll xmlns="f3551168-7625-438d-b1c6-775724c69cae" xsi:nil="true"/>
  </documentManagement>
</p:properties>
</file>

<file path=customXml/itemProps1.xml><?xml version="1.0" encoding="utf-8"?>
<ds:datastoreItem xmlns:ds="http://schemas.openxmlformats.org/officeDocument/2006/customXml" ds:itemID="{BF33208F-109F-4C03-98F4-6FF573E625F5}"/>
</file>

<file path=customXml/itemProps2.xml><?xml version="1.0" encoding="utf-8"?>
<ds:datastoreItem xmlns:ds="http://schemas.openxmlformats.org/officeDocument/2006/customXml" ds:itemID="{04A5B023-4185-4D8F-B296-E5915249ECC3}">
  <ds:schemaRefs>
    <ds:schemaRef ds:uri="http://schemas.microsoft.com/sharepoint/v3/contenttype/forms"/>
  </ds:schemaRefs>
</ds:datastoreItem>
</file>

<file path=customXml/itemProps3.xml><?xml version="1.0" encoding="utf-8"?>
<ds:datastoreItem xmlns:ds="http://schemas.openxmlformats.org/officeDocument/2006/customXml" ds:itemID="{94C5314B-B21D-4C0F-AF28-D42814080332}">
  <ds:schemaRefs>
    <ds:schemaRef ds:uri="http://schemas.openxmlformats.org/package/2006/metadata/core-properties"/>
    <ds:schemaRef ds:uri="http://purl.org/dc/elements/1.1/"/>
    <ds:schemaRef ds:uri="http://purl.org/dc/terms/"/>
    <ds:schemaRef ds:uri="af22d507-f3fa-47ed-a788-d4d868915e17"/>
    <ds:schemaRef ds:uri="2019ded2-948f-4e63-88f0-aa37d6450fa7"/>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41</vt:i4>
      </vt:variant>
      <vt:variant>
        <vt:lpstr>Named Ranges</vt:lpstr>
      </vt:variant>
      <vt:variant>
        <vt:i4>13</vt:i4>
      </vt:variant>
    </vt:vector>
  </HeadingPairs>
  <TitlesOfParts>
    <vt:vector size="54" baseType="lpstr">
      <vt:lpstr>דוחות</vt:lpstr>
      <vt:lpstr>מאזן בוחן</vt:lpstr>
      <vt:lpstr>פקודות נוספות</vt:lpstr>
      <vt:lpstr>מיסים שוטפים 2021</vt:lpstr>
      <vt:lpstr>העמסת הנה"כ</vt:lpstr>
      <vt:lpstr>606-Prepaid Comm&amp;DR SUB</vt:lpstr>
      <vt:lpstr>ביאורים לדוחות הכספיים</vt:lpstr>
      <vt:lpstr>יתרות בינחברתיות</vt:lpstr>
      <vt:lpstr>Accrued expenses</vt:lpstr>
      <vt:lpstr>FA</vt:lpstr>
      <vt:lpstr>Consolidation</vt:lpstr>
      <vt:lpstr>Prepaid expenses</vt:lpstr>
      <vt:lpstr>Post-Closing Withdrawl Updated</vt:lpstr>
      <vt:lpstr>נתונים לשינוי</vt:lpstr>
      <vt:lpstr>תזרים Algosec LTD בש"ח</vt:lpstr>
      <vt:lpstr>תזרים מאוחד ב-$</vt:lpstr>
      <vt:lpstr>מאזן בוחן EUROPE</vt:lpstr>
      <vt:lpstr>פ.נ. EUROPE</vt:lpstr>
      <vt:lpstr>NEW TP EU</vt:lpstr>
      <vt:lpstr>Tax UK</vt:lpstr>
      <vt:lpstr>העמסת הנה"כ (UK)</vt:lpstr>
      <vt:lpstr>FS EU</vt:lpstr>
      <vt:lpstr>מאזן בוחן Australia</vt:lpstr>
      <vt:lpstr>פ.נ. Australia</vt:lpstr>
      <vt:lpstr>TP Australua</vt:lpstr>
      <vt:lpstr>FS AU</vt:lpstr>
      <vt:lpstr>Tax proforma</vt:lpstr>
      <vt:lpstr>New TB INC</vt:lpstr>
      <vt:lpstr>AJE 12 - INC</vt:lpstr>
      <vt:lpstr>Employee Stock Option Exercised</vt:lpstr>
      <vt:lpstr>העמסת הנה"כ (INC)</vt:lpstr>
      <vt:lpstr>Tax - Inc</vt:lpstr>
      <vt:lpstr>מאזן בוחן צרפת</vt:lpstr>
      <vt:lpstr>פ.נ. צרפת</vt:lpstr>
      <vt:lpstr>TP France</vt:lpstr>
      <vt:lpstr>FS France</vt:lpstr>
      <vt:lpstr>מאזן בוחן הודו</vt:lpstr>
      <vt:lpstr>פ.נ. הודו</vt:lpstr>
      <vt:lpstr>FS India</vt:lpstr>
      <vt:lpstr>Tax</vt:lpstr>
      <vt:lpstr>India - Allocation</vt:lpstr>
      <vt:lpstr>'מאזן בוחן EUROPE'!endofdoh</vt:lpstr>
      <vt:lpstr>endofdoh</vt:lpstr>
      <vt:lpstr>'AJE 12 - INC'!Print_Area</vt:lpstr>
      <vt:lpstr>Tax!Print_Area</vt:lpstr>
      <vt:lpstr>'מאזן בוחן'!Print_Area</vt:lpstr>
      <vt:lpstr>'מאזן בוחן EUROPE'!Print_Area</vt:lpstr>
      <vt:lpstr>'מאזן בוחן הודו'!Print_Area</vt:lpstr>
      <vt:lpstr>'פ.נ. Australia'!Print_Area</vt:lpstr>
      <vt:lpstr>'פ.נ. EUROPE'!Print_Area</vt:lpstr>
      <vt:lpstr>'פ.נ. הודו'!Print_Area</vt:lpstr>
      <vt:lpstr>'פ.נ. צרפת'!Print_Area</vt:lpstr>
      <vt:lpstr>'פקודות נוספות'!Print_Area</vt:lpstr>
      <vt:lpstr>הוצאות</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Andrey Cherevko</cp:lastModifiedBy>
  <cp:lastPrinted>2022-02-27T09:02:48Z</cp:lastPrinted>
  <dcterms:created xsi:type="dcterms:W3CDTF">2000-11-19T10:04:51Z</dcterms:created>
  <dcterms:modified xsi:type="dcterms:W3CDTF">2022-05-30T15:58:51Z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0x010100A54CBC73139CE340A8A775820E65AFC9</vt:lpwstr>
  </property>
  <property fmtid="{D5CDD505-2E9C-101B-9397-08002B2CF9AE}" pid="3" name="MediaServiceImageTags">
    <vt:lpwstr/>
  </property>
  <property fmtid="{D5CDD505-2E9C-101B-9397-08002B2CF9AE}" pid="4" name="Order">
    <vt:r8>71000</vt:r8>
  </property>
</Properties>
</file>